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comments/comment1.xml" ContentType="application/vnd.openxmlformats-officedocument.spreadsheetml.comment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drawings/drawing1.xml" ContentType="application/vnd.openxmlformats-officedocument.drawing+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tài liệu" sheetId="1" state="visible" r:id="rId1"/>
    <sheet xmlns:r="http://schemas.openxmlformats.org/officeDocument/2006/relationships" name="bms web" sheetId="2" state="visible" r:id="rId2"/>
    <sheet xmlns:r="http://schemas.openxmlformats.org/officeDocument/2006/relationships" name="noc web" sheetId="3" state="visible" r:id="rId3"/>
    <sheet xmlns:r="http://schemas.openxmlformats.org/officeDocument/2006/relationships" name="web care" sheetId="4" state="visible" r:id="rId4"/>
    <sheet xmlns:r="http://schemas.openxmlformats.org/officeDocument/2006/relationships" name="ops web" sheetId="5" state="visible" r:id="rId5"/>
    <sheet xmlns:r="http://schemas.openxmlformats.org/officeDocument/2006/relationships" name="oms web" sheetId="6" state="visible" r:id="rId6"/>
    <sheet xmlns:r="http://schemas.openxmlformats.org/officeDocument/2006/relationships" name="ops mobile" sheetId="7" state="visible" r:id="rId7"/>
    <sheet xmlns:r="http://schemas.openxmlformats.org/officeDocument/2006/relationships" name="oms mobile" sheetId="8" state="visible" r:id="rId8"/>
    <sheet xmlns:r="http://schemas.openxmlformats.org/officeDocument/2006/relationships" name="oms web chinese locale" sheetId="9" state="visible" r:id="rId9"/>
    <sheet xmlns:r="http://schemas.openxmlformats.org/officeDocument/2006/relationships" name="status" sheetId="10" state="visible" r:id="rId10"/>
    <sheet xmlns:r="http://schemas.openxmlformats.org/officeDocument/2006/relationships" name="backend" sheetId="11" state="visible" r:id="rId11"/>
    <sheet xmlns:r="http://schemas.openxmlformats.org/officeDocument/2006/relationships" name="ImportFile" sheetId="12" state="visible" r:id="rId12"/>
    <sheet xmlns:r="http://schemas.openxmlformats.org/officeDocument/2006/relationships" name="Print form" sheetId="13" state="visible" r:id="rId13"/>
    <sheet xmlns:r="http://schemas.openxmlformats.org/officeDocument/2006/relationships" name="Báo cáo vận hành" sheetId="14" state="visible" r:id="rId14"/>
    <sheet xmlns:r="http://schemas.openxmlformats.org/officeDocument/2006/relationships" name="SCS web" sheetId="15" state="visible" r:id="rId15"/>
    <sheet xmlns:r="http://schemas.openxmlformats.org/officeDocument/2006/relationships" name="SCS mobile" sheetId="16" state="visible" r:id="rId16"/>
    <sheet xmlns:r="http://schemas.openxmlformats.org/officeDocument/2006/relationships" name="SSO" sheetId="17" state="visible" r:id="rId17"/>
  </sheets>
  <definedNames>
    <definedName name="_xlnm._FilterDatabase" localSheetId="4" hidden="1">'ops web'!$B$1:$B$2610</definedName>
    <definedName name="_xlnm._FilterDatabase" localSheetId="6" hidden="1">'ops mobile'!$A$1:$N$1962</definedName>
    <definedName name="_xlnm._FilterDatabase" localSheetId="8" hidden="1">'oms web chinese locale'!$A$1:$D$753</definedName>
  </definedNames>
  <calcPr calcId="124519" fullCalcOnLoad="1"/>
</workbook>
</file>

<file path=xl/styles.xml><?xml version="1.0" encoding="utf-8"?>
<styleSheet xmlns="http://schemas.openxmlformats.org/spreadsheetml/2006/main">
  <numFmts count="4">
    <numFmt numFmtId="164" formatCode="m/d/yyyy"/>
    <numFmt numFmtId="165" formatCode="mm/dd"/>
    <numFmt numFmtId="166" formatCode="m/d"/>
    <numFmt numFmtId="167" formatCode="yyyy-mm-dd h:mm:ss"/>
  </numFmts>
  <fonts count="77">
    <font>
      <name val="Calibri"/>
      <color theme="1"/>
      <sz val="11"/>
      <scheme val="minor"/>
    </font>
    <font>
      <name val="Calibri"/>
      <color theme="1"/>
      <scheme val="minor"/>
    </font>
    <font>
      <name val="Calibri"/>
      <b val="1"/>
      <color rgb="FF000000"/>
      <sz val="12"/>
    </font>
    <font>
      <name val="Calibri"/>
      <b val="1"/>
      <color theme="1"/>
      <sz val="11"/>
    </font>
    <font>
      <name val="Siemreap"/>
      <b val="1"/>
      <color theme="1"/>
      <sz val="11"/>
    </font>
    <font>
      <name val="Calibri"/>
      <color rgb="FF000000"/>
      <sz val="12"/>
    </font>
    <font>
      <name val="Calibri"/>
      <b val="1"/>
      <color theme="1"/>
      <scheme val="minor"/>
    </font>
    <font>
      <name val="Calibri"/>
      <color theme="1"/>
      <u val="single"/>
      <scheme val="minor"/>
    </font>
    <font>
      <name val="Khmer Sangam MN"/>
      <color rgb="FF000000"/>
      <sz val="12"/>
    </font>
    <font>
      <color rgb="FF0000FF"/>
      <u val="single"/>
    </font>
    <font>
      <name val="Arial"/>
      <color rgb="FF000000"/>
      <sz val="12"/>
    </font>
    <font>
      <name val="Calibri"/>
      <color rgb="FF0000FF"/>
      <sz val="12"/>
      <u val="single"/>
    </font>
    <font>
      <name val="Calibri"/>
      <color theme="1"/>
      <sz val="11"/>
    </font>
    <font>
      <name val="Siemreap"/>
      <color theme="1"/>
      <sz val="11"/>
    </font>
    <font>
      <name val="Siemreap"/>
      <color rgb="FF1F1F1F"/>
      <sz val="10"/>
    </font>
    <font/>
    <font>
      <name val="&quot;Google Sans&quot;"/>
      <color rgb="FF001D35"/>
      <sz val="12"/>
    </font>
    <font>
      <name val="Calibri"/>
      <color rgb="FF0000FF"/>
      <sz val="12"/>
      <u val="single"/>
    </font>
    <font>
      <name val="Calibri"/>
      <color rgb="FF000000"/>
      <sz val="12"/>
      <scheme val="minor"/>
    </font>
    <font>
      <name val="Siemreap"/>
      <color rgb="FF1F1F1F"/>
      <sz val="11"/>
    </font>
    <font>
      <name val="Siemreap"/>
      <color theme="1"/>
      <sz val="10"/>
    </font>
    <font>
      <name val="Calibri"/>
      <color rgb="FF000000"/>
      <scheme val="minor"/>
    </font>
    <font>
      <name val="Calibri"/>
      <color rgb="FF000000"/>
      <sz val="11"/>
      <scheme val="minor"/>
    </font>
    <font>
      <color rgb="FF0000FF"/>
      <u val="single"/>
    </font>
    <font>
      <name val="Arial"/>
      <color theme="1"/>
    </font>
    <font>
      <name val="SegoeuiPc"/>
      <color rgb="FF081B3A"/>
      <sz val="11"/>
    </font>
    <font>
      <name val="Arial"/>
      <color rgb="FF081B3A"/>
      <sz val="11"/>
    </font>
    <font>
      <name val="Menlo"/>
      <color theme="1"/>
      <sz val="9"/>
    </font>
    <font>
      <name val="Calibri"/>
      <color rgb="FF000000"/>
      <sz val="11"/>
    </font>
    <font>
      <name val="Times New Roman"/>
      <color theme="1"/>
      <sz val="12"/>
    </font>
    <font>
      <name val="Calibri"/>
      <color theme="1"/>
      <sz val="12"/>
      <scheme val="minor"/>
    </font>
    <font>
      <name val="Arial"/>
      <color rgb="FFF1FA8C"/>
    </font>
    <font>
      <name val="JetBrains Mono Light"/>
      <color rgb="FFF1FA8C"/>
    </font>
    <font>
      <name val="JetBrains Mono Light"/>
      <color rgb="FF000000"/>
    </font>
    <font>
      <name val="-apple-system"/>
      <color rgb="FF008000"/>
      <sz val="11"/>
    </font>
    <font>
      <name val="Calibri"/>
      <color rgb="FFFF0000"/>
      <scheme val="minor"/>
    </font>
    <font>
      <color rgb="FF0000FF"/>
      <u val="single"/>
    </font>
    <font>
      <name val="PingFang SC"/>
      <color rgb="FF000000"/>
      <sz val="12"/>
    </font>
    <font>
      <name val="Arial"/>
      <b val="1"/>
      <color theme="1"/>
      <sz val="11"/>
    </font>
    <font>
      <name val="Menlo"/>
      <color rgb="FF000000"/>
      <sz val="9"/>
    </font>
    <font>
      <name val="Arial"/>
      <color rgb="FF000000"/>
      <sz val="9"/>
    </font>
    <font>
      <name val="Arial"/>
      <color theme="1"/>
      <sz val="11"/>
    </font>
    <font>
      <name val="Menlo"/>
      <color rgb="FF000000"/>
      <sz val="9"/>
      <u val="single"/>
    </font>
    <font>
      <name val="Times New Roman"/>
      <b val="1"/>
      <color rgb="FFFFFFFF"/>
      <sz val="12"/>
    </font>
    <font>
      <name val="Battambang"/>
      <color theme="1"/>
      <sz val="14"/>
    </font>
    <font>
      <name val="Times New Roman"/>
      <color theme="1"/>
      <sz val="13"/>
    </font>
    <font>
      <name val="Times New Roman"/>
      <color theme="1"/>
      <sz val="11"/>
    </font>
    <font>
      <name val="PingFang SC"/>
      <color rgb="FF000000"/>
      <sz val="8"/>
    </font>
    <font>
      <name val="Menlo"/>
      <color rgb="FF000000"/>
      <sz val="8"/>
    </font>
    <font>
      <name val="Times New Roman"/>
      <b val="1"/>
      <color rgb="FF000000"/>
      <sz val="8"/>
    </font>
    <font>
      <name val="Times New Roman"/>
      <color rgb="FF000000"/>
      <sz val="11"/>
    </font>
    <font>
      <name val="Calibri"/>
      <b val="1"/>
      <color rgb="FF000000"/>
      <sz val="11"/>
    </font>
    <font>
      <name val="&quot;Times New Roman&quot;"/>
      <i val="1"/>
      <color rgb="FF000000"/>
      <sz val="11"/>
    </font>
    <font>
      <name val="Calibri"/>
      <i val="1"/>
      <color rgb="FF000000"/>
      <sz val="11"/>
    </font>
    <font>
      <name val="Calibri"/>
      <b val="1"/>
      <color theme="1"/>
      <sz val="13"/>
      <scheme val="minor"/>
    </font>
    <font>
      <name val="Calibri"/>
      <color theme="1"/>
      <sz val="13"/>
      <scheme val="minor"/>
    </font>
    <font>
      <name val="Calibri"/>
      <color rgb="FF000000"/>
      <sz val="13"/>
    </font>
    <font>
      <name val="Calibri"/>
      <color theme="1"/>
      <sz val="13"/>
    </font>
    <font>
      <name val="Calibri"/>
      <color rgb="FF006100"/>
      <sz val="11"/>
    </font>
    <font>
      <name val="SVN-Gilroy"/>
      <b val="1"/>
      <color rgb="FF000000"/>
      <sz val="13"/>
    </font>
    <font>
      <name val="&quot;Segoe UI&quot;"/>
      <color rgb="FF172B4D"/>
      <sz val="13"/>
    </font>
    <font>
      <name val="Calibri"/>
      <color rgb="FF000000"/>
      <sz val="11"/>
      <u val="single"/>
    </font>
    <font>
      <name val="SVN-Gilroy-Medium"/>
      <b val="1"/>
      <color rgb="FF000000"/>
      <sz val="13"/>
    </font>
    <font>
      <name val="SVN-Gilroy-Medium"/>
      <color rgb="FF000000"/>
      <sz val="13"/>
    </font>
    <font>
      <name val="SVN-Gilroy"/>
      <color rgb="FF000000"/>
      <sz val="13"/>
    </font>
    <font>
      <name val="Arial"/>
      <color rgb="FF000000"/>
      <sz val="13"/>
    </font>
    <font>
      <name val="SVN-Gilroy-Medium !important"/>
      <color rgb="FF000000"/>
      <sz val="13"/>
    </font>
    <font>
      <name val="Calibri"/>
      <color rgb="FF000000"/>
      <sz val="13"/>
      <scheme val="minor"/>
    </font>
    <font>
      <name val="-apple-system"/>
      <color rgb="FF172B4D"/>
      <sz val="13"/>
    </font>
    <font>
      <name val="Arial"/>
      <color rgb="FF172B4D"/>
      <sz val="13"/>
    </font>
    <font>
      <name val="&quot;Times New Roman&quot;"/>
      <color theme="1"/>
      <sz val="13"/>
    </font>
    <font>
      <name val="-apple-system"/>
      <b val="1"/>
      <color rgb="FF172B4D"/>
      <sz val="13"/>
    </font>
    <font>
      <name val="Calibri"/>
      <color rgb="FF000000"/>
      <sz val="11"/>
      <u val="single"/>
    </font>
    <font>
      <name val="Roboto"/>
      <color theme="1"/>
    </font>
    <font>
      <name val="Roboto"/>
      <color rgb="FF434343"/>
    </font>
    <font>
      <name val="-apple-system"/>
      <color rgb="FF172B4D"/>
      <sz val="11"/>
    </font>
    <font>
      <name val="Calibri"/>
      <b val="1"/>
      <color rgb="00002060"/>
      <sz val="11"/>
    </font>
  </fonts>
  <fills count="19">
    <fill>
      <patternFill/>
    </fill>
    <fill>
      <patternFill patternType="lightGray"/>
    </fill>
    <fill>
      <patternFill patternType="solid">
        <fgColor rgb="FFFFFFFF"/>
        <bgColor rgb="FFFFFFFF"/>
      </patternFill>
    </fill>
    <fill>
      <patternFill patternType="solid">
        <fgColor rgb="FFFFFF00"/>
        <bgColor rgb="FFFFFF00"/>
      </patternFill>
    </fill>
    <fill>
      <patternFill patternType="solid">
        <fgColor rgb="FFFCE5CD"/>
        <bgColor rgb="FFFCE5CD"/>
      </patternFill>
    </fill>
    <fill>
      <patternFill patternType="solid">
        <fgColor rgb="FFFD8487"/>
        <bgColor rgb="FFFD8487"/>
      </patternFill>
    </fill>
    <fill>
      <patternFill patternType="solid">
        <fgColor rgb="FFF0C0C1"/>
        <bgColor rgb="FFF0C0C1"/>
      </patternFill>
    </fill>
    <fill>
      <patternFill patternType="solid">
        <fgColor theme="0"/>
        <bgColor theme="0"/>
      </patternFill>
    </fill>
    <fill>
      <patternFill patternType="solid">
        <fgColor rgb="FFFFD966"/>
        <bgColor rgb="FFFFD966"/>
      </patternFill>
    </fill>
    <fill>
      <patternFill patternType="solid">
        <fgColor rgb="FFF4CCCC"/>
        <bgColor rgb="FFF4CCCC"/>
      </patternFill>
    </fill>
    <fill>
      <patternFill patternType="solid">
        <fgColor rgb="FF282A36"/>
        <bgColor rgb="FF282A36"/>
      </patternFill>
    </fill>
    <fill>
      <patternFill patternType="solid">
        <fgColor rgb="FF00FFFF"/>
        <bgColor rgb="FF00FFFF"/>
      </patternFill>
    </fill>
    <fill>
      <patternFill patternType="solid">
        <fgColor rgb="FF118987"/>
        <bgColor rgb="FF118987"/>
      </patternFill>
    </fill>
    <fill>
      <patternFill patternType="solid">
        <fgColor rgb="FFFF9900"/>
        <bgColor rgb="FFFF9900"/>
      </patternFill>
    </fill>
    <fill>
      <patternFill patternType="solid">
        <fgColor rgb="FFC5E0B4"/>
        <bgColor rgb="FFC5E0B4"/>
      </patternFill>
    </fill>
    <fill>
      <patternFill patternType="solid">
        <fgColor rgb="FFC6EFCE"/>
        <bgColor rgb="FFC6EFCE"/>
      </patternFill>
    </fill>
    <fill>
      <patternFill patternType="solid">
        <fgColor rgb="FFFAFAFA"/>
        <bgColor rgb="FFFAFAFA"/>
      </patternFill>
    </fill>
    <fill>
      <patternFill patternType="solid">
        <fgColor rgb="FFFFF2EE"/>
        <bgColor rgb="FFFFF2EE"/>
      </patternFill>
    </fill>
    <fill>
      <patternFill patternType="solid">
        <fgColor rgb="FFF6F8F9"/>
        <bgColor rgb="FFF6F8F9"/>
      </patternFill>
    </fill>
  </fills>
  <borders count="28">
    <border/>
    <border>
      <left style="thin">
        <color rgb="FF9A9A9A"/>
      </left>
      <right style="thin">
        <color rgb="FF9A9A9A"/>
      </right>
      <top style="thin">
        <color rgb="FF9A9A9A"/>
      </top>
      <bottom style="thin">
        <color rgb="FF9A9A9A"/>
      </bottom>
    </border>
    <border>
      <left style="thin">
        <color rgb="FF000000"/>
      </left>
      <right style="thin">
        <color rgb="FF000000"/>
      </right>
      <top style="thin">
        <color rgb="FF000000"/>
      </top>
      <bottom style="thin">
        <color rgb="FF000000"/>
      </bottom>
    </border>
    <border>
      <left style="thin">
        <color rgb="FF9A9A9A"/>
      </left>
      <right style="thin">
        <color rgb="FF9A9A9A"/>
      </right>
      <top style="thin">
        <color rgb="FF9A9A9A"/>
      </top>
      <bottom style="thin">
        <color rgb="FF000000"/>
      </bottom>
    </border>
    <border>
      <left style="thin">
        <color rgb="FF9A9A9A"/>
      </left>
      <right style="thin">
        <color rgb="FF000000"/>
      </right>
      <top style="thin">
        <color rgb="FF000000"/>
      </top>
      <bottom style="thin">
        <color rgb="FF000000"/>
      </bottom>
    </border>
    <border>
      <left style="thin">
        <color rgb="FF000000"/>
      </left>
      <right style="thin">
        <color rgb="FF9A9A9A"/>
      </right>
      <top style="thin">
        <color rgb="FF000000"/>
      </top>
      <bottom style="thin">
        <color rgb="FF000000"/>
      </bottom>
    </border>
    <border>
      <left/>
      <right/>
      <top/>
      <bottom/>
    </border>
    <border>
      <left style="thin">
        <color rgb="FF9A9A9A"/>
      </left>
      <right style="thin">
        <color rgb="FF9A9A9A"/>
      </right>
      <top style="thin">
        <color rgb="FF000000"/>
      </top>
      <bottom style="thin">
        <color rgb="FF000000"/>
      </bottom>
    </border>
    <border>
      <left style="thin">
        <color rgb="FF9A9A9A"/>
      </left>
      <right style="thin">
        <color rgb="FF9A9A9A"/>
      </right>
      <top style="thin">
        <color rgb="FF000000"/>
      </top>
      <bottom style="thin">
        <color rgb="FF9A9A9A"/>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
      <left/>
      <right style="thin">
        <color rgb="FF000000"/>
      </right>
      <top style="thin">
        <color rgb="FF000000"/>
      </top>
      <bottom style="thin">
        <color rgb="FF000000"/>
      </bottom>
    </border>
    <border>
      <left style="thin">
        <color rgb="FF000000"/>
      </left>
      <right style="thin">
        <color rgb="FF000000"/>
      </right>
    </border>
    <border>
      <right style="thin">
        <color rgb="FFFFFFFF"/>
      </right>
      <bottom style="thin">
        <color rgb="FFFFFFFF"/>
      </bottom>
    </border>
    <border>
      <left style="thin">
        <color rgb="FF000000"/>
      </left>
      <right style="thin">
        <color rgb="FF000000"/>
      </right>
      <top style="thin">
        <color rgb="FF000000"/>
      </top>
    </border>
    <border>
      <bottom style="thin">
        <color rgb="FFF0F0F0"/>
      </bottom>
    </border>
    <border>
      <left style="thin">
        <color rgb="FFC1C7D0"/>
      </left>
      <right style="thin">
        <color rgb="FFC1C7D0"/>
      </right>
      <top style="thin">
        <color rgb="FFC1C7D0"/>
      </top>
      <bottom style="thin">
        <color rgb="FFC1C7D0"/>
      </bottom>
    </border>
    <border>
      <left style="thin">
        <color rgb="FF3E4791"/>
      </left>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FFFFFF"/>
      </left>
      <right style="thin">
        <color rgb="FF3E4791"/>
      </right>
      <top style="thin">
        <color rgb="FFFFFFFF"/>
      </top>
      <bottom style="thin">
        <color rgb="FFFFFFFF"/>
      </bottom>
    </border>
    <border>
      <left style="thin">
        <color rgb="FF3E4791"/>
      </left>
      <right style="thin">
        <color rgb="FFF6F8F9"/>
      </right>
      <top style="thin">
        <color rgb="FFF6F8F9"/>
      </top>
      <bottom style="thin">
        <color rgb="FFF6F8F9"/>
      </bottom>
    </border>
    <border>
      <left style="thin">
        <color rgb="FFF6F8F9"/>
      </left>
      <right style="thin">
        <color rgb="FFF6F8F9"/>
      </right>
      <top style="thin">
        <color rgb="FFF6F8F9"/>
      </top>
      <bottom style="thin">
        <color rgb="FFF6F8F9"/>
      </bottom>
    </border>
    <border>
      <left style="thin">
        <color rgb="FFF6F8F9"/>
      </left>
      <right style="thin">
        <color rgb="FF3E4791"/>
      </right>
      <top style="thin">
        <color rgb="FFF6F8F9"/>
      </top>
      <bottom style="thin">
        <color rgb="FFF6F8F9"/>
      </bottom>
    </border>
    <border>
      <left style="thin">
        <color rgb="FF3E4791"/>
      </left>
      <right style="thin">
        <color rgb="FFFFFFFF"/>
      </right>
      <top style="thin">
        <color rgb="FFFFFFFF"/>
      </top>
      <bottom style="thin">
        <color rgb="FF3E4791"/>
      </bottom>
    </border>
    <border>
      <left style="thin">
        <color rgb="FFFFFFFF"/>
      </left>
      <right style="thin">
        <color rgb="FFFFFFFF"/>
      </right>
      <top style="thin">
        <color rgb="FFFFFFFF"/>
      </top>
      <bottom style="thin">
        <color rgb="FF3E4791"/>
      </bottom>
    </border>
    <border>
      <left style="thin">
        <color rgb="FFFFFFFF"/>
      </left>
      <right style="thin">
        <color rgb="FF3E4791"/>
      </right>
      <top style="thin">
        <color rgb="FFFFFFFF"/>
      </top>
      <bottom style="thin">
        <color rgb="FF3E4791"/>
      </bottom>
    </border>
    <border>
      <left style="thin">
        <color rgb="FF000000"/>
      </left>
    </border>
  </borders>
  <cellStyleXfs count="1">
    <xf numFmtId="0" fontId="0" fillId="0" borderId="0"/>
  </cellStyleXfs>
  <cellXfs count="314">
    <xf numFmtId="0" fontId="0" fillId="0" borderId="0" applyAlignment="1" pivotButton="0" quotePrefix="0" xfId="0">
      <alignment vertical="bottom"/>
    </xf>
    <xf numFmtId="0" fontId="1" fillId="0" borderId="0" applyAlignment="1" pivotButton="0" quotePrefix="0" xfId="0">
      <alignment wrapText="1"/>
    </xf>
    <xf numFmtId="0" fontId="1" fillId="0" borderId="0" pivotButton="0" quotePrefix="0" xfId="0"/>
    <xf numFmtId="0" fontId="1" fillId="0" borderId="0" applyAlignment="1" pivotButton="0" quotePrefix="0" xfId="0">
      <alignment wrapText="1"/>
    </xf>
    <xf numFmtId="0" fontId="2" fillId="2" borderId="1" applyAlignment="1" pivotButton="0" quotePrefix="0" xfId="0">
      <alignment vertical="bottom"/>
    </xf>
    <xf numFmtId="164" fontId="1" fillId="0" borderId="0" pivotButton="0" quotePrefix="0" xfId="0"/>
    <xf numFmtId="0" fontId="2" fillId="2" borderId="1" applyAlignment="1" pivotButton="0" quotePrefix="0" xfId="0">
      <alignment vertical="bottom"/>
    </xf>
    <xf numFmtId="0" fontId="3" fillId="0" borderId="2" applyAlignment="1" pivotButton="0" quotePrefix="0" xfId="0">
      <alignment horizontal="center" vertical="top" wrapText="1"/>
    </xf>
    <xf numFmtId="0" fontId="2" fillId="2" borderId="1" applyAlignment="1" pivotButton="0" quotePrefix="0" xfId="0">
      <alignment vertical="bottom"/>
    </xf>
    <xf numFmtId="0" fontId="2" fillId="0" borderId="1" applyAlignment="1" pivotButton="0" quotePrefix="0" xfId="0">
      <alignment vertical="bottom"/>
    </xf>
    <xf numFmtId="0" fontId="1" fillId="0" borderId="1" applyAlignment="1" pivotButton="0" quotePrefix="0" xfId="0">
      <alignment vertical="bottom"/>
    </xf>
    <xf numFmtId="0" fontId="4" fillId="0" borderId="2" applyAlignment="1" pivotButton="0" quotePrefix="0" xfId="0">
      <alignment horizontal="center" vertical="top" wrapText="1"/>
    </xf>
    <xf numFmtId="0" fontId="5" fillId="0" borderId="1" applyAlignment="1" pivotButton="0" quotePrefix="0" xfId="0">
      <alignment vertical="bottom"/>
    </xf>
    <xf numFmtId="0" fontId="6" fillId="0" borderId="2" applyAlignment="1" pivotButton="0" quotePrefix="0" xfId="0">
      <alignment wrapText="1"/>
    </xf>
    <xf numFmtId="0" fontId="5" fillId="0" borderId="1" applyAlignment="1" pivotButton="0" quotePrefix="0" xfId="0">
      <alignment vertical="bottom"/>
    </xf>
    <xf numFmtId="0" fontId="6" fillId="0" borderId="0" pivotButton="0" quotePrefix="0" xfId="0"/>
    <xf numFmtId="0" fontId="7" fillId="0" borderId="0" pivotButton="0" quotePrefix="0" xfId="0"/>
    <xf numFmtId="0" fontId="5" fillId="2" borderId="1" applyAlignment="1" pivotButton="0" quotePrefix="0" xfId="0">
      <alignment vertical="bottom"/>
    </xf>
    <xf numFmtId="0" fontId="1" fillId="3" borderId="0" pivotButton="0" quotePrefix="0" xfId="0"/>
    <xf numFmtId="0" fontId="8" fillId="2" borderId="1" applyAlignment="1" pivotButton="0" quotePrefix="0" xfId="0">
      <alignment vertical="bottom"/>
    </xf>
    <xf numFmtId="165" fontId="1" fillId="0" borderId="0" pivotButton="0" quotePrefix="0" xfId="0"/>
    <xf numFmtId="0" fontId="8" fillId="2" borderId="1" applyAlignment="1" pivotButton="0" quotePrefix="0" xfId="0">
      <alignment vertical="bottom"/>
    </xf>
    <xf numFmtId="0" fontId="1" fillId="0" borderId="0" pivotButton="0" quotePrefix="0" xfId="0"/>
    <xf numFmtId="0" fontId="9" fillId="0" borderId="0" applyAlignment="1" pivotButton="0" quotePrefix="0" xfId="0">
      <alignment wrapText="1"/>
    </xf>
    <xf numFmtId="0" fontId="10" fillId="2" borderId="1" applyAlignment="1" pivotButton="0" quotePrefix="0" xfId="0">
      <alignment vertical="bottom"/>
    </xf>
    <xf numFmtId="166" fontId="1" fillId="0" borderId="0" pivotButton="0" quotePrefix="0" xfId="0"/>
    <xf numFmtId="0" fontId="1" fillId="2" borderId="1" applyAlignment="1" pivotButton="0" quotePrefix="0" xfId="0">
      <alignment vertical="bottom"/>
    </xf>
    <xf numFmtId="0" fontId="5" fillId="2" borderId="1" applyAlignment="1" pivotButton="0" quotePrefix="0" xfId="0">
      <alignment vertical="bottom"/>
    </xf>
    <xf numFmtId="0" fontId="3" fillId="0" borderId="0" pivotButton="0" quotePrefix="0" xfId="0"/>
    <xf numFmtId="0" fontId="3" fillId="0" borderId="0" applyAlignment="1" pivotButton="0" quotePrefix="0" xfId="0">
      <alignment wrapText="1"/>
    </xf>
    <xf numFmtId="0" fontId="6" fillId="0" borderId="0" pivotButton="0" quotePrefix="0" xfId="0"/>
    <xf numFmtId="0" fontId="1" fillId="2" borderId="0" applyAlignment="1" pivotButton="0" quotePrefix="0" xfId="0">
      <alignment wrapText="1"/>
    </xf>
    <xf numFmtId="0" fontId="5" fillId="4" borderId="1" applyAlignment="1" pivotButton="0" quotePrefix="0" xfId="0">
      <alignment vertical="bottom"/>
    </xf>
    <xf numFmtId="0" fontId="8" fillId="4" borderId="1" applyAlignment="1" pivotButton="0" quotePrefix="0" xfId="0">
      <alignment vertical="bottom"/>
    </xf>
    <xf numFmtId="0" fontId="1" fillId="3" borderId="0" applyAlignment="1" pivotButton="0" quotePrefix="0" xfId="0">
      <alignment wrapText="1"/>
    </xf>
    <xf numFmtId="0" fontId="1" fillId="2" borderId="1" applyAlignment="1" pivotButton="0" quotePrefix="0" xfId="0">
      <alignment vertical="bottom"/>
    </xf>
    <xf numFmtId="0" fontId="5" fillId="2" borderId="3" applyAlignment="1" pivotButton="0" quotePrefix="0" xfId="0">
      <alignment vertical="bottom"/>
    </xf>
    <xf numFmtId="0" fontId="8" fillId="2" borderId="3" applyAlignment="1" pivotButton="0" quotePrefix="0" xfId="0">
      <alignment vertical="bottom"/>
    </xf>
    <xf numFmtId="0" fontId="8" fillId="2" borderId="3" applyAlignment="1" pivotButton="0" quotePrefix="0" xfId="0">
      <alignment vertical="bottom"/>
    </xf>
    <xf numFmtId="0" fontId="1" fillId="0" borderId="3" applyAlignment="1" pivotButton="0" quotePrefix="0" xfId="0">
      <alignment vertical="bottom"/>
    </xf>
    <xf numFmtId="0" fontId="5" fillId="5" borderId="4" applyAlignment="1" pivotButton="0" quotePrefix="0" xfId="0">
      <alignment vertical="bottom"/>
    </xf>
    <xf numFmtId="0" fontId="5" fillId="5" borderId="2" applyAlignment="1" pivotButton="0" quotePrefix="0" xfId="0">
      <alignment vertical="bottom"/>
    </xf>
    <xf numFmtId="0" fontId="8" fillId="5" borderId="2" applyAlignment="1" pivotButton="0" quotePrefix="0" xfId="0">
      <alignment vertical="bottom"/>
    </xf>
    <xf numFmtId="0" fontId="8" fillId="5" borderId="2" applyAlignment="1" pivotButton="0" quotePrefix="0" xfId="0">
      <alignment vertical="bottom"/>
    </xf>
    <xf numFmtId="0" fontId="1" fillId="5" borderId="2" applyAlignment="1" pivotButton="0" quotePrefix="0" xfId="0">
      <alignment vertical="bottom"/>
    </xf>
    <xf numFmtId="0" fontId="1" fillId="5" borderId="5" applyAlignment="1" pivotButton="0" quotePrefix="0" xfId="0">
      <alignment vertical="bottom"/>
    </xf>
    <xf numFmtId="0" fontId="5" fillId="5" borderId="2" applyAlignment="1" pivotButton="0" quotePrefix="0" xfId="0">
      <alignment vertical="bottom"/>
    </xf>
    <xf numFmtId="0" fontId="1" fillId="5" borderId="2" applyAlignment="1" pivotButton="0" quotePrefix="0" xfId="0">
      <alignment vertical="bottom"/>
    </xf>
    <xf numFmtId="0" fontId="5" fillId="6" borderId="4" applyAlignment="1" pivotButton="0" quotePrefix="0" xfId="0">
      <alignment vertical="bottom"/>
    </xf>
    <xf numFmtId="0" fontId="5" fillId="6" borderId="2" applyAlignment="1" pivotButton="0" quotePrefix="0" xfId="0">
      <alignment vertical="bottom"/>
    </xf>
    <xf numFmtId="0" fontId="8" fillId="6" borderId="2" applyAlignment="1" pivotButton="0" quotePrefix="0" xfId="0">
      <alignment vertical="bottom"/>
    </xf>
    <xf numFmtId="0" fontId="8" fillId="6" borderId="2" applyAlignment="1" pivotButton="0" quotePrefix="0" xfId="0">
      <alignment vertical="bottom"/>
    </xf>
    <xf numFmtId="0" fontId="1" fillId="6" borderId="2" applyAlignment="1" pivotButton="0" quotePrefix="0" xfId="0">
      <alignment vertical="bottom"/>
    </xf>
    <xf numFmtId="0" fontId="1" fillId="6" borderId="5" applyAlignment="1" pivotButton="0" quotePrefix="0" xfId="0">
      <alignment vertical="bottom"/>
    </xf>
    <xf numFmtId="0" fontId="11" fillId="0" borderId="4" applyAlignment="1" pivotButton="0" quotePrefix="0" xfId="0">
      <alignment vertical="bottom"/>
    </xf>
    <xf numFmtId="0" fontId="5" fillId="6" borderId="2" applyAlignment="1" pivotButton="0" quotePrefix="0" xfId="0">
      <alignment vertical="bottom"/>
    </xf>
    <xf numFmtId="0" fontId="1" fillId="6" borderId="2" applyAlignment="1" pivotButton="0" quotePrefix="0" xfId="0">
      <alignment vertical="bottom"/>
    </xf>
    <xf numFmtId="0" fontId="12" fillId="0" borderId="0" applyAlignment="1" pivotButton="0" quotePrefix="0" xfId="0">
      <alignment wrapText="1"/>
    </xf>
    <xf numFmtId="0" fontId="13" fillId="7" borderId="6" applyAlignment="1" pivotButton="0" quotePrefix="0" xfId="0">
      <alignment wrapText="1"/>
    </xf>
    <xf numFmtId="0" fontId="5" fillId="2" borderId="7" applyAlignment="1" pivotButton="0" quotePrefix="0" xfId="0">
      <alignment vertical="bottom"/>
    </xf>
    <xf numFmtId="0" fontId="8" fillId="2" borderId="7" applyAlignment="1" pivotButton="0" quotePrefix="0" xfId="0">
      <alignment vertical="bottom"/>
    </xf>
    <xf numFmtId="0" fontId="8" fillId="2" borderId="7" applyAlignment="1" pivotButton="0" quotePrefix="0" xfId="0">
      <alignment vertical="bottom"/>
    </xf>
    <xf numFmtId="0" fontId="1" fillId="0" borderId="7" applyAlignment="1" pivotButton="0" quotePrefix="0" xfId="0">
      <alignment vertical="bottom"/>
    </xf>
    <xf numFmtId="0" fontId="5" fillId="2" borderId="8" applyAlignment="1" pivotButton="0" quotePrefix="0" xfId="0">
      <alignment vertical="bottom"/>
    </xf>
    <xf numFmtId="0" fontId="8" fillId="2" borderId="8" applyAlignment="1" pivotButton="0" quotePrefix="0" xfId="0">
      <alignment vertical="bottom"/>
    </xf>
    <xf numFmtId="0" fontId="8" fillId="2" borderId="8" applyAlignment="1" pivotButton="0" quotePrefix="0" xfId="0">
      <alignment vertical="bottom"/>
    </xf>
    <xf numFmtId="0" fontId="1" fillId="0" borderId="8" applyAlignment="1" pivotButton="0" quotePrefix="0" xfId="0">
      <alignment vertical="bottom"/>
    </xf>
    <xf numFmtId="0" fontId="12" fillId="0" borderId="0" applyAlignment="1" pivotButton="0" quotePrefix="0" xfId="0">
      <alignment wrapText="1"/>
    </xf>
    <xf numFmtId="0" fontId="14" fillId="7" borderId="6" pivotButton="0" quotePrefix="0" xfId="0"/>
    <xf numFmtId="0" fontId="14" fillId="7" borderId="6" applyAlignment="1" pivotButton="0" quotePrefix="0" xfId="0">
      <alignment horizontal="left" vertical="center"/>
    </xf>
    <xf numFmtId="0" fontId="15" fillId="0" borderId="0" applyAlignment="1" pivotButton="0" quotePrefix="0" xfId="0">
      <alignment wrapText="1"/>
    </xf>
    <xf numFmtId="0" fontId="1" fillId="6" borderId="2" applyAlignment="1" pivotButton="0" quotePrefix="0" xfId="0">
      <alignment vertical="bottom"/>
    </xf>
    <xf numFmtId="0" fontId="12" fillId="3" borderId="0" applyAlignment="1" pivotButton="0" quotePrefix="0" xfId="0">
      <alignment wrapText="1"/>
    </xf>
    <xf numFmtId="0" fontId="10" fillId="6" borderId="2" applyAlignment="1" pivotButton="0" quotePrefix="0" xfId="0">
      <alignment vertical="bottom"/>
    </xf>
    <xf numFmtId="0" fontId="13" fillId="7" borderId="6" applyAlignment="1" pivotButton="0" quotePrefix="0" xfId="0">
      <alignment wrapText="1"/>
    </xf>
    <xf numFmtId="0" fontId="1" fillId="5" borderId="2" applyAlignment="1" pivotButton="0" quotePrefix="0" xfId="0">
      <alignment vertical="bottom"/>
    </xf>
    <xf numFmtId="0" fontId="16" fillId="2" borderId="0" applyAlignment="1" pivotButton="0" quotePrefix="0" xfId="0">
      <alignment wrapText="1"/>
    </xf>
    <xf numFmtId="0" fontId="1" fillId="2" borderId="7" applyAlignment="1" pivotButton="0" quotePrefix="0" xfId="0">
      <alignment vertical="bottom"/>
    </xf>
    <xf numFmtId="0" fontId="5" fillId="2" borderId="4" applyAlignment="1" pivotButton="0" quotePrefix="0" xfId="0">
      <alignment vertical="bottom"/>
    </xf>
    <xf numFmtId="0" fontId="5" fillId="2" borderId="2" applyAlignment="1" pivotButton="0" quotePrefix="0" xfId="0">
      <alignment vertical="bottom"/>
    </xf>
    <xf numFmtId="0" fontId="8" fillId="2" borderId="2" applyAlignment="1" pivotButton="0" quotePrefix="0" xfId="0">
      <alignment vertical="bottom"/>
    </xf>
    <xf numFmtId="0" fontId="1" fillId="2" borderId="2" applyAlignment="1" pivotButton="0" quotePrefix="0" xfId="0">
      <alignment vertical="bottom"/>
    </xf>
    <xf numFmtId="0" fontId="1" fillId="0" borderId="2" applyAlignment="1" pivotButton="0" quotePrefix="0" xfId="0">
      <alignment vertical="bottom"/>
    </xf>
    <xf numFmtId="0" fontId="1" fillId="0" borderId="5" applyAlignment="1" pivotButton="0" quotePrefix="0" xfId="0">
      <alignment vertical="bottom"/>
    </xf>
    <xf numFmtId="0" fontId="13" fillId="7" borderId="6" applyAlignment="1" pivotButton="0" quotePrefix="0" xfId="0">
      <alignment vertical="center" wrapText="1"/>
    </xf>
    <xf numFmtId="0" fontId="10" fillId="2" borderId="8" applyAlignment="1" pivotButton="0" quotePrefix="0" xfId="0">
      <alignment vertical="bottom"/>
    </xf>
    <xf numFmtId="0" fontId="1" fillId="2" borderId="8" applyAlignment="1" pivotButton="0" quotePrefix="0" xfId="0">
      <alignment vertical="bottom"/>
    </xf>
    <xf numFmtId="0" fontId="17" fillId="0" borderId="1" applyAlignment="1" pivotButton="0" quotePrefix="0" xfId="0">
      <alignment vertical="bottom"/>
    </xf>
    <xf numFmtId="0" fontId="8" fillId="2" borderId="2" applyAlignment="1" pivotButton="0" quotePrefix="0" xfId="0">
      <alignment vertical="bottom"/>
    </xf>
    <xf numFmtId="0" fontId="10" fillId="2" borderId="2" applyAlignment="1" pivotButton="0" quotePrefix="0" xfId="0">
      <alignment vertical="bottom"/>
    </xf>
    <xf numFmtId="0" fontId="18" fillId="0" borderId="0" pivotButton="0" quotePrefix="0" xfId="0"/>
    <xf numFmtId="0" fontId="1" fillId="2" borderId="3" applyAlignment="1" pivotButton="0" quotePrefix="0" xfId="0">
      <alignment vertical="bottom"/>
    </xf>
    <xf numFmtId="0" fontId="19" fillId="7" borderId="6" applyAlignment="1" pivotButton="0" quotePrefix="0" xfId="0">
      <alignment horizontal="left" vertical="center"/>
    </xf>
    <xf numFmtId="0" fontId="1" fillId="3" borderId="1" applyAlignment="1" pivotButton="0" quotePrefix="0" xfId="0">
      <alignment vertical="bottom"/>
    </xf>
    <xf numFmtId="0" fontId="20" fillId="7" borderId="6" pivotButton="0" quotePrefix="0" xfId="0"/>
    <xf numFmtId="0" fontId="8" fillId="2" borderId="1" applyAlignment="1" pivotButton="0" quotePrefix="0" xfId="0">
      <alignment vertical="bottom" wrapText="1"/>
    </xf>
    <xf numFmtId="0" fontId="12" fillId="7" borderId="6" applyAlignment="1" pivotButton="0" quotePrefix="0" xfId="0">
      <alignment wrapText="1"/>
    </xf>
    <xf numFmtId="0" fontId="1" fillId="0" borderId="0" applyAlignment="1" pivotButton="0" quotePrefix="1" xfId="0">
      <alignment wrapText="1"/>
    </xf>
    <xf numFmtId="0" fontId="1" fillId="8" borderId="0" applyAlignment="1" pivotButton="0" quotePrefix="0" xfId="0">
      <alignment wrapText="1"/>
    </xf>
    <xf numFmtId="0" fontId="21" fillId="0" borderId="0" pivotButton="0" quotePrefix="0" xfId="0"/>
    <xf numFmtId="0" fontId="22" fillId="0" borderId="0" pivotButton="0" quotePrefix="0" xfId="0"/>
    <xf numFmtId="0" fontId="23" fillId="8" borderId="0" applyAlignment="1" pivotButton="0" quotePrefix="0" xfId="0">
      <alignment wrapText="1"/>
    </xf>
    <xf numFmtId="0" fontId="1" fillId="2" borderId="1" applyAlignment="1" pivotButton="0" quotePrefix="0" xfId="0">
      <alignment vertical="bottom"/>
    </xf>
    <xf numFmtId="0" fontId="13" fillId="7" borderId="6" applyAlignment="1" pivotButton="0" quotePrefix="0" xfId="0">
      <alignment horizontal="left" vertical="center" wrapText="1"/>
    </xf>
    <xf numFmtId="0" fontId="1" fillId="8" borderId="0" applyAlignment="1" pivotButton="0" quotePrefix="0" xfId="0">
      <alignment wrapText="1"/>
    </xf>
    <xf numFmtId="0" fontId="1" fillId="8" borderId="0" pivotButton="0" quotePrefix="0" xfId="0"/>
    <xf numFmtId="0" fontId="5" fillId="2" borderId="1" applyAlignment="1" pivotButton="0" quotePrefix="0" xfId="0">
      <alignment vertical="bottom" wrapText="1"/>
    </xf>
    <xf numFmtId="0" fontId="13" fillId="7" borderId="6" applyAlignment="1" pivotButton="0" quotePrefix="0" xfId="0">
      <alignment vertical="top" wrapText="1"/>
    </xf>
    <xf numFmtId="0" fontId="5" fillId="9" borderId="1" applyAlignment="1" pivotButton="0" quotePrefix="0" xfId="0">
      <alignment vertical="bottom"/>
    </xf>
    <xf numFmtId="0" fontId="1" fillId="9" borderId="1" applyAlignment="1" pivotButton="0" quotePrefix="0" xfId="0">
      <alignment vertical="bottom"/>
    </xf>
    <xf numFmtId="0" fontId="1" fillId="9" borderId="1" applyAlignment="1" pivotButton="0" quotePrefix="0" xfId="0">
      <alignment vertical="bottom"/>
    </xf>
    <xf numFmtId="0" fontId="13" fillId="7" borderId="0" applyAlignment="1" pivotButton="0" quotePrefix="0" xfId="0">
      <alignment wrapText="1"/>
    </xf>
    <xf numFmtId="0" fontId="12" fillId="2" borderId="0" applyAlignment="1" pivotButton="0" quotePrefix="0" xfId="0">
      <alignment vertical="bottom"/>
    </xf>
    <xf numFmtId="0" fontId="12" fillId="0" borderId="0" applyAlignment="1" pivotButton="0" quotePrefix="0" xfId="0">
      <alignment vertical="bottom"/>
    </xf>
    <xf numFmtId="0" fontId="24" fillId="0" borderId="0" applyAlignment="1" pivotButton="0" quotePrefix="0" xfId="0">
      <alignment vertical="bottom"/>
    </xf>
    <xf numFmtId="0" fontId="25" fillId="2" borderId="0" applyAlignment="1" pivotButton="0" quotePrefix="0" xfId="0">
      <alignment vertical="bottom"/>
    </xf>
    <xf numFmtId="0" fontId="26" fillId="2" borderId="0" applyAlignment="1" pivotButton="0" quotePrefix="0" xfId="0">
      <alignment vertical="bottom"/>
    </xf>
    <xf numFmtId="0" fontId="24" fillId="0" borderId="0" applyAlignment="1" pivotButton="0" quotePrefix="0" xfId="0">
      <alignment vertical="bottom" wrapText="1"/>
    </xf>
    <xf numFmtId="0" fontId="27" fillId="0" borderId="0" applyAlignment="1" pivotButton="0" quotePrefix="0" xfId="0">
      <alignment vertical="bottom"/>
    </xf>
    <xf numFmtId="0" fontId="5" fillId="9" borderId="1" applyAlignment="1" pivotButton="0" quotePrefix="0" xfId="0">
      <alignment vertical="bottom"/>
    </xf>
    <xf numFmtId="0" fontId="1" fillId="9" borderId="1" applyAlignment="1" pivotButton="0" quotePrefix="0" xfId="0">
      <alignment vertical="bottom"/>
    </xf>
    <xf numFmtId="0" fontId="5" fillId="3" borderId="1" applyAlignment="1" pivotButton="0" quotePrefix="0" xfId="0">
      <alignment vertical="bottom"/>
    </xf>
    <xf numFmtId="0" fontId="28" fillId="0" borderId="0" applyAlignment="1" pivotButton="0" quotePrefix="0" xfId="0">
      <alignment vertical="bottom"/>
    </xf>
    <xf numFmtId="0" fontId="29" fillId="0" borderId="2" applyAlignment="1" pivotButton="0" quotePrefix="0" xfId="0">
      <alignment vertical="bottom" wrapText="1"/>
    </xf>
    <xf numFmtId="0" fontId="30" fillId="2" borderId="1" applyAlignment="1" pivotButton="0" quotePrefix="0" xfId="0">
      <alignment vertical="bottom"/>
    </xf>
    <xf numFmtId="0" fontId="1" fillId="2" borderId="0" applyAlignment="1" pivotButton="0" quotePrefix="0" xfId="0">
      <alignment vertical="bottom"/>
    </xf>
    <xf numFmtId="0" fontId="1" fillId="2" borderId="0" applyAlignment="1" pivotButton="0" quotePrefix="0" xfId="0">
      <alignment vertical="bottom"/>
    </xf>
    <xf numFmtId="0" fontId="1" fillId="0" borderId="0" applyAlignment="1" pivotButton="0" quotePrefix="0" xfId="0">
      <alignment vertical="bottom"/>
    </xf>
    <xf numFmtId="0" fontId="31" fillId="10" borderId="0" pivotButton="0" quotePrefix="0" xfId="0"/>
    <xf numFmtId="0" fontId="24" fillId="8" borderId="0" applyAlignment="1" pivotButton="0" quotePrefix="0" xfId="0">
      <alignment vertical="bottom" wrapText="1"/>
    </xf>
    <xf numFmtId="0" fontId="26" fillId="8" borderId="0" applyAlignment="1" pivotButton="0" quotePrefix="0" xfId="0">
      <alignment vertical="bottom" wrapText="1"/>
    </xf>
    <xf numFmtId="0" fontId="25" fillId="8" borderId="0" applyAlignment="1" pivotButton="0" quotePrefix="0" xfId="0">
      <alignment vertical="bottom" wrapText="1"/>
    </xf>
    <xf numFmtId="0" fontId="32" fillId="10" borderId="0" pivotButton="0" quotePrefix="0" xfId="0"/>
    <xf numFmtId="0" fontId="25" fillId="2" borderId="0" applyAlignment="1" pivotButton="0" quotePrefix="0" xfId="0">
      <alignment vertical="bottom" wrapText="1"/>
    </xf>
    <xf numFmtId="0" fontId="25" fillId="2" borderId="0" applyAlignment="1" pivotButton="0" quotePrefix="0" xfId="0">
      <alignment wrapText="1"/>
    </xf>
    <xf numFmtId="0" fontId="33" fillId="0" borderId="0" pivotButton="0" quotePrefix="0" xfId="0"/>
    <xf numFmtId="0" fontId="34" fillId="2" borderId="0" applyAlignment="1" pivotButton="0" quotePrefix="0" xfId="0">
      <alignment horizontal="left" wrapText="1"/>
    </xf>
    <xf numFmtId="0" fontId="25" fillId="2" borderId="0" pivotButton="0" quotePrefix="0" xfId="0"/>
    <xf numFmtId="0" fontId="1" fillId="11" borderId="0" pivotButton="0" quotePrefix="0" xfId="0"/>
    <xf numFmtId="0" fontId="1" fillId="11" borderId="0" pivotButton="0" quotePrefix="0" xfId="0"/>
    <xf numFmtId="0" fontId="13" fillId="0" borderId="0" applyAlignment="1" pivotButton="0" quotePrefix="0" xfId="0">
      <alignment wrapText="1"/>
    </xf>
    <xf numFmtId="0" fontId="35" fillId="0" borderId="0" applyAlignment="1" pivotButton="0" quotePrefix="0" xfId="0">
      <alignment wrapText="1"/>
    </xf>
    <xf numFmtId="0" fontId="22" fillId="0" borderId="0" applyAlignment="1" pivotButton="0" quotePrefix="0" xfId="0">
      <alignment wrapText="1"/>
    </xf>
    <xf numFmtId="0" fontId="35" fillId="0" borderId="0" applyAlignment="1" pivotButton="0" quotePrefix="0" xfId="0">
      <alignment wrapText="1"/>
    </xf>
    <xf numFmtId="0" fontId="36" fillId="0" borderId="0" pivotButton="0" quotePrefix="0" xfId="0"/>
    <xf numFmtId="0" fontId="27" fillId="2" borderId="0" applyAlignment="1" pivotButton="0" quotePrefix="0" xfId="0">
      <alignment vertical="bottom"/>
    </xf>
    <xf numFmtId="0" fontId="28" fillId="0" borderId="0" applyAlignment="1" pivotButton="0" quotePrefix="0" xfId="0">
      <alignment horizontal="left" vertical="bottom"/>
    </xf>
    <xf numFmtId="0" fontId="28" fillId="0" borderId="0" applyAlignment="1" pivotButton="0" quotePrefix="0" xfId="0">
      <alignment horizontal="left"/>
    </xf>
    <xf numFmtId="0" fontId="3" fillId="0" borderId="2" applyAlignment="1" pivotButton="0" quotePrefix="0" xfId="0">
      <alignment horizontal="center" vertical="top"/>
    </xf>
    <xf numFmtId="0" fontId="3" fillId="0" borderId="2" applyAlignment="1" pivotButton="0" quotePrefix="0" xfId="0">
      <alignment horizontal="center" vertical="top"/>
    </xf>
    <xf numFmtId="0" fontId="4" fillId="0" borderId="2" applyAlignment="1" pivotButton="0" quotePrefix="0" xfId="0">
      <alignment horizontal="center" vertical="top" wrapText="1"/>
    </xf>
    <xf numFmtId="0" fontId="37" fillId="0" borderId="8" applyAlignment="1" pivotButton="0" quotePrefix="0" xfId="0">
      <alignment vertical="bottom"/>
    </xf>
    <xf numFmtId="0" fontId="38" fillId="0" borderId="1" applyAlignment="1" pivotButton="0" quotePrefix="0" xfId="0">
      <alignment vertical="bottom"/>
    </xf>
    <xf numFmtId="0" fontId="37" fillId="0" borderId="1" applyAlignment="1" pivotButton="0" quotePrefix="0" xfId="0">
      <alignment vertical="bottom"/>
    </xf>
    <xf numFmtId="0" fontId="12" fillId="0" borderId="1" applyAlignment="1" pivotButton="0" quotePrefix="0" xfId="0">
      <alignment vertical="bottom"/>
    </xf>
    <xf numFmtId="0" fontId="39" fillId="2" borderId="0" pivotButton="0" quotePrefix="0" xfId="0"/>
    <xf numFmtId="0" fontId="12" fillId="0" borderId="1" applyAlignment="1" pivotButton="0" quotePrefix="0" xfId="0">
      <alignment vertical="bottom"/>
    </xf>
    <xf numFmtId="0" fontId="40" fillId="8" borderId="0" pivotButton="0" quotePrefix="0" xfId="0"/>
    <xf numFmtId="0" fontId="40" fillId="2" borderId="0" pivotButton="0" quotePrefix="0" xfId="0"/>
    <xf numFmtId="0" fontId="1" fillId="3" borderId="0" applyAlignment="1" pivotButton="0" quotePrefix="0" xfId="0">
      <alignment wrapText="1"/>
    </xf>
    <xf numFmtId="0" fontId="1" fillId="2" borderId="0" pivotButton="0" quotePrefix="0" xfId="0"/>
    <xf numFmtId="0" fontId="5" fillId="0" borderId="1" applyAlignment="1" pivotButton="0" quotePrefix="0" xfId="0">
      <alignment vertical="bottom"/>
    </xf>
    <xf numFmtId="0" fontId="41" fillId="0" borderId="1" applyAlignment="1" pivotButton="0" quotePrefix="0" xfId="0">
      <alignment vertical="bottom"/>
    </xf>
    <xf numFmtId="0" fontId="13" fillId="0" borderId="0" applyAlignment="1" pivotButton="0" quotePrefix="0" xfId="0">
      <alignment wrapText="1"/>
    </xf>
    <xf numFmtId="0" fontId="42" fillId="2" borderId="0" pivotButton="0" quotePrefix="0" xfId="0"/>
    <xf numFmtId="0" fontId="39" fillId="2" borderId="0" pivotButton="0" quotePrefix="0" xfId="0"/>
    <xf numFmtId="0" fontId="10" fillId="0" borderId="1" applyAlignment="1" pivotButton="0" quotePrefix="0" xfId="0">
      <alignment vertical="bottom"/>
    </xf>
    <xf numFmtId="0" fontId="43" fillId="12" borderId="2" applyAlignment="1" pivotButton="0" quotePrefix="0" xfId="0">
      <alignment horizontal="center"/>
    </xf>
    <xf numFmtId="0" fontId="43" fillId="12" borderId="2" applyAlignment="1" pivotButton="0" quotePrefix="0" xfId="0">
      <alignment horizontal="center" wrapText="1"/>
    </xf>
    <xf numFmtId="0" fontId="43" fillId="12" borderId="2" applyAlignment="1" pivotButton="0" quotePrefix="0" xfId="0">
      <alignment horizontal="center"/>
    </xf>
    <xf numFmtId="0" fontId="29" fillId="2" borderId="2" applyAlignment="1" pivotButton="0" quotePrefix="0" xfId="0">
      <alignment horizontal="center"/>
    </xf>
    <xf numFmtId="0" fontId="29" fillId="2" borderId="2" pivotButton="0" quotePrefix="0" xfId="0"/>
    <xf numFmtId="0" fontId="29" fillId="2" borderId="2" applyAlignment="1" pivotButton="0" quotePrefix="0" xfId="0">
      <alignment wrapText="1"/>
    </xf>
    <xf numFmtId="0" fontId="1" fillId="0" borderId="2" applyAlignment="1" pivotButton="0" quotePrefix="0" xfId="0">
      <alignment wrapText="1"/>
    </xf>
    <xf numFmtId="0" fontId="44" fillId="2" borderId="2" pivotButton="0" quotePrefix="0" xfId="0"/>
    <xf numFmtId="0" fontId="29" fillId="0" borderId="2" applyAlignment="1" pivotButton="0" quotePrefix="0" xfId="0">
      <alignment horizontal="center"/>
    </xf>
    <xf numFmtId="0" fontId="29" fillId="0" borderId="9" pivotButton="0" quotePrefix="0" xfId="0"/>
    <xf numFmtId="0" fontId="29" fillId="0" borderId="9" applyAlignment="1" pivotButton="0" quotePrefix="0" xfId="0">
      <alignment wrapText="1"/>
    </xf>
    <xf numFmtId="0" fontId="29" fillId="0" borderId="10" applyAlignment="1" pivotButton="0" quotePrefix="0" xfId="0">
      <alignment horizontal="center"/>
    </xf>
    <xf numFmtId="0" fontId="29" fillId="0" borderId="11" pivotButton="0" quotePrefix="0" xfId="0"/>
    <xf numFmtId="0" fontId="29" fillId="0" borderId="11" applyAlignment="1" pivotButton="0" quotePrefix="0" xfId="0">
      <alignment wrapText="1"/>
    </xf>
    <xf numFmtId="0" fontId="44" fillId="0" borderId="2" pivotButton="0" quotePrefix="0" xfId="0"/>
    <xf numFmtId="0" fontId="29" fillId="0" borderId="2" pivotButton="0" quotePrefix="0" xfId="0"/>
    <xf numFmtId="0" fontId="29" fillId="0" borderId="2" applyAlignment="1" pivotButton="0" quotePrefix="0" xfId="0">
      <alignment wrapText="1"/>
    </xf>
    <xf numFmtId="0" fontId="29" fillId="2" borderId="12" applyAlignment="1" pivotButton="0" quotePrefix="0" xfId="0">
      <alignment wrapText="1"/>
    </xf>
    <xf numFmtId="0" fontId="45" fillId="0" borderId="2" applyAlignment="1" pivotButton="0" quotePrefix="0" xfId="0">
      <alignment wrapText="1"/>
    </xf>
    <xf numFmtId="0" fontId="46" fillId="2" borderId="2" applyAlignment="1" pivotButton="0" quotePrefix="0" xfId="0">
      <alignment horizontal="center"/>
    </xf>
    <xf numFmtId="0" fontId="46" fillId="2" borderId="2" applyAlignment="1" pivotButton="0" quotePrefix="0" xfId="0">
      <alignment wrapText="1"/>
    </xf>
    <xf numFmtId="0" fontId="41" fillId="0" borderId="2" applyAlignment="1" pivotButton="0" quotePrefix="0" xfId="0">
      <alignment wrapText="1"/>
    </xf>
    <xf numFmtId="0" fontId="46" fillId="2" borderId="2" applyAlignment="1" pivotButton="0" quotePrefix="0" xfId="0">
      <alignment horizontal="center"/>
    </xf>
    <xf numFmtId="0" fontId="46" fillId="2" borderId="2" applyAlignment="1" pivotButton="0" quotePrefix="0" xfId="0">
      <alignment wrapText="1"/>
    </xf>
    <xf numFmtId="0" fontId="41" fillId="0" borderId="2" applyAlignment="1" pivotButton="0" quotePrefix="0" xfId="0">
      <alignment wrapText="1"/>
    </xf>
    <xf numFmtId="0" fontId="3" fillId="0" borderId="0" applyAlignment="1" pivotButton="0" quotePrefix="0" xfId="0">
      <alignment wrapText="1"/>
    </xf>
    <xf numFmtId="0" fontId="3" fillId="0" borderId="2" applyAlignment="1" pivotButton="0" quotePrefix="0" xfId="0">
      <alignment horizontal="center" vertical="top" wrapText="1"/>
    </xf>
    <xf numFmtId="0" fontId="3" fillId="0" borderId="13" applyAlignment="1" pivotButton="0" quotePrefix="0" xfId="0">
      <alignment horizontal="center" vertical="top" wrapText="1"/>
    </xf>
    <xf numFmtId="0" fontId="3" fillId="0" borderId="13" applyAlignment="1" pivotButton="0" quotePrefix="0" xfId="0">
      <alignment horizontal="center" vertical="top" wrapText="1"/>
    </xf>
    <xf numFmtId="0" fontId="12" fillId="3" borderId="0" applyAlignment="1" pivotButton="0" quotePrefix="0" xfId="0">
      <alignment wrapText="1"/>
    </xf>
    <xf numFmtId="0" fontId="12" fillId="0" borderId="0" pivotButton="0" quotePrefix="0" xfId="0"/>
    <xf numFmtId="0" fontId="37" fillId="0" borderId="3" applyAlignment="1" pivotButton="0" quotePrefix="0" xfId="0">
      <alignment vertical="bottom"/>
    </xf>
    <xf numFmtId="0" fontId="47" fillId="0" borderId="2" applyAlignment="1" pivotButton="0" quotePrefix="0" xfId="0">
      <alignment vertical="bottom"/>
    </xf>
    <xf numFmtId="0" fontId="37" fillId="0" borderId="7" applyAlignment="1" pivotButton="0" quotePrefix="0" xfId="0">
      <alignment vertical="bottom"/>
    </xf>
    <xf numFmtId="0" fontId="48" fillId="0" borderId="2" applyAlignment="1" pivotButton="0" quotePrefix="0" xfId="0">
      <alignment vertical="bottom"/>
    </xf>
    <xf numFmtId="0" fontId="12" fillId="3" borderId="0" applyAlignment="1" pivotButton="0" quotePrefix="0" xfId="0">
      <alignment vertical="bottom" wrapText="1"/>
    </xf>
    <xf numFmtId="0" fontId="39" fillId="2" borderId="0" applyAlignment="1" pivotButton="0" quotePrefix="0" xfId="0">
      <alignment wrapText="1"/>
    </xf>
    <xf numFmtId="0" fontId="40" fillId="2" borderId="0" applyAlignment="1" pivotButton="0" quotePrefix="0" xfId="0">
      <alignment wrapText="1"/>
    </xf>
    <xf numFmtId="0" fontId="26" fillId="2" borderId="0" pivotButton="0" quotePrefix="0" xfId="0"/>
    <xf numFmtId="0" fontId="24" fillId="2" borderId="0" applyAlignment="1" pivotButton="0" quotePrefix="0" xfId="0">
      <alignment vertical="bottom"/>
    </xf>
    <xf numFmtId="0" fontId="24" fillId="2" borderId="0" applyAlignment="1" pivotButton="0" quotePrefix="0" xfId="0">
      <alignment vertical="bottom"/>
    </xf>
    <xf numFmtId="0" fontId="0" fillId="2" borderId="0" applyAlignment="1" pivotButton="0" quotePrefix="0" xfId="0">
      <alignment horizontal="left"/>
    </xf>
    <xf numFmtId="0" fontId="0" fillId="2" borderId="0" applyAlignment="1" pivotButton="0" quotePrefix="0" xfId="0">
      <alignment wrapText="1"/>
    </xf>
    <xf numFmtId="0" fontId="0" fillId="0" borderId="0" applyAlignment="1" pivotButton="0" quotePrefix="0" xfId="0">
      <alignment wrapText="1"/>
    </xf>
    <xf numFmtId="0" fontId="44" fillId="0" borderId="0" pivotButton="0" quotePrefix="0" xfId="0"/>
    <xf numFmtId="0" fontId="24" fillId="2" borderId="0" applyAlignment="1" pivotButton="0" quotePrefix="0" xfId="0">
      <alignment vertical="bottom" wrapText="1"/>
    </xf>
    <xf numFmtId="0" fontId="24" fillId="2" borderId="0" applyAlignment="1" pivotButton="0" quotePrefix="0" xfId="0">
      <alignment vertical="bottom" wrapText="1"/>
    </xf>
    <xf numFmtId="0" fontId="24" fillId="0" borderId="0" applyAlignment="1" pivotButton="0" quotePrefix="0" xfId="0">
      <alignment vertical="bottom"/>
    </xf>
    <xf numFmtId="0" fontId="24" fillId="0" borderId="0" applyAlignment="1" pivotButton="0" quotePrefix="0" xfId="0">
      <alignment vertical="bottom"/>
    </xf>
    <xf numFmtId="0" fontId="1" fillId="13" borderId="0" applyAlignment="1" pivotButton="0" quotePrefix="0" xfId="0">
      <alignment wrapText="1"/>
    </xf>
    <xf numFmtId="0" fontId="1" fillId="0" borderId="0" pivotButton="0" quotePrefix="0" xfId="0"/>
    <xf numFmtId="0" fontId="24" fillId="0" borderId="0" applyAlignment="1" pivotButton="0" quotePrefix="0" xfId="0">
      <alignment vertical="bottom" wrapText="1"/>
    </xf>
    <xf numFmtId="0" fontId="24" fillId="0" borderId="0" applyAlignment="1" pivotButton="0" quotePrefix="0" xfId="0">
      <alignment vertical="bottom" wrapText="1"/>
    </xf>
    <xf numFmtId="0" fontId="49" fillId="14" borderId="2" applyAlignment="1" pivotButton="0" quotePrefix="0" xfId="0">
      <alignment horizontal="center"/>
    </xf>
    <xf numFmtId="0" fontId="49" fillId="14" borderId="2" pivotButton="0" quotePrefix="0" xfId="0"/>
    <xf numFmtId="0" fontId="49" fillId="14" borderId="6" pivotButton="0" quotePrefix="0" xfId="0"/>
    <xf numFmtId="0" fontId="50" fillId="0" borderId="0" applyAlignment="1" pivotButton="0" quotePrefix="0" xfId="0">
      <alignment horizontal="center"/>
    </xf>
    <xf numFmtId="0" fontId="46" fillId="0" borderId="0" applyAlignment="1" pivotButton="0" quotePrefix="0" xfId="0">
      <alignment horizontal="center"/>
    </xf>
    <xf numFmtId="0" fontId="12" fillId="0" borderId="0" pivotButton="0" quotePrefix="0" xfId="0"/>
    <xf numFmtId="0" fontId="50" fillId="0" borderId="0" applyAlignment="1" pivotButton="0" quotePrefix="0" xfId="0">
      <alignment horizontal="left" wrapText="1"/>
    </xf>
    <xf numFmtId="0" fontId="51" fillId="0" borderId="0" applyAlignment="1" pivotButton="0" quotePrefix="0" xfId="0">
      <alignment horizontal="left" vertical="bottom"/>
    </xf>
    <xf numFmtId="0" fontId="28" fillId="0" borderId="0" applyAlignment="1" pivotButton="0" quotePrefix="0" xfId="0">
      <alignment horizontal="left" vertical="top" wrapText="1"/>
    </xf>
    <xf numFmtId="0" fontId="28" fillId="0" borderId="0" applyAlignment="1" pivotButton="0" quotePrefix="0" xfId="0">
      <alignment horizontal="left" vertical="bottom" wrapText="1"/>
    </xf>
    <xf numFmtId="0" fontId="28" fillId="3" borderId="0" applyAlignment="1" pivotButton="0" quotePrefix="0" xfId="0">
      <alignment horizontal="left" vertical="bottom" wrapText="1"/>
    </xf>
    <xf numFmtId="0" fontId="52" fillId="0" borderId="14" applyAlignment="1" pivotButton="0" quotePrefix="0" xfId="0">
      <alignment horizontal="left" wrapText="1"/>
    </xf>
    <xf numFmtId="0" fontId="53" fillId="0" borderId="14" applyAlignment="1" pivotButton="0" quotePrefix="0" xfId="0">
      <alignment horizontal="left" vertical="bottom" wrapText="1"/>
    </xf>
    <xf numFmtId="0" fontId="54" fillId="0" borderId="2" applyAlignment="1" pivotButton="0" quotePrefix="0" xfId="0">
      <alignment horizontal="center" wrapText="1"/>
    </xf>
    <xf numFmtId="0" fontId="1" fillId="0" borderId="0" applyAlignment="1" pivotButton="0" quotePrefix="0" xfId="0">
      <alignment horizontal="center"/>
    </xf>
    <xf numFmtId="0" fontId="55" fillId="0" borderId="2" applyAlignment="1" pivotButton="0" quotePrefix="0" xfId="0">
      <alignment wrapText="1"/>
    </xf>
    <xf numFmtId="0" fontId="56" fillId="0" borderId="2" applyAlignment="1" pivotButton="0" quotePrefix="0" xfId="0">
      <alignment horizontal="left" vertical="bottom" wrapText="1"/>
    </xf>
    <xf numFmtId="0" fontId="56" fillId="0" borderId="2" applyAlignment="1" pivotButton="0" quotePrefix="0" xfId="0">
      <alignment horizontal="left" wrapText="1"/>
    </xf>
    <xf numFmtId="0" fontId="24" fillId="0" borderId="0" applyAlignment="1" pivotButton="0" quotePrefix="0" xfId="0">
      <alignment horizontal="left" vertical="bottom"/>
    </xf>
    <xf numFmtId="0" fontId="55" fillId="3" borderId="2" applyAlignment="1" pivotButton="0" quotePrefix="0" xfId="0">
      <alignment wrapText="1"/>
    </xf>
    <xf numFmtId="0" fontId="55" fillId="2" borderId="2" applyAlignment="1" pivotButton="0" quotePrefix="0" xfId="0">
      <alignment wrapText="1"/>
    </xf>
    <xf numFmtId="0" fontId="57" fillId="3" borderId="2" applyAlignment="1" pivotButton="0" quotePrefix="0" xfId="0">
      <alignment vertical="bottom" wrapText="1"/>
    </xf>
    <xf numFmtId="0" fontId="58" fillId="15" borderId="0" applyAlignment="1" pivotButton="0" quotePrefix="0" xfId="0">
      <alignment horizontal="center"/>
    </xf>
    <xf numFmtId="0" fontId="58" fillId="15" borderId="2" applyAlignment="1" pivotButton="0" quotePrefix="0" xfId="0">
      <alignment horizontal="left" vertical="bottom"/>
    </xf>
    <xf numFmtId="0" fontId="58" fillId="15" borderId="2" applyAlignment="1" pivotButton="0" quotePrefix="0" xfId="0">
      <alignment horizontal="left" vertical="bottom"/>
    </xf>
    <xf numFmtId="0" fontId="59" fillId="16" borderId="2" applyAlignment="1" pivotButton="0" quotePrefix="0" xfId="0">
      <alignment wrapText="1"/>
    </xf>
    <xf numFmtId="0" fontId="55" fillId="0" borderId="2" applyAlignment="1" pivotButton="0" quotePrefix="0" xfId="0">
      <alignment wrapText="1"/>
    </xf>
    <xf numFmtId="0" fontId="56" fillId="0" borderId="15" applyAlignment="1" pivotButton="0" quotePrefix="0" xfId="0">
      <alignment horizontal="left" wrapText="1"/>
    </xf>
    <xf numFmtId="0" fontId="59" fillId="2" borderId="2" applyAlignment="1" pivotButton="0" quotePrefix="0" xfId="0">
      <alignment wrapText="1"/>
    </xf>
    <xf numFmtId="0" fontId="15" fillId="0" borderId="13" pivotButton="0" quotePrefix="0" xfId="0"/>
    <xf numFmtId="0" fontId="15" fillId="0" borderId="10" pivotButton="0" quotePrefix="0" xfId="0"/>
    <xf numFmtId="0" fontId="59" fillId="16" borderId="2" applyAlignment="1" pivotButton="0" quotePrefix="0" xfId="0">
      <alignment wrapText="1"/>
    </xf>
    <xf numFmtId="0" fontId="60" fillId="0" borderId="2" applyAlignment="1" pivotButton="0" quotePrefix="0" xfId="0">
      <alignment vertical="bottom" wrapText="1"/>
    </xf>
    <xf numFmtId="0" fontId="56" fillId="0" borderId="2" applyAlignment="1" pivotButton="0" quotePrefix="0" xfId="0">
      <alignment vertical="bottom" wrapText="1"/>
    </xf>
    <xf numFmtId="0" fontId="60" fillId="2" borderId="2" applyAlignment="1" pivotButton="0" quotePrefix="0" xfId="0">
      <alignment horizontal="left" wrapText="1"/>
    </xf>
    <xf numFmtId="0" fontId="61" fillId="0" borderId="0" applyAlignment="1" pivotButton="0" quotePrefix="0" xfId="0">
      <alignment horizontal="left" vertical="bottom"/>
    </xf>
    <xf numFmtId="0" fontId="56" fillId="0" borderId="2" applyAlignment="1" pivotButton="0" quotePrefix="0" xfId="0">
      <alignment vertical="bottom" wrapText="1"/>
    </xf>
    <xf numFmtId="0" fontId="62" fillId="2" borderId="2" applyAlignment="1" pivotButton="0" quotePrefix="0" xfId="0">
      <alignment horizontal="left" wrapText="1"/>
    </xf>
    <xf numFmtId="0" fontId="63" fillId="2" borderId="2" applyAlignment="1" pivotButton="0" quotePrefix="0" xfId="0">
      <alignment horizontal="left" wrapText="1"/>
    </xf>
    <xf numFmtId="0" fontId="64" fillId="2" borderId="2" applyAlignment="1" pivotButton="0" quotePrefix="0" xfId="0">
      <alignment horizontal="left" wrapText="1"/>
    </xf>
    <xf numFmtId="0" fontId="65" fillId="2" borderId="2" applyAlignment="1" pivotButton="0" quotePrefix="0" xfId="0">
      <alignment horizontal="left" wrapText="1"/>
    </xf>
    <xf numFmtId="0" fontId="66" fillId="2" borderId="2" applyAlignment="1" pivotButton="0" quotePrefix="0" xfId="0">
      <alignment horizontal="left" wrapText="1"/>
    </xf>
    <xf numFmtId="0" fontId="66" fillId="17" borderId="2" applyAlignment="1" pivotButton="0" quotePrefix="0" xfId="0">
      <alignment horizontal="center" wrapText="1"/>
    </xf>
    <xf numFmtId="0" fontId="67" fillId="2" borderId="2" applyAlignment="1" pivotButton="0" quotePrefix="0" xfId="0">
      <alignment horizontal="left" wrapText="1"/>
    </xf>
    <xf numFmtId="0" fontId="68" fillId="2" borderId="2" applyAlignment="1" pivotButton="0" quotePrefix="0" xfId="0">
      <alignment horizontal="left" wrapText="1"/>
    </xf>
    <xf numFmtId="0" fontId="68" fillId="2" borderId="2" applyAlignment="1" pivotButton="0" quotePrefix="0" xfId="0">
      <alignment horizontal="left" vertical="top" wrapText="1"/>
    </xf>
    <xf numFmtId="0" fontId="69" fillId="2" borderId="2" applyAlignment="1" pivotButton="0" quotePrefix="0" xfId="0">
      <alignment horizontal="left" wrapText="1"/>
    </xf>
    <xf numFmtId="0" fontId="59" fillId="16" borderId="2" applyAlignment="1" pivotButton="0" quotePrefix="0" xfId="0">
      <alignment wrapText="1"/>
    </xf>
    <xf numFmtId="0" fontId="70" fillId="2" borderId="2" applyAlignment="1" pivotButton="0" quotePrefix="0" xfId="0">
      <alignment horizontal="left" wrapText="1"/>
    </xf>
    <xf numFmtId="0" fontId="57" fillId="0" borderId="2" applyAlignment="1" pivotButton="0" quotePrefix="0" xfId="0">
      <alignment horizontal="left" vertical="bottom" wrapText="1"/>
    </xf>
    <xf numFmtId="0" fontId="71" fillId="2" borderId="2" applyAlignment="1" pivotButton="0" quotePrefix="0" xfId="0">
      <alignment horizontal="left" wrapText="1"/>
    </xf>
    <xf numFmtId="0" fontId="55" fillId="0" borderId="0" applyAlignment="1" pivotButton="0" quotePrefix="0" xfId="0">
      <alignment wrapText="1"/>
    </xf>
    <xf numFmtId="0" fontId="59" fillId="16" borderId="0" applyAlignment="1" pivotButton="0" quotePrefix="0" xfId="0">
      <alignment wrapText="1"/>
    </xf>
    <xf numFmtId="0" fontId="70" fillId="2" borderId="2" applyAlignment="1" pivotButton="0" quotePrefix="0" xfId="0">
      <alignment horizontal="left" wrapText="1"/>
    </xf>
    <xf numFmtId="0" fontId="59" fillId="16" borderId="0" applyAlignment="1" pivotButton="0" quotePrefix="0" xfId="0">
      <alignment wrapText="1"/>
    </xf>
    <xf numFmtId="0" fontId="59" fillId="2" borderId="0" applyAlignment="1" pivotButton="0" quotePrefix="0" xfId="0">
      <alignment wrapText="1"/>
    </xf>
    <xf numFmtId="0" fontId="28" fillId="0" borderId="0" applyAlignment="1" pivotButton="0" quotePrefix="0" xfId="0">
      <alignment vertical="bottom"/>
    </xf>
    <xf numFmtId="0" fontId="59" fillId="16" borderId="0" applyAlignment="1" pivotButton="0" quotePrefix="0" xfId="0">
      <alignment wrapText="1"/>
    </xf>
    <xf numFmtId="0" fontId="59" fillId="2" borderId="16" applyAlignment="1" pivotButton="0" quotePrefix="0" xfId="0">
      <alignment wrapText="1"/>
    </xf>
    <xf numFmtId="0" fontId="59" fillId="16" borderId="0" applyAlignment="1" pivotButton="0" quotePrefix="0" xfId="0">
      <alignment wrapText="1"/>
    </xf>
    <xf numFmtId="0" fontId="68" fillId="2" borderId="0" applyAlignment="1" pivotButton="0" quotePrefix="0" xfId="0">
      <alignment wrapText="1"/>
    </xf>
    <xf numFmtId="0" fontId="68" fillId="2" borderId="17" applyAlignment="1" pivotButton="0" quotePrefix="0" xfId="0">
      <alignment horizontal="left" vertical="top" wrapText="1"/>
    </xf>
    <xf numFmtId="0" fontId="54" fillId="0" borderId="0" applyAlignment="1" pivotButton="0" quotePrefix="0" xfId="0">
      <alignment wrapText="1"/>
    </xf>
    <xf numFmtId="0" fontId="72" fillId="0" borderId="0" applyAlignment="1" pivotButton="0" quotePrefix="0" xfId="0">
      <alignment horizontal="left" vertical="top"/>
    </xf>
    <xf numFmtId="0" fontId="28" fillId="0" borderId="0" applyAlignment="1" pivotButton="0" quotePrefix="0" xfId="0">
      <alignment horizontal="left" vertical="top"/>
    </xf>
    <xf numFmtId="0" fontId="68" fillId="2" borderId="17" applyAlignment="1" pivotButton="0" quotePrefix="0" xfId="0">
      <alignment horizontal="left" vertical="top" wrapText="1"/>
    </xf>
    <xf numFmtId="0" fontId="71" fillId="2" borderId="0" applyAlignment="1" pivotButton="0" quotePrefix="0" xfId="0">
      <alignment wrapText="1"/>
    </xf>
    <xf numFmtId="0" fontId="68" fillId="2" borderId="0" applyAlignment="1" pivotButton="0" quotePrefix="0" xfId="0">
      <alignment horizontal="left" vertical="top" wrapText="1"/>
    </xf>
    <xf numFmtId="0" fontId="71" fillId="2" borderId="0" applyAlignment="1" pivotButton="0" quotePrefix="0" xfId="0">
      <alignment horizontal="left" wrapText="1"/>
    </xf>
    <xf numFmtId="0" fontId="73" fillId="0" borderId="0" applyAlignment="1" pivotButton="0" quotePrefix="0" xfId="0">
      <alignment horizontal="left" vertical="center"/>
    </xf>
    <xf numFmtId="0" fontId="73" fillId="0" borderId="0" applyAlignment="1" pivotButton="0" quotePrefix="0" xfId="0">
      <alignment horizontal="left" vertical="center" wrapText="1"/>
    </xf>
    <xf numFmtId="0" fontId="59" fillId="16" borderId="0" applyAlignment="1" pivotButton="0" quotePrefix="0" xfId="0">
      <alignment wrapText="1"/>
    </xf>
    <xf numFmtId="0" fontId="74" fillId="2" borderId="18" applyAlignment="1" pivotButton="0" quotePrefix="0" xfId="0">
      <alignment vertical="center"/>
    </xf>
    <xf numFmtId="0" fontId="74" fillId="2" borderId="19" applyAlignment="1" pivotButton="0" quotePrefix="0" xfId="0">
      <alignment vertical="center" wrapText="1"/>
    </xf>
    <xf numFmtId="0" fontId="24" fillId="2" borderId="19" applyAlignment="1" pivotButton="0" quotePrefix="0" xfId="0">
      <alignment vertical="center"/>
    </xf>
    <xf numFmtId="0" fontId="24" fillId="2" borderId="20" applyAlignment="1" pivotButton="0" quotePrefix="0" xfId="0">
      <alignment vertical="center"/>
    </xf>
    <xf numFmtId="0" fontId="74" fillId="18" borderId="21" applyAlignment="1" pivotButton="0" quotePrefix="0" xfId="0">
      <alignment vertical="center"/>
    </xf>
    <xf numFmtId="0" fontId="74" fillId="18" borderId="22" applyAlignment="1" pivotButton="0" quotePrefix="0" xfId="0">
      <alignment vertical="center" wrapText="1"/>
    </xf>
    <xf numFmtId="0" fontId="24" fillId="18" borderId="22" applyAlignment="1" pivotButton="0" quotePrefix="0" xfId="0">
      <alignment vertical="center"/>
    </xf>
    <xf numFmtId="0" fontId="24" fillId="18" borderId="23" applyAlignment="1" pivotButton="0" quotePrefix="0" xfId="0">
      <alignment vertical="center"/>
    </xf>
    <xf numFmtId="0" fontId="75" fillId="2" borderId="0" applyAlignment="1" pivotButton="0" quotePrefix="0" xfId="0">
      <alignment horizontal="left" vertical="top"/>
    </xf>
    <xf numFmtId="0" fontId="74" fillId="2" borderId="24" applyAlignment="1" pivotButton="0" quotePrefix="0" xfId="0">
      <alignment vertical="center"/>
    </xf>
    <xf numFmtId="0" fontId="74" fillId="2" borderId="25" applyAlignment="1" pivotButton="0" quotePrefix="0" xfId="0">
      <alignment vertical="center" wrapText="1"/>
    </xf>
    <xf numFmtId="0" fontId="24" fillId="2" borderId="25" applyAlignment="1" pivotButton="0" quotePrefix="0" xfId="0">
      <alignment vertical="center"/>
    </xf>
    <xf numFmtId="0" fontId="24" fillId="2" borderId="26" applyAlignment="1" pivotButton="0" quotePrefix="0" xfId="0">
      <alignment vertical="center"/>
    </xf>
    <xf numFmtId="0" fontId="0" fillId="0" borderId="0" pivotButton="0" quotePrefix="0" xfId="0"/>
    <xf numFmtId="167" fontId="0" fillId="0" borderId="0" pivotButton="0" quotePrefix="0" xfId="0"/>
    <xf numFmtId="0" fontId="76" fillId="0" borderId="1" applyAlignment="1" pivotButton="0" quotePrefix="0" xfId="0">
      <alignment vertical="bottom"/>
    </xf>
    <xf numFmtId="0" fontId="76" fillId="0" borderId="0" pivotButton="0" quotePrefix="0" xfId="0"/>
    <xf numFmtId="0" fontId="76" fillId="0" borderId="0" applyAlignment="1" pivotButton="0" quotePrefix="0" xfId="0">
      <alignment wrapText="1"/>
    </xf>
    <xf numFmtId="0" fontId="76" fillId="11" borderId="0" pivotButton="0" quotePrefix="0" xfId="0"/>
    <xf numFmtId="0" fontId="76" fillId="0" borderId="0" applyAlignment="1" pivotButton="0" quotePrefix="0" xfId="0">
      <alignment horizontal="center"/>
    </xf>
    <xf numFmtId="0" fontId="0" fillId="0" borderId="13" pivotButton="0" quotePrefix="0" xfId="0"/>
    <xf numFmtId="0" fontId="0" fillId="0" borderId="10" pivotButton="0" quotePrefix="0" xfId="0"/>
  </cellXfs>
  <cellStyles count="1">
    <cellStyle name="Normal" xfId="0" builtinId="0"/>
  </cellStyles>
  <dxfs count="6">
    <dxf>
      <font/>
      <fill>
        <patternFill patternType="solid">
          <fgColor rgb="FFFF9900"/>
          <bgColor rgb="FFFF9900"/>
        </patternFill>
      </fill>
      <border/>
    </dxf>
    <dxf>
      <font/>
      <fill>
        <patternFill/>
      </fill>
      <border/>
    </dxf>
    <dxf>
      <font/>
      <fill>
        <patternFill patternType="solid">
          <fgColor rgb="FF535FC1"/>
          <bgColor rgb="FF535FC1"/>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535FC1"/>
        </left>
        <right style="thin">
          <color rgb="FF535FC1"/>
        </right>
        <top style="thin">
          <color rgb="FF535FC1"/>
        </top>
        <bottom style="thin">
          <color rgb="FF535FC1"/>
        </bottom>
      </border>
    </dxf>
  </dxfs>
  <tableStyles count="1" defaultTableStyle="TableStyleMedium9" defaultPivotStyle="PivotStyleLight16">
    <tableStyle name="SSO-style" pivot="0" count="4">
      <tableStyleElement type="headerRow" dxfId="2"/>
      <tableStyleElement type="firstRowStripe" dxfId="3"/>
      <tableStyleElement type="secondRowStripe" dxfId="4"/>
      <tableStyleElement type="wholeTable" size="0" dxfId="5"/>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styles" Target="styles.xml" Id="rId18"/><Relationship Type="http://schemas.openxmlformats.org/officeDocument/2006/relationships/theme" Target="theme/theme1.xml" Id="rId19"/></Relationships>
</file>

<file path=xl/comments/comment1.xml><?xml version="1.0" encoding="utf-8"?>
<comments xmlns="http://schemas.openxmlformats.org/spreadsheetml/2006/main">
  <authors>
    <author>None</author>
  </authors>
  <commentList>
    <comment ref="B49" authorId="0" shapeId="0">
      <text>
        <t>Chưa rõ thông báo này ở tính năng nào
======</t>
      </text>
    </comment>
    <comment ref="B897" authorId="0" shapeId="0">
      <text>
        <t>Không có vỏ bàn giao
======</t>
      </text>
    </comment>
  </commentList>
</comment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oneCellAnchor>
    <from>
      <col>2</col>
      <colOff>161925</colOff>
      <row>2</row>
      <rowOff>28575</rowOff>
    </from>
    <ext cx="3267075" cy="4772025"/>
    <pic>
      <nvPicPr>
        <cNvPr id="0" name="image2.png" title="Image"/>
        <cNvPicPr preferRelativeResize="0"/>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8</col>
      <colOff>342900</colOff>
      <row>2</row>
      <rowOff>76200</rowOff>
    </from>
    <ext cx="4991100" cy="4772025"/>
    <pic>
      <nvPicPr>
        <cNvPr id="0" name="image1.png" title="Image"/>
        <cNvPicPr preferRelativeResize="0"/>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wsDr>
</file>

<file path=xl/tables/table1.xml><?xml version="1.0" encoding="utf-8"?>
<table xmlns="http://schemas.openxmlformats.org/spreadsheetml/2006/main" id="1" name="Table1" displayName="Table1" ref="A1:D52" headerRowCount="1">
  <tableColumns count="4">
    <tableColumn id="1" name="Key"/>
    <tableColumn id="2" name="Tiếng Việt"/>
    <tableColumn id="3" name="Tiếng Anh"/>
    <tableColumn id="4" name="Tiếng Cambodia"/>
  </tableColumns>
  <tableStyleInfo name="SSO-style" showFirstColumn="1" showLastColumn="1" showRowStripes="1" showColumn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docs.google.com/document/d/1KS3Cy96u-aB3SxpxpaDgegfi1cm5Hl2Qf779L5Fuc7M/edit?usp=sharing" TargetMode="External" Id="rId1"/><Relationship Type="http://schemas.openxmlformats.org/officeDocument/2006/relationships/hyperlink" Target="https://docs.google.com/document/d/1NfG2qUefi2qyfqmnLZRrQMis07iQpVH6w5YZrpeHG3w/edit?usp=sharing" TargetMode="External" Id="rId2"/><Relationship Type="http://schemas.openxmlformats.org/officeDocument/2006/relationships/hyperlink" Target="https://docs.google.com/document/d/1uWQK4gW9Q_KA9wBfCYQpG8bbLmytLlEpMekXJq3pWUs/edit?usp=sharing" TargetMode="External" Id="rId3"/><Relationship Type="http://schemas.openxmlformats.org/officeDocument/2006/relationships/hyperlink" Target="https://docs.google.com/document/d/1wS6adO3SWMPKO8JymDx-ymlOIpfAafZQ03XdGJSbjIo/edit?usp=sharing" TargetMode="External" Id="rId4"/><Relationship Type="http://schemas.openxmlformats.org/officeDocument/2006/relationships/hyperlink" Target="https://docs.google.com/document/d/1sY9d7jaurS-SkTSeoHyEo9QhNqGuVpY7iRK_JlRYQl0/edit?usp=sharing" TargetMode="External" Id="rId5"/><Relationship Type="http://schemas.openxmlformats.org/officeDocument/2006/relationships/hyperlink" Target="https://docs.google.com/spreadsheets/d/1O_3OmxS4WdwyTiLgtkFF43D_5TldYGDikSexOObIqLQ/edit?usp=sharing" TargetMode="External" Id="rId6"/><Relationship Type="http://schemas.openxmlformats.org/officeDocument/2006/relationships/hyperlink" Target="https://docs.google.com/document/d/1e-kt10BMz6a_glqwXVDJWV3-g4IfUgm75K5lYg9oN-I/edit?usp=sharing" TargetMode="External" Id="rId7"/><Relationship Type="http://schemas.openxmlformats.org/officeDocument/2006/relationships/hyperlink" Target="https://docs.google.com/document/d/1svAoYHBFcrwssjDrD6ONdGn4Clr-s5vrOY-hgHlOYz8/edit?usp=sharing" TargetMode="External" Id="rId8"/></Relationships>
</file>

<file path=xl/worksheets/_rels/sheet2.xml.rels><Relationships xmlns="http://schemas.openxmlformats.org/package/2006/relationships"><Relationship Type="http://schemas.openxmlformats.org/officeDocument/2006/relationships/hyperlink" Target="http://delivery.customer.table.name" TargetMode="External" Id="rId1"/><Relationship Type="http://schemas.openxmlformats.org/officeDocument/2006/relationships/hyperlink" Target="http://delivery.warehouse.table.id" TargetMode="External" Id="rId2"/><Relationship Type="http://schemas.openxmlformats.org/officeDocument/2006/relationships/hyperlink" Target="http://delivery.warehouse.table.name" TargetMode="External" Id="rId3"/><Relationship Type="http://schemas.openxmlformats.org/officeDocument/2006/relationships/hyperlink" Target="http://modifyorder.name" TargetMode="External" Id="rId4"/><Relationship Type="http://schemas.openxmlformats.org/officeDocument/2006/relationships/hyperlink" Target="http://codpayment.org" TargetMode="External" Id="rId5"/><Relationship Type="http://schemas.openxmlformats.org/officeDocument/2006/relationships/hyperlink" Target="http://codpayment.post" TargetMode="External" Id="rId6"/><Relationship Type="http://schemas.openxmlformats.org/officeDocument/2006/relationships/hyperlink" Target="http://paymentreconcile.post" TargetMode="External" Id="rId7"/></Relationships>
</file>

<file path=xl/worksheets/_rels/sheet3.xml.rels><Relationships xmlns="http://schemas.openxmlformats.org/package/2006/relationships"><Relationship Type="http://schemas.openxmlformats.org/officeDocument/2006/relationships/hyperlink" Target="http://codemployee.post" TargetMode="External" Id="rId1"/><Relationship Type="http://schemas.openxmlformats.org/officeDocument/2006/relationships/hyperlink" Target="http://common.post" TargetMode="External" Id="rId2"/><Relationship Type="http://schemas.openxmlformats.org/officeDocument/2006/relationships/hyperlink" Target="http://delivery.customer.table.name" TargetMode="External" Id="rId3"/><Relationship Type="http://schemas.openxmlformats.org/officeDocument/2006/relationships/hyperlink" Target="http://delivery.warehouse.table.id" TargetMode="External" Id="rId4"/><Relationship Type="http://schemas.openxmlformats.org/officeDocument/2006/relationships/hyperlink" Target="http://delivery.warehouse.table.name" TargetMode="External" Id="rId5"/><Relationship Type="http://schemas.openxmlformats.org/officeDocument/2006/relationships/hyperlink" Target="http://listuser.name" TargetMode="External" Id="rId6"/><Relationship Type="http://schemas.openxmlformats.org/officeDocument/2006/relationships/hyperlink" Target="http://modifyorder.name" TargetMode="External" Id="rId7"/><Relationship Type="http://schemas.openxmlformats.org/officeDocument/2006/relationships/hyperlink" Target="http://pricezone.id" TargetMode="External" Id="rId8"/><Relationship Type="http://schemas.openxmlformats.org/officeDocument/2006/relationships/hyperlink" Target="http://shift.modify.name" TargetMode="External" Id="rId9"/><Relationship Type="http://schemas.openxmlformats.org/officeDocument/2006/relationships/hyperlink" Target="http://trackingorder.name" TargetMode="External" Id="rId10"/><Relationship Type="http://schemas.openxmlformats.org/officeDocument/2006/relationships/hyperlink" Target="http://delivery.warehouse.codemployee.post" TargetMode="External" Id="rId11"/><Relationship Type="http://schemas.openxmlformats.org/officeDocument/2006/relationships/hyperlink" Target="http://delivery.warehouse.delivery.customer.table.name" TargetMode="External" Id="rId12"/><Relationship Type="http://schemas.openxmlformats.org/officeDocument/2006/relationships/hyperlink" Target="http://delivery.warehouse.delivery.warehouse.table.id" TargetMode="External" Id="rId13"/><Relationship Type="http://schemas.openxmlformats.org/officeDocument/2006/relationships/hyperlink" Target="http://delivery.warehouse.delivery.warehouse.table.name" TargetMode="External" Id="rId14"/><Relationship Type="http://schemas.openxmlformats.org/officeDocument/2006/relationships/hyperlink" Target="http://delivery.warehouse.listuser.name" TargetMode="External" Id="rId15"/><Relationship Type="http://schemas.openxmlformats.org/officeDocument/2006/relationships/hyperlink" Target="http://delivery.warehouse.modifyorder.name" TargetMode="External" Id="rId16"/><Relationship Type="http://schemas.openxmlformats.org/officeDocument/2006/relationships/hyperlink" Target="http://delivery.warehouse.pricezone.id" TargetMode="External" Id="rId17"/><Relationship Type="http://schemas.openxmlformats.org/officeDocument/2006/relationships/hyperlink" Target="http://delivery.warehouse.shift.modify.name" TargetMode="External" Id="rId18"/><Relationship Type="http://schemas.openxmlformats.org/officeDocument/2006/relationships/hyperlink" Target="http://delivery.warehouse.trackingorder.name" TargetMode="External" Id="rId19"/></Relationships>
</file>

<file path=xl/worksheets/_rels/sheet4.xml.rels><Relationships xmlns="http://schemas.openxmlformats.org/package/2006/relationships"><Relationship Type="http://schemas.openxmlformats.org/officeDocument/2006/relationships/hyperlink" Target="http://complaintmanagement.name" TargetMode="External" Id="rId1"/><Relationship Type="http://schemas.openxmlformats.org/officeDocument/2006/relationships/hyperlink" Target="http://language.km" TargetMode="External" Id="rId2"/><Relationship Type="http://schemas.openxmlformats.org/officeDocument/2006/relationships/hyperlink" Target="http://language.vi" TargetMode="External" Id="rId3"/><Relationship Type="http://schemas.openxmlformats.org/officeDocument/2006/relationships/hyperlink" Target="http://common.no" TargetMode="External" Id="rId4"/><Relationship Type="http://schemas.openxmlformats.org/officeDocument/2006/relationships/hyperlink" Target="http://violationreport.errordetail.no" TargetMode="External" Id="rId5"/></Relationships>
</file>

<file path=xl/worksheets/_rels/sheet6.xml.rels><Relationships xmlns="http://schemas.openxmlformats.org/package/2006/relationships"><Relationship Type="http://schemas.openxmlformats.org/officeDocument/2006/relationships/hyperlink" Target="http://warehousesetting.name" TargetMode="External" Id="rId1"/></Relationships>
</file>

<file path=xl/worksheets/_rels/sheet7.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9.xml.rels><Relationships xmlns="http://schemas.openxmlformats.org/package/2006/relationships"><Relationship Type="http://schemas.openxmlformats.org/officeDocument/2006/relationships/hyperlink" Target="http://warehousesetting.name" TargetMode="External" Id="rId1"/></Relationships>
</file>

<file path=xl/worksheets/_rels/sheet13.xml.rels><Relationships xmlns="http://schemas.openxmlformats.org/package/2006/relationships"><Relationship Type="http://schemas.openxmlformats.org/officeDocument/2006/relationships/drawing" Target="/xl/drawings/drawing1.xml" Id="rId1"/></Relationships>
</file>

<file path=xl/worksheets/_rels/sheet15.xml.rels><Relationships xmlns="http://schemas.openxmlformats.org/package/2006/relationships"><Relationship Type="http://schemas.openxmlformats.org/officeDocument/2006/relationships/hyperlink" Target="http://common.to" TargetMode="External" Id="rId1"/><Relationship Type="http://schemas.openxmlformats.org/officeDocument/2006/relationships/hyperlink" Target="http://datamanagement.name" TargetMode="External" Id="rId2"/><Relationship Type="http://schemas.openxmlformats.org/officeDocument/2006/relationships/hyperlink" Target="http://language.vi" TargetMode="External" Id="rId3"/><Relationship Type="http://schemas.openxmlformats.org/officeDocument/2006/relationships/hyperlink" Target="http://language.km" TargetMode="External" Id="rId4"/></Relationships>
</file>

<file path=xl/worksheets/_rels/sheet16.xml.rels><Relationships xmlns="http://schemas.openxmlformats.org/package/2006/relationships"><Relationship Type="http://schemas.openxmlformats.org/officeDocument/2006/relationships/hyperlink" Target="http://salary.app.detail.label.id" TargetMode="External" Id="rId1"/><Relationship Type="http://schemas.openxmlformats.org/officeDocument/2006/relationships/hyperlink" Target="http://drl.export.header.name" TargetMode="External" Id="rId2"/></Relationships>
</file>

<file path=xl/worksheets/_rels/sheet17.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0" summaryRight="0"/>
    <pageSetUpPr/>
  </sheetPr>
  <dimension ref="A1:H11"/>
  <sheetViews>
    <sheetView workbookViewId="0">
      <selection activeCell="A1" sqref="A1"/>
    </sheetView>
  </sheetViews>
  <sheetFormatPr baseColWidth="8" defaultColWidth="14.43" defaultRowHeight="15" customHeight="1"/>
  <cols>
    <col width="12" customWidth="1" style="305" min="1" max="1"/>
    <col width="24" customWidth="1" style="305" min="2" max="2"/>
    <col width="45.57" customWidth="1" style="305" min="3" max="3"/>
  </cols>
  <sheetData>
    <row r="1">
      <c r="A1" s="217" t="inlineStr">
        <is>
          <t>ឌ</t>
        </is>
      </c>
      <c r="B1" s="217" t="inlineStr">
        <is>
          <t>Tiêu đề</t>
        </is>
      </c>
      <c r="C1" s="217" t="inlineStr">
        <is>
          <t>Tài liệu</t>
        </is>
      </c>
      <c r="D1" s="217" t="inlineStr">
        <is>
          <t>Trạng thái</t>
        </is>
      </c>
      <c r="E1" s="217" t="inlineStr">
        <is>
          <t>Người order</t>
        </is>
      </c>
      <c r="F1" s="217" t="inlineStr">
        <is>
          <t>Người dịch</t>
        </is>
      </c>
    </row>
    <row r="2">
      <c r="A2" s="5" t="n">
        <v>46274</v>
      </c>
      <c r="B2" s="217" t="inlineStr">
        <is>
          <t>QUY ĐỊNH GỬI HÀNG</t>
        </is>
      </c>
      <c r="C2" s="16" t="inlineStr">
        <is>
          <t>METFONE EXPRESS - QUY ĐỊNH GỬI HÀNG</t>
        </is>
      </c>
      <c r="D2" s="18" t="n"/>
      <c r="E2" s="217" t="inlineStr">
        <is>
          <t>thamtth5</t>
        </is>
      </c>
      <c r="F2" s="217" t="inlineStr">
        <is>
          <t>Thavong</t>
        </is>
      </c>
      <c r="G2" s="20" t="n">
        <v>46304</v>
      </c>
      <c r="H2" s="217" t="inlineStr">
        <is>
          <t>Done</t>
        </is>
      </c>
    </row>
    <row r="3">
      <c r="A3" s="5" t="n">
        <v>46274</v>
      </c>
      <c r="B3" s="217" t="inlineStr">
        <is>
          <t>ĐÓNG GÓI HÀNG HÓA</t>
        </is>
      </c>
      <c r="C3" s="16" t="inlineStr">
        <is>
          <t>METFONE EXPRESS-QUY ĐỊNH ĐÓNG GÓI</t>
        </is>
      </c>
      <c r="D3" s="18" t="n"/>
      <c r="E3" s="217" t="inlineStr">
        <is>
          <t>thamtth5</t>
        </is>
      </c>
      <c r="F3" s="217" t="inlineStr">
        <is>
          <t>Thavong</t>
        </is>
      </c>
      <c r="G3" s="20" t="n">
        <v>46335</v>
      </c>
      <c r="H3" s="217" t="inlineStr">
        <is>
          <t>Done</t>
        </is>
      </c>
    </row>
    <row r="4">
      <c r="A4" s="5" t="n">
        <v>46274</v>
      </c>
      <c r="B4" s="217" t="inlineStr">
        <is>
          <t>CHÍNH SÁCH ĐỀN BÙ</t>
        </is>
      </c>
      <c r="C4" s="16" t="inlineStr">
        <is>
          <t>METFONE EXPRESS - CHÍNH SÁCH BỒI THƯỜNG</t>
        </is>
      </c>
      <c r="D4" s="18" t="n"/>
      <c r="E4" s="217" t="inlineStr">
        <is>
          <t>thamtth5</t>
        </is>
      </c>
      <c r="F4" s="217" t="inlineStr">
        <is>
          <t>Thavong</t>
        </is>
      </c>
      <c r="G4" s="20" t="n">
        <v>46365</v>
      </c>
      <c r="H4" s="217" t="inlineStr">
        <is>
          <t>Done</t>
        </is>
      </c>
    </row>
    <row r="5">
      <c r="A5" s="5" t="n">
        <v>46274</v>
      </c>
      <c r="B5" s="217" t="inlineStr">
        <is>
          <t>CHÍNH SÁCH BẢO MẬT</t>
        </is>
      </c>
      <c r="C5" s="16" t="inlineStr">
        <is>
          <t>METFONE EXPRESS - CHÍNH SÁCH BẢO MẬT</t>
        </is>
      </c>
      <c r="D5" s="18" t="n"/>
      <c r="E5" s="217" t="inlineStr">
        <is>
          <t>thamtth5</t>
        </is>
      </c>
      <c r="F5" s="217" t="inlineStr">
        <is>
          <t>Vichet</t>
        </is>
      </c>
    </row>
    <row r="6">
      <c r="A6" s="5" t="n">
        <v>46274</v>
      </c>
      <c r="B6" s="217" t="inlineStr">
        <is>
          <t>ĐIỀU KHOẢN SỬ DỤNG</t>
        </is>
      </c>
      <c r="C6" s="16" t="inlineStr">
        <is>
          <t>METFONE EXPRESS - ĐIỀU KHOẢN SỬ DỤNG</t>
        </is>
      </c>
      <c r="D6" s="18" t="n"/>
      <c r="E6" s="217" t="inlineStr">
        <is>
          <t>thamtth5</t>
        </is>
      </c>
      <c r="F6" s="217" t="inlineStr">
        <is>
          <t>Vichet</t>
        </is>
      </c>
    </row>
    <row r="7">
      <c r="A7" s="5" t="n">
        <v>46274</v>
      </c>
      <c r="B7" s="217" t="inlineStr">
        <is>
          <t>SMS điều hành đơn vị</t>
        </is>
      </c>
      <c r="C7" s="23" t="inlineStr">
        <is>
          <t>https://docs.google.com/spreadsheets/d/1O_3OmxS4WdwyTiLgtkFF43D_5TldYGDikSexOObIqLQ/edit?usp=sharing</t>
        </is>
      </c>
      <c r="D7" s="18" t="n"/>
      <c r="E7" s="217" t="inlineStr">
        <is>
          <t>thamtth5</t>
        </is>
      </c>
      <c r="F7" s="217" t="inlineStr">
        <is>
          <t>Vichet</t>
        </is>
      </c>
    </row>
    <row r="8">
      <c r="A8" s="5" t="n">
        <v>46274</v>
      </c>
      <c r="B8" s="217" t="inlineStr">
        <is>
          <t>HÀNG HÓA METFONE EXPRESS KHÔNG NHẬN VẬN CHUYỂN</t>
        </is>
      </c>
      <c r="C8" s="16" t="inlineStr">
        <is>
          <t>HÀNG HÓA METFONE EXPRESS KHÔNG NHẬN VẬN CHUYỂN</t>
        </is>
      </c>
      <c r="D8" s="18" t="n"/>
      <c r="E8" s="217" t="inlineStr">
        <is>
          <t>thamtth5</t>
        </is>
      </c>
      <c r="F8" s="217" t="inlineStr">
        <is>
          <t>Siêng</t>
        </is>
      </c>
      <c r="G8" s="20" t="n">
        <v>46304</v>
      </c>
      <c r="H8" s="217" t="inlineStr">
        <is>
          <t>Done</t>
        </is>
      </c>
    </row>
    <row r="9">
      <c r="A9" s="5" t="n">
        <v>46274</v>
      </c>
      <c r="B9" s="217" t="inlineStr">
        <is>
          <t>CÂU HỎI THƯỜNG GẶP</t>
        </is>
      </c>
      <c r="C9" s="16" t="inlineStr">
        <is>
          <t>MEC - CÂU HỎI THƯỜNG GẶP</t>
        </is>
      </c>
      <c r="D9" s="18" t="n"/>
      <c r="E9" s="217" t="inlineStr">
        <is>
          <t>thamtth5</t>
        </is>
      </c>
      <c r="F9" s="217" t="inlineStr">
        <is>
          <t>Siêng</t>
        </is>
      </c>
      <c r="G9" s="25" t="n">
        <v>46365</v>
      </c>
      <c r="H9" s="217" t="inlineStr">
        <is>
          <t>Done</t>
        </is>
      </c>
    </row>
    <row r="10">
      <c r="A10" s="5" t="n">
        <v>46274</v>
      </c>
      <c r="B10" s="217" t="inlineStr">
        <is>
          <t>TÀI LIỆU HƯỚNG DẪN</t>
        </is>
      </c>
      <c r="C10" s="217" t="inlineStr">
        <is>
          <t>Nhóm tele</t>
        </is>
      </c>
      <c r="D10" s="18" t="inlineStr">
        <is>
          <t>done</t>
        </is>
      </c>
      <c r="E10" s="217" t="inlineStr">
        <is>
          <t>hieupt</t>
        </is>
      </c>
      <c r="F10" s="217" t="inlineStr">
        <is>
          <t>Siêng</t>
        </is>
      </c>
      <c r="G10" s="25" t="n">
        <v>46335</v>
      </c>
      <c r="H10" s="217" t="inlineStr">
        <is>
          <t>Done</t>
        </is>
      </c>
    </row>
    <row r="11">
      <c r="A11" s="306" t="n">
        <v>46284.47045370549</v>
      </c>
      <c r="B11" t="inlineStr">
        <is>
          <t>OMS OPS TOÀN BỘ HỆ THỐNG</t>
        </is>
      </c>
      <c r="C11" t="inlineStr">
        <is>
          <t>Khmer Native Localization &amp; Review (cam Thean)</t>
        </is>
      </c>
      <c r="D11" t="inlineStr">
        <is>
          <t>Done</t>
        </is>
      </c>
      <c r="E11" t="inlineStr">
        <is>
          <t>Thean</t>
        </is>
      </c>
      <c r="F11" t="inlineStr">
        <is>
          <t>cam Thean</t>
        </is>
      </c>
      <c r="G11" s="306" t="n">
        <v>46284.47045370549</v>
      </c>
      <c r="H11" t="inlineStr">
        <is>
          <t>Done</t>
        </is>
      </c>
    </row>
  </sheetData>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s>
  <pageMargins left="0.75" right="0.75" top="1" bottom="1" header="0.5" footer="0.5"/>
</worksheet>
</file>

<file path=xl/worksheets/sheet2.xml><?xml version="1.0" encoding="utf-8"?>
<worksheet xmlns="http://schemas.openxmlformats.org/spreadsheetml/2006/main">
  <sheetPr>
    <outlinePr summaryBelow="0" summaryRight="0"/>
    <pageSetUpPr/>
  </sheetPr>
  <dimension ref="A1:Z2756"/>
  <sheetViews>
    <sheetView workbookViewId="0">
      <pane ySplit="1" topLeftCell="A2" activePane="bottomLeft" state="frozen"/>
      <selection pane="bottomLeft" activeCell="B3" sqref="B3"/>
    </sheetView>
  </sheetViews>
  <sheetFormatPr baseColWidth="8" defaultColWidth="14.43" defaultRowHeight="15" customHeight="1"/>
  <cols>
    <col width="55.29" customWidth="1" style="305" min="1" max="1"/>
    <col width="38.71" customWidth="1" style="305" min="2" max="2"/>
    <col width="35.86" customWidth="1" style="305" min="3" max="3"/>
    <col width="32.86" customWidth="1" style="305" min="4" max="4"/>
    <col width="36.14" customWidth="1" style="305" min="5" max="5"/>
    <col width="57.57" customWidth="1" style="305" min="11" max="11"/>
  </cols>
  <sheetData>
    <row r="1">
      <c r="A1" s="8" t="n"/>
      <c r="B1" s="8" t="inlineStr">
        <is>
          <t>vi</t>
        </is>
      </c>
      <c r="C1" s="8" t="inlineStr">
        <is>
          <t>en</t>
        </is>
      </c>
      <c r="D1" s="8" t="inlineStr">
        <is>
          <t xml:space="preserve">cam </t>
        </is>
      </c>
      <c r="E1" s="8" t="inlineStr">
        <is>
          <t>cam SONITA</t>
        </is>
      </c>
      <c r="F1" s="9" t="inlineStr">
        <is>
          <t>cam review</t>
        </is>
      </c>
      <c r="G1" s="9" t="inlineStr">
        <is>
          <t>Cam - final</t>
        </is>
      </c>
      <c r="H1" s="307" t="inlineStr">
        <is>
          <t>cam Thean</t>
        </is>
      </c>
      <c r="I1" s="161" t="inlineStr">
        <is>
          <t>cam - marketing dịch</t>
        </is>
      </c>
      <c r="J1" s="10" t="n"/>
      <c r="K1" s="161" t="n"/>
      <c r="L1" s="10" t="n"/>
      <c r="M1" s="10" t="n"/>
      <c r="N1" s="10" t="n"/>
      <c r="O1" s="10" t="n"/>
      <c r="P1" s="10" t="n"/>
      <c r="Q1" s="10" t="n"/>
      <c r="R1" s="10" t="n"/>
      <c r="S1" s="10" t="n"/>
      <c r="T1" s="10" t="n"/>
      <c r="U1" s="10" t="n"/>
      <c r="V1" s="10" t="n"/>
      <c r="W1" s="10" t="n"/>
      <c r="X1" s="10" t="n"/>
      <c r="Y1" s="10" t="n"/>
      <c r="Z1" s="10" t="n"/>
    </row>
    <row r="2">
      <c r="A2" s="27" t="inlineStr">
        <is>
          <t>common.search</t>
        </is>
      </c>
      <c r="B2" s="27" t="inlineStr">
        <is>
          <t>Tìm kiếm</t>
        </is>
      </c>
      <c r="C2" s="27" t="inlineStr">
        <is>
          <t>Search</t>
        </is>
      </c>
      <c r="D2" s="21" t="inlineStr">
        <is>
          <t>ស្វែងរក</t>
        </is>
      </c>
      <c r="E2" s="21" t="inlineStr">
        <is>
          <t>ស្វែងរក</t>
        </is>
      </c>
      <c r="F2" s="10" t="n"/>
      <c r="G2" s="10" t="inlineStr">
        <is>
          <t>ស្វែងរក</t>
        </is>
      </c>
      <c r="H2" s="10" t="inlineStr">
        <is>
          <t>ស្វែងរក</t>
        </is>
      </c>
      <c r="I2" s="10" t="n"/>
      <c r="J2" s="10" t="n"/>
      <c r="K2" s="10" t="inlineStr">
        <is>
          <t>"common.search": "ស្វែងរក",</t>
        </is>
      </c>
      <c r="L2" s="10" t="n"/>
      <c r="M2" s="10" t="n"/>
      <c r="N2" s="10" t="n"/>
      <c r="O2" s="10" t="n"/>
      <c r="P2" s="10" t="n"/>
      <c r="Q2" s="10" t="n"/>
      <c r="R2" s="10" t="n"/>
      <c r="S2" s="10" t="n"/>
      <c r="T2" s="10" t="n"/>
      <c r="U2" s="10" t="n"/>
      <c r="V2" s="10" t="n"/>
      <c r="W2" s="10" t="n"/>
      <c r="X2" s="10" t="n"/>
      <c r="Y2" s="10" t="n"/>
      <c r="Z2" s="10" t="n"/>
    </row>
    <row r="3">
      <c r="A3" s="27" t="inlineStr">
        <is>
          <t>common.create</t>
        </is>
      </c>
      <c r="B3" s="27" t="inlineStr">
        <is>
          <t>Thêm mới</t>
        </is>
      </c>
      <c r="C3" s="27" t="inlineStr">
        <is>
          <t>Create</t>
        </is>
      </c>
      <c r="D3" s="21" t="inlineStr">
        <is>
          <t>បន្ថែមថ្មី</t>
        </is>
      </c>
      <c r="E3" s="21" t="inlineStr">
        <is>
          <t>បន្ថែមថ្មី</t>
        </is>
      </c>
      <c r="F3" s="10" t="n"/>
      <c r="G3" s="10" t="inlineStr">
        <is>
          <t>បន្ថែមថ្មី</t>
        </is>
      </c>
      <c r="H3" s="10" t="inlineStr">
        <is>
          <t>បន្ថែមថ្មី</t>
        </is>
      </c>
      <c r="I3" s="10" t="n"/>
      <c r="J3" s="10" t="n"/>
      <c r="K3" s="10" t="inlineStr">
        <is>
          <t>"common.create": "បន្ថែមថ្មី",</t>
        </is>
      </c>
      <c r="L3" s="10" t="n"/>
      <c r="M3" s="10" t="n"/>
      <c r="N3" s="10" t="n"/>
      <c r="O3" s="10" t="n"/>
      <c r="P3" s="10" t="n"/>
      <c r="Q3" s="10" t="n"/>
      <c r="R3" s="10" t="n"/>
      <c r="S3" s="10" t="n"/>
      <c r="T3" s="10" t="n"/>
      <c r="U3" s="10" t="n"/>
      <c r="V3" s="10" t="n"/>
      <c r="W3" s="10" t="n"/>
      <c r="X3" s="10" t="n"/>
      <c r="Y3" s="10" t="n"/>
      <c r="Z3" s="10" t="n"/>
    </row>
    <row r="4">
      <c r="A4" s="27" t="inlineStr">
        <is>
          <t>common.titleSearch</t>
        </is>
      </c>
      <c r="B4" s="27" t="inlineStr">
        <is>
          <t>Nhập từ khóa tìm kiếm</t>
        </is>
      </c>
      <c r="C4" s="27" t="inlineStr">
        <is>
          <t>Enter search keywords</t>
        </is>
      </c>
      <c r="D4" s="21" t="inlineStr">
        <is>
          <t>បញ្ចូលពាក្យគន្លឹះស្វែងរក</t>
        </is>
      </c>
      <c r="E4" s="21" t="inlineStr">
        <is>
          <t>បញ្ចូលពាក្យគន្លឹះស្វែងរក</t>
        </is>
      </c>
      <c r="F4" s="10" t="n"/>
      <c r="G4" s="10" t="inlineStr">
        <is>
          <t>បញ្ចូលពាក្យគន្លឹះស្វែងរក</t>
        </is>
      </c>
      <c r="H4" s="10" t="inlineStr">
        <is>
          <t>បញ្ចូលពាក្យគន្លឹះស្វែងរក</t>
        </is>
      </c>
      <c r="I4" s="10" t="n"/>
      <c r="J4" s="10" t="n"/>
      <c r="K4" s="10" t="inlineStr">
        <is>
          <t>"common.titleSearch": "បញ្ចូលពាក្យគន្លឹះស្វែងរក",</t>
        </is>
      </c>
      <c r="L4" s="10" t="n"/>
      <c r="M4" s="10" t="n"/>
      <c r="N4" s="10" t="n"/>
      <c r="O4" s="10" t="n"/>
      <c r="P4" s="10" t="n"/>
      <c r="Q4" s="10" t="n"/>
      <c r="R4" s="10" t="n"/>
      <c r="S4" s="10" t="n"/>
      <c r="T4" s="10" t="n"/>
      <c r="U4" s="10" t="n"/>
      <c r="V4" s="10" t="n"/>
      <c r="W4" s="10" t="n"/>
      <c r="X4" s="10" t="n"/>
      <c r="Y4" s="10" t="n"/>
      <c r="Z4" s="10" t="n"/>
    </row>
    <row r="5">
      <c r="A5" s="27" t="inlineStr">
        <is>
          <t>common.stt</t>
        </is>
      </c>
      <c r="B5" s="27" t="inlineStr">
        <is>
          <t>STT</t>
        </is>
      </c>
      <c r="C5" s="27" t="inlineStr">
        <is>
          <t>No.</t>
        </is>
      </c>
      <c r="D5" s="21" t="inlineStr">
        <is>
          <t>លេខរៀង</t>
        </is>
      </c>
      <c r="E5" s="24" t="inlineStr">
        <is>
          <t>លេខរៀង</t>
        </is>
      </c>
      <c r="F5" s="10" t="n"/>
      <c r="G5" s="10" t="inlineStr">
        <is>
          <t>លេខរៀង</t>
        </is>
      </c>
      <c r="H5" s="10" t="inlineStr">
        <is>
          <t>លេខរៀង</t>
        </is>
      </c>
      <c r="I5" s="10" t="n"/>
      <c r="J5" s="10" t="n"/>
      <c r="K5" s="10" t="inlineStr">
        <is>
          <t>"common.stt": "លេខរៀង",</t>
        </is>
      </c>
      <c r="L5" s="10" t="n"/>
      <c r="M5" s="10" t="n"/>
      <c r="N5" s="10" t="n"/>
      <c r="O5" s="10" t="n"/>
      <c r="P5" s="10" t="n"/>
      <c r="Q5" s="10" t="n"/>
      <c r="R5" s="10" t="n"/>
      <c r="S5" s="10" t="n"/>
      <c r="T5" s="10" t="n"/>
      <c r="U5" s="10" t="n"/>
      <c r="V5" s="10" t="n"/>
      <c r="W5" s="10" t="n"/>
      <c r="X5" s="10" t="n"/>
      <c r="Y5" s="10" t="n"/>
      <c r="Z5" s="10" t="n"/>
    </row>
    <row r="6">
      <c r="A6" s="27" t="inlineStr">
        <is>
          <t>common.fullname</t>
        </is>
      </c>
      <c r="B6" s="27" t="inlineStr">
        <is>
          <t>Họ và tên</t>
        </is>
      </c>
      <c r="C6" s="27" t="inlineStr">
        <is>
          <t>Full name</t>
        </is>
      </c>
      <c r="D6" s="21" t="inlineStr">
        <is>
          <t>នាម&amp;ត្រកូល</t>
        </is>
      </c>
      <c r="E6" s="21" t="inlineStr">
        <is>
          <t>នាម&amp;ត្រកូល</t>
        </is>
      </c>
      <c r="F6" s="10" t="n"/>
      <c r="G6" s="10" t="inlineStr">
        <is>
          <t>ឈ្មោះពេញ</t>
        </is>
      </c>
      <c r="H6" s="10" t="inlineStr">
        <is>
          <t>ឈ្មោះពេញ</t>
        </is>
      </c>
      <c r="I6" s="10" t="n"/>
      <c r="J6" s="10" t="n"/>
      <c r="K6" s="10" t="inlineStr">
        <is>
          <t>"common.fullname": "ឈ្មោះពេញ",</t>
        </is>
      </c>
      <c r="L6" s="10" t="n"/>
      <c r="M6" s="10" t="n"/>
      <c r="N6" s="10" t="n"/>
      <c r="O6" s="10" t="n"/>
      <c r="P6" s="10" t="n"/>
      <c r="Q6" s="10" t="n"/>
      <c r="R6" s="10" t="n"/>
      <c r="S6" s="10" t="n"/>
      <c r="T6" s="10" t="n"/>
      <c r="U6" s="10" t="n"/>
      <c r="V6" s="10" t="n"/>
      <c r="W6" s="10" t="n"/>
      <c r="X6" s="10" t="n"/>
      <c r="Y6" s="10" t="n"/>
      <c r="Z6" s="10" t="n"/>
    </row>
    <row r="7">
      <c r="A7" s="27" t="inlineStr">
        <is>
          <t>common.address</t>
        </is>
      </c>
      <c r="B7" s="27" t="inlineStr">
        <is>
          <t>Địa chỉ</t>
        </is>
      </c>
      <c r="C7" s="27" t="inlineStr">
        <is>
          <t>Address</t>
        </is>
      </c>
      <c r="D7" s="21" t="inlineStr">
        <is>
          <t>អាស័យដ្ឋាន</t>
        </is>
      </c>
      <c r="E7" s="21" t="inlineStr">
        <is>
          <t>អាស័យដ្ឋាន</t>
        </is>
      </c>
      <c r="F7" s="10" t="n"/>
      <c r="G7" s="10" t="inlineStr">
        <is>
          <t>អាសយដ្ឋាន</t>
        </is>
      </c>
      <c r="H7" s="10" t="inlineStr">
        <is>
          <t>អាសយដ្ឋាន</t>
        </is>
      </c>
      <c r="I7" s="10" t="n"/>
      <c r="J7" s="10" t="n"/>
      <c r="K7" s="10" t="inlineStr">
        <is>
          <t>"common.address": "អាសយដ្ឋាន",</t>
        </is>
      </c>
      <c r="L7" s="10" t="n"/>
      <c r="M7" s="10" t="n"/>
      <c r="N7" s="10" t="n"/>
      <c r="O7" s="10" t="n"/>
      <c r="P7" s="10" t="n"/>
      <c r="Q7" s="10" t="n"/>
      <c r="R7" s="10" t="n"/>
      <c r="S7" s="10" t="n"/>
      <c r="T7" s="10" t="n"/>
      <c r="U7" s="10" t="n"/>
      <c r="V7" s="10" t="n"/>
      <c r="W7" s="10" t="n"/>
      <c r="X7" s="10" t="n"/>
      <c r="Y7" s="10" t="n"/>
      <c r="Z7" s="10" t="n"/>
    </row>
    <row r="8">
      <c r="A8" s="27" t="inlineStr">
        <is>
          <t>common.email</t>
        </is>
      </c>
      <c r="B8" s="27" t="inlineStr">
        <is>
          <t>Email</t>
        </is>
      </c>
      <c r="C8" s="27" t="inlineStr">
        <is>
          <t>Email</t>
        </is>
      </c>
      <c r="D8" s="21" t="inlineStr">
        <is>
          <t>អ៊ីម៉ែល</t>
        </is>
      </c>
      <c r="E8" s="21" t="inlineStr">
        <is>
          <t>អ៊ីម៉ែល</t>
        </is>
      </c>
      <c r="F8" s="10" t="n"/>
      <c r="G8" s="10" t="inlineStr">
        <is>
          <t>អ៊ីម៉ែល</t>
        </is>
      </c>
      <c r="H8" s="10" t="inlineStr">
        <is>
          <t>អ៊ីម៉ែល</t>
        </is>
      </c>
      <c r="I8" s="10" t="n"/>
      <c r="J8" s="10" t="n"/>
      <c r="K8" s="10" t="inlineStr">
        <is>
          <t>"common.email": "អ៊ីម៉ែល",</t>
        </is>
      </c>
      <c r="L8" s="10" t="n"/>
      <c r="M8" s="10" t="n"/>
      <c r="N8" s="10" t="n"/>
      <c r="O8" s="10" t="n"/>
      <c r="P8" s="10" t="n"/>
      <c r="Q8" s="10" t="n"/>
      <c r="R8" s="10" t="n"/>
      <c r="S8" s="10" t="n"/>
      <c r="T8" s="10" t="n"/>
      <c r="U8" s="10" t="n"/>
      <c r="V8" s="10" t="n"/>
      <c r="W8" s="10" t="n"/>
      <c r="X8" s="10" t="n"/>
      <c r="Y8" s="10" t="n"/>
      <c r="Z8" s="10" t="n"/>
    </row>
    <row r="9">
      <c r="A9" s="27" t="inlineStr">
        <is>
          <t>common.phone</t>
        </is>
      </c>
      <c r="B9" s="27" t="inlineStr">
        <is>
          <t>Số điện thoại</t>
        </is>
      </c>
      <c r="C9" s="27" t="inlineStr">
        <is>
          <t>Mobile number</t>
        </is>
      </c>
      <c r="D9" s="21" t="inlineStr">
        <is>
          <t>លេខទូរស័ព្ទ</t>
        </is>
      </c>
      <c r="E9" s="21" t="inlineStr">
        <is>
          <t>លេខទូរស័ព្ទ</t>
        </is>
      </c>
      <c r="F9" s="10" t="n"/>
      <c r="G9" s="10" t="inlineStr">
        <is>
          <t>លេខទូរស័ព្ទ</t>
        </is>
      </c>
      <c r="H9" s="10" t="inlineStr">
        <is>
          <t>លេខទូរស័ព្ទ</t>
        </is>
      </c>
      <c r="I9" s="10" t="n"/>
      <c r="J9" s="10" t="n"/>
      <c r="K9" s="10" t="inlineStr">
        <is>
          <t>"common.phone": "លេខទូរស័ព្ទ",</t>
        </is>
      </c>
      <c r="L9" s="10" t="n"/>
      <c r="M9" s="10" t="n"/>
      <c r="N9" s="10" t="n"/>
      <c r="O9" s="10" t="n"/>
      <c r="P9" s="10" t="n"/>
      <c r="Q9" s="10" t="n"/>
      <c r="R9" s="10" t="n"/>
      <c r="S9" s="10" t="n"/>
      <c r="T9" s="10" t="n"/>
      <c r="U9" s="10" t="n"/>
      <c r="V9" s="10" t="n"/>
      <c r="W9" s="10" t="n"/>
      <c r="X9" s="10" t="n"/>
      <c r="Y9" s="10" t="n"/>
      <c r="Z9" s="10" t="n"/>
    </row>
    <row r="10">
      <c r="A10" s="27" t="inlineStr">
        <is>
          <t>common.tool</t>
        </is>
      </c>
      <c r="B10" s="27" t="inlineStr">
        <is>
          <t>Công cụ</t>
        </is>
      </c>
      <c r="C10" s="27" t="inlineStr">
        <is>
          <t>Tool</t>
        </is>
      </c>
      <c r="D10" s="21" t="inlineStr">
        <is>
          <t>ឧបករណ៍</t>
        </is>
      </c>
      <c r="E10" s="21" t="inlineStr">
        <is>
          <t>ឧបករណ៍</t>
        </is>
      </c>
      <c r="F10" s="10" t="n"/>
      <c r="G10" s="10" t="inlineStr">
        <is>
          <t>ឧបករណ៍</t>
        </is>
      </c>
      <c r="H10" s="10" t="inlineStr">
        <is>
          <t>ឧបករណ៍</t>
        </is>
      </c>
      <c r="I10" s="10" t="n"/>
      <c r="J10" s="10" t="n"/>
      <c r="K10" s="10" t="inlineStr">
        <is>
          <t>"common.tool": "ឧបករណ៍",</t>
        </is>
      </c>
      <c r="L10" s="10" t="n"/>
      <c r="M10" s="10" t="n"/>
      <c r="N10" s="10" t="n"/>
      <c r="O10" s="10" t="n"/>
      <c r="P10" s="10" t="n"/>
      <c r="Q10" s="10" t="n"/>
      <c r="R10" s="10" t="n"/>
      <c r="S10" s="10" t="n"/>
      <c r="T10" s="10" t="n"/>
      <c r="U10" s="10" t="n"/>
      <c r="V10" s="10" t="n"/>
      <c r="W10" s="10" t="n"/>
      <c r="X10" s="10" t="n"/>
      <c r="Y10" s="10" t="n"/>
      <c r="Z10" s="10" t="n"/>
    </row>
    <row r="11">
      <c r="A11" s="27" t="inlineStr">
        <is>
          <t>common.handle</t>
        </is>
      </c>
      <c r="B11" s="27" t="inlineStr">
        <is>
          <t>Thao tác</t>
        </is>
      </c>
      <c r="C11" s="27" t="inlineStr">
        <is>
          <t>Action</t>
        </is>
      </c>
      <c r="D11" s="21" t="inlineStr">
        <is>
          <t>ប្រតិបត្តិការ</t>
        </is>
      </c>
      <c r="E11" s="21" t="inlineStr">
        <is>
          <t>ប្រតិបត្តិការ</t>
        </is>
      </c>
      <c r="F11" s="10" t="n"/>
      <c r="G11" s="10" t="inlineStr">
        <is>
          <t>ប្រតិបត្តិការ</t>
        </is>
      </c>
      <c r="H11" s="10" t="inlineStr">
        <is>
          <t>ប្រតិបត្តិការ</t>
        </is>
      </c>
      <c r="I11" s="10" t="n"/>
      <c r="J11" s="10" t="n"/>
      <c r="K11" s="10" t="inlineStr">
        <is>
          <t>"common.handle": "ប្រតិបត្តិការ",</t>
        </is>
      </c>
      <c r="L11" s="10" t="n"/>
      <c r="M11" s="10" t="n"/>
      <c r="N11" s="10" t="n"/>
      <c r="O11" s="10" t="n"/>
      <c r="P11" s="10" t="n"/>
      <c r="Q11" s="10" t="n"/>
      <c r="R11" s="10" t="n"/>
      <c r="S11" s="10" t="n"/>
      <c r="T11" s="10" t="n"/>
      <c r="U11" s="10" t="n"/>
      <c r="V11" s="10" t="n"/>
      <c r="W11" s="10" t="n"/>
      <c r="X11" s="10" t="n"/>
      <c r="Y11" s="10" t="n"/>
      <c r="Z11" s="10" t="n"/>
    </row>
    <row r="12">
      <c r="A12" s="27" t="inlineStr">
        <is>
          <t>common.confirm</t>
        </is>
      </c>
      <c r="B12" s="27" t="inlineStr">
        <is>
          <t>Xác nhận</t>
        </is>
      </c>
      <c r="C12" s="27" t="inlineStr">
        <is>
          <t>Confirm</t>
        </is>
      </c>
      <c r="D12" s="21" t="inlineStr">
        <is>
          <t>កំណត់</t>
        </is>
      </c>
      <c r="E12" s="21" t="inlineStr">
        <is>
          <t>កំណត់</t>
        </is>
      </c>
      <c r="F12" s="10" t="n"/>
      <c r="G12" s="10" t="inlineStr">
        <is>
          <t>បញ្ជាក់</t>
        </is>
      </c>
      <c r="H12" s="10" t="inlineStr">
        <is>
          <t>បញ្ជាក់</t>
        </is>
      </c>
      <c r="I12" s="10" t="n"/>
      <c r="J12" s="10" t="n"/>
      <c r="K12" s="10" t="inlineStr">
        <is>
          <t>"common.confirm": "បញ្ជាក់",</t>
        </is>
      </c>
      <c r="L12" s="10" t="n"/>
      <c r="M12" s="10" t="n"/>
      <c r="N12" s="10" t="n"/>
      <c r="O12" s="10" t="n"/>
      <c r="P12" s="10" t="n"/>
      <c r="Q12" s="10" t="n"/>
      <c r="R12" s="10" t="n"/>
      <c r="S12" s="10" t="n"/>
      <c r="T12" s="10" t="n"/>
      <c r="U12" s="10" t="n"/>
      <c r="V12" s="10" t="n"/>
      <c r="W12" s="10" t="n"/>
      <c r="X12" s="10" t="n"/>
      <c r="Y12" s="10" t="n"/>
      <c r="Z12" s="10" t="n"/>
    </row>
    <row r="13">
      <c r="A13" s="27" t="inlineStr">
        <is>
          <t>common.selectPostOffice</t>
        </is>
      </c>
      <c r="B13" s="27" t="inlineStr">
        <is>
          <t>Bưu cục</t>
        </is>
      </c>
      <c r="C13" s="27" t="inlineStr">
        <is>
          <t>Select Post Office</t>
        </is>
      </c>
      <c r="D13" s="21" t="inlineStr">
        <is>
          <t>ការិយាល័យប្រៃសណីយ៍</t>
        </is>
      </c>
      <c r="E13" s="21" t="inlineStr">
        <is>
          <t>ការិយាល័យប្រៃសណីយ៍</t>
        </is>
      </c>
      <c r="F13" s="10" t="n"/>
      <c r="G13" s="10" t="inlineStr">
        <is>
          <t>ការិយាល័យប្រៃសណីយ៍</t>
        </is>
      </c>
      <c r="H13" s="10" t="inlineStr">
        <is>
          <t>ការិយាល័យប្រៃសណីយ៍</t>
        </is>
      </c>
      <c r="I13" s="10" t="n"/>
      <c r="J13" s="10" t="n"/>
      <c r="K13" s="10" t="inlineStr">
        <is>
          <t>"common.selectPostOffice": "ការិយាល័យប្រៃសណីយ៍",</t>
        </is>
      </c>
      <c r="L13" s="10" t="n"/>
      <c r="M13" s="10" t="n"/>
      <c r="N13" s="10" t="n"/>
      <c r="O13" s="10" t="n"/>
      <c r="P13" s="10" t="n"/>
      <c r="Q13" s="10" t="n"/>
      <c r="R13" s="10" t="n"/>
      <c r="S13" s="10" t="n"/>
      <c r="T13" s="10" t="n"/>
      <c r="U13" s="10" t="n"/>
      <c r="V13" s="10" t="n"/>
      <c r="W13" s="10" t="n"/>
      <c r="X13" s="10" t="n"/>
      <c r="Y13" s="10" t="n"/>
      <c r="Z13" s="10" t="n"/>
    </row>
    <row r="14">
      <c r="A14" s="27" t="inlineStr">
        <is>
          <t>common.notification</t>
        </is>
      </c>
      <c r="B14" s="27" t="inlineStr">
        <is>
          <t>Thông báo</t>
        </is>
      </c>
      <c r="C14" s="27" t="inlineStr">
        <is>
          <t>Notification</t>
        </is>
      </c>
      <c r="D14" s="21" t="inlineStr">
        <is>
          <t>សេចក្តីជូនដំណឹង</t>
        </is>
      </c>
      <c r="E14" s="21" t="inlineStr">
        <is>
          <t>សេចក្តីជូនដំណឹង</t>
        </is>
      </c>
      <c r="F14" s="10" t="n"/>
      <c r="G14" s="10" t="inlineStr">
        <is>
          <t>ការជូនដំណឹង</t>
        </is>
      </c>
      <c r="H14" s="10" t="inlineStr">
        <is>
          <t>ការជូនដំណឹង</t>
        </is>
      </c>
      <c r="I14" s="10" t="n"/>
      <c r="J14" s="10" t="n"/>
      <c r="K14" s="10" t="inlineStr">
        <is>
          <t>"common.notification": "ការជូនដំណឹង",</t>
        </is>
      </c>
      <c r="L14" s="10" t="n"/>
      <c r="M14" s="10" t="n"/>
      <c r="N14" s="10" t="n"/>
      <c r="O14" s="10" t="n"/>
      <c r="P14" s="10" t="n"/>
      <c r="Q14" s="10" t="n"/>
      <c r="R14" s="10" t="n"/>
      <c r="S14" s="10" t="n"/>
      <c r="T14" s="10" t="n"/>
      <c r="U14" s="10" t="n"/>
      <c r="V14" s="10" t="n"/>
      <c r="W14" s="10" t="n"/>
      <c r="X14" s="10" t="n"/>
      <c r="Y14" s="10" t="n"/>
      <c r="Z14" s="10" t="n"/>
    </row>
    <row r="15">
      <c r="A15" s="27" t="inlineStr">
        <is>
          <t>common.update</t>
        </is>
      </c>
      <c r="B15" s="27" t="inlineStr">
        <is>
          <t>Cập nhật</t>
        </is>
      </c>
      <c r="C15" s="27" t="inlineStr">
        <is>
          <t>Update</t>
        </is>
      </c>
      <c r="D15" s="21" t="inlineStr">
        <is>
          <t>អាប់ដេត</t>
        </is>
      </c>
      <c r="E15" s="21" t="inlineStr">
        <is>
          <t>អាប់ដេត</t>
        </is>
      </c>
      <c r="F15" s="10" t="n"/>
      <c r="G15" s="10" t="inlineStr">
        <is>
          <t>ធ្វើបច្ចុប្បន្នភាព</t>
        </is>
      </c>
      <c r="H15" s="10" t="inlineStr">
        <is>
          <t>ធ្វើបច្ចុប្បន្នភាព</t>
        </is>
      </c>
      <c r="I15" s="10" t="n"/>
      <c r="J15" s="10" t="n"/>
      <c r="K15" s="10" t="inlineStr">
        <is>
          <t>"common.update": "ធ្វើបច្ចុប្បន្នភាព",</t>
        </is>
      </c>
      <c r="L15" s="10" t="n"/>
      <c r="M15" s="10" t="n"/>
      <c r="N15" s="10" t="n"/>
      <c r="O15" s="10" t="n"/>
      <c r="P15" s="10" t="n"/>
      <c r="Q15" s="10" t="n"/>
      <c r="R15" s="10" t="n"/>
      <c r="S15" s="10" t="n"/>
      <c r="T15" s="10" t="n"/>
      <c r="U15" s="10" t="n"/>
      <c r="V15" s="10" t="n"/>
      <c r="W15" s="10" t="n"/>
      <c r="X15" s="10" t="n"/>
      <c r="Y15" s="10" t="n"/>
      <c r="Z15" s="10" t="n"/>
    </row>
    <row r="16">
      <c r="A16" s="27" t="inlineStr">
        <is>
          <t>common.createSuccess</t>
        </is>
      </c>
      <c r="B16" s="27" t="inlineStr">
        <is>
          <t>Thêm mới thành công</t>
        </is>
      </c>
      <c r="C16" s="27" t="inlineStr">
        <is>
          <t>Successfully created</t>
        </is>
      </c>
      <c r="D16" s="21" t="inlineStr">
        <is>
          <t>បន្ថែមថ្មីបានជោគជ័យ</t>
        </is>
      </c>
      <c r="E16" s="21" t="inlineStr">
        <is>
          <t>បន្ថែមថ្មីបានជោគជ័យ</t>
        </is>
      </c>
      <c r="F16" s="10" t="n"/>
      <c r="G16" s="10" t="inlineStr">
        <is>
          <t>បន្ថែមថ្មីបានជោគជ័យ</t>
        </is>
      </c>
      <c r="H16" s="10" t="inlineStr">
        <is>
          <t>បន្ថែមថ្មីបានជោគជ័យ</t>
        </is>
      </c>
      <c r="I16" s="10" t="n"/>
      <c r="J16" s="10" t="n"/>
      <c r="K16" s="10" t="inlineStr">
        <is>
          <t>"common.createSuccess": "បន្ថែមថ្មីបានជោគជ័យ",</t>
        </is>
      </c>
      <c r="L16" s="10" t="n"/>
      <c r="M16" s="10" t="n"/>
      <c r="N16" s="10" t="n"/>
      <c r="O16" s="10" t="n"/>
      <c r="P16" s="10" t="n"/>
      <c r="Q16" s="10" t="n"/>
      <c r="R16" s="10" t="n"/>
      <c r="S16" s="10" t="n"/>
      <c r="T16" s="10" t="n"/>
      <c r="U16" s="10" t="n"/>
      <c r="V16" s="10" t="n"/>
      <c r="W16" s="10" t="n"/>
      <c r="X16" s="10" t="n"/>
      <c r="Y16" s="10" t="n"/>
      <c r="Z16" s="10" t="n"/>
    </row>
    <row r="17">
      <c r="A17" s="27" t="inlineStr">
        <is>
          <t>common.updateSuccess</t>
        </is>
      </c>
      <c r="B17" s="27" t="inlineStr">
        <is>
          <t>Cập nhật thành công</t>
        </is>
      </c>
      <c r="C17" s="27" t="inlineStr">
        <is>
          <t>Successfully updated</t>
        </is>
      </c>
      <c r="D17" s="21" t="inlineStr">
        <is>
          <t>អាប់ដេតបានជោគជ័យ</t>
        </is>
      </c>
      <c r="E17" s="21" t="inlineStr">
        <is>
          <t>អាប់ដេតបានជោគជ័យ</t>
        </is>
      </c>
      <c r="F17" s="10" t="n"/>
      <c r="G17" s="10" t="inlineStr">
        <is>
          <t>អាប់ដេតបានជោគជ័យ</t>
        </is>
      </c>
      <c r="H17" s="10" t="inlineStr">
        <is>
          <t>អាប់ដេតបានជោគជ័យ</t>
        </is>
      </c>
      <c r="I17" s="10" t="n"/>
      <c r="J17" s="10" t="n"/>
      <c r="K17" s="10" t="inlineStr">
        <is>
          <t>"common.updateSuccess": "អាប់ដេតបានជោគជ័យ",</t>
        </is>
      </c>
      <c r="L17" s="10" t="n"/>
      <c r="M17" s="10" t="n"/>
      <c r="N17" s="10" t="n"/>
      <c r="O17" s="10" t="n"/>
      <c r="P17" s="10" t="n"/>
      <c r="Q17" s="10" t="n"/>
      <c r="R17" s="10" t="n"/>
      <c r="S17" s="10" t="n"/>
      <c r="T17" s="10" t="n"/>
      <c r="U17" s="10" t="n"/>
      <c r="V17" s="10" t="n"/>
      <c r="W17" s="10" t="n"/>
      <c r="X17" s="10" t="n"/>
      <c r="Y17" s="10" t="n"/>
      <c r="Z17" s="10" t="n"/>
    </row>
    <row r="18">
      <c r="A18" s="27" t="inlineStr">
        <is>
          <t>common.createFail</t>
        </is>
      </c>
      <c r="B18" s="27" t="inlineStr">
        <is>
          <t>Thêm mới thất bại</t>
        </is>
      </c>
      <c r="C18" s="27" t="inlineStr">
        <is>
          <t>Failed to create</t>
        </is>
      </c>
      <c r="D18" s="21" t="inlineStr">
        <is>
          <t>បន្ថែមថ្មី្មបរាជ័យ</t>
        </is>
      </c>
      <c r="E18" s="21" t="inlineStr">
        <is>
          <t>បន្ថែមថ្មី្មបរាជ័យ</t>
        </is>
      </c>
      <c r="F18" s="10" t="n"/>
      <c r="G18" s="10" t="inlineStr">
        <is>
          <t>បន្ថែមថ្មី្មបរាជ័យ</t>
        </is>
      </c>
      <c r="H18" s="10" t="inlineStr">
        <is>
          <t>បន្ថែមថ្មី្មបរាជ័យ</t>
        </is>
      </c>
      <c r="I18" s="10" t="n"/>
      <c r="J18" s="10" t="n"/>
      <c r="K18" s="10" t="inlineStr">
        <is>
          <t>"common.createFail": "បន្ថែមថ្មី្មបរាជ័យ",</t>
        </is>
      </c>
      <c r="L18" s="10" t="n"/>
      <c r="M18" s="10" t="n"/>
      <c r="N18" s="10" t="n"/>
      <c r="O18" s="10" t="n"/>
      <c r="P18" s="10" t="n"/>
      <c r="Q18" s="10" t="n"/>
      <c r="R18" s="10" t="n"/>
      <c r="S18" s="10" t="n"/>
      <c r="T18" s="10" t="n"/>
      <c r="U18" s="10" t="n"/>
      <c r="V18" s="10" t="n"/>
      <c r="W18" s="10" t="n"/>
      <c r="X18" s="10" t="n"/>
      <c r="Y18" s="10" t="n"/>
      <c r="Z18" s="10" t="n"/>
    </row>
    <row r="19">
      <c r="A19" s="27" t="inlineStr">
        <is>
          <t>common.updateFail</t>
        </is>
      </c>
      <c r="B19" s="27" t="inlineStr">
        <is>
          <t>Cập nhật thất bại</t>
        </is>
      </c>
      <c r="C19" s="27" t="inlineStr">
        <is>
          <t>Failed to update</t>
        </is>
      </c>
      <c r="D19" s="21" t="inlineStr">
        <is>
          <t>អាប់ដេតបានបរាជ័យ</t>
        </is>
      </c>
      <c r="E19" s="21" t="inlineStr">
        <is>
          <t>អាប់ដេតបានបរាជ័យ</t>
        </is>
      </c>
      <c r="F19" s="10" t="n"/>
      <c r="G19" s="10" t="inlineStr">
        <is>
          <t>អាប់ដេតបានបរាជ័យ</t>
        </is>
      </c>
      <c r="H19" s="10" t="inlineStr">
        <is>
          <t>អាប់ដេតបានបរាជ័យ</t>
        </is>
      </c>
      <c r="I19" s="10" t="n"/>
      <c r="J19" s="10" t="n"/>
      <c r="K19" s="10" t="inlineStr">
        <is>
          <t>"common.updateFail": "អាប់ដេតបានបរាជ័យ",</t>
        </is>
      </c>
      <c r="L19" s="10" t="n"/>
      <c r="M19" s="10" t="n"/>
      <c r="N19" s="10" t="n"/>
      <c r="O19" s="10" t="n"/>
      <c r="P19" s="10" t="n"/>
      <c r="Q19" s="10" t="n"/>
      <c r="R19" s="10" t="n"/>
      <c r="S19" s="10" t="n"/>
      <c r="T19" s="10" t="n"/>
      <c r="U19" s="10" t="n"/>
      <c r="V19" s="10" t="n"/>
      <c r="W19" s="10" t="n"/>
      <c r="X19" s="10" t="n"/>
      <c r="Y19" s="10" t="n"/>
      <c r="Z19" s="10" t="n"/>
    </row>
    <row r="20">
      <c r="A20" s="27" t="inlineStr">
        <is>
          <t>common.fail</t>
        </is>
      </c>
      <c r="B20" s="27" t="inlineStr">
        <is>
          <t>Thất bại</t>
        </is>
      </c>
      <c r="C20" s="27" t="inlineStr">
        <is>
          <t>Failed</t>
        </is>
      </c>
      <c r="D20" s="21" t="inlineStr">
        <is>
          <t>បរាជ័យ</t>
        </is>
      </c>
      <c r="E20" s="21" t="inlineStr">
        <is>
          <t>បរាជ័យ</t>
        </is>
      </c>
      <c r="F20" s="10" t="n"/>
      <c r="G20" s="10" t="inlineStr">
        <is>
          <t>បរាជ័យ</t>
        </is>
      </c>
      <c r="H20" s="10" t="inlineStr">
        <is>
          <t>បរាជ័យ</t>
        </is>
      </c>
      <c r="I20" s="10" t="n"/>
      <c r="J20" s="10" t="n"/>
      <c r="K20" s="10" t="inlineStr">
        <is>
          <t>"common.fail": "បរាជ័យ",</t>
        </is>
      </c>
      <c r="L20" s="10" t="n"/>
      <c r="M20" s="10" t="n"/>
      <c r="N20" s="10" t="n"/>
      <c r="O20" s="10" t="n"/>
      <c r="P20" s="10" t="n"/>
      <c r="Q20" s="10" t="n"/>
      <c r="R20" s="10" t="n"/>
      <c r="S20" s="10" t="n"/>
      <c r="T20" s="10" t="n"/>
      <c r="U20" s="10" t="n"/>
      <c r="V20" s="10" t="n"/>
      <c r="W20" s="10" t="n"/>
      <c r="X20" s="10" t="n"/>
      <c r="Y20" s="10" t="n"/>
      <c r="Z20" s="10" t="n"/>
    </row>
    <row r="21">
      <c r="A21" s="27" t="inlineStr">
        <is>
          <t>common.systemError</t>
        </is>
      </c>
      <c r="B21" s="27" t="inlineStr">
        <is>
          <t>Lỗi hệ thống!</t>
        </is>
      </c>
      <c r="C21" s="27" t="inlineStr">
        <is>
          <t>There is a system error.!</t>
        </is>
      </c>
      <c r="D21" s="102" t="n"/>
      <c r="E21" s="21" t="inlineStr">
        <is>
          <t>ប្រព័ន្ធមានបញ្ហា!</t>
        </is>
      </c>
      <c r="F21" s="10" t="n"/>
      <c r="G21" s="10" t="inlineStr">
        <is>
          <t>ប្រព័ន្ធមានបញ្ហា!</t>
        </is>
      </c>
      <c r="H21" s="10" t="inlineStr">
        <is>
          <t>ប្រព័ន្ធមានបញ្ហា!</t>
        </is>
      </c>
      <c r="I21" s="10" t="n"/>
      <c r="J21" s="10" t="n"/>
      <c r="K21" s="10" t="inlineStr">
        <is>
          <t>"common.systemError": "ប្រព័ន្ធមានបញ្ហា!",</t>
        </is>
      </c>
      <c r="L21" s="10" t="n"/>
      <c r="M21" s="10" t="n"/>
      <c r="N21" s="10" t="n"/>
      <c r="O21" s="10" t="n"/>
      <c r="P21" s="10" t="n"/>
      <c r="Q21" s="10" t="n"/>
      <c r="R21" s="10" t="n"/>
      <c r="S21" s="10" t="n"/>
      <c r="T21" s="10" t="n"/>
      <c r="U21" s="10" t="n"/>
      <c r="V21" s="10" t="n"/>
      <c r="W21" s="10" t="n"/>
      <c r="X21" s="10" t="n"/>
      <c r="Y21" s="10" t="n"/>
      <c r="Z21" s="10" t="n"/>
    </row>
    <row r="22">
      <c r="A22" s="27" t="inlineStr">
        <is>
          <t>common.cancel</t>
        </is>
      </c>
      <c r="B22" s="27" t="inlineStr">
        <is>
          <t>Hủy</t>
        </is>
      </c>
      <c r="C22" s="27" t="inlineStr">
        <is>
          <t>Cancel</t>
        </is>
      </c>
      <c r="D22" s="21" t="inlineStr">
        <is>
          <t>លុបចោល</t>
        </is>
      </c>
      <c r="E22" s="21" t="inlineStr">
        <is>
          <t>លុបចោល</t>
        </is>
      </c>
      <c r="F22" s="10" t="n"/>
      <c r="G22" s="10" t="inlineStr">
        <is>
          <t>លុបចោល</t>
        </is>
      </c>
      <c r="H22" s="10" t="inlineStr">
        <is>
          <t>លុបចោល</t>
        </is>
      </c>
      <c r="I22" s="10" t="n"/>
      <c r="J22" s="10" t="n"/>
      <c r="K22" s="10" t="inlineStr">
        <is>
          <t>"common.cancel": "លុបចោល",</t>
        </is>
      </c>
      <c r="L22" s="10" t="n"/>
      <c r="M22" s="10" t="n"/>
      <c r="N22" s="10" t="n"/>
      <c r="O22" s="10" t="n"/>
      <c r="P22" s="10" t="n"/>
      <c r="Q22" s="10" t="n"/>
      <c r="R22" s="10" t="n"/>
      <c r="S22" s="10" t="n"/>
      <c r="T22" s="10" t="n"/>
      <c r="U22" s="10" t="n"/>
      <c r="V22" s="10" t="n"/>
      <c r="W22" s="10" t="n"/>
      <c r="X22" s="10" t="n"/>
      <c r="Y22" s="10" t="n"/>
      <c r="Z22" s="10" t="n"/>
    </row>
    <row r="23">
      <c r="A23" s="27" t="inlineStr">
        <is>
          <t>common.save</t>
        </is>
      </c>
      <c r="B23" s="27" t="inlineStr">
        <is>
          <t>Lưu lại</t>
        </is>
      </c>
      <c r="C23" s="27" t="inlineStr">
        <is>
          <t>Save</t>
        </is>
      </c>
      <c r="D23" s="21" t="inlineStr">
        <is>
          <t>រក្សាទុកម្តងទៀត</t>
        </is>
      </c>
      <c r="E23" s="21" t="inlineStr">
        <is>
          <t>រក្សាទុកម្តងទៀត</t>
        </is>
      </c>
      <c r="F23" s="10" t="n"/>
      <c r="G23" s="10" t="inlineStr">
        <is>
          <t>រក្សាទុកម្តងទៀត</t>
        </is>
      </c>
      <c r="H23" s="10" t="inlineStr">
        <is>
          <t>រក្សាទុកម្តងទៀត</t>
        </is>
      </c>
      <c r="I23" s="10" t="n"/>
      <c r="J23" s="10" t="n"/>
      <c r="K23" s="10" t="inlineStr">
        <is>
          <t>"common.save": "រក្សាទុកម្តងទៀត",</t>
        </is>
      </c>
      <c r="L23" s="10" t="n"/>
      <c r="M23" s="10" t="n"/>
      <c r="N23" s="10" t="n"/>
      <c r="O23" s="10" t="n"/>
      <c r="P23" s="10" t="n"/>
      <c r="Q23" s="10" t="n"/>
      <c r="R23" s="10" t="n"/>
      <c r="S23" s="10" t="n"/>
      <c r="T23" s="10" t="n"/>
      <c r="U23" s="10" t="n"/>
      <c r="V23" s="10" t="n"/>
      <c r="W23" s="10" t="n"/>
      <c r="X23" s="10" t="n"/>
      <c r="Y23" s="10" t="n"/>
      <c r="Z23" s="10" t="n"/>
    </row>
    <row r="24">
      <c r="A24" s="27" t="inlineStr">
        <is>
          <t>common.noneEmpty</t>
        </is>
      </c>
      <c r="B24" s="27" t="inlineStr">
        <is>
          <t>không được để trống</t>
        </is>
      </c>
      <c r="C24" s="27" t="inlineStr">
        <is>
          <t>cannot be blank</t>
        </is>
      </c>
      <c r="D24" s="21" t="inlineStr">
        <is>
          <t>មិនអាចទុកចន្លោះបានទេ</t>
        </is>
      </c>
      <c r="E24" s="21" t="inlineStr">
        <is>
          <t>មិនអាចទុកចន្លោះបានទេ</t>
        </is>
      </c>
      <c r="F24" s="10" t="n"/>
      <c r="G24" s="10" t="inlineStr">
        <is>
          <t>មិនអាចទុកចន្លោះបានទេ</t>
        </is>
      </c>
      <c r="H24" s="10" t="inlineStr">
        <is>
          <t>មិនអាចទុកចន្លោះបានទេ</t>
        </is>
      </c>
      <c r="I24" s="10" t="n"/>
      <c r="J24" s="10" t="n"/>
      <c r="K24" s="10" t="inlineStr">
        <is>
          <t>"common.noneEmpty": "មិនអាចទុកចន្លោះបានទេ",</t>
        </is>
      </c>
      <c r="L24" s="10" t="n"/>
      <c r="M24" s="10" t="n"/>
      <c r="N24" s="10" t="n"/>
      <c r="O24" s="10" t="n"/>
      <c r="P24" s="10" t="n"/>
      <c r="Q24" s="10" t="n"/>
      <c r="R24" s="10" t="n"/>
      <c r="S24" s="10" t="n"/>
      <c r="T24" s="10" t="n"/>
      <c r="U24" s="10" t="n"/>
      <c r="V24" s="10" t="n"/>
      <c r="W24" s="10" t="n"/>
      <c r="X24" s="10" t="n"/>
      <c r="Y24" s="10" t="n"/>
      <c r="Z24" s="10" t="n"/>
    </row>
    <row r="25">
      <c r="A25" s="27" t="inlineStr">
        <is>
          <t>common.empty</t>
        </is>
      </c>
      <c r="B25" s="27" t="inlineStr">
        <is>
          <t>Không thấy dữ liệu phù hợp</t>
        </is>
      </c>
      <c r="C25" s="27" t="inlineStr">
        <is>
          <t>No matching data found</t>
        </is>
      </c>
      <c r="D25" s="21" t="inlineStr">
        <is>
          <t>មិនរកឃើញទិន្នន័យដែលសមស្រប</t>
        </is>
      </c>
      <c r="E25" s="21" t="inlineStr">
        <is>
          <t>មិនរកឃើញទិន្នន័យដែលសមស្រប</t>
        </is>
      </c>
      <c r="F25" s="10" t="n"/>
      <c r="G25" s="10" t="inlineStr">
        <is>
          <t>មិនរកឃើញទិន្នន័យដែលសមស្រប</t>
        </is>
      </c>
      <c r="H25" s="10" t="inlineStr">
        <is>
          <t>មិនរកឃើញទិន្នន័យដែលសមស្រប</t>
        </is>
      </c>
      <c r="I25" s="10" t="n"/>
      <c r="J25" s="10" t="n"/>
      <c r="K25" s="10" t="inlineStr">
        <is>
          <t>"common.empty": "មិនរកឃើញទិន្នន័យដែលសមស្រប",</t>
        </is>
      </c>
      <c r="L25" s="10" t="n"/>
      <c r="M25" s="10" t="n"/>
      <c r="N25" s="10" t="n"/>
      <c r="O25" s="10" t="n"/>
      <c r="P25" s="10" t="n"/>
      <c r="Q25" s="10" t="n"/>
      <c r="R25" s="10" t="n"/>
      <c r="S25" s="10" t="n"/>
      <c r="T25" s="10" t="n"/>
      <c r="U25" s="10" t="n"/>
      <c r="V25" s="10" t="n"/>
      <c r="W25" s="10" t="n"/>
      <c r="X25" s="10" t="n"/>
      <c r="Y25" s="10" t="n"/>
      <c r="Z25" s="10" t="n"/>
    </row>
    <row r="26">
      <c r="A26" s="27" t="inlineStr">
        <is>
          <t>common.ok</t>
        </is>
      </c>
      <c r="B26" s="27" t="inlineStr">
        <is>
          <t>Ok</t>
        </is>
      </c>
      <c r="C26" s="27" t="inlineStr">
        <is>
          <t>Ok</t>
        </is>
      </c>
      <c r="D26" s="27" t="inlineStr">
        <is>
          <t>ok</t>
        </is>
      </c>
      <c r="E26" s="21" t="inlineStr">
        <is>
          <t>យល់ព្រម</t>
        </is>
      </c>
      <c r="F26" s="10" t="n"/>
      <c r="G26" s="10" t="inlineStr">
        <is>
          <t>យល់ព្រម</t>
        </is>
      </c>
      <c r="H26" s="10" t="inlineStr">
        <is>
          <t>យល់ព្រម</t>
        </is>
      </c>
      <c r="I26" s="10" t="n"/>
      <c r="J26" s="10" t="n"/>
      <c r="K26" s="10" t="inlineStr">
        <is>
          <t>"common.ok": "យល់ព្រម",</t>
        </is>
      </c>
      <c r="L26" s="10" t="n"/>
      <c r="M26" s="10" t="n"/>
      <c r="N26" s="10" t="n"/>
      <c r="O26" s="10" t="n"/>
      <c r="P26" s="10" t="n"/>
      <c r="Q26" s="10" t="n"/>
      <c r="R26" s="10" t="n"/>
      <c r="S26" s="10" t="n"/>
      <c r="T26" s="10" t="n"/>
      <c r="U26" s="10" t="n"/>
      <c r="V26" s="10" t="n"/>
      <c r="W26" s="10" t="n"/>
      <c r="X26" s="10" t="n"/>
      <c r="Y26" s="10" t="n"/>
      <c r="Z26" s="10" t="n"/>
    </row>
    <row r="27">
      <c r="A27" s="27" t="inlineStr">
        <is>
          <t>common.record</t>
        </is>
      </c>
      <c r="B27" s="27" t="inlineStr">
        <is>
          <t>Tổng bản ghi</t>
        </is>
      </c>
      <c r="C27" s="27" t="inlineStr">
        <is>
          <t>Record</t>
        </is>
      </c>
      <c r="D27" s="102" t="n"/>
      <c r="E27" s="21" t="inlineStr">
        <is>
          <t>សរុប</t>
        </is>
      </c>
      <c r="F27" s="10" t="n"/>
      <c r="G27" s="10" t="inlineStr">
        <is>
          <t>កំណត់ត្រា</t>
        </is>
      </c>
      <c r="H27" s="10" t="inlineStr">
        <is>
          <t>កំណត់ត្រា</t>
        </is>
      </c>
      <c r="I27" s="10" t="n"/>
      <c r="J27" s="10" t="n"/>
      <c r="K27" s="10" t="inlineStr">
        <is>
          <t>"common.record": "កំណត់ត្រា",</t>
        </is>
      </c>
      <c r="L27" s="10" t="n"/>
      <c r="M27" s="10" t="n"/>
      <c r="N27" s="10" t="n"/>
      <c r="O27" s="10" t="n"/>
      <c r="P27" s="10" t="n"/>
      <c r="Q27" s="10" t="n"/>
      <c r="R27" s="10" t="n"/>
      <c r="S27" s="10" t="n"/>
      <c r="T27" s="10" t="n"/>
      <c r="U27" s="10" t="n"/>
      <c r="V27" s="10" t="n"/>
      <c r="W27" s="10" t="n"/>
      <c r="X27" s="10" t="n"/>
      <c r="Y27" s="10" t="n"/>
      <c r="Z27" s="10" t="n"/>
    </row>
    <row r="28">
      <c r="A28" s="27" t="inlineStr">
        <is>
          <t>common.close</t>
        </is>
      </c>
      <c r="B28" s="27" t="inlineStr">
        <is>
          <t>Đóng</t>
        </is>
      </c>
      <c r="C28" s="27" t="inlineStr">
        <is>
          <t>Close</t>
        </is>
      </c>
      <c r="D28" s="21" t="inlineStr">
        <is>
          <t>បិទ</t>
        </is>
      </c>
      <c r="E28" s="21" t="inlineStr">
        <is>
          <t>បិទ</t>
        </is>
      </c>
      <c r="F28" s="10" t="n"/>
      <c r="G28" s="10" t="inlineStr">
        <is>
          <t>បិទ</t>
        </is>
      </c>
      <c r="H28" s="10" t="inlineStr">
        <is>
          <t>បិទ</t>
        </is>
      </c>
      <c r="I28" s="10" t="n"/>
      <c r="J28" s="10" t="n"/>
      <c r="K28" s="10" t="inlineStr">
        <is>
          <t>"common.close": "បិទ",</t>
        </is>
      </c>
      <c r="L28" s="10" t="n"/>
      <c r="M28" s="10" t="n"/>
      <c r="N28" s="10" t="n"/>
      <c r="O28" s="10" t="n"/>
      <c r="P28" s="10" t="n"/>
      <c r="Q28" s="10" t="n"/>
      <c r="R28" s="10" t="n"/>
      <c r="S28" s="10" t="n"/>
      <c r="T28" s="10" t="n"/>
      <c r="U28" s="10" t="n"/>
      <c r="V28" s="10" t="n"/>
      <c r="W28" s="10" t="n"/>
      <c r="X28" s="10" t="n"/>
      <c r="Y28" s="10" t="n"/>
      <c r="Z28" s="10" t="n"/>
    </row>
    <row r="29">
      <c r="A29" s="27" t="inlineStr">
        <is>
          <t>common.validateEmail</t>
        </is>
      </c>
      <c r="B29" s="27" t="inlineStr">
        <is>
          <t>Vui lòng điền đúng định dạng email</t>
        </is>
      </c>
      <c r="C29" s="27" t="inlineStr">
        <is>
          <t>Please enter in the correct email format</t>
        </is>
      </c>
      <c r="D29" s="21" t="inlineStr">
        <is>
          <t>សូមបំពេញឲ្យត្រូវតាមទម្រង់អ៊ីម៉ែល</t>
        </is>
      </c>
      <c r="E29" s="21" t="inlineStr">
        <is>
          <t>សូមបំពេញឲ្យត្រូវតាមទម្រង់អ៊ីម៉ែល</t>
        </is>
      </c>
      <c r="F29" s="10" t="n"/>
      <c r="G29" s="10" t="inlineStr">
        <is>
          <t>សូមបំពេញឲ្យត្រូវតាមទម្រង់អ៊ីម៉ែល</t>
        </is>
      </c>
      <c r="H29" s="10" t="inlineStr">
        <is>
          <t>សូមបំពេញឲ្យត្រូវតាមទម្រង់អ៊ីម៉ែល</t>
        </is>
      </c>
      <c r="I29" s="10" t="n"/>
      <c r="J29" s="10" t="n"/>
      <c r="K29" s="10" t="inlineStr">
        <is>
          <t>"common.validateEmail": "សូមបំពេញឲ្យត្រូវតាមទម្រង់អ៊ីម៉ែល",</t>
        </is>
      </c>
      <c r="L29" s="10" t="n"/>
      <c r="M29" s="10" t="n"/>
      <c r="N29" s="10" t="n"/>
      <c r="O29" s="10" t="n"/>
      <c r="P29" s="10" t="n"/>
      <c r="Q29" s="10" t="n"/>
      <c r="R29" s="10" t="n"/>
      <c r="S29" s="10" t="n"/>
      <c r="T29" s="10" t="n"/>
      <c r="U29" s="10" t="n"/>
      <c r="V29" s="10" t="n"/>
      <c r="W29" s="10" t="n"/>
      <c r="X29" s="10" t="n"/>
      <c r="Y29" s="10" t="n"/>
      <c r="Z29" s="10" t="n"/>
    </row>
    <row r="30">
      <c r="A30" s="27" t="inlineStr">
        <is>
          <t>common.all</t>
        </is>
      </c>
      <c r="B30" s="27" t="inlineStr">
        <is>
          <t>Tất cả</t>
        </is>
      </c>
      <c r="C30" s="27" t="inlineStr">
        <is>
          <t>All</t>
        </is>
      </c>
      <c r="D30" s="21" t="inlineStr">
        <is>
          <t>ទាំងអស់</t>
        </is>
      </c>
      <c r="E30" s="21" t="inlineStr">
        <is>
          <t>ទាំងអស់</t>
        </is>
      </c>
      <c r="F30" s="10" t="n"/>
      <c r="G30" s="10" t="inlineStr">
        <is>
          <t>ទាំងអស់</t>
        </is>
      </c>
      <c r="H30" s="10" t="inlineStr">
        <is>
          <t>ទាំងអស់</t>
        </is>
      </c>
      <c r="I30" s="10" t="n"/>
      <c r="J30" s="10" t="n"/>
      <c r="K30" s="10" t="inlineStr">
        <is>
          <t>"common.all": "ទាំងអស់",</t>
        </is>
      </c>
      <c r="L30" s="10" t="n"/>
      <c r="M30" s="10" t="n"/>
      <c r="N30" s="10" t="n"/>
      <c r="O30" s="10" t="n"/>
      <c r="P30" s="10" t="n"/>
      <c r="Q30" s="10" t="n"/>
      <c r="R30" s="10" t="n"/>
      <c r="S30" s="10" t="n"/>
      <c r="T30" s="10" t="n"/>
      <c r="U30" s="10" t="n"/>
      <c r="V30" s="10" t="n"/>
      <c r="W30" s="10" t="n"/>
      <c r="X30" s="10" t="n"/>
      <c r="Y30" s="10" t="n"/>
      <c r="Z30" s="10" t="n"/>
    </row>
    <row r="31">
      <c r="A31" s="27" t="inlineStr">
        <is>
          <t>common.total</t>
        </is>
      </c>
      <c r="B31" s="27" t="inlineStr">
        <is>
          <t>Tổng</t>
        </is>
      </c>
      <c r="C31" s="27" t="inlineStr">
        <is>
          <t>Total</t>
        </is>
      </c>
      <c r="D31" s="21" t="inlineStr">
        <is>
          <t>សរុប</t>
        </is>
      </c>
      <c r="E31" s="21" t="inlineStr">
        <is>
          <t>សរុប</t>
        </is>
      </c>
      <c r="F31" s="10" t="n"/>
      <c r="G31" s="10" t="inlineStr">
        <is>
          <t>សរុប</t>
        </is>
      </c>
      <c r="H31" s="10" t="inlineStr">
        <is>
          <t>សរុប</t>
        </is>
      </c>
      <c r="I31" s="10" t="n"/>
      <c r="J31" s="10" t="n"/>
      <c r="K31" s="10" t="inlineStr">
        <is>
          <t>"common.total": "សរុប",</t>
        </is>
      </c>
      <c r="L31" s="10" t="n"/>
      <c r="M31" s="10" t="n"/>
      <c r="N31" s="10" t="n"/>
      <c r="O31" s="10" t="n"/>
      <c r="P31" s="10" t="n"/>
      <c r="Q31" s="10" t="n"/>
      <c r="R31" s="10" t="n"/>
      <c r="S31" s="10" t="n"/>
      <c r="T31" s="10" t="n"/>
      <c r="U31" s="10" t="n"/>
      <c r="V31" s="10" t="n"/>
      <c r="W31" s="10" t="n"/>
      <c r="X31" s="10" t="n"/>
      <c r="Y31" s="10" t="n"/>
      <c r="Z31" s="10" t="n"/>
    </row>
    <row r="32">
      <c r="A32" s="27" t="inlineStr">
        <is>
          <t>common.errorBoundary</t>
        </is>
      </c>
      <c r="B32" s="27" t="inlineStr">
        <is>
          <t>Lỗi tải trang</t>
        </is>
      </c>
      <c r="C32" s="27" t="inlineStr">
        <is>
          <t>Page loading error</t>
        </is>
      </c>
      <c r="D32" s="102" t="n"/>
      <c r="E32" s="21" t="inlineStr">
        <is>
          <t>ការទាញយកមានបញ្ហា</t>
        </is>
      </c>
      <c r="F32" s="10" t="n"/>
      <c r="G32" s="10" t="inlineStr">
        <is>
          <t>កំហុសក្នុងការដំណើរការទំព័រ</t>
        </is>
      </c>
      <c r="H32" s="10" t="inlineStr">
        <is>
          <t>កំហុសក្នុងការដំណើរការទំព័រ</t>
        </is>
      </c>
      <c r="I32" s="10" t="n"/>
      <c r="J32" s="10" t="n"/>
      <c r="K32" s="10" t="inlineStr">
        <is>
          <t>"common.errorBoundary": "កំហុសក្នុងការដំណើរការទំព័រ",</t>
        </is>
      </c>
      <c r="L32" s="10" t="n"/>
      <c r="M32" s="10" t="n"/>
      <c r="N32" s="10" t="n"/>
      <c r="O32" s="10" t="n"/>
      <c r="P32" s="10" t="n"/>
      <c r="Q32" s="10" t="n"/>
      <c r="R32" s="10" t="n"/>
      <c r="S32" s="10" t="n"/>
      <c r="T32" s="10" t="n"/>
      <c r="U32" s="10" t="n"/>
      <c r="V32" s="10" t="n"/>
      <c r="W32" s="10" t="n"/>
      <c r="X32" s="10" t="n"/>
      <c r="Y32" s="10" t="n"/>
      <c r="Z32" s="10" t="n"/>
    </row>
    <row r="33">
      <c r="A33" s="27" t="inlineStr">
        <is>
          <t>common.featureDevelopment</t>
        </is>
      </c>
      <c r="B33" s="27" t="inlineStr">
        <is>
          <t>Tính năng đang phát triển</t>
        </is>
      </c>
      <c r="C33" s="27" t="inlineStr">
        <is>
          <t>Feature in development</t>
        </is>
      </c>
      <c r="D33" s="21" t="inlineStr">
        <is>
          <t>មុខងារកំពុងអភិវឌ្ឍន៍</t>
        </is>
      </c>
      <c r="E33" s="21" t="inlineStr">
        <is>
          <t>មុខងារកំពុងអភិវឌ្ឍន៍</t>
        </is>
      </c>
      <c r="F33" s="10" t="n"/>
      <c r="G33" s="10" t="inlineStr">
        <is>
          <t>មុខងារកំពុងអភិវឌ្ឍន៍</t>
        </is>
      </c>
      <c r="H33" s="10" t="inlineStr">
        <is>
          <t>មុខងារកំពុងអភិវឌ្ឍន៍</t>
        </is>
      </c>
      <c r="I33" s="10" t="n"/>
      <c r="J33" s="10" t="n"/>
      <c r="K33" s="10" t="inlineStr">
        <is>
          <t>"common.featureDevelopment": "មុខងារកំពុងអភិវឌ្ឍន៍",</t>
        </is>
      </c>
      <c r="L33" s="10" t="n"/>
      <c r="M33" s="10" t="n"/>
      <c r="N33" s="10" t="n"/>
      <c r="O33" s="10" t="n"/>
      <c r="P33" s="10" t="n"/>
      <c r="Q33" s="10" t="n"/>
      <c r="R33" s="10" t="n"/>
      <c r="S33" s="10" t="n"/>
      <c r="T33" s="10" t="n"/>
      <c r="U33" s="10" t="n"/>
      <c r="V33" s="10" t="n"/>
      <c r="W33" s="10" t="n"/>
      <c r="X33" s="10" t="n"/>
      <c r="Y33" s="10" t="n"/>
      <c r="Z33" s="10" t="n"/>
    </row>
    <row r="34">
      <c r="A34" s="27" t="inlineStr">
        <is>
          <t>common.select</t>
        </is>
      </c>
      <c r="B34" s="27" t="inlineStr">
        <is>
          <t>Chọn</t>
        </is>
      </c>
      <c r="C34" s="27" t="inlineStr">
        <is>
          <t>Select</t>
        </is>
      </c>
      <c r="D34" s="21" t="inlineStr">
        <is>
          <t>ជ្រើសរើស</t>
        </is>
      </c>
      <c r="E34" s="21" t="inlineStr">
        <is>
          <t>ជ្រើសរើស</t>
        </is>
      </c>
      <c r="F34" s="10" t="n"/>
      <c r="G34" s="10" t="inlineStr">
        <is>
          <t>ជ្រើសរើស</t>
        </is>
      </c>
      <c r="H34" s="10" t="inlineStr">
        <is>
          <t>ជ្រើសរើស</t>
        </is>
      </c>
      <c r="I34" s="10" t="n"/>
      <c r="J34" s="10" t="n"/>
      <c r="K34" s="10" t="inlineStr">
        <is>
          <t>"common.select": "ជ្រើសរើស",</t>
        </is>
      </c>
      <c r="L34" s="10" t="n"/>
      <c r="M34" s="10" t="n"/>
      <c r="N34" s="10" t="n"/>
      <c r="O34" s="10" t="n"/>
      <c r="P34" s="10" t="n"/>
      <c r="Q34" s="10" t="n"/>
      <c r="R34" s="10" t="n"/>
      <c r="S34" s="10" t="n"/>
      <c r="T34" s="10" t="n"/>
      <c r="U34" s="10" t="n"/>
      <c r="V34" s="10" t="n"/>
      <c r="W34" s="10" t="n"/>
      <c r="X34" s="10" t="n"/>
      <c r="Y34" s="10" t="n"/>
      <c r="Z34" s="10" t="n"/>
    </row>
    <row r="35">
      <c r="A35" s="27" t="inlineStr">
        <is>
          <t>common.confirmTitle</t>
        </is>
      </c>
      <c r="B35" s="27" t="inlineStr">
        <is>
          <t>Thông báo</t>
        </is>
      </c>
      <c r="C35" s="27" t="inlineStr">
        <is>
          <t>Notification</t>
        </is>
      </c>
      <c r="D35" s="21" t="inlineStr">
        <is>
          <t>សេចក្តីជូនដំណឹង</t>
        </is>
      </c>
      <c r="E35" s="21" t="inlineStr">
        <is>
          <t>សេចក្តីជូនដំណឹង</t>
        </is>
      </c>
      <c r="F35" s="10" t="n"/>
      <c r="G35" s="10" t="inlineStr">
        <is>
          <t>ការជូនដំណឹង</t>
        </is>
      </c>
      <c r="H35" s="10" t="inlineStr">
        <is>
          <t>ការជូនដំណឹង</t>
        </is>
      </c>
      <c r="I35" s="10" t="n"/>
      <c r="J35" s="10" t="n"/>
      <c r="K35" s="10" t="inlineStr">
        <is>
          <t>"common.confirmTitle": "ការជូនដំណឹង",</t>
        </is>
      </c>
      <c r="L35" s="10" t="n"/>
      <c r="M35" s="10" t="n"/>
      <c r="N35" s="10" t="n"/>
      <c r="O35" s="10" t="n"/>
      <c r="P35" s="10" t="n"/>
      <c r="Q35" s="10" t="n"/>
      <c r="R35" s="10" t="n"/>
      <c r="S35" s="10" t="n"/>
      <c r="T35" s="10" t="n"/>
      <c r="U35" s="10" t="n"/>
      <c r="V35" s="10" t="n"/>
      <c r="W35" s="10" t="n"/>
      <c r="X35" s="10" t="n"/>
      <c r="Y35" s="10" t="n"/>
      <c r="Z35" s="10" t="n"/>
    </row>
    <row r="36">
      <c r="A36" s="27" t="inlineStr">
        <is>
          <t>common.add</t>
        </is>
      </c>
      <c r="B36" s="27" t="inlineStr">
        <is>
          <t>Thêm</t>
        </is>
      </c>
      <c r="C36" s="27" t="inlineStr">
        <is>
          <t>Add</t>
        </is>
      </c>
      <c r="D36" s="21" t="inlineStr">
        <is>
          <t>បន្ថែម</t>
        </is>
      </c>
      <c r="E36" s="21" t="inlineStr">
        <is>
          <t>បន្ថែម</t>
        </is>
      </c>
      <c r="F36" s="10" t="n"/>
      <c r="G36" s="10" t="inlineStr">
        <is>
          <t>បន្ថែម</t>
        </is>
      </c>
      <c r="H36" s="10" t="inlineStr">
        <is>
          <t>បន្ថែម</t>
        </is>
      </c>
      <c r="I36" s="10" t="n"/>
      <c r="J36" s="10" t="n"/>
      <c r="K36" s="10" t="inlineStr">
        <is>
          <t>"common.add": "បន្ថែម",</t>
        </is>
      </c>
      <c r="L36" s="10" t="n"/>
      <c r="M36" s="10" t="n"/>
      <c r="N36" s="10" t="n"/>
      <c r="O36" s="10" t="n"/>
      <c r="P36" s="10" t="n"/>
      <c r="Q36" s="10" t="n"/>
      <c r="R36" s="10" t="n"/>
      <c r="S36" s="10" t="n"/>
      <c r="T36" s="10" t="n"/>
      <c r="U36" s="10" t="n"/>
      <c r="V36" s="10" t="n"/>
      <c r="W36" s="10" t="n"/>
      <c r="X36" s="10" t="n"/>
      <c r="Y36" s="10" t="n"/>
      <c r="Z36" s="10" t="n"/>
    </row>
    <row r="37">
      <c r="A37" s="27" t="inlineStr">
        <is>
          <t>common.detail</t>
        </is>
      </c>
      <c r="B37" s="27" t="inlineStr">
        <is>
          <t>Chi tiết</t>
        </is>
      </c>
      <c r="C37" s="27" t="inlineStr">
        <is>
          <t>Detail</t>
        </is>
      </c>
      <c r="D37" s="21" t="inlineStr">
        <is>
          <t>លម្អិត</t>
        </is>
      </c>
      <c r="E37" s="21" t="inlineStr">
        <is>
          <t>លម្អិត</t>
        </is>
      </c>
      <c r="F37" s="10" t="n"/>
      <c r="G37" s="10" t="inlineStr">
        <is>
          <t>ព័ត៌មានលម្អិត</t>
        </is>
      </c>
      <c r="H37" s="10" t="inlineStr">
        <is>
          <t>ព័ត៌មានលម្អិត</t>
        </is>
      </c>
      <c r="I37" s="10" t="n"/>
      <c r="J37" s="10" t="n"/>
      <c r="K37" s="10" t="inlineStr">
        <is>
          <t>"common.detail": "ព័ត៌មានលម្អិត",</t>
        </is>
      </c>
      <c r="L37" s="10" t="n"/>
      <c r="M37" s="10" t="n"/>
      <c r="N37" s="10" t="n"/>
      <c r="O37" s="10" t="n"/>
      <c r="P37" s="10" t="n"/>
      <c r="Q37" s="10" t="n"/>
      <c r="R37" s="10" t="n"/>
      <c r="S37" s="10" t="n"/>
      <c r="T37" s="10" t="n"/>
      <c r="U37" s="10" t="n"/>
      <c r="V37" s="10" t="n"/>
      <c r="W37" s="10" t="n"/>
      <c r="X37" s="10" t="n"/>
      <c r="Y37" s="10" t="n"/>
      <c r="Z37" s="10" t="n"/>
    </row>
    <row r="38">
      <c r="A38" s="27" t="inlineStr">
        <is>
          <t>common.complete</t>
        </is>
      </c>
      <c r="B38" s="27" t="inlineStr">
        <is>
          <t>Hoàn thành</t>
        </is>
      </c>
      <c r="C38" s="27" t="inlineStr">
        <is>
          <t>Complete</t>
        </is>
      </c>
      <c r="D38" s="21" t="inlineStr">
        <is>
          <t>បញ្ចប់</t>
        </is>
      </c>
      <c r="E38" s="21" t="inlineStr">
        <is>
          <t>បញ្ចប់</t>
        </is>
      </c>
      <c r="F38" s="10" t="n"/>
      <c r="G38" s="10" t="inlineStr">
        <is>
          <t>បានបញ្ចប់</t>
        </is>
      </c>
      <c r="H38" s="10" t="inlineStr">
        <is>
          <t>បានបញ្ចប់</t>
        </is>
      </c>
      <c r="I38" s="10" t="n"/>
      <c r="J38" s="10" t="n"/>
      <c r="K38" s="10" t="inlineStr">
        <is>
          <t>"common.complete": "បានបញ្ចប់",</t>
        </is>
      </c>
      <c r="L38" s="10" t="n"/>
      <c r="M38" s="10" t="n"/>
      <c r="N38" s="10" t="n"/>
      <c r="O38" s="10" t="n"/>
      <c r="P38" s="10" t="n"/>
      <c r="Q38" s="10" t="n"/>
      <c r="R38" s="10" t="n"/>
      <c r="S38" s="10" t="n"/>
      <c r="T38" s="10" t="n"/>
      <c r="U38" s="10" t="n"/>
      <c r="V38" s="10" t="n"/>
      <c r="W38" s="10" t="n"/>
      <c r="X38" s="10" t="n"/>
      <c r="Y38" s="10" t="n"/>
      <c r="Z38" s="10" t="n"/>
    </row>
    <row r="39">
      <c r="A39" s="27" t="inlineStr">
        <is>
          <t>common.viewDetail</t>
        </is>
      </c>
      <c r="B39" s="27" t="inlineStr">
        <is>
          <t>Xem chi tiết</t>
        </is>
      </c>
      <c r="C39" s="27" t="inlineStr">
        <is>
          <t>Detail</t>
        </is>
      </c>
      <c r="D39" s="21" t="inlineStr">
        <is>
          <t>មើលលម្អិត</t>
        </is>
      </c>
      <c r="E39" s="21" t="inlineStr">
        <is>
          <t>មើលលម្អិត</t>
        </is>
      </c>
      <c r="F39" s="10" t="n"/>
      <c r="G39" s="10" t="inlineStr">
        <is>
          <t>មើលព័ត៌មានលម្អិត</t>
        </is>
      </c>
      <c r="H39" s="10" t="inlineStr">
        <is>
          <t>មើលព័ត៌មានលម្អិត</t>
        </is>
      </c>
      <c r="I39" s="10" t="n"/>
      <c r="J39" s="10" t="n"/>
      <c r="K39" s="10" t="inlineStr">
        <is>
          <t>"common.viewDetail": "មើលព័ត៌មានលម្អិត",</t>
        </is>
      </c>
      <c r="L39" s="10" t="n"/>
      <c r="M39" s="10" t="n"/>
      <c r="N39" s="10" t="n"/>
      <c r="O39" s="10" t="n"/>
      <c r="P39" s="10" t="n"/>
      <c r="Q39" s="10" t="n"/>
      <c r="R39" s="10" t="n"/>
      <c r="S39" s="10" t="n"/>
      <c r="T39" s="10" t="n"/>
      <c r="U39" s="10" t="n"/>
      <c r="V39" s="10" t="n"/>
      <c r="W39" s="10" t="n"/>
      <c r="X39" s="10" t="n"/>
      <c r="Y39" s="10" t="n"/>
      <c r="Z39" s="10" t="n"/>
    </row>
    <row r="40">
      <c r="A40" s="27" t="inlineStr">
        <is>
          <t>common.printCode</t>
        </is>
      </c>
      <c r="B40" s="27" t="inlineStr">
        <is>
          <t>In nhãn</t>
        </is>
      </c>
      <c r="C40" s="27" t="inlineStr">
        <is>
          <t>Print</t>
        </is>
      </c>
      <c r="D40" s="21" t="inlineStr">
        <is>
          <t>ព្រីនស្លាក</t>
        </is>
      </c>
      <c r="E40" s="21" t="inlineStr">
        <is>
          <t>ព្រីនស្លាក</t>
        </is>
      </c>
      <c r="F40" s="10" t="n"/>
      <c r="G40" s="10" t="inlineStr">
        <is>
          <t>ព្រីនផ្លាកបុង</t>
        </is>
      </c>
      <c r="H40" s="10" t="inlineStr">
        <is>
          <t>ព្រីនផ្លាកបុង</t>
        </is>
      </c>
      <c r="I40" s="10" t="n"/>
      <c r="J40" s="10" t="n"/>
      <c r="K40" s="10" t="inlineStr">
        <is>
          <t>"common.printCode": "ព្រីនផ្លាកបុង",</t>
        </is>
      </c>
      <c r="L40" s="10" t="n"/>
      <c r="M40" s="10" t="n"/>
      <c r="N40" s="10" t="n"/>
      <c r="O40" s="10" t="n"/>
      <c r="P40" s="10" t="n"/>
      <c r="Q40" s="10" t="n"/>
      <c r="R40" s="10" t="n"/>
      <c r="S40" s="10" t="n"/>
      <c r="T40" s="10" t="n"/>
      <c r="U40" s="10" t="n"/>
      <c r="V40" s="10" t="n"/>
      <c r="W40" s="10" t="n"/>
      <c r="X40" s="10" t="n"/>
      <c r="Y40" s="10" t="n"/>
      <c r="Z40" s="10" t="n"/>
    </row>
    <row r="41">
      <c r="A41" s="27" t="inlineStr">
        <is>
          <t>common.createNew</t>
        </is>
      </c>
      <c r="B41" s="27" t="inlineStr">
        <is>
          <t>Tạo mới</t>
        </is>
      </c>
      <c r="C41" s="27" t="inlineStr">
        <is>
          <t>Create</t>
        </is>
      </c>
      <c r="D41" s="21" t="inlineStr">
        <is>
          <t>បង្កើតថ្មី</t>
        </is>
      </c>
      <c r="E41" s="21" t="inlineStr">
        <is>
          <t>បង្កើតថ្មី</t>
        </is>
      </c>
      <c r="F41" s="10" t="n"/>
      <c r="G41" s="10" t="inlineStr">
        <is>
          <t>បង្កើតថ្មី</t>
        </is>
      </c>
      <c r="H41" s="10" t="inlineStr">
        <is>
          <t>បង្កើតថ្មី</t>
        </is>
      </c>
      <c r="I41" s="10" t="n"/>
      <c r="J41" s="10" t="n"/>
      <c r="K41" s="10" t="inlineStr">
        <is>
          <t>"common.createNew": "បង្កើតថ្មី",</t>
        </is>
      </c>
      <c r="L41" s="10" t="n"/>
      <c r="M41" s="10" t="n"/>
      <c r="N41" s="10" t="n"/>
      <c r="O41" s="10" t="n"/>
      <c r="P41" s="10" t="n"/>
      <c r="Q41" s="10" t="n"/>
      <c r="R41" s="10" t="n"/>
      <c r="S41" s="10" t="n"/>
      <c r="T41" s="10" t="n"/>
      <c r="U41" s="10" t="n"/>
      <c r="V41" s="10" t="n"/>
      <c r="W41" s="10" t="n"/>
      <c r="X41" s="10" t="n"/>
      <c r="Y41" s="10" t="n"/>
      <c r="Z41" s="10" t="n"/>
    </row>
    <row r="42">
      <c r="A42" s="27" t="inlineStr">
        <is>
          <t>common.skip</t>
        </is>
      </c>
      <c r="B42" s="27" t="inlineStr">
        <is>
          <t>Bỏ qua</t>
        </is>
      </c>
      <c r="C42" s="27" t="inlineStr">
        <is>
          <t>Cancel</t>
        </is>
      </c>
      <c r="D42" s="21" t="inlineStr">
        <is>
          <t>រំលង</t>
        </is>
      </c>
      <c r="E42" s="21" t="inlineStr">
        <is>
          <t>រំលង</t>
        </is>
      </c>
      <c r="F42" s="10" t="n"/>
      <c r="G42" s="10" t="inlineStr">
        <is>
          <t>រំលង</t>
        </is>
      </c>
      <c r="H42" s="10" t="inlineStr">
        <is>
          <t>រំលង</t>
        </is>
      </c>
      <c r="I42" s="10" t="n"/>
      <c r="J42" s="10" t="n"/>
      <c r="K42" s="10" t="inlineStr">
        <is>
          <t>"common.skip": "រំលង",</t>
        </is>
      </c>
      <c r="L42" s="10" t="n"/>
      <c r="M42" s="10" t="n"/>
      <c r="N42" s="10" t="n"/>
      <c r="O42" s="10" t="n"/>
      <c r="P42" s="10" t="n"/>
      <c r="Q42" s="10" t="n"/>
      <c r="R42" s="10" t="n"/>
      <c r="S42" s="10" t="n"/>
      <c r="T42" s="10" t="n"/>
      <c r="U42" s="10" t="n"/>
      <c r="V42" s="10" t="n"/>
      <c r="W42" s="10" t="n"/>
      <c r="X42" s="10" t="n"/>
      <c r="Y42" s="10" t="n"/>
      <c r="Z42" s="10" t="n"/>
    </row>
    <row r="43">
      <c r="A43" s="27" t="inlineStr">
        <is>
          <t>common.unknown</t>
        </is>
      </c>
      <c r="B43" s="27" t="inlineStr">
        <is>
          <t>Chưa xác định</t>
        </is>
      </c>
      <c r="C43" s="27" t="inlineStr">
        <is>
          <t>Unknown</t>
        </is>
      </c>
      <c r="D43" s="21" t="inlineStr">
        <is>
          <t>មិនទាន់បានកំណត់</t>
        </is>
      </c>
      <c r="E43" s="21" t="inlineStr">
        <is>
          <t>មិនទាន់បានកំណត់</t>
        </is>
      </c>
      <c r="F43" s="10" t="n"/>
      <c r="G43" s="10" t="inlineStr">
        <is>
          <t>មិនទាន់កំណត់</t>
        </is>
      </c>
      <c r="H43" s="10" t="inlineStr">
        <is>
          <t>មិនទាន់កំណត់</t>
        </is>
      </c>
      <c r="I43" s="10" t="n"/>
      <c r="J43" s="10" t="n"/>
      <c r="K43" s="10" t="inlineStr">
        <is>
          <t>"common.unknown": "មិនទាន់កំណត់",</t>
        </is>
      </c>
      <c r="L43" s="10" t="n"/>
      <c r="M43" s="10" t="n"/>
      <c r="N43" s="10" t="n"/>
      <c r="O43" s="10" t="n"/>
      <c r="P43" s="10" t="n"/>
      <c r="Q43" s="10" t="n"/>
      <c r="R43" s="10" t="n"/>
      <c r="S43" s="10" t="n"/>
      <c r="T43" s="10" t="n"/>
      <c r="U43" s="10" t="n"/>
      <c r="V43" s="10" t="n"/>
      <c r="W43" s="10" t="n"/>
      <c r="X43" s="10" t="n"/>
      <c r="Y43" s="10" t="n"/>
      <c r="Z43" s="10" t="n"/>
    </row>
    <row r="44">
      <c r="A44" s="27" t="inlineStr">
        <is>
          <t>common.emptyOrder</t>
        </is>
      </c>
      <c r="B44" s="27" t="inlineStr">
        <is>
          <t>Vui lòng nhập phiếu gửi để tìm kiếm</t>
        </is>
      </c>
      <c r="C44" s="27" t="inlineStr">
        <is>
          <t>Please enter the order code to search</t>
        </is>
      </c>
      <c r="D44" s="21" t="inlineStr">
        <is>
          <t>សូមបញ្ចូលបុងបញ្ញើដើម្បីស្វែងរក</t>
        </is>
      </c>
      <c r="E44" s="21" t="inlineStr">
        <is>
          <t>សូមបញ្ចូលបុងបញ្ញើដើម្បីស្វែងរក</t>
        </is>
      </c>
      <c r="F44" s="10" t="n"/>
      <c r="G44" s="10" t="inlineStr">
        <is>
          <t>សូមបញ្ចូលបុងបញ្ញើដើម្បីស្វែងរក</t>
        </is>
      </c>
      <c r="H44" s="10" t="inlineStr">
        <is>
          <t>សូមបញ្ចូលបុងបញ្ញើដើម្បីស្វែងរក</t>
        </is>
      </c>
      <c r="I44" s="10" t="n"/>
      <c r="J44" s="10" t="n"/>
      <c r="K44" s="10" t="inlineStr">
        <is>
          <t>"common.emptyOrder": "សូមបញ្ចូលបុងបញ្ញើដើម្បីស្វែងរក",</t>
        </is>
      </c>
      <c r="L44" s="10" t="n"/>
      <c r="M44" s="10" t="n"/>
      <c r="N44" s="10" t="n"/>
      <c r="O44" s="10" t="n"/>
      <c r="P44" s="10" t="n"/>
      <c r="Q44" s="10" t="n"/>
      <c r="R44" s="10" t="n"/>
      <c r="S44" s="10" t="n"/>
      <c r="T44" s="10" t="n"/>
      <c r="U44" s="10" t="n"/>
      <c r="V44" s="10" t="n"/>
      <c r="W44" s="10" t="n"/>
      <c r="X44" s="10" t="n"/>
      <c r="Y44" s="10" t="n"/>
      <c r="Z44" s="10" t="n"/>
    </row>
    <row r="45">
      <c r="A45" s="27" t="inlineStr">
        <is>
          <t>common.apply</t>
        </is>
      </c>
      <c r="B45" s="27" t="inlineStr">
        <is>
          <t>Áp dụng</t>
        </is>
      </c>
      <c r="C45" s="27" t="inlineStr">
        <is>
          <t>Apply</t>
        </is>
      </c>
      <c r="D45" s="21" t="inlineStr">
        <is>
          <t>អនុវត្តន៍</t>
        </is>
      </c>
      <c r="E45" s="21" t="inlineStr">
        <is>
          <t>អនុវត្តន៍</t>
        </is>
      </c>
      <c r="F45" s="10" t="n"/>
      <c r="G45" s="10" t="inlineStr">
        <is>
          <t>អនុវត្ត</t>
        </is>
      </c>
      <c r="H45" s="10" t="inlineStr">
        <is>
          <t>អនុវត្ត</t>
        </is>
      </c>
      <c r="I45" s="10" t="n"/>
      <c r="J45" s="10" t="n"/>
      <c r="K45" s="10" t="inlineStr">
        <is>
          <t>"common.apply": "អនុវត្ត",</t>
        </is>
      </c>
      <c r="L45" s="10" t="n"/>
      <c r="M45" s="10" t="n"/>
      <c r="N45" s="10" t="n"/>
      <c r="O45" s="10" t="n"/>
      <c r="P45" s="10" t="n"/>
      <c r="Q45" s="10" t="n"/>
      <c r="R45" s="10" t="n"/>
      <c r="S45" s="10" t="n"/>
      <c r="T45" s="10" t="n"/>
      <c r="U45" s="10" t="n"/>
      <c r="V45" s="10" t="n"/>
      <c r="W45" s="10" t="n"/>
      <c r="X45" s="10" t="n"/>
      <c r="Y45" s="10" t="n"/>
      <c r="Z45" s="10" t="n"/>
    </row>
    <row r="46">
      <c r="A46" s="27" t="inlineStr">
        <is>
          <t>common.refresh</t>
        </is>
      </c>
      <c r="B46" s="27" t="inlineStr">
        <is>
          <t>Làm mới</t>
        </is>
      </c>
      <c r="C46" s="27" t="inlineStr">
        <is>
          <t>Refresh</t>
        </is>
      </c>
      <c r="D46" s="21" t="inlineStr">
        <is>
          <t>ធ្វើថ្មី</t>
        </is>
      </c>
      <c r="E46" s="21" t="inlineStr">
        <is>
          <t>ធ្វើថ្មី</t>
        </is>
      </c>
      <c r="F46" s="10" t="n"/>
      <c r="G46" s="10" t="inlineStr">
        <is>
          <t>ផ្ទុកឡើងវិញ</t>
        </is>
      </c>
      <c r="H46" s="10" t="inlineStr">
        <is>
          <t>ផ្ទុកឡើងវិញ</t>
        </is>
      </c>
      <c r="I46" s="10" t="n"/>
      <c r="J46" s="10" t="n"/>
      <c r="K46" s="10" t="inlineStr">
        <is>
          <t>"common.refresh": "ផ្ទុកឡើងវិញ",</t>
        </is>
      </c>
      <c r="L46" s="10" t="n"/>
      <c r="M46" s="10" t="n"/>
      <c r="N46" s="10" t="n"/>
      <c r="O46" s="10" t="n"/>
      <c r="P46" s="10" t="n"/>
      <c r="Q46" s="10" t="n"/>
      <c r="R46" s="10" t="n"/>
      <c r="S46" s="10" t="n"/>
      <c r="T46" s="10" t="n"/>
      <c r="U46" s="10" t="n"/>
      <c r="V46" s="10" t="n"/>
      <c r="W46" s="10" t="n"/>
      <c r="X46" s="10" t="n"/>
      <c r="Y46" s="10" t="n"/>
      <c r="Z46" s="10" t="n"/>
    </row>
    <row r="47">
      <c r="A47" s="27" t="inlineStr">
        <is>
          <t>common.page</t>
        </is>
      </c>
      <c r="B47" s="27" t="inlineStr">
        <is>
          <t>Trang</t>
        </is>
      </c>
      <c r="C47" s="27" t="inlineStr">
        <is>
          <t>page</t>
        </is>
      </c>
      <c r="D47" s="21" t="inlineStr">
        <is>
          <t>ទំព័រ</t>
        </is>
      </c>
      <c r="E47" s="21" t="inlineStr">
        <is>
          <t>ទំព័រ</t>
        </is>
      </c>
      <c r="F47" s="10" t="n"/>
      <c r="G47" s="10" t="inlineStr">
        <is>
          <t>ទំព័រ</t>
        </is>
      </c>
      <c r="H47" s="10" t="inlineStr">
        <is>
          <t>ទំព័រ</t>
        </is>
      </c>
      <c r="I47" s="10" t="n"/>
      <c r="J47" s="10" t="n"/>
      <c r="K47" s="10" t="inlineStr">
        <is>
          <t>"common.page": "ទំព័រ",</t>
        </is>
      </c>
      <c r="L47" s="10" t="n"/>
      <c r="M47" s="10" t="n"/>
      <c r="N47" s="10" t="n"/>
      <c r="O47" s="10" t="n"/>
      <c r="P47" s="10" t="n"/>
      <c r="Q47" s="10" t="n"/>
      <c r="R47" s="10" t="n"/>
      <c r="S47" s="10" t="n"/>
      <c r="T47" s="10" t="n"/>
      <c r="U47" s="10" t="n"/>
      <c r="V47" s="10" t="n"/>
      <c r="W47" s="10" t="n"/>
      <c r="X47" s="10" t="n"/>
      <c r="Y47" s="10" t="n"/>
      <c r="Z47" s="10" t="n"/>
    </row>
    <row r="48">
      <c r="A48" s="27" t="inlineStr">
        <is>
          <t>common.sessionExpired</t>
        </is>
      </c>
      <c r="B48" s="27" t="inlineStr">
        <is>
          <t>Hết phiên đăng nhập</t>
        </is>
      </c>
      <c r="C48" s="27" t="inlineStr">
        <is>
          <t>Session Expired</t>
        </is>
      </c>
      <c r="D48" s="102" t="n"/>
      <c r="E48" s="21" t="inlineStr">
        <is>
          <t>អស់ពេលចូលប្រើប្រាស់</t>
        </is>
      </c>
      <c r="F48" s="10" t="n"/>
      <c r="G48" s="10" t="inlineStr">
        <is>
          <t>អស់ពេលចូលប្រើប្រាស់</t>
        </is>
      </c>
      <c r="H48" s="10" t="inlineStr">
        <is>
          <t>អស់ពេលចូលប្រើប្រាស់</t>
        </is>
      </c>
      <c r="I48" s="10" t="n"/>
      <c r="J48" s="10" t="n"/>
      <c r="K48" s="10" t="inlineStr">
        <is>
          <t>"common.sessionExpired": "អស់ពេលចូលប្រើប្រាស់",</t>
        </is>
      </c>
      <c r="L48" s="10" t="n"/>
      <c r="M48" s="10" t="n"/>
      <c r="N48" s="10" t="n"/>
      <c r="O48" s="10" t="n"/>
      <c r="P48" s="10" t="n"/>
      <c r="Q48" s="10" t="n"/>
      <c r="R48" s="10" t="n"/>
      <c r="S48" s="10" t="n"/>
      <c r="T48" s="10" t="n"/>
      <c r="U48" s="10" t="n"/>
      <c r="V48" s="10" t="n"/>
      <c r="W48" s="10" t="n"/>
      <c r="X48" s="10" t="n"/>
      <c r="Y48" s="10" t="n"/>
      <c r="Z48" s="10" t="n"/>
    </row>
    <row r="49">
      <c r="A49" s="27" t="inlineStr">
        <is>
          <t>common.delete</t>
        </is>
      </c>
      <c r="B49" s="27" t="inlineStr">
        <is>
          <t>Xoá</t>
        </is>
      </c>
      <c r="C49" s="27" t="inlineStr">
        <is>
          <t>Delete</t>
        </is>
      </c>
      <c r="D49" s="21" t="inlineStr">
        <is>
          <t>លុបចោល</t>
        </is>
      </c>
      <c r="E49" s="21" t="inlineStr">
        <is>
          <t>លុបចោល</t>
        </is>
      </c>
      <c r="F49" s="10" t="n"/>
      <c r="G49" s="10" t="inlineStr">
        <is>
          <t>លុប</t>
        </is>
      </c>
      <c r="H49" s="10" t="inlineStr">
        <is>
          <t>លុប</t>
        </is>
      </c>
      <c r="I49" s="10" t="n"/>
      <c r="J49" s="10" t="n"/>
      <c r="K49" s="10" t="inlineStr">
        <is>
          <t>"common.delete": "លុប",</t>
        </is>
      </c>
      <c r="L49" s="10" t="n"/>
      <c r="M49" s="10" t="n"/>
      <c r="N49" s="10" t="n"/>
      <c r="O49" s="10" t="n"/>
      <c r="P49" s="10" t="n"/>
      <c r="Q49" s="10" t="n"/>
      <c r="R49" s="10" t="n"/>
      <c r="S49" s="10" t="n"/>
      <c r="T49" s="10" t="n"/>
      <c r="U49" s="10" t="n"/>
      <c r="V49" s="10" t="n"/>
      <c r="W49" s="10" t="n"/>
      <c r="X49" s="10" t="n"/>
      <c r="Y49" s="10" t="n"/>
      <c r="Z49" s="10" t="n"/>
    </row>
    <row r="50">
      <c r="A50" s="27" t="inlineStr">
        <is>
          <t>common.notPermission</t>
        </is>
      </c>
      <c r="B50" s="27" t="inlineStr">
        <is>
          <t>Bạn không có quyền sử dụng chức năng này</t>
        </is>
      </c>
      <c r="C50" s="27" t="inlineStr">
        <is>
          <t>You do not have permission to use this function</t>
        </is>
      </c>
      <c r="D50" s="21" t="inlineStr">
        <is>
          <t>អ្នកមិនមានសិទ្ធិក្នុងការប្រើប្រាស់មុខងារនេះទេ</t>
        </is>
      </c>
      <c r="E50" s="21" t="inlineStr">
        <is>
          <t>អ្នកមិនមានសិទ្ធិក្នុងការប្រើប្រាស់មុខងារនេះទេ</t>
        </is>
      </c>
      <c r="F50" s="10" t="n"/>
      <c r="G50" s="10" t="inlineStr">
        <is>
          <t>អ្នកមិនមានសិទ្ធិក្នុងការប្រើប្រាស់មុខងារនេះទេ</t>
        </is>
      </c>
      <c r="H50" s="10" t="inlineStr">
        <is>
          <t>អ្នកមិនមានសិទ្ធិក្នុងការប្រើប្រាស់មុខងារនេះទេ</t>
        </is>
      </c>
      <c r="I50" s="10" t="n"/>
      <c r="J50" s="10" t="n"/>
      <c r="K50" s="10" t="inlineStr">
        <is>
          <t>"common.notPermission": "អ្នកមិនមានសិទ្ធិក្នុងការប្រើប្រាស់មុខងារនេះទេ",</t>
        </is>
      </c>
      <c r="L50" s="10" t="n"/>
      <c r="M50" s="10" t="n"/>
      <c r="N50" s="10" t="n"/>
      <c r="O50" s="10" t="n"/>
      <c r="P50" s="10" t="n"/>
      <c r="Q50" s="10" t="n"/>
      <c r="R50" s="10" t="n"/>
      <c r="S50" s="10" t="n"/>
      <c r="T50" s="10" t="n"/>
      <c r="U50" s="10" t="n"/>
      <c r="V50" s="10" t="n"/>
      <c r="W50" s="10" t="n"/>
      <c r="X50" s="10" t="n"/>
      <c r="Y50" s="10" t="n"/>
      <c r="Z50" s="10" t="n"/>
    </row>
    <row r="51">
      <c r="A51" s="27" t="inlineStr">
        <is>
          <t>common.validateTime</t>
        </is>
      </c>
      <c r="B51" s="27" t="inlineStr">
        <is>
          <t>{{label}} không được để trống, vui lòng chọn lại.</t>
        </is>
      </c>
      <c r="C51" s="27" t="inlineStr">
        <is>
          <t>-</t>
        </is>
      </c>
      <c r="D51" s="27" t="inlineStr">
        <is>
          <t>{{label}} មិនអាចទុកនៅចន្លោះបានទេ សូមជ្រើសរើសម្តងទៀត។</t>
        </is>
      </c>
      <c r="E51" s="27" t="inlineStr">
        <is>
          <t>{{label}} មិនអាចទុកនៅចន្លោះបានទេ សូមជ្រើសរើសម្តងទៀត។</t>
        </is>
      </c>
      <c r="F51" s="10" t="n"/>
      <c r="G51" s="10" t="inlineStr">
        <is>
          <t>{{label}} មិនអាចទុកនៅចន្លោះបានទេ សូមជ្រើសរើសម្តងទៀត។</t>
        </is>
      </c>
      <c r="H51" s="10" t="inlineStr">
        <is>
          <t>{{label}} មិនអាចទុកនៅចន្លោះបានទេ សូមជ្រើសរើសម្តងទៀត។</t>
        </is>
      </c>
      <c r="I51" s="10" t="n"/>
      <c r="J51" s="10" t="n"/>
      <c r="K51" s="10" t="inlineStr">
        <is>
          <t>"common.validateTime": "{{label}} មិនអាចទុកនៅចន្លោះបានទេ សូមជ្រើសរើសម្តងទៀត។",</t>
        </is>
      </c>
      <c r="L51" s="10" t="n"/>
      <c r="M51" s="10" t="n"/>
      <c r="N51" s="10" t="n"/>
      <c r="O51" s="10" t="n"/>
      <c r="P51" s="10" t="n"/>
      <c r="Q51" s="10" t="n"/>
      <c r="R51" s="10" t="n"/>
      <c r="S51" s="10" t="n"/>
      <c r="T51" s="10" t="n"/>
      <c r="U51" s="10" t="n"/>
      <c r="V51" s="10" t="n"/>
      <c r="W51" s="10" t="n"/>
      <c r="X51" s="10" t="n"/>
      <c r="Y51" s="10" t="n"/>
      <c r="Z51" s="10" t="n"/>
    </row>
    <row r="52">
      <c r="A52" s="27" t="inlineStr">
        <is>
          <t>common.systemErrorRetry</t>
        </is>
      </c>
      <c r="B52" s="27" t="inlineStr">
        <is>
          <t>Hệ thống có lỗi, bạn vui lòng thực hiện lại sau.</t>
        </is>
      </c>
      <c r="C52" s="27" t="inlineStr">
        <is>
          <t>System error. Please try again.</t>
        </is>
      </c>
      <c r="D52" s="21" t="inlineStr">
        <is>
          <t>ប្រព័ន្ធមានបញ្ហា សូមធ្វើការអនុវត្តតាមក្រោយ</t>
        </is>
      </c>
      <c r="E52" s="21" t="inlineStr">
        <is>
          <t>ប្រព័ន្ធមានបញ្ហា សូមធ្វើការអនុវត្តតាមក្រោយ</t>
        </is>
      </c>
      <c r="F52" s="10" t="n"/>
      <c r="G52" s="10" t="inlineStr">
        <is>
          <t>ប្រព័ន្ធមានបញ្ហា សូមធ្វើការអនុវត្តតាមក្រោយ</t>
        </is>
      </c>
      <c r="H52" s="10" t="inlineStr">
        <is>
          <t>ប្រព័ន្ធមានបញ្ហា សូមធ្វើការអនុវត្តតាមក្រោយ</t>
        </is>
      </c>
      <c r="I52" s="10" t="n"/>
      <c r="J52" s="10" t="n"/>
      <c r="K52" s="10" t="inlineStr">
        <is>
          <t>"common.systemErrorRetry": "ប្រព័ន្ធមានបញ្ហា សូមធ្វើការអនុវត្តតាមក្រោយ",</t>
        </is>
      </c>
      <c r="L52" s="10" t="n"/>
      <c r="M52" s="10" t="n"/>
      <c r="N52" s="10" t="n"/>
      <c r="O52" s="10" t="n"/>
      <c r="P52" s="10" t="n"/>
      <c r="Q52" s="10" t="n"/>
      <c r="R52" s="10" t="n"/>
      <c r="S52" s="10" t="n"/>
      <c r="T52" s="10" t="n"/>
      <c r="U52" s="10" t="n"/>
      <c r="V52" s="10" t="n"/>
      <c r="W52" s="10" t="n"/>
      <c r="X52" s="10" t="n"/>
      <c r="Y52" s="10" t="n"/>
      <c r="Z52" s="10" t="n"/>
    </row>
    <row r="53">
      <c r="A53" s="27" t="inlineStr">
        <is>
          <t>common.totalMoney</t>
        </is>
      </c>
      <c r="B53" s="27" t="inlineStr">
        <is>
          <t>Tổng tiền</t>
        </is>
      </c>
      <c r="C53" s="27" t="inlineStr">
        <is>
          <t>Total amount</t>
        </is>
      </c>
      <c r="D53" s="21" t="inlineStr">
        <is>
          <t>សរុបបប្រាក់</t>
        </is>
      </c>
      <c r="E53" s="21" t="inlineStr">
        <is>
          <t>សរុបប្រាក់</t>
        </is>
      </c>
      <c r="F53" s="10" t="n"/>
      <c r="G53" s="10" t="inlineStr">
        <is>
          <t>ចំនួនទឹកប្រាក់សរុប</t>
        </is>
      </c>
      <c r="H53" s="10" t="inlineStr">
        <is>
          <t>ចំនួនទឹកប្រាក់សរុប</t>
        </is>
      </c>
      <c r="I53" s="10" t="n"/>
      <c r="J53" s="10" t="n"/>
      <c r="K53" s="10" t="inlineStr">
        <is>
          <t>"common.totalMoney": "ចំនួនទឹកប្រាក់សរុប",</t>
        </is>
      </c>
      <c r="L53" s="10" t="n"/>
      <c r="M53" s="10" t="n"/>
      <c r="N53" s="10" t="n"/>
      <c r="O53" s="10" t="n"/>
      <c r="P53" s="10" t="n"/>
      <c r="Q53" s="10" t="n"/>
      <c r="R53" s="10" t="n"/>
      <c r="S53" s="10" t="n"/>
      <c r="T53" s="10" t="n"/>
      <c r="U53" s="10" t="n"/>
      <c r="V53" s="10" t="n"/>
      <c r="W53" s="10" t="n"/>
      <c r="X53" s="10" t="n"/>
      <c r="Y53" s="10" t="n"/>
      <c r="Z53" s="10" t="n"/>
    </row>
    <row r="54">
      <c r="A54" s="27" t="inlineStr">
        <is>
          <t>common.success</t>
        </is>
      </c>
      <c r="B54" s="27" t="inlineStr">
        <is>
          <t>thành công</t>
        </is>
      </c>
      <c r="C54" s="27" t="inlineStr">
        <is>
          <t>Successful</t>
        </is>
      </c>
      <c r="D54" s="21" t="inlineStr">
        <is>
          <t>ជោគជ័យ</t>
        </is>
      </c>
      <c r="E54" s="21" t="inlineStr">
        <is>
          <t>ជោគជ័យ</t>
        </is>
      </c>
      <c r="F54" s="10" t="n"/>
      <c r="G54" s="10" t="inlineStr">
        <is>
          <t>ជោគជ័យ</t>
        </is>
      </c>
      <c r="H54" s="10" t="inlineStr">
        <is>
          <t>ជោគជ័យ</t>
        </is>
      </c>
      <c r="I54" s="10" t="n"/>
      <c r="J54" s="10" t="n"/>
      <c r="K54" s="10" t="inlineStr">
        <is>
          <t>"common.success": "ជោគជ័យ",</t>
        </is>
      </c>
      <c r="L54" s="10" t="n"/>
      <c r="M54" s="10" t="n"/>
      <c r="N54" s="10" t="n"/>
      <c r="O54" s="10" t="n"/>
      <c r="P54" s="10" t="n"/>
      <c r="Q54" s="10" t="n"/>
      <c r="R54" s="10" t="n"/>
      <c r="S54" s="10" t="n"/>
      <c r="T54" s="10" t="n"/>
      <c r="U54" s="10" t="n"/>
      <c r="V54" s="10" t="n"/>
      <c r="W54" s="10" t="n"/>
      <c r="X54" s="10" t="n"/>
      <c r="Y54" s="10" t="n"/>
      <c r="Z54" s="10" t="n"/>
    </row>
    <row r="55">
      <c r="A55" s="27" t="inlineStr">
        <is>
          <t>common.exportFail</t>
        </is>
      </c>
      <c r="B55" s="27" t="inlineStr">
        <is>
          <t>Xuất excel thất bại</t>
        </is>
      </c>
      <c r="C55" s="27" t="inlineStr">
        <is>
          <t>Failed to export Excel</t>
        </is>
      </c>
      <c r="D55" s="27" t="inlineStr">
        <is>
          <t>-</t>
        </is>
      </c>
      <c r="E55" s="21" t="inlineStr">
        <is>
          <t>ចេញពីexcel មិនបានជោគជ័យ</t>
        </is>
      </c>
      <c r="F55" s="10" t="n"/>
      <c r="G55" s="10" t="inlineStr">
        <is>
          <t>ចេញពីexcel មិនបានជោគជ័យ</t>
        </is>
      </c>
      <c r="H55" s="10" t="inlineStr">
        <is>
          <t>ចេញពីexcel មិនបានជោគជ័យ</t>
        </is>
      </c>
      <c r="I55" s="10" t="n"/>
      <c r="J55" s="10" t="n"/>
      <c r="K55" s="10" t="inlineStr">
        <is>
          <t>"common.exportFail": "ចេញពីexcel មិនបានជោគជ័យ",</t>
        </is>
      </c>
      <c r="L55" s="10" t="n"/>
      <c r="M55" s="10" t="n"/>
      <c r="N55" s="10" t="n"/>
      <c r="O55" s="10" t="n"/>
      <c r="P55" s="10" t="n"/>
      <c r="Q55" s="10" t="n"/>
      <c r="R55" s="10" t="n"/>
      <c r="S55" s="10" t="n"/>
      <c r="T55" s="10" t="n"/>
      <c r="U55" s="10" t="n"/>
      <c r="V55" s="10" t="n"/>
      <c r="W55" s="10" t="n"/>
      <c r="X55" s="10" t="n"/>
      <c r="Y55" s="10" t="n"/>
      <c r="Z55" s="10" t="n"/>
    </row>
    <row r="56">
      <c r="A56" s="27" t="inlineStr">
        <is>
          <t>common.exportSuccess</t>
        </is>
      </c>
      <c r="B56" s="27" t="inlineStr">
        <is>
          <t>Xuất excel thành công</t>
        </is>
      </c>
      <c r="C56" s="27" t="inlineStr">
        <is>
          <t>Excel exported successfully</t>
        </is>
      </c>
      <c r="D56" s="27" t="inlineStr">
        <is>
          <t>-</t>
        </is>
      </c>
      <c r="E56" s="21" t="inlineStr">
        <is>
          <t>ចេញពីexcel បានជោគជ័យ</t>
        </is>
      </c>
      <c r="F56" s="10" t="n"/>
      <c r="G56" s="10" t="inlineStr">
        <is>
          <t>ចេញពីexcel បានជោគជ័យ</t>
        </is>
      </c>
      <c r="H56" s="10" t="inlineStr">
        <is>
          <t>ចេញពីexcel បានជោគជ័យ</t>
        </is>
      </c>
      <c r="I56" s="10" t="n"/>
      <c r="J56" s="10" t="n"/>
      <c r="K56" s="10" t="inlineStr">
        <is>
          <t>"common.exportSuccess": "ចេញពីexcel បានជោគជ័យ",</t>
        </is>
      </c>
      <c r="L56" s="10" t="n"/>
      <c r="M56" s="10" t="n"/>
      <c r="N56" s="10" t="n"/>
      <c r="O56" s="10" t="n"/>
      <c r="P56" s="10" t="n"/>
      <c r="Q56" s="10" t="n"/>
      <c r="R56" s="10" t="n"/>
      <c r="S56" s="10" t="n"/>
      <c r="T56" s="10" t="n"/>
      <c r="U56" s="10" t="n"/>
      <c r="V56" s="10" t="n"/>
      <c r="W56" s="10" t="n"/>
      <c r="X56" s="10" t="n"/>
      <c r="Y56" s="10" t="n"/>
      <c r="Z56" s="10" t="n"/>
    </row>
    <row r="57">
      <c r="A57" s="27" t="inlineStr">
        <is>
          <t>common.uploadFile</t>
        </is>
      </c>
      <c r="B57" s="27" t="inlineStr">
        <is>
          <t>Tải tệp lên</t>
        </is>
      </c>
      <c r="C57" s="27" t="inlineStr">
        <is>
          <t>Upload file</t>
        </is>
      </c>
      <c r="D57" s="32" t="inlineStr">
        <is>
          <t>ផ្ទុកហ្វាលឡើង</t>
        </is>
      </c>
      <c r="E57" s="33" t="n"/>
      <c r="F57" s="10" t="n"/>
      <c r="G57" s="10" t="inlineStr">
        <is>
          <t>ផ្ទុកហ្វាលឡើង</t>
        </is>
      </c>
      <c r="H57" s="10" t="inlineStr">
        <is>
          <t>ផ្ទុកហ្វាលឡើង</t>
        </is>
      </c>
      <c r="I57" s="10" t="n"/>
      <c r="J57" s="10" t="n"/>
      <c r="K57" s="10" t="inlineStr">
        <is>
          <t>"common.uploadFile": "ផ្ទុកហ្វាលឡើង",</t>
        </is>
      </c>
      <c r="L57" s="10" t="n"/>
      <c r="M57" s="10" t="n"/>
      <c r="N57" s="10" t="n"/>
      <c r="O57" s="10" t="n"/>
      <c r="P57" s="10" t="n"/>
      <c r="Q57" s="10" t="n"/>
      <c r="R57" s="10" t="n"/>
      <c r="S57" s="10" t="n"/>
      <c r="T57" s="10" t="n"/>
      <c r="U57" s="10" t="n"/>
      <c r="V57" s="10" t="n"/>
      <c r="W57" s="10" t="n"/>
      <c r="X57" s="10" t="n"/>
      <c r="Y57" s="10" t="n"/>
      <c r="Z57" s="10" t="n"/>
    </row>
    <row r="58">
      <c r="A58" s="27" t="inlineStr">
        <is>
          <t>common.currency</t>
        </is>
      </c>
      <c r="B58" s="27" t="inlineStr">
        <is>
          <t>Đơn vị tiền tệ</t>
        </is>
      </c>
      <c r="C58" s="27" t="inlineStr">
        <is>
          <t>Currency</t>
        </is>
      </c>
      <c r="D58" s="32" t="inlineStr">
        <is>
          <t>រូបិយប័ណ្ណ</t>
        </is>
      </c>
      <c r="E58" s="33" t="n"/>
      <c r="F58" s="10" t="n"/>
      <c r="G58" s="10" t="inlineStr">
        <is>
          <t>រូបិយប័ណ្ណ</t>
        </is>
      </c>
      <c r="H58" s="10" t="inlineStr">
        <is>
          <t>រូបិយប័ណ្ណ</t>
        </is>
      </c>
      <c r="I58" s="10" t="n"/>
      <c r="J58" s="10" t="n"/>
      <c r="K58" s="10" t="inlineStr">
        <is>
          <t>"common.currency": "រូបិយប័ណ្ណ",</t>
        </is>
      </c>
      <c r="L58" s="10" t="n"/>
      <c r="M58" s="10" t="n"/>
      <c r="N58" s="10" t="n"/>
      <c r="O58" s="10" t="n"/>
      <c r="P58" s="10" t="n"/>
      <c r="Q58" s="10" t="n"/>
      <c r="R58" s="10" t="n"/>
      <c r="S58" s="10" t="n"/>
      <c r="T58" s="10" t="n"/>
      <c r="U58" s="10" t="n"/>
      <c r="V58" s="10" t="n"/>
      <c r="W58" s="10" t="n"/>
      <c r="X58" s="10" t="n"/>
      <c r="Y58" s="10" t="n"/>
      <c r="Z58" s="10" t="n"/>
    </row>
    <row r="59">
      <c r="A59" s="27" t="inlineStr">
        <is>
          <t>slider.LookupCustomer</t>
        </is>
      </c>
      <c r="B59" s="27" t="inlineStr">
        <is>
          <t>Tra cứu khách hàng</t>
        </is>
      </c>
      <c r="C59" s="27" t="inlineStr">
        <is>
          <t>Find customers</t>
        </is>
      </c>
      <c r="D59" s="21" t="inlineStr">
        <is>
          <t>ស្វែ្វងរកអតិថិជន</t>
        </is>
      </c>
      <c r="E59" s="21" t="inlineStr">
        <is>
          <t>ស្វែ្វងរកអតិថិជន</t>
        </is>
      </c>
      <c r="F59" s="10" t="n"/>
      <c r="G59" s="10" t="inlineStr">
        <is>
          <t>ស្វែ្វងរកអតិថិជន</t>
        </is>
      </c>
      <c r="H59" s="10" t="inlineStr">
        <is>
          <t>ស្វែ្វងរកអតិថិជន</t>
        </is>
      </c>
      <c r="I59" s="10" t="n"/>
      <c r="J59" s="10" t="n"/>
      <c r="K59" s="10" t="inlineStr">
        <is>
          <t>"slider.LookupCustomer": "ស្វែ្វងរកអតិថិជន",</t>
        </is>
      </c>
      <c r="L59" s="10" t="n"/>
      <c r="M59" s="10" t="n"/>
      <c r="N59" s="10" t="n"/>
      <c r="O59" s="10" t="n"/>
      <c r="P59" s="10" t="n"/>
      <c r="Q59" s="10" t="n"/>
      <c r="R59" s="10" t="n"/>
      <c r="S59" s="10" t="n"/>
      <c r="T59" s="10" t="n"/>
      <c r="U59" s="10" t="n"/>
      <c r="V59" s="10" t="n"/>
      <c r="W59" s="10" t="n"/>
      <c r="X59" s="10" t="n"/>
      <c r="Y59" s="10" t="n"/>
      <c r="Z59" s="10" t="n"/>
    </row>
    <row r="60">
      <c r="A60" s="27" t="inlineStr">
        <is>
          <t>slider.Operating</t>
        </is>
      </c>
      <c r="B60" s="27" t="inlineStr">
        <is>
          <t>Điều hành</t>
        </is>
      </c>
      <c r="C60" s="27" t="inlineStr">
        <is>
          <t>Operation</t>
        </is>
      </c>
      <c r="D60" s="102" t="n"/>
      <c r="E60" s="21" t="inlineStr">
        <is>
          <t>គ្រប់គ្រង</t>
        </is>
      </c>
      <c r="F60" s="10" t="n"/>
      <c r="G60" s="10" t="inlineStr">
        <is>
          <t>គ្រប់គ្រង</t>
        </is>
      </c>
      <c r="H60" s="10" t="inlineStr">
        <is>
          <t>គ្រប់គ្រង</t>
        </is>
      </c>
      <c r="I60" s="10" t="n"/>
      <c r="J60" s="10" t="n"/>
      <c r="K60" s="10" t="inlineStr">
        <is>
          <t>"slider.Operating": "គ្រប់គ្រង",</t>
        </is>
      </c>
      <c r="L60" s="10" t="n"/>
      <c r="M60" s="10" t="n"/>
      <c r="N60" s="10" t="n"/>
      <c r="O60" s="10" t="n"/>
      <c r="P60" s="10" t="n"/>
      <c r="Q60" s="10" t="n"/>
      <c r="R60" s="10" t="n"/>
      <c r="S60" s="10" t="n"/>
      <c r="T60" s="10" t="n"/>
      <c r="U60" s="10" t="n"/>
      <c r="V60" s="10" t="n"/>
      <c r="W60" s="10" t="n"/>
      <c r="X60" s="10" t="n"/>
      <c r="Y60" s="10" t="n"/>
      <c r="Z60" s="10" t="n"/>
    </row>
    <row r="61">
      <c r="A61" s="27" t="inlineStr">
        <is>
          <t>slider.BranchOperating</t>
        </is>
      </c>
      <c r="B61" s="27" t="inlineStr">
        <is>
          <t>Điều hành chi nhánh</t>
        </is>
      </c>
      <c r="C61" s="27" t="inlineStr">
        <is>
          <t>Branch Operation</t>
        </is>
      </c>
      <c r="D61" s="102" t="n"/>
      <c r="E61" s="21" t="inlineStr">
        <is>
          <t>គ្រប់គ្រងសាខា</t>
        </is>
      </c>
      <c r="F61" s="10" t="n"/>
      <c r="G61" s="10" t="inlineStr">
        <is>
          <t>គ្រប់គ្រងសាខា</t>
        </is>
      </c>
      <c r="H61" s="10" t="inlineStr">
        <is>
          <t>គ្រប់គ្រងសាខា</t>
        </is>
      </c>
      <c r="I61" s="10" t="n"/>
      <c r="J61" s="10" t="n"/>
      <c r="K61" s="10" t="inlineStr">
        <is>
          <t>"slider.BranchOperating": "គ្រប់គ្រងសាខា",</t>
        </is>
      </c>
      <c r="L61" s="10" t="n"/>
      <c r="M61" s="10" t="n"/>
      <c r="N61" s="10" t="n"/>
      <c r="O61" s="10" t="n"/>
      <c r="P61" s="10" t="n"/>
      <c r="Q61" s="10" t="n"/>
      <c r="R61" s="10" t="n"/>
      <c r="S61" s="10" t="n"/>
      <c r="T61" s="10" t="n"/>
      <c r="U61" s="10" t="n"/>
      <c r="V61" s="10" t="n"/>
      <c r="W61" s="10" t="n"/>
      <c r="X61" s="10" t="n"/>
      <c r="Y61" s="10" t="n"/>
      <c r="Z61" s="10" t="n"/>
    </row>
    <row r="62">
      <c r="A62" s="27" t="inlineStr">
        <is>
          <t>slider.PostofficeOperating</t>
        </is>
      </c>
      <c r="B62" s="27" t="inlineStr">
        <is>
          <t>Điều hành bưu cục</t>
        </is>
      </c>
      <c r="C62" s="27" t="inlineStr">
        <is>
          <t>Post Office Operation</t>
        </is>
      </c>
      <c r="D62" s="102" t="n"/>
      <c r="E62" s="21" t="inlineStr">
        <is>
          <t>គ្រប់គ្រងការិយាល័យប្រៃសណីយ៍</t>
        </is>
      </c>
      <c r="F62" s="10" t="n"/>
      <c r="G62" s="10" t="inlineStr">
        <is>
          <t>គ្រប់គ្រងការិយាល័យប្រៃសណីយ៍</t>
        </is>
      </c>
      <c r="H62" s="10" t="inlineStr">
        <is>
          <t>គ្រប់គ្រងការិយាល័យប្រៃសណីយ៍</t>
        </is>
      </c>
      <c r="I62" s="10" t="n"/>
      <c r="J62" s="10" t="n"/>
      <c r="K62" s="10" t="inlineStr">
        <is>
          <t>"slider.PostofficeOperating": "គ្រប់គ្រងការិយាល័យប្រៃសណីយ៍",</t>
        </is>
      </c>
      <c r="L62" s="10" t="n"/>
      <c r="M62" s="10" t="n"/>
      <c r="N62" s="10" t="n"/>
      <c r="O62" s="10" t="n"/>
      <c r="P62" s="10" t="n"/>
      <c r="Q62" s="10" t="n"/>
      <c r="R62" s="10" t="n"/>
      <c r="S62" s="10" t="n"/>
      <c r="T62" s="10" t="n"/>
      <c r="U62" s="10" t="n"/>
      <c r="V62" s="10" t="n"/>
      <c r="W62" s="10" t="n"/>
      <c r="X62" s="10" t="n"/>
      <c r="Y62" s="10" t="n"/>
      <c r="Z62" s="10" t="n"/>
    </row>
    <row r="63">
      <c r="A63" s="27" t="inlineStr">
        <is>
          <t>slider.Shift</t>
        </is>
      </c>
      <c r="B63" s="27" t="inlineStr">
        <is>
          <t>Ca làm việc</t>
        </is>
      </c>
      <c r="C63" s="27" t="inlineStr">
        <is>
          <t>Shift</t>
        </is>
      </c>
      <c r="D63" s="21" t="inlineStr">
        <is>
          <t>វេនធ្វើការ</t>
        </is>
      </c>
      <c r="E63" s="21" t="inlineStr">
        <is>
          <t>វេនធ្វើការ</t>
        </is>
      </c>
      <c r="F63" s="10" t="n"/>
      <c r="G63" s="10" t="inlineStr">
        <is>
          <t>វេនធ្វើការ</t>
        </is>
      </c>
      <c r="H63" s="10" t="inlineStr">
        <is>
          <t>វេនធ្វើការ</t>
        </is>
      </c>
      <c r="I63" s="10" t="n"/>
      <c r="J63" s="10" t="n"/>
      <c r="K63" s="10" t="inlineStr">
        <is>
          <t>"slider.Shift": "វេនធ្វើការ",</t>
        </is>
      </c>
      <c r="L63" s="10" t="n"/>
      <c r="M63" s="10" t="n"/>
      <c r="N63" s="10" t="n"/>
      <c r="O63" s="10" t="n"/>
      <c r="P63" s="10" t="n"/>
      <c r="Q63" s="10" t="n"/>
      <c r="R63" s="10" t="n"/>
      <c r="S63" s="10" t="n"/>
      <c r="T63" s="10" t="n"/>
      <c r="U63" s="10" t="n"/>
      <c r="V63" s="10" t="n"/>
      <c r="W63" s="10" t="n"/>
      <c r="X63" s="10" t="n"/>
      <c r="Y63" s="10" t="n"/>
      <c r="Z63" s="10" t="n"/>
    </row>
    <row r="64">
      <c r="A64" s="27" t="inlineStr">
        <is>
          <t>slider.ConfigRoute</t>
        </is>
      </c>
      <c r="B64" s="27" t="inlineStr">
        <is>
          <t>Cấu hình tuyến nhận</t>
        </is>
      </c>
      <c r="C64" s="27" t="inlineStr">
        <is>
          <t>Route config</t>
        </is>
      </c>
      <c r="D64" s="102" t="n"/>
      <c r="E64" s="21" t="inlineStr">
        <is>
          <t>រចនាសម្ព័នផ្លូវទទួលទំនិញ</t>
        </is>
      </c>
      <c r="F64" s="10" t="n"/>
      <c r="G64" s="10" t="inlineStr">
        <is>
          <t>រចនាសម្ព័នផ្លូវទទួលទំនិញ</t>
        </is>
      </c>
      <c r="H64" s="10" t="inlineStr">
        <is>
          <t>រចនាសម្ព័នផ្លូវទទួលទំនិញ</t>
        </is>
      </c>
      <c r="I64" s="10" t="n"/>
      <c r="J64" s="10" t="n"/>
      <c r="K64" s="10" t="inlineStr">
        <is>
          <t>"slider.ConfigRoute": "រចនាសម្ព័នផ្លូវទទួលទំនិញ",</t>
        </is>
      </c>
      <c r="L64" s="10" t="n"/>
      <c r="M64" s="10" t="n"/>
      <c r="N64" s="10" t="n"/>
      <c r="O64" s="10" t="n"/>
      <c r="P64" s="10" t="n"/>
      <c r="Q64" s="10" t="n"/>
      <c r="R64" s="10" t="n"/>
      <c r="S64" s="10" t="n"/>
      <c r="T64" s="10" t="n"/>
      <c r="U64" s="10" t="n"/>
      <c r="V64" s="10" t="n"/>
      <c r="W64" s="10" t="n"/>
      <c r="X64" s="10" t="n"/>
      <c r="Y64" s="10" t="n"/>
      <c r="Z64" s="10" t="n"/>
    </row>
    <row r="65">
      <c r="A65" s="27" t="inlineStr">
        <is>
          <t>slider.DetailsRoute</t>
        </is>
      </c>
      <c r="B65" s="27" t="inlineStr">
        <is>
          <t>Chi tiết tuyến nhận</t>
        </is>
      </c>
      <c r="C65" s="27" t="inlineStr">
        <is>
          <t>Route details</t>
        </is>
      </c>
      <c r="D65" s="102" t="n"/>
      <c r="E65" s="21" t="inlineStr">
        <is>
          <t>លម្អិ្អតផ្លូវទទួលទំនិញ</t>
        </is>
      </c>
      <c r="F65" s="10" t="n"/>
      <c r="G65" s="10" t="inlineStr">
        <is>
          <t>លម្អិ្អតផ្លូវទទួលទំនិញ</t>
        </is>
      </c>
      <c r="H65" s="10" t="inlineStr">
        <is>
          <t>លម្អិ្អតផ្លូវទទួលទំនិញ</t>
        </is>
      </c>
      <c r="I65" s="10" t="n"/>
      <c r="J65" s="10" t="n"/>
      <c r="K65" s="10" t="inlineStr">
        <is>
          <t>"slider.DetailsRoute": "លម្អិ្អតផ្លូវទទួលទំនិញ",</t>
        </is>
      </c>
      <c r="L65" s="10" t="n"/>
      <c r="M65" s="10" t="n"/>
      <c r="N65" s="10" t="n"/>
      <c r="O65" s="10" t="n"/>
      <c r="P65" s="10" t="n"/>
      <c r="Q65" s="10" t="n"/>
      <c r="R65" s="10" t="n"/>
      <c r="S65" s="10" t="n"/>
      <c r="T65" s="10" t="n"/>
      <c r="U65" s="10" t="n"/>
      <c r="V65" s="10" t="n"/>
      <c r="W65" s="10" t="n"/>
      <c r="X65" s="10" t="n"/>
      <c r="Y65" s="10" t="n"/>
      <c r="Z65" s="10" t="n"/>
    </row>
    <row r="66">
      <c r="A66" s="27" t="inlineStr">
        <is>
          <t>slider.PriceManager</t>
        </is>
      </c>
      <c r="B66" s="27" t="inlineStr">
        <is>
          <t>Quản lý bảng giá</t>
        </is>
      </c>
      <c r="C66" s="27" t="inlineStr">
        <is>
          <t>Price manager</t>
        </is>
      </c>
      <c r="D66" s="21" t="inlineStr">
        <is>
          <t>គ្រប់គ្រងតារាងតម្លៃ</t>
        </is>
      </c>
      <c r="E66" s="21" t="inlineStr">
        <is>
          <t>គ្រប់គ្រងតារាងតម្លៃ</t>
        </is>
      </c>
      <c r="F66" s="10" t="n"/>
      <c r="G66" s="10" t="inlineStr">
        <is>
          <t>គ្រប់គ្រងតារាងតម្លៃ</t>
        </is>
      </c>
      <c r="H66" s="10" t="inlineStr">
        <is>
          <t>គ្រប់គ្រងតារាងតម្លៃ</t>
        </is>
      </c>
      <c r="I66" s="10" t="n"/>
      <c r="J66" s="10" t="n"/>
      <c r="K66" s="10" t="inlineStr">
        <is>
          <t>"slider.PriceManager": "គ្រប់គ្រងតារាងតម្លៃ",</t>
        </is>
      </c>
      <c r="L66" s="10" t="n"/>
      <c r="M66" s="10" t="n"/>
      <c r="N66" s="10" t="n"/>
      <c r="O66" s="10" t="n"/>
      <c r="P66" s="10" t="n"/>
      <c r="Q66" s="10" t="n"/>
      <c r="R66" s="10" t="n"/>
      <c r="S66" s="10" t="n"/>
      <c r="T66" s="10" t="n"/>
      <c r="U66" s="10" t="n"/>
      <c r="V66" s="10" t="n"/>
      <c r="W66" s="10" t="n"/>
      <c r="X66" s="10" t="n"/>
      <c r="Y66" s="10" t="n"/>
      <c r="Z66" s="10" t="n"/>
    </row>
    <row r="67">
      <c r="A67" s="27" t="inlineStr">
        <is>
          <t>slider.DetailsService</t>
        </is>
      </c>
      <c r="B67" s="27" t="inlineStr">
        <is>
          <t>Chi tiết dịch vụ</t>
        </is>
      </c>
      <c r="C67" s="27" t="inlineStr">
        <is>
          <t>Detail service</t>
        </is>
      </c>
      <c r="D67" s="21" t="inlineStr">
        <is>
          <t>លម្អិតពីសេវាកម្ម</t>
        </is>
      </c>
      <c r="E67" s="21" t="inlineStr">
        <is>
          <t>លម្អិតពីសេវាកម្ម</t>
        </is>
      </c>
      <c r="F67" s="10" t="n"/>
      <c r="G67" s="10" t="inlineStr">
        <is>
          <t>លម្អិតពីសេវាកម្ម</t>
        </is>
      </c>
      <c r="H67" s="10" t="inlineStr">
        <is>
          <t>លម្អិតពីសេវាកម្ម</t>
        </is>
      </c>
      <c r="I67" s="10" t="n"/>
      <c r="J67" s="10" t="n"/>
      <c r="K67" s="10" t="inlineStr">
        <is>
          <t>"slider.DetailsService": "លម្អិតពីសេវាកម្ម",</t>
        </is>
      </c>
      <c r="L67" s="10" t="n"/>
      <c r="M67" s="10" t="n"/>
      <c r="N67" s="10" t="n"/>
      <c r="O67" s="10" t="n"/>
      <c r="P67" s="10" t="n"/>
      <c r="Q67" s="10" t="n"/>
      <c r="R67" s="10" t="n"/>
      <c r="S67" s="10" t="n"/>
      <c r="T67" s="10" t="n"/>
      <c r="U67" s="10" t="n"/>
      <c r="V67" s="10" t="n"/>
      <c r="W67" s="10" t="n"/>
      <c r="X67" s="10" t="n"/>
      <c r="Y67" s="10" t="n"/>
      <c r="Z67" s="10" t="n"/>
    </row>
    <row r="68">
      <c r="A68" s="27" t="inlineStr">
        <is>
          <t>slider.ReportManager</t>
        </is>
      </c>
      <c r="B68" s="27" t="inlineStr">
        <is>
          <t>Báo cáo</t>
        </is>
      </c>
      <c r="C68" s="27" t="inlineStr">
        <is>
          <t>Report</t>
        </is>
      </c>
      <c r="D68" s="21" t="inlineStr">
        <is>
          <t>របាយការណ៍</t>
        </is>
      </c>
      <c r="E68" s="21" t="inlineStr">
        <is>
          <t>របាយការណ៍</t>
        </is>
      </c>
      <c r="F68" s="10" t="n"/>
      <c r="G68" s="10" t="inlineStr">
        <is>
          <t>របាយការណ៍</t>
        </is>
      </c>
      <c r="H68" s="10" t="inlineStr">
        <is>
          <t>របាយការណ៍</t>
        </is>
      </c>
      <c r="I68" s="10" t="n"/>
      <c r="J68" s="10" t="n"/>
      <c r="K68" s="10" t="inlineStr">
        <is>
          <t>"slider.ReportManager": "របាយការណ៍",</t>
        </is>
      </c>
      <c r="L68" s="10" t="n"/>
      <c r="M68" s="10" t="n"/>
      <c r="N68" s="10" t="n"/>
      <c r="O68" s="10" t="n"/>
      <c r="P68" s="10" t="n"/>
      <c r="Q68" s="10" t="n"/>
      <c r="R68" s="10" t="n"/>
      <c r="S68" s="10" t="n"/>
      <c r="T68" s="10" t="n"/>
      <c r="U68" s="10" t="n"/>
      <c r="V68" s="10" t="n"/>
      <c r="W68" s="10" t="n"/>
      <c r="X68" s="10" t="n"/>
      <c r="Y68" s="10" t="n"/>
      <c r="Z68" s="10" t="n"/>
    </row>
    <row r="69">
      <c r="A69" s="27" t="inlineStr">
        <is>
          <t>slider.RevenueOutput</t>
        </is>
      </c>
      <c r="B69" s="27" t="inlineStr">
        <is>
          <t>Doanh thu sản lượng</t>
        </is>
      </c>
      <c r="C69" s="27" t="inlineStr">
        <is>
          <t>Revenue Report</t>
        </is>
      </c>
      <c r="D69" s="21" t="inlineStr">
        <is>
          <t>ប្រាក់ចំណូលពីផលិតផល</t>
        </is>
      </c>
      <c r="E69" s="21" t="inlineStr">
        <is>
          <t>ប្រាក់ចំណូលពីផលិតផល</t>
        </is>
      </c>
      <c r="F69" s="10" t="n"/>
      <c r="G69" s="10" t="inlineStr">
        <is>
          <t>ប្រាក់ចំណូលពីផលិតផល</t>
        </is>
      </c>
      <c r="H69" s="10" t="inlineStr">
        <is>
          <t>ប្រាក់ចំណូលពីផលិតផល</t>
        </is>
      </c>
      <c r="I69" s="10" t="n"/>
      <c r="J69" s="10" t="n"/>
      <c r="K69" s="10" t="inlineStr">
        <is>
          <t>"slider.RevenueOutput": "ប្រាក់ចំណូលពីផលិតផល",</t>
        </is>
      </c>
      <c r="L69" s="10" t="n"/>
      <c r="M69" s="10" t="n"/>
      <c r="N69" s="10" t="n"/>
      <c r="O69" s="10" t="n"/>
      <c r="P69" s="10" t="n"/>
      <c r="Q69" s="10" t="n"/>
      <c r="R69" s="10" t="n"/>
      <c r="S69" s="10" t="n"/>
      <c r="T69" s="10" t="n"/>
      <c r="U69" s="10" t="n"/>
      <c r="V69" s="10" t="n"/>
      <c r="W69" s="10" t="n"/>
      <c r="X69" s="10" t="n"/>
      <c r="Y69" s="10" t="n"/>
      <c r="Z69" s="10" t="n"/>
    </row>
    <row r="70">
      <c r="A70" s="27" t="inlineStr">
        <is>
          <t>slider.BacklogReport</t>
        </is>
      </c>
      <c r="B70" s="27" t="inlineStr">
        <is>
          <t>Báo cáo tồn giao</t>
        </is>
      </c>
      <c r="C70" s="27" t="inlineStr">
        <is>
          <t>Inventory of delivery report</t>
        </is>
      </c>
      <c r="D70" s="102" t="n"/>
      <c r="E70" s="21" t="inlineStr">
        <is>
          <t>របាយការណ៍ទំនិញនៅសល់សម្រាប់ការដឹកជញ្ជូន</t>
        </is>
      </c>
      <c r="F70" s="10" t="n"/>
      <c r="G70" s="10" t="inlineStr">
        <is>
          <t>របាយការណ៍ទំនិញនៅសល់សម្រាប់ការដឹកជញ្ជូន</t>
        </is>
      </c>
      <c r="H70" s="10" t="inlineStr">
        <is>
          <t>របាយការណ៍ទំនិញនៅសល់សម្រាប់ការដឹកជញ្ជូន</t>
        </is>
      </c>
      <c r="I70" s="10" t="n"/>
      <c r="J70" s="10" t="n"/>
      <c r="K70" s="10" t="inlineStr">
        <is>
          <t>"slider.BacklogReport": "របាយការណ៍ទំនិញនៅសល់សម្រាប់ការដឹកជញ្ជូន",</t>
        </is>
      </c>
      <c r="L70" s="10" t="n"/>
      <c r="M70" s="10" t="n"/>
      <c r="N70" s="10" t="n"/>
      <c r="O70" s="10" t="n"/>
      <c r="P70" s="10" t="n"/>
      <c r="Q70" s="10" t="n"/>
      <c r="R70" s="10" t="n"/>
      <c r="S70" s="10" t="n"/>
      <c r="T70" s="10" t="n"/>
      <c r="U70" s="10" t="n"/>
      <c r="V70" s="10" t="n"/>
      <c r="W70" s="10" t="n"/>
      <c r="X70" s="10" t="n"/>
      <c r="Y70" s="10" t="n"/>
      <c r="Z70" s="10" t="n"/>
    </row>
    <row r="71">
      <c r="A71" s="27" t="inlineStr">
        <is>
          <t>slider.InventoryReport</t>
        </is>
      </c>
      <c r="B71" s="27" t="inlineStr">
        <is>
          <t>Báo cáo tồn thu</t>
        </is>
      </c>
      <c r="C71" s="27" t="inlineStr">
        <is>
          <t>Inventory of receiving report</t>
        </is>
      </c>
      <c r="D71" s="102" t="n"/>
      <c r="E71" s="21" t="inlineStr">
        <is>
          <t>របាយការណ៍ប្រាក់នៅសល់ត្រូវប្រមូល</t>
        </is>
      </c>
      <c r="F71" s="10" t="n"/>
      <c r="G71" s="10" t="inlineStr">
        <is>
          <t>របាយការណ៍ប្រាក់នៅសល់ត្រូវប្រមូល</t>
        </is>
      </c>
      <c r="H71" s="10" t="inlineStr">
        <is>
          <t>របាយការណ៍ប្រាក់នៅសល់ត្រូវប្រមូល</t>
        </is>
      </c>
      <c r="I71" s="10" t="n"/>
      <c r="J71" s="10" t="n"/>
      <c r="K71" s="10" t="inlineStr">
        <is>
          <t>"slider.InventoryReport": "របាយការណ៍ប្រាក់នៅសល់ត្រូវប្រមូល",</t>
        </is>
      </c>
      <c r="L71" s="10" t="n"/>
      <c r="M71" s="10" t="n"/>
      <c r="N71" s="10" t="n"/>
      <c r="O71" s="10" t="n"/>
      <c r="P71" s="10" t="n"/>
      <c r="Q71" s="10" t="n"/>
      <c r="R71" s="10" t="n"/>
      <c r="S71" s="10" t="n"/>
      <c r="T71" s="10" t="n"/>
      <c r="U71" s="10" t="n"/>
      <c r="V71" s="10" t="n"/>
      <c r="W71" s="10" t="n"/>
      <c r="X71" s="10" t="n"/>
      <c r="Y71" s="10" t="n"/>
      <c r="Z71" s="10" t="n"/>
    </row>
    <row r="72">
      <c r="A72" s="27" t="inlineStr">
        <is>
          <t>slider.TrackingOrder</t>
        </is>
      </c>
      <c r="B72" s="27" t="inlineStr">
        <is>
          <t>Tra cứu hành trình</t>
        </is>
      </c>
      <c r="C72" s="27" t="inlineStr">
        <is>
          <t>Tracking Order</t>
        </is>
      </c>
      <c r="D72" s="21" t="inlineStr">
        <is>
          <t>ស្វែងរកការចេញដំណើរ</t>
        </is>
      </c>
      <c r="E72" s="21" t="inlineStr">
        <is>
          <t>ស្វែងរកការចេញដំណើរ</t>
        </is>
      </c>
      <c r="F72" s="10" t="n"/>
      <c r="G72" s="10" t="inlineStr">
        <is>
          <t>ស្វែងរកការចេញដំណើរ</t>
        </is>
      </c>
      <c r="H72" s="10" t="inlineStr">
        <is>
          <t>ស្វែងរកការចេញដំណើរ</t>
        </is>
      </c>
      <c r="I72" s="10" t="n"/>
      <c r="J72" s="10" t="n"/>
      <c r="K72" s="10" t="inlineStr">
        <is>
          <t>"slider.TrackingOrder": "ស្វែងរកការចេញដំណើរ",</t>
        </is>
      </c>
      <c r="L72" s="10" t="n"/>
      <c r="M72" s="10" t="n"/>
      <c r="N72" s="10" t="n"/>
      <c r="O72" s="10" t="n"/>
      <c r="P72" s="10" t="n"/>
      <c r="Q72" s="10" t="n"/>
      <c r="R72" s="10" t="n"/>
      <c r="S72" s="10" t="n"/>
      <c r="T72" s="10" t="n"/>
      <c r="U72" s="10" t="n"/>
      <c r="V72" s="10" t="n"/>
      <c r="W72" s="10" t="n"/>
      <c r="X72" s="10" t="n"/>
      <c r="Y72" s="10" t="n"/>
      <c r="Z72" s="10" t="n"/>
    </row>
    <row r="73">
      <c r="A73" s="27" t="inlineStr">
        <is>
          <t>slider.Personnel</t>
        </is>
      </c>
      <c r="B73" s="27" t="inlineStr">
        <is>
          <t>Nhân sự</t>
        </is>
      </c>
      <c r="C73" s="27" t="inlineStr">
        <is>
          <t>Human resource</t>
        </is>
      </c>
      <c r="D73" s="21" t="inlineStr">
        <is>
          <t>ធនធានមនុស្ស</t>
        </is>
      </c>
      <c r="E73" s="21" t="inlineStr">
        <is>
          <t>ធនធានមនុស្ស</t>
        </is>
      </c>
      <c r="F73" s="10" t="n"/>
      <c r="G73" s="10" t="inlineStr">
        <is>
          <t>ធនធានមនុស្ស</t>
        </is>
      </c>
      <c r="H73" s="10" t="inlineStr">
        <is>
          <t>ធនធានមនុស្ស</t>
        </is>
      </c>
      <c r="I73" s="10" t="n"/>
      <c r="J73" s="10" t="n"/>
      <c r="K73" s="10" t="inlineStr">
        <is>
          <t>"slider.Personnel": "ធនធានមនុស្ស",</t>
        </is>
      </c>
      <c r="L73" s="10" t="n"/>
      <c r="M73" s="10" t="n"/>
      <c r="N73" s="10" t="n"/>
      <c r="O73" s="10" t="n"/>
      <c r="P73" s="10" t="n"/>
      <c r="Q73" s="10" t="n"/>
      <c r="R73" s="10" t="n"/>
      <c r="S73" s="10" t="n"/>
      <c r="T73" s="10" t="n"/>
      <c r="U73" s="10" t="n"/>
      <c r="V73" s="10" t="n"/>
      <c r="W73" s="10" t="n"/>
      <c r="X73" s="10" t="n"/>
      <c r="Y73" s="10" t="n"/>
      <c r="Z73" s="10" t="n"/>
    </row>
    <row r="74">
      <c r="A74" s="27" t="inlineStr">
        <is>
          <t>slider.UserManagement</t>
        </is>
      </c>
      <c r="B74" s="27" t="inlineStr">
        <is>
          <t>Quản lý nhân viên</t>
        </is>
      </c>
      <c r="C74" s="27" t="inlineStr">
        <is>
          <t>User management</t>
        </is>
      </c>
      <c r="D74" s="21" t="inlineStr">
        <is>
          <t>គ្រប់គ្រងបុគ្គលិក</t>
        </is>
      </c>
      <c r="E74" s="21" t="inlineStr">
        <is>
          <t>គ្រប់គ្រងបុគ្គលិក</t>
        </is>
      </c>
      <c r="F74" s="10" t="n"/>
      <c r="G74" s="10" t="inlineStr">
        <is>
          <t>គ្រប់គ្រងបុគ្គលិក</t>
        </is>
      </c>
      <c r="H74" s="10" t="inlineStr">
        <is>
          <t>គ្រប់គ្រងបុគ្គលិក</t>
        </is>
      </c>
      <c r="I74" s="10" t="n"/>
      <c r="J74" s="10" t="n"/>
      <c r="K74" s="10" t="inlineStr">
        <is>
          <t>"slider.UserManagement": "គ្រប់គ្រងបុគ្គលិក",</t>
        </is>
      </c>
      <c r="L74" s="10" t="n"/>
      <c r="M74" s="10" t="n"/>
      <c r="N74" s="10" t="n"/>
      <c r="O74" s="10" t="n"/>
      <c r="P74" s="10" t="n"/>
      <c r="Q74" s="10" t="n"/>
      <c r="R74" s="10" t="n"/>
      <c r="S74" s="10" t="n"/>
      <c r="T74" s="10" t="n"/>
      <c r="U74" s="10" t="n"/>
      <c r="V74" s="10" t="n"/>
      <c r="W74" s="10" t="n"/>
      <c r="X74" s="10" t="n"/>
      <c r="Y74" s="10" t="n"/>
      <c r="Z74" s="10" t="n"/>
    </row>
    <row r="75">
      <c r="A75" s="27" t="inlineStr">
        <is>
          <t>slider.Category</t>
        </is>
      </c>
      <c r="B75" s="27" t="inlineStr">
        <is>
          <t>Danh mục</t>
        </is>
      </c>
      <c r="C75" s="27" t="inlineStr">
        <is>
          <t>Category</t>
        </is>
      </c>
      <c r="D75" s="102" t="n"/>
      <c r="E75" s="21" t="inlineStr">
        <is>
          <t>ប្រភេទ</t>
        </is>
      </c>
      <c r="F75" s="10" t="n"/>
      <c r="G75" s="10" t="inlineStr">
        <is>
          <t>ប្រភេទ</t>
        </is>
      </c>
      <c r="H75" s="10" t="inlineStr">
        <is>
          <t>ប្រភេទ</t>
        </is>
      </c>
      <c r="I75" s="10" t="n"/>
      <c r="J75" s="10" t="n"/>
      <c r="K75" s="10" t="inlineStr">
        <is>
          <t>"slider.Category": "ប្រភេទ",</t>
        </is>
      </c>
      <c r="L75" s="10" t="n"/>
      <c r="M75" s="10" t="n"/>
      <c r="N75" s="10" t="n"/>
      <c r="O75" s="10" t="n"/>
      <c r="P75" s="10" t="n"/>
      <c r="Q75" s="10" t="n"/>
      <c r="R75" s="10" t="n"/>
      <c r="S75" s="10" t="n"/>
      <c r="T75" s="10" t="n"/>
      <c r="U75" s="10" t="n"/>
      <c r="V75" s="10" t="n"/>
      <c r="W75" s="10" t="n"/>
      <c r="X75" s="10" t="n"/>
      <c r="Y75" s="10" t="n"/>
      <c r="Z75" s="10" t="n"/>
    </row>
    <row r="76">
      <c r="A76" s="27" t="inlineStr">
        <is>
          <t>slider.BranchManager</t>
        </is>
      </c>
      <c r="B76" s="27" t="inlineStr">
        <is>
          <t>Quản lý chi nhánh</t>
        </is>
      </c>
      <c r="C76" s="27" t="inlineStr">
        <is>
          <t>Branch management</t>
        </is>
      </c>
      <c r="D76" s="21" t="inlineStr">
        <is>
          <t>គ្រប់គ្រងសាខា</t>
        </is>
      </c>
      <c r="E76" s="21" t="inlineStr">
        <is>
          <t>គ្រប់គ្រងសាខា</t>
        </is>
      </c>
      <c r="F76" s="10" t="n"/>
      <c r="G76" s="10" t="inlineStr">
        <is>
          <t>គ្រប់គ្រងសាខា</t>
        </is>
      </c>
      <c r="H76" s="10" t="inlineStr">
        <is>
          <t>គ្រប់គ្រងសាខា</t>
        </is>
      </c>
      <c r="I76" s="10" t="n"/>
      <c r="J76" s="10" t="n"/>
      <c r="K76" s="10" t="inlineStr">
        <is>
          <t>"slider.BranchManager": "គ្រប់គ្រងសាខា",</t>
        </is>
      </c>
      <c r="L76" s="10" t="n"/>
      <c r="M76" s="10" t="n"/>
      <c r="N76" s="10" t="n"/>
      <c r="O76" s="10" t="n"/>
      <c r="P76" s="10" t="n"/>
      <c r="Q76" s="10" t="n"/>
      <c r="R76" s="10" t="n"/>
      <c r="S76" s="10" t="n"/>
      <c r="T76" s="10" t="n"/>
      <c r="U76" s="10" t="n"/>
      <c r="V76" s="10" t="n"/>
      <c r="W76" s="10" t="n"/>
      <c r="X76" s="10" t="n"/>
      <c r="Y76" s="10" t="n"/>
      <c r="Z76" s="10" t="n"/>
    </row>
    <row r="77">
      <c r="A77" s="27" t="inlineStr">
        <is>
          <t>slider.DepartmentManager</t>
        </is>
      </c>
      <c r="B77" s="27" t="inlineStr">
        <is>
          <t>Quản lý bưu cục</t>
        </is>
      </c>
      <c r="C77" s="27" t="inlineStr">
        <is>
          <t>Post office management</t>
        </is>
      </c>
      <c r="D77" s="21" t="inlineStr">
        <is>
          <t>គ្រប់គ្រងការិយាល័យប្រៃសណីយ៍</t>
        </is>
      </c>
      <c r="E77" s="21" t="inlineStr">
        <is>
          <t>គ្រប់គ្រងការិយាល័យប្រៃសណីយ៍</t>
        </is>
      </c>
      <c r="F77" s="10" t="n"/>
      <c r="G77" s="10" t="inlineStr">
        <is>
          <t>គ្រប់គ្រងការិយាល័យប្រៃសណីយ៍</t>
        </is>
      </c>
      <c r="H77" s="10" t="inlineStr">
        <is>
          <t>គ្រប់គ្រងការិយាល័យប្រៃសណីយ៍</t>
        </is>
      </c>
      <c r="I77" s="10" t="n"/>
      <c r="J77" s="10" t="n"/>
      <c r="K77" s="10" t="inlineStr">
        <is>
          <t>"slider.DepartmentManager": "គ្រប់គ្រងការិយាល័យប្រៃសណីយ៍",</t>
        </is>
      </c>
      <c r="L77" s="10" t="n"/>
      <c r="M77" s="10" t="n"/>
      <c r="N77" s="10" t="n"/>
      <c r="O77" s="10" t="n"/>
      <c r="P77" s="10" t="n"/>
      <c r="Q77" s="10" t="n"/>
      <c r="R77" s="10" t="n"/>
      <c r="S77" s="10" t="n"/>
      <c r="T77" s="10" t="n"/>
      <c r="U77" s="10" t="n"/>
      <c r="V77" s="10" t="n"/>
      <c r="W77" s="10" t="n"/>
      <c r="X77" s="10" t="n"/>
      <c r="Y77" s="10" t="n"/>
      <c r="Z77" s="10" t="n"/>
    </row>
    <row r="78">
      <c r="A78" s="27" t="inlineStr">
        <is>
          <t>slider.Config</t>
        </is>
      </c>
      <c r="B78" s="27" t="inlineStr">
        <is>
          <t>Cấu hình</t>
        </is>
      </c>
      <c r="C78" s="27" t="inlineStr">
        <is>
          <t>Config</t>
        </is>
      </c>
      <c r="D78" s="102" t="n"/>
      <c r="E78" s="21" t="inlineStr">
        <is>
          <t>រចនាសម្ព័ន</t>
        </is>
      </c>
      <c r="F78" s="10" t="n"/>
      <c r="G78" s="10" t="inlineStr">
        <is>
          <t>រចនាសម្ព័ន</t>
        </is>
      </c>
      <c r="H78" s="10" t="inlineStr">
        <is>
          <t>រចនាសម្ព័ន</t>
        </is>
      </c>
      <c r="I78" s="10" t="n"/>
      <c r="J78" s="10" t="n"/>
      <c r="K78" s="10" t="inlineStr">
        <is>
          <t>"slider.Config": "រចនាសម្ព័ន",</t>
        </is>
      </c>
      <c r="L78" s="10" t="n"/>
      <c r="M78" s="10" t="n"/>
      <c r="N78" s="10" t="n"/>
      <c r="O78" s="10" t="n"/>
      <c r="P78" s="10" t="n"/>
      <c r="Q78" s="10" t="n"/>
      <c r="R78" s="10" t="n"/>
      <c r="S78" s="10" t="n"/>
      <c r="T78" s="10" t="n"/>
      <c r="U78" s="10" t="n"/>
      <c r="V78" s="10" t="n"/>
      <c r="W78" s="10" t="n"/>
      <c r="X78" s="10" t="n"/>
      <c r="Y78" s="10" t="n"/>
      <c r="Z78" s="10" t="n"/>
    </row>
    <row r="79">
      <c r="A79" s="27" t="inlineStr">
        <is>
          <t>slider.ConfigDelivery</t>
        </is>
      </c>
      <c r="B79" s="27" t="inlineStr">
        <is>
          <t>Cấu hình tuyến giao</t>
        </is>
      </c>
      <c r="C79" s="27" t="inlineStr">
        <is>
          <t>Config delivery</t>
        </is>
      </c>
      <c r="D79" s="102" t="n"/>
      <c r="E79" s="21" t="inlineStr">
        <is>
          <t>រចនាសម្ព័នផ្លូវទទួលទំនិញ</t>
        </is>
      </c>
      <c r="F79" s="10" t="n"/>
      <c r="G79" s="10" t="inlineStr">
        <is>
          <t>រចនាសម្ព័នផ្លូវទទួលទំនិញ</t>
        </is>
      </c>
      <c r="H79" s="10" t="inlineStr">
        <is>
          <t>រចនាសម្ព័នផ្លូវទទួលទំនិញ</t>
        </is>
      </c>
      <c r="I79" s="10" t="n"/>
      <c r="J79" s="10" t="n"/>
      <c r="K79" s="10" t="inlineStr">
        <is>
          <t>"slider.ConfigDelivery": "រចនាសម្ព័នផ្លូវទទួលទំនិញ",</t>
        </is>
      </c>
      <c r="L79" s="10" t="n"/>
      <c r="M79" s="10" t="n"/>
      <c r="N79" s="10" t="n"/>
      <c r="O79" s="10" t="n"/>
      <c r="P79" s="10" t="n"/>
      <c r="Q79" s="10" t="n"/>
      <c r="R79" s="10" t="n"/>
      <c r="S79" s="10" t="n"/>
      <c r="T79" s="10" t="n"/>
      <c r="U79" s="10" t="n"/>
      <c r="V79" s="10" t="n"/>
      <c r="W79" s="10" t="n"/>
      <c r="X79" s="10" t="n"/>
      <c r="Y79" s="10" t="n"/>
      <c r="Z79" s="10" t="n"/>
    </row>
    <row r="80">
      <c r="A80" s="27" t="inlineStr">
        <is>
          <t>slider.ConfigReceivingDelivery</t>
        </is>
      </c>
      <c r="B80" s="27" t="inlineStr">
        <is>
          <t>Cấu hình tuyến nhận-giao</t>
        </is>
      </c>
      <c r="C80" s="27" t="inlineStr">
        <is>
          <t>Config route-delivery</t>
        </is>
      </c>
      <c r="D80" s="102" t="n"/>
      <c r="E80" s="21" t="inlineStr">
        <is>
          <t>រចនាសម្ព័នផ្លូវទទួល-ប្រគល់ទំនិញ</t>
        </is>
      </c>
      <c r="F80" s="10" t="n"/>
      <c r="G80" s="10" t="inlineStr">
        <is>
          <t>រចនាសម្ព័នផ្លូវទទួល-ប្រគល់ទំនិញ</t>
        </is>
      </c>
      <c r="H80" s="10" t="inlineStr">
        <is>
          <t>រចនាសម្ព័នផ្លូវទទួល-ប្រគល់ទំនិញ</t>
        </is>
      </c>
      <c r="I80" s="10" t="n"/>
      <c r="J80" s="10" t="n"/>
      <c r="K80" s="10" t="inlineStr">
        <is>
          <t>"slider.ConfigReceivingDelivery": "រចនាសម្ព័នផ្លូវទទួល-ប្រគល់ទំនិញ",</t>
        </is>
      </c>
      <c r="L80" s="10" t="n"/>
      <c r="M80" s="10" t="n"/>
      <c r="N80" s="10" t="n"/>
      <c r="O80" s="10" t="n"/>
      <c r="P80" s="10" t="n"/>
      <c r="Q80" s="10" t="n"/>
      <c r="R80" s="10" t="n"/>
      <c r="S80" s="10" t="n"/>
      <c r="T80" s="10" t="n"/>
      <c r="U80" s="10" t="n"/>
      <c r="V80" s="10" t="n"/>
      <c r="W80" s="10" t="n"/>
      <c r="X80" s="10" t="n"/>
      <c r="Y80" s="10" t="n"/>
      <c r="Z80" s="10" t="n"/>
    </row>
    <row r="81">
      <c r="A81" s="27" t="inlineStr">
        <is>
          <t>slider.DetailDelivery</t>
        </is>
      </c>
      <c r="B81" s="27" t="inlineStr">
        <is>
          <t>Chi tiết tuyến giao</t>
        </is>
      </c>
      <c r="C81" s="27" t="inlineStr">
        <is>
          <t>Detail config delivery</t>
        </is>
      </c>
      <c r="D81" s="102" t="n"/>
      <c r="E81" s="21" t="inlineStr">
        <is>
          <t>លម្អិ្អតផ្លូវប្រគល់ទំនិញ</t>
        </is>
      </c>
      <c r="F81" s="10" t="n"/>
      <c r="G81" s="10" t="inlineStr">
        <is>
          <t>លម្អិ្អតផ្លូវប្រគល់ទំនិញ</t>
        </is>
      </c>
      <c r="H81" s="10" t="inlineStr">
        <is>
          <t>លម្អិ្អតផ្លូវប្រគល់ទំនិញ</t>
        </is>
      </c>
      <c r="I81" s="10" t="n"/>
      <c r="J81" s="10" t="n"/>
      <c r="K81" s="10" t="inlineStr">
        <is>
          <t>"slider.DetailDelivery": "លម្អិ្អតផ្លូវប្រគល់ទំនិញ",</t>
        </is>
      </c>
      <c r="L81" s="10" t="n"/>
      <c r="M81" s="10" t="n"/>
      <c r="N81" s="10" t="n"/>
      <c r="O81" s="10" t="n"/>
      <c r="P81" s="10" t="n"/>
      <c r="Q81" s="10" t="n"/>
      <c r="R81" s="10" t="n"/>
      <c r="S81" s="10" t="n"/>
      <c r="T81" s="10" t="n"/>
      <c r="U81" s="10" t="n"/>
      <c r="V81" s="10" t="n"/>
      <c r="W81" s="10" t="n"/>
      <c r="X81" s="10" t="n"/>
      <c r="Y81" s="10" t="n"/>
      <c r="Z81" s="10" t="n"/>
    </row>
    <row r="82">
      <c r="A82" s="27" t="inlineStr">
        <is>
          <t>slider.Controller</t>
        </is>
      </c>
      <c r="B82" s="27" t="inlineStr">
        <is>
          <t>Vận hành</t>
        </is>
      </c>
      <c r="C82" s="27" t="inlineStr">
        <is>
          <t>Controller</t>
        </is>
      </c>
      <c r="D82" s="21" t="inlineStr">
        <is>
          <t>ដឹកជញ្ជូន</t>
        </is>
      </c>
      <c r="E82" s="21" t="inlineStr">
        <is>
          <t>ការដឹកជញ្ជូន</t>
        </is>
      </c>
      <c r="F82" s="10" t="n"/>
      <c r="G82" s="10" t="inlineStr">
        <is>
          <t>ការដឹកជញ្ជូន</t>
        </is>
      </c>
      <c r="H82" s="10" t="inlineStr">
        <is>
          <t>ការដឹកជញ្ជូន</t>
        </is>
      </c>
      <c r="I82" s="10" t="n"/>
      <c r="J82" s="10" t="n"/>
      <c r="K82" s="10" t="inlineStr">
        <is>
          <t>"slider.Controller": "ការដឹកជញ្ជូន",</t>
        </is>
      </c>
      <c r="L82" s="10" t="n"/>
      <c r="M82" s="10" t="n"/>
      <c r="N82" s="10" t="n"/>
      <c r="O82" s="10" t="n"/>
      <c r="P82" s="10" t="n"/>
      <c r="Q82" s="10" t="n"/>
      <c r="R82" s="10" t="n"/>
      <c r="S82" s="10" t="n"/>
      <c r="T82" s="10" t="n"/>
      <c r="U82" s="10" t="n"/>
      <c r="V82" s="10" t="n"/>
      <c r="W82" s="10" t="n"/>
      <c r="X82" s="10" t="n"/>
      <c r="Y82" s="10" t="n"/>
      <c r="Z82" s="10" t="n"/>
    </row>
    <row r="83">
      <c r="A83" s="27" t="inlineStr">
        <is>
          <t>slider.ModifyOrder</t>
        </is>
      </c>
      <c r="B83" s="27" t="inlineStr">
        <is>
          <t>Tiếp nhận đơn</t>
        </is>
      </c>
      <c r="C83" s="27" t="inlineStr">
        <is>
          <t>Accept order</t>
        </is>
      </c>
      <c r="D83" s="21" t="inlineStr">
        <is>
          <t>ទទួលបុងបញ្ញើ</t>
        </is>
      </c>
      <c r="E83" s="21" t="inlineStr">
        <is>
          <t>ទទួលបុងបញ្ញើ</t>
        </is>
      </c>
      <c r="F83" s="10" t="n"/>
      <c r="G83" s="10" t="inlineStr">
        <is>
          <t>ទទួលបុងបញ្ញើ</t>
        </is>
      </c>
      <c r="H83" s="10" t="inlineStr">
        <is>
          <t>ទទួលបុងបញ្ញើ</t>
        </is>
      </c>
      <c r="I83" s="10" t="n"/>
      <c r="J83" s="10" t="n"/>
      <c r="K83" s="10" t="inlineStr">
        <is>
          <t>"slider.ModifyOrder": "ទទួលបុងបញ្ញើ",</t>
        </is>
      </c>
      <c r="L83" s="10" t="n"/>
      <c r="M83" s="10" t="n"/>
      <c r="N83" s="10" t="n"/>
      <c r="O83" s="10" t="n"/>
      <c r="P83" s="10" t="n"/>
      <c r="Q83" s="10" t="n"/>
      <c r="R83" s="10" t="n"/>
      <c r="S83" s="10" t="n"/>
      <c r="T83" s="10" t="n"/>
      <c r="U83" s="10" t="n"/>
      <c r="V83" s="10" t="n"/>
      <c r="W83" s="10" t="n"/>
      <c r="X83" s="10" t="n"/>
      <c r="Y83" s="10" t="n"/>
      <c r="Z83" s="10" t="n"/>
    </row>
    <row r="84">
      <c r="A84" s="27" t="inlineStr">
        <is>
          <t>slider.OrderStatusReport</t>
        </is>
      </c>
      <c r="B84" s="27" t="inlineStr">
        <is>
          <t>Báo cáo đơn hàng theo trạng thái</t>
        </is>
      </c>
      <c r="C84" s="27" t="inlineStr">
        <is>
          <t>Order status report</t>
        </is>
      </c>
      <c r="D84" s="102" t="inlineStr">
        <is>
          <t>របាយការណ៍បុងបញ្ញើតាមស្ថានភាព</t>
        </is>
      </c>
      <c r="E84" s="21" t="inlineStr">
        <is>
          <t>របាយការណ៍បុងបញ្ញើទៅតាមស្ថានភាព</t>
        </is>
      </c>
      <c r="F84" s="10" t="n"/>
      <c r="G84" s="10" t="inlineStr">
        <is>
          <t>របាយការណ៍បុងបញ្ញើទៅតាមស្ថានភាព</t>
        </is>
      </c>
      <c r="H84" s="10" t="inlineStr">
        <is>
          <t>របាយការណ៍បុងបញ្ញើទៅតាមស្ថានភាព</t>
        </is>
      </c>
      <c r="I84" s="10" t="n"/>
      <c r="J84" s="10" t="n"/>
      <c r="K84" s="10" t="inlineStr">
        <is>
          <t>"slider.OrderStatusReport": "របាយការណ៍បុងបញ្ញើទៅតាមស្ថានភាព",</t>
        </is>
      </c>
      <c r="L84" s="10" t="n"/>
      <c r="M84" s="10" t="n"/>
      <c r="N84" s="10" t="n"/>
      <c r="O84" s="10" t="n"/>
      <c r="P84" s="10" t="n"/>
      <c r="Q84" s="10" t="n"/>
      <c r="R84" s="10" t="n"/>
      <c r="S84" s="10" t="n"/>
      <c r="T84" s="10" t="n"/>
      <c r="U84" s="10" t="n"/>
      <c r="V84" s="10" t="n"/>
      <c r="W84" s="10" t="n"/>
      <c r="X84" s="10" t="n"/>
      <c r="Y84" s="10" t="n"/>
      <c r="Z84" s="10" t="n"/>
    </row>
    <row r="85">
      <c r="A85" s="27" t="inlineStr">
        <is>
          <t>slider.OrderStatusReportLabel</t>
        </is>
      </c>
      <c r="B85" s="27" t="inlineStr">
        <is>
          <t>Đơn hàng theo trạng thái</t>
        </is>
      </c>
      <c r="C85" s="27" t="inlineStr">
        <is>
          <t>Order status report</t>
        </is>
      </c>
      <c r="D85" s="102" t="inlineStr">
        <is>
          <t>ការបញ្ជាទិញតាមស្ថានភាព</t>
        </is>
      </c>
      <c r="E85" s="21" t="inlineStr">
        <is>
          <t>បុងបញ្ញើតាមស្ថានភាព</t>
        </is>
      </c>
      <c r="F85" s="10" t="n"/>
      <c r="G85" s="10" t="inlineStr">
        <is>
          <t>បុងបញ្ញើតាមស្ថានភាព</t>
        </is>
      </c>
      <c r="H85" s="10" t="inlineStr">
        <is>
          <t>បុងបញ្ញើតាមស្ថានភាព</t>
        </is>
      </c>
      <c r="I85" s="10" t="n"/>
      <c r="J85" s="10" t="n"/>
      <c r="K85" s="10" t="inlineStr">
        <is>
          <t>"slider.OrderStatusReportLabel": "បុងបញ្ញើតាមស្ថានភាព",</t>
        </is>
      </c>
      <c r="L85" s="10" t="n"/>
      <c r="M85" s="10" t="n"/>
      <c r="N85" s="10" t="n"/>
      <c r="O85" s="10" t="n"/>
      <c r="P85" s="10" t="n"/>
      <c r="Q85" s="10" t="n"/>
      <c r="R85" s="10" t="n"/>
      <c r="S85" s="10" t="n"/>
      <c r="T85" s="10" t="n"/>
      <c r="U85" s="10" t="n"/>
      <c r="V85" s="10" t="n"/>
      <c r="W85" s="10" t="n"/>
      <c r="X85" s="10" t="n"/>
      <c r="Y85" s="10" t="n"/>
      <c r="Z85" s="10" t="n"/>
    </row>
    <row r="86">
      <c r="A86" s="27" t="inlineStr">
        <is>
          <t>slider.Packing</t>
        </is>
      </c>
      <c r="B86" s="27" t="inlineStr">
        <is>
          <t>Đóng tải</t>
        </is>
      </c>
      <c r="C86" s="27" t="inlineStr">
        <is>
          <t>Packup</t>
        </is>
      </c>
      <c r="D86" s="21" t="n"/>
      <c r="E86" s="21" t="inlineStr">
        <is>
          <t>បិទកញ្ចប់ទំនិញ</t>
        </is>
      </c>
      <c r="F86" s="10" t="n"/>
      <c r="G86" s="10" t="inlineStr">
        <is>
          <t>បិទកញ្ចប់ទំនិញ</t>
        </is>
      </c>
      <c r="H86" s="10" t="inlineStr">
        <is>
          <t>បិទកញ្ចប់ទំនិញ</t>
        </is>
      </c>
      <c r="I86" s="10" t="n"/>
      <c r="J86" s="10" t="n"/>
      <c r="K86" s="10" t="inlineStr">
        <is>
          <t>"slider.Packing": "បិទកញ្ចប់ទំនិញ",</t>
        </is>
      </c>
      <c r="L86" s="10" t="n"/>
      <c r="M86" s="10" t="n"/>
      <c r="N86" s="10" t="n"/>
      <c r="O86" s="10" t="n"/>
      <c r="P86" s="10" t="n"/>
      <c r="Q86" s="10" t="n"/>
      <c r="R86" s="10" t="n"/>
      <c r="S86" s="10" t="n"/>
      <c r="T86" s="10" t="n"/>
      <c r="U86" s="10" t="n"/>
      <c r="V86" s="10" t="n"/>
      <c r="W86" s="10" t="n"/>
      <c r="X86" s="10" t="n"/>
      <c r="Y86" s="10" t="n"/>
      <c r="Z86" s="10" t="n"/>
    </row>
    <row r="87">
      <c r="A87" s="27" t="inlineStr">
        <is>
          <t>slider.packageIncomplete</t>
        </is>
      </c>
      <c r="B87" s="27" t="inlineStr">
        <is>
          <t>Chưa đóng</t>
        </is>
      </c>
      <c r="C87" s="27" t="inlineStr">
        <is>
          <t>Incomplete</t>
        </is>
      </c>
      <c r="D87" s="21" t="n"/>
      <c r="E87" s="21" t="inlineStr">
        <is>
          <t>មិនទាន់បានបិទ</t>
        </is>
      </c>
      <c r="F87" s="10" t="n"/>
      <c r="G87" s="10" t="inlineStr">
        <is>
          <t>មិនទាន់ច្រកបាវ</t>
        </is>
      </c>
      <c r="H87" s="10" t="inlineStr">
        <is>
          <t>មិនទាន់ច្រកបាវ</t>
        </is>
      </c>
      <c r="I87" s="10" t="n"/>
      <c r="J87" s="10" t="n"/>
      <c r="K87" s="10" t="inlineStr">
        <is>
          <t>"slider.packageIncomplete": "មិនទាន់ច្រកបាវ",</t>
        </is>
      </c>
      <c r="L87" s="10" t="n"/>
      <c r="M87" s="10" t="n"/>
      <c r="N87" s="10" t="n"/>
      <c r="O87" s="10" t="n"/>
      <c r="P87" s="10" t="n"/>
      <c r="Q87" s="10" t="n"/>
      <c r="R87" s="10" t="n"/>
      <c r="S87" s="10" t="n"/>
      <c r="T87" s="10" t="n"/>
      <c r="U87" s="10" t="n"/>
      <c r="V87" s="10" t="n"/>
      <c r="W87" s="10" t="n"/>
      <c r="X87" s="10" t="n"/>
      <c r="Y87" s="10" t="n"/>
      <c r="Z87" s="10" t="n"/>
    </row>
    <row r="88">
      <c r="A88" s="27" t="inlineStr">
        <is>
          <t>slider.packageProcess</t>
        </is>
      </c>
      <c r="B88" s="27" t="inlineStr">
        <is>
          <t>Đang đóng</t>
        </is>
      </c>
      <c r="C88" s="27" t="inlineStr">
        <is>
          <t>Packup in progress</t>
        </is>
      </c>
      <c r="D88" s="102" t="n"/>
      <c r="E88" s="21" t="inlineStr">
        <is>
          <t>កំពុងបិទ</t>
        </is>
      </c>
      <c r="F88" s="10" t="n"/>
      <c r="G88" s="10" t="inlineStr">
        <is>
          <t>កំពុងច្រកបាវ</t>
        </is>
      </c>
      <c r="H88" s="10" t="inlineStr">
        <is>
          <t>កំពុងច្រកបាវ</t>
        </is>
      </c>
      <c r="I88" s="10" t="n"/>
      <c r="J88" s="10" t="n"/>
      <c r="K88" s="10" t="inlineStr">
        <is>
          <t>"slider.packageProcess": "កំពុងច្រកបាវ",</t>
        </is>
      </c>
      <c r="L88" s="10" t="n"/>
      <c r="M88" s="10" t="n"/>
      <c r="N88" s="10" t="n"/>
      <c r="O88" s="10" t="n"/>
      <c r="P88" s="10" t="n"/>
      <c r="Q88" s="10" t="n"/>
      <c r="R88" s="10" t="n"/>
      <c r="S88" s="10" t="n"/>
      <c r="T88" s="10" t="n"/>
      <c r="U88" s="10" t="n"/>
      <c r="V88" s="10" t="n"/>
      <c r="W88" s="10" t="n"/>
      <c r="X88" s="10" t="n"/>
      <c r="Y88" s="10" t="n"/>
      <c r="Z88" s="10" t="n"/>
    </row>
    <row r="89">
      <c r="A89" s="27" t="inlineStr">
        <is>
          <t>slider.packageComplete</t>
        </is>
      </c>
      <c r="B89" s="27" t="inlineStr">
        <is>
          <t>Đã đóng</t>
        </is>
      </c>
      <c r="C89" s="27" t="inlineStr">
        <is>
          <t>Completed</t>
        </is>
      </c>
      <c r="D89" s="102" t="n"/>
      <c r="E89" s="21" t="inlineStr">
        <is>
          <t>បានបិទ</t>
        </is>
      </c>
      <c r="F89" s="10" t="n"/>
      <c r="G89" s="10" t="inlineStr">
        <is>
          <t>បានច្រកបាវរួចរាល់</t>
        </is>
      </c>
      <c r="H89" s="10" t="inlineStr">
        <is>
          <t>បានច្រកបាវរួចរាល់</t>
        </is>
      </c>
      <c r="I89" s="10" t="n"/>
      <c r="J89" s="10" t="n"/>
      <c r="K89" s="10" t="inlineStr">
        <is>
          <t>"slider.packageComplete": "បានច្រកបាវរួចរាល់",</t>
        </is>
      </c>
      <c r="L89" s="10" t="n"/>
      <c r="M89" s="10" t="n"/>
      <c r="N89" s="10" t="n"/>
      <c r="O89" s="10" t="n"/>
      <c r="P89" s="10" t="n"/>
      <c r="Q89" s="10" t="n"/>
      <c r="R89" s="10" t="n"/>
      <c r="S89" s="10" t="n"/>
      <c r="T89" s="10" t="n"/>
      <c r="U89" s="10" t="n"/>
      <c r="V89" s="10" t="n"/>
      <c r="W89" s="10" t="n"/>
      <c r="X89" s="10" t="n"/>
      <c r="Y89" s="10" t="n"/>
      <c r="Z89" s="10" t="n"/>
    </row>
    <row r="90">
      <c r="A90" s="27" t="inlineStr">
        <is>
          <t>slider.ListOrderOfPacking</t>
        </is>
      </c>
      <c r="B90" s="27" t="inlineStr">
        <is>
          <t>Chi tiết điểm đến</t>
        </is>
      </c>
      <c r="C90" s="27" t="inlineStr">
        <is>
          <t>Detail destination</t>
        </is>
      </c>
      <c r="D90" s="102" t="inlineStr">
        <is>
          <t>លម្អិតកន្លែងមកដល់</t>
        </is>
      </c>
      <c r="E90" s="21" t="inlineStr">
        <is>
          <t>លម្អិតពីទីតាំងមកដល់</t>
        </is>
      </c>
      <c r="F90" s="10" t="n"/>
      <c r="G90" s="10" t="inlineStr">
        <is>
          <t>លម្អិតពីទីតាំងមកដល់</t>
        </is>
      </c>
      <c r="H90" s="10" t="inlineStr">
        <is>
          <t>លម្អិតពីទីតាំងមកដល់</t>
        </is>
      </c>
      <c r="I90" s="10" t="n"/>
      <c r="J90" s="10" t="n"/>
      <c r="K90" s="10" t="inlineStr">
        <is>
          <t>"slider.ListOrderOfPacking": "លម្អិតពីទីតាំងមកដល់",</t>
        </is>
      </c>
      <c r="L90" s="10" t="n"/>
      <c r="M90" s="10" t="n"/>
      <c r="N90" s="10" t="n"/>
      <c r="O90" s="10" t="n"/>
      <c r="P90" s="10" t="n"/>
      <c r="Q90" s="10" t="n"/>
      <c r="R90" s="10" t="n"/>
      <c r="S90" s="10" t="n"/>
      <c r="T90" s="10" t="n"/>
      <c r="U90" s="10" t="n"/>
      <c r="V90" s="10" t="n"/>
      <c r="W90" s="10" t="n"/>
      <c r="X90" s="10" t="n"/>
      <c r="Y90" s="10" t="n"/>
      <c r="Z90" s="10" t="n"/>
    </row>
    <row r="91">
      <c r="A91" s="27" t="inlineStr">
        <is>
          <t>slider.DetailPacking</t>
        </is>
      </c>
      <c r="B91" s="27" t="inlineStr">
        <is>
          <t>Chi tiết tải</t>
        </is>
      </c>
      <c r="C91" s="27" t="inlineStr">
        <is>
          <t>Package detail</t>
        </is>
      </c>
      <c r="D91" s="102" t="inlineStr">
        <is>
          <t>លម្អិតពីជើងដឹក</t>
        </is>
      </c>
      <c r="E91" s="21" t="inlineStr">
        <is>
          <t>លម្អិតពីកញ្ចប់ទំនិញ</t>
        </is>
      </c>
      <c r="F91" s="10" t="n"/>
      <c r="G91" s="10" t="inlineStr">
        <is>
          <t>លម្អិតពីកញ្ចប់ទំនិញ</t>
        </is>
      </c>
      <c r="H91" s="10" t="inlineStr">
        <is>
          <t>លម្អិតពីកញ្ចប់ទំនិញ</t>
        </is>
      </c>
      <c r="I91" s="10" t="n"/>
      <c r="J91" s="10" t="n"/>
      <c r="K91" s="10" t="inlineStr">
        <is>
          <t>"slider.DetailPacking": "លម្អិតពីកញ្ចប់ទំនិញ",</t>
        </is>
      </c>
      <c r="L91" s="10" t="n"/>
      <c r="M91" s="10" t="n"/>
      <c r="N91" s="10" t="n"/>
      <c r="O91" s="10" t="n"/>
      <c r="P91" s="10" t="n"/>
      <c r="Q91" s="10" t="n"/>
      <c r="R91" s="10" t="n"/>
      <c r="S91" s="10" t="n"/>
      <c r="T91" s="10" t="n"/>
      <c r="U91" s="10" t="n"/>
      <c r="V91" s="10" t="n"/>
      <c r="W91" s="10" t="n"/>
      <c r="X91" s="10" t="n"/>
      <c r="Y91" s="10" t="n"/>
      <c r="Z91" s="10" t="n"/>
    </row>
    <row r="92">
      <c r="A92" s="27" t="inlineStr">
        <is>
          <t>slider.Process</t>
        </is>
      </c>
      <c r="B92" s="27" t="inlineStr">
        <is>
          <t>Khai thác đến</t>
        </is>
      </c>
      <c r="C92" s="27" t="inlineStr">
        <is>
          <t>Process</t>
        </is>
      </c>
      <c r="D92" s="21" t="inlineStr">
        <is>
          <t>ត្រួតពិនិត្យដល់</t>
        </is>
      </c>
      <c r="E92" s="21" t="inlineStr">
        <is>
          <t>ត្រួតពិនិត្យដល់</t>
        </is>
      </c>
      <c r="F92" s="10" t="n"/>
      <c r="G92" s="10" t="inlineStr">
        <is>
          <t>ត្រួតពិនិត្យដល់</t>
        </is>
      </c>
      <c r="H92" s="10" t="inlineStr">
        <is>
          <t>ត្រួតពិនិត្យដល់</t>
        </is>
      </c>
      <c r="I92" s="10" t="n"/>
      <c r="J92" s="10" t="n"/>
      <c r="K92" s="10" t="inlineStr">
        <is>
          <t>"slider.Process": "ត្រួតពិនិត្យដល់",</t>
        </is>
      </c>
      <c r="L92" s="10" t="n"/>
      <c r="M92" s="10" t="n"/>
      <c r="N92" s="10" t="n"/>
      <c r="O92" s="10" t="n"/>
      <c r="P92" s="10" t="n"/>
      <c r="Q92" s="10" t="n"/>
      <c r="R92" s="10" t="n"/>
      <c r="S92" s="10" t="n"/>
      <c r="T92" s="10" t="n"/>
      <c r="U92" s="10" t="n"/>
      <c r="V92" s="10" t="n"/>
      <c r="W92" s="10" t="n"/>
      <c r="X92" s="10" t="n"/>
      <c r="Y92" s="10" t="n"/>
      <c r="Z92" s="10" t="n"/>
    </row>
    <row r="93">
      <c r="A93" s="27" t="inlineStr">
        <is>
          <t>slider.Debit</t>
        </is>
      </c>
      <c r="B93" s="27" t="inlineStr">
        <is>
          <t>Công nợ</t>
        </is>
      </c>
      <c r="C93" s="27" t="inlineStr">
        <is>
          <t>Finance Control</t>
        </is>
      </c>
      <c r="D93" s="21" t="inlineStr">
        <is>
          <t>បំណុល</t>
        </is>
      </c>
      <c r="E93" s="21" t="inlineStr">
        <is>
          <t>បំណុល</t>
        </is>
      </c>
      <c r="F93" s="10" t="n"/>
      <c r="G93" s="10" t="inlineStr">
        <is>
          <t>បំណុល</t>
        </is>
      </c>
      <c r="H93" s="10" t="inlineStr">
        <is>
          <t>បំណុល</t>
        </is>
      </c>
      <c r="I93" s="10" t="n"/>
      <c r="J93" s="10" t="n"/>
      <c r="K93" s="10" t="inlineStr">
        <is>
          <t>"slider.Debit": "បំណុល",</t>
        </is>
      </c>
      <c r="L93" s="10" t="n"/>
      <c r="M93" s="10" t="n"/>
      <c r="N93" s="10" t="n"/>
      <c r="O93" s="10" t="n"/>
      <c r="P93" s="10" t="n"/>
      <c r="Q93" s="10" t="n"/>
      <c r="R93" s="10" t="n"/>
      <c r="S93" s="10" t="n"/>
      <c r="T93" s="10" t="n"/>
      <c r="U93" s="10" t="n"/>
      <c r="V93" s="10" t="n"/>
      <c r="W93" s="10" t="n"/>
      <c r="X93" s="10" t="n"/>
      <c r="Y93" s="10" t="n"/>
      <c r="Z93" s="10" t="n"/>
    </row>
    <row r="94">
      <c r="A94" s="27" t="inlineStr">
        <is>
          <t>slider.CodEmployee</t>
        </is>
      </c>
      <c r="B94" s="27" t="inlineStr">
        <is>
          <t>Thu công nợ COD bưu tá</t>
        </is>
      </c>
      <c r="C94" s="27" t="inlineStr">
        <is>
          <t>COD Cash Inflow</t>
        </is>
      </c>
      <c r="D94" s="21" t="inlineStr">
        <is>
          <t>ប្រមូលប្រាក់CODពីអ្នកដឹកជញ្ជូន</t>
        </is>
      </c>
      <c r="E94" s="21" t="inlineStr">
        <is>
          <t>ប្រមូលបំណុល COD ពីអ្នកដឹកជញ្ជូន</t>
        </is>
      </c>
      <c r="F94" s="10" t="n"/>
      <c r="G94" s="10" t="inlineStr">
        <is>
          <t>ប្រមូលបំណុល COD ពីអ្នកដឹកជញ្ជូន</t>
        </is>
      </c>
      <c r="H94" s="10" t="inlineStr">
        <is>
          <t>ប្រមូលបំណុល COD ពីអ្នកដឹកជញ្ជូន</t>
        </is>
      </c>
      <c r="I94" s="10" t="n"/>
      <c r="J94" s="10" t="n"/>
      <c r="K94" s="10" t="inlineStr">
        <is>
          <t>"slider.CodEmployee": "ប្រមូលបំណុល COD ពីអ្នកដឹកជញ្ជូន",</t>
        </is>
      </c>
      <c r="L94" s="10" t="n"/>
      <c r="M94" s="10" t="n"/>
      <c r="N94" s="10" t="n"/>
      <c r="O94" s="10" t="n"/>
      <c r="P94" s="10" t="n"/>
      <c r="Q94" s="10" t="n"/>
      <c r="R94" s="10" t="n"/>
      <c r="S94" s="10" t="n"/>
      <c r="T94" s="10" t="n"/>
      <c r="U94" s="10" t="n"/>
      <c r="V94" s="10" t="n"/>
      <c r="W94" s="10" t="n"/>
      <c r="X94" s="10" t="n"/>
      <c r="Y94" s="10" t="n"/>
      <c r="Z94" s="10" t="n"/>
    </row>
    <row r="95">
      <c r="A95" s="27" t="inlineStr">
        <is>
          <t>slider.EmployeeDebt</t>
        </is>
      </c>
      <c r="B95" s="27" t="inlineStr">
        <is>
          <t>Bưu tá chưa tạo bảng kê</t>
        </is>
      </c>
      <c r="C95" s="27" t="inlineStr">
        <is>
          <t>Unrecorded Postman Collections</t>
        </is>
      </c>
      <c r="D95" s="21" t="inlineStr">
        <is>
          <t>អ្នកដឹកជញ្ជូនមិនទាន់បង្កើតតារាង</t>
        </is>
      </c>
      <c r="E95" s="21" t="inlineStr">
        <is>
          <t>អ្នកដឹកជញ្ជូនមិនទាន់បង្កើតបញ្ជីរាយការណ៍</t>
        </is>
      </c>
      <c r="F95" s="10" t="n"/>
      <c r="G95" s="10" t="inlineStr">
        <is>
          <t>អ្នកដឹកជញ្ជូនមិនទាន់បង្កើតបញ្ជីរាយការណ៍</t>
        </is>
      </c>
      <c r="H95" s="10" t="inlineStr">
        <is>
          <t>អ្នកដឹកជញ្ជូនមិនទាន់បង្កើតបញ្ជីរាយការណ៍</t>
        </is>
      </c>
      <c r="I95" s="10" t="n"/>
      <c r="J95" s="10" t="n"/>
      <c r="K95" s="10" t="inlineStr">
        <is>
          <t>"slider.EmployeeDebt": "អ្នកដឹកជញ្ជូនមិនទាន់បង្កើតបញ្ជីរាយការណ៍",</t>
        </is>
      </c>
      <c r="L95" s="10" t="n"/>
      <c r="M95" s="10" t="n"/>
      <c r="N95" s="10" t="n"/>
      <c r="O95" s="10" t="n"/>
      <c r="P95" s="10" t="n"/>
      <c r="Q95" s="10" t="n"/>
      <c r="R95" s="10" t="n"/>
      <c r="S95" s="10" t="n"/>
      <c r="T95" s="10" t="n"/>
      <c r="U95" s="10" t="n"/>
      <c r="V95" s="10" t="n"/>
      <c r="W95" s="10" t="n"/>
      <c r="X95" s="10" t="n"/>
      <c r="Y95" s="10" t="n"/>
      <c r="Z95" s="10" t="n"/>
    </row>
    <row r="96">
      <c r="A96" s="27" t="inlineStr">
        <is>
          <t>slider.EmployeeDebtDetail</t>
        </is>
      </c>
      <c r="B96" s="27" t="inlineStr">
        <is>
          <t>Chi tiết bưu tá</t>
        </is>
      </c>
      <c r="C96" s="27" t="inlineStr">
        <is>
          <t>Postman details</t>
        </is>
      </c>
      <c r="D96" s="21" t="inlineStr">
        <is>
          <t>លម្អិតពីអ្នកដឹកជញ្ជូន</t>
        </is>
      </c>
      <c r="E96" s="21" t="inlineStr">
        <is>
          <t>ព័ត៌មានលម្អិតអ្នកដឹកជញ្ជូន</t>
        </is>
      </c>
      <c r="F96" s="10" t="n"/>
      <c r="G96" s="10" t="inlineStr">
        <is>
          <t>ព័ត៌មានលម្អិតអ្នកដឹកជញ្ជូន</t>
        </is>
      </c>
      <c r="H96" s="10" t="inlineStr">
        <is>
          <t>ព័ត៌មានលម្អិតអ្នកដឹកជញ្ជូន</t>
        </is>
      </c>
      <c r="I96" s="10" t="n"/>
      <c r="J96" s="10" t="n"/>
      <c r="K96" s="10" t="inlineStr">
        <is>
          <t>"slider.EmployeeDebtDetail": "ព័ត៌មានលម្អិតអ្នកដឹកជញ្ជូន",</t>
        </is>
      </c>
      <c r="L96" s="10" t="n"/>
      <c r="M96" s="10" t="n"/>
      <c r="N96" s="10" t="n"/>
      <c r="O96" s="10" t="n"/>
      <c r="P96" s="10" t="n"/>
      <c r="Q96" s="10" t="n"/>
      <c r="R96" s="10" t="n"/>
      <c r="S96" s="10" t="n"/>
      <c r="T96" s="10" t="n"/>
      <c r="U96" s="10" t="n"/>
      <c r="V96" s="10" t="n"/>
      <c r="W96" s="10" t="n"/>
      <c r="X96" s="10" t="n"/>
      <c r="Y96" s="10" t="n"/>
      <c r="Z96" s="10" t="n"/>
    </row>
    <row r="97">
      <c r="A97" s="27" t="inlineStr">
        <is>
          <t>slider.EmployeeCodDetail</t>
        </is>
      </c>
      <c r="B97" s="27" t="inlineStr">
        <is>
          <t>Chi tiết bảng kê</t>
        </is>
      </c>
      <c r="C97" s="27" t="inlineStr">
        <is>
          <t>COD detail</t>
        </is>
      </c>
      <c r="D97" s="21" t="inlineStr">
        <is>
          <t>លម្អិតពីតារាង</t>
        </is>
      </c>
      <c r="E97" s="21" t="inlineStr">
        <is>
          <t>ព័ត៌មានលម្អិតបញ្ជីរាយការណ៍</t>
        </is>
      </c>
      <c r="F97" s="10" t="n"/>
      <c r="G97" s="10" t="inlineStr">
        <is>
          <t>ព័ត៌មានលម្អិតបញ្ជីរាយការណ៍</t>
        </is>
      </c>
      <c r="H97" s="10" t="inlineStr">
        <is>
          <t>ព័ត៌មានលម្អិតបញ្ជីរាយការណ៍</t>
        </is>
      </c>
      <c r="I97" s="10" t="n"/>
      <c r="J97" s="10" t="n"/>
      <c r="K97" s="10" t="inlineStr">
        <is>
          <t>"slider.EmployeeCodDetail": "ព័ត៌មានលម្អិតបញ្ជីរាយការណ៍",</t>
        </is>
      </c>
      <c r="L97" s="10" t="n"/>
      <c r="M97" s="10" t="n"/>
      <c r="N97" s="10" t="n"/>
      <c r="O97" s="10" t="n"/>
      <c r="P97" s="10" t="n"/>
      <c r="Q97" s="10" t="n"/>
      <c r="R97" s="10" t="n"/>
      <c r="S97" s="10" t="n"/>
      <c r="T97" s="10" t="n"/>
      <c r="U97" s="10" t="n"/>
      <c r="V97" s="10" t="n"/>
      <c r="W97" s="10" t="n"/>
      <c r="X97" s="10" t="n"/>
      <c r="Y97" s="10" t="n"/>
      <c r="Z97" s="10" t="n"/>
    </row>
    <row r="98">
      <c r="A98" s="27" t="inlineStr">
        <is>
          <t>slider.EmployeeReceiptDetail</t>
        </is>
      </c>
      <c r="B98" s="27" t="inlineStr">
        <is>
          <t>Chi tiết phiếu thu</t>
        </is>
      </c>
      <c r="C98" s="27" t="inlineStr">
        <is>
          <t>Detail payment receipt</t>
        </is>
      </c>
      <c r="D98" s="21" t="inlineStr">
        <is>
          <t>លម្អិតពីបុងប្រមូល</t>
        </is>
      </c>
      <c r="E98" s="21" t="inlineStr">
        <is>
          <t>ព័ត៌មានលម្អិតប័ណ្ណទទួលប្រាក់</t>
        </is>
      </c>
      <c r="F98" s="10" t="n"/>
      <c r="G98" s="10" t="inlineStr">
        <is>
          <t>ព័ត៌មានលម្អិតបុងប្រមូល</t>
        </is>
      </c>
      <c r="H98" s="10" t="inlineStr">
        <is>
          <t>ព័ត៌មានលម្អិតបុងប្រមូល</t>
        </is>
      </c>
      <c r="I98" s="10" t="n"/>
      <c r="J98" s="10" t="n"/>
      <c r="K98" s="10" t="inlineStr">
        <is>
          <t>"slider.EmployeeReceiptDetail": "ព័ត៌មានលម្អិតបុងប្រមូល",</t>
        </is>
      </c>
      <c r="L98" s="10" t="n"/>
      <c r="M98" s="10" t="n"/>
      <c r="N98" s="10" t="n"/>
      <c r="O98" s="10" t="n"/>
      <c r="P98" s="10" t="n"/>
      <c r="Q98" s="10" t="n"/>
      <c r="R98" s="10" t="n"/>
      <c r="S98" s="10" t="n"/>
      <c r="T98" s="10" t="n"/>
      <c r="U98" s="10" t="n"/>
      <c r="V98" s="10" t="n"/>
      <c r="W98" s="10" t="n"/>
      <c r="X98" s="10" t="n"/>
      <c r="Y98" s="10" t="n"/>
      <c r="Z98" s="10" t="n"/>
    </row>
    <row r="99">
      <c r="A99" s="27" t="inlineStr">
        <is>
          <t>slider.KpiReport</t>
        </is>
      </c>
      <c r="B99" s="27" t="inlineStr">
        <is>
          <t>Báo cáo KPI</t>
        </is>
      </c>
      <c r="C99" s="27" t="inlineStr">
        <is>
          <t>KPI report</t>
        </is>
      </c>
      <c r="D99" s="21" t="n"/>
      <c r="E99" s="21" t="inlineStr">
        <is>
          <t>របាយការណ៍ KPI</t>
        </is>
      </c>
      <c r="F99" s="10" t="n"/>
      <c r="G99" s="10" t="inlineStr">
        <is>
          <t>របាយការណ៍ KPI</t>
        </is>
      </c>
      <c r="H99" s="10" t="inlineStr">
        <is>
          <t>របាយការណ៍ KPI</t>
        </is>
      </c>
      <c r="I99" s="10" t="n"/>
      <c r="J99" s="10" t="n"/>
      <c r="K99" s="10" t="inlineStr">
        <is>
          <t>"slider.KpiReport": "របាយការណ៍ KPI",</t>
        </is>
      </c>
      <c r="L99" s="10" t="n"/>
      <c r="M99" s="10" t="n"/>
      <c r="N99" s="10" t="n"/>
      <c r="O99" s="10" t="n"/>
      <c r="P99" s="10" t="n"/>
      <c r="Q99" s="10" t="n"/>
      <c r="R99" s="10" t="n"/>
      <c r="S99" s="10" t="n"/>
      <c r="T99" s="10" t="n"/>
      <c r="U99" s="10" t="n"/>
      <c r="V99" s="10" t="n"/>
      <c r="W99" s="10" t="n"/>
      <c r="X99" s="10" t="n"/>
      <c r="Y99" s="10" t="n"/>
      <c r="Z99" s="10" t="n"/>
    </row>
    <row r="100">
      <c r="A100" s="27" t="inlineStr">
        <is>
          <t>slider.ReceivingKpiReport</t>
        </is>
      </c>
      <c r="B100" s="27" t="inlineStr">
        <is>
          <t>Báo cáo KPI thu</t>
        </is>
      </c>
      <c r="C100" s="27" t="inlineStr">
        <is>
          <t>Receving KPI report</t>
        </is>
      </c>
      <c r="D100" s="21" t="n"/>
      <c r="E100" s="21" t="inlineStr">
        <is>
          <t>របាយការណ៍ KPI ប្រមូលប្រាក់</t>
        </is>
      </c>
      <c r="F100" s="10" t="n"/>
      <c r="G100" s="10" t="inlineStr">
        <is>
          <t>របាយការណ៍ KPI ប្រមូលប្រាក់</t>
        </is>
      </c>
      <c r="H100" s="10" t="inlineStr">
        <is>
          <t>របាយការណ៍ KPI ប្រមូលប្រាក់</t>
        </is>
      </c>
      <c r="I100" s="10" t="n"/>
      <c r="J100" s="10" t="n"/>
      <c r="K100" s="10" t="inlineStr">
        <is>
          <t>"slider.ReceivingKpiReport": "របាយការណ៍ KPI ប្រមូលប្រាក់",</t>
        </is>
      </c>
      <c r="L100" s="10" t="n"/>
      <c r="M100" s="10" t="n"/>
      <c r="N100" s="10" t="n"/>
      <c r="O100" s="10" t="n"/>
      <c r="P100" s="10" t="n"/>
      <c r="Q100" s="10" t="n"/>
      <c r="R100" s="10" t="n"/>
      <c r="S100" s="10" t="n"/>
      <c r="T100" s="10" t="n"/>
      <c r="U100" s="10" t="n"/>
      <c r="V100" s="10" t="n"/>
      <c r="W100" s="10" t="n"/>
      <c r="X100" s="10" t="n"/>
      <c r="Y100" s="10" t="n"/>
      <c r="Z100" s="10" t="n"/>
    </row>
    <row r="101">
      <c r="A101" s="27" t="inlineStr">
        <is>
          <t>slider.DeliveryKpiReport</t>
        </is>
      </c>
      <c r="B101" s="27" t="inlineStr">
        <is>
          <t>Báo cáo KPI phát</t>
        </is>
      </c>
      <c r="C101" s="27" t="inlineStr">
        <is>
          <t>Báo cáo KPI phát</t>
        </is>
      </c>
      <c r="D101" s="102" t="n"/>
      <c r="E101" s="21" t="inlineStr">
        <is>
          <t>របាយការណ៍ KPI ចែកចាយប្រគល់អីវ៉ាន់</t>
        </is>
      </c>
      <c r="F101" s="10" t="n"/>
      <c r="G101" s="10" t="inlineStr">
        <is>
          <t>របាយការណ៍ KPI ចែកចាយប្រគល់អីវ៉ាន់</t>
        </is>
      </c>
      <c r="H101" s="10" t="inlineStr">
        <is>
          <t>របាយការណ៍ KPI ចែកចាយប្រគល់អីវ៉ាន់</t>
        </is>
      </c>
      <c r="I101" s="10" t="n"/>
      <c r="J101" s="10" t="n"/>
      <c r="K101" s="10" t="inlineStr">
        <is>
          <t>"slider.DeliveryKpiReport": "របាយការណ៍ KPI ចែកចាយប្រគល់អីវ៉ាន់",</t>
        </is>
      </c>
      <c r="L101" s="10" t="n"/>
      <c r="M101" s="10" t="n"/>
      <c r="N101" s="10" t="n"/>
      <c r="O101" s="10" t="n"/>
      <c r="P101" s="10" t="n"/>
      <c r="Q101" s="10" t="n"/>
      <c r="R101" s="10" t="n"/>
      <c r="S101" s="10" t="n"/>
      <c r="T101" s="10" t="n"/>
      <c r="U101" s="10" t="n"/>
      <c r="V101" s="10" t="n"/>
      <c r="W101" s="10" t="n"/>
      <c r="X101" s="10" t="n"/>
      <c r="Y101" s="10" t="n"/>
      <c r="Z101" s="10" t="n"/>
    </row>
    <row r="102">
      <c r="A102" s="27" t="inlineStr">
        <is>
          <t>slider.StaffDebt</t>
        </is>
      </c>
      <c r="B102" s="27" t="inlineStr">
        <is>
          <t>Danh sách chưa nộp tiền</t>
        </is>
      </c>
      <c r="C102" s="27" t="inlineStr">
        <is>
          <t>COD Remittance Statements</t>
        </is>
      </c>
      <c r="D102" s="21" t="inlineStr">
        <is>
          <t>បញ្ជីមិនទាន់បានបង់ប្រាក់</t>
        </is>
      </c>
      <c r="E102" s="21" t="inlineStr">
        <is>
          <t>បញ្ជីមិនទាន់ដាក់ប្រាក់</t>
        </is>
      </c>
      <c r="F102" s="10" t="n"/>
      <c r="G102" s="10" t="inlineStr">
        <is>
          <t>បញ្ជីមិនទាន់ដាក់ប្រាក់</t>
        </is>
      </c>
      <c r="H102" s="10" t="inlineStr">
        <is>
          <t>បញ្ជីមិនទាន់ដាក់ប្រាក់</t>
        </is>
      </c>
      <c r="I102" s="10" t="n"/>
      <c r="J102" s="10" t="n"/>
      <c r="K102" s="10" t="inlineStr">
        <is>
          <t>"slider.StaffDebt": "បញ្ជីមិនទាន់ដាក់ប្រាក់",</t>
        </is>
      </c>
      <c r="L102" s="10" t="n"/>
      <c r="M102" s="10" t="n"/>
      <c r="N102" s="10" t="n"/>
      <c r="O102" s="10" t="n"/>
      <c r="P102" s="10" t="n"/>
      <c r="Q102" s="10" t="n"/>
      <c r="R102" s="10" t="n"/>
      <c r="S102" s="10" t="n"/>
      <c r="T102" s="10" t="n"/>
      <c r="U102" s="10" t="n"/>
      <c r="V102" s="10" t="n"/>
      <c r="W102" s="10" t="n"/>
      <c r="X102" s="10" t="n"/>
      <c r="Y102" s="10" t="n"/>
      <c r="Z102" s="10" t="n"/>
    </row>
    <row r="103">
      <c r="A103" s="27" t="inlineStr">
        <is>
          <t>slider.ShippingFee</t>
        </is>
      </c>
      <c r="B103" s="27" t="inlineStr">
        <is>
          <t>Thu cước bưu tá</t>
        </is>
      </c>
      <c r="C103" s="27" t="inlineStr">
        <is>
          <t>Shipping Fee</t>
        </is>
      </c>
      <c r="D103" s="21" t="inlineStr">
        <is>
          <t>ប្រមូូលសេវាពីអ្នកដឹកជញ្ជូន</t>
        </is>
      </c>
      <c r="E103" s="21" t="inlineStr">
        <is>
          <t>ប្រមូលថ្លៃសេវាពីអ្នកដឹកជញ្ជូន</t>
        </is>
      </c>
      <c r="F103" s="10" t="n"/>
      <c r="G103" s="10" t="inlineStr">
        <is>
          <t>ប្រមូលថ្លៃសេវាពីអ្នកដឹកជញ្ជូន</t>
        </is>
      </c>
      <c r="H103" s="10" t="inlineStr">
        <is>
          <t>ប្រមូលថ្លៃសេវាពីអ្នកដឹកជញ្ជូន</t>
        </is>
      </c>
      <c r="I103" s="10" t="n"/>
      <c r="J103" s="10" t="n"/>
      <c r="K103" s="10" t="inlineStr">
        <is>
          <t>"slider.ShippingFee": "ប្រមូលថ្លៃសេវាពីអ្នកដឹកជញ្ជូន",</t>
        </is>
      </c>
      <c r="L103" s="10" t="n"/>
      <c r="M103" s="10" t="n"/>
      <c r="N103" s="10" t="n"/>
      <c r="O103" s="10" t="n"/>
      <c r="P103" s="10" t="n"/>
      <c r="Q103" s="10" t="n"/>
      <c r="R103" s="10" t="n"/>
      <c r="S103" s="10" t="n"/>
      <c r="T103" s="10" t="n"/>
      <c r="U103" s="10" t="n"/>
      <c r="V103" s="10" t="n"/>
      <c r="W103" s="10" t="n"/>
      <c r="X103" s="10" t="n"/>
      <c r="Y103" s="10" t="n"/>
      <c r="Z103" s="10" t="n"/>
    </row>
    <row r="104">
      <c r="A104" s="27" t="inlineStr">
        <is>
          <t>slider.PaymentCod</t>
        </is>
      </c>
      <c r="B104" s="27" t="inlineStr">
        <is>
          <t>Thanh toán công nợ COD</t>
        </is>
      </c>
      <c r="C104" s="27" t="inlineStr">
        <is>
          <t>Payment COD</t>
        </is>
      </c>
      <c r="D104" s="21" t="inlineStr">
        <is>
          <t>ទូទាត់បំណុល COD</t>
        </is>
      </c>
      <c r="E104" s="21" t="inlineStr">
        <is>
          <t>ទូទាត់បំណុល COD</t>
        </is>
      </c>
      <c r="F104" s="10" t="n"/>
      <c r="G104" s="10" t="inlineStr">
        <is>
          <t>ទូទាត់បំណុល COD</t>
        </is>
      </c>
      <c r="H104" s="10" t="inlineStr">
        <is>
          <t>ទូទាត់បំណុល COD</t>
        </is>
      </c>
      <c r="I104" s="10" t="n"/>
      <c r="J104" s="10" t="n"/>
      <c r="K104" s="10" t="inlineStr">
        <is>
          <t>"slider.PaymentCod": "ទូទាត់បំណុល COD",</t>
        </is>
      </c>
      <c r="L104" s="10" t="n"/>
      <c r="M104" s="10" t="n"/>
      <c r="N104" s="10" t="n"/>
      <c r="O104" s="10" t="n"/>
      <c r="P104" s="10" t="n"/>
      <c r="Q104" s="10" t="n"/>
      <c r="R104" s="10" t="n"/>
      <c r="S104" s="10" t="n"/>
      <c r="T104" s="10" t="n"/>
      <c r="U104" s="10" t="n"/>
      <c r="V104" s="10" t="n"/>
      <c r="W104" s="10" t="n"/>
      <c r="X104" s="10" t="n"/>
      <c r="Y104" s="10" t="n"/>
      <c r="Z104" s="10" t="n"/>
    </row>
    <row r="105">
      <c r="A105" s="27" t="inlineStr">
        <is>
          <t>slider.cusNotPaidCod</t>
        </is>
      </c>
      <c r="B105" s="27" t="inlineStr">
        <is>
          <t>Khách hàng chưa chi COD</t>
        </is>
      </c>
      <c r="C105" s="27" t="inlineStr">
        <is>
          <t>Customers Pending COD Payment</t>
        </is>
      </c>
      <c r="D105" s="21" t="inlineStr">
        <is>
          <t>អតិថិជនមិនទាន់ចំណាយCOD</t>
        </is>
      </c>
      <c r="E105" s="21" t="inlineStr">
        <is>
          <t>អតិថិជនមិនទាន់បង់ COD</t>
        </is>
      </c>
      <c r="F105" s="10" t="n"/>
      <c r="G105" s="10" t="inlineStr">
        <is>
          <t>អតិថិជនមិនទាន់បង់ COD</t>
        </is>
      </c>
      <c r="H105" s="10" t="inlineStr">
        <is>
          <t>អតិថិជនមិនទាន់បង់ COD</t>
        </is>
      </c>
      <c r="I105" s="10" t="n"/>
      <c r="J105" s="10" t="n"/>
      <c r="K105" s="10" t="inlineStr">
        <is>
          <t>"slider.cusNotPaidCod": "អតិថិជនមិនទាន់បង់ COD",</t>
        </is>
      </c>
      <c r="L105" s="10" t="n"/>
      <c r="M105" s="10" t="n"/>
      <c r="N105" s="10" t="n"/>
      <c r="O105" s="10" t="n"/>
      <c r="P105" s="10" t="n"/>
      <c r="Q105" s="10" t="n"/>
      <c r="R105" s="10" t="n"/>
      <c r="S105" s="10" t="n"/>
      <c r="T105" s="10" t="n"/>
      <c r="U105" s="10" t="n"/>
      <c r="V105" s="10" t="n"/>
      <c r="W105" s="10" t="n"/>
      <c r="X105" s="10" t="n"/>
      <c r="Y105" s="10" t="n"/>
      <c r="Z105" s="10" t="n"/>
    </row>
    <row r="106">
      <c r="A106" s="27" t="inlineStr">
        <is>
          <t>slider.detailCustomer</t>
        </is>
      </c>
      <c r="B106" s="27" t="inlineStr">
        <is>
          <t>Chi tiết khách hàng</t>
        </is>
      </c>
      <c r="C106" s="27" t="inlineStr">
        <is>
          <t>Customer Details</t>
        </is>
      </c>
      <c r="D106" s="21" t="inlineStr">
        <is>
          <t>លម្អិតពីអតិថិជន</t>
        </is>
      </c>
      <c r="E106" s="21" t="inlineStr">
        <is>
          <t>លម្អិតពីអតិថិជន</t>
        </is>
      </c>
      <c r="F106" s="10" t="n"/>
      <c r="G106" s="10" t="inlineStr">
        <is>
          <t>លម្អិតពីអតិថិជន</t>
        </is>
      </c>
      <c r="H106" s="10" t="inlineStr">
        <is>
          <t>លម្អិតពីអតិថិជន</t>
        </is>
      </c>
      <c r="I106" s="10" t="n"/>
      <c r="J106" s="10" t="n"/>
      <c r="K106" s="10" t="inlineStr">
        <is>
          <t>"slider.detailCustomer": "លម្អិតពីអតិថិជន",</t>
        </is>
      </c>
      <c r="L106" s="10" t="n"/>
      <c r="M106" s="10" t="n"/>
      <c r="N106" s="10" t="n"/>
      <c r="O106" s="10" t="n"/>
      <c r="P106" s="10" t="n"/>
      <c r="Q106" s="10" t="n"/>
      <c r="R106" s="10" t="n"/>
      <c r="S106" s="10" t="n"/>
      <c r="T106" s="10" t="n"/>
      <c r="U106" s="10" t="n"/>
      <c r="V106" s="10" t="n"/>
      <c r="W106" s="10" t="n"/>
      <c r="X106" s="10" t="n"/>
      <c r="Y106" s="10" t="n"/>
      <c r="Z106" s="10" t="n"/>
    </row>
    <row r="107">
      <c r="A107" s="27" t="inlineStr">
        <is>
          <t>slider.detailStatement</t>
        </is>
      </c>
      <c r="B107" s="27" t="inlineStr">
        <is>
          <t>Chi tiết bảng kê</t>
        </is>
      </c>
      <c r="C107" s="27" t="inlineStr">
        <is>
          <t>Billing List Details</t>
        </is>
      </c>
      <c r="D107" s="21" t="inlineStr">
        <is>
          <t>លម្អិតពីតារាង</t>
        </is>
      </c>
      <c r="E107" s="21" t="inlineStr">
        <is>
          <t>លម្អិតពីតារាង</t>
        </is>
      </c>
      <c r="F107" s="10" t="n"/>
      <c r="G107" s="10" t="inlineStr">
        <is>
          <t>លម្អិតពីតារាង</t>
        </is>
      </c>
      <c r="H107" s="10" t="inlineStr">
        <is>
          <t>លម្អិតពីតារាង</t>
        </is>
      </c>
      <c r="I107" s="10" t="n"/>
      <c r="J107" s="10" t="n"/>
      <c r="K107" s="10" t="inlineStr">
        <is>
          <t>"slider.detailStatement": "លម្អិតពីតារាង",</t>
        </is>
      </c>
      <c r="L107" s="10" t="n"/>
      <c r="M107" s="10" t="n"/>
      <c r="N107" s="10" t="n"/>
      <c r="O107" s="10" t="n"/>
      <c r="P107" s="10" t="n"/>
      <c r="Q107" s="10" t="n"/>
      <c r="R107" s="10" t="n"/>
      <c r="S107" s="10" t="n"/>
      <c r="T107" s="10" t="n"/>
      <c r="U107" s="10" t="n"/>
      <c r="V107" s="10" t="n"/>
      <c r="W107" s="10" t="n"/>
      <c r="X107" s="10" t="n"/>
      <c r="Y107" s="10" t="n"/>
      <c r="Z107" s="10" t="n"/>
    </row>
    <row r="108">
      <c r="A108" s="27" t="inlineStr">
        <is>
          <t>slider.detailPaymentOrder</t>
        </is>
      </c>
      <c r="B108" s="27" t="inlineStr">
        <is>
          <t>Chi tiết UNC</t>
        </is>
      </c>
      <c r="C108" s="27" t="inlineStr">
        <is>
          <t>Payment Order Details</t>
        </is>
      </c>
      <c r="D108" s="102" t="n"/>
      <c r="E108" s="21" t="inlineStr">
        <is>
          <t>លម្អិត UNC</t>
        </is>
      </c>
      <c r="F108" s="10" t="n"/>
      <c r="G108" s="10" t="inlineStr">
        <is>
          <t>លម្អិត UNC</t>
        </is>
      </c>
      <c r="H108" s="10" t="inlineStr">
        <is>
          <t>លម្អិត UNC</t>
        </is>
      </c>
      <c r="I108" s="10" t="n"/>
      <c r="J108" s="10" t="n"/>
      <c r="K108" s="10" t="inlineStr">
        <is>
          <t>"slider.detailPaymentOrder": "លម្អិត UNC",</t>
        </is>
      </c>
      <c r="L108" s="10" t="n"/>
      <c r="M108" s="10" t="n"/>
      <c r="N108" s="10" t="n"/>
      <c r="O108" s="10" t="n"/>
      <c r="P108" s="10" t="n"/>
      <c r="Q108" s="10" t="n"/>
      <c r="R108" s="10" t="n"/>
      <c r="S108" s="10" t="n"/>
      <c r="T108" s="10" t="n"/>
      <c r="U108" s="10" t="n"/>
      <c r="V108" s="10" t="n"/>
      <c r="W108" s="10" t="n"/>
      <c r="X108" s="10" t="n"/>
      <c r="Y108" s="10" t="n"/>
      <c r="Z108" s="10" t="n"/>
    </row>
    <row r="109">
      <c r="A109" s="27" t="inlineStr">
        <is>
          <t>slider.infoPayment</t>
        </is>
      </c>
      <c r="B109" s="27" t="inlineStr">
        <is>
          <t>Thông tin thanh toán</t>
        </is>
      </c>
      <c r="C109" s="27" t="inlineStr">
        <is>
          <t>Payment Information</t>
        </is>
      </c>
      <c r="D109" s="21" t="inlineStr">
        <is>
          <t>ព័ត៌មានទូទាត់</t>
        </is>
      </c>
      <c r="E109" s="21" t="inlineStr">
        <is>
          <t>ព័ត៌មានទូទាត់</t>
        </is>
      </c>
      <c r="F109" s="10" t="n"/>
      <c r="G109" s="10" t="inlineStr">
        <is>
          <t>ព័ត៌មានទូទាត់</t>
        </is>
      </c>
      <c r="H109" s="10" t="inlineStr">
        <is>
          <t>ព័ត៌មានទូទាត់</t>
        </is>
      </c>
      <c r="I109" s="10" t="n"/>
      <c r="J109" s="10" t="n"/>
      <c r="K109" s="10" t="inlineStr">
        <is>
          <t>"slider.infoPayment": "ព័ត៌មានទូទាត់",</t>
        </is>
      </c>
      <c r="L109" s="10" t="n"/>
      <c r="M109" s="10" t="n"/>
      <c r="N109" s="10" t="n"/>
      <c r="O109" s="10" t="n"/>
      <c r="P109" s="10" t="n"/>
      <c r="Q109" s="10" t="n"/>
      <c r="R109" s="10" t="n"/>
      <c r="S109" s="10" t="n"/>
      <c r="T109" s="10" t="n"/>
      <c r="U109" s="10" t="n"/>
      <c r="V109" s="10" t="n"/>
      <c r="W109" s="10" t="n"/>
      <c r="X109" s="10" t="n"/>
      <c r="Y109" s="10" t="n"/>
      <c r="Z109" s="10" t="n"/>
    </row>
    <row r="110">
      <c r="A110" s="27" t="inlineStr">
        <is>
          <t>slider.infoPaymentCustomer</t>
        </is>
      </c>
      <c r="B110" s="27" t="inlineStr">
        <is>
          <t>Thông tin thanh toán khách hàng</t>
        </is>
      </c>
      <c r="C110" s="27" t="inlineStr">
        <is>
          <t>Customer Payment Information</t>
        </is>
      </c>
      <c r="D110" s="21" t="inlineStr">
        <is>
          <t>ព័ត៌មានទូទាត់អតិថិជន</t>
        </is>
      </c>
      <c r="E110" s="21" t="inlineStr">
        <is>
          <t>ព័ត៌មានទូទាត់អតិថិជន</t>
        </is>
      </c>
      <c r="F110" s="10" t="n"/>
      <c r="G110" s="10" t="inlineStr">
        <is>
          <t>ព័ត៌មានទូទាត់អតិថិជន</t>
        </is>
      </c>
      <c r="H110" s="10" t="inlineStr">
        <is>
          <t>ព័ត៌មានទូទាត់អតិថិជន</t>
        </is>
      </c>
      <c r="I110" s="10" t="n"/>
      <c r="J110" s="10" t="n"/>
      <c r="K110" s="10" t="inlineStr">
        <is>
          <t>"slider.infoPaymentCustomer": "ព័ត៌មានទូទាត់អតិថិជន",</t>
        </is>
      </c>
      <c r="L110" s="10" t="n"/>
      <c r="M110" s="10" t="n"/>
      <c r="N110" s="10" t="n"/>
      <c r="O110" s="10" t="n"/>
      <c r="P110" s="10" t="n"/>
      <c r="Q110" s="10" t="n"/>
      <c r="R110" s="10" t="n"/>
      <c r="S110" s="10" t="n"/>
      <c r="T110" s="10" t="n"/>
      <c r="U110" s="10" t="n"/>
      <c r="V110" s="10" t="n"/>
      <c r="W110" s="10" t="n"/>
      <c r="X110" s="10" t="n"/>
      <c r="Y110" s="10" t="n"/>
      <c r="Z110" s="10" t="n"/>
    </row>
    <row r="111">
      <c r="A111" s="27" t="inlineStr">
        <is>
          <t>slider.config</t>
        </is>
      </c>
      <c r="B111" s="27" t="inlineStr">
        <is>
          <t>Cấu hình</t>
        </is>
      </c>
      <c r="C111" s="27" t="inlineStr">
        <is>
          <t>Config</t>
        </is>
      </c>
      <c r="D111" s="102" t="n"/>
      <c r="E111" s="21" t="inlineStr">
        <is>
          <t>រចនាសម្ព័ន្ធ</t>
        </is>
      </c>
      <c r="F111" s="10" t="n"/>
      <c r="G111" s="10" t="inlineStr">
        <is>
          <t>រចនាសម្ព័ន្ធ</t>
        </is>
      </c>
      <c r="H111" s="10" t="inlineStr">
        <is>
          <t>រចនាសម្ព័ន្ធ</t>
        </is>
      </c>
      <c r="I111" s="10" t="n"/>
      <c r="J111" s="10" t="n"/>
      <c r="K111" s="10" t="inlineStr">
        <is>
          <t>"slider.config": "រចនាសម្ព័ន្ធ",</t>
        </is>
      </c>
      <c r="L111" s="10" t="n"/>
      <c r="M111" s="10" t="n"/>
      <c r="N111" s="10" t="n"/>
      <c r="O111" s="10" t="n"/>
      <c r="P111" s="10" t="n"/>
      <c r="Q111" s="10" t="n"/>
      <c r="R111" s="10" t="n"/>
      <c r="S111" s="10" t="n"/>
      <c r="T111" s="10" t="n"/>
      <c r="U111" s="10" t="n"/>
      <c r="V111" s="10" t="n"/>
      <c r="W111" s="10" t="n"/>
      <c r="X111" s="10" t="n"/>
      <c r="Y111" s="10" t="n"/>
      <c r="Z111" s="10" t="n"/>
    </row>
    <row r="112">
      <c r="A112" s="27" t="inlineStr">
        <is>
          <t>slider.infoCustomer</t>
        </is>
      </c>
      <c r="B112" s="27" t="inlineStr">
        <is>
          <t>Thông tin khách hàng</t>
        </is>
      </c>
      <c r="C112" s="27" t="inlineStr">
        <is>
          <t>Customer information</t>
        </is>
      </c>
      <c r="D112" s="21" t="inlineStr">
        <is>
          <t>ព័ត៌មានអតិថិជន</t>
        </is>
      </c>
      <c r="E112" s="21" t="inlineStr">
        <is>
          <t>ព័ត៌មានអតិថិជន</t>
        </is>
      </c>
      <c r="F112" s="10" t="n"/>
      <c r="G112" s="10" t="inlineStr">
        <is>
          <t>ព័ត៌មានអតិថិជន</t>
        </is>
      </c>
      <c r="H112" s="10" t="inlineStr">
        <is>
          <t>ព័ត៌មានអតិថិជន</t>
        </is>
      </c>
      <c r="I112" s="10" t="n"/>
      <c r="J112" s="10" t="n"/>
      <c r="K112" s="10" t="inlineStr">
        <is>
          <t>"slider.infoCustomer": "ព័ត៌មានអតិថិជន",</t>
        </is>
      </c>
      <c r="L112" s="10" t="n"/>
      <c r="M112" s="10" t="n"/>
      <c r="N112" s="10" t="n"/>
      <c r="O112" s="10" t="n"/>
      <c r="P112" s="10" t="n"/>
      <c r="Q112" s="10" t="n"/>
      <c r="R112" s="10" t="n"/>
      <c r="S112" s="10" t="n"/>
      <c r="T112" s="10" t="n"/>
      <c r="U112" s="10" t="n"/>
      <c r="V112" s="10" t="n"/>
      <c r="W112" s="10" t="n"/>
      <c r="X112" s="10" t="n"/>
      <c r="Y112" s="10" t="n"/>
      <c r="Z112" s="10" t="n"/>
    </row>
    <row r="113">
      <c r="A113" s="27" t="inlineStr">
        <is>
          <t>slider.ShippingFeeCustomer</t>
        </is>
      </c>
      <c r="B113" s="27" t="inlineStr">
        <is>
          <t>Thu cước khách hàng</t>
        </is>
      </c>
      <c r="C113" s="27" t="inlineStr">
        <is>
          <t>Customer Fee Collection Flow</t>
        </is>
      </c>
      <c r="D113" s="21" t="inlineStr">
        <is>
          <t>ប្រមូលសេវាពីអតិថិជន</t>
        </is>
      </c>
      <c r="E113" s="21" t="inlineStr">
        <is>
          <t>ប្រមូលសេវាពីអតិថិជន</t>
        </is>
      </c>
      <c r="F113" s="10" t="n"/>
      <c r="G113" s="10" t="inlineStr">
        <is>
          <t>ប្រមូលសេវាពីអតិថិជន</t>
        </is>
      </c>
      <c r="H113" s="10" t="inlineStr">
        <is>
          <t>ប្រមូលសេវាពីអតិថិជន</t>
        </is>
      </c>
      <c r="I113" s="10" t="n"/>
      <c r="J113" s="10" t="n"/>
      <c r="K113" s="10" t="inlineStr">
        <is>
          <t>"slider.ShippingFeeCustomer": "ប្រមូលសេវាពីអតិថិជន",</t>
        </is>
      </c>
      <c r="L113" s="10" t="n"/>
      <c r="M113" s="10" t="n"/>
      <c r="N113" s="10" t="n"/>
      <c r="O113" s="10" t="n"/>
      <c r="P113" s="10" t="n"/>
      <c r="Q113" s="10" t="n"/>
      <c r="R113" s="10" t="n"/>
      <c r="S113" s="10" t="n"/>
      <c r="T113" s="10" t="n"/>
      <c r="U113" s="10" t="n"/>
      <c r="V113" s="10" t="n"/>
      <c r="W113" s="10" t="n"/>
      <c r="X113" s="10" t="n"/>
      <c r="Y113" s="10" t="n"/>
      <c r="Z113" s="10" t="n"/>
    </row>
    <row r="114">
      <c r="A114" s="27" t="inlineStr">
        <is>
          <t>slider.ShippingFeeCustomerDetail</t>
        </is>
      </c>
      <c r="B114" s="27" t="inlineStr">
        <is>
          <t>Chi tiết thu cước khách hàng</t>
        </is>
      </c>
      <c r="C114" s="27" t="inlineStr">
        <is>
          <t>Detail Customer Fee Collection Flow</t>
        </is>
      </c>
      <c r="D114" s="21" t="inlineStr">
        <is>
          <t>លម្អិតពីការប្រមូលសេវាអតិថិជន</t>
        </is>
      </c>
      <c r="E114" s="21" t="inlineStr">
        <is>
          <t>លម្អិតពីការប្រមូលសេវាអតិថិជន</t>
        </is>
      </c>
      <c r="F114" s="10" t="n"/>
      <c r="G114" s="10" t="inlineStr">
        <is>
          <t>លម្អិតពីការប្រមូលសេវាអតិថិជន</t>
        </is>
      </c>
      <c r="H114" s="10" t="inlineStr">
        <is>
          <t>លម្អិតពីការប្រមូលសេវាអតិថិជន</t>
        </is>
      </c>
      <c r="I114" s="10" t="n"/>
      <c r="J114" s="10" t="n"/>
      <c r="K114" s="10" t="inlineStr">
        <is>
          <t>"slider.ShippingFeeCustomerDetail": "លម្អិតពីការប្រមូលសេវាអតិថិជន",</t>
        </is>
      </c>
      <c r="L114" s="10" t="n"/>
      <c r="M114" s="10" t="n"/>
      <c r="N114" s="10" t="n"/>
      <c r="O114" s="10" t="n"/>
      <c r="P114" s="10" t="n"/>
      <c r="Q114" s="10" t="n"/>
      <c r="R114" s="10" t="n"/>
      <c r="S114" s="10" t="n"/>
      <c r="T114" s="10" t="n"/>
      <c r="U114" s="10" t="n"/>
      <c r="V114" s="10" t="n"/>
      <c r="W114" s="10" t="n"/>
      <c r="X114" s="10" t="n"/>
      <c r="Y114" s="10" t="n"/>
      <c r="Z114" s="10" t="n"/>
    </row>
    <row r="115">
      <c r="A115" s="27" t="inlineStr">
        <is>
          <t>slider.Revenue</t>
        </is>
      </c>
      <c r="B115" s="27" t="inlineStr">
        <is>
          <t>Doanh thu</t>
        </is>
      </c>
      <c r="C115" s="27" t="inlineStr">
        <is>
          <t>Revenue</t>
        </is>
      </c>
      <c r="D115" s="21" t="inlineStr">
        <is>
          <t>ប្រាក់ចំណូល</t>
        </is>
      </c>
      <c r="E115" s="21" t="inlineStr">
        <is>
          <t>ប្រាក់ចំណូល</t>
        </is>
      </c>
      <c r="F115" s="10" t="n"/>
      <c r="G115" s="10" t="inlineStr">
        <is>
          <t>ប្រាក់ចំណូល</t>
        </is>
      </c>
      <c r="H115" s="10" t="inlineStr">
        <is>
          <t>ប្រាក់ចំណូល</t>
        </is>
      </c>
      <c r="I115" s="10" t="n"/>
      <c r="J115" s="10" t="n"/>
      <c r="K115" s="10" t="inlineStr">
        <is>
          <t>"slider.Revenue": "ប្រាក់ចំណូល",</t>
        </is>
      </c>
      <c r="L115" s="10" t="n"/>
      <c r="M115" s="10" t="n"/>
      <c r="N115" s="10" t="n"/>
      <c r="O115" s="10" t="n"/>
      <c r="P115" s="10" t="n"/>
      <c r="Q115" s="10" t="n"/>
      <c r="R115" s="10" t="n"/>
      <c r="S115" s="10" t="n"/>
      <c r="T115" s="10" t="n"/>
      <c r="U115" s="10" t="n"/>
      <c r="V115" s="10" t="n"/>
      <c r="W115" s="10" t="n"/>
      <c r="X115" s="10" t="n"/>
      <c r="Y115" s="10" t="n"/>
      <c r="Z115" s="10" t="n"/>
    </row>
    <row r="116">
      <c r="A116" s="27" t="inlineStr">
        <is>
          <t>slider.RevenueManagement</t>
        </is>
      </c>
      <c r="B116" s="27" t="inlineStr">
        <is>
          <t>Quản lý doanh thu</t>
        </is>
      </c>
      <c r="C116" s="27" t="inlineStr">
        <is>
          <t>Revenue Management</t>
        </is>
      </c>
      <c r="D116" s="21" t="inlineStr">
        <is>
          <t>គ្រប់គ្រងប្រាក់ចំណូល</t>
        </is>
      </c>
      <c r="E116" s="21" t="inlineStr">
        <is>
          <t>គ្រប់គ្រងប្រាក់ចំណូល</t>
        </is>
      </c>
      <c r="F116" s="10" t="n"/>
      <c r="G116" s="10" t="inlineStr">
        <is>
          <t>គ្រប់គ្រងប្រាក់ចំណូល</t>
        </is>
      </c>
      <c r="H116" s="10" t="inlineStr">
        <is>
          <t>គ្រប់គ្រងប្រាក់ចំណូល</t>
        </is>
      </c>
      <c r="I116" s="10" t="n"/>
      <c r="J116" s="10" t="n"/>
      <c r="K116" s="10" t="inlineStr">
        <is>
          <t>"slider.RevenueManagement": "គ្រប់គ្រងប្រាក់ចំណូល",</t>
        </is>
      </c>
      <c r="L116" s="10" t="n"/>
      <c r="M116" s="10" t="n"/>
      <c r="N116" s="10" t="n"/>
      <c r="O116" s="10" t="n"/>
      <c r="P116" s="10" t="n"/>
      <c r="Q116" s="10" t="n"/>
      <c r="R116" s="10" t="n"/>
      <c r="S116" s="10" t="n"/>
      <c r="T116" s="10" t="n"/>
      <c r="U116" s="10" t="n"/>
      <c r="V116" s="10" t="n"/>
      <c r="W116" s="10" t="n"/>
      <c r="X116" s="10" t="n"/>
      <c r="Y116" s="10" t="n"/>
      <c r="Z116" s="10" t="n"/>
    </row>
    <row r="117">
      <c r="A117" s="27" t="inlineStr">
        <is>
          <t>slider.RevenueOrder</t>
        </is>
      </c>
      <c r="B117" s="27" t="inlineStr">
        <is>
          <t>Danh sách đơn hàng</t>
        </is>
      </c>
      <c r="C117" s="27" t="inlineStr">
        <is>
          <t>List of order</t>
        </is>
      </c>
      <c r="D117" s="21" t="inlineStr">
        <is>
          <t>បញ្ជីបុងបញ្ញើ</t>
        </is>
      </c>
      <c r="E117" s="21" t="inlineStr">
        <is>
          <t>បញ្ជីបុងបញ្ញើ</t>
        </is>
      </c>
      <c r="F117" s="10" t="n"/>
      <c r="G117" s="10" t="inlineStr">
        <is>
          <t>បញ្ជីបុងបញ្ញើ</t>
        </is>
      </c>
      <c r="H117" s="10" t="inlineStr">
        <is>
          <t>បញ្ជីបុងបញ្ញើ</t>
        </is>
      </c>
      <c r="I117" s="10" t="n"/>
      <c r="J117" s="10" t="n"/>
      <c r="K117" s="10" t="inlineStr">
        <is>
          <t>"slider.RevenueOrder": "បញ្ជីបុងបញ្ញើ",</t>
        </is>
      </c>
      <c r="L117" s="10" t="n"/>
      <c r="M117" s="10" t="n"/>
      <c r="N117" s="10" t="n"/>
      <c r="O117" s="10" t="n"/>
      <c r="P117" s="10" t="n"/>
      <c r="Q117" s="10" t="n"/>
      <c r="R117" s="10" t="n"/>
      <c r="S117" s="10" t="n"/>
      <c r="T117" s="10" t="n"/>
      <c r="U117" s="10" t="n"/>
      <c r="V117" s="10" t="n"/>
      <c r="W117" s="10" t="n"/>
      <c r="X117" s="10" t="n"/>
      <c r="Y117" s="10" t="n"/>
      <c r="Z117" s="10" t="n"/>
    </row>
    <row r="118">
      <c r="A118" s="27" t="inlineStr">
        <is>
          <t>slider.InvoiceStatement</t>
        </is>
      </c>
      <c r="B118" s="27" t="inlineStr">
        <is>
          <t>Danh sách bảng kê</t>
        </is>
      </c>
      <c r="C118" s="27" t="inlineStr">
        <is>
          <t>Billing list</t>
        </is>
      </c>
      <c r="D118" s="21" t="inlineStr">
        <is>
          <t>បញ្ជីតារាង</t>
        </is>
      </c>
      <c r="E118" s="21" t="inlineStr">
        <is>
          <t>បញ្ជីតារាង</t>
        </is>
      </c>
      <c r="F118" s="10" t="n"/>
      <c r="G118" s="10" t="inlineStr">
        <is>
          <t>បញ្ជីតារាង</t>
        </is>
      </c>
      <c r="H118" s="10" t="inlineStr">
        <is>
          <t>បញ្ជីតារាង</t>
        </is>
      </c>
      <c r="I118" s="10" t="n"/>
      <c r="J118" s="10" t="n"/>
      <c r="K118" s="10" t="inlineStr">
        <is>
          <t>"slider.InvoiceStatement": "បញ្ជីតារាង",</t>
        </is>
      </c>
      <c r="L118" s="10" t="n"/>
      <c r="M118" s="10" t="n"/>
      <c r="N118" s="10" t="n"/>
      <c r="O118" s="10" t="n"/>
      <c r="P118" s="10" t="n"/>
      <c r="Q118" s="10" t="n"/>
      <c r="R118" s="10" t="n"/>
      <c r="S118" s="10" t="n"/>
      <c r="T118" s="10" t="n"/>
      <c r="U118" s="10" t="n"/>
      <c r="V118" s="10" t="n"/>
      <c r="W118" s="10" t="n"/>
      <c r="X118" s="10" t="n"/>
      <c r="Y118" s="10" t="n"/>
      <c r="Z118" s="10" t="n"/>
    </row>
    <row r="119">
      <c r="A119" s="27" t="inlineStr">
        <is>
          <t>slider.InvoiceStatementDetail</t>
        </is>
      </c>
      <c r="B119" s="27" t="inlineStr">
        <is>
          <t>Chi tiết bảng kê</t>
        </is>
      </c>
      <c r="C119" s="27" t="inlineStr">
        <is>
          <t>Billing list details</t>
        </is>
      </c>
      <c r="D119" s="21" t="inlineStr">
        <is>
          <t>លម្អិតពីតារាង</t>
        </is>
      </c>
      <c r="E119" s="21" t="inlineStr">
        <is>
          <t>លម្អិតពីតារាង</t>
        </is>
      </c>
      <c r="F119" s="10" t="n"/>
      <c r="G119" s="10" t="inlineStr">
        <is>
          <t>លម្អិតពីតារាង</t>
        </is>
      </c>
      <c r="H119" s="10" t="inlineStr">
        <is>
          <t>លម្អិតពីតារាង</t>
        </is>
      </c>
      <c r="I119" s="10" t="n"/>
      <c r="J119" s="10" t="n"/>
      <c r="K119" s="10" t="inlineStr">
        <is>
          <t>"slider.InvoiceStatementDetail": "លម្អិតពីតារាង",</t>
        </is>
      </c>
      <c r="L119" s="10" t="n"/>
      <c r="M119" s="10" t="n"/>
      <c r="N119" s="10" t="n"/>
      <c r="O119" s="10" t="n"/>
      <c r="P119" s="10" t="n"/>
      <c r="Q119" s="10" t="n"/>
      <c r="R119" s="10" t="n"/>
      <c r="S119" s="10" t="n"/>
      <c r="T119" s="10" t="n"/>
      <c r="U119" s="10" t="n"/>
      <c r="V119" s="10" t="n"/>
      <c r="W119" s="10" t="n"/>
      <c r="X119" s="10" t="n"/>
      <c r="Y119" s="10" t="n"/>
      <c r="Z119" s="10" t="n"/>
    </row>
    <row r="120">
      <c r="A120" s="27" t="inlineStr">
        <is>
          <t>slider.RevenueCustomerManagement</t>
        </is>
      </c>
      <c r="B120" s="27" t="inlineStr">
        <is>
          <t>Quản lý khách hàng</t>
        </is>
      </c>
      <c r="C120" s="27" t="inlineStr">
        <is>
          <t>Customer Management</t>
        </is>
      </c>
      <c r="D120" s="21" t="inlineStr">
        <is>
          <t>គ្រប់គ្រងអតិថិជន</t>
        </is>
      </c>
      <c r="E120" s="21" t="inlineStr">
        <is>
          <t>គ្រប់គ្រងអតិថិជន</t>
        </is>
      </c>
      <c r="F120" s="10" t="n"/>
      <c r="G120" s="10" t="inlineStr">
        <is>
          <t>គ្រប់គ្រងអតិថិជន</t>
        </is>
      </c>
      <c r="H120" s="10" t="inlineStr">
        <is>
          <t>គ្រប់គ្រងអតិថិជន</t>
        </is>
      </c>
      <c r="I120" s="10" t="n"/>
      <c r="J120" s="10" t="n"/>
      <c r="K120" s="10" t="inlineStr">
        <is>
          <t>"slider.RevenueCustomerManagement": "គ្រប់គ្រងអតិថិជន",</t>
        </is>
      </c>
      <c r="L120" s="10" t="n"/>
      <c r="M120" s="10" t="n"/>
      <c r="N120" s="10" t="n"/>
      <c r="O120" s="10" t="n"/>
      <c r="P120" s="10" t="n"/>
      <c r="Q120" s="10" t="n"/>
      <c r="R120" s="10" t="n"/>
      <c r="S120" s="10" t="n"/>
      <c r="T120" s="10" t="n"/>
      <c r="U120" s="10" t="n"/>
      <c r="V120" s="10" t="n"/>
      <c r="W120" s="10" t="n"/>
      <c r="X120" s="10" t="n"/>
      <c r="Y120" s="10" t="n"/>
      <c r="Z120" s="10" t="n"/>
    </row>
    <row r="121">
      <c r="A121" s="27" t="inlineStr">
        <is>
          <t>slider.InvoiceExportManagement</t>
        </is>
      </c>
      <c r="B121" s="27" t="inlineStr">
        <is>
          <t>Quản lý xuất hoá đơn</t>
        </is>
      </c>
      <c r="C121" s="27" t="inlineStr">
        <is>
          <t>Invoice issuance Management</t>
        </is>
      </c>
      <c r="D121" s="21" t="inlineStr">
        <is>
          <t>គ្រប់គ្រងចេញបុងបញ្ញើ</t>
        </is>
      </c>
      <c r="E121" s="21" t="inlineStr">
        <is>
          <t>គ្រប់គ្រងចេញបុងបញ្ញើ</t>
        </is>
      </c>
      <c r="F121" s="10" t="n"/>
      <c r="G121" s="10" t="inlineStr">
        <is>
          <t>គ្រប់គ្រងចេញបុងបញ្ញើ</t>
        </is>
      </c>
      <c r="H121" s="10" t="inlineStr">
        <is>
          <t>គ្រប់គ្រងចេញបុងបញ្ញើ</t>
        </is>
      </c>
      <c r="I121" s="10" t="n"/>
      <c r="J121" s="10" t="n"/>
      <c r="K121" s="10" t="inlineStr">
        <is>
          <t>"slider.InvoiceExportManagement": "គ្រប់គ្រងចេញបុងបញ្ញើ",</t>
        </is>
      </c>
      <c r="L121" s="10" t="n"/>
      <c r="M121" s="10" t="n"/>
      <c r="N121" s="10" t="n"/>
      <c r="O121" s="10" t="n"/>
      <c r="P121" s="10" t="n"/>
      <c r="Q121" s="10" t="n"/>
      <c r="R121" s="10" t="n"/>
      <c r="S121" s="10" t="n"/>
      <c r="T121" s="10" t="n"/>
      <c r="U121" s="10" t="n"/>
      <c r="V121" s="10" t="n"/>
      <c r="W121" s="10" t="n"/>
      <c r="X121" s="10" t="n"/>
      <c r="Y121" s="10" t="n"/>
      <c r="Z121" s="10" t="n"/>
    </row>
    <row r="122">
      <c r="A122" s="27" t="inlineStr">
        <is>
          <t>slider.StatementSetting</t>
        </is>
      </c>
      <c r="B122" s="27" t="inlineStr">
        <is>
          <t>Cấu hình bảng kê</t>
        </is>
      </c>
      <c r="C122" s="27" t="inlineStr">
        <is>
          <t>-</t>
        </is>
      </c>
      <c r="D122" s="102" t="n"/>
      <c r="E122" s="21" t="inlineStr">
        <is>
          <t>រចនាសម្ព័ន្ធបញ្ជីរាយការណ៍</t>
        </is>
      </c>
      <c r="F122" s="10" t="n"/>
      <c r="G122" s="10" t="inlineStr">
        <is>
          <t>រចនាសម្ព័ន្ធបញ្ជីរាយការណ៍</t>
        </is>
      </c>
      <c r="H122" s="10" t="inlineStr">
        <is>
          <t>រចនាសម្ព័ន្ធបញ្ជីរាយការណ៍</t>
        </is>
      </c>
      <c r="I122" s="10" t="n"/>
      <c r="J122" s="10" t="n"/>
      <c r="K122" s="10" t="inlineStr">
        <is>
          <t>"slider.StatementSetting": "រចនាសម្ព័ន្ធបញ្ជីរាយការណ៍",</t>
        </is>
      </c>
      <c r="L122" s="10" t="n"/>
      <c r="M122" s="10" t="n"/>
      <c r="N122" s="10" t="n"/>
      <c r="O122" s="10" t="n"/>
      <c r="P122" s="10" t="n"/>
      <c r="Q122" s="10" t="n"/>
      <c r="R122" s="10" t="n"/>
      <c r="S122" s="10" t="n"/>
      <c r="T122" s="10" t="n"/>
      <c r="U122" s="10" t="n"/>
      <c r="V122" s="10" t="n"/>
      <c r="W122" s="10" t="n"/>
      <c r="X122" s="10" t="n"/>
      <c r="Y122" s="10" t="n"/>
      <c r="Z122" s="10" t="n"/>
    </row>
    <row r="123">
      <c r="A123" s="27" t="inlineStr">
        <is>
          <t>slider.InvoiceStatementSettingDetail</t>
        </is>
      </c>
      <c r="B123" s="27" t="inlineStr">
        <is>
          <t>Chi tiết cấu hình bảng kê</t>
        </is>
      </c>
      <c r="C123" s="27" t="inlineStr">
        <is>
          <t>-</t>
        </is>
      </c>
      <c r="D123" s="102" t="n"/>
      <c r="E123" s="21" t="inlineStr">
        <is>
          <t>លម្អិតការកំណត់រចនាសម្ព័ន្ធបញ្ជីរាយការណ៍</t>
        </is>
      </c>
      <c r="F123" s="10" t="n"/>
      <c r="G123" s="10" t="inlineStr">
        <is>
          <t>លម្អិតការកំណត់រចនាសម្ព័ន្ធបញ្ជីរាយការណ៍</t>
        </is>
      </c>
      <c r="H123" s="10" t="inlineStr">
        <is>
          <t>លម្អិតការកំណត់រចនាសម្ព័ន្ធបញ្ជីរាយការណ៍</t>
        </is>
      </c>
      <c r="I123" s="10" t="n"/>
      <c r="J123" s="10" t="n"/>
      <c r="K123" s="10" t="inlineStr">
        <is>
          <t>"slider.InvoiceStatementSettingDetail": "លម្អិតការកំណត់រចនាសម្ព័ន្ធបញ្ជីរាយការណ៍",</t>
        </is>
      </c>
      <c r="L123" s="10" t="n"/>
      <c r="M123" s="10" t="n"/>
      <c r="N123" s="10" t="n"/>
      <c r="O123" s="10" t="n"/>
      <c r="P123" s="10" t="n"/>
      <c r="Q123" s="10" t="n"/>
      <c r="R123" s="10" t="n"/>
      <c r="S123" s="10" t="n"/>
      <c r="T123" s="10" t="n"/>
      <c r="U123" s="10" t="n"/>
      <c r="V123" s="10" t="n"/>
      <c r="W123" s="10" t="n"/>
      <c r="X123" s="10" t="n"/>
      <c r="Y123" s="10" t="n"/>
      <c r="Z123" s="10" t="n"/>
    </row>
    <row r="124">
      <c r="A124" s="27" t="inlineStr">
        <is>
          <t>slider.ShippingFeeCustomerDetail1</t>
        </is>
      </c>
      <c r="B124" s="27" t="inlineStr">
        <is>
          <t>Chi tiết khách hàng</t>
        </is>
      </c>
      <c r="C124" s="27" t="inlineStr">
        <is>
          <t>Detail Customer</t>
        </is>
      </c>
      <c r="D124" s="21" t="inlineStr">
        <is>
          <t>លម្អិតពីអតិថិជន</t>
        </is>
      </c>
      <c r="E124" s="21" t="inlineStr">
        <is>
          <t>លម្អិតពីអតិថិជន</t>
        </is>
      </c>
      <c r="F124" s="10" t="n"/>
      <c r="G124" s="10" t="inlineStr">
        <is>
          <t>លម្អិតពីអតិថិជន</t>
        </is>
      </c>
      <c r="H124" s="10" t="inlineStr">
        <is>
          <t>លម្អិតពីអតិថិជន</t>
        </is>
      </c>
      <c r="I124" s="10" t="n"/>
      <c r="J124" s="10" t="n"/>
      <c r="K124" s="10" t="inlineStr">
        <is>
          <t>"slider.ShippingFeeCustomerDetail1": "លម្អិតពីអតិថិជន",</t>
        </is>
      </c>
      <c r="L124" s="10" t="n"/>
      <c r="M124" s="10" t="n"/>
      <c r="N124" s="10" t="n"/>
      <c r="O124" s="10" t="n"/>
      <c r="P124" s="10" t="n"/>
      <c r="Q124" s="10" t="n"/>
      <c r="R124" s="10" t="n"/>
      <c r="S124" s="10" t="n"/>
      <c r="T124" s="10" t="n"/>
      <c r="U124" s="10" t="n"/>
      <c r="V124" s="10" t="n"/>
      <c r="W124" s="10" t="n"/>
      <c r="X124" s="10" t="n"/>
      <c r="Y124" s="10" t="n"/>
      <c r="Z124" s="10" t="n"/>
    </row>
    <row r="125">
      <c r="A125" s="27" t="inlineStr">
        <is>
          <t>slider.QRPaymentReconcile</t>
        </is>
      </c>
      <c r="B125" s="27" t="inlineStr">
        <is>
          <t>Đối soát công nợ thu QR Code</t>
        </is>
      </c>
      <c r="C125" s="27" t="inlineStr">
        <is>
          <t>QR Code Debt Reconciliation</t>
        </is>
      </c>
      <c r="D125" s="102" t="n"/>
      <c r="E125" s="21" t="inlineStr">
        <is>
          <t>ប្រៀបធៀបបំណុលដែលប្រមូលដោយ QR Code</t>
        </is>
      </c>
      <c r="F125" s="10" t="n"/>
      <c r="G125" s="10" t="inlineStr">
        <is>
          <t>ប្រៀបធៀបបំណុលដែលប្រមូលដោយ QR Code</t>
        </is>
      </c>
      <c r="H125" s="10" t="inlineStr">
        <is>
          <t>ប្រៀបធៀបបំណុលដែលប្រមូលដោយ QR Code</t>
        </is>
      </c>
      <c r="I125" s="10" t="n"/>
      <c r="J125" s="10" t="n"/>
      <c r="K125" s="10" t="inlineStr">
        <is>
          <t>"slider.QRPaymentReconcile": "ប្រៀបធៀបបំណុលដែលប្រមូលដោយ QR Code",</t>
        </is>
      </c>
      <c r="L125" s="10" t="n"/>
      <c r="M125" s="10" t="n"/>
      <c r="N125" s="10" t="n"/>
      <c r="O125" s="10" t="n"/>
      <c r="P125" s="10" t="n"/>
      <c r="Q125" s="10" t="n"/>
      <c r="R125" s="10" t="n"/>
      <c r="S125" s="10" t="n"/>
      <c r="T125" s="10" t="n"/>
      <c r="U125" s="10" t="n"/>
      <c r="V125" s="10" t="n"/>
      <c r="W125" s="10" t="n"/>
      <c r="X125" s="10" t="n"/>
      <c r="Y125" s="10" t="n"/>
      <c r="Z125" s="10" t="n"/>
    </row>
    <row r="126">
      <c r="A126" s="27" t="inlineStr">
        <is>
          <t>slider.OutstandingDebtReport</t>
        </is>
      </c>
      <c r="B126" s="27" t="inlineStr">
        <is>
          <t>Báo cáo tồn công nợ</t>
        </is>
      </c>
      <c r="C126" s="27" t="inlineStr">
        <is>
          <t>Outstanding debt report</t>
        </is>
      </c>
      <c r="D126" s="27" t="inlineStr">
        <is>
          <t>-</t>
        </is>
      </c>
      <c r="E126" s="21" t="inlineStr">
        <is>
          <t>របាយការណ៍បំណុលនៅសល់</t>
        </is>
      </c>
      <c r="F126" s="10" t="n"/>
      <c r="G126" s="10" t="inlineStr">
        <is>
          <t>របាយការណ៍បំណុលនៅសល់</t>
        </is>
      </c>
      <c r="H126" s="10" t="inlineStr">
        <is>
          <t>របាយការណ៍បំណុលនៅសល់</t>
        </is>
      </c>
      <c r="I126" s="10" t="n"/>
      <c r="J126" s="10" t="n"/>
      <c r="K126" s="10" t="inlineStr">
        <is>
          <t>"slider.OutstandingDebtReport": "របាយការណ៍បំណុលនៅសល់",</t>
        </is>
      </c>
      <c r="L126" s="10" t="n"/>
      <c r="M126" s="10" t="n"/>
      <c r="N126" s="10" t="n"/>
      <c r="O126" s="10" t="n"/>
      <c r="P126" s="10" t="n"/>
      <c r="Q126" s="10" t="n"/>
      <c r="R126" s="10" t="n"/>
      <c r="S126" s="10" t="n"/>
      <c r="T126" s="10" t="n"/>
      <c r="U126" s="10" t="n"/>
      <c r="V126" s="10" t="n"/>
      <c r="W126" s="10" t="n"/>
      <c r="X126" s="10" t="n"/>
      <c r="Y126" s="10" t="n"/>
      <c r="Z126" s="10" t="n"/>
    </row>
    <row r="127">
      <c r="A127" s="27" t="inlineStr">
        <is>
          <t>validate.minLength</t>
        </is>
      </c>
      <c r="B127" s="27" t="inlineStr">
        <is>
          <t>Nhập tối thiểu {{length}} ký tự</t>
        </is>
      </c>
      <c r="C127" s="27" t="inlineStr">
        <is>
          <t>Enter at least {{length}} characters</t>
        </is>
      </c>
      <c r="D127" s="102" t="n"/>
      <c r="E127" s="21" t="inlineStr">
        <is>
          <t>បញ្ចូលអក្សរយ៉ាងតិច {{length}} តួអក្សរ</t>
        </is>
      </c>
      <c r="F127" s="10" t="n"/>
      <c r="G127" s="10" t="inlineStr">
        <is>
          <t>បញ្ចូលអក្សរយ៉ាងតិច {{length}} តួអក្សរ</t>
        </is>
      </c>
      <c r="H127" s="10" t="inlineStr">
        <is>
          <t>បញ្ចូលអក្សរយ៉ាងតិច {{length}} តួអក្សរ</t>
        </is>
      </c>
      <c r="I127" s="10" t="n"/>
      <c r="J127" s="10" t="n"/>
      <c r="K127" s="10" t="inlineStr">
        <is>
          <t>"validate.minLength": "បញ្ចូលអក្សរយ៉ាងតិច {{length}} តួអក្សរ",</t>
        </is>
      </c>
      <c r="L127" s="10" t="n"/>
      <c r="M127" s="10" t="n"/>
      <c r="N127" s="10" t="n"/>
      <c r="O127" s="10" t="n"/>
      <c r="P127" s="10" t="n"/>
      <c r="Q127" s="10" t="n"/>
      <c r="R127" s="10" t="n"/>
      <c r="S127" s="10" t="n"/>
      <c r="T127" s="10" t="n"/>
      <c r="U127" s="10" t="n"/>
      <c r="V127" s="10" t="n"/>
      <c r="W127" s="10" t="n"/>
      <c r="X127" s="10" t="n"/>
      <c r="Y127" s="10" t="n"/>
      <c r="Z127" s="10" t="n"/>
    </row>
    <row r="128">
      <c r="A128" s="27" t="inlineStr">
        <is>
          <t>validate.maxLength</t>
        </is>
      </c>
      <c r="B128" s="27" t="inlineStr">
        <is>
          <t>Nhập tối đa {{length}} ký tự</t>
        </is>
      </c>
      <c r="C128" s="27" t="inlineStr">
        <is>
          <t>Enter characters up to {{length}}</t>
        </is>
      </c>
      <c r="D128" s="21" t="n"/>
      <c r="E128" s="21" t="inlineStr">
        <is>
          <t>មិនអាចបញ្ចូលអក្សរពិសេសបានទេ</t>
        </is>
      </c>
      <c r="F128" s="10" t="n"/>
      <c r="G128" s="10" t="inlineStr">
        <is>
          <t>មិនអាចបញ្ចូលអក្សរពិសេសបានទេ</t>
        </is>
      </c>
      <c r="H128" s="10" t="inlineStr">
        <is>
          <t>មិនអាចបញ្ចូលអក្សរពិសេសបានទេ</t>
        </is>
      </c>
      <c r="I128" s="10" t="n"/>
      <c r="J128" s="10" t="n"/>
      <c r="K128" s="10" t="inlineStr">
        <is>
          <t>"validate.maxLength": "មិនអាចបញ្ចូលអក្សរពិសេសបានទេ",</t>
        </is>
      </c>
      <c r="L128" s="10" t="n"/>
      <c r="M128" s="10" t="n"/>
      <c r="N128" s="10" t="n"/>
      <c r="O128" s="10" t="n"/>
      <c r="P128" s="10" t="n"/>
      <c r="Q128" s="10" t="n"/>
      <c r="R128" s="10" t="n"/>
      <c r="S128" s="10" t="n"/>
      <c r="T128" s="10" t="n"/>
      <c r="U128" s="10" t="n"/>
      <c r="V128" s="10" t="n"/>
      <c r="W128" s="10" t="n"/>
      <c r="X128" s="10" t="n"/>
      <c r="Y128" s="10" t="n"/>
      <c r="Z128" s="10" t="n"/>
    </row>
    <row r="129">
      <c r="A129" s="27" t="inlineStr">
        <is>
          <t>validate.containsSpecialCharacters</t>
        </is>
      </c>
      <c r="B129" s="27" t="inlineStr">
        <is>
          <t>Không được nhập ký tự đặc biệt</t>
        </is>
      </c>
      <c r="C129" s="27" t="inlineStr">
        <is>
          <t>Do not enter special characters</t>
        </is>
      </c>
      <c r="D129" s="27" t="inlineStr">
        <is>
          <t>មិនអាចបញ្ចូលអក្សរពិសេសបានទេ</t>
        </is>
      </c>
      <c r="E129" s="27" t="inlineStr">
        <is>
          <t>{{field}} មិនអាចទុកនៅចន្លោះបានទេ</t>
        </is>
      </c>
      <c r="F129" s="10" t="n"/>
      <c r="G129" s="10" t="inlineStr">
        <is>
          <t>មិនអនុញ្ញាតឱ្យបញ្ចូលតួអក្សរពិសេសទេ</t>
        </is>
      </c>
      <c r="H129" s="10" t="inlineStr">
        <is>
          <t>មិនអនុញ្ញាតឱ្យបញ្ចូលតួអក្សរពិសេសទេ</t>
        </is>
      </c>
      <c r="I129" s="10" t="n"/>
      <c r="J129" s="10" t="n"/>
      <c r="K129" s="10" t="inlineStr">
        <is>
          <t>"validate.containsSpecialCharacters": "មិនអនុញ្ញាតឱ្យបញ្ចូលតួអក្សរពិសេសទេ",</t>
        </is>
      </c>
      <c r="L129" s="10" t="n"/>
      <c r="M129" s="10" t="n"/>
      <c r="N129" s="10" t="n"/>
      <c r="O129" s="10" t="n"/>
      <c r="P129" s="10" t="n"/>
      <c r="Q129" s="10" t="n"/>
      <c r="R129" s="10" t="n"/>
      <c r="S129" s="10" t="n"/>
      <c r="T129" s="10" t="n"/>
      <c r="U129" s="10" t="n"/>
      <c r="V129" s="10" t="n"/>
      <c r="W129" s="10" t="n"/>
      <c r="X129" s="10" t="n"/>
      <c r="Y129" s="10" t="n"/>
      <c r="Z129" s="10" t="n"/>
    </row>
    <row r="130">
      <c r="A130" s="27" t="inlineStr">
        <is>
          <t>validate.empty</t>
        </is>
      </c>
      <c r="B130" s="27" t="inlineStr">
        <is>
          <t>{{field}} không được để trống</t>
        </is>
      </c>
      <c r="C130" s="27" t="inlineStr">
        <is>
          <t>{{field}} cannot be left blank</t>
        </is>
      </c>
      <c r="D130" s="21" t="inlineStr">
        <is>
          <t>{{field}} មិនអាចទុកនៅចន្លោះបានទេ</t>
        </is>
      </c>
      <c r="E130" s="21" t="inlineStr">
        <is>
          <t>សូូមគ្រាន់តែបញ្ចូលលេខ</t>
        </is>
      </c>
      <c r="F130" s="10" t="n"/>
      <c r="G130" s="10" t="inlineStr">
        <is>
          <t>សូមគ្រាន់តែបញ្ចូលលេខ</t>
        </is>
      </c>
      <c r="H130" s="10" t="inlineStr">
        <is>
          <t>សូមគ្រាន់តែបញ្ចូលលេខ</t>
        </is>
      </c>
      <c r="I130" s="10" t="n"/>
      <c r="J130" s="10" t="n"/>
      <c r="K130" s="10" t="inlineStr">
        <is>
          <t>"validate.empty": "សូមគ្រាន់តែបញ្ចូលលេខ",</t>
        </is>
      </c>
      <c r="L130" s="10" t="n"/>
      <c r="M130" s="10" t="n"/>
      <c r="N130" s="10" t="n"/>
      <c r="O130" s="10" t="n"/>
      <c r="P130" s="10" t="n"/>
      <c r="Q130" s="10" t="n"/>
      <c r="R130" s="10" t="n"/>
      <c r="S130" s="10" t="n"/>
      <c r="T130" s="10" t="n"/>
      <c r="U130" s="10" t="n"/>
      <c r="V130" s="10" t="n"/>
      <c r="W130" s="10" t="n"/>
      <c r="X130" s="10" t="n"/>
      <c r="Y130" s="10" t="n"/>
      <c r="Z130" s="10" t="n"/>
    </row>
    <row r="131">
      <c r="A131" s="27" t="inlineStr">
        <is>
          <t>validate.checkOnlyNumber</t>
        </is>
      </c>
      <c r="B131" s="27" t="inlineStr">
        <is>
          <t>Vui lòng chỉ nhập số</t>
        </is>
      </c>
      <c r="C131" s="27" t="inlineStr">
        <is>
          <t>Enter number only</t>
        </is>
      </c>
      <c r="D131" s="21" t="inlineStr">
        <is>
          <t>សូូមគ្រាន់តែបញ្ចូលលេខ</t>
        </is>
      </c>
      <c r="E131" s="21" t="inlineStr">
        <is>
          <t>ស្វែងរកជាអតិបរមា 30 ថ្ងៃ</t>
        </is>
      </c>
      <c r="F131" s="10" t="n"/>
      <c r="G131" s="10" t="inlineStr">
        <is>
          <t>ស្វែងរកជាអតិបរមា 30 ថ្ងៃ</t>
        </is>
      </c>
      <c r="H131" s="10" t="inlineStr">
        <is>
          <t>ស្វែងរកជាអតិបរមា 30 ថ្ងៃ</t>
        </is>
      </c>
      <c r="I131" s="10" t="n"/>
      <c r="J131" s="10" t="n"/>
      <c r="K131" s="10" t="inlineStr">
        <is>
          <t>"validate.checkOnlyNumber": "ស្វែងរកជាអតិបរមា 30 ថ្ងៃ",</t>
        </is>
      </c>
      <c r="L131" s="10" t="n"/>
      <c r="M131" s="10" t="n"/>
      <c r="N131" s="10" t="n"/>
      <c r="O131" s="10" t="n"/>
      <c r="P131" s="10" t="n"/>
      <c r="Q131" s="10" t="n"/>
      <c r="R131" s="10" t="n"/>
      <c r="S131" s="10" t="n"/>
      <c r="T131" s="10" t="n"/>
      <c r="U131" s="10" t="n"/>
      <c r="V131" s="10" t="n"/>
      <c r="W131" s="10" t="n"/>
      <c r="X131" s="10" t="n"/>
      <c r="Y131" s="10" t="n"/>
      <c r="Z131" s="10" t="n"/>
    </row>
    <row r="132">
      <c r="A132" s="27" t="inlineStr">
        <is>
          <t>validate.numberGreaterThanZero</t>
        </is>
      </c>
      <c r="B132" s="27" t="inlineStr">
        <is>
          <t>Nhập giá trị lớn hơn 0</t>
        </is>
      </c>
      <c r="C132" s="27" t="inlineStr">
        <is>
          <t>Number must be greater than 0</t>
        </is>
      </c>
      <c r="D132" s="21" t="inlineStr">
        <is>
          <t>បញ្ចូ្ចលតម្លៃធំជាង 0</t>
        </is>
      </c>
      <c r="E132" s="21" t="inlineStr">
        <is>
          <t>ស្វែងរកជាអតិបរមា 31 ថ្ងៃ</t>
        </is>
      </c>
      <c r="F132" s="10" t="n"/>
      <c r="G132" s="10" t="inlineStr">
        <is>
          <t>ស្វែងរកជាអតិបរមា 31 ថ្ងៃ</t>
        </is>
      </c>
      <c r="H132" s="10" t="inlineStr">
        <is>
          <t>ស្វែងរកជាអតិបរមា 31 ថ្ងៃ</t>
        </is>
      </c>
      <c r="I132" s="10" t="n"/>
      <c r="J132" s="10" t="n"/>
      <c r="K132" s="10" t="inlineStr">
        <is>
          <t>"validate.numberGreaterThanZero": "ស្វែងរកជាអតិបរមា 31 ថ្ងៃ",</t>
        </is>
      </c>
      <c r="L132" s="10" t="n"/>
      <c r="M132" s="10" t="n"/>
      <c r="N132" s="10" t="n"/>
      <c r="O132" s="10" t="n"/>
      <c r="P132" s="10" t="n"/>
      <c r="Q132" s="10" t="n"/>
      <c r="R132" s="10" t="n"/>
      <c r="S132" s="10" t="n"/>
      <c r="T132" s="10" t="n"/>
      <c r="U132" s="10" t="n"/>
      <c r="V132" s="10" t="n"/>
      <c r="W132" s="10" t="n"/>
      <c r="X132" s="10" t="n"/>
      <c r="Y132" s="10" t="n"/>
      <c r="Z132" s="10" t="n"/>
    </row>
    <row r="133">
      <c r="A133" s="27" t="inlineStr">
        <is>
          <t>validate.validatePhone</t>
        </is>
      </c>
      <c r="B133" s="27" t="inlineStr">
        <is>
          <t>Số điện thoại sai định dạng</t>
        </is>
      </c>
      <c r="C133" s="27" t="inlineStr">
        <is>
          <t>Invalid phone number</t>
        </is>
      </c>
      <c r="D133" s="102" t="inlineStr">
        <is>
          <t>លេខទូរស័ព្ទខុសទម្រង់</t>
        </is>
      </c>
      <c r="E133" s="21" t="inlineStr">
        <is>
          <t>លេខទូូរស័ព្ទខុសទម្រង់</t>
        </is>
      </c>
      <c r="F133" s="10" t="n"/>
      <c r="G133" s="10" t="inlineStr">
        <is>
          <t>លេខទូូរស័ព្ទខុសទម្រង់</t>
        </is>
      </c>
      <c r="H133" s="10" t="inlineStr">
        <is>
          <t>លេខទូូរស័ព្ទខុសទម្រង់</t>
        </is>
      </c>
      <c r="I133" s="10" t="n"/>
      <c r="J133" s="10" t="n"/>
      <c r="K133" s="10" t="inlineStr">
        <is>
          <t>"validate.validatePhone": "លេខទូូរស័ព្ទខុសទម្រង់",</t>
        </is>
      </c>
      <c r="L133" s="10" t="n"/>
      <c r="M133" s="10" t="n"/>
      <c r="N133" s="10" t="n"/>
      <c r="O133" s="10" t="n"/>
      <c r="P133" s="10" t="n"/>
      <c r="Q133" s="10" t="n"/>
      <c r="R133" s="10" t="n"/>
      <c r="S133" s="10" t="n"/>
      <c r="T133" s="10" t="n"/>
      <c r="U133" s="10" t="n"/>
      <c r="V133" s="10" t="n"/>
      <c r="W133" s="10" t="n"/>
      <c r="X133" s="10" t="n"/>
      <c r="Y133" s="10" t="n"/>
      <c r="Z133" s="10" t="n"/>
    </row>
    <row r="134">
      <c r="A134" s="27" t="inlineStr">
        <is>
          <t>validate.rangPicker30</t>
        </is>
      </c>
      <c r="B134" s="27" t="inlineStr">
        <is>
          <t>Tìm kiếm tối đa 30 ngày</t>
        </is>
      </c>
      <c r="C134" s="27" t="inlineStr">
        <is>
          <t>Time range up to 30 days</t>
        </is>
      </c>
      <c r="D134" s="21" t="inlineStr">
        <is>
          <t>ស្វែងរកជាអតិបរមា 30 ថ្ងៃ</t>
        </is>
      </c>
      <c r="E134" s="21" t="inlineStr">
        <is>
          <t>ស្វែងរកបានអតិបរមា 30 ថ្ងៃ</t>
        </is>
      </c>
      <c r="F134" s="10" t="n"/>
      <c r="G134" s="10" t="inlineStr">
        <is>
          <t>ស្វែងរកបានអតិបរមា 30 ថ្ងៃ</t>
        </is>
      </c>
      <c r="H134" s="10" t="inlineStr">
        <is>
          <t>ស្វែងរកបានអតិបរមា 30 ថ្ងៃ</t>
        </is>
      </c>
      <c r="I134" s="10" t="n"/>
      <c r="J134" s="10" t="n"/>
      <c r="K134" s="10" t="inlineStr">
        <is>
          <t>"validate.rangPicker30": "ស្វែងរកបានអតិបរមា 30 ថ្ងៃ",</t>
        </is>
      </c>
      <c r="L134" s="10" t="n"/>
      <c r="M134" s="10" t="n"/>
      <c r="N134" s="10" t="n"/>
      <c r="O134" s="10" t="n"/>
      <c r="P134" s="10" t="n"/>
      <c r="Q134" s="10" t="n"/>
      <c r="R134" s="10" t="n"/>
      <c r="S134" s="10" t="n"/>
      <c r="T134" s="10" t="n"/>
      <c r="U134" s="10" t="n"/>
      <c r="V134" s="10" t="n"/>
      <c r="W134" s="10" t="n"/>
      <c r="X134" s="10" t="n"/>
      <c r="Y134" s="10" t="n"/>
      <c r="Z134" s="10" t="n"/>
    </row>
    <row r="135">
      <c r="A135" s="36" t="inlineStr">
        <is>
          <t>validate.rangPicker31</t>
        </is>
      </c>
      <c r="B135" s="36" t="inlineStr">
        <is>
          <t>Tìm kiếm tối đa 31 ngày</t>
        </is>
      </c>
      <c r="C135" s="36" t="inlineStr">
        <is>
          <t>Time range up to 31 days</t>
        </is>
      </c>
      <c r="D135" s="38" t="inlineStr">
        <is>
          <t>ស្វែងរកជាអតិបរមា 31 ថ្ងៃ</t>
        </is>
      </c>
      <c r="E135" s="38" t="inlineStr">
        <is>
          <t>ស្វែងរកបានអតិបរមា 31 ថ្ងៃ</t>
        </is>
      </c>
      <c r="F135" s="39" t="n"/>
      <c r="G135" s="39" t="inlineStr">
        <is>
          <t>ស្វែងរកបានអតិបរមា 31 ថ្ងៃ</t>
        </is>
      </c>
      <c r="H135" s="39" t="inlineStr">
        <is>
          <t>ស្វែងរកបានអតិបរមា 31 ថ្ងៃ</t>
        </is>
      </c>
      <c r="I135" s="39" t="n"/>
      <c r="J135" s="39" t="n"/>
      <c r="K135" s="39" t="inlineStr">
        <is>
          <t>"validate.rangPicker31": "ស្វែងរកបានអតិបរមា 31 ថ្ងៃ",</t>
        </is>
      </c>
      <c r="L135" s="39" t="n"/>
      <c r="M135" s="39" t="n"/>
      <c r="N135" s="39" t="n"/>
      <c r="O135" s="39" t="n"/>
      <c r="P135" s="39" t="n"/>
      <c r="Q135" s="39" t="n"/>
      <c r="R135" s="39" t="n"/>
      <c r="S135" s="39" t="n"/>
      <c r="T135" s="39" t="n"/>
      <c r="U135" s="39" t="n"/>
      <c r="V135" s="39" t="n"/>
      <c r="W135" s="39" t="n"/>
      <c r="X135" s="39" t="n"/>
      <c r="Y135" s="39" t="n"/>
      <c r="Z135" s="39" t="n"/>
    </row>
    <row r="136">
      <c r="A136" s="40" t="inlineStr">
        <is>
          <t>modalEmpty.notification</t>
        </is>
      </c>
      <c r="B136" s="46" t="inlineStr">
        <is>
          <t>Thông báo</t>
        </is>
      </c>
      <c r="C136" s="46" t="inlineStr">
        <is>
          <t>Notification</t>
        </is>
      </c>
      <c r="D136" s="43" t="inlineStr">
        <is>
          <t>សេចក្តីជូនដំណឹង</t>
        </is>
      </c>
      <c r="E136" s="43" t="inlineStr">
        <is>
          <t>សារជូនដំណឹង</t>
        </is>
      </c>
      <c r="F136" s="75" t="n"/>
      <c r="G136" s="75" t="inlineStr">
        <is>
          <t>ការជូនដំណឹង</t>
        </is>
      </c>
      <c r="H136" s="75" t="inlineStr">
        <is>
          <t>ការជូនដំណឹង</t>
        </is>
      </c>
      <c r="I136" s="75" t="n"/>
      <c r="J136" s="75" t="n"/>
      <c r="K136" s="75" t="inlineStr">
        <is>
          <t>"modalEmpty.notification": "ការជូនដំណឹង",</t>
        </is>
      </c>
      <c r="L136" s="75" t="n"/>
      <c r="M136" s="75" t="n"/>
      <c r="N136" s="75" t="n"/>
      <c r="O136" s="75" t="n"/>
      <c r="P136" s="75" t="n"/>
      <c r="Q136" s="75" t="n"/>
      <c r="R136" s="75" t="n"/>
      <c r="S136" s="75" t="n"/>
      <c r="T136" s="75" t="n"/>
      <c r="U136" s="75" t="n"/>
      <c r="V136" s="75" t="n"/>
      <c r="W136" s="75" t="n"/>
      <c r="X136" s="75" t="n"/>
      <c r="Y136" s="75" t="n"/>
      <c r="Z136" s="45" t="n"/>
    </row>
    <row r="137">
      <c r="A137" s="40" t="inlineStr">
        <is>
          <t>modalEmpty.titleEmpty</t>
        </is>
      </c>
      <c r="B137" s="46" t="inlineStr">
        <is>
          <t>Mã phiếu gửi không tồn tại!</t>
        </is>
      </c>
      <c r="C137" s="46" t="inlineStr">
        <is>
          <t>Waybill code does not exist!!</t>
        </is>
      </c>
      <c r="D137" s="43" t="inlineStr">
        <is>
          <t>បុងបញ្ញើមិននៅមានទេ!</t>
        </is>
      </c>
      <c r="E137" s="43" t="inlineStr">
        <is>
          <t>បុងបញ្ញើមិននៅមានទេ!</t>
        </is>
      </c>
      <c r="F137" s="75" t="n"/>
      <c r="G137" s="75" t="inlineStr">
        <is>
          <t>បុងបញ្ញើមិននៅមានទេ!</t>
        </is>
      </c>
      <c r="H137" s="75" t="inlineStr">
        <is>
          <t>បុងបញ្ញើមិននៅមានទេ!</t>
        </is>
      </c>
      <c r="I137" s="75" t="n"/>
      <c r="J137" s="75" t="n"/>
      <c r="K137" s="75" t="inlineStr">
        <is>
          <t>"modalEmpty.titleEmpty": "បុងបញ្ញើមិននៅមានទេ!",</t>
        </is>
      </c>
      <c r="L137" s="75" t="n"/>
      <c r="M137" s="75" t="n"/>
      <c r="N137" s="75" t="n"/>
      <c r="O137" s="75" t="n"/>
      <c r="P137" s="75" t="n"/>
      <c r="Q137" s="75" t="n"/>
      <c r="R137" s="75" t="n"/>
      <c r="S137" s="75" t="n"/>
      <c r="T137" s="75" t="n"/>
      <c r="U137" s="75" t="n"/>
      <c r="V137" s="75" t="n"/>
      <c r="W137" s="75" t="n"/>
      <c r="X137" s="75" t="n"/>
      <c r="Y137" s="75" t="n"/>
      <c r="Z137" s="45" t="n"/>
    </row>
    <row r="138">
      <c r="A138" s="40" t="inlineStr">
        <is>
          <t>modalEmpty.descriptionEmpty</t>
        </is>
      </c>
      <c r="B138" s="46" t="inlineStr">
        <is>
          <t>Mã phiếu gửi không tồn tại. Đồng chí vui lòng thử lại.</t>
        </is>
      </c>
      <c r="C138" s="46" t="inlineStr">
        <is>
          <t>Waybill code does not exist! Please try again.</t>
        </is>
      </c>
      <c r="D138" s="43" t="inlineStr">
        <is>
          <t>បុងបញ្ញើមិននៅមានទេ សូមអ្នកព្យាយាមម្តងទៀត</t>
        </is>
      </c>
      <c r="E138" s="43" t="inlineStr">
        <is>
          <t>បុងបញ្ញើមិននៅមានទេ សូមអ្នកព្យាយាមម្តងទៀត!</t>
        </is>
      </c>
      <c r="F138" s="75" t="n"/>
      <c r="G138" s="75" t="inlineStr">
        <is>
          <t>បុងបញ្ញើមិននៅមានទេ សូមអ្នកព្យាយាមម្តងទៀត!</t>
        </is>
      </c>
      <c r="H138" s="75" t="inlineStr">
        <is>
          <t>បុងបញ្ញើមិននៅមានទេ សូមអ្នកព្យាយាមម្តងទៀត!</t>
        </is>
      </c>
      <c r="I138" s="75" t="n"/>
      <c r="J138" s="75" t="n"/>
      <c r="K138" s="75" t="inlineStr">
        <is>
          <t>"modalEmpty.descriptionEmpty": "បុងបញ្ញើមិននៅមានទេ សូមអ្នកព្យាយាមម្តងទៀត!",</t>
        </is>
      </c>
      <c r="L138" s="75" t="n"/>
      <c r="M138" s="75" t="n"/>
      <c r="N138" s="75" t="n"/>
      <c r="O138" s="75" t="n"/>
      <c r="P138" s="75" t="n"/>
      <c r="Q138" s="75" t="n"/>
      <c r="R138" s="75" t="n"/>
      <c r="S138" s="75" t="n"/>
      <c r="T138" s="75" t="n"/>
      <c r="U138" s="75" t="n"/>
      <c r="V138" s="75" t="n"/>
      <c r="W138" s="75" t="n"/>
      <c r="X138" s="75" t="n"/>
      <c r="Y138" s="75" t="n"/>
      <c r="Z138" s="45" t="n"/>
    </row>
    <row r="139">
      <c r="A139" s="40" t="inlineStr">
        <is>
          <t>modalEmpty.close</t>
        </is>
      </c>
      <c r="B139" s="46" t="inlineStr">
        <is>
          <t>Đóng</t>
        </is>
      </c>
      <c r="C139" s="46" t="inlineStr">
        <is>
          <t>Close</t>
        </is>
      </c>
      <c r="D139" s="43" t="inlineStr">
        <is>
          <t>បិទ</t>
        </is>
      </c>
      <c r="E139" s="43" t="inlineStr">
        <is>
          <t>បិទ</t>
        </is>
      </c>
      <c r="F139" s="75" t="n"/>
      <c r="G139" s="75" t="inlineStr">
        <is>
          <t>បិទ</t>
        </is>
      </c>
      <c r="H139" s="75" t="inlineStr">
        <is>
          <t>បិទ</t>
        </is>
      </c>
      <c r="I139" s="75" t="n"/>
      <c r="J139" s="75" t="n"/>
      <c r="K139" s="75" t="inlineStr">
        <is>
          <t>"modalEmpty.close": "បិទ",</t>
        </is>
      </c>
      <c r="L139" s="75" t="n"/>
      <c r="M139" s="75" t="n"/>
      <c r="N139" s="75" t="n"/>
      <c r="O139" s="75" t="n"/>
      <c r="P139" s="75" t="n"/>
      <c r="Q139" s="75" t="n"/>
      <c r="R139" s="75" t="n"/>
      <c r="S139" s="75" t="n"/>
      <c r="T139" s="75" t="n"/>
      <c r="U139" s="75" t="n"/>
      <c r="V139" s="75" t="n"/>
      <c r="W139" s="75" t="n"/>
      <c r="X139" s="75" t="n"/>
      <c r="Y139" s="75" t="n"/>
      <c r="Z139" s="45" t="n"/>
    </row>
    <row r="140">
      <c r="A140" s="40" t="inlineStr">
        <is>
          <t>modalPrint.title</t>
        </is>
      </c>
      <c r="B140" s="46" t="inlineStr">
        <is>
          <t>In phiếu gửi</t>
        </is>
      </c>
      <c r="C140" s="46" t="inlineStr">
        <is>
          <t>Print bill of consigment</t>
        </is>
      </c>
      <c r="D140" s="43" t="inlineStr">
        <is>
          <t>ព្រីនបុងបញ្ញើ</t>
        </is>
      </c>
      <c r="E140" s="43" t="inlineStr">
        <is>
          <t>ព្រីនបុងបញ្ញើ</t>
        </is>
      </c>
      <c r="F140" s="75" t="n"/>
      <c r="G140" s="75" t="inlineStr">
        <is>
          <t>ព្រីនបុងបញ្ញើ</t>
        </is>
      </c>
      <c r="H140" s="75" t="inlineStr">
        <is>
          <t>ព្រីនបុងបញ្ញើ</t>
        </is>
      </c>
      <c r="I140" s="75" t="n"/>
      <c r="J140" s="75" t="n"/>
      <c r="K140" s="75" t="inlineStr">
        <is>
          <t>"modalPrint.title": "ព្រីនបុងបញ្ញើ",</t>
        </is>
      </c>
      <c r="L140" s="75" t="n"/>
      <c r="M140" s="75" t="n"/>
      <c r="N140" s="75" t="n"/>
      <c r="O140" s="75" t="n"/>
      <c r="P140" s="75" t="n"/>
      <c r="Q140" s="75" t="n"/>
      <c r="R140" s="75" t="n"/>
      <c r="S140" s="75" t="n"/>
      <c r="T140" s="75" t="n"/>
      <c r="U140" s="75" t="n"/>
      <c r="V140" s="75" t="n"/>
      <c r="W140" s="75" t="n"/>
      <c r="X140" s="75" t="n"/>
      <c r="Y140" s="75" t="n"/>
      <c r="Z140" s="45" t="n"/>
    </row>
    <row r="141">
      <c r="A141" s="40" t="inlineStr">
        <is>
          <t>modalPrint.selectPrint</t>
        </is>
      </c>
      <c r="B141" s="46" t="inlineStr">
        <is>
          <t>Chọn kích thước in</t>
        </is>
      </c>
      <c r="C141" s="46" t="inlineStr">
        <is>
          <t>Select print size</t>
        </is>
      </c>
      <c r="D141" s="43" t="inlineStr">
        <is>
          <t>ជ្រើសរើសទំហំព្រីន</t>
        </is>
      </c>
      <c r="E141" s="43" t="inlineStr">
        <is>
          <t>ជ្រើសរើសទំហំព្រីន</t>
        </is>
      </c>
      <c r="F141" s="75" t="n"/>
      <c r="G141" s="75" t="inlineStr">
        <is>
          <t>ជ្រើសរើសទំហំព្រីន</t>
        </is>
      </c>
      <c r="H141" s="75" t="inlineStr">
        <is>
          <t>ជ្រើសរើសទំហំព្រីន</t>
        </is>
      </c>
      <c r="I141" s="75" t="n"/>
      <c r="J141" s="75" t="n"/>
      <c r="K141" s="75" t="inlineStr">
        <is>
          <t>"modalPrint.selectPrint": "ជ្រើសរើសទំហំព្រីន",</t>
        </is>
      </c>
      <c r="L141" s="75" t="n"/>
      <c r="M141" s="75" t="n"/>
      <c r="N141" s="75" t="n"/>
      <c r="O141" s="75" t="n"/>
      <c r="P141" s="75" t="n"/>
      <c r="Q141" s="75" t="n"/>
      <c r="R141" s="75" t="n"/>
      <c r="S141" s="75" t="n"/>
      <c r="T141" s="75" t="n"/>
      <c r="U141" s="75" t="n"/>
      <c r="V141" s="75" t="n"/>
      <c r="W141" s="75" t="n"/>
      <c r="X141" s="75" t="n"/>
      <c r="Y141" s="75" t="n"/>
      <c r="Z141" s="45" t="n"/>
    </row>
    <row r="142">
      <c r="A142" s="40" t="inlineStr">
        <is>
          <t>modalPrint.print</t>
        </is>
      </c>
      <c r="B142" s="46" t="inlineStr">
        <is>
          <t>In</t>
        </is>
      </c>
      <c r="C142" s="46" t="inlineStr">
        <is>
          <t>Print</t>
        </is>
      </c>
      <c r="D142" s="43" t="inlineStr">
        <is>
          <t>ព្រីន</t>
        </is>
      </c>
      <c r="E142" s="43" t="inlineStr">
        <is>
          <t>ព្រីន</t>
        </is>
      </c>
      <c r="F142" s="75" t="n"/>
      <c r="G142" s="75" t="inlineStr">
        <is>
          <t>ព្រីន</t>
        </is>
      </c>
      <c r="H142" s="75" t="inlineStr">
        <is>
          <t>ព្រីន</t>
        </is>
      </c>
      <c r="I142" s="75" t="n"/>
      <c r="J142" s="75" t="n"/>
      <c r="K142" s="75" t="inlineStr">
        <is>
          <t>"modalPrint.print": "ព្រីន",</t>
        </is>
      </c>
      <c r="L142" s="75" t="n"/>
      <c r="M142" s="75" t="n"/>
      <c r="N142" s="75" t="n"/>
      <c r="O142" s="75" t="n"/>
      <c r="P142" s="75" t="n"/>
      <c r="Q142" s="75" t="n"/>
      <c r="R142" s="75" t="n"/>
      <c r="S142" s="75" t="n"/>
      <c r="T142" s="75" t="n"/>
      <c r="U142" s="75" t="n"/>
      <c r="V142" s="75" t="n"/>
      <c r="W142" s="75" t="n"/>
      <c r="X142" s="75" t="n"/>
      <c r="Y142" s="75" t="n"/>
      <c r="Z142" s="45" t="n"/>
    </row>
    <row r="143">
      <c r="A143" s="40" t="inlineStr">
        <is>
          <t>modalPrint.description1</t>
        </is>
      </c>
      <c r="B143" s="46" t="inlineStr">
        <is>
          <t>Số lượng phiếu gửi cần in quá lớn. Cần</t>
        </is>
      </c>
      <c r="C143" s="46" t="inlineStr">
        <is>
          <t>The number of waybills to print is too large. Need</t>
        </is>
      </c>
      <c r="D143" s="43" t="inlineStr">
        <is>
          <t>ចំនួនបុងបញ្ញើដែលត្រូវព្រីនច្រើនណាស់។ ត្រូវការ</t>
        </is>
      </c>
      <c r="E143" s="43" t="inlineStr">
        <is>
          <t>ចំនួនបុងបញ្ញើដែលត្រូវព្រីនច្រើនណាស់។ ត្រូវការ</t>
        </is>
      </c>
      <c r="F143" s="75" t="n"/>
      <c r="G143" s="75" t="inlineStr">
        <is>
          <t>ចំនួនបុងបញ្ញើដែលត្រូវព្រីនច្រើនណាស់។ ត្រូវការ</t>
        </is>
      </c>
      <c r="H143" s="75" t="inlineStr">
        <is>
          <t>ចំនួនបុងបញ្ញើដែលត្រូវព្រីនច្រើនណាស់។ ត្រូវការ</t>
        </is>
      </c>
      <c r="I143" s="75" t="n"/>
      <c r="J143" s="75" t="n"/>
      <c r="K143" s="75" t="inlineStr">
        <is>
          <t>"modalPrint.description1": "ចំនួនបុងបញ្ញើដែលត្រូវព្រីនច្រើនណាស់។ ត្រូវការ",</t>
        </is>
      </c>
      <c r="L143" s="75" t="n"/>
      <c r="M143" s="75" t="n"/>
      <c r="N143" s="75" t="n"/>
      <c r="O143" s="75" t="n"/>
      <c r="P143" s="75" t="n"/>
      <c r="Q143" s="75" t="n"/>
      <c r="R143" s="75" t="n"/>
      <c r="S143" s="75" t="n"/>
      <c r="T143" s="75" t="n"/>
      <c r="U143" s="75" t="n"/>
      <c r="V143" s="75" t="n"/>
      <c r="W143" s="75" t="n"/>
      <c r="X143" s="75" t="n"/>
      <c r="Y143" s="75" t="n"/>
      <c r="Z143" s="45" t="n"/>
    </row>
    <row r="144">
      <c r="A144" s="40" t="inlineStr">
        <is>
          <t>modalPrint.description2</t>
        </is>
      </c>
      <c r="B144" s="46" t="inlineStr">
        <is>
          <t>trang in để in toàn bộ phiếu gửi</t>
        </is>
      </c>
      <c r="C144" s="46" t="inlineStr">
        <is>
          <t>printing pages to print the entire list</t>
        </is>
      </c>
      <c r="D144" s="75" t="n"/>
      <c r="E144" s="43" t="inlineStr">
        <is>
          <t>ទំព័រព្រីនគឺព្រីនពេញបុងបញ្ញើ</t>
        </is>
      </c>
      <c r="F144" s="75" t="n"/>
      <c r="G144" s="75" t="inlineStr">
        <is>
          <t>ទំព័រព្រីនគឺព្រីនពេញបុងបញ្ញើ</t>
        </is>
      </c>
      <c r="H144" s="75" t="inlineStr">
        <is>
          <t>ទំព័រព្រីនគឺព្រីនពេញបុងបញ្ញើ</t>
        </is>
      </c>
      <c r="I144" s="75" t="n"/>
      <c r="J144" s="75" t="n"/>
      <c r="K144" s="75" t="inlineStr">
        <is>
          <t>"modalPrint.description2": "ទំព័រព្រីនគឺព្រីនពេញបុងបញ្ញើ",</t>
        </is>
      </c>
      <c r="L144" s="75" t="n"/>
      <c r="M144" s="75" t="n"/>
      <c r="N144" s="75" t="n"/>
      <c r="O144" s="75" t="n"/>
      <c r="P144" s="75" t="n"/>
      <c r="Q144" s="75" t="n"/>
      <c r="R144" s="75" t="n"/>
      <c r="S144" s="75" t="n"/>
      <c r="T144" s="75" t="n"/>
      <c r="U144" s="75" t="n"/>
      <c r="V144" s="75" t="n"/>
      <c r="W144" s="75" t="n"/>
      <c r="X144" s="75" t="n"/>
      <c r="Y144" s="75" t="n"/>
      <c r="Z144" s="45" t="n"/>
    </row>
    <row r="145">
      <c r="A145" s="40" t="inlineStr">
        <is>
          <t>modalPrint.choosePagePrint</t>
        </is>
      </c>
      <c r="B145" s="46" t="inlineStr">
        <is>
          <t>Vui lòng chọn trang in</t>
        </is>
      </c>
      <c r="C145" s="46" t="inlineStr">
        <is>
          <t>Please select printing page</t>
        </is>
      </c>
      <c r="D145" s="43" t="inlineStr">
        <is>
          <t>សូមជ្រើសរើសទំព័រត្រូវព្រីន</t>
        </is>
      </c>
      <c r="E145" s="43" t="inlineStr">
        <is>
          <t>សូមជ្រើសរើសទំព័រដែលត្រូវព្រីន</t>
        </is>
      </c>
      <c r="F145" s="75" t="n"/>
      <c r="G145" s="75" t="inlineStr">
        <is>
          <t>សូមជ្រើសរើសទំព័រដែលត្រូវព្រីន</t>
        </is>
      </c>
      <c r="H145" s="75" t="inlineStr">
        <is>
          <t>សូមជ្រើសរើសទំព័រដែលត្រូវព្រីន</t>
        </is>
      </c>
      <c r="I145" s="75" t="n"/>
      <c r="J145" s="75" t="n"/>
      <c r="K145" s="75" t="inlineStr">
        <is>
          <t>"modalPrint.choosePagePrint": "សូមជ្រើសរើសទំព័រដែលត្រូវព្រីន",</t>
        </is>
      </c>
      <c r="L145" s="75" t="n"/>
      <c r="M145" s="75" t="n"/>
      <c r="N145" s="75" t="n"/>
      <c r="O145" s="75" t="n"/>
      <c r="P145" s="75" t="n"/>
      <c r="Q145" s="75" t="n"/>
      <c r="R145" s="75" t="n"/>
      <c r="S145" s="75" t="n"/>
      <c r="T145" s="75" t="n"/>
      <c r="U145" s="75" t="n"/>
      <c r="V145" s="75" t="n"/>
      <c r="W145" s="75" t="n"/>
      <c r="X145" s="75" t="n"/>
      <c r="Y145" s="75" t="n"/>
      <c r="Z145" s="45" t="n"/>
    </row>
    <row r="146">
      <c r="A146" s="40" t="inlineStr">
        <is>
          <t>modalPrint.pagePrint</t>
        </is>
      </c>
      <c r="B146" s="46" t="inlineStr">
        <is>
          <t>Trang in</t>
        </is>
      </c>
      <c r="C146" s="46" t="inlineStr">
        <is>
          <t>Page</t>
        </is>
      </c>
      <c r="D146" s="43" t="inlineStr">
        <is>
          <t>ទំព័រព្រីន</t>
        </is>
      </c>
      <c r="E146" s="43" t="inlineStr">
        <is>
          <t>ទំព័រព្រីន</t>
        </is>
      </c>
      <c r="F146" s="75" t="n"/>
      <c r="G146" s="75" t="inlineStr">
        <is>
          <t>ទំព័រព្រីន</t>
        </is>
      </c>
      <c r="H146" s="75" t="inlineStr">
        <is>
          <t>ទំព័រព្រីន</t>
        </is>
      </c>
      <c r="I146" s="75" t="n"/>
      <c r="J146" s="75" t="n"/>
      <c r="K146" s="75" t="inlineStr">
        <is>
          <t>"modalPrint.pagePrint": "ទំព័រព្រីន",</t>
        </is>
      </c>
      <c r="L146" s="75" t="n"/>
      <c r="M146" s="75" t="n"/>
      <c r="N146" s="75" t="n"/>
      <c r="O146" s="75" t="n"/>
      <c r="P146" s="75" t="n"/>
      <c r="Q146" s="75" t="n"/>
      <c r="R146" s="75" t="n"/>
      <c r="S146" s="75" t="n"/>
      <c r="T146" s="75" t="n"/>
      <c r="U146" s="75" t="n"/>
      <c r="V146" s="75" t="n"/>
      <c r="W146" s="75" t="n"/>
      <c r="X146" s="75" t="n"/>
      <c r="Y146" s="75" t="n"/>
      <c r="Z146" s="45" t="n"/>
    </row>
    <row r="147">
      <c r="A147" s="40" t="inlineStr">
        <is>
          <t>modalPrint.note1</t>
        </is>
      </c>
      <c r="B147" s="46" t="inlineStr">
        <is>
          <t>*Lưu ý: In phiếu gửi ở cả</t>
        </is>
      </c>
      <c r="C147" s="46" t="inlineStr">
        <is>
          <t>*Note: Print the waybill on both</t>
        </is>
      </c>
      <c r="D147" s="46" t="inlineStr">
        <is>
          <t>*ចំណាំ៖ ព្រីនបុងបញ្ញើទាំងសងខាង</t>
        </is>
      </c>
      <c r="E147" s="46" t="inlineStr">
        <is>
          <t>*ចំណាំ៖ ព្រីនបុងបញ្ញើទាំងសងខាង</t>
        </is>
      </c>
      <c r="F147" s="75" t="n"/>
      <c r="G147" s="75" t="inlineStr">
        <is>
          <t>*ចំណាំ៖ ព្រីនបុងបញ្ញើទាំងសងខាង</t>
        </is>
      </c>
      <c r="H147" s="75" t="inlineStr">
        <is>
          <t>*ចំណាំ៖ ព្រីនបុងបញ្ញើទាំងសងខាង</t>
        </is>
      </c>
      <c r="I147" s="75" t="n"/>
      <c r="J147" s="75" t="n"/>
      <c r="K147" s="75" t="inlineStr">
        <is>
          <t>"modalPrint.note1": "*ចំណាំ៖ ព្រីនបុងបញ្ញើទាំងសងខាង",</t>
        </is>
      </c>
      <c r="L147" s="75" t="n"/>
      <c r="M147" s="75" t="n"/>
      <c r="N147" s="75" t="n"/>
      <c r="O147" s="75" t="n"/>
      <c r="P147" s="75" t="n"/>
      <c r="Q147" s="75" t="n"/>
      <c r="R147" s="75" t="n"/>
      <c r="S147" s="75" t="n"/>
      <c r="T147" s="75" t="n"/>
      <c r="U147" s="75" t="n"/>
      <c r="V147" s="75" t="n"/>
      <c r="W147" s="75" t="n"/>
      <c r="X147" s="75" t="n"/>
      <c r="Y147" s="75" t="n"/>
      <c r="Z147" s="45" t="n"/>
    </row>
    <row r="148">
      <c r="A148" s="40" t="inlineStr">
        <is>
          <t>modalPrint.note2</t>
        </is>
      </c>
      <c r="B148" s="46" t="inlineStr">
        <is>
          <t>trang in để đảm bảo đủ số lượng phiếu gửi</t>
        </is>
      </c>
      <c r="C148" s="46" t="inlineStr">
        <is>
          <t>pages to ensure there are enough</t>
        </is>
      </c>
      <c r="D148" s="75" t="n"/>
      <c r="E148" s="43" t="inlineStr">
        <is>
          <t>ទំព័រព្រីនគឺត្រូវធានាបានថាគ្រប់ចំនួនបុងបញ្ញើ</t>
        </is>
      </c>
      <c r="F148" s="75" t="n"/>
      <c r="G148" s="75" t="inlineStr">
        <is>
          <t>ទំព័រព្រីនគឺត្រូវធានាបានថាគ្រប់ចំនួនបុងបញ្ញើ</t>
        </is>
      </c>
      <c r="H148" s="75" t="inlineStr">
        <is>
          <t>ទំព័រព្រីនគឺត្រូវធានាបានថាគ្រប់ចំនួនបុងបញ្ញើ</t>
        </is>
      </c>
      <c r="I148" s="75" t="n"/>
      <c r="J148" s="75" t="n"/>
      <c r="K148" s="75" t="inlineStr">
        <is>
          <t>"modalPrint.note2": "ទំព័រព្រីនគឺត្រូវធានាបានថាគ្រប់ចំនួនបុងបញ្ញើ",</t>
        </is>
      </c>
      <c r="L148" s="75" t="n"/>
      <c r="M148" s="75" t="n"/>
      <c r="N148" s="75" t="n"/>
      <c r="O148" s="75" t="n"/>
      <c r="P148" s="75" t="n"/>
      <c r="Q148" s="75" t="n"/>
      <c r="R148" s="75" t="n"/>
      <c r="S148" s="75" t="n"/>
      <c r="T148" s="75" t="n"/>
      <c r="U148" s="75" t="n"/>
      <c r="V148" s="75" t="n"/>
      <c r="W148" s="75" t="n"/>
      <c r="X148" s="75" t="n"/>
      <c r="Y148" s="75" t="n"/>
      <c r="Z148" s="45" t="n"/>
    </row>
    <row r="149">
      <c r="A149" s="40" t="inlineStr">
        <is>
          <t>modalPrint.printFail</t>
        </is>
      </c>
      <c r="B149" s="46" t="inlineStr">
        <is>
          <t>Lỗi in đơn</t>
        </is>
      </c>
      <c r="C149" s="46" t="inlineStr">
        <is>
          <t>Failed to print</t>
        </is>
      </c>
      <c r="D149" s="43" t="inlineStr">
        <is>
          <t>ការព្រីនបុងមានបញ្ហា</t>
        </is>
      </c>
      <c r="E149" s="43" t="inlineStr">
        <is>
          <t>ការព្រីនបុងមានបញ្ហា</t>
        </is>
      </c>
      <c r="F149" s="75" t="n"/>
      <c r="G149" s="75" t="inlineStr">
        <is>
          <t>ការព្រីនបុងមានបញ្ហា</t>
        </is>
      </c>
      <c r="H149" s="75" t="inlineStr">
        <is>
          <t>ការព្រីនបុងមានបញ្ហា</t>
        </is>
      </c>
      <c r="I149" s="75" t="n"/>
      <c r="J149" s="75" t="n"/>
      <c r="K149" s="75" t="inlineStr">
        <is>
          <t>"modalPrint.printFail": "ការព្រីនបុងមានបញ្ហា",</t>
        </is>
      </c>
      <c r="L149" s="75" t="n"/>
      <c r="M149" s="75" t="n"/>
      <c r="N149" s="75" t="n"/>
      <c r="O149" s="75" t="n"/>
      <c r="P149" s="75" t="n"/>
      <c r="Q149" s="75" t="n"/>
      <c r="R149" s="75" t="n"/>
      <c r="S149" s="75" t="n"/>
      <c r="T149" s="75" t="n"/>
      <c r="U149" s="75" t="n"/>
      <c r="V149" s="75" t="n"/>
      <c r="W149" s="75" t="n"/>
      <c r="X149" s="75" t="n"/>
      <c r="Y149" s="75" t="n"/>
      <c r="Z149" s="45" t="n"/>
    </row>
    <row r="150">
      <c r="A150" s="40" t="inlineStr">
        <is>
          <t>modalPrint.A5</t>
        </is>
      </c>
      <c r="B150" s="46" t="inlineStr">
        <is>
          <t>A5</t>
        </is>
      </c>
      <c r="C150" s="46" t="inlineStr">
        <is>
          <t>A5</t>
        </is>
      </c>
      <c r="D150" s="46" t="inlineStr">
        <is>
          <t>A5</t>
        </is>
      </c>
      <c r="E150" s="46" t="inlineStr">
        <is>
          <t>A5</t>
        </is>
      </c>
      <c r="F150" s="75" t="n"/>
      <c r="G150" s="75" t="inlineStr">
        <is>
          <t>A5</t>
        </is>
      </c>
      <c r="H150" s="75" t="inlineStr">
        <is>
          <t>A5</t>
        </is>
      </c>
      <c r="I150" s="75" t="n"/>
      <c r="J150" s="75" t="n"/>
      <c r="K150" s="75" t="inlineStr">
        <is>
          <t>"modalPrint.A5": "A5",</t>
        </is>
      </c>
      <c r="L150" s="75" t="n"/>
      <c r="M150" s="75" t="n"/>
      <c r="N150" s="75" t="n"/>
      <c r="O150" s="75" t="n"/>
      <c r="P150" s="75" t="n"/>
      <c r="Q150" s="75" t="n"/>
      <c r="R150" s="75" t="n"/>
      <c r="S150" s="75" t="n"/>
      <c r="T150" s="75" t="n"/>
      <c r="U150" s="75" t="n"/>
      <c r="V150" s="75" t="n"/>
      <c r="W150" s="75" t="n"/>
      <c r="X150" s="75" t="n"/>
      <c r="Y150" s="75" t="n"/>
      <c r="Z150" s="45" t="n"/>
    </row>
    <row r="151">
      <c r="A151" s="40" t="inlineStr">
        <is>
          <t>modalPrint.A6</t>
        </is>
      </c>
      <c r="B151" s="46" t="inlineStr">
        <is>
          <t>A6</t>
        </is>
      </c>
      <c r="C151" s="46" t="inlineStr">
        <is>
          <t>A6</t>
        </is>
      </c>
      <c r="D151" s="46" t="inlineStr">
        <is>
          <t>A6</t>
        </is>
      </c>
      <c r="E151" s="46" t="inlineStr">
        <is>
          <t>A6</t>
        </is>
      </c>
      <c r="F151" s="75" t="n"/>
      <c r="G151" s="75" t="inlineStr">
        <is>
          <t>A6</t>
        </is>
      </c>
      <c r="H151" s="75" t="inlineStr">
        <is>
          <t>A6</t>
        </is>
      </c>
      <c r="I151" s="75" t="n"/>
      <c r="J151" s="75" t="n"/>
      <c r="K151" s="75" t="inlineStr">
        <is>
          <t>"modalPrint.A6": "A6",</t>
        </is>
      </c>
      <c r="L151" s="75" t="n"/>
      <c r="M151" s="75" t="n"/>
      <c r="N151" s="75" t="n"/>
      <c r="O151" s="75" t="n"/>
      <c r="P151" s="75" t="n"/>
      <c r="Q151" s="75" t="n"/>
      <c r="R151" s="75" t="n"/>
      <c r="S151" s="75" t="n"/>
      <c r="T151" s="75" t="n"/>
      <c r="U151" s="75" t="n"/>
      <c r="V151" s="75" t="n"/>
      <c r="W151" s="75" t="n"/>
      <c r="X151" s="75" t="n"/>
      <c r="Y151" s="75" t="n"/>
      <c r="Z151" s="45" t="n"/>
    </row>
    <row r="152">
      <c r="A152" s="40" t="inlineStr">
        <is>
          <t>modalPrint.A7</t>
        </is>
      </c>
      <c r="B152" s="46" t="inlineStr">
        <is>
          <t>A7</t>
        </is>
      </c>
      <c r="C152" s="46" t="inlineStr">
        <is>
          <t>A7</t>
        </is>
      </c>
      <c r="D152" s="46" t="inlineStr">
        <is>
          <t>A7</t>
        </is>
      </c>
      <c r="E152" s="46" t="inlineStr">
        <is>
          <t>A7</t>
        </is>
      </c>
      <c r="F152" s="75" t="n"/>
      <c r="G152" s="75" t="inlineStr">
        <is>
          <t>A7</t>
        </is>
      </c>
      <c r="H152" s="75" t="inlineStr">
        <is>
          <t>A7</t>
        </is>
      </c>
      <c r="I152" s="75" t="n"/>
      <c r="J152" s="75" t="n"/>
      <c r="K152" s="75" t="inlineStr">
        <is>
          <t>"modalPrint.A7": "A7",</t>
        </is>
      </c>
      <c r="L152" s="75" t="n"/>
      <c r="M152" s="75" t="n"/>
      <c r="N152" s="75" t="n"/>
      <c r="O152" s="75" t="n"/>
      <c r="P152" s="75" t="n"/>
      <c r="Q152" s="75" t="n"/>
      <c r="R152" s="75" t="n"/>
      <c r="S152" s="75" t="n"/>
      <c r="T152" s="75" t="n"/>
      <c r="U152" s="75" t="n"/>
      <c r="V152" s="75" t="n"/>
      <c r="W152" s="75" t="n"/>
      <c r="X152" s="75" t="n"/>
      <c r="Y152" s="75" t="n"/>
      <c r="Z152" s="45" t="n"/>
    </row>
    <row r="153">
      <c r="A153" s="40" t="inlineStr">
        <is>
          <t>auditPrint.titleHeader</t>
        </is>
      </c>
      <c r="B153" s="46" t="inlineStr">
        <is>
          <t>CHUYÊN NGHIỆP - NHANH CHÓNG - HIỆU QUẢ</t>
        </is>
      </c>
      <c r="C153" s="46" t="inlineStr">
        <is>
          <t>PROFESSIONAL - FAST - EFFECTIVE</t>
        </is>
      </c>
      <c r="D153" s="75" t="n"/>
      <c r="E153" s="43" t="inlineStr">
        <is>
          <t>ជំនាញ - រហ័ស - មានប្រសិទ្ធភាព</t>
        </is>
      </c>
      <c r="F153" s="75" t="n"/>
      <c r="G153" s="75" t="inlineStr">
        <is>
          <t>ជំនាញ - រហ័ស - មានប្រសិទ្ធភាព</t>
        </is>
      </c>
      <c r="H153" s="75" t="inlineStr">
        <is>
          <t>ជំនាញ - រហ័ស - មានប្រសិទ្ធភាព</t>
        </is>
      </c>
      <c r="I153" s="75" t="n"/>
      <c r="J153" s="75" t="n"/>
      <c r="K153" s="75" t="inlineStr">
        <is>
          <t>"auditPrint.titleHeader": "ជំនាញ - រហ័ស - មានប្រសិទ្ធភាព",</t>
        </is>
      </c>
      <c r="L153" s="75" t="n"/>
      <c r="M153" s="75" t="n"/>
      <c r="N153" s="75" t="n"/>
      <c r="O153" s="75" t="n"/>
      <c r="P153" s="75" t="n"/>
      <c r="Q153" s="75" t="n"/>
      <c r="R153" s="75" t="n"/>
      <c r="S153" s="75" t="n"/>
      <c r="T153" s="75" t="n"/>
      <c r="U153" s="75" t="n"/>
      <c r="V153" s="75" t="n"/>
      <c r="W153" s="75" t="n"/>
      <c r="X153" s="75" t="n"/>
      <c r="Y153" s="75" t="n"/>
      <c r="Z153" s="45" t="n"/>
    </row>
    <row r="154">
      <c r="A154" s="40" t="inlineStr">
        <is>
          <t>auditPrint.title</t>
        </is>
      </c>
      <c r="B154" s="46" t="inlineStr">
        <is>
          <t>BIÊN BẢN KIỂM KÊ CHI TIẾT</t>
        </is>
      </c>
      <c r="C154" s="46" t="inlineStr">
        <is>
          <t>List Inventory</t>
        </is>
      </c>
      <c r="D154" s="75" t="n"/>
      <c r="E154" s="43" t="inlineStr">
        <is>
          <t>រាយការណ៍រាប់ឥវ៉ាន់លម្អិត</t>
        </is>
      </c>
      <c r="F154" s="75" t="n"/>
      <c r="G154" s="75" t="inlineStr">
        <is>
          <t>រាយការណ៍រាប់ឥវ៉ាន់លម្អិត</t>
        </is>
      </c>
      <c r="H154" s="75" t="inlineStr">
        <is>
          <t>រាយការណ៍រាប់ឥវ៉ាន់លម្អិត</t>
        </is>
      </c>
      <c r="I154" s="75" t="n"/>
      <c r="J154" s="75" t="n"/>
      <c r="K154" s="75" t="inlineStr">
        <is>
          <t>"auditPrint.title": "រាយការណ៍រាប់ឥវ៉ាន់លម្អិត",</t>
        </is>
      </c>
      <c r="L154" s="75" t="n"/>
      <c r="M154" s="75" t="n"/>
      <c r="N154" s="75" t="n"/>
      <c r="O154" s="75" t="n"/>
      <c r="P154" s="75" t="n"/>
      <c r="Q154" s="75" t="n"/>
      <c r="R154" s="75" t="n"/>
      <c r="S154" s="75" t="n"/>
      <c r="T154" s="75" t="n"/>
      <c r="U154" s="75" t="n"/>
      <c r="V154" s="75" t="n"/>
      <c r="W154" s="75" t="n"/>
      <c r="X154" s="75" t="n"/>
      <c r="Y154" s="75" t="n"/>
      <c r="Z154" s="45" t="n"/>
    </row>
    <row r="155">
      <c r="A155" s="40" t="inlineStr">
        <is>
          <t>auditPrint.auditUser</t>
        </is>
      </c>
      <c r="B155" s="46" t="inlineStr">
        <is>
          <t>Người kiểm kê</t>
        </is>
      </c>
      <c r="C155" s="46" t="inlineStr">
        <is>
          <t>User Inventory</t>
        </is>
      </c>
      <c r="D155" s="43" t="inlineStr">
        <is>
          <t>អ្នកត្រួតពិនិត្យ</t>
        </is>
      </c>
      <c r="E155" s="43" t="inlineStr">
        <is>
          <t>អ្នកត្រួតពិនិត្យ</t>
        </is>
      </c>
      <c r="F155" s="75" t="n"/>
      <c r="G155" s="75" t="inlineStr">
        <is>
          <t>អ្នកត្រួតពិនិត្យ</t>
        </is>
      </c>
      <c r="H155" s="75" t="inlineStr">
        <is>
          <t>អ្នកត្រួតពិនិត្យ</t>
        </is>
      </c>
      <c r="I155" s="75" t="n"/>
      <c r="J155" s="75" t="n"/>
      <c r="K155" s="75" t="inlineStr">
        <is>
          <t>"auditPrint.auditUser": "អ្នកត្រួតពិនិត្យ",</t>
        </is>
      </c>
      <c r="L155" s="75" t="n"/>
      <c r="M155" s="75" t="n"/>
      <c r="N155" s="75" t="n"/>
      <c r="O155" s="75" t="n"/>
      <c r="P155" s="75" t="n"/>
      <c r="Q155" s="75" t="n"/>
      <c r="R155" s="75" t="n"/>
      <c r="S155" s="75" t="n"/>
      <c r="T155" s="75" t="n"/>
      <c r="U155" s="75" t="n"/>
      <c r="V155" s="75" t="n"/>
      <c r="W155" s="75" t="n"/>
      <c r="X155" s="75" t="n"/>
      <c r="Y155" s="75" t="n"/>
      <c r="Z155" s="45" t="n"/>
    </row>
    <row r="156">
      <c r="A156" s="40" t="inlineStr">
        <is>
          <t>auditPrint.auditDate</t>
        </is>
      </c>
      <c r="B156" s="46" t="inlineStr">
        <is>
          <t>Ngày kiểm kê</t>
        </is>
      </c>
      <c r="C156" s="46" t="inlineStr">
        <is>
          <t>Create Inventory</t>
        </is>
      </c>
      <c r="D156" s="43" t="inlineStr">
        <is>
          <t>ថ្ងៃត្រួតពិនិត្យ</t>
        </is>
      </c>
      <c r="E156" s="43" t="inlineStr">
        <is>
          <t>ថ្ងៃត្រួតពិនិត្យ</t>
        </is>
      </c>
      <c r="F156" s="75" t="n"/>
      <c r="G156" s="75" t="inlineStr">
        <is>
          <t>ថ្ងៃត្រួតពិនិត្យ</t>
        </is>
      </c>
      <c r="H156" s="75" t="inlineStr">
        <is>
          <t>ថ្ងៃត្រួតពិនិត្យ</t>
        </is>
      </c>
      <c r="I156" s="75" t="n"/>
      <c r="J156" s="75" t="n"/>
      <c r="K156" s="75" t="inlineStr">
        <is>
          <t>"auditPrint.auditDate": "ថ្ងៃត្រួតពិនិត្យ",</t>
        </is>
      </c>
      <c r="L156" s="75" t="n"/>
      <c r="M156" s="75" t="n"/>
      <c r="N156" s="75" t="n"/>
      <c r="O156" s="75" t="n"/>
      <c r="P156" s="75" t="n"/>
      <c r="Q156" s="75" t="n"/>
      <c r="R156" s="75" t="n"/>
      <c r="S156" s="75" t="n"/>
      <c r="T156" s="75" t="n"/>
      <c r="U156" s="75" t="n"/>
      <c r="V156" s="75" t="n"/>
      <c r="W156" s="75" t="n"/>
      <c r="X156" s="75" t="n"/>
      <c r="Y156" s="75" t="n"/>
      <c r="Z156" s="45" t="n"/>
    </row>
    <row r="157">
      <c r="A157" s="40" t="inlineStr">
        <is>
          <t>auditPrint.user</t>
        </is>
      </c>
      <c r="B157" s="46" t="inlineStr">
        <is>
          <t>Nhân viên phát</t>
        </is>
      </c>
      <c r="C157" s="46" t="inlineStr">
        <is>
          <t>Delivery-man</t>
        </is>
      </c>
      <c r="D157" s="43" t="inlineStr">
        <is>
          <t>បុគ្គលិកប្រគល់អីវ៉ាន់</t>
        </is>
      </c>
      <c r="E157" s="43" t="inlineStr">
        <is>
          <t>បុគ្គលិកប្រគល់អីវ៉ាន់</t>
        </is>
      </c>
      <c r="F157" s="75" t="n"/>
      <c r="G157" s="75" t="inlineStr">
        <is>
          <t>បុគ្គលិកប្រគល់អីវ៉ាន់</t>
        </is>
      </c>
      <c r="H157" s="75" t="inlineStr">
        <is>
          <t>បុគ្គលិកប្រគល់អីវ៉ាន់</t>
        </is>
      </c>
      <c r="I157" s="75" t="n"/>
      <c r="J157" s="75" t="n"/>
      <c r="K157" s="75" t="inlineStr">
        <is>
          <t>"auditPrint.user": "បុគ្គលិកប្រគល់អីវ៉ាន់",</t>
        </is>
      </c>
      <c r="L157" s="75" t="n"/>
      <c r="M157" s="75" t="n"/>
      <c r="N157" s="75" t="n"/>
      <c r="O157" s="75" t="n"/>
      <c r="P157" s="75" t="n"/>
      <c r="Q157" s="75" t="n"/>
      <c r="R157" s="75" t="n"/>
      <c r="S157" s="75" t="n"/>
      <c r="T157" s="75" t="n"/>
      <c r="U157" s="75" t="n"/>
      <c r="V157" s="75" t="n"/>
      <c r="W157" s="75" t="n"/>
      <c r="X157" s="75" t="n"/>
      <c r="Y157" s="75" t="n"/>
      <c r="Z157" s="45" t="n"/>
    </row>
    <row r="158" ht="15.75" customHeight="1" s="305">
      <c r="A158" s="40" t="inlineStr">
        <is>
          <t>auditPrint.department</t>
        </is>
      </c>
      <c r="B158" s="46" t="inlineStr">
        <is>
          <t>Bưu cục</t>
        </is>
      </c>
      <c r="C158" s="46" t="inlineStr">
        <is>
          <t>Post-office</t>
        </is>
      </c>
      <c r="D158" s="43" t="inlineStr">
        <is>
          <t>ការិយាល័យប្រៃសណីយ៍</t>
        </is>
      </c>
      <c r="E158" s="43" t="inlineStr">
        <is>
          <t>ការិយាល័យប្រៃសណីយ៍</t>
        </is>
      </c>
      <c r="F158" s="75" t="n"/>
      <c r="G158" s="75" t="inlineStr">
        <is>
          <t>ការិយាល័យប្រៃសណីយ៍</t>
        </is>
      </c>
      <c r="H158" s="75" t="inlineStr">
        <is>
          <t>ការិយាល័យប្រៃសណីយ៍</t>
        </is>
      </c>
      <c r="I158" s="75" t="n"/>
      <c r="J158" s="75" t="n"/>
      <c r="K158" s="75" t="inlineStr">
        <is>
          <t>"auditPrint.department": "ការិយាល័យប្រៃសណីយ៍",</t>
        </is>
      </c>
      <c r="L158" s="75" t="n"/>
      <c r="M158" s="75" t="n"/>
      <c r="N158" s="75" t="n"/>
      <c r="O158" s="75" t="n"/>
      <c r="P158" s="75" t="n"/>
      <c r="Q158" s="75" t="n"/>
      <c r="R158" s="75" t="n"/>
      <c r="S158" s="75" t="n"/>
      <c r="T158" s="75" t="n"/>
      <c r="U158" s="75" t="n"/>
      <c r="V158" s="75" t="n"/>
      <c r="W158" s="75" t="n"/>
      <c r="X158" s="75" t="n"/>
      <c r="Y158" s="75" t="n"/>
      <c r="Z158" s="45" t="n"/>
    </row>
    <row r="159">
      <c r="A159" s="40" t="inlineStr">
        <is>
          <t>auditPrint.NVBH</t>
        </is>
      </c>
      <c r="B159" s="46" t="inlineStr">
        <is>
          <t>NVBH</t>
        </is>
      </c>
      <c r="C159" s="46" t="inlineStr">
        <is>
          <t>Delivery-man</t>
        </is>
      </c>
      <c r="D159" s="75" t="n"/>
      <c r="E159" s="75" t="n"/>
      <c r="F159" s="75" t="n"/>
      <c r="G159" s="75" t="inlineStr">
        <is>
          <t>បុគ្គលិកដឹកជញ្ជូន/លក់</t>
        </is>
      </c>
      <c r="H159" s="75" t="inlineStr">
        <is>
          <t>បុគ្គលិកដឹកជញ្ជូន/លក់</t>
        </is>
      </c>
      <c r="I159" s="75" t="n"/>
      <c r="J159" s="75" t="n"/>
      <c r="K159" s="75" t="inlineStr">
        <is>
          <t>"auditPrint.NVBH": "បុគ្គលិកដឹកជញ្ជូន/លក់",</t>
        </is>
      </c>
      <c r="L159" s="75" t="n"/>
      <c r="M159" s="75" t="n"/>
      <c r="N159" s="75" t="n"/>
      <c r="O159" s="75" t="n"/>
      <c r="P159" s="75" t="n"/>
      <c r="Q159" s="75" t="n"/>
      <c r="R159" s="75" t="n"/>
      <c r="S159" s="75" t="n"/>
      <c r="T159" s="75" t="n"/>
      <c r="U159" s="75" t="n"/>
      <c r="V159" s="75" t="n"/>
      <c r="W159" s="75" t="n"/>
      <c r="X159" s="75" t="n"/>
      <c r="Y159" s="75" t="n"/>
      <c r="Z159" s="45" t="n"/>
    </row>
    <row r="160">
      <c r="A160" s="40" t="inlineStr">
        <is>
          <t>auditPrint.departmentLeader</t>
        </is>
      </c>
      <c r="B160" s="46" t="inlineStr">
        <is>
          <t>Trưởng bưu cục</t>
        </is>
      </c>
      <c r="C160" s="46" t="inlineStr">
        <is>
          <t>Head of Post-Office</t>
        </is>
      </c>
      <c r="D160" s="43" t="inlineStr">
        <is>
          <t>ប្រធានការិយាល័យប្រៃសណីយ៍</t>
        </is>
      </c>
      <c r="E160" s="43" t="inlineStr">
        <is>
          <t>ប្រធានការិយាល័យប្រៃសណីយ៍</t>
        </is>
      </c>
      <c r="F160" s="75" t="n"/>
      <c r="G160" s="75" t="inlineStr">
        <is>
          <t>ប្រធានការិយាល័យប្រៃសណីយ៍</t>
        </is>
      </c>
      <c r="H160" s="75" t="inlineStr">
        <is>
          <t>ប្រធានការិយាល័យប្រៃសណីយ៍</t>
        </is>
      </c>
      <c r="I160" s="75" t="n"/>
      <c r="J160" s="75" t="n"/>
      <c r="K160" s="75" t="inlineStr">
        <is>
          <t>"auditPrint.departmentLeader": "ប្រធានការិយាល័យប្រៃសណីយ៍",</t>
        </is>
      </c>
      <c r="L160" s="75" t="n"/>
      <c r="M160" s="75" t="n"/>
      <c r="N160" s="75" t="n"/>
      <c r="O160" s="75" t="n"/>
      <c r="P160" s="75" t="n"/>
      <c r="Q160" s="75" t="n"/>
      <c r="R160" s="75" t="n"/>
      <c r="S160" s="75" t="n"/>
      <c r="T160" s="75" t="n"/>
      <c r="U160" s="75" t="n"/>
      <c r="V160" s="75" t="n"/>
      <c r="W160" s="75" t="n"/>
      <c r="X160" s="75" t="n"/>
      <c r="Y160" s="75" t="n"/>
      <c r="Z160" s="45" t="n"/>
    </row>
    <row r="161">
      <c r="A161" s="40" t="inlineStr">
        <is>
          <t>auditPrint.print</t>
        </is>
      </c>
      <c r="B161" s="46" t="inlineStr">
        <is>
          <t>In biên bản</t>
        </is>
      </c>
      <c r="C161" s="46" t="inlineStr">
        <is>
          <t>Print</t>
        </is>
      </c>
      <c r="D161" s="43" t="inlineStr">
        <is>
          <t>ព្រីនរបាយការណ៍</t>
        </is>
      </c>
      <c r="E161" s="43" t="inlineStr">
        <is>
          <t>ព្រីនរបាយការណ៍</t>
        </is>
      </c>
      <c r="F161" s="75" t="n"/>
      <c r="G161" s="75" t="inlineStr">
        <is>
          <t>ព្រីនរបាយការណ៍</t>
        </is>
      </c>
      <c r="H161" s="75" t="inlineStr">
        <is>
          <t>ព្រីនរបាយការណ៍</t>
        </is>
      </c>
      <c r="I161" s="75" t="n"/>
      <c r="J161" s="75" t="n"/>
      <c r="K161" s="75" t="inlineStr">
        <is>
          <t>"auditPrint.print": "ព្រីនរបាយការណ៍",</t>
        </is>
      </c>
      <c r="L161" s="75" t="n"/>
      <c r="M161" s="75" t="n"/>
      <c r="N161" s="75" t="n"/>
      <c r="O161" s="75" t="n"/>
      <c r="P161" s="75" t="n"/>
      <c r="Q161" s="75" t="n"/>
      <c r="R161" s="75" t="n"/>
      <c r="S161" s="75" t="n"/>
      <c r="T161" s="75" t="n"/>
      <c r="U161" s="75" t="n"/>
      <c r="V161" s="75" t="n"/>
      <c r="W161" s="75" t="n"/>
      <c r="X161" s="75" t="n"/>
      <c r="Y161" s="75" t="n"/>
      <c r="Z161" s="45" t="n"/>
    </row>
    <row r="162">
      <c r="A162" s="40" t="inlineStr">
        <is>
          <t>auditPrint.orderId</t>
        </is>
      </c>
      <c r="B162" s="46" t="inlineStr">
        <is>
          <t>Mã phiếu gửi</t>
        </is>
      </c>
      <c r="C162" s="46" t="inlineStr">
        <is>
          <t>Billcode</t>
        </is>
      </c>
      <c r="D162" s="43" t="inlineStr">
        <is>
          <t>លេខកូដបុុងបញ្ញើ</t>
        </is>
      </c>
      <c r="E162" s="43" t="inlineStr">
        <is>
          <t>លេខកូដបុុងបញ្ញើ</t>
        </is>
      </c>
      <c r="F162" s="75" t="n"/>
      <c r="G162" s="75" t="inlineStr">
        <is>
          <t>លេខកូដបុងបញ្ញើ</t>
        </is>
      </c>
      <c r="H162" s="75" t="inlineStr">
        <is>
          <t>លេខកូដបុងបញ្ញើ</t>
        </is>
      </c>
      <c r="I162" s="75" t="n"/>
      <c r="J162" s="75" t="n"/>
      <c r="K162" s="75" t="inlineStr">
        <is>
          <t>"auditPrint.orderId": "លេខកូដបុងបញ្ញើ",</t>
        </is>
      </c>
      <c r="L162" s="75" t="n"/>
      <c r="M162" s="75" t="n"/>
      <c r="N162" s="75" t="n"/>
      <c r="O162" s="75" t="n"/>
      <c r="P162" s="75" t="n"/>
      <c r="Q162" s="75" t="n"/>
      <c r="R162" s="75" t="n"/>
      <c r="S162" s="75" t="n"/>
      <c r="T162" s="75" t="n"/>
      <c r="U162" s="75" t="n"/>
      <c r="V162" s="75" t="n"/>
      <c r="W162" s="75" t="n"/>
      <c r="X162" s="75" t="n"/>
      <c r="Y162" s="75" t="n"/>
      <c r="Z162" s="45" t="n"/>
    </row>
    <row r="163">
      <c r="A163" s="40" t="inlineStr">
        <is>
          <t>auditPrint.assignedPostmanAt</t>
        </is>
      </c>
      <c r="B163" s="46" t="inlineStr">
        <is>
          <t>Ngày PC</t>
        </is>
      </c>
      <c r="C163" s="46" t="inlineStr">
        <is>
          <t>Date Assign</t>
        </is>
      </c>
      <c r="D163" s="43" t="inlineStr">
        <is>
          <t>ថ្ងៃ PC</t>
        </is>
      </c>
      <c r="E163" s="75" t="n"/>
      <c r="F163" s="75" t="n"/>
      <c r="G163" s="75" t="inlineStr">
        <is>
          <t>ថ្ងៃ PC</t>
        </is>
      </c>
      <c r="H163" s="75" t="inlineStr">
        <is>
          <t>ថ្ងៃ PC</t>
        </is>
      </c>
      <c r="I163" s="75" t="n"/>
      <c r="J163" s="75" t="n"/>
      <c r="K163" s="75" t="inlineStr">
        <is>
          <t>"auditPrint.assignedPostmanAt": "ថ្ងៃ PC",</t>
        </is>
      </c>
      <c r="L163" s="75" t="n"/>
      <c r="M163" s="75" t="n"/>
      <c r="N163" s="75" t="n"/>
      <c r="O163" s="75" t="n"/>
      <c r="P163" s="75" t="n"/>
      <c r="Q163" s="75" t="n"/>
      <c r="R163" s="75" t="n"/>
      <c r="S163" s="75" t="n"/>
      <c r="T163" s="75" t="n"/>
      <c r="U163" s="75" t="n"/>
      <c r="V163" s="75" t="n"/>
      <c r="W163" s="75" t="n"/>
      <c r="X163" s="75" t="n"/>
      <c r="Y163" s="75" t="n"/>
      <c r="Z163" s="45" t="n"/>
    </row>
    <row r="164">
      <c r="A164" s="40" t="inlineStr">
        <is>
          <t>auditPrint.finalFee</t>
        </is>
      </c>
      <c r="B164" s="46" t="inlineStr">
        <is>
          <t>Tiền phải thu</t>
        </is>
      </c>
      <c r="C164" s="46" t="inlineStr">
        <is>
          <t>Total amount</t>
        </is>
      </c>
      <c r="D164" s="43" t="inlineStr">
        <is>
          <t>ប្រាក់ត្រូវប្រមូល</t>
        </is>
      </c>
      <c r="E164" s="43" t="inlineStr">
        <is>
          <t>ប្រាក់ត្រូវប្រមូល</t>
        </is>
      </c>
      <c r="F164" s="75" t="n"/>
      <c r="G164" s="75" t="inlineStr">
        <is>
          <t>ប្រាក់ត្រូវប្រមូល</t>
        </is>
      </c>
      <c r="H164" s="75" t="inlineStr">
        <is>
          <t>ប្រាក់ត្រូវប្រមូល</t>
        </is>
      </c>
      <c r="I164" s="75" t="n"/>
      <c r="J164" s="75" t="n"/>
      <c r="K164" s="75" t="inlineStr">
        <is>
          <t>"auditPrint.finalFee": "ប្រាក់ត្រូវប្រមូល",</t>
        </is>
      </c>
      <c r="L164" s="75" t="n"/>
      <c r="M164" s="75" t="n"/>
      <c r="N164" s="75" t="n"/>
      <c r="O164" s="75" t="n"/>
      <c r="P164" s="75" t="n"/>
      <c r="Q164" s="75" t="n"/>
      <c r="R164" s="75" t="n"/>
      <c r="S164" s="75" t="n"/>
      <c r="T164" s="75" t="n"/>
      <c r="U164" s="75" t="n"/>
      <c r="V164" s="75" t="n"/>
      <c r="W164" s="75" t="n"/>
      <c r="X164" s="75" t="n"/>
      <c r="Y164" s="75" t="n"/>
      <c r="Z164" s="45" t="n"/>
    </row>
    <row r="165">
      <c r="A165" s="40" t="inlineStr">
        <is>
          <t>auditPrint.auditTag</t>
        </is>
      </c>
      <c r="B165" s="46" t="inlineStr">
        <is>
          <t>So sánh</t>
        </is>
      </c>
      <c r="C165" s="46" t="inlineStr">
        <is>
          <t>Compare</t>
        </is>
      </c>
      <c r="D165" s="43" t="inlineStr">
        <is>
          <t>ប្រៀបធៀប</t>
        </is>
      </c>
      <c r="E165" s="43" t="inlineStr">
        <is>
          <t>ប្រៀបធៀប</t>
        </is>
      </c>
      <c r="F165" s="75" t="n"/>
      <c r="G165" s="75" t="inlineStr">
        <is>
          <t>ប្រៀបធៀប</t>
        </is>
      </c>
      <c r="H165" s="75" t="inlineStr">
        <is>
          <t>ប្រៀបធៀប</t>
        </is>
      </c>
      <c r="I165" s="75" t="n"/>
      <c r="J165" s="75" t="n"/>
      <c r="K165" s="75" t="inlineStr">
        <is>
          <t>"auditPrint.auditTag": "ប្រៀបធៀប",</t>
        </is>
      </c>
      <c r="L165" s="75" t="n"/>
      <c r="M165" s="75" t="n"/>
      <c r="N165" s="75" t="n"/>
      <c r="O165" s="75" t="n"/>
      <c r="P165" s="75" t="n"/>
      <c r="Q165" s="75" t="n"/>
      <c r="R165" s="75" t="n"/>
      <c r="S165" s="75" t="n"/>
      <c r="T165" s="75" t="n"/>
      <c r="U165" s="75" t="n"/>
      <c r="V165" s="75" t="n"/>
      <c r="W165" s="75" t="n"/>
      <c r="X165" s="75" t="n"/>
      <c r="Y165" s="75" t="n"/>
      <c r="Z165" s="45" t="n"/>
    </row>
    <row r="166">
      <c r="A166" s="40" t="inlineStr">
        <is>
          <t>auditPrint.auditFailedReason</t>
        </is>
      </c>
      <c r="B166" s="46" t="inlineStr">
        <is>
          <t>Giải trình</t>
        </is>
      </c>
      <c r="C166" s="46" t="inlineStr">
        <is>
          <t>Reason</t>
        </is>
      </c>
      <c r="D166" s="43" t="inlineStr">
        <is>
          <t>ការពន្យល់</t>
        </is>
      </c>
      <c r="E166" s="43" t="inlineStr">
        <is>
          <t>ការពន្យល់</t>
        </is>
      </c>
      <c r="F166" s="75" t="n"/>
      <c r="G166" s="75" t="inlineStr">
        <is>
          <t>ការបំភ្លឺ/បកស្រាយ</t>
        </is>
      </c>
      <c r="H166" s="75" t="inlineStr">
        <is>
          <t>ការបំភ្លឺ/បកស្រាយ</t>
        </is>
      </c>
      <c r="I166" s="75" t="n"/>
      <c r="J166" s="75" t="n"/>
      <c r="K166" s="75" t="inlineStr">
        <is>
          <t>"auditPrint.auditFailedReason": "ការបំភ្លឺ/បកស្រាយ",</t>
        </is>
      </c>
      <c r="L166" s="75" t="n"/>
      <c r="M166" s="75" t="n"/>
      <c r="N166" s="75" t="n"/>
      <c r="O166" s="75" t="n"/>
      <c r="P166" s="75" t="n"/>
      <c r="Q166" s="75" t="n"/>
      <c r="R166" s="75" t="n"/>
      <c r="S166" s="75" t="n"/>
      <c r="T166" s="75" t="n"/>
      <c r="U166" s="75" t="n"/>
      <c r="V166" s="75" t="n"/>
      <c r="W166" s="75" t="n"/>
      <c r="X166" s="75" t="n"/>
      <c r="Y166" s="75" t="n"/>
      <c r="Z166" s="45" t="n"/>
    </row>
    <row r="167">
      <c r="A167" s="48" t="inlineStr">
        <is>
          <t>layout.header.inputSearch</t>
        </is>
      </c>
      <c r="B167" s="55" t="inlineStr">
        <is>
          <t>Nhập mã phiếu gửi</t>
        </is>
      </c>
      <c r="C167" s="55" t="inlineStr">
        <is>
          <t>Enter waybill code</t>
        </is>
      </c>
      <c r="D167" s="51" t="inlineStr">
        <is>
          <t>បញ្ចូលលេខកូដបុងបញ្ញើ</t>
        </is>
      </c>
      <c r="E167" s="51" t="inlineStr">
        <is>
          <t>បញ្ចូលលេខកូដបុងបញ្ញើ</t>
        </is>
      </c>
      <c r="F167" s="71" t="n"/>
      <c r="G167" s="71" t="inlineStr">
        <is>
          <t>បញ្ចូលលេខកូដបុងបញ្ញើ</t>
        </is>
      </c>
      <c r="H167" s="71" t="inlineStr">
        <is>
          <t>បញ្ចូលលេខកូដបុងបញ្ញើ</t>
        </is>
      </c>
      <c r="I167" s="71" t="n"/>
      <c r="J167" s="71" t="n"/>
      <c r="K167" s="71" t="inlineStr">
        <is>
          <t>"layout.header.inputSearch": "បញ្ចូលលេខកូដបុងបញ្ញើ",</t>
        </is>
      </c>
      <c r="L167" s="71" t="n"/>
      <c r="M167" s="71" t="n"/>
      <c r="N167" s="71" t="n"/>
      <c r="O167" s="71" t="n"/>
      <c r="P167" s="71" t="n"/>
      <c r="Q167" s="71" t="n"/>
      <c r="R167" s="71" t="n"/>
      <c r="S167" s="71" t="n"/>
      <c r="T167" s="71" t="n"/>
      <c r="U167" s="71" t="n"/>
      <c r="V167" s="71" t="n"/>
      <c r="W167" s="71" t="n"/>
      <c r="X167" s="71" t="n"/>
      <c r="Y167" s="71" t="n"/>
      <c r="Z167" s="53" t="n"/>
    </row>
    <row r="168">
      <c r="A168" s="48" t="inlineStr">
        <is>
          <t>layout.header.selectPost</t>
        </is>
      </c>
      <c r="B168" s="55" t="inlineStr">
        <is>
          <t>Mã bưu cục</t>
        </is>
      </c>
      <c r="C168" s="55" t="inlineStr">
        <is>
          <t>Post Office Code</t>
        </is>
      </c>
      <c r="D168" s="51" t="inlineStr">
        <is>
          <t>លេខកូដការិយាល័យប្រៃសណីយ៍</t>
        </is>
      </c>
      <c r="E168" s="51" t="inlineStr">
        <is>
          <t>លេខកូដការិយាល័យប្រៃសណីយ៍</t>
        </is>
      </c>
      <c r="F168" s="71" t="n"/>
      <c r="G168" s="71" t="inlineStr">
        <is>
          <t>លេខកូដការិយាល័យប្រៃសណីយ៍</t>
        </is>
      </c>
      <c r="H168" s="71" t="inlineStr">
        <is>
          <t>លេខកូដការិយាល័យប្រៃសណីយ៍</t>
        </is>
      </c>
      <c r="I168" s="71" t="n"/>
      <c r="J168" s="71" t="n"/>
      <c r="K168" s="71" t="inlineStr">
        <is>
          <t>"layout.header.selectPost": "លេខកូដការិយាល័យប្រៃសណីយ៍",</t>
        </is>
      </c>
      <c r="L168" s="71" t="n"/>
      <c r="M168" s="71" t="n"/>
      <c r="N168" s="71" t="n"/>
      <c r="O168" s="71" t="n"/>
      <c r="P168" s="71" t="n"/>
      <c r="Q168" s="71" t="n"/>
      <c r="R168" s="71" t="n"/>
      <c r="S168" s="71" t="n"/>
      <c r="T168" s="71" t="n"/>
      <c r="U168" s="71" t="n"/>
      <c r="V168" s="71" t="n"/>
      <c r="W168" s="71" t="n"/>
      <c r="X168" s="71" t="n"/>
      <c r="Y168" s="71" t="n"/>
      <c r="Z168" s="53" t="n"/>
    </row>
    <row r="169">
      <c r="A169" s="48" t="inlineStr">
        <is>
          <t>layout.header.hello</t>
        </is>
      </c>
      <c r="B169" s="55" t="inlineStr">
        <is>
          <t>Xin chào</t>
        </is>
      </c>
      <c r="C169" s="55" t="inlineStr">
        <is>
          <t>Hello</t>
        </is>
      </c>
      <c r="D169" s="51" t="inlineStr">
        <is>
          <t>សួស្តី</t>
        </is>
      </c>
      <c r="E169" s="51" t="inlineStr">
        <is>
          <t>សួស្តី</t>
        </is>
      </c>
      <c r="F169" s="71" t="n"/>
      <c r="G169" s="71" t="inlineStr">
        <is>
          <t>សួស្តី</t>
        </is>
      </c>
      <c r="H169" s="71" t="inlineStr">
        <is>
          <t>សួស្តី</t>
        </is>
      </c>
      <c r="I169" s="71" t="n"/>
      <c r="J169" s="71" t="n"/>
      <c r="K169" s="71" t="inlineStr">
        <is>
          <t>"layout.header.hello": "សួស្តី",</t>
        </is>
      </c>
      <c r="L169" s="71" t="n"/>
      <c r="M169" s="71" t="n"/>
      <c r="N169" s="71" t="n"/>
      <c r="O169" s="71" t="n"/>
      <c r="P169" s="71" t="n"/>
      <c r="Q169" s="71" t="n"/>
      <c r="R169" s="71" t="n"/>
      <c r="S169" s="71" t="n"/>
      <c r="T169" s="71" t="n"/>
      <c r="U169" s="71" t="n"/>
      <c r="V169" s="71" t="n"/>
      <c r="W169" s="71" t="n"/>
      <c r="X169" s="71" t="n"/>
      <c r="Y169" s="71" t="n"/>
      <c r="Z169" s="53" t="n"/>
    </row>
    <row r="170">
      <c r="A170" s="48" t="inlineStr">
        <is>
          <t>layout.header.inforuser</t>
        </is>
      </c>
      <c r="B170" s="55" t="inlineStr">
        <is>
          <t>Thông tin tài khoản</t>
        </is>
      </c>
      <c r="C170" s="55" t="inlineStr">
        <is>
          <t>Account Information</t>
        </is>
      </c>
      <c r="D170" s="51" t="inlineStr">
        <is>
          <t>ព័ត៌មានគណនី</t>
        </is>
      </c>
      <c r="E170" s="51" t="inlineStr">
        <is>
          <t>ព័ត៌មានគណនី</t>
        </is>
      </c>
      <c r="F170" s="71" t="n"/>
      <c r="G170" s="71" t="inlineStr">
        <is>
          <t>ព័ត៌មានគណនី</t>
        </is>
      </c>
      <c r="H170" s="71" t="inlineStr">
        <is>
          <t>ព័ត៌មានគណនី</t>
        </is>
      </c>
      <c r="I170" s="71" t="n"/>
      <c r="J170" s="71" t="n"/>
      <c r="K170" s="71" t="inlineStr">
        <is>
          <t>"layout.header.inforuser": "ព័ត៌មានគណនី",</t>
        </is>
      </c>
      <c r="L170" s="71" t="n"/>
      <c r="M170" s="71" t="n"/>
      <c r="N170" s="71" t="n"/>
      <c r="O170" s="71" t="n"/>
      <c r="P170" s="71" t="n"/>
      <c r="Q170" s="71" t="n"/>
      <c r="R170" s="71" t="n"/>
      <c r="S170" s="71" t="n"/>
      <c r="T170" s="71" t="n"/>
      <c r="U170" s="71" t="n"/>
      <c r="V170" s="71" t="n"/>
      <c r="W170" s="71" t="n"/>
      <c r="X170" s="71" t="n"/>
      <c r="Y170" s="71" t="n"/>
      <c r="Z170" s="53" t="n"/>
    </row>
    <row r="171">
      <c r="A171" s="48" t="inlineStr">
        <is>
          <t>layout.header.logout</t>
        </is>
      </c>
      <c r="B171" s="55" t="inlineStr">
        <is>
          <t>Đăng xuất</t>
        </is>
      </c>
      <c r="C171" s="55" t="inlineStr">
        <is>
          <t>Logout</t>
        </is>
      </c>
      <c r="D171" s="51" t="inlineStr">
        <is>
          <t>ចាកចេញ</t>
        </is>
      </c>
      <c r="E171" s="51" t="inlineStr">
        <is>
          <t>ចាកចេញ</t>
        </is>
      </c>
      <c r="F171" s="71" t="n"/>
      <c r="G171" s="71" t="inlineStr">
        <is>
          <t>ចាកចេញ</t>
        </is>
      </c>
      <c r="H171" s="71" t="inlineStr">
        <is>
          <t>ចាកចេញ</t>
        </is>
      </c>
      <c r="I171" s="71" t="n"/>
      <c r="J171" s="71" t="n"/>
      <c r="K171" s="71" t="inlineStr">
        <is>
          <t>"layout.header.logout": "ចាកចេញ",</t>
        </is>
      </c>
      <c r="L171" s="71" t="n"/>
      <c r="M171" s="71" t="n"/>
      <c r="N171" s="71" t="n"/>
      <c r="O171" s="71" t="n"/>
      <c r="P171" s="71" t="n"/>
      <c r="Q171" s="71" t="n"/>
      <c r="R171" s="71" t="n"/>
      <c r="S171" s="71" t="n"/>
      <c r="T171" s="71" t="n"/>
      <c r="U171" s="71" t="n"/>
      <c r="V171" s="71" t="n"/>
      <c r="W171" s="71" t="n"/>
      <c r="X171" s="71" t="n"/>
      <c r="Y171" s="71" t="n"/>
      <c r="Z171" s="53" t="n"/>
    </row>
    <row r="172">
      <c r="A172" s="48" t="inlineStr">
        <is>
          <t>login.title</t>
        </is>
      </c>
      <c r="B172" s="55" t="inlineStr">
        <is>
          <t>Đăng nhập bằng mật khẩu</t>
        </is>
      </c>
      <c r="C172" s="55" t="inlineStr">
        <is>
          <t>Log in by password</t>
        </is>
      </c>
      <c r="D172" s="51" t="inlineStr">
        <is>
          <t>ចុចចូូលតាមលេខសម្ងាត់</t>
        </is>
      </c>
      <c r="E172" s="51" t="inlineStr">
        <is>
          <t>ចុចចូូលដោយប្រើប្រាស់ពាក្យសម្ងាត់</t>
        </is>
      </c>
      <c r="F172" s="71" t="n"/>
      <c r="G172" s="71" t="inlineStr">
        <is>
          <t>ចុចចូូលដោយប្រើប្រាស់ពាក្យសម្ងាត់</t>
        </is>
      </c>
      <c r="H172" s="71" t="inlineStr">
        <is>
          <t>ចុចចូូលដោយប្រើប្រាស់ពាក្យសម្ងាត់</t>
        </is>
      </c>
      <c r="I172" s="71" t="n"/>
      <c r="J172" s="71" t="n"/>
      <c r="K172" s="71" t="inlineStr">
        <is>
          <t>"login.title": "ចុចចូូលដោយប្រើប្រាស់ពាក្យសម្ងាត់",</t>
        </is>
      </c>
      <c r="L172" s="71" t="n"/>
      <c r="M172" s="71" t="n"/>
      <c r="N172" s="71" t="n"/>
      <c r="O172" s="71" t="n"/>
      <c r="P172" s="71" t="n"/>
      <c r="Q172" s="71" t="n"/>
      <c r="R172" s="71" t="n"/>
      <c r="S172" s="71" t="n"/>
      <c r="T172" s="71" t="n"/>
      <c r="U172" s="71" t="n"/>
      <c r="V172" s="71" t="n"/>
      <c r="W172" s="71" t="n"/>
      <c r="X172" s="71" t="n"/>
      <c r="Y172" s="71" t="n"/>
      <c r="Z172" s="53" t="n"/>
    </row>
    <row r="173">
      <c r="A173" s="48" t="inlineStr">
        <is>
          <t>login.inputUser</t>
        </is>
      </c>
      <c r="B173" s="55" t="inlineStr">
        <is>
          <t>Nhập số điện thoại hoặc email</t>
        </is>
      </c>
      <c r="C173" s="55" t="inlineStr">
        <is>
          <t>Enter mobile number or email</t>
        </is>
      </c>
      <c r="D173" s="51" t="inlineStr">
        <is>
          <t>បញ្ចូលលេខទូរស័ព្ទ ឬ អ៊ីម៉ែល</t>
        </is>
      </c>
      <c r="E173" s="51" t="inlineStr">
        <is>
          <t>បញ្ចូលលេខទូរស័ព្ទ ឬ អ៊ីម៉ែល</t>
        </is>
      </c>
      <c r="F173" s="71" t="n"/>
      <c r="G173" s="71" t="inlineStr">
        <is>
          <t>បញ្ចូលលេខទូរស័ព្ទ ឬ អ៊ីម៉ែល</t>
        </is>
      </c>
      <c r="H173" s="71" t="inlineStr">
        <is>
          <t>បញ្ចូលលេខទូរស័ព្ទ ឬ អ៊ីម៉ែល</t>
        </is>
      </c>
      <c r="I173" s="71" t="n"/>
      <c r="J173" s="71" t="n"/>
      <c r="K173" s="71" t="inlineStr">
        <is>
          <t>"login.inputUser": "បញ្ចូលលេខទូរស័ព្ទ ឬ អ៊ីម៉ែល",</t>
        </is>
      </c>
      <c r="L173" s="71" t="n"/>
      <c r="M173" s="71" t="n"/>
      <c r="N173" s="71" t="n"/>
      <c r="O173" s="71" t="n"/>
      <c r="P173" s="71" t="n"/>
      <c r="Q173" s="71" t="n"/>
      <c r="R173" s="71" t="n"/>
      <c r="S173" s="71" t="n"/>
      <c r="T173" s="71" t="n"/>
      <c r="U173" s="71" t="n"/>
      <c r="V173" s="71" t="n"/>
      <c r="W173" s="71" t="n"/>
      <c r="X173" s="71" t="n"/>
      <c r="Y173" s="71" t="n"/>
      <c r="Z173" s="53" t="n"/>
    </row>
    <row r="174">
      <c r="A174" s="48" t="inlineStr">
        <is>
          <t>login.inputPassword</t>
        </is>
      </c>
      <c r="B174" s="55" t="inlineStr">
        <is>
          <t>Nhập mật khẩu</t>
        </is>
      </c>
      <c r="C174" s="55" t="inlineStr">
        <is>
          <t>Enter password</t>
        </is>
      </c>
      <c r="D174" s="51" t="inlineStr">
        <is>
          <t>បញ្ចូលលេខសម្ងាត់</t>
        </is>
      </c>
      <c r="E174" s="51" t="inlineStr">
        <is>
          <t>បញ្ចូលពាក្យសម្ងាត់</t>
        </is>
      </c>
      <c r="F174" s="71" t="n"/>
      <c r="G174" s="71" t="inlineStr">
        <is>
          <t>បញ្ចូលពាក្យសម្ងាត់</t>
        </is>
      </c>
      <c r="H174" s="71" t="inlineStr">
        <is>
          <t>បញ្ចូលពាក្យសម្ងាត់</t>
        </is>
      </c>
      <c r="I174" s="71" t="n"/>
      <c r="J174" s="71" t="n"/>
      <c r="K174" s="71" t="inlineStr">
        <is>
          <t>"login.inputPassword": "បញ្ចូលពាក្យសម្ងាត់",</t>
        </is>
      </c>
      <c r="L174" s="71" t="n"/>
      <c r="M174" s="71" t="n"/>
      <c r="N174" s="71" t="n"/>
      <c r="O174" s="71" t="n"/>
      <c r="P174" s="71" t="n"/>
      <c r="Q174" s="71" t="n"/>
      <c r="R174" s="71" t="n"/>
      <c r="S174" s="71" t="n"/>
      <c r="T174" s="71" t="n"/>
      <c r="U174" s="71" t="n"/>
      <c r="V174" s="71" t="n"/>
      <c r="W174" s="71" t="n"/>
      <c r="X174" s="71" t="n"/>
      <c r="Y174" s="71" t="n"/>
      <c r="Z174" s="53" t="n"/>
    </row>
    <row r="175">
      <c r="A175" s="48" t="inlineStr">
        <is>
          <t>login.buttonLogin</t>
        </is>
      </c>
      <c r="B175" s="55" t="inlineStr">
        <is>
          <t>Đăng nhập</t>
        </is>
      </c>
      <c r="C175" s="55" t="inlineStr">
        <is>
          <t>Log in</t>
        </is>
      </c>
      <c r="D175" s="51" t="inlineStr">
        <is>
          <t>ចុចចូល</t>
        </is>
      </c>
      <c r="E175" s="51" t="inlineStr">
        <is>
          <t>ចុចចូូល</t>
        </is>
      </c>
      <c r="F175" s="71" t="n"/>
      <c r="G175" s="71" t="inlineStr">
        <is>
          <t>ចុចចូូល</t>
        </is>
      </c>
      <c r="H175" s="71" t="inlineStr">
        <is>
          <t>ចុចចូូល</t>
        </is>
      </c>
      <c r="I175" s="71" t="n"/>
      <c r="J175" s="71" t="n"/>
      <c r="K175" s="71" t="inlineStr">
        <is>
          <t>"login.buttonLogin": "ចុចចូូល",</t>
        </is>
      </c>
      <c r="L175" s="71" t="n"/>
      <c r="M175" s="71" t="n"/>
      <c r="N175" s="71" t="n"/>
      <c r="O175" s="71" t="n"/>
      <c r="P175" s="71" t="n"/>
      <c r="Q175" s="71" t="n"/>
      <c r="R175" s="71" t="n"/>
      <c r="S175" s="71" t="n"/>
      <c r="T175" s="71" t="n"/>
      <c r="U175" s="71" t="n"/>
      <c r="V175" s="71" t="n"/>
      <c r="W175" s="71" t="n"/>
      <c r="X175" s="71" t="n"/>
      <c r="Y175" s="71" t="n"/>
      <c r="Z175" s="53" t="n"/>
    </row>
    <row r="176">
      <c r="A176" s="48" t="inlineStr">
        <is>
          <t>login.forgotPassword</t>
        </is>
      </c>
      <c r="B176" s="55" t="inlineStr">
        <is>
          <t>Quên mật khẩu</t>
        </is>
      </c>
      <c r="C176" s="55" t="inlineStr">
        <is>
          <t>Forgot password</t>
        </is>
      </c>
      <c r="D176" s="51" t="inlineStr">
        <is>
          <t>ភ្លេចពាក្យសម្ងាត់</t>
        </is>
      </c>
      <c r="E176" s="51" t="inlineStr">
        <is>
          <t>ភ្លេចពាក្យសម្ងាត់</t>
        </is>
      </c>
      <c r="F176" s="71" t="n"/>
      <c r="G176" s="71" t="inlineStr">
        <is>
          <t>ភ្លេចពាក្យសម្ងាត់</t>
        </is>
      </c>
      <c r="H176" s="71" t="inlineStr">
        <is>
          <t>ភ្លេចពាក្យសម្ងាត់</t>
        </is>
      </c>
      <c r="I176" s="71" t="n"/>
      <c r="J176" s="71" t="n"/>
      <c r="K176" s="71" t="inlineStr">
        <is>
          <t>"login.forgotPassword": "ភ្លេចពាក្យសម្ងាត់",</t>
        </is>
      </c>
      <c r="L176" s="71" t="n"/>
      <c r="M176" s="71" t="n"/>
      <c r="N176" s="71" t="n"/>
      <c r="O176" s="71" t="n"/>
      <c r="P176" s="71" t="n"/>
      <c r="Q176" s="71" t="n"/>
      <c r="R176" s="71" t="n"/>
      <c r="S176" s="71" t="n"/>
      <c r="T176" s="71" t="n"/>
      <c r="U176" s="71" t="n"/>
      <c r="V176" s="71" t="n"/>
      <c r="W176" s="71" t="n"/>
      <c r="X176" s="71" t="n"/>
      <c r="Y176" s="71" t="n"/>
      <c r="Z176" s="53" t="n"/>
    </row>
    <row r="177">
      <c r="A177" s="48" t="inlineStr">
        <is>
          <t>login.descriptionRegister</t>
        </is>
      </c>
      <c r="B177" s="55" t="inlineStr">
        <is>
          <t>Quý khách chưa có tài khoản?</t>
        </is>
      </c>
      <c r="C177" s="55" t="inlineStr">
        <is>
          <t>New to EVTP2?</t>
        </is>
      </c>
      <c r="D177" s="51" t="inlineStr">
        <is>
          <t>អតិថិជនមិនទាន់មានគណនីមែនទេ?</t>
        </is>
      </c>
      <c r="E177" s="51" t="inlineStr">
        <is>
          <t>អតិថិជនមិនទាន់មានគណនីមែនទេ?</t>
        </is>
      </c>
      <c r="F177" s="71" t="n"/>
      <c r="G177" s="71" t="inlineStr">
        <is>
          <t>អតិថិជនមិនទាន់មានគណនីមែនទេ?</t>
        </is>
      </c>
      <c r="H177" s="71" t="inlineStr">
        <is>
          <t>អតិថិជនមិនទាន់មានគណនីមែនទេ?</t>
        </is>
      </c>
      <c r="I177" s="71" t="n"/>
      <c r="J177" s="71" t="n"/>
      <c r="K177" s="71" t="inlineStr">
        <is>
          <t>"login.descriptionRegister": "អតិថិជនមិនទាន់មានគណនីមែនទេ?",</t>
        </is>
      </c>
      <c r="L177" s="71" t="n"/>
      <c r="M177" s="71" t="n"/>
      <c r="N177" s="71" t="n"/>
      <c r="O177" s="71" t="n"/>
      <c r="P177" s="71" t="n"/>
      <c r="Q177" s="71" t="n"/>
      <c r="R177" s="71" t="n"/>
      <c r="S177" s="71" t="n"/>
      <c r="T177" s="71" t="n"/>
      <c r="U177" s="71" t="n"/>
      <c r="V177" s="71" t="n"/>
      <c r="W177" s="71" t="n"/>
      <c r="X177" s="71" t="n"/>
      <c r="Y177" s="71" t="n"/>
      <c r="Z177" s="53" t="n"/>
    </row>
    <row r="178">
      <c r="A178" s="48" t="inlineStr">
        <is>
          <t>login.register</t>
        </is>
      </c>
      <c r="B178" s="55" t="inlineStr">
        <is>
          <t>Đăng ký ngay</t>
        </is>
      </c>
      <c r="C178" s="55" t="inlineStr">
        <is>
          <t>Register now</t>
        </is>
      </c>
      <c r="D178" s="51" t="inlineStr">
        <is>
          <t>ចុះឈ្មោះអីឡូវនេះ</t>
        </is>
      </c>
      <c r="E178" s="51" t="inlineStr">
        <is>
          <t>ចុះឈ្មោះអីឡូវនេះ</t>
        </is>
      </c>
      <c r="F178" s="71" t="n"/>
      <c r="G178" s="71" t="inlineStr">
        <is>
          <t>ចុះឈ្មោះអីឡូវនេះ</t>
        </is>
      </c>
      <c r="H178" s="71" t="inlineStr">
        <is>
          <t>ចុះឈ្មោះអីឡូវនេះ</t>
        </is>
      </c>
      <c r="I178" s="71" t="n"/>
      <c r="J178" s="71" t="n"/>
      <c r="K178" s="71" t="inlineStr">
        <is>
          <t>"login.register": "ចុះឈ្មោះអីឡូវនេះ",</t>
        </is>
      </c>
      <c r="L178" s="71" t="n"/>
      <c r="M178" s="71" t="n"/>
      <c r="N178" s="71" t="n"/>
      <c r="O178" s="71" t="n"/>
      <c r="P178" s="71" t="n"/>
      <c r="Q178" s="71" t="n"/>
      <c r="R178" s="71" t="n"/>
      <c r="S178" s="71" t="n"/>
      <c r="T178" s="71" t="n"/>
      <c r="U178" s="71" t="n"/>
      <c r="V178" s="71" t="n"/>
      <c r="W178" s="71" t="n"/>
      <c r="X178" s="71" t="n"/>
      <c r="Y178" s="71" t="n"/>
      <c r="Z178" s="53" t="n"/>
    </row>
    <row r="179">
      <c r="A179" s="40" t="inlineStr">
        <is>
          <t>headerLogin.service</t>
        </is>
      </c>
      <c r="B179" s="46" t="inlineStr">
        <is>
          <t>Dịch vụ</t>
        </is>
      </c>
      <c r="C179" s="46" t="inlineStr">
        <is>
          <t>Service</t>
        </is>
      </c>
      <c r="D179" s="43" t="inlineStr">
        <is>
          <t>សេវាកម្ម</t>
        </is>
      </c>
      <c r="E179" s="43" t="inlineStr">
        <is>
          <t>សេវាកម្ម</t>
        </is>
      </c>
      <c r="F179" s="75" t="n"/>
      <c r="G179" s="75" t="inlineStr">
        <is>
          <t>សេវាកម្ម</t>
        </is>
      </c>
      <c r="H179" s="75" t="inlineStr">
        <is>
          <t>សេវាកម្ម</t>
        </is>
      </c>
      <c r="I179" s="75" t="n"/>
      <c r="J179" s="75" t="n"/>
      <c r="K179" s="75" t="inlineStr">
        <is>
          <t>"headerLogin.service": "សេវាកម្ម",</t>
        </is>
      </c>
      <c r="L179" s="75" t="n"/>
      <c r="M179" s="75" t="n"/>
      <c r="N179" s="75" t="n"/>
      <c r="O179" s="75" t="n"/>
      <c r="P179" s="75" t="n"/>
      <c r="Q179" s="75" t="n"/>
      <c r="R179" s="75" t="n"/>
      <c r="S179" s="75" t="n"/>
      <c r="T179" s="75" t="n"/>
      <c r="U179" s="75" t="n"/>
      <c r="V179" s="75" t="n"/>
      <c r="W179" s="75" t="n"/>
      <c r="X179" s="75" t="n"/>
      <c r="Y179" s="75" t="n"/>
      <c r="Z179" s="45" t="n"/>
    </row>
    <row r="180">
      <c r="A180" s="40" t="inlineStr">
        <is>
          <t>headerLogin.supportCustomer</t>
        </is>
      </c>
      <c r="B180" s="46" t="inlineStr">
        <is>
          <t>Hỗ trợ khách hàng</t>
        </is>
      </c>
      <c r="C180" s="46" t="inlineStr">
        <is>
          <t>Customer support</t>
        </is>
      </c>
      <c r="D180" s="43" t="inlineStr">
        <is>
          <t>ជំនួយដល់អតិថិជន</t>
        </is>
      </c>
      <c r="E180" s="43" t="inlineStr">
        <is>
          <t>ជំនួយដល់អតិថិជន</t>
        </is>
      </c>
      <c r="F180" s="75" t="n"/>
      <c r="G180" s="75" t="inlineStr">
        <is>
          <t>ជំនួយដល់អតិថិជន</t>
        </is>
      </c>
      <c r="H180" s="75" t="inlineStr">
        <is>
          <t>ជំនួយដល់អតិថិជន</t>
        </is>
      </c>
      <c r="I180" s="75" t="n"/>
      <c r="J180" s="75" t="n"/>
      <c r="K180" s="75" t="inlineStr">
        <is>
          <t>"headerLogin.supportCustomer": "ជំនួយដល់អតិថិជន",</t>
        </is>
      </c>
      <c r="L180" s="75" t="n"/>
      <c r="M180" s="75" t="n"/>
      <c r="N180" s="75" t="n"/>
      <c r="O180" s="75" t="n"/>
      <c r="P180" s="75" t="n"/>
      <c r="Q180" s="75" t="n"/>
      <c r="R180" s="75" t="n"/>
      <c r="S180" s="75" t="n"/>
      <c r="T180" s="75" t="n"/>
      <c r="U180" s="75" t="n"/>
      <c r="V180" s="75" t="n"/>
      <c r="W180" s="75" t="n"/>
      <c r="X180" s="75" t="n"/>
      <c r="Y180" s="75" t="n"/>
      <c r="Z180" s="45" t="n"/>
    </row>
    <row r="181">
      <c r="A181" s="40" t="inlineStr">
        <is>
          <t>register.title</t>
        </is>
      </c>
      <c r="B181" s="46" t="inlineStr">
        <is>
          <t>Tạo tài khoản mới</t>
        </is>
      </c>
      <c r="C181" s="46" t="inlineStr">
        <is>
          <t>Creater new account</t>
        </is>
      </c>
      <c r="D181" s="43" t="inlineStr">
        <is>
          <t>បង្កើតគណនីថ្មី</t>
        </is>
      </c>
      <c r="E181" s="43" t="inlineStr">
        <is>
          <t>បង្កើតគណនីថ្មី</t>
        </is>
      </c>
      <c r="F181" s="75" t="n"/>
      <c r="G181" s="75" t="inlineStr">
        <is>
          <t>បង្កើតគណនីថ្មី</t>
        </is>
      </c>
      <c r="H181" s="75" t="inlineStr">
        <is>
          <t>បង្កើតគណនីថ្មី</t>
        </is>
      </c>
      <c r="I181" s="75" t="n"/>
      <c r="J181" s="75" t="n"/>
      <c r="K181" s="75" t="inlineStr">
        <is>
          <t>"register.title": "បង្កើតគណនីថ្មី",</t>
        </is>
      </c>
      <c r="L181" s="75" t="n"/>
      <c r="M181" s="75" t="n"/>
      <c r="N181" s="75" t="n"/>
      <c r="O181" s="75" t="n"/>
      <c r="P181" s="75" t="n"/>
      <c r="Q181" s="75" t="n"/>
      <c r="R181" s="75" t="n"/>
      <c r="S181" s="75" t="n"/>
      <c r="T181" s="75" t="n"/>
      <c r="U181" s="75" t="n"/>
      <c r="V181" s="75" t="n"/>
      <c r="W181" s="75" t="n"/>
      <c r="X181" s="75" t="n"/>
      <c r="Y181" s="75" t="n"/>
      <c r="Z181" s="45" t="n"/>
    </row>
    <row r="182">
      <c r="A182" s="40" t="inlineStr">
        <is>
          <t>register.descriptionLogin</t>
        </is>
      </c>
      <c r="B182" s="46" t="inlineStr">
        <is>
          <t>Quý khách đã có tài khoản?</t>
        </is>
      </c>
      <c r="C182" s="46" t="inlineStr">
        <is>
          <t>Sign in with existing account?</t>
        </is>
      </c>
      <c r="D182" s="43" t="inlineStr">
        <is>
          <t>អតិថិជនមានគណនីរួចឬនៅ?</t>
        </is>
      </c>
      <c r="E182" s="43" t="inlineStr">
        <is>
          <t>អតិថិជនមានគណនីរួចឬនៅ?</t>
        </is>
      </c>
      <c r="F182" s="75" t="n"/>
      <c r="G182" s="75" t="inlineStr">
        <is>
          <t>អតិថិជនមានគណនីរួចឬនៅ?</t>
        </is>
      </c>
      <c r="H182" s="75" t="inlineStr">
        <is>
          <t>អតិថិជនមានគណនីរួចឬនៅ?</t>
        </is>
      </c>
      <c r="I182" s="75" t="n"/>
      <c r="J182" s="75" t="n"/>
      <c r="K182" s="75" t="inlineStr">
        <is>
          <t>"register.descriptionLogin": "អតិថិជនមានគណនីរួចឬនៅ?",</t>
        </is>
      </c>
      <c r="L182" s="75" t="n"/>
      <c r="M182" s="75" t="n"/>
      <c r="N182" s="75" t="n"/>
      <c r="O182" s="75" t="n"/>
      <c r="P182" s="75" t="n"/>
      <c r="Q182" s="75" t="n"/>
      <c r="R182" s="75" t="n"/>
      <c r="S182" s="75" t="n"/>
      <c r="T182" s="75" t="n"/>
      <c r="U182" s="75" t="n"/>
      <c r="V182" s="75" t="n"/>
      <c r="W182" s="75" t="n"/>
      <c r="X182" s="75" t="n"/>
      <c r="Y182" s="75" t="n"/>
      <c r="Z182" s="45" t="n"/>
    </row>
    <row r="183">
      <c r="A183" s="40" t="inlineStr">
        <is>
          <t>register.login</t>
        </is>
      </c>
      <c r="B183" s="46" t="inlineStr">
        <is>
          <t>Đăng nhập ngay</t>
        </is>
      </c>
      <c r="C183" s="46" t="inlineStr">
        <is>
          <t>Login now</t>
        </is>
      </c>
      <c r="D183" s="43" t="inlineStr">
        <is>
          <t>ចុចចូលអីឡូវនេះ</t>
        </is>
      </c>
      <c r="E183" s="43" t="inlineStr">
        <is>
          <t>ចុចចូលអីឡូវនេះ</t>
        </is>
      </c>
      <c r="F183" s="75" t="n"/>
      <c r="G183" s="75" t="inlineStr">
        <is>
          <t>ចុចចូលអីឡូវនេះ</t>
        </is>
      </c>
      <c r="H183" s="75" t="inlineStr">
        <is>
          <t>ចុចចូលអីឡូវនេះ</t>
        </is>
      </c>
      <c r="I183" s="75" t="n"/>
      <c r="J183" s="75" t="n"/>
      <c r="K183" s="75" t="inlineStr">
        <is>
          <t>"register.login": "ចុចចូលអីឡូវនេះ",</t>
        </is>
      </c>
      <c r="L183" s="75" t="n"/>
      <c r="M183" s="75" t="n"/>
      <c r="N183" s="75" t="n"/>
      <c r="O183" s="75" t="n"/>
      <c r="P183" s="75" t="n"/>
      <c r="Q183" s="75" t="n"/>
      <c r="R183" s="75" t="n"/>
      <c r="S183" s="75" t="n"/>
      <c r="T183" s="75" t="n"/>
      <c r="U183" s="75" t="n"/>
      <c r="V183" s="75" t="n"/>
      <c r="W183" s="75" t="n"/>
      <c r="X183" s="75" t="n"/>
      <c r="Y183" s="75" t="n"/>
      <c r="Z183" s="45" t="n"/>
    </row>
    <row r="184">
      <c r="A184" s="40" t="inlineStr">
        <is>
          <t>register.inputName</t>
        </is>
      </c>
      <c r="B184" s="46" t="inlineStr">
        <is>
          <t>Nhập họ và tên</t>
        </is>
      </c>
      <c r="C184" s="46" t="inlineStr">
        <is>
          <t>Fullname</t>
        </is>
      </c>
      <c r="D184" s="43" t="inlineStr">
        <is>
          <t>បញ្ចូលនាម ត្រកូល</t>
        </is>
      </c>
      <c r="E184" s="43" t="inlineStr">
        <is>
          <t>បញ្ចូលគោត្តនាម និងនាម</t>
        </is>
      </c>
      <c r="F184" s="75" t="n"/>
      <c r="G184" s="75" t="inlineStr">
        <is>
          <t>បញ្ចូលគោត្តនាម និងនាម</t>
        </is>
      </c>
      <c r="H184" s="75" t="inlineStr">
        <is>
          <t>បញ្ចូលគោត្តនាម និងនាម</t>
        </is>
      </c>
      <c r="I184" s="75" t="n"/>
      <c r="J184" s="75" t="n"/>
      <c r="K184" s="75" t="inlineStr">
        <is>
          <t>"register.inputName": "បញ្ចូលគោត្តនាម និងនាម",</t>
        </is>
      </c>
      <c r="L184" s="75" t="n"/>
      <c r="M184" s="75" t="n"/>
      <c r="N184" s="75" t="n"/>
      <c r="O184" s="75" t="n"/>
      <c r="P184" s="75" t="n"/>
      <c r="Q184" s="75" t="n"/>
      <c r="R184" s="75" t="n"/>
      <c r="S184" s="75" t="n"/>
      <c r="T184" s="75" t="n"/>
      <c r="U184" s="75" t="n"/>
      <c r="V184" s="75" t="n"/>
      <c r="W184" s="75" t="n"/>
      <c r="X184" s="75" t="n"/>
      <c r="Y184" s="75" t="n"/>
      <c r="Z184" s="45" t="n"/>
    </row>
    <row r="185">
      <c r="A185" s="40" t="inlineStr">
        <is>
          <t>register.inputPhoneEmail</t>
        </is>
      </c>
      <c r="B185" s="46" t="inlineStr">
        <is>
          <t>Nhập số điện thoại hoặc email</t>
        </is>
      </c>
      <c r="C185" s="46" t="inlineStr">
        <is>
          <t>Mobile number or Email</t>
        </is>
      </c>
      <c r="D185" s="43" t="inlineStr">
        <is>
          <t>បញ្ចូលលេខទូរស័ព្ទ ឬ អ៊ីម៉ែល</t>
        </is>
      </c>
      <c r="E185" s="43" t="inlineStr">
        <is>
          <t>បញ្ចូលលេខទូរស័ព្ទ ឬ អ៊ីម៉ែល</t>
        </is>
      </c>
      <c r="F185" s="75" t="n"/>
      <c r="G185" s="75" t="inlineStr">
        <is>
          <t>បញ្ចូលលេខទូរស័ព្ទ ឬ អ៊ីម៉ែល</t>
        </is>
      </c>
      <c r="H185" s="75" t="inlineStr">
        <is>
          <t>បញ្ចូលលេខទូរស័ព្ទ ឬ អ៊ីម៉ែល</t>
        </is>
      </c>
      <c r="I185" s="75" t="n"/>
      <c r="J185" s="75" t="n"/>
      <c r="K185" s="75" t="inlineStr">
        <is>
          <t>"register.inputPhoneEmail": "បញ្ចូលលេខទូរស័ព្ទ ឬ អ៊ីម៉ែល",</t>
        </is>
      </c>
      <c r="L185" s="75" t="n"/>
      <c r="M185" s="75" t="n"/>
      <c r="N185" s="75" t="n"/>
      <c r="O185" s="75" t="n"/>
      <c r="P185" s="75" t="n"/>
      <c r="Q185" s="75" t="n"/>
      <c r="R185" s="75" t="n"/>
      <c r="S185" s="75" t="n"/>
      <c r="T185" s="75" t="n"/>
      <c r="U185" s="75" t="n"/>
      <c r="V185" s="75" t="n"/>
      <c r="W185" s="75" t="n"/>
      <c r="X185" s="75" t="n"/>
      <c r="Y185" s="75" t="n"/>
      <c r="Z185" s="45" t="n"/>
    </row>
    <row r="186">
      <c r="A186" s="40" t="inlineStr">
        <is>
          <t>register.inputPassword</t>
        </is>
      </c>
      <c r="B186" s="46" t="inlineStr">
        <is>
          <t>Nhập mật khẩu</t>
        </is>
      </c>
      <c r="C186" s="46" t="inlineStr">
        <is>
          <t>Enter password</t>
        </is>
      </c>
      <c r="D186" s="43" t="inlineStr">
        <is>
          <t>បញ្ចូលលេខសម្ងាត់</t>
        </is>
      </c>
      <c r="E186" s="43" t="inlineStr">
        <is>
          <t>បញ្ចូលពាក្យសម្ងាត់</t>
        </is>
      </c>
      <c r="F186" s="75" t="n"/>
      <c r="G186" s="75" t="inlineStr">
        <is>
          <t>បញ្ចូលពាក្យសម្ងាត់</t>
        </is>
      </c>
      <c r="H186" s="75" t="inlineStr">
        <is>
          <t>បញ្ចូលពាក្យសម្ងាត់</t>
        </is>
      </c>
      <c r="I186" s="75" t="n"/>
      <c r="J186" s="75" t="n"/>
      <c r="K186" s="75" t="inlineStr">
        <is>
          <t>"register.inputPassword": "បញ្ចូលពាក្យសម្ងាត់",</t>
        </is>
      </c>
      <c r="L186" s="75" t="n"/>
      <c r="M186" s="75" t="n"/>
      <c r="N186" s="75" t="n"/>
      <c r="O186" s="75" t="n"/>
      <c r="P186" s="75" t="n"/>
      <c r="Q186" s="75" t="n"/>
      <c r="R186" s="75" t="n"/>
      <c r="S186" s="75" t="n"/>
      <c r="T186" s="75" t="n"/>
      <c r="U186" s="75" t="n"/>
      <c r="V186" s="75" t="n"/>
      <c r="W186" s="75" t="n"/>
      <c r="X186" s="75" t="n"/>
      <c r="Y186" s="75" t="n"/>
      <c r="Z186" s="45" t="n"/>
    </row>
    <row r="187">
      <c r="A187" s="40" t="inlineStr">
        <is>
          <t>register.inputPasswordConfirm</t>
        </is>
      </c>
      <c r="B187" s="46" t="inlineStr">
        <is>
          <t>Nhập lại mật khẩu</t>
        </is>
      </c>
      <c r="C187" s="46" t="inlineStr">
        <is>
          <t>Re-enter password</t>
        </is>
      </c>
      <c r="D187" s="43" t="inlineStr">
        <is>
          <t>បញ្ចូលលេខសម្ងាត់ម្តងទៀត</t>
        </is>
      </c>
      <c r="E187" s="43" t="inlineStr">
        <is>
          <t>បញ្ចូលពាក្យសម្ងាត់ម្តងទៀត</t>
        </is>
      </c>
      <c r="F187" s="75" t="n"/>
      <c r="G187" s="75" t="inlineStr">
        <is>
          <t>បញ្ចូលពាក្យសម្ងាត់ម្តងទៀត</t>
        </is>
      </c>
      <c r="H187" s="75" t="inlineStr">
        <is>
          <t>បញ្ចូលពាក្យសម្ងាត់ម្តងទៀត</t>
        </is>
      </c>
      <c r="I187" s="75" t="n"/>
      <c r="J187" s="75" t="n"/>
      <c r="K187" s="75" t="inlineStr">
        <is>
          <t>"register.inputPasswordConfirm": "បញ្ចូលពាក្យសម្ងាត់ម្តងទៀត",</t>
        </is>
      </c>
      <c r="L187" s="75" t="n"/>
      <c r="M187" s="75" t="n"/>
      <c r="N187" s="75" t="n"/>
      <c r="O187" s="75" t="n"/>
      <c r="P187" s="75" t="n"/>
      <c r="Q187" s="75" t="n"/>
      <c r="R187" s="75" t="n"/>
      <c r="S187" s="75" t="n"/>
      <c r="T187" s="75" t="n"/>
      <c r="U187" s="75" t="n"/>
      <c r="V187" s="75" t="n"/>
      <c r="W187" s="75" t="n"/>
      <c r="X187" s="75" t="n"/>
      <c r="Y187" s="75" t="n"/>
      <c r="Z187" s="45" t="n"/>
    </row>
    <row r="188">
      <c r="A188" s="40" t="inlineStr">
        <is>
          <t>register.errorConfirmPassword</t>
        </is>
      </c>
      <c r="B188" s="46" t="inlineStr">
        <is>
          <t>Mật khẩu và nhập lại mật khẩu không khớp!</t>
        </is>
      </c>
      <c r="C188" s="46" t="inlineStr">
        <is>
          <t>Password and re-entered password do not match!!</t>
        </is>
      </c>
      <c r="D188" s="75" t="n"/>
      <c r="E188" s="43" t="inlineStr">
        <is>
          <t>ពាក្យសម្ងាត់ និងពាក្យសម្ងាត់បញ្ចូលម្តងទៀតមិនត្រឹមត្រូវ!</t>
        </is>
      </c>
      <c r="F188" s="75" t="n"/>
      <c r="G188" s="75" t="inlineStr">
        <is>
          <t>ពាក្យសម្ងាត់ និងពាក្យសម្ងាត់បញ្ចូលម្តងទៀតមិនត្រឹមត្រូវ!</t>
        </is>
      </c>
      <c r="H188" s="75" t="inlineStr">
        <is>
          <t>ពាក្យសម្ងាត់ និងពាក្យសម្ងាត់បញ្ចូលម្តងទៀតមិនត្រឹមត្រូវ!</t>
        </is>
      </c>
      <c r="I188" s="75" t="n"/>
      <c r="J188" s="75" t="n"/>
      <c r="K188" s="75" t="inlineStr">
        <is>
          <t>"register.errorConfirmPassword": "ពាក្យសម្ងាត់ និងពាក្យសម្ងាត់បញ្ចូលម្តងទៀតមិនត្រឹមត្រូវ!",</t>
        </is>
      </c>
      <c r="L188" s="75" t="n"/>
      <c r="M188" s="75" t="n"/>
      <c r="N188" s="75" t="n"/>
      <c r="O188" s="75" t="n"/>
      <c r="P188" s="75" t="n"/>
      <c r="Q188" s="75" t="n"/>
      <c r="R188" s="75" t="n"/>
      <c r="S188" s="75" t="n"/>
      <c r="T188" s="75" t="n"/>
      <c r="U188" s="75" t="n"/>
      <c r="V188" s="75" t="n"/>
      <c r="W188" s="75" t="n"/>
      <c r="X188" s="75" t="n"/>
      <c r="Y188" s="75" t="n"/>
      <c r="Z188" s="45" t="n"/>
    </row>
    <row r="189">
      <c r="A189" s="40" t="inlineStr">
        <is>
          <t>register.register</t>
        </is>
      </c>
      <c r="B189" s="46" t="inlineStr">
        <is>
          <t>Đăng ký ngay</t>
        </is>
      </c>
      <c r="C189" s="46" t="inlineStr">
        <is>
          <t>Register</t>
        </is>
      </c>
      <c r="D189" s="43" t="inlineStr">
        <is>
          <t>ចុះឈ្មោះអីឡូវនេះ</t>
        </is>
      </c>
      <c r="E189" s="43" t="inlineStr">
        <is>
          <t>ចុះឈ្មោះអីឡូវនេះ</t>
        </is>
      </c>
      <c r="F189" s="75" t="n"/>
      <c r="G189" s="75" t="inlineStr">
        <is>
          <t>ចុះឈ្មោះអីឡូវនេះ</t>
        </is>
      </c>
      <c r="H189" s="75" t="inlineStr">
        <is>
          <t>ចុះឈ្មោះអីឡូវនេះ</t>
        </is>
      </c>
      <c r="I189" s="75" t="n"/>
      <c r="J189" s="75" t="n"/>
      <c r="K189" s="75" t="inlineStr">
        <is>
          <t>"register.register": "ចុះឈ្មោះអីឡូវនេះ",</t>
        </is>
      </c>
      <c r="L189" s="75" t="n"/>
      <c r="M189" s="75" t="n"/>
      <c r="N189" s="75" t="n"/>
      <c r="O189" s="75" t="n"/>
      <c r="P189" s="75" t="n"/>
      <c r="Q189" s="75" t="n"/>
      <c r="R189" s="75" t="n"/>
      <c r="S189" s="75" t="n"/>
      <c r="T189" s="75" t="n"/>
      <c r="U189" s="75" t="n"/>
      <c r="V189" s="75" t="n"/>
      <c r="W189" s="75" t="n"/>
      <c r="X189" s="75" t="n"/>
      <c r="Y189" s="75" t="n"/>
      <c r="Z189" s="45" t="n"/>
    </row>
    <row r="190">
      <c r="A190" s="40" t="inlineStr">
        <is>
          <t>register.descriptionSupport</t>
        </is>
      </c>
      <c r="B190" s="46" t="inlineStr">
        <is>
          <t>Nếu quý khách không đăng ký được thông tin tài khoản, vui lòng liên hệ Chăm sóc khách hàng của ViettelPost</t>
        </is>
      </c>
      <c r="C190" s="46" t="inlineStr">
        <is>
          <t>If you cannot register your account information, please contact ViettelPost Customer Service</t>
        </is>
      </c>
      <c r="D190" s="75" t="n"/>
      <c r="E190" s="43" t="inlineStr">
        <is>
          <t>ប្រសិនបើអតិថិជនមិនអាចចុះបញ្ជីព័ត៌មានគណនីបាន សូមទំនាក់ទំនងសេវាកម្មអតិថិជនរបស់ ViettelPost</t>
        </is>
      </c>
      <c r="F190" s="75" t="n"/>
      <c r="G190" s="75" t="inlineStr">
        <is>
          <t>ប្រសិនបើអតិថិជនមិនអាចចុះបញ្ជីព័ត៌មានគណនីបាន សូមទំនាក់ទំនងសេវាកម្មអតិថិជនរបស់ ViettelPost</t>
        </is>
      </c>
      <c r="H190" s="75" t="inlineStr">
        <is>
          <t>ប្រសិនបើអតិថិជនមិនអាចចុះបញ្ជីព័ត៌មានគណនីបាន សូមទំនាក់ទំនងសេវាកម្មអតិថិជនរបស់ ViettelPost</t>
        </is>
      </c>
      <c r="I190" s="75" t="n"/>
      <c r="J190" s="75" t="n"/>
      <c r="K190" s="75" t="inlineStr">
        <is>
          <t>"register.descriptionSupport": "ប្រសិនបើអតិថិជនមិនអាចចុះបញ្ជីព័ត៌មានគណនីបាន សូមទំនាក់ទំនងសេវាកម្មអតិថិជនរបស់ ViettelPost",</t>
        </is>
      </c>
      <c r="L190" s="75" t="n"/>
      <c r="M190" s="75" t="n"/>
      <c r="N190" s="75" t="n"/>
      <c r="O190" s="75" t="n"/>
      <c r="P190" s="75" t="n"/>
      <c r="Q190" s="75" t="n"/>
      <c r="R190" s="75" t="n"/>
      <c r="S190" s="75" t="n"/>
      <c r="T190" s="75" t="n"/>
      <c r="U190" s="75" t="n"/>
      <c r="V190" s="75" t="n"/>
      <c r="W190" s="75" t="n"/>
      <c r="X190" s="75" t="n"/>
      <c r="Y190" s="75" t="n"/>
      <c r="Z190" s="45" t="n"/>
    </row>
    <row r="191">
      <c r="A191" s="40" t="inlineStr">
        <is>
          <t>register.support</t>
        </is>
      </c>
      <c r="B191" s="46" t="inlineStr">
        <is>
          <t>để được hỗ trợ</t>
        </is>
      </c>
      <c r="C191" s="46" t="inlineStr">
        <is>
          <t>Get support</t>
        </is>
      </c>
      <c r="D191" s="75" t="n"/>
      <c r="E191" s="43" t="inlineStr">
        <is>
          <t>ដើម្បីទទួលបានជំនួយ</t>
        </is>
      </c>
      <c r="F191" s="75" t="n"/>
      <c r="G191" s="75" t="inlineStr">
        <is>
          <t>ដើម្បីទទួលបានជំនួយ</t>
        </is>
      </c>
      <c r="H191" s="75" t="inlineStr">
        <is>
          <t>ដើម្បីទទួលបានជំនួយ</t>
        </is>
      </c>
      <c r="I191" s="75" t="n"/>
      <c r="J191" s="75" t="n"/>
      <c r="K191" s="75" t="inlineStr">
        <is>
          <t>"register.support": "ដើម្បីទទួលបានជំនួយ",</t>
        </is>
      </c>
      <c r="L191" s="75" t="n"/>
      <c r="M191" s="75" t="n"/>
      <c r="N191" s="75" t="n"/>
      <c r="O191" s="75" t="n"/>
      <c r="P191" s="75" t="n"/>
      <c r="Q191" s="75" t="n"/>
      <c r="R191" s="75" t="n"/>
      <c r="S191" s="75" t="n"/>
      <c r="T191" s="75" t="n"/>
      <c r="U191" s="75" t="n"/>
      <c r="V191" s="75" t="n"/>
      <c r="W191" s="75" t="n"/>
      <c r="X191" s="75" t="n"/>
      <c r="Y191" s="75" t="n"/>
      <c r="Z191" s="45" t="n"/>
    </row>
    <row r="192">
      <c r="A192" s="40" t="inlineStr">
        <is>
          <t>register.loginSocial</t>
        </is>
      </c>
      <c r="B192" s="46" t="inlineStr">
        <is>
          <t>Hoặc đăng nhập bằng</t>
        </is>
      </c>
      <c r="C192" s="46" t="inlineStr">
        <is>
          <t>Login with</t>
        </is>
      </c>
      <c r="D192" s="43" t="inlineStr">
        <is>
          <t>ឬចុចចូលដោយ</t>
        </is>
      </c>
      <c r="E192" s="43" t="inlineStr">
        <is>
          <t>ឬចុះឈ្មោះតាមរយៈ</t>
        </is>
      </c>
      <c r="F192" s="75" t="n"/>
      <c r="G192" s="75" t="inlineStr">
        <is>
          <t>ឬចុះឈ្មោះតាមរយៈ</t>
        </is>
      </c>
      <c r="H192" s="75" t="inlineStr">
        <is>
          <t>ឬចុះឈ្មោះតាមរយៈ</t>
        </is>
      </c>
      <c r="I192" s="75" t="n"/>
      <c r="J192" s="75" t="n"/>
      <c r="K192" s="75" t="inlineStr">
        <is>
          <t>"register.loginSocial": "ឬចុះឈ្មោះតាមរយៈ",</t>
        </is>
      </c>
      <c r="L192" s="75" t="n"/>
      <c r="M192" s="75" t="n"/>
      <c r="N192" s="75" t="n"/>
      <c r="O192" s="75" t="n"/>
      <c r="P192" s="75" t="n"/>
      <c r="Q192" s="75" t="n"/>
      <c r="R192" s="75" t="n"/>
      <c r="S192" s="75" t="n"/>
      <c r="T192" s="75" t="n"/>
      <c r="U192" s="75" t="n"/>
      <c r="V192" s="75" t="n"/>
      <c r="W192" s="75" t="n"/>
      <c r="X192" s="75" t="n"/>
      <c r="Y192" s="75" t="n"/>
      <c r="Z192" s="45" t="n"/>
    </row>
    <row r="193">
      <c r="A193" s="40" t="inlineStr">
        <is>
          <t>register.policy_1</t>
        </is>
      </c>
      <c r="B193" s="46" t="inlineStr">
        <is>
          <t>Khi nhấn Đăng ký, bạn đã đồng ý thực hiện mọi giao dịch mua bán theo</t>
        </is>
      </c>
      <c r="C193" s="46" t="inlineStr">
        <is>
          <t>When you click Register, you agree to carry out all purchases and sale transactions according to</t>
        </is>
      </c>
      <c r="D193" s="75" t="n"/>
      <c r="E193" s="43" t="inlineStr">
        <is>
          <t>ពេលអ្នកចុច ចុះឈ្មោះ អ្នកបានយល់ព្រមអនុវត្តន៍រាល់ប្រតិបត្តការទិញលក់តាម</t>
        </is>
      </c>
      <c r="F193" s="75" t="n"/>
      <c r="G193" s="75" t="inlineStr">
        <is>
          <t>ពេលអ្នកចុច ចុះឈ្មោះ អ្នកបានយល់ព្រមអនុវត្តន៍រាល់ប្រតិបត្តការទិញលក់តាម</t>
        </is>
      </c>
      <c r="H193" s="75" t="inlineStr">
        <is>
          <t>ពេលអ្នកចុច ចុះឈ្មោះ អ្នកបានយល់ព្រមអនុវត្តន៍រាល់ប្រតិបត្តការទិញលក់តាម</t>
        </is>
      </c>
      <c r="I193" s="75" t="n"/>
      <c r="J193" s="75" t="n"/>
      <c r="K193" s="75" t="inlineStr">
        <is>
          <t>"register.policy_1": "ពេលអ្នកចុច ចុះឈ្មោះ អ្នកបានយល់ព្រមអនុវត្តន៍រាល់ប្រតិបត្តការទិញលក់តាម",</t>
        </is>
      </c>
      <c r="L193" s="75" t="n"/>
      <c r="M193" s="75" t="n"/>
      <c r="N193" s="75" t="n"/>
      <c r="O193" s="75" t="n"/>
      <c r="P193" s="75" t="n"/>
      <c r="Q193" s="75" t="n"/>
      <c r="R193" s="75" t="n"/>
      <c r="S193" s="75" t="n"/>
      <c r="T193" s="75" t="n"/>
      <c r="U193" s="75" t="n"/>
      <c r="V193" s="75" t="n"/>
      <c r="W193" s="75" t="n"/>
      <c r="X193" s="75" t="n"/>
      <c r="Y193" s="75" t="n"/>
      <c r="Z193" s="45" t="n"/>
    </row>
    <row r="194">
      <c r="A194" s="40" t="inlineStr">
        <is>
          <t>register.policy_2</t>
        </is>
      </c>
      <c r="B194" s="46" t="inlineStr">
        <is>
          <t>Điều kiện sử dụng &amp; Chính sách</t>
        </is>
      </c>
      <c r="C194" s="46" t="inlineStr">
        <is>
          <t>Viettel Post's Term of Use &amp; Policies</t>
        </is>
      </c>
      <c r="D194" s="75" t="n"/>
      <c r="E194" s="43" t="inlineStr">
        <is>
          <t>លក្ខខណ្ឌការប្រើប្រាស់ និង នយោបាយ</t>
        </is>
      </c>
      <c r="F194" s="75" t="n"/>
      <c r="G194" s="75" t="inlineStr">
        <is>
          <t>លក្ខខណ្ឌការប្រើប្រាស់ និង នយោបាយ</t>
        </is>
      </c>
      <c r="H194" s="75" t="inlineStr">
        <is>
          <t>លក្ខខណ្ឌការប្រើប្រាស់ និង នយោបាយ</t>
        </is>
      </c>
      <c r="I194" s="75" t="n"/>
      <c r="J194" s="75" t="n"/>
      <c r="K194" s="75" t="inlineStr">
        <is>
          <t>"register.policy_2": "លក្ខខណ្ឌការប្រើប្រាស់ និង នយោបាយ",</t>
        </is>
      </c>
      <c r="L194" s="75" t="n"/>
      <c r="M194" s="75" t="n"/>
      <c r="N194" s="75" t="n"/>
      <c r="O194" s="75" t="n"/>
      <c r="P194" s="75" t="n"/>
      <c r="Q194" s="75" t="n"/>
      <c r="R194" s="75" t="n"/>
      <c r="S194" s="75" t="n"/>
      <c r="T194" s="75" t="n"/>
      <c r="U194" s="75" t="n"/>
      <c r="V194" s="75" t="n"/>
      <c r="W194" s="75" t="n"/>
      <c r="X194" s="75" t="n"/>
      <c r="Y194" s="75" t="n"/>
      <c r="Z194" s="45" t="n"/>
    </row>
    <row r="195">
      <c r="A195" s="40" t="inlineStr">
        <is>
          <t>register.policy_3</t>
        </is>
      </c>
      <c r="B195" s="46" t="inlineStr">
        <is>
          <t>của bưu chính Viettel.</t>
        </is>
      </c>
      <c r="C195" s="75" t="n"/>
      <c r="D195" s="75" t="n"/>
      <c r="E195" s="75" t="n"/>
      <c r="F195" s="75" t="n"/>
      <c r="G195" s="75" t="inlineStr">
        <is>
          <t>របស់ប្រៃសណីយ៍ Metfone Express.</t>
        </is>
      </c>
      <c r="H195" s="75" t="inlineStr">
        <is>
          <t>របស់ប្រៃសណីយ៍ Metfone Express.</t>
        </is>
      </c>
      <c r="I195" s="75" t="n"/>
      <c r="J195" s="75" t="n"/>
      <c r="K195" s="75" t="inlineStr">
        <is>
          <t>"register.policy_3": "របស់ប្រៃសណីយ៍ Metfone Express.",</t>
        </is>
      </c>
      <c r="L195" s="75" t="n"/>
      <c r="M195" s="75" t="n"/>
      <c r="N195" s="75" t="n"/>
      <c r="O195" s="75" t="n"/>
      <c r="P195" s="75" t="n"/>
      <c r="Q195" s="75" t="n"/>
      <c r="R195" s="75" t="n"/>
      <c r="S195" s="75" t="n"/>
      <c r="T195" s="75" t="n"/>
      <c r="U195" s="75" t="n"/>
      <c r="V195" s="75" t="n"/>
      <c r="W195" s="75" t="n"/>
      <c r="X195" s="75" t="n"/>
      <c r="Y195" s="75" t="n"/>
      <c r="Z195" s="45" t="n"/>
    </row>
    <row r="196">
      <c r="A196" s="40" t="inlineStr">
        <is>
          <t>OTP.title</t>
        </is>
      </c>
      <c r="B196" s="46" t="inlineStr">
        <is>
          <t>Xác thực OTP</t>
        </is>
      </c>
      <c r="C196" s="46" t="inlineStr">
        <is>
          <t>OTP verification</t>
        </is>
      </c>
      <c r="D196" s="43" t="inlineStr">
        <is>
          <t>ផ្ទៀងផ្ទាត់ OTP</t>
        </is>
      </c>
      <c r="E196" s="43" t="inlineStr">
        <is>
          <t>ផ្ទៀងផ្ទាត់ OTP</t>
        </is>
      </c>
      <c r="F196" s="75" t="n"/>
      <c r="G196" s="75" t="inlineStr">
        <is>
          <t>ផ្ទៀងផ្ទាត់ OTP</t>
        </is>
      </c>
      <c r="H196" s="75" t="inlineStr">
        <is>
          <t>ផ្ទៀងផ្ទាត់ OTP</t>
        </is>
      </c>
      <c r="I196" s="75" t="n"/>
      <c r="J196" s="75" t="n"/>
      <c r="K196" s="75" t="inlineStr">
        <is>
          <t>"OTP.title": "ផ្ទៀងផ្ទាត់ OTP",</t>
        </is>
      </c>
      <c r="L196" s="75" t="n"/>
      <c r="M196" s="75" t="n"/>
      <c r="N196" s="75" t="n"/>
      <c r="O196" s="75" t="n"/>
      <c r="P196" s="75" t="n"/>
      <c r="Q196" s="75" t="n"/>
      <c r="R196" s="75" t="n"/>
      <c r="S196" s="75" t="n"/>
      <c r="T196" s="75" t="n"/>
      <c r="U196" s="75" t="n"/>
      <c r="V196" s="75" t="n"/>
      <c r="W196" s="75" t="n"/>
      <c r="X196" s="75" t="n"/>
      <c r="Y196" s="75" t="n"/>
      <c r="Z196" s="45" t="n"/>
    </row>
    <row r="197">
      <c r="A197" s="40" t="inlineStr">
        <is>
          <t>OTP.sendOtpToEmail</t>
        </is>
      </c>
      <c r="B197" s="46" t="inlineStr">
        <is>
          <t>Nhập OTP vừa được gửi tới email</t>
        </is>
      </c>
      <c r="C197" s="46" t="inlineStr">
        <is>
          <t>Enter the received OTP code from email</t>
        </is>
      </c>
      <c r="D197" s="75" t="n"/>
      <c r="E197" s="43" t="inlineStr">
        <is>
          <t>បញ្ចូលលេខ OTP ដែលបានផ្ញើទៅអ៊ីមែល</t>
        </is>
      </c>
      <c r="F197" s="75" t="n"/>
      <c r="G197" s="75" t="inlineStr">
        <is>
          <t>បញ្ចូលលេខ OTP ដែលបានផ្ញើទៅអ៊ីមែល</t>
        </is>
      </c>
      <c r="H197" s="75" t="inlineStr">
        <is>
          <t>បញ្ចូលលេខ OTP ដែលបានផ្ញើទៅអ៊ីមែល</t>
        </is>
      </c>
      <c r="I197" s="75" t="n"/>
      <c r="J197" s="75" t="n"/>
      <c r="K197" s="75" t="inlineStr">
        <is>
          <t>"OTP.sendOtpToEmail": "បញ្ចូលលេខ OTP ដែលបានផ្ញើទៅអ៊ីមែល",</t>
        </is>
      </c>
      <c r="L197" s="75" t="n"/>
      <c r="M197" s="75" t="n"/>
      <c r="N197" s="75" t="n"/>
      <c r="O197" s="75" t="n"/>
      <c r="P197" s="75" t="n"/>
      <c r="Q197" s="75" t="n"/>
      <c r="R197" s="75" t="n"/>
      <c r="S197" s="75" t="n"/>
      <c r="T197" s="75" t="n"/>
      <c r="U197" s="75" t="n"/>
      <c r="V197" s="75" t="n"/>
      <c r="W197" s="75" t="n"/>
      <c r="X197" s="75" t="n"/>
      <c r="Y197" s="75" t="n"/>
      <c r="Z197" s="45" t="n"/>
    </row>
    <row r="198">
      <c r="A198" s="40" t="inlineStr">
        <is>
          <t>OTP.send</t>
        </is>
      </c>
      <c r="B198" s="46" t="inlineStr">
        <is>
          <t>Gửi</t>
        </is>
      </c>
      <c r="C198" s="46" t="inlineStr">
        <is>
          <t>Send</t>
        </is>
      </c>
      <c r="D198" s="43" t="inlineStr">
        <is>
          <t>ផ្ញើ</t>
        </is>
      </c>
      <c r="E198" s="75" t="n"/>
      <c r="F198" s="75" t="n"/>
      <c r="G198" s="75" t="inlineStr">
        <is>
          <t>ផ្ញើ</t>
        </is>
      </c>
      <c r="H198" s="75" t="inlineStr">
        <is>
          <t>ផ្ញើ</t>
        </is>
      </c>
      <c r="I198" s="75" t="n"/>
      <c r="J198" s="75" t="n"/>
      <c r="K198" s="75" t="inlineStr">
        <is>
          <t>"OTP.send": "ផ្ញើ",</t>
        </is>
      </c>
      <c r="L198" s="75" t="n"/>
      <c r="M198" s="75" t="n"/>
      <c r="N198" s="75" t="n"/>
      <c r="O198" s="75" t="n"/>
      <c r="P198" s="75" t="n"/>
      <c r="Q198" s="75" t="n"/>
      <c r="R198" s="75" t="n"/>
      <c r="S198" s="75" t="n"/>
      <c r="T198" s="75" t="n"/>
      <c r="U198" s="75" t="n"/>
      <c r="V198" s="75" t="n"/>
      <c r="W198" s="75" t="n"/>
      <c r="X198" s="75" t="n"/>
      <c r="Y198" s="75" t="n"/>
      <c r="Z198" s="45" t="n"/>
    </row>
    <row r="199">
      <c r="A199" s="40" t="inlineStr">
        <is>
          <t>OTP.supportOtp</t>
        </is>
      </c>
      <c r="B199" s="46" t="inlineStr">
        <is>
          <t>Quý khách chưa nhận được OTP?</t>
        </is>
      </c>
      <c r="C199" s="46" t="inlineStr">
        <is>
          <t>Can't recceive OTP code?</t>
        </is>
      </c>
      <c r="D199" s="43" t="inlineStr">
        <is>
          <t>អតិថិជនមិនទាន់បាន OTPមែនទេ?</t>
        </is>
      </c>
      <c r="E199" s="75" t="n"/>
      <c r="F199" s="75" t="n"/>
      <c r="G199" s="75" t="inlineStr">
        <is>
          <t>អតិថិជនមិនទាន់បាន OTPមែនទេ?</t>
        </is>
      </c>
      <c r="H199" s="75" t="inlineStr">
        <is>
          <t>អតិថិជនមិនទាន់បាន OTPមែនទេ?</t>
        </is>
      </c>
      <c r="I199" s="75" t="n"/>
      <c r="J199" s="75" t="n"/>
      <c r="K199" s="75" t="inlineStr">
        <is>
          <t>"OTP.supportOtp": "អតិថិជនមិនទាន់បាន OTPមែនទេ?",</t>
        </is>
      </c>
      <c r="L199" s="75" t="n"/>
      <c r="M199" s="75" t="n"/>
      <c r="N199" s="75" t="n"/>
      <c r="O199" s="75" t="n"/>
      <c r="P199" s="75" t="n"/>
      <c r="Q199" s="75" t="n"/>
      <c r="R199" s="75" t="n"/>
      <c r="S199" s="75" t="n"/>
      <c r="T199" s="75" t="n"/>
      <c r="U199" s="75" t="n"/>
      <c r="V199" s="75" t="n"/>
      <c r="W199" s="75" t="n"/>
      <c r="X199" s="75" t="n"/>
      <c r="Y199" s="75" t="n"/>
      <c r="Z199" s="45" t="n"/>
    </row>
    <row r="200">
      <c r="A200" s="40" t="inlineStr">
        <is>
          <t>OTP.resend</t>
        </is>
      </c>
      <c r="B200" s="46" t="inlineStr">
        <is>
          <t>Gửi lại</t>
        </is>
      </c>
      <c r="C200" s="46" t="inlineStr">
        <is>
          <t>Resend</t>
        </is>
      </c>
      <c r="D200" s="43" t="inlineStr">
        <is>
          <t>ផ្ញើម្តងទៀត</t>
        </is>
      </c>
      <c r="E200" s="75" t="n"/>
      <c r="F200" s="75" t="n"/>
      <c r="G200" s="75" t="inlineStr">
        <is>
          <t>ផ្ញើម្តងទៀត</t>
        </is>
      </c>
      <c r="H200" s="75" t="inlineStr">
        <is>
          <t>ផ្ញើម្តងទៀត</t>
        </is>
      </c>
      <c r="I200" s="75" t="n"/>
      <c r="J200" s="75" t="n"/>
      <c r="K200" s="75" t="inlineStr">
        <is>
          <t>"OTP.resend": "ផ្ញើម្តងទៀត",</t>
        </is>
      </c>
      <c r="L200" s="75" t="n"/>
      <c r="M200" s="75" t="n"/>
      <c r="N200" s="75" t="n"/>
      <c r="O200" s="75" t="n"/>
      <c r="P200" s="75" t="n"/>
      <c r="Q200" s="75" t="n"/>
      <c r="R200" s="75" t="n"/>
      <c r="S200" s="75" t="n"/>
      <c r="T200" s="75" t="n"/>
      <c r="U200" s="75" t="n"/>
      <c r="V200" s="75" t="n"/>
      <c r="W200" s="75" t="n"/>
      <c r="X200" s="75" t="n"/>
      <c r="Y200" s="75" t="n"/>
      <c r="Z200" s="45" t="n"/>
    </row>
    <row r="201">
      <c r="A201" s="48" t="inlineStr">
        <is>
          <t>delivery.customer.search.placeholder</t>
        </is>
      </c>
      <c r="B201" s="55" t="inlineStr">
        <is>
          <t>Nhập số điện thoại hoặc email để tìm kiếm</t>
        </is>
      </c>
      <c r="C201" s="55" t="inlineStr">
        <is>
          <t>Enter phone number or email to search</t>
        </is>
      </c>
      <c r="D201" s="51" t="inlineStr">
        <is>
          <t>បញ្ចូលលេខទូរស័ព្ទ ឬ អ៊ីម៉ែលដើម្បីស្វែងរក</t>
        </is>
      </c>
      <c r="E201" s="71" t="n"/>
      <c r="F201" s="71" t="n"/>
      <c r="G201" s="71" t="inlineStr">
        <is>
          <t>បញ្ចូលលេខទូរស័ព្ទ ឬ អ៊ីម៉ែលដើម្បីស្វែងរក</t>
        </is>
      </c>
      <c r="H201" s="71" t="inlineStr">
        <is>
          <t>បញ្ចូលលេខទូរស័ព្ទ ឬ អ៊ីម៉ែលដើម្បីស្វែងរក</t>
        </is>
      </c>
      <c r="I201" s="71" t="n"/>
      <c r="J201" s="71" t="n"/>
      <c r="K201" s="71" t="inlineStr">
        <is>
          <t>"delivery.customer.search.placeholder": "បញ្ចូលលេខទូរស័ព្ទ ឬ អ៊ីម៉ែលដើម្បីស្វែងរក",</t>
        </is>
      </c>
      <c r="L201" s="71" t="n"/>
      <c r="M201" s="71" t="n"/>
      <c r="N201" s="71" t="n"/>
      <c r="O201" s="71" t="n"/>
      <c r="P201" s="71" t="n"/>
      <c r="Q201" s="71" t="n"/>
      <c r="R201" s="71" t="n"/>
      <c r="S201" s="71" t="n"/>
      <c r="T201" s="71" t="n"/>
      <c r="U201" s="71" t="n"/>
      <c r="V201" s="71" t="n"/>
      <c r="W201" s="71" t="n"/>
      <c r="X201" s="71" t="n"/>
      <c r="Y201" s="71" t="n"/>
      <c r="Z201" s="53" t="n"/>
    </row>
    <row r="202">
      <c r="A202" s="54" t="inlineStr">
        <is>
          <t>delivery.customer.table.name</t>
        </is>
      </c>
      <c r="B202" s="55" t="inlineStr">
        <is>
          <t>Tên khách hàng</t>
        </is>
      </c>
      <c r="C202" s="55" t="inlineStr">
        <is>
          <t>Customer name</t>
        </is>
      </c>
      <c r="D202" s="51" t="inlineStr">
        <is>
          <t>ឈ្មោះអតិថិជន</t>
        </is>
      </c>
      <c r="E202" s="71" t="n"/>
      <c r="F202" s="71" t="n"/>
      <c r="G202" s="71" t="inlineStr">
        <is>
          <t>ឈ្មោះអតិថិជន</t>
        </is>
      </c>
      <c r="H202" s="71" t="inlineStr">
        <is>
          <t>ឈ្មោះអតិថិជន</t>
        </is>
      </c>
      <c r="I202" s="71" t="n"/>
      <c r="J202" s="71" t="n"/>
      <c r="K202" s="71" t="inlineStr">
        <is>
          <t>"delivery.customer.table.name": "ឈ្មោះអតិថិជន",</t>
        </is>
      </c>
      <c r="L202" s="71" t="n"/>
      <c r="M202" s="71" t="n"/>
      <c r="N202" s="71" t="n"/>
      <c r="O202" s="71" t="n"/>
      <c r="P202" s="71" t="n"/>
      <c r="Q202" s="71" t="n"/>
      <c r="R202" s="71" t="n"/>
      <c r="S202" s="71" t="n"/>
      <c r="T202" s="71" t="n"/>
      <c r="U202" s="71" t="n"/>
      <c r="V202" s="71" t="n"/>
      <c r="W202" s="71" t="n"/>
      <c r="X202" s="71" t="n"/>
      <c r="Y202" s="71" t="n"/>
      <c r="Z202" s="53" t="n"/>
    </row>
    <row r="203">
      <c r="A203" s="48" t="inlineStr">
        <is>
          <t>delivery.customer.table.phone</t>
        </is>
      </c>
      <c r="B203" s="55" t="inlineStr">
        <is>
          <t>Số điện thoại</t>
        </is>
      </c>
      <c r="C203" s="55" t="inlineStr">
        <is>
          <t>Mobile number</t>
        </is>
      </c>
      <c r="D203" s="51" t="inlineStr">
        <is>
          <t>លេខទូរស័ព្ទ</t>
        </is>
      </c>
      <c r="E203" s="71" t="n"/>
      <c r="F203" s="71" t="n"/>
      <c r="G203" s="71" t="inlineStr">
        <is>
          <t>លេខទូរស័ព្ទ</t>
        </is>
      </c>
      <c r="H203" s="71" t="inlineStr">
        <is>
          <t>លេខទូរស័ព្ទ</t>
        </is>
      </c>
      <c r="I203" s="71" t="n"/>
      <c r="J203" s="71" t="n"/>
      <c r="K203" s="71" t="inlineStr">
        <is>
          <t>"delivery.customer.table.phone": "លេខទូរស័ព្ទ",</t>
        </is>
      </c>
      <c r="L203" s="71" t="n"/>
      <c r="M203" s="71" t="n"/>
      <c r="N203" s="71" t="n"/>
      <c r="O203" s="71" t="n"/>
      <c r="P203" s="71" t="n"/>
      <c r="Q203" s="71" t="n"/>
      <c r="R203" s="71" t="n"/>
      <c r="S203" s="71" t="n"/>
      <c r="T203" s="71" t="n"/>
      <c r="U203" s="71" t="n"/>
      <c r="V203" s="71" t="n"/>
      <c r="W203" s="71" t="n"/>
      <c r="X203" s="71" t="n"/>
      <c r="Y203" s="71" t="n"/>
      <c r="Z203" s="53" t="n"/>
    </row>
    <row r="204">
      <c r="A204" s="48" t="inlineStr">
        <is>
          <t>delivery.customer.table.email</t>
        </is>
      </c>
      <c r="B204" s="55" t="inlineStr">
        <is>
          <t>Email</t>
        </is>
      </c>
      <c r="C204" s="55" t="inlineStr">
        <is>
          <t>Email</t>
        </is>
      </c>
      <c r="D204" s="51" t="inlineStr">
        <is>
          <t>អ៊ីម៉ែល</t>
        </is>
      </c>
      <c r="E204" s="71" t="n"/>
      <c r="F204" s="71" t="n"/>
      <c r="G204" s="71" t="inlineStr">
        <is>
          <t>អ៊ីម៉ែល</t>
        </is>
      </c>
      <c r="H204" s="71" t="inlineStr">
        <is>
          <t>អ៊ីម៉ែល</t>
        </is>
      </c>
      <c r="I204" s="71" t="n"/>
      <c r="J204" s="71" t="n"/>
      <c r="K204" s="71" t="inlineStr">
        <is>
          <t>"delivery.customer.table.email": "អ៊ីម៉ែល",</t>
        </is>
      </c>
      <c r="L204" s="71" t="n"/>
      <c r="M204" s="71" t="n"/>
      <c r="N204" s="71" t="n"/>
      <c r="O204" s="71" t="n"/>
      <c r="P204" s="71" t="n"/>
      <c r="Q204" s="71" t="n"/>
      <c r="R204" s="71" t="n"/>
      <c r="S204" s="71" t="n"/>
      <c r="T204" s="71" t="n"/>
      <c r="U204" s="71" t="n"/>
      <c r="V204" s="71" t="n"/>
      <c r="W204" s="71" t="n"/>
      <c r="X204" s="71" t="n"/>
      <c r="Y204" s="71" t="n"/>
      <c r="Z204" s="53" t="n"/>
    </row>
    <row r="205">
      <c r="A205" s="48" t="inlineStr">
        <is>
          <t>delivery.customer.table.address</t>
        </is>
      </c>
      <c r="B205" s="55" t="inlineStr">
        <is>
          <t>Địa chỉ</t>
        </is>
      </c>
      <c r="C205" s="55" t="inlineStr">
        <is>
          <t>Address</t>
        </is>
      </c>
      <c r="D205" s="51" t="inlineStr">
        <is>
          <t>អាស័យដ្ឋាន</t>
        </is>
      </c>
      <c r="E205" s="71" t="n"/>
      <c r="F205" s="71" t="n"/>
      <c r="G205" s="71" t="inlineStr">
        <is>
          <t>អាសយដ្ឋាន</t>
        </is>
      </c>
      <c r="H205" s="71" t="inlineStr">
        <is>
          <t>អាសយដ្ឋាន</t>
        </is>
      </c>
      <c r="I205" s="71" t="n"/>
      <c r="J205" s="71" t="n"/>
      <c r="K205" s="71" t="inlineStr">
        <is>
          <t>"delivery.customer.table.address": "អាសយដ្ឋាន",</t>
        </is>
      </c>
      <c r="L205" s="71" t="n"/>
      <c r="M205" s="71" t="n"/>
      <c r="N205" s="71" t="n"/>
      <c r="O205" s="71" t="n"/>
      <c r="P205" s="71" t="n"/>
      <c r="Q205" s="71" t="n"/>
      <c r="R205" s="71" t="n"/>
      <c r="S205" s="71" t="n"/>
      <c r="T205" s="71" t="n"/>
      <c r="U205" s="71" t="n"/>
      <c r="V205" s="71" t="n"/>
      <c r="W205" s="71" t="n"/>
      <c r="X205" s="71" t="n"/>
      <c r="Y205" s="71" t="n"/>
      <c r="Z205" s="53" t="n"/>
    </row>
    <row r="206">
      <c r="A206" s="48" t="inlineStr">
        <is>
          <t>delivery.warehouse.search.tabName</t>
        </is>
      </c>
      <c r="B206" s="55" t="inlineStr">
        <is>
          <t>Thông tin kho</t>
        </is>
      </c>
      <c r="C206" s="55" t="inlineStr">
        <is>
          <t>Warehouse infomation</t>
        </is>
      </c>
      <c r="D206" s="51" t="inlineStr">
        <is>
          <t>ព័ត៌មានឃ្លាំង</t>
        </is>
      </c>
      <c r="E206" s="71" t="n"/>
      <c r="F206" s="71" t="n"/>
      <c r="G206" s="71" t="inlineStr">
        <is>
          <t>ព័ត៌មានឃ្លាំង</t>
        </is>
      </c>
      <c r="H206" s="71" t="inlineStr">
        <is>
          <t>ព័ត៌មានឃ្លាំង</t>
        </is>
      </c>
      <c r="I206" s="71" t="n"/>
      <c r="J206" s="71" t="n"/>
      <c r="K206" s="71" t="inlineStr">
        <is>
          <t>"delivery.warehouse.search.tabName": "ព័ត៌មានឃ្លាំង",</t>
        </is>
      </c>
      <c r="L206" s="71" t="n"/>
      <c r="M206" s="71" t="n"/>
      <c r="N206" s="71" t="n"/>
      <c r="O206" s="71" t="n"/>
      <c r="P206" s="71" t="n"/>
      <c r="Q206" s="71" t="n"/>
      <c r="R206" s="71" t="n"/>
      <c r="S206" s="71" t="n"/>
      <c r="T206" s="71" t="n"/>
      <c r="U206" s="71" t="n"/>
      <c r="V206" s="71" t="n"/>
      <c r="W206" s="71" t="n"/>
      <c r="X206" s="71" t="n"/>
      <c r="Y206" s="71" t="n"/>
      <c r="Z206" s="53" t="n"/>
    </row>
    <row r="207">
      <c r="A207" s="48" t="inlineStr">
        <is>
          <t>delivery.warehouse.search.placeholder</t>
        </is>
      </c>
      <c r="B207" s="55" t="inlineStr">
        <is>
          <t>Nhập mã kho hoặc số điện thoại để tìm kiếm</t>
        </is>
      </c>
      <c r="C207" s="55" t="inlineStr">
        <is>
          <t>Enter warehouse code or mobile number</t>
        </is>
      </c>
      <c r="D207" s="51" t="inlineStr">
        <is>
          <t>បញ្ចូលលេខកូដឃ្លាំងឬលេខទូរស័ព្ទដើម្បីស្វែងរក</t>
        </is>
      </c>
      <c r="E207" s="71" t="n"/>
      <c r="F207" s="71" t="n"/>
      <c r="G207" s="71" t="inlineStr">
        <is>
          <t>បញ្ចូលលេខកូដឃ្លាំងឬលេខទូរស័ព្ទដើម្បីស្វែងរក</t>
        </is>
      </c>
      <c r="H207" s="71" t="inlineStr">
        <is>
          <t>បញ្ចូលលេខកូដឃ្លាំងឬលេខទូរស័ព្ទដើម្បីស្វែងរក</t>
        </is>
      </c>
      <c r="I207" s="71" t="n"/>
      <c r="J207" s="71" t="n"/>
      <c r="K207" s="71" t="inlineStr">
        <is>
          <t>"delivery.warehouse.search.placeholder": "បញ្ចូលលេខកូដឃ្លាំងឬលេខទូរស័ព្ទដើម្បីស្វែងរក",</t>
        </is>
      </c>
      <c r="L207" s="71" t="n"/>
      <c r="M207" s="71" t="n"/>
      <c r="N207" s="71" t="n"/>
      <c r="O207" s="71" t="n"/>
      <c r="P207" s="71" t="n"/>
      <c r="Q207" s="71" t="n"/>
      <c r="R207" s="71" t="n"/>
      <c r="S207" s="71" t="n"/>
      <c r="T207" s="71" t="n"/>
      <c r="U207" s="71" t="n"/>
      <c r="V207" s="71" t="n"/>
      <c r="W207" s="71" t="n"/>
      <c r="X207" s="71" t="n"/>
      <c r="Y207" s="71" t="n"/>
      <c r="Z207" s="53" t="n"/>
    </row>
    <row r="208">
      <c r="A208" s="54" t="inlineStr">
        <is>
          <t>delivery.warehouse.table.id</t>
        </is>
      </c>
      <c r="B208" s="55" t="inlineStr">
        <is>
          <t>ID kho</t>
        </is>
      </c>
      <c r="C208" s="55" t="inlineStr">
        <is>
          <t>ID Warehouse</t>
        </is>
      </c>
      <c r="D208" s="55" t="inlineStr">
        <is>
          <t>ID ឃ្លាំង</t>
        </is>
      </c>
      <c r="E208" s="71" t="n"/>
      <c r="F208" s="71" t="n"/>
      <c r="G208" s="71" t="inlineStr">
        <is>
          <t>ID ឃ្លាំង</t>
        </is>
      </c>
      <c r="H208" s="71" t="inlineStr">
        <is>
          <t>ID ឃ្លាំង</t>
        </is>
      </c>
      <c r="I208" s="71" t="n"/>
      <c r="J208" s="71" t="n"/>
      <c r="K208" s="71" t="inlineStr">
        <is>
          <t>"delivery.warehouse.table.id": "ID ឃ្លាំង",</t>
        </is>
      </c>
      <c r="L208" s="71" t="n"/>
      <c r="M208" s="71" t="n"/>
      <c r="N208" s="71" t="n"/>
      <c r="O208" s="71" t="n"/>
      <c r="P208" s="71" t="n"/>
      <c r="Q208" s="71" t="n"/>
      <c r="R208" s="71" t="n"/>
      <c r="S208" s="71" t="n"/>
      <c r="T208" s="71" t="n"/>
      <c r="U208" s="71" t="n"/>
      <c r="V208" s="71" t="n"/>
      <c r="W208" s="71" t="n"/>
      <c r="X208" s="71" t="n"/>
      <c r="Y208" s="71" t="n"/>
      <c r="Z208" s="53" t="n"/>
    </row>
    <row r="209">
      <c r="A209" s="54" t="inlineStr">
        <is>
          <t>delivery.warehouse.table.name</t>
        </is>
      </c>
      <c r="B209" s="55" t="inlineStr">
        <is>
          <t>Tên kho</t>
        </is>
      </c>
      <c r="C209" s="55" t="inlineStr">
        <is>
          <t>Warehouse name</t>
        </is>
      </c>
      <c r="D209" s="51" t="inlineStr">
        <is>
          <t>ឈ្មោះឃ្លាំង</t>
        </is>
      </c>
      <c r="E209" s="71" t="n"/>
      <c r="F209" s="71" t="n"/>
      <c r="G209" s="71" t="inlineStr">
        <is>
          <t>ឈ្មោះឃ្លាំង</t>
        </is>
      </c>
      <c r="H209" s="71" t="inlineStr">
        <is>
          <t>ឈ្មោះឃ្លាំង</t>
        </is>
      </c>
      <c r="I209" s="71" t="n"/>
      <c r="J209" s="71" t="n"/>
      <c r="K209" s="71" t="inlineStr">
        <is>
          <t>"delivery.warehouse.table.name": "ឈ្មោះឃ្លាំង",</t>
        </is>
      </c>
      <c r="L209" s="71" t="n"/>
      <c r="M209" s="71" t="n"/>
      <c r="N209" s="71" t="n"/>
      <c r="O209" s="71" t="n"/>
      <c r="P209" s="71" t="n"/>
      <c r="Q209" s="71" t="n"/>
      <c r="R209" s="71" t="n"/>
      <c r="S209" s="71" t="n"/>
      <c r="T209" s="71" t="n"/>
      <c r="U209" s="71" t="n"/>
      <c r="V209" s="71" t="n"/>
      <c r="W209" s="71" t="n"/>
      <c r="X209" s="71" t="n"/>
      <c r="Y209" s="71" t="n"/>
      <c r="Z209" s="53" t="n"/>
    </row>
    <row r="210">
      <c r="A210" s="48" t="inlineStr">
        <is>
          <t>delivery.warehouse.table.phone</t>
        </is>
      </c>
      <c r="B210" s="55" t="inlineStr">
        <is>
          <t>Số điện thoại</t>
        </is>
      </c>
      <c r="C210" s="55" t="inlineStr">
        <is>
          <t>Mobile number</t>
        </is>
      </c>
      <c r="D210" s="51" t="inlineStr">
        <is>
          <t>លេខទូរស័ព្ទ</t>
        </is>
      </c>
      <c r="E210" s="71" t="n"/>
      <c r="F210" s="71" t="n"/>
      <c r="G210" s="71" t="inlineStr">
        <is>
          <t>លេខទូរស័ព្ទ</t>
        </is>
      </c>
      <c r="H210" s="71" t="inlineStr">
        <is>
          <t>លេខទូរស័ព្ទ</t>
        </is>
      </c>
      <c r="I210" s="71" t="n"/>
      <c r="J210" s="71" t="n"/>
      <c r="K210" s="71" t="inlineStr">
        <is>
          <t>"delivery.warehouse.table.phone": "លេខទូរស័ព្ទ",</t>
        </is>
      </c>
      <c r="L210" s="71" t="n"/>
      <c r="M210" s="71" t="n"/>
      <c r="N210" s="71" t="n"/>
      <c r="O210" s="71" t="n"/>
      <c r="P210" s="71" t="n"/>
      <c r="Q210" s="71" t="n"/>
      <c r="R210" s="71" t="n"/>
      <c r="S210" s="71" t="n"/>
      <c r="T210" s="71" t="n"/>
      <c r="U210" s="71" t="n"/>
      <c r="V210" s="71" t="n"/>
      <c r="W210" s="71" t="n"/>
      <c r="X210" s="71" t="n"/>
      <c r="Y210" s="71" t="n"/>
      <c r="Z210" s="53" t="n"/>
    </row>
    <row r="211">
      <c r="A211" s="48" t="inlineStr">
        <is>
          <t>delivery.warehouse.table.address</t>
        </is>
      </c>
      <c r="B211" s="55" t="inlineStr">
        <is>
          <t>Địa chỉ</t>
        </is>
      </c>
      <c r="C211" s="55" t="inlineStr">
        <is>
          <t>Address</t>
        </is>
      </c>
      <c r="D211" s="51" t="inlineStr">
        <is>
          <t>អាស័យដ្ឋាន</t>
        </is>
      </c>
      <c r="E211" s="71" t="n"/>
      <c r="F211" s="71" t="n"/>
      <c r="G211" s="71" t="inlineStr">
        <is>
          <t>អាសយដ្ឋាន</t>
        </is>
      </c>
      <c r="H211" s="71" t="inlineStr">
        <is>
          <t>អាសយដ្ឋាន</t>
        </is>
      </c>
      <c r="I211" s="71" t="n"/>
      <c r="J211" s="71" t="n"/>
      <c r="K211" s="71" t="inlineStr">
        <is>
          <t>"delivery.warehouse.table.address": "អាសយដ្ឋាន",</t>
        </is>
      </c>
      <c r="L211" s="71" t="n"/>
      <c r="M211" s="71" t="n"/>
      <c r="N211" s="71" t="n"/>
      <c r="O211" s="71" t="n"/>
      <c r="P211" s="71" t="n"/>
      <c r="Q211" s="71" t="n"/>
      <c r="R211" s="71" t="n"/>
      <c r="S211" s="71" t="n"/>
      <c r="T211" s="71" t="n"/>
      <c r="U211" s="71" t="n"/>
      <c r="V211" s="71" t="n"/>
      <c r="W211" s="71" t="n"/>
      <c r="X211" s="71" t="n"/>
      <c r="Y211" s="71" t="n"/>
      <c r="Z211" s="53" t="n"/>
    </row>
    <row r="212">
      <c r="A212" s="48" t="inlineStr">
        <is>
          <t>delivery.warehouse.table.addressType</t>
        </is>
      </c>
      <c r="B212" s="55" t="inlineStr">
        <is>
          <t>Loại địa chỉ</t>
        </is>
      </c>
      <c r="C212" s="55" t="inlineStr">
        <is>
          <t>Address Type</t>
        </is>
      </c>
      <c r="D212" s="51" t="inlineStr">
        <is>
          <t>ប្រភេទអាស័យដ្ឋាន</t>
        </is>
      </c>
      <c r="E212" s="71" t="n"/>
      <c r="F212" s="71" t="n"/>
      <c r="G212" s="71" t="inlineStr">
        <is>
          <t>ប្រភេទអាសយដ្ឋាន</t>
        </is>
      </c>
      <c r="H212" s="71" t="inlineStr">
        <is>
          <t>ប្រភេទអាសយដ្ឋាន</t>
        </is>
      </c>
      <c r="I212" s="71" t="n"/>
      <c r="J212" s="71" t="n"/>
      <c r="K212" s="71" t="inlineStr">
        <is>
          <t>"delivery.warehouse.table.addressType": "ប្រភេទអាសយដ្ឋាន",</t>
        </is>
      </c>
      <c r="L212" s="71" t="n"/>
      <c r="M212" s="71" t="n"/>
      <c r="N212" s="71" t="n"/>
      <c r="O212" s="71" t="n"/>
      <c r="P212" s="71" t="n"/>
      <c r="Q212" s="71" t="n"/>
      <c r="R212" s="71" t="n"/>
      <c r="S212" s="71" t="n"/>
      <c r="T212" s="71" t="n"/>
      <c r="U212" s="71" t="n"/>
      <c r="V212" s="71" t="n"/>
      <c r="W212" s="71" t="n"/>
      <c r="X212" s="71" t="n"/>
      <c r="Y212" s="71" t="n"/>
      <c r="Z212" s="53" t="n"/>
    </row>
    <row r="213">
      <c r="A213" s="48" t="inlineStr">
        <is>
          <t>delivery.warehouse.table.postCode</t>
        </is>
      </c>
      <c r="B213" s="55" t="inlineStr">
        <is>
          <t>Bưu cục phục vụ</t>
        </is>
      </c>
      <c r="C213" s="55" t="inlineStr">
        <is>
          <t>Post Code</t>
        </is>
      </c>
      <c r="D213" s="51" t="inlineStr">
        <is>
          <t>ការិយាល័យប្រៃសណីយ៍សេវាកម្ម</t>
        </is>
      </c>
      <c r="E213" s="71" t="n"/>
      <c r="F213" s="71" t="n"/>
      <c r="G213" s="71" t="inlineStr">
        <is>
          <t>ការិយាល័យប្រៃសណីយ៍សេវាកម្ម</t>
        </is>
      </c>
      <c r="H213" s="71" t="inlineStr">
        <is>
          <t>ការិយាល័យប្រៃសណីយ៍សេវាកម្ម</t>
        </is>
      </c>
      <c r="I213" s="71" t="n"/>
      <c r="J213" s="71" t="n"/>
      <c r="K213" s="71" t="inlineStr">
        <is>
          <t>"delivery.warehouse.table.postCode": "ការិយាល័យប្រៃសណីយ៍សេវាកម្ម",</t>
        </is>
      </c>
      <c r="L213" s="71" t="n"/>
      <c r="M213" s="71" t="n"/>
      <c r="N213" s="71" t="n"/>
      <c r="O213" s="71" t="n"/>
      <c r="P213" s="71" t="n"/>
      <c r="Q213" s="71" t="n"/>
      <c r="R213" s="71" t="n"/>
      <c r="S213" s="71" t="n"/>
      <c r="T213" s="71" t="n"/>
      <c r="U213" s="71" t="n"/>
      <c r="V213" s="71" t="n"/>
      <c r="W213" s="71" t="n"/>
      <c r="X213" s="71" t="n"/>
      <c r="Y213" s="71" t="n"/>
      <c r="Z213" s="53" t="n"/>
    </row>
    <row r="214">
      <c r="A214" s="48" t="inlineStr">
        <is>
          <t>delivery.warehouse.table.postman</t>
        </is>
      </c>
      <c r="B214" s="55" t="inlineStr">
        <is>
          <t>Tuyến bưu tá</t>
        </is>
      </c>
      <c r="C214" s="55" t="inlineStr">
        <is>
          <t>Postman</t>
        </is>
      </c>
      <c r="D214" s="51" t="inlineStr">
        <is>
          <t>ផ្លូ្លវអ្នកដឹកជញ្ជូន</t>
        </is>
      </c>
      <c r="E214" s="71" t="n"/>
      <c r="F214" s="71" t="n"/>
      <c r="G214" s="71" t="inlineStr">
        <is>
          <t>ផ្លូ្លវអ្នកដឹកជញ្ជូន</t>
        </is>
      </c>
      <c r="H214" s="71" t="inlineStr">
        <is>
          <t>ផ្លូ្លវអ្នកដឹកជញ្ជូន</t>
        </is>
      </c>
      <c r="I214" s="71" t="n"/>
      <c r="J214" s="71" t="n"/>
      <c r="K214" s="71" t="inlineStr">
        <is>
          <t>"delivery.warehouse.table.postman": "ផ្លូ្លវអ្នកដឹកជញ្ជូន",</t>
        </is>
      </c>
      <c r="L214" s="71" t="n"/>
      <c r="M214" s="71" t="n"/>
      <c r="N214" s="71" t="n"/>
      <c r="O214" s="71" t="n"/>
      <c r="P214" s="71" t="n"/>
      <c r="Q214" s="71" t="n"/>
      <c r="R214" s="71" t="n"/>
      <c r="S214" s="71" t="n"/>
      <c r="T214" s="71" t="n"/>
      <c r="U214" s="71" t="n"/>
      <c r="V214" s="71" t="n"/>
      <c r="W214" s="71" t="n"/>
      <c r="X214" s="71" t="n"/>
      <c r="Y214" s="71" t="n"/>
      <c r="Z214" s="53" t="n"/>
    </row>
    <row r="215">
      <c r="A215" s="48" t="inlineStr">
        <is>
          <t>delivery.warehouse.table.update_at</t>
        </is>
      </c>
      <c r="B215" s="55" t="inlineStr">
        <is>
          <t>Ngày cập nhật</t>
        </is>
      </c>
      <c r="C215" s="55" t="inlineStr">
        <is>
          <t>Update at</t>
        </is>
      </c>
      <c r="D215" s="51" t="inlineStr">
        <is>
          <t>ថ្ងៃអាប់ដេត</t>
        </is>
      </c>
      <c r="E215" s="71" t="n"/>
      <c r="F215" s="71" t="n"/>
      <c r="G215" s="71" t="inlineStr">
        <is>
          <t>ថ្ងៃអាប់ដេត</t>
        </is>
      </c>
      <c r="H215" s="71" t="inlineStr">
        <is>
          <t>ថ្ងៃអាប់ដេត</t>
        </is>
      </c>
      <c r="I215" s="71" t="n"/>
      <c r="J215" s="71" t="n"/>
      <c r="K215" s="71" t="inlineStr">
        <is>
          <t>"delivery.warehouse.table.update_at": "ថ្ងៃអាប់ដេត",</t>
        </is>
      </c>
      <c r="L215" s="71" t="n"/>
      <c r="M215" s="71" t="n"/>
      <c r="N215" s="71" t="n"/>
      <c r="O215" s="71" t="n"/>
      <c r="P215" s="71" t="n"/>
      <c r="Q215" s="71" t="n"/>
      <c r="R215" s="71" t="n"/>
      <c r="S215" s="71" t="n"/>
      <c r="T215" s="71" t="n"/>
      <c r="U215" s="71" t="n"/>
      <c r="V215" s="71" t="n"/>
      <c r="W215" s="71" t="n"/>
      <c r="X215" s="71" t="n"/>
      <c r="Y215" s="71" t="n"/>
      <c r="Z215" s="53" t="n"/>
    </row>
    <row r="216">
      <c r="A216" s="48" t="inlineStr">
        <is>
          <t>delivery.warehouse.table.update_by</t>
        </is>
      </c>
      <c r="B216" s="55" t="inlineStr">
        <is>
          <t>Người cập nhật</t>
        </is>
      </c>
      <c r="C216" s="55" t="inlineStr">
        <is>
          <t>Update By</t>
        </is>
      </c>
      <c r="D216" s="51" t="inlineStr">
        <is>
          <t>អ្នកអាប់ដេត</t>
        </is>
      </c>
      <c r="E216" s="71" t="n"/>
      <c r="F216" s="71" t="n"/>
      <c r="G216" s="71" t="inlineStr">
        <is>
          <t>អ្នកអាប់ដេត</t>
        </is>
      </c>
      <c r="H216" s="71" t="inlineStr">
        <is>
          <t>អ្នកអាប់ដេត</t>
        </is>
      </c>
      <c r="I216" s="71" t="n"/>
      <c r="J216" s="71" t="n"/>
      <c r="K216" s="71" t="inlineStr">
        <is>
          <t>"delivery.warehouse.table.update_by": "អ្នកអាប់ដេត",</t>
        </is>
      </c>
      <c r="L216" s="71" t="n"/>
      <c r="M216" s="71" t="n"/>
      <c r="N216" s="71" t="n"/>
      <c r="O216" s="71" t="n"/>
      <c r="P216" s="71" t="n"/>
      <c r="Q216" s="71" t="n"/>
      <c r="R216" s="71" t="n"/>
      <c r="S216" s="71" t="n"/>
      <c r="T216" s="71" t="n"/>
      <c r="U216" s="71" t="n"/>
      <c r="V216" s="71" t="n"/>
      <c r="W216" s="71" t="n"/>
      <c r="X216" s="71" t="n"/>
      <c r="Y216" s="71" t="n"/>
      <c r="Z216" s="53" t="n"/>
    </row>
    <row r="217">
      <c r="A217" s="48" t="inlineStr">
        <is>
          <t>delivery.warehouse.table.HOME</t>
        </is>
      </c>
      <c r="B217" s="55" t="inlineStr">
        <is>
          <t>Nhà riêng</t>
        </is>
      </c>
      <c r="C217" s="55" t="inlineStr">
        <is>
          <t>Home</t>
        </is>
      </c>
      <c r="D217" s="51" t="inlineStr">
        <is>
          <t>ផ្ទះផ្ទាល់ខ្លួន</t>
        </is>
      </c>
      <c r="E217" s="71" t="n"/>
      <c r="F217" s="71" t="n"/>
      <c r="G217" s="71" t="inlineStr">
        <is>
          <t>ទំព័រដើម</t>
        </is>
      </c>
      <c r="H217" s="71" t="inlineStr">
        <is>
          <t>ទំព័រដើម</t>
        </is>
      </c>
      <c r="I217" s="71" t="n"/>
      <c r="J217" s="71" t="n"/>
      <c r="K217" s="71" t="inlineStr">
        <is>
          <t>"delivery.warehouse.table.HOME": "ទំព័រដើម",</t>
        </is>
      </c>
      <c r="L217" s="71" t="n"/>
      <c r="M217" s="71" t="n"/>
      <c r="N217" s="71" t="n"/>
      <c r="O217" s="71" t="n"/>
      <c r="P217" s="71" t="n"/>
      <c r="Q217" s="71" t="n"/>
      <c r="R217" s="71" t="n"/>
      <c r="S217" s="71" t="n"/>
      <c r="T217" s="71" t="n"/>
      <c r="U217" s="71" t="n"/>
      <c r="V217" s="71" t="n"/>
      <c r="W217" s="71" t="n"/>
      <c r="X217" s="71" t="n"/>
      <c r="Y217" s="71" t="n"/>
      <c r="Z217" s="53" t="n"/>
    </row>
    <row r="218">
      <c r="A218" s="48" t="inlineStr">
        <is>
          <t>delivery.warehouse.table.OFFICE</t>
        </is>
      </c>
      <c r="B218" s="55" t="inlineStr">
        <is>
          <t>Văn phòng</t>
        </is>
      </c>
      <c r="C218" s="55" t="inlineStr">
        <is>
          <t>Office</t>
        </is>
      </c>
      <c r="D218" s="51" t="inlineStr">
        <is>
          <t>ការិយាល័យ</t>
        </is>
      </c>
      <c r="E218" s="71" t="n"/>
      <c r="F218" s="71" t="n"/>
      <c r="G218" s="71" t="inlineStr">
        <is>
          <t>ការិយាល័យ</t>
        </is>
      </c>
      <c r="H218" s="71" t="inlineStr">
        <is>
          <t>ការិយាល័យ</t>
        </is>
      </c>
      <c r="I218" s="71" t="n"/>
      <c r="J218" s="71" t="n"/>
      <c r="K218" s="71" t="inlineStr">
        <is>
          <t>"delivery.warehouse.table.OFFICE": "ការិយាល័យ",</t>
        </is>
      </c>
      <c r="L218" s="71" t="n"/>
      <c r="M218" s="71" t="n"/>
      <c r="N218" s="71" t="n"/>
      <c r="O218" s="71" t="n"/>
      <c r="P218" s="71" t="n"/>
      <c r="Q218" s="71" t="n"/>
      <c r="R218" s="71" t="n"/>
      <c r="S218" s="71" t="n"/>
      <c r="T218" s="71" t="n"/>
      <c r="U218" s="71" t="n"/>
      <c r="V218" s="71" t="n"/>
      <c r="W218" s="71" t="n"/>
      <c r="X218" s="71" t="n"/>
      <c r="Y218" s="71" t="n"/>
      <c r="Z218" s="53" t="n"/>
    </row>
    <row r="219">
      <c r="A219" s="48" t="inlineStr">
        <is>
          <t>delivery.warehouse.table.WAREHOUSE</t>
        </is>
      </c>
      <c r="B219" s="55" t="inlineStr">
        <is>
          <t>Kho hàng</t>
        </is>
      </c>
      <c r="C219" s="55" t="inlineStr">
        <is>
          <t>Warehouse</t>
        </is>
      </c>
      <c r="D219" s="51" t="inlineStr">
        <is>
          <t>ឃ្លាំងអីវ៉ាន់</t>
        </is>
      </c>
      <c r="E219" s="71" t="n"/>
      <c r="F219" s="71" t="n"/>
      <c r="G219" s="71" t="inlineStr">
        <is>
          <t>ឃ្លាំងអីវ៉ាន់</t>
        </is>
      </c>
      <c r="H219" s="71" t="inlineStr">
        <is>
          <t>ឃ្លាំងអីវ៉ាន់</t>
        </is>
      </c>
      <c r="I219" s="71" t="n"/>
      <c r="J219" s="71" t="n"/>
      <c r="K219" s="71" t="inlineStr">
        <is>
          <t>"delivery.warehouse.table.WAREHOUSE": "ឃ្លាំងអីវ៉ាន់",</t>
        </is>
      </c>
      <c r="L219" s="71" t="n"/>
      <c r="M219" s="71" t="n"/>
      <c r="N219" s="71" t="n"/>
      <c r="O219" s="71" t="n"/>
      <c r="P219" s="71" t="n"/>
      <c r="Q219" s="71" t="n"/>
      <c r="R219" s="71" t="n"/>
      <c r="S219" s="71" t="n"/>
      <c r="T219" s="71" t="n"/>
      <c r="U219" s="71" t="n"/>
      <c r="V219" s="71" t="n"/>
      <c r="W219" s="71" t="n"/>
      <c r="X219" s="71" t="n"/>
      <c r="Y219" s="71" t="n"/>
      <c r="Z219" s="53" t="n"/>
    </row>
    <row r="220">
      <c r="A220" s="48" t="inlineStr">
        <is>
          <t>delivery.warehouse.table.POSTOFFICE</t>
        </is>
      </c>
      <c r="B220" s="55" t="inlineStr">
        <is>
          <t>Bưu cục</t>
        </is>
      </c>
      <c r="C220" s="55" t="inlineStr">
        <is>
          <t>Post Office</t>
        </is>
      </c>
      <c r="D220" s="51" t="inlineStr">
        <is>
          <t>ការិយាល័យប្រៃសណីយ៍</t>
        </is>
      </c>
      <c r="E220" s="71" t="n"/>
      <c r="F220" s="71" t="n"/>
      <c r="G220" s="71" t="inlineStr">
        <is>
          <t>ការិយាល័យប្រៃសណីយ៍</t>
        </is>
      </c>
      <c r="H220" s="71" t="inlineStr">
        <is>
          <t>ការិយាល័យប្រៃសណីយ៍</t>
        </is>
      </c>
      <c r="I220" s="71" t="n"/>
      <c r="J220" s="71" t="n"/>
      <c r="K220" s="71" t="inlineStr">
        <is>
          <t>"delivery.warehouse.table.POSTOFFICE": "ការិយាល័យប្រៃសណីយ៍",</t>
        </is>
      </c>
      <c r="L220" s="71" t="n"/>
      <c r="M220" s="71" t="n"/>
      <c r="N220" s="71" t="n"/>
      <c r="O220" s="71" t="n"/>
      <c r="P220" s="71" t="n"/>
      <c r="Q220" s="71" t="n"/>
      <c r="R220" s="71" t="n"/>
      <c r="S220" s="71" t="n"/>
      <c r="T220" s="71" t="n"/>
      <c r="U220" s="71" t="n"/>
      <c r="V220" s="71" t="n"/>
      <c r="W220" s="71" t="n"/>
      <c r="X220" s="71" t="n"/>
      <c r="Y220" s="71" t="n"/>
      <c r="Z220" s="53" t="n"/>
    </row>
    <row r="221">
      <c r="A221" s="48" t="inlineStr">
        <is>
          <t>delivery.warehouse.table.total</t>
        </is>
      </c>
      <c r="B221" s="55" t="inlineStr">
        <is>
          <t>Tổng kho hàng</t>
        </is>
      </c>
      <c r="C221" s="55" t="inlineStr">
        <is>
          <t>Total warehouse</t>
        </is>
      </c>
      <c r="D221" s="51" t="inlineStr">
        <is>
          <t>សរុបឃ្លាំងអីវ៉ាន់</t>
        </is>
      </c>
      <c r="E221" s="71" t="n"/>
      <c r="F221" s="71" t="n"/>
      <c r="G221" s="71" t="inlineStr">
        <is>
          <t>សរុបឃ្លាំងអីវ៉ាន់</t>
        </is>
      </c>
      <c r="H221" s="71" t="inlineStr">
        <is>
          <t>សរុបឃ្លាំងអីវ៉ាន់</t>
        </is>
      </c>
      <c r="I221" s="71" t="n"/>
      <c r="J221" s="71" t="n"/>
      <c r="K221" s="71" t="inlineStr">
        <is>
          <t>"delivery.warehouse.table.total": "សរុបឃ្លាំងអីវ៉ាន់",</t>
        </is>
      </c>
      <c r="L221" s="71" t="n"/>
      <c r="M221" s="71" t="n"/>
      <c r="N221" s="71" t="n"/>
      <c r="O221" s="71" t="n"/>
      <c r="P221" s="71" t="n"/>
      <c r="Q221" s="71" t="n"/>
      <c r="R221" s="71" t="n"/>
      <c r="S221" s="71" t="n"/>
      <c r="T221" s="71" t="n"/>
      <c r="U221" s="71" t="n"/>
      <c r="V221" s="71" t="n"/>
      <c r="W221" s="71" t="n"/>
      <c r="X221" s="71" t="n"/>
      <c r="Y221" s="71" t="n"/>
      <c r="Z221" s="53" t="n"/>
    </row>
    <row r="222">
      <c r="A222" s="48" t="inlineStr">
        <is>
          <t>delivery.warehouse.modifyWarehouse.updateWarehouse</t>
        </is>
      </c>
      <c r="B222" s="55" t="inlineStr">
        <is>
          <t>Cập nhật tuyến phục vụ kho</t>
        </is>
      </c>
      <c r="C222" s="55" t="inlineStr">
        <is>
          <t>Update warehouse routes</t>
        </is>
      </c>
      <c r="D222" s="71" t="n"/>
      <c r="E222" s="71" t="n"/>
      <c r="F222" s="71" t="n"/>
      <c r="G222" s="71" t="inlineStr">
        <is>
          <t>ធ្វើបច្ចុប្បន្នភាពខ្សែផ្លូវបម្រើការឃ្លាំង</t>
        </is>
      </c>
      <c r="H222" s="71" t="inlineStr">
        <is>
          <t>ធ្វើបច្ចុប្បន្នភាពខ្សែផ្លូវបម្រើការឃ្លាំង</t>
        </is>
      </c>
      <c r="I222" s="71" t="n"/>
      <c r="J222" s="71" t="n"/>
      <c r="K222" s="71" t="inlineStr">
        <is>
          <t>"delivery.warehouse.modifyWarehouse.updateWarehouse": "ធ្វើបច្ចុប្បន្នភាពខ្សែផ្លូវបម្រើការឃ្លាំង",</t>
        </is>
      </c>
      <c r="L222" s="71" t="n"/>
      <c r="M222" s="71" t="n"/>
      <c r="N222" s="71" t="n"/>
      <c r="O222" s="71" t="n"/>
      <c r="P222" s="71" t="n"/>
      <c r="Q222" s="71" t="n"/>
      <c r="R222" s="71" t="n"/>
      <c r="S222" s="71" t="n"/>
      <c r="T222" s="71" t="n"/>
      <c r="U222" s="71" t="n"/>
      <c r="V222" s="71" t="n"/>
      <c r="W222" s="71" t="n"/>
      <c r="X222" s="71" t="n"/>
      <c r="Y222" s="71" t="n"/>
      <c r="Z222" s="53" t="n"/>
    </row>
    <row r="223">
      <c r="A223" s="48" t="inlineStr">
        <is>
          <t>delivery.warehouse.modifyWarehouse.selectPostCode</t>
        </is>
      </c>
      <c r="B223" s="55" t="inlineStr">
        <is>
          <t>Chọn bưu cục</t>
        </is>
      </c>
      <c r="C223" s="55" t="inlineStr">
        <is>
          <t>Select Post office</t>
        </is>
      </c>
      <c r="D223" s="51" t="inlineStr">
        <is>
          <t>ជ្រើសរើសការិយាល័យបប្រៃសណីយ៍</t>
        </is>
      </c>
      <c r="E223" s="71" t="n"/>
      <c r="F223" s="71" t="n"/>
      <c r="G223" s="71" t="inlineStr">
        <is>
          <t>ជ្រើសរើសការិយាល័យបប្រៃសណីយ៍</t>
        </is>
      </c>
      <c r="H223" s="71" t="inlineStr">
        <is>
          <t>ជ្រើសរើសការិយាល័យបប្រៃសណីយ៍</t>
        </is>
      </c>
      <c r="I223" s="71" t="n"/>
      <c r="J223" s="71" t="n"/>
      <c r="K223" s="71" t="inlineStr">
        <is>
          <t>"delivery.warehouse.modifyWarehouse.selectPostCode": "ជ្រើសរើសការិយាល័យបប្រៃសណីយ៍",</t>
        </is>
      </c>
      <c r="L223" s="71" t="n"/>
      <c r="M223" s="71" t="n"/>
      <c r="N223" s="71" t="n"/>
      <c r="O223" s="71" t="n"/>
      <c r="P223" s="71" t="n"/>
      <c r="Q223" s="71" t="n"/>
      <c r="R223" s="71" t="n"/>
      <c r="S223" s="71" t="n"/>
      <c r="T223" s="71" t="n"/>
      <c r="U223" s="71" t="n"/>
      <c r="V223" s="71" t="n"/>
      <c r="W223" s="71" t="n"/>
      <c r="X223" s="71" t="n"/>
      <c r="Y223" s="71" t="n"/>
      <c r="Z223" s="53" t="n"/>
    </row>
    <row r="224">
      <c r="A224" s="48" t="inlineStr">
        <is>
          <t>delivery.warehouse.modifyWarehouse.selectPostman</t>
        </is>
      </c>
      <c r="B224" s="55" t="inlineStr">
        <is>
          <t>Chọn bưu tá</t>
        </is>
      </c>
      <c r="C224" s="55" t="inlineStr">
        <is>
          <t>Select Postman</t>
        </is>
      </c>
      <c r="D224" s="51" t="inlineStr">
        <is>
          <t>ជ្រើសរើសបុគ្គលិកដឹកជញ្ជូន</t>
        </is>
      </c>
      <c r="E224" s="71" t="n"/>
      <c r="F224" s="71" t="n"/>
      <c r="G224" s="71" t="inlineStr">
        <is>
          <t>ជ្រើសរើសបុគ្គលិកដឹកជញ្ជូន</t>
        </is>
      </c>
      <c r="H224" s="71" t="inlineStr">
        <is>
          <t>ជ្រើសរើសបុគ្គលិកដឹកជញ្ជូន</t>
        </is>
      </c>
      <c r="I224" s="71" t="n"/>
      <c r="J224" s="71" t="n"/>
      <c r="K224" s="71" t="inlineStr">
        <is>
          <t>"delivery.warehouse.modifyWarehouse.selectPostman": "ជ្រើសរើសបុគ្គលិកដឹកជញ្ជូន",</t>
        </is>
      </c>
      <c r="L224" s="71" t="n"/>
      <c r="M224" s="71" t="n"/>
      <c r="N224" s="71" t="n"/>
      <c r="O224" s="71" t="n"/>
      <c r="P224" s="71" t="n"/>
      <c r="Q224" s="71" t="n"/>
      <c r="R224" s="71" t="n"/>
      <c r="S224" s="71" t="n"/>
      <c r="T224" s="71" t="n"/>
      <c r="U224" s="71" t="n"/>
      <c r="V224" s="71" t="n"/>
      <c r="W224" s="71" t="n"/>
      <c r="X224" s="71" t="n"/>
      <c r="Y224" s="71" t="n"/>
      <c r="Z224" s="53" t="n"/>
    </row>
    <row r="225">
      <c r="A225" s="48" t="inlineStr">
        <is>
          <t>delivery.warehouse.modifyWarehouse.emptyPostcode</t>
        </is>
      </c>
      <c r="B225" s="55" t="inlineStr">
        <is>
          <t>Kho không có bưu cục phục vụ, vui lòng cập nhật bưu cục phục vụ trước</t>
        </is>
      </c>
      <c r="C225" s="55" t="inlineStr">
        <is>
          <t>The warehouse does not have any distributed post office, please update the post office first</t>
        </is>
      </c>
      <c r="D225" s="71" t="n"/>
      <c r="E225" s="71" t="n"/>
      <c r="F225" s="71" t="n"/>
      <c r="G225" s="71" t="inlineStr">
        <is>
          <t>ឃ្លាំងមិនទាន់មានការិយាល័យប្រៃសណីយ៍បម្រើការ សូមធ្វើបច្ចុប្បន្នភាពជាមុនសិន</t>
        </is>
      </c>
      <c r="H225" s="71" t="inlineStr">
        <is>
          <t>ឃ្លាំងមិនទាន់មានការិយាល័យប្រៃសណីយ៍បម្រើការ សូមធ្វើបច្ចុប្បន្នភាពជាមុនសិន</t>
        </is>
      </c>
      <c r="I225" s="71" t="n"/>
      <c r="J225" s="71" t="n"/>
      <c r="K225" s="71" t="inlineStr">
        <is>
          <t>"delivery.warehouse.modifyWarehouse.emptyPostcode": "ឃ្លាំងមិនទាន់មានការិយាល័យប្រៃសណីយ៍បម្រើការ សូមធ្វើបច្ចុប្បន្នភាពជាមុនសិន",</t>
        </is>
      </c>
      <c r="L225" s="71" t="n"/>
      <c r="M225" s="71" t="n"/>
      <c r="N225" s="71" t="n"/>
      <c r="O225" s="71" t="n"/>
      <c r="P225" s="71" t="n"/>
      <c r="Q225" s="71" t="n"/>
      <c r="R225" s="71" t="n"/>
      <c r="S225" s="71" t="n"/>
      <c r="T225" s="71" t="n"/>
      <c r="U225" s="71" t="n"/>
      <c r="V225" s="71" t="n"/>
      <c r="W225" s="71" t="n"/>
      <c r="X225" s="71" t="n"/>
      <c r="Y225" s="71" t="n"/>
      <c r="Z225" s="53" t="n"/>
    </row>
    <row r="226">
      <c r="A226" s="40" t="inlineStr">
        <is>
          <t>branchOperating.NotReceived</t>
        </is>
      </c>
      <c r="B226" s="46" t="inlineStr">
        <is>
          <t>Chưa tiếp nhận</t>
        </is>
      </c>
      <c r="C226" s="46" t="inlineStr">
        <is>
          <t>Not received</t>
        </is>
      </c>
      <c r="D226" s="43" t="inlineStr">
        <is>
          <t>មិនទាន់បានទទួល</t>
        </is>
      </c>
      <c r="E226" s="75" t="n"/>
      <c r="F226" s="75" t="n"/>
      <c r="G226" s="75" t="inlineStr">
        <is>
          <t>មិនទាន់ទទួល</t>
        </is>
      </c>
      <c r="H226" s="75" t="inlineStr">
        <is>
          <t>មិនទាន់ទទួល</t>
        </is>
      </c>
      <c r="I226" s="75" t="n"/>
      <c r="J226" s="75" t="n"/>
      <c r="K226" s="75" t="inlineStr">
        <is>
          <t>"branchOperating.NotReceived": "មិនទាន់ទទួល",</t>
        </is>
      </c>
      <c r="L226" s="75" t="n"/>
      <c r="M226" s="75" t="n"/>
      <c r="N226" s="75" t="n"/>
      <c r="O226" s="75" t="n"/>
      <c r="P226" s="75" t="n"/>
      <c r="Q226" s="75" t="n"/>
      <c r="R226" s="75" t="n"/>
      <c r="S226" s="75" t="n"/>
      <c r="T226" s="75" t="n"/>
      <c r="U226" s="75" t="n"/>
      <c r="V226" s="75" t="n"/>
      <c r="W226" s="75" t="n"/>
      <c r="X226" s="75" t="n"/>
      <c r="Y226" s="75" t="n"/>
      <c r="Z226" s="45" t="n"/>
    </row>
    <row r="227">
      <c r="A227" s="40" t="inlineStr">
        <is>
          <t>branchOperating.Received</t>
        </is>
      </c>
      <c r="B227" s="46" t="inlineStr">
        <is>
          <t>Đã tiếp nhận</t>
        </is>
      </c>
      <c r="C227" s="46" t="inlineStr">
        <is>
          <t>Received</t>
        </is>
      </c>
      <c r="D227" s="43" t="inlineStr">
        <is>
          <t>បានទទួួល</t>
        </is>
      </c>
      <c r="E227" s="75" t="n"/>
      <c r="F227" s="75" t="n"/>
      <c r="G227" s="75" t="inlineStr">
        <is>
          <t>បានទទួល</t>
        </is>
      </c>
      <c r="H227" s="75" t="inlineStr">
        <is>
          <t>បានទទួល</t>
        </is>
      </c>
      <c r="I227" s="75" t="n"/>
      <c r="J227" s="75" t="n"/>
      <c r="K227" s="75" t="inlineStr">
        <is>
          <t>"branchOperating.Received": "បានទទួល",</t>
        </is>
      </c>
      <c r="L227" s="75" t="n"/>
      <c r="M227" s="75" t="n"/>
      <c r="N227" s="75" t="n"/>
      <c r="O227" s="75" t="n"/>
      <c r="P227" s="75" t="n"/>
      <c r="Q227" s="75" t="n"/>
      <c r="R227" s="75" t="n"/>
      <c r="S227" s="75" t="n"/>
      <c r="T227" s="75" t="n"/>
      <c r="U227" s="75" t="n"/>
      <c r="V227" s="75" t="n"/>
      <c r="W227" s="75" t="n"/>
      <c r="X227" s="75" t="n"/>
      <c r="Y227" s="75" t="n"/>
      <c r="Z227" s="45" t="n"/>
    </row>
    <row r="228">
      <c r="A228" s="40" t="inlineStr">
        <is>
          <t>branchOperating.detail</t>
        </is>
      </c>
      <c r="B228" s="46" t="inlineStr">
        <is>
          <t>Chi tiết</t>
        </is>
      </c>
      <c r="C228" s="46" t="inlineStr">
        <is>
          <t>Details</t>
        </is>
      </c>
      <c r="D228" s="43" t="inlineStr">
        <is>
          <t>លម្អិត</t>
        </is>
      </c>
      <c r="E228" s="75" t="n"/>
      <c r="F228" s="75" t="n"/>
      <c r="G228" s="75" t="inlineStr">
        <is>
          <t>ព័ត៌មានលម្អិត</t>
        </is>
      </c>
      <c r="H228" s="75" t="inlineStr">
        <is>
          <t>ព័ត៌មានលម្អិត</t>
        </is>
      </c>
      <c r="I228" s="75" t="n"/>
      <c r="J228" s="75" t="n"/>
      <c r="K228" s="75" t="inlineStr">
        <is>
          <t>"branchOperating.detail": "ព័ត៌មានលម្អិត",</t>
        </is>
      </c>
      <c r="L228" s="75" t="n"/>
      <c r="M228" s="75" t="n"/>
      <c r="N228" s="75" t="n"/>
      <c r="O228" s="75" t="n"/>
      <c r="P228" s="75" t="n"/>
      <c r="Q228" s="75" t="n"/>
      <c r="R228" s="75" t="n"/>
      <c r="S228" s="75" t="n"/>
      <c r="T228" s="75" t="n"/>
      <c r="U228" s="75" t="n"/>
      <c r="V228" s="75" t="n"/>
      <c r="W228" s="75" t="n"/>
      <c r="X228" s="75" t="n"/>
      <c r="Y228" s="75" t="n"/>
      <c r="Z228" s="45" t="n"/>
    </row>
    <row r="229">
      <c r="A229" s="40" t="inlineStr">
        <is>
          <t>branchOperating.assignDefault</t>
        </is>
      </c>
      <c r="B229" s="46" t="inlineStr">
        <is>
          <t>Gán mặc định</t>
        </is>
      </c>
      <c r="C229" s="46" t="inlineStr">
        <is>
          <t>Assign by default</t>
        </is>
      </c>
      <c r="D229" s="75" t="n"/>
      <c r="E229" s="75" t="n"/>
      <c r="F229" s="75" t="n"/>
      <c r="G229" s="75" t="inlineStr">
        <is>
          <t>កំណត់ជាលំនាំដើម</t>
        </is>
      </c>
      <c r="H229" s="75" t="inlineStr">
        <is>
          <t>កំណត់ជាលំនាំដើម</t>
        </is>
      </c>
      <c r="I229" s="75" t="n"/>
      <c r="J229" s="75" t="n"/>
      <c r="K229" s="75" t="inlineStr">
        <is>
          <t>"branchOperating.assignDefault": "កំណត់ជាលំនាំដើម",</t>
        </is>
      </c>
      <c r="L229" s="75" t="n"/>
      <c r="M229" s="75" t="n"/>
      <c r="N229" s="75" t="n"/>
      <c r="O229" s="75" t="n"/>
      <c r="P229" s="75" t="n"/>
      <c r="Q229" s="75" t="n"/>
      <c r="R229" s="75" t="n"/>
      <c r="S229" s="75" t="n"/>
      <c r="T229" s="75" t="n"/>
      <c r="U229" s="75" t="n"/>
      <c r="V229" s="75" t="n"/>
      <c r="W229" s="75" t="n"/>
      <c r="X229" s="75" t="n"/>
      <c r="Y229" s="75" t="n"/>
      <c r="Z229" s="45" t="n"/>
    </row>
    <row r="230">
      <c r="A230" s="40" t="inlineStr">
        <is>
          <t>branchOperating.assignSuccess</t>
        </is>
      </c>
      <c r="B230" s="46" t="inlineStr">
        <is>
          <t>Gán bưu cục thành công</t>
        </is>
      </c>
      <c r="C230" s="46" t="inlineStr">
        <is>
          <t>Assign Post office success</t>
        </is>
      </c>
      <c r="D230" s="75" t="n"/>
      <c r="E230" s="75" t="n"/>
      <c r="F230" s="75" t="n"/>
      <c r="G230" s="75" t="inlineStr">
        <is>
          <t>ចាត់តាំងការិយាល័យប្រៃសណីយ៍ជោគជ័យ</t>
        </is>
      </c>
      <c r="H230" s="75" t="inlineStr">
        <is>
          <t>ចាត់តាំងការិយាល័យប្រៃសណីយ៍ជោគជ័យ</t>
        </is>
      </c>
      <c r="I230" s="75" t="n"/>
      <c r="J230" s="75" t="n"/>
      <c r="K230" s="75" t="inlineStr">
        <is>
          <t>"branchOperating.assignSuccess": "ចាត់តាំងការិយាល័យប្រៃសណីយ៍ជោគជ័យ",</t>
        </is>
      </c>
      <c r="L230" s="75" t="n"/>
      <c r="M230" s="75" t="n"/>
      <c r="N230" s="75" t="n"/>
      <c r="O230" s="75" t="n"/>
      <c r="P230" s="75" t="n"/>
      <c r="Q230" s="75" t="n"/>
      <c r="R230" s="75" t="n"/>
      <c r="S230" s="75" t="n"/>
      <c r="T230" s="75" t="n"/>
      <c r="U230" s="75" t="n"/>
      <c r="V230" s="75" t="n"/>
      <c r="W230" s="75" t="n"/>
      <c r="X230" s="75" t="n"/>
      <c r="Y230" s="75" t="n"/>
      <c r="Z230" s="45" t="n"/>
    </row>
    <row r="231">
      <c r="A231" s="40" t="inlineStr">
        <is>
          <t>branchOperating.listOrderSuccess</t>
        </is>
      </c>
      <c r="B231" s="46" t="inlineStr">
        <is>
          <t>Gán bưu cục thành công đơn</t>
        </is>
      </c>
      <c r="C231" s="46" t="inlineStr">
        <is>
          <t>List of assigned postal orders</t>
        </is>
      </c>
      <c r="D231" s="75" t="n"/>
      <c r="E231" s="75" t="n"/>
      <c r="F231" s="75" t="n"/>
      <c r="G231" s="75" t="inlineStr">
        <is>
          <t>ចាត់តាំងការិយាល័យប្រៃសណីយ៍សម្រាប់បញ្ញើជោគជ័យ</t>
        </is>
      </c>
      <c r="H231" s="75" t="inlineStr">
        <is>
          <t>ចាត់តាំងការិយាល័យប្រៃសណីយ៍សម្រាប់បញ្ញើជោគជ័យ</t>
        </is>
      </c>
      <c r="I231" s="75" t="n"/>
      <c r="J231" s="75" t="n"/>
      <c r="K231" s="75" t="inlineStr">
        <is>
          <t>"branchOperating.listOrderSuccess": "ចាត់តាំងការិយាល័យប្រៃសណីយ៍សម្រាប់បញ្ញើជោគជ័យ",</t>
        </is>
      </c>
      <c r="L231" s="75" t="n"/>
      <c r="M231" s="75" t="n"/>
      <c r="N231" s="75" t="n"/>
      <c r="O231" s="75" t="n"/>
      <c r="P231" s="75" t="n"/>
      <c r="Q231" s="75" t="n"/>
      <c r="R231" s="75" t="n"/>
      <c r="S231" s="75" t="n"/>
      <c r="T231" s="75" t="n"/>
      <c r="U231" s="75" t="n"/>
      <c r="V231" s="75" t="n"/>
      <c r="W231" s="75" t="n"/>
      <c r="X231" s="75" t="n"/>
      <c r="Y231" s="75" t="n"/>
      <c r="Z231" s="45" t="n"/>
    </row>
    <row r="232">
      <c r="A232" s="40" t="inlineStr">
        <is>
          <t>branchOperating.assignRouteSuccess</t>
        </is>
      </c>
      <c r="B232" s="46" t="inlineStr">
        <is>
          <t>Gán tuyến thành công</t>
        </is>
      </c>
      <c r="C232" s="46" t="inlineStr">
        <is>
          <t>Assign route success</t>
        </is>
      </c>
      <c r="D232" s="75" t="n"/>
      <c r="E232" s="75" t="n"/>
      <c r="F232" s="75" t="n"/>
      <c r="G232" s="75" t="inlineStr">
        <is>
          <t>ចាត់តាំងខ្សែផ្លូវជោគជ័យ</t>
        </is>
      </c>
      <c r="H232" s="75" t="inlineStr">
        <is>
          <t>ចាត់តាំងខ្សែផ្លូវជោគជ័យ</t>
        </is>
      </c>
      <c r="I232" s="75" t="n"/>
      <c r="J232" s="75" t="n"/>
      <c r="K232" s="75" t="inlineStr">
        <is>
          <t>"branchOperating.assignRouteSuccess": "ចាត់តាំងខ្សែផ្លូវជោគជ័យ",</t>
        </is>
      </c>
      <c r="L232" s="75" t="n"/>
      <c r="M232" s="75" t="n"/>
      <c r="N232" s="75" t="n"/>
      <c r="O232" s="75" t="n"/>
      <c r="P232" s="75" t="n"/>
      <c r="Q232" s="75" t="n"/>
      <c r="R232" s="75" t="n"/>
      <c r="S232" s="75" t="n"/>
      <c r="T232" s="75" t="n"/>
      <c r="U232" s="75" t="n"/>
      <c r="V232" s="75" t="n"/>
      <c r="W232" s="75" t="n"/>
      <c r="X232" s="75" t="n"/>
      <c r="Y232" s="75" t="n"/>
      <c r="Z232" s="45" t="n"/>
    </row>
    <row r="233">
      <c r="A233" s="40" t="inlineStr">
        <is>
          <t>branchOperating.pleaseChooseRoute</t>
        </is>
      </c>
      <c r="B233" s="46" t="inlineStr">
        <is>
          <t>Vui lòng chọn tuyến</t>
        </is>
      </c>
      <c r="C233" s="46" t="inlineStr">
        <is>
          <t>Please select a route</t>
        </is>
      </c>
      <c r="D233" s="43" t="inlineStr">
        <is>
          <t>សូូមជ្រើសរើសផ្លូវដឹក</t>
        </is>
      </c>
      <c r="E233" s="75" t="n"/>
      <c r="F233" s="75" t="n"/>
      <c r="G233" s="75" t="inlineStr">
        <is>
          <t>សូមជ្រើសរើសផ្លូវដឹក</t>
        </is>
      </c>
      <c r="H233" s="75" t="inlineStr">
        <is>
          <t>សូមជ្រើសរើសផ្លូវដឹក</t>
        </is>
      </c>
      <c r="I233" s="75" t="n"/>
      <c r="J233" s="75" t="n"/>
      <c r="K233" s="75" t="inlineStr">
        <is>
          <t>"branchOperating.pleaseChooseRoute": "សូមជ្រើសរើសផ្លូវដឹក",</t>
        </is>
      </c>
      <c r="L233" s="75" t="n"/>
      <c r="M233" s="75" t="n"/>
      <c r="N233" s="75" t="n"/>
      <c r="O233" s="75" t="n"/>
      <c r="P233" s="75" t="n"/>
      <c r="Q233" s="75" t="n"/>
      <c r="R233" s="75" t="n"/>
      <c r="S233" s="75" t="n"/>
      <c r="T233" s="75" t="n"/>
      <c r="U233" s="75" t="n"/>
      <c r="V233" s="75" t="n"/>
      <c r="W233" s="75" t="n"/>
      <c r="X233" s="75" t="n"/>
      <c r="Y233" s="75" t="n"/>
      <c r="Z233" s="45" t="n"/>
    </row>
    <row r="234">
      <c r="A234" s="40" t="inlineStr">
        <is>
          <t>branchOperating.pleaseChooseBranch</t>
        </is>
      </c>
      <c r="B234" s="46" t="inlineStr">
        <is>
          <t>Vui lòng chọn bưu cục</t>
        </is>
      </c>
      <c r="C234" s="46" t="inlineStr">
        <is>
          <t>Please select a post office</t>
        </is>
      </c>
      <c r="D234" s="75" t="n"/>
      <c r="E234" s="75" t="n"/>
      <c r="F234" s="75" t="n"/>
      <c r="G234" s="75" t="inlineStr">
        <is>
          <t>សូមជ្រើសរើសការិយាល័យប្រៃសណីយ៍</t>
        </is>
      </c>
      <c r="H234" s="75" t="inlineStr">
        <is>
          <t>សូមជ្រើសរើសការិយាល័យប្រៃសណីយ៍</t>
        </is>
      </c>
      <c r="I234" s="75" t="n"/>
      <c r="J234" s="75" t="n"/>
      <c r="K234" s="75" t="inlineStr">
        <is>
          <t>"branchOperating.pleaseChooseBranch": "សូមជ្រើសរើសការិយាល័យប្រៃសណីយ៍",</t>
        </is>
      </c>
      <c r="L234" s="75" t="n"/>
      <c r="M234" s="75" t="n"/>
      <c r="N234" s="75" t="n"/>
      <c r="O234" s="75" t="n"/>
      <c r="P234" s="75" t="n"/>
      <c r="Q234" s="75" t="n"/>
      <c r="R234" s="75" t="n"/>
      <c r="S234" s="75" t="n"/>
      <c r="T234" s="75" t="n"/>
      <c r="U234" s="75" t="n"/>
      <c r="V234" s="75" t="n"/>
      <c r="W234" s="75" t="n"/>
      <c r="X234" s="75" t="n"/>
      <c r="Y234" s="75" t="n"/>
      <c r="Z234" s="45" t="n"/>
    </row>
    <row r="235">
      <c r="A235" s="40" t="inlineStr">
        <is>
          <t>branchOperating.assignWarehouseFail</t>
        </is>
      </c>
      <c r="B235" s="46" t="inlineStr">
        <is>
          <t>Gán tuyến tất cả đơn thuộc kho thất bại</t>
        </is>
      </c>
      <c r="C235" s="46" t="inlineStr">
        <is>
          <t>Assigning routes to all orders belonging to the warehouse failed</t>
        </is>
      </c>
      <c r="D235" s="75" t="n"/>
      <c r="E235" s="75" t="n"/>
      <c r="F235" s="75" t="n"/>
      <c r="G235" s="75" t="inlineStr">
        <is>
          <t>ចាត់តាំងខ្សែផ្លូវសម្រាប់បញ្ញើទាំងអស់ក្នុងឃ្លាំងមិនបានសម្រេច</t>
        </is>
      </c>
      <c r="H235" s="75" t="inlineStr">
        <is>
          <t>ចាត់តាំងខ្សែផ្លូវសម្រាប់បញ្ញើទាំងអស់ក្នុងឃ្លាំងមិនបានសម្រេច</t>
        </is>
      </c>
      <c r="I235" s="75" t="n"/>
      <c r="J235" s="75" t="n"/>
      <c r="K235" s="75" t="inlineStr">
        <is>
          <t>"branchOperating.assignWarehouseFail": "ចាត់តាំងខ្សែផ្លូវសម្រាប់បញ្ញើទាំងអស់ក្នុងឃ្លាំងមិនបានសម្រេច",</t>
        </is>
      </c>
      <c r="L235" s="75" t="n"/>
      <c r="M235" s="75" t="n"/>
      <c r="N235" s="75" t="n"/>
      <c r="O235" s="75" t="n"/>
      <c r="P235" s="75" t="n"/>
      <c r="Q235" s="75" t="n"/>
      <c r="R235" s="75" t="n"/>
      <c r="S235" s="75" t="n"/>
      <c r="T235" s="75" t="n"/>
      <c r="U235" s="75" t="n"/>
      <c r="V235" s="75" t="n"/>
      <c r="W235" s="75" t="n"/>
      <c r="X235" s="75" t="n"/>
      <c r="Y235" s="75" t="n"/>
      <c r="Z235" s="45" t="n"/>
    </row>
    <row r="236">
      <c r="A236" s="40" t="inlineStr">
        <is>
          <t>branchOperating.assignWarehouseFailAll</t>
        </is>
      </c>
      <c r="B236" s="46" t="inlineStr">
        <is>
          <t>Gán tuyến kho thất bại</t>
        </is>
      </c>
      <c r="C236" s="46" t="inlineStr">
        <is>
          <t>Assign route failed</t>
        </is>
      </c>
      <c r="D236" s="75" t="n"/>
      <c r="E236" s="75" t="n"/>
      <c r="F236" s="75" t="n"/>
      <c r="G236" s="75" t="inlineStr">
        <is>
          <t>ចាត់តាំងខ្សែផ្លូវឃ្លាំងមិនបានសម្រេច</t>
        </is>
      </c>
      <c r="H236" s="75" t="inlineStr">
        <is>
          <t>ចាត់តាំងខ្សែផ្លូវឃ្លាំងមិនបានសម្រេច</t>
        </is>
      </c>
      <c r="I236" s="75" t="n"/>
      <c r="J236" s="75" t="n"/>
      <c r="K236" s="75" t="inlineStr">
        <is>
          <t>"branchOperating.assignWarehouseFailAll": "ចាត់តាំងខ្សែផ្លូវឃ្លាំងមិនបានសម្រេច",</t>
        </is>
      </c>
      <c r="L236" s="75" t="n"/>
      <c r="M236" s="75" t="n"/>
      <c r="N236" s="75" t="n"/>
      <c r="O236" s="75" t="n"/>
      <c r="P236" s="75" t="n"/>
      <c r="Q236" s="75" t="n"/>
      <c r="R236" s="75" t="n"/>
      <c r="S236" s="75" t="n"/>
      <c r="T236" s="75" t="n"/>
      <c r="U236" s="75" t="n"/>
      <c r="V236" s="75" t="n"/>
      <c r="W236" s="75" t="n"/>
      <c r="X236" s="75" t="n"/>
      <c r="Y236" s="75" t="n"/>
      <c r="Z236" s="45" t="n"/>
    </row>
    <row r="237">
      <c r="A237" s="40" t="inlineStr">
        <is>
          <t>branchOperating.listOrderAssignRoute</t>
        </is>
      </c>
      <c r="B237" s="46" t="inlineStr">
        <is>
          <t>Danh sách đơn gán tuyến thành công</t>
        </is>
      </c>
      <c r="C237" s="46" t="inlineStr">
        <is>
          <t>List of assigned route orders</t>
        </is>
      </c>
      <c r="D237" s="75" t="n"/>
      <c r="E237" s="75" t="n"/>
      <c r="F237" s="75" t="n"/>
      <c r="G237" s="75" t="inlineStr">
        <is>
          <t>បញ្ជីបញ្ញើដែលបានចាត់តាំងខ្សែផ្លូវជោគជ័យ</t>
        </is>
      </c>
      <c r="H237" s="75" t="inlineStr">
        <is>
          <t>បញ្ជីបញ្ញើដែលបានចាត់តាំងខ្សែផ្លូវជោគជ័យ</t>
        </is>
      </c>
      <c r="I237" s="75" t="n"/>
      <c r="J237" s="75" t="n"/>
      <c r="K237" s="75" t="inlineStr">
        <is>
          <t>"branchOperating.listOrderAssignRoute": "បញ្ជីបញ្ញើដែលបានចាត់តាំងខ្សែផ្លូវជោគជ័យ",</t>
        </is>
      </c>
      <c r="L237" s="75" t="n"/>
      <c r="M237" s="75" t="n"/>
      <c r="N237" s="75" t="n"/>
      <c r="O237" s="75" t="n"/>
      <c r="P237" s="75" t="n"/>
      <c r="Q237" s="75" t="n"/>
      <c r="R237" s="75" t="n"/>
      <c r="S237" s="75" t="n"/>
      <c r="T237" s="75" t="n"/>
      <c r="U237" s="75" t="n"/>
      <c r="V237" s="75" t="n"/>
      <c r="W237" s="75" t="n"/>
      <c r="X237" s="75" t="n"/>
      <c r="Y237" s="75" t="n"/>
      <c r="Z237" s="45" t="n"/>
    </row>
    <row r="238">
      <c r="A238" s="40" t="inlineStr">
        <is>
          <t>branchOperating.selectDate</t>
        </is>
      </c>
      <c r="B238" s="46" t="inlineStr">
        <is>
          <t>Từ ngày - Đến ngày</t>
        </is>
      </c>
      <c r="C238" s="46" t="inlineStr">
        <is>
          <t>Select Date</t>
        </is>
      </c>
      <c r="D238" s="43" t="inlineStr">
        <is>
          <t>ចាប់ពីថ្ងៃ-ដល់ថ្ងៃ</t>
        </is>
      </c>
      <c r="E238" s="75" t="n"/>
      <c r="F238" s="75" t="n"/>
      <c r="G238" s="75" t="inlineStr">
        <is>
          <t>ចាប់ពីថ្ងៃ-ដល់ថ្ងៃ</t>
        </is>
      </c>
      <c r="H238" s="75" t="inlineStr">
        <is>
          <t>ចាប់ពីថ្ងៃ-ដល់ថ្ងៃ</t>
        </is>
      </c>
      <c r="I238" s="75" t="n"/>
      <c r="J238" s="75" t="n"/>
      <c r="K238" s="75" t="inlineStr">
        <is>
          <t>"branchOperating.selectDate": "ចាប់ពីថ្ងៃ-ដល់ថ្ងៃ",</t>
        </is>
      </c>
      <c r="L238" s="75" t="n"/>
      <c r="M238" s="75" t="n"/>
      <c r="N238" s="75" t="n"/>
      <c r="O238" s="75" t="n"/>
      <c r="P238" s="75" t="n"/>
      <c r="Q238" s="75" t="n"/>
      <c r="R238" s="75" t="n"/>
      <c r="S238" s="75" t="n"/>
      <c r="T238" s="75" t="n"/>
      <c r="U238" s="75" t="n"/>
      <c r="V238" s="75" t="n"/>
      <c r="W238" s="75" t="n"/>
      <c r="X238" s="75" t="n"/>
      <c r="Y238" s="75" t="n"/>
      <c r="Z238" s="45" t="n"/>
    </row>
    <row r="239">
      <c r="A239" s="40" t="inlineStr">
        <is>
          <t>branchOperating.selectRoute</t>
        </is>
      </c>
      <c r="B239" s="46" t="inlineStr">
        <is>
          <t>Chọn tuyến</t>
        </is>
      </c>
      <c r="C239" s="46" t="inlineStr">
        <is>
          <t>Select route</t>
        </is>
      </c>
      <c r="D239" s="43" t="inlineStr">
        <is>
          <t>ជ្រើសរើសផ្លូវដឹក</t>
        </is>
      </c>
      <c r="E239" s="75" t="n"/>
      <c r="F239" s="75" t="n"/>
      <c r="G239" s="75" t="inlineStr">
        <is>
          <t>ជ្រើសរើសផ្លូវដឹក</t>
        </is>
      </c>
      <c r="H239" s="75" t="inlineStr">
        <is>
          <t>ជ្រើសរើសផ្លូវដឹក</t>
        </is>
      </c>
      <c r="I239" s="75" t="n"/>
      <c r="J239" s="75" t="n"/>
      <c r="K239" s="75" t="inlineStr">
        <is>
          <t>"branchOperating.selectRoute": "ជ្រើសរើសផ្លូវដឹក",</t>
        </is>
      </c>
      <c r="L239" s="75" t="n"/>
      <c r="M239" s="75" t="n"/>
      <c r="N239" s="75" t="n"/>
      <c r="O239" s="75" t="n"/>
      <c r="P239" s="75" t="n"/>
      <c r="Q239" s="75" t="n"/>
      <c r="R239" s="75" t="n"/>
      <c r="S239" s="75" t="n"/>
      <c r="T239" s="75" t="n"/>
      <c r="U239" s="75" t="n"/>
      <c r="V239" s="75" t="n"/>
      <c r="W239" s="75" t="n"/>
      <c r="X239" s="75" t="n"/>
      <c r="Y239" s="75" t="n"/>
      <c r="Z239" s="45" t="n"/>
    </row>
    <row r="240">
      <c r="A240" s="40" t="inlineStr">
        <is>
          <t>branchOperating.startDate</t>
        </is>
      </c>
      <c r="B240" s="46" t="inlineStr">
        <is>
          <t>Từ ngày</t>
        </is>
      </c>
      <c r="C240" s="46" t="inlineStr">
        <is>
          <t>Select start date</t>
        </is>
      </c>
      <c r="D240" s="43" t="inlineStr">
        <is>
          <t>ចាប់ពីថ្ងៃ</t>
        </is>
      </c>
      <c r="E240" s="75" t="n"/>
      <c r="F240" s="75" t="n"/>
      <c r="G240" s="75" t="inlineStr">
        <is>
          <t>ចាប់ពីថ្ងៃ</t>
        </is>
      </c>
      <c r="H240" s="75" t="inlineStr">
        <is>
          <t>ចាប់ពីថ្ងៃ</t>
        </is>
      </c>
      <c r="I240" s="75" t="n"/>
      <c r="J240" s="75" t="n"/>
      <c r="K240" s="75" t="inlineStr">
        <is>
          <t>"branchOperating.startDate": "ចាប់ពីថ្ងៃ",</t>
        </is>
      </c>
      <c r="L240" s="75" t="n"/>
      <c r="M240" s="75" t="n"/>
      <c r="N240" s="75" t="n"/>
      <c r="O240" s="75" t="n"/>
      <c r="P240" s="75" t="n"/>
      <c r="Q240" s="75" t="n"/>
      <c r="R240" s="75" t="n"/>
      <c r="S240" s="75" t="n"/>
      <c r="T240" s="75" t="n"/>
      <c r="U240" s="75" t="n"/>
      <c r="V240" s="75" t="n"/>
      <c r="W240" s="75" t="n"/>
      <c r="X240" s="75" t="n"/>
      <c r="Y240" s="75" t="n"/>
      <c r="Z240" s="45" t="n"/>
    </row>
    <row r="241">
      <c r="A241" s="40" t="inlineStr">
        <is>
          <t>branchOperating.endDate</t>
        </is>
      </c>
      <c r="B241" s="46" t="inlineStr">
        <is>
          <t>Đến ngày</t>
        </is>
      </c>
      <c r="C241" s="46" t="inlineStr">
        <is>
          <t>Select end date</t>
        </is>
      </c>
      <c r="D241" s="43" t="inlineStr">
        <is>
          <t>មកដល់ថ្ងៃ</t>
        </is>
      </c>
      <c r="E241" s="75" t="n"/>
      <c r="F241" s="75" t="n"/>
      <c r="G241" s="75" t="inlineStr">
        <is>
          <t>មកដល់ថ្ងៃ</t>
        </is>
      </c>
      <c r="H241" s="75" t="inlineStr">
        <is>
          <t>មកដល់ថ្ងៃ</t>
        </is>
      </c>
      <c r="I241" s="75" t="n"/>
      <c r="J241" s="75" t="n"/>
      <c r="K241" s="75" t="inlineStr">
        <is>
          <t>"branchOperating.endDate": "មកដល់ថ្ងៃ",</t>
        </is>
      </c>
      <c r="L241" s="75" t="n"/>
      <c r="M241" s="75" t="n"/>
      <c r="N241" s="75" t="n"/>
      <c r="O241" s="75" t="n"/>
      <c r="P241" s="75" t="n"/>
      <c r="Q241" s="75" t="n"/>
      <c r="R241" s="75" t="n"/>
      <c r="S241" s="75" t="n"/>
      <c r="T241" s="75" t="n"/>
      <c r="U241" s="75" t="n"/>
      <c r="V241" s="75" t="n"/>
      <c r="W241" s="75" t="n"/>
      <c r="X241" s="75" t="n"/>
      <c r="Y241" s="75" t="n"/>
      <c r="Z241" s="45" t="n"/>
    </row>
    <row r="242">
      <c r="A242" s="40" t="inlineStr">
        <is>
          <t>branchOperating.searchKeyword</t>
        </is>
      </c>
      <c r="B242" s="46" t="inlineStr">
        <is>
          <t>Nhập từ khóa tìm kiếm</t>
        </is>
      </c>
      <c r="C242" s="46" t="inlineStr">
        <is>
          <t>Enter keywords</t>
        </is>
      </c>
      <c r="D242" s="43" t="inlineStr">
        <is>
          <t>បញ្ចូលពាក្យគន្លឹះស្វែងរក</t>
        </is>
      </c>
      <c r="E242" s="75" t="n"/>
      <c r="F242" s="75" t="n"/>
      <c r="G242" s="75" t="inlineStr">
        <is>
          <t>បញ្ចូលពាក្យគន្លឹះស្វែងរក</t>
        </is>
      </c>
      <c r="H242" s="75" t="inlineStr">
        <is>
          <t>បញ្ចូលពាក្យគន្លឹះស្វែងរក</t>
        </is>
      </c>
      <c r="I242" s="75" t="n"/>
      <c r="J242" s="75" t="n"/>
      <c r="K242" s="75" t="inlineStr">
        <is>
          <t>"branchOperating.searchKeyword": "បញ្ចូលពាក្យគន្លឹះស្វែងរក",</t>
        </is>
      </c>
      <c r="L242" s="75" t="n"/>
      <c r="M242" s="75" t="n"/>
      <c r="N242" s="75" t="n"/>
      <c r="O242" s="75" t="n"/>
      <c r="P242" s="75" t="n"/>
      <c r="Q242" s="75" t="n"/>
      <c r="R242" s="75" t="n"/>
      <c r="S242" s="75" t="n"/>
      <c r="T242" s="75" t="n"/>
      <c r="U242" s="75" t="n"/>
      <c r="V242" s="75" t="n"/>
      <c r="W242" s="75" t="n"/>
      <c r="X242" s="75" t="n"/>
      <c r="Y242" s="75" t="n"/>
      <c r="Z242" s="45" t="n"/>
    </row>
    <row r="243">
      <c r="A243" s="40" t="inlineStr">
        <is>
          <t>branchOperating.searchPlaceholder</t>
        </is>
      </c>
      <c r="B243" s="46" t="inlineStr">
        <is>
          <t>Nhập số điện thoại hoặc mã vận đơn</t>
        </is>
      </c>
      <c r="C243" s="46" t="inlineStr">
        <is>
          <t>Enter waybill code or mobile number</t>
        </is>
      </c>
      <c r="D243" s="43" t="inlineStr">
        <is>
          <t>បញ្ចូលលេខទូរស័ព្ទ ឬ លេខកូដដឹកជញ្ជូន</t>
        </is>
      </c>
      <c r="E243" s="75" t="n"/>
      <c r="F243" s="75" t="n"/>
      <c r="G243" s="75" t="inlineStr">
        <is>
          <t>បញ្ចូលលេខទូរស័ព្ទ ឬ លេខកូដដឹកជញ្ជូន</t>
        </is>
      </c>
      <c r="H243" s="75" t="inlineStr">
        <is>
          <t>បញ្ចូលលេខទូរស័ព្ទ ឬ លេខកូដដឹកជញ្ជូន</t>
        </is>
      </c>
      <c r="I243" s="75" t="n"/>
      <c r="J243" s="75" t="n"/>
      <c r="K243" s="75" t="inlineStr">
        <is>
          <t>"branchOperating.searchPlaceholder": "បញ្ចូលលេខទូរស័ព្ទ ឬ លេខកូដដឹកជញ្ជូន",</t>
        </is>
      </c>
      <c r="L243" s="75" t="n"/>
      <c r="M243" s="75" t="n"/>
      <c r="N243" s="75" t="n"/>
      <c r="O243" s="75" t="n"/>
      <c r="P243" s="75" t="n"/>
      <c r="Q243" s="75" t="n"/>
      <c r="R243" s="75" t="n"/>
      <c r="S243" s="75" t="n"/>
      <c r="T243" s="75" t="n"/>
      <c r="U243" s="75" t="n"/>
      <c r="V243" s="75" t="n"/>
      <c r="W243" s="75" t="n"/>
      <c r="X243" s="75" t="n"/>
      <c r="Y243" s="75" t="n"/>
      <c r="Z243" s="45" t="n"/>
    </row>
    <row r="244">
      <c r="A244" s="40" t="inlineStr">
        <is>
          <t>branchOperating.selectPartnerId</t>
        </is>
      </c>
      <c r="B244" s="46" t="inlineStr">
        <is>
          <t>Chọn mã đối tác</t>
        </is>
      </c>
      <c r="C244" s="46" t="inlineStr">
        <is>
          <t>Select Partner</t>
        </is>
      </c>
      <c r="D244" s="43" t="inlineStr">
        <is>
          <t>ជ្រើសរើសលេេខកូដដៃគូ</t>
        </is>
      </c>
      <c r="E244" s="75" t="n"/>
      <c r="F244" s="75" t="n"/>
      <c r="G244" s="75" t="inlineStr">
        <is>
          <t>ជ្រើសរើសលេេខកូដដៃគូ</t>
        </is>
      </c>
      <c r="H244" s="75" t="inlineStr">
        <is>
          <t>ជ្រើសរើសលេេខកូដដៃគូ</t>
        </is>
      </c>
      <c r="I244" s="75" t="n"/>
      <c r="J244" s="75" t="n"/>
      <c r="K244" s="75" t="inlineStr">
        <is>
          <t>"branchOperating.selectPartnerId": "ជ្រើសរើសលេេខកូដដៃគូ",</t>
        </is>
      </c>
      <c r="L244" s="75" t="n"/>
      <c r="M244" s="75" t="n"/>
      <c r="N244" s="75" t="n"/>
      <c r="O244" s="75" t="n"/>
      <c r="P244" s="75" t="n"/>
      <c r="Q244" s="75" t="n"/>
      <c r="R244" s="75" t="n"/>
      <c r="S244" s="75" t="n"/>
      <c r="T244" s="75" t="n"/>
      <c r="U244" s="75" t="n"/>
      <c r="V244" s="75" t="n"/>
      <c r="W244" s="75" t="n"/>
      <c r="X244" s="75" t="n"/>
      <c r="Y244" s="75" t="n"/>
      <c r="Z244" s="45" t="n"/>
    </row>
    <row r="245">
      <c r="A245" s="40" t="inlineStr">
        <is>
          <t>branchOperating.selectRoutes</t>
        </is>
      </c>
      <c r="B245" s="46" t="inlineStr">
        <is>
          <t>Chọn tuyến</t>
        </is>
      </c>
      <c r="C245" s="46" t="inlineStr">
        <is>
          <t>Select route</t>
        </is>
      </c>
      <c r="D245" s="43" t="inlineStr">
        <is>
          <t>ជ្រើសរើសផ្លូវដឹក</t>
        </is>
      </c>
      <c r="E245" s="75" t="n"/>
      <c r="F245" s="75" t="n"/>
      <c r="G245" s="75" t="inlineStr">
        <is>
          <t>ជ្រើសរើសផ្លូវដឹក</t>
        </is>
      </c>
      <c r="H245" s="75" t="inlineStr">
        <is>
          <t>ជ្រើសរើសផ្លូវដឹក</t>
        </is>
      </c>
      <c r="I245" s="75" t="n"/>
      <c r="J245" s="75" t="n"/>
      <c r="K245" s="75" t="inlineStr">
        <is>
          <t>"branchOperating.selectRoutes": "ជ្រើសរើសផ្លូវដឹក",</t>
        </is>
      </c>
      <c r="L245" s="75" t="n"/>
      <c r="M245" s="75" t="n"/>
      <c r="N245" s="75" t="n"/>
      <c r="O245" s="75" t="n"/>
      <c r="P245" s="75" t="n"/>
      <c r="Q245" s="75" t="n"/>
      <c r="R245" s="75" t="n"/>
      <c r="S245" s="75" t="n"/>
      <c r="T245" s="75" t="n"/>
      <c r="U245" s="75" t="n"/>
      <c r="V245" s="75" t="n"/>
      <c r="W245" s="75" t="n"/>
      <c r="X245" s="75" t="n"/>
      <c r="Y245" s="75" t="n"/>
      <c r="Z245" s="45" t="n"/>
    </row>
    <row r="246">
      <c r="A246" s="40" t="inlineStr">
        <is>
          <t>branchOperating.postOffice</t>
        </is>
      </c>
      <c r="B246" s="46" t="inlineStr">
        <is>
          <t>Bưu cục nhận</t>
        </is>
      </c>
      <c r="C246" s="46" t="inlineStr">
        <is>
          <t>Pickup station</t>
        </is>
      </c>
      <c r="D246" s="43" t="inlineStr">
        <is>
          <t>ការិយាល័យប្រៃសណីយ៍ទទួល</t>
        </is>
      </c>
      <c r="E246" s="75" t="n"/>
      <c r="F246" s="75" t="n"/>
      <c r="G246" s="75" t="inlineStr">
        <is>
          <t>ការិយាល័យប្រៃសណីយ៍ទទួល</t>
        </is>
      </c>
      <c r="H246" s="75" t="inlineStr">
        <is>
          <t>ការិយាល័យប្រៃសណីយ៍ទទួល</t>
        </is>
      </c>
      <c r="I246" s="75" t="n"/>
      <c r="J246" s="75" t="n"/>
      <c r="K246" s="75" t="inlineStr">
        <is>
          <t>"branchOperating.postOffice": "ការិយាល័យប្រៃសណីយ៍ទទួល",</t>
        </is>
      </c>
      <c r="L246" s="75" t="n"/>
      <c r="M246" s="75" t="n"/>
      <c r="N246" s="75" t="n"/>
      <c r="O246" s="75" t="n"/>
      <c r="P246" s="75" t="n"/>
      <c r="Q246" s="75" t="n"/>
      <c r="R246" s="75" t="n"/>
      <c r="S246" s="75" t="n"/>
      <c r="T246" s="75" t="n"/>
      <c r="U246" s="75" t="n"/>
      <c r="V246" s="75" t="n"/>
      <c r="W246" s="75" t="n"/>
      <c r="X246" s="75" t="n"/>
      <c r="Y246" s="75" t="n"/>
      <c r="Z246" s="45" t="n"/>
    </row>
    <row r="247">
      <c r="A247" s="40" t="inlineStr">
        <is>
          <t>branchOperating.employee</t>
        </is>
      </c>
      <c r="B247" s="46" t="inlineStr">
        <is>
          <t>Tuyến nhận</t>
        </is>
      </c>
      <c r="C247" s="46" t="inlineStr">
        <is>
          <t>Pickup route</t>
        </is>
      </c>
      <c r="D247" s="43" t="inlineStr">
        <is>
          <t>ផ្លូវទទួល</t>
        </is>
      </c>
      <c r="E247" s="75" t="n"/>
      <c r="F247" s="75" t="n"/>
      <c r="G247" s="75" t="inlineStr">
        <is>
          <t>ផ្លូវទទួល</t>
        </is>
      </c>
      <c r="H247" s="75" t="inlineStr">
        <is>
          <t>ផ្លូវទទួល</t>
        </is>
      </c>
      <c r="I247" s="75" t="n"/>
      <c r="J247" s="75" t="n"/>
      <c r="K247" s="75" t="inlineStr">
        <is>
          <t>"branchOperating.employee": "ផ្លូវទទួល",</t>
        </is>
      </c>
      <c r="L247" s="75" t="n"/>
      <c r="M247" s="75" t="n"/>
      <c r="N247" s="75" t="n"/>
      <c r="O247" s="75" t="n"/>
      <c r="P247" s="75" t="n"/>
      <c r="Q247" s="75" t="n"/>
      <c r="R247" s="75" t="n"/>
      <c r="S247" s="75" t="n"/>
      <c r="T247" s="75" t="n"/>
      <c r="U247" s="75" t="n"/>
      <c r="V247" s="75" t="n"/>
      <c r="W247" s="75" t="n"/>
      <c r="X247" s="75" t="n"/>
      <c r="Y247" s="75" t="n"/>
      <c r="Z247" s="45" t="n"/>
    </row>
    <row r="248">
      <c r="A248" s="40" t="inlineStr">
        <is>
          <t>branchOperating.personalInfor</t>
        </is>
      </c>
      <c r="B248" s="46" t="inlineStr">
        <is>
          <t>Thông tin người gửi</t>
        </is>
      </c>
      <c r="C248" s="46" t="inlineStr">
        <is>
          <t>Sender information</t>
        </is>
      </c>
      <c r="D248" s="43" t="inlineStr">
        <is>
          <t>ព័ត៌មានអ្នកផ្ញើ</t>
        </is>
      </c>
      <c r="E248" s="75" t="n"/>
      <c r="F248" s="75" t="n"/>
      <c r="G248" s="75" t="inlineStr">
        <is>
          <t>ព័ត៌មានអ្នកផ្ញើ</t>
        </is>
      </c>
      <c r="H248" s="75" t="inlineStr">
        <is>
          <t>ព័ត៌មានអ្នកផ្ញើ</t>
        </is>
      </c>
      <c r="I248" s="75" t="n"/>
      <c r="J248" s="75" t="n"/>
      <c r="K248" s="75" t="inlineStr">
        <is>
          <t>"branchOperating.personalInfor": "ព័ត៌មានអ្នកផ្ញើ",</t>
        </is>
      </c>
      <c r="L248" s="75" t="n"/>
      <c r="M248" s="75" t="n"/>
      <c r="N248" s="75" t="n"/>
      <c r="O248" s="75" t="n"/>
      <c r="P248" s="75" t="n"/>
      <c r="Q248" s="75" t="n"/>
      <c r="R248" s="75" t="n"/>
      <c r="S248" s="75" t="n"/>
      <c r="T248" s="75" t="n"/>
      <c r="U248" s="75" t="n"/>
      <c r="V248" s="75" t="n"/>
      <c r="W248" s="75" t="n"/>
      <c r="X248" s="75" t="n"/>
      <c r="Y248" s="75" t="n"/>
      <c r="Z248" s="45" t="n"/>
    </row>
    <row r="249">
      <c r="A249" s="40" t="inlineStr">
        <is>
          <t>branchOperating.amount</t>
        </is>
      </c>
      <c r="B249" s="46" t="inlineStr">
        <is>
          <t>Số lượng</t>
        </is>
      </c>
      <c r="C249" s="46" t="inlineStr">
        <is>
          <t>Quantity</t>
        </is>
      </c>
      <c r="D249" s="43" t="inlineStr">
        <is>
          <t>ចំនួន</t>
        </is>
      </c>
      <c r="E249" s="75" t="n"/>
      <c r="F249" s="75" t="n"/>
      <c r="G249" s="75" t="inlineStr">
        <is>
          <t>ចំនួន</t>
        </is>
      </c>
      <c r="H249" s="75" t="inlineStr">
        <is>
          <t>ចំនួន</t>
        </is>
      </c>
      <c r="I249" s="75" t="n"/>
      <c r="J249" s="75" t="n"/>
      <c r="K249" s="75" t="inlineStr">
        <is>
          <t>"branchOperating.amount": "ចំនួន",</t>
        </is>
      </c>
      <c r="L249" s="75" t="n"/>
      <c r="M249" s="75" t="n"/>
      <c r="N249" s="75" t="n"/>
      <c r="O249" s="75" t="n"/>
      <c r="P249" s="75" t="n"/>
      <c r="Q249" s="75" t="n"/>
      <c r="R249" s="75" t="n"/>
      <c r="S249" s="75" t="n"/>
      <c r="T249" s="75" t="n"/>
      <c r="U249" s="75" t="n"/>
      <c r="V249" s="75" t="n"/>
      <c r="W249" s="75" t="n"/>
      <c r="X249" s="75" t="n"/>
      <c r="Y249" s="75" t="n"/>
      <c r="Z249" s="45" t="n"/>
    </row>
    <row r="250">
      <c r="A250" s="40" t="inlineStr">
        <is>
          <t>detailsOperating.orderInfor</t>
        </is>
      </c>
      <c r="B250" s="46" t="inlineStr">
        <is>
          <t>Thông tin đơn hàng</t>
        </is>
      </c>
      <c r="C250" s="46" t="inlineStr">
        <is>
          <t>Order information</t>
        </is>
      </c>
      <c r="D250" s="43" t="inlineStr">
        <is>
          <t>ព័ត៌មានបុងបញ្ញើ</t>
        </is>
      </c>
      <c r="E250" s="75" t="n"/>
      <c r="F250" s="75" t="n"/>
      <c r="G250" s="75" t="inlineStr">
        <is>
          <t>ព័ត៌មានបុងបញ្ញើ</t>
        </is>
      </c>
      <c r="H250" s="75" t="inlineStr">
        <is>
          <t>ព័ត៌មានបុងបញ្ញើ</t>
        </is>
      </c>
      <c r="I250" s="75" t="n"/>
      <c r="J250" s="75" t="n"/>
      <c r="K250" s="75" t="inlineStr">
        <is>
          <t>"detailsOperating.orderInfor": "ព័ត៌មានបុងបញ្ញើ",</t>
        </is>
      </c>
      <c r="L250" s="75" t="n"/>
      <c r="M250" s="75" t="n"/>
      <c r="N250" s="75" t="n"/>
      <c r="O250" s="75" t="n"/>
      <c r="P250" s="75" t="n"/>
      <c r="Q250" s="75" t="n"/>
      <c r="R250" s="75" t="n"/>
      <c r="S250" s="75" t="n"/>
      <c r="T250" s="75" t="n"/>
      <c r="U250" s="75" t="n"/>
      <c r="V250" s="75" t="n"/>
      <c r="W250" s="75" t="n"/>
      <c r="X250" s="75" t="n"/>
      <c r="Y250" s="75" t="n"/>
      <c r="Z250" s="45" t="n"/>
    </row>
    <row r="251">
      <c r="A251" s="40" t="inlineStr">
        <is>
          <t>detailsOperating.orderCode</t>
        </is>
      </c>
      <c r="B251" s="46" t="inlineStr">
        <is>
          <t>Mã vận đơn</t>
        </is>
      </c>
      <c r="C251" s="46" t="inlineStr">
        <is>
          <t>Order code</t>
        </is>
      </c>
      <c r="D251" s="43" t="inlineStr">
        <is>
          <t>លេខកូដបុងដឹកជញ្ជូន</t>
        </is>
      </c>
      <c r="E251" s="75" t="n"/>
      <c r="F251" s="75" t="n"/>
      <c r="G251" s="75" t="inlineStr">
        <is>
          <t>លេខកូដបុងបញ្ញើ</t>
        </is>
      </c>
      <c r="H251" s="75" t="inlineStr">
        <is>
          <t>លេខកូដបុងបញ្ញើ</t>
        </is>
      </c>
      <c r="I251" s="75" t="n"/>
      <c r="J251" s="75" t="n"/>
      <c r="K251" s="75" t="inlineStr">
        <is>
          <t>"detailsOperating.orderCode": "លេខកូដបុងបញ្ញើ",</t>
        </is>
      </c>
      <c r="L251" s="75" t="n"/>
      <c r="M251" s="75" t="n"/>
      <c r="N251" s="75" t="n"/>
      <c r="O251" s="75" t="n"/>
      <c r="P251" s="75" t="n"/>
      <c r="Q251" s="75" t="n"/>
      <c r="R251" s="75" t="n"/>
      <c r="S251" s="75" t="n"/>
      <c r="T251" s="75" t="n"/>
      <c r="U251" s="75" t="n"/>
      <c r="V251" s="75" t="n"/>
      <c r="W251" s="75" t="n"/>
      <c r="X251" s="75" t="n"/>
      <c r="Y251" s="75" t="n"/>
      <c r="Z251" s="45" t="n"/>
    </row>
    <row r="252">
      <c r="A252" s="40" t="inlineStr">
        <is>
          <t>detailsOperating.orderStatus</t>
        </is>
      </c>
      <c r="B252" s="46" t="inlineStr">
        <is>
          <t>Trạng thái</t>
        </is>
      </c>
      <c r="C252" s="46" t="inlineStr">
        <is>
          <t>Order status</t>
        </is>
      </c>
      <c r="D252" s="43" t="inlineStr">
        <is>
          <t>ស្ថានភាព</t>
        </is>
      </c>
      <c r="E252" s="75" t="n"/>
      <c r="F252" s="75" t="n"/>
      <c r="G252" s="75" t="inlineStr">
        <is>
          <t>ស្ថានភាព</t>
        </is>
      </c>
      <c r="H252" s="75" t="inlineStr">
        <is>
          <t>ស្ថានភាព</t>
        </is>
      </c>
      <c r="I252" s="75" t="n"/>
      <c r="J252" s="75" t="n"/>
      <c r="K252" s="75" t="inlineStr">
        <is>
          <t>"detailsOperating.orderStatus": "ស្ថានភាព",</t>
        </is>
      </c>
      <c r="L252" s="75" t="n"/>
      <c r="M252" s="75" t="n"/>
      <c r="N252" s="75" t="n"/>
      <c r="O252" s="75" t="n"/>
      <c r="P252" s="75" t="n"/>
      <c r="Q252" s="75" t="n"/>
      <c r="R252" s="75" t="n"/>
      <c r="S252" s="75" t="n"/>
      <c r="T252" s="75" t="n"/>
      <c r="U252" s="75" t="n"/>
      <c r="V252" s="75" t="n"/>
      <c r="W252" s="75" t="n"/>
      <c r="X252" s="75" t="n"/>
      <c r="Y252" s="75" t="n"/>
      <c r="Z252" s="45" t="n"/>
    </row>
    <row r="253">
      <c r="A253" s="40" t="inlineStr">
        <is>
          <t>detailsOperating.dateConfirm</t>
        </is>
      </c>
      <c r="B253" s="46" t="inlineStr">
        <is>
          <t>Ngày duyệt</t>
        </is>
      </c>
      <c r="C253" s="46" t="inlineStr">
        <is>
          <t>Confirmed on</t>
        </is>
      </c>
      <c r="D253" s="75" t="n"/>
      <c r="E253" s="75" t="n"/>
      <c r="F253" s="75" t="n"/>
      <c r="G253" s="75" t="inlineStr">
        <is>
          <t>កាលបរិច្ឆេទអនុម័ត</t>
        </is>
      </c>
      <c r="H253" s="75" t="inlineStr">
        <is>
          <t>កាលបរិច្ឆេទអនុម័ត</t>
        </is>
      </c>
      <c r="I253" s="75" t="n"/>
      <c r="J253" s="75" t="n"/>
      <c r="K253" s="75" t="inlineStr">
        <is>
          <t>"detailsOperating.dateConfirm": "កាលបរិច្ឆេទអនុម័ត",</t>
        </is>
      </c>
      <c r="L253" s="75" t="n"/>
      <c r="M253" s="75" t="n"/>
      <c r="N253" s="75" t="n"/>
      <c r="O253" s="75" t="n"/>
      <c r="P253" s="75" t="n"/>
      <c r="Q253" s="75" t="n"/>
      <c r="R253" s="75" t="n"/>
      <c r="S253" s="75" t="n"/>
      <c r="T253" s="75" t="n"/>
      <c r="U253" s="75" t="n"/>
      <c r="V253" s="75" t="n"/>
      <c r="W253" s="75" t="n"/>
      <c r="X253" s="75" t="n"/>
      <c r="Y253" s="75" t="n"/>
      <c r="Z253" s="45" t="n"/>
    </row>
    <row r="254">
      <c r="A254" s="40" t="inlineStr">
        <is>
          <t>detailsOperating.dateImport</t>
        </is>
      </c>
      <c r="B254" s="46" t="inlineStr">
        <is>
          <t>Ngày nhập máy</t>
        </is>
      </c>
      <c r="C254" s="46" t="inlineStr">
        <is>
          <t>Imported on</t>
        </is>
      </c>
      <c r="D254" s="43" t="inlineStr">
        <is>
          <t>ថ្ងៃបញ្ចូលម៉ាសុីន</t>
        </is>
      </c>
      <c r="E254" s="75" t="n"/>
      <c r="F254" s="75" t="n"/>
      <c r="G254" s="75" t="inlineStr">
        <is>
          <t>កាលបរិច្ឆេទបញ្ចូលប្រព័ន្ធ</t>
        </is>
      </c>
      <c r="H254" s="75" t="inlineStr">
        <is>
          <t>កាលបរិច្ឆេទបញ្ចូលប្រព័ន្ធ</t>
        </is>
      </c>
      <c r="I254" s="75" t="n"/>
      <c r="J254" s="75" t="n"/>
      <c r="K254" s="75" t="inlineStr">
        <is>
          <t>"detailsOperating.dateImport": "កាលបរិច្ឆេទបញ្ចូលប្រព័ន្ធ",</t>
        </is>
      </c>
      <c r="L254" s="75" t="n"/>
      <c r="M254" s="75" t="n"/>
      <c r="N254" s="75" t="n"/>
      <c r="O254" s="75" t="n"/>
      <c r="P254" s="75" t="n"/>
      <c r="Q254" s="75" t="n"/>
      <c r="R254" s="75" t="n"/>
      <c r="S254" s="75" t="n"/>
      <c r="T254" s="75" t="n"/>
      <c r="U254" s="75" t="n"/>
      <c r="V254" s="75" t="n"/>
      <c r="W254" s="75" t="n"/>
      <c r="X254" s="75" t="n"/>
      <c r="Y254" s="75" t="n"/>
      <c r="Z254" s="45" t="n"/>
    </row>
    <row r="255">
      <c r="A255" s="40" t="inlineStr">
        <is>
          <t>detailsOperating.postOffice</t>
        </is>
      </c>
      <c r="B255" s="46" t="inlineStr">
        <is>
          <t>Bưu cục nhận</t>
        </is>
      </c>
      <c r="C255" s="46" t="inlineStr">
        <is>
          <t>Pickup station</t>
        </is>
      </c>
      <c r="D255" s="43" t="inlineStr">
        <is>
          <t>ការិយាល័យប្រៃសណីយ៍ទទួល</t>
        </is>
      </c>
      <c r="E255" s="75" t="n"/>
      <c r="F255" s="75" t="n"/>
      <c r="G255" s="75" t="inlineStr">
        <is>
          <t>ការិយាល័យប្រៃសណីយ៍ទទួល</t>
        </is>
      </c>
      <c r="H255" s="75" t="inlineStr">
        <is>
          <t>ការិយាល័យប្រៃសណីយ៍ទទួល</t>
        </is>
      </c>
      <c r="I255" s="75" t="n"/>
      <c r="J255" s="75" t="n"/>
      <c r="K255" s="75" t="inlineStr">
        <is>
          <t>"detailsOperating.postOffice": "ការិយាល័យប្រៃសណីយ៍ទទួល",</t>
        </is>
      </c>
      <c r="L255" s="75" t="n"/>
      <c r="M255" s="75" t="n"/>
      <c r="N255" s="75" t="n"/>
      <c r="O255" s="75" t="n"/>
      <c r="P255" s="75" t="n"/>
      <c r="Q255" s="75" t="n"/>
      <c r="R255" s="75" t="n"/>
      <c r="S255" s="75" t="n"/>
      <c r="T255" s="75" t="n"/>
      <c r="U255" s="75" t="n"/>
      <c r="V255" s="75" t="n"/>
      <c r="W255" s="75" t="n"/>
      <c r="X255" s="75" t="n"/>
      <c r="Y255" s="75" t="n"/>
      <c r="Z255" s="45" t="n"/>
    </row>
    <row r="256">
      <c r="A256" s="40" t="inlineStr">
        <is>
          <t>detailsOperating.postman</t>
        </is>
      </c>
      <c r="B256" s="46" t="inlineStr">
        <is>
          <t>Tuyến nhận</t>
        </is>
      </c>
      <c r="C256" s="46" t="inlineStr">
        <is>
          <t>Postman</t>
        </is>
      </c>
      <c r="D256" s="43" t="inlineStr">
        <is>
          <t>ផ្លូវទទួល</t>
        </is>
      </c>
      <c r="E256" s="75" t="n"/>
      <c r="F256" s="75" t="n"/>
      <c r="G256" s="75" t="inlineStr">
        <is>
          <t>ផ្លូវទទួល</t>
        </is>
      </c>
      <c r="H256" s="75" t="inlineStr">
        <is>
          <t>ផ្លូវទទួល</t>
        </is>
      </c>
      <c r="I256" s="75" t="n"/>
      <c r="J256" s="75" t="n"/>
      <c r="K256" s="75" t="inlineStr">
        <is>
          <t>"detailsOperating.postman": "ផ្លូវទទួល",</t>
        </is>
      </c>
      <c r="L256" s="75" t="n"/>
      <c r="M256" s="75" t="n"/>
      <c r="N256" s="75" t="n"/>
      <c r="O256" s="75" t="n"/>
      <c r="P256" s="75" t="n"/>
      <c r="Q256" s="75" t="n"/>
      <c r="R256" s="75" t="n"/>
      <c r="S256" s="75" t="n"/>
      <c r="T256" s="75" t="n"/>
      <c r="U256" s="75" t="n"/>
      <c r="V256" s="75" t="n"/>
      <c r="W256" s="75" t="n"/>
      <c r="X256" s="75" t="n"/>
      <c r="Y256" s="75" t="n"/>
      <c r="Z256" s="45" t="n"/>
    </row>
    <row r="257">
      <c r="A257" s="40" t="inlineStr">
        <is>
          <t>detailsOperating.senderInfor</t>
        </is>
      </c>
      <c r="B257" s="46" t="inlineStr">
        <is>
          <t>Địa chỉ người gửi</t>
        </is>
      </c>
      <c r="C257" s="46" t="inlineStr">
        <is>
          <t>Sender address</t>
        </is>
      </c>
      <c r="D257" s="43" t="inlineStr">
        <is>
          <t>អាស័យដ្ឋានអ្នកផ្ញើ</t>
        </is>
      </c>
      <c r="E257" s="75" t="n"/>
      <c r="F257" s="75" t="n"/>
      <c r="G257" s="75" t="inlineStr">
        <is>
          <t>អាសយដ្ឋានអ្នកផ្ញើ</t>
        </is>
      </c>
      <c r="H257" s="75" t="inlineStr">
        <is>
          <t>អាសយដ្ឋានអ្នកផ្ញើ</t>
        </is>
      </c>
      <c r="I257" s="75" t="n"/>
      <c r="J257" s="75" t="n"/>
      <c r="K257" s="75" t="inlineStr">
        <is>
          <t>"detailsOperating.senderInfor": "អាសយដ្ឋានអ្នកផ្ញើ",</t>
        </is>
      </c>
      <c r="L257" s="75" t="n"/>
      <c r="M257" s="75" t="n"/>
      <c r="N257" s="75" t="n"/>
      <c r="O257" s="75" t="n"/>
      <c r="P257" s="75" t="n"/>
      <c r="Q257" s="75" t="n"/>
      <c r="R257" s="75" t="n"/>
      <c r="S257" s="75" t="n"/>
      <c r="T257" s="75" t="n"/>
      <c r="U257" s="75" t="n"/>
      <c r="V257" s="75" t="n"/>
      <c r="W257" s="75" t="n"/>
      <c r="X257" s="75" t="n"/>
      <c r="Y257" s="75" t="n"/>
      <c r="Z257" s="45" t="n"/>
    </row>
    <row r="258">
      <c r="A258" s="40" t="inlineStr">
        <is>
          <t>detailsOperating.receiverInfor</t>
        </is>
      </c>
      <c r="B258" s="46" t="inlineStr">
        <is>
          <t>Địa chỉ người nhận</t>
        </is>
      </c>
      <c r="C258" s="46" t="inlineStr">
        <is>
          <t>Receiver address</t>
        </is>
      </c>
      <c r="D258" s="43" t="inlineStr">
        <is>
          <t>អាស័យដ្ឋានអ្នកទទួល</t>
        </is>
      </c>
      <c r="E258" s="75" t="n"/>
      <c r="F258" s="75" t="n"/>
      <c r="G258" s="75" t="inlineStr">
        <is>
          <t>អាសយដ្ឋានអ្នកទទួល</t>
        </is>
      </c>
      <c r="H258" s="75" t="inlineStr">
        <is>
          <t>អាសយដ្ឋានអ្នកទទួល</t>
        </is>
      </c>
      <c r="I258" s="75" t="n"/>
      <c r="J258" s="75" t="n"/>
      <c r="K258" s="75" t="inlineStr">
        <is>
          <t>"detailsOperating.receiverInfor": "អាសយដ្ឋានអ្នកទទួល",</t>
        </is>
      </c>
      <c r="L258" s="75" t="n"/>
      <c r="M258" s="75" t="n"/>
      <c r="N258" s="75" t="n"/>
      <c r="O258" s="75" t="n"/>
      <c r="P258" s="75" t="n"/>
      <c r="Q258" s="75" t="n"/>
      <c r="R258" s="75" t="n"/>
      <c r="S258" s="75" t="n"/>
      <c r="T258" s="75" t="n"/>
      <c r="U258" s="75" t="n"/>
      <c r="V258" s="75" t="n"/>
      <c r="W258" s="75" t="n"/>
      <c r="X258" s="75" t="n"/>
      <c r="Y258" s="75" t="n"/>
      <c r="Z258" s="45" t="n"/>
    </row>
    <row r="259">
      <c r="A259" s="40" t="inlineStr">
        <is>
          <t>detailsOperating.codeProvince</t>
        </is>
      </c>
      <c r="B259" s="46" t="inlineStr">
        <is>
          <t>Mã tỉnh</t>
        </is>
      </c>
      <c r="C259" s="46" t="inlineStr">
        <is>
          <t>Province Code</t>
        </is>
      </c>
      <c r="D259" s="43" t="inlineStr">
        <is>
          <t>លេខកូដខេត្ត</t>
        </is>
      </c>
      <c r="E259" s="75" t="n"/>
      <c r="F259" s="75" t="n"/>
      <c r="G259" s="75" t="inlineStr">
        <is>
          <t>លេខកូដខេត្ត</t>
        </is>
      </c>
      <c r="H259" s="75" t="inlineStr">
        <is>
          <t>លេខកូដខេត្ត</t>
        </is>
      </c>
      <c r="I259" s="75" t="n"/>
      <c r="J259" s="75" t="n"/>
      <c r="K259" s="75" t="inlineStr">
        <is>
          <t>"detailsOperating.codeProvince": "លេខកូដខេត្ត",</t>
        </is>
      </c>
      <c r="L259" s="75" t="n"/>
      <c r="M259" s="75" t="n"/>
      <c r="N259" s="75" t="n"/>
      <c r="O259" s="75" t="n"/>
      <c r="P259" s="75" t="n"/>
      <c r="Q259" s="75" t="n"/>
      <c r="R259" s="75" t="n"/>
      <c r="S259" s="75" t="n"/>
      <c r="T259" s="75" t="n"/>
      <c r="U259" s="75" t="n"/>
      <c r="V259" s="75" t="n"/>
      <c r="W259" s="75" t="n"/>
      <c r="X259" s="75" t="n"/>
      <c r="Y259" s="75" t="n"/>
      <c r="Z259" s="45" t="n"/>
    </row>
    <row r="260">
      <c r="A260" s="40" t="inlineStr">
        <is>
          <t>detailsOperating.district</t>
        </is>
      </c>
      <c r="B260" s="46" t="inlineStr">
        <is>
          <t>Quận/Huyện</t>
        </is>
      </c>
      <c r="C260" s="46" t="inlineStr">
        <is>
          <t>District</t>
        </is>
      </c>
      <c r="D260" s="43" t="inlineStr">
        <is>
          <t>ស្រុក/ខណ្ឌ</t>
        </is>
      </c>
      <c r="E260" s="75" t="n"/>
      <c r="F260" s="75" t="n"/>
      <c r="G260" s="75" t="inlineStr">
        <is>
          <t>ស្រុក/ខណ្ឌ</t>
        </is>
      </c>
      <c r="H260" s="75" t="inlineStr">
        <is>
          <t>ស្រុក/ខណ្ឌ</t>
        </is>
      </c>
      <c r="I260" s="75" t="n"/>
      <c r="J260" s="75" t="n"/>
      <c r="K260" s="75" t="inlineStr">
        <is>
          <t>"detailsOperating.district": "ស្រុក/ខណ្ឌ",</t>
        </is>
      </c>
      <c r="L260" s="75" t="n"/>
      <c r="M260" s="75" t="n"/>
      <c r="N260" s="75" t="n"/>
      <c r="O260" s="75" t="n"/>
      <c r="P260" s="75" t="n"/>
      <c r="Q260" s="75" t="n"/>
      <c r="R260" s="75" t="n"/>
      <c r="S260" s="75" t="n"/>
      <c r="T260" s="75" t="n"/>
      <c r="U260" s="75" t="n"/>
      <c r="V260" s="75" t="n"/>
      <c r="W260" s="75" t="n"/>
      <c r="X260" s="75" t="n"/>
      <c r="Y260" s="75" t="n"/>
      <c r="Z260" s="45" t="n"/>
    </row>
    <row r="261">
      <c r="A261" s="40" t="inlineStr">
        <is>
          <t>detailsOperating.total</t>
        </is>
      </c>
      <c r="B261" s="46" t="inlineStr">
        <is>
          <t>Tổng đơn hàng</t>
        </is>
      </c>
      <c r="C261" s="46" t="inlineStr">
        <is>
          <t>Total order</t>
        </is>
      </c>
      <c r="D261" s="43" t="inlineStr">
        <is>
          <t>សរុបបុុងបញ្ញើ</t>
        </is>
      </c>
      <c r="E261" s="75" t="n"/>
      <c r="F261" s="75" t="n"/>
      <c r="G261" s="75" t="inlineStr">
        <is>
          <t>សរុបបុុងបញ្ញើ</t>
        </is>
      </c>
      <c r="H261" s="75" t="inlineStr">
        <is>
          <t>សរុបបុុងបញ្ញើ</t>
        </is>
      </c>
      <c r="I261" s="75" t="n"/>
      <c r="J261" s="75" t="n"/>
      <c r="K261" s="75" t="inlineStr">
        <is>
          <t>"detailsOperating.total": "សរុបបុុងបញ្ញើ",</t>
        </is>
      </c>
      <c r="L261" s="75" t="n"/>
      <c r="M261" s="75" t="n"/>
      <c r="N261" s="75" t="n"/>
      <c r="O261" s="75" t="n"/>
      <c r="P261" s="75" t="n"/>
      <c r="Q261" s="75" t="n"/>
      <c r="R261" s="75" t="n"/>
      <c r="S261" s="75" t="n"/>
      <c r="T261" s="75" t="n"/>
      <c r="U261" s="75" t="n"/>
      <c r="V261" s="75" t="n"/>
      <c r="W261" s="75" t="n"/>
      <c r="X261" s="75" t="n"/>
      <c r="Y261" s="75" t="n"/>
      <c r="Z261" s="45" t="n"/>
    </row>
    <row r="262">
      <c r="A262" s="40" t="inlineStr">
        <is>
          <t>progressAssign.pregressing</t>
        </is>
      </c>
      <c r="B262" s="46" t="inlineStr">
        <is>
          <t>Đang gán đơn</t>
        </is>
      </c>
      <c r="C262" s="46" t="inlineStr">
        <is>
          <t>Assigning orders</t>
        </is>
      </c>
      <c r="D262" s="75" t="n"/>
      <c r="E262" s="75" t="n"/>
      <c r="F262" s="75" t="n"/>
      <c r="G262" s="75" t="inlineStr">
        <is>
          <t>កំពុងចាត់តាំងបញ្ញើ</t>
        </is>
      </c>
      <c r="H262" s="75" t="inlineStr">
        <is>
          <t>កំពុងចាត់តាំងបញ្ញើ</t>
        </is>
      </c>
      <c r="I262" s="75" t="n"/>
      <c r="J262" s="75" t="n"/>
      <c r="K262" s="75" t="inlineStr">
        <is>
          <t>"progressAssign.pregressing": "កំពុងចាត់តាំងបញ្ញើ",</t>
        </is>
      </c>
      <c r="L262" s="75" t="n"/>
      <c r="M262" s="75" t="n"/>
      <c r="N262" s="75" t="n"/>
      <c r="O262" s="75" t="n"/>
      <c r="P262" s="75" t="n"/>
      <c r="Q262" s="75" t="n"/>
      <c r="R262" s="75" t="n"/>
      <c r="S262" s="75" t="n"/>
      <c r="T262" s="75" t="n"/>
      <c r="U262" s="75" t="n"/>
      <c r="V262" s="75" t="n"/>
      <c r="W262" s="75" t="n"/>
      <c r="X262" s="75" t="n"/>
      <c r="Y262" s="75" t="n"/>
      <c r="Z262" s="45" t="n"/>
    </row>
    <row r="263">
      <c r="A263" s="40" t="inlineStr">
        <is>
          <t>progressAssign.getOrderFail</t>
        </is>
      </c>
      <c r="B263" s="46" t="inlineStr">
        <is>
          <t>Lỗi lấy danh sách đơn của kho</t>
        </is>
      </c>
      <c r="C263" s="46" t="inlineStr">
        <is>
          <t>Error getting list of warehouse orders</t>
        </is>
      </c>
      <c r="D263" s="75" t="n"/>
      <c r="E263" s="75" t="n"/>
      <c r="F263" s="75" t="n"/>
      <c r="G263" s="75" t="inlineStr">
        <is>
          <t>មានបញ្ហាក្នុងការទាញយកបញ្ជីបញ្ញើរបស់ឃ្លាំង</t>
        </is>
      </c>
      <c r="H263" s="75" t="inlineStr">
        <is>
          <t>មានបញ្ហាក្នុងការទាញយកបញ្ជីបញ្ញើរបស់ឃ្លាំង</t>
        </is>
      </c>
      <c r="I263" s="75" t="n"/>
      <c r="J263" s="75" t="n"/>
      <c r="K263" s="75" t="inlineStr">
        <is>
          <t>"progressAssign.getOrderFail": "មានបញ្ហាក្នុងការទាញយកបញ្ជីបញ្ញើរបស់ឃ្លាំង",</t>
        </is>
      </c>
      <c r="L263" s="75" t="n"/>
      <c r="M263" s="75" t="n"/>
      <c r="N263" s="75" t="n"/>
      <c r="O263" s="75" t="n"/>
      <c r="P263" s="75" t="n"/>
      <c r="Q263" s="75" t="n"/>
      <c r="R263" s="75" t="n"/>
      <c r="S263" s="75" t="n"/>
      <c r="T263" s="75" t="n"/>
      <c r="U263" s="75" t="n"/>
      <c r="V263" s="75" t="n"/>
      <c r="W263" s="75" t="n"/>
      <c r="X263" s="75" t="n"/>
      <c r="Y263" s="75" t="n"/>
      <c r="Z263" s="45" t="n"/>
    </row>
    <row r="264">
      <c r="A264" s="40" t="inlineStr">
        <is>
          <t>progressAssign.assignDone</t>
        </is>
      </c>
      <c r="B264" s="46" t="inlineStr">
        <is>
          <t>Gán đơn kho thành công!</t>
        </is>
      </c>
      <c r="C264" s="46" t="inlineStr">
        <is>
          <t>Assigned total order in warehouse successfully!</t>
        </is>
      </c>
      <c r="D264" s="75" t="n"/>
      <c r="E264" s="75" t="n"/>
      <c r="F264" s="75" t="n"/>
      <c r="G264" s="75" t="inlineStr">
        <is>
          <t>ចាត់តាំងបញ្ញើក្នុងឃ្លាំងជោគជ័យ!</t>
        </is>
      </c>
      <c r="H264" s="75" t="inlineStr">
        <is>
          <t>ចាត់តាំងបញ្ញើក្នុងឃ្លាំងជោគជ័យ!</t>
        </is>
      </c>
      <c r="I264" s="75" t="n"/>
      <c r="J264" s="75" t="n"/>
      <c r="K264" s="75" t="inlineStr">
        <is>
          <t>"progressAssign.assignDone": "ចាត់តាំងបញ្ញើក្នុងឃ្លាំងជោគជ័យ!",</t>
        </is>
      </c>
      <c r="L264" s="75" t="n"/>
      <c r="M264" s="75" t="n"/>
      <c r="N264" s="75" t="n"/>
      <c r="O264" s="75" t="n"/>
      <c r="P264" s="75" t="n"/>
      <c r="Q264" s="75" t="n"/>
      <c r="R264" s="75" t="n"/>
      <c r="S264" s="75" t="n"/>
      <c r="T264" s="75" t="n"/>
      <c r="U264" s="75" t="n"/>
      <c r="V264" s="75" t="n"/>
      <c r="W264" s="75" t="n"/>
      <c r="X264" s="75" t="n"/>
      <c r="Y264" s="75" t="n"/>
      <c r="Z264" s="45" t="n"/>
    </row>
    <row r="265">
      <c r="A265" s="40" t="inlineStr">
        <is>
          <t>progressAssign.orderSuccess</t>
        </is>
      </c>
      <c r="B265" s="46" t="inlineStr">
        <is>
          <t>Đơn gán thành công</t>
        </is>
      </c>
      <c r="C265" s="46" t="inlineStr">
        <is>
          <t>Assigned order successfully!</t>
        </is>
      </c>
      <c r="D265" s="43" t="inlineStr">
        <is>
          <t>ការចាត់តាំងការបញ្ជាទិញជោគជ័យ</t>
        </is>
      </c>
      <c r="E265" s="75" t="n"/>
      <c r="F265" s="75" t="n"/>
      <c r="G265" s="75" t="inlineStr">
        <is>
          <t>ការចាត់តាំងការបញ្ជាទិញជោគជ័យ</t>
        </is>
      </c>
      <c r="H265" s="75" t="inlineStr">
        <is>
          <t>ការចាត់តាំងការបញ្ជាទិញជោគជ័យ</t>
        </is>
      </c>
      <c r="I265" s="75" t="n"/>
      <c r="J265" s="75" t="n"/>
      <c r="K265" s="75" t="inlineStr">
        <is>
          <t>"progressAssign.orderSuccess": "ការចាត់តាំងការបញ្ជាទិញជោគជ័យ",</t>
        </is>
      </c>
      <c r="L265" s="75" t="n"/>
      <c r="M265" s="75" t="n"/>
      <c r="N265" s="75" t="n"/>
      <c r="O265" s="75" t="n"/>
      <c r="P265" s="75" t="n"/>
      <c r="Q265" s="75" t="n"/>
      <c r="R265" s="75" t="n"/>
      <c r="S265" s="75" t="n"/>
      <c r="T265" s="75" t="n"/>
      <c r="U265" s="75" t="n"/>
      <c r="V265" s="75" t="n"/>
      <c r="W265" s="75" t="n"/>
      <c r="X265" s="75" t="n"/>
      <c r="Y265" s="75" t="n"/>
      <c r="Z265" s="45" t="n"/>
    </row>
    <row r="266">
      <c r="A266" s="40" t="inlineStr">
        <is>
          <t>progressAssign.orderFail</t>
        </is>
      </c>
      <c r="B266" s="46" t="inlineStr">
        <is>
          <t>Đơn gán thất bại</t>
        </is>
      </c>
      <c r="C266" s="46" t="inlineStr">
        <is>
          <t>Assigned order failed!</t>
        </is>
      </c>
      <c r="D266" s="43" t="inlineStr">
        <is>
          <t>ការចាត់តាំងការបញ្ជាទិញបរាជ័យ</t>
        </is>
      </c>
      <c r="E266" s="75" t="n"/>
      <c r="F266" s="75" t="n"/>
      <c r="G266" s="75" t="inlineStr">
        <is>
          <t>ការចាត់តាំងការបញ្ជាទិញបរាជ័យ</t>
        </is>
      </c>
      <c r="H266" s="75" t="inlineStr">
        <is>
          <t>ការចាត់តាំងការបញ្ជាទិញបរាជ័យ</t>
        </is>
      </c>
      <c r="I266" s="75" t="n"/>
      <c r="J266" s="75" t="n"/>
      <c r="K266" s="75" t="inlineStr">
        <is>
          <t>"progressAssign.orderFail": "ការចាត់តាំងការបញ្ជាទិញបរាជ័យ",</t>
        </is>
      </c>
      <c r="L266" s="75" t="n"/>
      <c r="M266" s="75" t="n"/>
      <c r="N266" s="75" t="n"/>
      <c r="O266" s="75" t="n"/>
      <c r="P266" s="75" t="n"/>
      <c r="Q266" s="75" t="n"/>
      <c r="R266" s="75" t="n"/>
      <c r="S266" s="75" t="n"/>
      <c r="T266" s="75" t="n"/>
      <c r="U266" s="75" t="n"/>
      <c r="V266" s="75" t="n"/>
      <c r="W266" s="75" t="n"/>
      <c r="X266" s="75" t="n"/>
      <c r="Y266" s="75" t="n"/>
      <c r="Z266" s="45" t="n"/>
    </row>
    <row r="267">
      <c r="A267" s="48" t="inlineStr">
        <is>
          <t>shift.createShift</t>
        </is>
      </c>
      <c r="B267" s="55" t="inlineStr">
        <is>
          <t>Thêm mới ca làm việc</t>
        </is>
      </c>
      <c r="C267" s="55" t="inlineStr">
        <is>
          <t>Create new shift</t>
        </is>
      </c>
      <c r="D267" s="51" t="inlineStr">
        <is>
          <t>បន្ថែមវេនធ្វើការថ្មី</t>
        </is>
      </c>
      <c r="E267" s="71" t="n"/>
      <c r="F267" s="71" t="n"/>
      <c r="G267" s="71" t="inlineStr">
        <is>
          <t>បន្ថែមវេនធ្វើការថ្មី</t>
        </is>
      </c>
      <c r="H267" s="71" t="inlineStr">
        <is>
          <t>បន្ថែមវេនធ្វើការថ្មី</t>
        </is>
      </c>
      <c r="I267" s="71" t="n"/>
      <c r="J267" s="71" t="n"/>
      <c r="K267" s="71" t="inlineStr">
        <is>
          <t>"shift.createShift": "បន្ថែមវេនធ្វើការថ្មី",</t>
        </is>
      </c>
      <c r="L267" s="71" t="n"/>
      <c r="M267" s="71" t="n"/>
      <c r="N267" s="71" t="n"/>
      <c r="O267" s="71" t="n"/>
      <c r="P267" s="71" t="n"/>
      <c r="Q267" s="71" t="n"/>
      <c r="R267" s="71" t="n"/>
      <c r="S267" s="71" t="n"/>
      <c r="T267" s="71" t="n"/>
      <c r="U267" s="71" t="n"/>
      <c r="V267" s="71" t="n"/>
      <c r="W267" s="71" t="n"/>
      <c r="X267" s="71" t="n"/>
      <c r="Y267" s="71" t="n"/>
      <c r="Z267" s="53" t="n"/>
    </row>
    <row r="268">
      <c r="A268" s="48" t="inlineStr">
        <is>
          <t>shift.updateShift</t>
        </is>
      </c>
      <c r="B268" s="55" t="inlineStr">
        <is>
          <t>Chỉnh sửa ca làm việc</t>
        </is>
      </c>
      <c r="C268" s="55" t="inlineStr">
        <is>
          <t>Update shift</t>
        </is>
      </c>
      <c r="D268" s="51" t="inlineStr">
        <is>
          <t>កែសម្រួលវេនធ្វើការ</t>
        </is>
      </c>
      <c r="E268" s="71" t="n"/>
      <c r="F268" s="71" t="n"/>
      <c r="G268" s="71" t="inlineStr">
        <is>
          <t>កែសម្រួលវេនធ្វើការ</t>
        </is>
      </c>
      <c r="H268" s="71" t="inlineStr">
        <is>
          <t>កែសម្រួលវេនធ្វើការ</t>
        </is>
      </c>
      <c r="I268" s="71" t="n"/>
      <c r="J268" s="71" t="n"/>
      <c r="K268" s="71" t="inlineStr">
        <is>
          <t>"shift.updateShift": "កែសម្រួលវេនធ្វើការ",</t>
        </is>
      </c>
      <c r="L268" s="71" t="n"/>
      <c r="M268" s="71" t="n"/>
      <c r="N268" s="71" t="n"/>
      <c r="O268" s="71" t="n"/>
      <c r="P268" s="71" t="n"/>
      <c r="Q268" s="71" t="n"/>
      <c r="R268" s="71" t="n"/>
      <c r="S268" s="71" t="n"/>
      <c r="T268" s="71" t="n"/>
      <c r="U268" s="71" t="n"/>
      <c r="V268" s="71" t="n"/>
      <c r="W268" s="71" t="n"/>
      <c r="X268" s="71" t="n"/>
      <c r="Y268" s="71" t="n"/>
      <c r="Z268" s="53" t="n"/>
    </row>
    <row r="269">
      <c r="A269" s="48" t="inlineStr">
        <is>
          <t>shift.searchKeyword</t>
        </is>
      </c>
      <c r="B269" s="55" t="inlineStr">
        <is>
          <t>Ca làm việc</t>
        </is>
      </c>
      <c r="C269" s="55" t="inlineStr">
        <is>
          <t>Seach for shift</t>
        </is>
      </c>
      <c r="D269" s="51" t="inlineStr">
        <is>
          <t>វេនធ្វើការ</t>
        </is>
      </c>
      <c r="E269" s="71" t="n"/>
      <c r="F269" s="71" t="n"/>
      <c r="G269" s="71" t="inlineStr">
        <is>
          <t>វេនធ្វើការ</t>
        </is>
      </c>
      <c r="H269" s="71" t="inlineStr">
        <is>
          <t>វេនធ្វើការ</t>
        </is>
      </c>
      <c r="I269" s="71" t="n"/>
      <c r="J269" s="71" t="n"/>
      <c r="K269" s="71" t="inlineStr">
        <is>
          <t>"shift.searchKeyword": "វេនធ្វើការ",</t>
        </is>
      </c>
      <c r="L269" s="71" t="n"/>
      <c r="M269" s="71" t="n"/>
      <c r="N269" s="71" t="n"/>
      <c r="O269" s="71" t="n"/>
      <c r="P269" s="71" t="n"/>
      <c r="Q269" s="71" t="n"/>
      <c r="R269" s="71" t="n"/>
      <c r="S269" s="71" t="n"/>
      <c r="T269" s="71" t="n"/>
      <c r="U269" s="71" t="n"/>
      <c r="V269" s="71" t="n"/>
      <c r="W269" s="71" t="n"/>
      <c r="X269" s="71" t="n"/>
      <c r="Y269" s="71" t="n"/>
      <c r="Z269" s="53" t="n"/>
    </row>
    <row r="270">
      <c r="A270" s="48" t="inlineStr">
        <is>
          <t>shift.searchPlaceholder</t>
        </is>
      </c>
      <c r="B270" s="55" t="inlineStr">
        <is>
          <t>Nhập tên ca làm việc</t>
        </is>
      </c>
      <c r="C270" s="55" t="inlineStr">
        <is>
          <t>Enter shift name</t>
        </is>
      </c>
      <c r="D270" s="51" t="inlineStr">
        <is>
          <t>បញ្ចូលឈ្មោះវេនធ្វើ្វការ</t>
        </is>
      </c>
      <c r="E270" s="71" t="n"/>
      <c r="F270" s="71" t="n"/>
      <c r="G270" s="71" t="inlineStr">
        <is>
          <t>បញ្ចូលឈ្មោះវេនធ្វើ្វការ</t>
        </is>
      </c>
      <c r="H270" s="71" t="inlineStr">
        <is>
          <t>បញ្ចូលឈ្មោះវេនធ្វើ្វការ</t>
        </is>
      </c>
      <c r="I270" s="71" t="n"/>
      <c r="J270" s="71" t="n"/>
      <c r="K270" s="71" t="inlineStr">
        <is>
          <t>"shift.searchPlaceholder": "បញ្ចូលឈ្មោះវេនធ្វើ្វការ",</t>
        </is>
      </c>
      <c r="L270" s="71" t="n"/>
      <c r="M270" s="71" t="n"/>
      <c r="N270" s="71" t="n"/>
      <c r="O270" s="71" t="n"/>
      <c r="P270" s="71" t="n"/>
      <c r="Q270" s="71" t="n"/>
      <c r="R270" s="71" t="n"/>
      <c r="S270" s="71" t="n"/>
      <c r="T270" s="71" t="n"/>
      <c r="U270" s="71" t="n"/>
      <c r="V270" s="71" t="n"/>
      <c r="W270" s="71" t="n"/>
      <c r="X270" s="71" t="n"/>
      <c r="Y270" s="71" t="n"/>
      <c r="Z270" s="53" t="n"/>
    </row>
    <row r="271">
      <c r="A271" s="48" t="inlineStr">
        <is>
          <t>shift.nameShift</t>
        </is>
      </c>
      <c r="B271" s="55" t="inlineStr">
        <is>
          <t>Tên ca</t>
        </is>
      </c>
      <c r="C271" s="55" t="inlineStr">
        <is>
          <t>Shift name</t>
        </is>
      </c>
      <c r="D271" s="51" t="inlineStr">
        <is>
          <t>ឈ្មោះវេនធ្វើការ</t>
        </is>
      </c>
      <c r="E271" s="71" t="n"/>
      <c r="F271" s="71" t="n"/>
      <c r="G271" s="71" t="inlineStr">
        <is>
          <t>ឈ្មោះវេនធ្វើការ</t>
        </is>
      </c>
      <c r="H271" s="71" t="inlineStr">
        <is>
          <t>ឈ្មោះវេនធ្វើការ</t>
        </is>
      </c>
      <c r="I271" s="71" t="n"/>
      <c r="J271" s="71" t="n"/>
      <c r="K271" s="71" t="inlineStr">
        <is>
          <t>"shift.nameShift": "ឈ្មោះវេនធ្វើការ",</t>
        </is>
      </c>
      <c r="L271" s="71" t="n"/>
      <c r="M271" s="71" t="n"/>
      <c r="N271" s="71" t="n"/>
      <c r="O271" s="71" t="n"/>
      <c r="P271" s="71" t="n"/>
      <c r="Q271" s="71" t="n"/>
      <c r="R271" s="71" t="n"/>
      <c r="S271" s="71" t="n"/>
      <c r="T271" s="71" t="n"/>
      <c r="U271" s="71" t="n"/>
      <c r="V271" s="71" t="n"/>
      <c r="W271" s="71" t="n"/>
      <c r="X271" s="71" t="n"/>
      <c r="Y271" s="71" t="n"/>
      <c r="Z271" s="53" t="n"/>
    </row>
    <row r="272">
      <c r="A272" s="48" t="inlineStr">
        <is>
          <t>shift.startTime</t>
        </is>
      </c>
      <c r="B272" s="55" t="inlineStr">
        <is>
          <t>Giờ bắt đầu</t>
        </is>
      </c>
      <c r="C272" s="55" t="inlineStr">
        <is>
          <t>Start hour</t>
        </is>
      </c>
      <c r="D272" s="51" t="inlineStr">
        <is>
          <t>ម៉ោងចាប់ផ្តើម</t>
        </is>
      </c>
      <c r="E272" s="71" t="n"/>
      <c r="F272" s="71" t="n"/>
      <c r="G272" s="71" t="inlineStr">
        <is>
          <t>ម៉ោងចាប់ផ្តើម</t>
        </is>
      </c>
      <c r="H272" s="71" t="inlineStr">
        <is>
          <t>ម៉ោងចាប់ផ្តើម</t>
        </is>
      </c>
      <c r="I272" s="71" t="n"/>
      <c r="J272" s="71" t="n"/>
      <c r="K272" s="71" t="inlineStr">
        <is>
          <t>"shift.startTime": "ម៉ោងចាប់ផ្តើម",</t>
        </is>
      </c>
      <c r="L272" s="71" t="n"/>
      <c r="M272" s="71" t="n"/>
      <c r="N272" s="71" t="n"/>
      <c r="O272" s="71" t="n"/>
      <c r="P272" s="71" t="n"/>
      <c r="Q272" s="71" t="n"/>
      <c r="R272" s="71" t="n"/>
      <c r="S272" s="71" t="n"/>
      <c r="T272" s="71" t="n"/>
      <c r="U272" s="71" t="n"/>
      <c r="V272" s="71" t="n"/>
      <c r="W272" s="71" t="n"/>
      <c r="X272" s="71" t="n"/>
      <c r="Y272" s="71" t="n"/>
      <c r="Z272" s="53" t="n"/>
    </row>
    <row r="273">
      <c r="A273" s="48" t="inlineStr">
        <is>
          <t>shift.finishTime</t>
        </is>
      </c>
      <c r="B273" s="55" t="inlineStr">
        <is>
          <t>Giờ kết thúc</t>
        </is>
      </c>
      <c r="C273" s="55" t="inlineStr">
        <is>
          <t>End hour</t>
        </is>
      </c>
      <c r="D273" s="51" t="inlineStr">
        <is>
          <t>ពេលវេលាបញ្ចប់</t>
        </is>
      </c>
      <c r="E273" s="71" t="n"/>
      <c r="F273" s="71" t="n"/>
      <c r="G273" s="71" t="inlineStr">
        <is>
          <t>ពេលវេលាបញ្ចប់</t>
        </is>
      </c>
      <c r="H273" s="71" t="inlineStr">
        <is>
          <t>ពេលវេលាបញ្ចប់</t>
        </is>
      </c>
      <c r="I273" s="71" t="n"/>
      <c r="J273" s="71" t="n"/>
      <c r="K273" s="71" t="inlineStr">
        <is>
          <t>"shift.finishTime": "ពេលវេលាបញ្ចប់",</t>
        </is>
      </c>
      <c r="L273" s="71" t="n"/>
      <c r="M273" s="71" t="n"/>
      <c r="N273" s="71" t="n"/>
      <c r="O273" s="71" t="n"/>
      <c r="P273" s="71" t="n"/>
      <c r="Q273" s="71" t="n"/>
      <c r="R273" s="71" t="n"/>
      <c r="S273" s="71" t="n"/>
      <c r="T273" s="71" t="n"/>
      <c r="U273" s="71" t="n"/>
      <c r="V273" s="71" t="n"/>
      <c r="W273" s="71" t="n"/>
      <c r="X273" s="71" t="n"/>
      <c r="Y273" s="71" t="n"/>
      <c r="Z273" s="53" t="n"/>
    </row>
    <row r="274">
      <c r="A274" s="48" t="inlineStr">
        <is>
          <t>shift.userUpdate</t>
        </is>
      </c>
      <c r="B274" s="55" t="inlineStr">
        <is>
          <t>Người cập nhật</t>
        </is>
      </c>
      <c r="C274" s="55" t="inlineStr">
        <is>
          <t>Update by</t>
        </is>
      </c>
      <c r="D274" s="51" t="inlineStr">
        <is>
          <t>អ្នកអាប់ដេត</t>
        </is>
      </c>
      <c r="E274" s="71" t="n"/>
      <c r="F274" s="71" t="n"/>
      <c r="G274" s="71" t="inlineStr">
        <is>
          <t>អ្នកអាប់ដេត</t>
        </is>
      </c>
      <c r="H274" s="71" t="inlineStr">
        <is>
          <t>អ្នកអាប់ដេត</t>
        </is>
      </c>
      <c r="I274" s="71" t="n"/>
      <c r="J274" s="71" t="n"/>
      <c r="K274" s="71" t="inlineStr">
        <is>
          <t>"shift.userUpdate": "អ្នកអាប់ដេត",</t>
        </is>
      </c>
      <c r="L274" s="71" t="n"/>
      <c r="M274" s="71" t="n"/>
      <c r="N274" s="71" t="n"/>
      <c r="O274" s="71" t="n"/>
      <c r="P274" s="71" t="n"/>
      <c r="Q274" s="71" t="n"/>
      <c r="R274" s="71" t="n"/>
      <c r="S274" s="71" t="n"/>
      <c r="T274" s="71" t="n"/>
      <c r="U274" s="71" t="n"/>
      <c r="V274" s="71" t="n"/>
      <c r="W274" s="71" t="n"/>
      <c r="X274" s="71" t="n"/>
      <c r="Y274" s="71" t="n"/>
      <c r="Z274" s="53" t="n"/>
    </row>
    <row r="275">
      <c r="A275" s="48" t="inlineStr">
        <is>
          <t>shift.timeUpdate</t>
        </is>
      </c>
      <c r="B275" s="55" t="inlineStr">
        <is>
          <t>Ngày cập nhật</t>
        </is>
      </c>
      <c r="C275" s="55" t="inlineStr">
        <is>
          <t>Update at</t>
        </is>
      </c>
      <c r="D275" s="51" t="inlineStr">
        <is>
          <t>ថ្ងៃអាប់ដេត</t>
        </is>
      </c>
      <c r="E275" s="71" t="n"/>
      <c r="F275" s="71" t="n"/>
      <c r="G275" s="71" t="inlineStr">
        <is>
          <t>ថ្ងៃអាប់ដេត</t>
        </is>
      </c>
      <c r="H275" s="71" t="inlineStr">
        <is>
          <t>ថ្ងៃអាប់ដេត</t>
        </is>
      </c>
      <c r="I275" s="71" t="n"/>
      <c r="J275" s="71" t="n"/>
      <c r="K275" s="71" t="inlineStr">
        <is>
          <t>"shift.timeUpdate": "ថ្ងៃអាប់ដេត",</t>
        </is>
      </c>
      <c r="L275" s="71" t="n"/>
      <c r="M275" s="71" t="n"/>
      <c r="N275" s="71" t="n"/>
      <c r="O275" s="71" t="n"/>
      <c r="P275" s="71" t="n"/>
      <c r="Q275" s="71" t="n"/>
      <c r="R275" s="71" t="n"/>
      <c r="S275" s="71" t="n"/>
      <c r="T275" s="71" t="n"/>
      <c r="U275" s="71" t="n"/>
      <c r="V275" s="71" t="n"/>
      <c r="W275" s="71" t="n"/>
      <c r="X275" s="71" t="n"/>
      <c r="Y275" s="71" t="n"/>
      <c r="Z275" s="53" t="n"/>
    </row>
    <row r="276">
      <c r="A276" s="48" t="inlineStr">
        <is>
          <t>shift.status</t>
        </is>
      </c>
      <c r="B276" s="55" t="inlineStr">
        <is>
          <t>Trạng thái</t>
        </is>
      </c>
      <c r="C276" s="55" t="inlineStr">
        <is>
          <t>Status</t>
        </is>
      </c>
      <c r="D276" s="51" t="inlineStr">
        <is>
          <t>ស្ថានភាព</t>
        </is>
      </c>
      <c r="E276" s="71" t="n"/>
      <c r="F276" s="71" t="n"/>
      <c r="G276" s="71" t="inlineStr">
        <is>
          <t>ស្ថានភាព</t>
        </is>
      </c>
      <c r="H276" s="71" t="inlineStr">
        <is>
          <t>ស្ថានភាព</t>
        </is>
      </c>
      <c r="I276" s="71" t="n"/>
      <c r="J276" s="71" t="n"/>
      <c r="K276" s="71" t="inlineStr">
        <is>
          <t>"shift.status": "ស្ថានភាព",</t>
        </is>
      </c>
      <c r="L276" s="71" t="n"/>
      <c r="M276" s="71" t="n"/>
      <c r="N276" s="71" t="n"/>
      <c r="O276" s="71" t="n"/>
      <c r="P276" s="71" t="n"/>
      <c r="Q276" s="71" t="n"/>
      <c r="R276" s="71" t="n"/>
      <c r="S276" s="71" t="n"/>
      <c r="T276" s="71" t="n"/>
      <c r="U276" s="71" t="n"/>
      <c r="V276" s="71" t="n"/>
      <c r="W276" s="71" t="n"/>
      <c r="X276" s="71" t="n"/>
      <c r="Y276" s="71" t="n"/>
      <c r="Z276" s="53" t="n"/>
    </row>
    <row r="277">
      <c r="A277" s="48" t="inlineStr">
        <is>
          <t>shift.active</t>
        </is>
      </c>
      <c r="B277" s="55" t="inlineStr">
        <is>
          <t>Hoạt động</t>
        </is>
      </c>
      <c r="C277" s="55" t="inlineStr">
        <is>
          <t>Active</t>
        </is>
      </c>
      <c r="D277" s="51" t="inlineStr">
        <is>
          <t>សកម្មភាព</t>
        </is>
      </c>
      <c r="E277" s="71" t="n"/>
      <c r="F277" s="71" t="n"/>
      <c r="G277" s="71" t="inlineStr">
        <is>
          <t>ដំណើរការ</t>
        </is>
      </c>
      <c r="H277" s="71" t="inlineStr">
        <is>
          <t>ដំណើរការ</t>
        </is>
      </c>
      <c r="I277" s="71" t="n"/>
      <c r="J277" s="71" t="n"/>
      <c r="K277" s="71" t="inlineStr">
        <is>
          <t>"shift.active": "ដំណើរការ",</t>
        </is>
      </c>
      <c r="L277" s="71" t="n"/>
      <c r="M277" s="71" t="n"/>
      <c r="N277" s="71" t="n"/>
      <c r="O277" s="71" t="n"/>
      <c r="P277" s="71" t="n"/>
      <c r="Q277" s="71" t="n"/>
      <c r="R277" s="71" t="n"/>
      <c r="S277" s="71" t="n"/>
      <c r="T277" s="71" t="n"/>
      <c r="U277" s="71" t="n"/>
      <c r="V277" s="71" t="n"/>
      <c r="W277" s="71" t="n"/>
      <c r="X277" s="71" t="n"/>
      <c r="Y277" s="71" t="n"/>
      <c r="Z277" s="53" t="n"/>
    </row>
    <row r="278">
      <c r="A278" s="48" t="inlineStr">
        <is>
          <t>shift.inactive</t>
        </is>
      </c>
      <c r="B278" s="55" t="inlineStr">
        <is>
          <t>Không hoạt động</t>
        </is>
      </c>
      <c r="C278" s="55" t="inlineStr">
        <is>
          <t>InActive</t>
        </is>
      </c>
      <c r="D278" s="51" t="inlineStr">
        <is>
          <t>មិនដំណើរការបាន</t>
        </is>
      </c>
      <c r="E278" s="71" t="n"/>
      <c r="F278" s="71" t="n"/>
      <c r="G278" s="71" t="inlineStr">
        <is>
          <t>មិនដំណើរការបាន</t>
        </is>
      </c>
      <c r="H278" s="71" t="inlineStr">
        <is>
          <t>មិនដំណើរការបាន</t>
        </is>
      </c>
      <c r="I278" s="71" t="n"/>
      <c r="J278" s="71" t="n"/>
      <c r="K278" s="71" t="inlineStr">
        <is>
          <t>"shift.inactive": "មិនដំណើរការបាន",</t>
        </is>
      </c>
      <c r="L278" s="71" t="n"/>
      <c r="M278" s="71" t="n"/>
      <c r="N278" s="71" t="n"/>
      <c r="O278" s="71" t="n"/>
      <c r="P278" s="71" t="n"/>
      <c r="Q278" s="71" t="n"/>
      <c r="R278" s="71" t="n"/>
      <c r="S278" s="71" t="n"/>
      <c r="T278" s="71" t="n"/>
      <c r="U278" s="71" t="n"/>
      <c r="V278" s="71" t="n"/>
      <c r="W278" s="71" t="n"/>
      <c r="X278" s="71" t="n"/>
      <c r="Y278" s="71" t="n"/>
      <c r="Z278" s="53" t="n"/>
    </row>
    <row r="279">
      <c r="A279" s="48" t="inlineStr">
        <is>
          <t>shift.total</t>
        </is>
      </c>
      <c r="B279" s="55" t="inlineStr">
        <is>
          <t>Tổng ca làm việc</t>
        </is>
      </c>
      <c r="C279" s="55" t="inlineStr">
        <is>
          <t>Total shift</t>
        </is>
      </c>
      <c r="D279" s="51" t="inlineStr">
        <is>
          <t>សរុបវេនធ្វើការ</t>
        </is>
      </c>
      <c r="E279" s="71" t="n"/>
      <c r="F279" s="71" t="n"/>
      <c r="G279" s="71" t="inlineStr">
        <is>
          <t>សរុបវេនធ្វើការ</t>
        </is>
      </c>
      <c r="H279" s="71" t="inlineStr">
        <is>
          <t>សរុបវេនធ្វើការ</t>
        </is>
      </c>
      <c r="I279" s="71" t="n"/>
      <c r="J279" s="71" t="n"/>
      <c r="K279" s="71" t="inlineStr">
        <is>
          <t>"shift.total": "សរុបវេនធ្វើការ",</t>
        </is>
      </c>
      <c r="L279" s="71" t="n"/>
      <c r="M279" s="71" t="n"/>
      <c r="N279" s="71" t="n"/>
      <c r="O279" s="71" t="n"/>
      <c r="P279" s="71" t="n"/>
      <c r="Q279" s="71" t="n"/>
      <c r="R279" s="71" t="n"/>
      <c r="S279" s="71" t="n"/>
      <c r="T279" s="71" t="n"/>
      <c r="U279" s="71" t="n"/>
      <c r="V279" s="71" t="n"/>
      <c r="W279" s="71" t="n"/>
      <c r="X279" s="71" t="n"/>
      <c r="Y279" s="71" t="n"/>
      <c r="Z279" s="53" t="n"/>
    </row>
    <row r="280">
      <c r="A280" s="48" t="inlineStr">
        <is>
          <t>shift.modify.name</t>
        </is>
      </c>
      <c r="B280" s="55" t="inlineStr">
        <is>
          <t>Tên ca</t>
        </is>
      </c>
      <c r="C280" s="55" t="inlineStr">
        <is>
          <t>Shift name</t>
        </is>
      </c>
      <c r="D280" s="51" t="inlineStr">
        <is>
          <t>ឈ្មោះវេនធ្វើការ</t>
        </is>
      </c>
      <c r="E280" s="71" t="n"/>
      <c r="F280" s="71" t="n"/>
      <c r="G280" s="71" t="inlineStr">
        <is>
          <t>ឈ្មោះវេនធ្វើការ</t>
        </is>
      </c>
      <c r="H280" s="71" t="inlineStr">
        <is>
          <t>ឈ្មោះវេនធ្វើការ</t>
        </is>
      </c>
      <c r="I280" s="71" t="n"/>
      <c r="J280" s="71" t="n"/>
      <c r="K280" s="71" t="inlineStr">
        <is>
          <t>"shift.modify.name": "ឈ្មោះវេនធ្វើការ",</t>
        </is>
      </c>
      <c r="L280" s="71" t="n"/>
      <c r="M280" s="71" t="n"/>
      <c r="N280" s="71" t="n"/>
      <c r="O280" s="71" t="n"/>
      <c r="P280" s="71" t="n"/>
      <c r="Q280" s="71" t="n"/>
      <c r="R280" s="71" t="n"/>
      <c r="S280" s="71" t="n"/>
      <c r="T280" s="71" t="n"/>
      <c r="U280" s="71" t="n"/>
      <c r="V280" s="71" t="n"/>
      <c r="W280" s="71" t="n"/>
      <c r="X280" s="71" t="n"/>
      <c r="Y280" s="71" t="n"/>
      <c r="Z280" s="53" t="n"/>
    </row>
    <row r="281">
      <c r="A281" s="48" t="inlineStr">
        <is>
          <t>shift.modify.max100</t>
        </is>
      </c>
      <c r="B281" s="55" t="inlineStr">
        <is>
          <t>Tên ca tối đa 100 ký tự</t>
        </is>
      </c>
      <c r="C281" s="55" t="inlineStr">
        <is>
          <t>Maximum 100 characters for shift name</t>
        </is>
      </c>
      <c r="D281" s="51" t="inlineStr">
        <is>
          <t>ឈ្មោះវេនធ្វើការជាអតិបរមា 100 តួអក្សរ</t>
        </is>
      </c>
      <c r="E281" s="71" t="n"/>
      <c r="F281" s="71" t="n"/>
      <c r="G281" s="71" t="inlineStr">
        <is>
          <t>ឈ្មោះវេនធ្វើការជាអតិបរមា 100 តួអក្សរ</t>
        </is>
      </c>
      <c r="H281" s="71" t="inlineStr">
        <is>
          <t>ឈ្មោះវេនធ្វើការជាអតិបរមា 100 តួអក្សរ</t>
        </is>
      </c>
      <c r="I281" s="71" t="n"/>
      <c r="J281" s="71" t="n"/>
      <c r="K281" s="71" t="inlineStr">
        <is>
          <t>"shift.modify.max100": "ឈ្មោះវេនធ្វើការជាអតិបរមា 100 តួអក្សរ",</t>
        </is>
      </c>
      <c r="L281" s="71" t="n"/>
      <c r="M281" s="71" t="n"/>
      <c r="N281" s="71" t="n"/>
      <c r="O281" s="71" t="n"/>
      <c r="P281" s="71" t="n"/>
      <c r="Q281" s="71" t="n"/>
      <c r="R281" s="71" t="n"/>
      <c r="S281" s="71" t="n"/>
      <c r="T281" s="71" t="n"/>
      <c r="U281" s="71" t="n"/>
      <c r="V281" s="71" t="n"/>
      <c r="W281" s="71" t="n"/>
      <c r="X281" s="71" t="n"/>
      <c r="Y281" s="71" t="n"/>
      <c r="Z281" s="53" t="n"/>
    </row>
    <row r="282">
      <c r="A282" s="48" t="inlineStr">
        <is>
          <t>shift.modify.empty</t>
        </is>
      </c>
      <c r="B282" s="55" t="inlineStr">
        <is>
          <t>Tên ca làm việc sai định dạng</t>
        </is>
      </c>
      <c r="C282" s="55" t="inlineStr">
        <is>
          <t>The shift name was entered in the wrong format</t>
        </is>
      </c>
      <c r="D282" s="51" t="inlineStr">
        <is>
          <t>ឈ្មោះវេនធ្វើការខុសទម្រង់</t>
        </is>
      </c>
      <c r="E282" s="71" t="n"/>
      <c r="F282" s="71" t="n"/>
      <c r="G282" s="71" t="inlineStr">
        <is>
          <t>ឈ្មោះវេនធ្វើការខុសទម្រង់</t>
        </is>
      </c>
      <c r="H282" s="71" t="inlineStr">
        <is>
          <t>ឈ្មោះវេនធ្វើការខុសទម្រង់</t>
        </is>
      </c>
      <c r="I282" s="71" t="n"/>
      <c r="J282" s="71" t="n"/>
      <c r="K282" s="71" t="inlineStr">
        <is>
          <t>"shift.modify.empty": "ឈ្មោះវេនធ្វើការខុសទម្រង់",</t>
        </is>
      </c>
      <c r="L282" s="71" t="n"/>
      <c r="M282" s="71" t="n"/>
      <c r="N282" s="71" t="n"/>
      <c r="O282" s="71" t="n"/>
      <c r="P282" s="71" t="n"/>
      <c r="Q282" s="71" t="n"/>
      <c r="R282" s="71" t="n"/>
      <c r="S282" s="71" t="n"/>
      <c r="T282" s="71" t="n"/>
      <c r="U282" s="71" t="n"/>
      <c r="V282" s="71" t="n"/>
      <c r="W282" s="71" t="n"/>
      <c r="X282" s="71" t="n"/>
      <c r="Y282" s="71" t="n"/>
      <c r="Z282" s="53" t="n"/>
    </row>
    <row r="283">
      <c r="A283" s="48" t="inlineStr">
        <is>
          <t>shift.modify.containsSpecialCharacters</t>
        </is>
      </c>
      <c r="B283" s="55" t="inlineStr">
        <is>
          <t>Tên ca không được chứa ký tự đặc biệt</t>
        </is>
      </c>
      <c r="C283" s="55" t="inlineStr">
        <is>
          <t>Not allow for using special characters in Shift name</t>
        </is>
      </c>
      <c r="D283" s="71" t="n"/>
      <c r="E283" s="71" t="n"/>
      <c r="F283" s="71" t="n"/>
      <c r="G283" s="71" t="inlineStr">
        <is>
          <t>ឈ្មោះវេនការងារមិនអាចមានតួអក្សរពិសេសទេ</t>
        </is>
      </c>
      <c r="H283" s="71" t="inlineStr">
        <is>
          <t>ឈ្មោះវេនការងារមិនអាចមានតួអក្សរពិសេសទេ</t>
        </is>
      </c>
      <c r="I283" s="71" t="n"/>
      <c r="J283" s="71" t="n"/>
      <c r="K283" s="71" t="inlineStr">
        <is>
          <t>"shift.modify.containsSpecialCharacters": "ឈ្មោះវេនការងារមិនអាចមានតួអក្សរពិសេសទេ",</t>
        </is>
      </c>
      <c r="L283" s="71" t="n"/>
      <c r="M283" s="71" t="n"/>
      <c r="N283" s="71" t="n"/>
      <c r="O283" s="71" t="n"/>
      <c r="P283" s="71" t="n"/>
      <c r="Q283" s="71" t="n"/>
      <c r="R283" s="71" t="n"/>
      <c r="S283" s="71" t="n"/>
      <c r="T283" s="71" t="n"/>
      <c r="U283" s="71" t="n"/>
      <c r="V283" s="71" t="n"/>
      <c r="W283" s="71" t="n"/>
      <c r="X283" s="71" t="n"/>
      <c r="Y283" s="71" t="n"/>
      <c r="Z283" s="53" t="n"/>
    </row>
    <row r="284">
      <c r="A284" s="48" t="inlineStr">
        <is>
          <t>shift.modify.namePlaceholder</t>
        </is>
      </c>
      <c r="B284" s="55" t="inlineStr">
        <is>
          <t>Nhập tên ca</t>
        </is>
      </c>
      <c r="C284" s="55" t="inlineStr">
        <is>
          <t>Enter shift name</t>
        </is>
      </c>
      <c r="D284" s="51" t="inlineStr">
        <is>
          <t>បញ្ចូលឈ្មោះវេនធ្វើការ</t>
        </is>
      </c>
      <c r="E284" s="71" t="n"/>
      <c r="F284" s="71" t="n"/>
      <c r="G284" s="71" t="inlineStr">
        <is>
          <t>បញ្ចូលឈ្មោះវេនធ្វើការ</t>
        </is>
      </c>
      <c r="H284" s="71" t="inlineStr">
        <is>
          <t>បញ្ចូលឈ្មោះវេនធ្វើការ</t>
        </is>
      </c>
      <c r="I284" s="71" t="n"/>
      <c r="J284" s="71" t="n"/>
      <c r="K284" s="71" t="inlineStr">
        <is>
          <t>"shift.modify.namePlaceholder": "បញ្ចូលឈ្មោះវេនធ្វើការ",</t>
        </is>
      </c>
      <c r="L284" s="71" t="n"/>
      <c r="M284" s="71" t="n"/>
      <c r="N284" s="71" t="n"/>
      <c r="O284" s="71" t="n"/>
      <c r="P284" s="71" t="n"/>
      <c r="Q284" s="71" t="n"/>
      <c r="R284" s="71" t="n"/>
      <c r="S284" s="71" t="n"/>
      <c r="T284" s="71" t="n"/>
      <c r="U284" s="71" t="n"/>
      <c r="V284" s="71" t="n"/>
      <c r="W284" s="71" t="n"/>
      <c r="X284" s="71" t="n"/>
      <c r="Y284" s="71" t="n"/>
      <c r="Z284" s="53" t="n"/>
    </row>
    <row r="285">
      <c r="A285" s="48" t="inlineStr">
        <is>
          <t>shift.modify.startTime</t>
        </is>
      </c>
      <c r="B285" s="55" t="inlineStr">
        <is>
          <t>Giờ bắt đầu</t>
        </is>
      </c>
      <c r="C285" s="55" t="inlineStr">
        <is>
          <t>Start hour</t>
        </is>
      </c>
      <c r="D285" s="51" t="inlineStr">
        <is>
          <t>ម៉ោងចាប់ផ្តើម</t>
        </is>
      </c>
      <c r="E285" s="71" t="n"/>
      <c r="F285" s="71" t="n"/>
      <c r="G285" s="71" t="inlineStr">
        <is>
          <t>ម៉ោងចាប់ផ្តើម</t>
        </is>
      </c>
      <c r="H285" s="71" t="inlineStr">
        <is>
          <t>ម៉ោងចាប់ផ្តើម</t>
        </is>
      </c>
      <c r="I285" s="71" t="n"/>
      <c r="J285" s="71" t="n"/>
      <c r="K285" s="71" t="inlineStr">
        <is>
          <t>"shift.modify.startTime": "ម៉ោងចាប់ផ្តើម",</t>
        </is>
      </c>
      <c r="L285" s="71" t="n"/>
      <c r="M285" s="71" t="n"/>
      <c r="N285" s="71" t="n"/>
      <c r="O285" s="71" t="n"/>
      <c r="P285" s="71" t="n"/>
      <c r="Q285" s="71" t="n"/>
      <c r="R285" s="71" t="n"/>
      <c r="S285" s="71" t="n"/>
      <c r="T285" s="71" t="n"/>
      <c r="U285" s="71" t="n"/>
      <c r="V285" s="71" t="n"/>
      <c r="W285" s="71" t="n"/>
      <c r="X285" s="71" t="n"/>
      <c r="Y285" s="71" t="n"/>
      <c r="Z285" s="53" t="n"/>
    </row>
    <row r="286">
      <c r="A286" s="48" t="inlineStr">
        <is>
          <t>shift.modify.endTime</t>
        </is>
      </c>
      <c r="B286" s="55" t="inlineStr">
        <is>
          <t>Giờ kết thúc</t>
        </is>
      </c>
      <c r="C286" s="55" t="inlineStr">
        <is>
          <t>End hour</t>
        </is>
      </c>
      <c r="D286" s="51" t="inlineStr">
        <is>
          <t>ពេលវេលាបញ្ចប់</t>
        </is>
      </c>
      <c r="E286" s="71" t="n"/>
      <c r="F286" s="71" t="n"/>
      <c r="G286" s="71" t="inlineStr">
        <is>
          <t>ពេលវេលាបញ្ចប់</t>
        </is>
      </c>
      <c r="H286" s="71" t="inlineStr">
        <is>
          <t>ពេលវេលាបញ្ចប់</t>
        </is>
      </c>
      <c r="I286" s="71" t="n"/>
      <c r="J286" s="71" t="n"/>
      <c r="K286" s="71" t="inlineStr">
        <is>
          <t>"shift.modify.endTime": "ពេលវេលាបញ្ចប់",</t>
        </is>
      </c>
      <c r="L286" s="71" t="n"/>
      <c r="M286" s="71" t="n"/>
      <c r="N286" s="71" t="n"/>
      <c r="O286" s="71" t="n"/>
      <c r="P286" s="71" t="n"/>
      <c r="Q286" s="71" t="n"/>
      <c r="R286" s="71" t="n"/>
      <c r="S286" s="71" t="n"/>
      <c r="T286" s="71" t="n"/>
      <c r="U286" s="71" t="n"/>
      <c r="V286" s="71" t="n"/>
      <c r="W286" s="71" t="n"/>
      <c r="X286" s="71" t="n"/>
      <c r="Y286" s="71" t="n"/>
      <c r="Z286" s="53" t="n"/>
    </row>
    <row r="287">
      <c r="A287" s="48" t="inlineStr">
        <is>
          <t>shift.modify.validateTime</t>
        </is>
      </c>
      <c r="B287" s="55" t="inlineStr">
        <is>
          <t>Thời gian kết thúc phải lớn hơn thời gian bắt đầu</t>
        </is>
      </c>
      <c r="C287" s="55" t="inlineStr">
        <is>
          <t>Ending time must be later than starting time</t>
        </is>
      </c>
      <c r="D287" s="51" t="inlineStr">
        <is>
          <t>ពេលវេលាបញ្ចប់ត្រូវតែធំជាងពេលវេលាចាប់ផ្តើម</t>
        </is>
      </c>
      <c r="E287" s="71" t="n"/>
      <c r="F287" s="71" t="n"/>
      <c r="G287" s="71" t="inlineStr">
        <is>
          <t>ពេលវេលាបញ្ចប់ត្រូវតែធំជាងពេលវេលាចាប់ផ្តើម</t>
        </is>
      </c>
      <c r="H287" s="71" t="inlineStr">
        <is>
          <t>ពេលវេលាបញ្ចប់ត្រូវតែធំជាងពេលវេលាចាប់ផ្តើម</t>
        </is>
      </c>
      <c r="I287" s="71" t="n"/>
      <c r="J287" s="71" t="n"/>
      <c r="K287" s="71" t="inlineStr">
        <is>
          <t>"shift.modify.validateTime": "ពេលវេលាបញ្ចប់ត្រូវតែធំជាងពេលវេលាចាប់ផ្តើម",</t>
        </is>
      </c>
      <c r="L287" s="71" t="n"/>
      <c r="M287" s="71" t="n"/>
      <c r="N287" s="71" t="n"/>
      <c r="O287" s="71" t="n"/>
      <c r="P287" s="71" t="n"/>
      <c r="Q287" s="71" t="n"/>
      <c r="R287" s="71" t="n"/>
      <c r="S287" s="71" t="n"/>
      <c r="T287" s="71" t="n"/>
      <c r="U287" s="71" t="n"/>
      <c r="V287" s="71" t="n"/>
      <c r="W287" s="71" t="n"/>
      <c r="X287" s="71" t="n"/>
      <c r="Y287" s="71" t="n"/>
      <c r="Z287" s="53" t="n"/>
    </row>
    <row r="288">
      <c r="A288" s="48" t="inlineStr">
        <is>
          <t>shift.lockUnlock</t>
        </is>
      </c>
      <c r="B288" s="55" t="inlineStr">
        <is>
          <t>Bạn có chắc chắn muốn khóa/mở ca làm việc hay không?</t>
        </is>
      </c>
      <c r="C288" s="55" t="inlineStr">
        <is>
          <t>Are you sure to lock/unlock working shift?</t>
        </is>
      </c>
      <c r="D288" s="51" t="inlineStr">
        <is>
          <t>តើអ្នកពិតជាចង់ចាក់សោ/ដោះសោវេនមែនទេ?</t>
        </is>
      </c>
      <c r="E288" s="71" t="n"/>
      <c r="F288" s="71" t="n"/>
      <c r="G288" s="71" t="inlineStr">
        <is>
          <t>តើអ្នកពិតជាចង់ចាក់សោ/ដោះសោវេនមែនទេ?</t>
        </is>
      </c>
      <c r="H288" s="71" t="inlineStr">
        <is>
          <t>តើអ្នកពិតជាចង់ចាក់សោ/ដោះសោវេនមែនទេ?</t>
        </is>
      </c>
      <c r="I288" s="71" t="n"/>
      <c r="J288" s="71" t="n"/>
      <c r="K288" s="71" t="inlineStr">
        <is>
          <t>"shift.lockUnlock": "តើអ្នកពិតជាចង់ចាក់សោ/ដោះសោវេនមែនទេ?",</t>
        </is>
      </c>
      <c r="L288" s="71" t="n"/>
      <c r="M288" s="71" t="n"/>
      <c r="N288" s="71" t="n"/>
      <c r="O288" s="71" t="n"/>
      <c r="P288" s="71" t="n"/>
      <c r="Q288" s="71" t="n"/>
      <c r="R288" s="71" t="n"/>
      <c r="S288" s="71" t="n"/>
      <c r="T288" s="71" t="n"/>
      <c r="U288" s="71" t="n"/>
      <c r="V288" s="71" t="n"/>
      <c r="W288" s="71" t="n"/>
      <c r="X288" s="71" t="n"/>
      <c r="Y288" s="71" t="n"/>
      <c r="Z288" s="53" t="n"/>
    </row>
    <row r="289">
      <c r="A289" s="48" t="inlineStr">
        <is>
          <t>shift.lockTitle</t>
        </is>
      </c>
      <c r="B289" s="55" t="inlineStr">
        <is>
          <t>Khóa/mở ca làm việc</t>
        </is>
      </c>
      <c r="C289" s="55" t="inlineStr">
        <is>
          <t>Lock/unlock working shift</t>
        </is>
      </c>
      <c r="D289" s="51" t="inlineStr">
        <is>
          <t>បិទ/បើកវេនធ្វើការ</t>
        </is>
      </c>
      <c r="E289" s="71" t="n"/>
      <c r="F289" s="71" t="n"/>
      <c r="G289" s="71" t="inlineStr">
        <is>
          <t>បិទ/បើកវេនធ្វើការ</t>
        </is>
      </c>
      <c r="H289" s="71" t="inlineStr">
        <is>
          <t>បិទ/បើកវេនធ្វើការ</t>
        </is>
      </c>
      <c r="I289" s="71" t="n"/>
      <c r="J289" s="71" t="n"/>
      <c r="K289" s="71" t="inlineStr">
        <is>
          <t>"shift.lockTitle": "បិទ/បើកវេនធ្វើការ",</t>
        </is>
      </c>
      <c r="L289" s="71" t="n"/>
      <c r="M289" s="71" t="n"/>
      <c r="N289" s="71" t="n"/>
      <c r="O289" s="71" t="n"/>
      <c r="P289" s="71" t="n"/>
      <c r="Q289" s="71" t="n"/>
      <c r="R289" s="71" t="n"/>
      <c r="S289" s="71" t="n"/>
      <c r="T289" s="71" t="n"/>
      <c r="U289" s="71" t="n"/>
      <c r="V289" s="71" t="n"/>
      <c r="W289" s="71" t="n"/>
      <c r="X289" s="71" t="n"/>
      <c r="Y289" s="71" t="n"/>
      <c r="Z289" s="53" t="n"/>
    </row>
    <row r="290">
      <c r="A290" s="40" t="inlineStr">
        <is>
          <t>configRoute.searchKeyword</t>
        </is>
      </c>
      <c r="B290" s="46" t="inlineStr">
        <is>
          <t>Tuyến nhận</t>
        </is>
      </c>
      <c r="C290" s="46" t="inlineStr">
        <is>
          <t>Pickup route</t>
        </is>
      </c>
      <c r="D290" s="43" t="inlineStr">
        <is>
          <t>ផ្លូវទទួល</t>
        </is>
      </c>
      <c r="E290" s="75" t="n"/>
      <c r="F290" s="75" t="n"/>
      <c r="G290" s="75" t="inlineStr">
        <is>
          <t>ផ្លូវទទួល</t>
        </is>
      </c>
      <c r="H290" s="75" t="inlineStr">
        <is>
          <t>ផ្លូវទទួល</t>
        </is>
      </c>
      <c r="I290" s="75" t="n"/>
      <c r="J290" s="75" t="n"/>
      <c r="K290" s="75" t="inlineStr">
        <is>
          <t>"configRoute.searchKeyword": "ផ្លូវទទួល",</t>
        </is>
      </c>
      <c r="L290" s="75" t="n"/>
      <c r="M290" s="75" t="n"/>
      <c r="N290" s="75" t="n"/>
      <c r="O290" s="75" t="n"/>
      <c r="P290" s="75" t="n"/>
      <c r="Q290" s="75" t="n"/>
      <c r="R290" s="75" t="n"/>
      <c r="S290" s="75" t="n"/>
      <c r="T290" s="75" t="n"/>
      <c r="U290" s="75" t="n"/>
      <c r="V290" s="75" t="n"/>
      <c r="W290" s="75" t="n"/>
      <c r="X290" s="75" t="n"/>
      <c r="Y290" s="75" t="n"/>
      <c r="Z290" s="45" t="n"/>
    </row>
    <row r="291">
      <c r="A291" s="40" t="inlineStr">
        <is>
          <t>configRoute.searchPlaceholder</t>
        </is>
      </c>
      <c r="B291" s="46" t="inlineStr">
        <is>
          <t>Nhập tên tuyến</t>
        </is>
      </c>
      <c r="C291" s="46" t="inlineStr">
        <is>
          <t>Enter pickup route</t>
        </is>
      </c>
      <c r="D291" s="43" t="inlineStr">
        <is>
          <t>បញ្ចូលឈ្មោះផ្លូវដឹក</t>
        </is>
      </c>
      <c r="E291" s="75" t="n"/>
      <c r="F291" s="75" t="n"/>
      <c r="G291" s="75" t="inlineStr">
        <is>
          <t>បញ្ចូលឈ្មោះផ្លូវដឹក</t>
        </is>
      </c>
      <c r="H291" s="75" t="inlineStr">
        <is>
          <t>បញ្ចូលឈ្មោះផ្លូវដឹក</t>
        </is>
      </c>
      <c r="I291" s="75" t="n"/>
      <c r="J291" s="75" t="n"/>
      <c r="K291" s="75" t="inlineStr">
        <is>
          <t>"configRoute.searchPlaceholder": "បញ្ចូលឈ្មោះផ្លូវដឹក",</t>
        </is>
      </c>
      <c r="L291" s="75" t="n"/>
      <c r="M291" s="75" t="n"/>
      <c r="N291" s="75" t="n"/>
      <c r="O291" s="75" t="n"/>
      <c r="P291" s="75" t="n"/>
      <c r="Q291" s="75" t="n"/>
      <c r="R291" s="75" t="n"/>
      <c r="S291" s="75" t="n"/>
      <c r="T291" s="75" t="n"/>
      <c r="U291" s="75" t="n"/>
      <c r="V291" s="75" t="n"/>
      <c r="W291" s="75" t="n"/>
      <c r="X291" s="75" t="n"/>
      <c r="Y291" s="75" t="n"/>
      <c r="Z291" s="45" t="n"/>
    </row>
    <row r="292">
      <c r="A292" s="40" t="inlineStr">
        <is>
          <t>configRoute.minKeyword</t>
        </is>
      </c>
      <c r="B292" s="46" t="inlineStr">
        <is>
          <t>Tìm kiếm tối thiếu 2 kí tự</t>
        </is>
      </c>
      <c r="C292" s="46" t="inlineStr">
        <is>
          <t>Minimum 2 characters for search pickup route</t>
        </is>
      </c>
      <c r="D292" s="43" t="inlineStr">
        <is>
          <t>ស្វែងរកអប្បបរមា 2 តួលេខអក្សរ</t>
        </is>
      </c>
      <c r="E292" s="75" t="n"/>
      <c r="F292" s="75" t="n"/>
      <c r="G292" s="75" t="inlineStr">
        <is>
          <t>ស្វែងរកអប្បបរមា 2 តួលេខអក្សរ</t>
        </is>
      </c>
      <c r="H292" s="75" t="inlineStr">
        <is>
          <t>ស្វែងរកអប្បបរមា 2 តួលេខអក្សរ</t>
        </is>
      </c>
      <c r="I292" s="75" t="n"/>
      <c r="J292" s="75" t="n"/>
      <c r="K292" s="75" t="inlineStr">
        <is>
          <t>"configRoute.minKeyword": "ស្វែងរកអប្បបរមា 2 តួលេខអក្សរ",</t>
        </is>
      </c>
      <c r="L292" s="75" t="n"/>
      <c r="M292" s="75" t="n"/>
      <c r="N292" s="75" t="n"/>
      <c r="O292" s="75" t="n"/>
      <c r="P292" s="75" t="n"/>
      <c r="Q292" s="75" t="n"/>
      <c r="R292" s="75" t="n"/>
      <c r="S292" s="75" t="n"/>
      <c r="T292" s="75" t="n"/>
      <c r="U292" s="75" t="n"/>
      <c r="V292" s="75" t="n"/>
      <c r="W292" s="75" t="n"/>
      <c r="X292" s="75" t="n"/>
      <c r="Y292" s="75" t="n"/>
      <c r="Z292" s="45" t="n"/>
    </row>
    <row r="293">
      <c r="A293" s="40" t="inlineStr">
        <is>
          <t>configRoute.route</t>
        </is>
      </c>
      <c r="B293" s="46" t="inlineStr">
        <is>
          <t>Tuyến</t>
        </is>
      </c>
      <c r="C293" s="46" t="inlineStr">
        <is>
          <t>Route</t>
        </is>
      </c>
      <c r="D293" s="43" t="inlineStr">
        <is>
          <t>ផ្លូវដឹក</t>
        </is>
      </c>
      <c r="E293" s="75" t="n"/>
      <c r="F293" s="75" t="n"/>
      <c r="G293" s="75" t="inlineStr">
        <is>
          <t>ផ្លូវដឹក</t>
        </is>
      </c>
      <c r="H293" s="75" t="inlineStr">
        <is>
          <t>ផ្លូវដឹក</t>
        </is>
      </c>
      <c r="I293" s="75" t="n"/>
      <c r="J293" s="75" t="n"/>
      <c r="K293" s="75" t="inlineStr">
        <is>
          <t>"configRoute.route": "ផ្លូវដឹក",</t>
        </is>
      </c>
      <c r="L293" s="75" t="n"/>
      <c r="M293" s="75" t="n"/>
      <c r="N293" s="75" t="n"/>
      <c r="O293" s="75" t="n"/>
      <c r="P293" s="75" t="n"/>
      <c r="Q293" s="75" t="n"/>
      <c r="R293" s="75" t="n"/>
      <c r="S293" s="75" t="n"/>
      <c r="T293" s="75" t="n"/>
      <c r="U293" s="75" t="n"/>
      <c r="V293" s="75" t="n"/>
      <c r="W293" s="75" t="n"/>
      <c r="X293" s="75" t="n"/>
      <c r="Y293" s="75" t="n"/>
      <c r="Z293" s="45" t="n"/>
    </row>
    <row r="294">
      <c r="A294" s="40" t="inlineStr">
        <is>
          <t>configRoute.route_leader</t>
        </is>
      </c>
      <c r="B294" s="46" t="inlineStr">
        <is>
          <t>Mặc định</t>
        </is>
      </c>
      <c r="C294" s="46" t="inlineStr">
        <is>
          <t>Route Lead</t>
        </is>
      </c>
      <c r="D294" s="75" t="n"/>
      <c r="E294" s="75" t="n"/>
      <c r="F294" s="75" t="n"/>
      <c r="G294" s="75" t="inlineStr">
        <is>
          <t>លំនាំដើម</t>
        </is>
      </c>
      <c r="H294" s="75" t="inlineStr">
        <is>
          <t>លំនាំដើម</t>
        </is>
      </c>
      <c r="I294" s="75" t="n"/>
      <c r="J294" s="75" t="n"/>
      <c r="K294" s="75" t="inlineStr">
        <is>
          <t>"configRoute.route_leader": "លំនាំដើម",</t>
        </is>
      </c>
      <c r="L294" s="75" t="n"/>
      <c r="M294" s="75" t="n"/>
      <c r="N294" s="75" t="n"/>
      <c r="O294" s="75" t="n"/>
      <c r="P294" s="75" t="n"/>
      <c r="Q294" s="75" t="n"/>
      <c r="R294" s="75" t="n"/>
      <c r="S294" s="75" t="n"/>
      <c r="T294" s="75" t="n"/>
      <c r="U294" s="75" t="n"/>
      <c r="V294" s="75" t="n"/>
      <c r="W294" s="75" t="n"/>
      <c r="X294" s="75" t="n"/>
      <c r="Y294" s="75" t="n"/>
      <c r="Z294" s="45" t="n"/>
    </row>
    <row r="295">
      <c r="A295" s="40" t="inlineStr">
        <is>
          <t>configRoute.userUpdate</t>
        </is>
      </c>
      <c r="B295" s="46" t="inlineStr">
        <is>
          <t>Người cập nhật</t>
        </is>
      </c>
      <c r="C295" s="46" t="inlineStr">
        <is>
          <t>Update by</t>
        </is>
      </c>
      <c r="D295" s="43" t="inlineStr">
        <is>
          <t>អ្នកអាប់ដេត</t>
        </is>
      </c>
      <c r="E295" s="75" t="n"/>
      <c r="F295" s="75" t="n"/>
      <c r="G295" s="75" t="inlineStr">
        <is>
          <t>អ្នកអាប់ដេត</t>
        </is>
      </c>
      <c r="H295" s="75" t="inlineStr">
        <is>
          <t>អ្នកអាប់ដេត</t>
        </is>
      </c>
      <c r="I295" s="75" t="n"/>
      <c r="J295" s="75" t="n"/>
      <c r="K295" s="75" t="inlineStr">
        <is>
          <t>"configRoute.userUpdate": "អ្នកអាប់ដេត",</t>
        </is>
      </c>
      <c r="L295" s="75" t="n"/>
      <c r="M295" s="75" t="n"/>
      <c r="N295" s="75" t="n"/>
      <c r="O295" s="75" t="n"/>
      <c r="P295" s="75" t="n"/>
      <c r="Q295" s="75" t="n"/>
      <c r="R295" s="75" t="n"/>
      <c r="S295" s="75" t="n"/>
      <c r="T295" s="75" t="n"/>
      <c r="U295" s="75" t="n"/>
      <c r="V295" s="75" t="n"/>
      <c r="W295" s="75" t="n"/>
      <c r="X295" s="75" t="n"/>
      <c r="Y295" s="75" t="n"/>
      <c r="Z295" s="45" t="n"/>
    </row>
    <row r="296">
      <c r="A296" s="40" t="inlineStr">
        <is>
          <t>configRoute.timeUpdate</t>
        </is>
      </c>
      <c r="B296" s="46" t="inlineStr">
        <is>
          <t>Ngày cập nhật</t>
        </is>
      </c>
      <c r="C296" s="46" t="inlineStr">
        <is>
          <t>Update at</t>
        </is>
      </c>
      <c r="D296" s="43" t="inlineStr">
        <is>
          <t>ថ្ងៃអាប់ដេត</t>
        </is>
      </c>
      <c r="E296" s="75" t="n"/>
      <c r="F296" s="75" t="n"/>
      <c r="G296" s="75" t="inlineStr">
        <is>
          <t>ថ្ងៃអាប់ដេត</t>
        </is>
      </c>
      <c r="H296" s="75" t="inlineStr">
        <is>
          <t>ថ្ងៃអាប់ដេត</t>
        </is>
      </c>
      <c r="I296" s="75" t="n"/>
      <c r="J296" s="75" t="n"/>
      <c r="K296" s="75" t="inlineStr">
        <is>
          <t>"configRoute.timeUpdate": "ថ្ងៃអាប់ដេត",</t>
        </is>
      </c>
      <c r="L296" s="75" t="n"/>
      <c r="M296" s="75" t="n"/>
      <c r="N296" s="75" t="n"/>
      <c r="O296" s="75" t="n"/>
      <c r="P296" s="75" t="n"/>
      <c r="Q296" s="75" t="n"/>
      <c r="R296" s="75" t="n"/>
      <c r="S296" s="75" t="n"/>
      <c r="T296" s="75" t="n"/>
      <c r="U296" s="75" t="n"/>
      <c r="V296" s="75" t="n"/>
      <c r="W296" s="75" t="n"/>
      <c r="X296" s="75" t="n"/>
      <c r="Y296" s="75" t="n"/>
      <c r="Z296" s="45" t="n"/>
    </row>
    <row r="297">
      <c r="A297" s="40" t="inlineStr">
        <is>
          <t>configRoute.total</t>
        </is>
      </c>
      <c r="B297" s="46" t="inlineStr">
        <is>
          <t>Tổng số tuyến nhận</t>
        </is>
      </c>
      <c r="C297" s="46" t="inlineStr">
        <is>
          <t>Total pickup routes</t>
        </is>
      </c>
      <c r="D297" s="43" t="inlineStr">
        <is>
          <t>សរុបចំនួនផ្លូវទទួលអីវ៉ាន់</t>
        </is>
      </c>
      <c r="E297" s="75" t="n"/>
      <c r="F297" s="75" t="n"/>
      <c r="G297" s="75" t="inlineStr">
        <is>
          <t>សរុបចំនួនផ្លូវទទួលអីវ៉ាន់</t>
        </is>
      </c>
      <c r="H297" s="75" t="inlineStr">
        <is>
          <t>សរុបចំនួនផ្លូវទទួលអីវ៉ាន់</t>
        </is>
      </c>
      <c r="I297" s="75" t="n"/>
      <c r="J297" s="75" t="n"/>
      <c r="K297" s="75" t="inlineStr">
        <is>
          <t>"configRoute.total": "សរុបចំនួនផ្លូវទទួលអីវ៉ាន់",</t>
        </is>
      </c>
      <c r="L297" s="75" t="n"/>
      <c r="M297" s="75" t="n"/>
      <c r="N297" s="75" t="n"/>
      <c r="O297" s="75" t="n"/>
      <c r="P297" s="75" t="n"/>
      <c r="Q297" s="75" t="n"/>
      <c r="R297" s="75" t="n"/>
      <c r="S297" s="75" t="n"/>
      <c r="T297" s="75" t="n"/>
      <c r="U297" s="75" t="n"/>
      <c r="V297" s="75" t="n"/>
      <c r="W297" s="75" t="n"/>
      <c r="X297" s="75" t="n"/>
      <c r="Y297" s="75" t="n"/>
      <c r="Z297" s="45" t="n"/>
    </row>
    <row r="298">
      <c r="A298" s="40" t="inlineStr">
        <is>
          <t>configRoute.updateConfig</t>
        </is>
      </c>
      <c r="B298" s="46" t="inlineStr">
        <is>
          <t>Chỉnh sửa cấu hình</t>
        </is>
      </c>
      <c r="C298" s="46" t="inlineStr">
        <is>
          <t>Update config</t>
        </is>
      </c>
      <c r="D298" s="75" t="n"/>
      <c r="E298" s="75" t="n"/>
      <c r="F298" s="75" t="n"/>
      <c r="G298" s="75" t="inlineStr">
        <is>
          <t>កែសម្រួលការកំណត់</t>
        </is>
      </c>
      <c r="H298" s="75" t="inlineStr">
        <is>
          <t>កែសម្រួលការកំណត់</t>
        </is>
      </c>
      <c r="I298" s="75" t="n"/>
      <c r="J298" s="75" t="n"/>
      <c r="K298" s="75" t="inlineStr">
        <is>
          <t>"configRoute.updateConfig": "កែសម្រួលការកំណត់",</t>
        </is>
      </c>
      <c r="L298" s="75" t="n"/>
      <c r="M298" s="75" t="n"/>
      <c r="N298" s="75" t="n"/>
      <c r="O298" s="75" t="n"/>
      <c r="P298" s="75" t="n"/>
      <c r="Q298" s="75" t="n"/>
      <c r="R298" s="75" t="n"/>
      <c r="S298" s="75" t="n"/>
      <c r="T298" s="75" t="n"/>
      <c r="U298" s="75" t="n"/>
      <c r="V298" s="75" t="n"/>
      <c r="W298" s="75" t="n"/>
      <c r="X298" s="75" t="n"/>
      <c r="Y298" s="75" t="n"/>
      <c r="Z298" s="45" t="n"/>
    </row>
    <row r="299">
      <c r="A299" s="40" t="inlineStr">
        <is>
          <t>configRoute.createConfig</t>
        </is>
      </c>
      <c r="B299" s="46" t="inlineStr">
        <is>
          <t>Thêm mới cấu hình</t>
        </is>
      </c>
      <c r="C299" s="46" t="inlineStr">
        <is>
          <t>Create new config</t>
        </is>
      </c>
      <c r="D299" s="75" t="n"/>
      <c r="E299" s="75" t="n"/>
      <c r="F299" s="75" t="n"/>
      <c r="G299" s="75" t="inlineStr">
        <is>
          <t>បន្ថែមការកំណត់ថ្មី</t>
        </is>
      </c>
      <c r="H299" s="75" t="inlineStr">
        <is>
          <t>បន្ថែមការកំណត់ថ្មី</t>
        </is>
      </c>
      <c r="I299" s="75" t="n"/>
      <c r="J299" s="75" t="n"/>
      <c r="K299" s="75" t="inlineStr">
        <is>
          <t>"configRoute.createConfig": "បន្ថែមការកំណត់ថ្មី",</t>
        </is>
      </c>
      <c r="L299" s="75" t="n"/>
      <c r="M299" s="75" t="n"/>
      <c r="N299" s="75" t="n"/>
      <c r="O299" s="75" t="n"/>
      <c r="P299" s="75" t="n"/>
      <c r="Q299" s="75" t="n"/>
      <c r="R299" s="75" t="n"/>
      <c r="S299" s="75" t="n"/>
      <c r="T299" s="75" t="n"/>
      <c r="U299" s="75" t="n"/>
      <c r="V299" s="75" t="n"/>
      <c r="W299" s="75" t="n"/>
      <c r="X299" s="75" t="n"/>
      <c r="Y299" s="75" t="n"/>
      <c r="Z299" s="45" t="n"/>
    </row>
    <row r="300">
      <c r="A300" s="40" t="inlineStr">
        <is>
          <t>configRoute.routeInformation</t>
        </is>
      </c>
      <c r="B300" s="46" t="inlineStr">
        <is>
          <t>Thông tin tuyến</t>
        </is>
      </c>
      <c r="C300" s="46" t="inlineStr">
        <is>
          <t>Route information</t>
        </is>
      </c>
      <c r="D300" s="43" t="inlineStr">
        <is>
          <t>ព័ត៌មានផ្លូវដឹក</t>
        </is>
      </c>
      <c r="E300" s="75" t="n"/>
      <c r="F300" s="75" t="n"/>
      <c r="G300" s="75" t="inlineStr">
        <is>
          <t>ព័ត៌មានផ្លូវដឹក</t>
        </is>
      </c>
      <c r="H300" s="75" t="inlineStr">
        <is>
          <t>ព័ត៌មានផ្លូវដឹក</t>
        </is>
      </c>
      <c r="I300" s="75" t="n"/>
      <c r="J300" s="75" t="n"/>
      <c r="K300" s="75" t="inlineStr">
        <is>
          <t>"configRoute.routeInformation": "ព័ត៌មានផ្លូវដឹក",</t>
        </is>
      </c>
      <c r="L300" s="75" t="n"/>
      <c r="M300" s="75" t="n"/>
      <c r="N300" s="75" t="n"/>
      <c r="O300" s="75" t="n"/>
      <c r="P300" s="75" t="n"/>
      <c r="Q300" s="75" t="n"/>
      <c r="R300" s="75" t="n"/>
      <c r="S300" s="75" t="n"/>
      <c r="T300" s="75" t="n"/>
      <c r="U300" s="75" t="n"/>
      <c r="V300" s="75" t="n"/>
      <c r="W300" s="75" t="n"/>
      <c r="X300" s="75" t="n"/>
      <c r="Y300" s="75" t="n"/>
      <c r="Z300" s="45" t="n"/>
    </row>
    <row r="301">
      <c r="A301" s="40" t="inlineStr">
        <is>
          <t>configRoute.area</t>
        </is>
      </c>
      <c r="B301" s="46" t="inlineStr">
        <is>
          <t>Địa danh</t>
        </is>
      </c>
      <c r="C301" s="46" t="inlineStr">
        <is>
          <t>Area</t>
        </is>
      </c>
      <c r="D301" s="75" t="n"/>
      <c r="E301" s="75" t="n"/>
      <c r="F301" s="75" t="n"/>
      <c r="G301" s="75" t="inlineStr">
        <is>
          <t>ទីតាំងភូមិសាស្ត្រ</t>
        </is>
      </c>
      <c r="H301" s="75" t="inlineStr">
        <is>
          <t>ទីតាំងភូមិសាស្ត្រ</t>
        </is>
      </c>
      <c r="I301" s="75" t="n"/>
      <c r="J301" s="75" t="n"/>
      <c r="K301" s="75" t="inlineStr">
        <is>
          <t>"configRoute.area": "ទីតាំងភូមិសាស្ត្រ",</t>
        </is>
      </c>
      <c r="L301" s="75" t="n"/>
      <c r="M301" s="75" t="n"/>
      <c r="N301" s="75" t="n"/>
      <c r="O301" s="75" t="n"/>
      <c r="P301" s="75" t="n"/>
      <c r="Q301" s="75" t="n"/>
      <c r="R301" s="75" t="n"/>
      <c r="S301" s="75" t="n"/>
      <c r="T301" s="75" t="n"/>
      <c r="U301" s="75" t="n"/>
      <c r="V301" s="75" t="n"/>
      <c r="W301" s="75" t="n"/>
      <c r="X301" s="75" t="n"/>
      <c r="Y301" s="75" t="n"/>
      <c r="Z301" s="45" t="n"/>
    </row>
    <row r="302">
      <c r="A302" s="40" t="inlineStr">
        <is>
          <t>configRoute.postman</t>
        </is>
      </c>
      <c r="B302" s="46" t="inlineStr">
        <is>
          <t>Bưu tá</t>
        </is>
      </c>
      <c r="C302" s="46" t="inlineStr">
        <is>
          <t>Postman</t>
        </is>
      </c>
      <c r="D302" s="43" t="inlineStr">
        <is>
          <t>អ្នកដឹកជញ្ជូន</t>
        </is>
      </c>
      <c r="E302" s="75" t="n"/>
      <c r="F302" s="75" t="n"/>
      <c r="G302" s="75" t="inlineStr">
        <is>
          <t>បុគ្គលិកដឹកជញ្ជូន</t>
        </is>
      </c>
      <c r="H302" s="75" t="inlineStr">
        <is>
          <t>បុគ្គលិកដឹកជញ្ជូន</t>
        </is>
      </c>
      <c r="I302" s="75" t="n"/>
      <c r="J302" s="75" t="n"/>
      <c r="K302" s="75" t="inlineStr">
        <is>
          <t>"configRoute.postman": "បុគ្គលិកដឹកជញ្ជូន",</t>
        </is>
      </c>
      <c r="L302" s="75" t="n"/>
      <c r="M302" s="75" t="n"/>
      <c r="N302" s="75" t="n"/>
      <c r="O302" s="75" t="n"/>
      <c r="P302" s="75" t="n"/>
      <c r="Q302" s="75" t="n"/>
      <c r="R302" s="75" t="n"/>
      <c r="S302" s="75" t="n"/>
      <c r="T302" s="75" t="n"/>
      <c r="U302" s="75" t="n"/>
      <c r="V302" s="75" t="n"/>
      <c r="W302" s="75" t="n"/>
      <c r="X302" s="75" t="n"/>
      <c r="Y302" s="75" t="n"/>
      <c r="Z302" s="45" t="n"/>
    </row>
    <row r="303">
      <c r="A303" s="40" t="inlineStr">
        <is>
          <t>areaConfig.selectDistrict</t>
        </is>
      </c>
      <c r="B303" s="46" t="inlineStr">
        <is>
          <t>Chọn quận/huyện</t>
        </is>
      </c>
      <c r="C303" s="46" t="inlineStr">
        <is>
          <t>Select district</t>
        </is>
      </c>
      <c r="D303" s="43" t="inlineStr">
        <is>
          <t>ជ្រើសរើសឃុំ-សង្កាត់</t>
        </is>
      </c>
      <c r="E303" s="75" t="n"/>
      <c r="F303" s="75" t="n"/>
      <c r="G303" s="75" t="inlineStr">
        <is>
          <t>ជ្រើសរើសឃុំ-សង្កាត់</t>
        </is>
      </c>
      <c r="H303" s="75" t="inlineStr">
        <is>
          <t>ជ្រើសរើសឃុំ-សង្កាត់</t>
        </is>
      </c>
      <c r="I303" s="75" t="n"/>
      <c r="J303" s="75" t="n"/>
      <c r="K303" s="75" t="inlineStr">
        <is>
          <t>"areaConfig.selectDistrict": "ជ្រើសរើសឃុំ-សង្កាត់",</t>
        </is>
      </c>
      <c r="L303" s="75" t="n"/>
      <c r="M303" s="75" t="n"/>
      <c r="N303" s="75" t="n"/>
      <c r="O303" s="75" t="n"/>
      <c r="P303" s="75" t="n"/>
      <c r="Q303" s="75" t="n"/>
      <c r="R303" s="75" t="n"/>
      <c r="S303" s="75" t="n"/>
      <c r="T303" s="75" t="n"/>
      <c r="U303" s="75" t="n"/>
      <c r="V303" s="75" t="n"/>
      <c r="W303" s="75" t="n"/>
      <c r="X303" s="75" t="n"/>
      <c r="Y303" s="75" t="n"/>
      <c r="Z303" s="45" t="n"/>
    </row>
    <row r="304">
      <c r="A304" s="40" t="inlineStr">
        <is>
          <t>areaConfig.selectDistrictPlaceholder</t>
        </is>
      </c>
      <c r="B304" s="46" t="inlineStr">
        <is>
          <t>Quận/huyện</t>
        </is>
      </c>
      <c r="C304" s="46" t="inlineStr">
        <is>
          <t>Enter district</t>
        </is>
      </c>
      <c r="D304" s="43" t="inlineStr">
        <is>
          <t>ស្រុក/ខណ្ឌ</t>
        </is>
      </c>
      <c r="E304" s="75" t="n"/>
      <c r="F304" s="75" t="n"/>
      <c r="G304" s="75" t="inlineStr">
        <is>
          <t>ស្រុក/ខណ្ឌ</t>
        </is>
      </c>
      <c r="H304" s="75" t="inlineStr">
        <is>
          <t>ស្រុក/ខណ្ឌ</t>
        </is>
      </c>
      <c r="I304" s="75" t="n"/>
      <c r="J304" s="75" t="n"/>
      <c r="K304" s="75" t="inlineStr">
        <is>
          <t>"areaConfig.selectDistrictPlaceholder": "ស្រុក/ខណ្ឌ",</t>
        </is>
      </c>
      <c r="L304" s="75" t="n"/>
      <c r="M304" s="75" t="n"/>
      <c r="N304" s="75" t="n"/>
      <c r="O304" s="75" t="n"/>
      <c r="P304" s="75" t="n"/>
      <c r="Q304" s="75" t="n"/>
      <c r="R304" s="75" t="n"/>
      <c r="S304" s="75" t="n"/>
      <c r="T304" s="75" t="n"/>
      <c r="U304" s="75" t="n"/>
      <c r="V304" s="75" t="n"/>
      <c r="W304" s="75" t="n"/>
      <c r="X304" s="75" t="n"/>
      <c r="Y304" s="75" t="n"/>
      <c r="Z304" s="45" t="n"/>
    </row>
    <row r="305">
      <c r="A305" s="40" t="inlineStr">
        <is>
          <t>areaConfig.selectTownship</t>
        </is>
      </c>
      <c r="B305" s="46" t="inlineStr">
        <is>
          <t>Chọn phường/xã</t>
        </is>
      </c>
      <c r="C305" s="46" t="inlineStr">
        <is>
          <t>Select ward/ commune</t>
        </is>
      </c>
      <c r="D305" s="43" t="inlineStr">
        <is>
          <t>ជ្រើសរើសឃុំ-សង្កាត់</t>
        </is>
      </c>
      <c r="E305" s="75" t="n"/>
      <c r="F305" s="75" t="n"/>
      <c r="G305" s="75" t="inlineStr">
        <is>
          <t>ជ្រើសរើសឃុំ-សង្កាត់</t>
        </is>
      </c>
      <c r="H305" s="75" t="inlineStr">
        <is>
          <t>ជ្រើសរើសឃុំ-សង្កាត់</t>
        </is>
      </c>
      <c r="I305" s="75" t="n"/>
      <c r="J305" s="75" t="n"/>
      <c r="K305" s="75" t="inlineStr">
        <is>
          <t>"areaConfig.selectTownship": "ជ្រើសរើសឃុំ-សង្កាត់",</t>
        </is>
      </c>
      <c r="L305" s="75" t="n"/>
      <c r="M305" s="75" t="n"/>
      <c r="N305" s="75" t="n"/>
      <c r="O305" s="75" t="n"/>
      <c r="P305" s="75" t="n"/>
      <c r="Q305" s="75" t="n"/>
      <c r="R305" s="75" t="n"/>
      <c r="S305" s="75" t="n"/>
      <c r="T305" s="75" t="n"/>
      <c r="U305" s="75" t="n"/>
      <c r="V305" s="75" t="n"/>
      <c r="W305" s="75" t="n"/>
      <c r="X305" s="75" t="n"/>
      <c r="Y305" s="75" t="n"/>
      <c r="Z305" s="45" t="n"/>
    </row>
    <row r="306">
      <c r="A306" s="40" t="inlineStr">
        <is>
          <t>areaConfig.selectTownshipPlaceholder</t>
        </is>
      </c>
      <c r="B306" s="46" t="inlineStr">
        <is>
          <t>Xã/phường</t>
        </is>
      </c>
      <c r="C306" s="46" t="inlineStr">
        <is>
          <t>Enter ward/ commune</t>
        </is>
      </c>
      <c r="D306" s="43" t="inlineStr">
        <is>
          <t>ឃុំ/សង្កាត់</t>
        </is>
      </c>
      <c r="E306" s="75" t="n"/>
      <c r="F306" s="75" t="n"/>
      <c r="G306" s="75" t="inlineStr">
        <is>
          <t>ឃុំ/សង្កាត់</t>
        </is>
      </c>
      <c r="H306" s="75" t="inlineStr">
        <is>
          <t>ឃុំ/សង្កាត់</t>
        </is>
      </c>
      <c r="I306" s="75" t="n"/>
      <c r="J306" s="75" t="n"/>
      <c r="K306" s="75" t="inlineStr">
        <is>
          <t>"areaConfig.selectTownshipPlaceholder": "ឃុំ/សង្កាត់",</t>
        </is>
      </c>
      <c r="L306" s="75" t="n"/>
      <c r="M306" s="75" t="n"/>
      <c r="N306" s="75" t="n"/>
      <c r="O306" s="75" t="n"/>
      <c r="P306" s="75" t="n"/>
      <c r="Q306" s="75" t="n"/>
      <c r="R306" s="75" t="n"/>
      <c r="S306" s="75" t="n"/>
      <c r="T306" s="75" t="n"/>
      <c r="U306" s="75" t="n"/>
      <c r="V306" s="75" t="n"/>
      <c r="W306" s="75" t="n"/>
      <c r="X306" s="75" t="n"/>
      <c r="Y306" s="75" t="n"/>
      <c r="Z306" s="45" t="n"/>
    </row>
    <row r="307">
      <c r="A307" s="40" t="inlineStr">
        <is>
          <t>areaConfig.total</t>
        </is>
      </c>
      <c r="B307" s="46" t="inlineStr">
        <is>
          <t>Tổng địa danh</t>
        </is>
      </c>
      <c r="C307" s="46" t="inlineStr">
        <is>
          <t>Total area</t>
        </is>
      </c>
      <c r="D307" s="75" t="n"/>
      <c r="E307" s="75" t="n"/>
      <c r="F307" s="75" t="n"/>
      <c r="G307" s="75" t="inlineStr">
        <is>
          <t>ចំនួនđịa danhសរុប</t>
        </is>
      </c>
      <c r="H307" s="75" t="inlineStr">
        <is>
          <t>ចំនួនđịa danhសរុប</t>
        </is>
      </c>
      <c r="I307" s="75" t="n"/>
      <c r="J307" s="75" t="n"/>
      <c r="K307" s="75" t="inlineStr">
        <is>
          <t>"areaConfig.total": "ចំនួនđịa danhសរុប",</t>
        </is>
      </c>
      <c r="L307" s="75" t="n"/>
      <c r="M307" s="75" t="n"/>
      <c r="N307" s="75" t="n"/>
      <c r="O307" s="75" t="n"/>
      <c r="P307" s="75" t="n"/>
      <c r="Q307" s="75" t="n"/>
      <c r="R307" s="75" t="n"/>
      <c r="S307" s="75" t="n"/>
      <c r="T307" s="75" t="n"/>
      <c r="U307" s="75" t="n"/>
      <c r="V307" s="75" t="n"/>
      <c r="W307" s="75" t="n"/>
      <c r="X307" s="75" t="n"/>
      <c r="Y307" s="75" t="n"/>
      <c r="Z307" s="45" t="n"/>
    </row>
    <row r="308">
      <c r="A308" s="40" t="inlineStr">
        <is>
          <t>postmanConfig.searchRoute</t>
        </is>
      </c>
      <c r="B308" s="46" t="inlineStr">
        <is>
          <t>Tìm kiếm tuyến</t>
        </is>
      </c>
      <c r="C308" s="46" t="inlineStr">
        <is>
          <t>Search for route</t>
        </is>
      </c>
      <c r="D308" s="43" t="inlineStr">
        <is>
          <t>ស្វែងរកផ្លូវដឹក</t>
        </is>
      </c>
      <c r="E308" s="75" t="n"/>
      <c r="F308" s="75" t="n"/>
      <c r="G308" s="75" t="inlineStr">
        <is>
          <t>ស្វែងរកផ្លូវដឹក</t>
        </is>
      </c>
      <c r="H308" s="75" t="inlineStr">
        <is>
          <t>ស្វែងរកផ្លូវដឹក</t>
        </is>
      </c>
      <c r="I308" s="75" t="n"/>
      <c r="J308" s="75" t="n"/>
      <c r="K308" s="75" t="inlineStr">
        <is>
          <t>"postmanConfig.searchRoute": "ស្វែងរកផ្លូវដឹក",</t>
        </is>
      </c>
      <c r="L308" s="75" t="n"/>
      <c r="M308" s="75" t="n"/>
      <c r="N308" s="75" t="n"/>
      <c r="O308" s="75" t="n"/>
      <c r="P308" s="75" t="n"/>
      <c r="Q308" s="75" t="n"/>
      <c r="R308" s="75" t="n"/>
      <c r="S308" s="75" t="n"/>
      <c r="T308" s="75" t="n"/>
      <c r="U308" s="75" t="n"/>
      <c r="V308" s="75" t="n"/>
      <c r="W308" s="75" t="n"/>
      <c r="X308" s="75" t="n"/>
      <c r="Y308" s="75" t="n"/>
      <c r="Z308" s="45" t="n"/>
    </row>
    <row r="309">
      <c r="A309" s="40" t="inlineStr">
        <is>
          <t>postmanConfig.searchRoutePlaceholder</t>
        </is>
      </c>
      <c r="B309" s="46" t="inlineStr">
        <is>
          <t>Nhập tên tuyến</t>
        </is>
      </c>
      <c r="C309" s="46" t="inlineStr">
        <is>
          <t>Enter route</t>
        </is>
      </c>
      <c r="D309" s="43" t="inlineStr">
        <is>
          <t>បញ្ចូលឈ្មោះផ្លូវដឹក</t>
        </is>
      </c>
      <c r="E309" s="75" t="n"/>
      <c r="F309" s="75" t="n"/>
      <c r="G309" s="75" t="inlineStr">
        <is>
          <t>បញ្ចូលឈ្មោះផ្លូវដឹក</t>
        </is>
      </c>
      <c r="H309" s="75" t="inlineStr">
        <is>
          <t>បញ្ចូលឈ្មោះផ្លូវដឹក</t>
        </is>
      </c>
      <c r="I309" s="75" t="n"/>
      <c r="J309" s="75" t="n"/>
      <c r="K309" s="75" t="inlineStr">
        <is>
          <t>"postmanConfig.searchRoutePlaceholder": "បញ្ចូលឈ្មោះផ្លូវដឹក",</t>
        </is>
      </c>
      <c r="L309" s="75" t="n"/>
      <c r="M309" s="75" t="n"/>
      <c r="N309" s="75" t="n"/>
      <c r="O309" s="75" t="n"/>
      <c r="P309" s="75" t="n"/>
      <c r="Q309" s="75" t="n"/>
      <c r="R309" s="75" t="n"/>
      <c r="S309" s="75" t="n"/>
      <c r="T309" s="75" t="n"/>
      <c r="U309" s="75" t="n"/>
      <c r="V309" s="75" t="n"/>
      <c r="W309" s="75" t="n"/>
      <c r="X309" s="75" t="n"/>
      <c r="Y309" s="75" t="n"/>
      <c r="Z309" s="45" t="n"/>
    </row>
    <row r="310">
      <c r="A310" s="40" t="inlineStr">
        <is>
          <t>postmanConfig.postmanRoute</t>
        </is>
      </c>
      <c r="B310" s="46" t="inlineStr">
        <is>
          <t>Bưu tá</t>
        </is>
      </c>
      <c r="C310" s="46" t="inlineStr">
        <is>
          <t>Postman route</t>
        </is>
      </c>
      <c r="D310" s="43" t="inlineStr">
        <is>
          <t>អ្នកដឹកជញ្ជូន</t>
        </is>
      </c>
      <c r="E310" s="75" t="n"/>
      <c r="F310" s="75" t="n"/>
      <c r="G310" s="75" t="inlineStr">
        <is>
          <t>បុគ្គលិកដឹកជញ្ជូន</t>
        </is>
      </c>
      <c r="H310" s="75" t="inlineStr">
        <is>
          <t>បុគ្គលិកដឹកជញ្ជូន</t>
        </is>
      </c>
      <c r="I310" s="75" t="n"/>
      <c r="J310" s="75" t="n"/>
      <c r="K310" s="75" t="inlineStr">
        <is>
          <t>"postmanConfig.postmanRoute": "បុគ្គលិកដឹកជញ្ជូន",</t>
        </is>
      </c>
      <c r="L310" s="75" t="n"/>
      <c r="M310" s="75" t="n"/>
      <c r="N310" s="75" t="n"/>
      <c r="O310" s="75" t="n"/>
      <c r="P310" s="75" t="n"/>
      <c r="Q310" s="75" t="n"/>
      <c r="R310" s="75" t="n"/>
      <c r="S310" s="75" t="n"/>
      <c r="T310" s="75" t="n"/>
      <c r="U310" s="75" t="n"/>
      <c r="V310" s="75" t="n"/>
      <c r="W310" s="75" t="n"/>
      <c r="X310" s="75" t="n"/>
      <c r="Y310" s="75" t="n"/>
      <c r="Z310" s="45" t="n"/>
    </row>
    <row r="311">
      <c r="A311" s="40" t="inlineStr">
        <is>
          <t>postmanConfig.postmanRoutePlaceholder</t>
        </is>
      </c>
      <c r="B311" s="46" t="inlineStr">
        <is>
          <t>Chọn tuyến bưu tá</t>
        </is>
      </c>
      <c r="C311" s="46" t="inlineStr">
        <is>
          <t>Enter Postman route</t>
        </is>
      </c>
      <c r="D311" s="43" t="inlineStr">
        <is>
          <t>ជ្រើសរើសផ្លូ្លវដឹកជញ្ជូន</t>
        </is>
      </c>
      <c r="E311" s="75" t="n"/>
      <c r="F311" s="75" t="n"/>
      <c r="G311" s="75" t="inlineStr">
        <is>
          <t>ជ្រើសរើសផ្លូ្លវដឹកជញ្ជូន</t>
        </is>
      </c>
      <c r="H311" s="75" t="inlineStr">
        <is>
          <t>ជ្រើសរើសផ្លូ្លវដឹកជញ្ជូន</t>
        </is>
      </c>
      <c r="I311" s="75" t="n"/>
      <c r="J311" s="75" t="n"/>
      <c r="K311" s="75" t="inlineStr">
        <is>
          <t>"postmanConfig.postmanRoutePlaceholder": "ជ្រើសរើសផ្លូ្លវដឹកជញ្ជូន",</t>
        </is>
      </c>
      <c r="L311" s="75" t="n"/>
      <c r="M311" s="75" t="n"/>
      <c r="N311" s="75" t="n"/>
      <c r="O311" s="75" t="n"/>
      <c r="P311" s="75" t="n"/>
      <c r="Q311" s="75" t="n"/>
      <c r="R311" s="75" t="n"/>
      <c r="S311" s="75" t="n"/>
      <c r="T311" s="75" t="n"/>
      <c r="U311" s="75" t="n"/>
      <c r="V311" s="75" t="n"/>
      <c r="W311" s="75" t="n"/>
      <c r="X311" s="75" t="n"/>
      <c r="Y311" s="75" t="n"/>
      <c r="Z311" s="45" t="n"/>
    </row>
    <row r="312">
      <c r="A312" s="40" t="inlineStr">
        <is>
          <t>postmanConfig.shift</t>
        </is>
      </c>
      <c r="B312" s="46" t="inlineStr">
        <is>
          <t>Ca làm việc</t>
        </is>
      </c>
      <c r="C312" s="46" t="inlineStr">
        <is>
          <t>Working shift</t>
        </is>
      </c>
      <c r="D312" s="43" t="inlineStr">
        <is>
          <t>វេនធ្វើការ</t>
        </is>
      </c>
      <c r="E312" s="75" t="n"/>
      <c r="F312" s="75" t="n"/>
      <c r="G312" s="75" t="inlineStr">
        <is>
          <t>វេនធ្វើការ</t>
        </is>
      </c>
      <c r="H312" s="75" t="inlineStr">
        <is>
          <t>វេនធ្វើការ</t>
        </is>
      </c>
      <c r="I312" s="75" t="n"/>
      <c r="J312" s="75" t="n"/>
      <c r="K312" s="75" t="inlineStr">
        <is>
          <t>"postmanConfig.shift": "វេនធ្វើការ",</t>
        </is>
      </c>
      <c r="L312" s="75" t="n"/>
      <c r="M312" s="75" t="n"/>
      <c r="N312" s="75" t="n"/>
      <c r="O312" s="75" t="n"/>
      <c r="P312" s="75" t="n"/>
      <c r="Q312" s="75" t="n"/>
      <c r="R312" s="75" t="n"/>
      <c r="S312" s="75" t="n"/>
      <c r="T312" s="75" t="n"/>
      <c r="U312" s="75" t="n"/>
      <c r="V312" s="75" t="n"/>
      <c r="W312" s="75" t="n"/>
      <c r="X312" s="75" t="n"/>
      <c r="Y312" s="75" t="n"/>
      <c r="Z312" s="45" t="n"/>
    </row>
    <row r="313">
      <c r="A313" s="40" t="inlineStr">
        <is>
          <t>postmanConfig.shiftPlaceholder</t>
        </is>
      </c>
      <c r="B313" s="46" t="inlineStr">
        <is>
          <t>Chọn ca làm việc</t>
        </is>
      </c>
      <c r="C313" s="46" t="inlineStr">
        <is>
          <t>Select Working shift</t>
        </is>
      </c>
      <c r="D313" s="43" t="inlineStr">
        <is>
          <t>ជ្រើសរើសវេនធ្វើការ</t>
        </is>
      </c>
      <c r="E313" s="75" t="n"/>
      <c r="F313" s="75" t="n"/>
      <c r="G313" s="75" t="inlineStr">
        <is>
          <t>ជ្រើសរើសវេនធ្វើការ</t>
        </is>
      </c>
      <c r="H313" s="75" t="inlineStr">
        <is>
          <t>ជ្រើសរើសវេនធ្វើការ</t>
        </is>
      </c>
      <c r="I313" s="75" t="n"/>
      <c r="J313" s="75" t="n"/>
      <c r="K313" s="75" t="inlineStr">
        <is>
          <t>"postmanConfig.shiftPlaceholder": "ជ្រើសរើសវេនធ្វើការ",</t>
        </is>
      </c>
      <c r="L313" s="75" t="n"/>
      <c r="M313" s="75" t="n"/>
      <c r="N313" s="75" t="n"/>
      <c r="O313" s="75" t="n"/>
      <c r="P313" s="75" t="n"/>
      <c r="Q313" s="75" t="n"/>
      <c r="R313" s="75" t="n"/>
      <c r="S313" s="75" t="n"/>
      <c r="T313" s="75" t="n"/>
      <c r="U313" s="75" t="n"/>
      <c r="V313" s="75" t="n"/>
      <c r="W313" s="75" t="n"/>
      <c r="X313" s="75" t="n"/>
      <c r="Y313" s="75" t="n"/>
      <c r="Z313" s="45" t="n"/>
    </row>
    <row r="314">
      <c r="A314" s="40" t="inlineStr">
        <is>
          <t>postmanConfig.role</t>
        </is>
      </c>
      <c r="B314" s="46" t="inlineStr">
        <is>
          <t>Cấu hình</t>
        </is>
      </c>
      <c r="C314" s="46" t="inlineStr">
        <is>
          <t>Role</t>
        </is>
      </c>
      <c r="D314" s="75" t="n"/>
      <c r="E314" s="75" t="n"/>
      <c r="F314" s="75" t="n"/>
      <c r="G314" s="75" t="inlineStr">
        <is>
          <t>ការកំណត់</t>
        </is>
      </c>
      <c r="H314" s="75" t="inlineStr">
        <is>
          <t>ការកំណត់</t>
        </is>
      </c>
      <c r="I314" s="75" t="n"/>
      <c r="J314" s="75" t="n"/>
      <c r="K314" s="75" t="inlineStr">
        <is>
          <t>"postmanConfig.role": "ការកំណត់",</t>
        </is>
      </c>
      <c r="L314" s="75" t="n"/>
      <c r="M314" s="75" t="n"/>
      <c r="N314" s="75" t="n"/>
      <c r="O314" s="75" t="n"/>
      <c r="P314" s="75" t="n"/>
      <c r="Q314" s="75" t="n"/>
      <c r="R314" s="75" t="n"/>
      <c r="S314" s="75" t="n"/>
      <c r="T314" s="75" t="n"/>
      <c r="U314" s="75" t="n"/>
      <c r="V314" s="75" t="n"/>
      <c r="W314" s="75" t="n"/>
      <c r="X314" s="75" t="n"/>
      <c r="Y314" s="75" t="n"/>
      <c r="Z314" s="45" t="n"/>
    </row>
    <row r="315">
      <c r="A315" s="40" t="inlineStr">
        <is>
          <t>postmanConfig.active</t>
        </is>
      </c>
      <c r="B315" s="46" t="inlineStr">
        <is>
          <t>Hoạt động</t>
        </is>
      </c>
      <c r="C315" s="46" t="inlineStr">
        <is>
          <t>Active</t>
        </is>
      </c>
      <c r="D315" s="43" t="inlineStr">
        <is>
          <t>សកម្មភាព</t>
        </is>
      </c>
      <c r="E315" s="75" t="n"/>
      <c r="F315" s="75" t="n"/>
      <c r="G315" s="75" t="inlineStr">
        <is>
          <t>ដំណើរការ</t>
        </is>
      </c>
      <c r="H315" s="75" t="inlineStr">
        <is>
          <t>ដំណើរការ</t>
        </is>
      </c>
      <c r="I315" s="75" t="n"/>
      <c r="J315" s="75" t="n"/>
      <c r="K315" s="75" t="inlineStr">
        <is>
          <t>"postmanConfig.active": "ដំណើរការ",</t>
        </is>
      </c>
      <c r="L315" s="75" t="n"/>
      <c r="M315" s="75" t="n"/>
      <c r="N315" s="75" t="n"/>
      <c r="O315" s="75" t="n"/>
      <c r="P315" s="75" t="n"/>
      <c r="Q315" s="75" t="n"/>
      <c r="R315" s="75" t="n"/>
      <c r="S315" s="75" t="n"/>
      <c r="T315" s="75" t="n"/>
      <c r="U315" s="75" t="n"/>
      <c r="V315" s="75" t="n"/>
      <c r="W315" s="75" t="n"/>
      <c r="X315" s="75" t="n"/>
      <c r="Y315" s="75" t="n"/>
      <c r="Z315" s="45" t="n"/>
    </row>
    <row r="316">
      <c r="A316" s="40" t="inlineStr">
        <is>
          <t>postmanConfig.inActive</t>
        </is>
      </c>
      <c r="B316" s="46" t="inlineStr">
        <is>
          <t>Không hoạt động</t>
        </is>
      </c>
      <c r="C316" s="46" t="inlineStr">
        <is>
          <t>Inactive</t>
        </is>
      </c>
      <c r="D316" s="43" t="inlineStr">
        <is>
          <t>មិនដំណើរការបាន</t>
        </is>
      </c>
      <c r="E316" s="75" t="n"/>
      <c r="F316" s="75" t="n"/>
      <c r="G316" s="75" t="inlineStr">
        <is>
          <t>មិនដំណើរការបាន</t>
        </is>
      </c>
      <c r="H316" s="75" t="inlineStr">
        <is>
          <t>មិនដំណើរការបាន</t>
        </is>
      </c>
      <c r="I316" s="75" t="n"/>
      <c r="J316" s="75" t="n"/>
      <c r="K316" s="75" t="inlineStr">
        <is>
          <t>"postmanConfig.inActive": "មិនដំណើរការបាន",</t>
        </is>
      </c>
      <c r="L316" s="75" t="n"/>
      <c r="M316" s="75" t="n"/>
      <c r="N316" s="75" t="n"/>
      <c r="O316" s="75" t="n"/>
      <c r="P316" s="75" t="n"/>
      <c r="Q316" s="75" t="n"/>
      <c r="R316" s="75" t="n"/>
      <c r="S316" s="75" t="n"/>
      <c r="T316" s="75" t="n"/>
      <c r="U316" s="75" t="n"/>
      <c r="V316" s="75" t="n"/>
      <c r="W316" s="75" t="n"/>
      <c r="X316" s="75" t="n"/>
      <c r="Y316" s="75" t="n"/>
      <c r="Z316" s="45" t="n"/>
    </row>
    <row r="317">
      <c r="A317" s="40" t="inlineStr">
        <is>
          <t>postmanConfig.total</t>
        </is>
      </c>
      <c r="B317" s="46" t="inlineStr">
        <is>
          <t>Tổng tuyến bưu tá</t>
        </is>
      </c>
      <c r="C317" s="46" t="inlineStr">
        <is>
          <t>Total postman routes</t>
        </is>
      </c>
      <c r="D317" s="43" t="inlineStr">
        <is>
          <t>សរុបផ្លូវអ្នកដឹកជញ្ជូន</t>
        </is>
      </c>
      <c r="E317" s="75" t="n"/>
      <c r="F317" s="75" t="n"/>
      <c r="G317" s="75" t="inlineStr">
        <is>
          <t>សរុបផ្លូវអ្នកដឹកជញ្ជូន</t>
        </is>
      </c>
      <c r="H317" s="75" t="inlineStr">
        <is>
          <t>សរុបផ្លូវអ្នកដឹកជញ្ជូន</t>
        </is>
      </c>
      <c r="I317" s="75" t="n"/>
      <c r="J317" s="75" t="n"/>
      <c r="K317" s="75" t="inlineStr">
        <is>
          <t>"postmanConfig.total": "សរុបផ្លូវអ្នកដឹកជញ្ជូន",</t>
        </is>
      </c>
      <c r="L317" s="75" t="n"/>
      <c r="M317" s="75" t="n"/>
      <c r="N317" s="75" t="n"/>
      <c r="O317" s="75" t="n"/>
      <c r="P317" s="75" t="n"/>
      <c r="Q317" s="75" t="n"/>
      <c r="R317" s="75" t="n"/>
      <c r="S317" s="75" t="n"/>
      <c r="T317" s="75" t="n"/>
      <c r="U317" s="75" t="n"/>
      <c r="V317" s="75" t="n"/>
      <c r="W317" s="75" t="n"/>
      <c r="X317" s="75" t="n"/>
      <c r="Y317" s="75" t="n"/>
      <c r="Z317" s="45" t="n"/>
    </row>
    <row r="318">
      <c r="A318" s="40" t="inlineStr">
        <is>
          <t>postmanConfig.LEADER</t>
        </is>
      </c>
      <c r="B318" s="46" t="inlineStr">
        <is>
          <t>Trưởng tuyến</t>
        </is>
      </c>
      <c r="C318" s="46" t="inlineStr">
        <is>
          <t>Route Leader</t>
        </is>
      </c>
      <c r="D318" s="75" t="n"/>
      <c r="E318" s="75" t="n"/>
      <c r="F318" s="75" t="n"/>
      <c r="G318" s="75" t="inlineStr">
        <is>
          <t>Trưởng ខ្សែផ្លូវ</t>
        </is>
      </c>
      <c r="H318" s="75" t="inlineStr">
        <is>
          <t>Trưởng ខ្សែផ្លូវ</t>
        </is>
      </c>
      <c r="I318" s="75" t="n"/>
      <c r="J318" s="75" t="n"/>
      <c r="K318" s="75" t="inlineStr">
        <is>
          <t>"postmanConfig.LEADER": "Trưởng ខ្សែផ្លូវ",</t>
        </is>
      </c>
      <c r="L318" s="75" t="n"/>
      <c r="M318" s="75" t="n"/>
      <c r="N318" s="75" t="n"/>
      <c r="O318" s="75" t="n"/>
      <c r="P318" s="75" t="n"/>
      <c r="Q318" s="75" t="n"/>
      <c r="R318" s="75" t="n"/>
      <c r="S318" s="75" t="n"/>
      <c r="T318" s="75" t="n"/>
      <c r="U318" s="75" t="n"/>
      <c r="V318" s="75" t="n"/>
      <c r="W318" s="75" t="n"/>
      <c r="X318" s="75" t="n"/>
      <c r="Y318" s="75" t="n"/>
      <c r="Z318" s="45" t="n"/>
    </row>
    <row r="319">
      <c r="A319" s="40" t="inlineStr">
        <is>
          <t>postmanConfig.MEMBER</t>
        </is>
      </c>
      <c r="B319" s="46" t="inlineStr">
        <is>
          <t>Tuyến nhận</t>
        </is>
      </c>
      <c r="C319" s="46" t="inlineStr">
        <is>
          <t>Member</t>
        </is>
      </c>
      <c r="D319" s="43" t="inlineStr">
        <is>
          <t>ផ្លូវទទួល</t>
        </is>
      </c>
      <c r="E319" s="75" t="n"/>
      <c r="F319" s="75" t="n"/>
      <c r="G319" s="75" t="inlineStr">
        <is>
          <t>ផ្លូវទទួល</t>
        </is>
      </c>
      <c r="H319" s="75" t="inlineStr">
        <is>
          <t>ផ្លូវទទួល</t>
        </is>
      </c>
      <c r="I319" s="75" t="n"/>
      <c r="J319" s="75" t="n"/>
      <c r="K319" s="75" t="inlineStr">
        <is>
          <t>"postmanConfig.MEMBER": "ផ្លូវទទួល",</t>
        </is>
      </c>
      <c r="L319" s="75" t="n"/>
      <c r="M319" s="75" t="n"/>
      <c r="N319" s="75" t="n"/>
      <c r="O319" s="75" t="n"/>
      <c r="P319" s="75" t="n"/>
      <c r="Q319" s="75" t="n"/>
      <c r="R319" s="75" t="n"/>
      <c r="S319" s="75" t="n"/>
      <c r="T319" s="75" t="n"/>
      <c r="U319" s="75" t="n"/>
      <c r="V319" s="75" t="n"/>
      <c r="W319" s="75" t="n"/>
      <c r="X319" s="75" t="n"/>
      <c r="Y319" s="75" t="n"/>
      <c r="Z319" s="45" t="n"/>
    </row>
    <row r="320">
      <c r="A320" s="40" t="inlineStr">
        <is>
          <t>postmanConfig.assignLeader</t>
        </is>
      </c>
      <c r="B320" s="46" t="inlineStr">
        <is>
          <t>Gán mặc định</t>
        </is>
      </c>
      <c r="C320" s="46" t="inlineStr">
        <is>
          <t>Assign leader route</t>
        </is>
      </c>
      <c r="D320" s="75" t="n"/>
      <c r="E320" s="75" t="n"/>
      <c r="F320" s="75" t="n"/>
      <c r="G320" s="75" t="inlineStr">
        <is>
          <t>កំណត់ជាលំនាំដើម</t>
        </is>
      </c>
      <c r="H320" s="75" t="inlineStr">
        <is>
          <t>កំណត់ជាលំនាំដើម</t>
        </is>
      </c>
      <c r="I320" s="75" t="n"/>
      <c r="J320" s="75" t="n"/>
      <c r="K320" s="75" t="inlineStr">
        <is>
          <t>"postmanConfig.assignLeader": "កំណត់ជាលំនាំដើម",</t>
        </is>
      </c>
      <c r="L320" s="75" t="n"/>
      <c r="M320" s="75" t="n"/>
      <c r="N320" s="75" t="n"/>
      <c r="O320" s="75" t="n"/>
      <c r="P320" s="75" t="n"/>
      <c r="Q320" s="75" t="n"/>
      <c r="R320" s="75" t="n"/>
      <c r="S320" s="75" t="n"/>
      <c r="T320" s="75" t="n"/>
      <c r="U320" s="75" t="n"/>
      <c r="V320" s="75" t="n"/>
      <c r="W320" s="75" t="n"/>
      <c r="X320" s="75" t="n"/>
      <c r="Y320" s="75" t="n"/>
      <c r="Z320" s="45" t="n"/>
    </row>
    <row r="321">
      <c r="A321" s="40" t="inlineStr">
        <is>
          <t>postmanConfig.toolHandle.changeStatus</t>
        </is>
      </c>
      <c r="B321" s="46" t="inlineStr">
        <is>
          <t>Đổi trạng thái tuyến bưu tá</t>
        </is>
      </c>
      <c r="C321" s="46" t="inlineStr">
        <is>
          <t>Change route status</t>
        </is>
      </c>
      <c r="D321" s="43" t="inlineStr">
        <is>
          <t>ការផ្លាស់ប្តូរស្ថានភាពផ្លូវដឹកជញ្ជូន</t>
        </is>
      </c>
      <c r="E321" s="75" t="n"/>
      <c r="F321" s="75" t="n"/>
      <c r="G321" s="75" t="inlineStr">
        <is>
          <t>ការផ្លាស់ប្តូរស្ថានភាពផ្លូវដឹកជញ្ជូន</t>
        </is>
      </c>
      <c r="H321" s="75" t="inlineStr">
        <is>
          <t>ការផ្លាស់ប្តូរស្ថានភាពផ្លូវដឹកជញ្ជូន</t>
        </is>
      </c>
      <c r="I321" s="75" t="n"/>
      <c r="J321" s="75" t="n"/>
      <c r="K321" s="75" t="inlineStr">
        <is>
          <t>"postmanConfig.toolHandle.changeStatus": "ការផ្លាស់ប្តូរស្ថានភាពផ្លូវដឹកជញ្ជូន",</t>
        </is>
      </c>
      <c r="L321" s="75" t="n"/>
      <c r="M321" s="75" t="n"/>
      <c r="N321" s="75" t="n"/>
      <c r="O321" s="75" t="n"/>
      <c r="P321" s="75" t="n"/>
      <c r="Q321" s="75" t="n"/>
      <c r="R321" s="75" t="n"/>
      <c r="S321" s="75" t="n"/>
      <c r="T321" s="75" t="n"/>
      <c r="U321" s="75" t="n"/>
      <c r="V321" s="75" t="n"/>
      <c r="W321" s="75" t="n"/>
      <c r="X321" s="75" t="n"/>
      <c r="Y321" s="75" t="n"/>
      <c r="Z321" s="45" t="n"/>
    </row>
    <row r="322">
      <c r="A322" s="40" t="inlineStr">
        <is>
          <t>postmanConfig.toolHandle.titleModal</t>
        </is>
      </c>
      <c r="B322" s="46" t="inlineStr">
        <is>
          <t>Bạn có chắc chắn muốn thay đổi trạng thái tuyến bưu tá hay không?</t>
        </is>
      </c>
      <c r="C322" s="46" t="inlineStr">
        <is>
          <t>Are you sure to change route status?</t>
        </is>
      </c>
      <c r="D322" s="43" t="inlineStr">
        <is>
          <t>តើអ្នកពិតជាចង់ផ្លាស់ប្តូរស្ថានភាពផ្លូវអ្នកដឹកជញ្ជូនដែរឬទេ?</t>
        </is>
      </c>
      <c r="E322" s="75" t="n"/>
      <c r="F322" s="75" t="n"/>
      <c r="G322" s="75" t="inlineStr">
        <is>
          <t>តើអ្នកពិតជាចង់ផ្លាស់ប្តូរស្ថានភាពផ្លូវអ្នកដឹកជញ្ជូនដែរឬទេ?</t>
        </is>
      </c>
      <c r="H322" s="75" t="inlineStr">
        <is>
          <t>តើអ្នកពិតជាចង់ផ្លាស់ប្តូរស្ថានភាពផ្លូវអ្នកដឹកជញ្ជូនដែរឬទេ?</t>
        </is>
      </c>
      <c r="I322" s="75" t="n"/>
      <c r="J322" s="75" t="n"/>
      <c r="K322" s="75" t="inlineStr">
        <is>
          <t>"postmanConfig.toolHandle.titleModal": "តើអ្នកពិតជាចង់ផ្លាស់ប្តូរស្ថានភាពផ្លូវអ្នកដឹកជញ្ជូនដែរឬទេ?",</t>
        </is>
      </c>
      <c r="L322" s="75" t="n"/>
      <c r="M322" s="75" t="n"/>
      <c r="N322" s="75" t="n"/>
      <c r="O322" s="75" t="n"/>
      <c r="P322" s="75" t="n"/>
      <c r="Q322" s="75" t="n"/>
      <c r="R322" s="75" t="n"/>
      <c r="S322" s="75" t="n"/>
      <c r="T322" s="75" t="n"/>
      <c r="U322" s="75" t="n"/>
      <c r="V322" s="75" t="n"/>
      <c r="W322" s="75" t="n"/>
      <c r="X322" s="75" t="n"/>
      <c r="Y322" s="75" t="n"/>
      <c r="Z322" s="45" t="n"/>
    </row>
    <row r="323">
      <c r="A323" s="40" t="inlineStr">
        <is>
          <t>modifyRoute.routeNameMin</t>
        </is>
      </c>
      <c r="B323" s="46" t="inlineStr">
        <is>
          <t>Tên tuyến tối thiểu 1 ký tự</t>
        </is>
      </c>
      <c r="C323" s="46" t="inlineStr">
        <is>
          <t>Minimum 1 character for route name</t>
        </is>
      </c>
      <c r="D323" s="75" t="n"/>
      <c r="E323" s="75" t="n"/>
      <c r="F323" s="75" t="n"/>
      <c r="G323" s="75" t="inlineStr">
        <is>
          <t>ឈ្មោះខ្សែផ្លូវ tối thiểu 1 ký tự</t>
        </is>
      </c>
      <c r="H323" s="75" t="inlineStr">
        <is>
          <t>ឈ្មោះខ្សែផ្លូវ tối thiểu 1 ký tự</t>
        </is>
      </c>
      <c r="I323" s="75" t="n"/>
      <c r="J323" s="75" t="n"/>
      <c r="K323" s="75" t="inlineStr">
        <is>
          <t>"modifyRoute.routeNameMin": "ឈ្មោះខ្សែផ្លូវ tối thiểu 1 ký tự",</t>
        </is>
      </c>
      <c r="L323" s="75" t="n"/>
      <c r="M323" s="75" t="n"/>
      <c r="N323" s="75" t="n"/>
      <c r="O323" s="75" t="n"/>
      <c r="P323" s="75" t="n"/>
      <c r="Q323" s="75" t="n"/>
      <c r="R323" s="75" t="n"/>
      <c r="S323" s="75" t="n"/>
      <c r="T323" s="75" t="n"/>
      <c r="U323" s="75" t="n"/>
      <c r="V323" s="75" t="n"/>
      <c r="W323" s="75" t="n"/>
      <c r="X323" s="75" t="n"/>
      <c r="Y323" s="75" t="n"/>
      <c r="Z323" s="45" t="n"/>
    </row>
    <row r="324">
      <c r="A324" s="40" t="inlineStr">
        <is>
          <t>modifyRoute.routeNameMax</t>
        </is>
      </c>
      <c r="B324" s="46" t="inlineStr">
        <is>
          <t>Tên tuyến tối đa 200 ký tự</t>
        </is>
      </c>
      <c r="C324" s="46" t="inlineStr">
        <is>
          <t>Maximum 200 characters for route name</t>
        </is>
      </c>
      <c r="D324" s="75" t="n"/>
      <c r="E324" s="75" t="n"/>
      <c r="F324" s="75" t="n"/>
      <c r="G324" s="75" t="inlineStr">
        <is>
          <t>ឈ្មោះខ្សែផ្លូវ tối đa 200 ký tự</t>
        </is>
      </c>
      <c r="H324" s="75" t="inlineStr">
        <is>
          <t>ឈ្មោះខ្សែផ្លូវ tối đa 200 ký tự</t>
        </is>
      </c>
      <c r="I324" s="75" t="n"/>
      <c r="J324" s="75" t="n"/>
      <c r="K324" s="75" t="inlineStr">
        <is>
          <t>"modifyRoute.routeNameMax": "ឈ្មោះខ្សែផ្លូវ tối đa 200 ký tự",</t>
        </is>
      </c>
      <c r="L324" s="75" t="n"/>
      <c r="M324" s="75" t="n"/>
      <c r="N324" s="75" t="n"/>
      <c r="O324" s="75" t="n"/>
      <c r="P324" s="75" t="n"/>
      <c r="Q324" s="75" t="n"/>
      <c r="R324" s="75" t="n"/>
      <c r="S324" s="75" t="n"/>
      <c r="T324" s="75" t="n"/>
      <c r="U324" s="75" t="n"/>
      <c r="V324" s="75" t="n"/>
      <c r="W324" s="75" t="n"/>
      <c r="X324" s="75" t="n"/>
      <c r="Y324" s="75" t="n"/>
      <c r="Z324" s="45" t="n"/>
    </row>
    <row r="325">
      <c r="A325" s="40" t="inlineStr">
        <is>
          <t>modifyRoute.containsSpecialCharacters</t>
        </is>
      </c>
      <c r="B325" s="46" t="inlineStr">
        <is>
          <t>Tên tuyến không được chứa ký tự đặc biệt</t>
        </is>
      </c>
      <c r="C325" s="46" t="inlineStr">
        <is>
          <t>Not allow for using special characters in route name</t>
        </is>
      </c>
      <c r="D325" s="75" t="n"/>
      <c r="E325" s="75" t="n"/>
      <c r="F325" s="75" t="n"/>
      <c r="G325" s="75" t="inlineStr">
        <is>
          <t>ឈ្មោះខ្សែផ្លូវមិនអាចមានតួអក្សរពិសេសទេ</t>
        </is>
      </c>
      <c r="H325" s="75" t="inlineStr">
        <is>
          <t>ឈ្មោះខ្សែផ្លូវមិនអាចមានតួអក្សរពិសេសទេ</t>
        </is>
      </c>
      <c r="I325" s="75" t="n"/>
      <c r="J325" s="75" t="n"/>
      <c r="K325" s="75" t="inlineStr">
        <is>
          <t>"modifyRoute.containsSpecialCharacters": "ឈ្មោះខ្សែផ្លូវមិនអាចមានតួអក្សរពិសេសទេ",</t>
        </is>
      </c>
      <c r="L325" s="75" t="n"/>
      <c r="M325" s="75" t="n"/>
      <c r="N325" s="75" t="n"/>
      <c r="O325" s="75" t="n"/>
      <c r="P325" s="75" t="n"/>
      <c r="Q325" s="75" t="n"/>
      <c r="R325" s="75" t="n"/>
      <c r="S325" s="75" t="n"/>
      <c r="T325" s="75" t="n"/>
      <c r="U325" s="75" t="n"/>
      <c r="V325" s="75" t="n"/>
      <c r="W325" s="75" t="n"/>
      <c r="X325" s="75" t="n"/>
      <c r="Y325" s="75" t="n"/>
      <c r="Z325" s="45" t="n"/>
    </row>
    <row r="326">
      <c r="A326" s="48" t="inlineStr">
        <is>
          <t>priceManager.priceManager</t>
        </is>
      </c>
      <c r="B326" s="55" t="inlineStr">
        <is>
          <t>Quản lý bảng giá</t>
        </is>
      </c>
      <c r="C326" s="55" t="inlineStr">
        <is>
          <t>Pricing management</t>
        </is>
      </c>
      <c r="D326" s="51" t="inlineStr">
        <is>
          <t>គ្រប់គ្រងតារាងតម្លៃ</t>
        </is>
      </c>
      <c r="E326" s="71" t="n"/>
      <c r="F326" s="71" t="n"/>
      <c r="G326" s="71" t="inlineStr">
        <is>
          <t>គ្រប់គ្រងតារាងតម្លៃ</t>
        </is>
      </c>
      <c r="H326" s="71" t="inlineStr">
        <is>
          <t>គ្រប់គ្រងតារាងតម្លៃ</t>
        </is>
      </c>
      <c r="I326" s="71" t="n"/>
      <c r="J326" s="71" t="n"/>
      <c r="K326" s="71" t="inlineStr">
        <is>
          <t>"priceManager.priceManager": "គ្រប់គ្រងតារាងតម្លៃ",</t>
        </is>
      </c>
      <c r="L326" s="71" t="n"/>
      <c r="M326" s="71" t="n"/>
      <c r="N326" s="71" t="n"/>
      <c r="O326" s="71" t="n"/>
      <c r="P326" s="71" t="n"/>
      <c r="Q326" s="71" t="n"/>
      <c r="R326" s="71" t="n"/>
      <c r="S326" s="71" t="n"/>
      <c r="T326" s="71" t="n"/>
      <c r="U326" s="71" t="n"/>
      <c r="V326" s="71" t="n"/>
      <c r="W326" s="71" t="n"/>
      <c r="X326" s="71" t="n"/>
      <c r="Y326" s="71" t="n"/>
      <c r="Z326" s="53" t="n"/>
    </row>
    <row r="327">
      <c r="A327" s="48" t="inlineStr">
        <is>
          <t>priceManager.service</t>
        </is>
      </c>
      <c r="B327" s="55" t="inlineStr">
        <is>
          <t>Quản lý dịch vụ</t>
        </is>
      </c>
      <c r="C327" s="55" t="inlineStr">
        <is>
          <t>Service management</t>
        </is>
      </c>
      <c r="D327" s="51" t="inlineStr">
        <is>
          <t>គ្រប់គ្រងសេវាកម្ម</t>
        </is>
      </c>
      <c r="E327" s="71" t="n"/>
      <c r="F327" s="71" t="n"/>
      <c r="G327" s="71" t="inlineStr">
        <is>
          <t>គ្រប់គ្រងសេវាកម្ម</t>
        </is>
      </c>
      <c r="H327" s="71" t="inlineStr">
        <is>
          <t>គ្រប់គ្រងសេវាកម្ម</t>
        </is>
      </c>
      <c r="I327" s="71" t="n"/>
      <c r="J327" s="71" t="n"/>
      <c r="K327" s="71" t="inlineStr">
        <is>
          <t>"priceManager.service": "គ្រប់គ្រងសេវាកម្ម",</t>
        </is>
      </c>
      <c r="L327" s="71" t="n"/>
      <c r="M327" s="71" t="n"/>
      <c r="N327" s="71" t="n"/>
      <c r="O327" s="71" t="n"/>
      <c r="P327" s="71" t="n"/>
      <c r="Q327" s="71" t="n"/>
      <c r="R327" s="71" t="n"/>
      <c r="S327" s="71" t="n"/>
      <c r="T327" s="71" t="n"/>
      <c r="U327" s="71" t="n"/>
      <c r="V327" s="71" t="n"/>
      <c r="W327" s="71" t="n"/>
      <c r="X327" s="71" t="n"/>
      <c r="Y327" s="71" t="n"/>
      <c r="Z327" s="53" t="n"/>
    </row>
    <row r="328">
      <c r="A328" s="48" t="inlineStr">
        <is>
          <t>priceManager.price</t>
        </is>
      </c>
      <c r="B328" s="55" t="inlineStr">
        <is>
          <t>Quản lý bảng tính</t>
        </is>
      </c>
      <c r="C328" s="55" t="inlineStr">
        <is>
          <t>Shipping price management</t>
        </is>
      </c>
      <c r="D328" s="51" t="inlineStr">
        <is>
          <t>គ្រប់គ្រងតារាងគណនា</t>
        </is>
      </c>
      <c r="E328" s="71" t="n"/>
      <c r="F328" s="71" t="n"/>
      <c r="G328" s="71" t="inlineStr">
        <is>
          <t>គ្រប់គ្រងតារាងគណនា</t>
        </is>
      </c>
      <c r="H328" s="71" t="inlineStr">
        <is>
          <t>គ្រប់គ្រងតារាងគណនា</t>
        </is>
      </c>
      <c r="I328" s="71" t="n"/>
      <c r="J328" s="71" t="n"/>
      <c r="K328" s="71" t="inlineStr">
        <is>
          <t>"priceManager.price": "គ្រប់គ្រងតារាងគណនា",</t>
        </is>
      </c>
      <c r="L328" s="71" t="n"/>
      <c r="M328" s="71" t="n"/>
      <c r="N328" s="71" t="n"/>
      <c r="O328" s="71" t="n"/>
      <c r="P328" s="71" t="n"/>
      <c r="Q328" s="71" t="n"/>
      <c r="R328" s="71" t="n"/>
      <c r="S328" s="71" t="n"/>
      <c r="T328" s="71" t="n"/>
      <c r="U328" s="71" t="n"/>
      <c r="V328" s="71" t="n"/>
      <c r="W328" s="71" t="n"/>
      <c r="X328" s="71" t="n"/>
      <c r="Y328" s="71" t="n"/>
      <c r="Z328" s="53" t="n"/>
    </row>
    <row r="329">
      <c r="A329" s="48" t="inlineStr">
        <is>
          <t>priceManager.serviceCode</t>
        </is>
      </c>
      <c r="B329" s="55" t="inlineStr">
        <is>
          <t>Mã dịch vụ</t>
        </is>
      </c>
      <c r="C329" s="55" t="inlineStr">
        <is>
          <t>Service code</t>
        </is>
      </c>
      <c r="D329" s="51" t="inlineStr">
        <is>
          <t>លេខកូដសេវាកម្ម</t>
        </is>
      </c>
      <c r="E329" s="71" t="n"/>
      <c r="F329" s="71" t="n"/>
      <c r="G329" s="71" t="inlineStr">
        <is>
          <t>លេខកូដសេវាកម្ម</t>
        </is>
      </c>
      <c r="H329" s="71" t="inlineStr">
        <is>
          <t>លេខកូដសេវាកម្ម</t>
        </is>
      </c>
      <c r="I329" s="71" t="n"/>
      <c r="J329" s="71" t="n"/>
      <c r="K329" s="71" t="inlineStr">
        <is>
          <t>"priceManager.serviceCode": "លេខកូដសេវាកម្ម",</t>
        </is>
      </c>
      <c r="L329" s="71" t="n"/>
      <c r="M329" s="71" t="n"/>
      <c r="N329" s="71" t="n"/>
      <c r="O329" s="71" t="n"/>
      <c r="P329" s="71" t="n"/>
      <c r="Q329" s="71" t="n"/>
      <c r="R329" s="71" t="n"/>
      <c r="S329" s="71" t="n"/>
      <c r="T329" s="71" t="n"/>
      <c r="U329" s="71" t="n"/>
      <c r="V329" s="71" t="n"/>
      <c r="W329" s="71" t="n"/>
      <c r="X329" s="71" t="n"/>
      <c r="Y329" s="71" t="n"/>
      <c r="Z329" s="53" t="n"/>
    </row>
    <row r="330">
      <c r="A330" s="48" t="inlineStr">
        <is>
          <t>priceManager.serviceGroup</t>
        </is>
      </c>
      <c r="B330" s="55" t="inlineStr">
        <is>
          <t>Nhóm dịch vụ</t>
        </is>
      </c>
      <c r="C330" s="55" t="inlineStr">
        <is>
          <t>Service group</t>
        </is>
      </c>
      <c r="D330" s="51" t="inlineStr">
        <is>
          <t>ក្រុមសេវាកម្ម</t>
        </is>
      </c>
      <c r="E330" s="71" t="n"/>
      <c r="F330" s="71" t="n"/>
      <c r="G330" s="71" t="inlineStr">
        <is>
          <t>ក្រុមសេវាកម្ម</t>
        </is>
      </c>
      <c r="H330" s="71" t="inlineStr">
        <is>
          <t>ក្រុមសេវាកម្ម</t>
        </is>
      </c>
      <c r="I330" s="71" t="n"/>
      <c r="J330" s="71" t="n"/>
      <c r="K330" s="71" t="inlineStr">
        <is>
          <t>"priceManager.serviceGroup": "ក្រុមសេវាកម្ម",</t>
        </is>
      </c>
      <c r="L330" s="71" t="n"/>
      <c r="M330" s="71" t="n"/>
      <c r="N330" s="71" t="n"/>
      <c r="O330" s="71" t="n"/>
      <c r="P330" s="71" t="n"/>
      <c r="Q330" s="71" t="n"/>
      <c r="R330" s="71" t="n"/>
      <c r="S330" s="71" t="n"/>
      <c r="T330" s="71" t="n"/>
      <c r="U330" s="71" t="n"/>
      <c r="V330" s="71" t="n"/>
      <c r="W330" s="71" t="n"/>
      <c r="X330" s="71" t="n"/>
      <c r="Y330" s="71" t="n"/>
      <c r="Z330" s="53" t="n"/>
    </row>
    <row r="331">
      <c r="A331" s="48" t="inlineStr">
        <is>
          <t>priceManager.searchKeyword</t>
        </is>
      </c>
      <c r="B331" s="55" t="inlineStr">
        <is>
          <t>Nhập từ khóa tìm kiếm</t>
        </is>
      </c>
      <c r="C331" s="55" t="inlineStr">
        <is>
          <t>Enter keywords</t>
        </is>
      </c>
      <c r="D331" s="51" t="inlineStr">
        <is>
          <t>បញ្ចូលពាក្យគន្លឹះស្វែងរក</t>
        </is>
      </c>
      <c r="E331" s="71" t="n"/>
      <c r="F331" s="71" t="n"/>
      <c r="G331" s="71" t="inlineStr">
        <is>
          <t>បញ្ចូលពាក្យគន្លឹះស្វែងរក</t>
        </is>
      </c>
      <c r="H331" s="71" t="inlineStr">
        <is>
          <t>បញ្ចូលពាក្យគន្លឹះស្វែងរក</t>
        </is>
      </c>
      <c r="I331" s="71" t="n"/>
      <c r="J331" s="71" t="n"/>
      <c r="K331" s="71" t="inlineStr">
        <is>
          <t>"priceManager.searchKeyword": "បញ្ចូលពាក្យគន្លឹះស្វែងរក",</t>
        </is>
      </c>
      <c r="L331" s="71" t="n"/>
      <c r="M331" s="71" t="n"/>
      <c r="N331" s="71" t="n"/>
      <c r="O331" s="71" t="n"/>
      <c r="P331" s="71" t="n"/>
      <c r="Q331" s="71" t="n"/>
      <c r="R331" s="71" t="n"/>
      <c r="S331" s="71" t="n"/>
      <c r="T331" s="71" t="n"/>
      <c r="U331" s="71" t="n"/>
      <c r="V331" s="71" t="n"/>
      <c r="W331" s="71" t="n"/>
      <c r="X331" s="71" t="n"/>
      <c r="Y331" s="71" t="n"/>
      <c r="Z331" s="53" t="n"/>
    </row>
    <row r="332">
      <c r="A332" s="48" t="inlineStr">
        <is>
          <t>priceManager.searchPlaceholder</t>
        </is>
      </c>
      <c r="B332" s="55" t="inlineStr">
        <is>
          <t>Nhập mã dịch vụ tìm kiếm</t>
        </is>
      </c>
      <c r="C332" s="55" t="inlineStr">
        <is>
          <t>Enter service code</t>
        </is>
      </c>
      <c r="D332" s="51" t="inlineStr">
        <is>
          <t>បញ្ចូលសេវាកម្មស្វែងរក</t>
        </is>
      </c>
      <c r="E332" s="71" t="n"/>
      <c r="F332" s="71" t="n"/>
      <c r="G332" s="71" t="inlineStr">
        <is>
          <t>បញ្ចូលសេវាកម្មស្វែងរក</t>
        </is>
      </c>
      <c r="H332" s="71" t="inlineStr">
        <is>
          <t>បញ្ចូលសេវាកម្មស្វែងរក</t>
        </is>
      </c>
      <c r="I332" s="71" t="n"/>
      <c r="J332" s="71" t="n"/>
      <c r="K332" s="71" t="inlineStr">
        <is>
          <t>"priceManager.searchPlaceholder": "បញ្ចូលសេវាកម្មស្វែងរក",</t>
        </is>
      </c>
      <c r="L332" s="71" t="n"/>
      <c r="M332" s="71" t="n"/>
      <c r="N332" s="71" t="n"/>
      <c r="O332" s="71" t="n"/>
      <c r="P332" s="71" t="n"/>
      <c r="Q332" s="71" t="n"/>
      <c r="R332" s="71" t="n"/>
      <c r="S332" s="71" t="n"/>
      <c r="T332" s="71" t="n"/>
      <c r="U332" s="71" t="n"/>
      <c r="V332" s="71" t="n"/>
      <c r="W332" s="71" t="n"/>
      <c r="X332" s="71" t="n"/>
      <c r="Y332" s="71" t="n"/>
      <c r="Z332" s="53" t="n"/>
    </row>
    <row r="333">
      <c r="A333" s="48" t="inlineStr">
        <is>
          <t>priceManager.serviceType</t>
        </is>
      </c>
      <c r="B333" s="55" t="inlineStr">
        <is>
          <t>Loại dịch vụ</t>
        </is>
      </c>
      <c r="C333" s="55" t="inlineStr">
        <is>
          <t>Service type</t>
        </is>
      </c>
      <c r="D333" s="51" t="inlineStr">
        <is>
          <t>ប្រភេទសេវាកម្ម</t>
        </is>
      </c>
      <c r="E333" s="71" t="n"/>
      <c r="F333" s="71" t="n"/>
      <c r="G333" s="71" t="inlineStr">
        <is>
          <t>ប្រភេទសេវាកម្ម</t>
        </is>
      </c>
      <c r="H333" s="71" t="inlineStr">
        <is>
          <t>ប្រភេទសេវាកម្ម</t>
        </is>
      </c>
      <c r="I333" s="71" t="n"/>
      <c r="J333" s="71" t="n"/>
      <c r="K333" s="71" t="inlineStr">
        <is>
          <t>"priceManager.serviceType": "ប្រភេទសេវាកម្ម",</t>
        </is>
      </c>
      <c r="L333" s="71" t="n"/>
      <c r="M333" s="71" t="n"/>
      <c r="N333" s="71" t="n"/>
      <c r="O333" s="71" t="n"/>
      <c r="P333" s="71" t="n"/>
      <c r="Q333" s="71" t="n"/>
      <c r="R333" s="71" t="n"/>
      <c r="S333" s="71" t="n"/>
      <c r="T333" s="71" t="n"/>
      <c r="U333" s="71" t="n"/>
      <c r="V333" s="71" t="n"/>
      <c r="W333" s="71" t="n"/>
      <c r="X333" s="71" t="n"/>
      <c r="Y333" s="71" t="n"/>
      <c r="Z333" s="53" t="n"/>
    </row>
    <row r="334">
      <c r="A334" s="48" t="inlineStr">
        <is>
          <t>priceManager.serviceTypePlaceholder</t>
        </is>
      </c>
      <c r="B334" s="55" t="inlineStr">
        <is>
          <t>Chọn loại dịch vụ</t>
        </is>
      </c>
      <c r="C334" s="55" t="inlineStr">
        <is>
          <t>Select service type</t>
        </is>
      </c>
      <c r="D334" s="51" t="inlineStr">
        <is>
          <t>ជ្រើសរើសប្រភេទសេវាកម្ម</t>
        </is>
      </c>
      <c r="E334" s="71" t="n"/>
      <c r="F334" s="71" t="n"/>
      <c r="G334" s="71" t="inlineStr">
        <is>
          <t>ជ្រើសរើសប្រភេទសេវាកម្ម</t>
        </is>
      </c>
      <c r="H334" s="71" t="inlineStr">
        <is>
          <t>ជ្រើសរើសប្រភេទសេវាកម្ម</t>
        </is>
      </c>
      <c r="I334" s="71" t="n"/>
      <c r="J334" s="71" t="n"/>
      <c r="K334" s="71" t="inlineStr">
        <is>
          <t>"priceManager.serviceTypePlaceholder": "ជ្រើសរើសប្រភេទសេវាកម្ម",</t>
        </is>
      </c>
      <c r="L334" s="71" t="n"/>
      <c r="M334" s="71" t="n"/>
      <c r="N334" s="71" t="n"/>
      <c r="O334" s="71" t="n"/>
      <c r="P334" s="71" t="n"/>
      <c r="Q334" s="71" t="n"/>
      <c r="R334" s="71" t="n"/>
      <c r="S334" s="71" t="n"/>
      <c r="T334" s="71" t="n"/>
      <c r="U334" s="71" t="n"/>
      <c r="V334" s="71" t="n"/>
      <c r="W334" s="71" t="n"/>
      <c r="X334" s="71" t="n"/>
      <c r="Y334" s="71" t="n"/>
      <c r="Z334" s="53" t="n"/>
    </row>
    <row r="335">
      <c r="A335" s="48" t="inlineStr">
        <is>
          <t>priceManager.orderType</t>
        </is>
      </c>
      <c r="B335" s="55" t="inlineStr">
        <is>
          <t>Loại phiếu gửi</t>
        </is>
      </c>
      <c r="C335" s="55" t="inlineStr">
        <is>
          <t>Order type</t>
        </is>
      </c>
      <c r="D335" s="51" t="inlineStr">
        <is>
          <t>ប្រភេទបុងបញ្ញើ</t>
        </is>
      </c>
      <c r="E335" s="71" t="n"/>
      <c r="F335" s="71" t="n"/>
      <c r="G335" s="71" t="inlineStr">
        <is>
          <t>ប្រភេទបុងបញ្ញើ</t>
        </is>
      </c>
      <c r="H335" s="71" t="inlineStr">
        <is>
          <t>ប្រភេទបុងបញ្ញើ</t>
        </is>
      </c>
      <c r="I335" s="71" t="n"/>
      <c r="J335" s="71" t="n"/>
      <c r="K335" s="71" t="inlineStr">
        <is>
          <t>"priceManager.orderType": "ប្រភេទបុងបញ្ញើ",</t>
        </is>
      </c>
      <c r="L335" s="71" t="n"/>
      <c r="M335" s="71" t="n"/>
      <c r="N335" s="71" t="n"/>
      <c r="O335" s="71" t="n"/>
      <c r="P335" s="71" t="n"/>
      <c r="Q335" s="71" t="n"/>
      <c r="R335" s="71" t="n"/>
      <c r="S335" s="71" t="n"/>
      <c r="T335" s="71" t="n"/>
      <c r="U335" s="71" t="n"/>
      <c r="V335" s="71" t="n"/>
      <c r="W335" s="71" t="n"/>
      <c r="X335" s="71" t="n"/>
      <c r="Y335" s="71" t="n"/>
      <c r="Z335" s="53" t="n"/>
    </row>
    <row r="336">
      <c r="A336" s="48" t="inlineStr">
        <is>
          <t>priceManager.orderTypePlaceholder</t>
        </is>
      </c>
      <c r="B336" s="55" t="inlineStr">
        <is>
          <t>Chọn loại phiếu gửi</t>
        </is>
      </c>
      <c r="C336" s="55" t="inlineStr">
        <is>
          <t>Select Order type</t>
        </is>
      </c>
      <c r="D336" s="51" t="inlineStr">
        <is>
          <t>ជ្រើសរើសប្រភេទបុងបញ្ញើ</t>
        </is>
      </c>
      <c r="E336" s="71" t="n"/>
      <c r="F336" s="71" t="n"/>
      <c r="G336" s="71" t="inlineStr">
        <is>
          <t>ជ្រើសរើសប្រភេទបុងបញ្ញើ</t>
        </is>
      </c>
      <c r="H336" s="71" t="inlineStr">
        <is>
          <t>ជ្រើសរើសប្រភេទបុងបញ្ញើ</t>
        </is>
      </c>
      <c r="I336" s="71" t="n"/>
      <c r="J336" s="71" t="n"/>
      <c r="K336" s="71" t="inlineStr">
        <is>
          <t>"priceManager.orderTypePlaceholder": "ជ្រើសរើសប្រភេទបុងបញ្ញើ",</t>
        </is>
      </c>
      <c r="L336" s="71" t="n"/>
      <c r="M336" s="71" t="n"/>
      <c r="N336" s="71" t="n"/>
      <c r="O336" s="71" t="n"/>
      <c r="P336" s="71" t="n"/>
      <c r="Q336" s="71" t="n"/>
      <c r="R336" s="71" t="n"/>
      <c r="S336" s="71" t="n"/>
      <c r="T336" s="71" t="n"/>
      <c r="U336" s="71" t="n"/>
      <c r="V336" s="71" t="n"/>
      <c r="W336" s="71" t="n"/>
      <c r="X336" s="71" t="n"/>
      <c r="Y336" s="71" t="n"/>
      <c r="Z336" s="53" t="n"/>
    </row>
    <row r="337">
      <c r="A337" s="59" t="inlineStr">
        <is>
          <t>priceManager.status</t>
        </is>
      </c>
      <c r="B337" s="59" t="inlineStr">
        <is>
          <t>Trạng thái</t>
        </is>
      </c>
      <c r="C337" s="59" t="inlineStr">
        <is>
          <t>Status</t>
        </is>
      </c>
      <c r="D337" s="61" t="inlineStr">
        <is>
          <t>ស្ថានភាព</t>
        </is>
      </c>
      <c r="E337" s="61" t="inlineStr">
        <is>
          <t>ស្ថានភាព</t>
        </is>
      </c>
      <c r="F337" s="62" t="n"/>
      <c r="G337" s="62" t="inlineStr">
        <is>
          <t>ស្ថានភាព</t>
        </is>
      </c>
      <c r="H337" s="62" t="inlineStr">
        <is>
          <t>ស្ថានភាព</t>
        </is>
      </c>
      <c r="I337" s="62" t="n"/>
      <c r="J337" s="62" t="n"/>
      <c r="K337" s="62" t="inlineStr">
        <is>
          <t>"priceManager.status": "ស្ថានភាព",</t>
        </is>
      </c>
      <c r="L337" s="62" t="n"/>
      <c r="M337" s="62" t="n"/>
      <c r="N337" s="62" t="n"/>
      <c r="O337" s="62" t="n"/>
      <c r="P337" s="62" t="n"/>
      <c r="Q337" s="62" t="n"/>
      <c r="R337" s="62" t="n"/>
      <c r="S337" s="62" t="n"/>
      <c r="T337" s="62" t="n"/>
      <c r="U337" s="62" t="n"/>
      <c r="V337" s="62" t="n"/>
      <c r="W337" s="62" t="n"/>
      <c r="X337" s="62" t="n"/>
      <c r="Y337" s="62" t="n"/>
      <c r="Z337" s="62" t="n"/>
    </row>
    <row r="338">
      <c r="A338" s="48" t="inlineStr">
        <is>
          <t>priceManager.pricezone</t>
        </is>
      </c>
      <c r="B338" s="55" t="inlineStr">
        <is>
          <t>Zone giá</t>
        </is>
      </c>
      <c r="C338" s="55" t="inlineStr">
        <is>
          <t>Price zone</t>
        </is>
      </c>
      <c r="D338" s="71" t="n"/>
      <c r="E338" s="71" t="n"/>
      <c r="F338" s="71" t="n"/>
      <c r="G338" s="71" t="inlineStr">
        <is>
          <t>តំបន់គិតតម្លៃ (Zone)</t>
        </is>
      </c>
      <c r="H338" s="71" t="inlineStr">
        <is>
          <t>តំបន់គិតតម្លៃ (Zone)</t>
        </is>
      </c>
      <c r="I338" s="71" t="n"/>
      <c r="J338" s="71" t="n"/>
      <c r="K338" s="71" t="inlineStr">
        <is>
          <t>"priceManager.pricezone": "តំបន់គិតតម្លៃ (Zone)",</t>
        </is>
      </c>
      <c r="L338" s="71" t="n"/>
      <c r="M338" s="71" t="n"/>
      <c r="N338" s="71" t="n"/>
      <c r="O338" s="71" t="n"/>
      <c r="P338" s="71" t="n"/>
      <c r="Q338" s="71" t="n"/>
      <c r="R338" s="71" t="n"/>
      <c r="S338" s="71" t="n"/>
      <c r="T338" s="71" t="n"/>
      <c r="U338" s="71" t="n"/>
      <c r="V338" s="71" t="n"/>
      <c r="W338" s="71" t="n"/>
      <c r="X338" s="71" t="n"/>
      <c r="Y338" s="71" t="n"/>
      <c r="Z338" s="53" t="n"/>
    </row>
    <row r="339">
      <c r="A339" s="48" t="inlineStr">
        <is>
          <t>priceManager.pricePricing</t>
        </is>
      </c>
      <c r="B339" s="55" t="inlineStr">
        <is>
          <t>Bảng tính giá</t>
        </is>
      </c>
      <c r="C339" s="55" t="inlineStr">
        <is>
          <t>Pricing Information Table</t>
        </is>
      </c>
      <c r="D339" s="51" t="inlineStr">
        <is>
          <t>តារាងគិតថ្លៃសេវា</t>
        </is>
      </c>
      <c r="E339" s="71" t="n"/>
      <c r="F339" s="71" t="n"/>
      <c r="G339" s="71" t="inlineStr">
        <is>
          <t>តារាងគិតថ្លៃសេវា</t>
        </is>
      </c>
      <c r="H339" s="71" t="inlineStr">
        <is>
          <t>តារាងគិតថ្លៃសេវា</t>
        </is>
      </c>
      <c r="I339" s="71" t="n"/>
      <c r="J339" s="71" t="n"/>
      <c r="K339" s="71" t="inlineStr">
        <is>
          <t>"priceManager.pricePricing": "តារាងគិតថ្លៃសេវា",</t>
        </is>
      </c>
      <c r="L339" s="71" t="n"/>
      <c r="M339" s="71" t="n"/>
      <c r="N339" s="71" t="n"/>
      <c r="O339" s="71" t="n"/>
      <c r="P339" s="71" t="n"/>
      <c r="Q339" s="71" t="n"/>
      <c r="R339" s="71" t="n"/>
      <c r="S339" s="71" t="n"/>
      <c r="T339" s="71" t="n"/>
      <c r="U339" s="71" t="n"/>
      <c r="V339" s="71" t="n"/>
      <c r="W339" s="71" t="n"/>
      <c r="X339" s="71" t="n"/>
      <c r="Y339" s="71" t="n"/>
      <c r="Z339" s="53" t="n"/>
    </row>
    <row r="340">
      <c r="A340" s="40" t="inlineStr">
        <is>
          <t>listServiceType.service</t>
        </is>
      </c>
      <c r="B340" s="46" t="inlineStr">
        <is>
          <t>Dịch vụ chính</t>
        </is>
      </c>
      <c r="C340" s="46" t="inlineStr">
        <is>
          <t>Main service</t>
        </is>
      </c>
      <c r="D340" s="43" t="inlineStr">
        <is>
          <t>សេវាកម្មចម្បង</t>
        </is>
      </c>
      <c r="E340" s="75" t="n"/>
      <c r="F340" s="75" t="n"/>
      <c r="G340" s="75" t="inlineStr">
        <is>
          <t>សេវាកម្មចម្បង</t>
        </is>
      </c>
      <c r="H340" s="75" t="inlineStr">
        <is>
          <t>សេវាកម្មចម្បង</t>
        </is>
      </c>
      <c r="I340" s="75" t="n"/>
      <c r="J340" s="75" t="n"/>
      <c r="K340" s="75" t="inlineStr">
        <is>
          <t>"listServiceType.service": "សេវាកម្មចម្បង",</t>
        </is>
      </c>
      <c r="L340" s="75" t="n"/>
      <c r="M340" s="75" t="n"/>
      <c r="N340" s="75" t="n"/>
      <c r="O340" s="75" t="n"/>
      <c r="P340" s="75" t="n"/>
      <c r="Q340" s="75" t="n"/>
      <c r="R340" s="75" t="n"/>
      <c r="S340" s="75" t="n"/>
      <c r="T340" s="75" t="n"/>
      <c r="U340" s="75" t="n"/>
      <c r="V340" s="75" t="n"/>
      <c r="W340" s="75" t="n"/>
      <c r="X340" s="75" t="n"/>
      <c r="Y340" s="75" t="n"/>
      <c r="Z340" s="45" t="n"/>
    </row>
    <row r="341">
      <c r="A341" s="40" t="inlineStr">
        <is>
          <t>listServiceType.AdditionalServices</t>
        </is>
      </c>
      <c r="B341" s="46" t="inlineStr">
        <is>
          <t>Dịch vụ cộng thêm</t>
        </is>
      </c>
      <c r="C341" s="46" t="inlineStr">
        <is>
          <t>Additional service</t>
        </is>
      </c>
      <c r="D341" s="43" t="inlineStr">
        <is>
          <t>សេវាកម្មបូកបន្ថែម</t>
        </is>
      </c>
      <c r="E341" s="75" t="n"/>
      <c r="F341" s="75" t="n"/>
      <c r="G341" s="75" t="inlineStr">
        <is>
          <t>សេវាកម្មបន្ថែម</t>
        </is>
      </c>
      <c r="H341" s="75" t="inlineStr">
        <is>
          <t>សេវាកម្មបន្ថែម</t>
        </is>
      </c>
      <c r="I341" s="75" t="n"/>
      <c r="J341" s="75" t="n"/>
      <c r="K341" s="75" t="inlineStr">
        <is>
          <t>"listServiceType.AdditionalServices": "សេវាកម្មបន្ថែម",</t>
        </is>
      </c>
      <c r="L341" s="75" t="n"/>
      <c r="M341" s="75" t="n"/>
      <c r="N341" s="75" t="n"/>
      <c r="O341" s="75" t="n"/>
      <c r="P341" s="75" t="n"/>
      <c r="Q341" s="75" t="n"/>
      <c r="R341" s="75" t="n"/>
      <c r="S341" s="75" t="n"/>
      <c r="T341" s="75" t="n"/>
      <c r="U341" s="75" t="n"/>
      <c r="V341" s="75" t="n"/>
      <c r="W341" s="75" t="n"/>
      <c r="X341" s="75" t="n"/>
      <c r="Y341" s="75" t="n"/>
      <c r="Z341" s="45" t="n"/>
    </row>
    <row r="342">
      <c r="A342" s="40" t="inlineStr">
        <is>
          <t>listServiceType.GoodsCharacteristics</t>
        </is>
      </c>
      <c r="B342" s="46" t="inlineStr">
        <is>
          <t>Đặc điểm hàng hóa</t>
        </is>
      </c>
      <c r="C342" s="46" t="inlineStr">
        <is>
          <t>Special service</t>
        </is>
      </c>
      <c r="D342" s="43" t="inlineStr">
        <is>
          <t>ទីតាំងអីវ៉ាន់</t>
        </is>
      </c>
      <c r="E342" s="75" t="n"/>
      <c r="F342" s="75" t="n"/>
      <c r="G342" s="75" t="inlineStr">
        <is>
          <t>ទីតាំងអីវ៉ាន់</t>
        </is>
      </c>
      <c r="H342" s="75" t="inlineStr">
        <is>
          <t>ទីតាំងអីវ៉ាន់</t>
        </is>
      </c>
      <c r="I342" s="75" t="n"/>
      <c r="J342" s="75" t="n"/>
      <c r="K342" s="75" t="inlineStr">
        <is>
          <t>"listServiceType.GoodsCharacteristics": "ទីតាំងអីវ៉ាន់",</t>
        </is>
      </c>
      <c r="L342" s="75" t="n"/>
      <c r="M342" s="75" t="n"/>
      <c r="N342" s="75" t="n"/>
      <c r="O342" s="75" t="n"/>
      <c r="P342" s="75" t="n"/>
      <c r="Q342" s="75" t="n"/>
      <c r="R342" s="75" t="n"/>
      <c r="S342" s="75" t="n"/>
      <c r="T342" s="75" t="n"/>
      <c r="U342" s="75" t="n"/>
      <c r="V342" s="75" t="n"/>
      <c r="W342" s="75" t="n"/>
      <c r="X342" s="75" t="n"/>
      <c r="Y342" s="75" t="n"/>
      <c r="Z342" s="45" t="n"/>
    </row>
    <row r="343">
      <c r="A343" s="40" t="inlineStr">
        <is>
          <t>listOrderType.Domestic</t>
        </is>
      </c>
      <c r="B343" s="46" t="inlineStr">
        <is>
          <t>Trong nước</t>
        </is>
      </c>
      <c r="C343" s="46" t="inlineStr">
        <is>
          <t>Domestic</t>
        </is>
      </c>
      <c r="D343" s="43" t="inlineStr">
        <is>
          <t>ក្នុងប្រទេស</t>
        </is>
      </c>
      <c r="E343" s="75" t="n"/>
      <c r="F343" s="75" t="n"/>
      <c r="G343" s="75" t="inlineStr">
        <is>
          <t>ក្នុងប្រទេស</t>
        </is>
      </c>
      <c r="H343" s="75" t="inlineStr">
        <is>
          <t>ក្នុងប្រទេស</t>
        </is>
      </c>
      <c r="I343" s="75" t="n"/>
      <c r="J343" s="75" t="n"/>
      <c r="K343" s="75" t="inlineStr">
        <is>
          <t>"listOrderType.Domestic": "ក្នុងប្រទេស",</t>
        </is>
      </c>
      <c r="L343" s="75" t="n"/>
      <c r="M343" s="75" t="n"/>
      <c r="N343" s="75" t="n"/>
      <c r="O343" s="75" t="n"/>
      <c r="P343" s="75" t="n"/>
      <c r="Q343" s="75" t="n"/>
      <c r="R343" s="75" t="n"/>
      <c r="S343" s="75" t="n"/>
      <c r="T343" s="75" t="n"/>
      <c r="U343" s="75" t="n"/>
      <c r="V343" s="75" t="n"/>
      <c r="W343" s="75" t="n"/>
      <c r="X343" s="75" t="n"/>
      <c r="Y343" s="75" t="n"/>
      <c r="Z343" s="45" t="n"/>
    </row>
    <row r="344">
      <c r="A344" s="40" t="inlineStr">
        <is>
          <t>listOrderType.International</t>
        </is>
      </c>
      <c r="B344" s="46" t="inlineStr">
        <is>
          <t>Quốc tế</t>
        </is>
      </c>
      <c r="C344" s="46" t="inlineStr">
        <is>
          <t>International</t>
        </is>
      </c>
      <c r="D344" s="43" t="inlineStr">
        <is>
          <t>អន្តរជាតិ</t>
        </is>
      </c>
      <c r="E344" s="75" t="n"/>
      <c r="F344" s="75" t="n"/>
      <c r="G344" s="75" t="inlineStr">
        <is>
          <t>អន្តរជាតិ</t>
        </is>
      </c>
      <c r="H344" s="75" t="inlineStr">
        <is>
          <t>អន្តរជាតិ</t>
        </is>
      </c>
      <c r="I344" s="75" t="n"/>
      <c r="J344" s="75" t="n"/>
      <c r="K344" s="75" t="inlineStr">
        <is>
          <t>"listOrderType.International": "អន្តរជាតិ",</t>
        </is>
      </c>
      <c r="L344" s="75" t="n"/>
      <c r="M344" s="75" t="n"/>
      <c r="N344" s="75" t="n"/>
      <c r="O344" s="75" t="n"/>
      <c r="P344" s="75" t="n"/>
      <c r="Q344" s="75" t="n"/>
      <c r="R344" s="75" t="n"/>
      <c r="S344" s="75" t="n"/>
      <c r="T344" s="75" t="n"/>
      <c r="U344" s="75" t="n"/>
      <c r="V344" s="75" t="n"/>
      <c r="W344" s="75" t="n"/>
      <c r="X344" s="75" t="n"/>
      <c r="Y344" s="75" t="n"/>
      <c r="Z344" s="45" t="n"/>
    </row>
    <row r="345">
      <c r="A345" s="40" t="inlineStr">
        <is>
          <t>listOrderType.InternationalRoundTrip</t>
        </is>
      </c>
      <c r="B345" s="46" t="inlineStr">
        <is>
          <t>Quốc tế chiều về</t>
        </is>
      </c>
      <c r="C345" s="46" t="inlineStr">
        <is>
          <t>Return international</t>
        </is>
      </c>
      <c r="D345" s="43" t="inlineStr">
        <is>
          <t>អន្តរជាតិផ្លូវត្រឡប់</t>
        </is>
      </c>
      <c r="E345" s="75" t="n"/>
      <c r="F345" s="75" t="n"/>
      <c r="G345" s="75" t="inlineStr">
        <is>
          <t>អន្តរជាតិផ្លូវត្រឡប់</t>
        </is>
      </c>
      <c r="H345" s="75" t="inlineStr">
        <is>
          <t>អន្តរជាតិផ្លូវត្រឡប់</t>
        </is>
      </c>
      <c r="I345" s="75" t="n"/>
      <c r="J345" s="75" t="n"/>
      <c r="K345" s="75" t="inlineStr">
        <is>
          <t>"listOrderType.InternationalRoundTrip": "អន្តរជាតិផ្លូវត្រឡប់",</t>
        </is>
      </c>
      <c r="L345" s="75" t="n"/>
      <c r="M345" s="75" t="n"/>
      <c r="N345" s="75" t="n"/>
      <c r="O345" s="75" t="n"/>
      <c r="P345" s="75" t="n"/>
      <c r="Q345" s="75" t="n"/>
      <c r="R345" s="75" t="n"/>
      <c r="S345" s="75" t="n"/>
      <c r="T345" s="75" t="n"/>
      <c r="U345" s="75" t="n"/>
      <c r="V345" s="75" t="n"/>
      <c r="W345" s="75" t="n"/>
      <c r="X345" s="75" t="n"/>
      <c r="Y345" s="75" t="n"/>
      <c r="Z345" s="45" t="n"/>
    </row>
    <row r="346">
      <c r="A346" s="40" t="inlineStr">
        <is>
          <t>listOrderType.All</t>
        </is>
      </c>
      <c r="B346" s="46" t="inlineStr">
        <is>
          <t>Tất cả</t>
        </is>
      </c>
      <c r="C346" s="46" t="inlineStr">
        <is>
          <t>All</t>
        </is>
      </c>
      <c r="D346" s="43" t="inlineStr">
        <is>
          <t>ទាំងអស់</t>
        </is>
      </c>
      <c r="E346" s="75" t="n"/>
      <c r="F346" s="75" t="n"/>
      <c r="G346" s="75" t="inlineStr">
        <is>
          <t>ទាំងអស់</t>
        </is>
      </c>
      <c r="H346" s="75" t="inlineStr">
        <is>
          <t>ទាំងអស់</t>
        </is>
      </c>
      <c r="I346" s="75" t="n"/>
      <c r="J346" s="75" t="n"/>
      <c r="K346" s="75" t="inlineStr">
        <is>
          <t>"listOrderType.All": "ទាំងអស់",</t>
        </is>
      </c>
      <c r="L346" s="75" t="n"/>
      <c r="M346" s="75" t="n"/>
      <c r="N346" s="75" t="n"/>
      <c r="O346" s="75" t="n"/>
      <c r="P346" s="75" t="n"/>
      <c r="Q346" s="75" t="n"/>
      <c r="R346" s="75" t="n"/>
      <c r="S346" s="75" t="n"/>
      <c r="T346" s="75" t="n"/>
      <c r="U346" s="75" t="n"/>
      <c r="V346" s="75" t="n"/>
      <c r="W346" s="75" t="n"/>
      <c r="X346" s="75" t="n"/>
      <c r="Y346" s="75" t="n"/>
      <c r="Z346" s="45" t="n"/>
    </row>
    <row r="347">
      <c r="A347" s="40" t="inlineStr">
        <is>
          <t>listServiceStatus.All</t>
        </is>
      </c>
      <c r="B347" s="46" t="inlineStr">
        <is>
          <t>Tất cả</t>
        </is>
      </c>
      <c r="C347" s="46" t="inlineStr">
        <is>
          <t>All</t>
        </is>
      </c>
      <c r="D347" s="43" t="inlineStr">
        <is>
          <t>ទាំងអស់</t>
        </is>
      </c>
      <c r="E347" s="75" t="n"/>
      <c r="F347" s="75" t="n"/>
      <c r="G347" s="75" t="inlineStr">
        <is>
          <t>ទាំងអស់</t>
        </is>
      </c>
      <c r="H347" s="75" t="inlineStr">
        <is>
          <t>ទាំងអស់</t>
        </is>
      </c>
      <c r="I347" s="75" t="n"/>
      <c r="J347" s="75" t="n"/>
      <c r="K347" s="75" t="inlineStr">
        <is>
          <t>"listServiceStatus.All": "ទាំងអស់",</t>
        </is>
      </c>
      <c r="L347" s="75" t="n"/>
      <c r="M347" s="75" t="n"/>
      <c r="N347" s="75" t="n"/>
      <c r="O347" s="75" t="n"/>
      <c r="P347" s="75" t="n"/>
      <c r="Q347" s="75" t="n"/>
      <c r="R347" s="75" t="n"/>
      <c r="S347" s="75" t="n"/>
      <c r="T347" s="75" t="n"/>
      <c r="U347" s="75" t="n"/>
      <c r="V347" s="75" t="n"/>
      <c r="W347" s="75" t="n"/>
      <c r="X347" s="75" t="n"/>
      <c r="Y347" s="75" t="n"/>
      <c r="Z347" s="45" t="n"/>
    </row>
    <row r="348">
      <c r="A348" s="40" t="inlineStr">
        <is>
          <t>listServiceStatus.Active</t>
        </is>
      </c>
      <c r="B348" s="46" t="inlineStr">
        <is>
          <t>Hoạt động</t>
        </is>
      </c>
      <c r="C348" s="46" t="inlineStr">
        <is>
          <t>Active</t>
        </is>
      </c>
      <c r="D348" s="43" t="inlineStr">
        <is>
          <t>សកម្មភាព</t>
        </is>
      </c>
      <c r="E348" s="75" t="n"/>
      <c r="F348" s="75" t="n"/>
      <c r="G348" s="75" t="inlineStr">
        <is>
          <t>ដំណើរការ</t>
        </is>
      </c>
      <c r="H348" s="75" t="inlineStr">
        <is>
          <t>ដំណើរការ</t>
        </is>
      </c>
      <c r="I348" s="75" t="n"/>
      <c r="J348" s="75" t="n"/>
      <c r="K348" s="75" t="inlineStr">
        <is>
          <t>"listServiceStatus.Active": "ដំណើរការ",</t>
        </is>
      </c>
      <c r="L348" s="75" t="n"/>
      <c r="M348" s="75" t="n"/>
      <c r="N348" s="75" t="n"/>
      <c r="O348" s="75" t="n"/>
      <c r="P348" s="75" t="n"/>
      <c r="Q348" s="75" t="n"/>
      <c r="R348" s="75" t="n"/>
      <c r="S348" s="75" t="n"/>
      <c r="T348" s="75" t="n"/>
      <c r="U348" s="75" t="n"/>
      <c r="V348" s="75" t="n"/>
      <c r="W348" s="75" t="n"/>
      <c r="X348" s="75" t="n"/>
      <c r="Y348" s="75" t="n"/>
      <c r="Z348" s="45" t="n"/>
    </row>
    <row r="349">
      <c r="A349" s="40" t="inlineStr">
        <is>
          <t>listServiceStatus.InActive</t>
        </is>
      </c>
      <c r="B349" s="46" t="inlineStr">
        <is>
          <t>Dừng hoạt động</t>
        </is>
      </c>
      <c r="C349" s="46" t="inlineStr">
        <is>
          <t>InActive</t>
        </is>
      </c>
      <c r="D349" s="43" t="inlineStr">
        <is>
          <t>បញ្ឈប់សកម្មភាព</t>
        </is>
      </c>
      <c r="E349" s="75" t="n"/>
      <c r="F349" s="75" t="n"/>
      <c r="G349" s="75" t="inlineStr">
        <is>
          <t>បញ្ឈប់សកម្មភាព</t>
        </is>
      </c>
      <c r="H349" s="75" t="inlineStr">
        <is>
          <t>បញ្ឈប់សកម្មភាព</t>
        </is>
      </c>
      <c r="I349" s="75" t="n"/>
      <c r="J349" s="75" t="n"/>
      <c r="K349" s="75" t="inlineStr">
        <is>
          <t>"listServiceStatus.InActive": "បញ្ឈប់សកម្មភាព",</t>
        </is>
      </c>
      <c r="L349" s="75" t="n"/>
      <c r="M349" s="75" t="n"/>
      <c r="N349" s="75" t="n"/>
      <c r="O349" s="75" t="n"/>
      <c r="P349" s="75" t="n"/>
      <c r="Q349" s="75" t="n"/>
      <c r="R349" s="75" t="n"/>
      <c r="S349" s="75" t="n"/>
      <c r="T349" s="75" t="n"/>
      <c r="U349" s="75" t="n"/>
      <c r="V349" s="75" t="n"/>
      <c r="W349" s="75" t="n"/>
      <c r="X349" s="75" t="n"/>
      <c r="Y349" s="75" t="n"/>
      <c r="Z349" s="45" t="n"/>
    </row>
    <row r="350">
      <c r="A350" s="63" t="inlineStr">
        <is>
          <t>serviceCode.serviceCode</t>
        </is>
      </c>
      <c r="B350" s="63" t="inlineStr">
        <is>
          <t>Mã dịch vụ</t>
        </is>
      </c>
      <c r="C350" s="63" t="inlineStr">
        <is>
          <t>Service Code</t>
        </is>
      </c>
      <c r="D350" s="65" t="inlineStr">
        <is>
          <t>លេខកូដសេវាកម្ម</t>
        </is>
      </c>
      <c r="E350" s="65" t="inlineStr">
        <is>
          <t>លេខកូដសេវាកម្ម</t>
        </is>
      </c>
      <c r="F350" s="66" t="n"/>
      <c r="G350" s="66" t="inlineStr">
        <is>
          <t>លេខកូដសេវាកម្ម</t>
        </is>
      </c>
      <c r="H350" s="66" t="inlineStr">
        <is>
          <t>លេខកូដសេវាកម្ម</t>
        </is>
      </c>
      <c r="I350" s="66" t="n"/>
      <c r="J350" s="66" t="n"/>
      <c r="K350" s="66" t="inlineStr">
        <is>
          <t>"serviceCode.serviceCode": "លេខកូដសេវាកម្ម",</t>
        </is>
      </c>
      <c r="L350" s="66" t="n"/>
      <c r="M350" s="66" t="n"/>
      <c r="N350" s="66" t="n"/>
      <c r="O350" s="66" t="n"/>
      <c r="P350" s="66" t="n"/>
      <c r="Q350" s="66" t="n"/>
      <c r="R350" s="66" t="n"/>
      <c r="S350" s="66" t="n"/>
      <c r="T350" s="66" t="n"/>
      <c r="U350" s="66" t="n"/>
      <c r="V350" s="66" t="n"/>
      <c r="W350" s="66" t="n"/>
      <c r="X350" s="66" t="n"/>
      <c r="Y350" s="66" t="n"/>
      <c r="Z350" s="66" t="n"/>
    </row>
    <row r="351">
      <c r="A351" s="27" t="inlineStr">
        <is>
          <t>serviceCode.serviceName</t>
        </is>
      </c>
      <c r="B351" s="27" t="inlineStr">
        <is>
          <t>Tên dịch vụ</t>
        </is>
      </c>
      <c r="C351" s="27" t="inlineStr">
        <is>
          <t>Service name</t>
        </is>
      </c>
      <c r="D351" s="21" t="inlineStr">
        <is>
          <t>ឈ្មោះសេវាកម្ម</t>
        </is>
      </c>
      <c r="E351" s="21" t="inlineStr">
        <is>
          <t>ឈ្មោះសេវាកម្ម</t>
        </is>
      </c>
      <c r="F351" s="10" t="n"/>
      <c r="G351" s="10" t="inlineStr">
        <is>
          <t>ឈ្មោះសេវាកម្ម</t>
        </is>
      </c>
      <c r="H351" s="10" t="inlineStr">
        <is>
          <t>ឈ្មោះសេវាកម្ម</t>
        </is>
      </c>
      <c r="I351" s="10" t="n"/>
      <c r="J351" s="10" t="n"/>
      <c r="K351" s="10" t="inlineStr">
        <is>
          <t>"serviceCode.serviceName": "ឈ្មោះសេវាកម្ម",</t>
        </is>
      </c>
      <c r="L351" s="10" t="n"/>
      <c r="M351" s="10" t="n"/>
      <c r="N351" s="10" t="n"/>
      <c r="O351" s="10" t="n"/>
      <c r="P351" s="10" t="n"/>
      <c r="Q351" s="10" t="n"/>
      <c r="R351" s="10" t="n"/>
      <c r="S351" s="10" t="n"/>
      <c r="T351" s="10" t="n"/>
      <c r="U351" s="10" t="n"/>
      <c r="V351" s="10" t="n"/>
      <c r="W351" s="10" t="n"/>
      <c r="X351" s="10" t="n"/>
      <c r="Y351" s="10" t="n"/>
      <c r="Z351" s="10" t="n"/>
    </row>
    <row r="352">
      <c r="A352" s="27" t="inlineStr">
        <is>
          <t>serviceCode.vat</t>
        </is>
      </c>
      <c r="B352" s="27" t="inlineStr">
        <is>
          <t>Thuế VAT(%)</t>
        </is>
      </c>
      <c r="C352" s="27" t="inlineStr">
        <is>
          <t>VAT (%)</t>
        </is>
      </c>
      <c r="D352" s="21" t="inlineStr">
        <is>
          <t>ពន្ធ VAT (%)</t>
        </is>
      </c>
      <c r="E352" s="21" t="inlineStr">
        <is>
          <t>ពន្ធ VAT (%)</t>
        </is>
      </c>
      <c r="F352" s="10" t="n"/>
      <c r="G352" s="10" t="inlineStr">
        <is>
          <t>ពន្ធ VAT (%)</t>
        </is>
      </c>
      <c r="H352" s="10" t="inlineStr">
        <is>
          <t>ពន្ធ VAT (%)</t>
        </is>
      </c>
      <c r="I352" s="10" t="n"/>
      <c r="J352" s="10" t="n"/>
      <c r="K352" s="10" t="inlineStr">
        <is>
          <t>"serviceCode.vat": "ពន្ធ VAT (%)",</t>
        </is>
      </c>
      <c r="L352" s="10" t="n"/>
      <c r="M352" s="10" t="n"/>
      <c r="N352" s="10" t="n"/>
      <c r="O352" s="10" t="n"/>
      <c r="P352" s="10" t="n"/>
      <c r="Q352" s="10" t="n"/>
      <c r="R352" s="10" t="n"/>
      <c r="S352" s="10" t="n"/>
      <c r="T352" s="10" t="n"/>
      <c r="U352" s="10" t="n"/>
      <c r="V352" s="10" t="n"/>
      <c r="W352" s="10" t="n"/>
      <c r="X352" s="10" t="n"/>
      <c r="Y352" s="10" t="n"/>
      <c r="Z352" s="10" t="n"/>
    </row>
    <row r="353">
      <c r="A353" s="27" t="inlineStr">
        <is>
          <t>serviceCode.formality</t>
        </is>
      </c>
      <c r="B353" s="27" t="inlineStr">
        <is>
          <t>Hình thức áp dụng</t>
        </is>
      </c>
      <c r="C353" s="27" t="inlineStr">
        <is>
          <t>Application method</t>
        </is>
      </c>
      <c r="D353" s="21" t="inlineStr">
        <is>
          <t>ទម្រង់នៃការអនុវត្ត</t>
        </is>
      </c>
      <c r="E353" s="21" t="inlineStr">
        <is>
          <t>ទម្រង់នៃការអនុវត្ត</t>
        </is>
      </c>
      <c r="F353" s="10" t="n"/>
      <c r="G353" s="10" t="inlineStr">
        <is>
          <t>ទម្រង់នៃការអនុវត្ត</t>
        </is>
      </c>
      <c r="H353" s="10" t="inlineStr">
        <is>
          <t>ទម្រង់នៃការអនុវត្ត</t>
        </is>
      </c>
      <c r="I353" s="10" t="n"/>
      <c r="J353" s="10" t="n"/>
      <c r="K353" s="10" t="inlineStr">
        <is>
          <t>"serviceCode.formality": "ទម្រង់នៃការអនុវត្ត",</t>
        </is>
      </c>
      <c r="L353" s="10" t="n"/>
      <c r="M353" s="10" t="n"/>
      <c r="N353" s="10" t="n"/>
      <c r="O353" s="10" t="n"/>
      <c r="P353" s="10" t="n"/>
      <c r="Q353" s="10" t="n"/>
      <c r="R353" s="10" t="n"/>
      <c r="S353" s="10" t="n"/>
      <c r="T353" s="10" t="n"/>
      <c r="U353" s="10" t="n"/>
      <c r="V353" s="10" t="n"/>
      <c r="W353" s="10" t="n"/>
      <c r="X353" s="10" t="n"/>
      <c r="Y353" s="10" t="n"/>
      <c r="Z353" s="10" t="n"/>
    </row>
    <row r="354">
      <c r="A354" s="27" t="inlineStr">
        <is>
          <t>serviceCode.calculation</t>
        </is>
      </c>
      <c r="B354" s="27" t="inlineStr">
        <is>
          <t>Cách tính</t>
        </is>
      </c>
      <c r="C354" s="27" t="inlineStr">
        <is>
          <t>Calculation</t>
        </is>
      </c>
      <c r="D354" s="21" t="inlineStr">
        <is>
          <t>របៀបគណនា</t>
        </is>
      </c>
      <c r="E354" s="21" t="inlineStr">
        <is>
          <t>របៀបគណនា</t>
        </is>
      </c>
      <c r="F354" s="10" t="n"/>
      <c r="G354" s="10" t="inlineStr">
        <is>
          <t>របៀបគណនា</t>
        </is>
      </c>
      <c r="H354" s="10" t="inlineStr">
        <is>
          <t>របៀបគណនា</t>
        </is>
      </c>
      <c r="I354" s="10" t="n"/>
      <c r="J354" s="10" t="n"/>
      <c r="K354" s="10" t="inlineStr">
        <is>
          <t>"serviceCode.calculation": "របៀបគណនា",</t>
        </is>
      </c>
      <c r="L354" s="10" t="n"/>
      <c r="M354" s="10" t="n"/>
      <c r="N354" s="10" t="n"/>
      <c r="O354" s="10" t="n"/>
      <c r="P354" s="10" t="n"/>
      <c r="Q354" s="10" t="n"/>
      <c r="R354" s="10" t="n"/>
      <c r="S354" s="10" t="n"/>
      <c r="T354" s="10" t="n"/>
      <c r="U354" s="10" t="n"/>
      <c r="V354" s="10" t="n"/>
      <c r="W354" s="10" t="n"/>
      <c r="X354" s="10" t="n"/>
      <c r="Y354" s="10" t="n"/>
      <c r="Z354" s="10" t="n"/>
    </row>
    <row r="355">
      <c r="A355" s="27" t="inlineStr">
        <is>
          <t>serviceCode.deliveryZoneType</t>
        </is>
      </c>
      <c r="B355" s="27" t="inlineStr">
        <is>
          <t>Loại vùng đi</t>
        </is>
      </c>
      <c r="C355" s="27" t="inlineStr">
        <is>
          <t>Depart zone</t>
        </is>
      </c>
      <c r="D355" s="21" t="inlineStr">
        <is>
          <t>ប្រភេទតំបន់ចេញទៅ</t>
        </is>
      </c>
      <c r="E355" s="21" t="inlineStr">
        <is>
          <t>ប្រភេទតំបន់ចេញទៅ</t>
        </is>
      </c>
      <c r="F355" s="10" t="n"/>
      <c r="G355" s="10" t="inlineStr">
        <is>
          <t>ប្រភេទតំបន់ចេញទៅ</t>
        </is>
      </c>
      <c r="H355" s="10" t="inlineStr">
        <is>
          <t>ប្រភេទតំបន់ចេញទៅ</t>
        </is>
      </c>
      <c r="I355" s="10" t="n"/>
      <c r="J355" s="10" t="n"/>
      <c r="K355" s="10" t="inlineStr">
        <is>
          <t>"serviceCode.deliveryZoneType": "ប្រភេទតំបន់ចេញទៅ",</t>
        </is>
      </c>
      <c r="L355" s="10" t="n"/>
      <c r="M355" s="10" t="n"/>
      <c r="N355" s="10" t="n"/>
      <c r="O355" s="10" t="n"/>
      <c r="P355" s="10" t="n"/>
      <c r="Q355" s="10" t="n"/>
      <c r="R355" s="10" t="n"/>
      <c r="S355" s="10" t="n"/>
      <c r="T355" s="10" t="n"/>
      <c r="U355" s="10" t="n"/>
      <c r="V355" s="10" t="n"/>
      <c r="W355" s="10" t="n"/>
      <c r="X355" s="10" t="n"/>
      <c r="Y355" s="10" t="n"/>
      <c r="Z355" s="10" t="n"/>
    </row>
    <row r="356">
      <c r="A356" s="27" t="inlineStr">
        <is>
          <t>serviceCode.receivingZoneType</t>
        </is>
      </c>
      <c r="B356" s="27" t="inlineStr">
        <is>
          <t>Loại vùng đến</t>
        </is>
      </c>
      <c r="C356" s="27" t="inlineStr">
        <is>
          <t>Arrival zone</t>
        </is>
      </c>
      <c r="D356" s="21" t="inlineStr">
        <is>
          <t>ប្រភេទតំបន់មកដល់</t>
        </is>
      </c>
      <c r="E356" s="21" t="inlineStr">
        <is>
          <t>ប្រភេទតំបន់មកដល់</t>
        </is>
      </c>
      <c r="F356" s="10" t="n"/>
      <c r="G356" s="10" t="inlineStr">
        <is>
          <t>ប្រភេទតំបន់មកដល់</t>
        </is>
      </c>
      <c r="H356" s="10" t="inlineStr">
        <is>
          <t>ប្រភេទតំបន់មកដល់</t>
        </is>
      </c>
      <c r="I356" s="10" t="n"/>
      <c r="J356" s="10" t="n"/>
      <c r="K356" s="10" t="inlineStr">
        <is>
          <t>"serviceCode.receivingZoneType": "ប្រភេទតំបន់មកដល់",</t>
        </is>
      </c>
      <c r="L356" s="10" t="n"/>
      <c r="M356" s="10" t="n"/>
      <c r="N356" s="10" t="n"/>
      <c r="O356" s="10" t="n"/>
      <c r="P356" s="10" t="n"/>
      <c r="Q356" s="10" t="n"/>
      <c r="R356" s="10" t="n"/>
      <c r="S356" s="10" t="n"/>
      <c r="T356" s="10" t="n"/>
      <c r="U356" s="10" t="n"/>
      <c r="V356" s="10" t="n"/>
      <c r="W356" s="10" t="n"/>
      <c r="X356" s="10" t="n"/>
      <c r="Y356" s="10" t="n"/>
      <c r="Z356" s="10" t="n"/>
    </row>
    <row r="357">
      <c r="A357" s="27" t="inlineStr">
        <is>
          <t>serviceCode.status</t>
        </is>
      </c>
      <c r="B357" s="27" t="inlineStr">
        <is>
          <t>Trạng thái</t>
        </is>
      </c>
      <c r="C357" s="27" t="inlineStr">
        <is>
          <t>Status</t>
        </is>
      </c>
      <c r="D357" s="21" t="inlineStr">
        <is>
          <t>ស្ថានភាព</t>
        </is>
      </c>
      <c r="E357" s="21" t="inlineStr">
        <is>
          <t>ស្ថានភាព</t>
        </is>
      </c>
      <c r="F357" s="10" t="n"/>
      <c r="G357" s="10" t="inlineStr">
        <is>
          <t>ស្ថានភាព</t>
        </is>
      </c>
      <c r="H357" s="10" t="inlineStr">
        <is>
          <t>ស្ថានភាព</t>
        </is>
      </c>
      <c r="I357" s="10" t="n"/>
      <c r="J357" s="10" t="n"/>
      <c r="K357" s="10" t="inlineStr">
        <is>
          <t>"serviceCode.status": "ស្ថានភាព",</t>
        </is>
      </c>
      <c r="L357" s="10" t="n"/>
      <c r="M357" s="10" t="n"/>
      <c r="N357" s="10" t="n"/>
      <c r="O357" s="10" t="n"/>
      <c r="P357" s="10" t="n"/>
      <c r="Q357" s="10" t="n"/>
      <c r="R357" s="10" t="n"/>
      <c r="S357" s="10" t="n"/>
      <c r="T357" s="10" t="n"/>
      <c r="U357" s="10" t="n"/>
      <c r="V357" s="10" t="n"/>
      <c r="W357" s="10" t="n"/>
      <c r="X357" s="10" t="n"/>
      <c r="Y357" s="10" t="n"/>
      <c r="Z357" s="10" t="n"/>
    </row>
    <row r="358">
      <c r="A358" s="27" t="inlineStr">
        <is>
          <t>serviceCode.total</t>
        </is>
      </c>
      <c r="B358" s="27" t="inlineStr">
        <is>
          <t>Tổng đơn hàng</t>
        </is>
      </c>
      <c r="C358" s="27" t="inlineStr">
        <is>
          <t>Total</t>
        </is>
      </c>
      <c r="D358" s="21" t="inlineStr">
        <is>
          <t>សរុបបុុងបញ្ញើ</t>
        </is>
      </c>
      <c r="E358" s="21" t="inlineStr">
        <is>
          <t>សរុបបុុងបញ្ញើ</t>
        </is>
      </c>
      <c r="F358" s="10" t="n"/>
      <c r="G358" s="10" t="inlineStr">
        <is>
          <t>សរុប</t>
        </is>
      </c>
      <c r="H358" s="10" t="inlineStr">
        <is>
          <t>សរុប</t>
        </is>
      </c>
      <c r="I358" s="10" t="n"/>
      <c r="J358" s="10" t="n"/>
      <c r="K358" s="10" t="inlineStr">
        <is>
          <t>"serviceCode.total": "សរុប",</t>
        </is>
      </c>
      <c r="L358" s="10" t="n"/>
      <c r="M358" s="10" t="n"/>
      <c r="N358" s="10" t="n"/>
      <c r="O358" s="10" t="n"/>
      <c r="P358" s="10" t="n"/>
      <c r="Q358" s="10" t="n"/>
      <c r="R358" s="10" t="n"/>
      <c r="S358" s="10" t="n"/>
      <c r="T358" s="10" t="n"/>
      <c r="U358" s="10" t="n"/>
      <c r="V358" s="10" t="n"/>
      <c r="W358" s="10" t="n"/>
      <c r="X358" s="10" t="n"/>
      <c r="Y358" s="10" t="n"/>
      <c r="Z358" s="10" t="n"/>
    </row>
    <row r="359">
      <c r="A359" s="27" t="inlineStr">
        <is>
          <t>serviceCode.modify.max100</t>
        </is>
      </c>
      <c r="B359" s="27" t="inlineStr">
        <is>
          <t>tối đa 100 ký tự</t>
        </is>
      </c>
      <c r="C359" s="21" t="inlineStr">
        <is>
          <t>អតិបរមា 100 តួអក្សរ</t>
        </is>
      </c>
      <c r="D359" s="21" t="inlineStr">
        <is>
          <t>អតិបរមា 100 តួអក្សរលេខ</t>
        </is>
      </c>
      <c r="E359" s="21" t="inlineStr">
        <is>
          <t>អតិបរមា 100 តួអក្សរលេខ</t>
        </is>
      </c>
      <c r="F359" s="10" t="n"/>
      <c r="G359" s="10" t="inlineStr">
        <is>
          <t>អតិបរមា 100 តួអក្សរលេខ</t>
        </is>
      </c>
      <c r="H359" s="10" t="inlineStr">
        <is>
          <t>អតិបរមា 100 តួអក្សរលេខ</t>
        </is>
      </c>
      <c r="I359" s="10" t="n"/>
      <c r="J359" s="10" t="n"/>
      <c r="K359" s="10" t="inlineStr">
        <is>
          <t>"serviceCode.modify.max100": "អតិបរមា 100 តួអក្សរលេខ",</t>
        </is>
      </c>
      <c r="L359" s="10" t="n"/>
      <c r="M359" s="10" t="n"/>
      <c r="N359" s="10" t="n"/>
      <c r="O359" s="10" t="n"/>
      <c r="P359" s="10" t="n"/>
      <c r="Q359" s="10" t="n"/>
      <c r="R359" s="10" t="n"/>
      <c r="S359" s="10" t="n"/>
      <c r="T359" s="10" t="n"/>
      <c r="U359" s="10" t="n"/>
      <c r="V359" s="10" t="n"/>
      <c r="W359" s="10" t="n"/>
      <c r="X359" s="10" t="n"/>
      <c r="Y359" s="10" t="n"/>
      <c r="Z359" s="10" t="n"/>
    </row>
    <row r="360">
      <c r="A360" s="27" t="inlineStr">
        <is>
          <t>serviceCode.modify.containsSpecialCharacters</t>
        </is>
      </c>
      <c r="B360" s="27" t="inlineStr">
        <is>
          <t>không được chứa ký tự đặc biệt</t>
        </is>
      </c>
      <c r="C360" s="21" t="inlineStr">
        <is>
          <t>មិនអាចមានតួអក្សរពិសេសបានទេ។</t>
        </is>
      </c>
      <c r="D360" s="102" t="n"/>
      <c r="E360" s="24" t="inlineStr">
        <is>
          <t>មិនអាចមានតួអក្សរពិសេសបានទេ</t>
        </is>
      </c>
      <c r="F360" s="10" t="n"/>
      <c r="G360" s="10" t="inlineStr">
        <is>
          <t>មិនអាចមានតួអក្សរពិសេសបានទេ</t>
        </is>
      </c>
      <c r="H360" s="10" t="inlineStr">
        <is>
          <t>មិនអាចមានតួអក្សរពិសេសបានទេ</t>
        </is>
      </c>
      <c r="I360" s="10" t="n"/>
      <c r="J360" s="10" t="n"/>
      <c r="K360" s="10" t="inlineStr">
        <is>
          <t>"serviceCode.modify.containsSpecialCharacters": "មិនអាចមានតួអក្សរពិសេសបានទេ",</t>
        </is>
      </c>
      <c r="L360" s="10" t="n"/>
      <c r="M360" s="10" t="n"/>
      <c r="N360" s="10" t="n"/>
      <c r="O360" s="10" t="n"/>
      <c r="P360" s="10" t="n"/>
      <c r="Q360" s="10" t="n"/>
      <c r="R360" s="10" t="n"/>
      <c r="S360" s="10" t="n"/>
      <c r="T360" s="10" t="n"/>
      <c r="U360" s="10" t="n"/>
      <c r="V360" s="10" t="n"/>
      <c r="W360" s="10" t="n"/>
      <c r="X360" s="10" t="n"/>
      <c r="Y360" s="10" t="n"/>
      <c r="Z360" s="10" t="n"/>
    </row>
    <row r="361">
      <c r="A361" s="27" t="inlineStr">
        <is>
          <t>serviceCode.modify.onlyNumber</t>
        </is>
      </c>
      <c r="B361" s="27" t="inlineStr">
        <is>
          <t>chỉ nhập số</t>
        </is>
      </c>
      <c r="C361" s="21" t="inlineStr">
        <is>
          <t>បញ្ចូលលេខតែប៉ុណ្ណោះ</t>
        </is>
      </c>
      <c r="D361" s="21" t="inlineStr">
        <is>
          <t>បញ្ចូលតែលេខ</t>
        </is>
      </c>
      <c r="E361" s="21" t="inlineStr">
        <is>
          <t>បញ្ចូលតែលេខ</t>
        </is>
      </c>
      <c r="F361" s="10" t="n"/>
      <c r="G361" s="10" t="inlineStr">
        <is>
          <t>បញ្ចូលតែលេខ</t>
        </is>
      </c>
      <c r="H361" s="10" t="inlineStr">
        <is>
          <t>បញ្ចូលតែលេខ</t>
        </is>
      </c>
      <c r="I361" s="10" t="n"/>
      <c r="J361" s="10" t="n"/>
      <c r="K361" s="10" t="inlineStr">
        <is>
          <t>"serviceCode.modify.onlyNumber": "បញ្ចូលតែលេខ",</t>
        </is>
      </c>
      <c r="L361" s="10" t="n"/>
      <c r="M361" s="10" t="n"/>
      <c r="N361" s="10" t="n"/>
      <c r="O361" s="10" t="n"/>
      <c r="P361" s="10" t="n"/>
      <c r="Q361" s="10" t="n"/>
      <c r="R361" s="10" t="n"/>
      <c r="S361" s="10" t="n"/>
      <c r="T361" s="10" t="n"/>
      <c r="U361" s="10" t="n"/>
      <c r="V361" s="10" t="n"/>
      <c r="W361" s="10" t="n"/>
      <c r="X361" s="10" t="n"/>
      <c r="Y361" s="10" t="n"/>
      <c r="Z361" s="10" t="n"/>
    </row>
    <row r="362">
      <c r="A362" s="27" t="inlineStr">
        <is>
          <t>serviceCode.modify.scope</t>
        </is>
      </c>
      <c r="B362" s="27" t="inlineStr">
        <is>
          <t>Phạm vi áp dụng</t>
        </is>
      </c>
      <c r="C362" s="21" t="inlineStr">
        <is>
          <t>វិសាលភាពនៃការអនុវត្ត</t>
        </is>
      </c>
      <c r="D362" s="21" t="inlineStr">
        <is>
          <t>បទប្បញ្ញត្តិអនុវត្តន៍</t>
        </is>
      </c>
      <c r="E362" s="21" t="inlineStr">
        <is>
          <t>បទប្បញ្ញត្តិអនុវត្តន៍</t>
        </is>
      </c>
      <c r="F362" s="10" t="n"/>
      <c r="G362" s="10" t="inlineStr">
        <is>
          <t>បទប្បញ្ញត្តិអនុវត្តន៍</t>
        </is>
      </c>
      <c r="H362" s="10" t="inlineStr">
        <is>
          <t>បទប្បញ្ញត្តិអនុវត្តន៍</t>
        </is>
      </c>
      <c r="I362" s="10" t="n"/>
      <c r="J362" s="10" t="n"/>
      <c r="K362" s="10" t="inlineStr">
        <is>
          <t>"serviceCode.modify.scope": "បទប្បញ្ញត្តិអនុវត្តន៍",</t>
        </is>
      </c>
      <c r="L362" s="10" t="n"/>
      <c r="M362" s="10" t="n"/>
      <c r="N362" s="10" t="n"/>
      <c r="O362" s="10" t="n"/>
      <c r="P362" s="10" t="n"/>
      <c r="Q362" s="10" t="n"/>
      <c r="R362" s="10" t="n"/>
      <c r="S362" s="10" t="n"/>
      <c r="T362" s="10" t="n"/>
      <c r="U362" s="10" t="n"/>
      <c r="V362" s="10" t="n"/>
      <c r="W362" s="10" t="n"/>
      <c r="X362" s="10" t="n"/>
      <c r="Y362" s="10" t="n"/>
      <c r="Z362" s="10" t="n"/>
    </row>
    <row r="363">
      <c r="A363" s="27" t="inlineStr">
        <is>
          <t>serviceCode.modify.caculationPrice</t>
        </is>
      </c>
      <c r="B363" s="27" t="inlineStr">
        <is>
          <t>Cách tính giá</t>
        </is>
      </c>
      <c r="C363" s="21" t="inlineStr">
        <is>
          <t>វិធីគិតតម្លៃ</t>
        </is>
      </c>
      <c r="D363" s="21" t="inlineStr">
        <is>
          <t>របៀបទូទាត់តម្លៃ</t>
        </is>
      </c>
      <c r="E363" s="21" t="inlineStr">
        <is>
          <t>របៀបទូទាត់តម្លៃ</t>
        </is>
      </c>
      <c r="F363" s="10" t="n"/>
      <c r="G363" s="10" t="inlineStr">
        <is>
          <t>របៀបទូទាត់តម្លៃ</t>
        </is>
      </c>
      <c r="H363" s="10" t="inlineStr">
        <is>
          <t>របៀបទូទាត់តម្លៃ</t>
        </is>
      </c>
      <c r="I363" s="10" t="n"/>
      <c r="J363" s="10" t="n"/>
      <c r="K363" s="10" t="inlineStr">
        <is>
          <t>"serviceCode.modify.caculationPrice": "របៀបទូទាត់តម្លៃ",</t>
        </is>
      </c>
      <c r="L363" s="10" t="n"/>
      <c r="M363" s="10" t="n"/>
      <c r="N363" s="10" t="n"/>
      <c r="O363" s="10" t="n"/>
      <c r="P363" s="10" t="n"/>
      <c r="Q363" s="10" t="n"/>
      <c r="R363" s="10" t="n"/>
      <c r="S363" s="10" t="n"/>
      <c r="T363" s="10" t="n"/>
      <c r="U363" s="10" t="n"/>
      <c r="V363" s="10" t="n"/>
      <c r="W363" s="10" t="n"/>
      <c r="X363" s="10" t="n"/>
      <c r="Y363" s="10" t="n"/>
      <c r="Z363" s="10" t="n"/>
    </row>
    <row r="364">
      <c r="A364" s="27" t="inlineStr">
        <is>
          <t>serviceCode.modify.KPI</t>
        </is>
      </c>
      <c r="B364" s="27" t="inlineStr">
        <is>
          <t>Nhóm KPI</t>
        </is>
      </c>
      <c r="C364" s="21" t="inlineStr">
        <is>
          <t>ក្រុម KPI</t>
        </is>
      </c>
      <c r="D364" s="21" t="inlineStr">
        <is>
          <t>ក្រុម KPI</t>
        </is>
      </c>
      <c r="E364" s="21" t="inlineStr">
        <is>
          <t>ក្រុម KPI</t>
        </is>
      </c>
      <c r="F364" s="10" t="n"/>
      <c r="G364" s="10" t="inlineStr">
        <is>
          <t>ក្រុម KPI</t>
        </is>
      </c>
      <c r="H364" s="10" t="inlineStr">
        <is>
          <t>ក្រុម KPI</t>
        </is>
      </c>
      <c r="I364" s="10" t="n"/>
      <c r="J364" s="10" t="n"/>
      <c r="K364" s="10" t="inlineStr">
        <is>
          <t>"serviceCode.modify.KPI": "ក្រុម KPI",</t>
        </is>
      </c>
      <c r="L364" s="10" t="n"/>
      <c r="M364" s="10" t="n"/>
      <c r="N364" s="10" t="n"/>
      <c r="O364" s="10" t="n"/>
      <c r="P364" s="10" t="n"/>
      <c r="Q364" s="10" t="n"/>
      <c r="R364" s="10" t="n"/>
      <c r="S364" s="10" t="n"/>
      <c r="T364" s="10" t="n"/>
      <c r="U364" s="10" t="n"/>
      <c r="V364" s="10" t="n"/>
      <c r="W364" s="10" t="n"/>
      <c r="X364" s="10" t="n"/>
      <c r="Y364" s="10" t="n"/>
      <c r="Z364" s="10" t="n"/>
    </row>
    <row r="365">
      <c r="A365" s="27" t="inlineStr">
        <is>
          <t>serviceCode.modify.calculation</t>
        </is>
      </c>
      <c r="B365" s="27" t="inlineStr">
        <is>
          <t>Cách tính</t>
        </is>
      </c>
      <c r="C365" s="21" t="inlineStr">
        <is>
          <t>វិធីគិត</t>
        </is>
      </c>
      <c r="D365" s="21" t="inlineStr">
        <is>
          <t>របៀបគណនា</t>
        </is>
      </c>
      <c r="E365" s="21" t="inlineStr">
        <is>
          <t>របៀបគណនា</t>
        </is>
      </c>
      <c r="F365" s="10" t="n"/>
      <c r="G365" s="10" t="inlineStr">
        <is>
          <t>របៀបគណនា</t>
        </is>
      </c>
      <c r="H365" s="10" t="inlineStr">
        <is>
          <t>របៀបគណនា</t>
        </is>
      </c>
      <c r="I365" s="10" t="n"/>
      <c r="J365" s="10" t="n"/>
      <c r="K365" s="10" t="inlineStr">
        <is>
          <t>"serviceCode.modify.calculation": "របៀបគណនា",</t>
        </is>
      </c>
      <c r="L365" s="10" t="n"/>
      <c r="M365" s="10" t="n"/>
      <c r="N365" s="10" t="n"/>
      <c r="O365" s="10" t="n"/>
      <c r="P365" s="10" t="n"/>
      <c r="Q365" s="10" t="n"/>
      <c r="R365" s="10" t="n"/>
      <c r="S365" s="10" t="n"/>
      <c r="T365" s="10" t="n"/>
      <c r="U365" s="10" t="n"/>
      <c r="V365" s="10" t="n"/>
      <c r="W365" s="10" t="n"/>
      <c r="X365" s="10" t="n"/>
      <c r="Y365" s="10" t="n"/>
      <c r="Z365" s="10" t="n"/>
    </row>
    <row r="366">
      <c r="A366" s="27" t="inlineStr">
        <is>
          <t>serviceCode.modify.formality</t>
        </is>
      </c>
      <c r="B366" s="27" t="inlineStr">
        <is>
          <t>Hình thức áp dụng</t>
        </is>
      </c>
      <c r="C366" s="21" t="inlineStr">
        <is>
          <t>ទម្រង់នៃការអនុវត្ត</t>
        </is>
      </c>
      <c r="D366" s="21" t="inlineStr">
        <is>
          <t>ទម្រង់នៃការអនុវត្ត</t>
        </is>
      </c>
      <c r="E366" s="21" t="inlineStr">
        <is>
          <t>ទម្រង់នៃការអនុវត្ត</t>
        </is>
      </c>
      <c r="F366" s="10" t="n"/>
      <c r="G366" s="10" t="inlineStr">
        <is>
          <t>ទម្រង់នៃការអនុវត្ត</t>
        </is>
      </c>
      <c r="H366" s="10" t="inlineStr">
        <is>
          <t>ទម្រង់នៃការអនុវត្ត</t>
        </is>
      </c>
      <c r="I366" s="10" t="n"/>
      <c r="J366" s="10" t="n"/>
      <c r="K366" s="10" t="inlineStr">
        <is>
          <t>"serviceCode.modify.formality": "ទម្រង់នៃការអនុវត្ត",</t>
        </is>
      </c>
      <c r="L366" s="10" t="n"/>
      <c r="M366" s="10" t="n"/>
      <c r="N366" s="10" t="n"/>
      <c r="O366" s="10" t="n"/>
      <c r="P366" s="10" t="n"/>
      <c r="Q366" s="10" t="n"/>
      <c r="R366" s="10" t="n"/>
      <c r="S366" s="10" t="n"/>
      <c r="T366" s="10" t="n"/>
      <c r="U366" s="10" t="n"/>
      <c r="V366" s="10" t="n"/>
      <c r="W366" s="10" t="n"/>
      <c r="X366" s="10" t="n"/>
      <c r="Y366" s="10" t="n"/>
      <c r="Z366" s="10" t="n"/>
    </row>
    <row r="367">
      <c r="A367" s="27" t="inlineStr">
        <is>
          <t>serviceCode.modify.convertedWeight</t>
        </is>
      </c>
      <c r="B367" s="27" t="inlineStr">
        <is>
          <t>Tham số trọng lượng quy đổi</t>
        </is>
      </c>
      <c r="C367" s="21" t="inlineStr">
        <is>
          <t>ប៉ារ៉ាម៉ែត្របំប្លែងទម្ងន់</t>
        </is>
      </c>
      <c r="D367" s="102" t="n"/>
      <c r="E367" s="21" t="inlineStr">
        <is>
          <t>ប៉ារ៉ាម៉ែត្របំប្លែងទម្ងន់</t>
        </is>
      </c>
      <c r="F367" s="10" t="n"/>
      <c r="G367" s="10" t="inlineStr">
        <is>
          <t>ប៉ារ៉ាម៉ែត្របំប្លែងទម្ងន់</t>
        </is>
      </c>
      <c r="H367" s="10" t="inlineStr">
        <is>
          <t>ប៉ារ៉ាម៉ែត្របំប្លែងទម្ងន់</t>
        </is>
      </c>
      <c r="I367" s="10" t="n"/>
      <c r="J367" s="10" t="n"/>
      <c r="K367" s="10" t="inlineStr">
        <is>
          <t>"serviceCode.modify.convertedWeight": "ប៉ារ៉ាម៉ែត្របំប្លែងទម្ងន់",</t>
        </is>
      </c>
      <c r="L367" s="10" t="n"/>
      <c r="M367" s="10" t="n"/>
      <c r="N367" s="10" t="n"/>
      <c r="O367" s="10" t="n"/>
      <c r="P367" s="10" t="n"/>
      <c r="Q367" s="10" t="n"/>
      <c r="R367" s="10" t="n"/>
      <c r="S367" s="10" t="n"/>
      <c r="T367" s="10" t="n"/>
      <c r="U367" s="10" t="n"/>
      <c r="V367" s="10" t="n"/>
      <c r="W367" s="10" t="n"/>
      <c r="X367" s="10" t="n"/>
      <c r="Y367" s="10" t="n"/>
      <c r="Z367" s="10" t="n"/>
    </row>
    <row r="368">
      <c r="A368" s="36" t="inlineStr">
        <is>
          <t>serviceCode.modify.VAT</t>
        </is>
      </c>
      <c r="B368" s="36" t="inlineStr">
        <is>
          <t>Thuế VAT</t>
        </is>
      </c>
      <c r="C368" s="36" t="inlineStr">
        <is>
          <t>VAT 10%</t>
        </is>
      </c>
      <c r="D368" s="38" t="inlineStr">
        <is>
          <t>ពន្ធ VAT</t>
        </is>
      </c>
      <c r="E368" s="38" t="inlineStr">
        <is>
          <t>ពន្ធ VAT</t>
        </is>
      </c>
      <c r="F368" s="39" t="n"/>
      <c r="G368" s="39" t="inlineStr">
        <is>
          <t>ពន្ធ VAT</t>
        </is>
      </c>
      <c r="H368" s="39" t="inlineStr">
        <is>
          <t>ពន្ធ VAT</t>
        </is>
      </c>
      <c r="I368" s="39" t="n"/>
      <c r="J368" s="39" t="n"/>
      <c r="K368" s="39" t="inlineStr">
        <is>
          <t>"serviceCode.modify.VAT": "ពន្ធ VAT",</t>
        </is>
      </c>
      <c r="L368" s="39" t="n"/>
      <c r="M368" s="39" t="n"/>
      <c r="N368" s="39" t="n"/>
      <c r="O368" s="39" t="n"/>
      <c r="P368" s="39" t="n"/>
      <c r="Q368" s="39" t="n"/>
      <c r="R368" s="39" t="n"/>
      <c r="S368" s="39" t="n"/>
      <c r="T368" s="39" t="n"/>
      <c r="U368" s="39" t="n"/>
      <c r="V368" s="39" t="n"/>
      <c r="W368" s="39" t="n"/>
      <c r="X368" s="39" t="n"/>
      <c r="Y368" s="39" t="n"/>
      <c r="Z368" s="39" t="n"/>
    </row>
    <row r="369">
      <c r="A369" s="40" t="inlineStr">
        <is>
          <t>listServiceGroup.Expedited</t>
        </is>
      </c>
      <c r="B369" s="46" t="inlineStr">
        <is>
          <t>Hỏa tốc</t>
        </is>
      </c>
      <c r="C369" s="46" t="inlineStr">
        <is>
          <t>Express</t>
        </is>
      </c>
      <c r="D369" s="43" t="inlineStr">
        <is>
          <t>រហ័ស</t>
        </is>
      </c>
      <c r="E369" s="75" t="n"/>
      <c r="F369" s="75" t="n"/>
      <c r="G369" s="75" t="inlineStr">
        <is>
          <t>រហ័ស</t>
        </is>
      </c>
      <c r="H369" s="75" t="inlineStr">
        <is>
          <t>រហ័ស</t>
        </is>
      </c>
      <c r="I369" s="75" t="n"/>
      <c r="J369" s="75" t="n"/>
      <c r="K369" s="75" t="inlineStr">
        <is>
          <t>"listServiceGroup.Expedited": "រហ័ស",</t>
        </is>
      </c>
      <c r="L369" s="75" t="n"/>
      <c r="M369" s="75" t="n"/>
      <c r="N369" s="75" t="n"/>
      <c r="O369" s="75" t="n"/>
      <c r="P369" s="75" t="n"/>
      <c r="Q369" s="75" t="n"/>
      <c r="R369" s="75" t="n"/>
      <c r="S369" s="75" t="n"/>
      <c r="T369" s="75" t="n"/>
      <c r="U369" s="75" t="n"/>
      <c r="V369" s="75" t="n"/>
      <c r="W369" s="75" t="n"/>
      <c r="X369" s="75" t="n"/>
      <c r="Y369" s="75" t="n"/>
      <c r="Z369" s="45" t="n"/>
    </row>
    <row r="370">
      <c r="A370" s="40" t="inlineStr">
        <is>
          <t>listServiceGroup.Fast</t>
        </is>
      </c>
      <c r="B370" s="46" t="inlineStr">
        <is>
          <t>Nhanh</t>
        </is>
      </c>
      <c r="C370" s="46" t="inlineStr">
        <is>
          <t>Fast</t>
        </is>
      </c>
      <c r="D370" s="43" t="inlineStr">
        <is>
          <t>លឿន</t>
        </is>
      </c>
      <c r="E370" s="75" t="n"/>
      <c r="F370" s="75" t="n"/>
      <c r="G370" s="75" t="inlineStr">
        <is>
          <t>លឿន</t>
        </is>
      </c>
      <c r="H370" s="75" t="inlineStr">
        <is>
          <t>លឿន</t>
        </is>
      </c>
      <c r="I370" s="75" t="n"/>
      <c r="J370" s="75" t="n"/>
      <c r="K370" s="75" t="inlineStr">
        <is>
          <t>"listServiceGroup.Fast": "លឿន",</t>
        </is>
      </c>
      <c r="L370" s="75" t="n"/>
      <c r="M370" s="75" t="n"/>
      <c r="N370" s="75" t="n"/>
      <c r="O370" s="75" t="n"/>
      <c r="P370" s="75" t="n"/>
      <c r="Q370" s="75" t="n"/>
      <c r="R370" s="75" t="n"/>
      <c r="S370" s="75" t="n"/>
      <c r="T370" s="75" t="n"/>
      <c r="U370" s="75" t="n"/>
      <c r="V370" s="75" t="n"/>
      <c r="W370" s="75" t="n"/>
      <c r="X370" s="75" t="n"/>
      <c r="Y370" s="75" t="n"/>
      <c r="Z370" s="45" t="n"/>
    </row>
    <row r="371">
      <c r="A371" s="40" t="inlineStr">
        <is>
          <t>listServiceGroup.Slow</t>
        </is>
      </c>
      <c r="B371" s="46" t="inlineStr">
        <is>
          <t>Chậm</t>
        </is>
      </c>
      <c r="C371" s="46" t="inlineStr">
        <is>
          <t>Eco</t>
        </is>
      </c>
      <c r="D371" s="43" t="inlineStr">
        <is>
          <t>យឺត</t>
        </is>
      </c>
      <c r="E371" s="75" t="n"/>
      <c r="F371" s="75" t="n"/>
      <c r="G371" s="75" t="inlineStr">
        <is>
          <t>យឺត</t>
        </is>
      </c>
      <c r="H371" s="75" t="inlineStr">
        <is>
          <t>យឺត</t>
        </is>
      </c>
      <c r="I371" s="75" t="n"/>
      <c r="J371" s="75" t="n"/>
      <c r="K371" s="75" t="inlineStr">
        <is>
          <t>"listServiceGroup.Slow": "យឺត",</t>
        </is>
      </c>
      <c r="L371" s="75" t="n"/>
      <c r="M371" s="75" t="n"/>
      <c r="N371" s="75" t="n"/>
      <c r="O371" s="75" t="n"/>
      <c r="P371" s="75" t="n"/>
      <c r="Q371" s="75" t="n"/>
      <c r="R371" s="75" t="n"/>
      <c r="S371" s="75" t="n"/>
      <c r="T371" s="75" t="n"/>
      <c r="U371" s="75" t="n"/>
      <c r="V371" s="75" t="n"/>
      <c r="W371" s="75" t="n"/>
      <c r="X371" s="75" t="n"/>
      <c r="Y371" s="75" t="n"/>
      <c r="Z371" s="45" t="n"/>
    </row>
    <row r="372">
      <c r="A372" s="40" t="inlineStr">
        <is>
          <t>listServiceGroup.International</t>
        </is>
      </c>
      <c r="B372" s="46" t="inlineStr">
        <is>
          <t>Quốc tế</t>
        </is>
      </c>
      <c r="C372" s="46" t="inlineStr">
        <is>
          <t>International</t>
        </is>
      </c>
      <c r="D372" s="43" t="inlineStr">
        <is>
          <t>អន្តរជាតិ</t>
        </is>
      </c>
      <c r="E372" s="75" t="n"/>
      <c r="F372" s="75" t="n"/>
      <c r="G372" s="75" t="inlineStr">
        <is>
          <t>អន្តរជាតិ</t>
        </is>
      </c>
      <c r="H372" s="75" t="inlineStr">
        <is>
          <t>អន្តរជាតិ</t>
        </is>
      </c>
      <c r="I372" s="75" t="n"/>
      <c r="J372" s="75" t="n"/>
      <c r="K372" s="75" t="inlineStr">
        <is>
          <t>"listServiceGroup.International": "អន្តរជាតិ",</t>
        </is>
      </c>
      <c r="L372" s="75" t="n"/>
      <c r="M372" s="75" t="n"/>
      <c r="N372" s="75" t="n"/>
      <c r="O372" s="75" t="n"/>
      <c r="P372" s="75" t="n"/>
      <c r="Q372" s="75" t="n"/>
      <c r="R372" s="75" t="n"/>
      <c r="S372" s="75" t="n"/>
      <c r="T372" s="75" t="n"/>
      <c r="U372" s="75" t="n"/>
      <c r="V372" s="75" t="n"/>
      <c r="W372" s="75" t="n"/>
      <c r="X372" s="75" t="n"/>
      <c r="Y372" s="75" t="n"/>
      <c r="Z372" s="45" t="n"/>
    </row>
    <row r="373">
      <c r="A373" s="40" t="inlineStr">
        <is>
          <t>listServiceGroup.V24</t>
        </is>
      </c>
      <c r="B373" s="46" t="inlineStr">
        <is>
          <t>V24</t>
        </is>
      </c>
      <c r="C373" s="46" t="inlineStr">
        <is>
          <t>V24</t>
        </is>
      </c>
      <c r="D373" s="46" t="inlineStr">
        <is>
          <t>V24</t>
        </is>
      </c>
      <c r="E373" s="75" t="n"/>
      <c r="F373" s="75" t="n"/>
      <c r="G373" s="75" t="inlineStr">
        <is>
          <t>V24</t>
        </is>
      </c>
      <c r="H373" s="75" t="inlineStr">
        <is>
          <t>V24</t>
        </is>
      </c>
      <c r="I373" s="75" t="n"/>
      <c r="J373" s="75" t="n"/>
      <c r="K373" s="75" t="inlineStr">
        <is>
          <t>"listServiceGroup.V24": "V24",</t>
        </is>
      </c>
      <c r="L373" s="75" t="n"/>
      <c r="M373" s="75" t="n"/>
      <c r="N373" s="75" t="n"/>
      <c r="O373" s="75" t="n"/>
      <c r="P373" s="75" t="n"/>
      <c r="Q373" s="75" t="n"/>
      <c r="R373" s="75" t="n"/>
      <c r="S373" s="75" t="n"/>
      <c r="T373" s="75" t="n"/>
      <c r="U373" s="75" t="n"/>
      <c r="V373" s="75" t="n"/>
      <c r="W373" s="75" t="n"/>
      <c r="X373" s="75" t="n"/>
      <c r="Y373" s="75" t="n"/>
      <c r="Z373" s="45" t="n"/>
    </row>
    <row r="374">
      <c r="A374" s="40" t="inlineStr">
        <is>
          <t>listZone.District</t>
        </is>
      </c>
      <c r="B374" s="46" t="inlineStr">
        <is>
          <t>Huyện</t>
        </is>
      </c>
      <c r="C374" s="46" t="inlineStr">
        <is>
          <t>District</t>
        </is>
      </c>
      <c r="D374" s="43" t="inlineStr">
        <is>
          <t>ស្រុក</t>
        </is>
      </c>
      <c r="E374" s="75" t="n"/>
      <c r="F374" s="75" t="n"/>
      <c r="G374" s="75" t="inlineStr">
        <is>
          <t>ស្រុក</t>
        </is>
      </c>
      <c r="H374" s="75" t="inlineStr">
        <is>
          <t>ស្រុក</t>
        </is>
      </c>
      <c r="I374" s="75" t="n"/>
      <c r="J374" s="75" t="n"/>
      <c r="K374" s="75" t="inlineStr">
        <is>
          <t>"listZone.District": "ស្រុក",</t>
        </is>
      </c>
      <c r="L374" s="75" t="n"/>
      <c r="M374" s="75" t="n"/>
      <c r="N374" s="75" t="n"/>
      <c r="O374" s="75" t="n"/>
      <c r="P374" s="75" t="n"/>
      <c r="Q374" s="75" t="n"/>
      <c r="R374" s="75" t="n"/>
      <c r="S374" s="75" t="n"/>
      <c r="T374" s="75" t="n"/>
      <c r="U374" s="75" t="n"/>
      <c r="V374" s="75" t="n"/>
      <c r="W374" s="75" t="n"/>
      <c r="X374" s="75" t="n"/>
      <c r="Y374" s="75" t="n"/>
      <c r="Z374" s="45" t="n"/>
    </row>
    <row r="375">
      <c r="A375" s="40" t="inlineStr">
        <is>
          <t>listZone.Province</t>
        </is>
      </c>
      <c r="B375" s="46" t="inlineStr">
        <is>
          <t>Tỉnh</t>
        </is>
      </c>
      <c r="C375" s="46" t="inlineStr">
        <is>
          <t>Province</t>
        </is>
      </c>
      <c r="D375" s="43" t="inlineStr">
        <is>
          <t>ខេត្ត</t>
        </is>
      </c>
      <c r="E375" s="75" t="n"/>
      <c r="F375" s="75" t="n"/>
      <c r="G375" s="75" t="inlineStr">
        <is>
          <t>ខេត្ត</t>
        </is>
      </c>
      <c r="H375" s="75" t="inlineStr">
        <is>
          <t>ខេត្ត</t>
        </is>
      </c>
      <c r="I375" s="75" t="n"/>
      <c r="J375" s="75" t="n"/>
      <c r="K375" s="75" t="inlineStr">
        <is>
          <t>"listZone.Province": "ខេត្ត",</t>
        </is>
      </c>
      <c r="L375" s="75" t="n"/>
      <c r="M375" s="75" t="n"/>
      <c r="N375" s="75" t="n"/>
      <c r="O375" s="75" t="n"/>
      <c r="P375" s="75" t="n"/>
      <c r="Q375" s="75" t="n"/>
      <c r="R375" s="75" t="n"/>
      <c r="S375" s="75" t="n"/>
      <c r="T375" s="75" t="n"/>
      <c r="U375" s="75" t="n"/>
      <c r="V375" s="75" t="n"/>
      <c r="W375" s="75" t="n"/>
      <c r="X375" s="75" t="n"/>
      <c r="Y375" s="75" t="n"/>
      <c r="Z375" s="45" t="n"/>
    </row>
    <row r="376">
      <c r="A376" s="40" t="inlineStr">
        <is>
          <t>listZone.National</t>
        </is>
      </c>
      <c r="B376" s="46" t="inlineStr">
        <is>
          <t>Quốc gia</t>
        </is>
      </c>
      <c r="C376" s="46" t="inlineStr">
        <is>
          <t>National</t>
        </is>
      </c>
      <c r="D376" s="43" t="inlineStr">
        <is>
          <t>ប្រទេស</t>
        </is>
      </c>
      <c r="E376" s="75" t="n"/>
      <c r="F376" s="75" t="n"/>
      <c r="G376" s="75" t="inlineStr">
        <is>
          <t>ប្រទេស</t>
        </is>
      </c>
      <c r="H376" s="75" t="inlineStr">
        <is>
          <t>ប្រទេស</t>
        </is>
      </c>
      <c r="I376" s="75" t="n"/>
      <c r="J376" s="75" t="n"/>
      <c r="K376" s="75" t="inlineStr">
        <is>
          <t>"listZone.National": "ប្រទេស",</t>
        </is>
      </c>
      <c r="L376" s="75" t="n"/>
      <c r="M376" s="75" t="n"/>
      <c r="N376" s="75" t="n"/>
      <c r="O376" s="75" t="n"/>
      <c r="P376" s="75" t="n"/>
      <c r="Q376" s="75" t="n"/>
      <c r="R376" s="75" t="n"/>
      <c r="S376" s="75" t="n"/>
      <c r="T376" s="75" t="n"/>
      <c r="U376" s="75" t="n"/>
      <c r="V376" s="75" t="n"/>
      <c r="W376" s="75" t="n"/>
      <c r="X376" s="75" t="n"/>
      <c r="Y376" s="75" t="n"/>
      <c r="Z376" s="45" t="n"/>
    </row>
    <row r="377">
      <c r="A377" s="40" t="inlineStr">
        <is>
          <t>listZone.Ward</t>
        </is>
      </c>
      <c r="B377" s="46" t="inlineStr">
        <is>
          <t>Phường/xã</t>
        </is>
      </c>
      <c r="C377" s="46" t="inlineStr">
        <is>
          <t>Commune</t>
        </is>
      </c>
      <c r="D377" s="43" t="inlineStr">
        <is>
          <t>ឃុំ/សង្កាត់</t>
        </is>
      </c>
      <c r="E377" s="75" t="n"/>
      <c r="F377" s="75" t="n"/>
      <c r="G377" s="75" t="inlineStr">
        <is>
          <t>ឃុំ/សង្កាត់</t>
        </is>
      </c>
      <c r="H377" s="75" t="inlineStr">
        <is>
          <t>ឃុំ/សង្កាត់</t>
        </is>
      </c>
      <c r="I377" s="75" t="n"/>
      <c r="J377" s="75" t="n"/>
      <c r="K377" s="75" t="inlineStr">
        <is>
          <t>"listZone.Ward": "ឃុំ/សង្កាត់",</t>
        </is>
      </c>
      <c r="L377" s="75" t="n"/>
      <c r="M377" s="75" t="n"/>
      <c r="N377" s="75" t="n"/>
      <c r="O377" s="75" t="n"/>
      <c r="P377" s="75" t="n"/>
      <c r="Q377" s="75" t="n"/>
      <c r="R377" s="75" t="n"/>
      <c r="S377" s="75" t="n"/>
      <c r="T377" s="75" t="n"/>
      <c r="U377" s="75" t="n"/>
      <c r="V377" s="75" t="n"/>
      <c r="W377" s="75" t="n"/>
      <c r="X377" s="75" t="n"/>
      <c r="Y377" s="75" t="n"/>
      <c r="Z377" s="45" t="n"/>
    </row>
    <row r="378">
      <c r="A378" s="40" t="inlineStr">
        <is>
          <t>listScope.Domestic</t>
        </is>
      </c>
      <c r="B378" s="46" t="inlineStr">
        <is>
          <t>Trong nước</t>
        </is>
      </c>
      <c r="C378" s="46" t="inlineStr">
        <is>
          <t>Domestic</t>
        </is>
      </c>
      <c r="D378" s="43" t="inlineStr">
        <is>
          <t>ក្នុងប្រទេស</t>
        </is>
      </c>
      <c r="E378" s="75" t="n"/>
      <c r="F378" s="75" t="n"/>
      <c r="G378" s="75" t="inlineStr">
        <is>
          <t>ក្នុងប្រទេស</t>
        </is>
      </c>
      <c r="H378" s="75" t="inlineStr">
        <is>
          <t>ក្នុងប្រទេស</t>
        </is>
      </c>
      <c r="I378" s="75" t="n"/>
      <c r="J378" s="75" t="n"/>
      <c r="K378" s="75" t="inlineStr">
        <is>
          <t>"listScope.Domestic": "ក្នុងប្រទេស",</t>
        </is>
      </c>
      <c r="L378" s="75" t="n"/>
      <c r="M378" s="75" t="n"/>
      <c r="N378" s="75" t="n"/>
      <c r="O378" s="75" t="n"/>
      <c r="P378" s="75" t="n"/>
      <c r="Q378" s="75" t="n"/>
      <c r="R378" s="75" t="n"/>
      <c r="S378" s="75" t="n"/>
      <c r="T378" s="75" t="n"/>
      <c r="U378" s="75" t="n"/>
      <c r="V378" s="75" t="n"/>
      <c r="W378" s="75" t="n"/>
      <c r="X378" s="75" t="n"/>
      <c r="Y378" s="75" t="n"/>
      <c r="Z378" s="45" t="n"/>
    </row>
    <row r="379">
      <c r="A379" s="40" t="inlineStr">
        <is>
          <t>listScope.International</t>
        </is>
      </c>
      <c r="B379" s="46" t="inlineStr">
        <is>
          <t>Quốc tế</t>
        </is>
      </c>
      <c r="C379" s="46" t="inlineStr">
        <is>
          <t>International</t>
        </is>
      </c>
      <c r="D379" s="43" t="inlineStr">
        <is>
          <t>អន្តរជាតិ</t>
        </is>
      </c>
      <c r="E379" s="75" t="n"/>
      <c r="F379" s="75" t="n"/>
      <c r="G379" s="75" t="inlineStr">
        <is>
          <t>អន្តរជាតិ</t>
        </is>
      </c>
      <c r="H379" s="75" t="inlineStr">
        <is>
          <t>អន្តរជាតិ</t>
        </is>
      </c>
      <c r="I379" s="75" t="n"/>
      <c r="J379" s="75" t="n"/>
      <c r="K379" s="75" t="inlineStr">
        <is>
          <t>"listScope.International": "អន្តរជាតិ",</t>
        </is>
      </c>
      <c r="L379" s="75" t="n"/>
      <c r="M379" s="75" t="n"/>
      <c r="N379" s="75" t="n"/>
      <c r="O379" s="75" t="n"/>
      <c r="P379" s="75" t="n"/>
      <c r="Q379" s="75" t="n"/>
      <c r="R379" s="75" t="n"/>
      <c r="S379" s="75" t="n"/>
      <c r="T379" s="75" t="n"/>
      <c r="U379" s="75" t="n"/>
      <c r="V379" s="75" t="n"/>
      <c r="W379" s="75" t="n"/>
      <c r="X379" s="75" t="n"/>
      <c r="Y379" s="75" t="n"/>
      <c r="Z379" s="45" t="n"/>
    </row>
    <row r="380">
      <c r="A380" s="40" t="inlineStr">
        <is>
          <t>listScope.InternationalRoundTrip</t>
        </is>
      </c>
      <c r="B380" s="46" t="inlineStr">
        <is>
          <t>Quốc tế chiều về</t>
        </is>
      </c>
      <c r="C380" s="46" t="inlineStr">
        <is>
          <t>International Return Shipping</t>
        </is>
      </c>
      <c r="D380" s="43" t="inlineStr">
        <is>
          <t>អន្តរជាតិផ្លូវត្រឡប់</t>
        </is>
      </c>
      <c r="E380" s="75" t="n"/>
      <c r="F380" s="75" t="n"/>
      <c r="G380" s="75" t="inlineStr">
        <is>
          <t>អន្តរជាតិផ្លូវត្រឡប់</t>
        </is>
      </c>
      <c r="H380" s="75" t="inlineStr">
        <is>
          <t>អន្តរជាតិផ្លូវត្រឡប់</t>
        </is>
      </c>
      <c r="I380" s="75" t="n"/>
      <c r="J380" s="75" t="n"/>
      <c r="K380" s="75" t="inlineStr">
        <is>
          <t>"listScope.InternationalRoundTrip": "អន្តរជាតិផ្លូវត្រឡប់",</t>
        </is>
      </c>
      <c r="L380" s="75" t="n"/>
      <c r="M380" s="75" t="n"/>
      <c r="N380" s="75" t="n"/>
      <c r="O380" s="75" t="n"/>
      <c r="P380" s="75" t="n"/>
      <c r="Q380" s="75" t="n"/>
      <c r="R380" s="75" t="n"/>
      <c r="S380" s="75" t="n"/>
      <c r="T380" s="75" t="n"/>
      <c r="U380" s="75" t="n"/>
      <c r="V380" s="75" t="n"/>
      <c r="W380" s="75" t="n"/>
      <c r="X380" s="75" t="n"/>
      <c r="Y380" s="75" t="n"/>
      <c r="Z380" s="45" t="n"/>
    </row>
    <row r="381">
      <c r="A381" s="40" t="inlineStr">
        <is>
          <t>listCaculationPrice.handCalculation</t>
        </is>
      </c>
      <c r="B381" s="46" t="inlineStr">
        <is>
          <t>Tự tính tay</t>
        </is>
      </c>
      <c r="C381" s="46" t="inlineStr">
        <is>
          <t>Manual pricing</t>
        </is>
      </c>
      <c r="D381" s="43" t="inlineStr">
        <is>
          <t>គិតដៃខ្លួនឯង</t>
        </is>
      </c>
      <c r="E381" s="75" t="n"/>
      <c r="F381" s="75" t="n"/>
      <c r="G381" s="75" t="inlineStr">
        <is>
          <t>គិតដៃខ្លួនឯង</t>
        </is>
      </c>
      <c r="H381" s="75" t="inlineStr">
        <is>
          <t>គិតដៃខ្លួនឯង</t>
        </is>
      </c>
      <c r="I381" s="75" t="n"/>
      <c r="J381" s="75" t="n"/>
      <c r="K381" s="75" t="inlineStr">
        <is>
          <t>"listCaculationPrice.handCalculation": "គិតដៃខ្លួនឯង",</t>
        </is>
      </c>
      <c r="L381" s="75" t="n"/>
      <c r="M381" s="75" t="n"/>
      <c r="N381" s="75" t="n"/>
      <c r="O381" s="75" t="n"/>
      <c r="P381" s="75" t="n"/>
      <c r="Q381" s="75" t="n"/>
      <c r="R381" s="75" t="n"/>
      <c r="S381" s="75" t="n"/>
      <c r="T381" s="75" t="n"/>
      <c r="U381" s="75" t="n"/>
      <c r="V381" s="75" t="n"/>
      <c r="W381" s="75" t="n"/>
      <c r="X381" s="75" t="n"/>
      <c r="Y381" s="75" t="n"/>
      <c r="Z381" s="45" t="n"/>
    </row>
    <row r="382">
      <c r="A382" s="40" t="inlineStr">
        <is>
          <t>listCaculationPrice.priceListCalculation</t>
        </is>
      </c>
      <c r="B382" s="46" t="inlineStr">
        <is>
          <t>Theo bảng giá</t>
        </is>
      </c>
      <c r="C382" s="46" t="inlineStr">
        <is>
          <t>Pricing table Based</t>
        </is>
      </c>
      <c r="D382" s="43" t="inlineStr">
        <is>
          <t>តាមតារាងតម្លៃ</t>
        </is>
      </c>
      <c r="E382" s="75" t="n"/>
      <c r="F382" s="75" t="n"/>
      <c r="G382" s="75" t="inlineStr">
        <is>
          <t>តាមតារាងតម្លៃ</t>
        </is>
      </c>
      <c r="H382" s="75" t="inlineStr">
        <is>
          <t>តាមតារាងតម្លៃ</t>
        </is>
      </c>
      <c r="I382" s="75" t="n"/>
      <c r="J382" s="75" t="n"/>
      <c r="K382" s="75" t="inlineStr">
        <is>
          <t>"listCaculationPrice.priceListCalculation": "តាមតារាងតម្លៃ",</t>
        </is>
      </c>
      <c r="L382" s="75" t="n"/>
      <c r="M382" s="75" t="n"/>
      <c r="N382" s="75" t="n"/>
      <c r="O382" s="75" t="n"/>
      <c r="P382" s="75" t="n"/>
      <c r="Q382" s="75" t="n"/>
      <c r="R382" s="75" t="n"/>
      <c r="S382" s="75" t="n"/>
      <c r="T382" s="75" t="n"/>
      <c r="U382" s="75" t="n"/>
      <c r="V382" s="75" t="n"/>
      <c r="W382" s="75" t="n"/>
      <c r="X382" s="75" t="n"/>
      <c r="Y382" s="75" t="n"/>
      <c r="Z382" s="45" t="n"/>
    </row>
    <row r="383">
      <c r="A383" s="40" t="inlineStr">
        <is>
          <t>listKpi.All</t>
        </is>
      </c>
      <c r="B383" s="46" t="inlineStr">
        <is>
          <t>Tất cả</t>
        </is>
      </c>
      <c r="C383" s="46" t="inlineStr">
        <is>
          <t>All</t>
        </is>
      </c>
      <c r="D383" s="43" t="inlineStr">
        <is>
          <t>ទាំងអស់</t>
        </is>
      </c>
      <c r="E383" s="75" t="n"/>
      <c r="F383" s="75" t="n"/>
      <c r="G383" s="75" t="inlineStr">
        <is>
          <t>ទាំងអស់</t>
        </is>
      </c>
      <c r="H383" s="75" t="inlineStr">
        <is>
          <t>ទាំងអស់</t>
        </is>
      </c>
      <c r="I383" s="75" t="n"/>
      <c r="J383" s="75" t="n"/>
      <c r="K383" s="75" t="inlineStr">
        <is>
          <t>"listKpi.All": "ទាំងអស់",</t>
        </is>
      </c>
      <c r="L383" s="75" t="n"/>
      <c r="M383" s="75" t="n"/>
      <c r="N383" s="75" t="n"/>
      <c r="O383" s="75" t="n"/>
      <c r="P383" s="75" t="n"/>
      <c r="Q383" s="75" t="n"/>
      <c r="R383" s="75" t="n"/>
      <c r="S383" s="75" t="n"/>
      <c r="T383" s="75" t="n"/>
      <c r="U383" s="75" t="n"/>
      <c r="V383" s="75" t="n"/>
      <c r="W383" s="75" t="n"/>
      <c r="X383" s="75" t="n"/>
      <c r="Y383" s="75" t="n"/>
      <c r="Z383" s="45" t="n"/>
    </row>
    <row r="384">
      <c r="A384" s="40" t="inlineStr">
        <is>
          <t>listKpi.Expedited</t>
        </is>
      </c>
      <c r="B384" s="46" t="inlineStr">
        <is>
          <t>Hỏa tốc</t>
        </is>
      </c>
      <c r="C384" s="46" t="inlineStr">
        <is>
          <t>Express</t>
        </is>
      </c>
      <c r="D384" s="43" t="inlineStr">
        <is>
          <t>រហ័ស</t>
        </is>
      </c>
      <c r="E384" s="75" t="n"/>
      <c r="F384" s="75" t="n"/>
      <c r="G384" s="75" t="inlineStr">
        <is>
          <t>រហ័ស</t>
        </is>
      </c>
      <c r="H384" s="75" t="inlineStr">
        <is>
          <t>រហ័ស</t>
        </is>
      </c>
      <c r="I384" s="75" t="n"/>
      <c r="J384" s="75" t="n"/>
      <c r="K384" s="75" t="inlineStr">
        <is>
          <t>"listKpi.Expedited": "រហ័ស",</t>
        </is>
      </c>
      <c r="L384" s="75" t="n"/>
      <c r="M384" s="75" t="n"/>
      <c r="N384" s="75" t="n"/>
      <c r="O384" s="75" t="n"/>
      <c r="P384" s="75" t="n"/>
      <c r="Q384" s="75" t="n"/>
      <c r="R384" s="75" t="n"/>
      <c r="S384" s="75" t="n"/>
      <c r="T384" s="75" t="n"/>
      <c r="U384" s="75" t="n"/>
      <c r="V384" s="75" t="n"/>
      <c r="W384" s="75" t="n"/>
      <c r="X384" s="75" t="n"/>
      <c r="Y384" s="75" t="n"/>
      <c r="Z384" s="45" t="n"/>
    </row>
    <row r="385">
      <c r="A385" s="40" t="inlineStr">
        <is>
          <t>listKpi.Fast</t>
        </is>
      </c>
      <c r="B385" s="46" t="inlineStr">
        <is>
          <t>Nhanh</t>
        </is>
      </c>
      <c r="C385" s="46" t="inlineStr">
        <is>
          <t>Fast</t>
        </is>
      </c>
      <c r="D385" s="43" t="inlineStr">
        <is>
          <t>លឿន</t>
        </is>
      </c>
      <c r="E385" s="75" t="n"/>
      <c r="F385" s="75" t="n"/>
      <c r="G385" s="75" t="inlineStr">
        <is>
          <t>លឿន</t>
        </is>
      </c>
      <c r="H385" s="75" t="inlineStr">
        <is>
          <t>លឿន</t>
        </is>
      </c>
      <c r="I385" s="75" t="n"/>
      <c r="J385" s="75" t="n"/>
      <c r="K385" s="75" t="inlineStr">
        <is>
          <t>"listKpi.Fast": "លឿន",</t>
        </is>
      </c>
      <c r="L385" s="75" t="n"/>
      <c r="M385" s="75" t="n"/>
      <c r="N385" s="75" t="n"/>
      <c r="O385" s="75" t="n"/>
      <c r="P385" s="75" t="n"/>
      <c r="Q385" s="75" t="n"/>
      <c r="R385" s="75" t="n"/>
      <c r="S385" s="75" t="n"/>
      <c r="T385" s="75" t="n"/>
      <c r="U385" s="75" t="n"/>
      <c r="V385" s="75" t="n"/>
      <c r="W385" s="75" t="n"/>
      <c r="X385" s="75" t="n"/>
      <c r="Y385" s="75" t="n"/>
      <c r="Z385" s="45" t="n"/>
    </row>
    <row r="386">
      <c r="A386" s="40" t="inlineStr">
        <is>
          <t>listKpi.Save</t>
        </is>
      </c>
      <c r="B386" s="46" t="inlineStr">
        <is>
          <t>Tiết kiệm</t>
        </is>
      </c>
      <c r="C386" s="46" t="inlineStr">
        <is>
          <t>Eco</t>
        </is>
      </c>
      <c r="D386" s="43" t="inlineStr">
        <is>
          <t>សន្សំសំចៃ</t>
        </is>
      </c>
      <c r="E386" s="75" t="n"/>
      <c r="F386" s="75" t="n"/>
      <c r="G386" s="75" t="inlineStr">
        <is>
          <t>សន្សំសំចៃ</t>
        </is>
      </c>
      <c r="H386" s="75" t="inlineStr">
        <is>
          <t>សន្សំសំចៃ</t>
        </is>
      </c>
      <c r="I386" s="75" t="n"/>
      <c r="J386" s="75" t="n"/>
      <c r="K386" s="75" t="inlineStr">
        <is>
          <t>"listKpi.Save": "សន្សំសំចៃ",</t>
        </is>
      </c>
      <c r="L386" s="75" t="n"/>
      <c r="M386" s="75" t="n"/>
      <c r="N386" s="75" t="n"/>
      <c r="O386" s="75" t="n"/>
      <c r="P386" s="75" t="n"/>
      <c r="Q386" s="75" t="n"/>
      <c r="R386" s="75" t="n"/>
      <c r="S386" s="75" t="n"/>
      <c r="T386" s="75" t="n"/>
      <c r="U386" s="75" t="n"/>
      <c r="V386" s="75" t="n"/>
      <c r="W386" s="75" t="n"/>
      <c r="X386" s="75" t="n"/>
      <c r="Y386" s="75" t="n"/>
      <c r="Z386" s="45" t="n"/>
    </row>
    <row r="387">
      <c r="A387" s="40" t="inlineStr">
        <is>
          <t>listKpi.Package</t>
        </is>
      </c>
      <c r="B387" s="46" t="inlineStr">
        <is>
          <t>Hàng kiện</t>
        </is>
      </c>
      <c r="C387" s="46" t="inlineStr">
        <is>
          <t>Package</t>
        </is>
      </c>
      <c r="D387" s="43" t="inlineStr">
        <is>
          <t>កញ្ចប់អីវ៉ាន់</t>
        </is>
      </c>
      <c r="E387" s="75" t="n"/>
      <c r="F387" s="75" t="n"/>
      <c r="G387" s="75" t="inlineStr">
        <is>
          <t>កញ្ចប់អីវ៉ាន់</t>
        </is>
      </c>
      <c r="H387" s="75" t="inlineStr">
        <is>
          <t>កញ្ចប់អីវ៉ាន់</t>
        </is>
      </c>
      <c r="I387" s="75" t="n"/>
      <c r="J387" s="75" t="n"/>
      <c r="K387" s="75" t="inlineStr">
        <is>
          <t>"listKpi.Package": "កញ្ចប់អីវ៉ាន់",</t>
        </is>
      </c>
      <c r="L387" s="75" t="n"/>
      <c r="M387" s="75" t="n"/>
      <c r="N387" s="75" t="n"/>
      <c r="O387" s="75" t="n"/>
      <c r="P387" s="75" t="n"/>
      <c r="Q387" s="75" t="n"/>
      <c r="R387" s="75" t="n"/>
      <c r="S387" s="75" t="n"/>
      <c r="T387" s="75" t="n"/>
      <c r="U387" s="75" t="n"/>
      <c r="V387" s="75" t="n"/>
      <c r="W387" s="75" t="n"/>
      <c r="X387" s="75" t="n"/>
      <c r="Y387" s="75" t="n"/>
      <c r="Z387" s="45" t="n"/>
    </row>
    <row r="388">
      <c r="A388" s="40" t="inlineStr">
        <is>
          <t>listCaculation.Weight</t>
        </is>
      </c>
      <c r="B388" s="46" t="inlineStr">
        <is>
          <t>Trọng lượng</t>
        </is>
      </c>
      <c r="C388" s="46" t="inlineStr">
        <is>
          <t>Weight</t>
        </is>
      </c>
      <c r="D388" s="43" t="inlineStr">
        <is>
          <t>ទម្ងន់</t>
        </is>
      </c>
      <c r="E388" s="75" t="n"/>
      <c r="F388" s="75" t="n"/>
      <c r="G388" s="75" t="inlineStr">
        <is>
          <t>ទម្ងន់</t>
        </is>
      </c>
      <c r="H388" s="75" t="inlineStr">
        <is>
          <t>ទម្ងន់</t>
        </is>
      </c>
      <c r="I388" s="75" t="n"/>
      <c r="J388" s="75" t="n"/>
      <c r="K388" s="75" t="inlineStr">
        <is>
          <t>"listCaculation.Weight": "ទម្ងន់",</t>
        </is>
      </c>
      <c r="L388" s="75" t="n"/>
      <c r="M388" s="75" t="n"/>
      <c r="N388" s="75" t="n"/>
      <c r="O388" s="75" t="n"/>
      <c r="P388" s="75" t="n"/>
      <c r="Q388" s="75" t="n"/>
      <c r="R388" s="75" t="n"/>
      <c r="S388" s="75" t="n"/>
      <c r="T388" s="75" t="n"/>
      <c r="U388" s="75" t="n"/>
      <c r="V388" s="75" t="n"/>
      <c r="W388" s="75" t="n"/>
      <c r="X388" s="75" t="n"/>
      <c r="Y388" s="75" t="n"/>
      <c r="Z388" s="45" t="n"/>
    </row>
    <row r="389">
      <c r="A389" s="40" t="inlineStr">
        <is>
          <t>listCaculation.CollectToDelivery</t>
        </is>
      </c>
      <c r="B389" s="46" t="inlineStr">
        <is>
          <t>Tiền thu hộ</t>
        </is>
      </c>
      <c r="C389" s="46" t="inlineStr">
        <is>
          <t>COD</t>
        </is>
      </c>
      <c r="D389" s="43" t="inlineStr">
        <is>
          <t>ប្រាក់ប្រមូលជំនួស</t>
        </is>
      </c>
      <c r="E389" s="75" t="n"/>
      <c r="F389" s="75" t="n"/>
      <c r="G389" s="75" t="inlineStr">
        <is>
          <t>ប្រាក់ប្រមូលជំនួស (COD)</t>
        </is>
      </c>
      <c r="H389" s="75" t="inlineStr">
        <is>
          <t>ប្រាក់ប្រមូលជំនួស (COD)</t>
        </is>
      </c>
      <c r="I389" s="75" t="n"/>
      <c r="J389" s="75" t="n"/>
      <c r="K389" s="75" t="inlineStr">
        <is>
          <t>"listCaculation.CollectToDelivery": "ប្រាក់ប្រមូលជំនួស (COD)",</t>
        </is>
      </c>
      <c r="L389" s="75" t="n"/>
      <c r="M389" s="75" t="n"/>
      <c r="N389" s="75" t="n"/>
      <c r="O389" s="75" t="n"/>
      <c r="P389" s="75" t="n"/>
      <c r="Q389" s="75" t="n"/>
      <c r="R389" s="75" t="n"/>
      <c r="S389" s="75" t="n"/>
      <c r="T389" s="75" t="n"/>
      <c r="U389" s="75" t="n"/>
      <c r="V389" s="75" t="n"/>
      <c r="W389" s="75" t="n"/>
      <c r="X389" s="75" t="n"/>
      <c r="Y389" s="75" t="n"/>
      <c r="Z389" s="45" t="n"/>
    </row>
    <row r="390">
      <c r="A390" s="40" t="inlineStr">
        <is>
          <t>listCaculation.Distance</t>
        </is>
      </c>
      <c r="B390" s="46" t="inlineStr">
        <is>
          <t>Khoảng cách</t>
        </is>
      </c>
      <c r="C390" s="46" t="inlineStr">
        <is>
          <t>Distance</t>
        </is>
      </c>
      <c r="D390" s="43" t="inlineStr">
        <is>
          <t>ចម្ងាយ</t>
        </is>
      </c>
      <c r="E390" s="75" t="n"/>
      <c r="F390" s="75" t="n"/>
      <c r="G390" s="75" t="inlineStr">
        <is>
          <t>ចម្ងាយ</t>
        </is>
      </c>
      <c r="H390" s="75" t="inlineStr">
        <is>
          <t>ចម្ងាយ</t>
        </is>
      </c>
      <c r="I390" s="75" t="n"/>
      <c r="J390" s="75" t="n"/>
      <c r="K390" s="75" t="inlineStr">
        <is>
          <t>"listCaculation.Distance": "ចម្ងាយ",</t>
        </is>
      </c>
      <c r="L390" s="75" t="n"/>
      <c r="M390" s="75" t="n"/>
      <c r="N390" s="75" t="n"/>
      <c r="O390" s="75" t="n"/>
      <c r="P390" s="75" t="n"/>
      <c r="Q390" s="75" t="n"/>
      <c r="R390" s="75" t="n"/>
      <c r="S390" s="75" t="n"/>
      <c r="T390" s="75" t="n"/>
      <c r="U390" s="75" t="n"/>
      <c r="V390" s="75" t="n"/>
      <c r="W390" s="75" t="n"/>
      <c r="X390" s="75" t="n"/>
      <c r="Y390" s="75" t="n"/>
      <c r="Z390" s="45" t="n"/>
    </row>
    <row r="391">
      <c r="A391" s="40" t="inlineStr">
        <is>
          <t>listCaculation.ByCircumference</t>
        </is>
      </c>
      <c r="B391" s="46" t="inlineStr">
        <is>
          <t>Tính theo chu vi</t>
        </is>
      </c>
      <c r="C391" s="46" t="inlineStr">
        <is>
          <t>Perimeter calculation</t>
        </is>
      </c>
      <c r="D391" s="75" t="n"/>
      <c r="E391" s="75" t="n"/>
      <c r="F391" s="75" t="n"/>
      <c r="G391" s="75" t="inlineStr">
        <is>
          <t>គិតតាមទំហំបរិមាត្រ</t>
        </is>
      </c>
      <c r="H391" s="75" t="inlineStr">
        <is>
          <t>គិតតាមទំហំបរិមាត្រ</t>
        </is>
      </c>
      <c r="I391" s="75" t="n"/>
      <c r="J391" s="75" t="n"/>
      <c r="K391" s="75" t="inlineStr">
        <is>
          <t>"listCaculation.ByCircumference": "គិតតាមទំហំបរិមាត្រ",</t>
        </is>
      </c>
      <c r="L391" s="75" t="n"/>
      <c r="M391" s="75" t="n"/>
      <c r="N391" s="75" t="n"/>
      <c r="O391" s="75" t="n"/>
      <c r="P391" s="75" t="n"/>
      <c r="Q391" s="75" t="n"/>
      <c r="R391" s="75" t="n"/>
      <c r="S391" s="75" t="n"/>
      <c r="T391" s="75" t="n"/>
      <c r="U391" s="75" t="n"/>
      <c r="V391" s="75" t="n"/>
      <c r="W391" s="75" t="n"/>
      <c r="X391" s="75" t="n"/>
      <c r="Y391" s="75" t="n"/>
      <c r="Z391" s="45" t="n"/>
    </row>
    <row r="392">
      <c r="A392" s="40" t="inlineStr">
        <is>
          <t>listFormality.COD</t>
        </is>
      </c>
      <c r="B392" s="46" t="inlineStr">
        <is>
          <t>COD</t>
        </is>
      </c>
      <c r="C392" s="46" t="inlineStr">
        <is>
          <t>COD</t>
        </is>
      </c>
      <c r="D392" s="46" t="inlineStr">
        <is>
          <t>COD</t>
        </is>
      </c>
      <c r="E392" s="75" t="n"/>
      <c r="F392" s="75" t="n"/>
      <c r="G392" s="75" t="inlineStr">
        <is>
          <t>ប្រាក់ COD</t>
        </is>
      </c>
      <c r="H392" s="75" t="inlineStr">
        <is>
          <t>ប្រាក់ COD</t>
        </is>
      </c>
      <c r="I392" s="75" t="n"/>
      <c r="J392" s="75" t="n"/>
      <c r="K392" s="75" t="inlineStr">
        <is>
          <t>"listFormality.COD": "ប្រាក់ COD",</t>
        </is>
      </c>
      <c r="L392" s="75" t="n"/>
      <c r="M392" s="75" t="n"/>
      <c r="N392" s="75" t="n"/>
      <c r="O392" s="75" t="n"/>
      <c r="P392" s="75" t="n"/>
      <c r="Q392" s="75" t="n"/>
      <c r="R392" s="75" t="n"/>
      <c r="S392" s="75" t="n"/>
      <c r="T392" s="75" t="n"/>
      <c r="U392" s="75" t="n"/>
      <c r="V392" s="75" t="n"/>
      <c r="W392" s="75" t="n"/>
      <c r="X392" s="75" t="n"/>
      <c r="Y392" s="75" t="n"/>
      <c r="Z392" s="45" t="n"/>
    </row>
    <row r="393">
      <c r="A393" s="40" t="inlineStr">
        <is>
          <t>listFormality.CPTT</t>
        </is>
      </c>
      <c r="B393" s="46" t="inlineStr">
        <is>
          <t>CPTT</t>
        </is>
      </c>
      <c r="C393" s="46" t="inlineStr">
        <is>
          <t>CPTT</t>
        </is>
      </c>
      <c r="D393" s="46" t="inlineStr">
        <is>
          <t>CPTT</t>
        </is>
      </c>
      <c r="E393" s="75" t="n"/>
      <c r="F393" s="75" t="n"/>
      <c r="G393" s="75" t="inlineStr">
        <is>
          <t>CPTT</t>
        </is>
      </c>
      <c r="H393" s="75" t="inlineStr">
        <is>
          <t>CPTT</t>
        </is>
      </c>
      <c r="I393" s="75" t="n"/>
      <c r="J393" s="75" t="n"/>
      <c r="K393" s="75" t="inlineStr">
        <is>
          <t>"listFormality.CPTT": "CPTT",</t>
        </is>
      </c>
      <c r="L393" s="75" t="n"/>
      <c r="M393" s="75" t="n"/>
      <c r="N393" s="75" t="n"/>
      <c r="O393" s="75" t="n"/>
      <c r="P393" s="75" t="n"/>
      <c r="Q393" s="75" t="n"/>
      <c r="R393" s="75" t="n"/>
      <c r="S393" s="75" t="n"/>
      <c r="T393" s="75" t="n"/>
      <c r="U393" s="75" t="n"/>
      <c r="V393" s="75" t="n"/>
      <c r="W393" s="75" t="n"/>
      <c r="X393" s="75" t="n"/>
      <c r="Y393" s="75" t="n"/>
      <c r="Z393" s="45" t="n"/>
    </row>
    <row r="394">
      <c r="A394" s="40" t="inlineStr">
        <is>
          <t>listFormality.All</t>
        </is>
      </c>
      <c r="B394" s="46" t="inlineStr">
        <is>
          <t>Tất cả</t>
        </is>
      </c>
      <c r="C394" s="46" t="inlineStr">
        <is>
          <t>All</t>
        </is>
      </c>
      <c r="D394" s="43" t="inlineStr">
        <is>
          <t>ទាំងអស់</t>
        </is>
      </c>
      <c r="E394" s="75" t="n"/>
      <c r="F394" s="75" t="n"/>
      <c r="G394" s="75" t="inlineStr">
        <is>
          <t>ទាំងអស់</t>
        </is>
      </c>
      <c r="H394" s="75" t="inlineStr">
        <is>
          <t>ទាំងអស់</t>
        </is>
      </c>
      <c r="I394" s="75" t="n"/>
      <c r="J394" s="75" t="n"/>
      <c r="K394" s="75" t="inlineStr">
        <is>
          <t>"listFormality.All": "ទាំងអស់",</t>
        </is>
      </c>
      <c r="L394" s="75" t="n"/>
      <c r="M394" s="75" t="n"/>
      <c r="N394" s="75" t="n"/>
      <c r="O394" s="75" t="n"/>
      <c r="P394" s="75" t="n"/>
      <c r="Q394" s="75" t="n"/>
      <c r="R394" s="75" t="n"/>
      <c r="S394" s="75" t="n"/>
      <c r="T394" s="75" t="n"/>
      <c r="U394" s="75" t="n"/>
      <c r="V394" s="75" t="n"/>
      <c r="W394" s="75" t="n"/>
      <c r="X394" s="75" t="n"/>
      <c r="Y394" s="75" t="n"/>
      <c r="Z394" s="45" t="n"/>
    </row>
    <row r="395">
      <c r="A395" s="40" t="inlineStr">
        <is>
          <t>detailService.parameters</t>
        </is>
      </c>
      <c r="B395" s="46" t="inlineStr">
        <is>
          <t>Chọn tham số</t>
        </is>
      </c>
      <c r="C395" s="46" t="inlineStr">
        <is>
          <t>Select parameter</t>
        </is>
      </c>
      <c r="D395" s="43" t="inlineStr">
        <is>
          <t>ជ្រើសរើសប៉ារ៉ាម៉ែត</t>
        </is>
      </c>
      <c r="E395" s="75" t="n"/>
      <c r="F395" s="75" t="n"/>
      <c r="G395" s="75" t="inlineStr">
        <is>
          <t>ជ្រើសរើសប៉ារ៉ាម៉ែត</t>
        </is>
      </c>
      <c r="H395" s="75" t="inlineStr">
        <is>
          <t>ជ្រើសរើសប៉ារ៉ាម៉ែត</t>
        </is>
      </c>
      <c r="I395" s="75" t="n"/>
      <c r="J395" s="75" t="n"/>
      <c r="K395" s="75" t="inlineStr">
        <is>
          <t>"detailService.parameters": "ជ្រើសរើសប៉ារ៉ាម៉ែត",</t>
        </is>
      </c>
      <c r="L395" s="75" t="n"/>
      <c r="M395" s="75" t="n"/>
      <c r="N395" s="75" t="n"/>
      <c r="O395" s="75" t="n"/>
      <c r="P395" s="75" t="n"/>
      <c r="Q395" s="75" t="n"/>
      <c r="R395" s="75" t="n"/>
      <c r="S395" s="75" t="n"/>
      <c r="T395" s="75" t="n"/>
      <c r="U395" s="75" t="n"/>
      <c r="V395" s="75" t="n"/>
      <c r="W395" s="75" t="n"/>
      <c r="X395" s="75" t="n"/>
      <c r="Y395" s="75" t="n"/>
      <c r="Z395" s="45" t="n"/>
    </row>
    <row r="396">
      <c r="A396" s="40" t="inlineStr">
        <is>
          <t>detailService.serivce</t>
        </is>
      </c>
      <c r="B396" s="46" t="inlineStr">
        <is>
          <t>Chọn dịch vụ</t>
        </is>
      </c>
      <c r="C396" s="46" t="inlineStr">
        <is>
          <t>Select service</t>
        </is>
      </c>
      <c r="D396" s="43" t="inlineStr">
        <is>
          <t>ជ្រើសរើសសេវាកម្ម</t>
        </is>
      </c>
      <c r="E396" s="75" t="n"/>
      <c r="F396" s="75" t="n"/>
      <c r="G396" s="75" t="inlineStr">
        <is>
          <t>ជ្រើសរើសសេវាកម្ម</t>
        </is>
      </c>
      <c r="H396" s="75" t="inlineStr">
        <is>
          <t>ជ្រើសរើសសេវាកម្ម</t>
        </is>
      </c>
      <c r="I396" s="75" t="n"/>
      <c r="J396" s="75" t="n"/>
      <c r="K396" s="75" t="inlineStr">
        <is>
          <t>"detailService.serivce": "ជ្រើសរើសសេវាកម្ម",</t>
        </is>
      </c>
      <c r="L396" s="75" t="n"/>
      <c r="M396" s="75" t="n"/>
      <c r="N396" s="75" t="n"/>
      <c r="O396" s="75" t="n"/>
      <c r="P396" s="75" t="n"/>
      <c r="Q396" s="75" t="n"/>
      <c r="R396" s="75" t="n"/>
      <c r="S396" s="75" t="n"/>
      <c r="T396" s="75" t="n"/>
      <c r="U396" s="75" t="n"/>
      <c r="V396" s="75" t="n"/>
      <c r="W396" s="75" t="n"/>
      <c r="X396" s="75" t="n"/>
      <c r="Y396" s="75" t="n"/>
      <c r="Z396" s="45" t="n"/>
    </row>
    <row r="397">
      <c r="A397" s="40" t="inlineStr">
        <is>
          <t>detailService.config</t>
        </is>
      </c>
      <c r="B397" s="46" t="inlineStr">
        <is>
          <t>Cấu hình</t>
        </is>
      </c>
      <c r="C397" s="46" t="inlineStr">
        <is>
          <t>Config</t>
        </is>
      </c>
      <c r="D397" s="75" t="n"/>
      <c r="E397" s="75" t="n"/>
      <c r="F397" s="75" t="n"/>
      <c r="G397" s="75" t="inlineStr">
        <is>
          <t>ការកំណត់</t>
        </is>
      </c>
      <c r="H397" s="75" t="inlineStr">
        <is>
          <t>ការកំណត់</t>
        </is>
      </c>
      <c r="I397" s="75" t="n"/>
      <c r="J397" s="75" t="n"/>
      <c r="K397" s="75" t="inlineStr">
        <is>
          <t>"detailService.config": "ការកំណត់",</t>
        </is>
      </c>
      <c r="L397" s="75" t="n"/>
      <c r="M397" s="75" t="n"/>
      <c r="N397" s="75" t="n"/>
      <c r="O397" s="75" t="n"/>
      <c r="P397" s="75" t="n"/>
      <c r="Q397" s="75" t="n"/>
      <c r="R397" s="75" t="n"/>
      <c r="S397" s="75" t="n"/>
      <c r="T397" s="75" t="n"/>
      <c r="U397" s="75" t="n"/>
      <c r="V397" s="75" t="n"/>
      <c r="W397" s="75" t="n"/>
      <c r="X397" s="75" t="n"/>
      <c r="Y397" s="75" t="n"/>
      <c r="Z397" s="45" t="n"/>
    </row>
    <row r="398">
      <c r="A398" s="40" t="inlineStr">
        <is>
          <t>detailService.display</t>
        </is>
      </c>
      <c r="B398" s="46" t="inlineStr">
        <is>
          <t>Hiển thị</t>
        </is>
      </c>
      <c r="C398" s="46" t="inlineStr">
        <is>
          <t>Display</t>
        </is>
      </c>
      <c r="D398" s="43" t="inlineStr">
        <is>
          <t>លេចចេញ</t>
        </is>
      </c>
      <c r="E398" s="75" t="n"/>
      <c r="F398" s="75" t="n"/>
      <c r="G398" s="75" t="inlineStr">
        <is>
          <t>លេចចេញ</t>
        </is>
      </c>
      <c r="H398" s="75" t="inlineStr">
        <is>
          <t>លេចចេញ</t>
        </is>
      </c>
      <c r="I398" s="75" t="n"/>
      <c r="J398" s="75" t="n"/>
      <c r="K398" s="75" t="inlineStr">
        <is>
          <t>"detailService.display": "លេចចេញ",</t>
        </is>
      </c>
      <c r="L398" s="75" t="n"/>
      <c r="M398" s="75" t="n"/>
      <c r="N398" s="75" t="n"/>
      <c r="O398" s="75" t="n"/>
      <c r="P398" s="75" t="n"/>
      <c r="Q398" s="75" t="n"/>
      <c r="R398" s="75" t="n"/>
      <c r="S398" s="75" t="n"/>
      <c r="T398" s="75" t="n"/>
      <c r="U398" s="75" t="n"/>
      <c r="V398" s="75" t="n"/>
      <c r="W398" s="75" t="n"/>
      <c r="X398" s="75" t="n"/>
      <c r="Y398" s="75" t="n"/>
      <c r="Z398" s="45" t="n"/>
    </row>
    <row r="399">
      <c r="A399" s="40" t="inlineStr">
        <is>
          <t>detailService.typeApplication</t>
        </is>
      </c>
      <c r="B399" s="46" t="inlineStr">
        <is>
          <t>Loại hình áp dụng</t>
        </is>
      </c>
      <c r="C399" s="46" t="inlineStr">
        <is>
          <t>Application type</t>
        </is>
      </c>
      <c r="D399" s="75" t="n"/>
      <c r="E399" s="75" t="n"/>
      <c r="F399" s="75" t="n"/>
      <c r="G399" s="75" t="inlineStr">
        <is>
          <t>ប្រភេទ hình áp dụng</t>
        </is>
      </c>
      <c r="H399" s="75" t="inlineStr">
        <is>
          <t>ប្រភេទ hình áp dụng</t>
        </is>
      </c>
      <c r="I399" s="75" t="n"/>
      <c r="J399" s="75" t="n"/>
      <c r="K399" s="75" t="inlineStr">
        <is>
          <t>"detailService.typeApplication": "ប្រភេទ hình áp dụng",</t>
        </is>
      </c>
      <c r="L399" s="75" t="n"/>
      <c r="M399" s="75" t="n"/>
      <c r="N399" s="75" t="n"/>
      <c r="O399" s="75" t="n"/>
      <c r="P399" s="75" t="n"/>
      <c r="Q399" s="75" t="n"/>
      <c r="R399" s="75" t="n"/>
      <c r="S399" s="75" t="n"/>
      <c r="T399" s="75" t="n"/>
      <c r="U399" s="75" t="n"/>
      <c r="V399" s="75" t="n"/>
      <c r="W399" s="75" t="n"/>
      <c r="X399" s="75" t="n"/>
      <c r="Y399" s="75" t="n"/>
      <c r="Z399" s="45" t="n"/>
    </row>
    <row r="400">
      <c r="A400" s="40" t="inlineStr">
        <is>
          <t>detailService.typeParameters</t>
        </is>
      </c>
      <c r="B400" s="46" t="inlineStr">
        <is>
          <t>Loại tham số</t>
        </is>
      </c>
      <c r="C400" s="46" t="inlineStr">
        <is>
          <t>Parameter type</t>
        </is>
      </c>
      <c r="D400" s="75" t="n"/>
      <c r="E400" s="75" t="n"/>
      <c r="F400" s="75" t="n"/>
      <c r="G400" s="75" t="inlineStr">
        <is>
          <t>ប្រភេទ tham số</t>
        </is>
      </c>
      <c r="H400" s="75" t="inlineStr">
        <is>
          <t>ប្រភេទ tham số</t>
        </is>
      </c>
      <c r="I400" s="75" t="n"/>
      <c r="J400" s="75" t="n"/>
      <c r="K400" s="75" t="inlineStr">
        <is>
          <t>"detailService.typeParameters": "ប្រភេទ tham số",</t>
        </is>
      </c>
      <c r="L400" s="75" t="n"/>
      <c r="M400" s="75" t="n"/>
      <c r="N400" s="75" t="n"/>
      <c r="O400" s="75" t="n"/>
      <c r="P400" s="75" t="n"/>
      <c r="Q400" s="75" t="n"/>
      <c r="R400" s="75" t="n"/>
      <c r="S400" s="75" t="n"/>
      <c r="T400" s="75" t="n"/>
      <c r="U400" s="75" t="n"/>
      <c r="V400" s="75" t="n"/>
      <c r="W400" s="75" t="n"/>
      <c r="X400" s="75" t="n"/>
      <c r="Y400" s="75" t="n"/>
      <c r="Z400" s="45" t="n"/>
    </row>
    <row r="401">
      <c r="A401" s="48" t="inlineStr">
        <is>
          <t>config.default</t>
        </is>
      </c>
      <c r="B401" s="55" t="inlineStr">
        <is>
          <t>Mặc định</t>
        </is>
      </c>
      <c r="C401" s="55" t="inlineStr">
        <is>
          <t>Default</t>
        </is>
      </c>
      <c r="D401" s="71" t="n"/>
      <c r="E401" s="71" t="n"/>
      <c r="F401" s="71" t="n"/>
      <c r="G401" s="71" t="inlineStr">
        <is>
          <t>លំនាំដើម</t>
        </is>
      </c>
      <c r="H401" s="71" t="inlineStr">
        <is>
          <t>លំនាំដើម</t>
        </is>
      </c>
      <c r="I401" s="71" t="n"/>
      <c r="J401" s="71" t="n"/>
      <c r="K401" s="71" t="inlineStr">
        <is>
          <t>"config.default": "លំនាំដើម",</t>
        </is>
      </c>
      <c r="L401" s="71" t="n"/>
      <c r="M401" s="71" t="n"/>
      <c r="N401" s="71" t="n"/>
      <c r="O401" s="71" t="n"/>
      <c r="P401" s="71" t="n"/>
      <c r="Q401" s="71" t="n"/>
      <c r="R401" s="71" t="n"/>
      <c r="S401" s="71" t="n"/>
      <c r="T401" s="71" t="n"/>
      <c r="U401" s="71" t="n"/>
      <c r="V401" s="71" t="n"/>
      <c r="W401" s="71" t="n"/>
      <c r="X401" s="71" t="n"/>
      <c r="Y401" s="71" t="n"/>
      <c r="Z401" s="53" t="n"/>
    </row>
    <row r="402">
      <c r="A402" s="48" t="inlineStr">
        <is>
          <t>config.NotDefault</t>
        </is>
      </c>
      <c r="B402" s="55" t="inlineStr">
        <is>
          <t>Không mặc định</t>
        </is>
      </c>
      <c r="C402" s="55" t="inlineStr">
        <is>
          <t>Not default</t>
        </is>
      </c>
      <c r="D402" s="71" t="n"/>
      <c r="E402" s="71" t="n"/>
      <c r="F402" s="71" t="n"/>
      <c r="G402" s="71" t="inlineStr">
        <is>
          <t>មិនកំណត់ជាលំនាំដើម</t>
        </is>
      </c>
      <c r="H402" s="71" t="inlineStr">
        <is>
          <t>មិនកំណត់ជាលំនាំដើម</t>
        </is>
      </c>
      <c r="I402" s="71" t="n"/>
      <c r="J402" s="71" t="n"/>
      <c r="K402" s="71" t="inlineStr">
        <is>
          <t>"config.NotDefault": "មិនកំណត់ជាលំនាំដើម",</t>
        </is>
      </c>
      <c r="L402" s="71" t="n"/>
      <c r="M402" s="71" t="n"/>
      <c r="N402" s="71" t="n"/>
      <c r="O402" s="71" t="n"/>
      <c r="P402" s="71" t="n"/>
      <c r="Q402" s="71" t="n"/>
      <c r="R402" s="71" t="n"/>
      <c r="S402" s="71" t="n"/>
      <c r="T402" s="71" t="n"/>
      <c r="U402" s="71" t="n"/>
      <c r="V402" s="71" t="n"/>
      <c r="W402" s="71" t="n"/>
      <c r="X402" s="71" t="n"/>
      <c r="Y402" s="71" t="n"/>
      <c r="Z402" s="53" t="n"/>
    </row>
    <row r="403">
      <c r="A403" s="48" t="inlineStr">
        <is>
          <t>display.display</t>
        </is>
      </c>
      <c r="B403" s="55" t="inlineStr">
        <is>
          <t>Hiển thị</t>
        </is>
      </c>
      <c r="C403" s="55" t="inlineStr">
        <is>
          <t>Display</t>
        </is>
      </c>
      <c r="D403" s="51" t="inlineStr">
        <is>
          <t>លេចចេញ</t>
        </is>
      </c>
      <c r="E403" s="71" t="n"/>
      <c r="F403" s="71" t="n"/>
      <c r="G403" s="71" t="inlineStr">
        <is>
          <t>លេចចេញ</t>
        </is>
      </c>
      <c r="H403" s="71" t="inlineStr">
        <is>
          <t>លេចចេញ</t>
        </is>
      </c>
      <c r="I403" s="71" t="n"/>
      <c r="J403" s="71" t="n"/>
      <c r="K403" s="71" t="inlineStr">
        <is>
          <t>"display.display": "លេចចេញ",</t>
        </is>
      </c>
      <c r="L403" s="71" t="n"/>
      <c r="M403" s="71" t="n"/>
      <c r="N403" s="71" t="n"/>
      <c r="O403" s="71" t="n"/>
      <c r="P403" s="71" t="n"/>
      <c r="Q403" s="71" t="n"/>
      <c r="R403" s="71" t="n"/>
      <c r="S403" s="71" t="n"/>
      <c r="T403" s="71" t="n"/>
      <c r="U403" s="71" t="n"/>
      <c r="V403" s="71" t="n"/>
      <c r="W403" s="71" t="n"/>
      <c r="X403" s="71" t="n"/>
      <c r="Y403" s="71" t="n"/>
      <c r="Z403" s="53" t="n"/>
    </row>
    <row r="404">
      <c r="A404" s="48" t="inlineStr">
        <is>
          <t>display.none</t>
        </is>
      </c>
      <c r="B404" s="55" t="inlineStr">
        <is>
          <t>Không hiển thị</t>
        </is>
      </c>
      <c r="C404" s="55" t="inlineStr">
        <is>
          <t>None</t>
        </is>
      </c>
      <c r="D404" s="51" t="inlineStr">
        <is>
          <t>មិនលេចចេញមក</t>
        </is>
      </c>
      <c r="E404" s="71" t="n"/>
      <c r="F404" s="71" t="n"/>
      <c r="G404" s="71" t="inlineStr">
        <is>
          <t>មិនលេចចេញមក</t>
        </is>
      </c>
      <c r="H404" s="71" t="inlineStr">
        <is>
          <t>មិនលេចចេញមក</t>
        </is>
      </c>
      <c r="I404" s="71" t="n"/>
      <c r="J404" s="71" t="n"/>
      <c r="K404" s="71" t="inlineStr">
        <is>
          <t>"display.none": "មិនលេចចេញមក",</t>
        </is>
      </c>
      <c r="L404" s="71" t="n"/>
      <c r="M404" s="71" t="n"/>
      <c r="N404" s="71" t="n"/>
      <c r="O404" s="71" t="n"/>
      <c r="P404" s="71" t="n"/>
      <c r="Q404" s="71" t="n"/>
      <c r="R404" s="71" t="n"/>
      <c r="S404" s="71" t="n"/>
      <c r="T404" s="71" t="n"/>
      <c r="U404" s="71" t="n"/>
      <c r="V404" s="71" t="n"/>
      <c r="W404" s="71" t="n"/>
      <c r="X404" s="71" t="n"/>
      <c r="Y404" s="71" t="n"/>
      <c r="Z404" s="53" t="n"/>
    </row>
    <row r="405">
      <c r="A405" s="40" t="inlineStr">
        <is>
          <t>typeApplication.none</t>
        </is>
      </c>
      <c r="B405" s="46" t="inlineStr">
        <is>
          <t>Không chọn</t>
        </is>
      </c>
      <c r="C405" s="46" t="inlineStr">
        <is>
          <t>None</t>
        </is>
      </c>
      <c r="D405" s="43" t="inlineStr">
        <is>
          <t>មិនជ្រើសរើស</t>
        </is>
      </c>
      <c r="E405" s="75" t="n"/>
      <c r="F405" s="75" t="n"/>
      <c r="G405" s="75" t="inlineStr">
        <is>
          <t>មិនជ្រើសរើស</t>
        </is>
      </c>
      <c r="H405" s="75" t="inlineStr">
        <is>
          <t>មិនជ្រើសរើស</t>
        </is>
      </c>
      <c r="I405" s="75" t="n"/>
      <c r="J405" s="75" t="n"/>
      <c r="K405" s="75" t="inlineStr">
        <is>
          <t>"typeApplication.none": "មិនជ្រើសរើស",</t>
        </is>
      </c>
      <c r="L405" s="75" t="n"/>
      <c r="M405" s="75" t="n"/>
      <c r="N405" s="75" t="n"/>
      <c r="O405" s="75" t="n"/>
      <c r="P405" s="75" t="n"/>
      <c r="Q405" s="75" t="n"/>
      <c r="R405" s="75" t="n"/>
      <c r="S405" s="75" t="n"/>
      <c r="T405" s="75" t="n"/>
      <c r="U405" s="75" t="n"/>
      <c r="V405" s="75" t="n"/>
      <c r="W405" s="75" t="n"/>
      <c r="X405" s="75" t="n"/>
      <c r="Y405" s="75" t="n"/>
      <c r="Z405" s="45" t="n"/>
    </row>
    <row r="406">
      <c r="A406" s="40" t="inlineStr">
        <is>
          <t>typeApplication.default</t>
        </is>
      </c>
      <c r="B406" s="46" t="inlineStr">
        <is>
          <t>Mặc định chọn</t>
        </is>
      </c>
      <c r="C406" s="46" t="inlineStr">
        <is>
          <t>Default</t>
        </is>
      </c>
      <c r="D406" s="75" t="n"/>
      <c r="E406" s="75" t="n"/>
      <c r="F406" s="75" t="n"/>
      <c r="G406" s="75" t="inlineStr">
        <is>
          <t>ជ្រើសរើសជាលំនាំដើម</t>
        </is>
      </c>
      <c r="H406" s="75" t="inlineStr">
        <is>
          <t>ជ្រើសរើសជាលំនាំដើម</t>
        </is>
      </c>
      <c r="I406" s="75" t="n"/>
      <c r="J406" s="75" t="n"/>
      <c r="K406" s="75" t="inlineStr">
        <is>
          <t>"typeApplication.default": "ជ្រើសរើសជាលំនាំដើម",</t>
        </is>
      </c>
      <c r="L406" s="75" t="n"/>
      <c r="M406" s="75" t="n"/>
      <c r="N406" s="75" t="n"/>
      <c r="O406" s="75" t="n"/>
      <c r="P406" s="75" t="n"/>
      <c r="Q406" s="75" t="n"/>
      <c r="R406" s="75" t="n"/>
      <c r="S406" s="75" t="n"/>
      <c r="T406" s="75" t="n"/>
      <c r="U406" s="75" t="n"/>
      <c r="V406" s="75" t="n"/>
      <c r="W406" s="75" t="n"/>
      <c r="X406" s="75" t="n"/>
      <c r="Y406" s="75" t="n"/>
      <c r="Z406" s="45" t="n"/>
    </row>
    <row r="407">
      <c r="A407" s="40" t="inlineStr">
        <is>
          <t>listZoneType.All</t>
        </is>
      </c>
      <c r="B407" s="46" t="inlineStr">
        <is>
          <t>Tất cả</t>
        </is>
      </c>
      <c r="C407" s="46" t="inlineStr">
        <is>
          <t>All</t>
        </is>
      </c>
      <c r="D407" s="43" t="inlineStr">
        <is>
          <t>ទាំងអស់</t>
        </is>
      </c>
      <c r="E407" s="75" t="n"/>
      <c r="F407" s="75" t="n"/>
      <c r="G407" s="75" t="inlineStr">
        <is>
          <t>ទាំងអស់</t>
        </is>
      </c>
      <c r="H407" s="75" t="inlineStr">
        <is>
          <t>ទាំងអស់</t>
        </is>
      </c>
      <c r="I407" s="75" t="n"/>
      <c r="J407" s="75" t="n"/>
      <c r="K407" s="75" t="inlineStr">
        <is>
          <t>"listZoneType.All": "ទាំងអស់",</t>
        </is>
      </c>
      <c r="L407" s="75" t="n"/>
      <c r="M407" s="75" t="n"/>
      <c r="N407" s="75" t="n"/>
      <c r="O407" s="75" t="n"/>
      <c r="P407" s="75" t="n"/>
      <c r="Q407" s="75" t="n"/>
      <c r="R407" s="75" t="n"/>
      <c r="S407" s="75" t="n"/>
      <c r="T407" s="75" t="n"/>
      <c r="U407" s="75" t="n"/>
      <c r="V407" s="75" t="n"/>
      <c r="W407" s="75" t="n"/>
      <c r="X407" s="75" t="n"/>
      <c r="Y407" s="75" t="n"/>
      <c r="Z407" s="45" t="n"/>
    </row>
    <row r="408">
      <c r="A408" s="40" t="inlineStr">
        <is>
          <t>listZoneType.priceListCalculation</t>
        </is>
      </c>
      <c r="B408" s="46" t="inlineStr">
        <is>
          <t>Yêu cầu bảng giá</t>
        </is>
      </c>
      <c r="C408" s="46" t="inlineStr">
        <is>
          <t>Price list requirement</t>
        </is>
      </c>
      <c r="D408" s="43" t="inlineStr">
        <is>
          <t>ស្នើសុំតារាងតម្លៃ</t>
        </is>
      </c>
      <c r="E408" s="75" t="n"/>
      <c r="F408" s="75" t="n"/>
      <c r="G408" s="75" t="inlineStr">
        <is>
          <t>ស្នើសុំតារាងតម្លៃ</t>
        </is>
      </c>
      <c r="H408" s="75" t="inlineStr">
        <is>
          <t>ស្នើសុំតារាងតម្លៃ</t>
        </is>
      </c>
      <c r="I408" s="75" t="n"/>
      <c r="J408" s="75" t="n"/>
      <c r="K408" s="75" t="inlineStr">
        <is>
          <t>"listZoneType.priceListCalculation": "ស្នើសុំតារាងតម្លៃ",</t>
        </is>
      </c>
      <c r="L408" s="75" t="n"/>
      <c r="M408" s="75" t="n"/>
      <c r="N408" s="75" t="n"/>
      <c r="O408" s="75" t="n"/>
      <c r="P408" s="75" t="n"/>
      <c r="Q408" s="75" t="n"/>
      <c r="R408" s="75" t="n"/>
      <c r="S408" s="75" t="n"/>
      <c r="T408" s="75" t="n"/>
      <c r="U408" s="75" t="n"/>
      <c r="V408" s="75" t="n"/>
      <c r="W408" s="75" t="n"/>
      <c r="X408" s="75" t="n"/>
      <c r="Y408" s="75" t="n"/>
      <c r="Z408" s="45" t="n"/>
    </row>
    <row r="409">
      <c r="A409" s="40" t="inlineStr">
        <is>
          <t>serviceGroup.createGroup</t>
        </is>
      </c>
      <c r="B409" s="46" t="inlineStr">
        <is>
          <t>Thêm mới nhóm dịch vụ</t>
        </is>
      </c>
      <c r="C409" s="46" t="inlineStr">
        <is>
          <t>Create service group</t>
        </is>
      </c>
      <c r="D409" s="43" t="inlineStr">
        <is>
          <t>បន្ថែ្ថមក្រុមសេវាកម្ម</t>
        </is>
      </c>
      <c r="E409" s="75" t="n"/>
      <c r="F409" s="75" t="n"/>
      <c r="G409" s="75" t="inlineStr">
        <is>
          <t>បន្ថែ្ថមក្រុមសេវាកម្ម</t>
        </is>
      </c>
      <c r="H409" s="75" t="inlineStr">
        <is>
          <t>បន្ថែ្ថមក្រុមសេវាកម្ម</t>
        </is>
      </c>
      <c r="I409" s="75" t="n"/>
      <c r="J409" s="75" t="n"/>
      <c r="K409" s="75" t="inlineStr">
        <is>
          <t>"serviceGroup.createGroup": "បន្ថែ្ថមក្រុមសេវាកម្ម",</t>
        </is>
      </c>
      <c r="L409" s="75" t="n"/>
      <c r="M409" s="75" t="n"/>
      <c r="N409" s="75" t="n"/>
      <c r="O409" s="75" t="n"/>
      <c r="P409" s="75" t="n"/>
      <c r="Q409" s="75" t="n"/>
      <c r="R409" s="75" t="n"/>
      <c r="S409" s="75" t="n"/>
      <c r="T409" s="75" t="n"/>
      <c r="U409" s="75" t="n"/>
      <c r="V409" s="75" t="n"/>
      <c r="W409" s="75" t="n"/>
      <c r="X409" s="75" t="n"/>
      <c r="Y409" s="75" t="n"/>
      <c r="Z409" s="45" t="n"/>
    </row>
    <row r="410">
      <c r="A410" s="40" t="inlineStr">
        <is>
          <t>serviceGroup.groupName</t>
        </is>
      </c>
      <c r="B410" s="46" t="inlineStr">
        <is>
          <t>Tên nhóm dịch vụ</t>
        </is>
      </c>
      <c r="C410" s="46" t="inlineStr">
        <is>
          <t>Service group name</t>
        </is>
      </c>
      <c r="D410" s="43" t="inlineStr">
        <is>
          <t>ឈ្មោះក្រុមសេវាកម្ម</t>
        </is>
      </c>
      <c r="E410" s="75" t="n"/>
      <c r="F410" s="75" t="n"/>
      <c r="G410" s="75" t="inlineStr">
        <is>
          <t>ឈ្មោះក្រុមសេវាកម្ម</t>
        </is>
      </c>
      <c r="H410" s="75" t="inlineStr">
        <is>
          <t>ឈ្មោះក្រុមសេវាកម្ម</t>
        </is>
      </c>
      <c r="I410" s="75" t="n"/>
      <c r="J410" s="75" t="n"/>
      <c r="K410" s="75" t="inlineStr">
        <is>
          <t>"serviceGroup.groupName": "ឈ្មោះក្រុមសេវាកម្ម",</t>
        </is>
      </c>
      <c r="L410" s="75" t="n"/>
      <c r="M410" s="75" t="n"/>
      <c r="N410" s="75" t="n"/>
      <c r="O410" s="75" t="n"/>
      <c r="P410" s="75" t="n"/>
      <c r="Q410" s="75" t="n"/>
      <c r="R410" s="75" t="n"/>
      <c r="S410" s="75" t="n"/>
      <c r="T410" s="75" t="n"/>
      <c r="U410" s="75" t="n"/>
      <c r="V410" s="75" t="n"/>
      <c r="W410" s="75" t="n"/>
      <c r="X410" s="75" t="n"/>
      <c r="Y410" s="75" t="n"/>
      <c r="Z410" s="45" t="n"/>
    </row>
    <row r="411">
      <c r="A411" s="40" t="inlineStr">
        <is>
          <t>serviceGroup.listService</t>
        </is>
      </c>
      <c r="B411" s="46" t="inlineStr">
        <is>
          <t>Danh sách dịch vụ</t>
        </is>
      </c>
      <c r="C411" s="46" t="inlineStr">
        <is>
          <t>Service list</t>
        </is>
      </c>
      <c r="D411" s="43" t="inlineStr">
        <is>
          <t>បញ្ជីសេវាកម្ម</t>
        </is>
      </c>
      <c r="E411" s="75" t="n"/>
      <c r="F411" s="75" t="n"/>
      <c r="G411" s="75" t="inlineStr">
        <is>
          <t>បញ្ជីសេវាកម្ម</t>
        </is>
      </c>
      <c r="H411" s="75" t="inlineStr">
        <is>
          <t>បញ្ជីសេវាកម្ម</t>
        </is>
      </c>
      <c r="I411" s="75" t="n"/>
      <c r="J411" s="75" t="n"/>
      <c r="K411" s="75" t="inlineStr">
        <is>
          <t>"serviceGroup.listService": "បញ្ជីសេវាកម្ម",</t>
        </is>
      </c>
      <c r="L411" s="75" t="n"/>
      <c r="M411" s="75" t="n"/>
      <c r="N411" s="75" t="n"/>
      <c r="O411" s="75" t="n"/>
      <c r="P411" s="75" t="n"/>
      <c r="Q411" s="75" t="n"/>
      <c r="R411" s="75" t="n"/>
      <c r="S411" s="75" t="n"/>
      <c r="T411" s="75" t="n"/>
      <c r="U411" s="75" t="n"/>
      <c r="V411" s="75" t="n"/>
      <c r="W411" s="75" t="n"/>
      <c r="X411" s="75" t="n"/>
      <c r="Y411" s="75" t="n"/>
      <c r="Z411" s="45" t="n"/>
    </row>
    <row r="412">
      <c r="A412" s="40" t="inlineStr">
        <is>
          <t>serviceGroup.informationServiceGroup</t>
        </is>
      </c>
      <c r="B412" s="46" t="inlineStr">
        <is>
          <t>Thông tin nhóm dịch vụ</t>
        </is>
      </c>
      <c r="C412" s="46" t="inlineStr">
        <is>
          <t>Service group information</t>
        </is>
      </c>
      <c r="D412" s="43" t="inlineStr">
        <is>
          <t>ព័ត៌មានក្រុមសេវាកម្ម</t>
        </is>
      </c>
      <c r="E412" s="75" t="n"/>
      <c r="F412" s="75" t="n"/>
      <c r="G412" s="75" t="inlineStr">
        <is>
          <t>ព័ត៌មានក្រុមសេវាកម្ម</t>
        </is>
      </c>
      <c r="H412" s="75" t="inlineStr">
        <is>
          <t>ព័ត៌មានក្រុមសេវាកម្ម</t>
        </is>
      </c>
      <c r="I412" s="75" t="n"/>
      <c r="J412" s="75" t="n"/>
      <c r="K412" s="75" t="inlineStr">
        <is>
          <t>"serviceGroup.informationServiceGroup": "ព័ត៌មានក្រុមសេវាកម្ម",</t>
        </is>
      </c>
      <c r="L412" s="75" t="n"/>
      <c r="M412" s="75" t="n"/>
      <c r="N412" s="75" t="n"/>
      <c r="O412" s="75" t="n"/>
      <c r="P412" s="75" t="n"/>
      <c r="Q412" s="75" t="n"/>
      <c r="R412" s="75" t="n"/>
      <c r="S412" s="75" t="n"/>
      <c r="T412" s="75" t="n"/>
      <c r="U412" s="75" t="n"/>
      <c r="V412" s="75" t="n"/>
      <c r="W412" s="75" t="n"/>
      <c r="X412" s="75" t="n"/>
      <c r="Y412" s="75" t="n"/>
      <c r="Z412" s="45" t="n"/>
    </row>
    <row r="413">
      <c r="A413" s="40" t="inlineStr">
        <is>
          <t>serviceGroup.nameServiceGroup</t>
        </is>
      </c>
      <c r="B413" s="46" t="inlineStr">
        <is>
          <t>Tên nhóm dịch vụ</t>
        </is>
      </c>
      <c r="C413" s="46" t="inlineStr">
        <is>
          <t>Service group name</t>
        </is>
      </c>
      <c r="D413" s="43" t="inlineStr">
        <is>
          <t>ឈ្មោះក្រុមសេវាកម្ម</t>
        </is>
      </c>
      <c r="E413" s="75" t="n"/>
      <c r="F413" s="75" t="n"/>
      <c r="G413" s="75" t="inlineStr">
        <is>
          <t>ឈ្មោះក្រុមសេវាកម្ម</t>
        </is>
      </c>
      <c r="H413" s="75" t="inlineStr">
        <is>
          <t>ឈ្មោះក្រុមសេវាកម្ម</t>
        </is>
      </c>
      <c r="I413" s="75" t="n"/>
      <c r="J413" s="75" t="n"/>
      <c r="K413" s="75" t="inlineStr">
        <is>
          <t>"serviceGroup.nameServiceGroup": "ឈ្មោះក្រុមសេវាកម្ម",</t>
        </is>
      </c>
      <c r="L413" s="75" t="n"/>
      <c r="M413" s="75" t="n"/>
      <c r="N413" s="75" t="n"/>
      <c r="O413" s="75" t="n"/>
      <c r="P413" s="75" t="n"/>
      <c r="Q413" s="75" t="n"/>
      <c r="R413" s="75" t="n"/>
      <c r="S413" s="75" t="n"/>
      <c r="T413" s="75" t="n"/>
      <c r="U413" s="75" t="n"/>
      <c r="V413" s="75" t="n"/>
      <c r="W413" s="75" t="n"/>
      <c r="X413" s="75" t="n"/>
      <c r="Y413" s="75" t="n"/>
      <c r="Z413" s="45" t="n"/>
    </row>
    <row r="414">
      <c r="A414" s="40" t="inlineStr">
        <is>
          <t>serviceGroup.listServiceAssignGroup</t>
        </is>
      </c>
      <c r="B414" s="46" t="inlineStr">
        <is>
          <t>Danh sách dịch vụ gán cho loại bảng giá</t>
        </is>
      </c>
      <c r="C414" s="46" t="inlineStr">
        <is>
          <t>Service list assign pricing table</t>
        </is>
      </c>
      <c r="D414" s="75" t="n"/>
      <c r="E414" s="75" t="n"/>
      <c r="F414" s="75" t="n"/>
      <c r="G414" s="75" t="inlineStr">
        <is>
          <t>បញ្ជីdịch vụ gán cho ប្រភេទ bảng giá</t>
        </is>
      </c>
      <c r="H414" s="75" t="inlineStr">
        <is>
          <t>បញ្ជីdịch vụ gán cho ប្រភេទ bảng giá</t>
        </is>
      </c>
      <c r="I414" s="75" t="n"/>
      <c r="J414" s="75" t="n"/>
      <c r="K414" s="75" t="inlineStr">
        <is>
          <t>"serviceGroup.listServiceAssignGroup": "បញ្ជីdịch vụ gán cho ប្រភេទ bảng giá",</t>
        </is>
      </c>
      <c r="L414" s="75" t="n"/>
      <c r="M414" s="75" t="n"/>
      <c r="N414" s="75" t="n"/>
      <c r="O414" s="75" t="n"/>
      <c r="P414" s="75" t="n"/>
      <c r="Q414" s="75" t="n"/>
      <c r="R414" s="75" t="n"/>
      <c r="S414" s="75" t="n"/>
      <c r="T414" s="75" t="n"/>
      <c r="U414" s="75" t="n"/>
      <c r="V414" s="75" t="n"/>
      <c r="W414" s="75" t="n"/>
      <c r="X414" s="75" t="n"/>
      <c r="Y414" s="75" t="n"/>
      <c r="Z414" s="45" t="n"/>
    </row>
    <row r="415">
      <c r="A415" s="40" t="inlineStr">
        <is>
          <t>listServiceAssign.notSelected</t>
        </is>
      </c>
      <c r="B415" s="46" t="inlineStr">
        <is>
          <t>Danh sách chưa chọn</t>
        </is>
      </c>
      <c r="C415" s="46" t="inlineStr">
        <is>
          <t>none selected service list</t>
        </is>
      </c>
      <c r="D415" s="43" t="inlineStr">
        <is>
          <t>បញ្ជីមិនទាន់បានជ្រើសរើស</t>
        </is>
      </c>
      <c r="E415" s="75" t="n"/>
      <c r="F415" s="75" t="n"/>
      <c r="G415" s="75" t="inlineStr">
        <is>
          <t>បញ្ជីមិនទាន់បានជ្រើសរើស</t>
        </is>
      </c>
      <c r="H415" s="75" t="inlineStr">
        <is>
          <t>បញ្ជីមិនទាន់បានជ្រើសរើស</t>
        </is>
      </c>
      <c r="I415" s="75" t="n"/>
      <c r="J415" s="75" t="n"/>
      <c r="K415" s="75" t="inlineStr">
        <is>
          <t>"listServiceAssign.notSelected": "បញ្ជីមិនទាន់បានជ្រើសរើស",</t>
        </is>
      </c>
      <c r="L415" s="75" t="n"/>
      <c r="M415" s="75" t="n"/>
      <c r="N415" s="75" t="n"/>
      <c r="O415" s="75" t="n"/>
      <c r="P415" s="75" t="n"/>
      <c r="Q415" s="75" t="n"/>
      <c r="R415" s="75" t="n"/>
      <c r="S415" s="75" t="n"/>
      <c r="T415" s="75" t="n"/>
      <c r="U415" s="75" t="n"/>
      <c r="V415" s="75" t="n"/>
      <c r="W415" s="75" t="n"/>
      <c r="X415" s="75" t="n"/>
      <c r="Y415" s="75" t="n"/>
      <c r="Z415" s="45" t="n"/>
    </row>
    <row r="416">
      <c r="A416" s="40" t="inlineStr">
        <is>
          <t>listServiceAssign.selected</t>
        </is>
      </c>
      <c r="B416" s="46" t="inlineStr">
        <is>
          <t>Danh sách đã chọn</t>
        </is>
      </c>
      <c r="C416" s="46" t="inlineStr">
        <is>
          <t>selected service list</t>
        </is>
      </c>
      <c r="D416" s="43" t="inlineStr">
        <is>
          <t>បញ្ជីដែលបានជ្រើសរើស</t>
        </is>
      </c>
      <c r="E416" s="75" t="n"/>
      <c r="F416" s="75" t="n"/>
      <c r="G416" s="75" t="inlineStr">
        <is>
          <t>បញ្ជីដែលបានជ្រើសរើស</t>
        </is>
      </c>
      <c r="H416" s="75" t="inlineStr">
        <is>
          <t>បញ្ជីដែលបានជ្រើសរើស</t>
        </is>
      </c>
      <c r="I416" s="75" t="n"/>
      <c r="J416" s="75" t="n"/>
      <c r="K416" s="75" t="inlineStr">
        <is>
          <t>"listServiceAssign.selected": "បញ្ជីដែលបានជ្រើសរើស",</t>
        </is>
      </c>
      <c r="L416" s="75" t="n"/>
      <c r="M416" s="75" t="n"/>
      <c r="N416" s="75" t="n"/>
      <c r="O416" s="75" t="n"/>
      <c r="P416" s="75" t="n"/>
      <c r="Q416" s="75" t="n"/>
      <c r="R416" s="75" t="n"/>
      <c r="S416" s="75" t="n"/>
      <c r="T416" s="75" t="n"/>
      <c r="U416" s="75" t="n"/>
      <c r="V416" s="75" t="n"/>
      <c r="W416" s="75" t="n"/>
      <c r="X416" s="75" t="n"/>
      <c r="Y416" s="75" t="n"/>
      <c r="Z416" s="45" t="n"/>
    </row>
    <row r="417">
      <c r="A417" s="40" t="inlineStr">
        <is>
          <t>listServiceAssign.searchKeyword</t>
        </is>
      </c>
      <c r="B417" s="46" t="inlineStr">
        <is>
          <t>Nhập từ khóa tìm kiếm</t>
        </is>
      </c>
      <c r="C417" s="46" t="inlineStr">
        <is>
          <t>enter keyword</t>
        </is>
      </c>
      <c r="D417" s="43" t="inlineStr">
        <is>
          <t>បញ្ចូលពាក្យគន្លឹះស្វែងរក</t>
        </is>
      </c>
      <c r="E417" s="75" t="n"/>
      <c r="F417" s="75" t="n"/>
      <c r="G417" s="75" t="inlineStr">
        <is>
          <t>បញ្ចូលពាក្យគន្លឹះស្វែងរក</t>
        </is>
      </c>
      <c r="H417" s="75" t="inlineStr">
        <is>
          <t>បញ្ចូលពាក្យគន្លឹះស្វែងរក</t>
        </is>
      </c>
      <c r="I417" s="75" t="n"/>
      <c r="J417" s="75" t="n"/>
      <c r="K417" s="75" t="inlineStr">
        <is>
          <t>"listServiceAssign.searchKeyword": "បញ្ចូលពាក្យគន្លឹះស្វែងរក",</t>
        </is>
      </c>
      <c r="L417" s="75" t="n"/>
      <c r="M417" s="75" t="n"/>
      <c r="N417" s="75" t="n"/>
      <c r="O417" s="75" t="n"/>
      <c r="P417" s="75" t="n"/>
      <c r="Q417" s="75" t="n"/>
      <c r="R417" s="75" t="n"/>
      <c r="S417" s="75" t="n"/>
      <c r="T417" s="75" t="n"/>
      <c r="U417" s="75" t="n"/>
      <c r="V417" s="75" t="n"/>
      <c r="W417" s="75" t="n"/>
      <c r="X417" s="75" t="n"/>
      <c r="Y417" s="75" t="n"/>
      <c r="Z417" s="45" t="n"/>
    </row>
    <row r="418">
      <c r="A418" s="40" t="inlineStr">
        <is>
          <t>listServiceAssign.searchKeywordPlaceholder</t>
        </is>
      </c>
      <c r="B418" s="46" t="inlineStr">
        <is>
          <t>Nhập mã hoặc tên dịch vụ tìm kiếm</t>
        </is>
      </c>
      <c r="C418" s="46" t="inlineStr">
        <is>
          <t>Enter service name or ID</t>
        </is>
      </c>
      <c r="D418" s="43" t="inlineStr">
        <is>
          <t>បញ្ចូលលេខកូដឬឈ្មោះសេវាកម្មដើម្បីស្វែងរក</t>
        </is>
      </c>
      <c r="E418" s="75" t="n"/>
      <c r="F418" s="75" t="n"/>
      <c r="G418" s="75" t="inlineStr">
        <is>
          <t>បញ្ចូលលេខកូដឬឈ្មោះសេវាកម្មដើម្បីស្វែងរក</t>
        </is>
      </c>
      <c r="H418" s="75" t="inlineStr">
        <is>
          <t>បញ្ចូលលេខកូដឬឈ្មោះសេវាកម្មដើម្បីស្វែងរក</t>
        </is>
      </c>
      <c r="I418" s="75" t="n"/>
      <c r="J418" s="75" t="n"/>
      <c r="K418" s="75" t="inlineStr">
        <is>
          <t>"listServiceAssign.searchKeywordPlaceholder": "បញ្ចូលលេខកូដឬឈ្មោះសេវាកម្មដើម្បីស្វែងរក",</t>
        </is>
      </c>
      <c r="L418" s="75" t="n"/>
      <c r="M418" s="75" t="n"/>
      <c r="N418" s="75" t="n"/>
      <c r="O418" s="75" t="n"/>
      <c r="P418" s="75" t="n"/>
      <c r="Q418" s="75" t="n"/>
      <c r="R418" s="75" t="n"/>
      <c r="S418" s="75" t="n"/>
      <c r="T418" s="75" t="n"/>
      <c r="U418" s="75" t="n"/>
      <c r="V418" s="75" t="n"/>
      <c r="W418" s="75" t="n"/>
      <c r="X418" s="75" t="n"/>
      <c r="Y418" s="75" t="n"/>
      <c r="Z418" s="45" t="n"/>
    </row>
    <row r="419">
      <c r="A419" s="40" t="inlineStr">
        <is>
          <t>modifyPriceZone.createZone</t>
        </is>
      </c>
      <c r="B419" s="46" t="inlineStr">
        <is>
          <t>Thêm mới zone</t>
        </is>
      </c>
      <c r="C419" s="46" t="inlineStr">
        <is>
          <t>Add new zone</t>
        </is>
      </c>
      <c r="D419" s="43" t="inlineStr">
        <is>
          <t>បន្ថែមតំបន់ថ្មី</t>
        </is>
      </c>
      <c r="E419" s="75" t="n"/>
      <c r="F419" s="75" t="n"/>
      <c r="G419" s="75" t="inlineStr">
        <is>
          <t>បន្ថែមតំបន់ថ្មី</t>
        </is>
      </c>
      <c r="H419" s="75" t="inlineStr">
        <is>
          <t>បន្ថែមតំបន់ថ្មី</t>
        </is>
      </c>
      <c r="I419" s="75" t="n"/>
      <c r="J419" s="75" t="n"/>
      <c r="K419" s="75" t="inlineStr">
        <is>
          <t>"modifyPriceZone.createZone": "បន្ថែមតំបន់ថ្មី",</t>
        </is>
      </c>
      <c r="L419" s="75" t="n"/>
      <c r="M419" s="75" t="n"/>
      <c r="N419" s="75" t="n"/>
      <c r="O419" s="75" t="n"/>
      <c r="P419" s="75" t="n"/>
      <c r="Q419" s="75" t="n"/>
      <c r="R419" s="75" t="n"/>
      <c r="S419" s="75" t="n"/>
      <c r="T419" s="75" t="n"/>
      <c r="U419" s="75" t="n"/>
      <c r="V419" s="75" t="n"/>
      <c r="W419" s="75" t="n"/>
      <c r="X419" s="75" t="n"/>
      <c r="Y419" s="75" t="n"/>
      <c r="Z419" s="45" t="n"/>
    </row>
    <row r="420">
      <c r="A420" s="40" t="inlineStr">
        <is>
          <t>modifyPriceZone.exportExcel</t>
        </is>
      </c>
      <c r="B420" s="46" t="inlineStr">
        <is>
          <t>Xuất Excel</t>
        </is>
      </c>
      <c r="C420" s="46" t="inlineStr">
        <is>
          <t>Export Excel/ Export (.xlxs)</t>
        </is>
      </c>
      <c r="D420" s="43" t="inlineStr">
        <is>
          <t>ចេញពី Excel</t>
        </is>
      </c>
      <c r="E420" s="75" t="n"/>
      <c r="F420" s="75" t="n"/>
      <c r="G420" s="75" t="inlineStr">
        <is>
          <t>ចេញពី Excel</t>
        </is>
      </c>
      <c r="H420" s="75" t="inlineStr">
        <is>
          <t>ចេញពី Excel</t>
        </is>
      </c>
      <c r="I420" s="75" t="n"/>
      <c r="J420" s="75" t="n"/>
      <c r="K420" s="75" t="inlineStr">
        <is>
          <t>"modifyPriceZone.exportExcel": "ចេញពី Excel",</t>
        </is>
      </c>
      <c r="L420" s="75" t="n"/>
      <c r="M420" s="75" t="n"/>
      <c r="N420" s="75" t="n"/>
      <c r="O420" s="75" t="n"/>
      <c r="P420" s="75" t="n"/>
      <c r="Q420" s="75" t="n"/>
      <c r="R420" s="75" t="n"/>
      <c r="S420" s="75" t="n"/>
      <c r="T420" s="75" t="n"/>
      <c r="U420" s="75" t="n"/>
      <c r="V420" s="75" t="n"/>
      <c r="W420" s="75" t="n"/>
      <c r="X420" s="75" t="n"/>
      <c r="Y420" s="75" t="n"/>
      <c r="Z420" s="45" t="n"/>
    </row>
    <row r="421">
      <c r="A421" s="40" t="inlineStr">
        <is>
          <t>modifyPriceZone.deliveryZone</t>
        </is>
      </c>
      <c r="B421" s="46" t="inlineStr">
        <is>
          <t>Vùng đi</t>
        </is>
      </c>
      <c r="C421" s="75" t="n"/>
      <c r="D421" s="43" t="inlineStr">
        <is>
          <t>តំបន់ចេញទៅ</t>
        </is>
      </c>
      <c r="E421" s="75" t="n"/>
      <c r="F421" s="75" t="n"/>
      <c r="G421" s="75" t="inlineStr">
        <is>
          <t>តំបន់ចេញទៅ</t>
        </is>
      </c>
      <c r="H421" s="75" t="inlineStr">
        <is>
          <t>តំបន់ចេញទៅ</t>
        </is>
      </c>
      <c r="I421" s="75" t="n"/>
      <c r="J421" s="75" t="n"/>
      <c r="K421" s="75" t="inlineStr">
        <is>
          <t>"modifyPriceZone.deliveryZone": "តំបន់ចេញទៅ",</t>
        </is>
      </c>
      <c r="L421" s="75" t="n"/>
      <c r="M421" s="75" t="n"/>
      <c r="N421" s="75" t="n"/>
      <c r="O421" s="75" t="n"/>
      <c r="P421" s="75" t="n"/>
      <c r="Q421" s="75" t="n"/>
      <c r="R421" s="75" t="n"/>
      <c r="S421" s="75" t="n"/>
      <c r="T421" s="75" t="n"/>
      <c r="U421" s="75" t="n"/>
      <c r="V421" s="75" t="n"/>
      <c r="W421" s="75" t="n"/>
      <c r="X421" s="75" t="n"/>
      <c r="Y421" s="75" t="n"/>
      <c r="Z421" s="45" t="n"/>
    </row>
    <row r="422">
      <c r="A422" s="40" t="inlineStr">
        <is>
          <t>modifyPriceZone.receivingZone</t>
        </is>
      </c>
      <c r="B422" s="46" t="inlineStr">
        <is>
          <t>Vùng đến</t>
        </is>
      </c>
      <c r="C422" s="75" t="n"/>
      <c r="D422" s="43" t="inlineStr">
        <is>
          <t>តំបន់មកដល់</t>
        </is>
      </c>
      <c r="E422" s="75" t="n"/>
      <c r="F422" s="75" t="n"/>
      <c r="G422" s="75" t="inlineStr">
        <is>
          <t>តំបន់មកដល់</t>
        </is>
      </c>
      <c r="H422" s="75" t="inlineStr">
        <is>
          <t>តំបន់មកដល់</t>
        </is>
      </c>
      <c r="I422" s="75" t="n"/>
      <c r="J422" s="75" t="n"/>
      <c r="K422" s="75" t="inlineStr">
        <is>
          <t>"modifyPriceZone.receivingZone": "តំបន់មកដល់",</t>
        </is>
      </c>
      <c r="L422" s="75" t="n"/>
      <c r="M422" s="75" t="n"/>
      <c r="N422" s="75" t="n"/>
      <c r="O422" s="75" t="n"/>
      <c r="P422" s="75" t="n"/>
      <c r="Q422" s="75" t="n"/>
      <c r="R422" s="75" t="n"/>
      <c r="S422" s="75" t="n"/>
      <c r="T422" s="75" t="n"/>
      <c r="U422" s="75" t="n"/>
      <c r="V422" s="75" t="n"/>
      <c r="W422" s="75" t="n"/>
      <c r="X422" s="75" t="n"/>
      <c r="Y422" s="75" t="n"/>
      <c r="Z422" s="45" t="n"/>
    </row>
    <row r="423">
      <c r="A423" s="40" t="inlineStr">
        <is>
          <t>modifyPriceZone.configZone</t>
        </is>
      </c>
      <c r="B423" s="46" t="inlineStr">
        <is>
          <t>Cấu hình zone</t>
        </is>
      </c>
      <c r="C423" s="46" t="inlineStr">
        <is>
          <t>Zone config</t>
        </is>
      </c>
      <c r="D423" s="75" t="n"/>
      <c r="E423" s="75" t="n"/>
      <c r="F423" s="75" t="n"/>
      <c r="G423" s="75" t="inlineStr">
        <is>
          <t>ការកំណត់ zone</t>
        </is>
      </c>
      <c r="H423" s="75" t="inlineStr">
        <is>
          <t>ការកំណត់ zone</t>
        </is>
      </c>
      <c r="I423" s="75" t="n"/>
      <c r="J423" s="75" t="n"/>
      <c r="K423" s="75" t="inlineStr">
        <is>
          <t>"modifyPriceZone.configZone": "ការកំណត់ zone",</t>
        </is>
      </c>
      <c r="L423" s="75" t="n"/>
      <c r="M423" s="75" t="n"/>
      <c r="N423" s="75" t="n"/>
      <c r="O423" s="75" t="n"/>
      <c r="P423" s="75" t="n"/>
      <c r="Q423" s="75" t="n"/>
      <c r="R423" s="75" t="n"/>
      <c r="S423" s="75" t="n"/>
      <c r="T423" s="75" t="n"/>
      <c r="U423" s="75" t="n"/>
      <c r="V423" s="75" t="n"/>
      <c r="W423" s="75" t="n"/>
      <c r="X423" s="75" t="n"/>
      <c r="Y423" s="75" t="n"/>
      <c r="Z423" s="45" t="n"/>
    </row>
    <row r="424">
      <c r="A424" s="40" t="inlineStr">
        <is>
          <t>modifyPriceZone.ListZoneData</t>
        </is>
      </c>
      <c r="B424" s="46" t="inlineStr">
        <is>
          <t>Danh sách chi tiết cấu hình zone</t>
        </is>
      </c>
      <c r="C424" s="46" t="inlineStr">
        <is>
          <t>Detail List of Zone data</t>
        </is>
      </c>
      <c r="D424" s="75" t="n"/>
      <c r="E424" s="75" t="n"/>
      <c r="F424" s="75" t="n"/>
      <c r="G424" s="75" t="inlineStr">
        <is>
          <t>បញ្ជីព័ត៌មានលម្អិត ការកំណត់ zone</t>
        </is>
      </c>
      <c r="H424" s="75" t="inlineStr">
        <is>
          <t>បញ្ជីព័ត៌មានលម្អិត ការកំណត់ zone</t>
        </is>
      </c>
      <c r="I424" s="75" t="n"/>
      <c r="J424" s="75" t="n"/>
      <c r="K424" s="75" t="inlineStr">
        <is>
          <t>"modifyPriceZone.ListZoneData": "បញ្ជីព័ត៌មានលម្អិត ការកំណត់ zone",</t>
        </is>
      </c>
      <c r="L424" s="75" t="n"/>
      <c r="M424" s="75" t="n"/>
      <c r="N424" s="75" t="n"/>
      <c r="O424" s="75" t="n"/>
      <c r="P424" s="75" t="n"/>
      <c r="Q424" s="75" t="n"/>
      <c r="R424" s="75" t="n"/>
      <c r="S424" s="75" t="n"/>
      <c r="T424" s="75" t="n"/>
      <c r="U424" s="75" t="n"/>
      <c r="V424" s="75" t="n"/>
      <c r="W424" s="75" t="n"/>
      <c r="X424" s="75" t="n"/>
      <c r="Y424" s="75" t="n"/>
      <c r="Z424" s="45" t="n"/>
    </row>
    <row r="425">
      <c r="A425" s="40" t="inlineStr">
        <is>
          <t>pricezone.id</t>
        </is>
      </c>
      <c r="B425" s="46" t="inlineStr">
        <is>
          <t>ID</t>
        </is>
      </c>
      <c r="C425" s="46" t="inlineStr">
        <is>
          <t>ID</t>
        </is>
      </c>
      <c r="D425" s="46" t="inlineStr">
        <is>
          <t>ID</t>
        </is>
      </c>
      <c r="E425" s="75" t="n"/>
      <c r="F425" s="75" t="n"/>
      <c r="G425" s="75" t="inlineStr">
        <is>
          <t>លេខសម្គាល់ (ID)</t>
        </is>
      </c>
      <c r="H425" s="75" t="inlineStr">
        <is>
          <t>លេខសម្គាល់ (ID)</t>
        </is>
      </c>
      <c r="I425" s="75" t="n"/>
      <c r="J425" s="75" t="n"/>
      <c r="K425" s="75" t="inlineStr">
        <is>
          <t>"pricezone.id": "លេខសម្គាល់ (ID)",</t>
        </is>
      </c>
      <c r="L425" s="75" t="n"/>
      <c r="M425" s="75" t="n"/>
      <c r="N425" s="75" t="n"/>
      <c r="O425" s="75" t="n"/>
      <c r="P425" s="75" t="n"/>
      <c r="Q425" s="75" t="n"/>
      <c r="R425" s="75" t="n"/>
      <c r="S425" s="75" t="n"/>
      <c r="T425" s="75" t="n"/>
      <c r="U425" s="75" t="n"/>
      <c r="V425" s="75" t="n"/>
      <c r="W425" s="75" t="n"/>
      <c r="X425" s="75" t="n"/>
      <c r="Y425" s="75" t="n"/>
      <c r="Z425" s="45" t="n"/>
    </row>
    <row r="426">
      <c r="A426" s="40" t="inlineStr">
        <is>
          <t>pricezone.zoneName</t>
        </is>
      </c>
      <c r="B426" s="46" t="inlineStr">
        <is>
          <t>Tên zone</t>
        </is>
      </c>
      <c r="C426" s="46" t="inlineStr">
        <is>
          <t>Zone name</t>
        </is>
      </c>
      <c r="D426" s="43" t="inlineStr">
        <is>
          <t>ឈ្មោះតំបន់</t>
        </is>
      </c>
      <c r="E426" s="75" t="n"/>
      <c r="F426" s="75" t="n"/>
      <c r="G426" s="75" t="inlineStr">
        <is>
          <t>ឈ្មោះតំបន់</t>
        </is>
      </c>
      <c r="H426" s="75" t="inlineStr">
        <is>
          <t>ឈ្មោះតំបន់</t>
        </is>
      </c>
      <c r="I426" s="75" t="n"/>
      <c r="J426" s="75" t="n"/>
      <c r="K426" s="75" t="inlineStr">
        <is>
          <t>"pricezone.zoneName": "ឈ្មោះតំបន់",</t>
        </is>
      </c>
      <c r="L426" s="75" t="n"/>
      <c r="M426" s="75" t="n"/>
      <c r="N426" s="75" t="n"/>
      <c r="O426" s="75" t="n"/>
      <c r="P426" s="75" t="n"/>
      <c r="Q426" s="75" t="n"/>
      <c r="R426" s="75" t="n"/>
      <c r="S426" s="75" t="n"/>
      <c r="T426" s="75" t="n"/>
      <c r="U426" s="75" t="n"/>
      <c r="V426" s="75" t="n"/>
      <c r="W426" s="75" t="n"/>
      <c r="X426" s="75" t="n"/>
      <c r="Y426" s="75" t="n"/>
      <c r="Z426" s="45" t="n"/>
    </row>
    <row r="427">
      <c r="A427" s="40" t="inlineStr">
        <is>
          <t>pricezone.zoneType</t>
        </is>
      </c>
      <c r="B427" s="46" t="inlineStr">
        <is>
          <t>Loại zone</t>
        </is>
      </c>
      <c r="C427" s="46" t="inlineStr">
        <is>
          <t>Zone type</t>
        </is>
      </c>
      <c r="D427" s="43" t="inlineStr">
        <is>
          <t>ប្រភេទតំបន់</t>
        </is>
      </c>
      <c r="E427" s="75" t="n"/>
      <c r="F427" s="75" t="n"/>
      <c r="G427" s="75" t="inlineStr">
        <is>
          <t>ប្រភេទតំបន់</t>
        </is>
      </c>
      <c r="H427" s="75" t="inlineStr">
        <is>
          <t>ប្រភេទតំបន់</t>
        </is>
      </c>
      <c r="I427" s="75" t="n"/>
      <c r="J427" s="75" t="n"/>
      <c r="K427" s="75" t="inlineStr">
        <is>
          <t>"pricezone.zoneType": "ប្រភេទតំបន់",</t>
        </is>
      </c>
      <c r="L427" s="75" t="n"/>
      <c r="M427" s="75" t="n"/>
      <c r="N427" s="75" t="n"/>
      <c r="O427" s="75" t="n"/>
      <c r="P427" s="75" t="n"/>
      <c r="Q427" s="75" t="n"/>
      <c r="R427" s="75" t="n"/>
      <c r="S427" s="75" t="n"/>
      <c r="T427" s="75" t="n"/>
      <c r="U427" s="75" t="n"/>
      <c r="V427" s="75" t="n"/>
      <c r="W427" s="75" t="n"/>
      <c r="X427" s="75" t="n"/>
      <c r="Y427" s="75" t="n"/>
      <c r="Z427" s="45" t="n"/>
    </row>
    <row r="428">
      <c r="A428" s="48" t="inlineStr">
        <is>
          <t>revenueOutput.filterDate</t>
        </is>
      </c>
      <c r="B428" s="55" t="inlineStr">
        <is>
          <t>Chọn ngày</t>
        </is>
      </c>
      <c r="C428" s="55" t="inlineStr">
        <is>
          <t>Select date</t>
        </is>
      </c>
      <c r="D428" s="51" t="inlineStr">
        <is>
          <t>ជ្រើសរើសថ្ងៃ</t>
        </is>
      </c>
      <c r="E428" s="71" t="n"/>
      <c r="F428" s="71" t="n"/>
      <c r="G428" s="71" t="inlineStr">
        <is>
          <t>ជ្រើសរើសថ្ងៃ</t>
        </is>
      </c>
      <c r="H428" s="71" t="inlineStr">
        <is>
          <t>ជ្រើសរើសថ្ងៃ</t>
        </is>
      </c>
      <c r="I428" s="71" t="n"/>
      <c r="J428" s="71" t="n"/>
      <c r="K428" s="71" t="inlineStr">
        <is>
          <t>"revenueOutput.filterDate": "ជ្រើសរើសថ្ងៃ",</t>
        </is>
      </c>
      <c r="L428" s="71" t="n"/>
      <c r="M428" s="71" t="n"/>
      <c r="N428" s="71" t="n"/>
      <c r="O428" s="71" t="n"/>
      <c r="P428" s="71" t="n"/>
      <c r="Q428" s="71" t="n"/>
      <c r="R428" s="71" t="n"/>
      <c r="S428" s="71" t="n"/>
      <c r="T428" s="71" t="n"/>
      <c r="U428" s="71" t="n"/>
      <c r="V428" s="71" t="n"/>
      <c r="W428" s="71" t="n"/>
      <c r="X428" s="71" t="n"/>
      <c r="Y428" s="71" t="n"/>
      <c r="Z428" s="53" t="n"/>
    </row>
    <row r="429">
      <c r="A429" s="48" t="inlineStr">
        <is>
          <t>revenueOutput.startDate</t>
        </is>
      </c>
      <c r="B429" s="55" t="inlineStr">
        <is>
          <t>Từ ngày</t>
        </is>
      </c>
      <c r="C429" s="55" t="inlineStr">
        <is>
          <t>Start Date</t>
        </is>
      </c>
      <c r="D429" s="51" t="inlineStr">
        <is>
          <t>ចាប់ពីថ្ងៃ</t>
        </is>
      </c>
      <c r="E429" s="71" t="n"/>
      <c r="F429" s="71" t="n"/>
      <c r="G429" s="71" t="inlineStr">
        <is>
          <t>ចាប់ពីថ្ងៃ</t>
        </is>
      </c>
      <c r="H429" s="71" t="inlineStr">
        <is>
          <t>ចាប់ពីថ្ងៃ</t>
        </is>
      </c>
      <c r="I429" s="71" t="n"/>
      <c r="J429" s="71" t="n"/>
      <c r="K429" s="71" t="inlineStr">
        <is>
          <t>"revenueOutput.startDate": "ចាប់ពីថ្ងៃ",</t>
        </is>
      </c>
      <c r="L429" s="71" t="n"/>
      <c r="M429" s="71" t="n"/>
      <c r="N429" s="71" t="n"/>
      <c r="O429" s="71" t="n"/>
      <c r="P429" s="71" t="n"/>
      <c r="Q429" s="71" t="n"/>
      <c r="R429" s="71" t="n"/>
      <c r="S429" s="71" t="n"/>
      <c r="T429" s="71" t="n"/>
      <c r="U429" s="71" t="n"/>
      <c r="V429" s="71" t="n"/>
      <c r="W429" s="71" t="n"/>
      <c r="X429" s="71" t="n"/>
      <c r="Y429" s="71" t="n"/>
      <c r="Z429" s="53" t="n"/>
    </row>
    <row r="430">
      <c r="A430" s="48" t="inlineStr">
        <is>
          <t>revenueOutput.endDate</t>
        </is>
      </c>
      <c r="B430" s="55" t="inlineStr">
        <is>
          <t>Đến ngày</t>
        </is>
      </c>
      <c r="C430" s="55" t="inlineStr">
        <is>
          <t>End Date</t>
        </is>
      </c>
      <c r="D430" s="51" t="inlineStr">
        <is>
          <t>មកដល់ថ្ងៃ</t>
        </is>
      </c>
      <c r="E430" s="71" t="n"/>
      <c r="F430" s="71" t="n"/>
      <c r="G430" s="71" t="inlineStr">
        <is>
          <t>មកដល់ថ្ងៃ</t>
        </is>
      </c>
      <c r="H430" s="71" t="inlineStr">
        <is>
          <t>មកដល់ថ្ងៃ</t>
        </is>
      </c>
      <c r="I430" s="71" t="n"/>
      <c r="J430" s="71" t="n"/>
      <c r="K430" s="71" t="inlineStr">
        <is>
          <t>"revenueOutput.endDate": "មកដល់ថ្ងៃ",</t>
        </is>
      </c>
      <c r="L430" s="71" t="n"/>
      <c r="M430" s="71" t="n"/>
      <c r="N430" s="71" t="n"/>
      <c r="O430" s="71" t="n"/>
      <c r="P430" s="71" t="n"/>
      <c r="Q430" s="71" t="n"/>
      <c r="R430" s="71" t="n"/>
      <c r="S430" s="71" t="n"/>
      <c r="T430" s="71" t="n"/>
      <c r="U430" s="71" t="n"/>
      <c r="V430" s="71" t="n"/>
      <c r="W430" s="71" t="n"/>
      <c r="X430" s="71" t="n"/>
      <c r="Y430" s="71" t="n"/>
      <c r="Z430" s="53" t="n"/>
    </row>
    <row r="431">
      <c r="A431" s="48" t="inlineStr">
        <is>
          <t>revenueOutput.filterbranch</t>
        </is>
      </c>
      <c r="B431" s="55" t="inlineStr">
        <is>
          <t>Chọn chi nhánh</t>
        </is>
      </c>
      <c r="C431" s="55" t="inlineStr">
        <is>
          <t>Branch</t>
        </is>
      </c>
      <c r="D431" s="51" t="inlineStr">
        <is>
          <t>ជ្រើសរើសសាខា</t>
        </is>
      </c>
      <c r="E431" s="71" t="n"/>
      <c r="F431" s="71" t="n"/>
      <c r="G431" s="71" t="inlineStr">
        <is>
          <t>ជ្រើសរើសសាខា</t>
        </is>
      </c>
      <c r="H431" s="71" t="inlineStr">
        <is>
          <t>ជ្រើសរើសសាខា</t>
        </is>
      </c>
      <c r="I431" s="71" t="n"/>
      <c r="J431" s="71" t="n"/>
      <c r="K431" s="71" t="inlineStr">
        <is>
          <t>"revenueOutput.filterbranch": "ជ្រើសរើសសាខា",</t>
        </is>
      </c>
      <c r="L431" s="71" t="n"/>
      <c r="M431" s="71" t="n"/>
      <c r="N431" s="71" t="n"/>
      <c r="O431" s="71" t="n"/>
      <c r="P431" s="71" t="n"/>
      <c r="Q431" s="71" t="n"/>
      <c r="R431" s="71" t="n"/>
      <c r="S431" s="71" t="n"/>
      <c r="T431" s="71" t="n"/>
      <c r="U431" s="71" t="n"/>
      <c r="V431" s="71" t="n"/>
      <c r="W431" s="71" t="n"/>
      <c r="X431" s="71" t="n"/>
      <c r="Y431" s="71" t="n"/>
      <c r="Z431" s="53" t="n"/>
    </row>
    <row r="432">
      <c r="A432" s="59" t="inlineStr">
        <is>
          <t>revenueOutput.exportExcel</t>
        </is>
      </c>
      <c r="B432" s="59" t="inlineStr">
        <is>
          <t>Xuất Excel</t>
        </is>
      </c>
      <c r="C432" s="59" t="inlineStr">
        <is>
          <t>Export Excel</t>
        </is>
      </c>
      <c r="D432" s="61" t="inlineStr">
        <is>
          <t>ចេញពី Excel</t>
        </is>
      </c>
      <c r="E432" s="61" t="inlineStr">
        <is>
          <t>ចេញពី Excel</t>
        </is>
      </c>
      <c r="F432" s="62" t="n"/>
      <c r="G432" s="62" t="inlineStr">
        <is>
          <t>ចេញពី Excel</t>
        </is>
      </c>
      <c r="H432" s="62" t="inlineStr">
        <is>
          <t>ចេញពី Excel</t>
        </is>
      </c>
      <c r="I432" s="62" t="n"/>
      <c r="J432" s="62" t="n"/>
      <c r="K432" s="62" t="inlineStr">
        <is>
          <t>"revenueOutput.exportExcel": "ចេញពី Excel",</t>
        </is>
      </c>
      <c r="L432" s="62" t="n"/>
      <c r="M432" s="62" t="n"/>
      <c r="N432" s="62" t="n"/>
      <c r="O432" s="62" t="n"/>
      <c r="P432" s="62" t="n"/>
      <c r="Q432" s="62" t="n"/>
      <c r="R432" s="62" t="n"/>
      <c r="S432" s="62" t="n"/>
      <c r="T432" s="62" t="n"/>
      <c r="U432" s="62" t="n"/>
      <c r="V432" s="62" t="n"/>
      <c r="W432" s="62" t="n"/>
      <c r="X432" s="62" t="n"/>
      <c r="Y432" s="62" t="n"/>
      <c r="Z432" s="62" t="n"/>
    </row>
    <row r="433">
      <c r="A433" s="48" t="inlineStr">
        <is>
          <t>revenueOutput.exportDetail</t>
        </is>
      </c>
      <c r="B433" s="55" t="inlineStr">
        <is>
          <t>Xuất chi tiết</t>
        </is>
      </c>
      <c r="C433" s="55" t="inlineStr">
        <is>
          <t>Export detail report</t>
        </is>
      </c>
      <c r="D433" s="51" t="inlineStr">
        <is>
          <t>ចេញលម្អិត</t>
        </is>
      </c>
      <c r="E433" s="71" t="n"/>
      <c r="F433" s="71" t="n"/>
      <c r="G433" s="71" t="inlineStr">
        <is>
          <t>ចេញលម្អិត</t>
        </is>
      </c>
      <c r="H433" s="71" t="inlineStr">
        <is>
          <t>ចេញលម្អិត</t>
        </is>
      </c>
      <c r="I433" s="71" t="n"/>
      <c r="J433" s="71" t="n"/>
      <c r="K433" s="71" t="inlineStr">
        <is>
          <t>"revenueOutput.exportDetail": "ចេញលម្អិត",</t>
        </is>
      </c>
      <c r="L433" s="71" t="n"/>
      <c r="M433" s="71" t="n"/>
      <c r="N433" s="71" t="n"/>
      <c r="O433" s="71" t="n"/>
      <c r="P433" s="71" t="n"/>
      <c r="Q433" s="71" t="n"/>
      <c r="R433" s="71" t="n"/>
      <c r="S433" s="71" t="n"/>
      <c r="T433" s="71" t="n"/>
      <c r="U433" s="71" t="n"/>
      <c r="V433" s="71" t="n"/>
      <c r="W433" s="71" t="n"/>
      <c r="X433" s="71" t="n"/>
      <c r="Y433" s="71" t="n"/>
      <c r="Z433" s="53" t="n"/>
    </row>
    <row r="434">
      <c r="A434" s="48" t="inlineStr">
        <is>
          <t>revenueOutput.branch</t>
        </is>
      </c>
      <c r="B434" s="55" t="inlineStr">
        <is>
          <t>Chi nhánh</t>
        </is>
      </c>
      <c r="C434" s="55" t="inlineStr">
        <is>
          <t>Branch</t>
        </is>
      </c>
      <c r="D434" s="51" t="inlineStr">
        <is>
          <t>សាខា</t>
        </is>
      </c>
      <c r="E434" s="71" t="n"/>
      <c r="F434" s="71" t="n"/>
      <c r="G434" s="71" t="inlineStr">
        <is>
          <t>សាខា</t>
        </is>
      </c>
      <c r="H434" s="71" t="inlineStr">
        <is>
          <t>សាខា</t>
        </is>
      </c>
      <c r="I434" s="71" t="n"/>
      <c r="J434" s="71" t="n"/>
      <c r="K434" s="71" t="inlineStr">
        <is>
          <t>"revenueOutput.branch": "សាខា",</t>
        </is>
      </c>
      <c r="L434" s="71" t="n"/>
      <c r="M434" s="71" t="n"/>
      <c r="N434" s="71" t="n"/>
      <c r="O434" s="71" t="n"/>
      <c r="P434" s="71" t="n"/>
      <c r="Q434" s="71" t="n"/>
      <c r="R434" s="71" t="n"/>
      <c r="S434" s="71" t="n"/>
      <c r="T434" s="71" t="n"/>
      <c r="U434" s="71" t="n"/>
      <c r="V434" s="71" t="n"/>
      <c r="W434" s="71" t="n"/>
      <c r="X434" s="71" t="n"/>
      <c r="Y434" s="71" t="n"/>
      <c r="Z434" s="53" t="n"/>
    </row>
    <row r="435">
      <c r="A435" s="48" t="inlineStr">
        <is>
          <t>revenueOutput.postCode</t>
        </is>
      </c>
      <c r="B435" s="55" t="inlineStr">
        <is>
          <t>Bưu cục</t>
        </is>
      </c>
      <c r="C435" s="55" t="inlineStr">
        <is>
          <t>Post Office</t>
        </is>
      </c>
      <c r="D435" s="51" t="inlineStr">
        <is>
          <t>ការិយាល័យប្រៃសណីយ៍</t>
        </is>
      </c>
      <c r="E435" s="71" t="n"/>
      <c r="F435" s="71" t="n"/>
      <c r="G435" s="71" t="inlineStr">
        <is>
          <t>ការិយាល័យប្រៃសណីយ៍</t>
        </is>
      </c>
      <c r="H435" s="71" t="inlineStr">
        <is>
          <t>ការិយាល័យប្រៃសណីយ៍</t>
        </is>
      </c>
      <c r="I435" s="71" t="n"/>
      <c r="J435" s="71" t="n"/>
      <c r="K435" s="71" t="inlineStr">
        <is>
          <t>"revenueOutput.postCode": "ការិយាល័យប្រៃសណីយ៍",</t>
        </is>
      </c>
      <c r="L435" s="71" t="n"/>
      <c r="M435" s="71" t="n"/>
      <c r="N435" s="71" t="n"/>
      <c r="O435" s="71" t="n"/>
      <c r="P435" s="71" t="n"/>
      <c r="Q435" s="71" t="n"/>
      <c r="R435" s="71" t="n"/>
      <c r="S435" s="71" t="n"/>
      <c r="T435" s="71" t="n"/>
      <c r="U435" s="71" t="n"/>
      <c r="V435" s="71" t="n"/>
      <c r="W435" s="71" t="n"/>
      <c r="X435" s="71" t="n"/>
      <c r="Y435" s="71" t="n"/>
      <c r="Z435" s="53" t="n"/>
    </row>
    <row r="436">
      <c r="A436" s="48" t="inlineStr">
        <is>
          <t>revenueOutput.revenue</t>
        </is>
      </c>
      <c r="B436" s="55" t="inlineStr">
        <is>
          <t>Doanh thu</t>
        </is>
      </c>
      <c r="C436" s="55" t="inlineStr">
        <is>
          <t>Revenue</t>
        </is>
      </c>
      <c r="D436" s="51" t="inlineStr">
        <is>
          <t>ប្រាក់ចំណូល</t>
        </is>
      </c>
      <c r="E436" s="71" t="n"/>
      <c r="F436" s="71" t="n"/>
      <c r="G436" s="71" t="inlineStr">
        <is>
          <t>ប្រាក់ចំណូល</t>
        </is>
      </c>
      <c r="H436" s="71" t="inlineStr">
        <is>
          <t>ប្រាក់ចំណូល</t>
        </is>
      </c>
      <c r="I436" s="71" t="n"/>
      <c r="J436" s="71" t="n"/>
      <c r="K436" s="71" t="inlineStr">
        <is>
          <t>"revenueOutput.revenue": "ប្រាក់ចំណូល",</t>
        </is>
      </c>
      <c r="L436" s="71" t="n"/>
      <c r="M436" s="71" t="n"/>
      <c r="N436" s="71" t="n"/>
      <c r="O436" s="71" t="n"/>
      <c r="P436" s="71" t="n"/>
      <c r="Q436" s="71" t="n"/>
      <c r="R436" s="71" t="n"/>
      <c r="S436" s="71" t="n"/>
      <c r="T436" s="71" t="n"/>
      <c r="U436" s="71" t="n"/>
      <c r="V436" s="71" t="n"/>
      <c r="W436" s="71" t="n"/>
      <c r="X436" s="71" t="n"/>
      <c r="Y436" s="71" t="n"/>
      <c r="Z436" s="53" t="n"/>
    </row>
    <row r="437">
      <c r="A437" s="48" t="inlineStr">
        <is>
          <t>revenueOutput.dailyRevenue</t>
        </is>
      </c>
      <c r="B437" s="55" t="inlineStr">
        <is>
          <t>Doanh thu ngày</t>
        </is>
      </c>
      <c r="C437" s="55" t="inlineStr">
        <is>
          <t>Daily revenue</t>
        </is>
      </c>
      <c r="D437" s="71" t="inlineStr">
        <is>
          <t>ប្រាក់ចំណូលថ្ងៃ</t>
        </is>
      </c>
      <c r="E437" s="71" t="n"/>
      <c r="F437" s="71" t="n"/>
      <c r="G437" s="71" t="inlineStr">
        <is>
          <t>ប្រាក់ចំណូលថ្ងៃ</t>
        </is>
      </c>
      <c r="H437" s="71" t="inlineStr">
        <is>
          <t>ប្រាក់ចំណូលថ្ងៃ</t>
        </is>
      </c>
      <c r="I437" s="71" t="n"/>
      <c r="J437" s="71" t="n"/>
      <c r="K437" s="71" t="inlineStr">
        <is>
          <t>"revenueOutput.dailyRevenue": "ប្រាក់ចំណូលថ្ងៃ",</t>
        </is>
      </c>
      <c r="L437" s="71" t="n"/>
      <c r="M437" s="71" t="n"/>
      <c r="N437" s="71" t="n"/>
      <c r="O437" s="71" t="n"/>
      <c r="P437" s="71" t="n"/>
      <c r="Q437" s="71" t="n"/>
      <c r="R437" s="71" t="n"/>
      <c r="S437" s="71" t="n"/>
      <c r="T437" s="71" t="n"/>
      <c r="U437" s="71" t="n"/>
      <c r="V437" s="71" t="n"/>
      <c r="W437" s="71" t="n"/>
      <c r="X437" s="71" t="n"/>
      <c r="Y437" s="71" t="n"/>
      <c r="Z437" s="53" t="n"/>
    </row>
    <row r="438">
      <c r="A438" s="48" t="inlineStr">
        <is>
          <t>revenueOutput.cumulativeRevenue</t>
        </is>
      </c>
      <c r="B438" s="55" t="inlineStr">
        <is>
          <t>Lũy kế tháng</t>
        </is>
      </c>
      <c r="C438" s="55" t="inlineStr">
        <is>
          <t>Monthly cumulative</t>
        </is>
      </c>
      <c r="D438" s="51" t="n"/>
      <c r="E438" s="71" t="n"/>
      <c r="F438" s="71" t="n"/>
      <c r="G438" s="71" t="inlineStr">
        <is>
          <t>Lũy kế ខែ</t>
        </is>
      </c>
      <c r="H438" s="71" t="inlineStr">
        <is>
          <t>Lũy kế ខែ</t>
        </is>
      </c>
      <c r="I438" s="71" t="n"/>
      <c r="J438" s="71" t="n"/>
      <c r="K438" s="71" t="inlineStr">
        <is>
          <t>"revenueOutput.cumulativeRevenue": "Lũy kế ខែ",</t>
        </is>
      </c>
      <c r="L438" s="71" t="n"/>
      <c r="M438" s="71" t="n"/>
      <c r="N438" s="71" t="n"/>
      <c r="O438" s="71" t="n"/>
      <c r="P438" s="71" t="n"/>
      <c r="Q438" s="71" t="n"/>
      <c r="R438" s="71" t="n"/>
      <c r="S438" s="71" t="n"/>
      <c r="T438" s="71" t="n"/>
      <c r="U438" s="71" t="n"/>
      <c r="V438" s="71" t="n"/>
      <c r="W438" s="71" t="n"/>
      <c r="X438" s="71" t="n"/>
      <c r="Y438" s="71" t="n"/>
      <c r="Z438" s="53" t="n"/>
    </row>
    <row r="439">
      <c r="A439" s="48" t="inlineStr">
        <is>
          <t>revenueOutput.monthlyGrowth</t>
        </is>
      </c>
      <c r="B439" s="55" t="inlineStr">
        <is>
          <t>Tăng trưởng tháng</t>
        </is>
      </c>
      <c r="C439" s="55" t="inlineStr">
        <is>
          <t>Monthly growth</t>
        </is>
      </c>
      <c r="D439" s="51" t="inlineStr">
        <is>
          <t>កំណើនប្រចាំខែ</t>
        </is>
      </c>
      <c r="E439" s="71" t="n"/>
      <c r="F439" s="71" t="n"/>
      <c r="G439" s="71" t="inlineStr">
        <is>
          <t>កំណើនប្រចាំខែ</t>
        </is>
      </c>
      <c r="H439" s="71" t="inlineStr">
        <is>
          <t>កំណើនប្រចាំខែ</t>
        </is>
      </c>
      <c r="I439" s="71" t="n"/>
      <c r="J439" s="71" t="n"/>
      <c r="K439" s="71" t="inlineStr">
        <is>
          <t>"revenueOutput.monthlyGrowth": "កំណើនប្រចាំខែ",</t>
        </is>
      </c>
      <c r="L439" s="71" t="n"/>
      <c r="M439" s="71" t="n"/>
      <c r="N439" s="71" t="n"/>
      <c r="O439" s="71" t="n"/>
      <c r="P439" s="71" t="n"/>
      <c r="Q439" s="71" t="n"/>
      <c r="R439" s="71" t="n"/>
      <c r="S439" s="71" t="n"/>
      <c r="T439" s="71" t="n"/>
      <c r="U439" s="71" t="n"/>
      <c r="V439" s="71" t="n"/>
      <c r="W439" s="71" t="n"/>
      <c r="X439" s="71" t="n"/>
      <c r="Y439" s="71" t="n"/>
      <c r="Z439" s="53" t="n"/>
    </row>
    <row r="440">
      <c r="A440" s="48" t="inlineStr">
        <is>
          <t>revenueOutput.Quantity</t>
        </is>
      </c>
      <c r="B440" s="55" t="inlineStr">
        <is>
          <t>Sản lượng</t>
        </is>
      </c>
      <c r="C440" s="55" t="inlineStr">
        <is>
          <t>Quantity Order</t>
        </is>
      </c>
      <c r="D440" s="71" t="inlineStr">
        <is>
          <t>ផលិតផល</t>
        </is>
      </c>
      <c r="E440" s="71" t="n"/>
      <c r="F440" s="71" t="n"/>
      <c r="G440" s="71" t="inlineStr">
        <is>
          <t>ផលិតផល</t>
        </is>
      </c>
      <c r="H440" s="71" t="inlineStr">
        <is>
          <t>ផលិតផល</t>
        </is>
      </c>
      <c r="I440" s="71" t="n"/>
      <c r="J440" s="71" t="n"/>
      <c r="K440" s="71" t="inlineStr">
        <is>
          <t>"revenueOutput.Quantity": "ផលិតផល",</t>
        </is>
      </c>
      <c r="L440" s="71" t="n"/>
      <c r="M440" s="71" t="n"/>
      <c r="N440" s="71" t="n"/>
      <c r="O440" s="71" t="n"/>
      <c r="P440" s="71" t="n"/>
      <c r="Q440" s="71" t="n"/>
      <c r="R440" s="71" t="n"/>
      <c r="S440" s="71" t="n"/>
      <c r="T440" s="71" t="n"/>
      <c r="U440" s="71" t="n"/>
      <c r="V440" s="71" t="n"/>
      <c r="W440" s="71" t="n"/>
      <c r="X440" s="71" t="n"/>
      <c r="Y440" s="71" t="n"/>
      <c r="Z440" s="53" t="n"/>
    </row>
    <row r="441">
      <c r="A441" s="48" t="inlineStr">
        <is>
          <t>revenueOutput.quantityDay</t>
        </is>
      </c>
      <c r="B441" s="55" t="inlineStr">
        <is>
          <t>Sản lượng ngày</t>
        </is>
      </c>
      <c r="C441" s="55" t="inlineStr">
        <is>
          <t>Quantity day</t>
        </is>
      </c>
      <c r="D441" s="71" t="n"/>
      <c r="E441" s="71" t="n"/>
      <c r="F441" s="71" t="n"/>
      <c r="G441" s="71" t="inlineStr">
        <is>
          <t>Sản lượng កាលបរិច្ឆេទ</t>
        </is>
      </c>
      <c r="H441" s="71" t="inlineStr">
        <is>
          <t>Sản lượng កាលបរិច្ឆេទ</t>
        </is>
      </c>
      <c r="I441" s="71" t="n"/>
      <c r="J441" s="71" t="n"/>
      <c r="K441" s="71" t="inlineStr">
        <is>
          <t>"revenueOutput.quantityDay": "Sản lượng កាលបរិច្ឆេទ",</t>
        </is>
      </c>
      <c r="L441" s="71" t="n"/>
      <c r="M441" s="71" t="n"/>
      <c r="N441" s="71" t="n"/>
      <c r="O441" s="71" t="n"/>
      <c r="P441" s="71" t="n"/>
      <c r="Q441" s="71" t="n"/>
      <c r="R441" s="71" t="n"/>
      <c r="S441" s="71" t="n"/>
      <c r="T441" s="71" t="n"/>
      <c r="U441" s="71" t="n"/>
      <c r="V441" s="71" t="n"/>
      <c r="W441" s="71" t="n"/>
      <c r="X441" s="71" t="n"/>
      <c r="Y441" s="71" t="n"/>
      <c r="Z441" s="53" t="n"/>
    </row>
    <row r="442">
      <c r="A442" s="48" t="inlineStr">
        <is>
          <t>revenueOutput.dailyOutput</t>
        </is>
      </c>
      <c r="B442" s="55" t="inlineStr">
        <is>
          <t>Lũy kế tháng</t>
        </is>
      </c>
      <c r="C442" s="55" t="inlineStr">
        <is>
          <t>Monthly cumulative</t>
        </is>
      </c>
      <c r="D442" s="51" t="n"/>
      <c r="E442" s="71" t="n"/>
      <c r="F442" s="71" t="n"/>
      <c r="G442" s="71" t="inlineStr">
        <is>
          <t>Lũy kế ខែ</t>
        </is>
      </c>
      <c r="H442" s="71" t="inlineStr">
        <is>
          <t>Lũy kế ខែ</t>
        </is>
      </c>
      <c r="I442" s="71" t="n"/>
      <c r="J442" s="71" t="n"/>
      <c r="K442" s="71" t="inlineStr">
        <is>
          <t>"revenueOutput.dailyOutput": "Lũy kế ខែ",</t>
        </is>
      </c>
      <c r="L442" s="71" t="n"/>
      <c r="M442" s="71" t="n"/>
      <c r="N442" s="71" t="n"/>
      <c r="O442" s="71" t="n"/>
      <c r="P442" s="71" t="n"/>
      <c r="Q442" s="71" t="n"/>
      <c r="R442" s="71" t="n"/>
      <c r="S442" s="71" t="n"/>
      <c r="T442" s="71" t="n"/>
      <c r="U442" s="71" t="n"/>
      <c r="V442" s="71" t="n"/>
      <c r="W442" s="71" t="n"/>
      <c r="X442" s="71" t="n"/>
      <c r="Y442" s="71" t="n"/>
      <c r="Z442" s="53" t="n"/>
    </row>
    <row r="443">
      <c r="A443" s="48" t="inlineStr">
        <is>
          <t>revenueOutput.cumulativeOuput</t>
        </is>
      </c>
      <c r="B443" s="55" t="inlineStr">
        <is>
          <t>Tăng trưởng tháng</t>
        </is>
      </c>
      <c r="C443" s="55" t="inlineStr">
        <is>
          <t>Monthly growth</t>
        </is>
      </c>
      <c r="D443" s="51" t="inlineStr">
        <is>
          <t>កំណើនប្រចាំខែ</t>
        </is>
      </c>
      <c r="E443" s="71" t="n"/>
      <c r="F443" s="71" t="n"/>
      <c r="G443" s="71" t="inlineStr">
        <is>
          <t>កំណើនប្រចាំខែ</t>
        </is>
      </c>
      <c r="H443" s="71" t="inlineStr">
        <is>
          <t>កំណើនប្រចាំខែ</t>
        </is>
      </c>
      <c r="I443" s="71" t="n"/>
      <c r="J443" s="71" t="n"/>
      <c r="K443" s="71" t="inlineStr">
        <is>
          <t>"revenueOutput.cumulativeOuput": "កំណើនប្រចាំខែ",</t>
        </is>
      </c>
      <c r="L443" s="71" t="n"/>
      <c r="M443" s="71" t="n"/>
      <c r="N443" s="71" t="n"/>
      <c r="O443" s="71" t="n"/>
      <c r="P443" s="71" t="n"/>
      <c r="Q443" s="71" t="n"/>
      <c r="R443" s="71" t="n"/>
      <c r="S443" s="71" t="n"/>
      <c r="T443" s="71" t="n"/>
      <c r="U443" s="71" t="n"/>
      <c r="V443" s="71" t="n"/>
      <c r="W443" s="71" t="n"/>
      <c r="X443" s="71" t="n"/>
      <c r="Y443" s="71" t="n"/>
      <c r="Z443" s="53" t="n"/>
    </row>
    <row r="444">
      <c r="A444" s="48" t="inlineStr">
        <is>
          <t>revenueOutput.exportFail</t>
        </is>
      </c>
      <c r="B444" s="55" t="inlineStr">
        <is>
          <t>Xuất excel thất bại</t>
        </is>
      </c>
      <c r="C444" s="55" t="inlineStr">
        <is>
          <t>Export excel failed</t>
        </is>
      </c>
      <c r="D444" s="51" t="inlineStr">
        <is>
          <t>ចេញពី Excel បរាជ័យ</t>
        </is>
      </c>
      <c r="E444" s="71" t="n"/>
      <c r="F444" s="71" t="n"/>
      <c r="G444" s="71" t="inlineStr">
        <is>
          <t>ចេញពី Excel បរាជ័យ</t>
        </is>
      </c>
      <c r="H444" s="71" t="inlineStr">
        <is>
          <t>ចេញពី Excel បរាជ័យ</t>
        </is>
      </c>
      <c r="I444" s="71" t="n"/>
      <c r="J444" s="71" t="n"/>
      <c r="K444" s="71" t="inlineStr">
        <is>
          <t>"revenueOutput.exportFail": "ចេញពី Excel បរាជ័យ",</t>
        </is>
      </c>
      <c r="L444" s="71" t="n"/>
      <c r="M444" s="71" t="n"/>
      <c r="N444" s="71" t="n"/>
      <c r="O444" s="71" t="n"/>
      <c r="P444" s="71" t="n"/>
      <c r="Q444" s="71" t="n"/>
      <c r="R444" s="71" t="n"/>
      <c r="S444" s="71" t="n"/>
      <c r="T444" s="71" t="n"/>
      <c r="U444" s="71" t="n"/>
      <c r="V444" s="71" t="n"/>
      <c r="W444" s="71" t="n"/>
      <c r="X444" s="71" t="n"/>
      <c r="Y444" s="71" t="n"/>
      <c r="Z444" s="53" t="n"/>
    </row>
    <row r="445">
      <c r="A445" s="48" t="inlineStr">
        <is>
          <t>revenueOutput.exportSuccess</t>
        </is>
      </c>
      <c r="B445" s="55" t="inlineStr">
        <is>
          <t>Xuất excel thành công</t>
        </is>
      </c>
      <c r="C445" s="55" t="inlineStr">
        <is>
          <t>Export excel successfully</t>
        </is>
      </c>
      <c r="D445" s="51" t="inlineStr">
        <is>
          <t>ចេញពី Excelបានជោគជ័យ</t>
        </is>
      </c>
      <c r="E445" s="71" t="n"/>
      <c r="F445" s="71" t="n"/>
      <c r="G445" s="71" t="inlineStr">
        <is>
          <t>ចេញពី Excelបានជោគជ័យ</t>
        </is>
      </c>
      <c r="H445" s="71" t="inlineStr">
        <is>
          <t>ចេញពី Excelបានជោគជ័យ</t>
        </is>
      </c>
      <c r="I445" s="71" t="n"/>
      <c r="J445" s="71" t="n"/>
      <c r="K445" s="71" t="inlineStr">
        <is>
          <t>"revenueOutput.exportSuccess": "ចេញពី Excelបានជោគជ័យ",</t>
        </is>
      </c>
      <c r="L445" s="71" t="n"/>
      <c r="M445" s="71" t="n"/>
      <c r="N445" s="71" t="n"/>
      <c r="O445" s="71" t="n"/>
      <c r="P445" s="71" t="n"/>
      <c r="Q445" s="71" t="n"/>
      <c r="R445" s="71" t="n"/>
      <c r="S445" s="71" t="n"/>
      <c r="T445" s="71" t="n"/>
      <c r="U445" s="71" t="n"/>
      <c r="V445" s="71" t="n"/>
      <c r="W445" s="71" t="n"/>
      <c r="X445" s="71" t="n"/>
      <c r="Y445" s="71" t="n"/>
      <c r="Z445" s="53" t="n"/>
    </row>
    <row r="446">
      <c r="A446" s="48" t="inlineStr">
        <is>
          <t>revenueOutput.emptyDate</t>
        </is>
      </c>
      <c r="B446" s="55" t="inlineStr">
        <is>
          <t>Ngày tìm kiếm chưa được nhập</t>
        </is>
      </c>
      <c r="C446" s="55" t="inlineStr">
        <is>
          <t>Search day is empty</t>
        </is>
      </c>
      <c r="D446" s="51" t="inlineStr">
        <is>
          <t>ថ្ងៃស្វែងរក មិនទាន់បានបញ្ចូល</t>
        </is>
      </c>
      <c r="E446" s="71" t="n"/>
      <c r="F446" s="71" t="n"/>
      <c r="G446" s="71" t="inlineStr">
        <is>
          <t>ថ្ងៃស្វែងរក មិនទាន់បានបញ្ចូល</t>
        </is>
      </c>
      <c r="H446" s="71" t="inlineStr">
        <is>
          <t>ថ្ងៃស្វែងរក មិនទាន់បានបញ្ចូល</t>
        </is>
      </c>
      <c r="I446" s="71" t="n"/>
      <c r="J446" s="71" t="n"/>
      <c r="K446" s="71" t="inlineStr">
        <is>
          <t>"revenueOutput.emptyDate": "ថ្ងៃស្វែងរក មិនទាន់បានបញ្ចូល",</t>
        </is>
      </c>
      <c r="L446" s="71" t="n"/>
      <c r="M446" s="71" t="n"/>
      <c r="N446" s="71" t="n"/>
      <c r="O446" s="71" t="n"/>
      <c r="P446" s="71" t="n"/>
      <c r="Q446" s="71" t="n"/>
      <c r="R446" s="71" t="n"/>
      <c r="S446" s="71" t="n"/>
      <c r="T446" s="71" t="n"/>
      <c r="U446" s="71" t="n"/>
      <c r="V446" s="71" t="n"/>
      <c r="W446" s="71" t="n"/>
      <c r="X446" s="71" t="n"/>
      <c r="Y446" s="71" t="n"/>
      <c r="Z446" s="53" t="n"/>
    </row>
    <row r="447">
      <c r="A447" s="48" t="inlineStr">
        <is>
          <t>revenueOutput.service</t>
        </is>
      </c>
      <c r="B447" s="55" t="inlineStr">
        <is>
          <t>Dịch vụ</t>
        </is>
      </c>
      <c r="C447" s="55" t="inlineStr">
        <is>
          <t>Service</t>
        </is>
      </c>
      <c r="D447" s="51" t="inlineStr">
        <is>
          <t>សេវាកម្ម</t>
        </is>
      </c>
      <c r="E447" s="71" t="n"/>
      <c r="F447" s="71" t="n"/>
      <c r="G447" s="71" t="inlineStr">
        <is>
          <t>សេវាកម្ម</t>
        </is>
      </c>
      <c r="H447" s="71" t="inlineStr">
        <is>
          <t>សេវាកម្ម</t>
        </is>
      </c>
      <c r="I447" s="71" t="n"/>
      <c r="J447" s="71" t="n"/>
      <c r="K447" s="71" t="inlineStr">
        <is>
          <t>"revenueOutput.service": "សេវាកម្ម",</t>
        </is>
      </c>
      <c r="L447" s="71" t="n"/>
      <c r="M447" s="71" t="n"/>
      <c r="N447" s="71" t="n"/>
      <c r="O447" s="71" t="n"/>
      <c r="P447" s="71" t="n"/>
      <c r="Q447" s="71" t="n"/>
      <c r="R447" s="71" t="n"/>
      <c r="S447" s="71" t="n"/>
      <c r="T447" s="71" t="n"/>
      <c r="U447" s="71" t="n"/>
      <c r="V447" s="71" t="n"/>
      <c r="W447" s="71" t="n"/>
      <c r="X447" s="71" t="n"/>
      <c r="Y447" s="71" t="n"/>
      <c r="Z447" s="53" t="n"/>
    </row>
    <row r="448">
      <c r="A448" s="48" t="inlineStr">
        <is>
          <t>revenueOutput.filterService</t>
        </is>
      </c>
      <c r="B448" s="55" t="inlineStr">
        <is>
          <t>Chọn dịch vụ</t>
        </is>
      </c>
      <c r="C448" s="55" t="inlineStr">
        <is>
          <t>Select service</t>
        </is>
      </c>
      <c r="D448" s="51" t="inlineStr">
        <is>
          <t>ជ្រើសរើសសេវាកម្ម</t>
        </is>
      </c>
      <c r="E448" s="71" t="n"/>
      <c r="F448" s="71" t="n"/>
      <c r="G448" s="71" t="inlineStr">
        <is>
          <t>ជ្រើសរើសសេវាកម្ម</t>
        </is>
      </c>
      <c r="H448" s="71" t="inlineStr">
        <is>
          <t>ជ្រើសរើសសេវាកម្ម</t>
        </is>
      </c>
      <c r="I448" s="71" t="n"/>
      <c r="J448" s="71" t="n"/>
      <c r="K448" s="71" t="inlineStr">
        <is>
          <t>"revenueOutput.filterService": "ជ្រើសរើសសេវាកម្ម",</t>
        </is>
      </c>
      <c r="L448" s="71" t="n"/>
      <c r="M448" s="71" t="n"/>
      <c r="N448" s="71" t="n"/>
      <c r="O448" s="71" t="n"/>
      <c r="P448" s="71" t="n"/>
      <c r="Q448" s="71" t="n"/>
      <c r="R448" s="71" t="n"/>
      <c r="S448" s="71" t="n"/>
      <c r="T448" s="71" t="n"/>
      <c r="U448" s="71" t="n"/>
      <c r="V448" s="71" t="n"/>
      <c r="W448" s="71" t="n"/>
      <c r="X448" s="71" t="n"/>
      <c r="Y448" s="71" t="n"/>
      <c r="Z448" s="53" t="n"/>
    </row>
    <row r="449">
      <c r="A449" s="48" t="inlineStr">
        <is>
          <t>revenueOutput.companyTab</t>
        </is>
      </c>
      <c r="B449" s="55" t="inlineStr">
        <is>
          <t>Công ty</t>
        </is>
      </c>
      <c r="C449" s="55" t="inlineStr">
        <is>
          <t>Company</t>
        </is>
      </c>
      <c r="D449" s="51" t="inlineStr">
        <is>
          <t>ក្រុមហ៊ុន</t>
        </is>
      </c>
      <c r="E449" s="71" t="n"/>
      <c r="F449" s="71" t="n"/>
      <c r="G449" s="71" t="inlineStr">
        <is>
          <t>ក្រុមហ៊ុន</t>
        </is>
      </c>
      <c r="H449" s="71" t="inlineStr">
        <is>
          <t>ក្រុមហ៊ុន</t>
        </is>
      </c>
      <c r="I449" s="71" t="n"/>
      <c r="J449" s="71" t="n"/>
      <c r="K449" s="71" t="inlineStr">
        <is>
          <t>"revenueOutput.companyTab": "ក្រុមហ៊ុន",</t>
        </is>
      </c>
      <c r="L449" s="71" t="n"/>
      <c r="M449" s="71" t="n"/>
      <c r="N449" s="71" t="n"/>
      <c r="O449" s="71" t="n"/>
      <c r="P449" s="71" t="n"/>
      <c r="Q449" s="71" t="n"/>
      <c r="R449" s="71" t="n"/>
      <c r="S449" s="71" t="n"/>
      <c r="T449" s="71" t="n"/>
      <c r="U449" s="71" t="n"/>
      <c r="V449" s="71" t="n"/>
      <c r="W449" s="71" t="n"/>
      <c r="X449" s="71" t="n"/>
      <c r="Y449" s="71" t="n"/>
      <c r="Z449" s="53" t="n"/>
    </row>
    <row r="450">
      <c r="A450" s="48" t="inlineStr">
        <is>
          <t>revenueOutput.branchTab</t>
        </is>
      </c>
      <c r="B450" s="55" t="inlineStr">
        <is>
          <t>Chi nhánh</t>
        </is>
      </c>
      <c r="C450" s="55" t="inlineStr">
        <is>
          <t>Branch</t>
        </is>
      </c>
      <c r="D450" s="73" t="inlineStr">
        <is>
          <t>សាខា</t>
        </is>
      </c>
      <c r="E450" s="71" t="n"/>
      <c r="F450" s="71" t="n"/>
      <c r="G450" s="71" t="inlineStr">
        <is>
          <t>សាខា</t>
        </is>
      </c>
      <c r="H450" s="71" t="inlineStr">
        <is>
          <t>សាខា</t>
        </is>
      </c>
      <c r="I450" s="71" t="n"/>
      <c r="J450" s="71" t="n"/>
      <c r="K450" s="71" t="inlineStr">
        <is>
          <t>"revenueOutput.branchTab": "សាខា",</t>
        </is>
      </c>
      <c r="L450" s="71" t="n"/>
      <c r="M450" s="71" t="n"/>
      <c r="N450" s="71" t="n"/>
      <c r="O450" s="71" t="n"/>
      <c r="P450" s="71" t="n"/>
      <c r="Q450" s="71" t="n"/>
      <c r="R450" s="71" t="n"/>
      <c r="S450" s="71" t="n"/>
      <c r="T450" s="71" t="n"/>
      <c r="U450" s="71" t="n"/>
      <c r="V450" s="71" t="n"/>
      <c r="W450" s="71" t="n"/>
      <c r="X450" s="71" t="n"/>
      <c r="Y450" s="71" t="n"/>
      <c r="Z450" s="53" t="n"/>
    </row>
    <row r="451">
      <c r="A451" s="48" t="inlineStr">
        <is>
          <t>revenueOutput.postOfficeTab</t>
        </is>
      </c>
      <c r="B451" s="55" t="inlineStr">
        <is>
          <t>Bưu cục</t>
        </is>
      </c>
      <c r="C451" s="55" t="inlineStr">
        <is>
          <t>Post Office</t>
        </is>
      </c>
      <c r="D451" s="51" t="inlineStr">
        <is>
          <t>ការិយាល័យប្រៃសណីយ៍</t>
        </is>
      </c>
      <c r="E451" s="71" t="n"/>
      <c r="F451" s="71" t="n"/>
      <c r="G451" s="71" t="inlineStr">
        <is>
          <t>ការិយាល័យប្រៃសណីយ៍</t>
        </is>
      </c>
      <c r="H451" s="71" t="inlineStr">
        <is>
          <t>ការិយាល័យប្រៃសណីយ៍</t>
        </is>
      </c>
      <c r="I451" s="71" t="n"/>
      <c r="J451" s="71" t="n"/>
      <c r="K451" s="71" t="inlineStr">
        <is>
          <t>"revenueOutput.postOfficeTab": "ការិយាល័យប្រៃសណីយ៍",</t>
        </is>
      </c>
      <c r="L451" s="71" t="n"/>
      <c r="M451" s="71" t="n"/>
      <c r="N451" s="71" t="n"/>
      <c r="O451" s="71" t="n"/>
      <c r="P451" s="71" t="n"/>
      <c r="Q451" s="71" t="n"/>
      <c r="R451" s="71" t="n"/>
      <c r="S451" s="71" t="n"/>
      <c r="T451" s="71" t="n"/>
      <c r="U451" s="71" t="n"/>
      <c r="V451" s="71" t="n"/>
      <c r="W451" s="71" t="n"/>
      <c r="X451" s="71" t="n"/>
      <c r="Y451" s="71" t="n"/>
      <c r="Z451" s="53" t="n"/>
    </row>
    <row r="452">
      <c r="A452" s="48" t="inlineStr">
        <is>
          <t>revenueOutput.customerTab</t>
        </is>
      </c>
      <c r="B452" s="55" t="inlineStr">
        <is>
          <t>Khách hàng</t>
        </is>
      </c>
      <c r="C452" s="55" t="inlineStr">
        <is>
          <t>Customer</t>
        </is>
      </c>
      <c r="D452" s="51" t="inlineStr">
        <is>
          <t>អតិថិជន</t>
        </is>
      </c>
      <c r="E452" s="71" t="n"/>
      <c r="F452" s="71" t="n"/>
      <c r="G452" s="71" t="inlineStr">
        <is>
          <t>អតិថិជន</t>
        </is>
      </c>
      <c r="H452" s="71" t="inlineStr">
        <is>
          <t>អតិថិជន</t>
        </is>
      </c>
      <c r="I452" s="71" t="n"/>
      <c r="J452" s="71" t="n"/>
      <c r="K452" s="71" t="inlineStr">
        <is>
          <t>"revenueOutput.customerTab": "អតិថិជន",</t>
        </is>
      </c>
      <c r="L452" s="71" t="n"/>
      <c r="M452" s="71" t="n"/>
      <c r="N452" s="71" t="n"/>
      <c r="O452" s="71" t="n"/>
      <c r="P452" s="71" t="n"/>
      <c r="Q452" s="71" t="n"/>
      <c r="R452" s="71" t="n"/>
      <c r="S452" s="71" t="n"/>
      <c r="T452" s="71" t="n"/>
      <c r="U452" s="71" t="n"/>
      <c r="V452" s="71" t="n"/>
      <c r="W452" s="71" t="n"/>
      <c r="X452" s="71" t="n"/>
      <c r="Y452" s="71" t="n"/>
      <c r="Z452" s="53" t="n"/>
    </row>
    <row r="453">
      <c r="A453" s="48" t="inlineStr">
        <is>
          <t>revenueOutput.filterPostOfice</t>
        </is>
      </c>
      <c r="B453" s="55" t="inlineStr">
        <is>
          <t>Chọn bưu cục</t>
        </is>
      </c>
      <c r="C453" s="55" t="inlineStr">
        <is>
          <t>Select post Office</t>
        </is>
      </c>
      <c r="D453" s="51" t="inlineStr">
        <is>
          <t>ជ្រើសរើសការិយាល័យបប្រៃសណីយ៍</t>
        </is>
      </c>
      <c r="E453" s="71" t="n"/>
      <c r="F453" s="71" t="n"/>
      <c r="G453" s="71" t="inlineStr">
        <is>
          <t>ជ្រើសរើសការិយាល័យបប្រៃសណីយ៍</t>
        </is>
      </c>
      <c r="H453" s="71" t="inlineStr">
        <is>
          <t>ជ្រើសរើសការិយាល័យបប្រៃសណីយ៍</t>
        </is>
      </c>
      <c r="I453" s="71" t="n"/>
      <c r="J453" s="71" t="n"/>
      <c r="K453" s="71" t="inlineStr">
        <is>
          <t>"revenueOutput.filterPostOfice": "ជ្រើសរើសការិយាល័យបប្រៃសណីយ៍",</t>
        </is>
      </c>
      <c r="L453" s="71" t="n"/>
      <c r="M453" s="71" t="n"/>
      <c r="N453" s="71" t="n"/>
      <c r="O453" s="71" t="n"/>
      <c r="P453" s="71" t="n"/>
      <c r="Q453" s="71" t="n"/>
      <c r="R453" s="71" t="n"/>
      <c r="S453" s="71" t="n"/>
      <c r="T453" s="71" t="n"/>
      <c r="U453" s="71" t="n"/>
      <c r="V453" s="71" t="n"/>
      <c r="W453" s="71" t="n"/>
      <c r="X453" s="71" t="n"/>
      <c r="Y453" s="71" t="n"/>
      <c r="Z453" s="53" t="n"/>
    </row>
    <row r="454">
      <c r="A454" s="48" t="inlineStr">
        <is>
          <t>revenueOutput.route</t>
        </is>
      </c>
      <c r="B454" s="55" t="inlineStr">
        <is>
          <t>Tuyến</t>
        </is>
      </c>
      <c r="C454" s="55" t="inlineStr">
        <is>
          <t>Route</t>
        </is>
      </c>
      <c r="D454" s="51" t="inlineStr">
        <is>
          <t>ផ្លូវដឹក</t>
        </is>
      </c>
      <c r="E454" s="71" t="n"/>
      <c r="F454" s="71" t="n"/>
      <c r="G454" s="71" t="inlineStr">
        <is>
          <t>ផ្លូវដឹក</t>
        </is>
      </c>
      <c r="H454" s="71" t="inlineStr">
        <is>
          <t>ផ្លូវដឹក</t>
        </is>
      </c>
      <c r="I454" s="71" t="n"/>
      <c r="J454" s="71" t="n"/>
      <c r="K454" s="71" t="inlineStr">
        <is>
          <t>"revenueOutput.route": "ផ្លូវដឹក",</t>
        </is>
      </c>
      <c r="L454" s="71" t="n"/>
      <c r="M454" s="71" t="n"/>
      <c r="N454" s="71" t="n"/>
      <c r="O454" s="71" t="n"/>
      <c r="P454" s="71" t="n"/>
      <c r="Q454" s="71" t="n"/>
      <c r="R454" s="71" t="n"/>
      <c r="S454" s="71" t="n"/>
      <c r="T454" s="71" t="n"/>
      <c r="U454" s="71" t="n"/>
      <c r="V454" s="71" t="n"/>
      <c r="W454" s="71" t="n"/>
      <c r="X454" s="71" t="n"/>
      <c r="Y454" s="71" t="n"/>
      <c r="Z454" s="53" t="n"/>
    </row>
    <row r="455">
      <c r="A455" s="48" t="inlineStr">
        <is>
          <t>revenueOutput.filterRoute</t>
        </is>
      </c>
      <c r="B455" s="55" t="inlineStr">
        <is>
          <t>Chọn tuyến</t>
        </is>
      </c>
      <c r="C455" s="55" t="inlineStr">
        <is>
          <t>Select route</t>
        </is>
      </c>
      <c r="D455" s="51" t="inlineStr">
        <is>
          <t>ជ្រើសរើសផ្លូវដឹក</t>
        </is>
      </c>
      <c r="E455" s="71" t="n"/>
      <c r="F455" s="71" t="n"/>
      <c r="G455" s="71" t="inlineStr">
        <is>
          <t>ជ្រើសរើសផ្លូវដឹក</t>
        </is>
      </c>
      <c r="H455" s="71" t="inlineStr">
        <is>
          <t>ជ្រើសរើសផ្លូវដឹក</t>
        </is>
      </c>
      <c r="I455" s="71" t="n"/>
      <c r="J455" s="71" t="n"/>
      <c r="K455" s="71" t="inlineStr">
        <is>
          <t>"revenueOutput.filterRoute": "ជ្រើសរើសផ្លូវដឹក",</t>
        </is>
      </c>
      <c r="L455" s="71" t="n"/>
      <c r="M455" s="71" t="n"/>
      <c r="N455" s="71" t="n"/>
      <c r="O455" s="71" t="n"/>
      <c r="P455" s="71" t="n"/>
      <c r="Q455" s="71" t="n"/>
      <c r="R455" s="71" t="n"/>
      <c r="S455" s="71" t="n"/>
      <c r="T455" s="71" t="n"/>
      <c r="U455" s="71" t="n"/>
      <c r="V455" s="71" t="n"/>
      <c r="W455" s="71" t="n"/>
      <c r="X455" s="71" t="n"/>
      <c r="Y455" s="71" t="n"/>
      <c r="Z455" s="53" t="n"/>
    </row>
    <row r="456">
      <c r="A456" s="48" t="inlineStr">
        <is>
          <t>revenueOutput.customer</t>
        </is>
      </c>
      <c r="B456" s="55" t="inlineStr">
        <is>
          <t>Khách hàng</t>
        </is>
      </c>
      <c r="C456" s="55" t="inlineStr">
        <is>
          <t>Customer</t>
        </is>
      </c>
      <c r="D456" s="51" t="inlineStr">
        <is>
          <t>អតិថិជន</t>
        </is>
      </c>
      <c r="E456" s="71" t="n"/>
      <c r="F456" s="71" t="n"/>
      <c r="G456" s="71" t="inlineStr">
        <is>
          <t>អតិថិជន</t>
        </is>
      </c>
      <c r="H456" s="71" t="inlineStr">
        <is>
          <t>អតិថិជន</t>
        </is>
      </c>
      <c r="I456" s="71" t="n"/>
      <c r="J456" s="71" t="n"/>
      <c r="K456" s="71" t="inlineStr">
        <is>
          <t>"revenueOutput.customer": "អតិថិជន",</t>
        </is>
      </c>
      <c r="L456" s="71" t="n"/>
      <c r="M456" s="71" t="n"/>
      <c r="N456" s="71" t="n"/>
      <c r="O456" s="71" t="n"/>
      <c r="P456" s="71" t="n"/>
      <c r="Q456" s="71" t="n"/>
      <c r="R456" s="71" t="n"/>
      <c r="S456" s="71" t="n"/>
      <c r="T456" s="71" t="n"/>
      <c r="U456" s="71" t="n"/>
      <c r="V456" s="71" t="n"/>
      <c r="W456" s="71" t="n"/>
      <c r="X456" s="71" t="n"/>
      <c r="Y456" s="71" t="n"/>
      <c r="Z456" s="53" t="n"/>
    </row>
    <row r="457">
      <c r="A457" s="48" t="inlineStr">
        <is>
          <t>revenueOutput.customerFilter</t>
        </is>
      </c>
      <c r="B457" s="55" t="inlineStr">
        <is>
          <t>Chọn khách hàng</t>
        </is>
      </c>
      <c r="C457" s="55" t="inlineStr">
        <is>
          <t>Select customer</t>
        </is>
      </c>
      <c r="D457" s="51" t="inlineStr">
        <is>
          <t>ជ្រើសរើសអតិថិជន</t>
        </is>
      </c>
      <c r="E457" s="71" t="n"/>
      <c r="F457" s="71" t="n"/>
      <c r="G457" s="71" t="inlineStr">
        <is>
          <t>ជ្រើសរើសអតិថិជន</t>
        </is>
      </c>
      <c r="H457" s="71" t="inlineStr">
        <is>
          <t>ជ្រើសរើសអតិថិជន</t>
        </is>
      </c>
      <c r="I457" s="71" t="n"/>
      <c r="J457" s="71" t="n"/>
      <c r="K457" s="71" t="inlineStr">
        <is>
          <t>"revenueOutput.customerFilter": "ជ្រើសរើសអតិថិជន",</t>
        </is>
      </c>
      <c r="L457" s="71" t="n"/>
      <c r="M457" s="71" t="n"/>
      <c r="N457" s="71" t="n"/>
      <c r="O457" s="71" t="n"/>
      <c r="P457" s="71" t="n"/>
      <c r="Q457" s="71" t="n"/>
      <c r="R457" s="71" t="n"/>
      <c r="S457" s="71" t="n"/>
      <c r="T457" s="71" t="n"/>
      <c r="U457" s="71" t="n"/>
      <c r="V457" s="71" t="n"/>
      <c r="W457" s="71" t="n"/>
      <c r="X457" s="71" t="n"/>
      <c r="Y457" s="71" t="n"/>
      <c r="Z457" s="53" t="n"/>
    </row>
    <row r="458">
      <c r="A458" s="48" t="inlineStr">
        <is>
          <t>revenueOutput.serviceCode</t>
        </is>
      </c>
      <c r="B458" s="55" t="inlineStr">
        <is>
          <t>Mã dịch vụ</t>
        </is>
      </c>
      <c r="C458" s="55" t="inlineStr">
        <is>
          <t>Service</t>
        </is>
      </c>
      <c r="D458" s="51" t="inlineStr">
        <is>
          <t>លេខកូដសេវាកម្ម</t>
        </is>
      </c>
      <c r="E458" s="71" t="n"/>
      <c r="F458" s="71" t="n"/>
      <c r="G458" s="71" t="inlineStr">
        <is>
          <t>លេខកូដសេវាកម្ម</t>
        </is>
      </c>
      <c r="H458" s="71" t="inlineStr">
        <is>
          <t>លេខកូដសេវាកម្ម</t>
        </is>
      </c>
      <c r="I458" s="71" t="n"/>
      <c r="J458" s="71" t="n"/>
      <c r="K458" s="71" t="inlineStr">
        <is>
          <t>"revenueOutput.serviceCode": "លេខកូដសេវាកម្ម",</t>
        </is>
      </c>
      <c r="L458" s="71" t="n"/>
      <c r="M458" s="71" t="n"/>
      <c r="N458" s="71" t="n"/>
      <c r="O458" s="71" t="n"/>
      <c r="P458" s="71" t="n"/>
      <c r="Q458" s="71" t="n"/>
      <c r="R458" s="71" t="n"/>
      <c r="S458" s="71" t="n"/>
      <c r="T458" s="71" t="n"/>
      <c r="U458" s="71" t="n"/>
      <c r="V458" s="71" t="n"/>
      <c r="W458" s="71" t="n"/>
      <c r="X458" s="71" t="n"/>
      <c r="Y458" s="71" t="n"/>
      <c r="Z458" s="53" t="n"/>
    </row>
    <row r="459">
      <c r="A459" s="48" t="inlineStr">
        <is>
          <t>revenueOutput.selectService</t>
        </is>
      </c>
      <c r="B459" s="55" t="inlineStr">
        <is>
          <t>Chọn mã dịch vụ</t>
        </is>
      </c>
      <c r="C459" s="55" t="inlineStr">
        <is>
          <t>Select service</t>
        </is>
      </c>
      <c r="D459" s="51" t="inlineStr">
        <is>
          <t>ជ្រើសរើសលេខកូដសេវាកម្ម</t>
        </is>
      </c>
      <c r="E459" s="71" t="n"/>
      <c r="F459" s="71" t="n"/>
      <c r="G459" s="71" t="inlineStr">
        <is>
          <t>ជ្រើសរើសលេខកូដសេវាកម្ម</t>
        </is>
      </c>
      <c r="H459" s="71" t="inlineStr">
        <is>
          <t>ជ្រើសរើសលេខកូដសេវាកម្ម</t>
        </is>
      </c>
      <c r="I459" s="71" t="n"/>
      <c r="J459" s="71" t="n"/>
      <c r="K459" s="71" t="inlineStr">
        <is>
          <t>"revenueOutput.selectService": "ជ្រើសរើសលេខកូដសេវាកម្ម",</t>
        </is>
      </c>
      <c r="L459" s="71" t="n"/>
      <c r="M459" s="71" t="n"/>
      <c r="N459" s="71" t="n"/>
      <c r="O459" s="71" t="n"/>
      <c r="P459" s="71" t="n"/>
      <c r="Q459" s="71" t="n"/>
      <c r="R459" s="71" t="n"/>
      <c r="S459" s="71" t="n"/>
      <c r="T459" s="71" t="n"/>
      <c r="U459" s="71" t="n"/>
      <c r="V459" s="71" t="n"/>
      <c r="W459" s="71" t="n"/>
      <c r="X459" s="71" t="n"/>
      <c r="Y459" s="71" t="n"/>
      <c r="Z459" s="53" t="n"/>
    </row>
    <row r="460">
      <c r="A460" s="48" t="inlineStr">
        <is>
          <t>revenueOutput.status</t>
        </is>
      </c>
      <c r="B460" s="55" t="inlineStr">
        <is>
          <t>Trạng thái</t>
        </is>
      </c>
      <c r="C460" s="55" t="inlineStr">
        <is>
          <t>Status</t>
        </is>
      </c>
      <c r="D460" s="51" t="inlineStr">
        <is>
          <t>ស្ថានភាព</t>
        </is>
      </c>
      <c r="E460" s="71" t="n"/>
      <c r="F460" s="71" t="n"/>
      <c r="G460" s="71" t="inlineStr">
        <is>
          <t>ស្ថានភាព</t>
        </is>
      </c>
      <c r="H460" s="71" t="inlineStr">
        <is>
          <t>ស្ថានភាព</t>
        </is>
      </c>
      <c r="I460" s="71" t="n"/>
      <c r="J460" s="71" t="n"/>
      <c r="K460" s="71" t="inlineStr">
        <is>
          <t>"revenueOutput.status": "ស្ថានភាព",</t>
        </is>
      </c>
      <c r="L460" s="71" t="n"/>
      <c r="M460" s="71" t="n"/>
      <c r="N460" s="71" t="n"/>
      <c r="O460" s="71" t="n"/>
      <c r="P460" s="71" t="n"/>
      <c r="Q460" s="71" t="n"/>
      <c r="R460" s="71" t="n"/>
      <c r="S460" s="71" t="n"/>
      <c r="T460" s="71" t="n"/>
      <c r="U460" s="71" t="n"/>
      <c r="V460" s="71" t="n"/>
      <c r="W460" s="71" t="n"/>
      <c r="X460" s="71" t="n"/>
      <c r="Y460" s="71" t="n"/>
      <c r="Z460" s="53" t="n"/>
    </row>
    <row r="461">
      <c r="A461" s="48" t="inlineStr">
        <is>
          <t>revenueOutput.selectStatus</t>
        </is>
      </c>
      <c r="B461" s="55" t="inlineStr">
        <is>
          <t>Chọn trạng thái</t>
        </is>
      </c>
      <c r="C461" s="55" t="inlineStr">
        <is>
          <t>Select Status</t>
        </is>
      </c>
      <c r="D461" s="51" t="inlineStr">
        <is>
          <t>ជ្រើសរើសស្ថានភាព</t>
        </is>
      </c>
      <c r="E461" s="71" t="n"/>
      <c r="F461" s="71" t="n"/>
      <c r="G461" s="71" t="inlineStr">
        <is>
          <t>ជ្រើសរើសស្ថានភាព</t>
        </is>
      </c>
      <c r="H461" s="71" t="inlineStr">
        <is>
          <t>ជ្រើសរើសស្ថានភាព</t>
        </is>
      </c>
      <c r="I461" s="71" t="n"/>
      <c r="J461" s="71" t="n"/>
      <c r="K461" s="71" t="inlineStr">
        <is>
          <t>"revenueOutput.selectStatus": "ជ្រើសរើសស្ថានភាព",</t>
        </is>
      </c>
      <c r="L461" s="71" t="n"/>
      <c r="M461" s="71" t="n"/>
      <c r="N461" s="71" t="n"/>
      <c r="O461" s="71" t="n"/>
      <c r="P461" s="71" t="n"/>
      <c r="Q461" s="71" t="n"/>
      <c r="R461" s="71" t="n"/>
      <c r="S461" s="71" t="n"/>
      <c r="T461" s="71" t="n"/>
      <c r="U461" s="71" t="n"/>
      <c r="V461" s="71" t="n"/>
      <c r="W461" s="71" t="n"/>
      <c r="X461" s="71" t="n"/>
      <c r="Y461" s="71" t="n"/>
      <c r="Z461" s="53" t="n"/>
    </row>
    <row r="462">
      <c r="A462" s="48" t="inlineStr">
        <is>
          <t>revenueOutput.parcelType</t>
        </is>
      </c>
      <c r="B462" s="55" t="inlineStr">
        <is>
          <t>Loại hàng</t>
        </is>
      </c>
      <c r="C462" s="55" t="inlineStr">
        <is>
          <t>Freight type</t>
        </is>
      </c>
      <c r="D462" s="51" t="inlineStr">
        <is>
          <t>ប្រភេទអីវ៉ាន់</t>
        </is>
      </c>
      <c r="E462" s="71" t="n"/>
      <c r="F462" s="71" t="n"/>
      <c r="G462" s="71" t="inlineStr">
        <is>
          <t>ប្រភេទអីវ៉ាន់</t>
        </is>
      </c>
      <c r="H462" s="71" t="inlineStr">
        <is>
          <t>ប្រភេទអីវ៉ាន់</t>
        </is>
      </c>
      <c r="I462" s="71" t="n"/>
      <c r="J462" s="71" t="n"/>
      <c r="K462" s="71" t="inlineStr">
        <is>
          <t>"revenueOutput.parcelType": "ប្រភេទអីវ៉ាន់",</t>
        </is>
      </c>
      <c r="L462" s="71" t="n"/>
      <c r="M462" s="71" t="n"/>
      <c r="N462" s="71" t="n"/>
      <c r="O462" s="71" t="n"/>
      <c r="P462" s="71" t="n"/>
      <c r="Q462" s="71" t="n"/>
      <c r="R462" s="71" t="n"/>
      <c r="S462" s="71" t="n"/>
      <c r="T462" s="71" t="n"/>
      <c r="U462" s="71" t="n"/>
      <c r="V462" s="71" t="n"/>
      <c r="W462" s="71" t="n"/>
      <c r="X462" s="71" t="n"/>
      <c r="Y462" s="71" t="n"/>
      <c r="Z462" s="53" t="n"/>
    </row>
    <row r="463">
      <c r="A463" s="48" t="inlineStr">
        <is>
          <t>revenueOutput.selectParcelType</t>
        </is>
      </c>
      <c r="B463" s="55" t="inlineStr">
        <is>
          <t>Chọn loại hàng</t>
        </is>
      </c>
      <c r="C463" s="55" t="inlineStr">
        <is>
          <t>Select</t>
        </is>
      </c>
      <c r="D463" s="51" t="inlineStr">
        <is>
          <t>ជ្រើសរើសប្រភេទអីវ៉ាន់</t>
        </is>
      </c>
      <c r="E463" s="71" t="n"/>
      <c r="F463" s="71" t="n"/>
      <c r="G463" s="71" t="inlineStr">
        <is>
          <t>ជ្រើសរើសប្រភេទអីវ៉ាន់</t>
        </is>
      </c>
      <c r="H463" s="71" t="inlineStr">
        <is>
          <t>ជ្រើសរើសប្រភេទអីវ៉ាន់</t>
        </is>
      </c>
      <c r="I463" s="71" t="n"/>
      <c r="J463" s="71" t="n"/>
      <c r="K463" s="71" t="inlineStr">
        <is>
          <t>"revenueOutput.selectParcelType": "ជ្រើសរើសប្រភេទអីវ៉ាន់",</t>
        </is>
      </c>
      <c r="L463" s="71" t="n"/>
      <c r="M463" s="71" t="n"/>
      <c r="N463" s="71" t="n"/>
      <c r="O463" s="71" t="n"/>
      <c r="P463" s="71" t="n"/>
      <c r="Q463" s="71" t="n"/>
      <c r="R463" s="71" t="n"/>
      <c r="S463" s="71" t="n"/>
      <c r="T463" s="71" t="n"/>
      <c r="U463" s="71" t="n"/>
      <c r="V463" s="71" t="n"/>
      <c r="W463" s="71" t="n"/>
      <c r="X463" s="71" t="n"/>
      <c r="Y463" s="71" t="n"/>
      <c r="Z463" s="53" t="n"/>
    </row>
    <row r="464">
      <c r="A464" s="48" t="inlineStr">
        <is>
          <t>revenueOutput.overExcel</t>
        </is>
      </c>
      <c r="B464" s="55" t="inlineStr">
        <is>
          <t>Số lượng đơn không vượt quá {{length}} đơn</t>
        </is>
      </c>
      <c r="C464" s="55" t="inlineStr">
        <is>
          <t>The order quantity must not exceed {{length}}</t>
        </is>
      </c>
      <c r="D464" s="71" t="n"/>
      <c r="E464" s="71" t="n"/>
      <c r="F464" s="71" t="n"/>
      <c r="G464" s="71" t="inlineStr">
        <is>
          <t>ចំនួន បញ្ញើ không vượt quá {{length}} បញ្ញើ</t>
        </is>
      </c>
      <c r="H464" s="71" t="inlineStr">
        <is>
          <t>ចំនួន បញ្ញើ không vượt quá {{length}} បញ្ញើ</t>
        </is>
      </c>
      <c r="I464" s="71" t="n"/>
      <c r="J464" s="71" t="n"/>
      <c r="K464" s="71" t="inlineStr">
        <is>
          <t>"revenueOutput.overExcel": "ចំនួន បញ្ញើ không vượt quá {{length}} បញ្ញើ",</t>
        </is>
      </c>
      <c r="L464" s="71" t="n"/>
      <c r="M464" s="71" t="n"/>
      <c r="N464" s="71" t="n"/>
      <c r="O464" s="71" t="n"/>
      <c r="P464" s="71" t="n"/>
      <c r="Q464" s="71" t="n"/>
      <c r="R464" s="71" t="n"/>
      <c r="S464" s="71" t="n"/>
      <c r="T464" s="71" t="n"/>
      <c r="U464" s="71" t="n"/>
      <c r="V464" s="71" t="n"/>
      <c r="W464" s="71" t="n"/>
      <c r="X464" s="71" t="n"/>
      <c r="Y464" s="71" t="n"/>
      <c r="Z464" s="53" t="n"/>
    </row>
    <row r="465">
      <c r="A465" s="48" t="inlineStr">
        <is>
          <t>revenueOutput.fileNameExcel</t>
        </is>
      </c>
      <c r="B465" s="55" t="inlineStr">
        <is>
          <t>Baocaodoanhthu_sanluong</t>
        </is>
      </c>
      <c r="C465" s="55" t="inlineStr">
        <is>
          <t>Revenue_ProductionReport</t>
        </is>
      </c>
      <c r="D465" s="71" t="n"/>
      <c r="E465" s="71" t="n"/>
      <c r="F465" s="71" t="n"/>
      <c r="G465" s="71" t="inlineStr">
        <is>
          <t>របាយការណ៍ចំណូល និងបរិមាណបញ្ញើ</t>
        </is>
      </c>
      <c r="H465" s="71" t="inlineStr">
        <is>
          <t>របាយការណ៍ចំណូល និងបរិមាណបញ្ញើ</t>
        </is>
      </c>
      <c r="I465" s="71" t="n"/>
      <c r="J465" s="71" t="n"/>
      <c r="K465" s="71" t="inlineStr">
        <is>
          <t>"revenueOutput.fileNameExcel": "របាយការណ៍ចំណូល និងបរិមាណបញ្ញើ",</t>
        </is>
      </c>
      <c r="L465" s="71" t="n"/>
      <c r="M465" s="71" t="n"/>
      <c r="N465" s="71" t="n"/>
      <c r="O465" s="71" t="n"/>
      <c r="P465" s="71" t="n"/>
      <c r="Q465" s="71" t="n"/>
      <c r="R465" s="71" t="n"/>
      <c r="S465" s="71" t="n"/>
      <c r="T465" s="71" t="n"/>
      <c r="U465" s="71" t="n"/>
      <c r="V465" s="71" t="n"/>
      <c r="W465" s="71" t="n"/>
      <c r="X465" s="71" t="n"/>
      <c r="Y465" s="71" t="n"/>
      <c r="Z465" s="53" t="n"/>
    </row>
    <row r="466">
      <c r="A466" s="48" t="inlineStr">
        <is>
          <t>revenueOutput.fileNameExcelDetail</t>
        </is>
      </c>
      <c r="B466" s="55" t="inlineStr">
        <is>
          <t>Chitietbaocaodoanhthu</t>
        </is>
      </c>
      <c r="C466" s="55" t="inlineStr">
        <is>
          <t>RevenueReportDetails</t>
        </is>
      </c>
      <c r="D466" s="71" t="n"/>
      <c r="E466" s="71" t="n"/>
      <c r="F466" s="71" t="n"/>
      <c r="G466" s="71" t="inlineStr">
        <is>
          <t>ព័ត៌មានលម្អិតរបាយការណ៍ចំណូល</t>
        </is>
      </c>
      <c r="H466" s="71" t="inlineStr">
        <is>
          <t>ព័ត៌មានលម្អិតរបាយការណ៍ចំណូល</t>
        </is>
      </c>
      <c r="I466" s="71" t="n"/>
      <c r="J466" s="71" t="n"/>
      <c r="K466" s="71" t="inlineStr">
        <is>
          <t>"revenueOutput.fileNameExcelDetail": "ព័ត៌មានលម្អិតរបាយការណ៍ចំណូល",</t>
        </is>
      </c>
      <c r="L466" s="71" t="n"/>
      <c r="M466" s="71" t="n"/>
      <c r="N466" s="71" t="n"/>
      <c r="O466" s="71" t="n"/>
      <c r="P466" s="71" t="n"/>
      <c r="Q466" s="71" t="n"/>
      <c r="R466" s="71" t="n"/>
      <c r="S466" s="71" t="n"/>
      <c r="T466" s="71" t="n"/>
      <c r="U466" s="71" t="n"/>
      <c r="V466" s="71" t="n"/>
      <c r="W466" s="71" t="n"/>
      <c r="X466" s="71" t="n"/>
      <c r="Y466" s="71" t="n"/>
      <c r="Z466" s="53" t="n"/>
    </row>
    <row r="467">
      <c r="A467" s="40" t="inlineStr">
        <is>
          <t>backlog.GOODS</t>
        </is>
      </c>
      <c r="B467" s="46" t="inlineStr">
        <is>
          <t>Hàng</t>
        </is>
      </c>
      <c r="C467" s="46" t="inlineStr">
        <is>
          <t>Goods</t>
        </is>
      </c>
      <c r="D467" s="43" t="inlineStr">
        <is>
          <t>អីវ៉ាន់</t>
        </is>
      </c>
      <c r="E467" s="75" t="n"/>
      <c r="F467" s="75" t="n"/>
      <c r="G467" s="75" t="inlineStr">
        <is>
          <t>អីវ៉ាន់</t>
        </is>
      </c>
      <c r="H467" s="75" t="inlineStr">
        <is>
          <t>អីវ៉ាន់</t>
        </is>
      </c>
      <c r="I467" s="75" t="n"/>
      <c r="J467" s="75" t="n"/>
      <c r="K467" s="75" t="inlineStr">
        <is>
          <t>"backlog.GOODS": "អីវ៉ាន់",</t>
        </is>
      </c>
      <c r="L467" s="75" t="n"/>
      <c r="M467" s="75" t="n"/>
      <c r="N467" s="75" t="n"/>
      <c r="O467" s="75" t="n"/>
      <c r="P467" s="75" t="n"/>
      <c r="Q467" s="75" t="n"/>
      <c r="R467" s="75" t="n"/>
      <c r="S467" s="75" t="n"/>
      <c r="T467" s="75" t="n"/>
      <c r="U467" s="75" t="n"/>
      <c r="V467" s="75" t="n"/>
      <c r="W467" s="75" t="n"/>
      <c r="X467" s="75" t="n"/>
      <c r="Y467" s="75" t="n"/>
      <c r="Z467" s="45" t="n"/>
    </row>
    <row r="468">
      <c r="A468" s="40" t="inlineStr">
        <is>
          <t>backlog.DOCUMENT</t>
        </is>
      </c>
      <c r="B468" s="46" t="inlineStr">
        <is>
          <t>Thư</t>
        </is>
      </c>
      <c r="C468" s="46" t="inlineStr">
        <is>
          <t>Document</t>
        </is>
      </c>
      <c r="D468" s="43" t="inlineStr">
        <is>
          <t>សំបុត្រ</t>
        </is>
      </c>
      <c r="E468" s="75" t="n"/>
      <c r="F468" s="75" t="n"/>
      <c r="G468" s="75" t="inlineStr">
        <is>
          <t>សំបុត្រ</t>
        </is>
      </c>
      <c r="H468" s="75" t="inlineStr">
        <is>
          <t>សំបុត្រ</t>
        </is>
      </c>
      <c r="I468" s="75" t="n"/>
      <c r="J468" s="75" t="n"/>
      <c r="K468" s="75" t="inlineStr">
        <is>
          <t>"backlog.DOCUMENT": "សំបុត្រ",</t>
        </is>
      </c>
      <c r="L468" s="75" t="n"/>
      <c r="M468" s="75" t="n"/>
      <c r="N468" s="75" t="n"/>
      <c r="O468" s="75" t="n"/>
      <c r="P468" s="75" t="n"/>
      <c r="Q468" s="75" t="n"/>
      <c r="R468" s="75" t="n"/>
      <c r="S468" s="75" t="n"/>
      <c r="T468" s="75" t="n"/>
      <c r="U468" s="75" t="n"/>
      <c r="V468" s="75" t="n"/>
      <c r="W468" s="75" t="n"/>
      <c r="X468" s="75" t="n"/>
      <c r="Y468" s="75" t="n"/>
      <c r="Z468" s="45" t="n"/>
    </row>
    <row r="469">
      <c r="A469" s="40" t="inlineStr">
        <is>
          <t>backlog.branch</t>
        </is>
      </c>
      <c r="B469" s="46" t="inlineStr">
        <is>
          <t>Chi nhánh</t>
        </is>
      </c>
      <c r="C469" s="46" t="inlineStr">
        <is>
          <t>Delivery branch</t>
        </is>
      </c>
      <c r="D469" s="43" t="inlineStr">
        <is>
          <t>សាខា</t>
        </is>
      </c>
      <c r="E469" s="75" t="n"/>
      <c r="F469" s="75" t="n"/>
      <c r="G469" s="75" t="inlineStr">
        <is>
          <t>សាខា</t>
        </is>
      </c>
      <c r="H469" s="75" t="inlineStr">
        <is>
          <t>សាខា</t>
        </is>
      </c>
      <c r="I469" s="75" t="n"/>
      <c r="J469" s="75" t="n"/>
      <c r="K469" s="75" t="inlineStr">
        <is>
          <t>"backlog.branch": "សាខា",</t>
        </is>
      </c>
      <c r="L469" s="75" t="n"/>
      <c r="M469" s="75" t="n"/>
      <c r="N469" s="75" t="n"/>
      <c r="O469" s="75" t="n"/>
      <c r="P469" s="75" t="n"/>
      <c r="Q469" s="75" t="n"/>
      <c r="R469" s="75" t="n"/>
      <c r="S469" s="75" t="n"/>
      <c r="T469" s="75" t="n"/>
      <c r="U469" s="75" t="n"/>
      <c r="V469" s="75" t="n"/>
      <c r="W469" s="75" t="n"/>
      <c r="X469" s="75" t="n"/>
      <c r="Y469" s="75" t="n"/>
      <c r="Z469" s="45" t="n"/>
    </row>
    <row r="470">
      <c r="A470" s="40" t="inlineStr">
        <is>
          <t>backlog.postOffice</t>
        </is>
      </c>
      <c r="B470" s="46" t="inlineStr">
        <is>
          <t>Bưu cục</t>
        </is>
      </c>
      <c r="C470" s="46" t="inlineStr">
        <is>
          <t>Delivery post office</t>
        </is>
      </c>
      <c r="D470" s="43" t="inlineStr">
        <is>
          <t>ការិយាល័យប្រៃសណីយ៍</t>
        </is>
      </c>
      <c r="E470" s="75" t="n"/>
      <c r="F470" s="75" t="n"/>
      <c r="G470" s="75" t="inlineStr">
        <is>
          <t>ការិយាល័យប្រៃសណីយ៍</t>
        </is>
      </c>
      <c r="H470" s="75" t="inlineStr">
        <is>
          <t>ការិយាល័យប្រៃសណីយ៍</t>
        </is>
      </c>
      <c r="I470" s="75" t="n"/>
      <c r="J470" s="75" t="n"/>
      <c r="K470" s="75" t="inlineStr">
        <is>
          <t>"backlog.postOffice": "ការិយាល័យប្រៃសណីយ៍",</t>
        </is>
      </c>
      <c r="L470" s="75" t="n"/>
      <c r="M470" s="75" t="n"/>
      <c r="N470" s="75" t="n"/>
      <c r="O470" s="75" t="n"/>
      <c r="P470" s="75" t="n"/>
      <c r="Q470" s="75" t="n"/>
      <c r="R470" s="75" t="n"/>
      <c r="S470" s="75" t="n"/>
      <c r="T470" s="75" t="n"/>
      <c r="U470" s="75" t="n"/>
      <c r="V470" s="75" t="n"/>
      <c r="W470" s="75" t="n"/>
      <c r="X470" s="75" t="n"/>
      <c r="Y470" s="75" t="n"/>
      <c r="Z470" s="45" t="n"/>
    </row>
    <row r="471">
      <c r="A471" s="40" t="inlineStr">
        <is>
          <t>backlog.routePostman</t>
        </is>
      </c>
      <c r="B471" s="46" t="inlineStr">
        <is>
          <t>Tuyến bưu tá</t>
        </is>
      </c>
      <c r="C471" s="46" t="inlineStr">
        <is>
          <t>Postman routes</t>
        </is>
      </c>
      <c r="D471" s="43" t="inlineStr">
        <is>
          <t>ផ្លូ្លវអ្នកដឹកជញ្ជូន</t>
        </is>
      </c>
      <c r="E471" s="75" t="n"/>
      <c r="F471" s="75" t="n"/>
      <c r="G471" s="75" t="inlineStr">
        <is>
          <t>ផ្លូ្លវអ្នកដឹកជញ្ជូន</t>
        </is>
      </c>
      <c r="H471" s="75" t="inlineStr">
        <is>
          <t>ផ្លូ្លវអ្នកដឹកជញ្ជូន</t>
        </is>
      </c>
      <c r="I471" s="75" t="n"/>
      <c r="J471" s="75" t="n"/>
      <c r="K471" s="75" t="inlineStr">
        <is>
          <t>"backlog.routePostman": "ផ្លូ្លវអ្នកដឹកជញ្ជូន",</t>
        </is>
      </c>
      <c r="L471" s="75" t="n"/>
      <c r="M471" s="75" t="n"/>
      <c r="N471" s="75" t="n"/>
      <c r="O471" s="75" t="n"/>
      <c r="P471" s="75" t="n"/>
      <c r="Q471" s="75" t="n"/>
      <c r="R471" s="75" t="n"/>
      <c r="S471" s="75" t="n"/>
      <c r="T471" s="75" t="n"/>
      <c r="U471" s="75" t="n"/>
      <c r="V471" s="75" t="n"/>
      <c r="W471" s="75" t="n"/>
      <c r="X471" s="75" t="n"/>
      <c r="Y471" s="75" t="n"/>
      <c r="Z471" s="45" t="n"/>
    </row>
    <row r="472">
      <c r="A472" s="40" t="inlineStr">
        <is>
          <t>backlog.route</t>
        </is>
      </c>
      <c r="B472" s="46" t="inlineStr">
        <is>
          <t>Tuyến</t>
        </is>
      </c>
      <c r="C472" s="46" t="inlineStr">
        <is>
          <t>Route</t>
        </is>
      </c>
      <c r="D472" s="43" t="inlineStr">
        <is>
          <t>ផ្លូវដឹក</t>
        </is>
      </c>
      <c r="E472" s="75" t="n"/>
      <c r="F472" s="75" t="n"/>
      <c r="G472" s="75" t="inlineStr">
        <is>
          <t>ផ្លូវដឹក</t>
        </is>
      </c>
      <c r="H472" s="75" t="inlineStr">
        <is>
          <t>ផ្លូវដឹក</t>
        </is>
      </c>
      <c r="I472" s="75" t="n"/>
      <c r="J472" s="75" t="n"/>
      <c r="K472" s="75" t="inlineStr">
        <is>
          <t>"backlog.route": "ផ្លូវដឹក",</t>
        </is>
      </c>
      <c r="L472" s="75" t="n"/>
      <c r="M472" s="75" t="n"/>
      <c r="N472" s="75" t="n"/>
      <c r="O472" s="75" t="n"/>
      <c r="P472" s="75" t="n"/>
      <c r="Q472" s="75" t="n"/>
      <c r="R472" s="75" t="n"/>
      <c r="S472" s="75" t="n"/>
      <c r="T472" s="75" t="n"/>
      <c r="U472" s="75" t="n"/>
      <c r="V472" s="75" t="n"/>
      <c r="W472" s="75" t="n"/>
      <c r="X472" s="75" t="n"/>
      <c r="Y472" s="75" t="n"/>
      <c r="Z472" s="45" t="n"/>
    </row>
    <row r="473">
      <c r="A473" s="40" t="inlineStr">
        <is>
          <t>backlog.totalInventory</t>
        </is>
      </c>
      <c r="B473" s="46" t="inlineStr">
        <is>
          <t>Tổng tồn</t>
        </is>
      </c>
      <c r="C473" s="46" t="inlineStr">
        <is>
          <t>Total inventory</t>
        </is>
      </c>
      <c r="D473" s="43" t="inlineStr">
        <is>
          <t>សរុបប្រាក់ដែលនៅ</t>
        </is>
      </c>
      <c r="E473" s="75" t="n"/>
      <c r="F473" s="75" t="n"/>
      <c r="G473" s="75" t="inlineStr">
        <is>
          <t>សរុបប្រាក់ដែលនៅ</t>
        </is>
      </c>
      <c r="H473" s="75" t="inlineStr">
        <is>
          <t>សរុបប្រាក់ដែលនៅ</t>
        </is>
      </c>
      <c r="I473" s="75" t="n"/>
      <c r="J473" s="75" t="n"/>
      <c r="K473" s="75" t="inlineStr">
        <is>
          <t>"backlog.totalInventory": "សរុបប្រាក់ដែលនៅ",</t>
        </is>
      </c>
      <c r="L473" s="75" t="n"/>
      <c r="M473" s="75" t="n"/>
      <c r="N473" s="75" t="n"/>
      <c r="O473" s="75" t="n"/>
      <c r="P473" s="75" t="n"/>
      <c r="Q473" s="75" t="n"/>
      <c r="R473" s="75" t="n"/>
      <c r="S473" s="75" t="n"/>
      <c r="T473" s="75" t="n"/>
      <c r="U473" s="75" t="n"/>
      <c r="V473" s="75" t="n"/>
      <c r="W473" s="75" t="n"/>
      <c r="X473" s="75" t="n"/>
      <c r="Y473" s="75" t="n"/>
      <c r="Z473" s="45" t="n"/>
    </row>
    <row r="474">
      <c r="A474" s="40" t="inlineStr">
        <is>
          <t>backlog.orderId</t>
        </is>
      </c>
      <c r="B474" s="46" t="inlineStr">
        <is>
          <t>Mã phiếu gửi</t>
        </is>
      </c>
      <c r="C474" s="46" t="inlineStr">
        <is>
          <t>Billcode</t>
        </is>
      </c>
      <c r="D474" s="43" t="inlineStr">
        <is>
          <t>លេខកូដបុុងបញ្ញើ</t>
        </is>
      </c>
      <c r="E474" s="75" t="n"/>
      <c r="F474" s="75" t="n"/>
      <c r="G474" s="75" t="inlineStr">
        <is>
          <t>លេខកូដបុងបញ្ញើ</t>
        </is>
      </c>
      <c r="H474" s="75" t="inlineStr">
        <is>
          <t>លេខកូដបុងបញ្ញើ</t>
        </is>
      </c>
      <c r="I474" s="75" t="n"/>
      <c r="J474" s="75" t="n"/>
      <c r="K474" s="75" t="inlineStr">
        <is>
          <t>"backlog.orderId": "លេខកូដបុងបញ្ញើ",</t>
        </is>
      </c>
      <c r="L474" s="75" t="n"/>
      <c r="M474" s="75" t="n"/>
      <c r="N474" s="75" t="n"/>
      <c r="O474" s="75" t="n"/>
      <c r="P474" s="75" t="n"/>
      <c r="Q474" s="75" t="n"/>
      <c r="R474" s="75" t="n"/>
      <c r="S474" s="75" t="n"/>
      <c r="T474" s="75" t="n"/>
      <c r="U474" s="75" t="n"/>
      <c r="V474" s="75" t="n"/>
      <c r="W474" s="75" t="n"/>
      <c r="X474" s="75" t="n"/>
      <c r="Y474" s="75" t="n"/>
      <c r="Z474" s="45" t="n"/>
    </row>
    <row r="475">
      <c r="A475" s="40" t="inlineStr">
        <is>
          <t>backlog.status</t>
        </is>
      </c>
      <c r="B475" s="46" t="inlineStr">
        <is>
          <t>Trạng thái</t>
        </is>
      </c>
      <c r="C475" s="46" t="inlineStr">
        <is>
          <t>Status</t>
        </is>
      </c>
      <c r="D475" s="43" t="inlineStr">
        <is>
          <t>ស្ថានភាព</t>
        </is>
      </c>
      <c r="E475" s="75" t="n"/>
      <c r="F475" s="75" t="n"/>
      <c r="G475" s="75" t="inlineStr">
        <is>
          <t>ស្ថានភាព</t>
        </is>
      </c>
      <c r="H475" s="75" t="inlineStr">
        <is>
          <t>ស្ថានភាព</t>
        </is>
      </c>
      <c r="I475" s="75" t="n"/>
      <c r="J475" s="75" t="n"/>
      <c r="K475" s="75" t="inlineStr">
        <is>
          <t>"backlog.status": "ស្ថានភាព",</t>
        </is>
      </c>
      <c r="L475" s="75" t="n"/>
      <c r="M475" s="75" t="n"/>
      <c r="N475" s="75" t="n"/>
      <c r="O475" s="75" t="n"/>
      <c r="P475" s="75" t="n"/>
      <c r="Q475" s="75" t="n"/>
      <c r="R475" s="75" t="n"/>
      <c r="S475" s="75" t="n"/>
      <c r="T475" s="75" t="n"/>
      <c r="U475" s="75" t="n"/>
      <c r="V475" s="75" t="n"/>
      <c r="W475" s="75" t="n"/>
      <c r="X475" s="75" t="n"/>
      <c r="Y475" s="75" t="n"/>
      <c r="Z475" s="45" t="n"/>
    </row>
    <row r="476">
      <c r="A476" s="40" t="inlineStr">
        <is>
          <t>backlog.type</t>
        </is>
      </c>
      <c r="B476" s="46" t="inlineStr">
        <is>
          <t>Loại cảnh báo</t>
        </is>
      </c>
      <c r="C476" s="46" t="inlineStr">
        <is>
          <t>Warning type</t>
        </is>
      </c>
      <c r="D476" s="43" t="inlineStr">
        <is>
          <t>ប្រភេទនៃការជូនដំណឹង</t>
        </is>
      </c>
      <c r="E476" s="75" t="n"/>
      <c r="F476" s="75" t="n"/>
      <c r="G476" s="75" t="inlineStr">
        <is>
          <t>ប្រភេទនៃការជូនដំណឹង</t>
        </is>
      </c>
      <c r="H476" s="75" t="inlineStr">
        <is>
          <t>ប្រភេទនៃការជូនដំណឹង</t>
        </is>
      </c>
      <c r="I476" s="75" t="n"/>
      <c r="J476" s="75" t="n"/>
      <c r="K476" s="75" t="inlineStr">
        <is>
          <t>"backlog.type": "ប្រភេទនៃការជូនដំណឹង",</t>
        </is>
      </c>
      <c r="L476" s="75" t="n"/>
      <c r="M476" s="75" t="n"/>
      <c r="N476" s="75" t="n"/>
      <c r="O476" s="75" t="n"/>
      <c r="P476" s="75" t="n"/>
      <c r="Q476" s="75" t="n"/>
      <c r="R476" s="75" t="n"/>
      <c r="S476" s="75" t="n"/>
      <c r="T476" s="75" t="n"/>
      <c r="U476" s="75" t="n"/>
      <c r="V476" s="75" t="n"/>
      <c r="W476" s="75" t="n"/>
      <c r="X476" s="75" t="n"/>
      <c r="Y476" s="75" t="n"/>
      <c r="Z476" s="45" t="n"/>
    </row>
    <row r="477">
      <c r="A477" s="40" t="inlineStr">
        <is>
          <t>backlog.deliveryBranch</t>
        </is>
      </c>
      <c r="B477" s="46" t="inlineStr">
        <is>
          <t>Chi nhánh phát</t>
        </is>
      </c>
      <c r="C477" s="46" t="inlineStr">
        <is>
          <t>Delivery branch</t>
        </is>
      </c>
      <c r="D477" s="43" t="inlineStr">
        <is>
          <t>សាខាដឹកចេញ</t>
        </is>
      </c>
      <c r="E477" s="75" t="n"/>
      <c r="F477" s="75" t="n"/>
      <c r="G477" s="75" t="inlineStr">
        <is>
          <t>សាខាដឹកចេញ</t>
        </is>
      </c>
      <c r="H477" s="75" t="inlineStr">
        <is>
          <t>សាខាដឹកចេញ</t>
        </is>
      </c>
      <c r="I477" s="75" t="n"/>
      <c r="J477" s="75" t="n"/>
      <c r="K477" s="75" t="inlineStr">
        <is>
          <t>"backlog.deliveryBranch": "សាខាដឹកចេញ",</t>
        </is>
      </c>
      <c r="L477" s="75" t="n"/>
      <c r="M477" s="75" t="n"/>
      <c r="N477" s="75" t="n"/>
      <c r="O477" s="75" t="n"/>
      <c r="P477" s="75" t="n"/>
      <c r="Q477" s="75" t="n"/>
      <c r="R477" s="75" t="n"/>
      <c r="S477" s="75" t="n"/>
      <c r="T477" s="75" t="n"/>
      <c r="U477" s="75" t="n"/>
      <c r="V477" s="75" t="n"/>
      <c r="W477" s="75" t="n"/>
      <c r="X477" s="75" t="n"/>
      <c r="Y477" s="75" t="n"/>
      <c r="Z477" s="45" t="n"/>
    </row>
    <row r="478">
      <c r="A478" s="40" t="inlineStr">
        <is>
          <t>backlog.deliveryPostcode</t>
        </is>
      </c>
      <c r="B478" s="46" t="inlineStr">
        <is>
          <t>Bưu cục phát</t>
        </is>
      </c>
      <c r="C478" s="46" t="inlineStr">
        <is>
          <t>Delivery postcode</t>
        </is>
      </c>
      <c r="D478" s="43" t="inlineStr">
        <is>
          <t>ការិយាល័យប្រៃសណីយ៍ដឹកជញ្ជូន</t>
        </is>
      </c>
      <c r="E478" s="75" t="n"/>
      <c r="F478" s="75" t="n"/>
      <c r="G478" s="75" t="inlineStr">
        <is>
          <t>ការិយាល័យប្រៃសណីយ៍ដឹកចែក</t>
        </is>
      </c>
      <c r="H478" s="75" t="inlineStr">
        <is>
          <t>ការិយាល័យប្រៃសណីយ៍ដឹកចែក</t>
        </is>
      </c>
      <c r="I478" s="75" t="n"/>
      <c r="J478" s="75" t="n"/>
      <c r="K478" s="75" t="inlineStr">
        <is>
          <t>"backlog.deliveryPostcode": "ការិយាល័យប្រៃសណីយ៍ដឹកចែក",</t>
        </is>
      </c>
      <c r="L478" s="75" t="n"/>
      <c r="M478" s="75" t="n"/>
      <c r="N478" s="75" t="n"/>
      <c r="O478" s="75" t="n"/>
      <c r="P478" s="75" t="n"/>
      <c r="Q478" s="75" t="n"/>
      <c r="R478" s="75" t="n"/>
      <c r="S478" s="75" t="n"/>
      <c r="T478" s="75" t="n"/>
      <c r="U478" s="75" t="n"/>
      <c r="V478" s="75" t="n"/>
      <c r="W478" s="75" t="n"/>
      <c r="X478" s="75" t="n"/>
      <c r="Y478" s="75" t="n"/>
      <c r="Z478" s="45" t="n"/>
    </row>
    <row r="479">
      <c r="A479" s="40" t="inlineStr">
        <is>
          <t>backlog.deliveryRoute</t>
        </is>
      </c>
      <c r="B479" s="46" t="inlineStr">
        <is>
          <t>Tuyến bưu tá phát</t>
        </is>
      </c>
      <c r="C479" s="46" t="inlineStr">
        <is>
          <t>Delivery route</t>
        </is>
      </c>
      <c r="D479" s="43" t="inlineStr">
        <is>
          <t>ផ្លូ្លវអ្នកដឹកជញ្ជូនប្រគល់</t>
        </is>
      </c>
      <c r="E479" s="75" t="n"/>
      <c r="F479" s="75" t="n"/>
      <c r="G479" s="75" t="inlineStr">
        <is>
          <t>ផ្លូ្លវអ្នកដឹកជញ្ជូនប្រគល់</t>
        </is>
      </c>
      <c r="H479" s="75" t="inlineStr">
        <is>
          <t>ផ្លូ្លវអ្នកដឹកជញ្ជូនប្រគល់</t>
        </is>
      </c>
      <c r="I479" s="75" t="n"/>
      <c r="J479" s="75" t="n"/>
      <c r="K479" s="75" t="inlineStr">
        <is>
          <t>"backlog.deliveryRoute": "ផ្លូ្លវអ្នកដឹកជញ្ជូនប្រគល់",</t>
        </is>
      </c>
      <c r="L479" s="75" t="n"/>
      <c r="M479" s="75" t="n"/>
      <c r="N479" s="75" t="n"/>
      <c r="O479" s="75" t="n"/>
      <c r="P479" s="75" t="n"/>
      <c r="Q479" s="75" t="n"/>
      <c r="R479" s="75" t="n"/>
      <c r="S479" s="75" t="n"/>
      <c r="T479" s="75" t="n"/>
      <c r="U479" s="75" t="n"/>
      <c r="V479" s="75" t="n"/>
      <c r="W479" s="75" t="n"/>
      <c r="X479" s="75" t="n"/>
      <c r="Y479" s="75" t="n"/>
      <c r="Z479" s="45" t="n"/>
    </row>
    <row r="480">
      <c r="A480" s="40" t="inlineStr">
        <is>
          <t>backlog.popupTitle</t>
        </is>
      </c>
      <c r="B480" s="46" t="inlineStr">
        <is>
          <t>Chi tiết bưu gửi tồn giao</t>
        </is>
      </c>
      <c r="C480" s="46" t="inlineStr">
        <is>
          <t>Detail delivery backlog order</t>
        </is>
      </c>
      <c r="D480" s="75" t="n"/>
      <c r="E480" s="75" t="n"/>
      <c r="F480" s="75" t="n"/>
      <c r="G480" s="75" t="inlineStr">
        <is>
          <t>ព័ត៌មានលម្អិតbưu ផ្ញើ tồn giao</t>
        </is>
      </c>
      <c r="H480" s="75" t="inlineStr">
        <is>
          <t>ព័ត៌មានលម្អិតbưu ផ្ញើ tồn giao</t>
        </is>
      </c>
      <c r="I480" s="75" t="n"/>
      <c r="J480" s="75" t="n"/>
      <c r="K480" s="75" t="inlineStr">
        <is>
          <t>"backlog.popupTitle": "ព័ត៌មានលម្អិតbưu ផ្ញើ tồn giao",</t>
        </is>
      </c>
      <c r="L480" s="75" t="n"/>
      <c r="M480" s="75" t="n"/>
      <c r="N480" s="75" t="n"/>
      <c r="O480" s="75" t="n"/>
      <c r="P480" s="75" t="n"/>
      <c r="Q480" s="75" t="n"/>
      <c r="R480" s="75" t="n"/>
      <c r="S480" s="75" t="n"/>
      <c r="T480" s="75" t="n"/>
      <c r="U480" s="75" t="n"/>
      <c r="V480" s="75" t="n"/>
      <c r="W480" s="75" t="n"/>
      <c r="X480" s="75" t="n"/>
      <c r="Y480" s="75" t="n"/>
      <c r="Z480" s="45" t="n"/>
    </row>
    <row r="481">
      <c r="A481" s="40" t="inlineStr">
        <is>
          <t>backlog.fileName</t>
        </is>
      </c>
      <c r="B481" s="46" t="inlineStr">
        <is>
          <t>Baocaotongiao</t>
        </is>
      </c>
      <c r="C481" s="46" t="inlineStr">
        <is>
          <t>DeliveryInventoryReport</t>
        </is>
      </c>
      <c r="D481" s="75" t="n"/>
      <c r="E481" s="75" t="n"/>
      <c r="F481" s="75" t="n"/>
      <c r="G481" s="75" t="inlineStr">
        <is>
          <t>របាយការណ៍បញ្ញើសេសសល់ត្រូវដឹកចែក</t>
        </is>
      </c>
      <c r="H481" s="75" t="inlineStr">
        <is>
          <t>របាយការណ៍បញ្ញើសេសសល់ត្រូវដឹកចែក</t>
        </is>
      </c>
      <c r="I481" s="75" t="n"/>
      <c r="J481" s="75" t="n"/>
      <c r="K481" s="75" t="inlineStr">
        <is>
          <t>"backlog.fileName": "របាយការណ៍បញ្ញើសេសសល់ត្រូវដឹកចែក",</t>
        </is>
      </c>
      <c r="L481" s="75" t="n"/>
      <c r="M481" s="75" t="n"/>
      <c r="N481" s="75" t="n"/>
      <c r="O481" s="75" t="n"/>
      <c r="P481" s="75" t="n"/>
      <c r="Q481" s="75" t="n"/>
      <c r="R481" s="75" t="n"/>
      <c r="S481" s="75" t="n"/>
      <c r="T481" s="75" t="n"/>
      <c r="U481" s="75" t="n"/>
      <c r="V481" s="75" t="n"/>
      <c r="W481" s="75" t="n"/>
      <c r="X481" s="75" t="n"/>
      <c r="Y481" s="75" t="n"/>
      <c r="Z481" s="45" t="n"/>
    </row>
    <row r="482">
      <c r="A482" s="40" t="inlineStr">
        <is>
          <t>backlog.fileNameDetail</t>
        </is>
      </c>
      <c r="B482" s="46" t="inlineStr">
        <is>
          <t>Chitietongiao</t>
        </is>
      </c>
      <c r="C482" s="46" t="inlineStr">
        <is>
          <t>DetailDeliveryInventory</t>
        </is>
      </c>
      <c r="D482" s="75" t="n"/>
      <c r="E482" s="75" t="n"/>
      <c r="F482" s="75" t="n"/>
      <c r="G482" s="75" t="inlineStr">
        <is>
          <t>ព័ត៌មានលម្អិតបញ្ញើសេសសល់ត្រូវដឹកចែក</t>
        </is>
      </c>
      <c r="H482" s="75" t="inlineStr">
        <is>
          <t>ព័ត៌មានលម្អិតបញ្ញើសេសសល់ត្រូវដឹកចែក</t>
        </is>
      </c>
      <c r="I482" s="75" t="n"/>
      <c r="J482" s="75" t="n"/>
      <c r="K482" s="75" t="inlineStr">
        <is>
          <t>"backlog.fileNameDetail": "ព័ត៌មានលម្អិតបញ្ញើសេសសល់ត្រូវដឹកចែក",</t>
        </is>
      </c>
      <c r="L482" s="75" t="n"/>
      <c r="M482" s="75" t="n"/>
      <c r="N482" s="75" t="n"/>
      <c r="O482" s="75" t="n"/>
      <c r="P482" s="75" t="n"/>
      <c r="Q482" s="75" t="n"/>
      <c r="R482" s="75" t="n"/>
      <c r="S482" s="75" t="n"/>
      <c r="T482" s="75" t="n"/>
      <c r="U482" s="75" t="n"/>
      <c r="V482" s="75" t="n"/>
      <c r="W482" s="75" t="n"/>
      <c r="X482" s="75" t="n"/>
      <c r="Y482" s="75" t="n"/>
      <c r="Z482" s="45" t="n"/>
    </row>
    <row r="483">
      <c r="A483" s="40" t="inlineStr">
        <is>
          <t>backlog.ngayN</t>
        </is>
      </c>
      <c r="B483" s="46" t="inlineStr">
        <is>
          <t>Ngày n</t>
        </is>
      </c>
      <c r="C483" s="46" t="inlineStr">
        <is>
          <t>Day n</t>
        </is>
      </c>
      <c r="D483" s="43" t="inlineStr">
        <is>
          <t>ថ្ងៃ n</t>
        </is>
      </c>
      <c r="E483" s="75" t="n"/>
      <c r="F483" s="75" t="n"/>
      <c r="G483" s="75" t="inlineStr">
        <is>
          <t>ថ្ងៃ n</t>
        </is>
      </c>
      <c r="H483" s="75" t="inlineStr">
        <is>
          <t>ថ្ងៃ n</t>
        </is>
      </c>
      <c r="I483" s="75" t="n"/>
      <c r="J483" s="75" t="n"/>
      <c r="K483" s="75" t="inlineStr">
        <is>
          <t>"backlog.ngayN": "ថ្ងៃ n",</t>
        </is>
      </c>
      <c r="L483" s="75" t="n"/>
      <c r="M483" s="75" t="n"/>
      <c r="N483" s="75" t="n"/>
      <c r="O483" s="75" t="n"/>
      <c r="P483" s="75" t="n"/>
      <c r="Q483" s="75" t="n"/>
      <c r="R483" s="75" t="n"/>
      <c r="S483" s="75" t="n"/>
      <c r="T483" s="75" t="n"/>
      <c r="U483" s="75" t="n"/>
      <c r="V483" s="75" t="n"/>
      <c r="W483" s="75" t="n"/>
      <c r="X483" s="75" t="n"/>
      <c r="Y483" s="75" t="n"/>
      <c r="Z483" s="45" t="n"/>
    </row>
    <row r="484">
      <c r="A484" s="40" t="inlineStr">
        <is>
          <t>backlog.ngayN1</t>
        </is>
      </c>
      <c r="B484" s="46" t="inlineStr">
        <is>
          <t>Ngày n - 1</t>
        </is>
      </c>
      <c r="C484" s="46" t="inlineStr">
        <is>
          <t>Day n - 1</t>
        </is>
      </c>
      <c r="D484" s="43" t="inlineStr">
        <is>
          <t>ថ្ងៃ n - 1</t>
        </is>
      </c>
      <c r="E484" s="75" t="n"/>
      <c r="F484" s="75" t="n"/>
      <c r="G484" s="75" t="inlineStr">
        <is>
          <t>ថ្ងៃ n - 1</t>
        </is>
      </c>
      <c r="H484" s="75" t="inlineStr">
        <is>
          <t>ថ្ងៃ n - 1</t>
        </is>
      </c>
      <c r="I484" s="75" t="n"/>
      <c r="J484" s="75" t="n"/>
      <c r="K484" s="75" t="inlineStr">
        <is>
          <t>"backlog.ngayN1": "ថ្ងៃ n - 1",</t>
        </is>
      </c>
      <c r="L484" s="75" t="n"/>
      <c r="M484" s="75" t="n"/>
      <c r="N484" s="75" t="n"/>
      <c r="O484" s="75" t="n"/>
      <c r="P484" s="75" t="n"/>
      <c r="Q484" s="75" t="n"/>
      <c r="R484" s="75" t="n"/>
      <c r="S484" s="75" t="n"/>
      <c r="T484" s="75" t="n"/>
      <c r="U484" s="75" t="n"/>
      <c r="V484" s="75" t="n"/>
      <c r="W484" s="75" t="n"/>
      <c r="X484" s="75" t="n"/>
      <c r="Y484" s="75" t="n"/>
      <c r="Z484" s="45" t="n"/>
    </row>
    <row r="485">
      <c r="A485" s="40" t="inlineStr">
        <is>
          <t>backlog.ngayN2</t>
        </is>
      </c>
      <c r="B485" s="46" t="inlineStr">
        <is>
          <t>Ngày n - 2</t>
        </is>
      </c>
      <c r="C485" s="46" t="inlineStr">
        <is>
          <t>Day n - 2</t>
        </is>
      </c>
      <c r="D485" s="43" t="inlineStr">
        <is>
          <t>ថ្ងៃ n - 2</t>
        </is>
      </c>
      <c r="E485" s="75" t="n"/>
      <c r="F485" s="75" t="n"/>
      <c r="G485" s="75" t="inlineStr">
        <is>
          <t>ថ្ងៃ n - 2</t>
        </is>
      </c>
      <c r="H485" s="75" t="inlineStr">
        <is>
          <t>ថ្ងៃ n - 2</t>
        </is>
      </c>
      <c r="I485" s="75" t="n"/>
      <c r="J485" s="75" t="n"/>
      <c r="K485" s="75" t="inlineStr">
        <is>
          <t>"backlog.ngayN2": "ថ្ងៃ n - 2",</t>
        </is>
      </c>
      <c r="L485" s="75" t="n"/>
      <c r="M485" s="75" t="n"/>
      <c r="N485" s="75" t="n"/>
      <c r="O485" s="75" t="n"/>
      <c r="P485" s="75" t="n"/>
      <c r="Q485" s="75" t="n"/>
      <c r="R485" s="75" t="n"/>
      <c r="S485" s="75" t="n"/>
      <c r="T485" s="75" t="n"/>
      <c r="U485" s="75" t="n"/>
      <c r="V485" s="75" t="n"/>
      <c r="W485" s="75" t="n"/>
      <c r="X485" s="75" t="n"/>
      <c r="Y485" s="75" t="n"/>
      <c r="Z485" s="45" t="n"/>
    </row>
    <row r="486">
      <c r="A486" s="40" t="inlineStr">
        <is>
          <t>backlog.ngayN3</t>
        </is>
      </c>
      <c r="B486" s="46" t="inlineStr">
        <is>
          <t>Ngày n - 3</t>
        </is>
      </c>
      <c r="C486" s="46" t="inlineStr">
        <is>
          <t>Day n - 3</t>
        </is>
      </c>
      <c r="D486" s="43" t="inlineStr">
        <is>
          <t>ថ្ងៃ n - 3</t>
        </is>
      </c>
      <c r="E486" s="75" t="n"/>
      <c r="F486" s="75" t="n"/>
      <c r="G486" s="75" t="inlineStr">
        <is>
          <t>ថ្ងៃ n - 3</t>
        </is>
      </c>
      <c r="H486" s="75" t="inlineStr">
        <is>
          <t>ថ្ងៃ n - 3</t>
        </is>
      </c>
      <c r="I486" s="75" t="n"/>
      <c r="J486" s="75" t="n"/>
      <c r="K486" s="75" t="inlineStr">
        <is>
          <t>"backlog.ngayN3": "ថ្ងៃ n - 3",</t>
        </is>
      </c>
      <c r="L486" s="75" t="n"/>
      <c r="M486" s="75" t="n"/>
      <c r="N486" s="75" t="n"/>
      <c r="O486" s="75" t="n"/>
      <c r="P486" s="75" t="n"/>
      <c r="Q486" s="75" t="n"/>
      <c r="R486" s="75" t="n"/>
      <c r="S486" s="75" t="n"/>
      <c r="T486" s="75" t="n"/>
      <c r="U486" s="75" t="n"/>
      <c r="V486" s="75" t="n"/>
      <c r="W486" s="75" t="n"/>
      <c r="X486" s="75" t="n"/>
      <c r="Y486" s="75" t="n"/>
      <c r="Z486" s="45" t="n"/>
    </row>
    <row r="487">
      <c r="A487" s="40" t="inlineStr">
        <is>
          <t>backlog.ngayN4</t>
        </is>
      </c>
      <c r="B487" s="46" t="inlineStr">
        <is>
          <t>Ngày n - 4</t>
        </is>
      </c>
      <c r="C487" s="46" t="inlineStr">
        <is>
          <t>Day n - 4</t>
        </is>
      </c>
      <c r="D487" s="43" t="inlineStr">
        <is>
          <t>ថ្ងៃ n - 4</t>
        </is>
      </c>
      <c r="E487" s="75" t="n"/>
      <c r="F487" s="75" t="n"/>
      <c r="G487" s="75" t="inlineStr">
        <is>
          <t>ថ្ងៃ n - 4</t>
        </is>
      </c>
      <c r="H487" s="75" t="inlineStr">
        <is>
          <t>ថ្ងៃ n - 4</t>
        </is>
      </c>
      <c r="I487" s="75" t="n"/>
      <c r="J487" s="75" t="n"/>
      <c r="K487" s="75" t="inlineStr">
        <is>
          <t>"backlog.ngayN4": "ថ្ងៃ n - 4",</t>
        </is>
      </c>
      <c r="L487" s="75" t="n"/>
      <c r="M487" s="75" t="n"/>
      <c r="N487" s="75" t="n"/>
      <c r="O487" s="75" t="n"/>
      <c r="P487" s="75" t="n"/>
      <c r="Q487" s="75" t="n"/>
      <c r="R487" s="75" t="n"/>
      <c r="S487" s="75" t="n"/>
      <c r="T487" s="75" t="n"/>
      <c r="U487" s="75" t="n"/>
      <c r="V487" s="75" t="n"/>
      <c r="W487" s="75" t="n"/>
      <c r="X487" s="75" t="n"/>
      <c r="Y487" s="75" t="n"/>
      <c r="Z487" s="45" t="n"/>
    </row>
    <row r="488">
      <c r="A488" s="40" t="inlineStr">
        <is>
          <t>backlog.ngayN5</t>
        </is>
      </c>
      <c r="B488" s="46" t="inlineStr">
        <is>
          <t>Ngày n - 5</t>
        </is>
      </c>
      <c r="C488" s="46" t="inlineStr">
        <is>
          <t>Day n - 5</t>
        </is>
      </c>
      <c r="D488" s="43" t="inlineStr">
        <is>
          <t>ថ្ងៃ n - 5</t>
        </is>
      </c>
      <c r="E488" s="75" t="n"/>
      <c r="F488" s="75" t="n"/>
      <c r="G488" s="75" t="inlineStr">
        <is>
          <t>ថ្ងៃ n - 5</t>
        </is>
      </c>
      <c r="H488" s="75" t="inlineStr">
        <is>
          <t>ថ្ងៃ n - 5</t>
        </is>
      </c>
      <c r="I488" s="75" t="n"/>
      <c r="J488" s="75" t="n"/>
      <c r="K488" s="75" t="inlineStr">
        <is>
          <t>"backlog.ngayN5": "ថ្ងៃ n - 5",</t>
        </is>
      </c>
      <c r="L488" s="75" t="n"/>
      <c r="M488" s="75" t="n"/>
      <c r="N488" s="75" t="n"/>
      <c r="O488" s="75" t="n"/>
      <c r="P488" s="75" t="n"/>
      <c r="Q488" s="75" t="n"/>
      <c r="R488" s="75" t="n"/>
      <c r="S488" s="75" t="n"/>
      <c r="T488" s="75" t="n"/>
      <c r="U488" s="75" t="n"/>
      <c r="V488" s="75" t="n"/>
      <c r="W488" s="75" t="n"/>
      <c r="X488" s="75" t="n"/>
      <c r="Y488" s="75" t="n"/>
      <c r="Z488" s="45" t="n"/>
    </row>
    <row r="489">
      <c r="A489" s="40" t="inlineStr">
        <is>
          <t>backlog.ngayN6</t>
        </is>
      </c>
      <c r="B489" s="46" t="inlineStr">
        <is>
          <t>Ngày n - 6</t>
        </is>
      </c>
      <c r="C489" s="46" t="inlineStr">
        <is>
          <t>Day n - 6</t>
        </is>
      </c>
      <c r="D489" s="43" t="inlineStr">
        <is>
          <t>ថ្ងៃ n - 6</t>
        </is>
      </c>
      <c r="E489" s="75" t="n"/>
      <c r="F489" s="75" t="n"/>
      <c r="G489" s="75" t="inlineStr">
        <is>
          <t>ថ្ងៃ n - 6</t>
        </is>
      </c>
      <c r="H489" s="75" t="inlineStr">
        <is>
          <t>ថ្ងៃ n - 6</t>
        </is>
      </c>
      <c r="I489" s="75" t="n"/>
      <c r="J489" s="75" t="n"/>
      <c r="K489" s="75" t="inlineStr">
        <is>
          <t>"backlog.ngayN6": "ថ្ងៃ n - 6",</t>
        </is>
      </c>
      <c r="L489" s="75" t="n"/>
      <c r="M489" s="75" t="n"/>
      <c r="N489" s="75" t="n"/>
      <c r="O489" s="75" t="n"/>
      <c r="P489" s="75" t="n"/>
      <c r="Q489" s="75" t="n"/>
      <c r="R489" s="75" t="n"/>
      <c r="S489" s="75" t="n"/>
      <c r="T489" s="75" t="n"/>
      <c r="U489" s="75" t="n"/>
      <c r="V489" s="75" t="n"/>
      <c r="W489" s="75" t="n"/>
      <c r="X489" s="75" t="n"/>
      <c r="Y489" s="75" t="n"/>
      <c r="Z489" s="45" t="n"/>
    </row>
    <row r="490">
      <c r="A490" s="40" t="inlineStr">
        <is>
          <t>backlog.ngayN7</t>
        </is>
      </c>
      <c r="B490" s="46" t="inlineStr">
        <is>
          <t>Ngày n - 7</t>
        </is>
      </c>
      <c r="C490" s="46" t="inlineStr">
        <is>
          <t>Day n - 7</t>
        </is>
      </c>
      <c r="D490" s="43" t="inlineStr">
        <is>
          <t>ថ្ងៃ n - 7</t>
        </is>
      </c>
      <c r="E490" s="75" t="n"/>
      <c r="F490" s="75" t="n"/>
      <c r="G490" s="75" t="inlineStr">
        <is>
          <t>ថ្ងៃ n - 7</t>
        </is>
      </c>
      <c r="H490" s="75" t="inlineStr">
        <is>
          <t>ថ្ងៃ n - 7</t>
        </is>
      </c>
      <c r="I490" s="75" t="n"/>
      <c r="J490" s="75" t="n"/>
      <c r="K490" s="75" t="inlineStr">
        <is>
          <t>"backlog.ngayN7": "ថ្ងៃ n - 7",</t>
        </is>
      </c>
      <c r="L490" s="75" t="n"/>
      <c r="M490" s="75" t="n"/>
      <c r="N490" s="75" t="n"/>
      <c r="O490" s="75" t="n"/>
      <c r="P490" s="75" t="n"/>
      <c r="Q490" s="75" t="n"/>
      <c r="R490" s="75" t="n"/>
      <c r="S490" s="75" t="n"/>
      <c r="T490" s="75" t="n"/>
      <c r="U490" s="75" t="n"/>
      <c r="V490" s="75" t="n"/>
      <c r="W490" s="75" t="n"/>
      <c r="X490" s="75" t="n"/>
      <c r="Y490" s="75" t="n"/>
      <c r="Z490" s="45" t="n"/>
    </row>
    <row r="491">
      <c r="A491" s="40" t="inlineStr">
        <is>
          <t>backlog.ngayN8</t>
        </is>
      </c>
      <c r="B491" s="46" t="inlineStr">
        <is>
          <t>Ngày n - 8</t>
        </is>
      </c>
      <c r="C491" s="46" t="inlineStr">
        <is>
          <t>Day n - 8</t>
        </is>
      </c>
      <c r="D491" s="43" t="inlineStr">
        <is>
          <t>ថ្ងៃ n - 8</t>
        </is>
      </c>
      <c r="E491" s="75" t="n"/>
      <c r="F491" s="75" t="n"/>
      <c r="G491" s="75" t="inlineStr">
        <is>
          <t>ថ្ងៃ n - 8</t>
        </is>
      </c>
      <c r="H491" s="75" t="inlineStr">
        <is>
          <t>ថ្ងៃ n - 8</t>
        </is>
      </c>
      <c r="I491" s="75" t="n"/>
      <c r="J491" s="75" t="n"/>
      <c r="K491" s="75" t="inlineStr">
        <is>
          <t>"backlog.ngayN8": "ថ្ងៃ n - 8",</t>
        </is>
      </c>
      <c r="L491" s="75" t="n"/>
      <c r="M491" s="75" t="n"/>
      <c r="N491" s="75" t="n"/>
      <c r="O491" s="75" t="n"/>
      <c r="P491" s="75" t="n"/>
      <c r="Q491" s="75" t="n"/>
      <c r="R491" s="75" t="n"/>
      <c r="S491" s="75" t="n"/>
      <c r="T491" s="75" t="n"/>
      <c r="U491" s="75" t="n"/>
      <c r="V491" s="75" t="n"/>
      <c r="W491" s="75" t="n"/>
      <c r="X491" s="75" t="n"/>
      <c r="Y491" s="75" t="n"/>
      <c r="Z491" s="45" t="n"/>
    </row>
    <row r="492">
      <c r="A492" s="40" t="inlineStr">
        <is>
          <t>backlog.ngayN9</t>
        </is>
      </c>
      <c r="B492" s="46" t="inlineStr">
        <is>
          <t>Ngày n - 9</t>
        </is>
      </c>
      <c r="C492" s="46" t="inlineStr">
        <is>
          <t>Day n - 9</t>
        </is>
      </c>
      <c r="D492" s="43" t="inlineStr">
        <is>
          <t>ថ្ងៃ n - 9</t>
        </is>
      </c>
      <c r="E492" s="75" t="n"/>
      <c r="F492" s="75" t="n"/>
      <c r="G492" s="75" t="inlineStr">
        <is>
          <t>ថ្ងៃ n - 9</t>
        </is>
      </c>
      <c r="H492" s="75" t="inlineStr">
        <is>
          <t>ថ្ងៃ n - 9</t>
        </is>
      </c>
      <c r="I492" s="75" t="n"/>
      <c r="J492" s="75" t="n"/>
      <c r="K492" s="75" t="inlineStr">
        <is>
          <t>"backlog.ngayN9": "ថ្ងៃ n - 9",</t>
        </is>
      </c>
      <c r="L492" s="75" t="n"/>
      <c r="M492" s="75" t="n"/>
      <c r="N492" s="75" t="n"/>
      <c r="O492" s="75" t="n"/>
      <c r="P492" s="75" t="n"/>
      <c r="Q492" s="75" t="n"/>
      <c r="R492" s="75" t="n"/>
      <c r="S492" s="75" t="n"/>
      <c r="T492" s="75" t="n"/>
      <c r="U492" s="75" t="n"/>
      <c r="V492" s="75" t="n"/>
      <c r="W492" s="75" t="n"/>
      <c r="X492" s="75" t="n"/>
      <c r="Y492" s="75" t="n"/>
      <c r="Z492" s="45" t="n"/>
    </row>
    <row r="493">
      <c r="A493" s="40" t="inlineStr">
        <is>
          <t>inventory.branch</t>
        </is>
      </c>
      <c r="B493" s="46" t="inlineStr">
        <is>
          <t>Chi nhánh</t>
        </is>
      </c>
      <c r="C493" s="46" t="inlineStr">
        <is>
          <t>Branch</t>
        </is>
      </c>
      <c r="D493" s="43" t="inlineStr">
        <is>
          <t>សាខា</t>
        </is>
      </c>
      <c r="E493" s="75" t="n"/>
      <c r="F493" s="75" t="n"/>
      <c r="G493" s="75" t="inlineStr">
        <is>
          <t>សាខា</t>
        </is>
      </c>
      <c r="H493" s="75" t="inlineStr">
        <is>
          <t>សាខា</t>
        </is>
      </c>
      <c r="I493" s="75" t="n"/>
      <c r="J493" s="75" t="n"/>
      <c r="K493" s="75" t="inlineStr">
        <is>
          <t>"inventory.branch": "សាខា",</t>
        </is>
      </c>
      <c r="L493" s="75" t="n"/>
      <c r="M493" s="75" t="n"/>
      <c r="N493" s="75" t="n"/>
      <c r="O493" s="75" t="n"/>
      <c r="P493" s="75" t="n"/>
      <c r="Q493" s="75" t="n"/>
      <c r="R493" s="75" t="n"/>
      <c r="S493" s="75" t="n"/>
      <c r="T493" s="75" t="n"/>
      <c r="U493" s="75" t="n"/>
      <c r="V493" s="75" t="n"/>
      <c r="W493" s="75" t="n"/>
      <c r="X493" s="75" t="n"/>
      <c r="Y493" s="75" t="n"/>
      <c r="Z493" s="45" t="n"/>
    </row>
    <row r="494">
      <c r="A494" s="40" t="inlineStr">
        <is>
          <t>inventory.postOffice</t>
        </is>
      </c>
      <c r="B494" s="46" t="inlineStr">
        <is>
          <t>Bưu cục</t>
        </is>
      </c>
      <c r="C494" s="46" t="inlineStr">
        <is>
          <t>Post office</t>
        </is>
      </c>
      <c r="D494" s="43" t="inlineStr">
        <is>
          <t>ការិយាល័យប្រៃសណីយ៍</t>
        </is>
      </c>
      <c r="E494" s="75" t="n"/>
      <c r="F494" s="75" t="n"/>
      <c r="G494" s="75" t="inlineStr">
        <is>
          <t>ការិយាល័យប្រៃសណីយ៍</t>
        </is>
      </c>
      <c r="H494" s="75" t="inlineStr">
        <is>
          <t>ការិយាល័យប្រៃសណីយ៍</t>
        </is>
      </c>
      <c r="I494" s="75" t="n"/>
      <c r="J494" s="75" t="n"/>
      <c r="K494" s="75" t="inlineStr">
        <is>
          <t>"inventory.postOffice": "ការិយាល័យប្រៃសណីយ៍",</t>
        </is>
      </c>
      <c r="L494" s="75" t="n"/>
      <c r="M494" s="75" t="n"/>
      <c r="N494" s="75" t="n"/>
      <c r="O494" s="75" t="n"/>
      <c r="P494" s="75" t="n"/>
      <c r="Q494" s="75" t="n"/>
      <c r="R494" s="75" t="n"/>
      <c r="S494" s="75" t="n"/>
      <c r="T494" s="75" t="n"/>
      <c r="U494" s="75" t="n"/>
      <c r="V494" s="75" t="n"/>
      <c r="W494" s="75" t="n"/>
      <c r="X494" s="75" t="n"/>
      <c r="Y494" s="75" t="n"/>
      <c r="Z494" s="45" t="n"/>
    </row>
    <row r="495">
      <c r="A495" s="40" t="inlineStr">
        <is>
          <t>inventory.route</t>
        </is>
      </c>
      <c r="B495" s="46" t="inlineStr">
        <is>
          <t>Tuyến</t>
        </is>
      </c>
      <c r="C495" s="46" t="inlineStr">
        <is>
          <t>Route</t>
        </is>
      </c>
      <c r="D495" s="43" t="inlineStr">
        <is>
          <t>ផ្លូវដឹក</t>
        </is>
      </c>
      <c r="E495" s="75" t="n"/>
      <c r="F495" s="75" t="n"/>
      <c r="G495" s="75" t="inlineStr">
        <is>
          <t>ផ្លូវដឹក</t>
        </is>
      </c>
      <c r="H495" s="75" t="inlineStr">
        <is>
          <t>ផ្លូវដឹក</t>
        </is>
      </c>
      <c r="I495" s="75" t="n"/>
      <c r="J495" s="75" t="n"/>
      <c r="K495" s="75" t="inlineStr">
        <is>
          <t>"inventory.route": "ផ្លូវដឹក",</t>
        </is>
      </c>
      <c r="L495" s="75" t="n"/>
      <c r="M495" s="75" t="n"/>
      <c r="N495" s="75" t="n"/>
      <c r="O495" s="75" t="n"/>
      <c r="P495" s="75" t="n"/>
      <c r="Q495" s="75" t="n"/>
      <c r="R495" s="75" t="n"/>
      <c r="S495" s="75" t="n"/>
      <c r="T495" s="75" t="n"/>
      <c r="U495" s="75" t="n"/>
      <c r="V495" s="75" t="n"/>
      <c r="W495" s="75" t="n"/>
      <c r="X495" s="75" t="n"/>
      <c r="Y495" s="75" t="n"/>
      <c r="Z495" s="45" t="n"/>
    </row>
    <row r="496">
      <c r="A496" s="40" t="inlineStr">
        <is>
          <t>inventory.selectBranch</t>
        </is>
      </c>
      <c r="B496" s="46" t="inlineStr">
        <is>
          <t>Chọn chi nhánh</t>
        </is>
      </c>
      <c r="C496" s="46" t="inlineStr">
        <is>
          <t>Select branch</t>
        </is>
      </c>
      <c r="D496" s="43" t="inlineStr">
        <is>
          <t>ជ្រើសរើសសាខា</t>
        </is>
      </c>
      <c r="E496" s="75" t="n"/>
      <c r="F496" s="75" t="n"/>
      <c r="G496" s="75" t="inlineStr">
        <is>
          <t>ជ្រើសរើសសាខា</t>
        </is>
      </c>
      <c r="H496" s="75" t="inlineStr">
        <is>
          <t>ជ្រើសរើសសាខា</t>
        </is>
      </c>
      <c r="I496" s="75" t="n"/>
      <c r="J496" s="75" t="n"/>
      <c r="K496" s="75" t="inlineStr">
        <is>
          <t>"inventory.selectBranch": "ជ្រើសរើសសាខា",</t>
        </is>
      </c>
      <c r="L496" s="75" t="n"/>
      <c r="M496" s="75" t="n"/>
      <c r="N496" s="75" t="n"/>
      <c r="O496" s="75" t="n"/>
      <c r="P496" s="75" t="n"/>
      <c r="Q496" s="75" t="n"/>
      <c r="R496" s="75" t="n"/>
      <c r="S496" s="75" t="n"/>
      <c r="T496" s="75" t="n"/>
      <c r="U496" s="75" t="n"/>
      <c r="V496" s="75" t="n"/>
      <c r="W496" s="75" t="n"/>
      <c r="X496" s="75" t="n"/>
      <c r="Y496" s="75" t="n"/>
      <c r="Z496" s="45" t="n"/>
    </row>
    <row r="497">
      <c r="A497" s="40" t="inlineStr">
        <is>
          <t>inventory.selectPostOffice</t>
        </is>
      </c>
      <c r="B497" s="46" t="inlineStr">
        <is>
          <t>Chọn bưu cục</t>
        </is>
      </c>
      <c r="C497" s="46" t="inlineStr">
        <is>
          <t>Select postoffice</t>
        </is>
      </c>
      <c r="D497" s="43" t="inlineStr">
        <is>
          <t>ជ្រើសរើសការិយាល័យបប្រៃសណីយ៍</t>
        </is>
      </c>
      <c r="E497" s="75" t="n"/>
      <c r="F497" s="75" t="n"/>
      <c r="G497" s="75" t="inlineStr">
        <is>
          <t>ជ្រើសរើសការិយាល័យបប្រៃសណីយ៍</t>
        </is>
      </c>
      <c r="H497" s="75" t="inlineStr">
        <is>
          <t>ជ្រើសរើសការិយាល័យបប្រៃសណីយ៍</t>
        </is>
      </c>
      <c r="I497" s="75" t="n"/>
      <c r="J497" s="75" t="n"/>
      <c r="K497" s="75" t="inlineStr">
        <is>
          <t>"inventory.selectPostOffice": "ជ្រើសរើសការិយាល័យបប្រៃសណីយ៍",</t>
        </is>
      </c>
      <c r="L497" s="75" t="n"/>
      <c r="M497" s="75" t="n"/>
      <c r="N497" s="75" t="n"/>
      <c r="O497" s="75" t="n"/>
      <c r="P497" s="75" t="n"/>
      <c r="Q497" s="75" t="n"/>
      <c r="R497" s="75" t="n"/>
      <c r="S497" s="75" t="n"/>
      <c r="T497" s="75" t="n"/>
      <c r="U497" s="75" t="n"/>
      <c r="V497" s="75" t="n"/>
      <c r="W497" s="75" t="n"/>
      <c r="X497" s="75" t="n"/>
      <c r="Y497" s="75" t="n"/>
      <c r="Z497" s="45" t="n"/>
    </row>
    <row r="498">
      <c r="A498" s="40" t="inlineStr">
        <is>
          <t>inventory.selectRoute</t>
        </is>
      </c>
      <c r="B498" s="46" t="inlineStr">
        <is>
          <t>Chọn tuyến</t>
        </is>
      </c>
      <c r="C498" s="46" t="inlineStr">
        <is>
          <t>Select route</t>
        </is>
      </c>
      <c r="D498" s="43" t="inlineStr">
        <is>
          <t>ជ្រើសរើសផ្លូវដឹក</t>
        </is>
      </c>
      <c r="E498" s="75" t="n"/>
      <c r="F498" s="75" t="n"/>
      <c r="G498" s="75" t="inlineStr">
        <is>
          <t>ជ្រើសរើសផ្លូវដឹក</t>
        </is>
      </c>
      <c r="H498" s="75" t="inlineStr">
        <is>
          <t>ជ្រើសរើសផ្លូវដឹក</t>
        </is>
      </c>
      <c r="I498" s="75" t="n"/>
      <c r="J498" s="75" t="n"/>
      <c r="K498" s="75" t="inlineStr">
        <is>
          <t>"inventory.selectRoute": "ជ្រើសរើសផ្លូវដឹក",</t>
        </is>
      </c>
      <c r="L498" s="75" t="n"/>
      <c r="M498" s="75" t="n"/>
      <c r="N498" s="75" t="n"/>
      <c r="O498" s="75" t="n"/>
      <c r="P498" s="75" t="n"/>
      <c r="Q498" s="75" t="n"/>
      <c r="R498" s="75" t="n"/>
      <c r="S498" s="75" t="n"/>
      <c r="T498" s="75" t="n"/>
      <c r="U498" s="75" t="n"/>
      <c r="V498" s="75" t="n"/>
      <c r="W498" s="75" t="n"/>
      <c r="X498" s="75" t="n"/>
      <c r="Y498" s="75" t="n"/>
      <c r="Z498" s="45" t="n"/>
    </row>
    <row r="499">
      <c r="A499" s="40" t="inlineStr">
        <is>
          <t>inventory.totalInventory</t>
        </is>
      </c>
      <c r="B499" s="46" t="inlineStr">
        <is>
          <t>Tổng tồn</t>
        </is>
      </c>
      <c r="C499" s="46" t="inlineStr">
        <is>
          <t>Total inventory</t>
        </is>
      </c>
      <c r="D499" s="43" t="inlineStr">
        <is>
          <t>សរុបប្រាក់ដែលនៅ</t>
        </is>
      </c>
      <c r="E499" s="75" t="n"/>
      <c r="F499" s="75" t="n"/>
      <c r="G499" s="75" t="inlineStr">
        <is>
          <t>សរុបប្រាក់ដែលនៅ</t>
        </is>
      </c>
      <c r="H499" s="75" t="inlineStr">
        <is>
          <t>សរុបប្រាក់ដែលនៅ</t>
        </is>
      </c>
      <c r="I499" s="75" t="n"/>
      <c r="J499" s="75" t="n"/>
      <c r="K499" s="75" t="inlineStr">
        <is>
          <t>"inventory.totalInventory": "សរុបប្រាក់ដែលនៅ",</t>
        </is>
      </c>
      <c r="L499" s="75" t="n"/>
      <c r="M499" s="75" t="n"/>
      <c r="N499" s="75" t="n"/>
      <c r="O499" s="75" t="n"/>
      <c r="P499" s="75" t="n"/>
      <c r="Q499" s="75" t="n"/>
      <c r="R499" s="75" t="n"/>
      <c r="S499" s="75" t="n"/>
      <c r="T499" s="75" t="n"/>
      <c r="U499" s="75" t="n"/>
      <c r="V499" s="75" t="n"/>
      <c r="W499" s="75" t="n"/>
      <c r="X499" s="75" t="n"/>
      <c r="Y499" s="75" t="n"/>
      <c r="Z499" s="45" t="n"/>
    </row>
    <row r="500">
      <c r="A500" s="40" t="inlineStr">
        <is>
          <t>inventory.popupTitle</t>
        </is>
      </c>
      <c r="B500" s="46" t="inlineStr">
        <is>
          <t>Chi tiết bưu gửi tồn thu</t>
        </is>
      </c>
      <c r="C500" s="46" t="inlineStr">
        <is>
          <t>Detail pickup backlog order</t>
        </is>
      </c>
      <c r="D500" s="75" t="n"/>
      <c r="E500" s="75" t="n"/>
      <c r="F500" s="75" t="n"/>
      <c r="G500" s="75" t="inlineStr">
        <is>
          <t>ព័ត៌មានលម្អិតbưu ផ្ញើ tồn thu</t>
        </is>
      </c>
      <c r="H500" s="75" t="inlineStr">
        <is>
          <t>ព័ត៌មានលម្អិតbưu ផ្ញើ tồn thu</t>
        </is>
      </c>
      <c r="I500" s="75" t="n"/>
      <c r="J500" s="75" t="n"/>
      <c r="K500" s="75" t="inlineStr">
        <is>
          <t>"inventory.popupTitle": "ព័ត៌មានលម្អិតbưu ផ្ញើ tồn thu",</t>
        </is>
      </c>
      <c r="L500" s="75" t="n"/>
      <c r="M500" s="75" t="n"/>
      <c r="N500" s="75" t="n"/>
      <c r="O500" s="75" t="n"/>
      <c r="P500" s="75" t="n"/>
      <c r="Q500" s="75" t="n"/>
      <c r="R500" s="75" t="n"/>
      <c r="S500" s="75" t="n"/>
      <c r="T500" s="75" t="n"/>
      <c r="U500" s="75" t="n"/>
      <c r="V500" s="75" t="n"/>
      <c r="W500" s="75" t="n"/>
      <c r="X500" s="75" t="n"/>
      <c r="Y500" s="75" t="n"/>
      <c r="Z500" s="45" t="n"/>
    </row>
    <row r="501">
      <c r="A501" s="40" t="inlineStr">
        <is>
          <t>inventory.pickupBranch</t>
        </is>
      </c>
      <c r="B501" s="46" t="inlineStr">
        <is>
          <t>Chi nhánh nhận</t>
        </is>
      </c>
      <c r="C501" s="46" t="inlineStr">
        <is>
          <t>Pickup branch</t>
        </is>
      </c>
      <c r="D501" s="43" t="inlineStr">
        <is>
          <t>សាខាទទួល</t>
        </is>
      </c>
      <c r="E501" s="75" t="n"/>
      <c r="F501" s="75" t="n"/>
      <c r="G501" s="75" t="inlineStr">
        <is>
          <t>សាខាទទួល</t>
        </is>
      </c>
      <c r="H501" s="75" t="inlineStr">
        <is>
          <t>សាខាទទួល</t>
        </is>
      </c>
      <c r="I501" s="75" t="n"/>
      <c r="J501" s="75" t="n"/>
      <c r="K501" s="75" t="inlineStr">
        <is>
          <t>"inventory.pickupBranch": "សាខាទទួល",</t>
        </is>
      </c>
      <c r="L501" s="75" t="n"/>
      <c r="M501" s="75" t="n"/>
      <c r="N501" s="75" t="n"/>
      <c r="O501" s="75" t="n"/>
      <c r="P501" s="75" t="n"/>
      <c r="Q501" s="75" t="n"/>
      <c r="R501" s="75" t="n"/>
      <c r="S501" s="75" t="n"/>
      <c r="T501" s="75" t="n"/>
      <c r="U501" s="75" t="n"/>
      <c r="V501" s="75" t="n"/>
      <c r="W501" s="75" t="n"/>
      <c r="X501" s="75" t="n"/>
      <c r="Y501" s="75" t="n"/>
      <c r="Z501" s="45" t="n"/>
    </row>
    <row r="502">
      <c r="A502" s="40" t="inlineStr">
        <is>
          <t>inventory.pickupPostcode</t>
        </is>
      </c>
      <c r="B502" s="46" t="inlineStr">
        <is>
          <t>Bưu cục nhận</t>
        </is>
      </c>
      <c r="C502" s="46" t="inlineStr">
        <is>
          <t>Pickup postcode</t>
        </is>
      </c>
      <c r="D502" s="43" t="inlineStr">
        <is>
          <t>ការិយាល័យប្រៃសណីយ៍ទទួល</t>
        </is>
      </c>
      <c r="E502" s="75" t="n"/>
      <c r="F502" s="75" t="n"/>
      <c r="G502" s="75" t="inlineStr">
        <is>
          <t>ការិយាល័យប្រៃសណីយ៍ទទួល</t>
        </is>
      </c>
      <c r="H502" s="75" t="inlineStr">
        <is>
          <t>ការិយាល័យប្រៃសណីយ៍ទទួល</t>
        </is>
      </c>
      <c r="I502" s="75" t="n"/>
      <c r="J502" s="75" t="n"/>
      <c r="K502" s="75" t="inlineStr">
        <is>
          <t>"inventory.pickupPostcode": "ការិយាល័យប្រៃសណីយ៍ទទួល",</t>
        </is>
      </c>
      <c r="L502" s="75" t="n"/>
      <c r="M502" s="75" t="n"/>
      <c r="N502" s="75" t="n"/>
      <c r="O502" s="75" t="n"/>
      <c r="P502" s="75" t="n"/>
      <c r="Q502" s="75" t="n"/>
      <c r="R502" s="75" t="n"/>
      <c r="S502" s="75" t="n"/>
      <c r="T502" s="75" t="n"/>
      <c r="U502" s="75" t="n"/>
      <c r="V502" s="75" t="n"/>
      <c r="W502" s="75" t="n"/>
      <c r="X502" s="75" t="n"/>
      <c r="Y502" s="75" t="n"/>
      <c r="Z502" s="45" t="n"/>
    </row>
    <row r="503">
      <c r="A503" s="40" t="inlineStr">
        <is>
          <t>inventory.pickupRoute</t>
        </is>
      </c>
      <c r="B503" s="46" t="inlineStr">
        <is>
          <t>Tuyến bưu tá nhận</t>
        </is>
      </c>
      <c r="C503" s="46" t="inlineStr">
        <is>
          <t>Pickup route</t>
        </is>
      </c>
      <c r="D503" s="43" t="inlineStr">
        <is>
          <t>ផ្លូ្លវអ្នកដឹកជញ្ជូនទទួល</t>
        </is>
      </c>
      <c r="E503" s="75" t="n"/>
      <c r="F503" s="75" t="n"/>
      <c r="G503" s="75" t="inlineStr">
        <is>
          <t>ផ្លូ្លវអ្នកដឹកជញ្ជូនទទួល</t>
        </is>
      </c>
      <c r="H503" s="75" t="inlineStr">
        <is>
          <t>ផ្លូ្លវអ្នកដឹកជញ្ជូនទទួល</t>
        </is>
      </c>
      <c r="I503" s="75" t="n"/>
      <c r="J503" s="75" t="n"/>
      <c r="K503" s="75" t="inlineStr">
        <is>
          <t>"inventory.pickupRoute": "ផ្លូ្លវអ្នកដឹកជញ្ជូនទទួល",</t>
        </is>
      </c>
      <c r="L503" s="75" t="n"/>
      <c r="M503" s="75" t="n"/>
      <c r="N503" s="75" t="n"/>
      <c r="O503" s="75" t="n"/>
      <c r="P503" s="75" t="n"/>
      <c r="Q503" s="75" t="n"/>
      <c r="R503" s="75" t="n"/>
      <c r="S503" s="75" t="n"/>
      <c r="T503" s="75" t="n"/>
      <c r="U503" s="75" t="n"/>
      <c r="V503" s="75" t="n"/>
      <c r="W503" s="75" t="n"/>
      <c r="X503" s="75" t="n"/>
      <c r="Y503" s="75" t="n"/>
      <c r="Z503" s="45" t="n"/>
    </row>
    <row r="504">
      <c r="A504" s="40" t="inlineStr">
        <is>
          <t>inventory.fileName</t>
        </is>
      </c>
      <c r="B504" s="46" t="inlineStr">
        <is>
          <t>Baocaotonthu</t>
        </is>
      </c>
      <c r="C504" s="46" t="inlineStr">
        <is>
          <t>PickupInventoryReport</t>
        </is>
      </c>
      <c r="D504" s="75" t="n"/>
      <c r="E504" s="75" t="n"/>
      <c r="F504" s="75" t="n"/>
      <c r="G504" s="75" t="inlineStr">
        <is>
          <t>របាយការណ៍បញ្ញើសេសសល់ត្រូវប្រមូល</t>
        </is>
      </c>
      <c r="H504" s="75" t="inlineStr">
        <is>
          <t>របាយការណ៍បញ្ញើសេសសល់ត្រូវប្រមូល</t>
        </is>
      </c>
      <c r="I504" s="75" t="n"/>
      <c r="J504" s="75" t="n"/>
      <c r="K504" s="75" t="inlineStr">
        <is>
          <t>"inventory.fileName": "របាយការណ៍បញ្ញើសេសសល់ត្រូវប្រមូល",</t>
        </is>
      </c>
      <c r="L504" s="75" t="n"/>
      <c r="M504" s="75" t="n"/>
      <c r="N504" s="75" t="n"/>
      <c r="O504" s="75" t="n"/>
      <c r="P504" s="75" t="n"/>
      <c r="Q504" s="75" t="n"/>
      <c r="R504" s="75" t="n"/>
      <c r="S504" s="75" t="n"/>
      <c r="T504" s="75" t="n"/>
      <c r="U504" s="75" t="n"/>
      <c r="V504" s="75" t="n"/>
      <c r="W504" s="75" t="n"/>
      <c r="X504" s="75" t="n"/>
      <c r="Y504" s="75" t="n"/>
      <c r="Z504" s="45" t="n"/>
    </row>
    <row r="505">
      <c r="A505" s="40" t="inlineStr">
        <is>
          <t>inventory.fileNameDetail</t>
        </is>
      </c>
      <c r="B505" s="46" t="inlineStr">
        <is>
          <t>Chitietonthu</t>
        </is>
      </c>
      <c r="C505" s="46" t="inlineStr">
        <is>
          <t>DetailPickupInventory</t>
        </is>
      </c>
      <c r="D505" s="75" t="n"/>
      <c r="E505" s="75" t="n"/>
      <c r="F505" s="75" t="n"/>
      <c r="G505" s="75" t="inlineStr">
        <is>
          <t>ព័ត៌មានលម្អិតបញ្ញើសេសសល់ត្រូវប្រមូល</t>
        </is>
      </c>
      <c r="H505" s="75" t="inlineStr">
        <is>
          <t>ព័ត៌មានលម្អិតបញ្ញើសេសសល់ត្រូវប្រមូល</t>
        </is>
      </c>
      <c r="I505" s="75" t="n"/>
      <c r="J505" s="75" t="n"/>
      <c r="K505" s="75" t="inlineStr">
        <is>
          <t>"inventory.fileNameDetail": "ព័ត៌មានលម្អិតបញ្ញើសេសសល់ត្រូវប្រមូល",</t>
        </is>
      </c>
      <c r="L505" s="75" t="n"/>
      <c r="M505" s="75" t="n"/>
      <c r="N505" s="75" t="n"/>
      <c r="O505" s="75" t="n"/>
      <c r="P505" s="75" t="n"/>
      <c r="Q505" s="75" t="n"/>
      <c r="R505" s="75" t="n"/>
      <c r="S505" s="75" t="n"/>
      <c r="T505" s="75" t="n"/>
      <c r="U505" s="75" t="n"/>
      <c r="V505" s="75" t="n"/>
      <c r="W505" s="75" t="n"/>
      <c r="X505" s="75" t="n"/>
      <c r="Y505" s="75" t="n"/>
      <c r="Z505" s="45" t="n"/>
    </row>
    <row r="506">
      <c r="A506" s="40" t="inlineStr">
        <is>
          <t>inventory.ngayN</t>
        </is>
      </c>
      <c r="B506" s="46" t="inlineStr">
        <is>
          <t>Ngày n</t>
        </is>
      </c>
      <c r="C506" s="46" t="inlineStr">
        <is>
          <t>Day n</t>
        </is>
      </c>
      <c r="D506" s="43" t="inlineStr">
        <is>
          <t>ថ្ងៃ n</t>
        </is>
      </c>
      <c r="E506" s="75" t="n"/>
      <c r="F506" s="75" t="n"/>
      <c r="G506" s="75" t="inlineStr">
        <is>
          <t>ថ្ងៃ n</t>
        </is>
      </c>
      <c r="H506" s="75" t="inlineStr">
        <is>
          <t>ថ្ងៃ n</t>
        </is>
      </c>
      <c r="I506" s="75" t="n"/>
      <c r="J506" s="75" t="n"/>
      <c r="K506" s="75" t="inlineStr">
        <is>
          <t>"inventory.ngayN": "ថ្ងៃ n",</t>
        </is>
      </c>
      <c r="L506" s="75" t="n"/>
      <c r="M506" s="75" t="n"/>
      <c r="N506" s="75" t="n"/>
      <c r="O506" s="75" t="n"/>
      <c r="P506" s="75" t="n"/>
      <c r="Q506" s="75" t="n"/>
      <c r="R506" s="75" t="n"/>
      <c r="S506" s="75" t="n"/>
      <c r="T506" s="75" t="n"/>
      <c r="U506" s="75" t="n"/>
      <c r="V506" s="75" t="n"/>
      <c r="W506" s="75" t="n"/>
      <c r="X506" s="75" t="n"/>
      <c r="Y506" s="75" t="n"/>
      <c r="Z506" s="45" t="n"/>
    </row>
    <row r="507">
      <c r="A507" s="40" t="inlineStr">
        <is>
          <t>inventory.ngayN1</t>
        </is>
      </c>
      <c r="B507" s="46" t="inlineStr">
        <is>
          <t>Ngày n - 1</t>
        </is>
      </c>
      <c r="C507" s="46" t="inlineStr">
        <is>
          <t>Day n - 1</t>
        </is>
      </c>
      <c r="D507" s="43" t="inlineStr">
        <is>
          <t>ថ្ងៃ n - 1</t>
        </is>
      </c>
      <c r="E507" s="75" t="n"/>
      <c r="F507" s="75" t="n"/>
      <c r="G507" s="75" t="inlineStr">
        <is>
          <t>ថ្ងៃ n - 1</t>
        </is>
      </c>
      <c r="H507" s="75" t="inlineStr">
        <is>
          <t>ថ្ងៃ n - 1</t>
        </is>
      </c>
      <c r="I507" s="75" t="n"/>
      <c r="J507" s="75" t="n"/>
      <c r="K507" s="75" t="inlineStr">
        <is>
          <t>"inventory.ngayN1": "ថ្ងៃ n - 1",</t>
        </is>
      </c>
      <c r="L507" s="75" t="n"/>
      <c r="M507" s="75" t="n"/>
      <c r="N507" s="75" t="n"/>
      <c r="O507" s="75" t="n"/>
      <c r="P507" s="75" t="n"/>
      <c r="Q507" s="75" t="n"/>
      <c r="R507" s="75" t="n"/>
      <c r="S507" s="75" t="n"/>
      <c r="T507" s="75" t="n"/>
      <c r="U507" s="75" t="n"/>
      <c r="V507" s="75" t="n"/>
      <c r="W507" s="75" t="n"/>
      <c r="X507" s="75" t="n"/>
      <c r="Y507" s="75" t="n"/>
      <c r="Z507" s="45" t="n"/>
    </row>
    <row r="508">
      <c r="A508" s="40" t="inlineStr">
        <is>
          <t>inventory.ngayN2</t>
        </is>
      </c>
      <c r="B508" s="46" t="inlineStr">
        <is>
          <t>Ngày n - 2</t>
        </is>
      </c>
      <c r="C508" s="46" t="inlineStr">
        <is>
          <t>Day n - 2</t>
        </is>
      </c>
      <c r="D508" s="43" t="inlineStr">
        <is>
          <t>ថ្ងៃ n - 2</t>
        </is>
      </c>
      <c r="E508" s="75" t="n"/>
      <c r="F508" s="75" t="n"/>
      <c r="G508" s="75" t="inlineStr">
        <is>
          <t>ថ្ងៃ n - 2</t>
        </is>
      </c>
      <c r="H508" s="75" t="inlineStr">
        <is>
          <t>ថ្ងៃ n - 2</t>
        </is>
      </c>
      <c r="I508" s="75" t="n"/>
      <c r="J508" s="75" t="n"/>
      <c r="K508" s="75" t="inlineStr">
        <is>
          <t>"inventory.ngayN2": "ថ្ងៃ n - 2",</t>
        </is>
      </c>
      <c r="L508" s="75" t="n"/>
      <c r="M508" s="75" t="n"/>
      <c r="N508" s="75" t="n"/>
      <c r="O508" s="75" t="n"/>
      <c r="P508" s="75" t="n"/>
      <c r="Q508" s="75" t="n"/>
      <c r="R508" s="75" t="n"/>
      <c r="S508" s="75" t="n"/>
      <c r="T508" s="75" t="n"/>
      <c r="U508" s="75" t="n"/>
      <c r="V508" s="75" t="n"/>
      <c r="W508" s="75" t="n"/>
      <c r="X508" s="75" t="n"/>
      <c r="Y508" s="75" t="n"/>
      <c r="Z508" s="45" t="n"/>
    </row>
    <row r="509">
      <c r="A509" s="40" t="inlineStr">
        <is>
          <t>inventory.ngayN3</t>
        </is>
      </c>
      <c r="B509" s="46" t="inlineStr">
        <is>
          <t>Ngày n - 3</t>
        </is>
      </c>
      <c r="C509" s="46" t="inlineStr">
        <is>
          <t>Day n - 3</t>
        </is>
      </c>
      <c r="D509" s="43" t="inlineStr">
        <is>
          <t>ថ្ងៃ n - 3</t>
        </is>
      </c>
      <c r="E509" s="75" t="n"/>
      <c r="F509" s="75" t="n"/>
      <c r="G509" s="75" t="inlineStr">
        <is>
          <t>ថ្ងៃ n - 3</t>
        </is>
      </c>
      <c r="H509" s="75" t="inlineStr">
        <is>
          <t>ថ្ងៃ n - 3</t>
        </is>
      </c>
      <c r="I509" s="75" t="n"/>
      <c r="J509" s="75" t="n"/>
      <c r="K509" s="75" t="inlineStr">
        <is>
          <t>"inventory.ngayN3": "ថ្ងៃ n - 3",</t>
        </is>
      </c>
      <c r="L509" s="75" t="n"/>
      <c r="M509" s="75" t="n"/>
      <c r="N509" s="75" t="n"/>
      <c r="O509" s="75" t="n"/>
      <c r="P509" s="75" t="n"/>
      <c r="Q509" s="75" t="n"/>
      <c r="R509" s="75" t="n"/>
      <c r="S509" s="75" t="n"/>
      <c r="T509" s="75" t="n"/>
      <c r="U509" s="75" t="n"/>
      <c r="V509" s="75" t="n"/>
      <c r="W509" s="75" t="n"/>
      <c r="X509" s="75" t="n"/>
      <c r="Y509" s="75" t="n"/>
      <c r="Z509" s="45" t="n"/>
    </row>
    <row r="510">
      <c r="A510" s="40" t="inlineStr">
        <is>
          <t>inventory.ngayN4</t>
        </is>
      </c>
      <c r="B510" s="46" t="inlineStr">
        <is>
          <t>Ngày n - 4</t>
        </is>
      </c>
      <c r="C510" s="46" t="inlineStr">
        <is>
          <t>Day n - 4</t>
        </is>
      </c>
      <c r="D510" s="43" t="inlineStr">
        <is>
          <t>ថ្ងៃ n - 4</t>
        </is>
      </c>
      <c r="E510" s="75" t="n"/>
      <c r="F510" s="75" t="n"/>
      <c r="G510" s="75" t="inlineStr">
        <is>
          <t>ថ្ងៃ n - 4</t>
        </is>
      </c>
      <c r="H510" s="75" t="inlineStr">
        <is>
          <t>ថ្ងៃ n - 4</t>
        </is>
      </c>
      <c r="I510" s="75" t="n"/>
      <c r="J510" s="75" t="n"/>
      <c r="K510" s="75" t="inlineStr">
        <is>
          <t>"inventory.ngayN4": "ថ្ងៃ n - 4",</t>
        </is>
      </c>
      <c r="L510" s="75" t="n"/>
      <c r="M510" s="75" t="n"/>
      <c r="N510" s="75" t="n"/>
      <c r="O510" s="75" t="n"/>
      <c r="P510" s="75" t="n"/>
      <c r="Q510" s="75" t="n"/>
      <c r="R510" s="75" t="n"/>
      <c r="S510" s="75" t="n"/>
      <c r="T510" s="75" t="n"/>
      <c r="U510" s="75" t="n"/>
      <c r="V510" s="75" t="n"/>
      <c r="W510" s="75" t="n"/>
      <c r="X510" s="75" t="n"/>
      <c r="Y510" s="75" t="n"/>
      <c r="Z510" s="45" t="n"/>
    </row>
    <row r="511">
      <c r="A511" s="40" t="inlineStr">
        <is>
          <t>trackingOrder.emptyOrder</t>
        </is>
      </c>
      <c r="B511" s="46" t="inlineStr">
        <is>
          <t>Phiếu gửi không tồn tại. Vui lòng tìm kiếm lại!</t>
        </is>
      </c>
      <c r="C511" s="46" t="inlineStr">
        <is>
          <t>Not found, Please search again</t>
        </is>
      </c>
      <c r="D511" s="43" t="inlineStr">
        <is>
          <t>បុងបញ្ញើមិនមាន សូមត្រួតពិនិត្យម្តងទៀត!</t>
        </is>
      </c>
      <c r="E511" s="75" t="n"/>
      <c r="F511" s="75" t="n"/>
      <c r="G511" s="75" t="inlineStr">
        <is>
          <t>បុងបញ្ញើមិនមាន សូមត្រួតពិនិត្យម្តងទៀត!</t>
        </is>
      </c>
      <c r="H511" s="75" t="inlineStr">
        <is>
          <t>បុងបញ្ញើមិនមាន សូមត្រួតពិនិត្យម្តងទៀត!</t>
        </is>
      </c>
      <c r="I511" s="75" t="n"/>
      <c r="J511" s="75" t="n"/>
      <c r="K511" s="75" t="inlineStr">
        <is>
          <t>"trackingOrder.emptyOrder": "បុងបញ្ញើមិនមាន សូមត្រួតពិនិត្យម្តងទៀត!",</t>
        </is>
      </c>
      <c r="L511" s="75" t="n"/>
      <c r="M511" s="75" t="n"/>
      <c r="N511" s="75" t="n"/>
      <c r="O511" s="75" t="n"/>
      <c r="P511" s="75" t="n"/>
      <c r="Q511" s="75" t="n"/>
      <c r="R511" s="75" t="n"/>
      <c r="S511" s="75" t="n"/>
      <c r="T511" s="75" t="n"/>
      <c r="U511" s="75" t="n"/>
      <c r="V511" s="75" t="n"/>
      <c r="W511" s="75" t="n"/>
      <c r="X511" s="75" t="n"/>
      <c r="Y511" s="75" t="n"/>
      <c r="Z511" s="45" t="n"/>
    </row>
    <row r="512">
      <c r="A512" s="40" t="inlineStr">
        <is>
          <t>trackingOrder.informationOrder</t>
        </is>
      </c>
      <c r="B512" s="46" t="inlineStr">
        <is>
          <t>Thông tin đơn hàng</t>
        </is>
      </c>
      <c r="C512" s="46" t="inlineStr">
        <is>
          <t>Order information</t>
        </is>
      </c>
      <c r="D512" s="43" t="inlineStr">
        <is>
          <t>ព័ត៌មានបុងបញ្ញើ</t>
        </is>
      </c>
      <c r="E512" s="75" t="n"/>
      <c r="F512" s="75" t="n"/>
      <c r="G512" s="75" t="inlineStr">
        <is>
          <t>ព័ត៌មានបុងបញ្ញើ</t>
        </is>
      </c>
      <c r="H512" s="75" t="inlineStr">
        <is>
          <t>ព័ត៌មានបុងបញ្ញើ</t>
        </is>
      </c>
      <c r="I512" s="75" t="n"/>
      <c r="J512" s="75" t="n"/>
      <c r="K512" s="75" t="inlineStr">
        <is>
          <t>"trackingOrder.informationOrder": "ព័ត៌មានបុងបញ្ញើ",</t>
        </is>
      </c>
      <c r="L512" s="75" t="n"/>
      <c r="M512" s="75" t="n"/>
      <c r="N512" s="75" t="n"/>
      <c r="O512" s="75" t="n"/>
      <c r="P512" s="75" t="n"/>
      <c r="Q512" s="75" t="n"/>
      <c r="R512" s="75" t="n"/>
      <c r="S512" s="75" t="n"/>
      <c r="T512" s="75" t="n"/>
      <c r="U512" s="75" t="n"/>
      <c r="V512" s="75" t="n"/>
      <c r="W512" s="75" t="n"/>
      <c r="X512" s="75" t="n"/>
      <c r="Y512" s="75" t="n"/>
      <c r="Z512" s="45" t="n"/>
    </row>
    <row r="513">
      <c r="A513" s="40" t="inlineStr">
        <is>
          <t>trackingOrder.informationSender</t>
        </is>
      </c>
      <c r="B513" s="46" t="inlineStr">
        <is>
          <t>Thông tin người gửi</t>
        </is>
      </c>
      <c r="C513" s="46" t="inlineStr">
        <is>
          <t>Sender information</t>
        </is>
      </c>
      <c r="D513" s="43" t="inlineStr">
        <is>
          <t>ព័ត៌មានអ្នកផ្ញើ</t>
        </is>
      </c>
      <c r="E513" s="75" t="n"/>
      <c r="F513" s="75" t="n"/>
      <c r="G513" s="75" t="inlineStr">
        <is>
          <t>ព័ត៌មានអ្នកផ្ញើ</t>
        </is>
      </c>
      <c r="H513" s="75" t="inlineStr">
        <is>
          <t>ព័ត៌មានអ្នកផ្ញើ</t>
        </is>
      </c>
      <c r="I513" s="75" t="n"/>
      <c r="J513" s="75" t="n"/>
      <c r="K513" s="75" t="inlineStr">
        <is>
          <t>"trackingOrder.informationSender": "ព័ត៌មានអ្នកផ្ញើ",</t>
        </is>
      </c>
      <c r="L513" s="75" t="n"/>
      <c r="M513" s="75" t="n"/>
      <c r="N513" s="75" t="n"/>
      <c r="O513" s="75" t="n"/>
      <c r="P513" s="75" t="n"/>
      <c r="Q513" s="75" t="n"/>
      <c r="R513" s="75" t="n"/>
      <c r="S513" s="75" t="n"/>
      <c r="T513" s="75" t="n"/>
      <c r="U513" s="75" t="n"/>
      <c r="V513" s="75" t="n"/>
      <c r="W513" s="75" t="n"/>
      <c r="X513" s="75" t="n"/>
      <c r="Y513" s="75" t="n"/>
      <c r="Z513" s="45" t="n"/>
    </row>
    <row r="514">
      <c r="A514" s="40" t="inlineStr">
        <is>
          <t>trackingOrder.informationReceiver</t>
        </is>
      </c>
      <c r="B514" s="46" t="inlineStr">
        <is>
          <t>Thông tin người nhận</t>
        </is>
      </c>
      <c r="C514" s="46" t="inlineStr">
        <is>
          <t>Receiver information</t>
        </is>
      </c>
      <c r="D514" s="43" t="inlineStr">
        <is>
          <t>ព័ត៌មានអ្នកទទួល</t>
        </is>
      </c>
      <c r="E514" s="75" t="n"/>
      <c r="F514" s="75" t="n"/>
      <c r="G514" s="75" t="inlineStr">
        <is>
          <t>ព័ត៌មានអ្នកទទួល</t>
        </is>
      </c>
      <c r="H514" s="75" t="inlineStr">
        <is>
          <t>ព័ត៌មានអ្នកទទួល</t>
        </is>
      </c>
      <c r="I514" s="75" t="n"/>
      <c r="J514" s="75" t="n"/>
      <c r="K514" s="75" t="inlineStr">
        <is>
          <t>"trackingOrder.informationReceiver": "ព័ត៌មានអ្នកទទួល",</t>
        </is>
      </c>
      <c r="L514" s="75" t="n"/>
      <c r="M514" s="75" t="n"/>
      <c r="N514" s="75" t="n"/>
      <c r="O514" s="75" t="n"/>
      <c r="P514" s="75" t="n"/>
      <c r="Q514" s="75" t="n"/>
      <c r="R514" s="75" t="n"/>
      <c r="S514" s="75" t="n"/>
      <c r="T514" s="75" t="n"/>
      <c r="U514" s="75" t="n"/>
      <c r="V514" s="75" t="n"/>
      <c r="W514" s="75" t="n"/>
      <c r="X514" s="75" t="n"/>
      <c r="Y514" s="75" t="n"/>
      <c r="Z514" s="45" t="n"/>
    </row>
    <row r="515">
      <c r="A515" s="40" t="inlineStr">
        <is>
          <t>trackingOrder.COD</t>
        </is>
      </c>
      <c r="B515" s="46" t="inlineStr">
        <is>
          <t>COD</t>
        </is>
      </c>
      <c r="C515" s="46" t="inlineStr">
        <is>
          <t>COD</t>
        </is>
      </c>
      <c r="D515" s="46" t="inlineStr">
        <is>
          <t>COD</t>
        </is>
      </c>
      <c r="E515" s="75" t="n"/>
      <c r="F515" s="75" t="n"/>
      <c r="G515" s="75" t="inlineStr">
        <is>
          <t>ប្រាក់ COD</t>
        </is>
      </c>
      <c r="H515" s="75" t="inlineStr">
        <is>
          <t>ប្រាក់ COD</t>
        </is>
      </c>
      <c r="I515" s="75" t="n"/>
      <c r="J515" s="75" t="n"/>
      <c r="K515" s="75" t="inlineStr">
        <is>
          <t>"trackingOrder.COD": "ប្រាក់ COD",</t>
        </is>
      </c>
      <c r="L515" s="75" t="n"/>
      <c r="M515" s="75" t="n"/>
      <c r="N515" s="75" t="n"/>
      <c r="O515" s="75" t="n"/>
      <c r="P515" s="75" t="n"/>
      <c r="Q515" s="75" t="n"/>
      <c r="R515" s="75" t="n"/>
      <c r="S515" s="75" t="n"/>
      <c r="T515" s="75" t="n"/>
      <c r="U515" s="75" t="n"/>
      <c r="V515" s="75" t="n"/>
      <c r="W515" s="75" t="n"/>
      <c r="X515" s="75" t="n"/>
      <c r="Y515" s="75" t="n"/>
      <c r="Z515" s="45" t="n"/>
    </row>
    <row r="516">
      <c r="A516" s="40" t="inlineStr">
        <is>
          <t>trackingOrder.orderCode</t>
        </is>
      </c>
      <c r="B516" s="46" t="inlineStr">
        <is>
          <t>Mã phiếu gửi</t>
        </is>
      </c>
      <c r="C516" s="46" t="inlineStr">
        <is>
          <t>Order code</t>
        </is>
      </c>
      <c r="D516" s="43" t="inlineStr">
        <is>
          <t>លេខកូដបុុងបញ្ញើ</t>
        </is>
      </c>
      <c r="E516" s="75" t="n"/>
      <c r="F516" s="75" t="n"/>
      <c r="G516" s="75" t="inlineStr">
        <is>
          <t>លេខកូដបុងបញ្ញើ</t>
        </is>
      </c>
      <c r="H516" s="75" t="inlineStr">
        <is>
          <t>លេខកូដបុងបញ្ញើ</t>
        </is>
      </c>
      <c r="I516" s="75" t="n"/>
      <c r="J516" s="75" t="n"/>
      <c r="K516" s="75" t="inlineStr">
        <is>
          <t>"trackingOrder.orderCode": "លេខកូដបុងបញ្ញើ",</t>
        </is>
      </c>
      <c r="L516" s="75" t="n"/>
      <c r="M516" s="75" t="n"/>
      <c r="N516" s="75" t="n"/>
      <c r="O516" s="75" t="n"/>
      <c r="P516" s="75" t="n"/>
      <c r="Q516" s="75" t="n"/>
      <c r="R516" s="75" t="n"/>
      <c r="S516" s="75" t="n"/>
      <c r="T516" s="75" t="n"/>
      <c r="U516" s="75" t="n"/>
      <c r="V516" s="75" t="n"/>
      <c r="W516" s="75" t="n"/>
      <c r="X516" s="75" t="n"/>
      <c r="Y516" s="75" t="n"/>
      <c r="Z516" s="45" t="n"/>
    </row>
    <row r="517">
      <c r="A517" s="40" t="inlineStr">
        <is>
          <t>trackingOrder.status</t>
        </is>
      </c>
      <c r="B517" s="46" t="inlineStr">
        <is>
          <t>Trạng thái</t>
        </is>
      </c>
      <c r="C517" s="46" t="inlineStr">
        <is>
          <t>Status</t>
        </is>
      </c>
      <c r="D517" s="43" t="inlineStr">
        <is>
          <t>ស្ថានភាព</t>
        </is>
      </c>
      <c r="E517" s="75" t="n"/>
      <c r="F517" s="75" t="n"/>
      <c r="G517" s="75" t="inlineStr">
        <is>
          <t>ស្ថានភាព</t>
        </is>
      </c>
      <c r="H517" s="75" t="inlineStr">
        <is>
          <t>ស្ថានភាព</t>
        </is>
      </c>
      <c r="I517" s="75" t="n"/>
      <c r="J517" s="75" t="n"/>
      <c r="K517" s="75" t="inlineStr">
        <is>
          <t>"trackingOrder.status": "ស្ថានភាព",</t>
        </is>
      </c>
      <c r="L517" s="75" t="n"/>
      <c r="M517" s="75" t="n"/>
      <c r="N517" s="75" t="n"/>
      <c r="O517" s="75" t="n"/>
      <c r="P517" s="75" t="n"/>
      <c r="Q517" s="75" t="n"/>
      <c r="R517" s="75" t="n"/>
      <c r="S517" s="75" t="n"/>
      <c r="T517" s="75" t="n"/>
      <c r="U517" s="75" t="n"/>
      <c r="V517" s="75" t="n"/>
      <c r="W517" s="75" t="n"/>
      <c r="X517" s="75" t="n"/>
      <c r="Y517" s="75" t="n"/>
      <c r="Z517" s="45" t="n"/>
    </row>
    <row r="518">
      <c r="A518" s="40" t="inlineStr">
        <is>
          <t>trackingOrder.partner</t>
        </is>
      </c>
      <c r="B518" s="46" t="inlineStr">
        <is>
          <t>Đối tác</t>
        </is>
      </c>
      <c r="C518" s="46" t="inlineStr">
        <is>
          <t>Partner</t>
        </is>
      </c>
      <c r="D518" s="43" t="inlineStr">
        <is>
          <t>ដៃគូ</t>
        </is>
      </c>
      <c r="E518" s="75" t="n"/>
      <c r="F518" s="75" t="n"/>
      <c r="G518" s="75" t="inlineStr">
        <is>
          <t>ដៃគូ</t>
        </is>
      </c>
      <c r="H518" s="75" t="inlineStr">
        <is>
          <t>ដៃគូ</t>
        </is>
      </c>
      <c r="I518" s="75" t="n"/>
      <c r="J518" s="75" t="n"/>
      <c r="K518" s="75" t="inlineStr">
        <is>
          <t>"trackingOrder.partner": "ដៃគូ",</t>
        </is>
      </c>
      <c r="L518" s="75" t="n"/>
      <c r="M518" s="75" t="n"/>
      <c r="N518" s="75" t="n"/>
      <c r="O518" s="75" t="n"/>
      <c r="P518" s="75" t="n"/>
      <c r="Q518" s="75" t="n"/>
      <c r="R518" s="75" t="n"/>
      <c r="S518" s="75" t="n"/>
      <c r="T518" s="75" t="n"/>
      <c r="U518" s="75" t="n"/>
      <c r="V518" s="75" t="n"/>
      <c r="W518" s="75" t="n"/>
      <c r="X518" s="75" t="n"/>
      <c r="Y518" s="75" t="n"/>
      <c r="Z518" s="45" t="n"/>
    </row>
    <row r="519">
      <c r="A519" s="40" t="inlineStr">
        <is>
          <t>trackingOrder.service</t>
        </is>
      </c>
      <c r="B519" s="46" t="inlineStr">
        <is>
          <t>Dịch vụ</t>
        </is>
      </c>
      <c r="C519" s="46" t="inlineStr">
        <is>
          <t>Service</t>
        </is>
      </c>
      <c r="D519" s="43" t="inlineStr">
        <is>
          <t>សេវាកម្ម</t>
        </is>
      </c>
      <c r="E519" s="75" t="n"/>
      <c r="F519" s="75" t="n"/>
      <c r="G519" s="75" t="inlineStr">
        <is>
          <t>សេវាកម្ម</t>
        </is>
      </c>
      <c r="H519" s="75" t="inlineStr">
        <is>
          <t>សេវាកម្ម</t>
        </is>
      </c>
      <c r="I519" s="75" t="n"/>
      <c r="J519" s="75" t="n"/>
      <c r="K519" s="75" t="inlineStr">
        <is>
          <t>"trackingOrder.service": "សេវាកម្ម",</t>
        </is>
      </c>
      <c r="L519" s="75" t="n"/>
      <c r="M519" s="75" t="n"/>
      <c r="N519" s="75" t="n"/>
      <c r="O519" s="75" t="n"/>
      <c r="P519" s="75" t="n"/>
      <c r="Q519" s="75" t="n"/>
      <c r="R519" s="75" t="n"/>
      <c r="S519" s="75" t="n"/>
      <c r="T519" s="75" t="n"/>
      <c r="U519" s="75" t="n"/>
      <c r="V519" s="75" t="n"/>
      <c r="W519" s="75" t="n"/>
      <c r="X519" s="75" t="n"/>
      <c r="Y519" s="75" t="n"/>
      <c r="Z519" s="45" t="n"/>
    </row>
    <row r="520">
      <c r="A520" s="40" t="inlineStr">
        <is>
          <t>trackingOrder.additionalServices</t>
        </is>
      </c>
      <c r="B520" s="46" t="inlineStr">
        <is>
          <t>Dịch vụ cộng thêm</t>
        </is>
      </c>
      <c r="C520" s="46" t="inlineStr">
        <is>
          <t>Addtional service</t>
        </is>
      </c>
      <c r="D520" s="43" t="inlineStr">
        <is>
          <t>សេវាកម្មបូកបន្ថែម</t>
        </is>
      </c>
      <c r="E520" s="75" t="n"/>
      <c r="F520" s="75" t="n"/>
      <c r="G520" s="75" t="inlineStr">
        <is>
          <t>សេវាកម្មបន្ថែម</t>
        </is>
      </c>
      <c r="H520" s="75" t="inlineStr">
        <is>
          <t>សេវាកម្មបន្ថែម</t>
        </is>
      </c>
      <c r="I520" s="75" t="n"/>
      <c r="J520" s="75" t="n"/>
      <c r="K520" s="75" t="inlineStr">
        <is>
          <t>"trackingOrder.additionalServices": "សេវាកម្មបន្ថែម",</t>
        </is>
      </c>
      <c r="L520" s="75" t="n"/>
      <c r="M520" s="75" t="n"/>
      <c r="N520" s="75" t="n"/>
      <c r="O520" s="75" t="n"/>
      <c r="P520" s="75" t="n"/>
      <c r="Q520" s="75" t="n"/>
      <c r="R520" s="75" t="n"/>
      <c r="S520" s="75" t="n"/>
      <c r="T520" s="75" t="n"/>
      <c r="U520" s="75" t="n"/>
      <c r="V520" s="75" t="n"/>
      <c r="W520" s="75" t="n"/>
      <c r="X520" s="75" t="n"/>
      <c r="Y520" s="75" t="n"/>
      <c r="Z520" s="45" t="n"/>
    </row>
    <row r="521">
      <c r="A521" s="40" t="inlineStr">
        <is>
          <t>trackingOrder.name</t>
        </is>
      </c>
      <c r="B521" s="46" t="inlineStr">
        <is>
          <t>Họ tên</t>
        </is>
      </c>
      <c r="C521" s="46" t="inlineStr">
        <is>
          <t>Fullname</t>
        </is>
      </c>
      <c r="D521" s="43" t="inlineStr">
        <is>
          <t>នាមត្រកូល</t>
        </is>
      </c>
      <c r="E521" s="75" t="n"/>
      <c r="F521" s="75" t="n"/>
      <c r="G521" s="75" t="inlineStr">
        <is>
          <t>នាមត្រកូល</t>
        </is>
      </c>
      <c r="H521" s="75" t="inlineStr">
        <is>
          <t>នាមត្រកូល</t>
        </is>
      </c>
      <c r="I521" s="75" t="n"/>
      <c r="J521" s="75" t="n"/>
      <c r="K521" s="75" t="inlineStr">
        <is>
          <t>"trackingOrder.name": "នាមត្រកូល",</t>
        </is>
      </c>
      <c r="L521" s="75" t="n"/>
      <c r="M521" s="75" t="n"/>
      <c r="N521" s="75" t="n"/>
      <c r="O521" s="75" t="n"/>
      <c r="P521" s="75" t="n"/>
      <c r="Q521" s="75" t="n"/>
      <c r="R521" s="75" t="n"/>
      <c r="S521" s="75" t="n"/>
      <c r="T521" s="75" t="n"/>
      <c r="U521" s="75" t="n"/>
      <c r="V521" s="75" t="n"/>
      <c r="W521" s="75" t="n"/>
      <c r="X521" s="75" t="n"/>
      <c r="Y521" s="75" t="n"/>
      <c r="Z521" s="45" t="n"/>
    </row>
    <row r="522">
      <c r="A522" s="40" t="inlineStr">
        <is>
          <t>trackingOrder.phone</t>
        </is>
      </c>
      <c r="B522" s="46" t="inlineStr">
        <is>
          <t>Điện thoại</t>
        </is>
      </c>
      <c r="C522" s="46" t="inlineStr">
        <is>
          <t>Phone number</t>
        </is>
      </c>
      <c r="D522" s="43" t="inlineStr">
        <is>
          <t>ទូរស័ព្ទ</t>
        </is>
      </c>
      <c r="E522" s="75" t="n"/>
      <c r="F522" s="75" t="n"/>
      <c r="G522" s="75" t="inlineStr">
        <is>
          <t>ទូរស័ព្ទ</t>
        </is>
      </c>
      <c r="H522" s="75" t="inlineStr">
        <is>
          <t>ទូរស័ព្ទ</t>
        </is>
      </c>
      <c r="I522" s="75" t="n"/>
      <c r="J522" s="75" t="n"/>
      <c r="K522" s="75" t="inlineStr">
        <is>
          <t>"trackingOrder.phone": "ទូរស័ព្ទ",</t>
        </is>
      </c>
      <c r="L522" s="75" t="n"/>
      <c r="M522" s="75" t="n"/>
      <c r="N522" s="75" t="n"/>
      <c r="O522" s="75" t="n"/>
      <c r="P522" s="75" t="n"/>
      <c r="Q522" s="75" t="n"/>
      <c r="R522" s="75" t="n"/>
      <c r="S522" s="75" t="n"/>
      <c r="T522" s="75" t="n"/>
      <c r="U522" s="75" t="n"/>
      <c r="V522" s="75" t="n"/>
      <c r="W522" s="75" t="n"/>
      <c r="X522" s="75" t="n"/>
      <c r="Y522" s="75" t="n"/>
      <c r="Z522" s="45" t="n"/>
    </row>
    <row r="523">
      <c r="A523" s="40" t="inlineStr">
        <is>
          <t>trackingOrder.address</t>
        </is>
      </c>
      <c r="B523" s="46" t="inlineStr">
        <is>
          <t>Địa chỉ</t>
        </is>
      </c>
      <c r="C523" s="46" t="inlineStr">
        <is>
          <t>Address</t>
        </is>
      </c>
      <c r="D523" s="43" t="inlineStr">
        <is>
          <t>អាស័យដ្ឋាន</t>
        </is>
      </c>
      <c r="E523" s="75" t="n"/>
      <c r="F523" s="75" t="n"/>
      <c r="G523" s="75" t="inlineStr">
        <is>
          <t>អាសយដ្ឋាន</t>
        </is>
      </c>
      <c r="H523" s="75" t="inlineStr">
        <is>
          <t>អាសយដ្ឋាន</t>
        </is>
      </c>
      <c r="I523" s="75" t="n"/>
      <c r="J523" s="75" t="n"/>
      <c r="K523" s="75" t="inlineStr">
        <is>
          <t>"trackingOrder.address": "អាសយដ្ឋាន",</t>
        </is>
      </c>
      <c r="L523" s="75" t="n"/>
      <c r="M523" s="75" t="n"/>
      <c r="N523" s="75" t="n"/>
      <c r="O523" s="75" t="n"/>
      <c r="P523" s="75" t="n"/>
      <c r="Q523" s="75" t="n"/>
      <c r="R523" s="75" t="n"/>
      <c r="S523" s="75" t="n"/>
      <c r="T523" s="75" t="n"/>
      <c r="U523" s="75" t="n"/>
      <c r="V523" s="75" t="n"/>
      <c r="W523" s="75" t="n"/>
      <c r="X523" s="75" t="n"/>
      <c r="Y523" s="75" t="n"/>
      <c r="Z523" s="45" t="n"/>
    </row>
    <row r="524">
      <c r="A524" s="40" t="inlineStr">
        <is>
          <t>trackingOrder.provinceCode</t>
        </is>
      </c>
      <c r="B524" s="46" t="inlineStr">
        <is>
          <t>Tỉnh gửi</t>
        </is>
      </c>
      <c r="C524" s="46" t="inlineStr">
        <is>
          <t>Sender province</t>
        </is>
      </c>
      <c r="D524" s="43" t="inlineStr">
        <is>
          <t>ខេត្តផ្ញើ</t>
        </is>
      </c>
      <c r="E524" s="75" t="n"/>
      <c r="F524" s="75" t="n"/>
      <c r="G524" s="75" t="inlineStr">
        <is>
          <t>ខេត្តផ្ញើ</t>
        </is>
      </c>
      <c r="H524" s="75" t="inlineStr">
        <is>
          <t>ខេត្តផ្ញើ</t>
        </is>
      </c>
      <c r="I524" s="75" t="n"/>
      <c r="J524" s="75" t="n"/>
      <c r="K524" s="75" t="inlineStr">
        <is>
          <t>"trackingOrder.provinceCode": "ខេត្តផ្ញើ",</t>
        </is>
      </c>
      <c r="L524" s="75" t="n"/>
      <c r="M524" s="75" t="n"/>
      <c r="N524" s="75" t="n"/>
      <c r="O524" s="75" t="n"/>
      <c r="P524" s="75" t="n"/>
      <c r="Q524" s="75" t="n"/>
      <c r="R524" s="75" t="n"/>
      <c r="S524" s="75" t="n"/>
      <c r="T524" s="75" t="n"/>
      <c r="U524" s="75" t="n"/>
      <c r="V524" s="75" t="n"/>
      <c r="W524" s="75" t="n"/>
      <c r="X524" s="75" t="n"/>
      <c r="Y524" s="75" t="n"/>
      <c r="Z524" s="45" t="n"/>
    </row>
    <row r="525">
      <c r="A525" s="40" t="inlineStr">
        <is>
          <t>trackingOrder.districtCode</t>
        </is>
      </c>
      <c r="B525" s="46" t="inlineStr">
        <is>
          <t>Huyện gửi</t>
        </is>
      </c>
      <c r="C525" s="46" t="inlineStr">
        <is>
          <t>Sender district</t>
        </is>
      </c>
      <c r="D525" s="75" t="n"/>
      <c r="E525" s="75" t="n"/>
      <c r="F525" s="75" t="n"/>
      <c r="G525" s="75" t="inlineStr">
        <is>
          <t>ស្រុក/ខណ្ឌ ផ្ញើ</t>
        </is>
      </c>
      <c r="H525" s="75" t="inlineStr">
        <is>
          <t>ស្រុក/ខណ្ឌ ផ្ញើ</t>
        </is>
      </c>
      <c r="I525" s="75" t="n"/>
      <c r="J525" s="75" t="n"/>
      <c r="K525" s="75" t="inlineStr">
        <is>
          <t>"trackingOrder.districtCode": "ស្រុក/ខណ្ឌ ផ្ញើ",</t>
        </is>
      </c>
      <c r="L525" s="75" t="n"/>
      <c r="M525" s="75" t="n"/>
      <c r="N525" s="75" t="n"/>
      <c r="O525" s="75" t="n"/>
      <c r="P525" s="75" t="n"/>
      <c r="Q525" s="75" t="n"/>
      <c r="R525" s="75" t="n"/>
      <c r="S525" s="75" t="n"/>
      <c r="T525" s="75" t="n"/>
      <c r="U525" s="75" t="n"/>
      <c r="V525" s="75" t="n"/>
      <c r="W525" s="75" t="n"/>
      <c r="X525" s="75" t="n"/>
      <c r="Y525" s="75" t="n"/>
      <c r="Z525" s="45" t="n"/>
    </row>
    <row r="526">
      <c r="A526" s="40" t="inlineStr">
        <is>
          <t>trackingOrder.provinceCodeReceiving</t>
        </is>
      </c>
      <c r="B526" s="46" t="inlineStr">
        <is>
          <t>Tỉnh nhận</t>
        </is>
      </c>
      <c r="C526" s="46" t="inlineStr">
        <is>
          <t>Province Receiving</t>
        </is>
      </c>
      <c r="D526" s="43" t="inlineStr">
        <is>
          <t>ខេត្តទទួល</t>
        </is>
      </c>
      <c r="E526" s="75" t="n"/>
      <c r="F526" s="75" t="n"/>
      <c r="G526" s="75" t="inlineStr">
        <is>
          <t>ខេត្តទទួល</t>
        </is>
      </c>
      <c r="H526" s="75" t="inlineStr">
        <is>
          <t>ខេត្តទទួល</t>
        </is>
      </c>
      <c r="I526" s="75" t="n"/>
      <c r="J526" s="75" t="n"/>
      <c r="K526" s="75" t="inlineStr">
        <is>
          <t>"trackingOrder.provinceCodeReceiving": "ខេត្តទទួល",</t>
        </is>
      </c>
      <c r="L526" s="75" t="n"/>
      <c r="M526" s="75" t="n"/>
      <c r="N526" s="75" t="n"/>
      <c r="O526" s="75" t="n"/>
      <c r="P526" s="75" t="n"/>
      <c r="Q526" s="75" t="n"/>
      <c r="R526" s="75" t="n"/>
      <c r="S526" s="75" t="n"/>
      <c r="T526" s="75" t="n"/>
      <c r="U526" s="75" t="n"/>
      <c r="V526" s="75" t="n"/>
      <c r="W526" s="75" t="n"/>
      <c r="X526" s="75" t="n"/>
      <c r="Y526" s="75" t="n"/>
      <c r="Z526" s="45" t="n"/>
    </row>
    <row r="527">
      <c r="A527" s="40" t="inlineStr">
        <is>
          <t>trackingOrder.districtCodeReceiving</t>
        </is>
      </c>
      <c r="B527" s="46" t="inlineStr">
        <is>
          <t>Huyện nhận</t>
        </is>
      </c>
      <c r="C527" s="46" t="inlineStr">
        <is>
          <t>District Receiving</t>
        </is>
      </c>
      <c r="D527" s="43" t="n"/>
      <c r="E527" s="75" t="n"/>
      <c r="F527" s="75" t="n"/>
      <c r="G527" s="75" t="inlineStr">
        <is>
          <t>ស្រុក/ខណ្ឌទទួល</t>
        </is>
      </c>
      <c r="H527" s="75" t="inlineStr">
        <is>
          <t>ស្រុក/ខណ្ឌទទួល</t>
        </is>
      </c>
      <c r="I527" s="75" t="n"/>
      <c r="J527" s="75" t="n"/>
      <c r="K527" s="75" t="inlineStr">
        <is>
          <t>"trackingOrder.districtCodeReceiving": "ស្រុក/ខណ្ឌទទួល",</t>
        </is>
      </c>
      <c r="L527" s="75" t="n"/>
      <c r="M527" s="75" t="n"/>
      <c r="N527" s="75" t="n"/>
      <c r="O527" s="75" t="n"/>
      <c r="P527" s="75" t="n"/>
      <c r="Q527" s="75" t="n"/>
      <c r="R527" s="75" t="n"/>
      <c r="S527" s="75" t="n"/>
      <c r="T527" s="75" t="n"/>
      <c r="U527" s="75" t="n"/>
      <c r="V527" s="75" t="n"/>
      <c r="W527" s="75" t="n"/>
      <c r="X527" s="75" t="n"/>
      <c r="Y527" s="75" t="n"/>
      <c r="Z527" s="45" t="n"/>
    </row>
    <row r="528">
      <c r="A528" s="40" t="inlineStr">
        <is>
          <t>trackingOrder.parcel</t>
        </is>
      </c>
      <c r="B528" s="46" t="inlineStr">
        <is>
          <t>Hàng hóa</t>
        </is>
      </c>
      <c r="C528" s="46" t="inlineStr">
        <is>
          <t>Product type</t>
        </is>
      </c>
      <c r="D528" s="43" t="inlineStr">
        <is>
          <t>កញ្ចប់អីវ៉ាន់</t>
        </is>
      </c>
      <c r="E528" s="75" t="n"/>
      <c r="F528" s="75" t="n"/>
      <c r="G528" s="75" t="inlineStr">
        <is>
          <t>ទំនិញ</t>
        </is>
      </c>
      <c r="H528" s="75" t="inlineStr">
        <is>
          <t>ទំនិញ</t>
        </is>
      </c>
      <c r="I528" s="75" t="n"/>
      <c r="J528" s="75" t="n"/>
      <c r="K528" s="75" t="inlineStr">
        <is>
          <t>"trackingOrder.parcel": "ទំនិញ",</t>
        </is>
      </c>
      <c r="L528" s="75" t="n"/>
      <c r="M528" s="75" t="n"/>
      <c r="N528" s="75" t="n"/>
      <c r="O528" s="75" t="n"/>
      <c r="P528" s="75" t="n"/>
      <c r="Q528" s="75" t="n"/>
      <c r="R528" s="75" t="n"/>
      <c r="S528" s="75" t="n"/>
      <c r="T528" s="75" t="n"/>
      <c r="U528" s="75" t="n"/>
      <c r="V528" s="75" t="n"/>
      <c r="W528" s="75" t="n"/>
      <c r="X528" s="75" t="n"/>
      <c r="Y528" s="75" t="n"/>
      <c r="Z528" s="45" t="n"/>
    </row>
    <row r="529">
      <c r="A529" s="40" t="inlineStr">
        <is>
          <t>trackingOrder.weight</t>
        </is>
      </c>
      <c r="B529" s="46" t="inlineStr">
        <is>
          <t>Trọng lượng</t>
        </is>
      </c>
      <c r="C529" s="46" t="inlineStr">
        <is>
          <t>Weight</t>
        </is>
      </c>
      <c r="D529" s="43" t="inlineStr">
        <is>
          <t>ទម្ងន់</t>
        </is>
      </c>
      <c r="E529" s="75" t="n"/>
      <c r="F529" s="75" t="n"/>
      <c r="G529" s="75" t="inlineStr">
        <is>
          <t>ទម្ងន់</t>
        </is>
      </c>
      <c r="H529" s="75" t="inlineStr">
        <is>
          <t>ទម្ងន់</t>
        </is>
      </c>
      <c r="I529" s="75" t="n"/>
      <c r="J529" s="75" t="n"/>
      <c r="K529" s="75" t="inlineStr">
        <is>
          <t>"trackingOrder.weight": "ទម្ងន់",</t>
        </is>
      </c>
      <c r="L529" s="75" t="n"/>
      <c r="M529" s="75" t="n"/>
      <c r="N529" s="75" t="n"/>
      <c r="O529" s="75" t="n"/>
      <c r="P529" s="75" t="n"/>
      <c r="Q529" s="75" t="n"/>
      <c r="R529" s="75" t="n"/>
      <c r="S529" s="75" t="n"/>
      <c r="T529" s="75" t="n"/>
      <c r="U529" s="75" t="n"/>
      <c r="V529" s="75" t="n"/>
      <c r="W529" s="75" t="n"/>
      <c r="X529" s="75" t="n"/>
      <c r="Y529" s="75" t="n"/>
      <c r="Z529" s="45" t="n"/>
    </row>
    <row r="530">
      <c r="A530" s="40" t="inlineStr">
        <is>
          <t>trackingOrder.size</t>
        </is>
      </c>
      <c r="B530" s="46" t="inlineStr">
        <is>
          <t>Kích thước</t>
        </is>
      </c>
      <c r="C530" s="46" t="inlineStr">
        <is>
          <t>Dimension</t>
        </is>
      </c>
      <c r="D530" s="43" t="inlineStr">
        <is>
          <t>ទំហំ</t>
        </is>
      </c>
      <c r="E530" s="75" t="n"/>
      <c r="F530" s="75" t="n"/>
      <c r="G530" s="75" t="inlineStr">
        <is>
          <t>ទំហំ</t>
        </is>
      </c>
      <c r="H530" s="75" t="inlineStr">
        <is>
          <t>ទំហំ</t>
        </is>
      </c>
      <c r="I530" s="75" t="n"/>
      <c r="J530" s="75" t="n"/>
      <c r="K530" s="75" t="inlineStr">
        <is>
          <t>"trackingOrder.size": "ទំហំ",</t>
        </is>
      </c>
      <c r="L530" s="75" t="n"/>
      <c r="M530" s="75" t="n"/>
      <c r="N530" s="75" t="n"/>
      <c r="O530" s="75" t="n"/>
      <c r="P530" s="75" t="n"/>
      <c r="Q530" s="75" t="n"/>
      <c r="R530" s="75" t="n"/>
      <c r="S530" s="75" t="n"/>
      <c r="T530" s="75" t="n"/>
      <c r="U530" s="75" t="n"/>
      <c r="V530" s="75" t="n"/>
      <c r="W530" s="75" t="n"/>
      <c r="X530" s="75" t="n"/>
      <c r="Y530" s="75" t="n"/>
      <c r="Z530" s="45" t="n"/>
    </row>
    <row r="531">
      <c r="A531" s="40" t="inlineStr">
        <is>
          <t>trackingOrder.shipFee</t>
        </is>
      </c>
      <c r="B531" s="46" t="inlineStr">
        <is>
          <t>Phí vận chuyển</t>
        </is>
      </c>
      <c r="C531" s="46" t="inlineStr">
        <is>
          <t>Shipping fee</t>
        </is>
      </c>
      <c r="D531" s="43" t="inlineStr">
        <is>
          <t>ថ្លៃសេវាដឹកជញ្ជូន</t>
        </is>
      </c>
      <c r="E531" s="75" t="n"/>
      <c r="F531" s="75" t="n"/>
      <c r="G531" s="75" t="inlineStr">
        <is>
          <t>ថ្លៃសេវាដឹកជញ្ជូន</t>
        </is>
      </c>
      <c r="H531" s="75" t="inlineStr">
        <is>
          <t>ថ្លៃសេវាដឹកជញ្ជូន</t>
        </is>
      </c>
      <c r="I531" s="75" t="n"/>
      <c r="J531" s="75" t="n"/>
      <c r="K531" s="75" t="inlineStr">
        <is>
          <t>"trackingOrder.shipFee": "ថ្លៃសេវាដឹកជញ្ជូន",</t>
        </is>
      </c>
      <c r="L531" s="75" t="n"/>
      <c r="M531" s="75" t="n"/>
      <c r="N531" s="75" t="n"/>
      <c r="O531" s="75" t="n"/>
      <c r="P531" s="75" t="n"/>
      <c r="Q531" s="75" t="n"/>
      <c r="R531" s="75" t="n"/>
      <c r="S531" s="75" t="n"/>
      <c r="T531" s="75" t="n"/>
      <c r="U531" s="75" t="n"/>
      <c r="V531" s="75" t="n"/>
      <c r="W531" s="75" t="n"/>
      <c r="X531" s="75" t="n"/>
      <c r="Y531" s="75" t="n"/>
      <c r="Z531" s="45" t="n"/>
    </row>
    <row r="532">
      <c r="A532" s="40" t="inlineStr">
        <is>
          <t>trackingOrder.payerType</t>
        </is>
      </c>
      <c r="B532" s="46" t="inlineStr">
        <is>
          <t>Người trả cước</t>
        </is>
      </c>
      <c r="C532" s="46" t="inlineStr">
        <is>
          <t>Payer</t>
        </is>
      </c>
      <c r="D532" s="75" t="inlineStr">
        <is>
          <t>អ្នកបង់ថ្លៃសេវា</t>
        </is>
      </c>
      <c r="E532" s="75" t="n"/>
      <c r="F532" s="75" t="n"/>
      <c r="G532" s="75" t="inlineStr">
        <is>
          <t>អ្នកបង់ថ្លៃសេវា</t>
        </is>
      </c>
      <c r="H532" s="75" t="inlineStr">
        <is>
          <t>អ្នកបង់ថ្លៃសេវា</t>
        </is>
      </c>
      <c r="I532" s="75" t="n"/>
      <c r="J532" s="75" t="n"/>
      <c r="K532" s="75" t="inlineStr">
        <is>
          <t>"trackingOrder.payerType": "អ្នកបង់ថ្លៃសេវា",</t>
        </is>
      </c>
      <c r="L532" s="75" t="n"/>
      <c r="M532" s="75" t="n"/>
      <c r="N532" s="75" t="n"/>
      <c r="O532" s="75" t="n"/>
      <c r="P532" s="75" t="n"/>
      <c r="Q532" s="75" t="n"/>
      <c r="R532" s="75" t="n"/>
      <c r="S532" s="75" t="n"/>
      <c r="T532" s="75" t="n"/>
      <c r="U532" s="75" t="n"/>
      <c r="V532" s="75" t="n"/>
      <c r="W532" s="75" t="n"/>
      <c r="X532" s="75" t="n"/>
      <c r="Y532" s="75" t="n"/>
      <c r="Z532" s="45" t="n"/>
    </row>
    <row r="533">
      <c r="A533" s="40" t="inlineStr">
        <is>
          <t>trackingOrder.CONSIGNEE</t>
        </is>
      </c>
      <c r="B533" s="46" t="inlineStr">
        <is>
          <t>Người nhận</t>
        </is>
      </c>
      <c r="C533" s="46" t="inlineStr">
        <is>
          <t>consignee</t>
        </is>
      </c>
      <c r="D533" s="43" t="inlineStr">
        <is>
          <t>អ្នកទទួល</t>
        </is>
      </c>
      <c r="E533" s="75" t="n"/>
      <c r="F533" s="75" t="n"/>
      <c r="G533" s="75" t="inlineStr">
        <is>
          <t>អ្នកទទួល</t>
        </is>
      </c>
      <c r="H533" s="75" t="inlineStr">
        <is>
          <t>អ្នកទទួល</t>
        </is>
      </c>
      <c r="I533" s="75" t="n"/>
      <c r="J533" s="75" t="n"/>
      <c r="K533" s="75" t="inlineStr">
        <is>
          <t>"trackingOrder.CONSIGNEE": "អ្នកទទួល",</t>
        </is>
      </c>
      <c r="L533" s="75" t="n"/>
      <c r="M533" s="75" t="n"/>
      <c r="N533" s="75" t="n"/>
      <c r="O533" s="75" t="n"/>
      <c r="P533" s="75" t="n"/>
      <c r="Q533" s="75" t="n"/>
      <c r="R533" s="75" t="n"/>
      <c r="S533" s="75" t="n"/>
      <c r="T533" s="75" t="n"/>
      <c r="U533" s="75" t="n"/>
      <c r="V533" s="75" t="n"/>
      <c r="W533" s="75" t="n"/>
      <c r="X533" s="75" t="n"/>
      <c r="Y533" s="75" t="n"/>
      <c r="Z533" s="45" t="n"/>
    </row>
    <row r="534">
      <c r="A534" s="40" t="inlineStr">
        <is>
          <t>trackingOrder.SELLER</t>
        </is>
      </c>
      <c r="B534" s="46" t="inlineStr">
        <is>
          <t>Người gửi</t>
        </is>
      </c>
      <c r="C534" s="46" t="inlineStr">
        <is>
          <t>seller</t>
        </is>
      </c>
      <c r="D534" s="75" t="inlineStr">
        <is>
          <t>អ្នកផ្ញើ</t>
        </is>
      </c>
      <c r="E534" s="75" t="n"/>
      <c r="F534" s="75" t="n"/>
      <c r="G534" s="75" t="inlineStr">
        <is>
          <t>អ្នកផ្ញើ</t>
        </is>
      </c>
      <c r="H534" s="75" t="inlineStr">
        <is>
          <t>អ្នកផ្ញើ</t>
        </is>
      </c>
      <c r="I534" s="75" t="n"/>
      <c r="J534" s="75" t="n"/>
      <c r="K534" s="75" t="inlineStr">
        <is>
          <t>"trackingOrder.SELLER": "អ្នកផ្ញើ",</t>
        </is>
      </c>
      <c r="L534" s="75" t="n"/>
      <c r="M534" s="75" t="n"/>
      <c r="N534" s="75" t="n"/>
      <c r="O534" s="75" t="n"/>
      <c r="P534" s="75" t="n"/>
      <c r="Q534" s="75" t="n"/>
      <c r="R534" s="75" t="n"/>
      <c r="S534" s="75" t="n"/>
      <c r="T534" s="75" t="n"/>
      <c r="U534" s="75" t="n"/>
      <c r="V534" s="75" t="n"/>
      <c r="W534" s="75" t="n"/>
      <c r="X534" s="75" t="n"/>
      <c r="Y534" s="75" t="n"/>
      <c r="Z534" s="45" t="n"/>
    </row>
    <row r="535">
      <c r="A535" s="40" t="inlineStr">
        <is>
          <t>trackingOrder.totalFee</t>
        </is>
      </c>
      <c r="B535" s="46" t="inlineStr">
        <is>
          <t>Tiền cước</t>
        </is>
      </c>
      <c r="C535" s="46" t="inlineStr">
        <is>
          <t>Total amount</t>
        </is>
      </c>
      <c r="D535" s="43" t="inlineStr">
        <is>
          <t>ថ្លៃសេវា</t>
        </is>
      </c>
      <c r="E535" s="75" t="n"/>
      <c r="F535" s="75" t="n"/>
      <c r="G535" s="75" t="inlineStr">
        <is>
          <t>ថ្លៃសេវា</t>
        </is>
      </c>
      <c r="H535" s="75" t="inlineStr">
        <is>
          <t>ថ្លៃសេវា</t>
        </is>
      </c>
      <c r="I535" s="75" t="n"/>
      <c r="J535" s="75" t="n"/>
      <c r="K535" s="75" t="inlineStr">
        <is>
          <t>"trackingOrder.totalFee": "ថ្លៃសេវា",</t>
        </is>
      </c>
      <c r="L535" s="75" t="n"/>
      <c r="M535" s="75" t="n"/>
      <c r="N535" s="75" t="n"/>
      <c r="O535" s="75" t="n"/>
      <c r="P535" s="75" t="n"/>
      <c r="Q535" s="75" t="n"/>
      <c r="R535" s="75" t="n"/>
      <c r="S535" s="75" t="n"/>
      <c r="T535" s="75" t="n"/>
      <c r="U535" s="75" t="n"/>
      <c r="V535" s="75" t="n"/>
      <c r="W535" s="75" t="n"/>
      <c r="X535" s="75" t="n"/>
      <c r="Y535" s="75" t="n"/>
      <c r="Z535" s="45" t="n"/>
    </row>
    <row r="536">
      <c r="A536" s="40" t="inlineStr">
        <is>
          <t>trackingOrder.collectFee</t>
        </is>
      </c>
      <c r="B536" s="46" t="inlineStr">
        <is>
          <t>Tiền thu hộ</t>
        </is>
      </c>
      <c r="C536" s="46" t="inlineStr">
        <is>
          <t>COD</t>
        </is>
      </c>
      <c r="D536" s="43" t="inlineStr">
        <is>
          <t>ប្រាក់ប្រមូលជំនួស</t>
        </is>
      </c>
      <c r="E536" s="75" t="n"/>
      <c r="F536" s="75" t="n"/>
      <c r="G536" s="75" t="inlineStr">
        <is>
          <t>ប្រាក់ប្រមូលជំនួស (COD)</t>
        </is>
      </c>
      <c r="H536" s="75" t="inlineStr">
        <is>
          <t>ប្រាក់ប្រមូលជំនួស (COD)</t>
        </is>
      </c>
      <c r="I536" s="75" t="n"/>
      <c r="J536" s="75" t="n"/>
      <c r="K536" s="75" t="inlineStr">
        <is>
          <t>"trackingOrder.collectFee": "ប្រាក់ប្រមូលជំនួស (COD)",</t>
        </is>
      </c>
      <c r="L536" s="75" t="n"/>
      <c r="M536" s="75" t="n"/>
      <c r="N536" s="75" t="n"/>
      <c r="O536" s="75" t="n"/>
      <c r="P536" s="75" t="n"/>
      <c r="Q536" s="75" t="n"/>
      <c r="R536" s="75" t="n"/>
      <c r="S536" s="75" t="n"/>
      <c r="T536" s="75" t="n"/>
      <c r="U536" s="75" t="n"/>
      <c r="V536" s="75" t="n"/>
      <c r="W536" s="75" t="n"/>
      <c r="X536" s="75" t="n"/>
      <c r="Y536" s="75" t="n"/>
      <c r="Z536" s="45" t="n"/>
    </row>
    <row r="537">
      <c r="A537" s="40" t="inlineStr">
        <is>
          <t>trackingOrder.sellerFee</t>
        </is>
      </c>
      <c r="B537" s="46" t="inlineStr">
        <is>
          <t>Tiền thu người nhận</t>
        </is>
      </c>
      <c r="C537" s="46" t="inlineStr">
        <is>
          <t>COD (Collect on Delivery)</t>
        </is>
      </c>
      <c r="D537" s="43" t="n"/>
      <c r="E537" s="75" t="n"/>
      <c r="F537" s="75" t="n"/>
      <c r="G537" s="75" t="inlineStr">
        <is>
          <t>Tiền thu người ទទួល</t>
        </is>
      </c>
      <c r="H537" s="75" t="inlineStr">
        <is>
          <t>Tiền thu người ទទួល</t>
        </is>
      </c>
      <c r="I537" s="75" t="n"/>
      <c r="J537" s="75" t="n"/>
      <c r="K537" s="75" t="inlineStr">
        <is>
          <t>"trackingOrder.sellerFee": "Tiền thu người ទទួល",</t>
        </is>
      </c>
      <c r="L537" s="75" t="n"/>
      <c r="M537" s="75" t="n"/>
      <c r="N537" s="75" t="n"/>
      <c r="O537" s="75" t="n"/>
      <c r="P537" s="75" t="n"/>
      <c r="Q537" s="75" t="n"/>
      <c r="R537" s="75" t="n"/>
      <c r="S537" s="75" t="n"/>
      <c r="T537" s="75" t="n"/>
      <c r="U537" s="75" t="n"/>
      <c r="V537" s="75" t="n"/>
      <c r="W537" s="75" t="n"/>
      <c r="X537" s="75" t="n"/>
      <c r="Y537" s="75" t="n"/>
      <c r="Z537" s="45" t="n"/>
    </row>
    <row r="538">
      <c r="A538" s="40" t="inlineStr">
        <is>
          <t>trackingOrder.GOODS</t>
        </is>
      </c>
      <c r="B538" s="46" t="inlineStr">
        <is>
          <t>Hàng hoá</t>
        </is>
      </c>
      <c r="C538" s="46" t="inlineStr">
        <is>
          <t>Goods</t>
        </is>
      </c>
      <c r="D538" s="43" t="inlineStr">
        <is>
          <t>កញ្ចប់អីវ៉ាន់</t>
        </is>
      </c>
      <c r="E538" s="75" t="n"/>
      <c r="F538" s="75" t="n"/>
      <c r="G538" s="75" t="inlineStr">
        <is>
          <t>កញ្ចប់អីវ៉ាន់</t>
        </is>
      </c>
      <c r="H538" s="75" t="inlineStr">
        <is>
          <t>កញ្ចប់អីវ៉ាន់</t>
        </is>
      </c>
      <c r="I538" s="75" t="n"/>
      <c r="J538" s="75" t="n"/>
      <c r="K538" s="75" t="inlineStr">
        <is>
          <t>"trackingOrder.GOODS": "កញ្ចប់អីវ៉ាន់",</t>
        </is>
      </c>
      <c r="L538" s="75" t="n"/>
      <c r="M538" s="75" t="n"/>
      <c r="N538" s="75" t="n"/>
      <c r="O538" s="75" t="n"/>
      <c r="P538" s="75" t="n"/>
      <c r="Q538" s="75" t="n"/>
      <c r="R538" s="75" t="n"/>
      <c r="S538" s="75" t="n"/>
      <c r="T538" s="75" t="n"/>
      <c r="U538" s="75" t="n"/>
      <c r="V538" s="75" t="n"/>
      <c r="W538" s="75" t="n"/>
      <c r="X538" s="75" t="n"/>
      <c r="Y538" s="75" t="n"/>
      <c r="Z538" s="45" t="n"/>
    </row>
    <row r="539">
      <c r="A539" s="40" t="inlineStr">
        <is>
          <t>trackingOrder.DOCUMENT</t>
        </is>
      </c>
      <c r="B539" s="46" t="inlineStr">
        <is>
          <t>Thư</t>
        </is>
      </c>
      <c r="C539" s="46" t="inlineStr">
        <is>
          <t>Document</t>
        </is>
      </c>
      <c r="D539" s="43" t="inlineStr">
        <is>
          <t>សំបុត្រ</t>
        </is>
      </c>
      <c r="E539" s="75" t="n"/>
      <c r="F539" s="75" t="n"/>
      <c r="G539" s="75" t="inlineStr">
        <is>
          <t>សំបុត្រ</t>
        </is>
      </c>
      <c r="H539" s="75" t="inlineStr">
        <is>
          <t>សំបុត្រ</t>
        </is>
      </c>
      <c r="I539" s="75" t="n"/>
      <c r="J539" s="75" t="n"/>
      <c r="K539" s="75" t="inlineStr">
        <is>
          <t>"trackingOrder.DOCUMENT": "សំបុត្រ",</t>
        </is>
      </c>
      <c r="L539" s="75" t="n"/>
      <c r="M539" s="75" t="n"/>
      <c r="N539" s="75" t="n"/>
      <c r="O539" s="75" t="n"/>
      <c r="P539" s="75" t="n"/>
      <c r="Q539" s="75" t="n"/>
      <c r="R539" s="75" t="n"/>
      <c r="S539" s="75" t="n"/>
      <c r="T539" s="75" t="n"/>
      <c r="U539" s="75" t="n"/>
      <c r="V539" s="75" t="n"/>
      <c r="W539" s="75" t="n"/>
      <c r="X539" s="75" t="n"/>
      <c r="Y539" s="75" t="n"/>
      <c r="Z539" s="45" t="n"/>
    </row>
    <row r="540">
      <c r="A540" s="40" t="inlineStr">
        <is>
          <t>listButton.deliveryPhote</t>
        </is>
      </c>
      <c r="B540" s="46" t="inlineStr">
        <is>
          <t>Ảnh giao hàng</t>
        </is>
      </c>
      <c r="C540" s="46" t="inlineStr">
        <is>
          <t>Delivery image</t>
        </is>
      </c>
      <c r="D540" s="43" t="inlineStr">
        <is>
          <t>រូបថតប្រគល់អីវ៉ាន់</t>
        </is>
      </c>
      <c r="E540" s="75" t="n"/>
      <c r="F540" s="75" t="n"/>
      <c r="G540" s="75" t="inlineStr">
        <is>
          <t>រូបថតប្រគល់អីវ៉ាន់</t>
        </is>
      </c>
      <c r="H540" s="75" t="inlineStr">
        <is>
          <t>រូបថតប្រគល់អីវ៉ាន់</t>
        </is>
      </c>
      <c r="I540" s="75" t="n"/>
      <c r="J540" s="75" t="n"/>
      <c r="K540" s="75" t="inlineStr">
        <is>
          <t>"listButton.deliveryPhote": "រូបថតប្រគល់អីវ៉ាន់",</t>
        </is>
      </c>
      <c r="L540" s="75" t="n"/>
      <c r="M540" s="75" t="n"/>
      <c r="N540" s="75" t="n"/>
      <c r="O540" s="75" t="n"/>
      <c r="P540" s="75" t="n"/>
      <c r="Q540" s="75" t="n"/>
      <c r="R540" s="75" t="n"/>
      <c r="S540" s="75" t="n"/>
      <c r="T540" s="75" t="n"/>
      <c r="U540" s="75" t="n"/>
      <c r="V540" s="75" t="n"/>
      <c r="W540" s="75" t="n"/>
      <c r="X540" s="75" t="n"/>
      <c r="Y540" s="75" t="n"/>
      <c r="Z540" s="45" t="n"/>
    </row>
    <row r="541">
      <c r="A541" s="40" t="inlineStr">
        <is>
          <t>listButton.shippingPhoto</t>
        </is>
      </c>
      <c r="B541" s="46" t="inlineStr">
        <is>
          <t>Ảnh gửi hàng</t>
        </is>
      </c>
      <c r="C541" s="46" t="inlineStr">
        <is>
          <t>Received image</t>
        </is>
      </c>
      <c r="D541" s="43" t="inlineStr">
        <is>
          <t>រូូបថតផ្ញើអីវ៉ាន់</t>
        </is>
      </c>
      <c r="E541" s="75" t="n"/>
      <c r="F541" s="75" t="n"/>
      <c r="G541" s="75" t="inlineStr">
        <is>
          <t>រូូបថតផ្ញើអីវ៉ាន់</t>
        </is>
      </c>
      <c r="H541" s="75" t="inlineStr">
        <is>
          <t>រូូបថតផ្ញើអីវ៉ាន់</t>
        </is>
      </c>
      <c r="I541" s="75" t="n"/>
      <c r="J541" s="75" t="n"/>
      <c r="K541" s="75" t="inlineStr">
        <is>
          <t>"listButton.shippingPhoto": "រូូបថតផ្ញើអីវ៉ាន់",</t>
        </is>
      </c>
      <c r="L541" s="75" t="n"/>
      <c r="M541" s="75" t="n"/>
      <c r="N541" s="75" t="n"/>
      <c r="O541" s="75" t="n"/>
      <c r="P541" s="75" t="n"/>
      <c r="Q541" s="75" t="n"/>
      <c r="R541" s="75" t="n"/>
      <c r="S541" s="75" t="n"/>
      <c r="T541" s="75" t="n"/>
      <c r="U541" s="75" t="n"/>
      <c r="V541" s="75" t="n"/>
      <c r="W541" s="75" t="n"/>
      <c r="X541" s="75" t="n"/>
      <c r="Y541" s="75" t="n"/>
      <c r="Z541" s="45" t="n"/>
    </row>
    <row r="542">
      <c r="A542" s="40" t="inlineStr">
        <is>
          <t>listButton.printOrder</t>
        </is>
      </c>
      <c r="B542" s="46" t="inlineStr">
        <is>
          <t>In phiếu gửi</t>
        </is>
      </c>
      <c r="C542" s="46" t="inlineStr">
        <is>
          <t>Print order</t>
        </is>
      </c>
      <c r="D542" s="43" t="inlineStr">
        <is>
          <t>ព្រីនបុងបញ្ញើ</t>
        </is>
      </c>
      <c r="E542" s="75" t="n"/>
      <c r="F542" s="75" t="n"/>
      <c r="G542" s="75" t="inlineStr">
        <is>
          <t>ព្រីនបុងបញ្ញើ</t>
        </is>
      </c>
      <c r="H542" s="75" t="inlineStr">
        <is>
          <t>ព្រីនបុងបញ្ញើ</t>
        </is>
      </c>
      <c r="I542" s="75" t="n"/>
      <c r="J542" s="75" t="n"/>
      <c r="K542" s="75" t="inlineStr">
        <is>
          <t>"listButton.printOrder": "ព្រីនបុងបញ្ញើ",</t>
        </is>
      </c>
      <c r="L542" s="75" t="n"/>
      <c r="M542" s="75" t="n"/>
      <c r="N542" s="75" t="n"/>
      <c r="O542" s="75" t="n"/>
      <c r="P542" s="75" t="n"/>
      <c r="Q542" s="75" t="n"/>
      <c r="R542" s="75" t="n"/>
      <c r="S542" s="75" t="n"/>
      <c r="T542" s="75" t="n"/>
      <c r="U542" s="75" t="n"/>
      <c r="V542" s="75" t="n"/>
      <c r="W542" s="75" t="n"/>
      <c r="X542" s="75" t="n"/>
      <c r="Y542" s="75" t="n"/>
      <c r="Z542" s="45" t="n"/>
    </row>
    <row r="543">
      <c r="A543" s="40" t="inlineStr">
        <is>
          <t>listButton.printReturn</t>
        </is>
      </c>
      <c r="B543" s="46" t="inlineStr">
        <is>
          <t>In phiếu hoàn</t>
        </is>
      </c>
      <c r="C543" s="46" t="inlineStr">
        <is>
          <t>Print return order</t>
        </is>
      </c>
      <c r="D543" s="43" t="inlineStr">
        <is>
          <t>ព្រីនបុងត្រលប់</t>
        </is>
      </c>
      <c r="E543" s="75" t="n"/>
      <c r="F543" s="75" t="n"/>
      <c r="G543" s="75" t="inlineStr">
        <is>
          <t>ព្រីនបុងត្រលប់</t>
        </is>
      </c>
      <c r="H543" s="75" t="inlineStr">
        <is>
          <t>ព្រីនបុងត្រលប់</t>
        </is>
      </c>
      <c r="I543" s="75" t="n"/>
      <c r="J543" s="75" t="n"/>
      <c r="K543" s="75" t="inlineStr">
        <is>
          <t>"listButton.printReturn": "ព្រីនបុងត្រលប់",</t>
        </is>
      </c>
      <c r="L543" s="75" t="n"/>
      <c r="M543" s="75" t="n"/>
      <c r="N543" s="75" t="n"/>
      <c r="O543" s="75" t="n"/>
      <c r="P543" s="75" t="n"/>
      <c r="Q543" s="75" t="n"/>
      <c r="R543" s="75" t="n"/>
      <c r="S543" s="75" t="n"/>
      <c r="T543" s="75" t="n"/>
      <c r="U543" s="75" t="n"/>
      <c r="V543" s="75" t="n"/>
      <c r="W543" s="75" t="n"/>
      <c r="X543" s="75" t="n"/>
      <c r="Y543" s="75" t="n"/>
      <c r="Z543" s="45" t="n"/>
    </row>
    <row r="544">
      <c r="A544" s="40" t="inlineStr">
        <is>
          <t>trackingInfomation.informationUser</t>
        </is>
      </c>
      <c r="B544" s="46" t="inlineStr">
        <is>
          <t>Thông tin liên hệ</t>
        </is>
      </c>
      <c r="C544" s="46" t="inlineStr">
        <is>
          <t>Contact information</t>
        </is>
      </c>
      <c r="D544" s="43" t="inlineStr">
        <is>
          <t>ព័ត៌មានទំនាក់ទំនង</t>
        </is>
      </c>
      <c r="E544" s="75" t="n"/>
      <c r="F544" s="75" t="n"/>
      <c r="G544" s="75" t="inlineStr">
        <is>
          <t>ព័ត៌មានទំនាក់ទំនង</t>
        </is>
      </c>
      <c r="H544" s="75" t="inlineStr">
        <is>
          <t>ព័ត៌មានទំនាក់ទំនង</t>
        </is>
      </c>
      <c r="I544" s="75" t="n"/>
      <c r="J544" s="75" t="n"/>
      <c r="K544" s="75" t="inlineStr">
        <is>
          <t>"trackingInfomation.informationUser": "ព័ត៌មានទំនាក់ទំនង",</t>
        </is>
      </c>
      <c r="L544" s="75" t="n"/>
      <c r="M544" s="75" t="n"/>
      <c r="N544" s="75" t="n"/>
      <c r="O544" s="75" t="n"/>
      <c r="P544" s="75" t="n"/>
      <c r="Q544" s="75" t="n"/>
      <c r="R544" s="75" t="n"/>
      <c r="S544" s="75" t="n"/>
      <c r="T544" s="75" t="n"/>
      <c r="U544" s="75" t="n"/>
      <c r="V544" s="75" t="n"/>
      <c r="W544" s="75" t="n"/>
      <c r="X544" s="75" t="n"/>
      <c r="Y544" s="75" t="n"/>
      <c r="Z544" s="45" t="n"/>
    </row>
    <row r="545">
      <c r="A545" s="40" t="inlineStr">
        <is>
          <t>trackingInfomation.postOfficeDelivery</t>
        </is>
      </c>
      <c r="B545" s="46" t="inlineStr">
        <is>
          <t>Bưu cục phát</t>
        </is>
      </c>
      <c r="C545" s="46" t="inlineStr">
        <is>
          <t>Delivery post office</t>
        </is>
      </c>
      <c r="D545" s="43" t="inlineStr">
        <is>
          <t>ការិយាល័យប្រៃសណីយ៍ដឹកជញ្ជូន</t>
        </is>
      </c>
      <c r="E545" s="75" t="n"/>
      <c r="F545" s="75" t="n"/>
      <c r="G545" s="75" t="inlineStr">
        <is>
          <t>ការិយាល័យប្រៃសណីយ៍ដឹកចែក</t>
        </is>
      </c>
      <c r="H545" s="75" t="inlineStr">
        <is>
          <t>ការិយាល័យប្រៃសណីយ៍ដឹកចែក</t>
        </is>
      </c>
      <c r="I545" s="75" t="n"/>
      <c r="J545" s="75" t="n"/>
      <c r="K545" s="75" t="inlineStr">
        <is>
          <t>"trackingInfomation.postOfficeDelivery": "ការិយាល័យប្រៃសណីយ៍ដឹកចែក",</t>
        </is>
      </c>
      <c r="L545" s="75" t="n"/>
      <c r="M545" s="75" t="n"/>
      <c r="N545" s="75" t="n"/>
      <c r="O545" s="75" t="n"/>
      <c r="P545" s="75" t="n"/>
      <c r="Q545" s="75" t="n"/>
      <c r="R545" s="75" t="n"/>
      <c r="S545" s="75" t="n"/>
      <c r="T545" s="75" t="n"/>
      <c r="U545" s="75" t="n"/>
      <c r="V545" s="75" t="n"/>
      <c r="W545" s="75" t="n"/>
      <c r="X545" s="75" t="n"/>
      <c r="Y545" s="75" t="n"/>
      <c r="Z545" s="45" t="n"/>
    </row>
    <row r="546">
      <c r="A546" s="40" t="inlineStr">
        <is>
          <t>trackingInfomation.leader</t>
        </is>
      </c>
      <c r="B546" s="46" t="inlineStr">
        <is>
          <t>Trưởng đơn vị</t>
        </is>
      </c>
      <c r="C546" s="46" t="inlineStr">
        <is>
          <t>Head of Post-Office</t>
        </is>
      </c>
      <c r="D546" s="43" t="inlineStr">
        <is>
          <t>ប្រធានអង្គភាព</t>
        </is>
      </c>
      <c r="E546" s="75" t="n"/>
      <c r="F546" s="75" t="n"/>
      <c r="G546" s="75" t="inlineStr">
        <is>
          <t>ប្រធានអង្គភាព</t>
        </is>
      </c>
      <c r="H546" s="75" t="inlineStr">
        <is>
          <t>ប្រធានអង្គភាព</t>
        </is>
      </c>
      <c r="I546" s="75" t="n"/>
      <c r="J546" s="75" t="n"/>
      <c r="K546" s="75" t="inlineStr">
        <is>
          <t>"trackingInfomation.leader": "ប្រធានអង្គភាព",</t>
        </is>
      </c>
      <c r="L546" s="75" t="n"/>
      <c r="M546" s="75" t="n"/>
      <c r="N546" s="75" t="n"/>
      <c r="O546" s="75" t="n"/>
      <c r="P546" s="75" t="n"/>
      <c r="Q546" s="75" t="n"/>
      <c r="R546" s="75" t="n"/>
      <c r="S546" s="75" t="n"/>
      <c r="T546" s="75" t="n"/>
      <c r="U546" s="75" t="n"/>
      <c r="V546" s="75" t="n"/>
      <c r="W546" s="75" t="n"/>
      <c r="X546" s="75" t="n"/>
      <c r="Y546" s="75" t="n"/>
      <c r="Z546" s="45" t="n"/>
    </row>
    <row r="547">
      <c r="A547" s="40" t="inlineStr">
        <is>
          <t>trackingInfomation.customerCareDelivery</t>
        </is>
      </c>
      <c r="B547" s="46" t="inlineStr">
        <is>
          <t>CSKH phát</t>
        </is>
      </c>
      <c r="C547" s="46" t="inlineStr">
        <is>
          <t>Delivery customer care</t>
        </is>
      </c>
      <c r="D547" s="75" t="n"/>
      <c r="E547" s="75" t="n"/>
      <c r="F547" s="75" t="n"/>
      <c r="G547" s="75" t="inlineStr">
        <is>
          <t>CSKH ដឹកចែក</t>
        </is>
      </c>
      <c r="H547" s="75" t="inlineStr">
        <is>
          <t>CSKH ដឹកចែក</t>
        </is>
      </c>
      <c r="I547" s="75" t="n"/>
      <c r="J547" s="75" t="n"/>
      <c r="K547" s="75" t="inlineStr">
        <is>
          <t>"trackingInfomation.customerCareDelivery": "CSKH ដឹកចែក",</t>
        </is>
      </c>
      <c r="L547" s="75" t="n"/>
      <c r="M547" s="75" t="n"/>
      <c r="N547" s="75" t="n"/>
      <c r="O547" s="75" t="n"/>
      <c r="P547" s="75" t="n"/>
      <c r="Q547" s="75" t="n"/>
      <c r="R547" s="75" t="n"/>
      <c r="S547" s="75" t="n"/>
      <c r="T547" s="75" t="n"/>
      <c r="U547" s="75" t="n"/>
      <c r="V547" s="75" t="n"/>
      <c r="W547" s="75" t="n"/>
      <c r="X547" s="75" t="n"/>
      <c r="Y547" s="75" t="n"/>
      <c r="Z547" s="45" t="n"/>
    </row>
    <row r="548">
      <c r="A548" s="40" t="inlineStr">
        <is>
          <t>trackingInfomation.postmanDelivery</t>
        </is>
      </c>
      <c r="B548" s="46" t="inlineStr">
        <is>
          <t>Bưu tá phát</t>
        </is>
      </c>
      <c r="C548" s="46" t="inlineStr">
        <is>
          <t>Delivery postman</t>
        </is>
      </c>
      <c r="D548" s="43" t="inlineStr">
        <is>
          <t>អ្នកដឹកជញ្ជូនចេញដំណើរ</t>
        </is>
      </c>
      <c r="E548" s="75" t="n"/>
      <c r="F548" s="75" t="n"/>
      <c r="G548" s="75" t="inlineStr">
        <is>
          <t>អ្នកដឹកជញ្ជូនចេញដំណើរ</t>
        </is>
      </c>
      <c r="H548" s="75" t="inlineStr">
        <is>
          <t>អ្នកដឹកជញ្ជូនចេញដំណើរ</t>
        </is>
      </c>
      <c r="I548" s="75" t="n"/>
      <c r="J548" s="75" t="n"/>
      <c r="K548" s="75" t="inlineStr">
        <is>
          <t>"trackingInfomation.postmanDelivery": "អ្នកដឹកជញ្ជូនចេញដំណើរ",</t>
        </is>
      </c>
      <c r="L548" s="75" t="n"/>
      <c r="M548" s="75" t="n"/>
      <c r="N548" s="75" t="n"/>
      <c r="O548" s="75" t="n"/>
      <c r="P548" s="75" t="n"/>
      <c r="Q548" s="75" t="n"/>
      <c r="R548" s="75" t="n"/>
      <c r="S548" s="75" t="n"/>
      <c r="T548" s="75" t="n"/>
      <c r="U548" s="75" t="n"/>
      <c r="V548" s="75" t="n"/>
      <c r="W548" s="75" t="n"/>
      <c r="X548" s="75" t="n"/>
      <c r="Y548" s="75" t="n"/>
      <c r="Z548" s="45" t="n"/>
    </row>
    <row r="549">
      <c r="A549" s="40" t="inlineStr">
        <is>
          <t>trackingInfomation.postOfficeOrigin</t>
        </is>
      </c>
      <c r="B549" s="46" t="inlineStr">
        <is>
          <t>Bưu cục gốc</t>
        </is>
      </c>
      <c r="C549" s="46" t="inlineStr">
        <is>
          <t>Origin post office</t>
        </is>
      </c>
      <c r="D549" s="43" t="inlineStr">
        <is>
          <t>ការិយាល័យប្រៃសណីយ៍ដើម</t>
        </is>
      </c>
      <c r="E549" s="75" t="n"/>
      <c r="F549" s="75" t="n"/>
      <c r="G549" s="75" t="inlineStr">
        <is>
          <t>ការិយាល័យប្រៃសណីយ៍ដើម</t>
        </is>
      </c>
      <c r="H549" s="75" t="inlineStr">
        <is>
          <t>ការិយាល័យប្រៃសណីយ៍ដើម</t>
        </is>
      </c>
      <c r="I549" s="75" t="n"/>
      <c r="J549" s="75" t="n"/>
      <c r="K549" s="75" t="inlineStr">
        <is>
          <t>"trackingInfomation.postOfficeOrigin": "ការិយាល័យប្រៃសណីយ៍ដើម",</t>
        </is>
      </c>
      <c r="L549" s="75" t="n"/>
      <c r="M549" s="75" t="n"/>
      <c r="N549" s="75" t="n"/>
      <c r="O549" s="75" t="n"/>
      <c r="P549" s="75" t="n"/>
      <c r="Q549" s="75" t="n"/>
      <c r="R549" s="75" t="n"/>
      <c r="S549" s="75" t="n"/>
      <c r="T549" s="75" t="n"/>
      <c r="U549" s="75" t="n"/>
      <c r="V549" s="75" t="n"/>
      <c r="W549" s="75" t="n"/>
      <c r="X549" s="75" t="n"/>
      <c r="Y549" s="75" t="n"/>
      <c r="Z549" s="45" t="n"/>
    </row>
    <row r="550">
      <c r="A550" s="40" t="inlineStr">
        <is>
          <t>trackingInfomation.customerCareOrigin</t>
        </is>
      </c>
      <c r="B550" s="46" t="inlineStr">
        <is>
          <t>CSKH gốc</t>
        </is>
      </c>
      <c r="C550" s="46" t="inlineStr">
        <is>
          <t>Origin customer care</t>
        </is>
      </c>
      <c r="D550" s="75" t="n"/>
      <c r="E550" s="75" t="n"/>
      <c r="F550" s="75" t="n"/>
      <c r="G550" s="75" t="inlineStr">
        <is>
          <t>ផ្នែកបម្រើអតិថិជនដើម</t>
        </is>
      </c>
      <c r="H550" s="75" t="inlineStr">
        <is>
          <t>ផ្នែកបម្រើអតិថិជនដើម</t>
        </is>
      </c>
      <c r="I550" s="75" t="n"/>
      <c r="J550" s="75" t="n"/>
      <c r="K550" s="75" t="inlineStr">
        <is>
          <t>"trackingInfomation.customerCareOrigin": "ផ្នែកបម្រើអតិថិជនដើម",</t>
        </is>
      </c>
      <c r="L550" s="75" t="n"/>
      <c r="M550" s="75" t="n"/>
      <c r="N550" s="75" t="n"/>
      <c r="O550" s="75" t="n"/>
      <c r="P550" s="75" t="n"/>
      <c r="Q550" s="75" t="n"/>
      <c r="R550" s="75" t="n"/>
      <c r="S550" s="75" t="n"/>
      <c r="T550" s="75" t="n"/>
      <c r="U550" s="75" t="n"/>
      <c r="V550" s="75" t="n"/>
      <c r="W550" s="75" t="n"/>
      <c r="X550" s="75" t="n"/>
      <c r="Y550" s="75" t="n"/>
      <c r="Z550" s="45" t="n"/>
    </row>
    <row r="551">
      <c r="A551" s="40" t="inlineStr">
        <is>
          <t>trackingInfomation.informationDelivery</t>
        </is>
      </c>
      <c r="B551" s="46" t="inlineStr">
        <is>
          <t>Thông tin phát</t>
        </is>
      </c>
      <c r="C551" s="46" t="inlineStr">
        <is>
          <t>Delivery information</t>
        </is>
      </c>
      <c r="D551" s="43" t="inlineStr">
        <is>
          <t>ព័ត៌មានប្រគល់</t>
        </is>
      </c>
      <c r="E551" s="75" t="n"/>
      <c r="F551" s="75" t="n"/>
      <c r="G551" s="75" t="inlineStr">
        <is>
          <t>ព័ត៌មានប្រគល់</t>
        </is>
      </c>
      <c r="H551" s="75" t="inlineStr">
        <is>
          <t>ព័ត៌មានប្រគល់</t>
        </is>
      </c>
      <c r="I551" s="75" t="n"/>
      <c r="J551" s="75" t="n"/>
      <c r="K551" s="75" t="inlineStr">
        <is>
          <t>"trackingInfomation.informationDelivery": "ព័ត៌មានប្រគល់",</t>
        </is>
      </c>
      <c r="L551" s="75" t="n"/>
      <c r="M551" s="75" t="n"/>
      <c r="N551" s="75" t="n"/>
      <c r="O551" s="75" t="n"/>
      <c r="P551" s="75" t="n"/>
      <c r="Q551" s="75" t="n"/>
      <c r="R551" s="75" t="n"/>
      <c r="S551" s="75" t="n"/>
      <c r="T551" s="75" t="n"/>
      <c r="U551" s="75" t="n"/>
      <c r="V551" s="75" t="n"/>
      <c r="W551" s="75" t="n"/>
      <c r="X551" s="75" t="n"/>
      <c r="Y551" s="75" t="n"/>
      <c r="Z551" s="45" t="n"/>
    </row>
    <row r="552">
      <c r="A552" s="40" t="inlineStr">
        <is>
          <t>trackingInfomation.receiverUser</t>
        </is>
      </c>
      <c r="B552" s="46" t="inlineStr">
        <is>
          <t>Người nhận</t>
        </is>
      </c>
      <c r="C552" s="46" t="inlineStr">
        <is>
          <t>Receiver</t>
        </is>
      </c>
      <c r="D552" s="43" t="inlineStr">
        <is>
          <t>អ្នកទទួល</t>
        </is>
      </c>
      <c r="E552" s="75" t="n"/>
      <c r="F552" s="75" t="n"/>
      <c r="G552" s="75" t="inlineStr">
        <is>
          <t>អ្នកទទួល</t>
        </is>
      </c>
      <c r="H552" s="75" t="inlineStr">
        <is>
          <t>អ្នកទទួល</t>
        </is>
      </c>
      <c r="I552" s="75" t="n"/>
      <c r="J552" s="75" t="n"/>
      <c r="K552" s="75" t="inlineStr">
        <is>
          <t>"trackingInfomation.receiverUser": "អ្នកទទួល",</t>
        </is>
      </c>
      <c r="L552" s="75" t="n"/>
      <c r="M552" s="75" t="n"/>
      <c r="N552" s="75" t="n"/>
      <c r="O552" s="75" t="n"/>
      <c r="P552" s="75" t="n"/>
      <c r="Q552" s="75" t="n"/>
      <c r="R552" s="75" t="n"/>
      <c r="S552" s="75" t="n"/>
      <c r="T552" s="75" t="n"/>
      <c r="U552" s="75" t="n"/>
      <c r="V552" s="75" t="n"/>
      <c r="W552" s="75" t="n"/>
      <c r="X552" s="75" t="n"/>
      <c r="Y552" s="75" t="n"/>
      <c r="Z552" s="45" t="n"/>
    </row>
    <row r="553">
      <c r="A553" s="40" t="inlineStr">
        <is>
          <t>trackingInfomation.parcel</t>
        </is>
      </c>
      <c r="B553" s="46" t="inlineStr">
        <is>
          <t>Hàng hóa</t>
        </is>
      </c>
      <c r="C553" s="46" t="inlineStr">
        <is>
          <t>Parcel</t>
        </is>
      </c>
      <c r="D553" s="43" t="inlineStr">
        <is>
          <t>កញ្ចប់អីវ៉ាន់</t>
        </is>
      </c>
      <c r="E553" s="75" t="n"/>
      <c r="F553" s="75" t="n"/>
      <c r="G553" s="75" t="inlineStr">
        <is>
          <t>ទំនិញ</t>
        </is>
      </c>
      <c r="H553" s="75" t="inlineStr">
        <is>
          <t>ទំនិញ</t>
        </is>
      </c>
      <c r="I553" s="75" t="n"/>
      <c r="J553" s="75" t="n"/>
      <c r="K553" s="75" t="inlineStr">
        <is>
          <t>"trackingInfomation.parcel": "ទំនិញ",</t>
        </is>
      </c>
      <c r="L553" s="75" t="n"/>
      <c r="M553" s="75" t="n"/>
      <c r="N553" s="75" t="n"/>
      <c r="O553" s="75" t="n"/>
      <c r="P553" s="75" t="n"/>
      <c r="Q553" s="75" t="n"/>
      <c r="R553" s="75" t="n"/>
      <c r="S553" s="75" t="n"/>
      <c r="T553" s="75" t="n"/>
      <c r="U553" s="75" t="n"/>
      <c r="V553" s="75" t="n"/>
      <c r="W553" s="75" t="n"/>
      <c r="X553" s="75" t="n"/>
      <c r="Y553" s="75" t="n"/>
      <c r="Z553" s="45" t="n"/>
    </row>
    <row r="554">
      <c r="A554" s="40" t="inlineStr">
        <is>
          <t>trackingInfomation.dateDelivery</t>
        </is>
      </c>
      <c r="B554" s="46" t="inlineStr">
        <is>
          <t>Ngày phát</t>
        </is>
      </c>
      <c r="C554" s="46" t="inlineStr">
        <is>
          <t>Delivery date</t>
        </is>
      </c>
      <c r="D554" s="43" t="inlineStr">
        <is>
          <t>ថ្ងៃប្រគល់អីវ៉ាន់</t>
        </is>
      </c>
      <c r="E554" s="75" t="n"/>
      <c r="F554" s="75" t="n"/>
      <c r="G554" s="75" t="inlineStr">
        <is>
          <t>កាលបរិច្ឆេទដឹកជញ្ជូន</t>
        </is>
      </c>
      <c r="H554" s="75" t="inlineStr">
        <is>
          <t>កាលបរិច្ឆេទដឹកជញ្ជូន</t>
        </is>
      </c>
      <c r="I554" s="75" t="n"/>
      <c r="J554" s="75" t="n"/>
      <c r="K554" s="75" t="inlineStr">
        <is>
          <t>"trackingInfomation.dateDelivery": "កាលបរិច្ឆេទដឹកជញ្ជូន",</t>
        </is>
      </c>
      <c r="L554" s="75" t="n"/>
      <c r="M554" s="75" t="n"/>
      <c r="N554" s="75" t="n"/>
      <c r="O554" s="75" t="n"/>
      <c r="P554" s="75" t="n"/>
      <c r="Q554" s="75" t="n"/>
      <c r="R554" s="75" t="n"/>
      <c r="S554" s="75" t="n"/>
      <c r="T554" s="75" t="n"/>
      <c r="U554" s="75" t="n"/>
      <c r="V554" s="75" t="n"/>
      <c r="W554" s="75" t="n"/>
      <c r="X554" s="75" t="n"/>
      <c r="Y554" s="75" t="n"/>
      <c r="Z554" s="45" t="n"/>
    </row>
    <row r="555">
      <c r="A555" s="40" t="inlineStr">
        <is>
          <t>trackingInfomation.status</t>
        </is>
      </c>
      <c r="B555" s="46" t="inlineStr">
        <is>
          <t>Trạng thái</t>
        </is>
      </c>
      <c r="C555" s="46" t="inlineStr">
        <is>
          <t>Status</t>
        </is>
      </c>
      <c r="D555" s="43" t="inlineStr">
        <is>
          <t>ស្ថានភាព</t>
        </is>
      </c>
      <c r="E555" s="75" t="n"/>
      <c r="F555" s="75" t="n"/>
      <c r="G555" s="75" t="inlineStr">
        <is>
          <t>ស្ថានភាព</t>
        </is>
      </c>
      <c r="H555" s="75" t="inlineStr">
        <is>
          <t>ស្ថានភាព</t>
        </is>
      </c>
      <c r="I555" s="75" t="n"/>
      <c r="J555" s="75" t="n"/>
      <c r="K555" s="75" t="inlineStr">
        <is>
          <t>"trackingInfomation.status": "ស្ថានភាព",</t>
        </is>
      </c>
      <c r="L555" s="75" t="n"/>
      <c r="M555" s="75" t="n"/>
      <c r="N555" s="75" t="n"/>
      <c r="O555" s="75" t="n"/>
      <c r="P555" s="75" t="n"/>
      <c r="Q555" s="75" t="n"/>
      <c r="R555" s="75" t="n"/>
      <c r="S555" s="75" t="n"/>
      <c r="T555" s="75" t="n"/>
      <c r="U555" s="75" t="n"/>
      <c r="V555" s="75" t="n"/>
      <c r="W555" s="75" t="n"/>
      <c r="X555" s="75" t="n"/>
      <c r="Y555" s="75" t="n"/>
      <c r="Z555" s="45" t="n"/>
    </row>
    <row r="556">
      <c r="A556" s="40" t="inlineStr">
        <is>
          <t>trackingInfomation.informationRefund</t>
        </is>
      </c>
      <c r="B556" s="46" t="inlineStr">
        <is>
          <t>Thông tin hoàn</t>
        </is>
      </c>
      <c r="C556" s="46" t="inlineStr">
        <is>
          <t>Return information</t>
        </is>
      </c>
      <c r="D556" s="43" t="inlineStr">
        <is>
          <t>ព័ត៌មានត្រឡប់</t>
        </is>
      </c>
      <c r="E556" s="75" t="n"/>
      <c r="F556" s="75" t="n"/>
      <c r="G556" s="75" t="inlineStr">
        <is>
          <t>ព័ត៌មានត្រឡប់</t>
        </is>
      </c>
      <c r="H556" s="75" t="inlineStr">
        <is>
          <t>ព័ត៌មានត្រឡប់</t>
        </is>
      </c>
      <c r="I556" s="75" t="n"/>
      <c r="J556" s="75" t="n"/>
      <c r="K556" s="75" t="inlineStr">
        <is>
          <t>"trackingInfomation.informationRefund": "ព័ត៌មានត្រឡប់",</t>
        </is>
      </c>
      <c r="L556" s="75" t="n"/>
      <c r="M556" s="75" t="n"/>
      <c r="N556" s="75" t="n"/>
      <c r="O556" s="75" t="n"/>
      <c r="P556" s="75" t="n"/>
      <c r="Q556" s="75" t="n"/>
      <c r="R556" s="75" t="n"/>
      <c r="S556" s="75" t="n"/>
      <c r="T556" s="75" t="n"/>
      <c r="U556" s="75" t="n"/>
      <c r="V556" s="75" t="n"/>
      <c r="W556" s="75" t="n"/>
      <c r="X556" s="75" t="n"/>
      <c r="Y556" s="75" t="n"/>
      <c r="Z556" s="45" t="n"/>
    </row>
    <row r="557">
      <c r="A557" s="40" t="inlineStr">
        <is>
          <t>trackingInfomation.phone</t>
        </is>
      </c>
      <c r="B557" s="46" t="inlineStr">
        <is>
          <t>Số điện thoại</t>
        </is>
      </c>
      <c r="C557" s="46" t="inlineStr">
        <is>
          <t>Phone number</t>
        </is>
      </c>
      <c r="D557" s="43" t="inlineStr">
        <is>
          <t>លេខទូរស័ព្ទ</t>
        </is>
      </c>
      <c r="E557" s="75" t="n"/>
      <c r="F557" s="75" t="n"/>
      <c r="G557" s="75" t="inlineStr">
        <is>
          <t>លេខទូរស័ព្ទ</t>
        </is>
      </c>
      <c r="H557" s="75" t="inlineStr">
        <is>
          <t>លេខទូរស័ព្ទ</t>
        </is>
      </c>
      <c r="I557" s="75" t="n"/>
      <c r="J557" s="75" t="n"/>
      <c r="K557" s="75" t="inlineStr">
        <is>
          <t>"trackingInfomation.phone": "លេខទូរស័ព្ទ",</t>
        </is>
      </c>
      <c r="L557" s="75" t="n"/>
      <c r="M557" s="75" t="n"/>
      <c r="N557" s="75" t="n"/>
      <c r="O557" s="75" t="n"/>
      <c r="P557" s="75" t="n"/>
      <c r="Q557" s="75" t="n"/>
      <c r="R557" s="75" t="n"/>
      <c r="S557" s="75" t="n"/>
      <c r="T557" s="75" t="n"/>
      <c r="U557" s="75" t="n"/>
      <c r="V557" s="75" t="n"/>
      <c r="W557" s="75" t="n"/>
      <c r="X557" s="75" t="n"/>
      <c r="Y557" s="75" t="n"/>
      <c r="Z557" s="45" t="n"/>
    </row>
    <row r="558">
      <c r="A558" s="40" t="inlineStr">
        <is>
          <t>trackingInfomation.address</t>
        </is>
      </c>
      <c r="B558" s="46" t="inlineStr">
        <is>
          <t>Địa chỉ</t>
        </is>
      </c>
      <c r="C558" s="46" t="inlineStr">
        <is>
          <t>Address</t>
        </is>
      </c>
      <c r="D558" s="43" t="inlineStr">
        <is>
          <t>អាស័យដ្ឋាន</t>
        </is>
      </c>
      <c r="E558" s="75" t="n"/>
      <c r="F558" s="75" t="n"/>
      <c r="G558" s="75" t="inlineStr">
        <is>
          <t>អាសយដ្ឋាន</t>
        </is>
      </c>
      <c r="H558" s="75" t="inlineStr">
        <is>
          <t>អាសយដ្ឋាន</t>
        </is>
      </c>
      <c r="I558" s="75" t="n"/>
      <c r="J558" s="75" t="n"/>
      <c r="K558" s="75" t="inlineStr">
        <is>
          <t>"trackingInfomation.address": "អាសយដ្ឋាន",</t>
        </is>
      </c>
      <c r="L558" s="75" t="n"/>
      <c r="M558" s="75" t="n"/>
      <c r="N558" s="75" t="n"/>
      <c r="O558" s="75" t="n"/>
      <c r="P558" s="75" t="n"/>
      <c r="Q558" s="75" t="n"/>
      <c r="R558" s="75" t="n"/>
      <c r="S558" s="75" t="n"/>
      <c r="T558" s="75" t="n"/>
      <c r="U558" s="75" t="n"/>
      <c r="V558" s="75" t="n"/>
      <c r="W558" s="75" t="n"/>
      <c r="X558" s="75" t="n"/>
      <c r="Y558" s="75" t="n"/>
      <c r="Z558" s="45" t="n"/>
    </row>
    <row r="559">
      <c r="A559" s="48" t="inlineStr">
        <is>
          <t>trackingHistory.tracking</t>
        </is>
      </c>
      <c r="B559" s="55" t="inlineStr">
        <is>
          <t>Hành trình</t>
        </is>
      </c>
      <c r="C559" s="55" t="inlineStr">
        <is>
          <t>Tracking</t>
        </is>
      </c>
      <c r="D559" s="51" t="inlineStr">
        <is>
          <t>ចេញដំណើរដឹកជញ្ជូន</t>
        </is>
      </c>
      <c r="E559" s="71" t="n"/>
      <c r="F559" s="71" t="n"/>
      <c r="G559" s="71" t="inlineStr">
        <is>
          <t>ដំណើរឆ្លងកាត់បញ្ញើ</t>
        </is>
      </c>
      <c r="H559" s="71" t="inlineStr">
        <is>
          <t>ដំណើរឆ្លងកាត់បញ្ញើ</t>
        </is>
      </c>
      <c r="I559" s="71" t="n"/>
      <c r="J559" s="71" t="n"/>
      <c r="K559" s="71" t="inlineStr">
        <is>
          <t>"trackingHistory.tracking": "ដំណើរឆ្លងកាត់បញ្ញើ",</t>
        </is>
      </c>
      <c r="L559" s="71" t="n"/>
      <c r="M559" s="71" t="n"/>
      <c r="N559" s="71" t="n"/>
      <c r="O559" s="71" t="n"/>
      <c r="P559" s="71" t="n"/>
      <c r="Q559" s="71" t="n"/>
      <c r="R559" s="71" t="n"/>
      <c r="S559" s="71" t="n"/>
      <c r="T559" s="71" t="n"/>
      <c r="U559" s="71" t="n"/>
      <c r="V559" s="71" t="n"/>
      <c r="W559" s="71" t="n"/>
      <c r="X559" s="71" t="n"/>
      <c r="Y559" s="71" t="n"/>
      <c r="Z559" s="53" t="n"/>
    </row>
    <row r="560">
      <c r="A560" s="48" t="inlineStr">
        <is>
          <t>trackingHistory.historyUpdate</t>
        </is>
      </c>
      <c r="B560" s="55" t="inlineStr">
        <is>
          <t>Lịch sử điều chỉnh phiếu gửi</t>
        </is>
      </c>
      <c r="C560" s="55" t="inlineStr">
        <is>
          <t>Order modification history</t>
        </is>
      </c>
      <c r="D560" s="51" t="inlineStr">
        <is>
          <t>ប្រវត្តិកែសម្រួលបុងបញ្ញើ</t>
        </is>
      </c>
      <c r="E560" s="71" t="n"/>
      <c r="F560" s="71" t="n"/>
      <c r="G560" s="71" t="inlineStr">
        <is>
          <t>ប្រវត្តិកែសម្រួលបុងបញ្ញើ</t>
        </is>
      </c>
      <c r="H560" s="71" t="inlineStr">
        <is>
          <t>ប្រវត្តិកែសម្រួលបុងបញ្ញើ</t>
        </is>
      </c>
      <c r="I560" s="71" t="n"/>
      <c r="J560" s="71" t="n"/>
      <c r="K560" s="71" t="inlineStr">
        <is>
          <t>"trackingHistory.historyUpdate": "ប្រវត្តិកែសម្រួលបុងបញ្ញើ",</t>
        </is>
      </c>
      <c r="L560" s="71" t="n"/>
      <c r="M560" s="71" t="n"/>
      <c r="N560" s="71" t="n"/>
      <c r="O560" s="71" t="n"/>
      <c r="P560" s="71" t="n"/>
      <c r="Q560" s="71" t="n"/>
      <c r="R560" s="71" t="n"/>
      <c r="S560" s="71" t="n"/>
      <c r="T560" s="71" t="n"/>
      <c r="U560" s="71" t="n"/>
      <c r="V560" s="71" t="n"/>
      <c r="W560" s="71" t="n"/>
      <c r="X560" s="71" t="n"/>
      <c r="Y560" s="71" t="n"/>
      <c r="Z560" s="53" t="n"/>
    </row>
    <row r="561">
      <c r="A561" s="48" t="inlineStr">
        <is>
          <t>trackingHistory.order</t>
        </is>
      </c>
      <c r="B561" s="55" t="inlineStr">
        <is>
          <t>Phiếu gửi</t>
        </is>
      </c>
      <c r="C561" s="55" t="inlineStr">
        <is>
          <t>Order</t>
        </is>
      </c>
      <c r="D561" s="51" t="inlineStr">
        <is>
          <t>បុងបញ្ញើ</t>
        </is>
      </c>
      <c r="E561" s="71" t="n"/>
      <c r="F561" s="71" t="n"/>
      <c r="G561" s="71" t="inlineStr">
        <is>
          <t>បុងបញ្ញើ</t>
        </is>
      </c>
      <c r="H561" s="71" t="inlineStr">
        <is>
          <t>បុងបញ្ញើ</t>
        </is>
      </c>
      <c r="I561" s="71" t="n"/>
      <c r="J561" s="71" t="n"/>
      <c r="K561" s="71" t="inlineStr">
        <is>
          <t>"trackingHistory.order": "បុងបញ្ញើ",</t>
        </is>
      </c>
      <c r="L561" s="71" t="n"/>
      <c r="M561" s="71" t="n"/>
      <c r="N561" s="71" t="n"/>
      <c r="O561" s="71" t="n"/>
      <c r="P561" s="71" t="n"/>
      <c r="Q561" s="71" t="n"/>
      <c r="R561" s="71" t="n"/>
      <c r="S561" s="71" t="n"/>
      <c r="T561" s="71" t="n"/>
      <c r="U561" s="71" t="n"/>
      <c r="V561" s="71" t="n"/>
      <c r="W561" s="71" t="n"/>
      <c r="X561" s="71" t="n"/>
      <c r="Y561" s="71" t="n"/>
      <c r="Z561" s="53" t="n"/>
    </row>
    <row r="562">
      <c r="A562" s="48" t="inlineStr">
        <is>
          <t>trackingHistory.postCode</t>
        </is>
      </c>
      <c r="B562" s="55" t="inlineStr">
        <is>
          <t>Bưu cục</t>
        </is>
      </c>
      <c r="C562" s="55" t="inlineStr">
        <is>
          <t>Post office</t>
        </is>
      </c>
      <c r="D562" s="51" t="inlineStr">
        <is>
          <t>ការិយាល័យប្រៃសណីយ៍</t>
        </is>
      </c>
      <c r="E562" s="71" t="n"/>
      <c r="F562" s="71" t="n"/>
      <c r="G562" s="71" t="inlineStr">
        <is>
          <t>ការិយាល័យប្រៃសណីយ៍</t>
        </is>
      </c>
      <c r="H562" s="71" t="inlineStr">
        <is>
          <t>ការិយាល័យប្រៃសណីយ៍</t>
        </is>
      </c>
      <c r="I562" s="71" t="n"/>
      <c r="J562" s="71" t="n"/>
      <c r="K562" s="71" t="inlineStr">
        <is>
          <t>"trackingHistory.postCode": "ការិយាល័យប្រៃសណីយ៍",</t>
        </is>
      </c>
      <c r="L562" s="71" t="n"/>
      <c r="M562" s="71" t="n"/>
      <c r="N562" s="71" t="n"/>
      <c r="O562" s="71" t="n"/>
      <c r="P562" s="71" t="n"/>
      <c r="Q562" s="71" t="n"/>
      <c r="R562" s="71" t="n"/>
      <c r="S562" s="71" t="n"/>
      <c r="T562" s="71" t="n"/>
      <c r="U562" s="71" t="n"/>
      <c r="V562" s="71" t="n"/>
      <c r="W562" s="71" t="n"/>
      <c r="X562" s="71" t="n"/>
      <c r="Y562" s="71" t="n"/>
      <c r="Z562" s="53" t="n"/>
    </row>
    <row r="563">
      <c r="A563" s="48" t="inlineStr">
        <is>
          <t>trackingHistory.province</t>
        </is>
      </c>
      <c r="B563" s="55" t="inlineStr">
        <is>
          <t>Tỉnh</t>
        </is>
      </c>
      <c r="C563" s="55" t="inlineStr">
        <is>
          <t>Province</t>
        </is>
      </c>
      <c r="D563" s="51" t="inlineStr">
        <is>
          <t>ខេត្ត</t>
        </is>
      </c>
      <c r="E563" s="71" t="n"/>
      <c r="F563" s="71" t="n"/>
      <c r="G563" s="71" t="inlineStr">
        <is>
          <t>ខេត្ត</t>
        </is>
      </c>
      <c r="H563" s="71" t="inlineStr">
        <is>
          <t>ខេត្ត</t>
        </is>
      </c>
      <c r="I563" s="71" t="n"/>
      <c r="J563" s="71" t="n"/>
      <c r="K563" s="71" t="inlineStr">
        <is>
          <t>"trackingHistory.province": "ខេត្ត",</t>
        </is>
      </c>
      <c r="L563" s="71" t="n"/>
      <c r="M563" s="71" t="n"/>
      <c r="N563" s="71" t="n"/>
      <c r="O563" s="71" t="n"/>
      <c r="P563" s="71" t="n"/>
      <c r="Q563" s="71" t="n"/>
      <c r="R563" s="71" t="n"/>
      <c r="S563" s="71" t="n"/>
      <c r="T563" s="71" t="n"/>
      <c r="U563" s="71" t="n"/>
      <c r="V563" s="71" t="n"/>
      <c r="W563" s="71" t="n"/>
      <c r="X563" s="71" t="n"/>
      <c r="Y563" s="71" t="n"/>
      <c r="Z563" s="53" t="n"/>
    </row>
    <row r="564">
      <c r="A564" s="48" t="inlineStr">
        <is>
          <t>trackingHistory.userUpdate</t>
        </is>
      </c>
      <c r="B564" s="55" t="inlineStr">
        <is>
          <t>Người tác động</t>
        </is>
      </c>
      <c r="C564" s="55" t="inlineStr">
        <is>
          <t>Updater</t>
        </is>
      </c>
      <c r="D564" s="71" t="n"/>
      <c r="E564" s="71" t="n"/>
      <c r="F564" s="71" t="n"/>
      <c r="G564" s="71" t="inlineStr">
        <is>
          <t>អ្នកធ្វើប្រតិបត្តិការ</t>
        </is>
      </c>
      <c r="H564" s="71" t="inlineStr">
        <is>
          <t>អ្នកធ្វើប្រតិបត្តិការ</t>
        </is>
      </c>
      <c r="I564" s="71" t="n"/>
      <c r="J564" s="71" t="n"/>
      <c r="K564" s="71" t="inlineStr">
        <is>
          <t>"trackingHistory.userUpdate": "អ្នកធ្វើប្រតិបត្តិការ",</t>
        </is>
      </c>
      <c r="L564" s="71" t="n"/>
      <c r="M564" s="71" t="n"/>
      <c r="N564" s="71" t="n"/>
      <c r="O564" s="71" t="n"/>
      <c r="P564" s="71" t="n"/>
      <c r="Q564" s="71" t="n"/>
      <c r="R564" s="71" t="n"/>
      <c r="S564" s="71" t="n"/>
      <c r="T564" s="71" t="n"/>
      <c r="U564" s="71" t="n"/>
      <c r="V564" s="71" t="n"/>
      <c r="W564" s="71" t="n"/>
      <c r="X564" s="71" t="n"/>
      <c r="Y564" s="71" t="n"/>
      <c r="Z564" s="53" t="n"/>
    </row>
    <row r="565">
      <c r="A565" s="48" t="inlineStr">
        <is>
          <t>trackingHistory.time</t>
        </is>
      </c>
      <c r="B565" s="55" t="inlineStr">
        <is>
          <t>Thời gian</t>
        </is>
      </c>
      <c r="C565" s="55" t="inlineStr">
        <is>
          <t>Time</t>
        </is>
      </c>
      <c r="D565" s="51" t="inlineStr">
        <is>
          <t>ពេលវេលា</t>
        </is>
      </c>
      <c r="E565" s="71" t="n"/>
      <c r="F565" s="71" t="n"/>
      <c r="G565" s="71" t="inlineStr">
        <is>
          <t>ពេលវេលា</t>
        </is>
      </c>
      <c r="H565" s="71" t="inlineStr">
        <is>
          <t>ពេលវេលា</t>
        </is>
      </c>
      <c r="I565" s="71" t="n"/>
      <c r="J565" s="71" t="n"/>
      <c r="K565" s="71" t="inlineStr">
        <is>
          <t>"trackingHistory.time": "ពេលវេលា",</t>
        </is>
      </c>
      <c r="L565" s="71" t="n"/>
      <c r="M565" s="71" t="n"/>
      <c r="N565" s="71" t="n"/>
      <c r="O565" s="71" t="n"/>
      <c r="P565" s="71" t="n"/>
      <c r="Q565" s="71" t="n"/>
      <c r="R565" s="71" t="n"/>
      <c r="S565" s="71" t="n"/>
      <c r="T565" s="71" t="n"/>
      <c r="U565" s="71" t="n"/>
      <c r="V565" s="71" t="n"/>
      <c r="W565" s="71" t="n"/>
      <c r="X565" s="71" t="n"/>
      <c r="Y565" s="71" t="n"/>
      <c r="Z565" s="53" t="n"/>
    </row>
    <row r="566">
      <c r="A566" s="59" t="inlineStr">
        <is>
          <t>trackingHistory.content</t>
        </is>
      </c>
      <c r="B566" s="59" t="inlineStr">
        <is>
          <t>Nội dung</t>
        </is>
      </c>
      <c r="C566" s="59" t="inlineStr">
        <is>
          <t>Content</t>
        </is>
      </c>
      <c r="D566" s="61" t="inlineStr">
        <is>
          <t>ខ្លឹមសារ</t>
        </is>
      </c>
      <c r="E566" s="77" t="inlineStr">
        <is>
          <t>ខ្លឹមសារ</t>
        </is>
      </c>
      <c r="F566" s="62" t="n"/>
      <c r="G566" s="62" t="inlineStr">
        <is>
          <t>ខ្លឹមសារ</t>
        </is>
      </c>
      <c r="H566" s="62" t="inlineStr">
        <is>
          <t>ខ្លឹមសារ</t>
        </is>
      </c>
      <c r="I566" s="62" t="n"/>
      <c r="J566" s="62" t="n"/>
      <c r="K566" s="62" t="inlineStr">
        <is>
          <t>"trackingHistory.content": "ខ្លឹមសារ",</t>
        </is>
      </c>
      <c r="L566" s="62" t="n"/>
      <c r="M566" s="62" t="n"/>
      <c r="N566" s="62" t="n"/>
      <c r="O566" s="62" t="n"/>
      <c r="P566" s="62" t="n"/>
      <c r="Q566" s="62" t="n"/>
      <c r="R566" s="62" t="n"/>
      <c r="S566" s="62" t="n"/>
      <c r="T566" s="62" t="n"/>
      <c r="U566" s="62" t="n"/>
      <c r="V566" s="62" t="n"/>
      <c r="W566" s="62" t="n"/>
      <c r="X566" s="62" t="n"/>
      <c r="Y566" s="62" t="n"/>
      <c r="Z566" s="62" t="n"/>
    </row>
    <row r="567">
      <c r="A567" s="48" t="inlineStr">
        <is>
          <t>trackingHistory.statusTracking</t>
        </is>
      </c>
      <c r="B567" s="55" t="inlineStr">
        <is>
          <t>Trạng thái hành trình</t>
        </is>
      </c>
      <c r="C567" s="55" t="inlineStr">
        <is>
          <t>Tracking status</t>
        </is>
      </c>
      <c r="D567" s="71" t="n"/>
      <c r="E567" s="71" t="n"/>
      <c r="F567" s="71" t="n"/>
      <c r="G567" s="71" t="inlineStr">
        <is>
          <t>ស្ថានភាព hành trình</t>
        </is>
      </c>
      <c r="H567" s="71" t="inlineStr">
        <is>
          <t>ស្ថានភាព hành trình</t>
        </is>
      </c>
      <c r="I567" s="71" t="n"/>
      <c r="J567" s="71" t="n"/>
      <c r="K567" s="71" t="inlineStr">
        <is>
          <t>"trackingHistory.statusTracking": "ស្ថានភាព hành trình",</t>
        </is>
      </c>
      <c r="L567" s="71" t="n"/>
      <c r="M567" s="71" t="n"/>
      <c r="N567" s="71" t="n"/>
      <c r="O567" s="71" t="n"/>
      <c r="P567" s="71" t="n"/>
      <c r="Q567" s="71" t="n"/>
      <c r="R567" s="71" t="n"/>
      <c r="S567" s="71" t="n"/>
      <c r="T567" s="71" t="n"/>
      <c r="U567" s="71" t="n"/>
      <c r="V567" s="71" t="n"/>
      <c r="W567" s="71" t="n"/>
      <c r="X567" s="71" t="n"/>
      <c r="Y567" s="71" t="n"/>
      <c r="Z567" s="53" t="n"/>
    </row>
    <row r="568">
      <c r="A568" s="48" t="inlineStr">
        <is>
          <t>trackingHistory.licensePlates</t>
        </is>
      </c>
      <c r="B568" s="55" t="inlineStr">
        <is>
          <t>Biển số xe</t>
        </is>
      </c>
      <c r="C568" s="55" t="inlineStr">
        <is>
          <t>License plates</t>
        </is>
      </c>
      <c r="D568" s="51" t="inlineStr">
        <is>
          <t>ផ្លាកលេខយានយន្ត</t>
        </is>
      </c>
      <c r="E568" s="71" t="n"/>
      <c r="F568" s="71" t="n"/>
      <c r="G568" s="71" t="inlineStr">
        <is>
          <t>ស្លាកលេខរថយន្ត</t>
        </is>
      </c>
      <c r="H568" s="71" t="inlineStr">
        <is>
          <t>ស្លាកលេខរថយន្ត</t>
        </is>
      </c>
      <c r="I568" s="71" t="n"/>
      <c r="J568" s="71" t="n"/>
      <c r="K568" s="71" t="inlineStr">
        <is>
          <t>"trackingHistory.licensePlates": "ស្លាកលេខរថយន្ត",</t>
        </is>
      </c>
      <c r="L568" s="71" t="n"/>
      <c r="M568" s="71" t="n"/>
      <c r="N568" s="71" t="n"/>
      <c r="O568" s="71" t="n"/>
      <c r="P568" s="71" t="n"/>
      <c r="Q568" s="71" t="n"/>
      <c r="R568" s="71" t="n"/>
      <c r="S568" s="71" t="n"/>
      <c r="T568" s="71" t="n"/>
      <c r="U568" s="71" t="n"/>
      <c r="V568" s="71" t="n"/>
      <c r="W568" s="71" t="n"/>
      <c r="X568" s="71" t="n"/>
      <c r="Y568" s="71" t="n"/>
      <c r="Z568" s="53" t="n"/>
    </row>
    <row r="569">
      <c r="A569" s="48" t="inlineStr">
        <is>
          <t>trackingHistory.timeStart</t>
        </is>
      </c>
      <c r="B569" s="55" t="inlineStr">
        <is>
          <t>TG.Xuất phát</t>
        </is>
      </c>
      <c r="C569" s="55" t="inlineStr">
        <is>
          <t>Start time</t>
        </is>
      </c>
      <c r="D569" s="71" t="n"/>
      <c r="E569" s="71" t="n"/>
      <c r="F569" s="71" t="n"/>
      <c r="G569" s="71" t="inlineStr">
        <is>
          <t>TG.Xuất ដឹកចែក</t>
        </is>
      </c>
      <c r="H569" s="71" t="inlineStr">
        <is>
          <t>TG.Xuất ដឹកចែក</t>
        </is>
      </c>
      <c r="I569" s="71" t="n"/>
      <c r="J569" s="71" t="n"/>
      <c r="K569" s="71" t="inlineStr">
        <is>
          <t>"trackingHistory.timeStart": "TG.Xuất ដឹកចែក",</t>
        </is>
      </c>
      <c r="L569" s="71" t="n"/>
      <c r="M569" s="71" t="n"/>
      <c r="N569" s="71" t="n"/>
      <c r="O569" s="71" t="n"/>
      <c r="P569" s="71" t="n"/>
      <c r="Q569" s="71" t="n"/>
      <c r="R569" s="71" t="n"/>
      <c r="S569" s="71" t="n"/>
      <c r="T569" s="71" t="n"/>
      <c r="U569" s="71" t="n"/>
      <c r="V569" s="71" t="n"/>
      <c r="W569" s="71" t="n"/>
      <c r="X569" s="71" t="n"/>
      <c r="Y569" s="71" t="n"/>
      <c r="Z569" s="53" t="n"/>
    </row>
    <row r="570">
      <c r="A570" s="48" t="inlineStr">
        <is>
          <t>trackingHistory.postCodeArrives</t>
        </is>
      </c>
      <c r="B570" s="55" t="inlineStr">
        <is>
          <t>Bưu cục đến</t>
        </is>
      </c>
      <c r="C570" s="55" t="inlineStr">
        <is>
          <t>Arrival post office</t>
        </is>
      </c>
      <c r="D570" s="51" t="inlineStr">
        <is>
          <t>ការិយាល័យប្រៃសណីយ៍មកដល់</t>
        </is>
      </c>
      <c r="E570" s="71" t="n"/>
      <c r="F570" s="71" t="n"/>
      <c r="G570" s="71" t="inlineStr">
        <is>
          <t>ការិយាល័យប្រៃសណីយ៍គោលដៅ</t>
        </is>
      </c>
      <c r="H570" s="71" t="inlineStr">
        <is>
          <t>ការិយាល័យប្រៃសណីយ៍គោលដៅ</t>
        </is>
      </c>
      <c r="I570" s="71" t="n"/>
      <c r="J570" s="71" t="n"/>
      <c r="K570" s="71" t="inlineStr">
        <is>
          <t>"trackingHistory.postCodeArrives": "ការិយាល័យប្រៃសណីយ៍គោលដៅ",</t>
        </is>
      </c>
      <c r="L570" s="71" t="n"/>
      <c r="M570" s="71" t="n"/>
      <c r="N570" s="71" t="n"/>
      <c r="O570" s="71" t="n"/>
      <c r="P570" s="71" t="n"/>
      <c r="Q570" s="71" t="n"/>
      <c r="R570" s="71" t="n"/>
      <c r="S570" s="71" t="n"/>
      <c r="T570" s="71" t="n"/>
      <c r="U570" s="71" t="n"/>
      <c r="V570" s="71" t="n"/>
      <c r="W570" s="71" t="n"/>
      <c r="X570" s="71" t="n"/>
      <c r="Y570" s="71" t="n"/>
      <c r="Z570" s="53" t="n"/>
    </row>
    <row r="571">
      <c r="A571" s="48" t="inlineStr">
        <is>
          <t>trackingHistory.status</t>
        </is>
      </c>
      <c r="B571" s="55" t="inlineStr">
        <is>
          <t>Trạng thái</t>
        </is>
      </c>
      <c r="C571" s="55" t="inlineStr">
        <is>
          <t>Status</t>
        </is>
      </c>
      <c r="D571" s="51" t="inlineStr">
        <is>
          <t>ស្ថានភាព</t>
        </is>
      </c>
      <c r="E571" s="71" t="n"/>
      <c r="F571" s="71" t="n"/>
      <c r="G571" s="71" t="inlineStr">
        <is>
          <t>ស្ថានភាព</t>
        </is>
      </c>
      <c r="H571" s="71" t="inlineStr">
        <is>
          <t>ស្ថានភាព</t>
        </is>
      </c>
      <c r="I571" s="71" t="n"/>
      <c r="J571" s="71" t="n"/>
      <c r="K571" s="71" t="inlineStr">
        <is>
          <t>"trackingHistory.status": "ស្ថានភាព",</t>
        </is>
      </c>
      <c r="L571" s="71" t="n"/>
      <c r="M571" s="71" t="n"/>
      <c r="N571" s="71" t="n"/>
      <c r="O571" s="71" t="n"/>
      <c r="P571" s="71" t="n"/>
      <c r="Q571" s="71" t="n"/>
      <c r="R571" s="71" t="n"/>
      <c r="S571" s="71" t="n"/>
      <c r="T571" s="71" t="n"/>
      <c r="U571" s="71" t="n"/>
      <c r="V571" s="71" t="n"/>
      <c r="W571" s="71" t="n"/>
      <c r="X571" s="71" t="n"/>
      <c r="Y571" s="71" t="n"/>
      <c r="Z571" s="53" t="n"/>
    </row>
    <row r="572">
      <c r="A572" s="48" t="inlineStr">
        <is>
          <t>trackingHistory.userUpdateOrder</t>
        </is>
      </c>
      <c r="B572" s="55" t="inlineStr">
        <is>
          <t>Người sửa</t>
        </is>
      </c>
      <c r="C572" s="55" t="inlineStr">
        <is>
          <t>Editor</t>
        </is>
      </c>
      <c r="D572" s="51" t="inlineStr">
        <is>
          <t>អ្នកកែសម្រួល</t>
        </is>
      </c>
      <c r="E572" s="71" t="n"/>
      <c r="F572" s="71" t="n"/>
      <c r="G572" s="71" t="inlineStr">
        <is>
          <t>អ្នកកែប្រែ</t>
        </is>
      </c>
      <c r="H572" s="71" t="inlineStr">
        <is>
          <t>អ្នកកែប្រែ</t>
        </is>
      </c>
      <c r="I572" s="71" t="n"/>
      <c r="J572" s="71" t="n"/>
      <c r="K572" s="71" t="inlineStr">
        <is>
          <t>"trackingHistory.userUpdateOrder": "អ្នកកែប្រែ",</t>
        </is>
      </c>
      <c r="L572" s="71" t="n"/>
      <c r="M572" s="71" t="n"/>
      <c r="N572" s="71" t="n"/>
      <c r="O572" s="71" t="n"/>
      <c r="P572" s="71" t="n"/>
      <c r="Q572" s="71" t="n"/>
      <c r="R572" s="71" t="n"/>
      <c r="S572" s="71" t="n"/>
      <c r="T572" s="71" t="n"/>
      <c r="U572" s="71" t="n"/>
      <c r="V572" s="71" t="n"/>
      <c r="W572" s="71" t="n"/>
      <c r="X572" s="71" t="n"/>
      <c r="Y572" s="71" t="n"/>
      <c r="Z572" s="53" t="n"/>
    </row>
    <row r="573">
      <c r="A573" s="48" t="inlineStr">
        <is>
          <t>trackingHistory.timeUpdate</t>
        </is>
      </c>
      <c r="B573" s="55" t="inlineStr">
        <is>
          <t>Thời gian sửa</t>
        </is>
      </c>
      <c r="C573" s="55" t="inlineStr">
        <is>
          <t>Edition time</t>
        </is>
      </c>
      <c r="D573" s="51" t="inlineStr">
        <is>
          <t>ពេលវេលាកែសម្រួល</t>
        </is>
      </c>
      <c r="E573" s="71" t="n"/>
      <c r="F573" s="71" t="n"/>
      <c r="G573" s="71" t="inlineStr">
        <is>
          <t>ពេលវេលាកែសម្រួល</t>
        </is>
      </c>
      <c r="H573" s="71" t="inlineStr">
        <is>
          <t>ពេលវេលាកែសម្រួល</t>
        </is>
      </c>
      <c r="I573" s="71" t="n"/>
      <c r="J573" s="71" t="n"/>
      <c r="K573" s="71" t="inlineStr">
        <is>
          <t>"trackingHistory.timeUpdate": "ពេលវេលាកែសម្រួល",</t>
        </is>
      </c>
      <c r="L573" s="71" t="n"/>
      <c r="M573" s="71" t="n"/>
      <c r="N573" s="71" t="n"/>
      <c r="O573" s="71" t="n"/>
      <c r="P573" s="71" t="n"/>
      <c r="Q573" s="71" t="n"/>
      <c r="R573" s="71" t="n"/>
      <c r="S573" s="71" t="n"/>
      <c r="T573" s="71" t="n"/>
      <c r="U573" s="71" t="n"/>
      <c r="V573" s="71" t="n"/>
      <c r="W573" s="71" t="n"/>
      <c r="X573" s="71" t="n"/>
      <c r="Y573" s="71" t="n"/>
      <c r="Z573" s="53" t="n"/>
    </row>
    <row r="574">
      <c r="A574" s="48" t="inlineStr">
        <is>
          <t>trackingHistory.contentOrigin</t>
        </is>
      </c>
      <c r="B574" s="55" t="inlineStr">
        <is>
          <t>Nội dung gốc</t>
        </is>
      </c>
      <c r="C574" s="55" t="inlineStr">
        <is>
          <t>Original content</t>
        </is>
      </c>
      <c r="D574" s="51" t="inlineStr">
        <is>
          <t>ខ្លឹ្លមសារដើម</t>
        </is>
      </c>
      <c r="E574" s="71" t="n"/>
      <c r="F574" s="71" t="n"/>
      <c r="G574" s="71" t="inlineStr">
        <is>
          <t>ខ្លឹ្លមសារដើម</t>
        </is>
      </c>
      <c r="H574" s="71" t="inlineStr">
        <is>
          <t>ខ្លឹ្លមសារដើម</t>
        </is>
      </c>
      <c r="I574" s="71" t="n"/>
      <c r="J574" s="71" t="n"/>
      <c r="K574" s="71" t="inlineStr">
        <is>
          <t>"trackingHistory.contentOrigin": "ខ្លឹ្លមសារដើម",</t>
        </is>
      </c>
      <c r="L574" s="71" t="n"/>
      <c r="M574" s="71" t="n"/>
      <c r="N574" s="71" t="n"/>
      <c r="O574" s="71" t="n"/>
      <c r="P574" s="71" t="n"/>
      <c r="Q574" s="71" t="n"/>
      <c r="R574" s="71" t="n"/>
      <c r="S574" s="71" t="n"/>
      <c r="T574" s="71" t="n"/>
      <c r="U574" s="71" t="n"/>
      <c r="V574" s="71" t="n"/>
      <c r="W574" s="71" t="n"/>
      <c r="X574" s="71" t="n"/>
      <c r="Y574" s="71" t="n"/>
      <c r="Z574" s="53" t="n"/>
    </row>
    <row r="575">
      <c r="A575" s="48" t="inlineStr">
        <is>
          <t>trackingHistory.contentUpdate</t>
        </is>
      </c>
      <c r="B575" s="55" t="inlineStr">
        <is>
          <t>Nội dung sửa</t>
        </is>
      </c>
      <c r="C575" s="55" t="inlineStr">
        <is>
          <t>Edited content</t>
        </is>
      </c>
      <c r="D575" s="51" t="inlineStr">
        <is>
          <t>ខ្លឹមសារកែសម្រួល</t>
        </is>
      </c>
      <c r="E575" s="71" t="n"/>
      <c r="F575" s="71" t="n"/>
      <c r="G575" s="71" t="inlineStr">
        <is>
          <t>ខ្លឹមសារកែសម្រួល</t>
        </is>
      </c>
      <c r="H575" s="71" t="inlineStr">
        <is>
          <t>ខ្លឹមសារកែសម្រួល</t>
        </is>
      </c>
      <c r="I575" s="71" t="n"/>
      <c r="J575" s="71" t="n"/>
      <c r="K575" s="71" t="inlineStr">
        <is>
          <t>"trackingHistory.contentUpdate": "ខ្លឹមសារកែសម្រួល",</t>
        </is>
      </c>
      <c r="L575" s="71" t="n"/>
      <c r="M575" s="71" t="n"/>
      <c r="N575" s="71" t="n"/>
      <c r="O575" s="71" t="n"/>
      <c r="P575" s="71" t="n"/>
      <c r="Q575" s="71" t="n"/>
      <c r="R575" s="71" t="n"/>
      <c r="S575" s="71" t="n"/>
      <c r="T575" s="71" t="n"/>
      <c r="U575" s="71" t="n"/>
      <c r="V575" s="71" t="n"/>
      <c r="W575" s="71" t="n"/>
      <c r="X575" s="71" t="n"/>
      <c r="Y575" s="71" t="n"/>
      <c r="Z575" s="53" t="n"/>
    </row>
    <row r="576">
      <c r="A576" s="48" t="inlineStr">
        <is>
          <t>trackingHistory.note</t>
        </is>
      </c>
      <c r="B576" s="55" t="inlineStr">
        <is>
          <t>Ghi chú</t>
        </is>
      </c>
      <c r="C576" s="55" t="inlineStr">
        <is>
          <t>Note</t>
        </is>
      </c>
      <c r="D576" s="51" t="inlineStr">
        <is>
          <t>កត់ចំណាំ</t>
        </is>
      </c>
      <c r="E576" s="71" t="n"/>
      <c r="F576" s="71" t="n"/>
      <c r="G576" s="71" t="inlineStr">
        <is>
          <t>ចំណាំ</t>
        </is>
      </c>
      <c r="H576" s="71" t="inlineStr">
        <is>
          <t>ចំណាំ</t>
        </is>
      </c>
      <c r="I576" s="71" t="n"/>
      <c r="J576" s="71" t="n"/>
      <c r="K576" s="71" t="inlineStr">
        <is>
          <t>"trackingHistory.note": "ចំណាំ",</t>
        </is>
      </c>
      <c r="L576" s="71" t="n"/>
      <c r="M576" s="71" t="n"/>
      <c r="N576" s="71" t="n"/>
      <c r="O576" s="71" t="n"/>
      <c r="P576" s="71" t="n"/>
      <c r="Q576" s="71" t="n"/>
      <c r="R576" s="71" t="n"/>
      <c r="S576" s="71" t="n"/>
      <c r="T576" s="71" t="n"/>
      <c r="U576" s="71" t="n"/>
      <c r="V576" s="71" t="n"/>
      <c r="W576" s="71" t="n"/>
      <c r="X576" s="71" t="n"/>
      <c r="Y576" s="71" t="n"/>
      <c r="Z576" s="53" t="n"/>
    </row>
    <row r="577">
      <c r="A577" s="48" t="inlineStr">
        <is>
          <t>userManagement.listUser</t>
        </is>
      </c>
      <c r="B577" s="55" t="inlineStr">
        <is>
          <t>Quản lý người dùng</t>
        </is>
      </c>
      <c r="C577" s="55" t="inlineStr">
        <is>
          <t>user management</t>
        </is>
      </c>
      <c r="D577" s="51" t="inlineStr">
        <is>
          <t>គ្រប់គ្រងអ្នកប្រើប្រាស់</t>
        </is>
      </c>
      <c r="E577" s="71" t="n"/>
      <c r="F577" s="71" t="n"/>
      <c r="G577" s="71" t="inlineStr">
        <is>
          <t>គ្រប់គ្រងអ្នកប្រើប្រាស់</t>
        </is>
      </c>
      <c r="H577" s="71" t="inlineStr">
        <is>
          <t>គ្រប់គ្រងអ្នកប្រើប្រាស់</t>
        </is>
      </c>
      <c r="I577" s="71" t="n"/>
      <c r="J577" s="71" t="n"/>
      <c r="K577" s="71" t="inlineStr">
        <is>
          <t>"userManagement.listUser": "គ្រប់គ្រងអ្នកប្រើប្រាស់",</t>
        </is>
      </c>
      <c r="L577" s="71" t="n"/>
      <c r="M577" s="71" t="n"/>
      <c r="N577" s="71" t="n"/>
      <c r="O577" s="71" t="n"/>
      <c r="P577" s="71" t="n"/>
      <c r="Q577" s="71" t="n"/>
      <c r="R577" s="71" t="n"/>
      <c r="S577" s="71" t="n"/>
      <c r="T577" s="71" t="n"/>
      <c r="U577" s="71" t="n"/>
      <c r="V577" s="71" t="n"/>
      <c r="W577" s="71" t="n"/>
      <c r="X577" s="71" t="n"/>
      <c r="Y577" s="71" t="n"/>
      <c r="Z577" s="53" t="n"/>
    </row>
    <row r="578">
      <c r="A578" s="48" t="inlineStr">
        <is>
          <t>userManagement.listDepartment</t>
        </is>
      </c>
      <c r="B578" s="55" t="inlineStr">
        <is>
          <t>Danh sách đơn vị</t>
        </is>
      </c>
      <c r="C578" s="55" t="inlineStr">
        <is>
          <t>List of department</t>
        </is>
      </c>
      <c r="D578" s="71" t="n"/>
      <c r="E578" s="71" t="n"/>
      <c r="F578" s="71" t="n"/>
      <c r="G578" s="71" t="inlineStr">
        <is>
          <t>បញ្ជីបញ្ញើ vị</t>
        </is>
      </c>
      <c r="H578" s="71" t="inlineStr">
        <is>
          <t>បញ្ជីបញ្ញើ vị</t>
        </is>
      </c>
      <c r="I578" s="71" t="n"/>
      <c r="J578" s="71" t="n"/>
      <c r="K578" s="71" t="inlineStr">
        <is>
          <t>"userManagement.listDepartment": "បញ្ជីបញ្ញើ vị",</t>
        </is>
      </c>
      <c r="L578" s="71" t="n"/>
      <c r="M578" s="71" t="n"/>
      <c r="N578" s="71" t="n"/>
      <c r="O578" s="71" t="n"/>
      <c r="P578" s="71" t="n"/>
      <c r="Q578" s="71" t="n"/>
      <c r="R578" s="71" t="n"/>
      <c r="S578" s="71" t="n"/>
      <c r="T578" s="71" t="n"/>
      <c r="U578" s="71" t="n"/>
      <c r="V578" s="71" t="n"/>
      <c r="W578" s="71" t="n"/>
      <c r="X578" s="71" t="n"/>
      <c r="Y578" s="71" t="n"/>
      <c r="Z578" s="53" t="n"/>
    </row>
    <row r="579">
      <c r="A579" s="48" t="inlineStr">
        <is>
          <t>userManagement.historyDepartment</t>
        </is>
      </c>
      <c r="B579" s="55" t="inlineStr">
        <is>
          <t>Lịch sử đơn vị</t>
        </is>
      </c>
      <c r="C579" s="55" t="inlineStr">
        <is>
          <t>Department history</t>
        </is>
      </c>
      <c r="D579" s="51" t="inlineStr">
        <is>
          <t>ប្រវត្តិអង្គភាព</t>
        </is>
      </c>
      <c r="E579" s="71" t="n"/>
      <c r="F579" s="71" t="n"/>
      <c r="G579" s="71" t="inlineStr">
        <is>
          <t>ប្រវត្តិអង្គភាព</t>
        </is>
      </c>
      <c r="H579" s="71" t="inlineStr">
        <is>
          <t>ប្រវត្តិអង្គភាព</t>
        </is>
      </c>
      <c r="I579" s="71" t="n"/>
      <c r="J579" s="71" t="n"/>
      <c r="K579" s="71" t="inlineStr">
        <is>
          <t>"userManagement.historyDepartment": "ប្រវត្តិអង្គភាព",</t>
        </is>
      </c>
      <c r="L579" s="71" t="n"/>
      <c r="M579" s="71" t="n"/>
      <c r="N579" s="71" t="n"/>
      <c r="O579" s="71" t="n"/>
      <c r="P579" s="71" t="n"/>
      <c r="Q579" s="71" t="n"/>
      <c r="R579" s="71" t="n"/>
      <c r="S579" s="71" t="n"/>
      <c r="T579" s="71" t="n"/>
      <c r="U579" s="71" t="n"/>
      <c r="V579" s="71" t="n"/>
      <c r="W579" s="71" t="n"/>
      <c r="X579" s="71" t="n"/>
      <c r="Y579" s="71" t="n"/>
      <c r="Z579" s="53" t="n"/>
    </row>
    <row r="580">
      <c r="A580" s="48" t="inlineStr">
        <is>
          <t>listUser.all</t>
        </is>
      </c>
      <c r="B580" s="55" t="inlineStr">
        <is>
          <t>Tất cả</t>
        </is>
      </c>
      <c r="C580" s="55" t="inlineStr">
        <is>
          <t>All</t>
        </is>
      </c>
      <c r="D580" s="51" t="inlineStr">
        <is>
          <t>ទាំងអស់</t>
        </is>
      </c>
      <c r="E580" s="71" t="n"/>
      <c r="F580" s="71" t="n"/>
      <c r="G580" s="71" t="inlineStr">
        <is>
          <t>ទាំងអស់</t>
        </is>
      </c>
      <c r="H580" s="71" t="inlineStr">
        <is>
          <t>ទាំងអស់</t>
        </is>
      </c>
      <c r="I580" s="71" t="n"/>
      <c r="J580" s="71" t="n"/>
      <c r="K580" s="71" t="inlineStr">
        <is>
          <t>"listUser.all": "ទាំងអស់",</t>
        </is>
      </c>
      <c r="L580" s="71" t="n"/>
      <c r="M580" s="71" t="n"/>
      <c r="N580" s="71" t="n"/>
      <c r="O580" s="71" t="n"/>
      <c r="P580" s="71" t="n"/>
      <c r="Q580" s="71" t="n"/>
      <c r="R580" s="71" t="n"/>
      <c r="S580" s="71" t="n"/>
      <c r="T580" s="71" t="n"/>
      <c r="U580" s="71" t="n"/>
      <c r="V580" s="71" t="n"/>
      <c r="W580" s="71" t="n"/>
      <c r="X580" s="71" t="n"/>
      <c r="Y580" s="71" t="n"/>
      <c r="Z580" s="53" t="n"/>
    </row>
    <row r="581">
      <c r="A581" s="48" t="inlineStr">
        <is>
          <t>listUser.searchPlaceholder</t>
        </is>
      </c>
      <c r="B581" s="55" t="inlineStr">
        <is>
          <t>Tìm kiếm Mã NV, SĐT, Họ tên</t>
        </is>
      </c>
      <c r="C581" s="55" t="inlineStr">
        <is>
          <t>Search for Employee ID, phone number, username, full name</t>
        </is>
      </c>
      <c r="D581" s="51" t="inlineStr">
        <is>
          <t>ស្វែងរកលេខកូដបុគ្គលិក លេខទូរស័ព្ទ នាមត្រកូល</t>
        </is>
      </c>
      <c r="E581" s="71" t="n"/>
      <c r="F581" s="71" t="n"/>
      <c r="G581" s="71" t="inlineStr">
        <is>
          <t>ស្វែងរកលេខកូដបុគ្គលិក លេខទូរស័ព្ទ នាមត្រកូល</t>
        </is>
      </c>
      <c r="H581" s="71" t="inlineStr">
        <is>
          <t>ស្វែងរកលេខកូដបុគ្គលិក លេខទូរស័ព្ទ នាមត្រកូល</t>
        </is>
      </c>
      <c r="I581" s="71" t="n"/>
      <c r="J581" s="71" t="n"/>
      <c r="K581" s="71" t="inlineStr">
        <is>
          <t>"listUser.searchPlaceholder": "ស្វែងរកលេខកូដបុគ្គលិក លេខទូរស័ព្ទ នាមត្រកូល",</t>
        </is>
      </c>
      <c r="L581" s="71" t="n"/>
      <c r="M581" s="71" t="n"/>
      <c r="N581" s="71" t="n"/>
      <c r="O581" s="71" t="n"/>
      <c r="P581" s="71" t="n"/>
      <c r="Q581" s="71" t="n"/>
      <c r="R581" s="71" t="n"/>
      <c r="S581" s="71" t="n"/>
      <c r="T581" s="71" t="n"/>
      <c r="U581" s="71" t="n"/>
      <c r="V581" s="71" t="n"/>
      <c r="W581" s="71" t="n"/>
      <c r="X581" s="71" t="n"/>
      <c r="Y581" s="71" t="n"/>
      <c r="Z581" s="53" t="n"/>
    </row>
    <row r="582">
      <c r="A582" s="48" t="inlineStr">
        <is>
          <t>listUser.active</t>
        </is>
      </c>
      <c r="B582" s="55" t="inlineStr">
        <is>
          <t>Hiệu lực</t>
        </is>
      </c>
      <c r="C582" s="55" t="inlineStr">
        <is>
          <t>Active</t>
        </is>
      </c>
      <c r="D582" s="51" t="inlineStr">
        <is>
          <t>សុពលភាព</t>
        </is>
      </c>
      <c r="E582" s="71" t="n"/>
      <c r="F582" s="71" t="n"/>
      <c r="G582" s="71" t="inlineStr">
        <is>
          <t>សកម្ម</t>
        </is>
      </c>
      <c r="H582" s="71" t="inlineStr">
        <is>
          <t>សកម្ម</t>
        </is>
      </c>
      <c r="I582" s="71" t="n"/>
      <c r="J582" s="71" t="n"/>
      <c r="K582" s="71" t="inlineStr">
        <is>
          <t>"listUser.active": "សកម្ម",</t>
        </is>
      </c>
      <c r="L582" s="71" t="n"/>
      <c r="M582" s="71" t="n"/>
      <c r="N582" s="71" t="n"/>
      <c r="O582" s="71" t="n"/>
      <c r="P582" s="71" t="n"/>
      <c r="Q582" s="71" t="n"/>
      <c r="R582" s="71" t="n"/>
      <c r="S582" s="71" t="n"/>
      <c r="T582" s="71" t="n"/>
      <c r="U582" s="71" t="n"/>
      <c r="V582" s="71" t="n"/>
      <c r="W582" s="71" t="n"/>
      <c r="X582" s="71" t="n"/>
      <c r="Y582" s="71" t="n"/>
      <c r="Z582" s="53" t="n"/>
    </row>
    <row r="583">
      <c r="A583" s="48" t="inlineStr">
        <is>
          <t>listUser.inactive</t>
        </is>
      </c>
      <c r="B583" s="55" t="inlineStr">
        <is>
          <t>Hết hiệu lực</t>
        </is>
      </c>
      <c r="C583" s="55" t="inlineStr">
        <is>
          <t>Inactive/deactive</t>
        </is>
      </c>
      <c r="D583" s="51" t="inlineStr">
        <is>
          <t>អស់សុពលភាព</t>
        </is>
      </c>
      <c r="E583" s="71" t="n"/>
      <c r="F583" s="71" t="n"/>
      <c r="G583" s="71" t="inlineStr">
        <is>
          <t>អសកម្ម</t>
        </is>
      </c>
      <c r="H583" s="71" t="inlineStr">
        <is>
          <t>អសកម្ម</t>
        </is>
      </c>
      <c r="I583" s="71" t="n"/>
      <c r="J583" s="71" t="n"/>
      <c r="K583" s="71" t="inlineStr">
        <is>
          <t>"listUser.inactive": "អសកម្ម",</t>
        </is>
      </c>
      <c r="L583" s="71" t="n"/>
      <c r="M583" s="71" t="n"/>
      <c r="N583" s="71" t="n"/>
      <c r="O583" s="71" t="n"/>
      <c r="P583" s="71" t="n"/>
      <c r="Q583" s="71" t="n"/>
      <c r="R583" s="71" t="n"/>
      <c r="S583" s="71" t="n"/>
      <c r="T583" s="71" t="n"/>
      <c r="U583" s="71" t="n"/>
      <c r="V583" s="71" t="n"/>
      <c r="W583" s="71" t="n"/>
      <c r="X583" s="71" t="n"/>
      <c r="Y583" s="71" t="n"/>
      <c r="Z583" s="53" t="n"/>
    </row>
    <row r="584">
      <c r="A584" s="48" t="inlineStr">
        <is>
          <t>listUser.status</t>
        </is>
      </c>
      <c r="B584" s="55" t="inlineStr">
        <is>
          <t>Trạng thái</t>
        </is>
      </c>
      <c r="C584" s="55" t="inlineStr">
        <is>
          <t>Status</t>
        </is>
      </c>
      <c r="D584" s="51" t="inlineStr">
        <is>
          <t>ស្ថានភាព</t>
        </is>
      </c>
      <c r="E584" s="71" t="n"/>
      <c r="F584" s="71" t="n"/>
      <c r="G584" s="71" t="inlineStr">
        <is>
          <t>ស្ថានភាព</t>
        </is>
      </c>
      <c r="H584" s="71" t="inlineStr">
        <is>
          <t>ស្ថានភាព</t>
        </is>
      </c>
      <c r="I584" s="71" t="n"/>
      <c r="J584" s="71" t="n"/>
      <c r="K584" s="71" t="inlineStr">
        <is>
          <t>"listUser.status": "ស្ថានភាព",</t>
        </is>
      </c>
      <c r="L584" s="71" t="n"/>
      <c r="M584" s="71" t="n"/>
      <c r="N584" s="71" t="n"/>
      <c r="O584" s="71" t="n"/>
      <c r="P584" s="71" t="n"/>
      <c r="Q584" s="71" t="n"/>
      <c r="R584" s="71" t="n"/>
      <c r="S584" s="71" t="n"/>
      <c r="T584" s="71" t="n"/>
      <c r="U584" s="71" t="n"/>
      <c r="V584" s="71" t="n"/>
      <c r="W584" s="71" t="n"/>
      <c r="X584" s="71" t="n"/>
      <c r="Y584" s="71" t="n"/>
      <c r="Z584" s="53" t="n"/>
    </row>
    <row r="585">
      <c r="A585" s="48" t="inlineStr">
        <is>
          <t>listUser.name</t>
        </is>
      </c>
      <c r="B585" s="55" t="inlineStr">
        <is>
          <t>Họ và tên</t>
        </is>
      </c>
      <c r="C585" s="55" t="inlineStr">
        <is>
          <t>Fullname</t>
        </is>
      </c>
      <c r="D585" s="51" t="inlineStr">
        <is>
          <t>នាម&amp;ត្រកូល</t>
        </is>
      </c>
      <c r="E585" s="71" t="n"/>
      <c r="F585" s="71" t="n"/>
      <c r="G585" s="71" t="inlineStr">
        <is>
          <t>នាម&amp;ត្រកូល</t>
        </is>
      </c>
      <c r="H585" s="71" t="inlineStr">
        <is>
          <t>នាម&amp;ត្រកូល</t>
        </is>
      </c>
      <c r="I585" s="71" t="n"/>
      <c r="J585" s="71" t="n"/>
      <c r="K585" s="71" t="inlineStr">
        <is>
          <t>"listUser.name": "នាម&amp;ត្រកូល",</t>
        </is>
      </c>
      <c r="L585" s="71" t="n"/>
      <c r="M585" s="71" t="n"/>
      <c r="N585" s="71" t="n"/>
      <c r="O585" s="71" t="n"/>
      <c r="P585" s="71" t="n"/>
      <c r="Q585" s="71" t="n"/>
      <c r="R585" s="71" t="n"/>
      <c r="S585" s="71" t="n"/>
      <c r="T585" s="71" t="n"/>
      <c r="U585" s="71" t="n"/>
      <c r="V585" s="71" t="n"/>
      <c r="W585" s="71" t="n"/>
      <c r="X585" s="71" t="n"/>
      <c r="Y585" s="71" t="n"/>
      <c r="Z585" s="53" t="n"/>
    </row>
    <row r="586">
      <c r="A586" s="48" t="inlineStr">
        <is>
          <t>listUser.idNo</t>
        </is>
      </c>
      <c r="B586" s="55" t="inlineStr">
        <is>
          <t>Mã NV</t>
        </is>
      </c>
      <c r="C586" s="55" t="inlineStr">
        <is>
          <t>Employee ID</t>
        </is>
      </c>
      <c r="D586" s="73" t="inlineStr">
        <is>
          <t>លេខកូូដបុគ្គលិក</t>
        </is>
      </c>
      <c r="E586" s="71" t="n"/>
      <c r="F586" s="71" t="n"/>
      <c r="G586" s="71" t="inlineStr">
        <is>
          <t>លេខកូូដបុគ្គលិក</t>
        </is>
      </c>
      <c r="H586" s="71" t="inlineStr">
        <is>
          <t>លេខកូូដបុគ្គលិក</t>
        </is>
      </c>
      <c r="I586" s="71" t="n"/>
      <c r="J586" s="71" t="n"/>
      <c r="K586" s="71" t="inlineStr">
        <is>
          <t>"listUser.idNo": "លេខកូូដបុគ្គលិក",</t>
        </is>
      </c>
      <c r="L586" s="71" t="n"/>
      <c r="M586" s="71" t="n"/>
      <c r="N586" s="71" t="n"/>
      <c r="O586" s="71" t="n"/>
      <c r="P586" s="71" t="n"/>
      <c r="Q586" s="71" t="n"/>
      <c r="R586" s="71" t="n"/>
      <c r="S586" s="71" t="n"/>
      <c r="T586" s="71" t="n"/>
      <c r="U586" s="71" t="n"/>
      <c r="V586" s="71" t="n"/>
      <c r="W586" s="71" t="n"/>
      <c r="X586" s="71" t="n"/>
      <c r="Y586" s="71" t="n"/>
      <c r="Z586" s="53" t="n"/>
    </row>
    <row r="587">
      <c r="A587" s="48" t="inlineStr">
        <is>
          <t>listUser.username</t>
        </is>
      </c>
      <c r="B587" s="55" t="inlineStr">
        <is>
          <t>User</t>
        </is>
      </c>
      <c r="C587" s="55" t="inlineStr">
        <is>
          <t>User</t>
        </is>
      </c>
      <c r="D587" s="51" t="inlineStr">
        <is>
          <t>អ្នកប្រើប្រាស់</t>
        </is>
      </c>
      <c r="E587" s="71" t="n"/>
      <c r="F587" s="71" t="n"/>
      <c r="G587" s="71" t="inlineStr">
        <is>
          <t>អ្នកប្រើប្រាស់</t>
        </is>
      </c>
      <c r="H587" s="71" t="inlineStr">
        <is>
          <t>អ្នកប្រើប្រាស់</t>
        </is>
      </c>
      <c r="I587" s="71" t="n"/>
      <c r="J587" s="71" t="n"/>
      <c r="K587" s="71" t="inlineStr">
        <is>
          <t>"listUser.username": "អ្នកប្រើប្រាស់",</t>
        </is>
      </c>
      <c r="L587" s="71" t="n"/>
      <c r="M587" s="71" t="n"/>
      <c r="N587" s="71" t="n"/>
      <c r="O587" s="71" t="n"/>
      <c r="P587" s="71" t="n"/>
      <c r="Q587" s="71" t="n"/>
      <c r="R587" s="71" t="n"/>
      <c r="S587" s="71" t="n"/>
      <c r="T587" s="71" t="n"/>
      <c r="U587" s="71" t="n"/>
      <c r="V587" s="71" t="n"/>
      <c r="W587" s="71" t="n"/>
      <c r="X587" s="71" t="n"/>
      <c r="Y587" s="71" t="n"/>
      <c r="Z587" s="53" t="n"/>
    </row>
    <row r="588">
      <c r="A588" s="48" t="inlineStr">
        <is>
          <t>listUser.phone</t>
        </is>
      </c>
      <c r="B588" s="55" t="inlineStr">
        <is>
          <t>SĐT</t>
        </is>
      </c>
      <c r="C588" s="55" t="inlineStr">
        <is>
          <t>Phone number</t>
        </is>
      </c>
      <c r="D588" s="51" t="inlineStr">
        <is>
          <t>លេខទូរស័ព្ទ</t>
        </is>
      </c>
      <c r="E588" s="71" t="n"/>
      <c r="F588" s="71" t="n"/>
      <c r="G588" s="71" t="inlineStr">
        <is>
          <t>លេខទូរស័ព្ទ</t>
        </is>
      </c>
      <c r="H588" s="71" t="inlineStr">
        <is>
          <t>លេខទូរស័ព្ទ</t>
        </is>
      </c>
      <c r="I588" s="71" t="n"/>
      <c r="J588" s="71" t="n"/>
      <c r="K588" s="71" t="inlineStr">
        <is>
          <t>"listUser.phone": "លេខទូរស័ព្ទ",</t>
        </is>
      </c>
      <c r="L588" s="71" t="n"/>
      <c r="M588" s="71" t="n"/>
      <c r="N588" s="71" t="n"/>
      <c r="O588" s="71" t="n"/>
      <c r="P588" s="71" t="n"/>
      <c r="Q588" s="71" t="n"/>
      <c r="R588" s="71" t="n"/>
      <c r="S588" s="71" t="n"/>
      <c r="T588" s="71" t="n"/>
      <c r="U588" s="71" t="n"/>
      <c r="V588" s="71" t="n"/>
      <c r="W588" s="71" t="n"/>
      <c r="X588" s="71" t="n"/>
      <c r="Y588" s="71" t="n"/>
      <c r="Z588" s="53" t="n"/>
    </row>
    <row r="589">
      <c r="A589" s="48" t="inlineStr">
        <is>
          <t>listUser.CCCD</t>
        </is>
      </c>
      <c r="B589" s="55" t="inlineStr">
        <is>
          <t>CCCD</t>
        </is>
      </c>
      <c r="C589" s="55" t="inlineStr">
        <is>
          <t>Citizen identification</t>
        </is>
      </c>
      <c r="D589" s="71" t="n"/>
      <c r="E589" s="71" t="n"/>
      <c r="F589" s="71" t="n"/>
      <c r="G589" s="71" t="inlineStr">
        <is>
          <t>អត្តសញ្ញាណប័ណ្ណ</t>
        </is>
      </c>
      <c r="H589" s="71" t="inlineStr">
        <is>
          <t>អត្តសញ្ញាណប័ណ្ណ</t>
        </is>
      </c>
      <c r="I589" s="71" t="n"/>
      <c r="J589" s="71" t="n"/>
      <c r="K589" s="71" t="inlineStr">
        <is>
          <t>"listUser.CCCD": "អត្តសញ្ញាណប័ណ្ណ",</t>
        </is>
      </c>
      <c r="L589" s="71" t="n"/>
      <c r="M589" s="71" t="n"/>
      <c r="N589" s="71" t="n"/>
      <c r="O589" s="71" t="n"/>
      <c r="P589" s="71" t="n"/>
      <c r="Q589" s="71" t="n"/>
      <c r="R589" s="71" t="n"/>
      <c r="S589" s="71" t="n"/>
      <c r="T589" s="71" t="n"/>
      <c r="U589" s="71" t="n"/>
      <c r="V589" s="71" t="n"/>
      <c r="W589" s="71" t="n"/>
      <c r="X589" s="71" t="n"/>
      <c r="Y589" s="71" t="n"/>
      <c r="Z589" s="53" t="n"/>
    </row>
    <row r="590">
      <c r="A590" s="48" t="inlineStr">
        <is>
          <t>modifyListUser.title</t>
        </is>
      </c>
      <c r="B590" s="55" t="inlineStr">
        <is>
          <t>Thông tin tài khoản người dùng</t>
        </is>
      </c>
      <c r="C590" s="55" t="inlineStr">
        <is>
          <t>User information</t>
        </is>
      </c>
      <c r="D590" s="51" t="inlineStr">
        <is>
          <t>ព័ត៌មានគណនីអ្នកប្រើប្រាស់</t>
        </is>
      </c>
      <c r="E590" s="71" t="n"/>
      <c r="F590" s="71" t="n"/>
      <c r="G590" s="71" t="inlineStr">
        <is>
          <t>ព័ត៌មានគណនីអ្នកប្រើប្រាស់</t>
        </is>
      </c>
      <c r="H590" s="71" t="inlineStr">
        <is>
          <t>ព័ត៌មានគណនីអ្នកប្រើប្រាស់</t>
        </is>
      </c>
      <c r="I590" s="71" t="n"/>
      <c r="J590" s="71" t="n"/>
      <c r="K590" s="71" t="inlineStr">
        <is>
          <t>"modifyListUser.title": "ព័ត៌មានគណនីអ្នកប្រើប្រាស់",</t>
        </is>
      </c>
      <c r="L590" s="71" t="n"/>
      <c r="M590" s="71" t="n"/>
      <c r="N590" s="71" t="n"/>
      <c r="O590" s="71" t="n"/>
      <c r="P590" s="71" t="n"/>
      <c r="Q590" s="71" t="n"/>
      <c r="R590" s="71" t="n"/>
      <c r="S590" s="71" t="n"/>
      <c r="T590" s="71" t="n"/>
      <c r="U590" s="71" t="n"/>
      <c r="V590" s="71" t="n"/>
      <c r="W590" s="71" t="n"/>
      <c r="X590" s="71" t="n"/>
      <c r="Y590" s="71" t="n"/>
      <c r="Z590" s="53" t="n"/>
    </row>
    <row r="591">
      <c r="A591" s="48" t="inlineStr">
        <is>
          <t>modifyListUser.lastName</t>
        </is>
      </c>
      <c r="B591" s="55" t="inlineStr">
        <is>
          <t>Họ &amp; tên đệm</t>
        </is>
      </c>
      <c r="C591" s="55" t="inlineStr">
        <is>
          <t>First &amp; Middle Name</t>
        </is>
      </c>
      <c r="D591" s="51" t="inlineStr">
        <is>
          <t>នាម &amp; ឈ្មោះ</t>
        </is>
      </c>
      <c r="E591" s="71" t="n"/>
      <c r="F591" s="71" t="n"/>
      <c r="G591" s="71" t="inlineStr">
        <is>
          <t>នាម &amp; ឈ្មោះ</t>
        </is>
      </c>
      <c r="H591" s="71" t="inlineStr">
        <is>
          <t>នាម &amp; ឈ្មោះ</t>
        </is>
      </c>
      <c r="I591" s="71" t="n"/>
      <c r="J591" s="71" t="n"/>
      <c r="K591" s="71" t="inlineStr">
        <is>
          <t>"modifyListUser.lastName": "នាម &amp; ឈ្មោះ",</t>
        </is>
      </c>
      <c r="L591" s="71" t="n"/>
      <c r="M591" s="71" t="n"/>
      <c r="N591" s="71" t="n"/>
      <c r="O591" s="71" t="n"/>
      <c r="P591" s="71" t="n"/>
      <c r="Q591" s="71" t="n"/>
      <c r="R591" s="71" t="n"/>
      <c r="S591" s="71" t="n"/>
      <c r="T591" s="71" t="n"/>
      <c r="U591" s="71" t="n"/>
      <c r="V591" s="71" t="n"/>
      <c r="W591" s="71" t="n"/>
      <c r="X591" s="71" t="n"/>
      <c r="Y591" s="71" t="n"/>
      <c r="Z591" s="53" t="n"/>
    </row>
    <row r="592">
      <c r="A592" s="48" t="inlineStr">
        <is>
          <t>modifyListUser.firstName</t>
        </is>
      </c>
      <c r="B592" s="55" t="inlineStr">
        <is>
          <t>Tên</t>
        </is>
      </c>
      <c r="C592" s="55" t="inlineStr">
        <is>
          <t>Last name</t>
        </is>
      </c>
      <c r="D592" s="51" t="inlineStr">
        <is>
          <t>ឈ្មោះ</t>
        </is>
      </c>
      <c r="E592" s="71" t="n"/>
      <c r="F592" s="71" t="n"/>
      <c r="G592" s="71" t="inlineStr">
        <is>
          <t>ឈ្មោះ</t>
        </is>
      </c>
      <c r="H592" s="71" t="inlineStr">
        <is>
          <t>ឈ្មោះ</t>
        </is>
      </c>
      <c r="I592" s="71" t="n"/>
      <c r="J592" s="71" t="n"/>
      <c r="K592" s="71" t="inlineStr">
        <is>
          <t>"modifyListUser.firstName": "ឈ្មោះ",</t>
        </is>
      </c>
      <c r="L592" s="71" t="n"/>
      <c r="M592" s="71" t="n"/>
      <c r="N592" s="71" t="n"/>
      <c r="O592" s="71" t="n"/>
      <c r="P592" s="71" t="n"/>
      <c r="Q592" s="71" t="n"/>
      <c r="R592" s="71" t="n"/>
      <c r="S592" s="71" t="n"/>
      <c r="T592" s="71" t="n"/>
      <c r="U592" s="71" t="n"/>
      <c r="V592" s="71" t="n"/>
      <c r="W592" s="71" t="n"/>
      <c r="X592" s="71" t="n"/>
      <c r="Y592" s="71" t="n"/>
      <c r="Z592" s="53" t="n"/>
    </row>
    <row r="593">
      <c r="A593" s="48" t="inlineStr">
        <is>
          <t>modifyListUser.idNo</t>
        </is>
      </c>
      <c r="B593" s="55" t="inlineStr">
        <is>
          <t>Mã công dân</t>
        </is>
      </c>
      <c r="C593" s="55" t="inlineStr">
        <is>
          <t>Citizen identification code</t>
        </is>
      </c>
      <c r="D593" s="71" t="n"/>
      <c r="E593" s="71" t="n"/>
      <c r="F593" s="71" t="n"/>
      <c r="G593" s="71" t="inlineStr">
        <is>
          <t>លេខកូដcông dân</t>
        </is>
      </c>
      <c r="H593" s="71" t="inlineStr">
        <is>
          <t>លេខកូដcông dân</t>
        </is>
      </c>
      <c r="I593" s="71" t="n"/>
      <c r="J593" s="71" t="n"/>
      <c r="K593" s="71" t="inlineStr">
        <is>
          <t>"modifyListUser.idNo": "លេខកូដcông dân",</t>
        </is>
      </c>
      <c r="L593" s="71" t="n"/>
      <c r="M593" s="71" t="n"/>
      <c r="N593" s="71" t="n"/>
      <c r="O593" s="71" t="n"/>
      <c r="P593" s="71" t="n"/>
      <c r="Q593" s="71" t="n"/>
      <c r="R593" s="71" t="n"/>
      <c r="S593" s="71" t="n"/>
      <c r="T593" s="71" t="n"/>
      <c r="U593" s="71" t="n"/>
      <c r="V593" s="71" t="n"/>
      <c r="W593" s="71" t="n"/>
      <c r="X593" s="71" t="n"/>
      <c r="Y593" s="71" t="n"/>
      <c r="Z593" s="53" t="n"/>
    </row>
    <row r="594">
      <c r="A594" s="48" t="inlineStr">
        <is>
          <t>modifyListUser.idNohint</t>
        </is>
      </c>
      <c r="B594" s="55" t="inlineStr">
        <is>
          <t>CCCD/CMT</t>
        </is>
      </c>
      <c r="C594" s="55" t="inlineStr">
        <is>
          <t>Citizen identification</t>
        </is>
      </c>
      <c r="D594" s="71" t="n"/>
      <c r="E594" s="71" t="n"/>
      <c r="F594" s="71" t="n"/>
      <c r="G594" s="71" t="inlineStr">
        <is>
          <t>អត្តសញ្ញាណប័ណ្ណ</t>
        </is>
      </c>
      <c r="H594" s="71" t="inlineStr">
        <is>
          <t>អត្តសញ្ញាណប័ណ្ណ</t>
        </is>
      </c>
      <c r="I594" s="71" t="n"/>
      <c r="J594" s="71" t="n"/>
      <c r="K594" s="71" t="inlineStr">
        <is>
          <t>"modifyListUser.idNohint": "អត្តសញ្ញាណប័ណ្ណ",</t>
        </is>
      </c>
      <c r="L594" s="71" t="n"/>
      <c r="M594" s="71" t="n"/>
      <c r="N594" s="71" t="n"/>
      <c r="O594" s="71" t="n"/>
      <c r="P594" s="71" t="n"/>
      <c r="Q594" s="71" t="n"/>
      <c r="R594" s="71" t="n"/>
      <c r="S594" s="71" t="n"/>
      <c r="T594" s="71" t="n"/>
      <c r="U594" s="71" t="n"/>
      <c r="V594" s="71" t="n"/>
      <c r="W594" s="71" t="n"/>
      <c r="X594" s="71" t="n"/>
      <c r="Y594" s="71" t="n"/>
      <c r="Z594" s="53" t="n"/>
    </row>
    <row r="595">
      <c r="A595" s="48" t="inlineStr">
        <is>
          <t>modifyListUser.dateOfBirth</t>
        </is>
      </c>
      <c r="B595" s="55" t="inlineStr">
        <is>
          <t>Ngày sinh</t>
        </is>
      </c>
      <c r="C595" s="55" t="inlineStr">
        <is>
          <t>Date of birth</t>
        </is>
      </c>
      <c r="D595" s="51" t="inlineStr">
        <is>
          <t>ថ្ងៃកំណើត</t>
        </is>
      </c>
      <c r="E595" s="71" t="n"/>
      <c r="F595" s="71" t="n"/>
      <c r="G595" s="71" t="inlineStr">
        <is>
          <t>ថ្ងៃកំណើត</t>
        </is>
      </c>
      <c r="H595" s="71" t="inlineStr">
        <is>
          <t>ថ្ងៃកំណើត</t>
        </is>
      </c>
      <c r="I595" s="71" t="n"/>
      <c r="J595" s="71" t="n"/>
      <c r="K595" s="71" t="inlineStr">
        <is>
          <t>"modifyListUser.dateOfBirth": "ថ្ងៃកំណើត",</t>
        </is>
      </c>
      <c r="L595" s="71" t="n"/>
      <c r="M595" s="71" t="n"/>
      <c r="N595" s="71" t="n"/>
      <c r="O595" s="71" t="n"/>
      <c r="P595" s="71" t="n"/>
      <c r="Q595" s="71" t="n"/>
      <c r="R595" s="71" t="n"/>
      <c r="S595" s="71" t="n"/>
      <c r="T595" s="71" t="n"/>
      <c r="U595" s="71" t="n"/>
      <c r="V595" s="71" t="n"/>
      <c r="W595" s="71" t="n"/>
      <c r="X595" s="71" t="n"/>
      <c r="Y595" s="71" t="n"/>
      <c r="Z595" s="53" t="n"/>
    </row>
    <row r="596">
      <c r="A596" s="48" t="inlineStr">
        <is>
          <t>modifyListUser.gender</t>
        </is>
      </c>
      <c r="B596" s="55" t="inlineStr">
        <is>
          <t>Giới tính</t>
        </is>
      </c>
      <c r="C596" s="55" t="inlineStr">
        <is>
          <t>Gender</t>
        </is>
      </c>
      <c r="D596" s="51" t="inlineStr">
        <is>
          <t>ភេទ</t>
        </is>
      </c>
      <c r="E596" s="71" t="n"/>
      <c r="F596" s="71" t="n"/>
      <c r="G596" s="71" t="inlineStr">
        <is>
          <t>ភេទ</t>
        </is>
      </c>
      <c r="H596" s="71" t="inlineStr">
        <is>
          <t>ភេទ</t>
        </is>
      </c>
      <c r="I596" s="71" t="n"/>
      <c r="J596" s="71" t="n"/>
      <c r="K596" s="71" t="inlineStr">
        <is>
          <t>"modifyListUser.gender": "ភេទ",</t>
        </is>
      </c>
      <c r="L596" s="71" t="n"/>
      <c r="M596" s="71" t="n"/>
      <c r="N596" s="71" t="n"/>
      <c r="O596" s="71" t="n"/>
      <c r="P596" s="71" t="n"/>
      <c r="Q596" s="71" t="n"/>
      <c r="R596" s="71" t="n"/>
      <c r="S596" s="71" t="n"/>
      <c r="T596" s="71" t="n"/>
      <c r="U596" s="71" t="n"/>
      <c r="V596" s="71" t="n"/>
      <c r="W596" s="71" t="n"/>
      <c r="X596" s="71" t="n"/>
      <c r="Y596" s="71" t="n"/>
      <c r="Z596" s="53" t="n"/>
    </row>
    <row r="597">
      <c r="A597" s="48" t="inlineStr">
        <is>
          <t>modifyListUser.phone</t>
        </is>
      </c>
      <c r="B597" s="55" t="inlineStr">
        <is>
          <t>Số điện thoại</t>
        </is>
      </c>
      <c r="C597" s="55" t="inlineStr">
        <is>
          <t>Phone number</t>
        </is>
      </c>
      <c r="D597" s="51" t="inlineStr">
        <is>
          <t>លេខទូរស័ព្ទ</t>
        </is>
      </c>
      <c r="E597" s="71" t="n"/>
      <c r="F597" s="71" t="n"/>
      <c r="G597" s="71" t="inlineStr">
        <is>
          <t>លេខទូរស័ព្ទ</t>
        </is>
      </c>
      <c r="H597" s="71" t="inlineStr">
        <is>
          <t>លេខទូរស័ព្ទ</t>
        </is>
      </c>
      <c r="I597" s="71" t="n"/>
      <c r="J597" s="71" t="n"/>
      <c r="K597" s="71" t="inlineStr">
        <is>
          <t>"modifyListUser.phone": "លេខទូរស័ព្ទ",</t>
        </is>
      </c>
      <c r="L597" s="71" t="n"/>
      <c r="M597" s="71" t="n"/>
      <c r="N597" s="71" t="n"/>
      <c r="O597" s="71" t="n"/>
      <c r="P597" s="71" t="n"/>
      <c r="Q597" s="71" t="n"/>
      <c r="R597" s="71" t="n"/>
      <c r="S597" s="71" t="n"/>
      <c r="T597" s="71" t="n"/>
      <c r="U597" s="71" t="n"/>
      <c r="V597" s="71" t="n"/>
      <c r="W597" s="71" t="n"/>
      <c r="X597" s="71" t="n"/>
      <c r="Y597" s="71" t="n"/>
      <c r="Z597" s="53" t="n"/>
    </row>
    <row r="598">
      <c r="A598" s="78" t="inlineStr">
        <is>
          <t>modifyListUser.staffCode</t>
        </is>
      </c>
      <c r="B598" s="79" t="inlineStr">
        <is>
          <t>Mã nhân viên</t>
        </is>
      </c>
      <c r="C598" s="79" t="inlineStr">
        <is>
          <t>Employee ID</t>
        </is>
      </c>
      <c r="D598" s="88" t="inlineStr">
        <is>
          <t>លេខកូដបុគ្គលិក</t>
        </is>
      </c>
      <c r="E598" s="81" t="inlineStr">
        <is>
          <t>លេខសម្គាល់បុគ្គលិក</t>
        </is>
      </c>
      <c r="F598" s="82" t="n"/>
      <c r="G598" s="82" t="inlineStr">
        <is>
          <t>លេខកូដបុគ្គលិក</t>
        </is>
      </c>
      <c r="H598" s="82" t="inlineStr">
        <is>
          <t>លេខកូដបុគ្គលិក</t>
        </is>
      </c>
      <c r="I598" s="82" t="n"/>
      <c r="J598" s="82" t="n"/>
      <c r="K598" s="82" t="inlineStr">
        <is>
          <t>"modifyListUser.staffCode": "លេខកូដបុគ្គលិក",</t>
        </is>
      </c>
      <c r="L598" s="82" t="n"/>
      <c r="M598" s="82" t="n"/>
      <c r="N598" s="82" t="n"/>
      <c r="O598" s="82" t="n"/>
      <c r="P598" s="82" t="n"/>
      <c r="Q598" s="82" t="n"/>
      <c r="R598" s="82" t="n"/>
      <c r="S598" s="82" t="n"/>
      <c r="T598" s="82" t="n"/>
      <c r="U598" s="82" t="n"/>
      <c r="V598" s="82" t="n"/>
      <c r="W598" s="82" t="n"/>
      <c r="X598" s="82" t="n"/>
      <c r="Y598" s="82" t="n"/>
      <c r="Z598" s="83" t="n"/>
    </row>
    <row r="599">
      <c r="A599" s="78" t="inlineStr">
        <is>
          <t>modifyListUser.staffName</t>
        </is>
      </c>
      <c r="B599" s="79" t="inlineStr">
        <is>
          <t>Tên nhân viên</t>
        </is>
      </c>
      <c r="C599" s="79" t="inlineStr">
        <is>
          <t>Employee code</t>
        </is>
      </c>
      <c r="D599" s="88" t="inlineStr">
        <is>
          <t>ឈ្មោះបុគ្គលិក</t>
        </is>
      </c>
      <c r="E599" s="81" t="inlineStr">
        <is>
          <t>ឈ្មោះបុគ្គលិក</t>
        </is>
      </c>
      <c r="F599" s="82" t="n"/>
      <c r="G599" s="82" t="inlineStr">
        <is>
          <t>ឈ្មោះបុគ្គលិក</t>
        </is>
      </c>
      <c r="H599" s="82" t="inlineStr">
        <is>
          <t>ឈ្មោះបុគ្គលិក</t>
        </is>
      </c>
      <c r="I599" s="82" t="n"/>
      <c r="J599" s="82" t="n"/>
      <c r="K599" s="82" t="inlineStr">
        <is>
          <t>"modifyListUser.staffName": "ឈ្មោះបុគ្គលិក",</t>
        </is>
      </c>
      <c r="L599" s="82" t="n"/>
      <c r="M599" s="82" t="n"/>
      <c r="N599" s="82" t="n"/>
      <c r="O599" s="82" t="n"/>
      <c r="P599" s="82" t="n"/>
      <c r="Q599" s="82" t="n"/>
      <c r="R599" s="82" t="n"/>
      <c r="S599" s="82" t="n"/>
      <c r="T599" s="82" t="n"/>
      <c r="U599" s="82" t="n"/>
      <c r="V599" s="82" t="n"/>
      <c r="W599" s="82" t="n"/>
      <c r="X599" s="82" t="n"/>
      <c r="Y599" s="82" t="n"/>
      <c r="Z599" s="83" t="n"/>
    </row>
    <row r="600">
      <c r="A600" s="48" t="inlineStr">
        <is>
          <t>modifyListUser.contractType</t>
        </is>
      </c>
      <c r="B600" s="55" t="inlineStr">
        <is>
          <t>Loại hợp đồng</t>
        </is>
      </c>
      <c r="C600" s="55" t="inlineStr">
        <is>
          <t>Contract type</t>
        </is>
      </c>
      <c r="D600" s="51" t="inlineStr">
        <is>
          <t>ប្រភេទកិច្ចសន្យា</t>
        </is>
      </c>
      <c r="E600" s="71" t="n"/>
      <c r="F600" s="71" t="n"/>
      <c r="G600" s="71" t="inlineStr">
        <is>
          <t>ប្រភេទកិច្ចសន្យា</t>
        </is>
      </c>
      <c r="H600" s="71" t="inlineStr">
        <is>
          <t>ប្រភេទកិច្ចសន្យា</t>
        </is>
      </c>
      <c r="I600" s="71" t="n"/>
      <c r="J600" s="71" t="n"/>
      <c r="K600" s="71" t="inlineStr">
        <is>
          <t>"modifyListUser.contractType": "ប្រភេទកិច្ចសន្យា",</t>
        </is>
      </c>
      <c r="L600" s="71" t="n"/>
      <c r="M600" s="71" t="n"/>
      <c r="N600" s="71" t="n"/>
      <c r="O600" s="71" t="n"/>
      <c r="P600" s="71" t="n"/>
      <c r="Q600" s="71" t="n"/>
      <c r="R600" s="71" t="n"/>
      <c r="S600" s="71" t="n"/>
      <c r="T600" s="71" t="n"/>
      <c r="U600" s="71" t="n"/>
      <c r="V600" s="71" t="n"/>
      <c r="W600" s="71" t="n"/>
      <c r="X600" s="71" t="n"/>
      <c r="Y600" s="71" t="n"/>
      <c r="Z600" s="53" t="n"/>
    </row>
    <row r="601">
      <c r="A601" s="48" t="inlineStr">
        <is>
          <t>modifyListUser.email</t>
        </is>
      </c>
      <c r="B601" s="55" t="inlineStr">
        <is>
          <t>Email</t>
        </is>
      </c>
      <c r="C601" s="55" t="inlineStr">
        <is>
          <t>Email</t>
        </is>
      </c>
      <c r="D601" s="51" t="inlineStr">
        <is>
          <t>អ៊ីម៉ែល</t>
        </is>
      </c>
      <c r="E601" s="71" t="n"/>
      <c r="F601" s="71" t="n"/>
      <c r="G601" s="71" t="inlineStr">
        <is>
          <t>អ៊ីម៉ែល</t>
        </is>
      </c>
      <c r="H601" s="71" t="inlineStr">
        <is>
          <t>អ៊ីម៉ែល</t>
        </is>
      </c>
      <c r="I601" s="71" t="n"/>
      <c r="J601" s="71" t="n"/>
      <c r="K601" s="71" t="inlineStr">
        <is>
          <t>"modifyListUser.email": "អ៊ីម៉ែល",</t>
        </is>
      </c>
      <c r="L601" s="71" t="n"/>
      <c r="M601" s="71" t="n"/>
      <c r="N601" s="71" t="n"/>
      <c r="O601" s="71" t="n"/>
      <c r="P601" s="71" t="n"/>
      <c r="Q601" s="71" t="n"/>
      <c r="R601" s="71" t="n"/>
      <c r="S601" s="71" t="n"/>
      <c r="T601" s="71" t="n"/>
      <c r="U601" s="71" t="n"/>
      <c r="V601" s="71" t="n"/>
      <c r="W601" s="71" t="n"/>
      <c r="X601" s="71" t="n"/>
      <c r="Y601" s="71" t="n"/>
      <c r="Z601" s="53" t="n"/>
    </row>
    <row r="602">
      <c r="A602" s="48" t="inlineStr">
        <is>
          <t>modifyListUser.remark</t>
        </is>
      </c>
      <c r="B602" s="55" t="inlineStr">
        <is>
          <t>Ghi chú</t>
        </is>
      </c>
      <c r="C602" s="55" t="inlineStr">
        <is>
          <t>Note</t>
        </is>
      </c>
      <c r="D602" s="51" t="inlineStr">
        <is>
          <t>កត់ចំណាំ</t>
        </is>
      </c>
      <c r="E602" s="71" t="n"/>
      <c r="F602" s="71" t="n"/>
      <c r="G602" s="71" t="inlineStr">
        <is>
          <t>ចំណាំ</t>
        </is>
      </c>
      <c r="H602" s="71" t="inlineStr">
        <is>
          <t>ចំណាំ</t>
        </is>
      </c>
      <c r="I602" s="71" t="n"/>
      <c r="J602" s="71" t="n"/>
      <c r="K602" s="71" t="inlineStr">
        <is>
          <t>"modifyListUser.remark": "ចំណាំ",</t>
        </is>
      </c>
      <c r="L602" s="71" t="n"/>
      <c r="M602" s="71" t="n"/>
      <c r="N602" s="71" t="n"/>
      <c r="O602" s="71" t="n"/>
      <c r="P602" s="71" t="n"/>
      <c r="Q602" s="71" t="n"/>
      <c r="R602" s="71" t="n"/>
      <c r="S602" s="71" t="n"/>
      <c r="T602" s="71" t="n"/>
      <c r="U602" s="71" t="n"/>
      <c r="V602" s="71" t="n"/>
      <c r="W602" s="71" t="n"/>
      <c r="X602" s="71" t="n"/>
      <c r="Y602" s="71" t="n"/>
      <c r="Z602" s="53" t="n"/>
    </row>
    <row r="603">
      <c r="A603" s="48" t="inlineStr">
        <is>
          <t>modifyListUser.remarkHint</t>
        </is>
      </c>
      <c r="B603" s="55" t="inlineStr">
        <is>
          <t>Nhập ghi chú</t>
        </is>
      </c>
      <c r="C603" s="55" t="inlineStr">
        <is>
          <t>Enter note</t>
        </is>
      </c>
      <c r="D603" s="51" t="inlineStr">
        <is>
          <t>បញ្ចូលការកត់ចំណាំ</t>
        </is>
      </c>
      <c r="E603" s="71" t="n"/>
      <c r="F603" s="71" t="n"/>
      <c r="G603" s="71" t="inlineStr">
        <is>
          <t>បញ្ចូលការកត់ចំណាំ</t>
        </is>
      </c>
      <c r="H603" s="71" t="inlineStr">
        <is>
          <t>បញ្ចូលការកត់ចំណាំ</t>
        </is>
      </c>
      <c r="I603" s="71" t="n"/>
      <c r="J603" s="71" t="n"/>
      <c r="K603" s="71" t="inlineStr">
        <is>
          <t>"modifyListUser.remarkHint": "បញ្ចូលការកត់ចំណាំ",</t>
        </is>
      </c>
      <c r="L603" s="71" t="n"/>
      <c r="M603" s="71" t="n"/>
      <c r="N603" s="71" t="n"/>
      <c r="O603" s="71" t="n"/>
      <c r="P603" s="71" t="n"/>
      <c r="Q603" s="71" t="n"/>
      <c r="R603" s="71" t="n"/>
      <c r="S603" s="71" t="n"/>
      <c r="T603" s="71" t="n"/>
      <c r="U603" s="71" t="n"/>
      <c r="V603" s="71" t="n"/>
      <c r="W603" s="71" t="n"/>
      <c r="X603" s="71" t="n"/>
      <c r="Y603" s="71" t="n"/>
      <c r="Z603" s="53" t="n"/>
    </row>
    <row r="604">
      <c r="A604" s="48" t="inlineStr">
        <is>
          <t>modifyListUser.max100</t>
        </is>
      </c>
      <c r="B604" s="55" t="inlineStr">
        <is>
          <t>Nhập tối đa 100 ký tự</t>
        </is>
      </c>
      <c r="C604" s="55" t="inlineStr">
        <is>
          <t>Enter 100 characters max</t>
        </is>
      </c>
      <c r="D604" s="51" t="inlineStr">
        <is>
          <t>បញ្ចូលជាអតិបរមា 100 តួអក្សរលេខ</t>
        </is>
      </c>
      <c r="E604" s="71" t="n"/>
      <c r="F604" s="71" t="n"/>
      <c r="G604" s="71" t="inlineStr">
        <is>
          <t>បញ្ចូលជាអតិបរមា 100 តួអក្សរលេខ</t>
        </is>
      </c>
      <c r="H604" s="71" t="inlineStr">
        <is>
          <t>បញ្ចូលជាអតិបរមា 100 តួអក្សរលេខ</t>
        </is>
      </c>
      <c r="I604" s="71" t="n"/>
      <c r="J604" s="71" t="n"/>
      <c r="K604" s="71" t="inlineStr">
        <is>
          <t>"modifyListUser.max100": "បញ្ចូលជាអតិបរមា 100 តួអក្សរលេខ",</t>
        </is>
      </c>
      <c r="L604" s="71" t="n"/>
      <c r="M604" s="71" t="n"/>
      <c r="N604" s="71" t="n"/>
      <c r="O604" s="71" t="n"/>
      <c r="P604" s="71" t="n"/>
      <c r="Q604" s="71" t="n"/>
      <c r="R604" s="71" t="n"/>
      <c r="S604" s="71" t="n"/>
      <c r="T604" s="71" t="n"/>
      <c r="U604" s="71" t="n"/>
      <c r="V604" s="71" t="n"/>
      <c r="W604" s="71" t="n"/>
      <c r="X604" s="71" t="n"/>
      <c r="Y604" s="71" t="n"/>
      <c r="Z604" s="53" t="n"/>
    </row>
    <row r="605">
      <c r="A605" s="48" t="inlineStr">
        <is>
          <t>modifyListUser.max50</t>
        </is>
      </c>
      <c r="B605" s="55" t="inlineStr">
        <is>
          <t>Nhập tối đa 50 ký tự</t>
        </is>
      </c>
      <c r="C605" s="55" t="inlineStr">
        <is>
          <t>Enter 50 characters max</t>
        </is>
      </c>
      <c r="D605" s="51" t="inlineStr">
        <is>
          <t>បញ្ចូលជាអតិបរមា 50 តួអក្សរលេខ</t>
        </is>
      </c>
      <c r="E605" s="71" t="n"/>
      <c r="F605" s="71" t="n"/>
      <c r="G605" s="71" t="inlineStr">
        <is>
          <t>បញ្ចូលជាអតិបរមា 50 តួអក្សរលេខ</t>
        </is>
      </c>
      <c r="H605" s="71" t="inlineStr">
        <is>
          <t>បញ្ចូលជាអតិបរមា 50 តួអក្សរលេខ</t>
        </is>
      </c>
      <c r="I605" s="71" t="n"/>
      <c r="J605" s="71" t="n"/>
      <c r="K605" s="71" t="inlineStr">
        <is>
          <t>"modifyListUser.max50": "បញ្ចូលជាអតិបរមា 50 តួអក្សរលេខ",</t>
        </is>
      </c>
      <c r="L605" s="71" t="n"/>
      <c r="M605" s="71" t="n"/>
      <c r="N605" s="71" t="n"/>
      <c r="O605" s="71" t="n"/>
      <c r="P605" s="71" t="n"/>
      <c r="Q605" s="71" t="n"/>
      <c r="R605" s="71" t="n"/>
      <c r="S605" s="71" t="n"/>
      <c r="T605" s="71" t="n"/>
      <c r="U605" s="71" t="n"/>
      <c r="V605" s="71" t="n"/>
      <c r="W605" s="71" t="n"/>
      <c r="X605" s="71" t="n"/>
      <c r="Y605" s="71" t="n"/>
      <c r="Z605" s="53" t="n"/>
    </row>
    <row r="606">
      <c r="A606" s="48" t="inlineStr">
        <is>
          <t>modifyListUser.max20</t>
        </is>
      </c>
      <c r="B606" s="55" t="inlineStr">
        <is>
          <t>Nhập tối đa 20 ký tự</t>
        </is>
      </c>
      <c r="C606" s="55" t="inlineStr">
        <is>
          <t>Enter 20 characters max</t>
        </is>
      </c>
      <c r="D606" s="71" t="inlineStr">
        <is>
          <t>បញ្ចូលជាអតិបរមា 20 តួអក្សរលេខ</t>
        </is>
      </c>
      <c r="E606" s="71" t="n"/>
      <c r="F606" s="71" t="n"/>
      <c r="G606" s="71" t="inlineStr">
        <is>
          <t>បញ្ចូលជាអតិបរមា 20 តួអក្សរលេខ</t>
        </is>
      </c>
      <c r="H606" s="71" t="inlineStr">
        <is>
          <t>បញ្ចូលជាអតិបរមា 20 តួអក្សរលេខ</t>
        </is>
      </c>
      <c r="I606" s="71" t="n"/>
      <c r="J606" s="71" t="n"/>
      <c r="K606" s="71" t="inlineStr">
        <is>
          <t>"modifyListUser.max20": "បញ្ចូលជាអតិបរមា 20 តួអក្សរលេខ",</t>
        </is>
      </c>
      <c r="L606" s="71" t="n"/>
      <c r="M606" s="71" t="n"/>
      <c r="N606" s="71" t="n"/>
      <c r="O606" s="71" t="n"/>
      <c r="P606" s="71" t="n"/>
      <c r="Q606" s="71" t="n"/>
      <c r="R606" s="71" t="n"/>
      <c r="S606" s="71" t="n"/>
      <c r="T606" s="71" t="n"/>
      <c r="U606" s="71" t="n"/>
      <c r="V606" s="71" t="n"/>
      <c r="W606" s="71" t="n"/>
      <c r="X606" s="71" t="n"/>
      <c r="Y606" s="71" t="n"/>
      <c r="Z606" s="53" t="n"/>
    </row>
    <row r="607">
      <c r="A607" s="48" t="inlineStr">
        <is>
          <t>modifyListUser.max30</t>
        </is>
      </c>
      <c r="B607" s="55" t="inlineStr">
        <is>
          <t>Nhập mã công dân tối đa 30 ký tự</t>
        </is>
      </c>
      <c r="C607" s="55" t="inlineStr">
        <is>
          <t>Enter citizen ID 30 characters max.</t>
        </is>
      </c>
      <c r="D607" s="51" t="n"/>
      <c r="E607" s="71" t="n"/>
      <c r="F607" s="71" t="n"/>
      <c r="G607" s="71" t="inlineStr">
        <is>
          <t>បញ្ចូលលេខកូដ công dân tối đa 30 ký tự</t>
        </is>
      </c>
      <c r="H607" s="71" t="inlineStr">
        <is>
          <t>បញ្ចូលលេខកូដ công dân tối đa 30 ký tự</t>
        </is>
      </c>
      <c r="I607" s="71" t="n"/>
      <c r="J607" s="71" t="n"/>
      <c r="K607" s="71" t="inlineStr">
        <is>
          <t>"modifyListUser.max30": "បញ្ចូលលេខកូដ công dân tối đa 30 ký tự",</t>
        </is>
      </c>
      <c r="L607" s="71" t="n"/>
      <c r="M607" s="71" t="n"/>
      <c r="N607" s="71" t="n"/>
      <c r="O607" s="71" t="n"/>
      <c r="P607" s="71" t="n"/>
      <c r="Q607" s="71" t="n"/>
      <c r="R607" s="71" t="n"/>
      <c r="S607" s="71" t="n"/>
      <c r="T607" s="71" t="n"/>
      <c r="U607" s="71" t="n"/>
      <c r="V607" s="71" t="n"/>
      <c r="W607" s="71" t="n"/>
      <c r="X607" s="71" t="n"/>
      <c r="Y607" s="71" t="n"/>
      <c r="Z607" s="53" t="n"/>
    </row>
    <row r="608">
      <c r="A608" s="48" t="inlineStr">
        <is>
          <t>modifyListUser.max6</t>
        </is>
      </c>
      <c r="B608" s="55" t="inlineStr">
        <is>
          <t>Nhập tối đa 6 ký tự</t>
        </is>
      </c>
      <c r="C608" s="55" t="inlineStr">
        <is>
          <t>Enter 6 characters max</t>
        </is>
      </c>
      <c r="D608" s="51" t="inlineStr">
        <is>
          <t>បញ្ចូលជាអតិបរមា 6 តួអក្សរលេខ</t>
        </is>
      </c>
      <c r="E608" s="71" t="n"/>
      <c r="F608" s="71" t="n"/>
      <c r="G608" s="71" t="inlineStr">
        <is>
          <t>បញ្ចូលជាអតិបរមា 6 តួអក្សរលេខ</t>
        </is>
      </c>
      <c r="H608" s="71" t="inlineStr">
        <is>
          <t>បញ្ចូលជាអតិបរមា 6 តួអក្សរលេខ</t>
        </is>
      </c>
      <c r="I608" s="71" t="n"/>
      <c r="J608" s="71" t="n"/>
      <c r="K608" s="71" t="inlineStr">
        <is>
          <t>"modifyListUser.max6": "បញ្ចូលជាអតិបរមា 6 តួអក្សរលេខ",</t>
        </is>
      </c>
      <c r="L608" s="71" t="n"/>
      <c r="M608" s="71" t="n"/>
      <c r="N608" s="71" t="n"/>
      <c r="O608" s="71" t="n"/>
      <c r="P608" s="71" t="n"/>
      <c r="Q608" s="71" t="n"/>
      <c r="R608" s="71" t="n"/>
      <c r="S608" s="71" t="n"/>
      <c r="T608" s="71" t="n"/>
      <c r="U608" s="71" t="n"/>
      <c r="V608" s="71" t="n"/>
      <c r="W608" s="71" t="n"/>
      <c r="X608" s="71" t="n"/>
      <c r="Y608" s="71" t="n"/>
      <c r="Z608" s="53" t="n"/>
    </row>
    <row r="609">
      <c r="A609" s="48" t="inlineStr">
        <is>
          <t>modifyListUser.empty</t>
        </is>
      </c>
      <c r="B609" s="55" t="inlineStr">
        <is>
          <t>Nhập sai định dạng</t>
        </is>
      </c>
      <c r="C609" s="55" t="inlineStr">
        <is>
          <t>invalid format</t>
        </is>
      </c>
      <c r="D609" s="51" t="inlineStr">
        <is>
          <t>បញ្ចូលខុសទម្រង់</t>
        </is>
      </c>
      <c r="E609" s="71" t="n"/>
      <c r="F609" s="71" t="n"/>
      <c r="G609" s="71" t="inlineStr">
        <is>
          <t>បញ្ចូលខុសទម្រង់</t>
        </is>
      </c>
      <c r="H609" s="71" t="inlineStr">
        <is>
          <t>បញ្ចូលខុសទម្រង់</t>
        </is>
      </c>
      <c r="I609" s="71" t="n"/>
      <c r="J609" s="71" t="n"/>
      <c r="K609" s="71" t="inlineStr">
        <is>
          <t>"modifyListUser.empty": "បញ្ចូលខុសទម្រង់",</t>
        </is>
      </c>
      <c r="L609" s="71" t="n"/>
      <c r="M609" s="71" t="n"/>
      <c r="N609" s="71" t="n"/>
      <c r="O609" s="71" t="n"/>
      <c r="P609" s="71" t="n"/>
      <c r="Q609" s="71" t="n"/>
      <c r="R609" s="71" t="n"/>
      <c r="S609" s="71" t="n"/>
      <c r="T609" s="71" t="n"/>
      <c r="U609" s="71" t="n"/>
      <c r="V609" s="71" t="n"/>
      <c r="W609" s="71" t="n"/>
      <c r="X609" s="71" t="n"/>
      <c r="Y609" s="71" t="n"/>
      <c r="Z609" s="53" t="n"/>
    </row>
    <row r="610">
      <c r="A610" s="48" t="inlineStr">
        <is>
          <t>modifyListUser.startWithSpace</t>
        </is>
      </c>
      <c r="B610" s="55" t="inlineStr">
        <is>
          <t>Không được bắt đầu bằng khoảng trắng</t>
        </is>
      </c>
      <c r="C610" s="55" t="inlineStr">
        <is>
          <t>Cannot start with a space.</t>
        </is>
      </c>
      <c r="D610" s="51" t="inlineStr">
        <is>
          <t>មិនអាចចាប់ផ្តើមដោយដកឃ្លាបានទេ</t>
        </is>
      </c>
      <c r="E610" s="71" t="n"/>
      <c r="F610" s="71" t="n"/>
      <c r="G610" s="71" t="inlineStr">
        <is>
          <t>មិនអាចចាប់ផ្តើមដោយដកឃ្លាបានទេ</t>
        </is>
      </c>
      <c r="H610" s="71" t="inlineStr">
        <is>
          <t>មិនអាចចាប់ផ្តើមដោយដកឃ្លាបានទេ</t>
        </is>
      </c>
      <c r="I610" s="71" t="n"/>
      <c r="J610" s="71" t="n"/>
      <c r="K610" s="71" t="inlineStr">
        <is>
          <t>"modifyListUser.startWithSpace": "មិនអាចចាប់ផ្តើមដោយដកឃ្លាបានទេ",</t>
        </is>
      </c>
      <c r="L610" s="71" t="n"/>
      <c r="M610" s="71" t="n"/>
      <c r="N610" s="71" t="n"/>
      <c r="O610" s="71" t="n"/>
      <c r="P610" s="71" t="n"/>
      <c r="Q610" s="71" t="n"/>
      <c r="R610" s="71" t="n"/>
      <c r="S610" s="71" t="n"/>
      <c r="T610" s="71" t="n"/>
      <c r="U610" s="71" t="n"/>
      <c r="V610" s="71" t="n"/>
      <c r="W610" s="71" t="n"/>
      <c r="X610" s="71" t="n"/>
      <c r="Y610" s="71" t="n"/>
      <c r="Z610" s="53" t="n"/>
    </row>
    <row r="611">
      <c r="A611" s="48" t="inlineStr">
        <is>
          <t>modifyListUser.containsSpecialCharacters</t>
        </is>
      </c>
      <c r="B611" s="55" t="inlineStr">
        <is>
          <t>Không được phép nhập ký tự đặc biệt</t>
        </is>
      </c>
      <c r="C611" s="55" t="inlineStr">
        <is>
          <t>Special characters are not allowed</t>
        </is>
      </c>
      <c r="D611" s="51" t="inlineStr">
        <is>
          <t>មិនអនុញ្ញាត្តិបញ្ចូលអក្សរពិសេសបានទេ</t>
        </is>
      </c>
      <c r="E611" s="71" t="n"/>
      <c r="F611" s="71" t="n"/>
      <c r="G611" s="71" t="inlineStr">
        <is>
          <t>មិនអនុញ្ញាត្តិបញ្ចូលអក្សរពិសេសបានទេ</t>
        </is>
      </c>
      <c r="H611" s="71" t="inlineStr">
        <is>
          <t>មិនអនុញ្ញាត្តិបញ្ចូលអក្សរពិសេសបានទេ</t>
        </is>
      </c>
      <c r="I611" s="71" t="n"/>
      <c r="J611" s="71" t="n"/>
      <c r="K611" s="71" t="inlineStr">
        <is>
          <t>"modifyListUser.containsSpecialCharacters": "មិនអនុញ្ញាត្តិបញ្ចូលអក្សរពិសេសបានទេ",</t>
        </is>
      </c>
      <c r="L611" s="71" t="n"/>
      <c r="M611" s="71" t="n"/>
      <c r="N611" s="71" t="n"/>
      <c r="O611" s="71" t="n"/>
      <c r="P611" s="71" t="n"/>
      <c r="Q611" s="71" t="n"/>
      <c r="R611" s="71" t="n"/>
      <c r="S611" s="71" t="n"/>
      <c r="T611" s="71" t="n"/>
      <c r="U611" s="71" t="n"/>
      <c r="V611" s="71" t="n"/>
      <c r="W611" s="71" t="n"/>
      <c r="X611" s="71" t="n"/>
      <c r="Y611" s="71" t="n"/>
      <c r="Z611" s="53" t="n"/>
    </row>
    <row r="612">
      <c r="A612" s="48" t="inlineStr">
        <is>
          <t>modifyListUser.checkOnlyNumber</t>
        </is>
      </c>
      <c r="B612" s="55" t="inlineStr">
        <is>
          <t>Vui lòng chỉ nhập số</t>
        </is>
      </c>
      <c r="C612" s="55" t="inlineStr">
        <is>
          <t>Enter number only</t>
        </is>
      </c>
      <c r="D612" s="51" t="inlineStr">
        <is>
          <t>សូូមគ្រាន់តែបញ្ចូលលេខ</t>
        </is>
      </c>
      <c r="E612" s="71" t="n"/>
      <c r="F612" s="71" t="n"/>
      <c r="G612" s="71" t="inlineStr">
        <is>
          <t>សូមគ្រាន់តែបញ្ចូលលេខ</t>
        </is>
      </c>
      <c r="H612" s="71" t="inlineStr">
        <is>
          <t>សូមគ្រាន់តែបញ្ចូលលេខ</t>
        </is>
      </c>
      <c r="I612" s="71" t="n"/>
      <c r="J612" s="71" t="n"/>
      <c r="K612" s="71" t="inlineStr">
        <is>
          <t>"modifyListUser.checkOnlyNumber": "សូមគ្រាន់តែបញ្ចូលលេខ",</t>
        </is>
      </c>
      <c r="L612" s="71" t="n"/>
      <c r="M612" s="71" t="n"/>
      <c r="N612" s="71" t="n"/>
      <c r="O612" s="71" t="n"/>
      <c r="P612" s="71" t="n"/>
      <c r="Q612" s="71" t="n"/>
      <c r="R612" s="71" t="n"/>
      <c r="S612" s="71" t="n"/>
      <c r="T612" s="71" t="n"/>
      <c r="U612" s="71" t="n"/>
      <c r="V612" s="71" t="n"/>
      <c r="W612" s="71" t="n"/>
      <c r="X612" s="71" t="n"/>
      <c r="Y612" s="71" t="n"/>
      <c r="Z612" s="53" t="n"/>
    </row>
    <row r="613">
      <c r="A613" s="48" t="inlineStr">
        <is>
          <t>modifyListUser.duplicateUser</t>
        </is>
      </c>
      <c r="B613" s="55" t="inlineStr">
        <is>
          <t>Người dùng đã có trên hệ thống</t>
        </is>
      </c>
      <c r="C613" s="55" t="inlineStr">
        <is>
          <t>User already exists.</t>
        </is>
      </c>
      <c r="D613" s="51" t="inlineStr">
        <is>
          <t>អ្នកប្រើប្រាស់មានក្នុងប្រព័ន្ធ</t>
        </is>
      </c>
      <c r="E613" s="71" t="n"/>
      <c r="F613" s="71" t="n"/>
      <c r="G613" s="71" t="inlineStr">
        <is>
          <t>អ្នកប្រើប្រាស់មានក្នុងប្រព័ន្ធ</t>
        </is>
      </c>
      <c r="H613" s="71" t="inlineStr">
        <is>
          <t>អ្នកប្រើប្រាស់មានក្នុងប្រព័ន្ធ</t>
        </is>
      </c>
      <c r="I613" s="71" t="n"/>
      <c r="J613" s="71" t="n"/>
      <c r="K613" s="71" t="inlineStr">
        <is>
          <t>"modifyListUser.duplicateUser": "អ្នកប្រើប្រាស់មានក្នុងប្រព័ន្ធ",</t>
        </is>
      </c>
      <c r="L613" s="71" t="n"/>
      <c r="M613" s="71" t="n"/>
      <c r="N613" s="71" t="n"/>
      <c r="O613" s="71" t="n"/>
      <c r="P613" s="71" t="n"/>
      <c r="Q613" s="71" t="n"/>
      <c r="R613" s="71" t="n"/>
      <c r="S613" s="71" t="n"/>
      <c r="T613" s="71" t="n"/>
      <c r="U613" s="71" t="n"/>
      <c r="V613" s="71" t="n"/>
      <c r="W613" s="71" t="n"/>
      <c r="X613" s="71" t="n"/>
      <c r="Y613" s="71" t="n"/>
      <c r="Z613" s="53" t="n"/>
    </row>
    <row r="614">
      <c r="A614" s="40" t="inlineStr">
        <is>
          <t>changeStatusUser.title</t>
        </is>
      </c>
      <c r="B614" s="46" t="inlineStr">
        <is>
          <t>Bạn có chắc chắn muốn thay đổi tình trạng sử dụng của \n "{{name}}" thành "{{status}}" không?</t>
        </is>
      </c>
      <c r="C614" s="46" t="inlineStr">
        <is>
          <t>Do you want to switch user status to {{status}} for {{name}}</t>
        </is>
      </c>
      <c r="D614" s="43" t="inlineStr">
        <is>
          <t>តើអ្នកពិតជាចង់ផ្លាស់ប្តូរស្ថានភាពប្រើប្រាស់របស់""{{name}}"" ទៅ ""{{status}}"" មែនទេ?</t>
        </is>
      </c>
      <c r="E614" s="75" t="n"/>
      <c r="F614" s="75" t="n"/>
      <c r="G614" s="75" t="inlineStr">
        <is>
          <t>តើអ្នកពិតជាចង់ផ្លាស់ប្តូរស្ថានភាពប្រើប្រាស់របស់""{{name}}"" ទៅ ""{{status}}"" មែនទេ?</t>
        </is>
      </c>
      <c r="H614" s="75" t="inlineStr">
        <is>
          <t>តើអ្នកពិតជាចង់ផ្លាស់ប្តូរស្ថានភាពប្រើប្រាស់របស់""{{name}}"" ទៅ ""{{status}}"" មែនទេ?</t>
        </is>
      </c>
      <c r="I614" s="75" t="n"/>
      <c r="J614" s="75" t="n"/>
      <c r="K614" s="75" t="inlineStr">
        <is>
          <t>"changeStatusUser.title": "តើអ្នកពិតជាចង់ផ្លាស់ប្តូរស្ថានភាពប្រើប្រាស់របស់""{{name}}"" ទៅ ""{{status}}"" មែនទេ?",</t>
        </is>
      </c>
      <c r="L614" s="75" t="n"/>
      <c r="M614" s="75" t="n"/>
      <c r="N614" s="75" t="n"/>
      <c r="O614" s="75" t="n"/>
      <c r="P614" s="75" t="n"/>
      <c r="Q614" s="75" t="n"/>
      <c r="R614" s="75" t="n"/>
      <c r="S614" s="75" t="n"/>
      <c r="T614" s="75" t="n"/>
      <c r="U614" s="75" t="n"/>
      <c r="V614" s="75" t="n"/>
      <c r="W614" s="75" t="n"/>
      <c r="X614" s="75" t="n"/>
      <c r="Y614" s="75" t="n"/>
      <c r="Z614" s="45" t="n"/>
    </row>
    <row r="615">
      <c r="A615" s="40" t="inlineStr">
        <is>
          <t>changeStatusUser.notification</t>
        </is>
      </c>
      <c r="B615" s="46" t="inlineStr">
        <is>
          <t>Cập nhật tình trạng sử dụng thành công!</t>
        </is>
      </c>
      <c r="C615" s="46" t="inlineStr">
        <is>
          <t>Update user status sucessfully!</t>
        </is>
      </c>
      <c r="D615" s="43" t="inlineStr">
        <is>
          <t>អាប់ដេតស្ថានភាពប្រើប្រាស់បានជោគជ័យ!</t>
        </is>
      </c>
      <c r="E615" s="75" t="n"/>
      <c r="F615" s="75" t="n"/>
      <c r="G615" s="75" t="inlineStr">
        <is>
          <t>អាប់ដេតស្ថានភាពប្រើប្រាស់បានជោគជ័យ!</t>
        </is>
      </c>
      <c r="H615" s="75" t="inlineStr">
        <is>
          <t>អាប់ដេតស្ថានភាពប្រើប្រាស់បានជោគជ័យ!</t>
        </is>
      </c>
      <c r="I615" s="75" t="n"/>
      <c r="J615" s="75" t="n"/>
      <c r="K615" s="75" t="inlineStr">
        <is>
          <t>"changeStatusUser.notification": "អាប់ដេតស្ថានភាពប្រើប្រាស់បានជោគជ័យ!",</t>
        </is>
      </c>
      <c r="L615" s="75" t="n"/>
      <c r="M615" s="75" t="n"/>
      <c r="N615" s="75" t="n"/>
      <c r="O615" s="75" t="n"/>
      <c r="P615" s="75" t="n"/>
      <c r="Q615" s="75" t="n"/>
      <c r="R615" s="75" t="n"/>
      <c r="S615" s="75" t="n"/>
      <c r="T615" s="75" t="n"/>
      <c r="U615" s="75" t="n"/>
      <c r="V615" s="75" t="n"/>
      <c r="W615" s="75" t="n"/>
      <c r="X615" s="75" t="n"/>
      <c r="Y615" s="75" t="n"/>
      <c r="Z615" s="45" t="n"/>
    </row>
    <row r="616">
      <c r="A616" s="40" t="inlineStr">
        <is>
          <t>listDepartmentUser.role</t>
        </is>
      </c>
      <c r="B616" s="46" t="inlineStr">
        <is>
          <t>Chức danh</t>
        </is>
      </c>
      <c r="C616" s="46" t="inlineStr">
        <is>
          <t>Role</t>
        </is>
      </c>
      <c r="D616" s="43" t="inlineStr">
        <is>
          <t>មុខតំណែង</t>
        </is>
      </c>
      <c r="E616" s="75" t="n"/>
      <c r="F616" s="75" t="n"/>
      <c r="G616" s="75" t="inlineStr">
        <is>
          <t>មុខតំណែង</t>
        </is>
      </c>
      <c r="H616" s="75" t="inlineStr">
        <is>
          <t>មុខតំណែង</t>
        </is>
      </c>
      <c r="I616" s="75" t="n"/>
      <c r="J616" s="75" t="n"/>
      <c r="K616" s="75" t="inlineStr">
        <is>
          <t>"listDepartmentUser.role": "មុខតំណែង",</t>
        </is>
      </c>
      <c r="L616" s="75" t="n"/>
      <c r="M616" s="75" t="n"/>
      <c r="N616" s="75" t="n"/>
      <c r="O616" s="75" t="n"/>
      <c r="P616" s="75" t="n"/>
      <c r="Q616" s="75" t="n"/>
      <c r="R616" s="75" t="n"/>
      <c r="S616" s="75" t="n"/>
      <c r="T616" s="75" t="n"/>
      <c r="U616" s="75" t="n"/>
      <c r="V616" s="75" t="n"/>
      <c r="W616" s="75" t="n"/>
      <c r="X616" s="75" t="n"/>
      <c r="Y616" s="75" t="n"/>
      <c r="Z616" s="45" t="n"/>
    </row>
    <row r="617">
      <c r="A617" s="40" t="inlineStr">
        <is>
          <t>listDepartmentUser.status</t>
        </is>
      </c>
      <c r="B617" s="46" t="inlineStr">
        <is>
          <t>Trạng thái</t>
        </is>
      </c>
      <c r="C617" s="46" t="inlineStr">
        <is>
          <t>Status</t>
        </is>
      </c>
      <c r="D617" s="43" t="inlineStr">
        <is>
          <t>ស្ថានភាព</t>
        </is>
      </c>
      <c r="E617" s="75" t="n"/>
      <c r="F617" s="75" t="n"/>
      <c r="G617" s="75" t="inlineStr">
        <is>
          <t>ស្ថានភាព</t>
        </is>
      </c>
      <c r="H617" s="75" t="inlineStr">
        <is>
          <t>ស្ថានភាព</t>
        </is>
      </c>
      <c r="I617" s="75" t="n"/>
      <c r="J617" s="75" t="n"/>
      <c r="K617" s="75" t="inlineStr">
        <is>
          <t>"listDepartmentUser.status": "ស្ថានភាព",</t>
        </is>
      </c>
      <c r="L617" s="75" t="n"/>
      <c r="M617" s="75" t="n"/>
      <c r="N617" s="75" t="n"/>
      <c r="O617" s="75" t="n"/>
      <c r="P617" s="75" t="n"/>
      <c r="Q617" s="75" t="n"/>
      <c r="R617" s="75" t="n"/>
      <c r="S617" s="75" t="n"/>
      <c r="T617" s="75" t="n"/>
      <c r="U617" s="75" t="n"/>
      <c r="V617" s="75" t="n"/>
      <c r="W617" s="75" t="n"/>
      <c r="X617" s="75" t="n"/>
      <c r="Y617" s="75" t="n"/>
      <c r="Z617" s="45" t="n"/>
    </row>
    <row r="618">
      <c r="A618" s="40" t="inlineStr">
        <is>
          <t>listDepartmentUser.postOffice</t>
        </is>
      </c>
      <c r="B618" s="46" t="inlineStr">
        <is>
          <t>Bưu cục</t>
        </is>
      </c>
      <c r="C618" s="46" t="inlineStr">
        <is>
          <t>Post office</t>
        </is>
      </c>
      <c r="D618" s="43" t="inlineStr">
        <is>
          <t>ការិយាល័យប្រៃសណីយ៍</t>
        </is>
      </c>
      <c r="E618" s="75" t="n"/>
      <c r="F618" s="75" t="n"/>
      <c r="G618" s="75" t="inlineStr">
        <is>
          <t>ការិយាល័យប្រៃសណីយ៍</t>
        </is>
      </c>
      <c r="H618" s="75" t="inlineStr">
        <is>
          <t>ការិយាល័យប្រៃសណីយ៍</t>
        </is>
      </c>
      <c r="I618" s="75" t="n"/>
      <c r="J618" s="75" t="n"/>
      <c r="K618" s="75" t="inlineStr">
        <is>
          <t>"listDepartmentUser.postOffice": "ការិយាល័យប្រៃសណីយ៍",</t>
        </is>
      </c>
      <c r="L618" s="75" t="n"/>
      <c r="M618" s="75" t="n"/>
      <c r="N618" s="75" t="n"/>
      <c r="O618" s="75" t="n"/>
      <c r="P618" s="75" t="n"/>
      <c r="Q618" s="75" t="n"/>
      <c r="R618" s="75" t="n"/>
      <c r="S618" s="75" t="n"/>
      <c r="T618" s="75" t="n"/>
      <c r="U618" s="75" t="n"/>
      <c r="V618" s="75" t="n"/>
      <c r="W618" s="75" t="n"/>
      <c r="X618" s="75" t="n"/>
      <c r="Y618" s="75" t="n"/>
      <c r="Z618" s="45" t="n"/>
    </row>
    <row r="619">
      <c r="A619" s="40" t="inlineStr">
        <is>
          <t>listDepartmentUser.startAt</t>
        </is>
      </c>
      <c r="B619" s="46" t="inlineStr">
        <is>
          <t>Thời gian bắt đầu</t>
        </is>
      </c>
      <c r="C619" s="46" t="inlineStr">
        <is>
          <t>Effective time</t>
        </is>
      </c>
      <c r="D619" s="43" t="inlineStr">
        <is>
          <t>ពេលវេលាចាប់ផ្តើម</t>
        </is>
      </c>
      <c r="E619" s="75" t="n"/>
      <c r="F619" s="75" t="n"/>
      <c r="G619" s="75" t="inlineStr">
        <is>
          <t>ពេលវេលាចាប់ផ្តើម</t>
        </is>
      </c>
      <c r="H619" s="75" t="inlineStr">
        <is>
          <t>ពេលវេលាចាប់ផ្តើម</t>
        </is>
      </c>
      <c r="I619" s="75" t="n"/>
      <c r="J619" s="75" t="n"/>
      <c r="K619" s="75" t="inlineStr">
        <is>
          <t>"listDepartmentUser.startAt": "ពេលវេលាចាប់ផ្តើម",</t>
        </is>
      </c>
      <c r="L619" s="75" t="n"/>
      <c r="M619" s="75" t="n"/>
      <c r="N619" s="75" t="n"/>
      <c r="O619" s="75" t="n"/>
      <c r="P619" s="75" t="n"/>
      <c r="Q619" s="75" t="n"/>
      <c r="R619" s="75" t="n"/>
      <c r="S619" s="75" t="n"/>
      <c r="T619" s="75" t="n"/>
      <c r="U619" s="75" t="n"/>
      <c r="V619" s="75" t="n"/>
      <c r="W619" s="75" t="n"/>
      <c r="X619" s="75" t="n"/>
      <c r="Y619" s="75" t="n"/>
      <c r="Z619" s="45" t="n"/>
    </row>
    <row r="620">
      <c r="A620" s="40" t="inlineStr">
        <is>
          <t>modifyListDepartment.title</t>
        </is>
      </c>
      <c r="B620" s="46" t="inlineStr">
        <is>
          <t>Thông tin đơn vị</t>
        </is>
      </c>
      <c r="C620" s="46" t="inlineStr">
        <is>
          <t>Unit information</t>
        </is>
      </c>
      <c r="D620" s="43" t="inlineStr">
        <is>
          <t>ព័ត៌មានអង្គភាព</t>
        </is>
      </c>
      <c r="E620" s="75" t="n"/>
      <c r="F620" s="75" t="n"/>
      <c r="G620" s="75" t="inlineStr">
        <is>
          <t>ព័ត៌មានអង្គភាព</t>
        </is>
      </c>
      <c r="H620" s="75" t="inlineStr">
        <is>
          <t>ព័ត៌មានអង្គភាព</t>
        </is>
      </c>
      <c r="I620" s="75" t="n"/>
      <c r="J620" s="75" t="n"/>
      <c r="K620" s="75" t="inlineStr">
        <is>
          <t>"modifyListDepartment.title": "ព័ត៌មានអង្គភាព",</t>
        </is>
      </c>
      <c r="L620" s="75" t="n"/>
      <c r="M620" s="75" t="n"/>
      <c r="N620" s="75" t="n"/>
      <c r="O620" s="75" t="n"/>
      <c r="P620" s="75" t="n"/>
      <c r="Q620" s="75" t="n"/>
      <c r="R620" s="75" t="n"/>
      <c r="S620" s="75" t="n"/>
      <c r="T620" s="75" t="n"/>
      <c r="U620" s="75" t="n"/>
      <c r="V620" s="75" t="n"/>
      <c r="W620" s="75" t="n"/>
      <c r="X620" s="75" t="n"/>
      <c r="Y620" s="75" t="n"/>
      <c r="Z620" s="45" t="n"/>
    </row>
    <row r="621">
      <c r="A621" s="40" t="inlineStr">
        <is>
          <t>modifyListDepartment.departmentCode</t>
        </is>
      </c>
      <c r="B621" s="46" t="inlineStr">
        <is>
          <t>Bưu cục</t>
        </is>
      </c>
      <c r="C621" s="46" t="inlineStr">
        <is>
          <t>Post office</t>
        </is>
      </c>
      <c r="D621" s="43" t="inlineStr">
        <is>
          <t>ការិយាល័យប្រៃសណីយ៍</t>
        </is>
      </c>
      <c r="E621" s="75" t="n"/>
      <c r="F621" s="75" t="n"/>
      <c r="G621" s="75" t="inlineStr">
        <is>
          <t>ការិយាល័យប្រៃសណីយ៍</t>
        </is>
      </c>
      <c r="H621" s="75" t="inlineStr">
        <is>
          <t>ការិយាល័យប្រៃសណីយ៍</t>
        </is>
      </c>
      <c r="I621" s="75" t="n"/>
      <c r="J621" s="75" t="n"/>
      <c r="K621" s="75" t="inlineStr">
        <is>
          <t>"modifyListDepartment.departmentCode": "ការិយាល័យប្រៃសណីយ៍",</t>
        </is>
      </c>
      <c r="L621" s="75" t="n"/>
      <c r="M621" s="75" t="n"/>
      <c r="N621" s="75" t="n"/>
      <c r="O621" s="75" t="n"/>
      <c r="P621" s="75" t="n"/>
      <c r="Q621" s="75" t="n"/>
      <c r="R621" s="75" t="n"/>
      <c r="S621" s="75" t="n"/>
      <c r="T621" s="75" t="n"/>
      <c r="U621" s="75" t="n"/>
      <c r="V621" s="75" t="n"/>
      <c r="W621" s="75" t="n"/>
      <c r="X621" s="75" t="n"/>
      <c r="Y621" s="75" t="n"/>
      <c r="Z621" s="45" t="n"/>
    </row>
    <row r="622">
      <c r="A622" s="40" t="inlineStr">
        <is>
          <t>modifyListDepartment.roleCode</t>
        </is>
      </c>
      <c r="B622" s="46" t="inlineStr">
        <is>
          <t>Chức danh</t>
        </is>
      </c>
      <c r="C622" s="46" t="inlineStr">
        <is>
          <t>Role</t>
        </is>
      </c>
      <c r="D622" s="43" t="inlineStr">
        <is>
          <t>មុខតំណែង</t>
        </is>
      </c>
      <c r="E622" s="75" t="n"/>
      <c r="F622" s="75" t="n"/>
      <c r="G622" s="75" t="inlineStr">
        <is>
          <t>មុខតំណែង</t>
        </is>
      </c>
      <c r="H622" s="75" t="inlineStr">
        <is>
          <t>មុខតំណែង</t>
        </is>
      </c>
      <c r="I622" s="75" t="n"/>
      <c r="J622" s="75" t="n"/>
      <c r="K622" s="75" t="inlineStr">
        <is>
          <t>"modifyListDepartment.roleCode": "មុខតំណែង",</t>
        </is>
      </c>
      <c r="L622" s="75" t="n"/>
      <c r="M622" s="75" t="n"/>
      <c r="N622" s="75" t="n"/>
      <c r="O622" s="75" t="n"/>
      <c r="P622" s="75" t="n"/>
      <c r="Q622" s="75" t="n"/>
      <c r="R622" s="75" t="n"/>
      <c r="S622" s="75" t="n"/>
      <c r="T622" s="75" t="n"/>
      <c r="U622" s="75" t="n"/>
      <c r="V622" s="75" t="n"/>
      <c r="W622" s="75" t="n"/>
      <c r="X622" s="75" t="n"/>
      <c r="Y622" s="75" t="n"/>
      <c r="Z622" s="45" t="n"/>
    </row>
    <row r="623">
      <c r="A623" s="40" t="inlineStr">
        <is>
          <t>modifyListDepartment.changeStatus</t>
        </is>
      </c>
      <c r="B623" s="46" t="inlineStr">
        <is>
          <t>Bạn có chắc chắn muốn thay đổi trạng thái ở bưu cục \n "{{name}}" thành "{{status}}" không?</t>
        </is>
      </c>
      <c r="C623" s="46" t="inlineStr">
        <is>
          <t>Do you want to switch user status to {{status}} for {{name}}</t>
        </is>
      </c>
      <c r="D623" s="43" t="inlineStr">
        <is>
          <t>តើអ្នកពិតជាចង់ផ្លាស់ប្តូរស្ថានភាពនៃផ្លូវប្រៃសណីយ៍មែនទេ?</t>
        </is>
      </c>
      <c r="E623" s="75" t="n"/>
      <c r="F623" s="75" t="n"/>
      <c r="G623" s="75" t="inlineStr">
        <is>
          <t>តើអ្នកពិតជាចង់ផ្លាស់ប្តូរស្ថានភាពនៃផ្លូវប្រៃសណីយ៍មែនទេ?</t>
        </is>
      </c>
      <c r="H623" s="75" t="inlineStr">
        <is>
          <t>តើអ្នកពិតជាចង់ផ្លាស់ប្តូរស្ថានភាពនៃផ្លូវប្រៃសណីយ៍មែនទេ?</t>
        </is>
      </c>
      <c r="I623" s="75" t="n"/>
      <c r="J623" s="75" t="n"/>
      <c r="K623" s="75" t="inlineStr">
        <is>
          <t>"modifyListDepartment.changeStatus": "តើអ្នកពិតជាចង់ផ្លាស់ប្តូរស្ថានភាពនៃផ្លូវប្រៃសណីយ៍មែនទេ?",</t>
        </is>
      </c>
      <c r="L623" s="75" t="n"/>
      <c r="M623" s="75" t="n"/>
      <c r="N623" s="75" t="n"/>
      <c r="O623" s="75" t="n"/>
      <c r="P623" s="75" t="n"/>
      <c r="Q623" s="75" t="n"/>
      <c r="R623" s="75" t="n"/>
      <c r="S623" s="75" t="n"/>
      <c r="T623" s="75" t="n"/>
      <c r="U623" s="75" t="n"/>
      <c r="V623" s="75" t="n"/>
      <c r="W623" s="75" t="n"/>
      <c r="X623" s="75" t="n"/>
      <c r="Y623" s="75" t="n"/>
      <c r="Z623" s="45" t="n"/>
    </row>
    <row r="624">
      <c r="A624" s="40" t="inlineStr">
        <is>
          <t>historyDepartmentUser.postOffice</t>
        </is>
      </c>
      <c r="B624" s="46" t="inlineStr">
        <is>
          <t>Bưu cục</t>
        </is>
      </c>
      <c r="C624" s="46" t="inlineStr">
        <is>
          <t>Post office</t>
        </is>
      </c>
      <c r="D624" s="43" t="inlineStr">
        <is>
          <t>ការិយាល័យប្រៃសណីយ៍</t>
        </is>
      </c>
      <c r="E624" s="75" t="n"/>
      <c r="F624" s="75" t="n"/>
      <c r="G624" s="75" t="inlineStr">
        <is>
          <t>ការិយាល័យប្រៃសណីយ៍</t>
        </is>
      </c>
      <c r="H624" s="75" t="inlineStr">
        <is>
          <t>ការិយាល័យប្រៃសណីយ៍</t>
        </is>
      </c>
      <c r="I624" s="75" t="n"/>
      <c r="J624" s="75" t="n"/>
      <c r="K624" s="75" t="inlineStr">
        <is>
          <t>"historyDepartmentUser.postOffice": "ការិយាល័យប្រៃសណីយ៍",</t>
        </is>
      </c>
      <c r="L624" s="75" t="n"/>
      <c r="M624" s="75" t="n"/>
      <c r="N624" s="75" t="n"/>
      <c r="O624" s="75" t="n"/>
      <c r="P624" s="75" t="n"/>
      <c r="Q624" s="75" t="n"/>
      <c r="R624" s="75" t="n"/>
      <c r="S624" s="75" t="n"/>
      <c r="T624" s="75" t="n"/>
      <c r="U624" s="75" t="n"/>
      <c r="V624" s="75" t="n"/>
      <c r="W624" s="75" t="n"/>
      <c r="X624" s="75" t="n"/>
      <c r="Y624" s="75" t="n"/>
      <c r="Z624" s="45" t="n"/>
    </row>
    <row r="625">
      <c r="A625" s="40" t="inlineStr">
        <is>
          <t>historyDepartmentUser.role</t>
        </is>
      </c>
      <c r="B625" s="46" t="inlineStr">
        <is>
          <t>Chức danh</t>
        </is>
      </c>
      <c r="C625" s="46" t="inlineStr">
        <is>
          <t>Role</t>
        </is>
      </c>
      <c r="D625" s="43" t="inlineStr">
        <is>
          <t>មុខតំណែង</t>
        </is>
      </c>
      <c r="E625" s="75" t="n"/>
      <c r="F625" s="75" t="n"/>
      <c r="G625" s="75" t="inlineStr">
        <is>
          <t>មុខតំណែង</t>
        </is>
      </c>
      <c r="H625" s="75" t="inlineStr">
        <is>
          <t>មុខតំណែង</t>
        </is>
      </c>
      <c r="I625" s="75" t="n"/>
      <c r="J625" s="75" t="n"/>
      <c r="K625" s="75" t="inlineStr">
        <is>
          <t>"historyDepartmentUser.role": "មុខតំណែង",</t>
        </is>
      </c>
      <c r="L625" s="75" t="n"/>
      <c r="M625" s="75" t="n"/>
      <c r="N625" s="75" t="n"/>
      <c r="O625" s="75" t="n"/>
      <c r="P625" s="75" t="n"/>
      <c r="Q625" s="75" t="n"/>
      <c r="R625" s="75" t="n"/>
      <c r="S625" s="75" t="n"/>
      <c r="T625" s="75" t="n"/>
      <c r="U625" s="75" t="n"/>
      <c r="V625" s="75" t="n"/>
      <c r="W625" s="75" t="n"/>
      <c r="X625" s="75" t="n"/>
      <c r="Y625" s="75" t="n"/>
      <c r="Z625" s="45" t="n"/>
    </row>
    <row r="626">
      <c r="A626" s="40" t="inlineStr">
        <is>
          <t>historyDepartmentUser.status</t>
        </is>
      </c>
      <c r="B626" s="46" t="inlineStr">
        <is>
          <t>Trạng thái</t>
        </is>
      </c>
      <c r="C626" s="46" t="inlineStr">
        <is>
          <t>Status</t>
        </is>
      </c>
      <c r="D626" s="43" t="inlineStr">
        <is>
          <t>ស្ថានភាព</t>
        </is>
      </c>
      <c r="E626" s="75" t="n"/>
      <c r="F626" s="75" t="n"/>
      <c r="G626" s="75" t="inlineStr">
        <is>
          <t>ស្ថានភាព</t>
        </is>
      </c>
      <c r="H626" s="75" t="inlineStr">
        <is>
          <t>ស្ថានភាព</t>
        </is>
      </c>
      <c r="I626" s="75" t="n"/>
      <c r="J626" s="75" t="n"/>
      <c r="K626" s="75" t="inlineStr">
        <is>
          <t>"historyDepartmentUser.status": "ស្ថានភាព",</t>
        </is>
      </c>
      <c r="L626" s="75" t="n"/>
      <c r="M626" s="75" t="n"/>
      <c r="N626" s="75" t="n"/>
      <c r="O626" s="75" t="n"/>
      <c r="P626" s="75" t="n"/>
      <c r="Q626" s="75" t="n"/>
      <c r="R626" s="75" t="n"/>
      <c r="S626" s="75" t="n"/>
      <c r="T626" s="75" t="n"/>
      <c r="U626" s="75" t="n"/>
      <c r="V626" s="75" t="n"/>
      <c r="W626" s="75" t="n"/>
      <c r="X626" s="75" t="n"/>
      <c r="Y626" s="75" t="n"/>
      <c r="Z626" s="45" t="n"/>
    </row>
    <row r="627">
      <c r="A627" s="40" t="inlineStr">
        <is>
          <t>historyDepartmentUser.startAt</t>
        </is>
      </c>
      <c r="B627" s="46" t="inlineStr">
        <is>
          <t>Thời gian bắt đầu</t>
        </is>
      </c>
      <c r="C627" s="46" t="inlineStr">
        <is>
          <t>Effective time</t>
        </is>
      </c>
      <c r="D627" s="43" t="inlineStr">
        <is>
          <t>ពេលវេលាចាប់ផ្តើម</t>
        </is>
      </c>
      <c r="E627" s="75" t="n"/>
      <c r="F627" s="75" t="n"/>
      <c r="G627" s="75" t="inlineStr">
        <is>
          <t>ពេលវេលាចាប់ផ្តើម</t>
        </is>
      </c>
      <c r="H627" s="75" t="inlineStr">
        <is>
          <t>ពេលវេលាចាប់ផ្តើម</t>
        </is>
      </c>
      <c r="I627" s="75" t="n"/>
      <c r="J627" s="75" t="n"/>
      <c r="K627" s="75" t="inlineStr">
        <is>
          <t>"historyDepartmentUser.startAt": "ពេលវេលាចាប់ផ្តើម",</t>
        </is>
      </c>
      <c r="L627" s="75" t="n"/>
      <c r="M627" s="75" t="n"/>
      <c r="N627" s="75" t="n"/>
      <c r="O627" s="75" t="n"/>
      <c r="P627" s="75" t="n"/>
      <c r="Q627" s="75" t="n"/>
      <c r="R627" s="75" t="n"/>
      <c r="S627" s="75" t="n"/>
      <c r="T627" s="75" t="n"/>
      <c r="U627" s="75" t="n"/>
      <c r="V627" s="75" t="n"/>
      <c r="W627" s="75" t="n"/>
      <c r="X627" s="75" t="n"/>
      <c r="Y627" s="75" t="n"/>
      <c r="Z627" s="45" t="n"/>
    </row>
    <row r="628">
      <c r="A628" s="40" t="inlineStr">
        <is>
          <t>historyDepartmentUser.actionAt</t>
        </is>
      </c>
      <c r="B628" s="46" t="inlineStr">
        <is>
          <t>Thời gian kết thúc</t>
        </is>
      </c>
      <c r="C628" s="46" t="inlineStr">
        <is>
          <t>Expiration date</t>
        </is>
      </c>
      <c r="D628" s="43" t="inlineStr">
        <is>
          <t>ពេលវេលាបញ្ចប់</t>
        </is>
      </c>
      <c r="E628" s="75" t="n"/>
      <c r="F628" s="75" t="n"/>
      <c r="G628" s="75" t="inlineStr">
        <is>
          <t>ពេលវេលាបញ្ចប់</t>
        </is>
      </c>
      <c r="H628" s="75" t="inlineStr">
        <is>
          <t>ពេលវេលាបញ្ចប់</t>
        </is>
      </c>
      <c r="I628" s="75" t="n"/>
      <c r="J628" s="75" t="n"/>
      <c r="K628" s="75" t="inlineStr">
        <is>
          <t>"historyDepartmentUser.actionAt": "ពេលវេលាបញ្ចប់",</t>
        </is>
      </c>
      <c r="L628" s="75" t="n"/>
      <c r="M628" s="75" t="n"/>
      <c r="N628" s="75" t="n"/>
      <c r="O628" s="75" t="n"/>
      <c r="P628" s="75" t="n"/>
      <c r="Q628" s="75" t="n"/>
      <c r="R628" s="75" t="n"/>
      <c r="S628" s="75" t="n"/>
      <c r="T628" s="75" t="n"/>
      <c r="U628" s="75" t="n"/>
      <c r="V628" s="75" t="n"/>
      <c r="W628" s="75" t="n"/>
      <c r="X628" s="75" t="n"/>
      <c r="Y628" s="75" t="n"/>
      <c r="Z628" s="45" t="n"/>
    </row>
    <row r="629">
      <c r="A629" s="40" t="inlineStr">
        <is>
          <t>branchManager.listBranch</t>
        </is>
      </c>
      <c r="B629" s="46" t="inlineStr">
        <is>
          <t>Quản lý chi nhánh</t>
        </is>
      </c>
      <c r="C629" s="46" t="inlineStr">
        <is>
          <t>Branch management</t>
        </is>
      </c>
      <c r="D629" s="43" t="inlineStr">
        <is>
          <t>គ្រប់គ្រងសាខា</t>
        </is>
      </c>
      <c r="E629" s="75" t="n"/>
      <c r="F629" s="75" t="n"/>
      <c r="G629" s="75" t="inlineStr">
        <is>
          <t>គ្រប់គ្រងសាខា</t>
        </is>
      </c>
      <c r="H629" s="75" t="inlineStr">
        <is>
          <t>គ្រប់គ្រងសាខា</t>
        </is>
      </c>
      <c r="I629" s="75" t="n"/>
      <c r="J629" s="75" t="n"/>
      <c r="K629" s="75" t="inlineStr">
        <is>
          <t>"branchManager.listBranch": "គ្រប់គ្រងសាខា",</t>
        </is>
      </c>
      <c r="L629" s="75" t="n"/>
      <c r="M629" s="75" t="n"/>
      <c r="N629" s="75" t="n"/>
      <c r="O629" s="75" t="n"/>
      <c r="P629" s="75" t="n"/>
      <c r="Q629" s="75" t="n"/>
      <c r="R629" s="75" t="n"/>
      <c r="S629" s="75" t="n"/>
      <c r="T629" s="75" t="n"/>
      <c r="U629" s="75" t="n"/>
      <c r="V629" s="75" t="n"/>
      <c r="W629" s="75" t="n"/>
      <c r="X629" s="75" t="n"/>
      <c r="Y629" s="75" t="n"/>
      <c r="Z629" s="45" t="n"/>
    </row>
    <row r="630">
      <c r="A630" s="40" t="inlineStr">
        <is>
          <t>branchManager.createBranch</t>
        </is>
      </c>
      <c r="B630" s="46" t="inlineStr">
        <is>
          <t>Thêm mới chi nhánh</t>
        </is>
      </c>
      <c r="C630" s="46" t="inlineStr">
        <is>
          <t>Create branch</t>
        </is>
      </c>
      <c r="D630" s="43" t="inlineStr">
        <is>
          <t>បន្ថែមសាខាថ្មី</t>
        </is>
      </c>
      <c r="E630" s="75" t="n"/>
      <c r="F630" s="75" t="n"/>
      <c r="G630" s="75" t="inlineStr">
        <is>
          <t>បន្ថែមសាខាថ្មី</t>
        </is>
      </c>
      <c r="H630" s="75" t="inlineStr">
        <is>
          <t>បន្ថែមសាខាថ្មី</t>
        </is>
      </c>
      <c r="I630" s="75" t="n"/>
      <c r="J630" s="75" t="n"/>
      <c r="K630" s="75" t="inlineStr">
        <is>
          <t>"branchManager.createBranch": "បន្ថែមសាខាថ្មី",</t>
        </is>
      </c>
      <c r="L630" s="75" t="n"/>
      <c r="M630" s="75" t="n"/>
      <c r="N630" s="75" t="n"/>
      <c r="O630" s="75" t="n"/>
      <c r="P630" s="75" t="n"/>
      <c r="Q630" s="75" t="n"/>
      <c r="R630" s="75" t="n"/>
      <c r="S630" s="75" t="n"/>
      <c r="T630" s="75" t="n"/>
      <c r="U630" s="75" t="n"/>
      <c r="V630" s="75" t="n"/>
      <c r="W630" s="75" t="n"/>
      <c r="X630" s="75" t="n"/>
      <c r="Y630" s="75" t="n"/>
      <c r="Z630" s="45" t="n"/>
    </row>
    <row r="631">
      <c r="A631" s="40" t="inlineStr">
        <is>
          <t>branchManager.detailBranch</t>
        </is>
      </c>
      <c r="B631" s="46" t="inlineStr">
        <is>
          <t>Thông tin chi nhánh</t>
        </is>
      </c>
      <c r="C631" s="46" t="inlineStr">
        <is>
          <t>Branch information</t>
        </is>
      </c>
      <c r="D631" s="43" t="inlineStr">
        <is>
          <t>ព័ត៌មានសាខា</t>
        </is>
      </c>
      <c r="E631" s="75" t="n"/>
      <c r="F631" s="75" t="n"/>
      <c r="G631" s="75" t="inlineStr">
        <is>
          <t>ព័ត៌មានសាខា</t>
        </is>
      </c>
      <c r="H631" s="75" t="inlineStr">
        <is>
          <t>ព័ត៌មានសាខា</t>
        </is>
      </c>
      <c r="I631" s="75" t="n"/>
      <c r="J631" s="75" t="n"/>
      <c r="K631" s="75" t="inlineStr">
        <is>
          <t>"branchManager.detailBranch": "ព័ត៌មានសាខា",</t>
        </is>
      </c>
      <c r="L631" s="75" t="n"/>
      <c r="M631" s="75" t="n"/>
      <c r="N631" s="75" t="n"/>
      <c r="O631" s="75" t="n"/>
      <c r="P631" s="75" t="n"/>
      <c r="Q631" s="75" t="n"/>
      <c r="R631" s="75" t="n"/>
      <c r="S631" s="75" t="n"/>
      <c r="T631" s="75" t="n"/>
      <c r="U631" s="75" t="n"/>
      <c r="V631" s="75" t="n"/>
      <c r="W631" s="75" t="n"/>
      <c r="X631" s="75" t="n"/>
      <c r="Y631" s="75" t="n"/>
      <c r="Z631" s="45" t="n"/>
    </row>
    <row r="632">
      <c r="A632" s="40" t="inlineStr">
        <is>
          <t>branchManager.searchPlaceholder</t>
        </is>
      </c>
      <c r="B632" s="46" t="inlineStr">
        <is>
          <t>Nhập mã hoặc tên chi nhánh để tìm kiếm</t>
        </is>
      </c>
      <c r="C632" s="46" t="inlineStr">
        <is>
          <t>Enter branch name or ID to search</t>
        </is>
      </c>
      <c r="D632" s="43" t="inlineStr">
        <is>
          <t>បញ្ចូ្ចលលេខកូដឬឈ្មោះសាខាដើម្បីស្វែងរក</t>
        </is>
      </c>
      <c r="E632" s="75" t="n"/>
      <c r="F632" s="75" t="n"/>
      <c r="G632" s="75" t="inlineStr">
        <is>
          <t>បញ្ចូ្ចលលេខកូដឬឈ្មោះសាខាដើម្បីស្វែងរក</t>
        </is>
      </c>
      <c r="H632" s="75" t="inlineStr">
        <is>
          <t>បញ្ចូ្ចលលេខកូដឬឈ្មោះសាខាដើម្បីស្វែងរក</t>
        </is>
      </c>
      <c r="I632" s="75" t="n"/>
      <c r="J632" s="75" t="n"/>
      <c r="K632" s="75" t="inlineStr">
        <is>
          <t>"branchManager.searchPlaceholder": "បញ្ចូ្ចលលេខកូដឬឈ្មោះសាខាដើម្បីស្វែងរក",</t>
        </is>
      </c>
      <c r="L632" s="75" t="n"/>
      <c r="M632" s="75" t="n"/>
      <c r="N632" s="75" t="n"/>
      <c r="O632" s="75" t="n"/>
      <c r="P632" s="75" t="n"/>
      <c r="Q632" s="75" t="n"/>
      <c r="R632" s="75" t="n"/>
      <c r="S632" s="75" t="n"/>
      <c r="T632" s="75" t="n"/>
      <c r="U632" s="75" t="n"/>
      <c r="V632" s="75" t="n"/>
      <c r="W632" s="75" t="n"/>
      <c r="X632" s="75" t="n"/>
      <c r="Y632" s="75" t="n"/>
      <c r="Z632" s="45" t="n"/>
    </row>
    <row r="633">
      <c r="A633" s="40" t="inlineStr">
        <is>
          <t>branchManager.branchCode</t>
        </is>
      </c>
      <c r="B633" s="46" t="inlineStr">
        <is>
          <t>Mã chi nhánh</t>
        </is>
      </c>
      <c r="C633" s="46" t="inlineStr">
        <is>
          <t>Branch code</t>
        </is>
      </c>
      <c r="D633" s="75" t="n"/>
      <c r="E633" s="75" t="n"/>
      <c r="F633" s="75" t="n"/>
      <c r="G633" s="75" t="inlineStr">
        <is>
          <t>លេខកូដសាខា</t>
        </is>
      </c>
      <c r="H633" s="75" t="inlineStr">
        <is>
          <t>លេខកូដសាខា</t>
        </is>
      </c>
      <c r="I633" s="75" t="n"/>
      <c r="J633" s="75" t="n"/>
      <c r="K633" s="75" t="inlineStr">
        <is>
          <t>"branchManager.branchCode": "លេខកូដសាខា",</t>
        </is>
      </c>
      <c r="L633" s="75" t="n"/>
      <c r="M633" s="75" t="n"/>
      <c r="N633" s="75" t="n"/>
      <c r="O633" s="75" t="n"/>
      <c r="P633" s="75" t="n"/>
      <c r="Q633" s="75" t="n"/>
      <c r="R633" s="75" t="n"/>
      <c r="S633" s="75" t="n"/>
      <c r="T633" s="75" t="n"/>
      <c r="U633" s="75" t="n"/>
      <c r="V633" s="75" t="n"/>
      <c r="W633" s="75" t="n"/>
      <c r="X633" s="75" t="n"/>
      <c r="Y633" s="75" t="n"/>
      <c r="Z633" s="45" t="n"/>
    </row>
    <row r="634">
      <c r="A634" s="40" t="inlineStr">
        <is>
          <t>branchManager.branchName</t>
        </is>
      </c>
      <c r="B634" s="46" t="inlineStr">
        <is>
          <t>Tên chi nhánh</t>
        </is>
      </c>
      <c r="C634" s="46" t="inlineStr">
        <is>
          <t>Branch name</t>
        </is>
      </c>
      <c r="D634" s="43" t="inlineStr">
        <is>
          <t>ឈ្មោះសាខា</t>
        </is>
      </c>
      <c r="E634" s="75" t="n"/>
      <c r="F634" s="75" t="n"/>
      <c r="G634" s="75" t="inlineStr">
        <is>
          <t>ឈ្មោះសាខា</t>
        </is>
      </c>
      <c r="H634" s="75" t="inlineStr">
        <is>
          <t>ឈ្មោះសាខា</t>
        </is>
      </c>
      <c r="I634" s="75" t="n"/>
      <c r="J634" s="75" t="n"/>
      <c r="K634" s="75" t="inlineStr">
        <is>
          <t>"branchManager.branchName": "ឈ្មោះសាខា",</t>
        </is>
      </c>
      <c r="L634" s="75" t="n"/>
      <c r="M634" s="75" t="n"/>
      <c r="N634" s="75" t="n"/>
      <c r="O634" s="75" t="n"/>
      <c r="P634" s="75" t="n"/>
      <c r="Q634" s="75" t="n"/>
      <c r="R634" s="75" t="n"/>
      <c r="S634" s="75" t="n"/>
      <c r="T634" s="75" t="n"/>
      <c r="U634" s="75" t="n"/>
      <c r="V634" s="75" t="n"/>
      <c r="W634" s="75" t="n"/>
      <c r="X634" s="75" t="n"/>
      <c r="Y634" s="75" t="n"/>
      <c r="Z634" s="45" t="n"/>
    </row>
    <row r="635">
      <c r="A635" s="40" t="inlineStr">
        <is>
          <t>branchManager.area</t>
        </is>
      </c>
      <c r="B635" s="46" t="inlineStr">
        <is>
          <t>Khu vực</t>
        </is>
      </c>
      <c r="C635" s="46" t="inlineStr">
        <is>
          <t>Area</t>
        </is>
      </c>
      <c r="D635" s="43" t="inlineStr">
        <is>
          <t>តំបន់</t>
        </is>
      </c>
      <c r="E635" s="75" t="n"/>
      <c r="F635" s="75" t="n"/>
      <c r="G635" s="75" t="inlineStr">
        <is>
          <t>តំបន់</t>
        </is>
      </c>
      <c r="H635" s="75" t="inlineStr">
        <is>
          <t>តំបន់</t>
        </is>
      </c>
      <c r="I635" s="75" t="n"/>
      <c r="J635" s="75" t="n"/>
      <c r="K635" s="75" t="inlineStr">
        <is>
          <t>"branchManager.area": "តំបន់",</t>
        </is>
      </c>
      <c r="L635" s="75" t="n"/>
      <c r="M635" s="75" t="n"/>
      <c r="N635" s="75" t="n"/>
      <c r="O635" s="75" t="n"/>
      <c r="P635" s="75" t="n"/>
      <c r="Q635" s="75" t="n"/>
      <c r="R635" s="75" t="n"/>
      <c r="S635" s="75" t="n"/>
      <c r="T635" s="75" t="n"/>
      <c r="U635" s="75" t="n"/>
      <c r="V635" s="75" t="n"/>
      <c r="W635" s="75" t="n"/>
      <c r="X635" s="75" t="n"/>
      <c r="Y635" s="75" t="n"/>
      <c r="Z635" s="45" t="n"/>
    </row>
    <row r="636">
      <c r="A636" s="40" t="inlineStr">
        <is>
          <t>branchManager.placeholderBranchCode</t>
        </is>
      </c>
      <c r="B636" s="46" t="inlineStr">
        <is>
          <t>Nhập mã chi nhánh</t>
        </is>
      </c>
      <c r="C636" s="46" t="inlineStr">
        <is>
          <t>Enter branch code</t>
        </is>
      </c>
      <c r="D636" s="43" t="inlineStr">
        <is>
          <t>បញ្ចូលលេខកូដសាខា</t>
        </is>
      </c>
      <c r="E636" s="75" t="n"/>
      <c r="F636" s="75" t="n"/>
      <c r="G636" s="75" t="inlineStr">
        <is>
          <t>បញ្ចូលលេខកូដសាខា</t>
        </is>
      </c>
      <c r="H636" s="75" t="inlineStr">
        <is>
          <t>បញ្ចូលលេខកូដសាខា</t>
        </is>
      </c>
      <c r="I636" s="75" t="n"/>
      <c r="J636" s="75" t="n"/>
      <c r="K636" s="75" t="inlineStr">
        <is>
          <t>"branchManager.placeholderBranchCode": "បញ្ចូលលេខកូដសាខា",</t>
        </is>
      </c>
      <c r="L636" s="75" t="n"/>
      <c r="M636" s="75" t="n"/>
      <c r="N636" s="75" t="n"/>
      <c r="O636" s="75" t="n"/>
      <c r="P636" s="75" t="n"/>
      <c r="Q636" s="75" t="n"/>
      <c r="R636" s="75" t="n"/>
      <c r="S636" s="75" t="n"/>
      <c r="T636" s="75" t="n"/>
      <c r="U636" s="75" t="n"/>
      <c r="V636" s="75" t="n"/>
      <c r="W636" s="75" t="n"/>
      <c r="X636" s="75" t="n"/>
      <c r="Y636" s="75" t="n"/>
      <c r="Z636" s="45" t="n"/>
    </row>
    <row r="637">
      <c r="A637" s="40" t="inlineStr">
        <is>
          <t>branchManager.placeholderBranchName</t>
        </is>
      </c>
      <c r="B637" s="46" t="inlineStr">
        <is>
          <t>Nhập tên chi nhánh</t>
        </is>
      </c>
      <c r="C637" s="46" t="inlineStr">
        <is>
          <t>Enter branch name</t>
        </is>
      </c>
      <c r="D637" s="43" t="inlineStr">
        <is>
          <t>បញ្ចូលឈ្មោះសាខា</t>
        </is>
      </c>
      <c r="E637" s="75" t="n"/>
      <c r="F637" s="75" t="n"/>
      <c r="G637" s="75" t="inlineStr">
        <is>
          <t>បញ្ចូលឈ្មោះសាខា</t>
        </is>
      </c>
      <c r="H637" s="75" t="inlineStr">
        <is>
          <t>បញ្ចូលឈ្មោះសាខា</t>
        </is>
      </c>
      <c r="I637" s="75" t="n"/>
      <c r="J637" s="75" t="n"/>
      <c r="K637" s="75" t="inlineStr">
        <is>
          <t>"branchManager.placeholderBranchName": "បញ្ចូលឈ្មោះសាខា",</t>
        </is>
      </c>
      <c r="L637" s="75" t="n"/>
      <c r="M637" s="75" t="n"/>
      <c r="N637" s="75" t="n"/>
      <c r="O637" s="75" t="n"/>
      <c r="P637" s="75" t="n"/>
      <c r="Q637" s="75" t="n"/>
      <c r="R637" s="75" t="n"/>
      <c r="S637" s="75" t="n"/>
      <c r="T637" s="75" t="n"/>
      <c r="U637" s="75" t="n"/>
      <c r="V637" s="75" t="n"/>
      <c r="W637" s="75" t="n"/>
      <c r="X637" s="75" t="n"/>
      <c r="Y637" s="75" t="n"/>
      <c r="Z637" s="45" t="n"/>
    </row>
    <row r="638">
      <c r="A638" s="40" t="inlineStr">
        <is>
          <t>branchManager.placeholderArea</t>
        </is>
      </c>
      <c r="B638" s="46" t="inlineStr">
        <is>
          <t>Chọn khu vực</t>
        </is>
      </c>
      <c r="C638" s="46" t="inlineStr">
        <is>
          <t>Select area</t>
        </is>
      </c>
      <c r="D638" s="43" t="inlineStr">
        <is>
          <t>ជ្រើសរើសតំបន់</t>
        </is>
      </c>
      <c r="E638" s="75" t="n"/>
      <c r="F638" s="75" t="n"/>
      <c r="G638" s="75" t="inlineStr">
        <is>
          <t>ជ្រើសរើសតំបន់</t>
        </is>
      </c>
      <c r="H638" s="75" t="inlineStr">
        <is>
          <t>ជ្រើសរើសតំបន់</t>
        </is>
      </c>
      <c r="I638" s="75" t="n"/>
      <c r="J638" s="75" t="n"/>
      <c r="K638" s="75" t="inlineStr">
        <is>
          <t>"branchManager.placeholderArea": "ជ្រើសរើសតំបន់",</t>
        </is>
      </c>
      <c r="L638" s="75" t="n"/>
      <c r="M638" s="75" t="n"/>
      <c r="N638" s="75" t="n"/>
      <c r="O638" s="75" t="n"/>
      <c r="P638" s="75" t="n"/>
      <c r="Q638" s="75" t="n"/>
      <c r="R638" s="75" t="n"/>
      <c r="S638" s="75" t="n"/>
      <c r="T638" s="75" t="n"/>
      <c r="U638" s="75" t="n"/>
      <c r="V638" s="75" t="n"/>
      <c r="W638" s="75" t="n"/>
      <c r="X638" s="75" t="n"/>
      <c r="Y638" s="75" t="n"/>
      <c r="Z638" s="45" t="n"/>
    </row>
    <row r="639">
      <c r="A639" s="40" t="inlineStr">
        <is>
          <t>branchManager.updateAt</t>
        </is>
      </c>
      <c r="B639" s="46" t="inlineStr">
        <is>
          <t>Ngày cập nhật</t>
        </is>
      </c>
      <c r="C639" s="46" t="inlineStr">
        <is>
          <t>Updated date</t>
        </is>
      </c>
      <c r="D639" s="43" t="inlineStr">
        <is>
          <t>ថ្ងៃអាប់ដេត</t>
        </is>
      </c>
      <c r="E639" s="75" t="n"/>
      <c r="F639" s="75" t="n"/>
      <c r="G639" s="75" t="inlineStr">
        <is>
          <t>ថ្ងៃអាប់ដេត</t>
        </is>
      </c>
      <c r="H639" s="75" t="inlineStr">
        <is>
          <t>ថ្ងៃអាប់ដេត</t>
        </is>
      </c>
      <c r="I639" s="75" t="n"/>
      <c r="J639" s="75" t="n"/>
      <c r="K639" s="75" t="inlineStr">
        <is>
          <t>"branchManager.updateAt": "ថ្ងៃអាប់ដេត",</t>
        </is>
      </c>
      <c r="L639" s="75" t="n"/>
      <c r="M639" s="75" t="n"/>
      <c r="N639" s="75" t="n"/>
      <c r="O639" s="75" t="n"/>
      <c r="P639" s="75" t="n"/>
      <c r="Q639" s="75" t="n"/>
      <c r="R639" s="75" t="n"/>
      <c r="S639" s="75" t="n"/>
      <c r="T639" s="75" t="n"/>
      <c r="U639" s="75" t="n"/>
      <c r="V639" s="75" t="n"/>
      <c r="W639" s="75" t="n"/>
      <c r="X639" s="75" t="n"/>
      <c r="Y639" s="75" t="n"/>
      <c r="Z639" s="45" t="n"/>
    </row>
    <row r="640">
      <c r="A640" s="40" t="inlineStr">
        <is>
          <t>branchManager.updateBy</t>
        </is>
      </c>
      <c r="B640" s="46" t="inlineStr">
        <is>
          <t>Người cập nhật</t>
        </is>
      </c>
      <c r="C640" s="46" t="inlineStr">
        <is>
          <t>Updater</t>
        </is>
      </c>
      <c r="D640" s="43" t="inlineStr">
        <is>
          <t>អ្នកអាប់ដេត</t>
        </is>
      </c>
      <c r="E640" s="75" t="n"/>
      <c r="F640" s="75" t="n"/>
      <c r="G640" s="75" t="inlineStr">
        <is>
          <t>អ្នកអាប់ដេត</t>
        </is>
      </c>
      <c r="H640" s="75" t="inlineStr">
        <is>
          <t>អ្នកអាប់ដេត</t>
        </is>
      </c>
      <c r="I640" s="75" t="n"/>
      <c r="J640" s="75" t="n"/>
      <c r="K640" s="75" t="inlineStr">
        <is>
          <t>"branchManager.updateBy": "អ្នកអាប់ដេត",</t>
        </is>
      </c>
      <c r="L640" s="75" t="n"/>
      <c r="M640" s="75" t="n"/>
      <c r="N640" s="75" t="n"/>
      <c r="O640" s="75" t="n"/>
      <c r="P640" s="75" t="n"/>
      <c r="Q640" s="75" t="n"/>
      <c r="R640" s="75" t="n"/>
      <c r="S640" s="75" t="n"/>
      <c r="T640" s="75" t="n"/>
      <c r="U640" s="75" t="n"/>
      <c r="V640" s="75" t="n"/>
      <c r="W640" s="75" t="n"/>
      <c r="X640" s="75" t="n"/>
      <c r="Y640" s="75" t="n"/>
      <c r="Z640" s="45" t="n"/>
    </row>
    <row r="641">
      <c r="A641" s="40" t="inlineStr">
        <is>
          <t>modifyBranch.confirmTitle</t>
        </is>
      </c>
      <c r="B641" s="46" t="inlineStr">
        <is>
          <t>Thông báo</t>
        </is>
      </c>
      <c r="C641" s="46" t="inlineStr">
        <is>
          <t>Notification</t>
        </is>
      </c>
      <c r="D641" s="43" t="inlineStr">
        <is>
          <t>សេចក្តីជូនដំណឹង</t>
        </is>
      </c>
      <c r="E641" s="75" t="n"/>
      <c r="F641" s="75" t="n"/>
      <c r="G641" s="75" t="inlineStr">
        <is>
          <t>ការជូនដំណឹង</t>
        </is>
      </c>
      <c r="H641" s="75" t="inlineStr">
        <is>
          <t>ការជូនដំណឹង</t>
        </is>
      </c>
      <c r="I641" s="75" t="n"/>
      <c r="J641" s="75" t="n"/>
      <c r="K641" s="75" t="inlineStr">
        <is>
          <t>"modifyBranch.confirmTitle": "ការជូនដំណឹង",</t>
        </is>
      </c>
      <c r="L641" s="75" t="n"/>
      <c r="M641" s="75" t="n"/>
      <c r="N641" s="75" t="n"/>
      <c r="O641" s="75" t="n"/>
      <c r="P641" s="75" t="n"/>
      <c r="Q641" s="75" t="n"/>
      <c r="R641" s="75" t="n"/>
      <c r="S641" s="75" t="n"/>
      <c r="T641" s="75" t="n"/>
      <c r="U641" s="75" t="n"/>
      <c r="V641" s="75" t="n"/>
      <c r="W641" s="75" t="n"/>
      <c r="X641" s="75" t="n"/>
      <c r="Y641" s="75" t="n"/>
      <c r="Z641" s="45" t="n"/>
    </row>
    <row r="642">
      <c r="A642" s="40" t="inlineStr">
        <is>
          <t>modifyBranch.textConfirm</t>
        </is>
      </c>
      <c r="B642" s="46" t="inlineStr">
        <is>
          <t>Quý khách có chắc chắn muốn lưu thông tin chi nhánh này?</t>
        </is>
      </c>
      <c r="C642" s="46" t="inlineStr">
        <is>
          <t>Do you want to save the branch information?</t>
        </is>
      </c>
      <c r="D642" s="43" t="inlineStr">
        <is>
          <t>អតិថិជនពិតជាចង់រក្សាទុកព័ត៌មានសាខានេះមែនទេ?</t>
        </is>
      </c>
      <c r="E642" s="75" t="n"/>
      <c r="F642" s="75" t="n"/>
      <c r="G642" s="75" t="inlineStr">
        <is>
          <t>អតិថិជនពិតជាចង់រក្សាទុកព័ត៌មានសាខានេះមែនទេ?</t>
        </is>
      </c>
      <c r="H642" s="75" t="inlineStr">
        <is>
          <t>អតិថិជនពិតជាចង់រក្សាទុកព័ត៌មានសាខានេះមែនទេ?</t>
        </is>
      </c>
      <c r="I642" s="75" t="n"/>
      <c r="J642" s="75" t="n"/>
      <c r="K642" s="75" t="inlineStr">
        <is>
          <t>"modifyBranch.textConfirm": "អតិថិជនពិតជាចង់រក្សាទុកព័ត៌មានសាខានេះមែនទេ?",</t>
        </is>
      </c>
      <c r="L642" s="75" t="n"/>
      <c r="M642" s="75" t="n"/>
      <c r="N642" s="75" t="n"/>
      <c r="O642" s="75" t="n"/>
      <c r="P642" s="75" t="n"/>
      <c r="Q642" s="75" t="n"/>
      <c r="R642" s="75" t="n"/>
      <c r="S642" s="75" t="n"/>
      <c r="T642" s="75" t="n"/>
      <c r="U642" s="75" t="n"/>
      <c r="V642" s="75" t="n"/>
      <c r="W642" s="75" t="n"/>
      <c r="X642" s="75" t="n"/>
      <c r="Y642" s="75" t="n"/>
      <c r="Z642" s="45" t="n"/>
    </row>
    <row r="643">
      <c r="A643" s="40" t="inlineStr">
        <is>
          <t>modifyBranch.errorTitle</t>
        </is>
      </c>
      <c r="B643" s="46" t="inlineStr">
        <is>
          <t>Cảnh báo</t>
        </is>
      </c>
      <c r="C643" s="46" t="inlineStr">
        <is>
          <t>Alert</t>
        </is>
      </c>
      <c r="D643" s="43" t="inlineStr">
        <is>
          <t>ការព្រមាន</t>
        </is>
      </c>
      <c r="E643" s="75" t="n"/>
      <c r="F643" s="75" t="n"/>
      <c r="G643" s="75" t="inlineStr">
        <is>
          <t>ការព្រមាន</t>
        </is>
      </c>
      <c r="H643" s="75" t="inlineStr">
        <is>
          <t>ការព្រមាន</t>
        </is>
      </c>
      <c r="I643" s="75" t="n"/>
      <c r="J643" s="75" t="n"/>
      <c r="K643" s="75" t="inlineStr">
        <is>
          <t>"modifyBranch.errorTitle": "ការព្រមាន",</t>
        </is>
      </c>
      <c r="L643" s="75" t="n"/>
      <c r="M643" s="75" t="n"/>
      <c r="N643" s="75" t="n"/>
      <c r="O643" s="75" t="n"/>
      <c r="P643" s="75" t="n"/>
      <c r="Q643" s="75" t="n"/>
      <c r="R643" s="75" t="n"/>
      <c r="S643" s="75" t="n"/>
      <c r="T643" s="75" t="n"/>
      <c r="U643" s="75" t="n"/>
      <c r="V643" s="75" t="n"/>
      <c r="W643" s="75" t="n"/>
      <c r="X643" s="75" t="n"/>
      <c r="Y643" s="75" t="n"/>
      <c r="Z643" s="45" t="n"/>
    </row>
    <row r="644">
      <c r="A644" s="40" t="inlineStr">
        <is>
          <t>modifyBranch.postOffice</t>
        </is>
      </c>
      <c r="B644" s="46" t="inlineStr">
        <is>
          <t>Bưu cục</t>
        </is>
      </c>
      <c r="C644" s="46" t="inlineStr">
        <is>
          <t>Department</t>
        </is>
      </c>
      <c r="D644" s="43" t="inlineStr">
        <is>
          <t>ការិយាល័យប្រៃសណីយ៍</t>
        </is>
      </c>
      <c r="E644" s="75" t="n"/>
      <c r="F644" s="75" t="n"/>
      <c r="G644" s="75" t="inlineStr">
        <is>
          <t>ការិយាល័យប្រៃសណីយ៍</t>
        </is>
      </c>
      <c r="H644" s="75" t="inlineStr">
        <is>
          <t>ការិយាល័យប្រៃសណីយ៍</t>
        </is>
      </c>
      <c r="I644" s="75" t="n"/>
      <c r="J644" s="75" t="n"/>
      <c r="K644" s="75" t="inlineStr">
        <is>
          <t>"modifyBranch.postOffice": "ការិយាល័យប្រៃសណីយ៍",</t>
        </is>
      </c>
      <c r="L644" s="75" t="n"/>
      <c r="M644" s="75" t="n"/>
      <c r="N644" s="75" t="n"/>
      <c r="O644" s="75" t="n"/>
      <c r="P644" s="75" t="n"/>
      <c r="Q644" s="75" t="n"/>
      <c r="R644" s="75" t="n"/>
      <c r="S644" s="75" t="n"/>
      <c r="T644" s="75" t="n"/>
      <c r="U644" s="75" t="n"/>
      <c r="V644" s="75" t="n"/>
      <c r="W644" s="75" t="n"/>
      <c r="X644" s="75" t="n"/>
      <c r="Y644" s="75" t="n"/>
      <c r="Z644" s="45" t="n"/>
    </row>
    <row r="645">
      <c r="A645" s="40" t="inlineStr">
        <is>
          <t>modifyBranch.searchPostOffice</t>
        </is>
      </c>
      <c r="B645" s="46" t="inlineStr">
        <is>
          <t>Nhập mã hoặc tên bưu cục</t>
        </is>
      </c>
      <c r="C645" s="46" t="inlineStr">
        <is>
          <t>Enter post office ID</t>
        </is>
      </c>
      <c r="D645" s="43" t="inlineStr">
        <is>
          <t>បញ្ចូ្ចលលេខកូដឬឈ្មោះការិយាល័យប្រៃសណីយ៍</t>
        </is>
      </c>
      <c r="E645" s="75" t="n"/>
      <c r="F645" s="75" t="n"/>
      <c r="G645" s="75" t="inlineStr">
        <is>
          <t>បញ្ចូ្ចលលេខកូដឬឈ្មោះការិយាល័យប្រៃសណីយ៍</t>
        </is>
      </c>
      <c r="H645" s="75" t="inlineStr">
        <is>
          <t>បញ្ចូ្ចលលេខកូដឬឈ្មោះការិយាល័យប្រៃសណីយ៍</t>
        </is>
      </c>
      <c r="I645" s="75" t="n"/>
      <c r="J645" s="75" t="n"/>
      <c r="K645" s="75" t="inlineStr">
        <is>
          <t>"modifyBranch.searchPostOffice": "បញ្ចូ្ចលលេខកូដឬឈ្មោះការិយាល័យប្រៃសណីយ៍",</t>
        </is>
      </c>
      <c r="L645" s="75" t="n"/>
      <c r="M645" s="75" t="n"/>
      <c r="N645" s="75" t="n"/>
      <c r="O645" s="75" t="n"/>
      <c r="P645" s="75" t="n"/>
      <c r="Q645" s="75" t="n"/>
      <c r="R645" s="75" t="n"/>
      <c r="S645" s="75" t="n"/>
      <c r="T645" s="75" t="n"/>
      <c r="U645" s="75" t="n"/>
      <c r="V645" s="75" t="n"/>
      <c r="W645" s="75" t="n"/>
      <c r="X645" s="75" t="n"/>
      <c r="Y645" s="75" t="n"/>
      <c r="Z645" s="45" t="n"/>
    </row>
    <row r="646">
      <c r="A646" s="40" t="inlineStr">
        <is>
          <t>modifyBranch.startDate</t>
        </is>
      </c>
      <c r="B646" s="46" t="inlineStr">
        <is>
          <t>Từ ngày</t>
        </is>
      </c>
      <c r="C646" s="46" t="inlineStr">
        <is>
          <t>Effective date</t>
        </is>
      </c>
      <c r="D646" s="43" t="inlineStr">
        <is>
          <t>ចាប់ពីថ្ងៃ</t>
        </is>
      </c>
      <c r="E646" s="75" t="n"/>
      <c r="F646" s="75" t="n"/>
      <c r="G646" s="75" t="inlineStr">
        <is>
          <t>ចាប់ពីថ្ងៃ</t>
        </is>
      </c>
      <c r="H646" s="75" t="inlineStr">
        <is>
          <t>ចាប់ពីថ្ងៃ</t>
        </is>
      </c>
      <c r="I646" s="75" t="n"/>
      <c r="J646" s="75" t="n"/>
      <c r="K646" s="75" t="inlineStr">
        <is>
          <t>"modifyBranch.startDate": "ចាប់ពីថ្ងៃ",</t>
        </is>
      </c>
      <c r="L646" s="75" t="n"/>
      <c r="M646" s="75" t="n"/>
      <c r="N646" s="75" t="n"/>
      <c r="O646" s="75" t="n"/>
      <c r="P646" s="75" t="n"/>
      <c r="Q646" s="75" t="n"/>
      <c r="R646" s="75" t="n"/>
      <c r="S646" s="75" t="n"/>
      <c r="T646" s="75" t="n"/>
      <c r="U646" s="75" t="n"/>
      <c r="V646" s="75" t="n"/>
      <c r="W646" s="75" t="n"/>
      <c r="X646" s="75" t="n"/>
      <c r="Y646" s="75" t="n"/>
      <c r="Z646" s="45" t="n"/>
    </row>
    <row r="647">
      <c r="A647" s="40" t="inlineStr">
        <is>
          <t>modifyBranch.endDate</t>
        </is>
      </c>
      <c r="B647" s="46" t="inlineStr">
        <is>
          <t>Đến ngày</t>
        </is>
      </c>
      <c r="C647" s="46" t="inlineStr">
        <is>
          <t>Expiration date</t>
        </is>
      </c>
      <c r="D647" s="43" t="inlineStr">
        <is>
          <t>មកដល់ថ្ងៃ</t>
        </is>
      </c>
      <c r="E647" s="75" t="n"/>
      <c r="F647" s="75" t="n"/>
      <c r="G647" s="75" t="inlineStr">
        <is>
          <t>មកដល់ថ្ងៃ</t>
        </is>
      </c>
      <c r="H647" s="75" t="inlineStr">
        <is>
          <t>មកដល់ថ្ងៃ</t>
        </is>
      </c>
      <c r="I647" s="75" t="n"/>
      <c r="J647" s="75" t="n"/>
      <c r="K647" s="75" t="inlineStr">
        <is>
          <t>"modifyBranch.endDate": "មកដល់ថ្ងៃ",</t>
        </is>
      </c>
      <c r="L647" s="75" t="n"/>
      <c r="M647" s="75" t="n"/>
      <c r="N647" s="75" t="n"/>
      <c r="O647" s="75" t="n"/>
      <c r="P647" s="75" t="n"/>
      <c r="Q647" s="75" t="n"/>
      <c r="R647" s="75" t="n"/>
      <c r="S647" s="75" t="n"/>
      <c r="T647" s="75" t="n"/>
      <c r="U647" s="75" t="n"/>
      <c r="V647" s="75" t="n"/>
      <c r="W647" s="75" t="n"/>
      <c r="X647" s="75" t="n"/>
      <c r="Y647" s="75" t="n"/>
      <c r="Z647" s="45" t="n"/>
    </row>
    <row r="648">
      <c r="A648" s="40" t="inlineStr">
        <is>
          <t>modifyBranch.createSuccess</t>
        </is>
      </c>
      <c r="B648" s="46" t="inlineStr">
        <is>
          <t>Thêm mới thông tin thành công</t>
        </is>
      </c>
      <c r="C648" s="46" t="inlineStr">
        <is>
          <t>Create information succesfully</t>
        </is>
      </c>
      <c r="D648" s="43" t="inlineStr">
        <is>
          <t>បន្ថែមព័ត៌មានថ្មីបានជោគជ័យ</t>
        </is>
      </c>
      <c r="E648" s="75" t="n"/>
      <c r="F648" s="75" t="n"/>
      <c r="G648" s="75" t="inlineStr">
        <is>
          <t>បន្ថែមព័ត៌មានថ្មីបានជោគជ័យ</t>
        </is>
      </c>
      <c r="H648" s="75" t="inlineStr">
        <is>
          <t>បន្ថែមព័ត៌មានថ្មីបានជោគជ័យ</t>
        </is>
      </c>
      <c r="I648" s="75" t="n"/>
      <c r="J648" s="75" t="n"/>
      <c r="K648" s="75" t="inlineStr">
        <is>
          <t>"modifyBranch.createSuccess": "បន្ថែមព័ត៌មានថ្មីបានជោគជ័យ",</t>
        </is>
      </c>
      <c r="L648" s="75" t="n"/>
      <c r="M648" s="75" t="n"/>
      <c r="N648" s="75" t="n"/>
      <c r="O648" s="75" t="n"/>
      <c r="P648" s="75" t="n"/>
      <c r="Q648" s="75" t="n"/>
      <c r="R648" s="75" t="n"/>
      <c r="S648" s="75" t="n"/>
      <c r="T648" s="75" t="n"/>
      <c r="U648" s="75" t="n"/>
      <c r="V648" s="75" t="n"/>
      <c r="W648" s="75" t="n"/>
      <c r="X648" s="75" t="n"/>
      <c r="Y648" s="75" t="n"/>
      <c r="Z648" s="45" t="n"/>
    </row>
    <row r="649">
      <c r="A649" s="40" t="inlineStr">
        <is>
          <t>modifyBranch.updateSuccess</t>
        </is>
      </c>
      <c r="B649" s="46" t="inlineStr">
        <is>
          <t>Cập nhật thông tin thành công</t>
        </is>
      </c>
      <c r="C649" s="46" t="inlineStr">
        <is>
          <t>Update information succesfully</t>
        </is>
      </c>
      <c r="D649" s="43" t="inlineStr">
        <is>
          <t>អាប់ដេតព័ត៌មានបានជោគជ័យ</t>
        </is>
      </c>
      <c r="E649" s="75" t="n"/>
      <c r="F649" s="75" t="n"/>
      <c r="G649" s="75" t="inlineStr">
        <is>
          <t>អាប់ដេតព័ត៌មានបានជោគជ័យ</t>
        </is>
      </c>
      <c r="H649" s="75" t="inlineStr">
        <is>
          <t>អាប់ដេតព័ត៌មានបានជោគជ័យ</t>
        </is>
      </c>
      <c r="I649" s="75" t="n"/>
      <c r="J649" s="75" t="n"/>
      <c r="K649" s="75" t="inlineStr">
        <is>
          <t>"modifyBranch.updateSuccess": "អាប់ដេតព័ត៌មានបានជោគជ័យ",</t>
        </is>
      </c>
      <c r="L649" s="75" t="n"/>
      <c r="M649" s="75" t="n"/>
      <c r="N649" s="75" t="n"/>
      <c r="O649" s="75" t="n"/>
      <c r="P649" s="75" t="n"/>
      <c r="Q649" s="75" t="n"/>
      <c r="R649" s="75" t="n"/>
      <c r="S649" s="75" t="n"/>
      <c r="T649" s="75" t="n"/>
      <c r="U649" s="75" t="n"/>
      <c r="V649" s="75" t="n"/>
      <c r="W649" s="75" t="n"/>
      <c r="X649" s="75" t="n"/>
      <c r="Y649" s="75" t="n"/>
      <c r="Z649" s="45" t="n"/>
    </row>
    <row r="650">
      <c r="A650" s="40" t="inlineStr">
        <is>
          <t>modifyBranch.branchCode</t>
        </is>
      </c>
      <c r="B650" s="46" t="inlineStr">
        <is>
          <t>Mã chi nhánh</t>
        </is>
      </c>
      <c r="C650" s="46" t="inlineStr">
        <is>
          <t>Branch code</t>
        </is>
      </c>
      <c r="D650" s="43" t="n"/>
      <c r="E650" s="75" t="n"/>
      <c r="F650" s="75" t="n"/>
      <c r="G650" s="75" t="inlineStr">
        <is>
          <t>លេខកូដសាខា</t>
        </is>
      </c>
      <c r="H650" s="75" t="inlineStr">
        <is>
          <t>លេខកូដសាខា</t>
        </is>
      </c>
      <c r="I650" s="75" t="n"/>
      <c r="J650" s="75" t="n"/>
      <c r="K650" s="75" t="inlineStr">
        <is>
          <t>"modifyBranch.branchCode": "លេខកូដសាខា",</t>
        </is>
      </c>
      <c r="L650" s="75" t="n"/>
      <c r="M650" s="75" t="n"/>
      <c r="N650" s="75" t="n"/>
      <c r="O650" s="75" t="n"/>
      <c r="P650" s="75" t="n"/>
      <c r="Q650" s="75" t="n"/>
      <c r="R650" s="75" t="n"/>
      <c r="S650" s="75" t="n"/>
      <c r="T650" s="75" t="n"/>
      <c r="U650" s="75" t="n"/>
      <c r="V650" s="75" t="n"/>
      <c r="W650" s="75" t="n"/>
      <c r="X650" s="75" t="n"/>
      <c r="Y650" s="75" t="n"/>
      <c r="Z650" s="45" t="n"/>
    </row>
    <row r="651">
      <c r="A651" s="40" t="inlineStr">
        <is>
          <t>modifyBranch.alreadyExist</t>
        </is>
      </c>
      <c r="B651" s="46" t="inlineStr">
        <is>
          <t>đã tồn tại.</t>
        </is>
      </c>
      <c r="C651" s="46" t="inlineStr">
        <is>
          <t>exist.</t>
        </is>
      </c>
      <c r="D651" s="43" t="n"/>
      <c r="E651" s="75" t="n"/>
      <c r="F651" s="75" t="n"/>
      <c r="G651" s="75" t="inlineStr">
        <is>
          <t>មានរួចហើយ។</t>
        </is>
      </c>
      <c r="H651" s="75" t="inlineStr">
        <is>
          <t>មានរួចហើយ។</t>
        </is>
      </c>
      <c r="I651" s="75" t="n"/>
      <c r="J651" s="75" t="n"/>
      <c r="K651" s="75" t="inlineStr">
        <is>
          <t>"modifyBranch.alreadyExist": "មានរួចហើយ។",</t>
        </is>
      </c>
      <c r="L651" s="75" t="n"/>
      <c r="M651" s="75" t="n"/>
      <c r="N651" s="75" t="n"/>
      <c r="O651" s="75" t="n"/>
      <c r="P651" s="75" t="n"/>
      <c r="Q651" s="75" t="n"/>
      <c r="R651" s="75" t="n"/>
      <c r="S651" s="75" t="n"/>
      <c r="T651" s="75" t="n"/>
      <c r="U651" s="75" t="n"/>
      <c r="V651" s="75" t="n"/>
      <c r="W651" s="75" t="n"/>
      <c r="X651" s="75" t="n"/>
      <c r="Y651" s="75" t="n"/>
      <c r="Z651" s="45" t="n"/>
    </row>
    <row r="652">
      <c r="A652" s="40" t="inlineStr">
        <is>
          <t>modifyBranch.duplicateDepartment</t>
        </is>
      </c>
      <c r="B652" s="46" t="inlineStr">
        <is>
          <t>trùng với mã bưu cục đã tồn tại.</t>
        </is>
      </c>
      <c r="C652" s="46" t="inlineStr">
        <is>
          <t>matches an existing department code.</t>
        </is>
      </c>
      <c r="D652" s="43" t="inlineStr">
        <is>
          <t>ជាន់ជាមួយលេខការិល័យប្រៃសណីយ៍មានស្រាប់</t>
        </is>
      </c>
      <c r="E652" s="75" t="n"/>
      <c r="F652" s="75" t="n"/>
      <c r="G652" s="75" t="inlineStr">
        <is>
          <t>ជាន់ជាមួយលេខការិល័យប្រៃសណីយ៍មានស្រាប់</t>
        </is>
      </c>
      <c r="H652" s="75" t="inlineStr">
        <is>
          <t>ជាន់ជាមួយលេខការិល័យប្រៃសណីយ៍មានស្រាប់</t>
        </is>
      </c>
      <c r="I652" s="75" t="n"/>
      <c r="J652" s="75" t="n"/>
      <c r="K652" s="75" t="inlineStr">
        <is>
          <t>"modifyBranch.duplicateDepartment": "ជាន់ជាមួយលេខការិល័យប្រៃសណីយ៍មានស្រាប់",</t>
        </is>
      </c>
      <c r="L652" s="75" t="n"/>
      <c r="M652" s="75" t="n"/>
      <c r="N652" s="75" t="n"/>
      <c r="O652" s="75" t="n"/>
      <c r="P652" s="75" t="n"/>
      <c r="Q652" s="75" t="n"/>
      <c r="R652" s="75" t="n"/>
      <c r="S652" s="75" t="n"/>
      <c r="T652" s="75" t="n"/>
      <c r="U652" s="75" t="n"/>
      <c r="V652" s="75" t="n"/>
      <c r="W652" s="75" t="n"/>
      <c r="X652" s="75" t="n"/>
      <c r="Y652" s="75" t="n"/>
      <c r="Z652" s="45" t="n"/>
    </row>
    <row r="653">
      <c r="A653" s="40" t="inlineStr">
        <is>
          <t>modifyBranch.notification</t>
        </is>
      </c>
      <c r="B653" s="46" t="inlineStr">
        <is>
          <t>Vui lòng khai báo mã chi nhánh khác!</t>
        </is>
      </c>
      <c r="C653" s="46" t="inlineStr">
        <is>
          <t>Please declare another branch code!</t>
        </is>
      </c>
      <c r="D653" s="43" t="inlineStr">
        <is>
          <t>សូមធ្វើការប្រកាសពីលេខកូដសាខាផ្សេងទៀត!</t>
        </is>
      </c>
      <c r="E653" s="75" t="n"/>
      <c r="F653" s="75" t="n"/>
      <c r="G653" s="75" t="inlineStr">
        <is>
          <t>សូមធ្វើការប្រកាសពីលេខកូដសាខាផ្សេងទៀត!</t>
        </is>
      </c>
      <c r="H653" s="75" t="inlineStr">
        <is>
          <t>សូមធ្វើការប្រកាសពីលេខកូដសាខាផ្សេងទៀត!</t>
        </is>
      </c>
      <c r="I653" s="75" t="n"/>
      <c r="J653" s="75" t="n"/>
      <c r="K653" s="75" t="inlineStr">
        <is>
          <t>"modifyBranch.notification": "សូមធ្វើការប្រកាសពីលេខកូដសាខាផ្សេងទៀត!",</t>
        </is>
      </c>
      <c r="L653" s="75" t="n"/>
      <c r="M653" s="75" t="n"/>
      <c r="N653" s="75" t="n"/>
      <c r="O653" s="75" t="n"/>
      <c r="P653" s="75" t="n"/>
      <c r="Q653" s="75" t="n"/>
      <c r="R653" s="75" t="n"/>
      <c r="S653" s="75" t="n"/>
      <c r="T653" s="75" t="n"/>
      <c r="U653" s="75" t="n"/>
      <c r="V653" s="75" t="n"/>
      <c r="W653" s="75" t="n"/>
      <c r="X653" s="75" t="n"/>
      <c r="Y653" s="75" t="n"/>
      <c r="Z653" s="45" t="n"/>
    </row>
    <row r="654">
      <c r="A654" s="40" t="inlineStr">
        <is>
          <t>modifyBranch.listDepartment</t>
        </is>
      </c>
      <c r="B654" s="46" t="inlineStr">
        <is>
          <t>Danh sách bưu cục</t>
        </is>
      </c>
      <c r="C654" s="46" t="inlineStr">
        <is>
          <t>Danh sách bưu cục</t>
        </is>
      </c>
      <c r="D654" s="43" t="inlineStr">
        <is>
          <t>បញ្ជីការិយាល័យប្រៃសណីយ៍</t>
        </is>
      </c>
      <c r="E654" s="75" t="n"/>
      <c r="F654" s="75" t="n"/>
      <c r="G654" s="75" t="inlineStr">
        <is>
          <t>បញ្ជីការិយាល័យប្រៃសណីយ៍</t>
        </is>
      </c>
      <c r="H654" s="75" t="inlineStr">
        <is>
          <t>បញ្ជីការិយាល័យប្រៃសណីយ៍</t>
        </is>
      </c>
      <c r="I654" s="75" t="n"/>
      <c r="J654" s="75" t="n"/>
      <c r="K654" s="75" t="inlineStr">
        <is>
          <t>"modifyBranch.listDepartment": "បញ្ជីការិយាល័យប្រៃសណីយ៍",</t>
        </is>
      </c>
      <c r="L654" s="75" t="n"/>
      <c r="M654" s="75" t="n"/>
      <c r="N654" s="75" t="n"/>
      <c r="O654" s="75" t="n"/>
      <c r="P654" s="75" t="n"/>
      <c r="Q654" s="75" t="n"/>
      <c r="R654" s="75" t="n"/>
      <c r="S654" s="75" t="n"/>
      <c r="T654" s="75" t="n"/>
      <c r="U654" s="75" t="n"/>
      <c r="V654" s="75" t="n"/>
      <c r="W654" s="75" t="n"/>
      <c r="X654" s="75" t="n"/>
      <c r="Y654" s="75" t="n"/>
      <c r="Z654" s="45" t="n"/>
    </row>
    <row r="655">
      <c r="A655" s="40" t="inlineStr">
        <is>
          <t>modifyBranch.departmentCode</t>
        </is>
      </c>
      <c r="B655" s="46" t="inlineStr">
        <is>
          <t>Mã bưu cục</t>
        </is>
      </c>
      <c r="C655" s="46" t="inlineStr">
        <is>
          <t>Post office code</t>
        </is>
      </c>
      <c r="D655" s="75" t="inlineStr">
        <is>
          <t>លេខកូដការិយាល័យប្រៃសណីយ៍</t>
        </is>
      </c>
      <c r="E655" s="75" t="n"/>
      <c r="F655" s="75" t="n"/>
      <c r="G655" s="75" t="inlineStr">
        <is>
          <t>លេខកូដការិយាល័យប្រៃសណីយ៍</t>
        </is>
      </c>
      <c r="H655" s="75" t="inlineStr">
        <is>
          <t>លេខកូដការិយាល័យប្រៃសណីយ៍</t>
        </is>
      </c>
      <c r="I655" s="75" t="n"/>
      <c r="J655" s="75" t="n"/>
      <c r="K655" s="75" t="inlineStr">
        <is>
          <t>"modifyBranch.departmentCode": "លេខកូដការិយាល័យប្រៃសណីយ៍",</t>
        </is>
      </c>
      <c r="L655" s="75" t="n"/>
      <c r="M655" s="75" t="n"/>
      <c r="N655" s="75" t="n"/>
      <c r="O655" s="75" t="n"/>
      <c r="P655" s="75" t="n"/>
      <c r="Q655" s="75" t="n"/>
      <c r="R655" s="75" t="n"/>
      <c r="S655" s="75" t="n"/>
      <c r="T655" s="75" t="n"/>
      <c r="U655" s="75" t="n"/>
      <c r="V655" s="75" t="n"/>
      <c r="W655" s="75" t="n"/>
      <c r="X655" s="75" t="n"/>
      <c r="Y655" s="75" t="n"/>
      <c r="Z655" s="45" t="n"/>
    </row>
    <row r="656">
      <c r="A656" s="40" t="inlineStr">
        <is>
          <t>modifyBranch.departmentName</t>
        </is>
      </c>
      <c r="B656" s="46" t="inlineStr">
        <is>
          <t>Tên bưu cục</t>
        </is>
      </c>
      <c r="C656" s="46" t="inlineStr">
        <is>
          <t>Post office name</t>
        </is>
      </c>
      <c r="D656" s="75" t="inlineStr">
        <is>
          <t>ឈ្មោះការិយាល័យប្រៃសណីយ៍</t>
        </is>
      </c>
      <c r="E656" s="75" t="n"/>
      <c r="F656" s="75" t="n"/>
      <c r="G656" s="75" t="inlineStr">
        <is>
          <t>ឈ្មោះការិយាល័យប្រៃសណីយ៍</t>
        </is>
      </c>
      <c r="H656" s="75" t="inlineStr">
        <is>
          <t>ឈ្មោះការិយាល័យប្រៃសណីយ៍</t>
        </is>
      </c>
      <c r="I656" s="75" t="n"/>
      <c r="J656" s="75" t="n"/>
      <c r="K656" s="75" t="inlineStr">
        <is>
          <t>"modifyBranch.departmentName": "ឈ្មោះការិយាល័យប្រៃសណីយ៍",</t>
        </is>
      </c>
      <c r="L656" s="75" t="n"/>
      <c r="M656" s="75" t="n"/>
      <c r="N656" s="75" t="n"/>
      <c r="O656" s="75" t="n"/>
      <c r="P656" s="75" t="n"/>
      <c r="Q656" s="75" t="n"/>
      <c r="R656" s="75" t="n"/>
      <c r="S656" s="75" t="n"/>
      <c r="T656" s="75" t="n"/>
      <c r="U656" s="75" t="n"/>
      <c r="V656" s="75" t="n"/>
      <c r="W656" s="75" t="n"/>
      <c r="X656" s="75" t="n"/>
      <c r="Y656" s="75" t="n"/>
      <c r="Z656" s="45" t="n"/>
    </row>
    <row r="657">
      <c r="A657" s="40" t="inlineStr">
        <is>
          <t>modifyBranch.updatedAt</t>
        </is>
      </c>
      <c r="B657" s="46" t="inlineStr">
        <is>
          <t>Ngày thêm</t>
        </is>
      </c>
      <c r="C657" s="46" t="inlineStr">
        <is>
          <t>Updated date</t>
        </is>
      </c>
      <c r="D657" s="43" t="inlineStr">
        <is>
          <t>ថ្ងៃ្ងបន្ថែម</t>
        </is>
      </c>
      <c r="E657" s="75" t="n"/>
      <c r="F657" s="75" t="n"/>
      <c r="G657" s="75" t="inlineStr">
        <is>
          <t>ថ្ងៃ្ងបន្ថែម</t>
        </is>
      </c>
      <c r="H657" s="75" t="inlineStr">
        <is>
          <t>ថ្ងៃ្ងបន្ថែម</t>
        </is>
      </c>
      <c r="I657" s="75" t="n"/>
      <c r="J657" s="75" t="n"/>
      <c r="K657" s="75" t="inlineStr">
        <is>
          <t>"modifyBranch.updatedAt": "ថ្ងៃ្ងបន្ថែម",</t>
        </is>
      </c>
      <c r="L657" s="75" t="n"/>
      <c r="M657" s="75" t="n"/>
      <c r="N657" s="75" t="n"/>
      <c r="O657" s="75" t="n"/>
      <c r="P657" s="75" t="n"/>
      <c r="Q657" s="75" t="n"/>
      <c r="R657" s="75" t="n"/>
      <c r="S657" s="75" t="n"/>
      <c r="T657" s="75" t="n"/>
      <c r="U657" s="75" t="n"/>
      <c r="V657" s="75" t="n"/>
      <c r="W657" s="75" t="n"/>
      <c r="X657" s="75" t="n"/>
      <c r="Y657" s="75" t="n"/>
      <c r="Z657" s="45" t="n"/>
    </row>
    <row r="658">
      <c r="A658" s="40" t="inlineStr">
        <is>
          <t>modifyBranch.updatedBy</t>
        </is>
      </c>
      <c r="B658" s="46" t="inlineStr">
        <is>
          <t>Người thêm</t>
        </is>
      </c>
      <c r="C658" s="46" t="inlineStr">
        <is>
          <t>Updater</t>
        </is>
      </c>
      <c r="D658" s="43" t="inlineStr">
        <is>
          <t>អ្នកបន្ថែម</t>
        </is>
      </c>
      <c r="E658" s="75" t="n"/>
      <c r="F658" s="75" t="n"/>
      <c r="G658" s="75" t="inlineStr">
        <is>
          <t>អ្នកបន្ថែម</t>
        </is>
      </c>
      <c r="H658" s="75" t="inlineStr">
        <is>
          <t>អ្នកបន្ថែម</t>
        </is>
      </c>
      <c r="I658" s="75" t="n"/>
      <c r="J658" s="75" t="n"/>
      <c r="K658" s="75" t="inlineStr">
        <is>
          <t>"modifyBranch.updatedBy": "អ្នកបន្ថែម",</t>
        </is>
      </c>
      <c r="L658" s="75" t="n"/>
      <c r="M658" s="75" t="n"/>
      <c r="N658" s="75" t="n"/>
      <c r="O658" s="75" t="n"/>
      <c r="P658" s="75" t="n"/>
      <c r="Q658" s="75" t="n"/>
      <c r="R658" s="75" t="n"/>
      <c r="S658" s="75" t="n"/>
      <c r="T658" s="75" t="n"/>
      <c r="U658" s="75" t="n"/>
      <c r="V658" s="75" t="n"/>
      <c r="W658" s="75" t="n"/>
      <c r="X658" s="75" t="n"/>
      <c r="Y658" s="75" t="n"/>
      <c r="Z658" s="45" t="n"/>
    </row>
    <row r="659">
      <c r="A659" s="40" t="inlineStr">
        <is>
          <t>modifyBranch.emptyDate</t>
        </is>
      </c>
      <c r="B659" s="46" t="inlineStr">
        <is>
          <t>Ngày tìm kiếm không được bỏ trống</t>
        </is>
      </c>
      <c r="C659" s="46" t="inlineStr">
        <is>
          <t>Search date is required</t>
        </is>
      </c>
      <c r="D659" s="43" t="inlineStr">
        <is>
          <t>ថ្ងៃស្វែ្វងរកមិនអាចទុកចន្លោះបានទេ</t>
        </is>
      </c>
      <c r="E659" s="75" t="n"/>
      <c r="F659" s="75" t="n"/>
      <c r="G659" s="75" t="inlineStr">
        <is>
          <t>ថ្ងៃស្វែ្វងរកមិនអាចទុកចន្លោះបានទេ</t>
        </is>
      </c>
      <c r="H659" s="75" t="inlineStr">
        <is>
          <t>ថ្ងៃស្វែ្វងរកមិនអាចទុកចន្លោះបានទេ</t>
        </is>
      </c>
      <c r="I659" s="75" t="n"/>
      <c r="J659" s="75" t="n"/>
      <c r="K659" s="75" t="inlineStr">
        <is>
          <t>"modifyBranch.emptyDate": "ថ្ងៃស្វែ្វងរកមិនអាចទុកចន្លោះបានទេ",</t>
        </is>
      </c>
      <c r="L659" s="75" t="n"/>
      <c r="M659" s="75" t="n"/>
      <c r="N659" s="75" t="n"/>
      <c r="O659" s="75" t="n"/>
      <c r="P659" s="75" t="n"/>
      <c r="Q659" s="75" t="n"/>
      <c r="R659" s="75" t="n"/>
      <c r="S659" s="75" t="n"/>
      <c r="T659" s="75" t="n"/>
      <c r="U659" s="75" t="n"/>
      <c r="V659" s="75" t="n"/>
      <c r="W659" s="75" t="n"/>
      <c r="X659" s="75" t="n"/>
      <c r="Y659" s="75" t="n"/>
      <c r="Z659" s="45" t="n"/>
    </row>
    <row r="660">
      <c r="A660" s="40" t="inlineStr">
        <is>
          <t>departmentManager.listdepartment</t>
        </is>
      </c>
      <c r="B660" s="46" t="inlineStr">
        <is>
          <t>Danh sách bưu cục</t>
        </is>
      </c>
      <c r="C660" s="46" t="inlineStr">
        <is>
          <t>Post office list</t>
        </is>
      </c>
      <c r="D660" s="43" t="inlineStr">
        <is>
          <t>បញ្ជីការិយាល័យប្រៃសណីយ៍</t>
        </is>
      </c>
      <c r="E660" s="75" t="n"/>
      <c r="F660" s="75" t="n"/>
      <c r="G660" s="75" t="inlineStr">
        <is>
          <t>បញ្ជីការិយាល័យប្រៃសណីយ៍</t>
        </is>
      </c>
      <c r="H660" s="75" t="inlineStr">
        <is>
          <t>បញ្ជីការិយាល័យប្រៃសណីយ៍</t>
        </is>
      </c>
      <c r="I660" s="75" t="n"/>
      <c r="J660" s="75" t="n"/>
      <c r="K660" s="75" t="inlineStr">
        <is>
          <t>"departmentManager.listdepartment": "បញ្ជីការិយាល័យប្រៃសណីយ៍",</t>
        </is>
      </c>
      <c r="L660" s="75" t="n"/>
      <c r="M660" s="75" t="n"/>
      <c r="N660" s="75" t="n"/>
      <c r="O660" s="75" t="n"/>
      <c r="P660" s="75" t="n"/>
      <c r="Q660" s="75" t="n"/>
      <c r="R660" s="75" t="n"/>
      <c r="S660" s="75" t="n"/>
      <c r="T660" s="75" t="n"/>
      <c r="U660" s="75" t="n"/>
      <c r="V660" s="75" t="n"/>
      <c r="W660" s="75" t="n"/>
      <c r="X660" s="75" t="n"/>
      <c r="Y660" s="75" t="n"/>
      <c r="Z660" s="45" t="n"/>
    </row>
    <row r="661">
      <c r="A661" s="40" t="inlineStr">
        <is>
          <t>departmentManager.createDepartment</t>
        </is>
      </c>
      <c r="B661" s="46" t="inlineStr">
        <is>
          <t>Thêm mới bưu cục</t>
        </is>
      </c>
      <c r="C661" s="46" t="inlineStr">
        <is>
          <t>Create post office</t>
        </is>
      </c>
      <c r="D661" s="43" t="inlineStr">
        <is>
          <t>បន្ថែមការិយាល័យប្រៃសណីយ៍ថ្មី</t>
        </is>
      </c>
      <c r="E661" s="75" t="n"/>
      <c r="F661" s="75" t="n"/>
      <c r="G661" s="75" t="inlineStr">
        <is>
          <t>បន្ថែមការិយាល័យប្រៃសណីយ៍ថ្មី</t>
        </is>
      </c>
      <c r="H661" s="75" t="inlineStr">
        <is>
          <t>បន្ថែមការិយាល័យប្រៃសណីយ៍ថ្មី</t>
        </is>
      </c>
      <c r="I661" s="75" t="n"/>
      <c r="J661" s="75" t="n"/>
      <c r="K661" s="75" t="inlineStr">
        <is>
          <t>"departmentManager.createDepartment": "បន្ថែមការិយាល័យប្រៃសណីយ៍ថ្មី",</t>
        </is>
      </c>
      <c r="L661" s="75" t="n"/>
      <c r="M661" s="75" t="n"/>
      <c r="N661" s="75" t="n"/>
      <c r="O661" s="75" t="n"/>
      <c r="P661" s="75" t="n"/>
      <c r="Q661" s="75" t="n"/>
      <c r="R661" s="75" t="n"/>
      <c r="S661" s="75" t="n"/>
      <c r="T661" s="75" t="n"/>
      <c r="U661" s="75" t="n"/>
      <c r="V661" s="75" t="n"/>
      <c r="W661" s="75" t="n"/>
      <c r="X661" s="75" t="n"/>
      <c r="Y661" s="75" t="n"/>
      <c r="Z661" s="45" t="n"/>
    </row>
    <row r="662">
      <c r="A662" s="40" t="inlineStr">
        <is>
          <t>departmentManager.detailDepartment</t>
        </is>
      </c>
      <c r="B662" s="46" t="inlineStr">
        <is>
          <t>Thông tin bưu cục</t>
        </is>
      </c>
      <c r="C662" s="46" t="inlineStr">
        <is>
          <t>Post office information</t>
        </is>
      </c>
      <c r="D662" s="43" t="inlineStr">
        <is>
          <t>ព័ត៌មានការិយាល័យប្រៃសណីយ៍</t>
        </is>
      </c>
      <c r="E662" s="75" t="n"/>
      <c r="F662" s="75" t="n"/>
      <c r="G662" s="75" t="inlineStr">
        <is>
          <t>ព័ត៌មានការិយាល័យប្រៃសណីយ៍</t>
        </is>
      </c>
      <c r="H662" s="75" t="inlineStr">
        <is>
          <t>ព័ត៌មានការិយាល័យប្រៃសណីយ៍</t>
        </is>
      </c>
      <c r="I662" s="75" t="n"/>
      <c r="J662" s="75" t="n"/>
      <c r="K662" s="75" t="inlineStr">
        <is>
          <t>"departmentManager.detailDepartment": "ព័ត៌មានការិយាល័យប្រៃសណីយ៍",</t>
        </is>
      </c>
      <c r="L662" s="75" t="n"/>
      <c r="M662" s="75" t="n"/>
      <c r="N662" s="75" t="n"/>
      <c r="O662" s="75" t="n"/>
      <c r="P662" s="75" t="n"/>
      <c r="Q662" s="75" t="n"/>
      <c r="R662" s="75" t="n"/>
      <c r="S662" s="75" t="n"/>
      <c r="T662" s="75" t="n"/>
      <c r="U662" s="75" t="n"/>
      <c r="V662" s="75" t="n"/>
      <c r="W662" s="75" t="n"/>
      <c r="X662" s="75" t="n"/>
      <c r="Y662" s="75" t="n"/>
      <c r="Z662" s="45" t="n"/>
    </row>
    <row r="663">
      <c r="A663" s="40" t="inlineStr">
        <is>
          <t>departmentManager.searchPlaceholder</t>
        </is>
      </c>
      <c r="B663" s="46" t="inlineStr">
        <is>
          <t>Nhập mã hoặc tên bưu cục để tìm kiếm</t>
        </is>
      </c>
      <c r="C663" s="46" t="inlineStr">
        <is>
          <t>Enter post office code or name to search</t>
        </is>
      </c>
      <c r="D663" s="43" t="inlineStr">
        <is>
          <t>បញ្ចូ្ចលលេខកូដឬឈ្មោះការិយាល័យប្រៃសណីយ៍ដើម្បីស្វែងរក</t>
        </is>
      </c>
      <c r="E663" s="75" t="n"/>
      <c r="F663" s="75" t="n"/>
      <c r="G663" s="75" t="inlineStr">
        <is>
          <t>បញ្ចូ្ចលលេខកូដឬឈ្មោះការិយាល័យប្រៃសណីយ៍ដើម្បីស្វែងរក</t>
        </is>
      </c>
      <c r="H663" s="75" t="inlineStr">
        <is>
          <t>បញ្ចូ្ចលលេខកូដឬឈ្មោះការិយាល័យប្រៃសណីយ៍ដើម្បីស្វែងរក</t>
        </is>
      </c>
      <c r="I663" s="75" t="n"/>
      <c r="J663" s="75" t="n"/>
      <c r="K663" s="75" t="inlineStr">
        <is>
          <t>"departmentManager.searchPlaceholder": "បញ្ចូ្ចលលេខកូដឬឈ្មោះការិយាល័យប្រៃសណីយ៍ដើម្បីស្វែងរក",</t>
        </is>
      </c>
      <c r="L663" s="75" t="n"/>
      <c r="M663" s="75" t="n"/>
      <c r="N663" s="75" t="n"/>
      <c r="O663" s="75" t="n"/>
      <c r="P663" s="75" t="n"/>
      <c r="Q663" s="75" t="n"/>
      <c r="R663" s="75" t="n"/>
      <c r="S663" s="75" t="n"/>
      <c r="T663" s="75" t="n"/>
      <c r="U663" s="75" t="n"/>
      <c r="V663" s="75" t="n"/>
      <c r="W663" s="75" t="n"/>
      <c r="X663" s="75" t="n"/>
      <c r="Y663" s="75" t="n"/>
      <c r="Z663" s="45" t="n"/>
    </row>
    <row r="664">
      <c r="A664" s="40" t="inlineStr">
        <is>
          <t>departmentManager.departmentCode</t>
        </is>
      </c>
      <c r="B664" s="46" t="inlineStr">
        <is>
          <t>Mã bưu cục</t>
        </is>
      </c>
      <c r="C664" s="46" t="inlineStr">
        <is>
          <t>Post code</t>
        </is>
      </c>
      <c r="D664" s="43" t="inlineStr">
        <is>
          <t>លេខកូដការិយាល័យប្រៃសណីយ៍</t>
        </is>
      </c>
      <c r="E664" s="75" t="n"/>
      <c r="F664" s="75" t="n"/>
      <c r="G664" s="75" t="inlineStr">
        <is>
          <t>លេខកូដការិយាល័យប្រៃសណីយ៍</t>
        </is>
      </c>
      <c r="H664" s="75" t="inlineStr">
        <is>
          <t>លេខកូដការិយាល័យប្រៃសណីយ៍</t>
        </is>
      </c>
      <c r="I664" s="75" t="n"/>
      <c r="J664" s="75" t="n"/>
      <c r="K664" s="75" t="inlineStr">
        <is>
          <t>"departmentManager.departmentCode": "លេខកូដការិយាល័យប្រៃសណីយ៍",</t>
        </is>
      </c>
      <c r="L664" s="75" t="n"/>
      <c r="M664" s="75" t="n"/>
      <c r="N664" s="75" t="n"/>
      <c r="O664" s="75" t="n"/>
      <c r="P664" s="75" t="n"/>
      <c r="Q664" s="75" t="n"/>
      <c r="R664" s="75" t="n"/>
      <c r="S664" s="75" t="n"/>
      <c r="T664" s="75" t="n"/>
      <c r="U664" s="75" t="n"/>
      <c r="V664" s="75" t="n"/>
      <c r="W664" s="75" t="n"/>
      <c r="X664" s="75" t="n"/>
      <c r="Y664" s="75" t="n"/>
      <c r="Z664" s="45" t="n"/>
    </row>
    <row r="665">
      <c r="A665" s="40" t="inlineStr">
        <is>
          <t>departmentManager.departmentName</t>
        </is>
      </c>
      <c r="B665" s="46" t="inlineStr">
        <is>
          <t>Tên bưu cục</t>
        </is>
      </c>
      <c r="C665" s="46" t="inlineStr">
        <is>
          <t>Post office name</t>
        </is>
      </c>
      <c r="D665" s="43" t="inlineStr">
        <is>
          <t>ឈ្មោះការិយាល័យប្រៃសណីយ៍</t>
        </is>
      </c>
      <c r="E665" s="75" t="n"/>
      <c r="F665" s="75" t="n"/>
      <c r="G665" s="75" t="inlineStr">
        <is>
          <t>ឈ្មោះការិយាល័យប្រៃសណីយ៍</t>
        </is>
      </c>
      <c r="H665" s="75" t="inlineStr">
        <is>
          <t>ឈ្មោះការិយាល័យប្រៃសណីយ៍</t>
        </is>
      </c>
      <c r="I665" s="75" t="n"/>
      <c r="J665" s="75" t="n"/>
      <c r="K665" s="75" t="inlineStr">
        <is>
          <t>"departmentManager.departmentName": "ឈ្មោះការិយាល័យប្រៃសណីយ៍",</t>
        </is>
      </c>
      <c r="L665" s="75" t="n"/>
      <c r="M665" s="75" t="n"/>
      <c r="N665" s="75" t="n"/>
      <c r="O665" s="75" t="n"/>
      <c r="P665" s="75" t="n"/>
      <c r="Q665" s="75" t="n"/>
      <c r="R665" s="75" t="n"/>
      <c r="S665" s="75" t="n"/>
      <c r="T665" s="75" t="n"/>
      <c r="U665" s="75" t="n"/>
      <c r="V665" s="75" t="n"/>
      <c r="W665" s="75" t="n"/>
      <c r="X665" s="75" t="n"/>
      <c r="Y665" s="75" t="n"/>
      <c r="Z665" s="45" t="n"/>
    </row>
    <row r="666">
      <c r="A666" s="40" t="inlineStr">
        <is>
          <t>departmentManager.branch</t>
        </is>
      </c>
      <c r="B666" s="46" t="inlineStr">
        <is>
          <t>Chi nhánh</t>
        </is>
      </c>
      <c r="C666" s="46" t="inlineStr">
        <is>
          <t>Branch</t>
        </is>
      </c>
      <c r="D666" s="43" t="inlineStr">
        <is>
          <t>សាខា</t>
        </is>
      </c>
      <c r="E666" s="75" t="n"/>
      <c r="F666" s="75" t="n"/>
      <c r="G666" s="75" t="inlineStr">
        <is>
          <t>សាខា</t>
        </is>
      </c>
      <c r="H666" s="75" t="inlineStr">
        <is>
          <t>សាខា</t>
        </is>
      </c>
      <c r="I666" s="75" t="n"/>
      <c r="J666" s="75" t="n"/>
      <c r="K666" s="75" t="inlineStr">
        <is>
          <t>"departmentManager.branch": "សាខា",</t>
        </is>
      </c>
      <c r="L666" s="75" t="n"/>
      <c r="M666" s="75" t="n"/>
      <c r="N666" s="75" t="n"/>
      <c r="O666" s="75" t="n"/>
      <c r="P666" s="75" t="n"/>
      <c r="Q666" s="75" t="n"/>
      <c r="R666" s="75" t="n"/>
      <c r="S666" s="75" t="n"/>
      <c r="T666" s="75" t="n"/>
      <c r="U666" s="75" t="n"/>
      <c r="V666" s="75" t="n"/>
      <c r="W666" s="75" t="n"/>
      <c r="X666" s="75" t="n"/>
      <c r="Y666" s="75" t="n"/>
      <c r="Z666" s="45" t="n"/>
    </row>
    <row r="667">
      <c r="A667" s="40" t="inlineStr">
        <is>
          <t>departmentManager.level</t>
        </is>
      </c>
      <c r="B667" s="46" t="inlineStr">
        <is>
          <t>Cấp bưu cục</t>
        </is>
      </c>
      <c r="C667" s="46" t="inlineStr">
        <is>
          <t>Post office level</t>
        </is>
      </c>
      <c r="D667" s="75" t="n"/>
      <c r="E667" s="75" t="n"/>
      <c r="F667" s="75" t="n"/>
      <c r="G667" s="75" t="inlineStr">
        <is>
          <t>Cấp ការិយាល័យប្រៃសណីយ៍</t>
        </is>
      </c>
      <c r="H667" s="75" t="inlineStr">
        <is>
          <t>Cấp ការិយាល័យប្រៃសណីយ៍</t>
        </is>
      </c>
      <c r="I667" s="75" t="n"/>
      <c r="J667" s="75" t="n"/>
      <c r="K667" s="75" t="inlineStr">
        <is>
          <t>"departmentManager.level": "Cấp ការិយាល័យប្រៃសណីយ៍",</t>
        </is>
      </c>
      <c r="L667" s="75" t="n"/>
      <c r="M667" s="75" t="n"/>
      <c r="N667" s="75" t="n"/>
      <c r="O667" s="75" t="n"/>
      <c r="P667" s="75" t="n"/>
      <c r="Q667" s="75" t="n"/>
      <c r="R667" s="75" t="n"/>
      <c r="S667" s="75" t="n"/>
      <c r="T667" s="75" t="n"/>
      <c r="U667" s="75" t="n"/>
      <c r="V667" s="75" t="n"/>
      <c r="W667" s="75" t="n"/>
      <c r="X667" s="75" t="n"/>
      <c r="Y667" s="75" t="n"/>
      <c r="Z667" s="45" t="n"/>
    </row>
    <row r="668">
      <c r="A668" s="40" t="inlineStr">
        <is>
          <t>departmentManager.status</t>
        </is>
      </c>
      <c r="B668" s="46" t="inlineStr">
        <is>
          <t>Trạng thái</t>
        </is>
      </c>
      <c r="C668" s="46" t="inlineStr">
        <is>
          <t>Status</t>
        </is>
      </c>
      <c r="D668" s="43" t="inlineStr">
        <is>
          <t>ស្ថានភាព</t>
        </is>
      </c>
      <c r="E668" s="75" t="n"/>
      <c r="F668" s="75" t="n"/>
      <c r="G668" s="75" t="inlineStr">
        <is>
          <t>ស្ថានភាព</t>
        </is>
      </c>
      <c r="H668" s="75" t="inlineStr">
        <is>
          <t>ស្ថានភាព</t>
        </is>
      </c>
      <c r="I668" s="75" t="n"/>
      <c r="J668" s="75" t="n"/>
      <c r="K668" s="75" t="inlineStr">
        <is>
          <t>"departmentManager.status": "ស្ថានភាព",</t>
        </is>
      </c>
      <c r="L668" s="75" t="n"/>
      <c r="M668" s="75" t="n"/>
      <c r="N668" s="75" t="n"/>
      <c r="O668" s="75" t="n"/>
      <c r="P668" s="75" t="n"/>
      <c r="Q668" s="75" t="n"/>
      <c r="R668" s="75" t="n"/>
      <c r="S668" s="75" t="n"/>
      <c r="T668" s="75" t="n"/>
      <c r="U668" s="75" t="n"/>
      <c r="V668" s="75" t="n"/>
      <c r="W668" s="75" t="n"/>
      <c r="X668" s="75" t="n"/>
      <c r="Y668" s="75" t="n"/>
      <c r="Z668" s="45" t="n"/>
    </row>
    <row r="669">
      <c r="A669" s="40" t="inlineStr">
        <is>
          <t>departmentManager.updateAt</t>
        </is>
      </c>
      <c r="B669" s="46" t="inlineStr">
        <is>
          <t>Ngày cập nhật</t>
        </is>
      </c>
      <c r="C669" s="46" t="inlineStr">
        <is>
          <t>Updated date</t>
        </is>
      </c>
      <c r="D669" s="43" t="inlineStr">
        <is>
          <t>ថ្ងៃអាប់ដេត</t>
        </is>
      </c>
      <c r="E669" s="75" t="n"/>
      <c r="F669" s="75" t="n"/>
      <c r="G669" s="75" t="inlineStr">
        <is>
          <t>ថ្ងៃអាប់ដេត</t>
        </is>
      </c>
      <c r="H669" s="75" t="inlineStr">
        <is>
          <t>ថ្ងៃអាប់ដេត</t>
        </is>
      </c>
      <c r="I669" s="75" t="n"/>
      <c r="J669" s="75" t="n"/>
      <c r="K669" s="75" t="inlineStr">
        <is>
          <t>"departmentManager.updateAt": "ថ្ងៃអាប់ដេត",</t>
        </is>
      </c>
      <c r="L669" s="75" t="n"/>
      <c r="M669" s="75" t="n"/>
      <c r="N669" s="75" t="n"/>
      <c r="O669" s="75" t="n"/>
      <c r="P669" s="75" t="n"/>
      <c r="Q669" s="75" t="n"/>
      <c r="R669" s="75" t="n"/>
      <c r="S669" s="75" t="n"/>
      <c r="T669" s="75" t="n"/>
      <c r="U669" s="75" t="n"/>
      <c r="V669" s="75" t="n"/>
      <c r="W669" s="75" t="n"/>
      <c r="X669" s="75" t="n"/>
      <c r="Y669" s="75" t="n"/>
      <c r="Z669" s="45" t="n"/>
    </row>
    <row r="670">
      <c r="A670" s="40" t="inlineStr">
        <is>
          <t>departmentManager.updateBy</t>
        </is>
      </c>
      <c r="B670" s="46" t="inlineStr">
        <is>
          <t>Người cập nhật</t>
        </is>
      </c>
      <c r="C670" s="46" t="inlineStr">
        <is>
          <t>Updater</t>
        </is>
      </c>
      <c r="D670" s="43" t="inlineStr">
        <is>
          <t>អ្នកអាប់ដេត</t>
        </is>
      </c>
      <c r="E670" s="75" t="n"/>
      <c r="F670" s="75" t="n"/>
      <c r="G670" s="75" t="inlineStr">
        <is>
          <t>អ្នកអាប់ដេត</t>
        </is>
      </c>
      <c r="H670" s="75" t="inlineStr">
        <is>
          <t>អ្នកអាប់ដេត</t>
        </is>
      </c>
      <c r="I670" s="75" t="n"/>
      <c r="J670" s="75" t="n"/>
      <c r="K670" s="75" t="inlineStr">
        <is>
          <t>"departmentManager.updateBy": "អ្នកអាប់ដេត",</t>
        </is>
      </c>
      <c r="L670" s="75" t="n"/>
      <c r="M670" s="75" t="n"/>
      <c r="N670" s="75" t="n"/>
      <c r="O670" s="75" t="n"/>
      <c r="P670" s="75" t="n"/>
      <c r="Q670" s="75" t="n"/>
      <c r="R670" s="75" t="n"/>
      <c r="S670" s="75" t="n"/>
      <c r="T670" s="75" t="n"/>
      <c r="U670" s="75" t="n"/>
      <c r="V670" s="75" t="n"/>
      <c r="W670" s="75" t="n"/>
      <c r="X670" s="75" t="n"/>
      <c r="Y670" s="75" t="n"/>
      <c r="Z670" s="45" t="n"/>
    </row>
    <row r="671">
      <c r="A671" s="40" t="inlineStr">
        <is>
          <t>lockDepartment.title</t>
        </is>
      </c>
      <c r="B671" s="46" t="inlineStr">
        <is>
          <t>Thông báo</t>
        </is>
      </c>
      <c r="C671" s="46" t="inlineStr">
        <is>
          <t>Notification</t>
        </is>
      </c>
      <c r="D671" s="43" t="inlineStr">
        <is>
          <t>សេចក្តីជូនដំណឹង</t>
        </is>
      </c>
      <c r="E671" s="75" t="n"/>
      <c r="F671" s="75" t="n"/>
      <c r="G671" s="75" t="inlineStr">
        <is>
          <t>ការជូនដំណឹង</t>
        </is>
      </c>
      <c r="H671" s="75" t="inlineStr">
        <is>
          <t>ការជូនដំណឹង</t>
        </is>
      </c>
      <c r="I671" s="75" t="n"/>
      <c r="J671" s="75" t="n"/>
      <c r="K671" s="75" t="inlineStr">
        <is>
          <t>"lockDepartment.title": "ការជូនដំណឹង",</t>
        </is>
      </c>
      <c r="L671" s="75" t="n"/>
      <c r="M671" s="75" t="n"/>
      <c r="N671" s="75" t="n"/>
      <c r="O671" s="75" t="n"/>
      <c r="P671" s="75" t="n"/>
      <c r="Q671" s="75" t="n"/>
      <c r="R671" s="75" t="n"/>
      <c r="S671" s="75" t="n"/>
      <c r="T671" s="75" t="n"/>
      <c r="U671" s="75" t="n"/>
      <c r="V671" s="75" t="n"/>
      <c r="W671" s="75" t="n"/>
      <c r="X671" s="75" t="n"/>
      <c r="Y671" s="75" t="n"/>
      <c r="Z671" s="45" t="n"/>
    </row>
    <row r="672">
      <c r="A672" s="40" t="inlineStr">
        <is>
          <t>lockDepartment.success</t>
        </is>
      </c>
      <c r="B672" s="46" t="inlineStr">
        <is>
          <t>Đổi trạng thái thành công</t>
        </is>
      </c>
      <c r="C672" s="46" t="inlineStr">
        <is>
          <t>Change status successfully</t>
        </is>
      </c>
      <c r="D672" s="43" t="inlineStr">
        <is>
          <t>ការផ្លាស់ប្តូរស្ថានភាពជោគជ័យ</t>
        </is>
      </c>
      <c r="E672" s="75" t="n"/>
      <c r="F672" s="75" t="n"/>
      <c r="G672" s="75" t="inlineStr">
        <is>
          <t>ការផ្លាស់ប្តូរស្ថានភាពជោគជ័យ</t>
        </is>
      </c>
      <c r="H672" s="75" t="inlineStr">
        <is>
          <t>ការផ្លាស់ប្តូរស្ថានភាពជោគជ័យ</t>
        </is>
      </c>
      <c r="I672" s="75" t="n"/>
      <c r="J672" s="75" t="n"/>
      <c r="K672" s="75" t="inlineStr">
        <is>
          <t>"lockDepartment.success": "ការផ្លាស់ប្តូរស្ថានភាពជោគជ័យ",</t>
        </is>
      </c>
      <c r="L672" s="75" t="n"/>
      <c r="M672" s="75" t="n"/>
      <c r="N672" s="75" t="n"/>
      <c r="O672" s="75" t="n"/>
      <c r="P672" s="75" t="n"/>
      <c r="Q672" s="75" t="n"/>
      <c r="R672" s="75" t="n"/>
      <c r="S672" s="75" t="n"/>
      <c r="T672" s="75" t="n"/>
      <c r="U672" s="75" t="n"/>
      <c r="V672" s="75" t="n"/>
      <c r="W672" s="75" t="n"/>
      <c r="X672" s="75" t="n"/>
      <c r="Y672" s="75" t="n"/>
      <c r="Z672" s="45" t="n"/>
    </row>
    <row r="673">
      <c r="A673" s="40" t="inlineStr">
        <is>
          <t>lockDepartment.textConfirm1</t>
        </is>
      </c>
      <c r="B673" s="46" t="inlineStr">
        <is>
          <t>Quý khách có chắc chắn muốn</t>
        </is>
      </c>
      <c r="C673" s="46" t="inlineStr">
        <is>
          <t>Are you sure you want to</t>
        </is>
      </c>
      <c r="D673" s="43" t="inlineStr">
        <is>
          <t>អតិថិជនពិតជាចង់</t>
        </is>
      </c>
      <c r="E673" s="75" t="n"/>
      <c r="F673" s="75" t="n"/>
      <c r="G673" s="75" t="inlineStr">
        <is>
          <t>អតិថិជនពិតជាចង់</t>
        </is>
      </c>
      <c r="H673" s="75" t="inlineStr">
        <is>
          <t>អតិថិជនពិតជាចង់</t>
        </is>
      </c>
      <c r="I673" s="75" t="n"/>
      <c r="J673" s="75" t="n"/>
      <c r="K673" s="75" t="inlineStr">
        <is>
          <t>"lockDepartment.textConfirm1": "អតិថិជនពិតជាចង់",</t>
        </is>
      </c>
      <c r="L673" s="75" t="n"/>
      <c r="M673" s="75" t="n"/>
      <c r="N673" s="75" t="n"/>
      <c r="O673" s="75" t="n"/>
      <c r="P673" s="75" t="n"/>
      <c r="Q673" s="75" t="n"/>
      <c r="R673" s="75" t="n"/>
      <c r="S673" s="75" t="n"/>
      <c r="T673" s="75" t="n"/>
      <c r="U673" s="75" t="n"/>
      <c r="V673" s="75" t="n"/>
      <c r="W673" s="75" t="n"/>
      <c r="X673" s="75" t="n"/>
      <c r="Y673" s="75" t="n"/>
      <c r="Z673" s="45" t="n"/>
    </row>
    <row r="674">
      <c r="A674" s="40" t="inlineStr">
        <is>
          <t>lockDepartment.textConfirm2</t>
        </is>
      </c>
      <c r="B674" s="46" t="inlineStr">
        <is>
          <t>bưu cục {{departmentCode}} này?</t>
        </is>
      </c>
      <c r="C674" s="46" t="inlineStr">
        <is>
          <t>this post office {{departmentCode}}?</t>
        </is>
      </c>
      <c r="D674" s="43" t="inlineStr">
        <is>
          <t>ការិយាល័យប្រៃសណីយ៍ {{departmentCode}} នេះ?</t>
        </is>
      </c>
      <c r="E674" s="75" t="n"/>
      <c r="F674" s="75" t="n"/>
      <c r="G674" s="75" t="inlineStr">
        <is>
          <t>ការិយាល័យប្រៃសណីយ៍ {{departmentCode}} នេះ?</t>
        </is>
      </c>
      <c r="H674" s="75" t="inlineStr">
        <is>
          <t>ការិយាល័យប្រៃសណីយ៍ {{departmentCode}} នេះ?</t>
        </is>
      </c>
      <c r="I674" s="75" t="n"/>
      <c r="J674" s="75" t="n"/>
      <c r="K674" s="75" t="inlineStr">
        <is>
          <t>"lockDepartment.textConfirm2": "ការិយាល័យប្រៃសណីយ៍ {{departmentCode}} នេះ?",</t>
        </is>
      </c>
      <c r="L674" s="75" t="n"/>
      <c r="M674" s="75" t="n"/>
      <c r="N674" s="75" t="n"/>
      <c r="O674" s="75" t="n"/>
      <c r="P674" s="75" t="n"/>
      <c r="Q674" s="75" t="n"/>
      <c r="R674" s="75" t="n"/>
      <c r="S674" s="75" t="n"/>
      <c r="T674" s="75" t="n"/>
      <c r="U674" s="75" t="n"/>
      <c r="V674" s="75" t="n"/>
      <c r="W674" s="75" t="n"/>
      <c r="X674" s="75" t="n"/>
      <c r="Y674" s="75" t="n"/>
      <c r="Z674" s="45" t="n"/>
    </row>
    <row r="675">
      <c r="A675" s="40" t="inlineStr">
        <is>
          <t>lockDepartment.active</t>
        </is>
      </c>
      <c r="B675" s="46" t="inlineStr">
        <is>
          <t>Mở hoạt động</t>
        </is>
      </c>
      <c r="C675" s="46" t="inlineStr">
        <is>
          <t>Active</t>
        </is>
      </c>
      <c r="D675" s="43" t="inlineStr">
        <is>
          <t>បើកប្រតិបត្តិការ</t>
        </is>
      </c>
      <c r="E675" s="75" t="n"/>
      <c r="F675" s="75" t="n"/>
      <c r="G675" s="75" t="inlineStr">
        <is>
          <t>បើកប្រតិបត្តិការ</t>
        </is>
      </c>
      <c r="H675" s="75" t="inlineStr">
        <is>
          <t>បើកប្រតិបត្តិការ</t>
        </is>
      </c>
      <c r="I675" s="75" t="n"/>
      <c r="J675" s="75" t="n"/>
      <c r="K675" s="75" t="inlineStr">
        <is>
          <t>"lockDepartment.active": "បើកប្រតិបត្តិការ",</t>
        </is>
      </c>
      <c r="L675" s="75" t="n"/>
      <c r="M675" s="75" t="n"/>
      <c r="N675" s="75" t="n"/>
      <c r="O675" s="75" t="n"/>
      <c r="P675" s="75" t="n"/>
      <c r="Q675" s="75" t="n"/>
      <c r="R675" s="75" t="n"/>
      <c r="S675" s="75" t="n"/>
      <c r="T675" s="75" t="n"/>
      <c r="U675" s="75" t="n"/>
      <c r="V675" s="75" t="n"/>
      <c r="W675" s="75" t="n"/>
      <c r="X675" s="75" t="n"/>
      <c r="Y675" s="75" t="n"/>
      <c r="Z675" s="45" t="n"/>
    </row>
    <row r="676">
      <c r="A676" s="40" t="inlineStr">
        <is>
          <t>lockDepartment.inActive</t>
        </is>
      </c>
      <c r="B676" s="46" t="inlineStr">
        <is>
          <t>Ngưng hoạt động</t>
        </is>
      </c>
      <c r="C676" s="46" t="inlineStr">
        <is>
          <t>Inactive</t>
        </is>
      </c>
      <c r="D676" s="43" t="inlineStr">
        <is>
          <t>បញ្ចប់ដំណើរការ</t>
        </is>
      </c>
      <c r="E676" s="75" t="n"/>
      <c r="F676" s="75" t="n"/>
      <c r="G676" s="75" t="inlineStr">
        <is>
          <t>ផ្អាកដំណើរការ</t>
        </is>
      </c>
      <c r="H676" s="75" t="inlineStr">
        <is>
          <t>ផ្អាកដំណើរការ</t>
        </is>
      </c>
      <c r="I676" s="75" t="n"/>
      <c r="J676" s="75" t="n"/>
      <c r="K676" s="75" t="inlineStr">
        <is>
          <t>"lockDepartment.inActive": "ផ្អាកដំណើរការ",</t>
        </is>
      </c>
      <c r="L676" s="75" t="n"/>
      <c r="M676" s="75" t="n"/>
      <c r="N676" s="75" t="n"/>
      <c r="O676" s="75" t="n"/>
      <c r="P676" s="75" t="n"/>
      <c r="Q676" s="75" t="n"/>
      <c r="R676" s="75" t="n"/>
      <c r="S676" s="75" t="n"/>
      <c r="T676" s="75" t="n"/>
      <c r="U676" s="75" t="n"/>
      <c r="V676" s="75" t="n"/>
      <c r="W676" s="75" t="n"/>
      <c r="X676" s="75" t="n"/>
      <c r="Y676" s="75" t="n"/>
      <c r="Z676" s="45" t="n"/>
    </row>
    <row r="677">
      <c r="A677" s="40" t="inlineStr">
        <is>
          <t>modifyDepartment.departmentCodePlaceholder</t>
        </is>
      </c>
      <c r="B677" s="46" t="inlineStr">
        <is>
          <t>Nhập mã bưu cục</t>
        </is>
      </c>
      <c r="C677" s="46" t="inlineStr">
        <is>
          <t>Enter postal code</t>
        </is>
      </c>
      <c r="D677" s="43" t="inlineStr">
        <is>
          <t>បញ្ចូលលេខការិយាល័យប្រៃសណីយ៍</t>
        </is>
      </c>
      <c r="E677" s="75" t="n"/>
      <c r="F677" s="75" t="n"/>
      <c r="G677" s="75" t="inlineStr">
        <is>
          <t>បញ្ចូលលេខការិយាល័យប្រៃសណីយ៍</t>
        </is>
      </c>
      <c r="H677" s="75" t="inlineStr">
        <is>
          <t>បញ្ចូលលេខការិយាល័យប្រៃសណីយ៍</t>
        </is>
      </c>
      <c r="I677" s="75" t="n"/>
      <c r="J677" s="75" t="n"/>
      <c r="K677" s="75" t="inlineStr">
        <is>
          <t>"modifyDepartment.departmentCodePlaceholder": "បញ្ចូលលេខការិយាល័យប្រៃសណីយ៍",</t>
        </is>
      </c>
      <c r="L677" s="75" t="n"/>
      <c r="M677" s="75" t="n"/>
      <c r="N677" s="75" t="n"/>
      <c r="O677" s="75" t="n"/>
      <c r="P677" s="75" t="n"/>
      <c r="Q677" s="75" t="n"/>
      <c r="R677" s="75" t="n"/>
      <c r="S677" s="75" t="n"/>
      <c r="T677" s="75" t="n"/>
      <c r="U677" s="75" t="n"/>
      <c r="V677" s="75" t="n"/>
      <c r="W677" s="75" t="n"/>
      <c r="X677" s="75" t="n"/>
      <c r="Y677" s="75" t="n"/>
      <c r="Z677" s="45" t="n"/>
    </row>
    <row r="678">
      <c r="A678" s="40" t="inlineStr">
        <is>
          <t>modifyDepartment.departmentNamePlaceholder</t>
        </is>
      </c>
      <c r="B678" s="46" t="inlineStr">
        <is>
          <t>Nhập tên bưu cục</t>
        </is>
      </c>
      <c r="C678" s="46" t="inlineStr">
        <is>
          <t>Enter post office name</t>
        </is>
      </c>
      <c r="D678" s="43" t="inlineStr">
        <is>
          <t>បញ្ចូលឈ្មោះការិយាល័យប្រៃសណីយ៍</t>
        </is>
      </c>
      <c r="E678" s="75" t="n"/>
      <c r="F678" s="75" t="n"/>
      <c r="G678" s="75" t="inlineStr">
        <is>
          <t>បញ្ចូលឈ្មោះការិយាល័យប្រៃសណីយ៍</t>
        </is>
      </c>
      <c r="H678" s="75" t="inlineStr">
        <is>
          <t>បញ្ចូលឈ្មោះការិយាល័យប្រៃសណីយ៍</t>
        </is>
      </c>
      <c r="I678" s="75" t="n"/>
      <c r="J678" s="75" t="n"/>
      <c r="K678" s="75" t="inlineStr">
        <is>
          <t>"modifyDepartment.departmentNamePlaceholder": "បញ្ចូលឈ្មោះការិយាល័យប្រៃសណីយ៍",</t>
        </is>
      </c>
      <c r="L678" s="75" t="n"/>
      <c r="M678" s="75" t="n"/>
      <c r="N678" s="75" t="n"/>
      <c r="O678" s="75" t="n"/>
      <c r="P678" s="75" t="n"/>
      <c r="Q678" s="75" t="n"/>
      <c r="R678" s="75" t="n"/>
      <c r="S678" s="75" t="n"/>
      <c r="T678" s="75" t="n"/>
      <c r="U678" s="75" t="n"/>
      <c r="V678" s="75" t="n"/>
      <c r="W678" s="75" t="n"/>
      <c r="X678" s="75" t="n"/>
      <c r="Y678" s="75" t="n"/>
      <c r="Z678" s="45" t="n"/>
    </row>
    <row r="679">
      <c r="A679" s="40" t="inlineStr">
        <is>
          <t>modifyDepartment.departmentPhonePlaceholder</t>
        </is>
      </c>
      <c r="B679" s="46" t="inlineStr">
        <is>
          <t>Nhập SĐT</t>
        </is>
      </c>
      <c r="C679" s="46" t="inlineStr">
        <is>
          <t>Enter phone number</t>
        </is>
      </c>
      <c r="D679" s="43" t="inlineStr">
        <is>
          <t>បញ្ចូលលេខទូរស័ព្ទ</t>
        </is>
      </c>
      <c r="E679" s="75" t="n"/>
      <c r="F679" s="75" t="n"/>
      <c r="G679" s="75" t="inlineStr">
        <is>
          <t>បញ្ចូលលេខទូរស័ព្ទ</t>
        </is>
      </c>
      <c r="H679" s="75" t="inlineStr">
        <is>
          <t>បញ្ចូលលេខទូរស័ព្ទ</t>
        </is>
      </c>
      <c r="I679" s="75" t="n"/>
      <c r="J679" s="75" t="n"/>
      <c r="K679" s="75" t="inlineStr">
        <is>
          <t>"modifyDepartment.departmentPhonePlaceholder": "បញ្ចូលលេខទូរស័ព្ទ",</t>
        </is>
      </c>
      <c r="L679" s="75" t="n"/>
      <c r="M679" s="75" t="n"/>
      <c r="N679" s="75" t="n"/>
      <c r="O679" s="75" t="n"/>
      <c r="P679" s="75" t="n"/>
      <c r="Q679" s="75" t="n"/>
      <c r="R679" s="75" t="n"/>
      <c r="S679" s="75" t="n"/>
      <c r="T679" s="75" t="n"/>
      <c r="U679" s="75" t="n"/>
      <c r="V679" s="75" t="n"/>
      <c r="W679" s="75" t="n"/>
      <c r="X679" s="75" t="n"/>
      <c r="Y679" s="75" t="n"/>
      <c r="Z679" s="45" t="n"/>
    </row>
    <row r="680">
      <c r="A680" s="40" t="inlineStr">
        <is>
          <t>modifyDepartment.departmentPhone</t>
        </is>
      </c>
      <c r="B680" s="46" t="inlineStr">
        <is>
          <t>SĐT bưu cục</t>
        </is>
      </c>
      <c r="C680" s="46" t="inlineStr">
        <is>
          <t>Post office phone number</t>
        </is>
      </c>
      <c r="D680" s="43" t="inlineStr">
        <is>
          <t>លេខទូរស័ព្ទការិយាល័យប្រៃសណីយ៍</t>
        </is>
      </c>
      <c r="E680" s="75" t="n"/>
      <c r="F680" s="75" t="n"/>
      <c r="G680" s="75" t="inlineStr">
        <is>
          <t>លេខទូរស័ព្ទការិយាល័យប្រៃសណីយ៍</t>
        </is>
      </c>
      <c r="H680" s="75" t="inlineStr">
        <is>
          <t>លេខទូរស័ព្ទការិយាល័យប្រៃសណីយ៍</t>
        </is>
      </c>
      <c r="I680" s="75" t="n"/>
      <c r="J680" s="75" t="n"/>
      <c r="K680" s="75" t="inlineStr">
        <is>
          <t>"modifyDepartment.departmentPhone": "លេខទូរស័ព្ទការិយាល័យប្រៃសណីយ៍",</t>
        </is>
      </c>
      <c r="L680" s="75" t="n"/>
      <c r="M680" s="75" t="n"/>
      <c r="N680" s="75" t="n"/>
      <c r="O680" s="75" t="n"/>
      <c r="P680" s="75" t="n"/>
      <c r="Q680" s="75" t="n"/>
      <c r="R680" s="75" t="n"/>
      <c r="S680" s="75" t="n"/>
      <c r="T680" s="75" t="n"/>
      <c r="U680" s="75" t="n"/>
      <c r="V680" s="75" t="n"/>
      <c r="W680" s="75" t="n"/>
      <c r="X680" s="75" t="n"/>
      <c r="Y680" s="75" t="n"/>
      <c r="Z680" s="45" t="n"/>
    </row>
    <row r="681">
      <c r="A681" s="40" t="inlineStr">
        <is>
          <t>modifyDepartment.address</t>
        </is>
      </c>
      <c r="B681" s="46" t="inlineStr">
        <is>
          <t>Địa chỉ</t>
        </is>
      </c>
      <c r="C681" s="46" t="inlineStr">
        <is>
          <t>Address</t>
        </is>
      </c>
      <c r="D681" s="43" t="inlineStr">
        <is>
          <t>អាស័យដ្ឋាន</t>
        </is>
      </c>
      <c r="E681" s="75" t="n"/>
      <c r="F681" s="75" t="n"/>
      <c r="G681" s="75" t="inlineStr">
        <is>
          <t>អាសយដ្ឋាន</t>
        </is>
      </c>
      <c r="H681" s="75" t="inlineStr">
        <is>
          <t>អាសយដ្ឋាន</t>
        </is>
      </c>
      <c r="I681" s="75" t="n"/>
      <c r="J681" s="75" t="n"/>
      <c r="K681" s="75" t="inlineStr">
        <is>
          <t>"modifyDepartment.address": "អាសយដ្ឋាន",</t>
        </is>
      </c>
      <c r="L681" s="75" t="n"/>
      <c r="M681" s="75" t="n"/>
      <c r="N681" s="75" t="n"/>
      <c r="O681" s="75" t="n"/>
      <c r="P681" s="75" t="n"/>
      <c r="Q681" s="75" t="n"/>
      <c r="R681" s="75" t="n"/>
      <c r="S681" s="75" t="n"/>
      <c r="T681" s="75" t="n"/>
      <c r="U681" s="75" t="n"/>
      <c r="V681" s="75" t="n"/>
      <c r="W681" s="75" t="n"/>
      <c r="X681" s="75" t="n"/>
      <c r="Y681" s="75" t="n"/>
      <c r="Z681" s="45" t="n"/>
    </row>
    <row r="682">
      <c r="A682" s="40" t="inlineStr">
        <is>
          <t>modifyDepartment.nation</t>
        </is>
      </c>
      <c r="B682" s="46" t="inlineStr">
        <is>
          <t>Quốc gia</t>
        </is>
      </c>
      <c r="C682" s="46" t="inlineStr">
        <is>
          <t>Country</t>
        </is>
      </c>
      <c r="D682" s="43" t="inlineStr">
        <is>
          <t>ប្រទេស</t>
        </is>
      </c>
      <c r="E682" s="75" t="n"/>
      <c r="F682" s="75" t="n"/>
      <c r="G682" s="75" t="inlineStr">
        <is>
          <t>ប្រទេស</t>
        </is>
      </c>
      <c r="H682" s="75" t="inlineStr">
        <is>
          <t>ប្រទេស</t>
        </is>
      </c>
      <c r="I682" s="75" t="n"/>
      <c r="J682" s="75" t="n"/>
      <c r="K682" s="75" t="inlineStr">
        <is>
          <t>"modifyDepartment.nation": "ប្រទេស",</t>
        </is>
      </c>
      <c r="L682" s="75" t="n"/>
      <c r="M682" s="75" t="n"/>
      <c r="N682" s="75" t="n"/>
      <c r="O682" s="75" t="n"/>
      <c r="P682" s="75" t="n"/>
      <c r="Q682" s="75" t="n"/>
      <c r="R682" s="75" t="n"/>
      <c r="S682" s="75" t="n"/>
      <c r="T682" s="75" t="n"/>
      <c r="U682" s="75" t="n"/>
      <c r="V682" s="75" t="n"/>
      <c r="W682" s="75" t="n"/>
      <c r="X682" s="75" t="n"/>
      <c r="Y682" s="75" t="n"/>
      <c r="Z682" s="45" t="n"/>
    </row>
    <row r="683">
      <c r="A683" s="40" t="inlineStr">
        <is>
          <t>modifyDepartment.province</t>
        </is>
      </c>
      <c r="B683" s="46" t="inlineStr">
        <is>
          <t>Liên bang/Vùng</t>
        </is>
      </c>
      <c r="C683" s="46" t="inlineStr">
        <is>
          <t>Province</t>
        </is>
      </c>
      <c r="D683" s="43" t="inlineStr">
        <is>
          <t>សហព័ន្ធ/តំបន់</t>
        </is>
      </c>
      <c r="E683" s="75" t="n"/>
      <c r="F683" s="75" t="n"/>
      <c r="G683" s="75" t="inlineStr">
        <is>
          <t>សហព័ន្ធ/តំបន់</t>
        </is>
      </c>
      <c r="H683" s="75" t="inlineStr">
        <is>
          <t>សហព័ន្ធ/តំបន់</t>
        </is>
      </c>
      <c r="I683" s="75" t="n"/>
      <c r="J683" s="75" t="n"/>
      <c r="K683" s="75" t="inlineStr">
        <is>
          <t>"modifyDepartment.province": "សហព័ន្ធ/តំបន់",</t>
        </is>
      </c>
      <c r="L683" s="75" t="n"/>
      <c r="M683" s="75" t="n"/>
      <c r="N683" s="75" t="n"/>
      <c r="O683" s="75" t="n"/>
      <c r="P683" s="75" t="n"/>
      <c r="Q683" s="75" t="n"/>
      <c r="R683" s="75" t="n"/>
      <c r="S683" s="75" t="n"/>
      <c r="T683" s="75" t="n"/>
      <c r="U683" s="75" t="n"/>
      <c r="V683" s="75" t="n"/>
      <c r="W683" s="75" t="n"/>
      <c r="X683" s="75" t="n"/>
      <c r="Y683" s="75" t="n"/>
      <c r="Z683" s="45" t="n"/>
    </row>
    <row r="684">
      <c r="A684" s="40" t="inlineStr">
        <is>
          <t>modifyDepartment.district</t>
        </is>
      </c>
      <c r="B684" s="46" t="inlineStr">
        <is>
          <t>Huyện</t>
        </is>
      </c>
      <c r="C684" s="46" t="inlineStr">
        <is>
          <t>District</t>
        </is>
      </c>
      <c r="D684" s="43" t="inlineStr">
        <is>
          <t>ស្រុក</t>
        </is>
      </c>
      <c r="E684" s="75" t="n"/>
      <c r="F684" s="75" t="n"/>
      <c r="G684" s="75" t="inlineStr">
        <is>
          <t>ស្រុក</t>
        </is>
      </c>
      <c r="H684" s="75" t="inlineStr">
        <is>
          <t>ស្រុក</t>
        </is>
      </c>
      <c r="I684" s="75" t="n"/>
      <c r="J684" s="75" t="n"/>
      <c r="K684" s="75" t="inlineStr">
        <is>
          <t>"modifyDepartment.district": "ស្រុក",</t>
        </is>
      </c>
      <c r="L684" s="75" t="n"/>
      <c r="M684" s="75" t="n"/>
      <c r="N684" s="75" t="n"/>
      <c r="O684" s="75" t="n"/>
      <c r="P684" s="75" t="n"/>
      <c r="Q684" s="75" t="n"/>
      <c r="R684" s="75" t="n"/>
      <c r="S684" s="75" t="n"/>
      <c r="T684" s="75" t="n"/>
      <c r="U684" s="75" t="n"/>
      <c r="V684" s="75" t="n"/>
      <c r="W684" s="75" t="n"/>
      <c r="X684" s="75" t="n"/>
      <c r="Y684" s="75" t="n"/>
      <c r="Z684" s="45" t="n"/>
    </row>
    <row r="685">
      <c r="A685" s="40" t="inlineStr">
        <is>
          <t>modifyDepartment.ward</t>
        </is>
      </c>
      <c r="B685" s="46" t="inlineStr">
        <is>
          <t>Thị trấn</t>
        </is>
      </c>
      <c r="C685" s="46" t="inlineStr">
        <is>
          <t>Commune</t>
        </is>
      </c>
      <c r="D685" s="43" t="inlineStr">
        <is>
          <t>ទីរួមខេត្ត</t>
        </is>
      </c>
      <c r="E685" s="75" t="n"/>
      <c r="F685" s="75" t="n"/>
      <c r="G685" s="75" t="inlineStr">
        <is>
          <t>ទីរួមខេត្ត</t>
        </is>
      </c>
      <c r="H685" s="75" t="inlineStr">
        <is>
          <t>ទីរួមខេត្ត</t>
        </is>
      </c>
      <c r="I685" s="75" t="n"/>
      <c r="J685" s="75" t="n"/>
      <c r="K685" s="75" t="inlineStr">
        <is>
          <t>"modifyDepartment.ward": "ទីរួមខេត្ត",</t>
        </is>
      </c>
      <c r="L685" s="75" t="n"/>
      <c r="M685" s="75" t="n"/>
      <c r="N685" s="75" t="n"/>
      <c r="O685" s="75" t="n"/>
      <c r="P685" s="75" t="n"/>
      <c r="Q685" s="75" t="n"/>
      <c r="R685" s="75" t="n"/>
      <c r="S685" s="75" t="n"/>
      <c r="T685" s="75" t="n"/>
      <c r="U685" s="75" t="n"/>
      <c r="V685" s="75" t="n"/>
      <c r="W685" s="75" t="n"/>
      <c r="X685" s="75" t="n"/>
      <c r="Y685" s="75" t="n"/>
      <c r="Z685" s="45" t="n"/>
    </row>
    <row r="686">
      <c r="A686" s="40" t="inlineStr">
        <is>
          <t>modifyDepartment.provincePlaceholder</t>
        </is>
      </c>
      <c r="B686" s="46" t="inlineStr">
        <is>
          <t>Chọn liên bang/vùng</t>
        </is>
      </c>
      <c r="C686" s="46" t="inlineStr">
        <is>
          <t>Enter province</t>
        </is>
      </c>
      <c r="D686" s="43" t="inlineStr">
        <is>
          <t>ជ្រើសរើសសហព័ន្ធ/តំបន់</t>
        </is>
      </c>
      <c r="E686" s="75" t="n"/>
      <c r="F686" s="75" t="n"/>
      <c r="G686" s="75" t="inlineStr">
        <is>
          <t>ជ្រើសរើសសហព័ន្ធ/តំបន់</t>
        </is>
      </c>
      <c r="H686" s="75" t="inlineStr">
        <is>
          <t>ជ្រើសរើសសហព័ន្ធ/តំបន់</t>
        </is>
      </c>
      <c r="I686" s="75" t="n"/>
      <c r="J686" s="75" t="n"/>
      <c r="K686" s="75" t="inlineStr">
        <is>
          <t>"modifyDepartment.provincePlaceholder": "ជ្រើសរើសសហព័ន្ធ/តំបន់",</t>
        </is>
      </c>
      <c r="L686" s="75" t="n"/>
      <c r="M686" s="75" t="n"/>
      <c r="N686" s="75" t="n"/>
      <c r="O686" s="75" t="n"/>
      <c r="P686" s="75" t="n"/>
      <c r="Q686" s="75" t="n"/>
      <c r="R686" s="75" t="n"/>
      <c r="S686" s="75" t="n"/>
      <c r="T686" s="75" t="n"/>
      <c r="U686" s="75" t="n"/>
      <c r="V686" s="75" t="n"/>
      <c r="W686" s="75" t="n"/>
      <c r="X686" s="75" t="n"/>
      <c r="Y686" s="75" t="n"/>
      <c r="Z686" s="45" t="n"/>
    </row>
    <row r="687">
      <c r="A687" s="40" t="inlineStr">
        <is>
          <t>modifyDepartment.districtPlaceholder</t>
        </is>
      </c>
      <c r="B687" s="46" t="inlineStr">
        <is>
          <t>Chọn huyện</t>
        </is>
      </c>
      <c r="C687" s="46" t="inlineStr">
        <is>
          <t>Enter district</t>
        </is>
      </c>
      <c r="D687" s="43" t="inlineStr">
        <is>
          <t>ជ្រើសរើសស្រុក</t>
        </is>
      </c>
      <c r="E687" s="75" t="n"/>
      <c r="F687" s="75" t="n"/>
      <c r="G687" s="75" t="inlineStr">
        <is>
          <t>ជ្រើសរើសស្រុក</t>
        </is>
      </c>
      <c r="H687" s="75" t="inlineStr">
        <is>
          <t>ជ្រើសរើសស្រុក</t>
        </is>
      </c>
      <c r="I687" s="75" t="n"/>
      <c r="J687" s="75" t="n"/>
      <c r="K687" s="75" t="inlineStr">
        <is>
          <t>"modifyDepartment.districtPlaceholder": "ជ្រើសរើសស្រុក",</t>
        </is>
      </c>
      <c r="L687" s="75" t="n"/>
      <c r="M687" s="75" t="n"/>
      <c r="N687" s="75" t="n"/>
      <c r="O687" s="75" t="n"/>
      <c r="P687" s="75" t="n"/>
      <c r="Q687" s="75" t="n"/>
      <c r="R687" s="75" t="n"/>
      <c r="S687" s="75" t="n"/>
      <c r="T687" s="75" t="n"/>
      <c r="U687" s="75" t="n"/>
      <c r="V687" s="75" t="n"/>
      <c r="W687" s="75" t="n"/>
      <c r="X687" s="75" t="n"/>
      <c r="Y687" s="75" t="n"/>
      <c r="Z687" s="45" t="n"/>
    </row>
    <row r="688">
      <c r="A688" s="40" t="inlineStr">
        <is>
          <t>modifyDepartment.wardPlaceholder</t>
        </is>
      </c>
      <c r="B688" s="46" t="inlineStr">
        <is>
          <t>Chọn thị trấn</t>
        </is>
      </c>
      <c r="C688" s="46" t="inlineStr">
        <is>
          <t>Enter commune</t>
        </is>
      </c>
      <c r="D688" s="43" t="inlineStr">
        <is>
          <t>ជ្រើសរើសទីរួមខេត្ត</t>
        </is>
      </c>
      <c r="E688" s="75" t="n"/>
      <c r="F688" s="75" t="n"/>
      <c r="G688" s="75" t="inlineStr">
        <is>
          <t>ជ្រើសរើសទីរួមខេត្ត</t>
        </is>
      </c>
      <c r="H688" s="75" t="inlineStr">
        <is>
          <t>ជ្រើសរើសទីរួមខេត្ត</t>
        </is>
      </c>
      <c r="I688" s="75" t="n"/>
      <c r="J688" s="75" t="n"/>
      <c r="K688" s="75" t="inlineStr">
        <is>
          <t>"modifyDepartment.wardPlaceholder": "ជ្រើសរើសទីរួមខេត្ត",</t>
        </is>
      </c>
      <c r="L688" s="75" t="n"/>
      <c r="M688" s="75" t="n"/>
      <c r="N688" s="75" t="n"/>
      <c r="O688" s="75" t="n"/>
      <c r="P688" s="75" t="n"/>
      <c r="Q688" s="75" t="n"/>
      <c r="R688" s="75" t="n"/>
      <c r="S688" s="75" t="n"/>
      <c r="T688" s="75" t="n"/>
      <c r="U688" s="75" t="n"/>
      <c r="V688" s="75" t="n"/>
      <c r="W688" s="75" t="n"/>
      <c r="X688" s="75" t="n"/>
      <c r="Y688" s="75" t="n"/>
      <c r="Z688" s="45" t="n"/>
    </row>
    <row r="689">
      <c r="A689" s="40" t="inlineStr">
        <is>
          <t>modifyDepartment.addressPlaceholder</t>
        </is>
      </c>
      <c r="B689" s="46" t="inlineStr">
        <is>
          <t>Nhập địa chỉ bưu cục</t>
        </is>
      </c>
      <c r="C689" s="46" t="inlineStr">
        <is>
          <t>Enter post office address</t>
        </is>
      </c>
      <c r="D689" s="43" t="inlineStr">
        <is>
          <t>បញ្ចូលអាស័យដ្ឋានការិយាល័យប្រៃសណីយ៍</t>
        </is>
      </c>
      <c r="E689" s="75" t="n"/>
      <c r="F689" s="75" t="n"/>
      <c r="G689" s="75" t="inlineStr">
        <is>
          <t>បញ្ចូលអាសយដ្ឋានការិយាល័យប្រៃសណីយ៍</t>
        </is>
      </c>
      <c r="H689" s="75" t="inlineStr">
        <is>
          <t>បញ្ចូលអាសយដ្ឋានការិយាល័យប្រៃសណីយ៍</t>
        </is>
      </c>
      <c r="I689" s="75" t="n"/>
      <c r="J689" s="75" t="n"/>
      <c r="K689" s="75" t="inlineStr">
        <is>
          <t>"modifyDepartment.addressPlaceholder": "បញ្ចូលអាសយដ្ឋានការិយាល័យប្រៃសណីយ៍",</t>
        </is>
      </c>
      <c r="L689" s="75" t="n"/>
      <c r="M689" s="75" t="n"/>
      <c r="N689" s="75" t="n"/>
      <c r="O689" s="75" t="n"/>
      <c r="P689" s="75" t="n"/>
      <c r="Q689" s="75" t="n"/>
      <c r="R689" s="75" t="n"/>
      <c r="S689" s="75" t="n"/>
      <c r="T689" s="75" t="n"/>
      <c r="U689" s="75" t="n"/>
      <c r="V689" s="75" t="n"/>
      <c r="W689" s="75" t="n"/>
      <c r="X689" s="75" t="n"/>
      <c r="Y689" s="75" t="n"/>
      <c r="Z689" s="45" t="n"/>
    </row>
    <row r="690">
      <c r="A690" s="40" t="inlineStr">
        <is>
          <t>modifyDepartment.branchCodePlaceholder</t>
        </is>
      </c>
      <c r="B690" s="46" t="inlineStr">
        <is>
          <t>Chọn chi nhánh</t>
        </is>
      </c>
      <c r="C690" s="46" t="inlineStr">
        <is>
          <t>Select branch</t>
        </is>
      </c>
      <c r="D690" s="43" t="inlineStr">
        <is>
          <t>ជ្រើសរើសសាខា</t>
        </is>
      </c>
      <c r="E690" s="75" t="n"/>
      <c r="F690" s="75" t="n"/>
      <c r="G690" s="75" t="inlineStr">
        <is>
          <t>ជ្រើសរើសសាខា</t>
        </is>
      </c>
      <c r="H690" s="75" t="inlineStr">
        <is>
          <t>ជ្រើសរើសសាខា</t>
        </is>
      </c>
      <c r="I690" s="75" t="n"/>
      <c r="J690" s="75" t="n"/>
      <c r="K690" s="75" t="inlineStr">
        <is>
          <t>"modifyDepartment.branchCodePlaceholder": "ជ្រើសរើសសាខា",</t>
        </is>
      </c>
      <c r="L690" s="75" t="n"/>
      <c r="M690" s="75" t="n"/>
      <c r="N690" s="75" t="n"/>
      <c r="O690" s="75" t="n"/>
      <c r="P690" s="75" t="n"/>
      <c r="Q690" s="75" t="n"/>
      <c r="R690" s="75" t="n"/>
      <c r="S690" s="75" t="n"/>
      <c r="T690" s="75" t="n"/>
      <c r="U690" s="75" t="n"/>
      <c r="V690" s="75" t="n"/>
      <c r="W690" s="75" t="n"/>
      <c r="X690" s="75" t="n"/>
      <c r="Y690" s="75" t="n"/>
      <c r="Z690" s="45" t="n"/>
    </row>
    <row r="691">
      <c r="A691" s="40" t="inlineStr">
        <is>
          <t>modifyDepartment.branchCode</t>
        </is>
      </c>
      <c r="B691" s="46" t="inlineStr">
        <is>
          <t>Chi nhánh</t>
        </is>
      </c>
      <c r="C691" s="46" t="inlineStr">
        <is>
          <t>Branch</t>
        </is>
      </c>
      <c r="D691" s="43" t="inlineStr">
        <is>
          <t>សាខា</t>
        </is>
      </c>
      <c r="E691" s="75" t="n"/>
      <c r="F691" s="75" t="n"/>
      <c r="G691" s="75" t="inlineStr">
        <is>
          <t>សាខា</t>
        </is>
      </c>
      <c r="H691" s="75" t="inlineStr">
        <is>
          <t>សាខា</t>
        </is>
      </c>
      <c r="I691" s="75" t="n"/>
      <c r="J691" s="75" t="n"/>
      <c r="K691" s="75" t="inlineStr">
        <is>
          <t>"modifyDepartment.branchCode": "សាខា",</t>
        </is>
      </c>
      <c r="L691" s="75" t="n"/>
      <c r="M691" s="75" t="n"/>
      <c r="N691" s="75" t="n"/>
      <c r="O691" s="75" t="n"/>
      <c r="P691" s="75" t="n"/>
      <c r="Q691" s="75" t="n"/>
      <c r="R691" s="75" t="n"/>
      <c r="S691" s="75" t="n"/>
      <c r="T691" s="75" t="n"/>
      <c r="U691" s="75" t="n"/>
      <c r="V691" s="75" t="n"/>
      <c r="W691" s="75" t="n"/>
      <c r="X691" s="75" t="n"/>
      <c r="Y691" s="75" t="n"/>
      <c r="Z691" s="45" t="n"/>
    </row>
    <row r="692">
      <c r="A692" s="40" t="inlineStr">
        <is>
          <t>modifyDepartment.headPost</t>
        </is>
      </c>
      <c r="B692" s="46" t="inlineStr">
        <is>
          <t>Trưởng bưu cục</t>
        </is>
      </c>
      <c r="C692" s="46" t="inlineStr">
        <is>
          <t>Postmaster</t>
        </is>
      </c>
      <c r="D692" s="43" t="inlineStr">
        <is>
          <t>ប្រធានការិយាល័យប្រៃសណីយ៍</t>
        </is>
      </c>
      <c r="E692" s="75" t="n"/>
      <c r="F692" s="75" t="n"/>
      <c r="G692" s="75" t="inlineStr">
        <is>
          <t>ប្រធានការិយាល័យប្រៃសណីយ៍</t>
        </is>
      </c>
      <c r="H692" s="75" t="inlineStr">
        <is>
          <t>ប្រធានការិយាល័យប្រៃសណីយ៍</t>
        </is>
      </c>
      <c r="I692" s="75" t="n"/>
      <c r="J692" s="75" t="n"/>
      <c r="K692" s="75" t="inlineStr">
        <is>
          <t>"modifyDepartment.headPost": "ប្រធានការិយាល័យប្រៃសណីយ៍",</t>
        </is>
      </c>
      <c r="L692" s="75" t="n"/>
      <c r="M692" s="75" t="n"/>
      <c r="N692" s="75" t="n"/>
      <c r="O692" s="75" t="n"/>
      <c r="P692" s="75" t="n"/>
      <c r="Q692" s="75" t="n"/>
      <c r="R692" s="75" t="n"/>
      <c r="S692" s="75" t="n"/>
      <c r="T692" s="75" t="n"/>
      <c r="U692" s="75" t="n"/>
      <c r="V692" s="75" t="n"/>
      <c r="W692" s="75" t="n"/>
      <c r="X692" s="75" t="n"/>
      <c r="Y692" s="75" t="n"/>
      <c r="Z692" s="45" t="n"/>
    </row>
    <row r="693">
      <c r="A693" s="40" t="inlineStr">
        <is>
          <t>modifyDepartment.level</t>
        </is>
      </c>
      <c r="B693" s="46" t="inlineStr">
        <is>
          <t>Chọn cấp bưu cục</t>
        </is>
      </c>
      <c r="C693" s="46" t="inlineStr">
        <is>
          <t>Select post office level</t>
        </is>
      </c>
      <c r="D693" s="75" t="n"/>
      <c r="E693" s="75" t="n"/>
      <c r="F693" s="75" t="n"/>
      <c r="G693" s="75" t="inlineStr">
        <is>
          <t>ជ្រើសរើសcấp ការិយាល័យប្រៃសណីយ៍</t>
        </is>
      </c>
      <c r="H693" s="75" t="inlineStr">
        <is>
          <t>ជ្រើសរើសcấp ការិយាល័យប្រៃសណីយ៍</t>
        </is>
      </c>
      <c r="I693" s="75" t="n"/>
      <c r="J693" s="75" t="n"/>
      <c r="K693" s="75" t="inlineStr">
        <is>
          <t>"modifyDepartment.level": "ជ្រើសរើសcấp ការិយាល័យប្រៃសណីយ៍",</t>
        </is>
      </c>
      <c r="L693" s="75" t="n"/>
      <c r="M693" s="75" t="n"/>
      <c r="N693" s="75" t="n"/>
      <c r="O693" s="75" t="n"/>
      <c r="P693" s="75" t="n"/>
      <c r="Q693" s="75" t="n"/>
      <c r="R693" s="75" t="n"/>
      <c r="S693" s="75" t="n"/>
      <c r="T693" s="75" t="n"/>
      <c r="U693" s="75" t="n"/>
      <c r="V693" s="75" t="n"/>
      <c r="W693" s="75" t="n"/>
      <c r="X693" s="75" t="n"/>
      <c r="Y693" s="75" t="n"/>
      <c r="Z693" s="45" t="n"/>
    </row>
    <row r="694">
      <c r="A694" s="40" t="inlineStr">
        <is>
          <t>modifyDepartment.getListBranchError</t>
        </is>
      </c>
      <c r="B694" s="46" t="inlineStr">
        <is>
          <t>Lỗi danh sách chi nhánh</t>
        </is>
      </c>
      <c r="C694" s="46" t="inlineStr">
        <is>
          <t>Error branch list</t>
        </is>
      </c>
      <c r="D694" s="75" t="n"/>
      <c r="E694" s="75" t="n"/>
      <c r="F694" s="75" t="n"/>
      <c r="G694" s="75" t="inlineStr">
        <is>
          <t>កំហុស បញ្ជី សាខា</t>
        </is>
      </c>
      <c r="H694" s="75" t="inlineStr">
        <is>
          <t>កំហុស បញ្ជី សាខា</t>
        </is>
      </c>
      <c r="I694" s="75" t="n"/>
      <c r="J694" s="75" t="n"/>
      <c r="K694" s="75" t="inlineStr">
        <is>
          <t>"modifyDepartment.getListBranchError": "កំហុស បញ្ជី សាខា",</t>
        </is>
      </c>
      <c r="L694" s="75" t="n"/>
      <c r="M694" s="75" t="n"/>
      <c r="N694" s="75" t="n"/>
      <c r="O694" s="75" t="n"/>
      <c r="P694" s="75" t="n"/>
      <c r="Q694" s="75" t="n"/>
      <c r="R694" s="75" t="n"/>
      <c r="S694" s="75" t="n"/>
      <c r="T694" s="75" t="n"/>
      <c r="U694" s="75" t="n"/>
      <c r="V694" s="75" t="n"/>
      <c r="W694" s="75" t="n"/>
      <c r="X694" s="75" t="n"/>
      <c r="Y694" s="75" t="n"/>
      <c r="Z694" s="45" t="n"/>
    </row>
    <row r="695">
      <c r="A695" s="40" t="inlineStr">
        <is>
          <t>modifyDepartment.textConfirm</t>
        </is>
      </c>
      <c r="B695" s="46" t="inlineStr">
        <is>
          <t>Quý khách có chắc chắn muốn lưu thông tin bưu cục này?</t>
        </is>
      </c>
      <c r="C695" s="46" t="inlineStr">
        <is>
          <t>Are you sure you want to save postal information?</t>
        </is>
      </c>
      <c r="D695" s="43" t="inlineStr">
        <is>
          <t>អតិថិជនពិតជាចង់រក្សាទុកព័ត៌មានការិយាល័យប្រៃសណីយ៍នេះមែនទេ?</t>
        </is>
      </c>
      <c r="E695" s="75" t="n"/>
      <c r="F695" s="75" t="n"/>
      <c r="G695" s="75" t="inlineStr">
        <is>
          <t>អតិថិជនពិតជាចង់រក្សាទុកព័ត៌មានការិយាល័យប្រៃសណីយ៍នេះមែនទេ?</t>
        </is>
      </c>
      <c r="H695" s="75" t="inlineStr">
        <is>
          <t>អតិថិជនពិតជាចង់រក្សាទុកព័ត៌មានការិយាល័យប្រៃសណីយ៍នេះមែនទេ?</t>
        </is>
      </c>
      <c r="I695" s="75" t="n"/>
      <c r="J695" s="75" t="n"/>
      <c r="K695" s="75" t="inlineStr">
        <is>
          <t>"modifyDepartment.textConfirm": "អតិថិជនពិតជាចង់រក្សាទុកព័ត៌មានការិយាល័យប្រៃសណីយ៍នេះមែនទេ?",</t>
        </is>
      </c>
      <c r="L695" s="75" t="n"/>
      <c r="M695" s="75" t="n"/>
      <c r="N695" s="75" t="n"/>
      <c r="O695" s="75" t="n"/>
      <c r="P695" s="75" t="n"/>
      <c r="Q695" s="75" t="n"/>
      <c r="R695" s="75" t="n"/>
      <c r="S695" s="75" t="n"/>
      <c r="T695" s="75" t="n"/>
      <c r="U695" s="75" t="n"/>
      <c r="V695" s="75" t="n"/>
      <c r="W695" s="75" t="n"/>
      <c r="X695" s="75" t="n"/>
      <c r="Y695" s="75" t="n"/>
      <c r="Z695" s="45" t="n"/>
    </row>
    <row r="696">
      <c r="A696" s="40" t="inlineStr">
        <is>
          <t>modifyDepartment.departmentCode</t>
        </is>
      </c>
      <c r="B696" s="46" t="inlineStr">
        <is>
          <t>Mã bưu cục</t>
        </is>
      </c>
      <c r="C696" s="46" t="inlineStr">
        <is>
          <t>Postal code</t>
        </is>
      </c>
      <c r="D696" s="43" t="inlineStr">
        <is>
          <t>លេខកូដការិយាល័យប្រៃសណីយ៍</t>
        </is>
      </c>
      <c r="E696" s="75" t="n"/>
      <c r="F696" s="75" t="n"/>
      <c r="G696" s="75" t="inlineStr">
        <is>
          <t>លេខកូដការិយាល័យប្រៃសណីយ៍</t>
        </is>
      </c>
      <c r="H696" s="75" t="inlineStr">
        <is>
          <t>លេខកូដការិយាល័យប្រៃសណីយ៍</t>
        </is>
      </c>
      <c r="I696" s="75" t="n"/>
      <c r="J696" s="75" t="n"/>
      <c r="K696" s="75" t="inlineStr">
        <is>
          <t>"modifyDepartment.departmentCode": "លេខកូដការិយាល័យប្រៃសណីយ៍",</t>
        </is>
      </c>
      <c r="L696" s="75" t="n"/>
      <c r="M696" s="75" t="n"/>
      <c r="N696" s="75" t="n"/>
      <c r="O696" s="75" t="n"/>
      <c r="P696" s="75" t="n"/>
      <c r="Q696" s="75" t="n"/>
      <c r="R696" s="75" t="n"/>
      <c r="S696" s="75" t="n"/>
      <c r="T696" s="75" t="n"/>
      <c r="U696" s="75" t="n"/>
      <c r="V696" s="75" t="n"/>
      <c r="W696" s="75" t="n"/>
      <c r="X696" s="75" t="n"/>
      <c r="Y696" s="75" t="n"/>
      <c r="Z696" s="45" t="n"/>
    </row>
    <row r="697">
      <c r="A697" s="40" t="inlineStr">
        <is>
          <t>modifyDepartment.alreadyExist</t>
        </is>
      </c>
      <c r="B697" s="46" t="inlineStr">
        <is>
          <t>đã tồn tại.</t>
        </is>
      </c>
      <c r="C697" s="46" t="inlineStr">
        <is>
          <t>Existed</t>
        </is>
      </c>
      <c r="D697" s="75" t="n"/>
      <c r="E697" s="75" t="n"/>
      <c r="F697" s="75" t="n"/>
      <c r="G697" s="75" t="inlineStr">
        <is>
          <t>មានរួចហើយ។</t>
        </is>
      </c>
      <c r="H697" s="75" t="inlineStr">
        <is>
          <t>មានរួចហើយ។</t>
        </is>
      </c>
      <c r="I697" s="75" t="n"/>
      <c r="J697" s="75" t="n"/>
      <c r="K697" s="75" t="inlineStr">
        <is>
          <t>"modifyDepartment.alreadyExist": "មានរួចហើយ។",</t>
        </is>
      </c>
      <c r="L697" s="75" t="n"/>
      <c r="M697" s="75" t="n"/>
      <c r="N697" s="75" t="n"/>
      <c r="O697" s="75" t="n"/>
      <c r="P697" s="75" t="n"/>
      <c r="Q697" s="75" t="n"/>
      <c r="R697" s="75" t="n"/>
      <c r="S697" s="75" t="n"/>
      <c r="T697" s="75" t="n"/>
      <c r="U697" s="75" t="n"/>
      <c r="V697" s="75" t="n"/>
      <c r="W697" s="75" t="n"/>
      <c r="X697" s="75" t="n"/>
      <c r="Y697" s="75" t="n"/>
      <c r="Z697" s="45" t="n"/>
    </row>
    <row r="698">
      <c r="A698" s="40" t="inlineStr">
        <is>
          <t>modifyDepartment.duplicateBranch</t>
        </is>
      </c>
      <c r="B698" s="46" t="inlineStr">
        <is>
          <t>trùng với mã chi nhánh đã tồn tại.</t>
        </is>
      </c>
      <c r="C698" s="46" t="inlineStr">
        <is>
          <t>Postal code already exists</t>
        </is>
      </c>
      <c r="D698" s="43" t="inlineStr">
        <is>
          <t>ជាន់ជាមួយលេខសាខាមានស្រាប់</t>
        </is>
      </c>
      <c r="E698" s="75" t="n"/>
      <c r="F698" s="75" t="n"/>
      <c r="G698" s="75" t="inlineStr">
        <is>
          <t>ជាន់ជាមួយលេខសាខាមានស្រាប់</t>
        </is>
      </c>
      <c r="H698" s="75" t="inlineStr">
        <is>
          <t>ជាន់ជាមួយលេខសាខាមានស្រាប់</t>
        </is>
      </c>
      <c r="I698" s="75" t="n"/>
      <c r="J698" s="75" t="n"/>
      <c r="K698" s="75" t="inlineStr">
        <is>
          <t>"modifyDepartment.duplicateBranch": "ជាន់ជាមួយលេខសាខាមានស្រាប់",</t>
        </is>
      </c>
      <c r="L698" s="75" t="n"/>
      <c r="M698" s="75" t="n"/>
      <c r="N698" s="75" t="n"/>
      <c r="O698" s="75" t="n"/>
      <c r="P698" s="75" t="n"/>
      <c r="Q698" s="75" t="n"/>
      <c r="R698" s="75" t="n"/>
      <c r="S698" s="75" t="n"/>
      <c r="T698" s="75" t="n"/>
      <c r="U698" s="75" t="n"/>
      <c r="V698" s="75" t="n"/>
      <c r="W698" s="75" t="n"/>
      <c r="X698" s="75" t="n"/>
      <c r="Y698" s="75" t="n"/>
      <c r="Z698" s="45" t="n"/>
    </row>
    <row r="699">
      <c r="A699" s="40" t="inlineStr">
        <is>
          <t>modifyDepartment.notification</t>
        </is>
      </c>
      <c r="B699" s="46" t="inlineStr">
        <is>
          <t>Vui lòng khai báo mã bưu cục khác!</t>
        </is>
      </c>
      <c r="C699" s="46" t="inlineStr">
        <is>
          <t>Please declare another postal code!</t>
        </is>
      </c>
      <c r="D699" s="43" t="inlineStr">
        <is>
          <t>សូមធ្វើការប្រកាសពីលេខកូដការិយាល័យប្រៃសណីយ៍ផ្សេងទៀត!</t>
        </is>
      </c>
      <c r="E699" s="75" t="n"/>
      <c r="F699" s="75" t="n"/>
      <c r="G699" s="75" t="inlineStr">
        <is>
          <t>សូមធ្វើការប្រកាសពីលេខកូដការិយាល័យប្រៃសណីយ៍ផ្សេងទៀត!</t>
        </is>
      </c>
      <c r="H699" s="75" t="inlineStr">
        <is>
          <t>សូមធ្វើការប្រកាសពីលេខកូដការិយាល័យប្រៃសណីយ៍ផ្សេងទៀត!</t>
        </is>
      </c>
      <c r="I699" s="75" t="n"/>
      <c r="J699" s="75" t="n"/>
      <c r="K699" s="75" t="inlineStr">
        <is>
          <t>"modifyDepartment.notification": "សូមធ្វើការប្រកាសពីលេខកូដការិយាល័យប្រៃសណីយ៍ផ្សេងទៀត!",</t>
        </is>
      </c>
      <c r="L699" s="75" t="n"/>
      <c r="M699" s="75" t="n"/>
      <c r="N699" s="75" t="n"/>
      <c r="O699" s="75" t="n"/>
      <c r="P699" s="75" t="n"/>
      <c r="Q699" s="75" t="n"/>
      <c r="R699" s="75" t="n"/>
      <c r="S699" s="75" t="n"/>
      <c r="T699" s="75" t="n"/>
      <c r="U699" s="75" t="n"/>
      <c r="V699" s="75" t="n"/>
      <c r="W699" s="75" t="n"/>
      <c r="X699" s="75" t="n"/>
      <c r="Y699" s="75" t="n"/>
      <c r="Z699" s="45" t="n"/>
    </row>
    <row r="700">
      <c r="A700" s="40" t="inlineStr">
        <is>
          <t>modifyDepartment.createSuccess</t>
        </is>
      </c>
      <c r="B700" s="46" t="inlineStr">
        <is>
          <t>Thêm mới thông tin thành công</t>
        </is>
      </c>
      <c r="C700" s="46" t="inlineStr">
        <is>
          <t>Created information successfully</t>
        </is>
      </c>
      <c r="D700" s="43" t="inlineStr">
        <is>
          <t>បន្ថែមព័ត៌មានថ្មីបានជោគជ័យ</t>
        </is>
      </c>
      <c r="E700" s="75" t="n"/>
      <c r="F700" s="75" t="n"/>
      <c r="G700" s="75" t="inlineStr">
        <is>
          <t>បន្ថែមព័ត៌មានថ្មីបានជោគជ័យ</t>
        </is>
      </c>
      <c r="H700" s="75" t="inlineStr">
        <is>
          <t>បន្ថែមព័ត៌មានថ្មីបានជោគជ័យ</t>
        </is>
      </c>
      <c r="I700" s="75" t="n"/>
      <c r="J700" s="75" t="n"/>
      <c r="K700" s="75" t="inlineStr">
        <is>
          <t>"modifyDepartment.createSuccess": "បន្ថែមព័ត៌មានថ្មីបានជោគជ័យ",</t>
        </is>
      </c>
      <c r="L700" s="75" t="n"/>
      <c r="M700" s="75" t="n"/>
      <c r="N700" s="75" t="n"/>
      <c r="O700" s="75" t="n"/>
      <c r="P700" s="75" t="n"/>
      <c r="Q700" s="75" t="n"/>
      <c r="R700" s="75" t="n"/>
      <c r="S700" s="75" t="n"/>
      <c r="T700" s="75" t="n"/>
      <c r="U700" s="75" t="n"/>
      <c r="V700" s="75" t="n"/>
      <c r="W700" s="75" t="n"/>
      <c r="X700" s="75" t="n"/>
      <c r="Y700" s="75" t="n"/>
      <c r="Z700" s="45" t="n"/>
    </row>
    <row r="701">
      <c r="A701" s="40" t="inlineStr">
        <is>
          <t>modifyDepartment.updateSuccess</t>
        </is>
      </c>
      <c r="B701" s="46" t="inlineStr">
        <is>
          <t>Cập nhật thông tin thành công</t>
        </is>
      </c>
      <c r="C701" s="46" t="inlineStr">
        <is>
          <t>Updated information successfully</t>
        </is>
      </c>
      <c r="D701" s="43" t="inlineStr">
        <is>
          <t>អាប់ដេតព័ត៌មានបានជោគជ័យ</t>
        </is>
      </c>
      <c r="E701" s="75" t="n"/>
      <c r="F701" s="75" t="n"/>
      <c r="G701" s="75" t="inlineStr">
        <is>
          <t>អាប់ដេតព័ត៌មានបានជោគជ័យ</t>
        </is>
      </c>
      <c r="H701" s="75" t="inlineStr">
        <is>
          <t>អាប់ដេតព័ត៌មានបានជោគជ័យ</t>
        </is>
      </c>
      <c r="I701" s="75" t="n"/>
      <c r="J701" s="75" t="n"/>
      <c r="K701" s="75" t="inlineStr">
        <is>
          <t>"modifyDepartment.updateSuccess": "អាប់ដេតព័ត៌មានបានជោគជ័យ",</t>
        </is>
      </c>
      <c r="L701" s="75" t="n"/>
      <c r="M701" s="75" t="n"/>
      <c r="N701" s="75" t="n"/>
      <c r="O701" s="75" t="n"/>
      <c r="P701" s="75" t="n"/>
      <c r="Q701" s="75" t="n"/>
      <c r="R701" s="75" t="n"/>
      <c r="S701" s="75" t="n"/>
      <c r="T701" s="75" t="n"/>
      <c r="U701" s="75" t="n"/>
      <c r="V701" s="75" t="n"/>
      <c r="W701" s="75" t="n"/>
      <c r="X701" s="75" t="n"/>
      <c r="Y701" s="75" t="n"/>
      <c r="Z701" s="45" t="n"/>
    </row>
    <row r="702">
      <c r="A702" s="40" t="inlineStr">
        <is>
          <t>modifyDepartment.historyDepartment</t>
        </is>
      </c>
      <c r="B702" s="46" t="inlineStr">
        <is>
          <t>Lịch sử bưu cục</t>
        </is>
      </c>
      <c r="C702" s="46" t="inlineStr">
        <is>
          <t>Post office history</t>
        </is>
      </c>
      <c r="D702" s="43" t="inlineStr">
        <is>
          <t>ប្រវត្តិការិយាល័យប្រៃណីយ៍</t>
        </is>
      </c>
      <c r="E702" s="75" t="n"/>
      <c r="F702" s="75" t="n"/>
      <c r="G702" s="75" t="inlineStr">
        <is>
          <t>ប្រវត្តិការិយាល័យប្រៃណីយ៍</t>
        </is>
      </c>
      <c r="H702" s="75" t="inlineStr">
        <is>
          <t>ប្រវត្តិការិយាល័យប្រៃណីយ៍</t>
        </is>
      </c>
      <c r="I702" s="75" t="n"/>
      <c r="J702" s="75" t="n"/>
      <c r="K702" s="75" t="inlineStr">
        <is>
          <t>"modifyDepartment.historyDepartment": "ប្រវត្តិការិយាល័យប្រៃណីយ៍",</t>
        </is>
      </c>
      <c r="L702" s="75" t="n"/>
      <c r="M702" s="75" t="n"/>
      <c r="N702" s="75" t="n"/>
      <c r="O702" s="75" t="n"/>
      <c r="P702" s="75" t="n"/>
      <c r="Q702" s="75" t="n"/>
      <c r="R702" s="75" t="n"/>
      <c r="S702" s="75" t="n"/>
      <c r="T702" s="75" t="n"/>
      <c r="U702" s="75" t="n"/>
      <c r="V702" s="75" t="n"/>
      <c r="W702" s="75" t="n"/>
      <c r="X702" s="75" t="n"/>
      <c r="Y702" s="75" t="n"/>
      <c r="Z702" s="45" t="n"/>
    </row>
    <row r="703">
      <c r="A703" s="40" t="inlineStr">
        <is>
          <t>modifyDepartment.startAt</t>
        </is>
      </c>
      <c r="B703" s="46" t="inlineStr">
        <is>
          <t>Thời gian bắt đầu</t>
        </is>
      </c>
      <c r="C703" s="46" t="inlineStr">
        <is>
          <t>Start time</t>
        </is>
      </c>
      <c r="D703" s="43" t="inlineStr">
        <is>
          <t>ពេលវេលាចាប់ផ្តើម</t>
        </is>
      </c>
      <c r="E703" s="75" t="n"/>
      <c r="F703" s="75" t="n"/>
      <c r="G703" s="75" t="inlineStr">
        <is>
          <t>ពេលវេលាចាប់ផ្តើម</t>
        </is>
      </c>
      <c r="H703" s="75" t="inlineStr">
        <is>
          <t>ពេលវេលាចាប់ផ្តើម</t>
        </is>
      </c>
      <c r="I703" s="75" t="n"/>
      <c r="J703" s="75" t="n"/>
      <c r="K703" s="75" t="inlineStr">
        <is>
          <t>"modifyDepartment.startAt": "ពេលវេលាចាប់ផ្តើម",</t>
        </is>
      </c>
      <c r="L703" s="75" t="n"/>
      <c r="M703" s="75" t="n"/>
      <c r="N703" s="75" t="n"/>
      <c r="O703" s="75" t="n"/>
      <c r="P703" s="75" t="n"/>
      <c r="Q703" s="75" t="n"/>
      <c r="R703" s="75" t="n"/>
      <c r="S703" s="75" t="n"/>
      <c r="T703" s="75" t="n"/>
      <c r="U703" s="75" t="n"/>
      <c r="V703" s="75" t="n"/>
      <c r="W703" s="75" t="n"/>
      <c r="X703" s="75" t="n"/>
      <c r="Y703" s="75" t="n"/>
      <c r="Z703" s="45" t="n"/>
    </row>
    <row r="704">
      <c r="A704" s="40" t="inlineStr">
        <is>
          <t>modifyDepartment.endAt</t>
        </is>
      </c>
      <c r="B704" s="46" t="inlineStr">
        <is>
          <t>Thời gian kết thúc</t>
        </is>
      </c>
      <c r="C704" s="46" t="inlineStr">
        <is>
          <t>End time</t>
        </is>
      </c>
      <c r="D704" s="43" t="inlineStr">
        <is>
          <t>ពេលវេលាបញ្ចប់</t>
        </is>
      </c>
      <c r="E704" s="75" t="n"/>
      <c r="F704" s="75" t="n"/>
      <c r="G704" s="75" t="inlineStr">
        <is>
          <t>ពេលវេលាបញ្ចប់</t>
        </is>
      </c>
      <c r="H704" s="75" t="inlineStr">
        <is>
          <t>ពេលវេលាបញ្ចប់</t>
        </is>
      </c>
      <c r="I704" s="75" t="n"/>
      <c r="J704" s="75" t="n"/>
      <c r="K704" s="75" t="inlineStr">
        <is>
          <t>"modifyDepartment.endAt": "ពេលវេលាបញ្ចប់",</t>
        </is>
      </c>
      <c r="L704" s="75" t="n"/>
      <c r="M704" s="75" t="n"/>
      <c r="N704" s="75" t="n"/>
      <c r="O704" s="75" t="n"/>
      <c r="P704" s="75" t="n"/>
      <c r="Q704" s="75" t="n"/>
      <c r="R704" s="75" t="n"/>
      <c r="S704" s="75" t="n"/>
      <c r="T704" s="75" t="n"/>
      <c r="U704" s="75" t="n"/>
      <c r="V704" s="75" t="n"/>
      <c r="W704" s="75" t="n"/>
      <c r="X704" s="75" t="n"/>
      <c r="Y704" s="75" t="n"/>
      <c r="Z704" s="45" t="n"/>
    </row>
    <row r="705">
      <c r="A705" s="40" t="inlineStr">
        <is>
          <t>modifyDepartment.ACTIVE</t>
        </is>
      </c>
      <c r="B705" s="46" t="inlineStr">
        <is>
          <t>Hiệu lực</t>
        </is>
      </c>
      <c r="C705" s="46" t="inlineStr">
        <is>
          <t>Valid</t>
        </is>
      </c>
      <c r="D705" s="43" t="inlineStr">
        <is>
          <t>សុពលភាព</t>
        </is>
      </c>
      <c r="E705" s="75" t="n"/>
      <c r="F705" s="75" t="n"/>
      <c r="G705" s="75" t="inlineStr">
        <is>
          <t>សកម្ម</t>
        </is>
      </c>
      <c r="H705" s="75" t="inlineStr">
        <is>
          <t>សកម្ម</t>
        </is>
      </c>
      <c r="I705" s="75" t="n"/>
      <c r="J705" s="75" t="n"/>
      <c r="K705" s="75" t="inlineStr">
        <is>
          <t>"modifyDepartment.ACTIVE": "សកម្ម",</t>
        </is>
      </c>
      <c r="L705" s="75" t="n"/>
      <c r="M705" s="75" t="n"/>
      <c r="N705" s="75" t="n"/>
      <c r="O705" s="75" t="n"/>
      <c r="P705" s="75" t="n"/>
      <c r="Q705" s="75" t="n"/>
      <c r="R705" s="75" t="n"/>
      <c r="S705" s="75" t="n"/>
      <c r="T705" s="75" t="n"/>
      <c r="U705" s="75" t="n"/>
      <c r="V705" s="75" t="n"/>
      <c r="W705" s="75" t="n"/>
      <c r="X705" s="75" t="n"/>
      <c r="Y705" s="75" t="n"/>
      <c r="Z705" s="45" t="n"/>
    </row>
    <row r="706">
      <c r="A706" s="40" t="inlineStr">
        <is>
          <t>modifyDepartment.INACTIVE</t>
        </is>
      </c>
      <c r="B706" s="46" t="inlineStr">
        <is>
          <t>Hết hiệu lực</t>
        </is>
      </c>
      <c r="C706" s="46" t="inlineStr">
        <is>
          <t>Invalid</t>
        </is>
      </c>
      <c r="D706" s="43" t="inlineStr">
        <is>
          <t>អស់សុពលភាព</t>
        </is>
      </c>
      <c r="E706" s="75" t="n"/>
      <c r="F706" s="75" t="n"/>
      <c r="G706" s="75" t="inlineStr">
        <is>
          <t>អសកម្ម</t>
        </is>
      </c>
      <c r="H706" s="75" t="inlineStr">
        <is>
          <t>អសកម្ម</t>
        </is>
      </c>
      <c r="I706" s="75" t="n"/>
      <c r="J706" s="75" t="n"/>
      <c r="K706" s="75" t="inlineStr">
        <is>
          <t>"modifyDepartment.INACTIVE": "អសកម្ម",</t>
        </is>
      </c>
      <c r="L706" s="75" t="n"/>
      <c r="M706" s="75" t="n"/>
      <c r="N706" s="75" t="n"/>
      <c r="O706" s="75" t="n"/>
      <c r="P706" s="75" t="n"/>
      <c r="Q706" s="75" t="n"/>
      <c r="R706" s="75" t="n"/>
      <c r="S706" s="75" t="n"/>
      <c r="T706" s="75" t="n"/>
      <c r="U706" s="75" t="n"/>
      <c r="V706" s="75" t="n"/>
      <c r="W706" s="75" t="n"/>
      <c r="X706" s="75" t="n"/>
      <c r="Y706" s="75" t="n"/>
      <c r="Z706" s="45" t="n"/>
    </row>
    <row r="707">
      <c r="A707" s="40" t="inlineStr">
        <is>
          <t>modifyDepartment.errorGetData</t>
        </is>
      </c>
      <c r="B707" s="46" t="inlineStr">
        <is>
          <t>Lỗi khi lấy dữ liệu thông tin bưu cục</t>
        </is>
      </c>
      <c r="C707" s="46" t="inlineStr">
        <is>
          <t>Error when retrieving post office information data</t>
        </is>
      </c>
      <c r="D707" s="75" t="n"/>
      <c r="E707" s="75" t="n"/>
      <c r="F707" s="75" t="n"/>
      <c r="G707" s="75" t="inlineStr">
        <is>
          <t>កំហុស khi lấy dữ liệu ព័ត៌មាន ការិយាល័យប្រៃសណីយ៍</t>
        </is>
      </c>
      <c r="H707" s="75" t="inlineStr">
        <is>
          <t>កំហុស khi lấy dữ liệu ព័ត៌មាន ការិយាល័យប្រៃសណីយ៍</t>
        </is>
      </c>
      <c r="I707" s="75" t="n"/>
      <c r="J707" s="75" t="n"/>
      <c r="K707" s="75" t="inlineStr">
        <is>
          <t>"modifyDepartment.errorGetData": "កំហុស khi lấy dữ liệu ព័ត៌មាន ការិយាល័យប្រៃសណីយ៍",</t>
        </is>
      </c>
      <c r="L707" s="75" t="n"/>
      <c r="M707" s="75" t="n"/>
      <c r="N707" s="75" t="n"/>
      <c r="O707" s="75" t="n"/>
      <c r="P707" s="75" t="n"/>
      <c r="Q707" s="75" t="n"/>
      <c r="R707" s="75" t="n"/>
      <c r="S707" s="75" t="n"/>
      <c r="T707" s="75" t="n"/>
      <c r="U707" s="75" t="n"/>
      <c r="V707" s="75" t="n"/>
      <c r="W707" s="75" t="n"/>
      <c r="X707" s="75" t="n"/>
      <c r="Y707" s="75" t="n"/>
      <c r="Z707" s="45" t="n"/>
    </row>
    <row r="708">
      <c r="A708" s="40" t="inlineStr">
        <is>
          <t>configDelivery.searchPlaceholder</t>
        </is>
      </c>
      <c r="B708" s="46" t="inlineStr">
        <is>
          <t>Nhập tên tuyến hoặc số hộp</t>
        </is>
      </c>
      <c r="C708" s="46" t="inlineStr">
        <is>
          <t>Enter route name or box number</t>
        </is>
      </c>
      <c r="D708" s="43" t="inlineStr">
        <is>
          <t>បញ្ចូលឈ្មោះផ្លូ្លវដឹកឬ លេខប្រអប់</t>
        </is>
      </c>
      <c r="E708" s="75" t="n"/>
      <c r="F708" s="75" t="n"/>
      <c r="G708" s="75" t="inlineStr">
        <is>
          <t>បញ្ចូលឈ្មោះផ្លូ្លវដឹកឬ លេខប្រអប់</t>
        </is>
      </c>
      <c r="H708" s="75" t="inlineStr">
        <is>
          <t>បញ្ចូលឈ្មោះផ្លូ្លវដឹកឬ លេខប្រអប់</t>
        </is>
      </c>
      <c r="I708" s="75" t="n"/>
      <c r="J708" s="75" t="n"/>
      <c r="K708" s="75" t="inlineStr">
        <is>
          <t>"configDelivery.searchPlaceholder": "បញ្ចូលឈ្មោះផ្លូ្លវដឹកឬ លេខប្រអប់",</t>
        </is>
      </c>
      <c r="L708" s="75" t="n"/>
      <c r="M708" s="75" t="n"/>
      <c r="N708" s="75" t="n"/>
      <c r="O708" s="75" t="n"/>
      <c r="P708" s="75" t="n"/>
      <c r="Q708" s="75" t="n"/>
      <c r="R708" s="75" t="n"/>
      <c r="S708" s="75" t="n"/>
      <c r="T708" s="75" t="n"/>
      <c r="U708" s="75" t="n"/>
      <c r="V708" s="75" t="n"/>
      <c r="W708" s="75" t="n"/>
      <c r="X708" s="75" t="n"/>
      <c r="Y708" s="75" t="n"/>
      <c r="Z708" s="45" t="n"/>
    </row>
    <row r="709">
      <c r="A709" s="40" t="inlineStr">
        <is>
          <t>configDelivery.nameRoute</t>
        </is>
      </c>
      <c r="B709" s="46" t="inlineStr">
        <is>
          <t>Tuyến</t>
        </is>
      </c>
      <c r="C709" s="46" t="inlineStr">
        <is>
          <t>Route</t>
        </is>
      </c>
      <c r="D709" s="43" t="inlineStr">
        <is>
          <t>ផ្លូវដឹក</t>
        </is>
      </c>
      <c r="E709" s="75" t="n"/>
      <c r="F709" s="75" t="n"/>
      <c r="G709" s="75" t="inlineStr">
        <is>
          <t>ផ្លូវដឹក</t>
        </is>
      </c>
      <c r="H709" s="75" t="inlineStr">
        <is>
          <t>ផ្លូវដឹក</t>
        </is>
      </c>
      <c r="I709" s="75" t="n"/>
      <c r="J709" s="75" t="n"/>
      <c r="K709" s="75" t="inlineStr">
        <is>
          <t>"configDelivery.nameRoute": "ផ្លូវដឹក",</t>
        </is>
      </c>
      <c r="L709" s="75" t="n"/>
      <c r="M709" s="75" t="n"/>
      <c r="N709" s="75" t="n"/>
      <c r="O709" s="75" t="n"/>
      <c r="P709" s="75" t="n"/>
      <c r="Q709" s="75" t="n"/>
      <c r="R709" s="75" t="n"/>
      <c r="S709" s="75" t="n"/>
      <c r="T709" s="75" t="n"/>
      <c r="U709" s="75" t="n"/>
      <c r="V709" s="75" t="n"/>
      <c r="W709" s="75" t="n"/>
      <c r="X709" s="75" t="n"/>
      <c r="Y709" s="75" t="n"/>
      <c r="Z709" s="45" t="n"/>
    </row>
    <row r="710">
      <c r="A710" s="40" t="inlineStr">
        <is>
          <t>configDelivery.leaderRoute</t>
        </is>
      </c>
      <c r="B710" s="46" t="inlineStr">
        <is>
          <t>Mặc định</t>
        </is>
      </c>
      <c r="C710" s="46" t="inlineStr">
        <is>
          <t>Default</t>
        </is>
      </c>
      <c r="D710" s="75" t="n"/>
      <c r="E710" s="75" t="n"/>
      <c r="F710" s="75" t="n"/>
      <c r="G710" s="75" t="inlineStr">
        <is>
          <t>លំនាំដើម</t>
        </is>
      </c>
      <c r="H710" s="75" t="inlineStr">
        <is>
          <t>លំនាំដើម</t>
        </is>
      </c>
      <c r="I710" s="75" t="n"/>
      <c r="J710" s="75" t="n"/>
      <c r="K710" s="75" t="inlineStr">
        <is>
          <t>"configDelivery.leaderRoute": "លំនាំដើម",</t>
        </is>
      </c>
      <c r="L710" s="75" t="n"/>
      <c r="M710" s="75" t="n"/>
      <c r="N710" s="75" t="n"/>
      <c r="O710" s="75" t="n"/>
      <c r="P710" s="75" t="n"/>
      <c r="Q710" s="75" t="n"/>
      <c r="R710" s="75" t="n"/>
      <c r="S710" s="75" t="n"/>
      <c r="T710" s="75" t="n"/>
      <c r="U710" s="75" t="n"/>
      <c r="V710" s="75" t="n"/>
      <c r="W710" s="75" t="n"/>
      <c r="X710" s="75" t="n"/>
      <c r="Y710" s="75" t="n"/>
      <c r="Z710" s="45" t="n"/>
    </row>
    <row r="711">
      <c r="A711" s="40" t="inlineStr">
        <is>
          <t>configDelivery.box</t>
        </is>
      </c>
      <c r="B711" s="46" t="inlineStr">
        <is>
          <t>Hộp</t>
        </is>
      </c>
      <c r="C711" s="46" t="inlineStr">
        <is>
          <t>Box</t>
        </is>
      </c>
      <c r="D711" s="43" t="inlineStr">
        <is>
          <t>ប្រអប់</t>
        </is>
      </c>
      <c r="E711" s="75" t="n"/>
      <c r="F711" s="75" t="n"/>
      <c r="G711" s="75" t="inlineStr">
        <is>
          <t>ប្រអប់</t>
        </is>
      </c>
      <c r="H711" s="75" t="inlineStr">
        <is>
          <t>ប្រអប់</t>
        </is>
      </c>
      <c r="I711" s="75" t="n"/>
      <c r="J711" s="75" t="n"/>
      <c r="K711" s="75" t="inlineStr">
        <is>
          <t>"configDelivery.box": "ប្រអប់",</t>
        </is>
      </c>
      <c r="L711" s="75" t="n"/>
      <c r="M711" s="75" t="n"/>
      <c r="N711" s="75" t="n"/>
      <c r="O711" s="75" t="n"/>
      <c r="P711" s="75" t="n"/>
      <c r="Q711" s="75" t="n"/>
      <c r="R711" s="75" t="n"/>
      <c r="S711" s="75" t="n"/>
      <c r="T711" s="75" t="n"/>
      <c r="U711" s="75" t="n"/>
      <c r="V711" s="75" t="n"/>
      <c r="W711" s="75" t="n"/>
      <c r="X711" s="75" t="n"/>
      <c r="Y711" s="75" t="n"/>
      <c r="Z711" s="45" t="n"/>
    </row>
    <row r="712">
      <c r="A712" s="40" t="inlineStr">
        <is>
          <t>configDelivery.updateAt</t>
        </is>
      </c>
      <c r="B712" s="46" t="inlineStr">
        <is>
          <t>Ngày cập nhật</t>
        </is>
      </c>
      <c r="C712" s="46" t="inlineStr">
        <is>
          <t>Updated time</t>
        </is>
      </c>
      <c r="D712" s="43" t="inlineStr">
        <is>
          <t>ថ្ងៃអាប់ដេត</t>
        </is>
      </c>
      <c r="E712" s="75" t="n"/>
      <c r="F712" s="75" t="n"/>
      <c r="G712" s="75" t="inlineStr">
        <is>
          <t>ថ្ងៃអាប់ដេត</t>
        </is>
      </c>
      <c r="H712" s="75" t="inlineStr">
        <is>
          <t>ថ្ងៃអាប់ដេត</t>
        </is>
      </c>
      <c r="I712" s="75" t="n"/>
      <c r="J712" s="75" t="n"/>
      <c r="K712" s="75" t="inlineStr">
        <is>
          <t>"configDelivery.updateAt": "ថ្ងៃអាប់ដេត",</t>
        </is>
      </c>
      <c r="L712" s="75" t="n"/>
      <c r="M712" s="75" t="n"/>
      <c r="N712" s="75" t="n"/>
      <c r="O712" s="75" t="n"/>
      <c r="P712" s="75" t="n"/>
      <c r="Q712" s="75" t="n"/>
      <c r="R712" s="75" t="n"/>
      <c r="S712" s="75" t="n"/>
      <c r="T712" s="75" t="n"/>
      <c r="U712" s="75" t="n"/>
      <c r="V712" s="75" t="n"/>
      <c r="W712" s="75" t="n"/>
      <c r="X712" s="75" t="n"/>
      <c r="Y712" s="75" t="n"/>
      <c r="Z712" s="45" t="n"/>
    </row>
    <row r="713">
      <c r="A713" s="40" t="inlineStr">
        <is>
          <t>configDelivery.updateBy</t>
        </is>
      </c>
      <c r="B713" s="46" t="inlineStr">
        <is>
          <t>Người cập nhật</t>
        </is>
      </c>
      <c r="C713" s="46" t="inlineStr">
        <is>
          <t>Updater</t>
        </is>
      </c>
      <c r="D713" s="43" t="inlineStr">
        <is>
          <t>អ្នកអាប់ដេត</t>
        </is>
      </c>
      <c r="E713" s="75" t="n"/>
      <c r="F713" s="75" t="n"/>
      <c r="G713" s="75" t="inlineStr">
        <is>
          <t>អ្នកអាប់ដេត</t>
        </is>
      </c>
      <c r="H713" s="75" t="inlineStr">
        <is>
          <t>អ្នកអាប់ដេត</t>
        </is>
      </c>
      <c r="I713" s="75" t="n"/>
      <c r="J713" s="75" t="n"/>
      <c r="K713" s="75" t="inlineStr">
        <is>
          <t>"configDelivery.updateBy": "អ្នកអាប់ដេត",</t>
        </is>
      </c>
      <c r="L713" s="75" t="n"/>
      <c r="M713" s="75" t="n"/>
      <c r="N713" s="75" t="n"/>
      <c r="O713" s="75" t="n"/>
      <c r="P713" s="75" t="n"/>
      <c r="Q713" s="75" t="n"/>
      <c r="R713" s="75" t="n"/>
      <c r="S713" s="75" t="n"/>
      <c r="T713" s="75" t="n"/>
      <c r="U713" s="75" t="n"/>
      <c r="V713" s="75" t="n"/>
      <c r="W713" s="75" t="n"/>
      <c r="X713" s="75" t="n"/>
      <c r="Y713" s="75" t="n"/>
      <c r="Z713" s="45" t="n"/>
    </row>
    <row r="714">
      <c r="A714" s="40" t="inlineStr">
        <is>
          <t>configDelivery.status</t>
        </is>
      </c>
      <c r="B714" s="46" t="inlineStr">
        <is>
          <t>Trạng thái</t>
        </is>
      </c>
      <c r="C714" s="46" t="inlineStr">
        <is>
          <t>Status</t>
        </is>
      </c>
      <c r="D714" s="43" t="inlineStr">
        <is>
          <t>ស្ថានភាព</t>
        </is>
      </c>
      <c r="E714" s="75" t="n"/>
      <c r="F714" s="75" t="n"/>
      <c r="G714" s="75" t="inlineStr">
        <is>
          <t>ស្ថានភាព</t>
        </is>
      </c>
      <c r="H714" s="75" t="inlineStr">
        <is>
          <t>ស្ថានភាព</t>
        </is>
      </c>
      <c r="I714" s="75" t="n"/>
      <c r="J714" s="75" t="n"/>
      <c r="K714" s="75" t="inlineStr">
        <is>
          <t>"configDelivery.status": "ស្ថានភាព",</t>
        </is>
      </c>
      <c r="L714" s="75" t="n"/>
      <c r="M714" s="75" t="n"/>
      <c r="N714" s="75" t="n"/>
      <c r="O714" s="75" t="n"/>
      <c r="P714" s="75" t="n"/>
      <c r="Q714" s="75" t="n"/>
      <c r="R714" s="75" t="n"/>
      <c r="S714" s="75" t="n"/>
      <c r="T714" s="75" t="n"/>
      <c r="U714" s="75" t="n"/>
      <c r="V714" s="75" t="n"/>
      <c r="W714" s="75" t="n"/>
      <c r="X714" s="75" t="n"/>
      <c r="Y714" s="75" t="n"/>
      <c r="Z714" s="45" t="n"/>
    </row>
    <row r="715">
      <c r="A715" s="40" t="inlineStr">
        <is>
          <t>configDelivery.ACTIVE</t>
        </is>
      </c>
      <c r="B715" s="46" t="inlineStr">
        <is>
          <t>Hoạt động</t>
        </is>
      </c>
      <c r="C715" s="46" t="inlineStr">
        <is>
          <t>Active</t>
        </is>
      </c>
      <c r="D715" s="43" t="inlineStr">
        <is>
          <t>សកម្មភាព</t>
        </is>
      </c>
      <c r="E715" s="75" t="n"/>
      <c r="F715" s="75" t="n"/>
      <c r="G715" s="75" t="inlineStr">
        <is>
          <t>ដំណើរការ</t>
        </is>
      </c>
      <c r="H715" s="75" t="inlineStr">
        <is>
          <t>ដំណើរការ</t>
        </is>
      </c>
      <c r="I715" s="75" t="n"/>
      <c r="J715" s="75" t="n"/>
      <c r="K715" s="75" t="inlineStr">
        <is>
          <t>"configDelivery.ACTIVE": "ដំណើរការ",</t>
        </is>
      </c>
      <c r="L715" s="75" t="n"/>
      <c r="M715" s="75" t="n"/>
      <c r="N715" s="75" t="n"/>
      <c r="O715" s="75" t="n"/>
      <c r="P715" s="75" t="n"/>
      <c r="Q715" s="75" t="n"/>
      <c r="R715" s="75" t="n"/>
      <c r="S715" s="75" t="n"/>
      <c r="T715" s="75" t="n"/>
      <c r="U715" s="75" t="n"/>
      <c r="V715" s="75" t="n"/>
      <c r="W715" s="75" t="n"/>
      <c r="X715" s="75" t="n"/>
      <c r="Y715" s="75" t="n"/>
      <c r="Z715" s="45" t="n"/>
    </row>
    <row r="716">
      <c r="A716" s="40" t="inlineStr">
        <is>
          <t>configDelivery.INACTIVE</t>
        </is>
      </c>
      <c r="B716" s="46" t="inlineStr">
        <is>
          <t>Không hoạt động</t>
        </is>
      </c>
      <c r="C716" s="46" t="inlineStr">
        <is>
          <t>Inactive</t>
        </is>
      </c>
      <c r="D716" s="43" t="inlineStr">
        <is>
          <t>មិនដំណើរការបាន</t>
        </is>
      </c>
      <c r="E716" s="75" t="n"/>
      <c r="F716" s="75" t="n"/>
      <c r="G716" s="75" t="inlineStr">
        <is>
          <t>មិនដំណើរការបាន</t>
        </is>
      </c>
      <c r="H716" s="75" t="inlineStr">
        <is>
          <t>មិនដំណើរការបាន</t>
        </is>
      </c>
      <c r="I716" s="75" t="n"/>
      <c r="J716" s="75" t="n"/>
      <c r="K716" s="75" t="inlineStr">
        <is>
          <t>"configDelivery.INACTIVE": "មិនដំណើរការបាន",</t>
        </is>
      </c>
      <c r="L716" s="75" t="n"/>
      <c r="M716" s="75" t="n"/>
      <c r="N716" s="75" t="n"/>
      <c r="O716" s="75" t="n"/>
      <c r="P716" s="75" t="n"/>
      <c r="Q716" s="75" t="n"/>
      <c r="R716" s="75" t="n"/>
      <c r="S716" s="75" t="n"/>
      <c r="T716" s="75" t="n"/>
      <c r="U716" s="75" t="n"/>
      <c r="V716" s="75" t="n"/>
      <c r="W716" s="75" t="n"/>
      <c r="X716" s="75" t="n"/>
      <c r="Y716" s="75" t="n"/>
      <c r="Z716" s="45" t="n"/>
    </row>
    <row r="717">
      <c r="A717" s="40" t="inlineStr">
        <is>
          <t>configDelivery.total</t>
        </is>
      </c>
      <c r="B717" s="46" t="inlineStr">
        <is>
          <t>Tổng số tuyến giao</t>
        </is>
      </c>
      <c r="C717" s="46" t="inlineStr">
        <is>
          <t>Total route</t>
        </is>
      </c>
      <c r="D717" s="43" t="inlineStr">
        <is>
          <t>សរុបចំនួនផ្លូវប្រគល់អីវ៉ាន់</t>
        </is>
      </c>
      <c r="E717" s="75" t="n"/>
      <c r="F717" s="75" t="n"/>
      <c r="G717" s="75" t="inlineStr">
        <is>
          <t>សរុបចំនួនផ្លូវប្រគល់អីវ៉ាន់</t>
        </is>
      </c>
      <c r="H717" s="75" t="inlineStr">
        <is>
          <t>សរុបចំនួនផ្លូវប្រគល់អីវ៉ាន់</t>
        </is>
      </c>
      <c r="I717" s="75" t="n"/>
      <c r="J717" s="75" t="n"/>
      <c r="K717" s="75" t="inlineStr">
        <is>
          <t>"configDelivery.total": "សរុបចំនួនផ្លូវប្រគល់អីវ៉ាន់",</t>
        </is>
      </c>
      <c r="L717" s="75" t="n"/>
      <c r="M717" s="75" t="n"/>
      <c r="N717" s="75" t="n"/>
      <c r="O717" s="75" t="n"/>
      <c r="P717" s="75" t="n"/>
      <c r="Q717" s="75" t="n"/>
      <c r="R717" s="75" t="n"/>
      <c r="S717" s="75" t="n"/>
      <c r="T717" s="75" t="n"/>
      <c r="U717" s="75" t="n"/>
      <c r="V717" s="75" t="n"/>
      <c r="W717" s="75" t="n"/>
      <c r="X717" s="75" t="n"/>
      <c r="Y717" s="75" t="n"/>
      <c r="Z717" s="45" t="n"/>
    </row>
    <row r="718">
      <c r="A718" s="40" t="inlineStr">
        <is>
          <t>configDelivery.getDetailFail</t>
        </is>
      </c>
      <c r="B718" s="46" t="inlineStr">
        <is>
          <t>Lỗi dữ liệu chi tiết tuyến giao</t>
        </is>
      </c>
      <c r="C718" s="46" t="inlineStr">
        <is>
          <t>Error in route detail data</t>
        </is>
      </c>
      <c r="D718" s="75" t="n"/>
      <c r="E718" s="75" t="n"/>
      <c r="F718" s="75" t="n"/>
      <c r="G718" s="75" t="inlineStr">
        <is>
          <t>កំហុស dữ liệu ព័ត៌មានលម្អិត ខ្សែផ្លូវ giao</t>
        </is>
      </c>
      <c r="H718" s="75" t="inlineStr">
        <is>
          <t>កំហុស dữ liệu ព័ត៌មានលម្អិត ខ្សែផ្លូវ giao</t>
        </is>
      </c>
      <c r="I718" s="75" t="n"/>
      <c r="J718" s="75" t="n"/>
      <c r="K718" s="75" t="inlineStr">
        <is>
          <t>"configDelivery.getDetailFail": "កំហុស dữ liệu ព័ត៌មានលម្អិត ខ្សែផ្លូវ giao",</t>
        </is>
      </c>
      <c r="L718" s="75" t="n"/>
      <c r="M718" s="75" t="n"/>
      <c r="N718" s="75" t="n"/>
      <c r="O718" s="75" t="n"/>
      <c r="P718" s="75" t="n"/>
      <c r="Q718" s="75" t="n"/>
      <c r="R718" s="75" t="n"/>
      <c r="S718" s="75" t="n"/>
      <c r="T718" s="75" t="n"/>
      <c r="U718" s="75" t="n"/>
      <c r="V718" s="75" t="n"/>
      <c r="W718" s="75" t="n"/>
      <c r="X718" s="75" t="n"/>
      <c r="Y718" s="75" t="n"/>
      <c r="Z718" s="45" t="n"/>
    </row>
    <row r="719">
      <c r="A719" s="40" t="inlineStr">
        <is>
          <t>modifyConfigDelivery.route</t>
        </is>
      </c>
      <c r="B719" s="46" t="inlineStr">
        <is>
          <t>Tuyến</t>
        </is>
      </c>
      <c r="C719" s="46" t="inlineStr">
        <is>
          <t>Route</t>
        </is>
      </c>
      <c r="D719" s="43" t="inlineStr">
        <is>
          <t>ផ្លូវដឹក</t>
        </is>
      </c>
      <c r="E719" s="75" t="n"/>
      <c r="F719" s="75" t="n"/>
      <c r="G719" s="75" t="inlineStr">
        <is>
          <t>ផ្លូវដឹក</t>
        </is>
      </c>
      <c r="H719" s="75" t="inlineStr">
        <is>
          <t>ផ្លូវដឹក</t>
        </is>
      </c>
      <c r="I719" s="75" t="n"/>
      <c r="J719" s="75" t="n"/>
      <c r="K719" s="75" t="inlineStr">
        <is>
          <t>"modifyConfigDelivery.route": "ផ្លូវដឹក",</t>
        </is>
      </c>
      <c r="L719" s="75" t="n"/>
      <c r="M719" s="75" t="n"/>
      <c r="N719" s="75" t="n"/>
      <c r="O719" s="75" t="n"/>
      <c r="P719" s="75" t="n"/>
      <c r="Q719" s="75" t="n"/>
      <c r="R719" s="75" t="n"/>
      <c r="S719" s="75" t="n"/>
      <c r="T719" s="75" t="n"/>
      <c r="U719" s="75" t="n"/>
      <c r="V719" s="75" t="n"/>
      <c r="W719" s="75" t="n"/>
      <c r="X719" s="75" t="n"/>
      <c r="Y719" s="75" t="n"/>
      <c r="Z719" s="45" t="n"/>
    </row>
    <row r="720">
      <c r="A720" s="40" t="inlineStr">
        <is>
          <t>modifyConfigDelivery.box</t>
        </is>
      </c>
      <c r="B720" s="46" t="inlineStr">
        <is>
          <t>Hộp</t>
        </is>
      </c>
      <c r="C720" s="46" t="inlineStr">
        <is>
          <t>Box</t>
        </is>
      </c>
      <c r="D720" s="43" t="inlineStr">
        <is>
          <t>ប្រអប់</t>
        </is>
      </c>
      <c r="E720" s="75" t="n"/>
      <c r="F720" s="75" t="n"/>
      <c r="G720" s="75" t="inlineStr">
        <is>
          <t>ប្រអប់</t>
        </is>
      </c>
      <c r="H720" s="75" t="inlineStr">
        <is>
          <t>ប្រអប់</t>
        </is>
      </c>
      <c r="I720" s="75" t="n"/>
      <c r="J720" s="75" t="n"/>
      <c r="K720" s="75" t="inlineStr">
        <is>
          <t>"modifyConfigDelivery.box": "ប្រអប់",</t>
        </is>
      </c>
      <c r="L720" s="75" t="n"/>
      <c r="M720" s="75" t="n"/>
      <c r="N720" s="75" t="n"/>
      <c r="O720" s="75" t="n"/>
      <c r="P720" s="75" t="n"/>
      <c r="Q720" s="75" t="n"/>
      <c r="R720" s="75" t="n"/>
      <c r="S720" s="75" t="n"/>
      <c r="T720" s="75" t="n"/>
      <c r="U720" s="75" t="n"/>
      <c r="V720" s="75" t="n"/>
      <c r="W720" s="75" t="n"/>
      <c r="X720" s="75" t="n"/>
      <c r="Y720" s="75" t="n"/>
      <c r="Z720" s="45" t="n"/>
    </row>
    <row r="721">
      <c r="A721" s="40" t="inlineStr">
        <is>
          <t>modifyConfigDelivery.update</t>
        </is>
      </c>
      <c r="B721" s="46" t="inlineStr">
        <is>
          <t>Cập nhật cấu hình</t>
        </is>
      </c>
      <c r="C721" s="46" t="inlineStr">
        <is>
          <t>Update config</t>
        </is>
      </c>
      <c r="D721" s="75" t="n"/>
      <c r="E721" s="75" t="n"/>
      <c r="F721" s="75" t="n"/>
      <c r="G721" s="75" t="inlineStr">
        <is>
          <t>ធ្វើបច្ចុប្បន្នភាពការកំណត់</t>
        </is>
      </c>
      <c r="H721" s="75" t="inlineStr">
        <is>
          <t>ធ្វើបច្ចុប្បន្នភាពការកំណត់</t>
        </is>
      </c>
      <c r="I721" s="75" t="n"/>
      <c r="J721" s="75" t="n"/>
      <c r="K721" s="75" t="inlineStr">
        <is>
          <t>"modifyConfigDelivery.update": "ធ្វើបច្ចុប្បន្នភាពការកំណត់",</t>
        </is>
      </c>
      <c r="L721" s="75" t="n"/>
      <c r="M721" s="75" t="n"/>
      <c r="N721" s="75" t="n"/>
      <c r="O721" s="75" t="n"/>
      <c r="P721" s="75" t="n"/>
      <c r="Q721" s="75" t="n"/>
      <c r="R721" s="75" t="n"/>
      <c r="S721" s="75" t="n"/>
      <c r="T721" s="75" t="n"/>
      <c r="U721" s="75" t="n"/>
      <c r="V721" s="75" t="n"/>
      <c r="W721" s="75" t="n"/>
      <c r="X721" s="75" t="n"/>
      <c r="Y721" s="75" t="n"/>
      <c r="Z721" s="45" t="n"/>
    </row>
    <row r="722">
      <c r="A722" s="40" t="inlineStr">
        <is>
          <t>modifyConfigDelivery.create</t>
        </is>
      </c>
      <c r="B722" s="46" t="inlineStr">
        <is>
          <t>Thêm mới cấu hình</t>
        </is>
      </c>
      <c r="C722" s="46" t="inlineStr">
        <is>
          <t>Create config</t>
        </is>
      </c>
      <c r="D722" s="75" t="n"/>
      <c r="E722" s="75" t="n"/>
      <c r="F722" s="75" t="n"/>
      <c r="G722" s="75" t="inlineStr">
        <is>
          <t>បន្ថែមការកំណត់ថ្មី</t>
        </is>
      </c>
      <c r="H722" s="75" t="inlineStr">
        <is>
          <t>បន្ថែមការកំណត់ថ្មី</t>
        </is>
      </c>
      <c r="I722" s="75" t="n"/>
      <c r="J722" s="75" t="n"/>
      <c r="K722" s="75" t="inlineStr">
        <is>
          <t>"modifyConfigDelivery.create": "បន្ថែមការកំណត់ថ្មី",</t>
        </is>
      </c>
      <c r="L722" s="75" t="n"/>
      <c r="M722" s="75" t="n"/>
      <c r="N722" s="75" t="n"/>
      <c r="O722" s="75" t="n"/>
      <c r="P722" s="75" t="n"/>
      <c r="Q722" s="75" t="n"/>
      <c r="R722" s="75" t="n"/>
      <c r="S722" s="75" t="n"/>
      <c r="T722" s="75" t="n"/>
      <c r="U722" s="75" t="n"/>
      <c r="V722" s="75" t="n"/>
      <c r="W722" s="75" t="n"/>
      <c r="X722" s="75" t="n"/>
      <c r="Y722" s="75" t="n"/>
      <c r="Z722" s="45" t="n"/>
    </row>
    <row r="723">
      <c r="A723" s="40" t="inlineStr">
        <is>
          <t>changeStatusConfig.title</t>
        </is>
      </c>
      <c r="B723" s="46" t="inlineStr">
        <is>
          <t>Bạn có chắc chắn muốn thay đổi trạng thái \n tuyến bưu tá hay không</t>
        </is>
      </c>
      <c r="C723" s="46" t="inlineStr">
        <is>
          <t>Change status</t>
        </is>
      </c>
      <c r="D723" s="43" t="inlineStr">
        <is>
          <t>តើអ្នកពិតជាចង់ផ្លាស់ប្តូរស្ថានភាពនៃផ្លូវប្រៃសណីយ៍មែនទេ?</t>
        </is>
      </c>
      <c r="E723" s="75" t="n"/>
      <c r="F723" s="75" t="n"/>
      <c r="G723" s="75" t="inlineStr">
        <is>
          <t>តើអ្នកពិតជាចង់ផ្លាស់ប្តូរស្ថានភាពនៃផ្លូវប្រៃសណីយ៍មែនទេ?</t>
        </is>
      </c>
      <c r="H723" s="75" t="inlineStr">
        <is>
          <t>តើអ្នកពិតជាចង់ផ្លាស់ប្តូរស្ថានភាពនៃផ្លូវប្រៃសណីយ៍មែនទេ?</t>
        </is>
      </c>
      <c r="I723" s="75" t="n"/>
      <c r="J723" s="75" t="n"/>
      <c r="K723" s="75" t="inlineStr">
        <is>
          <t>"changeStatusConfig.title": "តើអ្នកពិតជាចង់ផ្លាស់ប្តូរស្ថានភាពនៃផ្លូវប្រៃសណីយ៍មែនទេ?",</t>
        </is>
      </c>
      <c r="L723" s="75" t="n"/>
      <c r="M723" s="75" t="n"/>
      <c r="N723" s="75" t="n"/>
      <c r="O723" s="75" t="n"/>
      <c r="P723" s="75" t="n"/>
      <c r="Q723" s="75" t="n"/>
      <c r="R723" s="75" t="n"/>
      <c r="S723" s="75" t="n"/>
      <c r="T723" s="75" t="n"/>
      <c r="U723" s="75" t="n"/>
      <c r="V723" s="75" t="n"/>
      <c r="W723" s="75" t="n"/>
      <c r="X723" s="75" t="n"/>
      <c r="Y723" s="75" t="n"/>
      <c r="Z723" s="45" t="n"/>
    </row>
    <row r="724">
      <c r="A724" s="40" t="inlineStr">
        <is>
          <t>changeStatusConfig.notification</t>
        </is>
      </c>
      <c r="B724" s="46" t="inlineStr">
        <is>
          <t>Thay đổi trạng thái thành công</t>
        </is>
      </c>
      <c r="C724" s="46" t="inlineStr">
        <is>
          <t>Updated status successfully</t>
        </is>
      </c>
      <c r="D724" s="43" t="inlineStr">
        <is>
          <t>ផ្លាស់ប្តូរស្ថានភាពបានជោគជ័យ</t>
        </is>
      </c>
      <c r="E724" s="75" t="n"/>
      <c r="F724" s="75" t="n"/>
      <c r="G724" s="75" t="inlineStr">
        <is>
          <t>ផ្លាស់ប្តូរស្ថានភាពបានជោគជ័យ</t>
        </is>
      </c>
      <c r="H724" s="75" t="inlineStr">
        <is>
          <t>ផ្លាស់ប្តូរស្ថានភាពបានជោគជ័យ</t>
        </is>
      </c>
      <c r="I724" s="75" t="n"/>
      <c r="J724" s="75" t="n"/>
      <c r="K724" s="75" t="inlineStr">
        <is>
          <t>"changeStatusConfig.notification": "ផ្លាស់ប្តូរស្ថានភាពបានជោគជ័យ",</t>
        </is>
      </c>
      <c r="L724" s="75" t="n"/>
      <c r="M724" s="75" t="n"/>
      <c r="N724" s="75" t="n"/>
      <c r="O724" s="75" t="n"/>
      <c r="P724" s="75" t="n"/>
      <c r="Q724" s="75" t="n"/>
      <c r="R724" s="75" t="n"/>
      <c r="S724" s="75" t="n"/>
      <c r="T724" s="75" t="n"/>
      <c r="U724" s="75" t="n"/>
      <c r="V724" s="75" t="n"/>
      <c r="W724" s="75" t="n"/>
      <c r="X724" s="75" t="n"/>
      <c r="Y724" s="75" t="n"/>
      <c r="Z724" s="45" t="n"/>
    </row>
    <row r="725">
      <c r="A725" s="40" t="inlineStr">
        <is>
          <t>changeStatusConfig.fail</t>
        </is>
      </c>
      <c r="B725" s="46" t="inlineStr">
        <is>
          <t>Thay đổi trạng thái thất bại</t>
        </is>
      </c>
      <c r="C725" s="46" t="inlineStr">
        <is>
          <t>Updated status failed</t>
        </is>
      </c>
      <c r="D725" s="43" t="inlineStr">
        <is>
          <t>ផ្លាស់ប្តូរស្ថានភាពបានជោគជ័យ</t>
        </is>
      </c>
      <c r="E725" s="75" t="n"/>
      <c r="F725" s="75" t="n"/>
      <c r="G725" s="75" t="inlineStr">
        <is>
          <t>ផ្លាស់ប្តូរស្ថានភាពបានជោគជ័យ</t>
        </is>
      </c>
      <c r="H725" s="75" t="inlineStr">
        <is>
          <t>ផ្លាស់ប្តូរស្ថានភាពបានជោគជ័យ</t>
        </is>
      </c>
      <c r="I725" s="75" t="n"/>
      <c r="J725" s="75" t="n"/>
      <c r="K725" s="75" t="inlineStr">
        <is>
          <t>"changeStatusConfig.fail": "ផ្លាស់ប្តូរស្ថានភាពបានជោគជ័យ",</t>
        </is>
      </c>
      <c r="L725" s="75" t="n"/>
      <c r="M725" s="75" t="n"/>
      <c r="N725" s="75" t="n"/>
      <c r="O725" s="75" t="n"/>
      <c r="P725" s="75" t="n"/>
      <c r="Q725" s="75" t="n"/>
      <c r="R725" s="75" t="n"/>
      <c r="S725" s="75" t="n"/>
      <c r="T725" s="75" t="n"/>
      <c r="U725" s="75" t="n"/>
      <c r="V725" s="75" t="n"/>
      <c r="W725" s="75" t="n"/>
      <c r="X725" s="75" t="n"/>
      <c r="Y725" s="75" t="n"/>
      <c r="Z725" s="45" t="n"/>
    </row>
    <row r="726">
      <c r="A726" s="40" t="inlineStr">
        <is>
          <t>areaDelivery.district</t>
        </is>
      </c>
      <c r="B726" s="46" t="inlineStr">
        <is>
          <t>Quận/Huyện</t>
        </is>
      </c>
      <c r="C726" s="46" t="inlineStr">
        <is>
          <t>District</t>
        </is>
      </c>
      <c r="D726" s="43" t="inlineStr">
        <is>
          <t>ស្រុក/ខណ្ឌ</t>
        </is>
      </c>
      <c r="E726" s="75" t="n"/>
      <c r="F726" s="75" t="n"/>
      <c r="G726" s="75" t="inlineStr">
        <is>
          <t>ស្រុក/ខណ្ឌ</t>
        </is>
      </c>
      <c r="H726" s="75" t="inlineStr">
        <is>
          <t>ស្រុក/ខណ្ឌ</t>
        </is>
      </c>
      <c r="I726" s="75" t="n"/>
      <c r="J726" s="75" t="n"/>
      <c r="K726" s="75" t="inlineStr">
        <is>
          <t>"areaDelivery.district": "ស្រុក/ខណ្ឌ",</t>
        </is>
      </c>
      <c r="L726" s="75" t="n"/>
      <c r="M726" s="75" t="n"/>
      <c r="N726" s="75" t="n"/>
      <c r="O726" s="75" t="n"/>
      <c r="P726" s="75" t="n"/>
      <c r="Q726" s="75" t="n"/>
      <c r="R726" s="75" t="n"/>
      <c r="S726" s="75" t="n"/>
      <c r="T726" s="75" t="n"/>
      <c r="U726" s="75" t="n"/>
      <c r="V726" s="75" t="n"/>
      <c r="W726" s="75" t="n"/>
      <c r="X726" s="75" t="n"/>
      <c r="Y726" s="75" t="n"/>
      <c r="Z726" s="45" t="n"/>
    </row>
    <row r="727">
      <c r="A727" s="40" t="inlineStr">
        <is>
          <t>areaDelivery.ward</t>
        </is>
      </c>
      <c r="B727" s="46" t="inlineStr">
        <is>
          <t>Phường/Xã</t>
        </is>
      </c>
      <c r="C727" s="46" t="inlineStr">
        <is>
          <t>Commune</t>
        </is>
      </c>
      <c r="D727" s="43" t="inlineStr">
        <is>
          <t>ឃុំ/សង្កាត់</t>
        </is>
      </c>
      <c r="E727" s="75" t="n"/>
      <c r="F727" s="75" t="n"/>
      <c r="G727" s="75" t="inlineStr">
        <is>
          <t>ឃុំ/សង្កាត់</t>
        </is>
      </c>
      <c r="H727" s="75" t="inlineStr">
        <is>
          <t>ឃុំ/សង្កាត់</t>
        </is>
      </c>
      <c r="I727" s="75" t="n"/>
      <c r="J727" s="75" t="n"/>
      <c r="K727" s="75" t="inlineStr">
        <is>
          <t>"areaDelivery.ward": "ឃុំ/សង្កាត់",</t>
        </is>
      </c>
      <c r="L727" s="75" t="n"/>
      <c r="M727" s="75" t="n"/>
      <c r="N727" s="75" t="n"/>
      <c r="O727" s="75" t="n"/>
      <c r="P727" s="75" t="n"/>
      <c r="Q727" s="75" t="n"/>
      <c r="R727" s="75" t="n"/>
      <c r="S727" s="75" t="n"/>
      <c r="T727" s="75" t="n"/>
      <c r="U727" s="75" t="n"/>
      <c r="V727" s="75" t="n"/>
      <c r="W727" s="75" t="n"/>
      <c r="X727" s="75" t="n"/>
      <c r="Y727" s="75" t="n"/>
      <c r="Z727" s="45" t="n"/>
    </row>
    <row r="728">
      <c r="A728" s="40" t="inlineStr">
        <is>
          <t>areaDelivery.selectDistrict</t>
        </is>
      </c>
      <c r="B728" s="46" t="inlineStr">
        <is>
          <t>Chọn quận/huyện</t>
        </is>
      </c>
      <c r="C728" s="46" t="inlineStr">
        <is>
          <t>Select district</t>
        </is>
      </c>
      <c r="D728" s="43" t="inlineStr">
        <is>
          <t>ជ្រើសរើសឃុំ-សង្កាត់</t>
        </is>
      </c>
      <c r="E728" s="75" t="n"/>
      <c r="F728" s="75" t="n"/>
      <c r="G728" s="75" t="inlineStr">
        <is>
          <t>ជ្រើសរើសឃុំ-សង្កាត់</t>
        </is>
      </c>
      <c r="H728" s="75" t="inlineStr">
        <is>
          <t>ជ្រើសរើសឃុំ-សង្កាត់</t>
        </is>
      </c>
      <c r="I728" s="75" t="n"/>
      <c r="J728" s="75" t="n"/>
      <c r="K728" s="75" t="inlineStr">
        <is>
          <t>"areaDelivery.selectDistrict": "ជ្រើសរើសឃុំ-សង្កាត់",</t>
        </is>
      </c>
      <c r="L728" s="75" t="n"/>
      <c r="M728" s="75" t="n"/>
      <c r="N728" s="75" t="n"/>
      <c r="O728" s="75" t="n"/>
      <c r="P728" s="75" t="n"/>
      <c r="Q728" s="75" t="n"/>
      <c r="R728" s="75" t="n"/>
      <c r="S728" s="75" t="n"/>
      <c r="T728" s="75" t="n"/>
      <c r="U728" s="75" t="n"/>
      <c r="V728" s="75" t="n"/>
      <c r="W728" s="75" t="n"/>
      <c r="X728" s="75" t="n"/>
      <c r="Y728" s="75" t="n"/>
      <c r="Z728" s="45" t="n"/>
    </row>
    <row r="729">
      <c r="A729" s="40" t="inlineStr">
        <is>
          <t>areaDelivery.selectWard</t>
        </is>
      </c>
      <c r="B729" s="46" t="inlineStr">
        <is>
          <t>Chọn phường/Xã</t>
        </is>
      </c>
      <c r="C729" s="46" t="inlineStr">
        <is>
          <t>Select commune</t>
        </is>
      </c>
      <c r="D729" s="43" t="inlineStr">
        <is>
          <t>ជ្រើសរើសឃុំ-សង្កាត់</t>
        </is>
      </c>
      <c r="E729" s="75" t="n"/>
      <c r="F729" s="75" t="n"/>
      <c r="G729" s="75" t="inlineStr">
        <is>
          <t>ជ្រើសរើសឃុំ-សង្កាត់</t>
        </is>
      </c>
      <c r="H729" s="75" t="inlineStr">
        <is>
          <t>ជ្រើសរើសឃុំ-សង្កាត់</t>
        </is>
      </c>
      <c r="I729" s="75" t="n"/>
      <c r="J729" s="75" t="n"/>
      <c r="K729" s="75" t="inlineStr">
        <is>
          <t>"areaDelivery.selectWard": "ជ្រើសរើសឃុំ-សង្កាត់",</t>
        </is>
      </c>
      <c r="L729" s="75" t="n"/>
      <c r="M729" s="75" t="n"/>
      <c r="N729" s="75" t="n"/>
      <c r="O729" s="75" t="n"/>
      <c r="P729" s="75" t="n"/>
      <c r="Q729" s="75" t="n"/>
      <c r="R729" s="75" t="n"/>
      <c r="S729" s="75" t="n"/>
      <c r="T729" s="75" t="n"/>
      <c r="U729" s="75" t="n"/>
      <c r="V729" s="75" t="n"/>
      <c r="W729" s="75" t="n"/>
      <c r="X729" s="75" t="n"/>
      <c r="Y729" s="75" t="n"/>
      <c r="Z729" s="45" t="n"/>
    </row>
    <row r="730">
      <c r="A730" s="40" t="inlineStr">
        <is>
          <t>areaDelivery.notiChangeStatus</t>
        </is>
      </c>
      <c r="B730" s="46" t="inlineStr">
        <is>
          <t>Bạn có chác chắn muốn xóa địa danh giao \n của tuyến hay không</t>
        </is>
      </c>
      <c r="C730" s="46" t="inlineStr">
        <is>
          <t>Are you sure you want to delete the delivery address?</t>
        </is>
      </c>
      <c r="D730" s="43" t="inlineStr">
        <is>
          <t>តើអ្នកពិតជាចង់លុបចោលទីតាំងប្រគល់អីវ៉ាន់របស់ផ្លូវដឹកមែនឬទេ</t>
        </is>
      </c>
      <c r="E730" s="75" t="n"/>
      <c r="F730" s="75" t="n"/>
      <c r="G730" s="75" t="inlineStr">
        <is>
          <t>តើអ្នកពិតជាចង់លុបចោលទីតាំងប្រគល់អីវ៉ាន់របស់ផ្លូវដឹកមែនឬទេ</t>
        </is>
      </c>
      <c r="H730" s="75" t="inlineStr">
        <is>
          <t>តើអ្នកពិតជាចង់លុបចោលទីតាំងប្រគល់អីវ៉ាន់របស់ផ្លូវដឹកមែនឬទេ</t>
        </is>
      </c>
      <c r="I730" s="75" t="n"/>
      <c r="J730" s="75" t="n"/>
      <c r="K730" s="75" t="inlineStr">
        <is>
          <t>"areaDelivery.notiChangeStatus": "តើអ្នកពិតជាចង់លុបចោលទីតាំងប្រគល់អីវ៉ាន់របស់ផ្លូវដឹកមែនឬទេ",</t>
        </is>
      </c>
      <c r="L730" s="75" t="n"/>
      <c r="M730" s="75" t="n"/>
      <c r="N730" s="75" t="n"/>
      <c r="O730" s="75" t="n"/>
      <c r="P730" s="75" t="n"/>
      <c r="Q730" s="75" t="n"/>
      <c r="R730" s="75" t="n"/>
      <c r="S730" s="75" t="n"/>
      <c r="T730" s="75" t="n"/>
      <c r="U730" s="75" t="n"/>
      <c r="V730" s="75" t="n"/>
      <c r="W730" s="75" t="n"/>
      <c r="X730" s="75" t="n"/>
      <c r="Y730" s="75" t="n"/>
      <c r="Z730" s="45" t="n"/>
    </row>
    <row r="731">
      <c r="A731" s="40" t="inlineStr">
        <is>
          <t>areaDelivery.deleteSuccess</t>
        </is>
      </c>
      <c r="B731" s="46" t="inlineStr">
        <is>
          <t>Xóa địa danh thành công</t>
        </is>
      </c>
      <c r="C731" s="46" t="inlineStr">
        <is>
          <t>Deleted address successfully</t>
        </is>
      </c>
      <c r="D731" s="43" t="inlineStr">
        <is>
          <t>លុបទីតាំងបានជោគជ័យ</t>
        </is>
      </c>
      <c r="E731" s="75" t="n"/>
      <c r="F731" s="75" t="n"/>
      <c r="G731" s="75" t="inlineStr">
        <is>
          <t>លុបទីតាំងបានជោគជ័យ</t>
        </is>
      </c>
      <c r="H731" s="75" t="inlineStr">
        <is>
          <t>លុបទីតាំងបានជោគជ័យ</t>
        </is>
      </c>
      <c r="I731" s="75" t="n"/>
      <c r="J731" s="75" t="n"/>
      <c r="K731" s="75" t="inlineStr">
        <is>
          <t>"areaDelivery.deleteSuccess": "លុបទីតាំងបានជោគជ័យ",</t>
        </is>
      </c>
      <c r="L731" s="75" t="n"/>
      <c r="M731" s="75" t="n"/>
      <c r="N731" s="75" t="n"/>
      <c r="O731" s="75" t="n"/>
      <c r="P731" s="75" t="n"/>
      <c r="Q731" s="75" t="n"/>
      <c r="R731" s="75" t="n"/>
      <c r="S731" s="75" t="n"/>
      <c r="T731" s="75" t="n"/>
      <c r="U731" s="75" t="n"/>
      <c r="V731" s="75" t="n"/>
      <c r="W731" s="75" t="n"/>
      <c r="X731" s="75" t="n"/>
      <c r="Y731" s="75" t="n"/>
      <c r="Z731" s="45" t="n"/>
    </row>
    <row r="732">
      <c r="A732" s="40" t="inlineStr">
        <is>
          <t>postmanDelivery.searchPostman</t>
        </is>
      </c>
      <c r="B732" s="46" t="inlineStr">
        <is>
          <t>Nhập tên bưu tá</t>
        </is>
      </c>
      <c r="C732" s="46" t="inlineStr">
        <is>
          <t>Enter postman</t>
        </is>
      </c>
      <c r="D732" s="43" t="inlineStr">
        <is>
          <t>បញ្ចូលឈ្មោះអ្នកដឹក</t>
        </is>
      </c>
      <c r="E732" s="75" t="n"/>
      <c r="F732" s="75" t="n"/>
      <c r="G732" s="75" t="inlineStr">
        <is>
          <t>បញ្ចូលឈ្មោះអ្នកដឹក</t>
        </is>
      </c>
      <c r="H732" s="75" t="inlineStr">
        <is>
          <t>បញ្ចូលឈ្មោះអ្នកដឹក</t>
        </is>
      </c>
      <c r="I732" s="75" t="n"/>
      <c r="J732" s="75" t="n"/>
      <c r="K732" s="75" t="inlineStr">
        <is>
          <t>"postmanDelivery.searchPostman": "បញ្ចូលឈ្មោះអ្នកដឹក",</t>
        </is>
      </c>
      <c r="L732" s="75" t="n"/>
      <c r="M732" s="75" t="n"/>
      <c r="N732" s="75" t="n"/>
      <c r="O732" s="75" t="n"/>
      <c r="P732" s="75" t="n"/>
      <c r="Q732" s="75" t="n"/>
      <c r="R732" s="75" t="n"/>
      <c r="S732" s="75" t="n"/>
      <c r="T732" s="75" t="n"/>
      <c r="U732" s="75" t="n"/>
      <c r="V732" s="75" t="n"/>
      <c r="W732" s="75" t="n"/>
      <c r="X732" s="75" t="n"/>
      <c r="Y732" s="75" t="n"/>
      <c r="Z732" s="45" t="n"/>
    </row>
    <row r="733">
      <c r="A733" s="40" t="inlineStr">
        <is>
          <t>postmanDelivery.notiChangeStatus</t>
        </is>
      </c>
      <c r="B733" s="46" t="inlineStr">
        <is>
          <t>Bạn có chắc chắn muốn thay đổi trạng thái \n tuyến bưu tá hay không</t>
        </is>
      </c>
      <c r="C733" s="46" t="inlineStr">
        <is>
          <t>Are you sure you want to update the status postal route?</t>
        </is>
      </c>
      <c r="D733" s="43" t="inlineStr">
        <is>
          <t>តើអ្នកពិតជាចង់ផ្លាស់ប្តូរស្ថានភាពនៅការិយាល័យប្រៃសណីយ៍របស់"{{name}}"" ទៅ ""{{status}}"" មែនទេ?</t>
        </is>
      </c>
      <c r="E733" s="75" t="n"/>
      <c r="F733" s="75" t="n"/>
      <c r="G733" s="75" t="inlineStr">
        <is>
          <t>តើអ្នកពិតជាចង់ផ្លាស់ប្តូរស្ថានភាពនៅការិយាល័យប្រៃសណីយ៍របស់"{{name}}"" ទៅ ""{{status}}"" មែនទេ?</t>
        </is>
      </c>
      <c r="H733" s="75" t="inlineStr">
        <is>
          <t>តើអ្នកពិតជាចង់ផ្លាស់ប្តូរស្ថានភាពនៅការិយាល័យប្រៃសណីយ៍របស់"{{name}}"" ទៅ ""{{status}}"" មែនទេ?</t>
        </is>
      </c>
      <c r="I733" s="75" t="n"/>
      <c r="J733" s="75" t="n"/>
      <c r="K733" s="75" t="inlineStr">
        <is>
          <t>"postmanDelivery.notiChangeStatus": "តើអ្នកពិតជាចង់ផ្លាស់ប្តូរស្ថានភាពនៅការិយាល័យប្រៃសណីយ៍របស់"{{name}}"" ទៅ ""{{status}}"" មែនទេ?",</t>
        </is>
      </c>
      <c r="L733" s="75" t="n"/>
      <c r="M733" s="75" t="n"/>
      <c r="N733" s="75" t="n"/>
      <c r="O733" s="75" t="n"/>
      <c r="P733" s="75" t="n"/>
      <c r="Q733" s="75" t="n"/>
      <c r="R733" s="75" t="n"/>
      <c r="S733" s="75" t="n"/>
      <c r="T733" s="75" t="n"/>
      <c r="U733" s="75" t="n"/>
      <c r="V733" s="75" t="n"/>
      <c r="W733" s="75" t="n"/>
      <c r="X733" s="75" t="n"/>
      <c r="Y733" s="75" t="n"/>
      <c r="Z733" s="45" t="n"/>
    </row>
    <row r="734">
      <c r="A734" s="40" t="inlineStr">
        <is>
          <t>postmanDelivery.defaultUser</t>
        </is>
      </c>
      <c r="B734" s="46" t="inlineStr">
        <is>
          <t>Mặc định</t>
        </is>
      </c>
      <c r="C734" s="46" t="inlineStr">
        <is>
          <t>Default</t>
        </is>
      </c>
      <c r="D734" s="75" t="n"/>
      <c r="E734" s="75" t="n"/>
      <c r="F734" s="75" t="n"/>
      <c r="G734" s="75" t="inlineStr">
        <is>
          <t>លំនាំដើម</t>
        </is>
      </c>
      <c r="H734" s="75" t="inlineStr">
        <is>
          <t>លំនាំដើម</t>
        </is>
      </c>
      <c r="I734" s="75" t="n"/>
      <c r="J734" s="75" t="n"/>
      <c r="K734" s="75" t="inlineStr">
        <is>
          <t>"postmanDelivery.defaultUser": "លំនាំដើម",</t>
        </is>
      </c>
      <c r="L734" s="75" t="n"/>
      <c r="M734" s="75" t="n"/>
      <c r="N734" s="75" t="n"/>
      <c r="O734" s="75" t="n"/>
      <c r="P734" s="75" t="n"/>
      <c r="Q734" s="75" t="n"/>
      <c r="R734" s="75" t="n"/>
      <c r="S734" s="75" t="n"/>
      <c r="T734" s="75" t="n"/>
      <c r="U734" s="75" t="n"/>
      <c r="V734" s="75" t="n"/>
      <c r="W734" s="75" t="n"/>
      <c r="X734" s="75" t="n"/>
      <c r="Y734" s="75" t="n"/>
      <c r="Z734" s="45" t="n"/>
    </row>
    <row r="735">
      <c r="A735" s="40" t="inlineStr">
        <is>
          <t>postmanDelivery.NotDefaultUser</t>
        </is>
      </c>
      <c r="B735" s="46" t="inlineStr">
        <is>
          <t>Không mặc định</t>
        </is>
      </c>
      <c r="C735" s="46" t="inlineStr">
        <is>
          <t>Not default</t>
        </is>
      </c>
      <c r="D735" s="75" t="n"/>
      <c r="E735" s="75" t="n"/>
      <c r="F735" s="75" t="n"/>
      <c r="G735" s="75" t="inlineStr">
        <is>
          <t>មិនកំណត់ជាលំនាំដើម</t>
        </is>
      </c>
      <c r="H735" s="75" t="inlineStr">
        <is>
          <t>មិនកំណត់ជាលំនាំដើម</t>
        </is>
      </c>
      <c r="I735" s="75" t="n"/>
      <c r="J735" s="75" t="n"/>
      <c r="K735" s="75" t="inlineStr">
        <is>
          <t>"postmanDelivery.NotDefaultUser": "មិនកំណត់ជាលំនាំដើម",</t>
        </is>
      </c>
      <c r="L735" s="75" t="n"/>
      <c r="M735" s="75" t="n"/>
      <c r="N735" s="75" t="n"/>
      <c r="O735" s="75" t="n"/>
      <c r="P735" s="75" t="n"/>
      <c r="Q735" s="75" t="n"/>
      <c r="R735" s="75" t="n"/>
      <c r="S735" s="75" t="n"/>
      <c r="T735" s="75" t="n"/>
      <c r="U735" s="75" t="n"/>
      <c r="V735" s="75" t="n"/>
      <c r="W735" s="75" t="n"/>
      <c r="X735" s="75" t="n"/>
      <c r="Y735" s="75" t="n"/>
      <c r="Z735" s="45" t="n"/>
    </row>
    <row r="736">
      <c r="A736" s="40" t="inlineStr">
        <is>
          <t>postmanDelivery.changStatusSuccess</t>
        </is>
      </c>
      <c r="B736" s="46" t="inlineStr">
        <is>
          <t>Thay đổi trạng thái thành công</t>
        </is>
      </c>
      <c r="C736" s="46" t="inlineStr">
        <is>
          <t>Change status successfully</t>
        </is>
      </c>
      <c r="D736" s="43" t="inlineStr">
        <is>
          <t>ផ្លាស់ប្តូរស្ថានភាពបានជោគជ័យ</t>
        </is>
      </c>
      <c r="E736" s="75" t="n"/>
      <c r="F736" s="75" t="n"/>
      <c r="G736" s="75" t="inlineStr">
        <is>
          <t>ផ្លាស់ប្តូរស្ថានភាពបានជោគជ័យ</t>
        </is>
      </c>
      <c r="H736" s="75" t="inlineStr">
        <is>
          <t>ផ្លាស់ប្តូរស្ថានភាពបានជោគជ័យ</t>
        </is>
      </c>
      <c r="I736" s="75" t="n"/>
      <c r="J736" s="75" t="n"/>
      <c r="K736" s="75" t="inlineStr">
        <is>
          <t>"postmanDelivery.changStatusSuccess": "ផ្លាស់ប្តូរស្ថានភាពបានជោគជ័យ",</t>
        </is>
      </c>
      <c r="L736" s="75" t="n"/>
      <c r="M736" s="75" t="n"/>
      <c r="N736" s="75" t="n"/>
      <c r="O736" s="75" t="n"/>
      <c r="P736" s="75" t="n"/>
      <c r="Q736" s="75" t="n"/>
      <c r="R736" s="75" t="n"/>
      <c r="S736" s="75" t="n"/>
      <c r="T736" s="75" t="n"/>
      <c r="U736" s="75" t="n"/>
      <c r="V736" s="75" t="n"/>
      <c r="W736" s="75" t="n"/>
      <c r="X736" s="75" t="n"/>
      <c r="Y736" s="75" t="n"/>
      <c r="Z736" s="45" t="n"/>
    </row>
    <row r="737">
      <c r="A737" s="40" t="inlineStr">
        <is>
          <t>configReceivingDelivery.receiving</t>
        </is>
      </c>
      <c r="B737" s="46" t="inlineStr">
        <is>
          <t>Cấu hình tuyến nhận</t>
        </is>
      </c>
      <c r="C737" s="46" t="inlineStr">
        <is>
          <t>Config of receiving route</t>
        </is>
      </c>
      <c r="D737" s="75" t="n"/>
      <c r="E737" s="75" t="n"/>
      <c r="F737" s="75" t="n"/>
      <c r="G737" s="75" t="inlineStr">
        <is>
          <t>ការកំណត់ ខ្សែផ្លូវ ទទួល</t>
        </is>
      </c>
      <c r="H737" s="75" t="inlineStr">
        <is>
          <t>ការកំណត់ ខ្សែផ្លូវ ទទួល</t>
        </is>
      </c>
      <c r="I737" s="75" t="n"/>
      <c r="J737" s="75" t="n"/>
      <c r="K737" s="75" t="inlineStr">
        <is>
          <t>"configReceivingDelivery.receiving": "ការកំណត់ ខ្សែផ្លូវ ទទួល",</t>
        </is>
      </c>
      <c r="L737" s="75" t="n"/>
      <c r="M737" s="75" t="n"/>
      <c r="N737" s="75" t="n"/>
      <c r="O737" s="75" t="n"/>
      <c r="P737" s="75" t="n"/>
      <c r="Q737" s="75" t="n"/>
      <c r="R737" s="75" t="n"/>
      <c r="S737" s="75" t="n"/>
      <c r="T737" s="75" t="n"/>
      <c r="U737" s="75" t="n"/>
      <c r="V737" s="75" t="n"/>
      <c r="W737" s="75" t="n"/>
      <c r="X737" s="75" t="n"/>
      <c r="Y737" s="75" t="n"/>
      <c r="Z737" s="45" t="n"/>
    </row>
    <row r="738">
      <c r="A738" s="40" t="inlineStr">
        <is>
          <t>configReceivingDelivery.delivery</t>
        </is>
      </c>
      <c r="B738" s="46" t="inlineStr">
        <is>
          <t>Cấu hình tuyến giao</t>
        </is>
      </c>
      <c r="C738" s="46" t="inlineStr">
        <is>
          <t>Config of delivery route</t>
        </is>
      </c>
      <c r="D738" s="75" t="n"/>
      <c r="E738" s="75" t="n"/>
      <c r="F738" s="75" t="n"/>
      <c r="G738" s="75" t="inlineStr">
        <is>
          <t>ការកំណត់ ខ្សែផ្លូវ giao</t>
        </is>
      </c>
      <c r="H738" s="75" t="inlineStr">
        <is>
          <t>ការកំណត់ ខ្សែផ្លូវ giao</t>
        </is>
      </c>
      <c r="I738" s="75" t="n"/>
      <c r="J738" s="75" t="n"/>
      <c r="K738" s="75" t="inlineStr">
        <is>
          <t>"configReceivingDelivery.delivery": "ការកំណត់ ខ្សែផ្លូវ giao",</t>
        </is>
      </c>
      <c r="L738" s="75" t="n"/>
      <c r="M738" s="75" t="n"/>
      <c r="N738" s="75" t="n"/>
      <c r="O738" s="75" t="n"/>
      <c r="P738" s="75" t="n"/>
      <c r="Q738" s="75" t="n"/>
      <c r="R738" s="75" t="n"/>
      <c r="S738" s="75" t="n"/>
      <c r="T738" s="75" t="n"/>
      <c r="U738" s="75" t="n"/>
      <c r="V738" s="75" t="n"/>
      <c r="W738" s="75" t="n"/>
      <c r="X738" s="75" t="n"/>
      <c r="Y738" s="75" t="n"/>
      <c r="Z738" s="45" t="n"/>
    </row>
    <row r="739">
      <c r="A739" s="40" t="inlineStr">
        <is>
          <t>departmentManagerTab.departmentManager</t>
        </is>
      </c>
      <c r="B739" s="46" t="inlineStr">
        <is>
          <t>Danh sách bưu cục</t>
        </is>
      </c>
      <c r="C739" s="46" t="inlineStr">
        <is>
          <t>Danh sách bưu cục</t>
        </is>
      </c>
      <c r="D739" s="43" t="inlineStr">
        <is>
          <t>បញ្ជីការិយាល័យប្រៃសណីយ៍</t>
        </is>
      </c>
      <c r="E739" s="75" t="n"/>
      <c r="F739" s="75" t="n"/>
      <c r="G739" s="75" t="inlineStr">
        <is>
          <t>បញ្ជីការិយាល័យប្រៃសណីយ៍</t>
        </is>
      </c>
      <c r="H739" s="75" t="inlineStr">
        <is>
          <t>បញ្ជីការិយាល័យប្រៃសណីយ៍</t>
        </is>
      </c>
      <c r="I739" s="75" t="n"/>
      <c r="J739" s="75" t="n"/>
      <c r="K739" s="75" t="inlineStr">
        <is>
          <t>"departmentManagerTab.departmentManager": "បញ្ជីការិយាល័យប្រៃសណីយ៍",</t>
        </is>
      </c>
      <c r="L739" s="75" t="n"/>
      <c r="M739" s="75" t="n"/>
      <c r="N739" s="75" t="n"/>
      <c r="O739" s="75" t="n"/>
      <c r="P739" s="75" t="n"/>
      <c r="Q739" s="75" t="n"/>
      <c r="R739" s="75" t="n"/>
      <c r="S739" s="75" t="n"/>
      <c r="T739" s="75" t="n"/>
      <c r="U739" s="75" t="n"/>
      <c r="V739" s="75" t="n"/>
      <c r="W739" s="75" t="n"/>
      <c r="X739" s="75" t="n"/>
      <c r="Y739" s="75" t="n"/>
      <c r="Z739" s="45" t="n"/>
    </row>
    <row r="740">
      <c r="A740" s="40" t="inlineStr">
        <is>
          <t>departmentManagerTab.departmentLookup</t>
        </is>
      </c>
      <c r="B740" s="46" t="inlineStr">
        <is>
          <t>Tra cứu bưu cục phục vụ</t>
        </is>
      </c>
      <c r="C740" s="46" t="inlineStr">
        <is>
          <t>Tra cứu bưu cục phục vụ</t>
        </is>
      </c>
      <c r="D740" s="43" t="n"/>
      <c r="E740" s="75" t="n"/>
      <c r="F740" s="75" t="n"/>
      <c r="G740" s="75" t="inlineStr">
        <is>
          <t>Tra cứu ការិយាល័យប្រៃសណីយ៍ phục vụ</t>
        </is>
      </c>
      <c r="H740" s="75" t="inlineStr">
        <is>
          <t>Tra cứu ការិយាល័យប្រៃសណីយ៍ phục vụ</t>
        </is>
      </c>
      <c r="I740" s="75" t="n"/>
      <c r="J740" s="75" t="n"/>
      <c r="K740" s="75" t="inlineStr">
        <is>
          <t>"departmentManagerTab.departmentLookup": "Tra cứu ការិយាល័យប្រៃសណីយ៍ phục vụ",</t>
        </is>
      </c>
      <c r="L740" s="75" t="n"/>
      <c r="M740" s="75" t="n"/>
      <c r="N740" s="75" t="n"/>
      <c r="O740" s="75" t="n"/>
      <c r="P740" s="75" t="n"/>
      <c r="Q740" s="75" t="n"/>
      <c r="R740" s="75" t="n"/>
      <c r="S740" s="75" t="n"/>
      <c r="T740" s="75" t="n"/>
      <c r="U740" s="75" t="n"/>
      <c r="V740" s="75" t="n"/>
      <c r="W740" s="75" t="n"/>
      <c r="X740" s="75" t="n"/>
      <c r="Y740" s="75" t="n"/>
      <c r="Z740" s="45" t="n"/>
    </row>
    <row r="741">
      <c r="A741" s="40" t="inlineStr">
        <is>
          <t>locationDepartment.locationReceiving</t>
        </is>
      </c>
      <c r="B741" s="46" t="inlineStr">
        <is>
          <t>Địa danh nhận</t>
        </is>
      </c>
      <c r="C741" s="46" t="inlineStr">
        <is>
          <t>Địa danh nhận</t>
        </is>
      </c>
      <c r="D741" s="43" t="inlineStr">
        <is>
          <t>សេវាកម្ម</t>
        </is>
      </c>
      <c r="E741" s="75" t="n"/>
      <c r="F741" s="75" t="n"/>
      <c r="G741" s="75" t="inlineStr">
        <is>
          <t>សេវាកម្ម</t>
        </is>
      </c>
      <c r="H741" s="75" t="inlineStr">
        <is>
          <t>សេវាកម្ម</t>
        </is>
      </c>
      <c r="I741" s="75" t="n"/>
      <c r="J741" s="75" t="n"/>
      <c r="K741" s="75" t="inlineStr">
        <is>
          <t>"locationDepartment.locationReceiving": "សេវាកម្ម",</t>
        </is>
      </c>
      <c r="L741" s="75" t="n"/>
      <c r="M741" s="75" t="n"/>
      <c r="N741" s="75" t="n"/>
      <c r="O741" s="75" t="n"/>
      <c r="P741" s="75" t="n"/>
      <c r="Q741" s="75" t="n"/>
      <c r="R741" s="75" t="n"/>
      <c r="S741" s="75" t="n"/>
      <c r="T741" s="75" t="n"/>
      <c r="U741" s="75" t="n"/>
      <c r="V741" s="75" t="n"/>
      <c r="W741" s="75" t="n"/>
      <c r="X741" s="75" t="n"/>
      <c r="Y741" s="75" t="n"/>
      <c r="Z741" s="45" t="n"/>
    </row>
    <row r="742">
      <c r="A742" s="40" t="inlineStr">
        <is>
          <t>locationDepartment.locationDelivery</t>
        </is>
      </c>
      <c r="B742" s="46" t="inlineStr">
        <is>
          <t>Địa danh giao</t>
        </is>
      </c>
      <c r="C742" s="46" t="inlineStr">
        <is>
          <t>Địa danh giao</t>
        </is>
      </c>
      <c r="D742" s="43" t="n"/>
      <c r="E742" s="75" t="n"/>
      <c r="F742" s="75" t="n"/>
      <c r="G742" s="75" t="inlineStr">
        <is>
          <t>ទីតាំងដឹកចែក</t>
        </is>
      </c>
      <c r="H742" s="75" t="inlineStr">
        <is>
          <t>ទីតាំងដឹកចែក</t>
        </is>
      </c>
      <c r="I742" s="75" t="n"/>
      <c r="J742" s="75" t="n"/>
      <c r="K742" s="75" t="inlineStr">
        <is>
          <t>"locationDepartment.locationDelivery": "ទីតាំងដឹកចែក",</t>
        </is>
      </c>
      <c r="L742" s="75" t="n"/>
      <c r="M742" s="75" t="n"/>
      <c r="N742" s="75" t="n"/>
      <c r="O742" s="75" t="n"/>
      <c r="P742" s="75" t="n"/>
      <c r="Q742" s="75" t="n"/>
      <c r="R742" s="75" t="n"/>
      <c r="S742" s="75" t="n"/>
      <c r="T742" s="75" t="n"/>
      <c r="U742" s="75" t="n"/>
      <c r="V742" s="75" t="n"/>
      <c r="W742" s="75" t="n"/>
      <c r="X742" s="75" t="n"/>
      <c r="Y742" s="75" t="n"/>
      <c r="Z742" s="45" t="n"/>
    </row>
    <row r="743">
      <c r="A743" s="40" t="inlineStr">
        <is>
          <t>locationDepartment.province</t>
        </is>
      </c>
      <c r="B743" s="46" t="inlineStr">
        <is>
          <t>Liên bang/Vùng</t>
        </is>
      </c>
      <c r="C743" s="46" t="inlineStr">
        <is>
          <t>Liên bang/Vùng</t>
        </is>
      </c>
      <c r="D743" s="43" t="inlineStr">
        <is>
          <t>សហព័ន្ធ/តំបន់</t>
        </is>
      </c>
      <c r="E743" s="75" t="n"/>
      <c r="F743" s="75" t="n"/>
      <c r="G743" s="75" t="inlineStr">
        <is>
          <t>សហព័ន្ធ/តំបន់</t>
        </is>
      </c>
      <c r="H743" s="75" t="inlineStr">
        <is>
          <t>សហព័ន្ធ/តំបន់</t>
        </is>
      </c>
      <c r="I743" s="75" t="n"/>
      <c r="J743" s="75" t="n"/>
      <c r="K743" s="75" t="inlineStr">
        <is>
          <t>"locationDepartment.province": "សហព័ន្ធ/តំបន់",</t>
        </is>
      </c>
      <c r="L743" s="75" t="n"/>
      <c r="M743" s="75" t="n"/>
      <c r="N743" s="75" t="n"/>
      <c r="O743" s="75" t="n"/>
      <c r="P743" s="75" t="n"/>
      <c r="Q743" s="75" t="n"/>
      <c r="R743" s="75" t="n"/>
      <c r="S743" s="75" t="n"/>
      <c r="T743" s="75" t="n"/>
      <c r="U743" s="75" t="n"/>
      <c r="V743" s="75" t="n"/>
      <c r="W743" s="75" t="n"/>
      <c r="X743" s="75" t="n"/>
      <c r="Y743" s="75" t="n"/>
      <c r="Z743" s="45" t="n"/>
    </row>
    <row r="744">
      <c r="A744" s="40" t="inlineStr">
        <is>
          <t>locationDepartment.district</t>
        </is>
      </c>
      <c r="B744" s="46" t="inlineStr">
        <is>
          <t>Huyện</t>
        </is>
      </c>
      <c r="C744" s="46" t="inlineStr">
        <is>
          <t>Huyện</t>
        </is>
      </c>
      <c r="D744" s="75" t="inlineStr">
        <is>
          <t>ស្រុក</t>
        </is>
      </c>
      <c r="E744" s="75" t="n"/>
      <c r="F744" s="75" t="n"/>
      <c r="G744" s="75" t="inlineStr">
        <is>
          <t>ស្រុក</t>
        </is>
      </c>
      <c r="H744" s="75" t="inlineStr">
        <is>
          <t>ស្រុក</t>
        </is>
      </c>
      <c r="I744" s="75" t="n"/>
      <c r="J744" s="75" t="n"/>
      <c r="K744" s="75" t="inlineStr">
        <is>
          <t>"locationDepartment.district": "ស្រុក",</t>
        </is>
      </c>
      <c r="L744" s="75" t="n"/>
      <c r="M744" s="75" t="n"/>
      <c r="N744" s="75" t="n"/>
      <c r="O744" s="75" t="n"/>
      <c r="P744" s="75" t="n"/>
      <c r="Q744" s="75" t="n"/>
      <c r="R744" s="75" t="n"/>
      <c r="S744" s="75" t="n"/>
      <c r="T744" s="75" t="n"/>
      <c r="U744" s="75" t="n"/>
      <c r="V744" s="75" t="n"/>
      <c r="W744" s="75" t="n"/>
      <c r="X744" s="75" t="n"/>
      <c r="Y744" s="75" t="n"/>
      <c r="Z744" s="45" t="n"/>
    </row>
    <row r="745">
      <c r="A745" s="40" t="inlineStr">
        <is>
          <t>locationDepartment.ward</t>
        </is>
      </c>
      <c r="B745" s="46" t="inlineStr">
        <is>
          <t>Thị trấn</t>
        </is>
      </c>
      <c r="C745" s="46" t="inlineStr">
        <is>
          <t>Thị trấn</t>
        </is>
      </c>
      <c r="D745" s="43" t="inlineStr">
        <is>
          <t>ទីរួមខេត្ត</t>
        </is>
      </c>
      <c r="E745" s="75" t="n"/>
      <c r="F745" s="75" t="n"/>
      <c r="G745" s="75" t="inlineStr">
        <is>
          <t>ទីរួមខេត្ត</t>
        </is>
      </c>
      <c r="H745" s="75" t="inlineStr">
        <is>
          <t>ទីរួមខេត្ត</t>
        </is>
      </c>
      <c r="I745" s="75" t="n"/>
      <c r="J745" s="75" t="n"/>
      <c r="K745" s="75" t="inlineStr">
        <is>
          <t>"locationDepartment.ward": "ទីរួមខេត្ត",</t>
        </is>
      </c>
      <c r="L745" s="75" t="n"/>
      <c r="M745" s="75" t="n"/>
      <c r="N745" s="75" t="n"/>
      <c r="O745" s="75" t="n"/>
      <c r="P745" s="75" t="n"/>
      <c r="Q745" s="75" t="n"/>
      <c r="R745" s="75" t="n"/>
      <c r="S745" s="75" t="n"/>
      <c r="T745" s="75" t="n"/>
      <c r="U745" s="75" t="n"/>
      <c r="V745" s="75" t="n"/>
      <c r="W745" s="75" t="n"/>
      <c r="X745" s="75" t="n"/>
      <c r="Y745" s="75" t="n"/>
      <c r="Z745" s="45" t="n"/>
    </row>
    <row r="746">
      <c r="A746" s="40" t="inlineStr">
        <is>
          <t>locationDepartment.provincePlaceholder</t>
        </is>
      </c>
      <c r="B746" s="46" t="inlineStr">
        <is>
          <t>Chọn liên bang/Vùng</t>
        </is>
      </c>
      <c r="C746" s="46" t="inlineStr">
        <is>
          <t>Chọn liên bang/Vùng</t>
        </is>
      </c>
      <c r="D746" s="43" t="inlineStr">
        <is>
          <t>ជ្រើសរើសសហព័ន្ធ/តំបន់</t>
        </is>
      </c>
      <c r="E746" s="75" t="n"/>
      <c r="F746" s="75" t="n"/>
      <c r="G746" s="75" t="inlineStr">
        <is>
          <t>ជ្រើសរើសសហព័ន្ធ/តំបន់</t>
        </is>
      </c>
      <c r="H746" s="75" t="inlineStr">
        <is>
          <t>ជ្រើសរើសសហព័ន្ធ/តំបន់</t>
        </is>
      </c>
      <c r="I746" s="75" t="n"/>
      <c r="J746" s="75" t="n"/>
      <c r="K746" s="75" t="inlineStr">
        <is>
          <t>"locationDepartment.provincePlaceholder": "ជ្រើសរើសសហព័ន្ធ/តំបន់",</t>
        </is>
      </c>
      <c r="L746" s="75" t="n"/>
      <c r="M746" s="75" t="n"/>
      <c r="N746" s="75" t="n"/>
      <c r="O746" s="75" t="n"/>
      <c r="P746" s="75" t="n"/>
      <c r="Q746" s="75" t="n"/>
      <c r="R746" s="75" t="n"/>
      <c r="S746" s="75" t="n"/>
      <c r="T746" s="75" t="n"/>
      <c r="U746" s="75" t="n"/>
      <c r="V746" s="75" t="n"/>
      <c r="W746" s="75" t="n"/>
      <c r="X746" s="75" t="n"/>
      <c r="Y746" s="75" t="n"/>
      <c r="Z746" s="45" t="n"/>
    </row>
    <row r="747">
      <c r="A747" s="40" t="inlineStr">
        <is>
          <t>locationDepartment.districtPlaceholder</t>
        </is>
      </c>
      <c r="B747" s="46" t="inlineStr">
        <is>
          <t>Chọn huyện</t>
        </is>
      </c>
      <c r="C747" s="46" t="inlineStr">
        <is>
          <t>Chọn huyện</t>
        </is>
      </c>
      <c r="D747" s="43" t="inlineStr">
        <is>
          <t>ជ្រើសរើសស្រុក</t>
        </is>
      </c>
      <c r="E747" s="75" t="n"/>
      <c r="F747" s="75" t="n"/>
      <c r="G747" s="75" t="inlineStr">
        <is>
          <t>ជ្រើសរើសស្រុក</t>
        </is>
      </c>
      <c r="H747" s="75" t="inlineStr">
        <is>
          <t>ជ្រើសរើសស្រុក</t>
        </is>
      </c>
      <c r="I747" s="75" t="n"/>
      <c r="J747" s="75" t="n"/>
      <c r="K747" s="75" t="inlineStr">
        <is>
          <t>"locationDepartment.districtPlaceholder": "ជ្រើសរើសស្រុក",</t>
        </is>
      </c>
      <c r="L747" s="75" t="n"/>
      <c r="M747" s="75" t="n"/>
      <c r="N747" s="75" t="n"/>
      <c r="O747" s="75" t="n"/>
      <c r="P747" s="75" t="n"/>
      <c r="Q747" s="75" t="n"/>
      <c r="R747" s="75" t="n"/>
      <c r="S747" s="75" t="n"/>
      <c r="T747" s="75" t="n"/>
      <c r="U747" s="75" t="n"/>
      <c r="V747" s="75" t="n"/>
      <c r="W747" s="75" t="n"/>
      <c r="X747" s="75" t="n"/>
      <c r="Y747" s="75" t="n"/>
      <c r="Z747" s="45" t="n"/>
    </row>
    <row r="748">
      <c r="A748" s="40" t="inlineStr">
        <is>
          <t>locationDepartment.wardPlaceholder</t>
        </is>
      </c>
      <c r="B748" s="46" t="inlineStr">
        <is>
          <t>Chọn thị trấn</t>
        </is>
      </c>
      <c r="C748" s="46" t="inlineStr">
        <is>
          <t>Chọn thị trấn</t>
        </is>
      </c>
      <c r="D748" s="43" t="inlineStr">
        <is>
          <t>ជ្រើសរើសទីរួមខេត្ត</t>
        </is>
      </c>
      <c r="E748" s="75" t="n"/>
      <c r="F748" s="75" t="n"/>
      <c r="G748" s="75" t="inlineStr">
        <is>
          <t>ជ្រើសរើសទីរួមខេត្ត</t>
        </is>
      </c>
      <c r="H748" s="75" t="inlineStr">
        <is>
          <t>ជ្រើសរើសទីរួមខេត្ត</t>
        </is>
      </c>
      <c r="I748" s="75" t="n"/>
      <c r="J748" s="75" t="n"/>
      <c r="K748" s="75" t="inlineStr">
        <is>
          <t>"locationDepartment.wardPlaceholder": "ជ្រើសរើសទីរួមខេត្ត",</t>
        </is>
      </c>
      <c r="L748" s="75" t="n"/>
      <c r="M748" s="75" t="n"/>
      <c r="N748" s="75" t="n"/>
      <c r="O748" s="75" t="n"/>
      <c r="P748" s="75" t="n"/>
      <c r="Q748" s="75" t="n"/>
      <c r="R748" s="75" t="n"/>
      <c r="S748" s="75" t="n"/>
      <c r="T748" s="75" t="n"/>
      <c r="U748" s="75" t="n"/>
      <c r="V748" s="75" t="n"/>
      <c r="W748" s="75" t="n"/>
      <c r="X748" s="75" t="n"/>
      <c r="Y748" s="75" t="n"/>
      <c r="Z748" s="45" t="n"/>
    </row>
    <row r="749">
      <c r="A749" s="40" t="inlineStr">
        <is>
          <t>locationDepartment.deleteLocation</t>
        </is>
      </c>
      <c r="B749" s="46" t="inlineStr">
        <is>
          <t>Đồng chí có chắc chắn muốn xóa cấu hình địa danh này?</t>
        </is>
      </c>
      <c r="C749" s="46" t="inlineStr">
        <is>
          <t>Đồng chí có chắc chắn muốn xóa cấu hình địa danh này?</t>
        </is>
      </c>
      <c r="D749" s="43" t="inlineStr">
        <is>
          <t>តើអ្នកពិតជាចង់លុបឈ្មោះទីតាំងនេះមែនទេ?</t>
        </is>
      </c>
      <c r="E749" s="75" t="n"/>
      <c r="F749" s="75" t="n"/>
      <c r="G749" s="75" t="inlineStr">
        <is>
          <t>តើអ្នកពិតជាចង់លុបឈ្មោះទីតាំងនេះមែនទេ?</t>
        </is>
      </c>
      <c r="H749" s="75" t="inlineStr">
        <is>
          <t>តើអ្នកពិតជាចង់លុបឈ្មោះទីតាំងនេះមែនទេ?</t>
        </is>
      </c>
      <c r="I749" s="75" t="n"/>
      <c r="J749" s="75" t="n"/>
      <c r="K749" s="75" t="inlineStr">
        <is>
          <t>"locationDepartment.deleteLocation": "តើអ្នកពិតជាចង់លុបឈ្មោះទីតាំងនេះមែនទេ?",</t>
        </is>
      </c>
      <c r="L749" s="75" t="n"/>
      <c r="M749" s="75" t="n"/>
      <c r="N749" s="75" t="n"/>
      <c r="O749" s="75" t="n"/>
      <c r="P749" s="75" t="n"/>
      <c r="Q749" s="75" t="n"/>
      <c r="R749" s="75" t="n"/>
      <c r="S749" s="75" t="n"/>
      <c r="T749" s="75" t="n"/>
      <c r="U749" s="75" t="n"/>
      <c r="V749" s="75" t="n"/>
      <c r="W749" s="75" t="n"/>
      <c r="X749" s="75" t="n"/>
      <c r="Y749" s="75" t="n"/>
      <c r="Z749" s="45" t="n"/>
    </row>
    <row r="750">
      <c r="A750" s="40" t="inlineStr">
        <is>
          <t>departmentLookup.deliveryDepartment</t>
        </is>
      </c>
      <c r="B750" s="46" t="inlineStr">
        <is>
          <t>Bưu cục giao</t>
        </is>
      </c>
      <c r="C750" s="46" t="inlineStr">
        <is>
          <t>Bưu cục giao</t>
        </is>
      </c>
      <c r="D750" s="43" t="inlineStr">
        <is>
          <t>ការិយាល័យប្រៃសណីយ៍ប្រគល់អីវ៉ាន់</t>
        </is>
      </c>
      <c r="E750" s="75" t="n"/>
      <c r="F750" s="75" t="n"/>
      <c r="G750" s="75" t="inlineStr">
        <is>
          <t>ការិយាល័យប្រៃសណីយ៍ប្រគល់អីវ៉ាន់</t>
        </is>
      </c>
      <c r="H750" s="75" t="inlineStr">
        <is>
          <t>ការិយាល័យប្រៃសណីយ៍ប្រគល់អីវ៉ាន់</t>
        </is>
      </c>
      <c r="I750" s="75" t="n"/>
      <c r="J750" s="75" t="n"/>
      <c r="K750" s="75" t="inlineStr">
        <is>
          <t>"departmentLookup.deliveryDepartment": "ការិយាល័យប្រៃសណីយ៍ប្រគល់អីវ៉ាន់",</t>
        </is>
      </c>
      <c r="L750" s="75" t="n"/>
      <c r="M750" s="75" t="n"/>
      <c r="N750" s="75" t="n"/>
      <c r="O750" s="75" t="n"/>
      <c r="P750" s="75" t="n"/>
      <c r="Q750" s="75" t="n"/>
      <c r="R750" s="75" t="n"/>
      <c r="S750" s="75" t="n"/>
      <c r="T750" s="75" t="n"/>
      <c r="U750" s="75" t="n"/>
      <c r="V750" s="75" t="n"/>
      <c r="W750" s="75" t="n"/>
      <c r="X750" s="75" t="n"/>
      <c r="Y750" s="75" t="n"/>
      <c r="Z750" s="45" t="n"/>
    </row>
    <row r="751">
      <c r="A751" s="40" t="inlineStr">
        <is>
          <t>departmentLookup.receivingDepartment</t>
        </is>
      </c>
      <c r="B751" s="46" t="inlineStr">
        <is>
          <t>Bưu cục nhận</t>
        </is>
      </c>
      <c r="C751" s="46" t="inlineStr">
        <is>
          <t>Bưu cục nhận</t>
        </is>
      </c>
      <c r="D751" s="43" t="inlineStr">
        <is>
          <t>ការិយាល័យប្រៃសណីយ៍ទទួល</t>
        </is>
      </c>
      <c r="E751" s="75" t="n"/>
      <c r="F751" s="75" t="n"/>
      <c r="G751" s="75" t="inlineStr">
        <is>
          <t>ការិយាល័យប្រៃសណីយ៍ទទួល</t>
        </is>
      </c>
      <c r="H751" s="75" t="inlineStr">
        <is>
          <t>ការិយាល័យប្រៃសណីយ៍ទទួល</t>
        </is>
      </c>
      <c r="I751" s="75" t="n"/>
      <c r="J751" s="75" t="n"/>
      <c r="K751" s="75" t="inlineStr">
        <is>
          <t>"departmentLookup.receivingDepartment": "ការិយាល័យប្រៃសណីយ៍ទទួល",</t>
        </is>
      </c>
      <c r="L751" s="75" t="n"/>
      <c r="M751" s="75" t="n"/>
      <c r="N751" s="75" t="n"/>
      <c r="O751" s="75" t="n"/>
      <c r="P751" s="75" t="n"/>
      <c r="Q751" s="75" t="n"/>
      <c r="R751" s="75" t="n"/>
      <c r="S751" s="75" t="n"/>
      <c r="T751" s="75" t="n"/>
      <c r="U751" s="75" t="n"/>
      <c r="V751" s="75" t="n"/>
      <c r="W751" s="75" t="n"/>
      <c r="X751" s="75" t="n"/>
      <c r="Y751" s="75" t="n"/>
      <c r="Z751" s="45" t="n"/>
    </row>
    <row r="752">
      <c r="A752" s="40" t="inlineStr">
        <is>
          <t>departmentLookup.modifyDepartment</t>
        </is>
      </c>
      <c r="B752" s="46" t="inlineStr">
        <is>
          <t>Sửa bưu cục phục vụ</t>
        </is>
      </c>
      <c r="C752" s="46" t="inlineStr">
        <is>
          <t>Sửa bưu cục phục vụ</t>
        </is>
      </c>
      <c r="D752" s="43" t="n"/>
      <c r="E752" s="75" t="n"/>
      <c r="F752" s="75" t="n"/>
      <c r="G752" s="75" t="inlineStr">
        <is>
          <t>Sửa ការិយាល័យប្រៃសណីយ៍ phục vụ</t>
        </is>
      </c>
      <c r="H752" s="75" t="inlineStr">
        <is>
          <t>Sửa ការិយាល័យប្រៃសណីយ៍ phục vụ</t>
        </is>
      </c>
      <c r="I752" s="75" t="n"/>
      <c r="J752" s="75" t="n"/>
      <c r="K752" s="75" t="inlineStr">
        <is>
          <t>"departmentLookup.modifyDepartment": "Sửa ការិយាល័យប្រៃសណីយ៍ phục vụ",</t>
        </is>
      </c>
      <c r="L752" s="75" t="n"/>
      <c r="M752" s="75" t="n"/>
      <c r="N752" s="75" t="n"/>
      <c r="O752" s="75" t="n"/>
      <c r="P752" s="75" t="n"/>
      <c r="Q752" s="75" t="n"/>
      <c r="R752" s="75" t="n"/>
      <c r="S752" s="75" t="n"/>
      <c r="T752" s="75" t="n"/>
      <c r="U752" s="75" t="n"/>
      <c r="V752" s="75" t="n"/>
      <c r="W752" s="75" t="n"/>
      <c r="X752" s="75" t="n"/>
      <c r="Y752" s="75" t="n"/>
      <c r="Z752" s="45" t="n"/>
    </row>
    <row r="753">
      <c r="A753" s="63" t="inlineStr">
        <is>
          <t>modifyOrder.createOrderDomestic</t>
        </is>
      </c>
      <c r="B753" s="63" t="inlineStr">
        <is>
          <t>Trong nước</t>
        </is>
      </c>
      <c r="C753" s="63" t="inlineStr">
        <is>
          <t>Domestic order</t>
        </is>
      </c>
      <c r="D753" s="85" t="inlineStr">
        <is>
          <t>ក្នុងប្រទេស</t>
        </is>
      </c>
      <c r="E753" s="86" t="inlineStr">
        <is>
          <t>ក្នុងប្រទេស</t>
        </is>
      </c>
      <c r="F753" s="66" t="n"/>
      <c r="G753" s="66" t="inlineStr">
        <is>
          <t>ក្នុងប្រទេស</t>
        </is>
      </c>
      <c r="H753" s="66" t="inlineStr">
        <is>
          <t>ក្នុងប្រទេស</t>
        </is>
      </c>
      <c r="I753" s="66" t="n"/>
      <c r="J753" s="66" t="n"/>
      <c r="K753" s="66" t="inlineStr">
        <is>
          <t>"modifyOrder.createOrderDomestic": "ក្នុងប្រទេស",</t>
        </is>
      </c>
      <c r="L753" s="66" t="n"/>
      <c r="M753" s="66" t="n"/>
      <c r="N753" s="66" t="n"/>
      <c r="O753" s="66" t="n"/>
      <c r="P753" s="66" t="n"/>
      <c r="Q753" s="66" t="n"/>
      <c r="R753" s="66" t="n"/>
      <c r="S753" s="66" t="n"/>
      <c r="T753" s="66" t="n"/>
      <c r="U753" s="66" t="n"/>
      <c r="V753" s="66" t="n"/>
      <c r="W753" s="66" t="n"/>
      <c r="X753" s="66" t="n"/>
      <c r="Y753" s="66" t="n"/>
      <c r="Z753" s="66" t="n"/>
    </row>
    <row r="754">
      <c r="A754" s="27" t="inlineStr">
        <is>
          <t>modifyOrder.createOrderInternational</t>
        </is>
      </c>
      <c r="B754" s="27" t="inlineStr">
        <is>
          <t>Quốc tế</t>
        </is>
      </c>
      <c r="C754" s="27" t="inlineStr">
        <is>
          <t>International order</t>
        </is>
      </c>
      <c r="D754" s="27" t="inlineStr">
        <is>
          <t>អន្តរជាតិ</t>
        </is>
      </c>
      <c r="E754" s="102" t="inlineStr">
        <is>
          <t>ក្រៅប្រទេស</t>
        </is>
      </c>
      <c r="F754" s="10" t="n"/>
      <c r="G754" s="10" t="inlineStr">
        <is>
          <t>ក្រៅប្រទេស</t>
        </is>
      </c>
      <c r="H754" s="10" t="inlineStr">
        <is>
          <t>ក្រៅប្រទេស</t>
        </is>
      </c>
      <c r="I754" s="10" t="n"/>
      <c r="J754" s="10" t="n"/>
      <c r="K754" s="10" t="inlineStr">
        <is>
          <t>"modifyOrder.createOrderInternational": "ក្រៅប្រទេស",</t>
        </is>
      </c>
      <c r="L754" s="10" t="n"/>
      <c r="M754" s="10" t="n"/>
      <c r="N754" s="10" t="n"/>
      <c r="O754" s="10" t="n"/>
      <c r="P754" s="10" t="n"/>
      <c r="Q754" s="10" t="n"/>
      <c r="R754" s="10" t="n"/>
      <c r="S754" s="10" t="n"/>
      <c r="T754" s="10" t="n"/>
      <c r="U754" s="10" t="n"/>
      <c r="V754" s="10" t="n"/>
      <c r="W754" s="10" t="n"/>
      <c r="X754" s="10" t="n"/>
      <c r="Y754" s="10" t="n"/>
      <c r="Z754" s="10" t="n"/>
    </row>
    <row r="755">
      <c r="A755" s="27" t="inlineStr">
        <is>
          <t>modifyOrder.updateOrder</t>
        </is>
      </c>
      <c r="B755" s="27" t="inlineStr">
        <is>
          <t>Sửa đơn</t>
        </is>
      </c>
      <c r="C755" s="27" t="inlineStr">
        <is>
          <t>Order modification</t>
        </is>
      </c>
      <c r="D755" s="21" t="inlineStr">
        <is>
          <t>កែបុងបញ្ញើ</t>
        </is>
      </c>
      <c r="E755" s="102" t="inlineStr">
        <is>
          <t>កែបុងបញ្ញើ</t>
        </is>
      </c>
      <c r="F755" s="10" t="n"/>
      <c r="G755" s="10" t="inlineStr">
        <is>
          <t>កែបុងបញ្ញើ</t>
        </is>
      </c>
      <c r="H755" s="10" t="inlineStr">
        <is>
          <t>កែបុងបញ្ញើ</t>
        </is>
      </c>
      <c r="I755" s="10" t="n"/>
      <c r="J755" s="10" t="n"/>
      <c r="K755" s="10" t="inlineStr">
        <is>
          <t>"modifyOrder.updateOrder": "កែបុងបញ្ញើ",</t>
        </is>
      </c>
      <c r="L755" s="10" t="n"/>
      <c r="M755" s="10" t="n"/>
      <c r="N755" s="10" t="n"/>
      <c r="O755" s="10" t="n"/>
      <c r="P755" s="10" t="n"/>
      <c r="Q755" s="10" t="n"/>
      <c r="R755" s="10" t="n"/>
      <c r="S755" s="10" t="n"/>
      <c r="T755" s="10" t="n"/>
      <c r="U755" s="10" t="n"/>
      <c r="V755" s="10" t="n"/>
      <c r="W755" s="10" t="n"/>
      <c r="X755" s="10" t="n"/>
      <c r="Y755" s="10" t="n"/>
      <c r="Z755" s="10" t="n"/>
    </row>
    <row r="756">
      <c r="A756" s="27" t="inlineStr">
        <is>
          <t>modifyOrder.informationOrder</t>
        </is>
      </c>
      <c r="B756" s="27" t="inlineStr">
        <is>
          <t>Thông tin phiếu gửi</t>
        </is>
      </c>
      <c r="C756" s="27" t="inlineStr">
        <is>
          <t>Postal slip details</t>
        </is>
      </c>
      <c r="D756" s="102" t="inlineStr">
        <is>
          <t>ព័ត៌មានបុងបញ្ញើ</t>
        </is>
      </c>
      <c r="E756" s="102" t="inlineStr">
        <is>
          <t>ព័ត៌មានបុងបញ្ញើ</t>
        </is>
      </c>
      <c r="F756" s="10" t="n"/>
      <c r="G756" s="10" t="inlineStr">
        <is>
          <t>ព័ត៌មានបុងបញ្ញើ</t>
        </is>
      </c>
      <c r="H756" s="10" t="inlineStr">
        <is>
          <t>ព័ត៌មានបុងបញ្ញើ</t>
        </is>
      </c>
      <c r="I756" s="10" t="n"/>
      <c r="J756" s="10" t="n"/>
      <c r="K756" s="10" t="inlineStr">
        <is>
          <t>"modifyOrder.informationOrder": "ព័ត៌មានបុងបញ្ញើ",</t>
        </is>
      </c>
      <c r="L756" s="10" t="n"/>
      <c r="M756" s="10" t="n"/>
      <c r="N756" s="10" t="n"/>
      <c r="O756" s="10" t="n"/>
      <c r="P756" s="10" t="n"/>
      <c r="Q756" s="10" t="n"/>
      <c r="R756" s="10" t="n"/>
      <c r="S756" s="10" t="n"/>
      <c r="T756" s="10" t="n"/>
      <c r="U756" s="10" t="n"/>
      <c r="V756" s="10" t="n"/>
      <c r="W756" s="10" t="n"/>
      <c r="X756" s="10" t="n"/>
      <c r="Y756" s="10" t="n"/>
      <c r="Z756" s="10" t="n"/>
    </row>
    <row r="757">
      <c r="A757" s="27" t="inlineStr">
        <is>
          <t>modifyOrder.orderCode</t>
        </is>
      </c>
      <c r="B757" s="27" t="inlineStr">
        <is>
          <t>Mã phiếu gửi</t>
        </is>
      </c>
      <c r="C757" s="27" t="inlineStr">
        <is>
          <t>Enter the postal slip ID</t>
        </is>
      </c>
      <c r="D757" s="102" t="inlineStr">
        <is>
          <t>លេខកូដបុុងបញ្ញើ</t>
        </is>
      </c>
      <c r="E757" s="102" t="inlineStr">
        <is>
          <t>លេខកូដបុងបញ្ញើ</t>
        </is>
      </c>
      <c r="F757" s="10" t="n"/>
      <c r="G757" s="10" t="inlineStr">
        <is>
          <t>លេខកូដបុងបញ្ញើ</t>
        </is>
      </c>
      <c r="H757" s="10" t="inlineStr">
        <is>
          <t>លេខកូដបុងបញ្ញើ</t>
        </is>
      </c>
      <c r="I757" s="10" t="n"/>
      <c r="J757" s="10" t="n"/>
      <c r="K757" s="10" t="inlineStr">
        <is>
          <t>"modifyOrder.orderCode": "លេខកូដបុងបញ្ញើ",</t>
        </is>
      </c>
      <c r="L757" s="10" t="n"/>
      <c r="M757" s="10" t="n"/>
      <c r="N757" s="10" t="n"/>
      <c r="O757" s="10" t="n"/>
      <c r="P757" s="10" t="n"/>
      <c r="Q757" s="10" t="n"/>
      <c r="R757" s="10" t="n"/>
      <c r="S757" s="10" t="n"/>
      <c r="T757" s="10" t="n"/>
      <c r="U757" s="10" t="n"/>
      <c r="V757" s="10" t="n"/>
      <c r="W757" s="10" t="n"/>
      <c r="X757" s="10" t="n"/>
      <c r="Y757" s="10" t="n"/>
      <c r="Z757" s="10" t="n"/>
    </row>
    <row r="758">
      <c r="A758" s="27" t="inlineStr">
        <is>
          <t>modifyOrder.orderCodePlaceholder</t>
        </is>
      </c>
      <c r="B758" s="27" t="inlineStr">
        <is>
          <t>Nhập mã phiếu gửi</t>
        </is>
      </c>
      <c r="C758" s="27" t="inlineStr">
        <is>
          <t>Enter postal slip's code</t>
        </is>
      </c>
      <c r="D758" s="21" t="inlineStr">
        <is>
          <t>បញ្ចូលលេខកូដបុងបញ្ញើ</t>
        </is>
      </c>
      <c r="E758" s="102" t="inlineStr">
        <is>
          <t>បញ្ចូលលេខកូដបុងបញ្ញើ</t>
        </is>
      </c>
      <c r="F758" s="10" t="n"/>
      <c r="G758" s="10" t="inlineStr">
        <is>
          <t>បញ្ចូលលេខកូដបុងបញ្ញើ</t>
        </is>
      </c>
      <c r="H758" s="10" t="inlineStr">
        <is>
          <t>បញ្ចូលលេខកូដបុងបញ្ញើ</t>
        </is>
      </c>
      <c r="I758" s="10" t="n"/>
      <c r="J758" s="10" t="n"/>
      <c r="K758" s="10" t="inlineStr">
        <is>
          <t>"modifyOrder.orderCodePlaceholder": "បញ្ចូលលេខកូដបុងបញ្ញើ",</t>
        </is>
      </c>
      <c r="L758" s="10" t="n"/>
      <c r="M758" s="10" t="n"/>
      <c r="N758" s="10" t="n"/>
      <c r="O758" s="10" t="n"/>
      <c r="P758" s="10" t="n"/>
      <c r="Q758" s="10" t="n"/>
      <c r="R758" s="10" t="n"/>
      <c r="S758" s="10" t="n"/>
      <c r="T758" s="10" t="n"/>
      <c r="U758" s="10" t="n"/>
      <c r="V758" s="10" t="n"/>
      <c r="W758" s="10" t="n"/>
      <c r="X758" s="10" t="n"/>
      <c r="Y758" s="10" t="n"/>
      <c r="Z758" s="10" t="n"/>
    </row>
    <row r="759">
      <c r="A759" s="27" t="inlineStr">
        <is>
          <t>modifyOrder.orderExisted</t>
        </is>
      </c>
      <c r="B759" s="27" t="inlineStr">
        <is>
          <t>Nhập mã có sẵn</t>
        </is>
      </c>
      <c r="C759" s="27" t="inlineStr">
        <is>
          <t>Enter an existing code</t>
        </is>
      </c>
      <c r="D759" s="21" t="inlineStr">
        <is>
          <t>បញ្ចូលលេខកូដមានស្រាប់</t>
        </is>
      </c>
      <c r="E759" s="102" t="inlineStr">
        <is>
          <t>បញ្ចូ្ចលលេខកូដដែលមានស្រាប់</t>
        </is>
      </c>
      <c r="F759" s="10" t="n"/>
      <c r="G759" s="10" t="inlineStr">
        <is>
          <t>បញ្ចូ្ចលលេខកូដដែលមានស្រាប់</t>
        </is>
      </c>
      <c r="H759" s="10" t="inlineStr">
        <is>
          <t>បញ្ចូ្ចលលេខកូដដែលមានស្រាប់</t>
        </is>
      </c>
      <c r="I759" s="10" t="n"/>
      <c r="J759" s="10" t="n"/>
      <c r="K759" s="10" t="inlineStr">
        <is>
          <t>"modifyOrder.orderExisted": "បញ្ចូ្ចលលេខកូដដែលមានស្រាប់",</t>
        </is>
      </c>
      <c r="L759" s="10" t="n"/>
      <c r="M759" s="10" t="n"/>
      <c r="N759" s="10" t="n"/>
      <c r="O759" s="10" t="n"/>
      <c r="P759" s="10" t="n"/>
      <c r="Q759" s="10" t="n"/>
      <c r="R759" s="10" t="n"/>
      <c r="S759" s="10" t="n"/>
      <c r="T759" s="10" t="n"/>
      <c r="U759" s="10" t="n"/>
      <c r="V759" s="10" t="n"/>
      <c r="W759" s="10" t="n"/>
      <c r="X759" s="10" t="n"/>
      <c r="Y759" s="10" t="n"/>
      <c r="Z759" s="10" t="n"/>
    </row>
    <row r="760">
      <c r="A760" s="27" t="inlineStr">
        <is>
          <t>modifyOrder.shippingDate</t>
        </is>
      </c>
      <c r="B760" s="27" t="inlineStr">
        <is>
          <t>Ngày gửi</t>
        </is>
      </c>
      <c r="C760" s="27" t="inlineStr">
        <is>
          <t>Sent date</t>
        </is>
      </c>
      <c r="D760" s="21" t="inlineStr">
        <is>
          <t>ថ្ងៃផ្ញើ</t>
        </is>
      </c>
      <c r="E760" s="102" t="inlineStr">
        <is>
          <t>ថ្ងៃផ្ញើ</t>
        </is>
      </c>
      <c r="F760" s="10" t="n"/>
      <c r="G760" s="10" t="inlineStr">
        <is>
          <t>កាលបរិច្ឆេទផ្ញើ</t>
        </is>
      </c>
      <c r="H760" s="10" t="inlineStr">
        <is>
          <t>កាលបរិច្ឆេទផ្ញើ</t>
        </is>
      </c>
      <c r="I760" s="10" t="n"/>
      <c r="J760" s="10" t="n"/>
      <c r="K760" s="10" t="inlineStr">
        <is>
          <t>"modifyOrder.shippingDate": "កាលបរិច្ឆេទផ្ញើ",</t>
        </is>
      </c>
      <c r="L760" s="10" t="n"/>
      <c r="M760" s="10" t="n"/>
      <c r="N760" s="10" t="n"/>
      <c r="O760" s="10" t="n"/>
      <c r="P760" s="10" t="n"/>
      <c r="Q760" s="10" t="n"/>
      <c r="R760" s="10" t="n"/>
      <c r="S760" s="10" t="n"/>
      <c r="T760" s="10" t="n"/>
      <c r="U760" s="10" t="n"/>
      <c r="V760" s="10" t="n"/>
      <c r="W760" s="10" t="n"/>
      <c r="X760" s="10" t="n"/>
      <c r="Y760" s="10" t="n"/>
      <c r="Z760" s="10" t="n"/>
    </row>
    <row r="761">
      <c r="A761" s="27" t="inlineStr">
        <is>
          <t>modifyOrder.sender</t>
        </is>
      </c>
      <c r="B761" s="27" t="inlineStr">
        <is>
          <t>Người gửi</t>
        </is>
      </c>
      <c r="C761" s="27" t="inlineStr">
        <is>
          <t>Sender</t>
        </is>
      </c>
      <c r="D761" s="21" t="inlineStr">
        <is>
          <t>អ្នកផ្ញើ</t>
        </is>
      </c>
      <c r="E761" s="102" t="inlineStr">
        <is>
          <t>អ្នកផ្ញើ</t>
        </is>
      </c>
      <c r="F761" s="10" t="n"/>
      <c r="G761" s="10" t="inlineStr">
        <is>
          <t>អ្នកផ្ញើ</t>
        </is>
      </c>
      <c r="H761" s="10" t="inlineStr">
        <is>
          <t>អ្នកផ្ញើ</t>
        </is>
      </c>
      <c r="I761" s="10" t="n"/>
      <c r="J761" s="10" t="n"/>
      <c r="K761" s="10" t="inlineStr">
        <is>
          <t>"modifyOrder.sender": "អ្នកផ្ញើ",</t>
        </is>
      </c>
      <c r="L761" s="10" t="n"/>
      <c r="M761" s="10" t="n"/>
      <c r="N761" s="10" t="n"/>
      <c r="O761" s="10" t="n"/>
      <c r="P761" s="10" t="n"/>
      <c r="Q761" s="10" t="n"/>
      <c r="R761" s="10" t="n"/>
      <c r="S761" s="10" t="n"/>
      <c r="T761" s="10" t="n"/>
      <c r="U761" s="10" t="n"/>
      <c r="V761" s="10" t="n"/>
      <c r="W761" s="10" t="n"/>
      <c r="X761" s="10" t="n"/>
      <c r="Y761" s="10" t="n"/>
      <c r="Z761" s="10" t="n"/>
    </row>
    <row r="762">
      <c r="A762" s="27" t="inlineStr">
        <is>
          <t>modifyOrder.phone</t>
        </is>
      </c>
      <c r="B762" s="27" t="inlineStr">
        <is>
          <t>Số điện thoại</t>
        </is>
      </c>
      <c r="C762" s="27" t="inlineStr">
        <is>
          <t>Phone number</t>
        </is>
      </c>
      <c r="D762" s="21" t="inlineStr">
        <is>
          <t>លេខទូរស័ព្ទ</t>
        </is>
      </c>
      <c r="E762" s="102" t="inlineStr">
        <is>
          <t>លេខទូរស័ព្ទ</t>
        </is>
      </c>
      <c r="F762" s="10" t="n"/>
      <c r="G762" s="10" t="inlineStr">
        <is>
          <t>លេខទូរស័ព្ទ</t>
        </is>
      </c>
      <c r="H762" s="10" t="inlineStr">
        <is>
          <t>លេខទូរស័ព្ទ</t>
        </is>
      </c>
      <c r="I762" s="10" t="n"/>
      <c r="J762" s="10" t="n"/>
      <c r="K762" s="10" t="inlineStr">
        <is>
          <t>"modifyOrder.phone": "លេខទូរស័ព្ទ",</t>
        </is>
      </c>
      <c r="L762" s="10" t="n"/>
      <c r="M762" s="10" t="n"/>
      <c r="N762" s="10" t="n"/>
      <c r="O762" s="10" t="n"/>
      <c r="P762" s="10" t="n"/>
      <c r="Q762" s="10" t="n"/>
      <c r="R762" s="10" t="n"/>
      <c r="S762" s="10" t="n"/>
      <c r="T762" s="10" t="n"/>
      <c r="U762" s="10" t="n"/>
      <c r="V762" s="10" t="n"/>
      <c r="W762" s="10" t="n"/>
      <c r="X762" s="10" t="n"/>
      <c r="Y762" s="10" t="n"/>
      <c r="Z762" s="10" t="n"/>
    </row>
    <row r="763">
      <c r="A763" s="27" t="inlineStr">
        <is>
          <t>modifyOrder.phonePlaceholder</t>
        </is>
      </c>
      <c r="B763" s="27" t="inlineStr">
        <is>
          <t>Nhập số điện thoại</t>
        </is>
      </c>
      <c r="C763" s="27" t="inlineStr">
        <is>
          <t>Enter the phone number</t>
        </is>
      </c>
      <c r="D763" s="21" t="inlineStr">
        <is>
          <t>បញ្ចូលលេខទូរស័ព្ទ</t>
        </is>
      </c>
      <c r="E763" s="102" t="inlineStr">
        <is>
          <t>បញ្ចូលលេខទូរស័ព្ទ</t>
        </is>
      </c>
      <c r="F763" s="10" t="n"/>
      <c r="G763" s="10" t="inlineStr">
        <is>
          <t>បញ្ចូលលេខទូរស័ព្ទ</t>
        </is>
      </c>
      <c r="H763" s="10" t="inlineStr">
        <is>
          <t>បញ្ចូលលេខទូរស័ព្ទ</t>
        </is>
      </c>
      <c r="I763" s="10" t="n"/>
      <c r="J763" s="10" t="n"/>
      <c r="K763" s="10" t="inlineStr">
        <is>
          <t>"modifyOrder.phonePlaceholder": "បញ្ចូលលេខទូរស័ព្ទ",</t>
        </is>
      </c>
      <c r="L763" s="10" t="n"/>
      <c r="M763" s="10" t="n"/>
      <c r="N763" s="10" t="n"/>
      <c r="O763" s="10" t="n"/>
      <c r="P763" s="10" t="n"/>
      <c r="Q763" s="10" t="n"/>
      <c r="R763" s="10" t="n"/>
      <c r="S763" s="10" t="n"/>
      <c r="T763" s="10" t="n"/>
      <c r="U763" s="10" t="n"/>
      <c r="V763" s="10" t="n"/>
      <c r="W763" s="10" t="n"/>
      <c r="X763" s="10" t="n"/>
      <c r="Y763" s="10" t="n"/>
      <c r="Z763" s="10" t="n"/>
    </row>
    <row r="764">
      <c r="A764" s="87" t="inlineStr">
        <is>
          <t>modifyOrder.name</t>
        </is>
      </c>
      <c r="B764" s="27" t="inlineStr">
        <is>
          <t>Họ tên</t>
        </is>
      </c>
      <c r="C764" s="27" t="inlineStr">
        <is>
          <t>Full name</t>
        </is>
      </c>
      <c r="D764" s="21" t="inlineStr">
        <is>
          <t>នាមត្រកូល</t>
        </is>
      </c>
      <c r="E764" s="102" t="inlineStr">
        <is>
          <t>គោត្តនាម និងនាម</t>
        </is>
      </c>
      <c r="F764" s="10" t="n"/>
      <c r="G764" s="10" t="inlineStr">
        <is>
          <t>ឈ្មោះពេញ</t>
        </is>
      </c>
      <c r="H764" s="10" t="inlineStr">
        <is>
          <t>ឈ្មោះពេញ</t>
        </is>
      </c>
      <c r="I764" s="10" t="n"/>
      <c r="J764" s="10" t="n"/>
      <c r="K764" s="10" t="inlineStr">
        <is>
          <t>"modifyOrder.name": "ឈ្មោះពេញ",</t>
        </is>
      </c>
      <c r="L764" s="10" t="n"/>
      <c r="M764" s="10" t="n"/>
      <c r="N764" s="10" t="n"/>
      <c r="O764" s="10" t="n"/>
      <c r="P764" s="10" t="n"/>
      <c r="Q764" s="10" t="n"/>
      <c r="R764" s="10" t="n"/>
      <c r="S764" s="10" t="n"/>
      <c r="T764" s="10" t="n"/>
      <c r="U764" s="10" t="n"/>
      <c r="V764" s="10" t="n"/>
      <c r="W764" s="10" t="n"/>
      <c r="X764" s="10" t="n"/>
      <c r="Y764" s="10" t="n"/>
      <c r="Z764" s="10" t="n"/>
    </row>
    <row r="765">
      <c r="A765" s="27" t="inlineStr">
        <is>
          <t>modifyOrder.nameSender</t>
        </is>
      </c>
      <c r="B765" s="27" t="inlineStr">
        <is>
          <t>Họ tên người gửi</t>
        </is>
      </c>
      <c r="C765" s="27" t="inlineStr">
        <is>
          <t>Sender full name</t>
        </is>
      </c>
      <c r="D765" s="21" t="inlineStr">
        <is>
          <t>នាមត្រកូូលអ្នកផ្ញើ</t>
        </is>
      </c>
      <c r="E765" s="102" t="inlineStr">
        <is>
          <t>គោត្តនាម និងនាម អ្នកផ្ញើ</t>
        </is>
      </c>
      <c r="F765" s="10" t="n"/>
      <c r="G765" s="10" t="inlineStr">
        <is>
          <t>គោត្តនាម និងនាម អ្នកផ្ញើ</t>
        </is>
      </c>
      <c r="H765" s="10" t="inlineStr">
        <is>
          <t>គោត្តនាម និងនាម អ្នកផ្ញើ</t>
        </is>
      </c>
      <c r="I765" s="10" t="n"/>
      <c r="J765" s="10" t="n"/>
      <c r="K765" s="10" t="inlineStr">
        <is>
          <t>"modifyOrder.nameSender": "គោត្តនាម និងនាម អ្នកផ្ញើ",</t>
        </is>
      </c>
      <c r="L765" s="10" t="n"/>
      <c r="M765" s="10" t="n"/>
      <c r="N765" s="10" t="n"/>
      <c r="O765" s="10" t="n"/>
      <c r="P765" s="10" t="n"/>
      <c r="Q765" s="10" t="n"/>
      <c r="R765" s="10" t="n"/>
      <c r="S765" s="10" t="n"/>
      <c r="T765" s="10" t="n"/>
      <c r="U765" s="10" t="n"/>
      <c r="V765" s="10" t="n"/>
      <c r="W765" s="10" t="n"/>
      <c r="X765" s="10" t="n"/>
      <c r="Y765" s="10" t="n"/>
      <c r="Z765" s="10" t="n"/>
    </row>
    <row r="766">
      <c r="A766" s="27" t="inlineStr">
        <is>
          <t>modifyOrder.nameConsignee</t>
        </is>
      </c>
      <c r="B766" s="27" t="inlineStr">
        <is>
          <t>Họ tên người nhận</t>
        </is>
      </c>
      <c r="C766" s="27" t="inlineStr">
        <is>
          <t>Consignee full name</t>
        </is>
      </c>
      <c r="D766" s="102" t="inlineStr">
        <is>
          <t>នាមត្រកូលអ្នកទទួល</t>
        </is>
      </c>
      <c r="E766" s="102" t="inlineStr">
        <is>
          <t>គោត្តនាម និងនាម អ្នកទទួល</t>
        </is>
      </c>
      <c r="F766" s="10" t="n"/>
      <c r="G766" s="10" t="inlineStr">
        <is>
          <t>គោត្តនាម និងនាម អ្នកទទួល</t>
        </is>
      </c>
      <c r="H766" s="10" t="inlineStr">
        <is>
          <t>គោត្តនាម និងនាម អ្នកទទួល</t>
        </is>
      </c>
      <c r="I766" s="10" t="n"/>
      <c r="J766" s="10" t="n"/>
      <c r="K766" s="10" t="inlineStr">
        <is>
          <t>"modifyOrder.nameConsignee": "គោត្តនាម និងនាម អ្នកទទួល",</t>
        </is>
      </c>
      <c r="L766" s="10" t="n"/>
      <c r="M766" s="10" t="n"/>
      <c r="N766" s="10" t="n"/>
      <c r="O766" s="10" t="n"/>
      <c r="P766" s="10" t="n"/>
      <c r="Q766" s="10" t="n"/>
      <c r="R766" s="10" t="n"/>
      <c r="S766" s="10" t="n"/>
      <c r="T766" s="10" t="n"/>
      <c r="U766" s="10" t="n"/>
      <c r="V766" s="10" t="n"/>
      <c r="W766" s="10" t="n"/>
      <c r="X766" s="10" t="n"/>
      <c r="Y766" s="10" t="n"/>
      <c r="Z766" s="10" t="n"/>
    </row>
    <row r="767">
      <c r="A767" s="27" t="inlineStr">
        <is>
          <t>modifyOrder.namePlaceholder</t>
        </is>
      </c>
      <c r="B767" s="27" t="inlineStr">
        <is>
          <t>Nhập họ tên</t>
        </is>
      </c>
      <c r="C767" s="27" t="inlineStr">
        <is>
          <t>Enter your name</t>
        </is>
      </c>
      <c r="D767" s="21" t="inlineStr">
        <is>
          <t>បញ្ចូលនាម ត្រកូល</t>
        </is>
      </c>
      <c r="E767" s="102" t="inlineStr">
        <is>
          <t xml:space="preserve">បញ្ចូលគោត្តនាម និងនាម </t>
        </is>
      </c>
      <c r="F767" s="10" t="n"/>
      <c r="G767" s="10" t="inlineStr">
        <is>
          <t>បញ្ចូលគោត្តនាម និងនាម</t>
        </is>
      </c>
      <c r="H767" s="10" t="inlineStr">
        <is>
          <t>បញ្ចូលគោត្តនាម និងនាម</t>
        </is>
      </c>
      <c r="I767" s="10" t="n"/>
      <c r="J767" s="10" t="n"/>
      <c r="K767" s="10" t="inlineStr">
        <is>
          <t>"modifyOrder.namePlaceholder": "បញ្ចូលគោត្តនាម និងនាម",</t>
        </is>
      </c>
      <c r="L767" s="10" t="n"/>
      <c r="M767" s="10" t="n"/>
      <c r="N767" s="10" t="n"/>
      <c r="O767" s="10" t="n"/>
      <c r="P767" s="10" t="n"/>
      <c r="Q767" s="10" t="n"/>
      <c r="R767" s="10" t="n"/>
      <c r="S767" s="10" t="n"/>
      <c r="T767" s="10" t="n"/>
      <c r="U767" s="10" t="n"/>
      <c r="V767" s="10" t="n"/>
      <c r="W767" s="10" t="n"/>
      <c r="X767" s="10" t="n"/>
      <c r="Y767" s="10" t="n"/>
      <c r="Z767" s="10" t="n"/>
    </row>
    <row r="768">
      <c r="A768" s="27" t="inlineStr">
        <is>
          <t>modifyOrder.address</t>
        </is>
      </c>
      <c r="B768" s="27" t="inlineStr">
        <is>
          <t>Địa chỉ chi tiết</t>
        </is>
      </c>
      <c r="C768" s="27" t="inlineStr">
        <is>
          <t>Address details</t>
        </is>
      </c>
      <c r="D768" s="102" t="inlineStr">
        <is>
          <t>អាស័យដ្ឋានលម្អិត</t>
        </is>
      </c>
      <c r="E768" s="102" t="inlineStr">
        <is>
          <t>អាស័យដ្ឋានលម្អិត</t>
        </is>
      </c>
      <c r="F768" s="10" t="n"/>
      <c r="G768" s="10" t="inlineStr">
        <is>
          <t>អាសយដ្ឋានលម្អិត</t>
        </is>
      </c>
      <c r="H768" s="10" t="inlineStr">
        <is>
          <t>អាសយដ្ឋានលម្អិត</t>
        </is>
      </c>
      <c r="I768" s="10" t="n"/>
      <c r="J768" s="10" t="n"/>
      <c r="K768" s="10" t="inlineStr">
        <is>
          <t>"modifyOrder.address": "អាសយដ្ឋានលម្អិត",</t>
        </is>
      </c>
      <c r="L768" s="10" t="n"/>
      <c r="M768" s="10" t="n"/>
      <c r="N768" s="10" t="n"/>
      <c r="O768" s="10" t="n"/>
      <c r="P768" s="10" t="n"/>
      <c r="Q768" s="10" t="n"/>
      <c r="R768" s="10" t="n"/>
      <c r="S768" s="10" t="n"/>
      <c r="T768" s="10" t="n"/>
      <c r="U768" s="10" t="n"/>
      <c r="V768" s="10" t="n"/>
      <c r="W768" s="10" t="n"/>
      <c r="X768" s="10" t="n"/>
      <c r="Y768" s="10" t="n"/>
      <c r="Z768" s="10" t="n"/>
    </row>
    <row r="769">
      <c r="A769" s="27" t="inlineStr">
        <is>
          <t>modifyOrder.addressPlaceholder</t>
        </is>
      </c>
      <c r="B769" s="27" t="inlineStr">
        <is>
          <t>Nhập địa chỉ</t>
        </is>
      </c>
      <c r="C769" s="27" t="inlineStr">
        <is>
          <t>Enter address</t>
        </is>
      </c>
      <c r="D769" s="102" t="inlineStr">
        <is>
          <t>បញ្ចូលអាស័យដ្ឋាន</t>
        </is>
      </c>
      <c r="E769" s="102" t="inlineStr">
        <is>
          <t>បញ្ចូលអាស័យដ្ឋាន</t>
        </is>
      </c>
      <c r="F769" s="10" t="n"/>
      <c r="G769" s="10" t="inlineStr">
        <is>
          <t>បញ្ចូលអាសយដ្ឋាន</t>
        </is>
      </c>
      <c r="H769" s="10" t="inlineStr">
        <is>
          <t>បញ្ចូលអាសយដ្ឋាន</t>
        </is>
      </c>
      <c r="I769" s="10" t="n"/>
      <c r="J769" s="10" t="n"/>
      <c r="K769" s="10" t="inlineStr">
        <is>
          <t>"modifyOrder.addressPlaceholder": "បញ្ចូលអាសយដ្ឋាន",</t>
        </is>
      </c>
      <c r="L769" s="10" t="n"/>
      <c r="M769" s="10" t="n"/>
      <c r="N769" s="10" t="n"/>
      <c r="O769" s="10" t="n"/>
      <c r="P769" s="10" t="n"/>
      <c r="Q769" s="10" t="n"/>
      <c r="R769" s="10" t="n"/>
      <c r="S769" s="10" t="n"/>
      <c r="T769" s="10" t="n"/>
      <c r="U769" s="10" t="n"/>
      <c r="V769" s="10" t="n"/>
      <c r="W769" s="10" t="n"/>
      <c r="X769" s="10" t="n"/>
      <c r="Y769" s="10" t="n"/>
      <c r="Z769" s="10" t="n"/>
    </row>
    <row r="770">
      <c r="A770" s="27" t="inlineStr">
        <is>
          <t>modifyOrder.addressNew</t>
        </is>
      </c>
      <c r="B770" s="27" t="inlineStr">
        <is>
          <t>Địa chỉ mới</t>
        </is>
      </c>
      <c r="C770" s="27" t="inlineStr">
        <is>
          <t>New address</t>
        </is>
      </c>
      <c r="D770" s="21" t="inlineStr">
        <is>
          <t>អាស័យដ្ឋានថ្មី</t>
        </is>
      </c>
      <c r="E770" s="102" t="inlineStr">
        <is>
          <t>អាស័យដ្ឋានថ្មី</t>
        </is>
      </c>
      <c r="F770" s="10" t="n"/>
      <c r="G770" s="10" t="inlineStr">
        <is>
          <t>អាសយដ្ឋានថ្មី</t>
        </is>
      </c>
      <c r="H770" s="10" t="inlineStr">
        <is>
          <t>អាសយដ្ឋានថ្មី</t>
        </is>
      </c>
      <c r="I770" s="10" t="n"/>
      <c r="J770" s="10" t="n"/>
      <c r="K770" s="10" t="inlineStr">
        <is>
          <t>"modifyOrder.addressNew": "អាសយដ្ឋានថ្មី",</t>
        </is>
      </c>
      <c r="L770" s="10" t="n"/>
      <c r="M770" s="10" t="n"/>
      <c r="N770" s="10" t="n"/>
      <c r="O770" s="10" t="n"/>
      <c r="P770" s="10" t="n"/>
      <c r="Q770" s="10" t="n"/>
      <c r="R770" s="10" t="n"/>
      <c r="S770" s="10" t="n"/>
      <c r="T770" s="10" t="n"/>
      <c r="U770" s="10" t="n"/>
      <c r="V770" s="10" t="n"/>
      <c r="W770" s="10" t="n"/>
      <c r="X770" s="10" t="n"/>
      <c r="Y770" s="10" t="n"/>
      <c r="Z770" s="10" t="n"/>
    </row>
    <row r="771">
      <c r="A771" s="27" t="inlineStr">
        <is>
          <t>modifyOrder.addAddress</t>
        </is>
      </c>
      <c r="B771" s="27" t="inlineStr">
        <is>
          <t>Thêm địa chỉ gửi hàng khác</t>
        </is>
      </c>
      <c r="C771" s="27" t="inlineStr">
        <is>
          <t>Add new address</t>
        </is>
      </c>
      <c r="D771" s="21" t="inlineStr">
        <is>
          <t>បន្ថែមទីតាំងផ្ញើអីវ៉ាន់ផ្សេង</t>
        </is>
      </c>
      <c r="E771" s="102" t="inlineStr">
        <is>
          <t>បន្ថែមទីតាំងផ្ញើអីវ៉ាន់ផ្សេង</t>
        </is>
      </c>
      <c r="F771" s="10" t="n"/>
      <c r="G771" s="10" t="inlineStr">
        <is>
          <t>បន្ថែមទីតាំងផ្ញើអីវ៉ាន់ផ្សេង</t>
        </is>
      </c>
      <c r="H771" s="10" t="inlineStr">
        <is>
          <t>បន្ថែមទីតាំងផ្ញើអីវ៉ាន់ផ្សេង</t>
        </is>
      </c>
      <c r="I771" s="10" t="n"/>
      <c r="J771" s="10" t="n"/>
      <c r="K771" s="10" t="inlineStr">
        <is>
          <t>"modifyOrder.addAddress": "បន្ថែមទីតាំងផ្ញើអីវ៉ាន់ផ្សេង",</t>
        </is>
      </c>
      <c r="L771" s="10" t="n"/>
      <c r="M771" s="10" t="n"/>
      <c r="N771" s="10" t="n"/>
      <c r="O771" s="10" t="n"/>
      <c r="P771" s="10" t="n"/>
      <c r="Q771" s="10" t="n"/>
      <c r="R771" s="10" t="n"/>
      <c r="S771" s="10" t="n"/>
      <c r="T771" s="10" t="n"/>
      <c r="U771" s="10" t="n"/>
      <c r="V771" s="10" t="n"/>
      <c r="W771" s="10" t="n"/>
      <c r="X771" s="10" t="n"/>
      <c r="Y771" s="10" t="n"/>
      <c r="Z771" s="10" t="n"/>
    </row>
    <row r="772">
      <c r="A772" s="27" t="inlineStr">
        <is>
          <t>modifyOrder.addressName</t>
        </is>
      </c>
      <c r="B772" s="27" t="inlineStr">
        <is>
          <t>Tên địa chỉ</t>
        </is>
      </c>
      <c r="C772" s="27" t="inlineStr">
        <is>
          <t>Address name</t>
        </is>
      </c>
      <c r="D772" s="21" t="inlineStr">
        <is>
          <t>ឈ្មោះអាស័យដ្ឋាន</t>
        </is>
      </c>
      <c r="E772" s="102" t="inlineStr">
        <is>
          <t>ឈ្មោះទីតាំង</t>
        </is>
      </c>
      <c r="F772" s="10" t="n"/>
      <c r="G772" s="10" t="inlineStr">
        <is>
          <t>ឈ្មោះទីតាំង</t>
        </is>
      </c>
      <c r="H772" s="10" t="inlineStr">
        <is>
          <t>ឈ្មោះទីតាំង</t>
        </is>
      </c>
      <c r="I772" s="10" t="n"/>
      <c r="J772" s="10" t="n"/>
      <c r="K772" s="10" t="inlineStr">
        <is>
          <t>"modifyOrder.addressName": "ឈ្មោះទីតាំង",</t>
        </is>
      </c>
      <c r="L772" s="10" t="n"/>
      <c r="M772" s="10" t="n"/>
      <c r="N772" s="10" t="n"/>
      <c r="O772" s="10" t="n"/>
      <c r="P772" s="10" t="n"/>
      <c r="Q772" s="10" t="n"/>
      <c r="R772" s="10" t="n"/>
      <c r="S772" s="10" t="n"/>
      <c r="T772" s="10" t="n"/>
      <c r="U772" s="10" t="n"/>
      <c r="V772" s="10" t="n"/>
      <c r="W772" s="10" t="n"/>
      <c r="X772" s="10" t="n"/>
      <c r="Y772" s="10" t="n"/>
      <c r="Z772" s="10" t="n"/>
    </row>
    <row r="773">
      <c r="A773" s="27" t="inlineStr">
        <is>
          <t>modifyOrder.addressNamePlace</t>
        </is>
      </c>
      <c r="B773" s="27" t="inlineStr">
        <is>
          <t>Nhập tên địa chỉ</t>
        </is>
      </c>
      <c r="C773" s="27" t="inlineStr">
        <is>
          <t>Enter address name</t>
        </is>
      </c>
      <c r="D773" s="24" t="inlineStr">
        <is>
          <t>បញ្ចូលឈ្មោះអាស័យដ្ឋាន</t>
        </is>
      </c>
      <c r="E773" s="102" t="inlineStr">
        <is>
          <t>បញ្ចូលអាស័យដ្ឋាន</t>
        </is>
      </c>
      <c r="F773" s="10" t="n"/>
      <c r="G773" s="10" t="inlineStr">
        <is>
          <t>បញ្ចូលអាសយដ្ឋាន</t>
        </is>
      </c>
      <c r="H773" s="10" t="inlineStr">
        <is>
          <t>បញ្ចូលអាសយដ្ឋាន</t>
        </is>
      </c>
      <c r="I773" s="10" t="n"/>
      <c r="J773" s="10" t="n"/>
      <c r="K773" s="10" t="inlineStr">
        <is>
          <t>"modifyOrder.addressNamePlace": "បញ្ចូលអាសយដ្ឋាន",</t>
        </is>
      </c>
      <c r="L773" s="10" t="n"/>
      <c r="M773" s="10" t="n"/>
      <c r="N773" s="10" t="n"/>
      <c r="O773" s="10" t="n"/>
      <c r="P773" s="10" t="n"/>
      <c r="Q773" s="10" t="n"/>
      <c r="R773" s="10" t="n"/>
      <c r="S773" s="10" t="n"/>
      <c r="T773" s="10" t="n"/>
      <c r="U773" s="10" t="n"/>
      <c r="V773" s="10" t="n"/>
      <c r="W773" s="10" t="n"/>
      <c r="X773" s="10" t="n"/>
      <c r="Y773" s="10" t="n"/>
      <c r="Z773" s="10" t="n"/>
    </row>
    <row r="774">
      <c r="A774" s="27" t="inlineStr">
        <is>
          <t>modifyOrder.addalternativePhones</t>
        </is>
      </c>
      <c r="B774" s="27" t="inlineStr">
        <is>
          <t>Thêm SĐT phụ</t>
        </is>
      </c>
      <c r="C774" s="27" t="inlineStr">
        <is>
          <t>Additional phone number</t>
        </is>
      </c>
      <c r="D774" s="102" t="inlineStr">
        <is>
          <t>បន្ថែមលេខទូរស័ព្ទ</t>
        </is>
      </c>
      <c r="E774" s="102" t="inlineStr">
        <is>
          <t>បន្ថែ្ថមលេខទូរស័ព្ទបន្ទាប់បន្សំ</t>
        </is>
      </c>
      <c r="F774" s="10" t="n"/>
      <c r="G774" s="10" t="inlineStr">
        <is>
          <t>បន្ថែ្ថមលេខទូរស័ព្ទបន្ទាប់បន្សំ</t>
        </is>
      </c>
      <c r="H774" s="10" t="inlineStr">
        <is>
          <t>បន្ថែ្ថមលេខទូរស័ព្ទបន្ទាប់បន្សំ</t>
        </is>
      </c>
      <c r="I774" s="10" t="n"/>
      <c r="J774" s="10" t="n"/>
      <c r="K774" s="10" t="inlineStr">
        <is>
          <t>"modifyOrder.addalternativePhones": "បន្ថែ្ថមលេខទូរស័ព្ទបន្ទាប់បន្សំ",</t>
        </is>
      </c>
      <c r="L774" s="10" t="n"/>
      <c r="M774" s="10" t="n"/>
      <c r="N774" s="10" t="n"/>
      <c r="O774" s="10" t="n"/>
      <c r="P774" s="10" t="n"/>
      <c r="Q774" s="10" t="n"/>
      <c r="R774" s="10" t="n"/>
      <c r="S774" s="10" t="n"/>
      <c r="T774" s="10" t="n"/>
      <c r="U774" s="10" t="n"/>
      <c r="V774" s="10" t="n"/>
      <c r="W774" s="10" t="n"/>
      <c r="X774" s="10" t="n"/>
      <c r="Y774" s="10" t="n"/>
      <c r="Z774" s="10" t="n"/>
    </row>
    <row r="775">
      <c r="A775" s="27" t="inlineStr">
        <is>
          <t>modifyOrder.consignee</t>
        </is>
      </c>
      <c r="B775" s="27" t="inlineStr">
        <is>
          <t>Người nhận</t>
        </is>
      </c>
      <c r="C775" s="27" t="inlineStr">
        <is>
          <t>Recipient information</t>
        </is>
      </c>
      <c r="D775" s="21" t="inlineStr">
        <is>
          <t>អ្នកទទួល</t>
        </is>
      </c>
      <c r="E775" s="102" t="inlineStr">
        <is>
          <t>អ្នកទទួល</t>
        </is>
      </c>
      <c r="F775" s="10" t="n"/>
      <c r="G775" s="10" t="inlineStr">
        <is>
          <t>អ្នកទទួល</t>
        </is>
      </c>
      <c r="H775" s="10" t="inlineStr">
        <is>
          <t>អ្នកទទួល</t>
        </is>
      </c>
      <c r="I775" s="10" t="n"/>
      <c r="J775" s="10" t="n"/>
      <c r="K775" s="10" t="inlineStr">
        <is>
          <t>"modifyOrder.consignee": "អ្នកទទួល",</t>
        </is>
      </c>
      <c r="L775" s="10" t="n"/>
      <c r="M775" s="10" t="n"/>
      <c r="N775" s="10" t="n"/>
      <c r="O775" s="10" t="n"/>
      <c r="P775" s="10" t="n"/>
      <c r="Q775" s="10" t="n"/>
      <c r="R775" s="10" t="n"/>
      <c r="S775" s="10" t="n"/>
      <c r="T775" s="10" t="n"/>
      <c r="U775" s="10" t="n"/>
      <c r="V775" s="10" t="n"/>
      <c r="W775" s="10" t="n"/>
      <c r="X775" s="10" t="n"/>
      <c r="Y775" s="10" t="n"/>
      <c r="Z775" s="10" t="n"/>
    </row>
    <row r="776">
      <c r="A776" s="27" t="inlineStr">
        <is>
          <t>modifyOrder.deliveryAppointment</t>
        </is>
      </c>
      <c r="B776" s="27" t="inlineStr">
        <is>
          <t>Thời gian hẹn giao</t>
        </is>
      </c>
      <c r="C776" s="27" t="inlineStr">
        <is>
          <t>Delivery time</t>
        </is>
      </c>
      <c r="D776" s="24" t="inlineStr">
        <is>
          <t>ពេលវេលាកំណត់ការប្រគល់</t>
        </is>
      </c>
      <c r="E776" s="102" t="inlineStr">
        <is>
          <t>ពេលវេលាណាត់ប្រគល់អីវ៉ាន់</t>
        </is>
      </c>
      <c r="F776" s="10" t="n"/>
      <c r="G776" s="10" t="inlineStr">
        <is>
          <t>ពេលវេលាណាត់ប្រគល់អីវ៉ាន់</t>
        </is>
      </c>
      <c r="H776" s="10" t="inlineStr">
        <is>
          <t>ពេលវេលាណាត់ប្រគល់អីវ៉ាន់</t>
        </is>
      </c>
      <c r="I776" s="10" t="n"/>
      <c r="J776" s="10" t="n"/>
      <c r="K776" s="10" t="inlineStr">
        <is>
          <t>"modifyOrder.deliveryAppointment": "ពេលវេលាណាត់ប្រគល់អីវ៉ាន់",</t>
        </is>
      </c>
      <c r="L776" s="10" t="n"/>
      <c r="M776" s="10" t="n"/>
      <c r="N776" s="10" t="n"/>
      <c r="O776" s="10" t="n"/>
      <c r="P776" s="10" t="n"/>
      <c r="Q776" s="10" t="n"/>
      <c r="R776" s="10" t="n"/>
      <c r="S776" s="10" t="n"/>
      <c r="T776" s="10" t="n"/>
      <c r="U776" s="10" t="n"/>
      <c r="V776" s="10" t="n"/>
      <c r="W776" s="10" t="n"/>
      <c r="X776" s="10" t="n"/>
      <c r="Y776" s="10" t="n"/>
      <c r="Z776" s="10" t="n"/>
    </row>
    <row r="777">
      <c r="A777" s="27" t="inlineStr">
        <is>
          <t>modifyOrder.all_day</t>
        </is>
      </c>
      <c r="B777" s="27" t="inlineStr">
        <is>
          <t>Cả ngày</t>
        </is>
      </c>
      <c r="C777" s="27" t="inlineStr">
        <is>
          <t>All day</t>
        </is>
      </c>
      <c r="D777" s="21" t="inlineStr">
        <is>
          <t>ពេញមួយថ្ងៃ</t>
        </is>
      </c>
      <c r="E777" s="102" t="inlineStr">
        <is>
          <t>ពេញមួយថ្ងៃ</t>
        </is>
      </c>
      <c r="F777" s="10" t="n"/>
      <c r="G777" s="10" t="inlineStr">
        <is>
          <t>ពេញមួយថ្ងៃ</t>
        </is>
      </c>
      <c r="H777" s="10" t="inlineStr">
        <is>
          <t>ពេញមួយថ្ងៃ</t>
        </is>
      </c>
      <c r="I777" s="10" t="n"/>
      <c r="J777" s="10" t="n"/>
      <c r="K777" s="10" t="inlineStr">
        <is>
          <t>"modifyOrder.all_day": "ពេញមួយថ្ងៃ",</t>
        </is>
      </c>
      <c r="L777" s="10" t="n"/>
      <c r="M777" s="10" t="n"/>
      <c r="N777" s="10" t="n"/>
      <c r="O777" s="10" t="n"/>
      <c r="P777" s="10" t="n"/>
      <c r="Q777" s="10" t="n"/>
      <c r="R777" s="10" t="n"/>
      <c r="S777" s="10" t="n"/>
      <c r="T777" s="10" t="n"/>
      <c r="U777" s="10" t="n"/>
      <c r="V777" s="10" t="n"/>
      <c r="W777" s="10" t="n"/>
      <c r="X777" s="10" t="n"/>
      <c r="Y777" s="10" t="n"/>
      <c r="Z777" s="10" t="n"/>
    </row>
    <row r="778">
      <c r="A778" s="27" t="inlineStr">
        <is>
          <t>modifyOrder.morning</t>
        </is>
      </c>
      <c r="B778" s="27" t="inlineStr">
        <is>
          <t>Sáng (7h30 - 12h00)</t>
        </is>
      </c>
      <c r="C778" s="27" t="inlineStr">
        <is>
          <t>Morning (7:30 - 12:00)</t>
        </is>
      </c>
      <c r="D778" s="21" t="inlineStr">
        <is>
          <t>ព្រឹក (7h30 - 12h00)</t>
        </is>
      </c>
      <c r="E778" s="102" t="inlineStr">
        <is>
          <t>ព្រឹក (7h30 - 12h00)</t>
        </is>
      </c>
      <c r="F778" s="10" t="n"/>
      <c r="G778" s="10" t="inlineStr">
        <is>
          <t>ព្រឹក (7h30 - 12h00)</t>
        </is>
      </c>
      <c r="H778" s="10" t="inlineStr">
        <is>
          <t>ព្រឹក (7h30 - 12h00)</t>
        </is>
      </c>
      <c r="I778" s="10" t="n"/>
      <c r="J778" s="10" t="n"/>
      <c r="K778" s="10" t="inlineStr">
        <is>
          <t>"modifyOrder.morning": "ព្រឹក (7h30 - 12h00)",</t>
        </is>
      </c>
      <c r="L778" s="10" t="n"/>
      <c r="M778" s="10" t="n"/>
      <c r="N778" s="10" t="n"/>
      <c r="O778" s="10" t="n"/>
      <c r="P778" s="10" t="n"/>
      <c r="Q778" s="10" t="n"/>
      <c r="R778" s="10" t="n"/>
      <c r="S778" s="10" t="n"/>
      <c r="T778" s="10" t="n"/>
      <c r="U778" s="10" t="n"/>
      <c r="V778" s="10" t="n"/>
      <c r="W778" s="10" t="n"/>
      <c r="X778" s="10" t="n"/>
      <c r="Y778" s="10" t="n"/>
      <c r="Z778" s="10" t="n"/>
    </row>
    <row r="779">
      <c r="A779" s="27" t="inlineStr">
        <is>
          <t>modifyOrder.afternoon</t>
        </is>
      </c>
      <c r="B779" s="27" t="inlineStr">
        <is>
          <t>Chiều (13h30 - 18h00)</t>
        </is>
      </c>
      <c r="C779" s="27" t="inlineStr">
        <is>
          <t>Afternoon (13:30 - 18:00)</t>
        </is>
      </c>
      <c r="D779" s="21" t="inlineStr">
        <is>
          <t>ពេលល្ងាច (13h30 - 18h00)</t>
        </is>
      </c>
      <c r="E779" s="102" t="inlineStr">
        <is>
          <t>រសៀល (13h30 - 18h00)</t>
        </is>
      </c>
      <c r="F779" s="10" t="n"/>
      <c r="G779" s="10" t="inlineStr">
        <is>
          <t>រសៀល (13h30 - 18h00)</t>
        </is>
      </c>
      <c r="H779" s="10" t="inlineStr">
        <is>
          <t>រសៀល (13h30 - 18h00)</t>
        </is>
      </c>
      <c r="I779" s="10" t="n"/>
      <c r="J779" s="10" t="n"/>
      <c r="K779" s="10" t="inlineStr">
        <is>
          <t>"modifyOrder.afternoon": "រសៀល (13h30 - 18h00)",</t>
        </is>
      </c>
      <c r="L779" s="10" t="n"/>
      <c r="M779" s="10" t="n"/>
      <c r="N779" s="10" t="n"/>
      <c r="O779" s="10" t="n"/>
      <c r="P779" s="10" t="n"/>
      <c r="Q779" s="10" t="n"/>
      <c r="R779" s="10" t="n"/>
      <c r="S779" s="10" t="n"/>
      <c r="T779" s="10" t="n"/>
      <c r="U779" s="10" t="n"/>
      <c r="V779" s="10" t="n"/>
      <c r="W779" s="10" t="n"/>
      <c r="X779" s="10" t="n"/>
      <c r="Y779" s="10" t="n"/>
      <c r="Z779" s="10" t="n"/>
    </row>
    <row r="780">
      <c r="A780" s="27" t="inlineStr">
        <is>
          <t>modifyOrder.night</t>
        </is>
      </c>
      <c r="B780" s="27" t="inlineStr">
        <is>
          <t>Tối (18h00 - 21h00)</t>
        </is>
      </c>
      <c r="C780" s="27" t="inlineStr">
        <is>
          <t>Evening (18:00 - 21:00)</t>
        </is>
      </c>
      <c r="D780" s="21" t="inlineStr">
        <is>
          <t>យប់(18h00 - 21h00)</t>
        </is>
      </c>
      <c r="E780" s="27" t="inlineStr">
        <is>
          <t>យប់(18h00 - 21h00)</t>
        </is>
      </c>
      <c r="F780" s="10" t="n"/>
      <c r="G780" s="10" t="inlineStr">
        <is>
          <t>យប់(18h00 - 21h00)</t>
        </is>
      </c>
      <c r="H780" s="10" t="inlineStr">
        <is>
          <t>យប់(18h00 - 21h00)</t>
        </is>
      </c>
      <c r="I780" s="10" t="n"/>
      <c r="J780" s="10" t="n"/>
      <c r="K780" s="10" t="inlineStr">
        <is>
          <t>"modifyOrder.night": "យប់(18h00 - 21h00)",</t>
        </is>
      </c>
      <c r="L780" s="10" t="n"/>
      <c r="M780" s="10" t="n"/>
      <c r="N780" s="10" t="n"/>
      <c r="O780" s="10" t="n"/>
      <c r="P780" s="10" t="n"/>
      <c r="Q780" s="10" t="n"/>
      <c r="R780" s="10" t="n"/>
      <c r="S780" s="10" t="n"/>
      <c r="T780" s="10" t="n"/>
      <c r="U780" s="10" t="n"/>
      <c r="V780" s="10" t="n"/>
      <c r="W780" s="10" t="n"/>
      <c r="X780" s="10" t="n"/>
      <c r="Y780" s="10" t="n"/>
      <c r="Z780" s="10" t="n"/>
    </row>
    <row r="781">
      <c r="A781" s="27" t="inlineStr">
        <is>
          <t>modifyOrder.office_hours</t>
        </is>
      </c>
      <c r="B781" s="27" t="inlineStr">
        <is>
          <t>Giờ hành chính (7h30 - 11h30, 13h00 - 17h30)</t>
        </is>
      </c>
      <c r="C781" s="27" t="inlineStr">
        <is>
          <t>Office hours (7:30 - 11:30, 13:00 - 17:30)</t>
        </is>
      </c>
      <c r="D781" s="21" t="inlineStr">
        <is>
          <t>ម៉ោងធ្វើការ(7h30 - 11h30, 13h00 - 17h30)</t>
        </is>
      </c>
      <c r="E781" s="27" t="inlineStr">
        <is>
          <t>ម៉ោងធ្វើការ (7h30 - 11h30, 13h00 - 17h30)</t>
        </is>
      </c>
      <c r="F781" s="10" t="n"/>
      <c r="G781" s="10" t="inlineStr">
        <is>
          <t>ម៉ោងធ្វើការ (7h30 - 11h30, 13h00 - 17h30)</t>
        </is>
      </c>
      <c r="H781" s="10" t="inlineStr">
        <is>
          <t>ម៉ោងធ្វើការ (7h30 - 11h30, 13h00 - 17h30)</t>
        </is>
      </c>
      <c r="I781" s="10" t="n"/>
      <c r="J781" s="10" t="n"/>
      <c r="K781" s="10" t="inlineStr">
        <is>
          <t>"modifyOrder.office_hours": "ម៉ោងធ្វើការ (7h30 - 11h30, 13h00 - 17h30)",</t>
        </is>
      </c>
      <c r="L781" s="10" t="n"/>
      <c r="M781" s="10" t="n"/>
      <c r="N781" s="10" t="n"/>
      <c r="O781" s="10" t="n"/>
      <c r="P781" s="10" t="n"/>
      <c r="Q781" s="10" t="n"/>
      <c r="R781" s="10" t="n"/>
      <c r="S781" s="10" t="n"/>
      <c r="T781" s="10" t="n"/>
      <c r="U781" s="10" t="n"/>
      <c r="V781" s="10" t="n"/>
      <c r="W781" s="10" t="n"/>
      <c r="X781" s="10" t="n"/>
      <c r="Y781" s="10" t="n"/>
      <c r="Z781" s="10" t="n"/>
    </row>
    <row r="782">
      <c r="A782" s="27" t="inlineStr">
        <is>
          <t>modifyOrder.sunday</t>
        </is>
      </c>
      <c r="B782" s="27" t="inlineStr">
        <is>
          <t>Chủ nhật</t>
        </is>
      </c>
      <c r="C782" s="27" t="inlineStr">
        <is>
          <t>Sunday</t>
        </is>
      </c>
      <c r="D782" s="21" t="inlineStr">
        <is>
          <t>ថ្ងៃអាទិត្យ</t>
        </is>
      </c>
      <c r="E782" s="88" t="inlineStr">
        <is>
          <t>ថ្ងៃអាទិត្យ</t>
        </is>
      </c>
      <c r="F782" s="10" t="n"/>
      <c r="G782" s="10" t="inlineStr">
        <is>
          <t>ថ្ងៃអាទិត្យ</t>
        </is>
      </c>
      <c r="H782" s="10" t="inlineStr">
        <is>
          <t>ថ្ងៃអាទិត្យ</t>
        </is>
      </c>
      <c r="I782" s="10" t="n"/>
      <c r="J782" s="10" t="n"/>
      <c r="K782" s="10" t="inlineStr">
        <is>
          <t>"modifyOrder.sunday": "ថ្ងៃអាទិត្យ",</t>
        </is>
      </c>
      <c r="L782" s="10" t="n"/>
      <c r="M782" s="10" t="n"/>
      <c r="N782" s="10" t="n"/>
      <c r="O782" s="10" t="n"/>
      <c r="P782" s="10" t="n"/>
      <c r="Q782" s="10" t="n"/>
      <c r="R782" s="10" t="n"/>
      <c r="S782" s="10" t="n"/>
      <c r="T782" s="10" t="n"/>
      <c r="U782" s="10" t="n"/>
      <c r="V782" s="10" t="n"/>
      <c r="W782" s="10" t="n"/>
      <c r="X782" s="10" t="n"/>
      <c r="Y782" s="10" t="n"/>
      <c r="Z782" s="10" t="n"/>
    </row>
    <row r="783">
      <c r="A783" s="27" t="inlineStr">
        <is>
          <t>modifyOrder.otherInfomation</t>
        </is>
      </c>
      <c r="B783" s="27" t="inlineStr">
        <is>
          <t>Thông tin khác</t>
        </is>
      </c>
      <c r="C783" s="27" t="inlineStr">
        <is>
          <t>Other Information</t>
        </is>
      </c>
      <c r="D783" s="21" t="inlineStr">
        <is>
          <t>ព័ត៌មានផ្សេងៗ</t>
        </is>
      </c>
      <c r="E783" s="88" t="inlineStr">
        <is>
          <t>ព័ត៌មានផ្សេងៗ</t>
        </is>
      </c>
      <c r="F783" s="10" t="n"/>
      <c r="G783" s="10" t="inlineStr">
        <is>
          <t>ព័ត៌មានផ្សេងៗ</t>
        </is>
      </c>
      <c r="H783" s="10" t="inlineStr">
        <is>
          <t>ព័ត៌មានផ្សេងៗ</t>
        </is>
      </c>
      <c r="I783" s="10" t="n"/>
      <c r="J783" s="10" t="n"/>
      <c r="K783" s="10" t="inlineStr">
        <is>
          <t>"modifyOrder.otherInfomation": "ព័ត៌មានផ្សេងៗ",</t>
        </is>
      </c>
      <c r="L783" s="10" t="n"/>
      <c r="M783" s="10" t="n"/>
      <c r="N783" s="10" t="n"/>
      <c r="O783" s="10" t="n"/>
      <c r="P783" s="10" t="n"/>
      <c r="Q783" s="10" t="n"/>
      <c r="R783" s="10" t="n"/>
      <c r="S783" s="10" t="n"/>
      <c r="T783" s="10" t="n"/>
      <c r="U783" s="10" t="n"/>
      <c r="V783" s="10" t="n"/>
      <c r="W783" s="10" t="n"/>
      <c r="X783" s="10" t="n"/>
      <c r="Y783" s="10" t="n"/>
      <c r="Z783" s="10" t="n"/>
    </row>
    <row r="784">
      <c r="A784" s="27" t="inlineStr">
        <is>
          <t>modifyOrder.parcelType</t>
        </is>
      </c>
      <c r="B784" s="27" t="inlineStr">
        <is>
          <t>Loại hàng hoá</t>
        </is>
      </c>
      <c r="C784" s="27" t="inlineStr">
        <is>
          <t>Goods categories</t>
        </is>
      </c>
      <c r="D784" s="21" t="inlineStr">
        <is>
          <t>ប្រភេទកញ្ចប់អីវ៉ាន់</t>
        </is>
      </c>
      <c r="E784" s="88" t="inlineStr">
        <is>
          <t>ប្រភេទកញ្ចប់អីវ៉ាន់</t>
        </is>
      </c>
      <c r="F784" s="10" t="n"/>
      <c r="G784" s="10" t="inlineStr">
        <is>
          <t>ប្រភេទកញ្ចប់អីវ៉ាន់</t>
        </is>
      </c>
      <c r="H784" s="10" t="inlineStr">
        <is>
          <t>ប្រភេទកញ្ចប់អីវ៉ាន់</t>
        </is>
      </c>
      <c r="I784" s="10" t="n"/>
      <c r="J784" s="10" t="n"/>
      <c r="K784" s="10" t="inlineStr">
        <is>
          <t>"modifyOrder.parcelType": "ប្រភេទកញ្ចប់អីវ៉ាន់",</t>
        </is>
      </c>
      <c r="L784" s="10" t="n"/>
      <c r="M784" s="10" t="n"/>
      <c r="N784" s="10" t="n"/>
      <c r="O784" s="10" t="n"/>
      <c r="P784" s="10" t="n"/>
      <c r="Q784" s="10" t="n"/>
      <c r="R784" s="10" t="n"/>
      <c r="S784" s="10" t="n"/>
      <c r="T784" s="10" t="n"/>
      <c r="U784" s="10" t="n"/>
      <c r="V784" s="10" t="n"/>
      <c r="W784" s="10" t="n"/>
      <c r="X784" s="10" t="n"/>
      <c r="Y784" s="10" t="n"/>
      <c r="Z784" s="10" t="n"/>
    </row>
    <row r="785">
      <c r="A785" s="27" t="inlineStr">
        <is>
          <t>modifyOrder.parcel</t>
        </is>
      </c>
      <c r="B785" s="27" t="inlineStr">
        <is>
          <t>Hàng hoá</t>
        </is>
      </c>
      <c r="C785" s="27" t="inlineStr">
        <is>
          <t>Freight</t>
        </is>
      </c>
      <c r="D785" s="21" t="inlineStr">
        <is>
          <t>កញ្ចប់អីវ៉ាន់</t>
        </is>
      </c>
      <c r="E785" s="88" t="inlineStr">
        <is>
          <t>កញ្ចប់អីវ៉ាន់</t>
        </is>
      </c>
      <c r="F785" s="10" t="n"/>
      <c r="G785" s="10" t="inlineStr">
        <is>
          <t>កញ្ចប់អីវ៉ាន់</t>
        </is>
      </c>
      <c r="H785" s="10" t="inlineStr">
        <is>
          <t>កញ្ចប់អីវ៉ាន់</t>
        </is>
      </c>
      <c r="I785" s="10" t="n"/>
      <c r="J785" s="10" t="n"/>
      <c r="K785" s="10" t="inlineStr">
        <is>
          <t>"modifyOrder.parcel": "កញ្ចប់អីវ៉ាន់",</t>
        </is>
      </c>
      <c r="L785" s="10" t="n"/>
      <c r="M785" s="10" t="n"/>
      <c r="N785" s="10" t="n"/>
      <c r="O785" s="10" t="n"/>
      <c r="P785" s="10" t="n"/>
      <c r="Q785" s="10" t="n"/>
      <c r="R785" s="10" t="n"/>
      <c r="S785" s="10" t="n"/>
      <c r="T785" s="10" t="n"/>
      <c r="U785" s="10" t="n"/>
      <c r="V785" s="10" t="n"/>
      <c r="W785" s="10" t="n"/>
      <c r="X785" s="10" t="n"/>
      <c r="Y785" s="10" t="n"/>
      <c r="Z785" s="10" t="n"/>
    </row>
    <row r="786">
      <c r="A786" s="27" t="inlineStr">
        <is>
          <t>modifyOrder.goods</t>
        </is>
      </c>
      <c r="B786" s="27" t="inlineStr">
        <is>
          <t>Bưu phẩm</t>
        </is>
      </c>
      <c r="C786" s="27" t="inlineStr">
        <is>
          <t>Parcel</t>
        </is>
      </c>
      <c r="D786" s="21" t="inlineStr">
        <is>
          <t>អីវ៉ាន់</t>
        </is>
      </c>
      <c r="E786" s="89" t="inlineStr">
        <is>
          <t>កញ្ចប់ទំនិញ</t>
        </is>
      </c>
      <c r="F786" s="10" t="n"/>
      <c r="G786" s="10" t="inlineStr">
        <is>
          <t>កញ្ចប់ទំនិញ</t>
        </is>
      </c>
      <c r="H786" s="10" t="inlineStr">
        <is>
          <t>កញ្ចប់ទំនិញ</t>
        </is>
      </c>
      <c r="I786" s="10" t="n"/>
      <c r="J786" s="10" t="n"/>
      <c r="K786" s="10" t="inlineStr">
        <is>
          <t>"modifyOrder.goods": "កញ្ចប់ទំនិញ",</t>
        </is>
      </c>
      <c r="L786" s="10" t="n"/>
      <c r="M786" s="10" t="n"/>
      <c r="N786" s="10" t="n"/>
      <c r="O786" s="10" t="n"/>
      <c r="P786" s="10" t="n"/>
      <c r="Q786" s="10" t="n"/>
      <c r="R786" s="10" t="n"/>
      <c r="S786" s="10" t="n"/>
      <c r="T786" s="10" t="n"/>
      <c r="U786" s="10" t="n"/>
      <c r="V786" s="10" t="n"/>
      <c r="W786" s="10" t="n"/>
      <c r="X786" s="10" t="n"/>
      <c r="Y786" s="10" t="n"/>
      <c r="Z786" s="10" t="n"/>
    </row>
    <row r="787">
      <c r="A787" s="27" t="inlineStr">
        <is>
          <t>modifyOrder.document</t>
        </is>
      </c>
      <c r="B787" s="27" t="inlineStr">
        <is>
          <t>Tài liệu</t>
        </is>
      </c>
      <c r="C787" s="27" t="inlineStr">
        <is>
          <t>Documents</t>
        </is>
      </c>
      <c r="D787" s="102" t="inlineStr">
        <is>
          <t>ឯកសារ</t>
        </is>
      </c>
      <c r="E787" s="88" t="inlineStr">
        <is>
          <t>ឯកសារ</t>
        </is>
      </c>
      <c r="F787" s="10" t="n"/>
      <c r="G787" s="10" t="inlineStr">
        <is>
          <t>ឯកសារ</t>
        </is>
      </c>
      <c r="H787" s="10" t="inlineStr">
        <is>
          <t>ឯកសារ</t>
        </is>
      </c>
      <c r="I787" s="10" t="n"/>
      <c r="J787" s="10" t="n"/>
      <c r="K787" s="10" t="inlineStr">
        <is>
          <t>"modifyOrder.document": "ឯកសារ",</t>
        </is>
      </c>
      <c r="L787" s="10" t="n"/>
      <c r="M787" s="10" t="n"/>
      <c r="N787" s="10" t="n"/>
      <c r="O787" s="10" t="n"/>
      <c r="P787" s="10" t="n"/>
      <c r="Q787" s="10" t="n"/>
      <c r="R787" s="10" t="n"/>
      <c r="S787" s="10" t="n"/>
      <c r="T787" s="10" t="n"/>
      <c r="U787" s="10" t="n"/>
      <c r="V787" s="10" t="n"/>
      <c r="W787" s="10" t="n"/>
      <c r="X787" s="10" t="n"/>
      <c r="Y787" s="10" t="n"/>
      <c r="Z787" s="10" t="n"/>
    </row>
    <row r="788">
      <c r="A788" s="27" t="inlineStr">
        <is>
          <t>modifyOrder.parcelName</t>
        </is>
      </c>
      <c r="B788" s="27" t="inlineStr">
        <is>
          <t>Tên hàng hoá</t>
        </is>
      </c>
      <c r="C788" s="27" t="inlineStr">
        <is>
          <t>Parcel description</t>
        </is>
      </c>
      <c r="D788" s="21" t="inlineStr">
        <is>
          <t>ឈ្មោះអីវ៉ាន់</t>
        </is>
      </c>
      <c r="E788" s="88" t="inlineStr">
        <is>
          <t>ឈ្មោះអីវ៉ាន់</t>
        </is>
      </c>
      <c r="F788" s="10" t="n"/>
      <c r="G788" s="10" t="inlineStr">
        <is>
          <t>ឈ្មោះអីវ៉ាន់</t>
        </is>
      </c>
      <c r="H788" s="10" t="inlineStr">
        <is>
          <t>ឈ្មោះអីវ៉ាន់</t>
        </is>
      </c>
      <c r="I788" s="10" t="n"/>
      <c r="J788" s="10" t="n"/>
      <c r="K788" s="10" t="inlineStr">
        <is>
          <t>"modifyOrder.parcelName": "ឈ្មោះអីវ៉ាន់",</t>
        </is>
      </c>
      <c r="L788" s="10" t="n"/>
      <c r="M788" s="10" t="n"/>
      <c r="N788" s="10" t="n"/>
      <c r="O788" s="10" t="n"/>
      <c r="P788" s="10" t="n"/>
      <c r="Q788" s="10" t="n"/>
      <c r="R788" s="10" t="n"/>
      <c r="S788" s="10" t="n"/>
      <c r="T788" s="10" t="n"/>
      <c r="U788" s="10" t="n"/>
      <c r="V788" s="10" t="n"/>
      <c r="W788" s="10" t="n"/>
      <c r="X788" s="10" t="n"/>
      <c r="Y788" s="10" t="n"/>
      <c r="Z788" s="10" t="n"/>
    </row>
    <row r="789">
      <c r="A789" s="27" t="inlineStr">
        <is>
          <t>modifyOrder.parcelQuantity</t>
        </is>
      </c>
      <c r="B789" s="27" t="inlineStr">
        <is>
          <t>Số lượng</t>
        </is>
      </c>
      <c r="C789" s="27" t="inlineStr">
        <is>
          <t>Quantity</t>
        </is>
      </c>
      <c r="D789" s="102" t="inlineStr">
        <is>
          <t>ចំនួន</t>
        </is>
      </c>
      <c r="E789" s="88" t="inlineStr">
        <is>
          <t>ចំនួន</t>
        </is>
      </c>
      <c r="F789" s="10" t="n"/>
      <c r="G789" s="10" t="inlineStr">
        <is>
          <t>ចំនួន</t>
        </is>
      </c>
      <c r="H789" s="10" t="inlineStr">
        <is>
          <t>ចំនួន</t>
        </is>
      </c>
      <c r="I789" s="10" t="n"/>
      <c r="J789" s="10" t="n"/>
      <c r="K789" s="10" t="inlineStr">
        <is>
          <t>"modifyOrder.parcelQuantity": "ចំនួន",</t>
        </is>
      </c>
      <c r="L789" s="10" t="n"/>
      <c r="M789" s="10" t="n"/>
      <c r="N789" s="10" t="n"/>
      <c r="O789" s="10" t="n"/>
      <c r="P789" s="10" t="n"/>
      <c r="Q789" s="10" t="n"/>
      <c r="R789" s="10" t="n"/>
      <c r="S789" s="10" t="n"/>
      <c r="T789" s="10" t="n"/>
      <c r="U789" s="10" t="n"/>
      <c r="V789" s="10" t="n"/>
      <c r="W789" s="10" t="n"/>
      <c r="X789" s="10" t="n"/>
      <c r="Y789" s="10" t="n"/>
      <c r="Z789" s="10" t="n"/>
    </row>
    <row r="790">
      <c r="A790" s="27" t="inlineStr">
        <is>
          <t>modifyOrder.parcelWeightLabel</t>
        </is>
      </c>
      <c r="B790" s="27" t="inlineStr">
        <is>
          <t>Trọng lượng</t>
        </is>
      </c>
      <c r="C790" s="27" t="inlineStr">
        <is>
          <t>Weight</t>
        </is>
      </c>
      <c r="D790" s="21" t="inlineStr">
        <is>
          <t>ទម្ងន់</t>
        </is>
      </c>
      <c r="E790" s="88" t="inlineStr">
        <is>
          <t>ទម្ងន់</t>
        </is>
      </c>
      <c r="F790" s="10" t="n"/>
      <c r="G790" s="10" t="inlineStr">
        <is>
          <t>ទម្ងន់</t>
        </is>
      </c>
      <c r="H790" s="10" t="inlineStr">
        <is>
          <t>ទម្ងន់</t>
        </is>
      </c>
      <c r="I790" s="10" t="n"/>
      <c r="J790" s="10" t="n"/>
      <c r="K790" s="10" t="inlineStr">
        <is>
          <t>"modifyOrder.parcelWeightLabel": "ទម្ងន់",</t>
        </is>
      </c>
      <c r="L790" s="10" t="n"/>
      <c r="M790" s="10" t="n"/>
      <c r="N790" s="10" t="n"/>
      <c r="O790" s="10" t="n"/>
      <c r="P790" s="10" t="n"/>
      <c r="Q790" s="10" t="n"/>
      <c r="R790" s="10" t="n"/>
      <c r="S790" s="10" t="n"/>
      <c r="T790" s="10" t="n"/>
      <c r="U790" s="10" t="n"/>
      <c r="V790" s="10" t="n"/>
      <c r="W790" s="10" t="n"/>
      <c r="X790" s="10" t="n"/>
      <c r="Y790" s="10" t="n"/>
      <c r="Z790" s="10" t="n"/>
    </row>
    <row r="791">
      <c r="A791" s="27" t="inlineStr">
        <is>
          <t>modifyOrder.parcelWeight</t>
        </is>
      </c>
      <c r="B791" s="27" t="inlineStr">
        <is>
          <t>KL(g)</t>
        </is>
      </c>
      <c r="C791" s="27" t="inlineStr">
        <is>
          <t>Wt(g)</t>
        </is>
      </c>
      <c r="D791" s="21" t="inlineStr">
        <is>
          <t>ទម្ងន់(ក្រាម)</t>
        </is>
      </c>
      <c r="E791" s="88" t="inlineStr">
        <is>
          <t>ទម្ងន់(ក្រាម)</t>
        </is>
      </c>
      <c r="F791" s="10" t="n"/>
      <c r="G791" s="10" t="inlineStr">
        <is>
          <t>ទម្ងន់(ក្រាម)</t>
        </is>
      </c>
      <c r="H791" s="10" t="inlineStr">
        <is>
          <t>ទម្ងន់(ក្រាម)</t>
        </is>
      </c>
      <c r="I791" s="10" t="n"/>
      <c r="J791" s="10" t="n"/>
      <c r="K791" s="10" t="inlineStr">
        <is>
          <t>"modifyOrder.parcelWeight": "ទម្ងន់(ក្រាម)",</t>
        </is>
      </c>
      <c r="L791" s="10" t="n"/>
      <c r="M791" s="10" t="n"/>
      <c r="N791" s="10" t="n"/>
      <c r="O791" s="10" t="n"/>
      <c r="P791" s="10" t="n"/>
      <c r="Q791" s="10" t="n"/>
      <c r="R791" s="10" t="n"/>
      <c r="S791" s="10" t="n"/>
      <c r="T791" s="10" t="n"/>
      <c r="U791" s="10" t="n"/>
      <c r="V791" s="10" t="n"/>
      <c r="W791" s="10" t="n"/>
      <c r="X791" s="10" t="n"/>
      <c r="Y791" s="10" t="n"/>
      <c r="Z791" s="10" t="n"/>
    </row>
    <row r="792">
      <c r="A792" s="27" t="inlineStr">
        <is>
          <t>modifyOrder.parcelValue</t>
        </is>
      </c>
      <c r="B792" s="27" t="inlineStr">
        <is>
          <t>Giá trị ({{countryMoney}})</t>
        </is>
      </c>
      <c r="C792" s="27" t="inlineStr">
        <is>
          <t>Freight value ({{countryMoney}})</t>
        </is>
      </c>
      <c r="D792" s="21" t="inlineStr">
        <is>
          <t>តម្លៃ ({{countryMoney}})</t>
        </is>
      </c>
      <c r="E792" s="88" t="inlineStr">
        <is>
          <t>តម្លៃ ({{countryMoney}})</t>
        </is>
      </c>
      <c r="F792" s="10" t="n"/>
      <c r="G792" s="10" t="inlineStr">
        <is>
          <t>តម្លៃ ({{countryMoney}})</t>
        </is>
      </c>
      <c r="H792" s="10" t="inlineStr">
        <is>
          <t>តម្លៃ ({{countryMoney}})</t>
        </is>
      </c>
      <c r="I792" s="10" t="n"/>
      <c r="J792" s="10" t="n"/>
      <c r="K792" s="10" t="inlineStr">
        <is>
          <t>"modifyOrder.parcelValue": "តម្លៃ ({{countryMoney}})",</t>
        </is>
      </c>
      <c r="L792" s="10" t="n"/>
      <c r="M792" s="10" t="n"/>
      <c r="N792" s="10" t="n"/>
      <c r="O792" s="10" t="n"/>
      <c r="P792" s="10" t="n"/>
      <c r="Q792" s="10" t="n"/>
      <c r="R792" s="10" t="n"/>
      <c r="S792" s="10" t="n"/>
      <c r="T792" s="10" t="n"/>
      <c r="U792" s="10" t="n"/>
      <c r="V792" s="10" t="n"/>
      <c r="W792" s="10" t="n"/>
      <c r="X792" s="10" t="n"/>
      <c r="Y792" s="10" t="n"/>
      <c r="Z792" s="10" t="n"/>
    </row>
    <row r="793">
      <c r="A793" s="27" t="inlineStr">
        <is>
          <t>modifyOrder.size</t>
        </is>
      </c>
      <c r="B793" s="27" t="inlineStr">
        <is>
          <t>Kích thước (cm)</t>
        </is>
      </c>
      <c r="C793" s="27" t="inlineStr">
        <is>
          <t>Size (cm)</t>
        </is>
      </c>
      <c r="D793" s="21" t="inlineStr">
        <is>
          <t>ទំហំ (cm)</t>
        </is>
      </c>
      <c r="E793" s="88" t="inlineStr">
        <is>
          <t>ទំហំ (cm)</t>
        </is>
      </c>
      <c r="F793" s="10" t="n"/>
      <c r="G793" s="10" t="inlineStr">
        <is>
          <t>ទំហំ (cm)</t>
        </is>
      </c>
      <c r="H793" s="10" t="inlineStr">
        <is>
          <t>ទំហំ (cm)</t>
        </is>
      </c>
      <c r="I793" s="10" t="n"/>
      <c r="J793" s="10" t="n"/>
      <c r="K793" s="10" t="inlineStr">
        <is>
          <t>"modifyOrder.size": "ទំហំ (cm)",</t>
        </is>
      </c>
      <c r="L793" s="10" t="n"/>
      <c r="M793" s="10" t="n"/>
      <c r="N793" s="10" t="n"/>
      <c r="O793" s="10" t="n"/>
      <c r="P793" s="10" t="n"/>
      <c r="Q793" s="10" t="n"/>
      <c r="R793" s="10" t="n"/>
      <c r="S793" s="10" t="n"/>
      <c r="T793" s="10" t="n"/>
      <c r="U793" s="10" t="n"/>
      <c r="V793" s="10" t="n"/>
      <c r="W793" s="10" t="n"/>
      <c r="X793" s="10" t="n"/>
      <c r="Y793" s="10" t="n"/>
      <c r="Z793" s="10" t="n"/>
    </row>
    <row r="794">
      <c r="A794" s="27" t="inlineStr">
        <is>
          <t>modifyOrder.length</t>
        </is>
      </c>
      <c r="B794" s="27" t="inlineStr">
        <is>
          <t>Dài</t>
        </is>
      </c>
      <c r="C794" s="27" t="inlineStr">
        <is>
          <t>Length</t>
        </is>
      </c>
      <c r="D794" s="21" t="inlineStr">
        <is>
          <t>វែង</t>
        </is>
      </c>
      <c r="E794" s="89" t="inlineStr">
        <is>
          <t>ប្រវែង</t>
        </is>
      </c>
      <c r="F794" s="10" t="n"/>
      <c r="G794" s="10" t="inlineStr">
        <is>
          <t>បណ្តោយ</t>
        </is>
      </c>
      <c r="H794" s="10" t="inlineStr">
        <is>
          <t>បណ្តោយ</t>
        </is>
      </c>
      <c r="I794" s="10" t="n"/>
      <c r="J794" s="10" t="n"/>
      <c r="K794" s="10" t="inlineStr">
        <is>
          <t>"modifyOrder.length": "បណ្តោយ",</t>
        </is>
      </c>
      <c r="L794" s="10" t="n"/>
      <c r="M794" s="10" t="n"/>
      <c r="N794" s="10" t="n"/>
      <c r="O794" s="10" t="n"/>
      <c r="P794" s="10" t="n"/>
      <c r="Q794" s="10" t="n"/>
      <c r="R794" s="10" t="n"/>
      <c r="S794" s="10" t="n"/>
      <c r="T794" s="10" t="n"/>
      <c r="U794" s="10" t="n"/>
      <c r="V794" s="10" t="n"/>
      <c r="W794" s="10" t="n"/>
      <c r="X794" s="10" t="n"/>
      <c r="Y794" s="10" t="n"/>
      <c r="Z794" s="10" t="n"/>
    </row>
    <row r="795">
      <c r="A795" s="27" t="inlineStr">
        <is>
          <t>modifyOrder.width</t>
        </is>
      </c>
      <c r="B795" s="27" t="inlineStr">
        <is>
          <t>Rộng</t>
        </is>
      </c>
      <c r="C795" s="27" t="inlineStr">
        <is>
          <t>Width</t>
        </is>
      </c>
      <c r="D795" s="21" t="inlineStr">
        <is>
          <t>ទទឹង</t>
        </is>
      </c>
      <c r="E795" s="89" t="inlineStr">
        <is>
          <t>ទទឹង</t>
        </is>
      </c>
      <c r="F795" s="10" t="n"/>
      <c r="G795" s="10" t="inlineStr">
        <is>
          <t>ទទឹង</t>
        </is>
      </c>
      <c r="H795" s="10" t="inlineStr">
        <is>
          <t>ទទឹង</t>
        </is>
      </c>
      <c r="I795" s="10" t="n"/>
      <c r="J795" s="10" t="n"/>
      <c r="K795" s="10" t="inlineStr">
        <is>
          <t>"modifyOrder.width": "ទទឹង",</t>
        </is>
      </c>
      <c r="L795" s="10" t="n"/>
      <c r="M795" s="10" t="n"/>
      <c r="N795" s="10" t="n"/>
      <c r="O795" s="10" t="n"/>
      <c r="P795" s="10" t="n"/>
      <c r="Q795" s="10" t="n"/>
      <c r="R795" s="10" t="n"/>
      <c r="S795" s="10" t="n"/>
      <c r="T795" s="10" t="n"/>
      <c r="U795" s="10" t="n"/>
      <c r="V795" s="10" t="n"/>
      <c r="W795" s="10" t="n"/>
      <c r="X795" s="10" t="n"/>
      <c r="Y795" s="10" t="n"/>
      <c r="Z795" s="10" t="n"/>
    </row>
    <row r="796">
      <c r="A796" s="27" t="inlineStr">
        <is>
          <t>modifyOrder.height</t>
        </is>
      </c>
      <c r="B796" s="27" t="inlineStr">
        <is>
          <t>Cao</t>
        </is>
      </c>
      <c r="C796" s="27" t="inlineStr">
        <is>
          <t>Height</t>
        </is>
      </c>
      <c r="D796" s="21" t="inlineStr">
        <is>
          <t>ខ្ពស់</t>
        </is>
      </c>
      <c r="E796" s="89" t="inlineStr">
        <is>
          <t>កម្ពស់</t>
        </is>
      </c>
      <c r="F796" s="10" t="n"/>
      <c r="G796" s="10" t="inlineStr">
        <is>
          <t>កម្ពស់</t>
        </is>
      </c>
      <c r="H796" s="10" t="inlineStr">
        <is>
          <t>កម្ពស់</t>
        </is>
      </c>
      <c r="I796" s="10" t="n"/>
      <c r="J796" s="10" t="n"/>
      <c r="K796" s="10" t="inlineStr">
        <is>
          <t>"modifyOrder.height": "កម្ពស់",</t>
        </is>
      </c>
      <c r="L796" s="10" t="n"/>
      <c r="M796" s="10" t="n"/>
      <c r="N796" s="10" t="n"/>
      <c r="O796" s="10" t="n"/>
      <c r="P796" s="10" t="n"/>
      <c r="Q796" s="10" t="n"/>
      <c r="R796" s="10" t="n"/>
      <c r="S796" s="10" t="n"/>
      <c r="T796" s="10" t="n"/>
      <c r="U796" s="10" t="n"/>
      <c r="V796" s="10" t="n"/>
      <c r="W796" s="10" t="n"/>
      <c r="X796" s="10" t="n"/>
      <c r="Y796" s="10" t="n"/>
      <c r="Z796" s="10" t="n"/>
    </row>
    <row r="797">
      <c r="A797" s="27" t="inlineStr">
        <is>
          <t>modifyOrder.mainService</t>
        </is>
      </c>
      <c r="B797" s="27" t="inlineStr">
        <is>
          <t>Dịch vụ chính</t>
        </is>
      </c>
      <c r="C797" s="27" t="inlineStr">
        <is>
          <t>Main service</t>
        </is>
      </c>
      <c r="D797" s="21" t="inlineStr">
        <is>
          <t>សេវាកម្មចម្បង</t>
        </is>
      </c>
      <c r="E797" s="89" t="inlineStr">
        <is>
          <t>សេវាកម្មសំខាន់</t>
        </is>
      </c>
      <c r="F797" s="10" t="n"/>
      <c r="G797" s="10" t="inlineStr">
        <is>
          <t>សេវាកម្មសំខាន់</t>
        </is>
      </c>
      <c r="H797" s="10" t="inlineStr">
        <is>
          <t>សេវាកម្មសំខាន់</t>
        </is>
      </c>
      <c r="I797" s="10" t="n"/>
      <c r="J797" s="10" t="n"/>
      <c r="K797" s="10" t="inlineStr">
        <is>
          <t>"modifyOrder.mainService": "សេវាកម្មសំខាន់",</t>
        </is>
      </c>
      <c r="L797" s="10" t="n"/>
      <c r="M797" s="10" t="n"/>
      <c r="N797" s="10" t="n"/>
      <c r="O797" s="10" t="n"/>
      <c r="P797" s="10" t="n"/>
      <c r="Q797" s="10" t="n"/>
      <c r="R797" s="10" t="n"/>
      <c r="S797" s="10" t="n"/>
      <c r="T797" s="10" t="n"/>
      <c r="U797" s="10" t="n"/>
      <c r="V797" s="10" t="n"/>
      <c r="W797" s="10" t="n"/>
      <c r="X797" s="10" t="n"/>
      <c r="Y797" s="10" t="n"/>
      <c r="Z797" s="10" t="n"/>
    </row>
    <row r="798">
      <c r="A798" s="27" t="inlineStr">
        <is>
          <t>modifyOrder.calculatorPricing</t>
        </is>
      </c>
      <c r="B798" s="27" t="inlineStr">
        <is>
          <t>Khối lượng tính cước</t>
        </is>
      </c>
      <c r="C798" s="27" t="inlineStr">
        <is>
          <t>Chargeable weight</t>
        </is>
      </c>
      <c r="D798" s="21" t="n"/>
      <c r="E798" s="81" t="inlineStr">
        <is>
          <t>ទម្ងន់ត្រូវគិតសេវា</t>
        </is>
      </c>
      <c r="F798" s="10" t="n"/>
      <c r="G798" s="10" t="inlineStr">
        <is>
          <t>ទម្ងន់ត្រូវគិតសេវា</t>
        </is>
      </c>
      <c r="H798" s="10" t="inlineStr">
        <is>
          <t>ទម្ងន់ត្រូវគិតសេវា</t>
        </is>
      </c>
      <c r="I798" s="10" t="n"/>
      <c r="J798" s="10" t="n"/>
      <c r="K798" s="10" t="inlineStr">
        <is>
          <t>"modifyOrder.calculatorPricing": "ទម្ងន់ត្រូវគិតសេវា",</t>
        </is>
      </c>
      <c r="L798" s="10" t="n"/>
      <c r="M798" s="10" t="n"/>
      <c r="N798" s="10" t="n"/>
      <c r="O798" s="10" t="n"/>
      <c r="P798" s="10" t="n"/>
      <c r="Q798" s="10" t="n"/>
      <c r="R798" s="10" t="n"/>
      <c r="S798" s="10" t="n"/>
      <c r="T798" s="10" t="n"/>
      <c r="U798" s="10" t="n"/>
      <c r="V798" s="10" t="n"/>
      <c r="W798" s="10" t="n"/>
      <c r="X798" s="10" t="n"/>
      <c r="Y798" s="10" t="n"/>
      <c r="Z798" s="10" t="n"/>
    </row>
    <row r="799">
      <c r="A799" s="27" t="inlineStr">
        <is>
          <t>modifyOrder.calculatorWeight</t>
        </is>
      </c>
      <c r="B799" s="27" t="inlineStr">
        <is>
          <t>Quy đổi (g)</t>
        </is>
      </c>
      <c r="C799" s="27" t="inlineStr">
        <is>
          <t>Converted (g)</t>
        </is>
      </c>
      <c r="D799" s="21" t="inlineStr">
        <is>
          <t>បំលាស់ប្តូរ (ក្រាម)</t>
        </is>
      </c>
      <c r="E799" s="88" t="inlineStr">
        <is>
          <t>បំលាស់ប្តូរ (ក្រាម)</t>
        </is>
      </c>
      <c r="F799" s="10" t="n"/>
      <c r="G799" s="10" t="inlineStr">
        <is>
          <t>បំលាស់ប្តូរ (ក្រាម)</t>
        </is>
      </c>
      <c r="H799" s="10" t="inlineStr">
        <is>
          <t>បំលាស់ប្តូរ (ក្រាម)</t>
        </is>
      </c>
      <c r="I799" s="10" t="n"/>
      <c r="J799" s="10" t="n"/>
      <c r="K799" s="10" t="inlineStr">
        <is>
          <t>"modifyOrder.calculatorWeight": "បំលាស់ប្តូរ (ក្រាម)",</t>
        </is>
      </c>
      <c r="L799" s="10" t="n"/>
      <c r="M799" s="10" t="n"/>
      <c r="N799" s="10" t="n"/>
      <c r="O799" s="10" t="n"/>
      <c r="P799" s="10" t="n"/>
      <c r="Q799" s="10" t="n"/>
      <c r="R799" s="10" t="n"/>
      <c r="S799" s="10" t="n"/>
      <c r="T799" s="10" t="n"/>
      <c r="U799" s="10" t="n"/>
      <c r="V799" s="10" t="n"/>
      <c r="W799" s="10" t="n"/>
      <c r="X799" s="10" t="n"/>
      <c r="Y799" s="10" t="n"/>
      <c r="Z799" s="10" t="n"/>
    </row>
    <row r="800">
      <c r="A800" s="27" t="inlineStr">
        <is>
          <t>modifyOrder.moneyCollection</t>
        </is>
      </c>
      <c r="B800" s="27" t="inlineStr">
        <is>
          <t>Tiền thu hộ COD ({{money_unit}})</t>
        </is>
      </c>
      <c r="C800" s="27" t="inlineStr">
        <is>
          <t>COD ({{money_unit}})</t>
        </is>
      </c>
      <c r="D800" s="21" t="n"/>
      <c r="E800" s="27" t="inlineStr">
        <is>
          <t>ប្រាក់ប្រមូលជំនួស COD ({{money_unit}})</t>
        </is>
      </c>
      <c r="F800" s="10" t="n"/>
      <c r="G800" s="10" t="inlineStr">
        <is>
          <t>ប្រាក់ប្រមូលជំនួស COD ({{money_unit}})</t>
        </is>
      </c>
      <c r="H800" s="10" t="inlineStr">
        <is>
          <t>ប្រាក់ប្រមូលជំនួស COD ({{money_unit}})</t>
        </is>
      </c>
      <c r="I800" s="10" t="n"/>
      <c r="J800" s="10" t="n"/>
      <c r="K800" s="10" t="inlineStr">
        <is>
          <t>"modifyOrder.moneyCollection": "ប្រាក់ប្រមូលជំនួស COD ({{money_unit}})",</t>
        </is>
      </c>
      <c r="L800" s="10" t="n"/>
      <c r="M800" s="10" t="n"/>
      <c r="N800" s="10" t="n"/>
      <c r="O800" s="10" t="n"/>
      <c r="P800" s="10" t="n"/>
      <c r="Q800" s="10" t="n"/>
      <c r="R800" s="10" t="n"/>
      <c r="S800" s="10" t="n"/>
      <c r="T800" s="10" t="n"/>
      <c r="U800" s="10" t="n"/>
      <c r="V800" s="10" t="n"/>
      <c r="W800" s="10" t="n"/>
      <c r="X800" s="10" t="n"/>
      <c r="Y800" s="10" t="n"/>
      <c r="Z800" s="10" t="n"/>
    </row>
    <row r="801">
      <c r="A801" s="27" t="inlineStr">
        <is>
          <t>modifyOrder.codInParcel</t>
        </is>
      </c>
      <c r="B801" s="27" t="inlineStr">
        <is>
          <t>Thu hộ bằng tiền hàng</t>
        </is>
      </c>
      <c r="C801" s="27" t="inlineStr">
        <is>
          <t>Cash on Delivery</t>
        </is>
      </c>
      <c r="D801" s="21" t="n"/>
      <c r="E801" s="81" t="inlineStr">
        <is>
          <t>ប្រាក់ប្រមូលជំនួសស្មើថ្លៃអីវ៉ាន់</t>
        </is>
      </c>
      <c r="F801" s="10" t="n"/>
      <c r="G801" s="10" t="inlineStr">
        <is>
          <t>ប្រាក់ប្រមូលជំនួសស្មើថ្លៃអីវ៉ាន់</t>
        </is>
      </c>
      <c r="H801" s="10" t="inlineStr">
        <is>
          <t>ប្រាក់ប្រមូលជំនួសស្មើថ្លៃអីវ៉ាន់</t>
        </is>
      </c>
      <c r="I801" s="10" t="n"/>
      <c r="J801" s="10" t="n"/>
      <c r="K801" s="10" t="inlineStr">
        <is>
          <t>"modifyOrder.codInParcel": "ប្រាក់ប្រមូលជំនួសស្មើថ្លៃអីវ៉ាន់",</t>
        </is>
      </c>
      <c r="L801" s="10" t="n"/>
      <c r="M801" s="10" t="n"/>
      <c r="N801" s="10" t="n"/>
      <c r="O801" s="10" t="n"/>
      <c r="P801" s="10" t="n"/>
      <c r="Q801" s="10" t="n"/>
      <c r="R801" s="10" t="n"/>
      <c r="S801" s="10" t="n"/>
      <c r="T801" s="10" t="n"/>
      <c r="U801" s="10" t="n"/>
      <c r="V801" s="10" t="n"/>
      <c r="W801" s="10" t="n"/>
      <c r="X801" s="10" t="n"/>
      <c r="Y801" s="10" t="n"/>
      <c r="Z801" s="10" t="n"/>
    </row>
    <row r="802">
      <c r="A802" s="27" t="inlineStr">
        <is>
          <t>modifyOrder.moneyCollectionPlaceholder</t>
        </is>
      </c>
      <c r="B802" s="27" t="inlineStr">
        <is>
          <t>Nhập tiền thu hộ</t>
        </is>
      </c>
      <c r="C802" s="27" t="inlineStr">
        <is>
          <t>Enter COD</t>
        </is>
      </c>
      <c r="D802" s="102" t="inlineStr">
        <is>
          <t>បញ្ចូលប្រាក់ប្រមូលជំនួស</t>
        </is>
      </c>
      <c r="E802" s="88" t="inlineStr">
        <is>
          <t>បញ្ចូលប្រាក់ប្រមូលជំនួស</t>
        </is>
      </c>
      <c r="F802" s="10" t="n"/>
      <c r="G802" s="10" t="inlineStr">
        <is>
          <t>បញ្ចូលប្រាក់ប្រមូលជំនួស</t>
        </is>
      </c>
      <c r="H802" s="10" t="inlineStr">
        <is>
          <t>បញ្ចូលប្រាក់ប្រមូលជំនួស</t>
        </is>
      </c>
      <c r="I802" s="10" t="n"/>
      <c r="J802" s="10" t="n"/>
      <c r="K802" s="10" t="inlineStr">
        <is>
          <t>"modifyOrder.moneyCollectionPlaceholder": "បញ្ចូលប្រាក់ប្រមូលជំនួស",</t>
        </is>
      </c>
      <c r="L802" s="10" t="n"/>
      <c r="M802" s="10" t="n"/>
      <c r="N802" s="10" t="n"/>
      <c r="O802" s="10" t="n"/>
      <c r="P802" s="10" t="n"/>
      <c r="Q802" s="10" t="n"/>
      <c r="R802" s="10" t="n"/>
      <c r="S802" s="10" t="n"/>
      <c r="T802" s="10" t="n"/>
      <c r="U802" s="10" t="n"/>
      <c r="V802" s="10" t="n"/>
      <c r="W802" s="10" t="n"/>
      <c r="X802" s="10" t="n"/>
      <c r="Y802" s="10" t="n"/>
      <c r="Z802" s="10" t="n"/>
    </row>
    <row r="803">
      <c r="A803" s="27" t="inlineStr">
        <is>
          <t>modifyOrder.seller</t>
        </is>
      </c>
      <c r="B803" s="27" t="inlineStr">
        <is>
          <t>Người gửi</t>
        </is>
      </c>
      <c r="C803" s="27" t="inlineStr">
        <is>
          <t>Sender</t>
        </is>
      </c>
      <c r="D803" s="21" t="inlineStr">
        <is>
          <t>អ្នកផ្ញើ</t>
        </is>
      </c>
      <c r="E803" s="88" t="inlineStr">
        <is>
          <t>អ្នកផ្ញើ</t>
        </is>
      </c>
      <c r="F803" s="10" t="n"/>
      <c r="G803" s="10" t="inlineStr">
        <is>
          <t>អ្នកផ្ញើ</t>
        </is>
      </c>
      <c r="H803" s="10" t="inlineStr">
        <is>
          <t>អ្នកផ្ញើ</t>
        </is>
      </c>
      <c r="I803" s="10" t="n"/>
      <c r="J803" s="10" t="n"/>
      <c r="K803" s="10" t="inlineStr">
        <is>
          <t>"modifyOrder.seller": "អ្នកផ្ញើ",</t>
        </is>
      </c>
      <c r="L803" s="10" t="n"/>
      <c r="M803" s="10" t="n"/>
      <c r="N803" s="10" t="n"/>
      <c r="O803" s="10" t="n"/>
      <c r="P803" s="10" t="n"/>
      <c r="Q803" s="10" t="n"/>
      <c r="R803" s="10" t="n"/>
      <c r="S803" s="10" t="n"/>
      <c r="T803" s="10" t="n"/>
      <c r="U803" s="10" t="n"/>
      <c r="V803" s="10" t="n"/>
      <c r="W803" s="10" t="n"/>
      <c r="X803" s="10" t="n"/>
      <c r="Y803" s="10" t="n"/>
      <c r="Z803" s="10" t="n"/>
    </row>
    <row r="804">
      <c r="A804" s="27" t="inlineStr">
        <is>
          <t>modifyOrder.payerType</t>
        </is>
      </c>
      <c r="B804" s="27" t="inlineStr">
        <is>
          <t>Người trả cước</t>
        </is>
      </c>
      <c r="C804" s="27" t="inlineStr">
        <is>
          <t>Payer</t>
        </is>
      </c>
      <c r="D804" s="21" t="inlineStr">
        <is>
          <t>អ្នកបង់ថ្លៃសេវា</t>
        </is>
      </c>
      <c r="E804" s="88" t="inlineStr">
        <is>
          <t>អ្នកបង់ថ្លៃសេវា</t>
        </is>
      </c>
      <c r="F804" s="10" t="n"/>
      <c r="G804" s="10" t="inlineStr">
        <is>
          <t>អ្នកបង់ថ្លៃសេវា</t>
        </is>
      </c>
      <c r="H804" s="10" t="inlineStr">
        <is>
          <t>អ្នកបង់ថ្លៃសេវា</t>
        </is>
      </c>
      <c r="I804" s="10" t="n"/>
      <c r="J804" s="10" t="n"/>
      <c r="K804" s="10" t="inlineStr">
        <is>
          <t>"modifyOrder.payerType": "អ្នកបង់ថ្លៃសេវា",</t>
        </is>
      </c>
      <c r="L804" s="10" t="n"/>
      <c r="M804" s="10" t="n"/>
      <c r="N804" s="10" t="n"/>
      <c r="O804" s="10" t="n"/>
      <c r="P804" s="10" t="n"/>
      <c r="Q804" s="10" t="n"/>
      <c r="R804" s="10" t="n"/>
      <c r="S804" s="10" t="n"/>
      <c r="T804" s="10" t="n"/>
      <c r="U804" s="10" t="n"/>
      <c r="V804" s="10" t="n"/>
      <c r="W804" s="10" t="n"/>
      <c r="X804" s="10" t="n"/>
      <c r="Y804" s="10" t="n"/>
      <c r="Z804" s="10" t="n"/>
    </row>
    <row r="805">
      <c r="A805" s="27" t="inlineStr">
        <is>
          <t>modifyOrder.paymentType</t>
        </is>
      </c>
      <c r="B805" s="27" t="inlineStr">
        <is>
          <t>Loại thanh toán</t>
        </is>
      </c>
      <c r="C805" s="27" t="inlineStr">
        <is>
          <t>Payment categories</t>
        </is>
      </c>
      <c r="D805" s="102" t="inlineStr">
        <is>
          <t>ប្រភេទទូទាត់</t>
        </is>
      </c>
      <c r="E805" s="89" t="inlineStr">
        <is>
          <t>ប្រភេទនៃការទូទាត់</t>
        </is>
      </c>
      <c r="F805" s="10" t="n"/>
      <c r="G805" s="10" t="inlineStr">
        <is>
          <t>ប្រភេទនៃការទូទាត់</t>
        </is>
      </c>
      <c r="H805" s="10" t="inlineStr">
        <is>
          <t>ប្រភេទនៃការទូទាត់</t>
        </is>
      </c>
      <c r="I805" s="10" t="n"/>
      <c r="J805" s="10" t="n"/>
      <c r="K805" s="10" t="inlineStr">
        <is>
          <t>"modifyOrder.paymentType": "ប្រភេទនៃការទូទាត់",</t>
        </is>
      </c>
      <c r="L805" s="10" t="n"/>
      <c r="M805" s="10" t="n"/>
      <c r="N805" s="10" t="n"/>
      <c r="O805" s="10" t="n"/>
      <c r="P805" s="10" t="n"/>
      <c r="Q805" s="10" t="n"/>
      <c r="R805" s="10" t="n"/>
      <c r="S805" s="10" t="n"/>
      <c r="T805" s="10" t="n"/>
      <c r="U805" s="10" t="n"/>
      <c r="V805" s="10" t="n"/>
      <c r="W805" s="10" t="n"/>
      <c r="X805" s="10" t="n"/>
      <c r="Y805" s="10" t="n"/>
      <c r="Z805" s="10" t="n"/>
    </row>
    <row r="806">
      <c r="A806" s="27" t="inlineStr">
        <is>
          <t>modifyOrder.cash</t>
        </is>
      </c>
      <c r="B806" s="27" t="inlineStr">
        <is>
          <t>Thanh toán ngay</t>
        </is>
      </c>
      <c r="C806" s="27" t="inlineStr">
        <is>
          <t>Cash</t>
        </is>
      </c>
      <c r="D806" s="21" t="inlineStr">
        <is>
          <t>ទូូទាត់អីឡូវនេះ</t>
        </is>
      </c>
      <c r="E806" s="88" t="inlineStr">
        <is>
          <t>ទូូទាត់អីឡូវនេះ</t>
        </is>
      </c>
      <c r="F806" s="10" t="n"/>
      <c r="G806" s="10" t="inlineStr">
        <is>
          <t>ទូូទាត់អីឡូវនេះ</t>
        </is>
      </c>
      <c r="H806" s="10" t="inlineStr">
        <is>
          <t>ទូូទាត់អីឡូវនេះ</t>
        </is>
      </c>
      <c r="I806" s="10" t="n"/>
      <c r="J806" s="10" t="n"/>
      <c r="K806" s="10" t="inlineStr">
        <is>
          <t>"modifyOrder.cash": "ទូូទាត់អីឡូវនេះ",</t>
        </is>
      </c>
      <c r="L806" s="10" t="n"/>
      <c r="M806" s="10" t="n"/>
      <c r="N806" s="10" t="n"/>
      <c r="O806" s="10" t="n"/>
      <c r="P806" s="10" t="n"/>
      <c r="Q806" s="10" t="n"/>
      <c r="R806" s="10" t="n"/>
      <c r="S806" s="10" t="n"/>
      <c r="T806" s="10" t="n"/>
      <c r="U806" s="10" t="n"/>
      <c r="V806" s="10" t="n"/>
      <c r="W806" s="10" t="n"/>
      <c r="X806" s="10" t="n"/>
      <c r="Y806" s="10" t="n"/>
      <c r="Z806" s="10" t="n"/>
    </row>
    <row r="807">
      <c r="A807" s="27" t="inlineStr">
        <is>
          <t>modifyOrder.contract</t>
        </is>
      </c>
      <c r="B807" s="27" t="inlineStr">
        <is>
          <t>Thanh toán theo hợp đồng</t>
        </is>
      </c>
      <c r="C807" s="27" t="inlineStr">
        <is>
          <t>Pay by Contract Details</t>
        </is>
      </c>
      <c r="D807" s="21" t="inlineStr">
        <is>
          <t>ទូទាត់តាមកិច្ចសន្យា</t>
        </is>
      </c>
      <c r="E807" s="88" t="inlineStr">
        <is>
          <t>ទូទាត់តាមកិច្ចសន្យា</t>
        </is>
      </c>
      <c r="F807" s="10" t="n"/>
      <c r="G807" s="10" t="inlineStr">
        <is>
          <t>ទូទាត់តាមកិច្ចសន្យា</t>
        </is>
      </c>
      <c r="H807" s="10" t="inlineStr">
        <is>
          <t>ទូទាត់តាមកិច្ចសន្យា</t>
        </is>
      </c>
      <c r="I807" s="10" t="n"/>
      <c r="J807" s="10" t="n"/>
      <c r="K807" s="10" t="inlineStr">
        <is>
          <t>"modifyOrder.contract": "ទូទាត់តាមកិច្ចសន្យា",</t>
        </is>
      </c>
      <c r="L807" s="10" t="n"/>
      <c r="M807" s="10" t="n"/>
      <c r="N807" s="10" t="n"/>
      <c r="O807" s="10" t="n"/>
      <c r="P807" s="10" t="n"/>
      <c r="Q807" s="10" t="n"/>
      <c r="R807" s="10" t="n"/>
      <c r="S807" s="10" t="n"/>
      <c r="T807" s="10" t="n"/>
      <c r="U807" s="10" t="n"/>
      <c r="V807" s="10" t="n"/>
      <c r="W807" s="10" t="n"/>
      <c r="X807" s="10" t="n"/>
      <c r="Y807" s="10" t="n"/>
      <c r="Z807" s="10" t="n"/>
    </row>
    <row r="808">
      <c r="A808" s="27" t="inlineStr">
        <is>
          <t>modifyOrder.parcelDescription</t>
        </is>
      </c>
      <c r="B808" s="27" t="inlineStr">
        <is>
          <t>Ghi chú</t>
        </is>
      </c>
      <c r="C808" s="27" t="inlineStr">
        <is>
          <t>Note</t>
        </is>
      </c>
      <c r="D808" s="21" t="inlineStr">
        <is>
          <t>កត់ចំណាំ</t>
        </is>
      </c>
      <c r="E808" s="88" t="inlineStr">
        <is>
          <t>កត់ចំណាំ</t>
        </is>
      </c>
      <c r="F808" s="10" t="n"/>
      <c r="G808" s="10" t="inlineStr">
        <is>
          <t>ចំណាំ</t>
        </is>
      </c>
      <c r="H808" s="10" t="inlineStr">
        <is>
          <t>ចំណាំ</t>
        </is>
      </c>
      <c r="I808" s="10" t="n"/>
      <c r="J808" s="10" t="n"/>
      <c r="K808" s="10" t="inlineStr">
        <is>
          <t>"modifyOrder.parcelDescription": "ចំណាំ",</t>
        </is>
      </c>
      <c r="L808" s="10" t="n"/>
      <c r="M808" s="10" t="n"/>
      <c r="N808" s="10" t="n"/>
      <c r="O808" s="10" t="n"/>
      <c r="P808" s="10" t="n"/>
      <c r="Q808" s="10" t="n"/>
      <c r="R808" s="10" t="n"/>
      <c r="S808" s="10" t="n"/>
      <c r="T808" s="10" t="n"/>
      <c r="U808" s="10" t="n"/>
      <c r="V808" s="10" t="n"/>
      <c r="W808" s="10" t="n"/>
      <c r="X808" s="10" t="n"/>
      <c r="Y808" s="10" t="n"/>
      <c r="Z808" s="10" t="n"/>
    </row>
    <row r="809">
      <c r="A809" s="27" t="inlineStr">
        <is>
          <t>modifyOrder.parcelDescriptionPlaceholder</t>
        </is>
      </c>
      <c r="B809" s="27" t="inlineStr">
        <is>
          <t>Nhập ghi chú</t>
        </is>
      </c>
      <c r="C809" s="27" t="inlineStr">
        <is>
          <t>Enter note</t>
        </is>
      </c>
      <c r="D809" s="21" t="inlineStr">
        <is>
          <t>បញ្ចូលការកត់ចំណាំ</t>
        </is>
      </c>
      <c r="E809" s="88" t="inlineStr">
        <is>
          <t>បញ្ចូលការកត់ចំណាំ</t>
        </is>
      </c>
      <c r="F809" s="10" t="n"/>
      <c r="G809" s="10" t="inlineStr">
        <is>
          <t>បញ្ចូលការកត់ចំណាំ</t>
        </is>
      </c>
      <c r="H809" s="10" t="inlineStr">
        <is>
          <t>បញ្ចូលការកត់ចំណាំ</t>
        </is>
      </c>
      <c r="I809" s="10" t="n"/>
      <c r="J809" s="10" t="n"/>
      <c r="K809" s="10" t="inlineStr">
        <is>
          <t>"modifyOrder.parcelDescriptionPlaceholder": "បញ្ចូលការកត់ចំណាំ",</t>
        </is>
      </c>
      <c r="L809" s="10" t="n"/>
      <c r="M809" s="10" t="n"/>
      <c r="N809" s="10" t="n"/>
      <c r="O809" s="10" t="n"/>
      <c r="P809" s="10" t="n"/>
      <c r="Q809" s="10" t="n"/>
      <c r="R809" s="10" t="n"/>
      <c r="S809" s="10" t="n"/>
      <c r="T809" s="10" t="n"/>
      <c r="U809" s="10" t="n"/>
      <c r="V809" s="10" t="n"/>
      <c r="W809" s="10" t="n"/>
      <c r="X809" s="10" t="n"/>
      <c r="Y809" s="10" t="n"/>
      <c r="Z809" s="10" t="n"/>
    </row>
    <row r="810">
      <c r="A810" s="27" t="inlineStr">
        <is>
          <t>modifyOrder.services</t>
        </is>
      </c>
      <c r="B810" s="27" t="inlineStr">
        <is>
          <t>Dịch vụ</t>
        </is>
      </c>
      <c r="C810" s="27" t="inlineStr">
        <is>
          <t>Service</t>
        </is>
      </c>
      <c r="D810" s="21" t="inlineStr">
        <is>
          <t>សេវាកម្ម</t>
        </is>
      </c>
      <c r="E810" s="88" t="inlineStr">
        <is>
          <t>សេវាកម្ម</t>
        </is>
      </c>
      <c r="F810" s="10" t="n"/>
      <c r="G810" s="10" t="inlineStr">
        <is>
          <t>សេវាកម្ម</t>
        </is>
      </c>
      <c r="H810" s="10" t="inlineStr">
        <is>
          <t>សេវាកម្ម</t>
        </is>
      </c>
      <c r="I810" s="10" t="n"/>
      <c r="J810" s="10" t="n"/>
      <c r="K810" s="10" t="inlineStr">
        <is>
          <t>"modifyOrder.services": "សេវាកម្ម",</t>
        </is>
      </c>
      <c r="L810" s="10" t="n"/>
      <c r="M810" s="10" t="n"/>
      <c r="N810" s="10" t="n"/>
      <c r="O810" s="10" t="n"/>
      <c r="P810" s="10" t="n"/>
      <c r="Q810" s="10" t="n"/>
      <c r="R810" s="10" t="n"/>
      <c r="S810" s="10" t="n"/>
      <c r="T810" s="10" t="n"/>
      <c r="U810" s="10" t="n"/>
      <c r="V810" s="10" t="n"/>
      <c r="W810" s="10" t="n"/>
      <c r="X810" s="10" t="n"/>
      <c r="Y810" s="10" t="n"/>
      <c r="Z810" s="10" t="n"/>
    </row>
    <row r="811">
      <c r="A811" s="27" t="inlineStr">
        <is>
          <t>modifyOrder.shippingFee</t>
        </is>
      </c>
      <c r="B811" s="27" t="inlineStr">
        <is>
          <t>Cước phí</t>
        </is>
      </c>
      <c r="C811" s="27" t="inlineStr">
        <is>
          <t>Shipping fee</t>
        </is>
      </c>
      <c r="D811" s="21" t="inlineStr">
        <is>
          <t>ថ្លៃសេវា</t>
        </is>
      </c>
      <c r="E811" s="88" t="inlineStr">
        <is>
          <t>ថ្លៃសេវា</t>
        </is>
      </c>
      <c r="F811" s="10" t="n"/>
      <c r="G811" s="10" t="inlineStr">
        <is>
          <t>ថ្លៃដឹកជញ្ជូន</t>
        </is>
      </c>
      <c r="H811" s="10" t="inlineStr">
        <is>
          <t>ថ្លៃដឹកជញ្ជូន</t>
        </is>
      </c>
      <c r="I811" s="10" t="n"/>
      <c r="J811" s="10" t="n"/>
      <c r="K811" s="10" t="inlineStr">
        <is>
          <t>"modifyOrder.shippingFee": "ថ្លៃដឹកជញ្ជូន",</t>
        </is>
      </c>
      <c r="L811" s="10" t="n"/>
      <c r="M811" s="10" t="n"/>
      <c r="N811" s="10" t="n"/>
      <c r="O811" s="10" t="n"/>
      <c r="P811" s="10" t="n"/>
      <c r="Q811" s="10" t="n"/>
      <c r="R811" s="10" t="n"/>
      <c r="S811" s="10" t="n"/>
      <c r="T811" s="10" t="n"/>
      <c r="U811" s="10" t="n"/>
      <c r="V811" s="10" t="n"/>
      <c r="W811" s="10" t="n"/>
      <c r="X811" s="10" t="n"/>
      <c r="Y811" s="10" t="n"/>
      <c r="Z811" s="10" t="n"/>
    </row>
    <row r="812">
      <c r="A812" s="27" t="inlineStr">
        <is>
          <t>modifyOrder.surchargeType</t>
        </is>
      </c>
      <c r="B812" s="27" t="inlineStr">
        <is>
          <t>Loại phụ phí</t>
        </is>
      </c>
      <c r="C812" s="27" t="inlineStr">
        <is>
          <t>Surcharge categories</t>
        </is>
      </c>
      <c r="D812" s="21" t="n"/>
      <c r="E812" s="102" t="inlineStr">
        <is>
          <t>ប្រភេទសេវាកម្មបន្ថែម</t>
        </is>
      </c>
      <c r="F812" s="10" t="n"/>
      <c r="G812" s="10" t="inlineStr">
        <is>
          <t>ប្រភេទសេវាកម្មបន្ថែម</t>
        </is>
      </c>
      <c r="H812" s="10" t="inlineStr">
        <is>
          <t>ប្រភេទសេវាកម្មបន្ថែម</t>
        </is>
      </c>
      <c r="I812" s="10" t="n"/>
      <c r="J812" s="10" t="n"/>
      <c r="K812" s="10" t="inlineStr">
        <is>
          <t>"modifyOrder.surchargeType": "ប្រភេទសេវាកម្មបន្ថែម",</t>
        </is>
      </c>
      <c r="L812" s="10" t="n"/>
      <c r="M812" s="10" t="n"/>
      <c r="N812" s="10" t="n"/>
      <c r="O812" s="10" t="n"/>
      <c r="P812" s="10" t="n"/>
      <c r="Q812" s="10" t="n"/>
      <c r="R812" s="10" t="n"/>
      <c r="S812" s="10" t="n"/>
      <c r="T812" s="10" t="n"/>
      <c r="U812" s="10" t="n"/>
      <c r="V812" s="10" t="n"/>
      <c r="W812" s="10" t="n"/>
      <c r="X812" s="10" t="n"/>
      <c r="Y812" s="10" t="n"/>
      <c r="Z812" s="10" t="n"/>
    </row>
    <row r="813">
      <c r="A813" s="27" t="inlineStr">
        <is>
          <t>modifyOrder.surcharge</t>
        </is>
      </c>
      <c r="B813" s="27" t="inlineStr">
        <is>
          <t>Phụ phí</t>
        </is>
      </c>
      <c r="C813" s="27" t="inlineStr">
        <is>
          <t>Surcharge</t>
        </is>
      </c>
      <c r="D813" s="21" t="inlineStr">
        <is>
          <t>សេវាកម្មបន្ថែម</t>
        </is>
      </c>
      <c r="E813" s="89" t="inlineStr">
        <is>
          <t>សេវាកម្មបន្ថែម</t>
        </is>
      </c>
      <c r="F813" s="10" t="n"/>
      <c r="G813" s="10" t="inlineStr">
        <is>
          <t>ថ្លៃសេវាបន្ថែម</t>
        </is>
      </c>
      <c r="H813" s="10" t="inlineStr">
        <is>
          <t>ថ្លៃសេវាបន្ថែម</t>
        </is>
      </c>
      <c r="I813" s="10" t="n"/>
      <c r="J813" s="10" t="n"/>
      <c r="K813" s="10" t="inlineStr">
        <is>
          <t>"modifyOrder.surcharge": "ថ្លៃសេវាបន្ថែម",</t>
        </is>
      </c>
      <c r="L813" s="10" t="n"/>
      <c r="M813" s="10" t="n"/>
      <c r="N813" s="10" t="n"/>
      <c r="O813" s="10" t="n"/>
      <c r="P813" s="10" t="n"/>
      <c r="Q813" s="10" t="n"/>
      <c r="R813" s="10" t="n"/>
      <c r="S813" s="10" t="n"/>
      <c r="T813" s="10" t="n"/>
      <c r="U813" s="10" t="n"/>
      <c r="V813" s="10" t="n"/>
      <c r="W813" s="10" t="n"/>
      <c r="X813" s="10" t="n"/>
      <c r="Y813" s="10" t="n"/>
      <c r="Z813" s="10" t="n"/>
    </row>
    <row r="814">
      <c r="A814" s="27" t="inlineStr">
        <is>
          <t>modifyOrder.packaging</t>
        </is>
      </c>
      <c r="B814" s="27" t="inlineStr">
        <is>
          <t>Phụ phí đóng gói</t>
        </is>
      </c>
      <c r="C814" s="27" t="inlineStr">
        <is>
          <t>Packing charge</t>
        </is>
      </c>
      <c r="D814" s="21" t="inlineStr">
        <is>
          <t>សេវាកម្មវេចខ្ចប់បន្ថែម</t>
        </is>
      </c>
      <c r="E814" s="89" t="inlineStr">
        <is>
          <t>សេវាកម្មវេចខ្ចប់បន្ថែម</t>
        </is>
      </c>
      <c r="F814" s="10" t="n"/>
      <c r="G814" s="10" t="inlineStr">
        <is>
          <t>សេវាកម្មវេចខ្ចប់បន្ថែម</t>
        </is>
      </c>
      <c r="H814" s="10" t="inlineStr">
        <is>
          <t>សេវាកម្មវេចខ្ចប់បន្ថែម</t>
        </is>
      </c>
      <c r="I814" s="10" t="n"/>
      <c r="J814" s="10" t="n"/>
      <c r="K814" s="10" t="inlineStr">
        <is>
          <t>"modifyOrder.packaging": "សេវាកម្មវេចខ្ចប់បន្ថែម",</t>
        </is>
      </c>
      <c r="L814" s="10" t="n"/>
      <c r="M814" s="10" t="n"/>
      <c r="N814" s="10" t="n"/>
      <c r="O814" s="10" t="n"/>
      <c r="P814" s="10" t="n"/>
      <c r="Q814" s="10" t="n"/>
      <c r="R814" s="10" t="n"/>
      <c r="S814" s="10" t="n"/>
      <c r="T814" s="10" t="n"/>
      <c r="U814" s="10" t="n"/>
      <c r="V814" s="10" t="n"/>
      <c r="W814" s="10" t="n"/>
      <c r="X814" s="10" t="n"/>
      <c r="Y814" s="10" t="n"/>
      <c r="Z814" s="10" t="n"/>
    </row>
    <row r="815">
      <c r="A815" s="27" t="inlineStr">
        <is>
          <t>modifyOrder.shipping</t>
        </is>
      </c>
      <c r="B815" s="27" t="inlineStr">
        <is>
          <t>Phụ phí bốc xếp</t>
        </is>
      </c>
      <c r="C815" s="27" t="inlineStr">
        <is>
          <t>Handling charge</t>
        </is>
      </c>
      <c r="D815" s="21" t="inlineStr">
        <is>
          <t>សេវាកម្មរៀបអីវ៉ាន់បន្ថែម</t>
        </is>
      </c>
      <c r="E815" s="89" t="inlineStr">
        <is>
          <t>សេវាកម្មរៀបអីវ៉ាន់បន្ថែម</t>
        </is>
      </c>
      <c r="F815" s="10" t="n"/>
      <c r="G815" s="10" t="inlineStr">
        <is>
          <t>សេវាកម្មរៀបអីវ៉ាន់បន្ថែម</t>
        </is>
      </c>
      <c r="H815" s="10" t="inlineStr">
        <is>
          <t>សេវាកម្មរៀបអីវ៉ាន់បន្ថែម</t>
        </is>
      </c>
      <c r="I815" s="10" t="n"/>
      <c r="J815" s="10" t="n"/>
      <c r="K815" s="10" t="inlineStr">
        <is>
          <t>"modifyOrder.shipping": "សេវាកម្មរៀបអីវ៉ាន់បន្ថែម",</t>
        </is>
      </c>
      <c r="L815" s="10" t="n"/>
      <c r="M815" s="10" t="n"/>
      <c r="N815" s="10" t="n"/>
      <c r="O815" s="10" t="n"/>
      <c r="P815" s="10" t="n"/>
      <c r="Q815" s="10" t="n"/>
      <c r="R815" s="10" t="n"/>
      <c r="S815" s="10" t="n"/>
      <c r="T815" s="10" t="n"/>
      <c r="U815" s="10" t="n"/>
      <c r="V815" s="10" t="n"/>
      <c r="W815" s="10" t="n"/>
      <c r="X815" s="10" t="n"/>
      <c r="Y815" s="10" t="n"/>
      <c r="Z815" s="10" t="n"/>
    </row>
    <row r="816">
      <c r="A816" s="27" t="inlineStr">
        <is>
          <t>modifyOrder.materials</t>
        </is>
      </c>
      <c r="B816" s="27" t="inlineStr">
        <is>
          <t>Phụ phí nguyên vật liệu</t>
        </is>
      </c>
      <c r="C816" s="27" t="inlineStr">
        <is>
          <t>Materials charge</t>
        </is>
      </c>
      <c r="D816" s="21" t="inlineStr">
        <is>
          <t>សេវាកម្មសម្ភារៈបន្ថែម</t>
        </is>
      </c>
      <c r="E816" s="89" t="inlineStr">
        <is>
          <t>សេវាកម្មសម្ភារៈបន្ថែម</t>
        </is>
      </c>
      <c r="F816" s="10" t="n"/>
      <c r="G816" s="10" t="inlineStr">
        <is>
          <t>សេវាកម្មសម្ភារៈបន្ថែម</t>
        </is>
      </c>
      <c r="H816" s="10" t="inlineStr">
        <is>
          <t>សេវាកម្មសម្ភារៈបន្ថែម</t>
        </is>
      </c>
      <c r="I816" s="10" t="n"/>
      <c r="J816" s="10" t="n"/>
      <c r="K816" s="10" t="inlineStr">
        <is>
          <t>"modifyOrder.materials": "សេវាកម្មសម្ភារៈបន្ថែម",</t>
        </is>
      </c>
      <c r="L816" s="10" t="n"/>
      <c r="M816" s="10" t="n"/>
      <c r="N816" s="10" t="n"/>
      <c r="O816" s="10" t="n"/>
      <c r="P816" s="10" t="n"/>
      <c r="Q816" s="10" t="n"/>
      <c r="R816" s="10" t="n"/>
      <c r="S816" s="10" t="n"/>
      <c r="T816" s="10" t="n"/>
      <c r="U816" s="10" t="n"/>
      <c r="V816" s="10" t="n"/>
      <c r="W816" s="10" t="n"/>
      <c r="X816" s="10" t="n"/>
      <c r="Y816" s="10" t="n"/>
      <c r="Z816" s="10" t="n"/>
    </row>
    <row r="817">
      <c r="A817" s="27" t="inlineStr">
        <is>
          <t>modifyOrder.other</t>
        </is>
      </c>
      <c r="B817" s="27" t="inlineStr">
        <is>
          <t>Phụ phí khác</t>
        </is>
      </c>
      <c r="C817" s="27" t="inlineStr">
        <is>
          <t>Other</t>
        </is>
      </c>
      <c r="D817" s="21" t="inlineStr">
        <is>
          <t>សេវាកម្មបន្ថែមផ្សេងៗ</t>
        </is>
      </c>
      <c r="E817" s="89" t="inlineStr">
        <is>
          <t>សេវាកម្មបន្ថែមផ្សេងៗ</t>
        </is>
      </c>
      <c r="F817" s="10" t="n"/>
      <c r="G817" s="10" t="inlineStr">
        <is>
          <t>សេវាកម្មបន្ថែមផ្សេងៗ</t>
        </is>
      </c>
      <c r="H817" s="10" t="inlineStr">
        <is>
          <t>សេវាកម្មបន្ថែមផ្សេងៗ</t>
        </is>
      </c>
      <c r="I817" s="10" t="n"/>
      <c r="J817" s="10" t="n"/>
      <c r="K817" s="10" t="inlineStr">
        <is>
          <t>"modifyOrder.other": "សេវាកម្មបន្ថែមផ្សេងៗ",</t>
        </is>
      </c>
      <c r="L817" s="10" t="n"/>
      <c r="M817" s="10" t="n"/>
      <c r="N817" s="10" t="n"/>
      <c r="O817" s="10" t="n"/>
      <c r="P817" s="10" t="n"/>
      <c r="Q817" s="10" t="n"/>
      <c r="R817" s="10" t="n"/>
      <c r="S817" s="10" t="n"/>
      <c r="T817" s="10" t="n"/>
      <c r="U817" s="10" t="n"/>
      <c r="V817" s="10" t="n"/>
      <c r="W817" s="10" t="n"/>
      <c r="X817" s="10" t="n"/>
      <c r="Y817" s="10" t="n"/>
      <c r="Z817" s="10" t="n"/>
    </row>
    <row r="818">
      <c r="A818" s="27" t="inlineStr">
        <is>
          <t>modifyOrder.totalFee</t>
        </is>
      </c>
      <c r="B818" s="27" t="inlineStr">
        <is>
          <t>Tổng cước</t>
        </is>
      </c>
      <c r="C818" s="27" t="inlineStr">
        <is>
          <t>Total fee</t>
        </is>
      </c>
      <c r="D818" s="21" t="inlineStr">
        <is>
          <t>សរុបថ្លៃសេវា</t>
        </is>
      </c>
      <c r="E818" s="89" t="inlineStr">
        <is>
          <t>សរុបថ្លៃសេវា</t>
        </is>
      </c>
      <c r="F818" s="10" t="n"/>
      <c r="G818" s="10" t="inlineStr">
        <is>
          <t>ថ្លៃដឹកជញ្ជូនសរុប</t>
        </is>
      </c>
      <c r="H818" s="10" t="inlineStr">
        <is>
          <t>ថ្លៃដឹកជញ្ជូនសរុប</t>
        </is>
      </c>
      <c r="I818" s="10" t="n"/>
      <c r="J818" s="10" t="n"/>
      <c r="K818" s="10" t="inlineStr">
        <is>
          <t>"modifyOrder.totalFee": "ថ្លៃដឹកជញ្ជូនសរុប",</t>
        </is>
      </c>
      <c r="L818" s="10" t="n"/>
      <c r="M818" s="10" t="n"/>
      <c r="N818" s="10" t="n"/>
      <c r="O818" s="10" t="n"/>
      <c r="P818" s="10" t="n"/>
      <c r="Q818" s="10" t="n"/>
      <c r="R818" s="10" t="n"/>
      <c r="S818" s="10" t="n"/>
      <c r="T818" s="10" t="n"/>
      <c r="U818" s="10" t="n"/>
      <c r="V818" s="10" t="n"/>
      <c r="W818" s="10" t="n"/>
      <c r="X818" s="10" t="n"/>
      <c r="Y818" s="10" t="n"/>
      <c r="Z818" s="10" t="n"/>
    </row>
    <row r="819">
      <c r="A819" s="27" t="inlineStr">
        <is>
          <t>modifyOrder.moneyCollectionFooter</t>
        </is>
      </c>
      <c r="B819" s="27" t="inlineStr">
        <is>
          <t>Tiền thu hộ</t>
        </is>
      </c>
      <c r="C819" s="27" t="inlineStr">
        <is>
          <t>COD</t>
        </is>
      </c>
      <c r="D819" s="21" t="inlineStr">
        <is>
          <t>ប្រាក់ប្រមូលជំនួស</t>
        </is>
      </c>
      <c r="E819" s="89" t="inlineStr">
        <is>
          <t>ប្រាក់ប្រមូលជំនួស</t>
        </is>
      </c>
      <c r="F819" s="10" t="n"/>
      <c r="G819" s="10" t="inlineStr">
        <is>
          <t>ប្រាក់ប្រមូលជំនួស (COD)</t>
        </is>
      </c>
      <c r="H819" s="10" t="inlineStr">
        <is>
          <t>ប្រាក់ប្រមូលជំនួស (COD)</t>
        </is>
      </c>
      <c r="I819" s="10" t="n"/>
      <c r="J819" s="10" t="n"/>
      <c r="K819" s="10" t="inlineStr">
        <is>
          <t>"modifyOrder.moneyCollectionFooter": "ប្រាក់ប្រមូលជំនួស (COD)",</t>
        </is>
      </c>
      <c r="L819" s="10" t="n"/>
      <c r="M819" s="10" t="n"/>
      <c r="N819" s="10" t="n"/>
      <c r="O819" s="10" t="n"/>
      <c r="P819" s="10" t="n"/>
      <c r="Q819" s="10" t="n"/>
      <c r="R819" s="10" t="n"/>
      <c r="S819" s="10" t="n"/>
      <c r="T819" s="10" t="n"/>
      <c r="U819" s="10" t="n"/>
      <c r="V819" s="10" t="n"/>
      <c r="W819" s="10" t="n"/>
      <c r="X819" s="10" t="n"/>
      <c r="Y819" s="10" t="n"/>
      <c r="Z819" s="10" t="n"/>
    </row>
    <row r="820">
      <c r="A820" s="27" t="inlineStr">
        <is>
          <t>modifyOrder.collectionSender</t>
        </is>
      </c>
      <c r="B820" s="27" t="inlineStr">
        <is>
          <t>Tiền thu người gửi</t>
        </is>
      </c>
      <c r="C820" s="27" t="inlineStr">
        <is>
          <t>Sender's charges</t>
        </is>
      </c>
      <c r="D820" s="102" t="n"/>
      <c r="E820" s="102" t="inlineStr">
        <is>
          <t>ប្រាក់ប្រមូលពីអ្នកផ្ញើ</t>
        </is>
      </c>
      <c r="F820" s="10" t="n"/>
      <c r="G820" s="10" t="inlineStr">
        <is>
          <t>ប្រាក់ប្រមូលពីអ្នកផ្ញើ</t>
        </is>
      </c>
      <c r="H820" s="10" t="inlineStr">
        <is>
          <t>ប្រាក់ប្រមូលពីអ្នកផ្ញើ</t>
        </is>
      </c>
      <c r="I820" s="10" t="n"/>
      <c r="J820" s="10" t="n"/>
      <c r="K820" s="10" t="inlineStr">
        <is>
          <t>"modifyOrder.collectionSender": "ប្រាក់ប្រមូលពីអ្នកផ្ញើ",</t>
        </is>
      </c>
      <c r="L820" s="10" t="n"/>
      <c r="M820" s="10" t="n"/>
      <c r="N820" s="10" t="n"/>
      <c r="O820" s="10" t="n"/>
      <c r="P820" s="10" t="n"/>
      <c r="Q820" s="10" t="n"/>
      <c r="R820" s="10" t="n"/>
      <c r="S820" s="10" t="n"/>
      <c r="T820" s="10" t="n"/>
      <c r="U820" s="10" t="n"/>
      <c r="V820" s="10" t="n"/>
      <c r="W820" s="10" t="n"/>
      <c r="X820" s="10" t="n"/>
      <c r="Y820" s="10" t="n"/>
      <c r="Z820" s="10" t="n"/>
    </row>
    <row r="821">
      <c r="A821" s="27" t="inlineStr">
        <is>
          <t>modifyOrder.appointment</t>
        </is>
      </c>
      <c r="B821" s="27" t="inlineStr">
        <is>
          <t>Thời gian dự kiến</t>
        </is>
      </c>
      <c r="C821" s="27" t="inlineStr">
        <is>
          <t>Expected time</t>
        </is>
      </c>
      <c r="D821" s="102" t="n"/>
      <c r="E821" s="102" t="inlineStr">
        <is>
          <t>ពេលវេលាគ្រោងទុក</t>
        </is>
      </c>
      <c r="F821" s="10" t="n"/>
      <c r="G821" s="10" t="inlineStr">
        <is>
          <t>ពេលវេលាគ្រោងទុក</t>
        </is>
      </c>
      <c r="H821" s="10" t="inlineStr">
        <is>
          <t>ពេលវេលាគ្រោងទុក</t>
        </is>
      </c>
      <c r="I821" s="10" t="n"/>
      <c r="J821" s="10" t="n"/>
      <c r="K821" s="10" t="inlineStr">
        <is>
          <t>"modifyOrder.appointment": "ពេលវេលាគ្រោងទុក",</t>
        </is>
      </c>
      <c r="L821" s="10" t="n"/>
      <c r="M821" s="10" t="n"/>
      <c r="N821" s="10" t="n"/>
      <c r="O821" s="10" t="n"/>
      <c r="P821" s="10" t="n"/>
      <c r="Q821" s="10" t="n"/>
      <c r="R821" s="10" t="n"/>
      <c r="S821" s="10" t="n"/>
      <c r="T821" s="10" t="n"/>
      <c r="U821" s="10" t="n"/>
      <c r="V821" s="10" t="n"/>
      <c r="W821" s="10" t="n"/>
      <c r="X821" s="10" t="n"/>
      <c r="Y821" s="10" t="n"/>
      <c r="Z821" s="10" t="n"/>
    </row>
    <row r="822">
      <c r="A822" s="27" t="inlineStr">
        <is>
          <t>modifyOrder.refresh</t>
        </is>
      </c>
      <c r="B822" s="27" t="inlineStr">
        <is>
          <t>Làm mới</t>
        </is>
      </c>
      <c r="C822" s="27" t="inlineStr">
        <is>
          <t>Refresh</t>
        </is>
      </c>
      <c r="D822" s="21" t="inlineStr">
        <is>
          <t>ធ្វើថ្មី</t>
        </is>
      </c>
      <c r="E822" s="102" t="inlineStr">
        <is>
          <t>បង្កើតថ្មី</t>
        </is>
      </c>
      <c r="F822" s="10" t="n"/>
      <c r="G822" s="10" t="inlineStr">
        <is>
          <t>ផ្ទុកឡើងវិញ</t>
        </is>
      </c>
      <c r="H822" s="10" t="inlineStr">
        <is>
          <t>ផ្ទុកឡើងវិញ</t>
        </is>
      </c>
      <c r="I822" s="10" t="n"/>
      <c r="J822" s="10" t="n"/>
      <c r="K822" s="10" t="inlineStr">
        <is>
          <t>"modifyOrder.refresh": "ផ្ទុកឡើងវិញ",</t>
        </is>
      </c>
      <c r="L822" s="10" t="n"/>
      <c r="M822" s="10" t="n"/>
      <c r="N822" s="10" t="n"/>
      <c r="O822" s="10" t="n"/>
      <c r="P822" s="10" t="n"/>
      <c r="Q822" s="10" t="n"/>
      <c r="R822" s="10" t="n"/>
      <c r="S822" s="10" t="n"/>
      <c r="T822" s="10" t="n"/>
      <c r="U822" s="10" t="n"/>
      <c r="V822" s="10" t="n"/>
      <c r="W822" s="10" t="n"/>
      <c r="X822" s="10" t="n"/>
      <c r="Y822" s="10" t="n"/>
      <c r="Z822" s="10" t="n"/>
    </row>
    <row r="823">
      <c r="A823" s="27" t="inlineStr">
        <is>
          <t>modifyOrder.titleSubmit</t>
        </is>
      </c>
      <c r="B823" s="27" t="inlineStr">
        <is>
          <t>Đồng chí có chắc chắn muốn tạo đơn hàng này?</t>
        </is>
      </c>
      <c r="C823" s="27" t="inlineStr">
        <is>
          <t>Are you sure you want to create this order?</t>
        </is>
      </c>
      <c r="D823" s="21" t="inlineStr">
        <is>
          <t>តើអ្នកពិតជាចង់បង្កើតការបញ្ជាទិញនេះទេ?</t>
        </is>
      </c>
      <c r="E823" s="90" t="inlineStr">
        <is>
          <t>តើអ្នកប្រាកដថាចង់បង្កើតបុងបញ្ញើនេះមែនទេ?</t>
        </is>
      </c>
      <c r="F823" s="10" t="n"/>
      <c r="G823" s="10" t="inlineStr">
        <is>
          <t>តើអ្នកប្រាកដថាចង់បង្កើតបុងបញ្ញើនេះមែនទេ?</t>
        </is>
      </c>
      <c r="H823" s="10" t="inlineStr">
        <is>
          <t>តើអ្នកប្រាកដថាចង់បង្កើតបុងបញ្ញើនេះមែនទេ?</t>
        </is>
      </c>
      <c r="I823" s="10" t="n"/>
      <c r="J823" s="10" t="n"/>
      <c r="K823" s="10" t="inlineStr">
        <is>
          <t>"modifyOrder.titleSubmit": "តើអ្នកប្រាកដថាចង់បង្កើតបុងបញ្ញើនេះមែនទេ?",</t>
        </is>
      </c>
      <c r="L823" s="10" t="n"/>
      <c r="M823" s="10" t="n"/>
      <c r="N823" s="10" t="n"/>
      <c r="O823" s="10" t="n"/>
      <c r="P823" s="10" t="n"/>
      <c r="Q823" s="10" t="n"/>
      <c r="R823" s="10" t="n"/>
      <c r="S823" s="10" t="n"/>
      <c r="T823" s="10" t="n"/>
      <c r="U823" s="10" t="n"/>
      <c r="V823" s="10" t="n"/>
      <c r="W823" s="10" t="n"/>
      <c r="X823" s="10" t="n"/>
      <c r="Y823" s="10" t="n"/>
      <c r="Z823" s="10" t="n"/>
    </row>
    <row r="824">
      <c r="A824" s="27" t="inlineStr">
        <is>
          <t>modifyOrder.titleRefresh</t>
        </is>
      </c>
      <c r="B824" s="27" t="inlineStr">
        <is>
          <t>Quý khách có chắc chắn muốn tạo một đơn hàng khác?</t>
        </is>
      </c>
      <c r="C824" s="27" t="inlineStr">
        <is>
          <t>Are you sure you want to create another order?</t>
        </is>
      </c>
      <c r="D824" s="21" t="inlineStr">
        <is>
          <t>អតិថិជនពិតជាចង់បង្កើតបុងបញ្ញើផ្សេងមែនទេ?</t>
        </is>
      </c>
      <c r="E824" s="90" t="inlineStr">
        <is>
          <t>តើអតិថិជនប្រាកដថាចង់បង្កើតបុងបញ្ញើផ្សេងទៀតមែនទេ?</t>
        </is>
      </c>
      <c r="F824" s="10" t="n"/>
      <c r="G824" s="10" t="inlineStr">
        <is>
          <t>តើអតិថិជនប្រាកដថាចង់បង្កើតបុងបញ្ញើផ្សេងទៀតមែនទេ?</t>
        </is>
      </c>
      <c r="H824" s="10" t="inlineStr">
        <is>
          <t>តើអតិថិជនប្រាកដថាចង់បង្កើតបុងបញ្ញើផ្សេងទៀតមែនទេ?</t>
        </is>
      </c>
      <c r="I824" s="10" t="n"/>
      <c r="J824" s="10" t="n"/>
      <c r="K824" s="10" t="inlineStr">
        <is>
          <t>"modifyOrder.titleRefresh": "តើអតិថិជនប្រាកដថាចង់បង្កើតបុងបញ្ញើផ្សេងទៀតមែនទេ?",</t>
        </is>
      </c>
      <c r="L824" s="10" t="n"/>
      <c r="M824" s="10" t="n"/>
      <c r="N824" s="10" t="n"/>
      <c r="O824" s="10" t="n"/>
      <c r="P824" s="10" t="n"/>
      <c r="Q824" s="10" t="n"/>
      <c r="R824" s="10" t="n"/>
      <c r="S824" s="10" t="n"/>
      <c r="T824" s="10" t="n"/>
      <c r="U824" s="10" t="n"/>
      <c r="V824" s="10" t="n"/>
      <c r="W824" s="10" t="n"/>
      <c r="X824" s="10" t="n"/>
      <c r="Y824" s="10" t="n"/>
      <c r="Z824" s="10" t="n"/>
    </row>
    <row r="825">
      <c r="A825" s="27" t="inlineStr">
        <is>
          <t>modifyOrder.note</t>
        </is>
      </c>
      <c r="B825" s="27" t="inlineStr">
        <is>
          <t>*Lưu ý: Mọi dữ liệu hiện tại sẽ bị mất</t>
        </is>
      </c>
      <c r="C825" s="27" t="inlineStr">
        <is>
          <t>*Note: Your current data will no longer exist</t>
        </is>
      </c>
      <c r="D825" s="21" t="inlineStr">
        <is>
          <t>*ចំណាំ៖ គ្រប់ទិន្នន័យបច្ចុប្បន្ននឹងត្រូវបានបាត់</t>
        </is>
      </c>
      <c r="E825" s="90" t="inlineStr">
        <is>
          <t>*សម្គាល់៖ ទិន្នន័យបច្ចុប្បន្នទាំងអស់នឹងបាត់បង់</t>
        </is>
      </c>
      <c r="F825" s="10" t="n"/>
      <c r="G825" s="10" t="inlineStr">
        <is>
          <t>*សម្គាល់៖ ទិន្នន័យបច្ចុប្បន្នទាំងអស់នឹងបាត់បង់</t>
        </is>
      </c>
      <c r="H825" s="10" t="inlineStr">
        <is>
          <t>*សម្គាល់៖ ទិន្នន័យបច្ចុប្បន្នទាំងអស់នឹងបាត់បង់</t>
        </is>
      </c>
      <c r="I825" s="10" t="n"/>
      <c r="J825" s="10" t="n"/>
      <c r="K825" s="10" t="inlineStr">
        <is>
          <t>"modifyOrder.note": "*សម្គាល់៖ ទិន្នន័យបច្ចុប្បន្នទាំងអស់នឹងបាត់បង់",</t>
        </is>
      </c>
      <c r="L825" s="10" t="n"/>
      <c r="M825" s="10" t="n"/>
      <c r="N825" s="10" t="n"/>
      <c r="O825" s="10" t="n"/>
      <c r="P825" s="10" t="n"/>
      <c r="Q825" s="10" t="n"/>
      <c r="R825" s="10" t="n"/>
      <c r="S825" s="10" t="n"/>
      <c r="T825" s="10" t="n"/>
      <c r="U825" s="10" t="n"/>
      <c r="V825" s="10" t="n"/>
      <c r="W825" s="10" t="n"/>
      <c r="X825" s="10" t="n"/>
      <c r="Y825" s="10" t="n"/>
      <c r="Z825" s="10" t="n"/>
    </row>
    <row r="826">
      <c r="A826" s="27" t="inlineStr">
        <is>
          <t>modifyOrder.createSuccess</t>
        </is>
      </c>
      <c r="B826" s="27" t="inlineStr">
        <is>
          <t>Tạo đơn thành công!</t>
        </is>
      </c>
      <c r="C826" s="27" t="inlineStr">
        <is>
          <t>Order created successfully</t>
        </is>
      </c>
      <c r="D826" s="21" t="inlineStr">
        <is>
          <t>បង្កើ្ក្កតបុងបញ្ញើបានជោគជ័យ!</t>
        </is>
      </c>
      <c r="E826" s="102" t="inlineStr">
        <is>
          <t>បង្កើតបុងបញ្ញើបានជោគជ័យ!</t>
        </is>
      </c>
      <c r="F826" s="10" t="n"/>
      <c r="G826" s="10" t="inlineStr">
        <is>
          <t>បង្កើតបុងបញ្ញើបានជោគជ័យ!</t>
        </is>
      </c>
      <c r="H826" s="10" t="inlineStr">
        <is>
          <t>បង្កើតបុងបញ្ញើបានជោគជ័យ!</t>
        </is>
      </c>
      <c r="I826" s="10" t="n"/>
      <c r="J826" s="10" t="n"/>
      <c r="K826" s="10" t="inlineStr">
        <is>
          <t>"modifyOrder.createSuccess": "បង្កើតបុងបញ្ញើបានជោគជ័យ!",</t>
        </is>
      </c>
      <c r="L826" s="10" t="n"/>
      <c r="M826" s="10" t="n"/>
      <c r="N826" s="10" t="n"/>
      <c r="O826" s="10" t="n"/>
      <c r="P826" s="10" t="n"/>
      <c r="Q826" s="10" t="n"/>
      <c r="R826" s="10" t="n"/>
      <c r="S826" s="10" t="n"/>
      <c r="T826" s="10" t="n"/>
      <c r="U826" s="10" t="n"/>
      <c r="V826" s="10" t="n"/>
      <c r="W826" s="10" t="n"/>
      <c r="X826" s="10" t="n"/>
      <c r="Y826" s="10" t="n"/>
      <c r="Z826" s="10" t="n"/>
    </row>
    <row r="827">
      <c r="A827" s="27" t="inlineStr">
        <is>
          <t>modifyOrder.successDescription</t>
        </is>
      </c>
      <c r="B827" s="27" t="inlineStr">
        <is>
          <t>Tạo và gửi duyệt thành công đơn hàng</t>
        </is>
      </c>
      <c r="C827" s="27" t="inlineStr">
        <is>
          <t>Order submitted successfully</t>
        </is>
      </c>
      <c r="D827" s="21" t="n"/>
      <c r="E827" s="90" t="inlineStr">
        <is>
          <t>បង្កើត និងផ្ញើបុងបញ្ញើដោយជោគជ័យ</t>
        </is>
      </c>
      <c r="F827" s="10" t="n"/>
      <c r="G827" s="10" t="inlineStr">
        <is>
          <t>បង្កើត និងផ្ញើបុងបញ្ញើដោយជោគជ័យ</t>
        </is>
      </c>
      <c r="H827" s="10" t="inlineStr">
        <is>
          <t>បង្កើត និងផ្ញើបុងបញ្ញើដោយជោគជ័យ</t>
        </is>
      </c>
      <c r="I827" s="10" t="n"/>
      <c r="J827" s="10" t="n"/>
      <c r="K827" s="10" t="inlineStr">
        <is>
          <t>"modifyOrder.successDescription": "បង្កើត និងផ្ញើបុងបញ្ញើដោយជោគជ័យ",</t>
        </is>
      </c>
      <c r="L827" s="10" t="n"/>
      <c r="M827" s="10" t="n"/>
      <c r="N827" s="10" t="n"/>
      <c r="O827" s="10" t="n"/>
      <c r="P827" s="10" t="n"/>
      <c r="Q827" s="10" t="n"/>
      <c r="R827" s="10" t="n"/>
      <c r="S827" s="10" t="n"/>
      <c r="T827" s="10" t="n"/>
      <c r="U827" s="10" t="n"/>
      <c r="V827" s="10" t="n"/>
      <c r="W827" s="10" t="n"/>
      <c r="X827" s="10" t="n"/>
      <c r="Y827" s="10" t="n"/>
      <c r="Z827" s="10" t="n"/>
    </row>
    <row r="828">
      <c r="A828" s="27" t="inlineStr">
        <is>
          <t>modifyOrder.printOrder</t>
        </is>
      </c>
      <c r="B828" s="27" t="inlineStr">
        <is>
          <t>Số liên cần in trên một đơn</t>
        </is>
      </c>
      <c r="C828" s="27" t="inlineStr">
        <is>
          <t>Number of page required per order</t>
        </is>
      </c>
      <c r="D828" s="21" t="n"/>
      <c r="E828" s="90" t="inlineStr">
        <is>
          <t>ចំនួនច្បាប់ដែលត្រូវបោះពុម្ពលើការបុងបញ្ញើមួយ</t>
        </is>
      </c>
      <c r="F828" s="10" t="n"/>
      <c r="G828" s="10" t="inlineStr">
        <is>
          <t>ចំនួនច្បាប់ដែលត្រូវព្រីនលើការបុងបញ្ញើមួយ</t>
        </is>
      </c>
      <c r="H828" s="10" t="inlineStr">
        <is>
          <t>ចំនួនច្បាប់ដែលត្រូវព្រីនលើការបុងបញ្ញើមួយ</t>
        </is>
      </c>
      <c r="I828" s="10" t="n"/>
      <c r="J828" s="10" t="n"/>
      <c r="K828" s="10" t="inlineStr">
        <is>
          <t>"modifyOrder.printOrder": "ចំនួនច្បាប់ដែលត្រូវព្រីនលើការបុងបញ្ញើមួយ",</t>
        </is>
      </c>
      <c r="L828" s="10" t="n"/>
      <c r="M828" s="10" t="n"/>
      <c r="N828" s="10" t="n"/>
      <c r="O828" s="10" t="n"/>
      <c r="P828" s="10" t="n"/>
      <c r="Q828" s="10" t="n"/>
      <c r="R828" s="10" t="n"/>
      <c r="S828" s="10" t="n"/>
      <c r="T828" s="10" t="n"/>
      <c r="U828" s="10" t="n"/>
      <c r="V828" s="10" t="n"/>
      <c r="W828" s="10" t="n"/>
      <c r="X828" s="10" t="n"/>
      <c r="Y828" s="10" t="n"/>
      <c r="Z828" s="10" t="n"/>
    </row>
    <row r="829">
      <c r="A829" s="27" t="inlineStr">
        <is>
          <t>modifyOrder.page1</t>
        </is>
      </c>
      <c r="B829" s="27" t="inlineStr">
        <is>
          <t>1 liên</t>
        </is>
      </c>
      <c r="C829" s="27" t="inlineStr">
        <is>
          <t>1 page</t>
        </is>
      </c>
      <c r="D829" s="21" t="inlineStr">
        <is>
          <t>តភ្ជាប់១</t>
        </is>
      </c>
      <c r="E829" s="102" t="inlineStr">
        <is>
          <t>មួយច្បាប់</t>
        </is>
      </c>
      <c r="F829" s="10" t="n"/>
      <c r="G829" s="10" t="inlineStr">
        <is>
          <t>មួយច្បាប់</t>
        </is>
      </c>
      <c r="H829" s="10" t="inlineStr">
        <is>
          <t>មួយច្បាប់</t>
        </is>
      </c>
      <c r="I829" s="10" t="n"/>
      <c r="J829" s="10" t="n"/>
      <c r="K829" s="10" t="inlineStr">
        <is>
          <t>"modifyOrder.page1": "មួយច្បាប់",</t>
        </is>
      </c>
      <c r="L829" s="10" t="n"/>
      <c r="M829" s="10" t="n"/>
      <c r="N829" s="10" t="n"/>
      <c r="O829" s="10" t="n"/>
      <c r="P829" s="10" t="n"/>
      <c r="Q829" s="10" t="n"/>
      <c r="R829" s="10" t="n"/>
      <c r="S829" s="10" t="n"/>
      <c r="T829" s="10" t="n"/>
      <c r="U829" s="10" t="n"/>
      <c r="V829" s="10" t="n"/>
      <c r="W829" s="10" t="n"/>
      <c r="X829" s="10" t="n"/>
      <c r="Y829" s="10" t="n"/>
      <c r="Z829" s="10" t="n"/>
    </row>
    <row r="830">
      <c r="A830" s="27" t="inlineStr">
        <is>
          <t>modifyOrder.page2</t>
        </is>
      </c>
      <c r="B830" s="27" t="inlineStr">
        <is>
          <t>2 liên</t>
        </is>
      </c>
      <c r="C830" s="27" t="inlineStr">
        <is>
          <t>2 pages</t>
        </is>
      </c>
      <c r="D830" s="102" t="inlineStr">
        <is>
          <t>តភ្ជាប់២</t>
        </is>
      </c>
      <c r="E830" s="102" t="inlineStr">
        <is>
          <t>ពីរច្បាប់</t>
        </is>
      </c>
      <c r="F830" s="10" t="n"/>
      <c r="G830" s="10" t="inlineStr">
        <is>
          <t>ពីរច្បាប់</t>
        </is>
      </c>
      <c r="H830" s="10" t="inlineStr">
        <is>
          <t>ពីរច្បាប់</t>
        </is>
      </c>
      <c r="I830" s="10" t="n"/>
      <c r="J830" s="10" t="n"/>
      <c r="K830" s="10" t="inlineStr">
        <is>
          <t>"modifyOrder.page2": "ពីរច្បាប់",</t>
        </is>
      </c>
      <c r="L830" s="10" t="n"/>
      <c r="M830" s="10" t="n"/>
      <c r="N830" s="10" t="n"/>
      <c r="O830" s="10" t="n"/>
      <c r="P830" s="10" t="n"/>
      <c r="Q830" s="10" t="n"/>
      <c r="R830" s="10" t="n"/>
      <c r="S830" s="10" t="n"/>
      <c r="T830" s="10" t="n"/>
      <c r="U830" s="10" t="n"/>
      <c r="V830" s="10" t="n"/>
      <c r="W830" s="10" t="n"/>
      <c r="X830" s="10" t="n"/>
      <c r="Y830" s="10" t="n"/>
      <c r="Z830" s="10" t="n"/>
    </row>
    <row r="831">
      <c r="A831" s="27" t="inlineStr">
        <is>
          <t>modifyOrder.titleAlternativePhones</t>
        </is>
      </c>
      <c r="B831" s="27" t="inlineStr">
        <is>
          <t>Thêm số điện thoại phụ</t>
        </is>
      </c>
      <c r="C831" s="27" t="inlineStr">
        <is>
          <t>Additional phone number</t>
        </is>
      </c>
      <c r="D831" s="21" t="inlineStr">
        <is>
          <t>បន្ថែមលេខទូរស័ព្ទ</t>
        </is>
      </c>
      <c r="E831" s="102" t="inlineStr">
        <is>
          <t>បន្ថែមលេខទូរស័ព្ទបន្ទាប់បន្សំ</t>
        </is>
      </c>
      <c r="F831" s="10" t="n"/>
      <c r="G831" s="10" t="inlineStr">
        <is>
          <t>បន្ថែមលេខទូរស័ព្ទបន្ទាប់បន្សំ</t>
        </is>
      </c>
      <c r="H831" s="10" t="inlineStr">
        <is>
          <t>បន្ថែមលេខទូរស័ព្ទបន្ទាប់បន្សំ</t>
        </is>
      </c>
      <c r="I831" s="10" t="n"/>
      <c r="J831" s="10" t="n"/>
      <c r="K831" s="10" t="inlineStr">
        <is>
          <t>"modifyOrder.titleAlternativePhones": "បន្ថែមលេខទូរស័ព្ទបន្ទាប់បន្សំ",</t>
        </is>
      </c>
      <c r="L831" s="10" t="n"/>
      <c r="M831" s="10" t="n"/>
      <c r="N831" s="10" t="n"/>
      <c r="O831" s="10" t="n"/>
      <c r="P831" s="10" t="n"/>
      <c r="Q831" s="10" t="n"/>
      <c r="R831" s="10" t="n"/>
      <c r="S831" s="10" t="n"/>
      <c r="T831" s="10" t="n"/>
      <c r="U831" s="10" t="n"/>
      <c r="V831" s="10" t="n"/>
      <c r="W831" s="10" t="n"/>
      <c r="X831" s="10" t="n"/>
      <c r="Y831" s="10" t="n"/>
      <c r="Z831" s="10" t="n"/>
    </row>
    <row r="832">
      <c r="A832" s="27" t="inlineStr">
        <is>
          <t>modifyOrder.alternativePhones</t>
        </is>
      </c>
      <c r="B832" s="27" t="inlineStr">
        <is>
          <t>Điện thoại phụ</t>
        </is>
      </c>
      <c r="C832" s="27" t="inlineStr">
        <is>
          <t>Additional phone number</t>
        </is>
      </c>
      <c r="D832" s="21" t="inlineStr">
        <is>
          <t>ទូរស័ព្ទបន្ថែម</t>
        </is>
      </c>
      <c r="E832" s="102" t="inlineStr">
        <is>
          <t>លេខទូូរស័ព្ទបន្ទាប់បន្សំ</t>
        </is>
      </c>
      <c r="F832" s="10" t="n"/>
      <c r="G832" s="10" t="inlineStr">
        <is>
          <t>លេខទូូរស័ព្ទបន្ទាប់បន្សំ</t>
        </is>
      </c>
      <c r="H832" s="10" t="inlineStr">
        <is>
          <t>លេខទូូរស័ព្ទបន្ទាប់បន្សំ</t>
        </is>
      </c>
      <c r="I832" s="10" t="n"/>
      <c r="J832" s="10" t="n"/>
      <c r="K832" s="10" t="inlineStr">
        <is>
          <t>"modifyOrder.alternativePhones": "លេខទូូរស័ព្ទបន្ទាប់បន្សំ",</t>
        </is>
      </c>
      <c r="L832" s="10" t="n"/>
      <c r="M832" s="10" t="n"/>
      <c r="N832" s="10" t="n"/>
      <c r="O832" s="10" t="n"/>
      <c r="P832" s="10" t="n"/>
      <c r="Q832" s="10" t="n"/>
      <c r="R832" s="10" t="n"/>
      <c r="S832" s="10" t="n"/>
      <c r="T832" s="10" t="n"/>
      <c r="U832" s="10" t="n"/>
      <c r="V832" s="10" t="n"/>
      <c r="W832" s="10" t="n"/>
      <c r="X832" s="10" t="n"/>
      <c r="Y832" s="10" t="n"/>
      <c r="Z832" s="10" t="n"/>
    </row>
    <row r="833">
      <c r="A833" s="27" t="inlineStr">
        <is>
          <t>modifyOrder.alternativePhonesPlaceholder</t>
        </is>
      </c>
      <c r="B833" s="27" t="inlineStr">
        <is>
          <t>Nhập số điện thoại phụ</t>
        </is>
      </c>
      <c r="C833" s="27" t="inlineStr">
        <is>
          <t>Enter additional phone number</t>
        </is>
      </c>
      <c r="D833" s="21" t="inlineStr">
        <is>
          <t>បញ្ចូលលេខទូរស័ព្ទបន្ថែម</t>
        </is>
      </c>
      <c r="E833" s="102" t="inlineStr">
        <is>
          <t>បញ្ចូលលេខទូរស័ព្ទបន្ទាប់បន្សំ</t>
        </is>
      </c>
      <c r="F833" s="10" t="n"/>
      <c r="G833" s="10" t="inlineStr">
        <is>
          <t>បញ្ចូលលេខទូរស័ព្ទបន្ទាប់បន្សំ</t>
        </is>
      </c>
      <c r="H833" s="10" t="inlineStr">
        <is>
          <t>បញ្ចូលលេខទូរស័ព្ទបន្ទាប់បន្សំ</t>
        </is>
      </c>
      <c r="I833" s="10" t="n"/>
      <c r="J833" s="10" t="n"/>
      <c r="K833" s="10" t="inlineStr">
        <is>
          <t>"modifyOrder.alternativePhonesPlaceholder": "បញ្ចូលលេខទូរស័ព្ទបន្ទាប់បន្សំ",</t>
        </is>
      </c>
      <c r="L833" s="10" t="n"/>
      <c r="M833" s="10" t="n"/>
      <c r="N833" s="10" t="n"/>
      <c r="O833" s="10" t="n"/>
      <c r="P833" s="10" t="n"/>
      <c r="Q833" s="10" t="n"/>
      <c r="R833" s="10" t="n"/>
      <c r="S833" s="10" t="n"/>
      <c r="T833" s="10" t="n"/>
      <c r="U833" s="10" t="n"/>
      <c r="V833" s="10" t="n"/>
      <c r="W833" s="10" t="n"/>
      <c r="X833" s="10" t="n"/>
      <c r="Y833" s="10" t="n"/>
      <c r="Z833" s="10" t="n"/>
    </row>
    <row r="834">
      <c r="A834" s="27" t="inlineStr">
        <is>
          <t>modifyOrder.alternativePhonesNote</t>
        </is>
      </c>
      <c r="B834" s="27" t="inlineStr">
        <is>
          <t>*Lưu ý: Số điện thoại phụ sẽ được phân cách bởi dấu phẩy.</t>
        </is>
      </c>
      <c r="C834" s="27" t="inlineStr">
        <is>
          <t>Note: Additional phone numbers should be separated by commas.</t>
        </is>
      </c>
      <c r="D834" s="21" t="inlineStr">
        <is>
          <t>*ចំណាំ៖ លេខទូរស័ព្ទបន្ថែមនឹងត្រូវបានបែងចែកដោយសញ្ញាក្បៀស</t>
        </is>
      </c>
      <c r="E834" s="102" t="inlineStr">
        <is>
          <t>*ចំណាំ៖ លេខទូរស័ព្ទបន្ទាប់បន្សំនឹងត្រូវបានបែងចែកដោយសញ្ញាក្បៀស។</t>
        </is>
      </c>
      <c r="F834" s="10" t="n"/>
      <c r="G834" s="10" t="inlineStr">
        <is>
          <t>*ចំណាំ៖ លេខទូរស័ព្ទបន្ទាប់បន្សំនឹងត្រូវបានបែងចែកដោយសញ្ញាក្បៀស។</t>
        </is>
      </c>
      <c r="H834" s="10" t="inlineStr">
        <is>
          <t>*ចំណាំ៖ លេខទូរស័ព្ទបន្ទាប់បន្សំនឹងត្រូវបានបែងចែកដោយសញ្ញាក្បៀស។</t>
        </is>
      </c>
      <c r="I834" s="10" t="n"/>
      <c r="J834" s="10" t="n"/>
      <c r="K834" s="10" t="inlineStr">
        <is>
          <t>"modifyOrder.alternativePhonesNote": "*ចំណាំ៖ លេខទូរស័ព្ទបន្ទាប់បន្សំនឹងត្រូវបានបែងចែកដោយសញ្ញាក្បៀស។",</t>
        </is>
      </c>
      <c r="L834" s="10" t="n"/>
      <c r="M834" s="10" t="n"/>
      <c r="N834" s="10" t="n"/>
      <c r="O834" s="10" t="n"/>
      <c r="P834" s="10" t="n"/>
      <c r="Q834" s="10" t="n"/>
      <c r="R834" s="10" t="n"/>
      <c r="S834" s="10" t="n"/>
      <c r="T834" s="10" t="n"/>
      <c r="U834" s="10" t="n"/>
      <c r="V834" s="10" t="n"/>
      <c r="W834" s="10" t="n"/>
      <c r="X834" s="10" t="n"/>
      <c r="Y834" s="10" t="n"/>
      <c r="Z834" s="10" t="n"/>
    </row>
    <row r="835">
      <c r="A835" s="27" t="inlineStr">
        <is>
          <t>modifyOrder.newCustomer</t>
        </is>
      </c>
      <c r="B835" s="27" t="inlineStr">
        <is>
          <t>Số điện thoại chưa tồn tại trong hệ thống</t>
        </is>
      </c>
      <c r="C835" s="27" t="inlineStr">
        <is>
          <t>This phone number does not exist in out system</t>
        </is>
      </c>
      <c r="D835" s="21" t="inlineStr">
        <is>
          <t>លេខទូរស័ព្ទមិនទាន់មាននៅក្នុងប្រព័ន្ធ</t>
        </is>
      </c>
      <c r="E835" s="102" t="inlineStr">
        <is>
          <t>លេខទូរស័ព្ទមិនមាននៅក្នុងប្រព័ន្ធ</t>
        </is>
      </c>
      <c r="F835" s="10" t="n"/>
      <c r="G835" s="10" t="inlineStr">
        <is>
          <t>លេខទូរស័ព្ទមិនមាននៅក្នុងប្រព័ន្ធ</t>
        </is>
      </c>
      <c r="H835" s="10" t="inlineStr">
        <is>
          <t>លេខទូរស័ព្ទមិនមាននៅក្នុងប្រព័ន្ធ</t>
        </is>
      </c>
      <c r="I835" s="10" t="n"/>
      <c r="J835" s="10" t="n"/>
      <c r="K835" s="10" t="inlineStr">
        <is>
          <t>"modifyOrder.newCustomer": "លេខទូរស័ព្ទមិនមាននៅក្នុងប្រព័ន្ធ",</t>
        </is>
      </c>
      <c r="L835" s="10" t="n"/>
      <c r="M835" s="10" t="n"/>
      <c r="N835" s="10" t="n"/>
      <c r="O835" s="10" t="n"/>
      <c r="P835" s="10" t="n"/>
      <c r="Q835" s="10" t="n"/>
      <c r="R835" s="10" t="n"/>
      <c r="S835" s="10" t="n"/>
      <c r="T835" s="10" t="n"/>
      <c r="U835" s="10" t="n"/>
      <c r="V835" s="10" t="n"/>
      <c r="W835" s="10" t="n"/>
      <c r="X835" s="10" t="n"/>
      <c r="Y835" s="10" t="n"/>
      <c r="Z835" s="10" t="n"/>
    </row>
    <row r="836">
      <c r="A836" s="27" t="inlineStr">
        <is>
          <t>modifyOrder.orderExistedInList</t>
        </is>
      </c>
      <c r="B836" s="27" t="inlineStr">
        <is>
          <t>Mã phiếu gửi {{orderCode}} đã tồn tại trong danh sách. Vui lòng kiểm tra lại</t>
        </is>
      </c>
      <c r="C836" s="27" t="inlineStr">
        <is>
          <t>The postal slip {{orderCode}} has already been found. Please double-check</t>
        </is>
      </c>
      <c r="D836" s="21" t="n"/>
      <c r="E836" s="102" t="inlineStr">
        <is>
          <t>លេខកូដបុងបញ្ញើ {{orderCode}} មានរួចនៅក្នុងបញ្ជី។ សូមពិនិត្យម្តងទៀត</t>
        </is>
      </c>
      <c r="F836" s="10" t="n"/>
      <c r="G836" s="10" t="inlineStr">
        <is>
          <t>លេខកូដបុងបញ្ញើ {{orderCode}} មានរួចនៅក្នុងបញ្ជី។ សូមពិនិត្យម្តងទៀត</t>
        </is>
      </c>
      <c r="H836" s="10" t="inlineStr">
        <is>
          <t>លេខកូដបុងបញ្ញើ {{orderCode}} មានរួចនៅក្នុងបញ្ជី។ សូមពិនិត្យម្តងទៀត</t>
        </is>
      </c>
      <c r="I836" s="10" t="n"/>
      <c r="J836" s="10" t="n"/>
      <c r="K836" s="10" t="inlineStr">
        <is>
          <t>"modifyOrder.orderExistedInList": "លេខកូដបុងបញ្ញើ {{orderCode}} មានរួចនៅក្នុងបញ្ជី។ សូមពិនិត្យម្តងទៀត",</t>
        </is>
      </c>
      <c r="L836" s="10" t="n"/>
      <c r="M836" s="10" t="n"/>
      <c r="N836" s="10" t="n"/>
      <c r="O836" s="10" t="n"/>
      <c r="P836" s="10" t="n"/>
      <c r="Q836" s="10" t="n"/>
      <c r="R836" s="10" t="n"/>
      <c r="S836" s="10" t="n"/>
      <c r="T836" s="10" t="n"/>
      <c r="U836" s="10" t="n"/>
      <c r="V836" s="10" t="n"/>
      <c r="W836" s="10" t="n"/>
      <c r="X836" s="10" t="n"/>
      <c r="Y836" s="10" t="n"/>
      <c r="Z836" s="10" t="n"/>
    </row>
    <row r="837">
      <c r="A837" s="27" t="inlineStr">
        <is>
          <t>modifyOrder.orderCanceled</t>
        </is>
      </c>
      <c r="B837" s="27" t="inlineStr">
        <is>
          <t>Mã phiếu gửi {{orderCode}} đã bị hủy. Vui lòng nhập mã khác</t>
        </is>
      </c>
      <c r="C837" s="27" t="inlineStr">
        <is>
          <t>The postal slip {{orderCode}} has been canceled. Please enter a different one.</t>
        </is>
      </c>
      <c r="D837" s="21" t="n"/>
      <c r="E837" s="102" t="inlineStr">
        <is>
          <t>លេខកូដបុងបញ្ញើ {{orderCode}} ត្រូវបានលុបចោល។ សូមបញ្ចូលលេខកូដផ្សេង</t>
        </is>
      </c>
      <c r="F837" s="10" t="n"/>
      <c r="G837" s="10" t="inlineStr">
        <is>
          <t>លេខកូដបុងបញ្ញើ {{orderCode}} ត្រូវបានលុបចោល។ សូមបញ្ចូលលេខកូដផ្សេង</t>
        </is>
      </c>
      <c r="H837" s="10" t="inlineStr">
        <is>
          <t>លេខកូដបុងបញ្ញើ {{orderCode}} ត្រូវបានលុបចោល។ សូមបញ្ចូលលេខកូដផ្សេង</t>
        </is>
      </c>
      <c r="I837" s="10" t="n"/>
      <c r="J837" s="10" t="n"/>
      <c r="K837" s="10" t="inlineStr">
        <is>
          <t>"modifyOrder.orderCanceled": "លេខកូដបុងបញ្ញើ {{orderCode}} ត្រូវបានលុបចោល។ សូមបញ្ចូលលេខកូដផ្សេង",</t>
        </is>
      </c>
      <c r="L837" s="10" t="n"/>
      <c r="M837" s="10" t="n"/>
      <c r="N837" s="10" t="n"/>
      <c r="O837" s="10" t="n"/>
      <c r="P837" s="10" t="n"/>
      <c r="Q837" s="10" t="n"/>
      <c r="R837" s="10" t="n"/>
      <c r="S837" s="10" t="n"/>
      <c r="T837" s="10" t="n"/>
      <c r="U837" s="10" t="n"/>
      <c r="V837" s="10" t="n"/>
      <c r="W837" s="10" t="n"/>
      <c r="X837" s="10" t="n"/>
      <c r="Y837" s="10" t="n"/>
      <c r="Z837" s="10" t="n"/>
    </row>
    <row r="838">
      <c r="A838" s="27" t="inlineStr">
        <is>
          <t>modifyOrder.invalOrder</t>
        </is>
      </c>
      <c r="B838" s="27" t="inlineStr">
        <is>
          <t>Không tìm thấy mã phiếu gửi</t>
        </is>
      </c>
      <c r="C838" s="27" t="inlineStr">
        <is>
          <t>No postal slip found</t>
        </is>
      </c>
      <c r="D838" s="21" t="inlineStr">
        <is>
          <t>មិនស្វែងរកឃើញលេខកូដបុងបញ្ញើ</t>
        </is>
      </c>
      <c r="E838" s="102" t="inlineStr">
        <is>
          <t>មិនអាចស្វែងរកឃើញលេខកូដបុងបញ្ញើ</t>
        </is>
      </c>
      <c r="F838" s="10" t="n"/>
      <c r="G838" s="10" t="inlineStr">
        <is>
          <t>មិនអាចស្វែងរកឃើញលេខកូដបុងបញ្ញើ</t>
        </is>
      </c>
      <c r="H838" s="10" t="inlineStr">
        <is>
          <t>មិនអាចស្វែងរកឃើញលេខកូដបុងបញ្ញើ</t>
        </is>
      </c>
      <c r="I838" s="10" t="n"/>
      <c r="J838" s="10" t="n"/>
      <c r="K838" s="10" t="inlineStr">
        <is>
          <t>"modifyOrder.invalOrder": "មិនអាចស្វែងរកឃើញលេខកូដបុងបញ្ញើ",</t>
        </is>
      </c>
      <c r="L838" s="10" t="n"/>
      <c r="M838" s="10" t="n"/>
      <c r="N838" s="10" t="n"/>
      <c r="O838" s="10" t="n"/>
      <c r="P838" s="10" t="n"/>
      <c r="Q838" s="10" t="n"/>
      <c r="R838" s="10" t="n"/>
      <c r="S838" s="10" t="n"/>
      <c r="T838" s="10" t="n"/>
      <c r="U838" s="10" t="n"/>
      <c r="V838" s="10" t="n"/>
      <c r="W838" s="10" t="n"/>
      <c r="X838" s="10" t="n"/>
      <c r="Y838" s="10" t="n"/>
      <c r="Z838" s="10" t="n"/>
    </row>
    <row r="839">
      <c r="A839" s="27" t="inlineStr">
        <is>
          <t>modifyOrder.extraPrices</t>
        </is>
      </c>
      <c r="B839" s="27" t="inlineStr">
        <is>
          <t>Dịch vụ cộng thêm</t>
        </is>
      </c>
      <c r="C839" s="27" t="inlineStr">
        <is>
          <t>Extra prices</t>
        </is>
      </c>
      <c r="D839" s="102" t="inlineStr">
        <is>
          <t>សេវាកម្មបូកបន្ថែម</t>
        </is>
      </c>
      <c r="E839" s="102" t="inlineStr">
        <is>
          <t>សេវាកម្មបូកបន្ថែម</t>
        </is>
      </c>
      <c r="F839" s="10" t="n"/>
      <c r="G839" s="10" t="inlineStr">
        <is>
          <t>សេវាកម្មបន្ថែម</t>
        </is>
      </c>
      <c r="H839" s="10" t="inlineStr">
        <is>
          <t>សេវាកម្មបន្ថែម</t>
        </is>
      </c>
      <c r="I839" s="10" t="n"/>
      <c r="J839" s="10" t="n"/>
      <c r="K839" s="10" t="inlineStr">
        <is>
          <t>"modifyOrder.extraPrices": "សេវាកម្មបន្ថែម",</t>
        </is>
      </c>
      <c r="L839" s="10" t="n"/>
      <c r="M839" s="10" t="n"/>
      <c r="N839" s="10" t="n"/>
      <c r="O839" s="10" t="n"/>
      <c r="P839" s="10" t="n"/>
      <c r="Q839" s="10" t="n"/>
      <c r="R839" s="10" t="n"/>
      <c r="S839" s="10" t="n"/>
      <c r="T839" s="10" t="n"/>
      <c r="U839" s="10" t="n"/>
      <c r="V839" s="10" t="n"/>
      <c r="W839" s="10" t="n"/>
      <c r="X839" s="10" t="n"/>
      <c r="Y839" s="10" t="n"/>
      <c r="Z839" s="10" t="n"/>
    </row>
    <row r="840">
      <c r="A840" s="27" t="inlineStr">
        <is>
          <t>modifyOrder.emptySurcharge</t>
        </is>
      </c>
      <c r="B840" s="27" t="inlineStr">
        <is>
          <t>Vui lòng nhập phụ phí</t>
        </is>
      </c>
      <c r="C840" s="27" t="inlineStr">
        <is>
          <t>Please enter surcharges</t>
        </is>
      </c>
      <c r="D840" s="21" t="inlineStr">
        <is>
          <t>សូមបញ្ចូលសេវាបន្ថែម</t>
        </is>
      </c>
      <c r="E840" s="102" t="inlineStr">
        <is>
          <t>សូមបញ្ចូលសេវាកម្មបន្ថែម</t>
        </is>
      </c>
      <c r="F840" s="10" t="n"/>
      <c r="G840" s="10" t="inlineStr">
        <is>
          <t>សូមបញ្ចូលសេវាកម្មបន្ថែម</t>
        </is>
      </c>
      <c r="H840" s="10" t="inlineStr">
        <is>
          <t>សូមបញ្ចូលសេវាកម្មបន្ថែម</t>
        </is>
      </c>
      <c r="I840" s="10" t="n"/>
      <c r="J840" s="10" t="n"/>
      <c r="K840" s="10" t="inlineStr">
        <is>
          <t>"modifyOrder.emptySurcharge": "សូមបញ្ចូលសេវាកម្មបន្ថែម",</t>
        </is>
      </c>
      <c r="L840" s="10" t="n"/>
      <c r="M840" s="10" t="n"/>
      <c r="N840" s="10" t="n"/>
      <c r="O840" s="10" t="n"/>
      <c r="P840" s="10" t="n"/>
      <c r="Q840" s="10" t="n"/>
      <c r="R840" s="10" t="n"/>
      <c r="S840" s="10" t="n"/>
      <c r="T840" s="10" t="n"/>
      <c r="U840" s="10" t="n"/>
      <c r="V840" s="10" t="n"/>
      <c r="W840" s="10" t="n"/>
      <c r="X840" s="10" t="n"/>
      <c r="Y840" s="10" t="n"/>
      <c r="Z840" s="10" t="n"/>
    </row>
    <row r="841">
      <c r="A841" s="27" t="inlineStr">
        <is>
          <t>modifyOrder.value</t>
        </is>
      </c>
      <c r="B841" s="27" t="inlineStr">
        <is>
          <t>Giá trị</t>
        </is>
      </c>
      <c r="C841" s="27" t="inlineStr">
        <is>
          <t>Value</t>
        </is>
      </c>
      <c r="D841" s="102" t="inlineStr">
        <is>
          <t>តម្លៃ</t>
        </is>
      </c>
      <c r="E841" s="102" t="inlineStr">
        <is>
          <t>តម្លៃ្ល</t>
        </is>
      </c>
      <c r="F841" s="10" t="n"/>
      <c r="G841" s="10" t="inlineStr">
        <is>
          <t>តម្លៃ្ល</t>
        </is>
      </c>
      <c r="H841" s="10" t="inlineStr">
        <is>
          <t>តម្លៃ្ល</t>
        </is>
      </c>
      <c r="I841" s="10" t="n"/>
      <c r="J841" s="10" t="n"/>
      <c r="K841" s="10" t="inlineStr">
        <is>
          <t>"modifyOrder.value": "តម្លៃ្ល",</t>
        </is>
      </c>
      <c r="L841" s="10" t="n"/>
      <c r="M841" s="10" t="n"/>
      <c r="N841" s="10" t="n"/>
      <c r="O841" s="10" t="n"/>
      <c r="P841" s="10" t="n"/>
      <c r="Q841" s="10" t="n"/>
      <c r="R841" s="10" t="n"/>
      <c r="S841" s="10" t="n"/>
      <c r="T841" s="10" t="n"/>
      <c r="U841" s="10" t="n"/>
      <c r="V841" s="10" t="n"/>
      <c r="W841" s="10" t="n"/>
      <c r="X841" s="10" t="n"/>
      <c r="Y841" s="10" t="n"/>
      <c r="Z841" s="10" t="n"/>
    </row>
    <row r="842">
      <c r="A842" s="27" t="inlineStr">
        <is>
          <t>modifyOrder.emptyMainService</t>
        </is>
      </c>
      <c r="B842" s="27" t="inlineStr">
        <is>
          <t>Không tìm thấy mã dịch vụ</t>
        </is>
      </c>
      <c r="C842" s="27" t="inlineStr">
        <is>
          <t>Service code not found</t>
        </is>
      </c>
      <c r="D842" s="21" t="inlineStr">
        <is>
          <t>មិនរកឃើញលេខកូដសេវាកម្ម</t>
        </is>
      </c>
      <c r="E842" s="102" t="inlineStr">
        <is>
          <t>មិនអាចស្វែងរកឃើញលេខកូដសេវាកម្ម</t>
        </is>
      </c>
      <c r="F842" s="10" t="n"/>
      <c r="G842" s="10" t="inlineStr">
        <is>
          <t>មិនអាចស្វែងរកឃើញលេខកូដសេវាកម្ម</t>
        </is>
      </c>
      <c r="H842" s="10" t="inlineStr">
        <is>
          <t>មិនអាចស្វែងរកឃើញលេខកូដសេវាកម្ម</t>
        </is>
      </c>
      <c r="I842" s="10" t="n"/>
      <c r="J842" s="10" t="n"/>
      <c r="K842" s="10" t="inlineStr">
        <is>
          <t>"modifyOrder.emptyMainService": "មិនអាចស្វែងរកឃើញលេខកូដសេវាកម្ម",</t>
        </is>
      </c>
      <c r="L842" s="10" t="n"/>
      <c r="M842" s="10" t="n"/>
      <c r="N842" s="10" t="n"/>
      <c r="O842" s="10" t="n"/>
      <c r="P842" s="10" t="n"/>
      <c r="Q842" s="10" t="n"/>
      <c r="R842" s="10" t="n"/>
      <c r="S842" s="10" t="n"/>
      <c r="T842" s="10" t="n"/>
      <c r="U842" s="10" t="n"/>
      <c r="V842" s="10" t="n"/>
      <c r="W842" s="10" t="n"/>
      <c r="X842" s="10" t="n"/>
      <c r="Y842" s="10" t="n"/>
      <c r="Z842" s="10" t="n"/>
    </row>
    <row r="843">
      <c r="A843" s="27" t="inlineStr">
        <is>
          <t>modifyOrder.emptyPricing</t>
        </is>
      </c>
      <c r="B843" s="27" t="inlineStr">
        <is>
          <t>Không tìm thấy giá</t>
        </is>
      </c>
      <c r="C843" s="27" t="inlineStr">
        <is>
          <t>Pricing not found</t>
        </is>
      </c>
      <c r="D843" s="21" t="inlineStr">
        <is>
          <t>មិនអាចស្វែងរកតម្លៃបាន</t>
        </is>
      </c>
      <c r="E843" s="102" t="inlineStr">
        <is>
          <t>មិនអាចស្វែងរកឃើញតម្លៃ</t>
        </is>
      </c>
      <c r="F843" s="10" t="n"/>
      <c r="G843" s="10" t="inlineStr">
        <is>
          <t>មិនអាចស្វែងរកឃើញតម្លៃ</t>
        </is>
      </c>
      <c r="H843" s="10" t="inlineStr">
        <is>
          <t>មិនអាចស្វែងរកឃើញតម្លៃ</t>
        </is>
      </c>
      <c r="I843" s="10" t="n"/>
      <c r="J843" s="10" t="n"/>
      <c r="K843" s="10" t="inlineStr">
        <is>
          <t>"modifyOrder.emptyPricing": "មិនអាចស្វែងរកឃើញតម្លៃ",</t>
        </is>
      </c>
      <c r="L843" s="10" t="n"/>
      <c r="M843" s="10" t="n"/>
      <c r="N843" s="10" t="n"/>
      <c r="O843" s="10" t="n"/>
      <c r="P843" s="10" t="n"/>
      <c r="Q843" s="10" t="n"/>
      <c r="R843" s="10" t="n"/>
      <c r="S843" s="10" t="n"/>
      <c r="T843" s="10" t="n"/>
      <c r="U843" s="10" t="n"/>
      <c r="V843" s="10" t="n"/>
      <c r="W843" s="10" t="n"/>
      <c r="X843" s="10" t="n"/>
      <c r="Y843" s="10" t="n"/>
      <c r="Z843" s="10" t="n"/>
    </row>
    <row r="844">
      <c r="A844" s="27" t="inlineStr">
        <is>
          <t>address.provinceMM</t>
        </is>
      </c>
      <c r="B844" s="27" t="inlineStr">
        <is>
          <t>Liên bang/Vùng</t>
        </is>
      </c>
      <c r="C844" s="27" t="inlineStr">
        <is>
          <t>Region</t>
        </is>
      </c>
      <c r="D844" s="21" t="inlineStr">
        <is>
          <t>សហព័ន្ធ/តំបន់</t>
        </is>
      </c>
      <c r="E844" s="102" t="inlineStr">
        <is>
          <t>សហព័ន្ធ/តំបន់</t>
        </is>
      </c>
      <c r="F844" s="10" t="n"/>
      <c r="G844" s="10" t="inlineStr">
        <is>
          <t>សហព័ន្ធ/តំបន់</t>
        </is>
      </c>
      <c r="H844" s="10" t="inlineStr">
        <is>
          <t>សហព័ន្ធ/តំបន់</t>
        </is>
      </c>
      <c r="I844" s="10" t="n"/>
      <c r="J844" s="10" t="n"/>
      <c r="K844" s="10" t="inlineStr">
        <is>
          <t>"address.provinceMM": "សហព័ន្ធ/តំបន់",</t>
        </is>
      </c>
      <c r="L844" s="10" t="n"/>
      <c r="M844" s="10" t="n"/>
      <c r="N844" s="10" t="n"/>
      <c r="O844" s="10" t="n"/>
      <c r="P844" s="10" t="n"/>
      <c r="Q844" s="10" t="n"/>
      <c r="R844" s="10" t="n"/>
      <c r="S844" s="10" t="n"/>
      <c r="T844" s="10" t="n"/>
      <c r="U844" s="10" t="n"/>
      <c r="V844" s="10" t="n"/>
      <c r="W844" s="10" t="n"/>
      <c r="X844" s="10" t="n"/>
      <c r="Y844" s="10" t="n"/>
      <c r="Z844" s="10" t="n"/>
    </row>
    <row r="845">
      <c r="A845" s="27" t="inlineStr">
        <is>
          <t>address.districtMM</t>
        </is>
      </c>
      <c r="B845" s="27" t="inlineStr">
        <is>
          <t>Huyện</t>
        </is>
      </c>
      <c r="C845" s="27" t="inlineStr">
        <is>
          <t>District</t>
        </is>
      </c>
      <c r="D845" s="21" t="inlineStr">
        <is>
          <t>ស្រុក</t>
        </is>
      </c>
      <c r="E845" s="102" t="inlineStr">
        <is>
          <t>ស្រុក</t>
        </is>
      </c>
      <c r="F845" s="10" t="n"/>
      <c r="G845" s="10" t="inlineStr">
        <is>
          <t>ស្រុក</t>
        </is>
      </c>
      <c r="H845" s="10" t="inlineStr">
        <is>
          <t>ស្រុក</t>
        </is>
      </c>
      <c r="I845" s="10" t="n"/>
      <c r="J845" s="10" t="n"/>
      <c r="K845" s="10" t="inlineStr">
        <is>
          <t>"address.districtMM": "ស្រុក",</t>
        </is>
      </c>
      <c r="L845" s="10" t="n"/>
      <c r="M845" s="10" t="n"/>
      <c r="N845" s="10" t="n"/>
      <c r="O845" s="10" t="n"/>
      <c r="P845" s="10" t="n"/>
      <c r="Q845" s="10" t="n"/>
      <c r="R845" s="10" t="n"/>
      <c r="S845" s="10" t="n"/>
      <c r="T845" s="10" t="n"/>
      <c r="U845" s="10" t="n"/>
      <c r="V845" s="10" t="n"/>
      <c r="W845" s="10" t="n"/>
      <c r="X845" s="10" t="n"/>
      <c r="Y845" s="10" t="n"/>
      <c r="Z845" s="10" t="n"/>
    </row>
    <row r="846">
      <c r="A846" s="27" t="inlineStr">
        <is>
          <t>address.wardMM</t>
        </is>
      </c>
      <c r="B846" s="27" t="inlineStr">
        <is>
          <t>Thị trấn</t>
        </is>
      </c>
      <c r="C846" s="27" t="inlineStr">
        <is>
          <t>Ward</t>
        </is>
      </c>
      <c r="D846" s="21" t="inlineStr">
        <is>
          <t>ទីរួមខេត្ត</t>
        </is>
      </c>
      <c r="E846" s="102" t="inlineStr">
        <is>
          <t>ឃុំ</t>
        </is>
      </c>
      <c r="F846" s="10" t="n"/>
      <c r="G846" s="10" t="inlineStr">
        <is>
          <t>ឃុំ</t>
        </is>
      </c>
      <c r="H846" s="10" t="inlineStr">
        <is>
          <t>ឃុំ</t>
        </is>
      </c>
      <c r="I846" s="10" t="n"/>
      <c r="J846" s="10" t="n"/>
      <c r="K846" s="10" t="inlineStr">
        <is>
          <t>"address.wardMM": "ឃុំ",</t>
        </is>
      </c>
      <c r="L846" s="10" t="n"/>
      <c r="M846" s="10" t="n"/>
      <c r="N846" s="10" t="n"/>
      <c r="O846" s="10" t="n"/>
      <c r="P846" s="10" t="n"/>
      <c r="Q846" s="10" t="n"/>
      <c r="R846" s="10" t="n"/>
      <c r="S846" s="10" t="n"/>
      <c r="T846" s="10" t="n"/>
      <c r="U846" s="10" t="n"/>
      <c r="V846" s="10" t="n"/>
      <c r="W846" s="10" t="n"/>
      <c r="X846" s="10" t="n"/>
      <c r="Y846" s="10" t="n"/>
      <c r="Z846" s="10" t="n"/>
    </row>
    <row r="847">
      <c r="A847" s="27" t="inlineStr">
        <is>
          <t>address.provincePlaceholderMM</t>
        </is>
      </c>
      <c r="B847" s="27" t="inlineStr">
        <is>
          <t>Chọn liên bang/Vùng</t>
        </is>
      </c>
      <c r="C847" s="27" t="inlineStr">
        <is>
          <t>Select region</t>
        </is>
      </c>
      <c r="D847" s="21" t="inlineStr">
        <is>
          <t>ជ្រើសរើសសហព័ន្ធ/តំបន់</t>
        </is>
      </c>
      <c r="E847" s="21" t="inlineStr">
        <is>
          <t>ជ្រើសរើសសហព័ន្ធ/តំបន់</t>
        </is>
      </c>
      <c r="F847" s="10" t="n"/>
      <c r="G847" s="10" t="inlineStr">
        <is>
          <t>ជ្រើសរើសសហព័ន្ធ/តំបន់</t>
        </is>
      </c>
      <c r="H847" s="10" t="inlineStr">
        <is>
          <t>ជ្រើសរើសសហព័ន្ធ/តំបន់</t>
        </is>
      </c>
      <c r="I847" s="10" t="n"/>
      <c r="J847" s="10" t="n"/>
      <c r="K847" s="10" t="inlineStr">
        <is>
          <t>"address.provincePlaceholderMM": "ជ្រើសរើសសហព័ន្ធ/តំបន់",</t>
        </is>
      </c>
      <c r="L847" s="10" t="n"/>
      <c r="M847" s="10" t="n"/>
      <c r="N847" s="10" t="n"/>
      <c r="O847" s="10" t="n"/>
      <c r="P847" s="10" t="n"/>
      <c r="Q847" s="10" t="n"/>
      <c r="R847" s="10" t="n"/>
      <c r="S847" s="10" t="n"/>
      <c r="T847" s="10" t="n"/>
      <c r="U847" s="10" t="n"/>
      <c r="V847" s="10" t="n"/>
      <c r="W847" s="10" t="n"/>
      <c r="X847" s="10" t="n"/>
      <c r="Y847" s="10" t="n"/>
      <c r="Z847" s="10" t="n"/>
    </row>
    <row r="848">
      <c r="A848" s="27" t="inlineStr">
        <is>
          <t>address.districtPlaceholderMM</t>
        </is>
      </c>
      <c r="B848" s="27" t="inlineStr">
        <is>
          <t>Chọn huyện</t>
        </is>
      </c>
      <c r="C848" s="27" t="inlineStr">
        <is>
          <t>Select district</t>
        </is>
      </c>
      <c r="D848" s="21" t="inlineStr">
        <is>
          <t>ជ្រើសរើសស្រុក</t>
        </is>
      </c>
      <c r="E848" s="102" t="inlineStr">
        <is>
          <t>ជ្រើសរើសស្រុក</t>
        </is>
      </c>
      <c r="F848" s="10" t="n"/>
      <c r="G848" s="10" t="inlineStr">
        <is>
          <t>ជ្រើសរើសស្រុក</t>
        </is>
      </c>
      <c r="H848" s="10" t="inlineStr">
        <is>
          <t>ជ្រើសរើសស្រុក</t>
        </is>
      </c>
      <c r="I848" s="10" t="n"/>
      <c r="J848" s="10" t="n"/>
      <c r="K848" s="10" t="inlineStr">
        <is>
          <t>"address.districtPlaceholderMM": "ជ្រើសរើសស្រុក",</t>
        </is>
      </c>
      <c r="L848" s="10" t="n"/>
      <c r="M848" s="10" t="n"/>
      <c r="N848" s="10" t="n"/>
      <c r="O848" s="10" t="n"/>
      <c r="P848" s="10" t="n"/>
      <c r="Q848" s="10" t="n"/>
      <c r="R848" s="10" t="n"/>
      <c r="S848" s="10" t="n"/>
      <c r="T848" s="10" t="n"/>
      <c r="U848" s="10" t="n"/>
      <c r="V848" s="10" t="n"/>
      <c r="W848" s="10" t="n"/>
      <c r="X848" s="10" t="n"/>
      <c r="Y848" s="10" t="n"/>
      <c r="Z848" s="10" t="n"/>
    </row>
    <row r="849">
      <c r="A849" s="27" t="inlineStr">
        <is>
          <t>address.wardPlaceholderMM</t>
        </is>
      </c>
      <c r="B849" s="27" t="inlineStr">
        <is>
          <t>Chọn thị trấn</t>
        </is>
      </c>
      <c r="C849" s="27" t="inlineStr">
        <is>
          <t>Select ward</t>
        </is>
      </c>
      <c r="D849" s="21" t="inlineStr">
        <is>
          <t>ជ្រើសរើសទីរួមខេត្ត</t>
        </is>
      </c>
      <c r="E849" s="24" t="inlineStr">
        <is>
          <t>ជ្រើសរើសឃុំ</t>
        </is>
      </c>
      <c r="F849" s="10" t="n"/>
      <c r="G849" s="10" t="inlineStr">
        <is>
          <t>ជ្រើសរើសឃុំ</t>
        </is>
      </c>
      <c r="H849" s="10" t="inlineStr">
        <is>
          <t>ជ្រើសរើសឃុំ</t>
        </is>
      </c>
      <c r="I849" s="10" t="n"/>
      <c r="J849" s="10" t="n"/>
      <c r="K849" s="10" t="inlineStr">
        <is>
          <t>"address.wardPlaceholderMM": "ជ្រើសរើសឃុំ",</t>
        </is>
      </c>
      <c r="L849" s="10" t="n"/>
      <c r="M849" s="10" t="n"/>
      <c r="N849" s="10" t="n"/>
      <c r="O849" s="10" t="n"/>
      <c r="P849" s="10" t="n"/>
      <c r="Q849" s="10" t="n"/>
      <c r="R849" s="10" t="n"/>
      <c r="S849" s="10" t="n"/>
      <c r="T849" s="10" t="n"/>
      <c r="U849" s="10" t="n"/>
      <c r="V849" s="10" t="n"/>
      <c r="W849" s="10" t="n"/>
      <c r="X849" s="10" t="n"/>
      <c r="Y849" s="10" t="n"/>
      <c r="Z849" s="10" t="n"/>
    </row>
    <row r="850">
      <c r="A850" s="27" t="inlineStr">
        <is>
          <t>address.provinceKH</t>
        </is>
      </c>
      <c r="B850" s="27" t="inlineStr">
        <is>
          <t>Tỉnh</t>
        </is>
      </c>
      <c r="C850" s="27" t="inlineStr">
        <is>
          <t>Province</t>
        </is>
      </c>
      <c r="D850" s="21" t="inlineStr">
        <is>
          <t>ខេត្ត</t>
        </is>
      </c>
      <c r="E850" s="102" t="inlineStr">
        <is>
          <t>ខេត្ត</t>
        </is>
      </c>
      <c r="F850" s="10" t="n"/>
      <c r="G850" s="10" t="inlineStr">
        <is>
          <t>ខេត្ត</t>
        </is>
      </c>
      <c r="H850" s="10" t="inlineStr">
        <is>
          <t>ខេត្ត</t>
        </is>
      </c>
      <c r="I850" s="10" t="n"/>
      <c r="J850" s="10" t="n"/>
      <c r="K850" s="10" t="inlineStr">
        <is>
          <t>"address.provinceKH": "ខេត្ត",</t>
        </is>
      </c>
      <c r="L850" s="10" t="n"/>
      <c r="M850" s="10" t="n"/>
      <c r="N850" s="10" t="n"/>
      <c r="O850" s="10" t="n"/>
      <c r="P850" s="10" t="n"/>
      <c r="Q850" s="10" t="n"/>
      <c r="R850" s="10" t="n"/>
      <c r="S850" s="10" t="n"/>
      <c r="T850" s="10" t="n"/>
      <c r="U850" s="10" t="n"/>
      <c r="V850" s="10" t="n"/>
      <c r="W850" s="10" t="n"/>
      <c r="X850" s="10" t="n"/>
      <c r="Y850" s="10" t="n"/>
      <c r="Z850" s="10" t="n"/>
    </row>
    <row r="851">
      <c r="A851" s="27" t="inlineStr">
        <is>
          <t>address.districtKH</t>
        </is>
      </c>
      <c r="B851" s="27" t="inlineStr">
        <is>
          <t>Huyện</t>
        </is>
      </c>
      <c r="C851" s="27" t="inlineStr">
        <is>
          <t>District</t>
        </is>
      </c>
      <c r="D851" s="102" t="inlineStr">
        <is>
          <t>ស្រុក</t>
        </is>
      </c>
      <c r="E851" s="102" t="inlineStr">
        <is>
          <t>ស្រុក</t>
        </is>
      </c>
      <c r="F851" s="10" t="n"/>
      <c r="G851" s="10" t="inlineStr">
        <is>
          <t>ស្រុក</t>
        </is>
      </c>
      <c r="H851" s="10" t="inlineStr">
        <is>
          <t>ស្រុក</t>
        </is>
      </c>
      <c r="I851" s="10" t="n"/>
      <c r="J851" s="10" t="n"/>
      <c r="K851" s="10" t="inlineStr">
        <is>
          <t>"address.districtKH": "ស្រុក",</t>
        </is>
      </c>
      <c r="L851" s="10" t="n"/>
      <c r="M851" s="10" t="n"/>
      <c r="N851" s="10" t="n"/>
      <c r="O851" s="10" t="n"/>
      <c r="P851" s="10" t="n"/>
      <c r="Q851" s="10" t="n"/>
      <c r="R851" s="10" t="n"/>
      <c r="S851" s="10" t="n"/>
      <c r="T851" s="10" t="n"/>
      <c r="U851" s="10" t="n"/>
      <c r="V851" s="10" t="n"/>
      <c r="W851" s="10" t="n"/>
      <c r="X851" s="10" t="n"/>
      <c r="Y851" s="10" t="n"/>
      <c r="Z851" s="10" t="n"/>
    </row>
    <row r="852">
      <c r="A852" s="27" t="inlineStr">
        <is>
          <t>address.wardKH</t>
        </is>
      </c>
      <c r="B852" s="27" t="inlineStr">
        <is>
          <t>Xã</t>
        </is>
      </c>
      <c r="C852" s="27" t="inlineStr">
        <is>
          <t>Commune</t>
        </is>
      </c>
      <c r="D852" s="21" t="inlineStr">
        <is>
          <t>ឃុំ</t>
        </is>
      </c>
      <c r="E852" s="102" t="inlineStr">
        <is>
          <t>ឃុំ</t>
        </is>
      </c>
      <c r="F852" s="10" t="n"/>
      <c r="G852" s="10" t="inlineStr">
        <is>
          <t>ឃុំ</t>
        </is>
      </c>
      <c r="H852" s="10" t="inlineStr">
        <is>
          <t>ឃុំ</t>
        </is>
      </c>
      <c r="I852" s="10" t="n"/>
      <c r="J852" s="10" t="n"/>
      <c r="K852" s="10" t="inlineStr">
        <is>
          <t>"address.wardKH": "ឃុំ",</t>
        </is>
      </c>
      <c r="L852" s="10" t="n"/>
      <c r="M852" s="10" t="n"/>
      <c r="N852" s="10" t="n"/>
      <c r="O852" s="10" t="n"/>
      <c r="P852" s="10" t="n"/>
      <c r="Q852" s="10" t="n"/>
      <c r="R852" s="10" t="n"/>
      <c r="S852" s="10" t="n"/>
      <c r="T852" s="10" t="n"/>
      <c r="U852" s="10" t="n"/>
      <c r="V852" s="10" t="n"/>
      <c r="W852" s="10" t="n"/>
      <c r="X852" s="10" t="n"/>
      <c r="Y852" s="10" t="n"/>
      <c r="Z852" s="10" t="n"/>
    </row>
    <row r="853">
      <c r="A853" s="27" t="inlineStr">
        <is>
          <t>address.provincePlaceholderKH</t>
        </is>
      </c>
      <c r="B853" s="27" t="inlineStr">
        <is>
          <t>Chọn tỉnh</t>
        </is>
      </c>
      <c r="C853" s="27" t="inlineStr">
        <is>
          <t>Select province</t>
        </is>
      </c>
      <c r="D853" s="21" t="inlineStr">
        <is>
          <t>ជ្រើសរើសខេត្ត</t>
        </is>
      </c>
      <c r="E853" s="102" t="inlineStr">
        <is>
          <t>ជ្រើសរើសខេត្ត</t>
        </is>
      </c>
      <c r="F853" s="10" t="n"/>
      <c r="G853" s="10" t="inlineStr">
        <is>
          <t>ជ្រើសរើសខេត្ត</t>
        </is>
      </c>
      <c r="H853" s="10" t="inlineStr">
        <is>
          <t>ជ្រើសរើសខេត្ត</t>
        </is>
      </c>
      <c r="I853" s="10" t="n"/>
      <c r="J853" s="10" t="n"/>
      <c r="K853" s="10" t="inlineStr">
        <is>
          <t>"address.provincePlaceholderKH": "ជ្រើសរើសខេត្ត",</t>
        </is>
      </c>
      <c r="L853" s="10" t="n"/>
      <c r="M853" s="10" t="n"/>
      <c r="N853" s="10" t="n"/>
      <c r="O853" s="10" t="n"/>
      <c r="P853" s="10" t="n"/>
      <c r="Q853" s="10" t="n"/>
      <c r="R853" s="10" t="n"/>
      <c r="S853" s="10" t="n"/>
      <c r="T853" s="10" t="n"/>
      <c r="U853" s="10" t="n"/>
      <c r="V853" s="10" t="n"/>
      <c r="W853" s="10" t="n"/>
      <c r="X853" s="10" t="n"/>
      <c r="Y853" s="10" t="n"/>
      <c r="Z853" s="10" t="n"/>
    </row>
    <row r="854">
      <c r="A854" s="27" t="inlineStr">
        <is>
          <t>address.districtPlaceholderKH</t>
        </is>
      </c>
      <c r="B854" s="27" t="inlineStr">
        <is>
          <t>Chọn huyện</t>
        </is>
      </c>
      <c r="C854" s="27" t="inlineStr">
        <is>
          <t>Select district</t>
        </is>
      </c>
      <c r="D854" s="21" t="inlineStr">
        <is>
          <t>ជ្រើសរើសស្រុក</t>
        </is>
      </c>
      <c r="E854" s="102" t="inlineStr">
        <is>
          <t>ជ្រើសរើសស្រុក</t>
        </is>
      </c>
      <c r="F854" s="10" t="n"/>
      <c r="G854" s="10" t="inlineStr">
        <is>
          <t>ជ្រើសរើសស្រុក</t>
        </is>
      </c>
      <c r="H854" s="10" t="inlineStr">
        <is>
          <t>ជ្រើសរើសស្រុក</t>
        </is>
      </c>
      <c r="I854" s="10" t="n"/>
      <c r="J854" s="10" t="n"/>
      <c r="K854" s="10" t="inlineStr">
        <is>
          <t>"address.districtPlaceholderKH": "ជ្រើសរើសស្រុក",</t>
        </is>
      </c>
      <c r="L854" s="10" t="n"/>
      <c r="M854" s="10" t="n"/>
      <c r="N854" s="10" t="n"/>
      <c r="O854" s="10" t="n"/>
      <c r="P854" s="10" t="n"/>
      <c r="Q854" s="10" t="n"/>
      <c r="R854" s="10" t="n"/>
      <c r="S854" s="10" t="n"/>
      <c r="T854" s="10" t="n"/>
      <c r="U854" s="10" t="n"/>
      <c r="V854" s="10" t="n"/>
      <c r="W854" s="10" t="n"/>
      <c r="X854" s="10" t="n"/>
      <c r="Y854" s="10" t="n"/>
      <c r="Z854" s="10" t="n"/>
    </row>
    <row r="855">
      <c r="A855" s="27" t="inlineStr">
        <is>
          <t>address.wardPlaceholderKH</t>
        </is>
      </c>
      <c r="B855" s="27" t="inlineStr">
        <is>
          <t>Chọn xã</t>
        </is>
      </c>
      <c r="C855" s="27" t="inlineStr">
        <is>
          <t>Select commune</t>
        </is>
      </c>
      <c r="D855" s="21" t="inlineStr">
        <is>
          <t>ជ្រើសរើសឃុំ</t>
        </is>
      </c>
      <c r="E855" s="102" t="inlineStr">
        <is>
          <t>ជ្រើសរើសឃុំ</t>
        </is>
      </c>
      <c r="F855" s="10" t="n"/>
      <c r="G855" s="10" t="inlineStr">
        <is>
          <t>ជ្រើសរើសឃុំ</t>
        </is>
      </c>
      <c r="H855" s="10" t="inlineStr">
        <is>
          <t>ជ្រើសរើសឃុំ</t>
        </is>
      </c>
      <c r="I855" s="10" t="n"/>
      <c r="J855" s="10" t="n"/>
      <c r="K855" s="10" t="inlineStr">
        <is>
          <t>"address.wardPlaceholderKH": "ជ្រើសរើសឃុំ",</t>
        </is>
      </c>
      <c r="L855" s="10" t="n"/>
      <c r="M855" s="10" t="n"/>
      <c r="N855" s="10" t="n"/>
      <c r="O855" s="10" t="n"/>
      <c r="P855" s="10" t="n"/>
      <c r="Q855" s="10" t="n"/>
      <c r="R855" s="10" t="n"/>
      <c r="S855" s="10" t="n"/>
      <c r="T855" s="10" t="n"/>
      <c r="U855" s="10" t="n"/>
      <c r="V855" s="10" t="n"/>
      <c r="W855" s="10" t="n"/>
      <c r="X855" s="10" t="n"/>
      <c r="Y855" s="10" t="n"/>
      <c r="Z855" s="10" t="n"/>
    </row>
    <row r="856">
      <c r="A856" s="27" t="inlineStr">
        <is>
          <t>address.provinceLA</t>
        </is>
      </c>
      <c r="B856" s="27" t="inlineStr">
        <is>
          <t>Tỉnh</t>
        </is>
      </c>
      <c r="C856" s="27" t="inlineStr">
        <is>
          <t>Province</t>
        </is>
      </c>
      <c r="D856" s="21" t="inlineStr">
        <is>
          <t>ខេត្ត</t>
        </is>
      </c>
      <c r="E856" s="102" t="inlineStr">
        <is>
          <t>ខេត្ត</t>
        </is>
      </c>
      <c r="F856" s="10" t="n"/>
      <c r="G856" s="10" t="inlineStr">
        <is>
          <t>ខេត្ត</t>
        </is>
      </c>
      <c r="H856" s="10" t="inlineStr">
        <is>
          <t>ខេត្ត</t>
        </is>
      </c>
      <c r="I856" s="10" t="n"/>
      <c r="J856" s="10" t="n"/>
      <c r="K856" s="10" t="inlineStr">
        <is>
          <t>"address.provinceLA": "ខេត្ត",</t>
        </is>
      </c>
      <c r="L856" s="10" t="n"/>
      <c r="M856" s="10" t="n"/>
      <c r="N856" s="10" t="n"/>
      <c r="O856" s="10" t="n"/>
      <c r="P856" s="10" t="n"/>
      <c r="Q856" s="10" t="n"/>
      <c r="R856" s="10" t="n"/>
      <c r="S856" s="10" t="n"/>
      <c r="T856" s="10" t="n"/>
      <c r="U856" s="10" t="n"/>
      <c r="V856" s="10" t="n"/>
      <c r="W856" s="10" t="n"/>
      <c r="X856" s="10" t="n"/>
      <c r="Y856" s="10" t="n"/>
      <c r="Z856" s="10" t="n"/>
    </row>
    <row r="857">
      <c r="A857" s="27" t="inlineStr">
        <is>
          <t>address.districtLA</t>
        </is>
      </c>
      <c r="B857" s="27" t="inlineStr">
        <is>
          <t>Mường</t>
        </is>
      </c>
      <c r="C857" s="27" t="inlineStr">
        <is>
          <t>District</t>
        </is>
      </c>
      <c r="D857" s="21" t="n"/>
      <c r="E857" s="102" t="inlineStr">
        <is>
          <t>ស្រុក</t>
        </is>
      </c>
      <c r="F857" s="10" t="n"/>
      <c r="G857" s="10" t="inlineStr">
        <is>
          <t>ស្រុក</t>
        </is>
      </c>
      <c r="H857" s="10" t="inlineStr">
        <is>
          <t>ស្រុក</t>
        </is>
      </c>
      <c r="I857" s="10" t="n"/>
      <c r="J857" s="10" t="n"/>
      <c r="K857" s="10" t="inlineStr">
        <is>
          <t>"address.districtLA": "ស្រុក",</t>
        </is>
      </c>
      <c r="L857" s="10" t="n"/>
      <c r="M857" s="10" t="n"/>
      <c r="N857" s="10" t="n"/>
      <c r="O857" s="10" t="n"/>
      <c r="P857" s="10" t="n"/>
      <c r="Q857" s="10" t="n"/>
      <c r="R857" s="10" t="n"/>
      <c r="S857" s="10" t="n"/>
      <c r="T857" s="10" t="n"/>
      <c r="U857" s="10" t="n"/>
      <c r="V857" s="10" t="n"/>
      <c r="W857" s="10" t="n"/>
      <c r="X857" s="10" t="n"/>
      <c r="Y857" s="10" t="n"/>
      <c r="Z857" s="10" t="n"/>
    </row>
    <row r="858">
      <c r="A858" s="27" t="inlineStr">
        <is>
          <t>address.wardLA</t>
        </is>
      </c>
      <c r="B858" s="27" t="inlineStr">
        <is>
          <t>Xã</t>
        </is>
      </c>
      <c r="C858" s="27" t="inlineStr">
        <is>
          <t>Village</t>
        </is>
      </c>
      <c r="D858" s="21" t="inlineStr">
        <is>
          <t>ឃុំ</t>
        </is>
      </c>
      <c r="E858" s="102" t="inlineStr">
        <is>
          <t>ឃុំ</t>
        </is>
      </c>
      <c r="F858" s="10" t="n"/>
      <c r="G858" s="10" t="inlineStr">
        <is>
          <t>ឃុំ</t>
        </is>
      </c>
      <c r="H858" s="10" t="inlineStr">
        <is>
          <t>ឃុំ</t>
        </is>
      </c>
      <c r="I858" s="10" t="n"/>
      <c r="J858" s="10" t="n"/>
      <c r="K858" s="10" t="inlineStr">
        <is>
          <t>"address.wardLA": "ឃុំ",</t>
        </is>
      </c>
      <c r="L858" s="10" t="n"/>
      <c r="M858" s="10" t="n"/>
      <c r="N858" s="10" t="n"/>
      <c r="O858" s="10" t="n"/>
      <c r="P858" s="10" t="n"/>
      <c r="Q858" s="10" t="n"/>
      <c r="R858" s="10" t="n"/>
      <c r="S858" s="10" t="n"/>
      <c r="T858" s="10" t="n"/>
      <c r="U858" s="10" t="n"/>
      <c r="V858" s="10" t="n"/>
      <c r="W858" s="10" t="n"/>
      <c r="X858" s="10" t="n"/>
      <c r="Y858" s="10" t="n"/>
      <c r="Z858" s="10" t="n"/>
    </row>
    <row r="859">
      <c r="A859" s="27" t="inlineStr">
        <is>
          <t>address.provincePlaceholderLA</t>
        </is>
      </c>
      <c r="B859" s="27" t="inlineStr">
        <is>
          <t>Chọn tỉnh</t>
        </is>
      </c>
      <c r="C859" s="27" t="inlineStr">
        <is>
          <t>Select province</t>
        </is>
      </c>
      <c r="D859" s="21" t="inlineStr">
        <is>
          <t>ជ្រើសរើសខេត្ត</t>
        </is>
      </c>
      <c r="E859" s="102" t="inlineStr">
        <is>
          <t>ជ្រើសរើសខេត្ត</t>
        </is>
      </c>
      <c r="F859" s="10" t="n"/>
      <c r="G859" s="10" t="inlineStr">
        <is>
          <t>ជ្រើសរើសខេត្ត</t>
        </is>
      </c>
      <c r="H859" s="10" t="inlineStr">
        <is>
          <t>ជ្រើសរើសខេត្ត</t>
        </is>
      </c>
      <c r="I859" s="10" t="n"/>
      <c r="J859" s="10" t="n"/>
      <c r="K859" s="10" t="inlineStr">
        <is>
          <t>"address.provincePlaceholderLA": "ជ្រើសរើសខេត្ត",</t>
        </is>
      </c>
      <c r="L859" s="10" t="n"/>
      <c r="M859" s="10" t="n"/>
      <c r="N859" s="10" t="n"/>
      <c r="O859" s="10" t="n"/>
      <c r="P859" s="10" t="n"/>
      <c r="Q859" s="10" t="n"/>
      <c r="R859" s="10" t="n"/>
      <c r="S859" s="10" t="n"/>
      <c r="T859" s="10" t="n"/>
      <c r="U859" s="10" t="n"/>
      <c r="V859" s="10" t="n"/>
      <c r="W859" s="10" t="n"/>
      <c r="X859" s="10" t="n"/>
      <c r="Y859" s="10" t="n"/>
      <c r="Z859" s="10" t="n"/>
    </row>
    <row r="860">
      <c r="A860" s="27" t="inlineStr">
        <is>
          <t>address.districtPlaceholderLA</t>
        </is>
      </c>
      <c r="B860" s="27" t="inlineStr">
        <is>
          <t>Chọn mường</t>
        </is>
      </c>
      <c r="C860" s="27" t="inlineStr">
        <is>
          <t>Select district</t>
        </is>
      </c>
      <c r="D860" s="21" t="n"/>
      <c r="E860" s="102" t="inlineStr">
        <is>
          <t>ជ្រើសរើសស្រុក</t>
        </is>
      </c>
      <c r="F860" s="10" t="n"/>
      <c r="G860" s="10" t="inlineStr">
        <is>
          <t>ជ្រើសរើសស្រុក</t>
        </is>
      </c>
      <c r="H860" s="10" t="inlineStr">
        <is>
          <t>ជ្រើសរើសស្រុក</t>
        </is>
      </c>
      <c r="I860" s="10" t="n"/>
      <c r="J860" s="10" t="n"/>
      <c r="K860" s="10" t="inlineStr">
        <is>
          <t>"address.districtPlaceholderLA": "ជ្រើសរើសស្រុក",</t>
        </is>
      </c>
      <c r="L860" s="10" t="n"/>
      <c r="M860" s="10" t="n"/>
      <c r="N860" s="10" t="n"/>
      <c r="O860" s="10" t="n"/>
      <c r="P860" s="10" t="n"/>
      <c r="Q860" s="10" t="n"/>
      <c r="R860" s="10" t="n"/>
      <c r="S860" s="10" t="n"/>
      <c r="T860" s="10" t="n"/>
      <c r="U860" s="10" t="n"/>
      <c r="V860" s="10" t="n"/>
      <c r="W860" s="10" t="n"/>
      <c r="X860" s="10" t="n"/>
      <c r="Y860" s="10" t="n"/>
      <c r="Z860" s="10" t="n"/>
    </row>
    <row r="861">
      <c r="A861" s="27" t="inlineStr">
        <is>
          <t>address.wardPlaceholderLA</t>
        </is>
      </c>
      <c r="B861" s="27" t="inlineStr">
        <is>
          <t>Chọn xã</t>
        </is>
      </c>
      <c r="C861" s="27" t="inlineStr">
        <is>
          <t>Select village</t>
        </is>
      </c>
      <c r="D861" s="21" t="inlineStr">
        <is>
          <t>ជ្រើសរើសឃុំ</t>
        </is>
      </c>
      <c r="E861" s="102" t="inlineStr">
        <is>
          <t>ជ្រើសរើសឃុំ</t>
        </is>
      </c>
      <c r="F861" s="10" t="n"/>
      <c r="G861" s="10" t="inlineStr">
        <is>
          <t>ជ្រើសរើសឃុំ</t>
        </is>
      </c>
      <c r="H861" s="10" t="inlineStr">
        <is>
          <t>ជ្រើសរើសឃុំ</t>
        </is>
      </c>
      <c r="I861" s="10" t="n"/>
      <c r="J861" s="10" t="n"/>
      <c r="K861" s="10" t="inlineStr">
        <is>
          <t>"address.wardPlaceholderLA": "ជ្រើសរើសឃុំ",</t>
        </is>
      </c>
      <c r="L861" s="10" t="n"/>
      <c r="M861" s="10" t="n"/>
      <c r="N861" s="10" t="n"/>
      <c r="O861" s="10" t="n"/>
      <c r="P861" s="10" t="n"/>
      <c r="Q861" s="10" t="n"/>
      <c r="R861" s="10" t="n"/>
      <c r="S861" s="10" t="n"/>
      <c r="T861" s="10" t="n"/>
      <c r="U861" s="10" t="n"/>
      <c r="V861" s="10" t="n"/>
      <c r="W861" s="10" t="n"/>
      <c r="X861" s="10" t="n"/>
      <c r="Y861" s="10" t="n"/>
      <c r="Z861" s="10" t="n"/>
    </row>
    <row r="862">
      <c r="A862" s="27" t="inlineStr">
        <is>
          <t>orderStatusReport.selectDate</t>
        </is>
      </c>
      <c r="B862" s="27" t="inlineStr">
        <is>
          <t>Chọn ngày</t>
        </is>
      </c>
      <c r="C862" s="27" t="inlineStr">
        <is>
          <t>Select time</t>
        </is>
      </c>
      <c r="D862" s="21" t="inlineStr">
        <is>
          <t>ជ្រើសរើសថ្ងៃ</t>
        </is>
      </c>
      <c r="E862" s="102" t="inlineStr">
        <is>
          <t>ជ្រើសរើសថ្ងៃ</t>
        </is>
      </c>
      <c r="F862" s="10" t="n"/>
      <c r="G862" s="10" t="inlineStr">
        <is>
          <t>ជ្រើសរើសថ្ងៃ</t>
        </is>
      </c>
      <c r="H862" s="10" t="inlineStr">
        <is>
          <t>ជ្រើសរើសថ្ងៃ</t>
        </is>
      </c>
      <c r="I862" s="10" t="n"/>
      <c r="J862" s="10" t="n"/>
      <c r="K862" s="10" t="inlineStr">
        <is>
          <t>"orderStatusReport.selectDate": "ជ្រើសរើសថ្ងៃ",</t>
        </is>
      </c>
      <c r="L862" s="10" t="n"/>
      <c r="M862" s="10" t="n"/>
      <c r="N862" s="10" t="n"/>
      <c r="O862" s="10" t="n"/>
      <c r="P862" s="10" t="n"/>
      <c r="Q862" s="10" t="n"/>
      <c r="R862" s="10" t="n"/>
      <c r="S862" s="10" t="n"/>
      <c r="T862" s="10" t="n"/>
      <c r="U862" s="10" t="n"/>
      <c r="V862" s="10" t="n"/>
      <c r="W862" s="10" t="n"/>
      <c r="X862" s="10" t="n"/>
      <c r="Y862" s="10" t="n"/>
      <c r="Z862" s="10" t="n"/>
    </row>
    <row r="863">
      <c r="A863" s="27" t="inlineStr">
        <is>
          <t>orderStatusReport.fromDate</t>
        </is>
      </c>
      <c r="B863" s="27" t="inlineStr">
        <is>
          <t>Từ ngày</t>
        </is>
      </c>
      <c r="C863" s="27" t="inlineStr">
        <is>
          <t>From date</t>
        </is>
      </c>
      <c r="D863" s="21" t="inlineStr">
        <is>
          <t>ចាប់ពីថ្ងៃ</t>
        </is>
      </c>
      <c r="E863" s="102" t="inlineStr">
        <is>
          <t>ចាប់ពីថ្ងៃ</t>
        </is>
      </c>
      <c r="F863" s="10" t="n"/>
      <c r="G863" s="10" t="inlineStr">
        <is>
          <t>ចាប់ពីថ្ងៃ</t>
        </is>
      </c>
      <c r="H863" s="10" t="inlineStr">
        <is>
          <t>ចាប់ពីថ្ងៃ</t>
        </is>
      </c>
      <c r="I863" s="10" t="n"/>
      <c r="J863" s="10" t="n"/>
      <c r="K863" s="10" t="inlineStr">
        <is>
          <t>"orderStatusReport.fromDate": "ចាប់ពីថ្ងៃ",</t>
        </is>
      </c>
      <c r="L863" s="10" t="n"/>
      <c r="M863" s="10" t="n"/>
      <c r="N863" s="10" t="n"/>
      <c r="O863" s="10" t="n"/>
      <c r="P863" s="10" t="n"/>
      <c r="Q863" s="10" t="n"/>
      <c r="R863" s="10" t="n"/>
      <c r="S863" s="10" t="n"/>
      <c r="T863" s="10" t="n"/>
      <c r="U863" s="10" t="n"/>
      <c r="V863" s="10" t="n"/>
      <c r="W863" s="10" t="n"/>
      <c r="X863" s="10" t="n"/>
      <c r="Y863" s="10" t="n"/>
      <c r="Z863" s="10" t="n"/>
    </row>
    <row r="864">
      <c r="A864" s="27" t="inlineStr">
        <is>
          <t>orderStatusReport.toDate</t>
        </is>
      </c>
      <c r="B864" s="27" t="inlineStr">
        <is>
          <t>Đến ngày</t>
        </is>
      </c>
      <c r="C864" s="27" t="inlineStr">
        <is>
          <t>To date</t>
        </is>
      </c>
      <c r="D864" s="21" t="inlineStr">
        <is>
          <t>មកដល់ថ្ងៃ</t>
        </is>
      </c>
      <c r="E864" s="102" t="inlineStr">
        <is>
          <t>រហូតដល់ថ្ងៃ</t>
        </is>
      </c>
      <c r="F864" s="10" t="n"/>
      <c r="G864" s="10" t="inlineStr">
        <is>
          <t>រហូតដល់ថ្ងៃ</t>
        </is>
      </c>
      <c r="H864" s="10" t="inlineStr">
        <is>
          <t>រហូតដល់ថ្ងៃ</t>
        </is>
      </c>
      <c r="I864" s="10" t="n"/>
      <c r="J864" s="10" t="n"/>
      <c r="K864" s="10" t="inlineStr">
        <is>
          <t>"orderStatusReport.toDate": "រហូតដល់ថ្ងៃ",</t>
        </is>
      </c>
      <c r="L864" s="10" t="n"/>
      <c r="M864" s="10" t="n"/>
      <c r="N864" s="10" t="n"/>
      <c r="O864" s="10" t="n"/>
      <c r="P864" s="10" t="n"/>
      <c r="Q864" s="10" t="n"/>
      <c r="R864" s="10" t="n"/>
      <c r="S864" s="10" t="n"/>
      <c r="T864" s="10" t="n"/>
      <c r="U864" s="10" t="n"/>
      <c r="V864" s="10" t="n"/>
      <c r="W864" s="10" t="n"/>
      <c r="X864" s="10" t="n"/>
      <c r="Y864" s="10" t="n"/>
      <c r="Z864" s="10" t="n"/>
    </row>
    <row r="865">
      <c r="A865" s="27" t="inlineStr">
        <is>
          <t>orderStatusReport.filterbranch</t>
        </is>
      </c>
      <c r="B865" s="27" t="inlineStr">
        <is>
          <t>Chọn chi nhánh</t>
        </is>
      </c>
      <c r="C865" s="27" t="inlineStr">
        <is>
          <t>Select branch</t>
        </is>
      </c>
      <c r="D865" s="21" t="inlineStr">
        <is>
          <t>ជ្រើសរើសសាខា</t>
        </is>
      </c>
      <c r="E865" s="102" t="inlineStr">
        <is>
          <t>ជ្រើសរើសសាខា</t>
        </is>
      </c>
      <c r="F865" s="10" t="n"/>
      <c r="G865" s="10" t="inlineStr">
        <is>
          <t>ជ្រើសរើសសាខា</t>
        </is>
      </c>
      <c r="H865" s="10" t="inlineStr">
        <is>
          <t>ជ្រើសរើសសាខា</t>
        </is>
      </c>
      <c r="I865" s="10" t="n"/>
      <c r="J865" s="10" t="n"/>
      <c r="K865" s="10" t="inlineStr">
        <is>
          <t>"orderStatusReport.filterbranch": "ជ្រើសរើសសាខា",</t>
        </is>
      </c>
      <c r="L865" s="10" t="n"/>
      <c r="M865" s="10" t="n"/>
      <c r="N865" s="10" t="n"/>
      <c r="O865" s="10" t="n"/>
      <c r="P865" s="10" t="n"/>
      <c r="Q865" s="10" t="n"/>
      <c r="R865" s="10" t="n"/>
      <c r="S865" s="10" t="n"/>
      <c r="T865" s="10" t="n"/>
      <c r="U865" s="10" t="n"/>
      <c r="V865" s="10" t="n"/>
      <c r="W865" s="10" t="n"/>
      <c r="X865" s="10" t="n"/>
      <c r="Y865" s="10" t="n"/>
      <c r="Z865" s="10" t="n"/>
    </row>
    <row r="866">
      <c r="A866" s="27" t="inlineStr">
        <is>
          <t>orderStatusReport.selectPostOffice</t>
        </is>
      </c>
      <c r="B866" s="27" t="inlineStr">
        <is>
          <t>Chọn bưu cục</t>
        </is>
      </c>
      <c r="C866" s="27" t="inlineStr">
        <is>
          <t>Select post office</t>
        </is>
      </c>
      <c r="D866" s="21" t="inlineStr">
        <is>
          <t>ជ្រើសរើសការិយាល័យបប្រៃសណីយ៍</t>
        </is>
      </c>
      <c r="E866" s="102" t="inlineStr">
        <is>
          <t>ជ្រើសរើសការិយាល័យប្រៃសណីយ៍</t>
        </is>
      </c>
      <c r="F866" s="10" t="n"/>
      <c r="G866" s="10" t="inlineStr">
        <is>
          <t>ជ្រើសរើសការិយាល័យប្រៃសណីយ៍</t>
        </is>
      </c>
      <c r="H866" s="10" t="inlineStr">
        <is>
          <t>ជ្រើសរើសការិយាល័យប្រៃសណីយ៍</t>
        </is>
      </c>
      <c r="I866" s="10" t="n"/>
      <c r="J866" s="10" t="n"/>
      <c r="K866" s="10" t="inlineStr">
        <is>
          <t>"orderStatusReport.selectPostOffice": "ជ្រើសរើសការិយាល័យប្រៃសណីយ៍",</t>
        </is>
      </c>
      <c r="L866" s="10" t="n"/>
      <c r="M866" s="10" t="n"/>
      <c r="N866" s="10" t="n"/>
      <c r="O866" s="10" t="n"/>
      <c r="P866" s="10" t="n"/>
      <c r="Q866" s="10" t="n"/>
      <c r="R866" s="10" t="n"/>
      <c r="S866" s="10" t="n"/>
      <c r="T866" s="10" t="n"/>
      <c r="U866" s="10" t="n"/>
      <c r="V866" s="10" t="n"/>
      <c r="W866" s="10" t="n"/>
      <c r="X866" s="10" t="n"/>
      <c r="Y866" s="10" t="n"/>
      <c r="Z866" s="10" t="n"/>
    </row>
    <row r="867">
      <c r="A867" s="27" t="inlineStr">
        <is>
          <t>orderStatusReport.exportSumary</t>
        </is>
      </c>
      <c r="B867" s="27" t="inlineStr">
        <is>
          <t>Xuất tổng hợp</t>
        </is>
      </c>
      <c r="C867" s="27" t="inlineStr">
        <is>
          <t>Export summary report</t>
        </is>
      </c>
      <c r="D867" s="21" t="n"/>
      <c r="E867" s="102" t="inlineStr">
        <is>
          <t>ចេញជាសរុប</t>
        </is>
      </c>
      <c r="F867" s="10" t="n"/>
      <c r="G867" s="10" t="inlineStr">
        <is>
          <t>ចេញជាសរុប</t>
        </is>
      </c>
      <c r="H867" s="10" t="inlineStr">
        <is>
          <t>ចេញជាសរុប</t>
        </is>
      </c>
      <c r="I867" s="10" t="n"/>
      <c r="J867" s="10" t="n"/>
      <c r="K867" s="10" t="inlineStr">
        <is>
          <t>"orderStatusReport.exportSumary": "ចេញជាសរុប",</t>
        </is>
      </c>
      <c r="L867" s="10" t="n"/>
      <c r="M867" s="10" t="n"/>
      <c r="N867" s="10" t="n"/>
      <c r="O867" s="10" t="n"/>
      <c r="P867" s="10" t="n"/>
      <c r="Q867" s="10" t="n"/>
      <c r="R867" s="10" t="n"/>
      <c r="S867" s="10" t="n"/>
      <c r="T867" s="10" t="n"/>
      <c r="U867" s="10" t="n"/>
      <c r="V867" s="10" t="n"/>
      <c r="W867" s="10" t="n"/>
      <c r="X867" s="10" t="n"/>
      <c r="Y867" s="10" t="n"/>
      <c r="Z867" s="10" t="n"/>
    </row>
    <row r="868">
      <c r="A868" s="27" t="inlineStr">
        <is>
          <t>orderStatusReport.exportDetail</t>
        </is>
      </c>
      <c r="B868" s="27" t="inlineStr">
        <is>
          <t>Xuất chi tiết</t>
        </is>
      </c>
      <c r="C868" s="27" t="inlineStr">
        <is>
          <t>Export detail report</t>
        </is>
      </c>
      <c r="D868" s="21" t="inlineStr">
        <is>
          <t>ចេញលម្អិត</t>
        </is>
      </c>
      <c r="E868" s="102" t="inlineStr">
        <is>
          <t>ចេញជាលម្អិត</t>
        </is>
      </c>
      <c r="F868" s="10" t="n"/>
      <c r="G868" s="10" t="inlineStr">
        <is>
          <t>ចេញជាលម្អិត</t>
        </is>
      </c>
      <c r="H868" s="10" t="inlineStr">
        <is>
          <t>ចេញជាលម្អិត</t>
        </is>
      </c>
      <c r="I868" s="10" t="n"/>
      <c r="J868" s="10" t="n"/>
      <c r="K868" s="10" t="inlineStr">
        <is>
          <t>"orderStatusReport.exportDetail": "ចេញជាលម្អិត",</t>
        </is>
      </c>
      <c r="L868" s="10" t="n"/>
      <c r="M868" s="10" t="n"/>
      <c r="N868" s="10" t="n"/>
      <c r="O868" s="10" t="n"/>
      <c r="P868" s="10" t="n"/>
      <c r="Q868" s="10" t="n"/>
      <c r="R868" s="10" t="n"/>
      <c r="S868" s="10" t="n"/>
      <c r="T868" s="10" t="n"/>
      <c r="U868" s="10" t="n"/>
      <c r="V868" s="10" t="n"/>
      <c r="W868" s="10" t="n"/>
      <c r="X868" s="10" t="n"/>
      <c r="Y868" s="10" t="n"/>
      <c r="Z868" s="10" t="n"/>
    </row>
    <row r="869">
      <c r="A869" s="27" t="inlineStr">
        <is>
          <t>orderStatusReport.branch</t>
        </is>
      </c>
      <c r="B869" s="27" t="inlineStr">
        <is>
          <t>Chi nhánh</t>
        </is>
      </c>
      <c r="C869" s="27" t="inlineStr">
        <is>
          <t>Branch</t>
        </is>
      </c>
      <c r="D869" s="21" t="inlineStr">
        <is>
          <t>សាខា</t>
        </is>
      </c>
      <c r="E869" s="102" t="inlineStr">
        <is>
          <t>សាខា</t>
        </is>
      </c>
      <c r="F869" s="10" t="n"/>
      <c r="G869" s="10" t="inlineStr">
        <is>
          <t>សាខា</t>
        </is>
      </c>
      <c r="H869" s="10" t="inlineStr">
        <is>
          <t>សាខា</t>
        </is>
      </c>
      <c r="I869" s="10" t="n"/>
      <c r="J869" s="10" t="n"/>
      <c r="K869" s="10" t="inlineStr">
        <is>
          <t>"orderStatusReport.branch": "សាខា",</t>
        </is>
      </c>
      <c r="L869" s="10" t="n"/>
      <c r="M869" s="10" t="n"/>
      <c r="N869" s="10" t="n"/>
      <c r="O869" s="10" t="n"/>
      <c r="P869" s="10" t="n"/>
      <c r="Q869" s="10" t="n"/>
      <c r="R869" s="10" t="n"/>
      <c r="S869" s="10" t="n"/>
      <c r="T869" s="10" t="n"/>
      <c r="U869" s="10" t="n"/>
      <c r="V869" s="10" t="n"/>
      <c r="W869" s="10" t="n"/>
      <c r="X869" s="10" t="n"/>
      <c r="Y869" s="10" t="n"/>
      <c r="Z869" s="10" t="n"/>
    </row>
    <row r="870">
      <c r="A870" s="27" t="inlineStr">
        <is>
          <t>orderStatusReport.department</t>
        </is>
      </c>
      <c r="B870" s="27" t="inlineStr">
        <is>
          <t>Bưu cục</t>
        </is>
      </c>
      <c r="C870" s="27" t="inlineStr">
        <is>
          <t>Post office</t>
        </is>
      </c>
      <c r="D870" s="21" t="inlineStr">
        <is>
          <t>ការិយាល័យប្រៃសណីយ៍</t>
        </is>
      </c>
      <c r="E870" s="102" t="inlineStr">
        <is>
          <t>ការិយាល័យប្រៃសណីយ៍</t>
        </is>
      </c>
      <c r="F870" s="10" t="n"/>
      <c r="G870" s="10" t="inlineStr">
        <is>
          <t>ការិយាល័យប្រៃសណីយ៍</t>
        </is>
      </c>
      <c r="H870" s="10" t="inlineStr">
        <is>
          <t>ការិយាល័យប្រៃសណីយ៍</t>
        </is>
      </c>
      <c r="I870" s="10" t="n"/>
      <c r="J870" s="10" t="n"/>
      <c r="K870" s="10" t="inlineStr">
        <is>
          <t>"orderStatusReport.department": "ការិយាល័យប្រៃសណីយ៍",</t>
        </is>
      </c>
      <c r="L870" s="10" t="n"/>
      <c r="M870" s="10" t="n"/>
      <c r="N870" s="10" t="n"/>
      <c r="O870" s="10" t="n"/>
      <c r="P870" s="10" t="n"/>
      <c r="Q870" s="10" t="n"/>
      <c r="R870" s="10" t="n"/>
      <c r="S870" s="10" t="n"/>
      <c r="T870" s="10" t="n"/>
      <c r="U870" s="10" t="n"/>
      <c r="V870" s="10" t="n"/>
      <c r="W870" s="10" t="n"/>
      <c r="X870" s="10" t="n"/>
      <c r="Y870" s="10" t="n"/>
      <c r="Z870" s="10" t="n"/>
    </row>
    <row r="871">
      <c r="A871" s="27" t="inlineStr">
        <is>
          <t>orderStatusReport.route</t>
        </is>
      </c>
      <c r="B871" s="27" t="inlineStr">
        <is>
          <t>Tuyến</t>
        </is>
      </c>
      <c r="C871" s="27" t="inlineStr">
        <is>
          <t>Route</t>
        </is>
      </c>
      <c r="D871" s="21" t="inlineStr">
        <is>
          <t>ផ្លូវដឹក</t>
        </is>
      </c>
      <c r="E871" s="102" t="inlineStr">
        <is>
          <t>ផ្លូវដឹក</t>
        </is>
      </c>
      <c r="F871" s="10" t="n"/>
      <c r="G871" s="10" t="inlineStr">
        <is>
          <t>ផ្លូវដឹក</t>
        </is>
      </c>
      <c r="H871" s="10" t="inlineStr">
        <is>
          <t>ផ្លូវដឹក</t>
        </is>
      </c>
      <c r="I871" s="10" t="n"/>
      <c r="J871" s="10" t="n"/>
      <c r="K871" s="10" t="inlineStr">
        <is>
          <t>"orderStatusReport.route": "ផ្លូវដឹក",</t>
        </is>
      </c>
      <c r="L871" s="10" t="n"/>
      <c r="M871" s="10" t="n"/>
      <c r="N871" s="10" t="n"/>
      <c r="O871" s="10" t="n"/>
      <c r="P871" s="10" t="n"/>
      <c r="Q871" s="10" t="n"/>
      <c r="R871" s="10" t="n"/>
      <c r="S871" s="10" t="n"/>
      <c r="T871" s="10" t="n"/>
      <c r="U871" s="10" t="n"/>
      <c r="V871" s="10" t="n"/>
      <c r="W871" s="10" t="n"/>
      <c r="X871" s="10" t="n"/>
      <c r="Y871" s="10" t="n"/>
      <c r="Z871" s="10" t="n"/>
    </row>
    <row r="872">
      <c r="A872" s="27" t="inlineStr">
        <is>
          <t>orderStatusReport.receiving</t>
        </is>
      </c>
      <c r="B872" s="27" t="inlineStr">
        <is>
          <t>Khâu nhận</t>
        </is>
      </c>
      <c r="C872" s="27" t="inlineStr">
        <is>
          <t>First-mile</t>
        </is>
      </c>
      <c r="D872" s="21" t="inlineStr">
        <is>
          <t>ចំណុចទទួល</t>
        </is>
      </c>
      <c r="E872" s="102" t="inlineStr">
        <is>
          <t>ដំណាក់កាលទទួល</t>
        </is>
      </c>
      <c r="F872" s="10" t="n"/>
      <c r="G872" s="10" t="inlineStr">
        <is>
          <t>ដំណាក់កាលទទួល</t>
        </is>
      </c>
      <c r="H872" s="10" t="inlineStr">
        <is>
          <t>ដំណាក់កាលទទួល</t>
        </is>
      </c>
      <c r="I872" s="10" t="n"/>
      <c r="J872" s="10" t="n"/>
      <c r="K872" s="10" t="inlineStr">
        <is>
          <t>"orderStatusReport.receiving": "ដំណាក់កាលទទួល",</t>
        </is>
      </c>
      <c r="L872" s="10" t="n"/>
      <c r="M872" s="10" t="n"/>
      <c r="N872" s="10" t="n"/>
      <c r="O872" s="10" t="n"/>
      <c r="P872" s="10" t="n"/>
      <c r="Q872" s="10" t="n"/>
      <c r="R872" s="10" t="n"/>
      <c r="S872" s="10" t="n"/>
      <c r="T872" s="10" t="n"/>
      <c r="U872" s="10" t="n"/>
      <c r="V872" s="10" t="n"/>
      <c r="W872" s="10" t="n"/>
      <c r="X872" s="10" t="n"/>
      <c r="Y872" s="10" t="n"/>
      <c r="Z872" s="10" t="n"/>
    </row>
    <row r="873">
      <c r="A873" s="27" t="inlineStr">
        <is>
          <t>orderStatusReport.transit</t>
        </is>
      </c>
      <c r="B873" s="27" t="inlineStr">
        <is>
          <t>Khâu trung chuyển</t>
        </is>
      </c>
      <c r="C873" s="27" t="inlineStr">
        <is>
          <t>Middle-mile</t>
        </is>
      </c>
      <c r="D873" s="21" t="inlineStr">
        <is>
          <t>ចំណុចកណ្តាល</t>
        </is>
      </c>
      <c r="E873" s="102" t="inlineStr">
        <is>
          <t>ដំណាក់កាលកណ្តាល</t>
        </is>
      </c>
      <c r="F873" s="10" t="n"/>
      <c r="G873" s="10" t="inlineStr">
        <is>
          <t>ដំណាក់កាលកណ្តាល</t>
        </is>
      </c>
      <c r="H873" s="10" t="inlineStr">
        <is>
          <t>ដំណាក់កាលកណ្តាល</t>
        </is>
      </c>
      <c r="I873" s="10" t="n"/>
      <c r="J873" s="10" t="n"/>
      <c r="K873" s="10" t="inlineStr">
        <is>
          <t>"orderStatusReport.transit": "ដំណាក់កាលកណ្តាល",</t>
        </is>
      </c>
      <c r="L873" s="10" t="n"/>
      <c r="M873" s="10" t="n"/>
      <c r="N873" s="10" t="n"/>
      <c r="O873" s="10" t="n"/>
      <c r="P873" s="10" t="n"/>
      <c r="Q873" s="10" t="n"/>
      <c r="R873" s="10" t="n"/>
      <c r="S873" s="10" t="n"/>
      <c r="T873" s="10" t="n"/>
      <c r="U873" s="10" t="n"/>
      <c r="V873" s="10" t="n"/>
      <c r="W873" s="10" t="n"/>
      <c r="X873" s="10" t="n"/>
      <c r="Y873" s="10" t="n"/>
      <c r="Z873" s="10" t="n"/>
    </row>
    <row r="874">
      <c r="A874" s="27" t="inlineStr">
        <is>
          <t>orderStatusReport.delivery</t>
        </is>
      </c>
      <c r="B874" s="27" t="inlineStr">
        <is>
          <t>Khâu phát</t>
        </is>
      </c>
      <c r="C874" s="27" t="inlineStr">
        <is>
          <t>Last-mile</t>
        </is>
      </c>
      <c r="D874" s="21" t="inlineStr">
        <is>
          <t>ចំណុចចែកចាយ</t>
        </is>
      </c>
      <c r="E874" s="102" t="inlineStr">
        <is>
          <t>ដំណាក់កាលចែកចាយប្រគល់</t>
        </is>
      </c>
      <c r="F874" s="10" t="n"/>
      <c r="G874" s="10" t="inlineStr">
        <is>
          <t>ដំណាក់កាលចែកចាយប្រគល់</t>
        </is>
      </c>
      <c r="H874" s="10" t="inlineStr">
        <is>
          <t>ដំណាក់កាលចែកចាយប្រគល់</t>
        </is>
      </c>
      <c r="I874" s="10" t="n"/>
      <c r="J874" s="10" t="n"/>
      <c r="K874" s="10" t="inlineStr">
        <is>
          <t>"orderStatusReport.delivery": "ដំណាក់កាលចែកចាយប្រគល់",</t>
        </is>
      </c>
      <c r="L874" s="10" t="n"/>
      <c r="M874" s="10" t="n"/>
      <c r="N874" s="10" t="n"/>
      <c r="O874" s="10" t="n"/>
      <c r="P874" s="10" t="n"/>
      <c r="Q874" s="10" t="n"/>
      <c r="R874" s="10" t="n"/>
      <c r="S874" s="10" t="n"/>
      <c r="T874" s="10" t="n"/>
      <c r="U874" s="10" t="n"/>
      <c r="V874" s="10" t="n"/>
      <c r="W874" s="10" t="n"/>
      <c r="X874" s="10" t="n"/>
      <c r="Y874" s="10" t="n"/>
      <c r="Z874" s="10" t="n"/>
    </row>
    <row r="875">
      <c r="A875" s="27" t="inlineStr">
        <is>
          <t>orderStatusReport.totalOrder</t>
        </is>
      </c>
      <c r="B875" s="27" t="inlineStr">
        <is>
          <t>Tổng đơn</t>
        </is>
      </c>
      <c r="C875" s="27" t="inlineStr">
        <is>
          <t>Total number of order</t>
        </is>
      </c>
      <c r="D875" s="21" t="inlineStr">
        <is>
          <t>សរុបបុងបញ្ញើ</t>
        </is>
      </c>
      <c r="E875" s="102" t="inlineStr">
        <is>
          <t>សរុុបបុងបញ្ញើ</t>
        </is>
      </c>
      <c r="F875" s="10" t="n"/>
      <c r="G875" s="10" t="inlineStr">
        <is>
          <t>សរុុបបុងបញ្ញើ</t>
        </is>
      </c>
      <c r="H875" s="10" t="inlineStr">
        <is>
          <t>សរុុបបុងបញ្ញើ</t>
        </is>
      </c>
      <c r="I875" s="10" t="n"/>
      <c r="J875" s="10" t="n"/>
      <c r="K875" s="10" t="inlineStr">
        <is>
          <t>"orderStatusReport.totalOrder": "សរុុបបុងបញ្ញើ",</t>
        </is>
      </c>
      <c r="L875" s="10" t="n"/>
      <c r="M875" s="10" t="n"/>
      <c r="N875" s="10" t="n"/>
      <c r="O875" s="10" t="n"/>
      <c r="P875" s="10" t="n"/>
      <c r="Q875" s="10" t="n"/>
      <c r="R875" s="10" t="n"/>
      <c r="S875" s="10" t="n"/>
      <c r="T875" s="10" t="n"/>
      <c r="U875" s="10" t="n"/>
      <c r="V875" s="10" t="n"/>
      <c r="W875" s="10" t="n"/>
      <c r="X875" s="10" t="n"/>
      <c r="Y875" s="10" t="n"/>
      <c r="Z875" s="10" t="n"/>
    </row>
    <row r="876">
      <c r="A876" s="27" t="inlineStr">
        <is>
          <t>orderStatusReport.totalFee</t>
        </is>
      </c>
      <c r="B876" s="27" t="inlineStr">
        <is>
          <t>Tổng cước</t>
        </is>
      </c>
      <c r="C876" s="27" t="inlineStr">
        <is>
          <t>Total fee</t>
        </is>
      </c>
      <c r="D876" s="21" t="inlineStr">
        <is>
          <t>សរុបថ្លៃសេវា</t>
        </is>
      </c>
      <c r="E876" s="102" t="inlineStr">
        <is>
          <t>សរុបថ្លៃសេវា</t>
        </is>
      </c>
      <c r="F876" s="10" t="n"/>
      <c r="G876" s="10" t="inlineStr">
        <is>
          <t>ថ្លៃដឹកជញ្ជូនសរុប</t>
        </is>
      </c>
      <c r="H876" s="10" t="inlineStr">
        <is>
          <t>ថ្លៃដឹកជញ្ជូនសរុប</t>
        </is>
      </c>
      <c r="I876" s="10" t="n"/>
      <c r="J876" s="10" t="n"/>
      <c r="K876" s="10" t="inlineStr">
        <is>
          <t>"orderStatusReport.totalFee": "ថ្លៃដឹកជញ្ជូនសរុប",</t>
        </is>
      </c>
      <c r="L876" s="10" t="n"/>
      <c r="M876" s="10" t="n"/>
      <c r="N876" s="10" t="n"/>
      <c r="O876" s="10" t="n"/>
      <c r="P876" s="10" t="n"/>
      <c r="Q876" s="10" t="n"/>
      <c r="R876" s="10" t="n"/>
      <c r="S876" s="10" t="n"/>
      <c r="T876" s="10" t="n"/>
      <c r="U876" s="10" t="n"/>
      <c r="V876" s="10" t="n"/>
      <c r="W876" s="10" t="n"/>
      <c r="X876" s="10" t="n"/>
      <c r="Y876" s="10" t="n"/>
      <c r="Z876" s="10" t="n"/>
    </row>
    <row r="877">
      <c r="A877" s="27" t="inlineStr">
        <is>
          <t>orderStatusReport.cod</t>
        </is>
      </c>
      <c r="B877" s="27" t="inlineStr">
        <is>
          <t>COD</t>
        </is>
      </c>
      <c r="C877" s="27" t="inlineStr">
        <is>
          <t>COD</t>
        </is>
      </c>
      <c r="D877" s="21" t="inlineStr">
        <is>
          <t>COD</t>
        </is>
      </c>
      <c r="E877" s="102" t="inlineStr">
        <is>
          <t>COD</t>
        </is>
      </c>
      <c r="F877" s="10" t="n"/>
      <c r="G877" s="10" t="inlineStr">
        <is>
          <t>ប្រាក់ COD</t>
        </is>
      </c>
      <c r="H877" s="10" t="inlineStr">
        <is>
          <t>ប្រាក់ COD</t>
        </is>
      </c>
      <c r="I877" s="10" t="n"/>
      <c r="J877" s="10" t="n"/>
      <c r="K877" s="10" t="inlineStr">
        <is>
          <t>"orderStatusReport.cod": "ប្រាក់ COD",</t>
        </is>
      </c>
      <c r="L877" s="10" t="n"/>
      <c r="M877" s="10" t="n"/>
      <c r="N877" s="10" t="n"/>
      <c r="O877" s="10" t="n"/>
      <c r="P877" s="10" t="n"/>
      <c r="Q877" s="10" t="n"/>
      <c r="R877" s="10" t="n"/>
      <c r="S877" s="10" t="n"/>
      <c r="T877" s="10" t="n"/>
      <c r="U877" s="10" t="n"/>
      <c r="V877" s="10" t="n"/>
      <c r="W877" s="10" t="n"/>
      <c r="X877" s="10" t="n"/>
      <c r="Y877" s="10" t="n"/>
      <c r="Z877" s="10" t="n"/>
    </row>
    <row r="878">
      <c r="A878" s="27" t="inlineStr">
        <is>
          <t>orderStatusReport.exportSuccess</t>
        </is>
      </c>
      <c r="B878" s="27" t="inlineStr">
        <is>
          <t>Xuất excel thành công</t>
        </is>
      </c>
      <c r="C878" s="27" t="inlineStr">
        <is>
          <t>Export sucessfully</t>
        </is>
      </c>
      <c r="D878" s="21" t="inlineStr">
        <is>
          <t>ចេញពី Excelបានជោគជ័យ</t>
        </is>
      </c>
      <c r="E878" s="102" t="inlineStr">
        <is>
          <t>ចេញពី excel បានជោគជ័យ</t>
        </is>
      </c>
      <c r="F878" s="10" t="n"/>
      <c r="G878" s="10" t="inlineStr">
        <is>
          <t>ចេញពី excel បានជោគជ័យ</t>
        </is>
      </c>
      <c r="H878" s="10" t="inlineStr">
        <is>
          <t>ចេញពី excel បានជោគជ័យ</t>
        </is>
      </c>
      <c r="I878" s="10" t="n"/>
      <c r="J878" s="10" t="n"/>
      <c r="K878" s="10" t="inlineStr">
        <is>
          <t>"orderStatusReport.exportSuccess": "ចេញពី excel បានជោគជ័យ",</t>
        </is>
      </c>
      <c r="L878" s="10" t="n"/>
      <c r="M878" s="10" t="n"/>
      <c r="N878" s="10" t="n"/>
      <c r="O878" s="10" t="n"/>
      <c r="P878" s="10" t="n"/>
      <c r="Q878" s="10" t="n"/>
      <c r="R878" s="10" t="n"/>
      <c r="S878" s="10" t="n"/>
      <c r="T878" s="10" t="n"/>
      <c r="U878" s="10" t="n"/>
      <c r="V878" s="10" t="n"/>
      <c r="W878" s="10" t="n"/>
      <c r="X878" s="10" t="n"/>
      <c r="Y878" s="10" t="n"/>
      <c r="Z878" s="10" t="n"/>
    </row>
    <row r="879">
      <c r="A879" s="27" t="inlineStr">
        <is>
          <t>orderStatusReport.sumaryReport</t>
        </is>
      </c>
      <c r="B879" s="27" t="inlineStr">
        <is>
          <t>Bao cao tong hop don hang</t>
        </is>
      </c>
      <c r="C879" s="27" t="inlineStr">
        <is>
          <t>Summary report</t>
        </is>
      </c>
      <c r="D879" s="21" t="n"/>
      <c r="E879" s="102" t="inlineStr">
        <is>
          <t>របាយការណ៍សរុបបុងបញ្ញើ</t>
        </is>
      </c>
      <c r="F879" s="10" t="n"/>
      <c r="G879" s="10" t="inlineStr">
        <is>
          <t>របាយការណ៍សរុបបុងបញ្ញើ</t>
        </is>
      </c>
      <c r="H879" s="10" t="inlineStr">
        <is>
          <t>របាយការណ៍សរុបបុងបញ្ញើ</t>
        </is>
      </c>
      <c r="I879" s="10" t="n"/>
      <c r="J879" s="10" t="n"/>
      <c r="K879" s="10" t="inlineStr">
        <is>
          <t>"orderStatusReport.sumaryReport": "របាយការណ៍សរុបបុងបញ្ញើ",</t>
        </is>
      </c>
      <c r="L879" s="10" t="n"/>
      <c r="M879" s="10" t="n"/>
      <c r="N879" s="10" t="n"/>
      <c r="O879" s="10" t="n"/>
      <c r="P879" s="10" t="n"/>
      <c r="Q879" s="10" t="n"/>
      <c r="R879" s="10" t="n"/>
      <c r="S879" s="10" t="n"/>
      <c r="T879" s="10" t="n"/>
      <c r="U879" s="10" t="n"/>
      <c r="V879" s="10" t="n"/>
      <c r="W879" s="10" t="n"/>
      <c r="X879" s="10" t="n"/>
      <c r="Y879" s="10" t="n"/>
      <c r="Z879" s="10" t="n"/>
    </row>
    <row r="880">
      <c r="A880" s="36" t="inlineStr">
        <is>
          <t>orderStatusReport.orderStatusDetailReport</t>
        </is>
      </c>
      <c r="B880" s="36" t="inlineStr">
        <is>
          <t>Bao cao chi tiet don hang theo trang thai</t>
        </is>
      </c>
      <c r="C880" s="36" t="inlineStr">
        <is>
          <t>Order status detail report</t>
        </is>
      </c>
      <c r="D880" s="38" t="n"/>
      <c r="E880" s="91" t="inlineStr">
        <is>
          <t>របាយការណ៍លម្អិតបុងបញ្ញើតាមស្ថានភាព</t>
        </is>
      </c>
      <c r="F880" s="39" t="n"/>
      <c r="G880" s="39" t="inlineStr">
        <is>
          <t>របាយការណ៍លម្អិតបុងបញ្ញើតាមស្ថានភាព</t>
        </is>
      </c>
      <c r="H880" s="39" t="inlineStr">
        <is>
          <t>របាយការណ៍លម្អិតបុងបញ្ញើតាមស្ថានភាព</t>
        </is>
      </c>
      <c r="I880" s="39" t="n"/>
      <c r="J880" s="39" t="n"/>
      <c r="K880" s="39" t="inlineStr">
        <is>
          <t>"orderStatusReport.orderStatusDetailReport": "របាយការណ៍លម្អិតបុងបញ្ញើតាមស្ថានភាព",</t>
        </is>
      </c>
      <c r="L880" s="39" t="n"/>
      <c r="M880" s="39" t="n"/>
      <c r="N880" s="39" t="n"/>
      <c r="O880" s="39" t="n"/>
      <c r="P880" s="39" t="n"/>
      <c r="Q880" s="39" t="n"/>
      <c r="R880" s="39" t="n"/>
      <c r="S880" s="39" t="n"/>
      <c r="T880" s="39" t="n"/>
      <c r="U880" s="39" t="n"/>
      <c r="V880" s="39" t="n"/>
      <c r="W880" s="39" t="n"/>
      <c r="X880" s="39" t="n"/>
      <c r="Y880" s="39" t="n"/>
      <c r="Z880" s="39" t="n"/>
    </row>
    <row r="881">
      <c r="A881" s="40" t="inlineStr">
        <is>
          <t>packing.packageIncomplete</t>
        </is>
      </c>
      <c r="B881" s="46" t="inlineStr">
        <is>
          <t>Chưa đóng</t>
        </is>
      </c>
      <c r="C881" s="46" t="inlineStr">
        <is>
          <t>Incomplete</t>
        </is>
      </c>
      <c r="D881" s="43" t="n"/>
      <c r="E881" s="75" t="n"/>
      <c r="F881" s="75" t="n"/>
      <c r="G881" s="75" t="inlineStr">
        <is>
          <t>មិនទាន់ច្រកបាវ</t>
        </is>
      </c>
      <c r="H881" s="75" t="inlineStr">
        <is>
          <t>មិនទាន់ច្រកបាវ</t>
        </is>
      </c>
      <c r="I881" s="75" t="n"/>
      <c r="J881" s="75" t="n"/>
      <c r="K881" s="75" t="inlineStr">
        <is>
          <t>"packing.packageIncomplete": "មិនទាន់ច្រកបាវ",</t>
        </is>
      </c>
      <c r="L881" s="75" t="n"/>
      <c r="M881" s="75" t="n"/>
      <c r="N881" s="75" t="n"/>
      <c r="O881" s="75" t="n"/>
      <c r="P881" s="75" t="n"/>
      <c r="Q881" s="75" t="n"/>
      <c r="R881" s="75" t="n"/>
      <c r="S881" s="75" t="n"/>
      <c r="T881" s="75" t="n"/>
      <c r="U881" s="75" t="n"/>
      <c r="V881" s="75" t="n"/>
      <c r="W881" s="75" t="n"/>
      <c r="X881" s="75" t="n"/>
      <c r="Y881" s="75" t="n"/>
      <c r="Z881" s="45" t="n"/>
    </row>
    <row r="882">
      <c r="A882" s="40" t="inlineStr">
        <is>
          <t>packing.packageProgress</t>
        </is>
      </c>
      <c r="B882" s="46" t="inlineStr">
        <is>
          <t>Đang đóng</t>
        </is>
      </c>
      <c r="C882" s="46" t="inlineStr">
        <is>
          <t>Packup in progress</t>
        </is>
      </c>
      <c r="D882" s="43" t="n"/>
      <c r="E882" s="75" t="n"/>
      <c r="F882" s="75" t="n"/>
      <c r="G882" s="75" t="inlineStr">
        <is>
          <t>កំពុងច្រកបាវ</t>
        </is>
      </c>
      <c r="H882" s="75" t="inlineStr">
        <is>
          <t>កំពុងច្រកបាវ</t>
        </is>
      </c>
      <c r="I882" s="75" t="n"/>
      <c r="J882" s="75" t="n"/>
      <c r="K882" s="75" t="inlineStr">
        <is>
          <t>"packing.packageProgress": "កំពុងច្រកបាវ",</t>
        </is>
      </c>
      <c r="L882" s="75" t="n"/>
      <c r="M882" s="75" t="n"/>
      <c r="N882" s="75" t="n"/>
      <c r="O882" s="75" t="n"/>
      <c r="P882" s="75" t="n"/>
      <c r="Q882" s="75" t="n"/>
      <c r="R882" s="75" t="n"/>
      <c r="S882" s="75" t="n"/>
      <c r="T882" s="75" t="n"/>
      <c r="U882" s="75" t="n"/>
      <c r="V882" s="75" t="n"/>
      <c r="W882" s="75" t="n"/>
      <c r="X882" s="75" t="n"/>
      <c r="Y882" s="75" t="n"/>
      <c r="Z882" s="45" t="n"/>
    </row>
    <row r="883">
      <c r="A883" s="40" t="inlineStr">
        <is>
          <t>packing.packageComplete</t>
        </is>
      </c>
      <c r="B883" s="46" t="inlineStr">
        <is>
          <t>Đã đóng</t>
        </is>
      </c>
      <c r="C883" s="46" t="inlineStr">
        <is>
          <t>Packed</t>
        </is>
      </c>
      <c r="D883" s="43" t="n"/>
      <c r="E883" s="75" t="n"/>
      <c r="F883" s="75" t="n"/>
      <c r="G883" s="75" t="inlineStr">
        <is>
          <t>បានច្រកបាវរួចរាល់</t>
        </is>
      </c>
      <c r="H883" s="75" t="inlineStr">
        <is>
          <t>បានច្រកបាវរួចរាល់</t>
        </is>
      </c>
      <c r="I883" s="75" t="n"/>
      <c r="J883" s="75" t="n"/>
      <c r="K883" s="75" t="inlineStr">
        <is>
          <t>"packing.packageComplete": "បានច្រកបាវរួចរាល់",</t>
        </is>
      </c>
      <c r="L883" s="75" t="n"/>
      <c r="M883" s="75" t="n"/>
      <c r="N883" s="75" t="n"/>
      <c r="O883" s="75" t="n"/>
      <c r="P883" s="75" t="n"/>
      <c r="Q883" s="75" t="n"/>
      <c r="R883" s="75" t="n"/>
      <c r="S883" s="75" t="n"/>
      <c r="T883" s="75" t="n"/>
      <c r="U883" s="75" t="n"/>
      <c r="V883" s="75" t="n"/>
      <c r="W883" s="75" t="n"/>
      <c r="X883" s="75" t="n"/>
      <c r="Y883" s="75" t="n"/>
      <c r="Z883" s="45" t="n"/>
    </row>
    <row r="884">
      <c r="A884" s="40" t="inlineStr">
        <is>
          <t>packing.destination</t>
        </is>
      </c>
      <c r="B884" s="46" t="inlineStr">
        <is>
          <t>Điểm đến</t>
        </is>
      </c>
      <c r="C884" s="46" t="inlineStr">
        <is>
          <t>Destination</t>
        </is>
      </c>
      <c r="D884" s="43" t="inlineStr">
        <is>
          <t>ទីតាំងមកដល់</t>
        </is>
      </c>
      <c r="E884" s="75" t="n"/>
      <c r="F884" s="75" t="n"/>
      <c r="G884" s="75" t="inlineStr">
        <is>
          <t>គោលដៅ</t>
        </is>
      </c>
      <c r="H884" s="75" t="inlineStr">
        <is>
          <t>គោលដៅ</t>
        </is>
      </c>
      <c r="I884" s="75" t="n"/>
      <c r="J884" s="75" t="n"/>
      <c r="K884" s="75" t="inlineStr">
        <is>
          <t>"packing.destination": "គោលដៅ",</t>
        </is>
      </c>
      <c r="L884" s="75" t="n"/>
      <c r="M884" s="75" t="n"/>
      <c r="N884" s="75" t="n"/>
      <c r="O884" s="75" t="n"/>
      <c r="P884" s="75" t="n"/>
      <c r="Q884" s="75" t="n"/>
      <c r="R884" s="75" t="n"/>
      <c r="S884" s="75" t="n"/>
      <c r="T884" s="75" t="n"/>
      <c r="U884" s="75" t="n"/>
      <c r="V884" s="75" t="n"/>
      <c r="W884" s="75" t="n"/>
      <c r="X884" s="75" t="n"/>
      <c r="Y884" s="75" t="n"/>
      <c r="Z884" s="45" t="n"/>
    </row>
    <row r="885">
      <c r="A885" s="40" t="inlineStr">
        <is>
          <t>packing.detailDestination</t>
        </is>
      </c>
      <c r="B885" s="46" t="inlineStr">
        <is>
          <t>Chi tiết điểm đến</t>
        </is>
      </c>
      <c r="C885" s="46" t="inlineStr">
        <is>
          <t>Destination details</t>
        </is>
      </c>
      <c r="D885" s="43" t="inlineStr">
        <is>
          <t>លម្អិតកន្លែងមកដល់</t>
        </is>
      </c>
      <c r="E885" s="75" t="n"/>
      <c r="F885" s="75" t="n"/>
      <c r="G885" s="75" t="inlineStr">
        <is>
          <t>លម្អិតកន្លែងមកដល់</t>
        </is>
      </c>
      <c r="H885" s="75" t="inlineStr">
        <is>
          <t>លម្អិតកន្លែងមកដល់</t>
        </is>
      </c>
      <c r="I885" s="75" t="n"/>
      <c r="J885" s="75" t="n"/>
      <c r="K885" s="75" t="inlineStr">
        <is>
          <t>"packing.detailDestination": "លម្អិតកន្លែងមកដល់",</t>
        </is>
      </c>
      <c r="L885" s="75" t="n"/>
      <c r="M885" s="75" t="n"/>
      <c r="N885" s="75" t="n"/>
      <c r="O885" s="75" t="n"/>
      <c r="P885" s="75" t="n"/>
      <c r="Q885" s="75" t="n"/>
      <c r="R885" s="75" t="n"/>
      <c r="S885" s="75" t="n"/>
      <c r="T885" s="75" t="n"/>
      <c r="U885" s="75" t="n"/>
      <c r="V885" s="75" t="n"/>
      <c r="W885" s="75" t="n"/>
      <c r="X885" s="75" t="n"/>
      <c r="Y885" s="75" t="n"/>
      <c r="Z885" s="45" t="n"/>
    </row>
    <row r="886">
      <c r="A886" s="40" t="inlineStr">
        <is>
          <t>packing.enterDestination</t>
        </is>
      </c>
      <c r="B886" s="46" t="inlineStr">
        <is>
          <t>Nhập điểm đến</t>
        </is>
      </c>
      <c r="C886" s="46" t="inlineStr">
        <is>
          <t>Enter destination</t>
        </is>
      </c>
      <c r="D886" s="43" t="inlineStr">
        <is>
          <t>បញ្ចូលទីតាំងមកដល់</t>
        </is>
      </c>
      <c r="E886" s="75" t="n"/>
      <c r="F886" s="75" t="n"/>
      <c r="G886" s="75" t="inlineStr">
        <is>
          <t>បញ្ចូលទីតាំងមកដល់</t>
        </is>
      </c>
      <c r="H886" s="75" t="inlineStr">
        <is>
          <t>បញ្ចូលទីតាំងមកដល់</t>
        </is>
      </c>
      <c r="I886" s="75" t="n"/>
      <c r="J886" s="75" t="n"/>
      <c r="K886" s="75" t="inlineStr">
        <is>
          <t>"packing.enterDestination": "បញ្ចូលទីតាំងមកដល់",</t>
        </is>
      </c>
      <c r="L886" s="75" t="n"/>
      <c r="M886" s="75" t="n"/>
      <c r="N886" s="75" t="n"/>
      <c r="O886" s="75" t="n"/>
      <c r="P886" s="75" t="n"/>
      <c r="Q886" s="75" t="n"/>
      <c r="R886" s="75" t="n"/>
      <c r="S886" s="75" t="n"/>
      <c r="T886" s="75" t="n"/>
      <c r="U886" s="75" t="n"/>
      <c r="V886" s="75" t="n"/>
      <c r="W886" s="75" t="n"/>
      <c r="X886" s="75" t="n"/>
      <c r="Y886" s="75" t="n"/>
      <c r="Z886" s="45" t="n"/>
    </row>
    <row r="887">
      <c r="A887" s="40" t="inlineStr">
        <is>
          <t>packing.GOODS</t>
        </is>
      </c>
      <c r="B887" s="46" t="inlineStr">
        <is>
          <t>Hàng nhỏ</t>
        </is>
      </c>
      <c r="C887" s="46" t="inlineStr">
        <is>
          <t>Small-sized</t>
        </is>
      </c>
      <c r="D887" s="43" t="inlineStr">
        <is>
          <t>អីវ៉ាន់តូចៗ</t>
        </is>
      </c>
      <c r="E887" s="75" t="n"/>
      <c r="F887" s="75" t="n"/>
      <c r="G887" s="75" t="inlineStr">
        <is>
          <t>អីវ៉ាន់តូចៗ</t>
        </is>
      </c>
      <c r="H887" s="75" t="inlineStr">
        <is>
          <t>អីវ៉ាន់តូចៗ</t>
        </is>
      </c>
      <c r="I887" s="75" t="n"/>
      <c r="J887" s="75" t="n"/>
      <c r="K887" s="75" t="inlineStr">
        <is>
          <t>"packing.GOODS": "អីវ៉ាន់តូចៗ",</t>
        </is>
      </c>
      <c r="L887" s="75" t="n"/>
      <c r="M887" s="75" t="n"/>
      <c r="N887" s="75" t="n"/>
      <c r="O887" s="75" t="n"/>
      <c r="P887" s="75" t="n"/>
      <c r="Q887" s="75" t="n"/>
      <c r="R887" s="75" t="n"/>
      <c r="S887" s="75" t="n"/>
      <c r="T887" s="75" t="n"/>
      <c r="U887" s="75" t="n"/>
      <c r="V887" s="75" t="n"/>
      <c r="W887" s="75" t="n"/>
      <c r="X887" s="75" t="n"/>
      <c r="Y887" s="75" t="n"/>
      <c r="Z887" s="45" t="n"/>
    </row>
    <row r="888">
      <c r="A888" s="40" t="inlineStr">
        <is>
          <t>packing.DOCUMENT</t>
        </is>
      </c>
      <c r="B888" s="46" t="inlineStr">
        <is>
          <t>Thư</t>
        </is>
      </c>
      <c r="C888" s="46" t="inlineStr">
        <is>
          <t>Documents</t>
        </is>
      </c>
      <c r="D888" s="43" t="inlineStr">
        <is>
          <t>សំបុត្រ</t>
        </is>
      </c>
      <c r="E888" s="75" t="n"/>
      <c r="F888" s="75" t="n"/>
      <c r="G888" s="75" t="inlineStr">
        <is>
          <t>សំបុត្រ</t>
        </is>
      </c>
      <c r="H888" s="75" t="inlineStr">
        <is>
          <t>សំបុត្រ</t>
        </is>
      </c>
      <c r="I888" s="75" t="n"/>
      <c r="J888" s="75" t="n"/>
      <c r="K888" s="75" t="inlineStr">
        <is>
          <t>"packing.DOCUMENT": "សំបុត្រ",</t>
        </is>
      </c>
      <c r="L888" s="75" t="n"/>
      <c r="M888" s="75" t="n"/>
      <c r="N888" s="75" t="n"/>
      <c r="O888" s="75" t="n"/>
      <c r="P888" s="75" t="n"/>
      <c r="Q888" s="75" t="n"/>
      <c r="R888" s="75" t="n"/>
      <c r="S888" s="75" t="n"/>
      <c r="T888" s="75" t="n"/>
      <c r="U888" s="75" t="n"/>
      <c r="V888" s="75" t="n"/>
      <c r="W888" s="75" t="n"/>
      <c r="X888" s="75" t="n"/>
      <c r="Y888" s="75" t="n"/>
      <c r="Z888" s="45" t="n"/>
    </row>
    <row r="889">
      <c r="A889" s="40" t="inlineStr">
        <is>
          <t>packing.totalPackages</t>
        </is>
      </c>
      <c r="B889" s="46" t="inlineStr">
        <is>
          <t>Số lượng bưu phẩm</t>
        </is>
      </c>
      <c r="C889" s="46" t="inlineStr">
        <is>
          <t>Quantity of parcels</t>
        </is>
      </c>
      <c r="D889" s="43" t="inlineStr">
        <is>
          <t>ចំនួនអីវ៉ាន់</t>
        </is>
      </c>
      <c r="E889" s="75" t="n"/>
      <c r="F889" s="75" t="n"/>
      <c r="G889" s="75" t="inlineStr">
        <is>
          <t>ចំនួនអីវ៉ាន់</t>
        </is>
      </c>
      <c r="H889" s="75" t="inlineStr">
        <is>
          <t>ចំនួនអីវ៉ាន់</t>
        </is>
      </c>
      <c r="I889" s="75" t="n"/>
      <c r="J889" s="75" t="n"/>
      <c r="K889" s="75" t="inlineStr">
        <is>
          <t>"packing.totalPackages": "ចំនួនអីវ៉ាន់",</t>
        </is>
      </c>
      <c r="L889" s="75" t="n"/>
      <c r="M889" s="75" t="n"/>
      <c r="N889" s="75" t="n"/>
      <c r="O889" s="75" t="n"/>
      <c r="P889" s="75" t="n"/>
      <c r="Q889" s="75" t="n"/>
      <c r="R889" s="75" t="n"/>
      <c r="S889" s="75" t="n"/>
      <c r="T889" s="75" t="n"/>
      <c r="U889" s="75" t="n"/>
      <c r="V889" s="75" t="n"/>
      <c r="W889" s="75" t="n"/>
      <c r="X889" s="75" t="n"/>
      <c r="Y889" s="75" t="n"/>
      <c r="Z889" s="45" t="n"/>
    </row>
    <row r="890">
      <c r="A890" s="40" t="inlineStr">
        <is>
          <t>packing.weight</t>
        </is>
      </c>
      <c r="B890" s="46" t="inlineStr">
        <is>
          <t>Trọng lượng (g)</t>
        </is>
      </c>
      <c r="C890" s="46" t="inlineStr">
        <is>
          <t>Weight (g)</t>
        </is>
      </c>
      <c r="D890" s="43" t="inlineStr">
        <is>
          <t>ទម្ងន់ (ក្រាម)</t>
        </is>
      </c>
      <c r="E890" s="75" t="n"/>
      <c r="F890" s="75" t="n"/>
      <c r="G890" s="75" t="inlineStr">
        <is>
          <t>ទម្ងន់ (ក្រាម)</t>
        </is>
      </c>
      <c r="H890" s="75" t="inlineStr">
        <is>
          <t>ទម្ងន់ (ក្រាម)</t>
        </is>
      </c>
      <c r="I890" s="75" t="n"/>
      <c r="J890" s="75" t="n"/>
      <c r="K890" s="75" t="inlineStr">
        <is>
          <t>"packing.weight": "ទម្ងន់ (ក្រាម)",</t>
        </is>
      </c>
      <c r="L890" s="75" t="n"/>
      <c r="M890" s="75" t="n"/>
      <c r="N890" s="75" t="n"/>
      <c r="O890" s="75" t="n"/>
      <c r="P890" s="75" t="n"/>
      <c r="Q890" s="75" t="n"/>
      <c r="R890" s="75" t="n"/>
      <c r="S890" s="75" t="n"/>
      <c r="T890" s="75" t="n"/>
      <c r="U890" s="75" t="n"/>
      <c r="V890" s="75" t="n"/>
      <c r="W890" s="75" t="n"/>
      <c r="X890" s="75" t="n"/>
      <c r="Y890" s="75" t="n"/>
      <c r="Z890" s="45" t="n"/>
    </row>
    <row r="891">
      <c r="A891" s="40" t="inlineStr">
        <is>
          <t>packing.orderType</t>
        </is>
      </c>
      <c r="B891" s="46" t="inlineStr">
        <is>
          <t>Loại hàng hoá</t>
        </is>
      </c>
      <c r="C891" s="46" t="inlineStr">
        <is>
          <t>Freight types</t>
        </is>
      </c>
      <c r="D891" s="43" t="inlineStr">
        <is>
          <t>ប្រភេទកញ្ចប់អីវ៉ាន់</t>
        </is>
      </c>
      <c r="E891" s="75" t="n"/>
      <c r="F891" s="75" t="n"/>
      <c r="G891" s="75" t="inlineStr">
        <is>
          <t>ប្រភេទកញ្ចប់អីវ៉ាន់</t>
        </is>
      </c>
      <c r="H891" s="75" t="inlineStr">
        <is>
          <t>ប្រភេទកញ្ចប់អីវ៉ាន់</t>
        </is>
      </c>
      <c r="I891" s="75" t="n"/>
      <c r="J891" s="75" t="n"/>
      <c r="K891" s="75" t="inlineStr">
        <is>
          <t>"packing.orderType": "ប្រភេទកញ្ចប់អីវ៉ាន់",</t>
        </is>
      </c>
      <c r="L891" s="75" t="n"/>
      <c r="M891" s="75" t="n"/>
      <c r="N891" s="75" t="n"/>
      <c r="O891" s="75" t="n"/>
      <c r="P891" s="75" t="n"/>
      <c r="Q891" s="75" t="n"/>
      <c r="R891" s="75" t="n"/>
      <c r="S891" s="75" t="n"/>
      <c r="T891" s="75" t="n"/>
      <c r="U891" s="75" t="n"/>
      <c r="V891" s="75" t="n"/>
      <c r="W891" s="75" t="n"/>
      <c r="X891" s="75" t="n"/>
      <c r="Y891" s="75" t="n"/>
      <c r="Z891" s="45" t="n"/>
    </row>
    <row r="892">
      <c r="A892" s="40" t="inlineStr">
        <is>
          <t>packing.totalWarehouse</t>
        </is>
      </c>
      <c r="B892" s="46" t="inlineStr">
        <is>
          <t>Tổng kho hàng</t>
        </is>
      </c>
      <c r="C892" s="46" t="inlineStr">
        <is>
          <t>Total warehouse</t>
        </is>
      </c>
      <c r="D892" s="43" t="inlineStr">
        <is>
          <t>សរុបឃ្លាំងអីវ៉ាន់</t>
        </is>
      </c>
      <c r="E892" s="75" t="n"/>
      <c r="F892" s="75" t="n"/>
      <c r="G892" s="75" t="inlineStr">
        <is>
          <t>សរុបឃ្លាំងអីវ៉ាន់</t>
        </is>
      </c>
      <c r="H892" s="75" t="inlineStr">
        <is>
          <t>សរុបឃ្លាំងអីវ៉ាន់</t>
        </is>
      </c>
      <c r="I892" s="75" t="n"/>
      <c r="J892" s="75" t="n"/>
      <c r="K892" s="75" t="inlineStr">
        <is>
          <t>"packing.totalWarehouse": "សរុបឃ្លាំងអីវ៉ាន់",</t>
        </is>
      </c>
      <c r="L892" s="75" t="n"/>
      <c r="M892" s="75" t="n"/>
      <c r="N892" s="75" t="n"/>
      <c r="O892" s="75" t="n"/>
      <c r="P892" s="75" t="n"/>
      <c r="Q892" s="75" t="n"/>
      <c r="R892" s="75" t="n"/>
      <c r="S892" s="75" t="n"/>
      <c r="T892" s="75" t="n"/>
      <c r="U892" s="75" t="n"/>
      <c r="V892" s="75" t="n"/>
      <c r="W892" s="75" t="n"/>
      <c r="X892" s="75" t="n"/>
      <c r="Y892" s="75" t="n"/>
      <c r="Z892" s="45" t="n"/>
    </row>
    <row r="893">
      <c r="A893" s="40" t="inlineStr">
        <is>
          <t>packing.totalWeight</t>
        </is>
      </c>
      <c r="B893" s="46" t="inlineStr">
        <is>
          <t>Tổng trọng lượng</t>
        </is>
      </c>
      <c r="C893" s="46" t="inlineStr">
        <is>
          <t>Total weight</t>
        </is>
      </c>
      <c r="D893" s="43" t="inlineStr">
        <is>
          <t>សរុបទម្ងន់</t>
        </is>
      </c>
      <c r="E893" s="75" t="n"/>
      <c r="F893" s="75" t="n"/>
      <c r="G893" s="75" t="inlineStr">
        <is>
          <t>សរុបទម្ងន់</t>
        </is>
      </c>
      <c r="H893" s="75" t="inlineStr">
        <is>
          <t>សរុបទម្ងន់</t>
        </is>
      </c>
      <c r="I893" s="75" t="n"/>
      <c r="J893" s="75" t="n"/>
      <c r="K893" s="75" t="inlineStr">
        <is>
          <t>"packing.totalWeight": "សរុបទម្ងន់",</t>
        </is>
      </c>
      <c r="L893" s="75" t="n"/>
      <c r="M893" s="75" t="n"/>
      <c r="N893" s="75" t="n"/>
      <c r="O893" s="75" t="n"/>
      <c r="P893" s="75" t="n"/>
      <c r="Q893" s="75" t="n"/>
      <c r="R893" s="75" t="n"/>
      <c r="S893" s="75" t="n"/>
      <c r="T893" s="75" t="n"/>
      <c r="U893" s="75" t="n"/>
      <c r="V893" s="75" t="n"/>
      <c r="W893" s="75" t="n"/>
      <c r="X893" s="75" t="n"/>
      <c r="Y893" s="75" t="n"/>
      <c r="Z893" s="45" t="n"/>
    </row>
    <row r="894">
      <c r="A894" s="40" t="inlineStr">
        <is>
          <t>packing.packageIncompleteList</t>
        </is>
      </c>
      <c r="B894" s="46" t="inlineStr">
        <is>
          <t>Danh sách chưa đóng</t>
        </is>
      </c>
      <c r="C894" s="46" t="inlineStr">
        <is>
          <t>Incomplete list</t>
        </is>
      </c>
      <c r="D894" s="43" t="n"/>
      <c r="E894" s="75" t="n"/>
      <c r="F894" s="75" t="n"/>
      <c r="G894" s="75" t="inlineStr">
        <is>
          <t>បញ្ជីchưa đóng</t>
        </is>
      </c>
      <c r="H894" s="75" t="inlineStr">
        <is>
          <t>បញ្ជីchưa đóng</t>
        </is>
      </c>
      <c r="I894" s="75" t="n"/>
      <c r="J894" s="75" t="n"/>
      <c r="K894" s="75" t="inlineStr">
        <is>
          <t>"packing.packageIncompleteList": "បញ្ជីchưa đóng",</t>
        </is>
      </c>
      <c r="L894" s="75" t="n"/>
      <c r="M894" s="75" t="n"/>
      <c r="N894" s="75" t="n"/>
      <c r="O894" s="75" t="n"/>
      <c r="P894" s="75" t="n"/>
      <c r="Q894" s="75" t="n"/>
      <c r="R894" s="75" t="n"/>
      <c r="S894" s="75" t="n"/>
      <c r="T894" s="75" t="n"/>
      <c r="U894" s="75" t="n"/>
      <c r="V894" s="75" t="n"/>
      <c r="W894" s="75" t="n"/>
      <c r="X894" s="75" t="n"/>
      <c r="Y894" s="75" t="n"/>
      <c r="Z894" s="45" t="n"/>
    </row>
    <row r="895">
      <c r="A895" s="40" t="inlineStr">
        <is>
          <t>packing.status</t>
        </is>
      </c>
      <c r="B895" s="46" t="inlineStr">
        <is>
          <t>Trạng thái</t>
        </is>
      </c>
      <c r="C895" s="46" t="inlineStr">
        <is>
          <t>Status</t>
        </is>
      </c>
      <c r="D895" s="43" t="inlineStr">
        <is>
          <t>ស្ថានភាព</t>
        </is>
      </c>
      <c r="E895" s="75" t="n"/>
      <c r="F895" s="75" t="n"/>
      <c r="G895" s="75" t="inlineStr">
        <is>
          <t>ស្ថានភាព</t>
        </is>
      </c>
      <c r="H895" s="75" t="inlineStr">
        <is>
          <t>ស្ថានភាព</t>
        </is>
      </c>
      <c r="I895" s="75" t="n"/>
      <c r="J895" s="75" t="n"/>
      <c r="K895" s="75" t="inlineStr">
        <is>
          <t>"packing.status": "ស្ថានភាព",</t>
        </is>
      </c>
      <c r="L895" s="75" t="n"/>
      <c r="M895" s="75" t="n"/>
      <c r="N895" s="75" t="n"/>
      <c r="O895" s="75" t="n"/>
      <c r="P895" s="75" t="n"/>
      <c r="Q895" s="75" t="n"/>
      <c r="R895" s="75" t="n"/>
      <c r="S895" s="75" t="n"/>
      <c r="T895" s="75" t="n"/>
      <c r="U895" s="75" t="n"/>
      <c r="V895" s="75" t="n"/>
      <c r="W895" s="75" t="n"/>
      <c r="X895" s="75" t="n"/>
      <c r="Y895" s="75" t="n"/>
      <c r="Z895" s="45" t="n"/>
    </row>
    <row r="896">
      <c r="A896" s="40" t="inlineStr">
        <is>
          <t>packing.allStatus</t>
        </is>
      </c>
      <c r="B896" s="46" t="inlineStr">
        <is>
          <t>Tất cả trạng thái</t>
        </is>
      </c>
      <c r="C896" s="46" t="inlineStr">
        <is>
          <t>All status</t>
        </is>
      </c>
      <c r="D896" s="43" t="inlineStr">
        <is>
          <t>ស្ថានភាពទាំងអស់</t>
        </is>
      </c>
      <c r="E896" s="75" t="n"/>
      <c r="F896" s="75" t="n"/>
      <c r="G896" s="75" t="inlineStr">
        <is>
          <t>ស្ថានភាពទាំងអស់</t>
        </is>
      </c>
      <c r="H896" s="75" t="inlineStr">
        <is>
          <t>ស្ថានភាពទាំងអស់</t>
        </is>
      </c>
      <c r="I896" s="75" t="n"/>
      <c r="J896" s="75" t="n"/>
      <c r="K896" s="75" t="inlineStr">
        <is>
          <t>"packing.allStatus": "ស្ថានភាពទាំងអស់",</t>
        </is>
      </c>
      <c r="L896" s="75" t="n"/>
      <c r="M896" s="75" t="n"/>
      <c r="N896" s="75" t="n"/>
      <c r="O896" s="75" t="n"/>
      <c r="P896" s="75" t="n"/>
      <c r="Q896" s="75" t="n"/>
      <c r="R896" s="75" t="n"/>
      <c r="S896" s="75" t="n"/>
      <c r="T896" s="75" t="n"/>
      <c r="U896" s="75" t="n"/>
      <c r="V896" s="75" t="n"/>
      <c r="W896" s="75" t="n"/>
      <c r="X896" s="75" t="n"/>
      <c r="Y896" s="75" t="n"/>
      <c r="Z896" s="45" t="n"/>
    </row>
    <row r="897">
      <c r="A897" s="40" t="inlineStr">
        <is>
          <t>packing.all</t>
        </is>
      </c>
      <c r="B897" s="46" t="inlineStr">
        <is>
          <t>Tất cả</t>
        </is>
      </c>
      <c r="C897" s="46" t="inlineStr">
        <is>
          <t>All</t>
        </is>
      </c>
      <c r="D897" s="75" t="inlineStr">
        <is>
          <t>ទាំងអស់</t>
        </is>
      </c>
      <c r="E897" s="75" t="n"/>
      <c r="F897" s="75" t="n"/>
      <c r="G897" s="75" t="inlineStr">
        <is>
          <t>ទាំងអស់</t>
        </is>
      </c>
      <c r="H897" s="75" t="inlineStr">
        <is>
          <t>ទាំងអស់</t>
        </is>
      </c>
      <c r="I897" s="75" t="n"/>
      <c r="J897" s="75" t="n"/>
      <c r="K897" s="75" t="inlineStr">
        <is>
          <t>"packing.all": "ទាំងអស់",</t>
        </is>
      </c>
      <c r="L897" s="75" t="n"/>
      <c r="M897" s="75" t="n"/>
      <c r="N897" s="75" t="n"/>
      <c r="O897" s="75" t="n"/>
      <c r="P897" s="75" t="n"/>
      <c r="Q897" s="75" t="n"/>
      <c r="R897" s="75" t="n"/>
      <c r="S897" s="75" t="n"/>
      <c r="T897" s="75" t="n"/>
      <c r="U897" s="75" t="n"/>
      <c r="V897" s="75" t="n"/>
      <c r="W897" s="75" t="n"/>
      <c r="X897" s="75" t="n"/>
      <c r="Y897" s="75" t="n"/>
      <c r="Z897" s="45" t="n"/>
    </row>
    <row r="898">
      <c r="A898" s="40" t="inlineStr">
        <is>
          <t>packing.orderCode</t>
        </is>
      </c>
      <c r="B898" s="46" t="inlineStr">
        <is>
          <t>Mã phiếu gửi</t>
        </is>
      </c>
      <c r="C898" s="46" t="inlineStr">
        <is>
          <t>Postal slip code</t>
        </is>
      </c>
      <c r="D898" s="43" t="inlineStr">
        <is>
          <t>លេខកូដបុុងបញ្ញើ</t>
        </is>
      </c>
      <c r="E898" s="75" t="n"/>
      <c r="F898" s="75" t="n"/>
      <c r="G898" s="75" t="inlineStr">
        <is>
          <t>លេខកូដបុងបញ្ញើ</t>
        </is>
      </c>
      <c r="H898" s="75" t="inlineStr">
        <is>
          <t>លេខកូដបុងបញ្ញើ</t>
        </is>
      </c>
      <c r="I898" s="75" t="n"/>
      <c r="J898" s="75" t="n"/>
      <c r="K898" s="75" t="inlineStr">
        <is>
          <t>"packing.orderCode": "លេខកូដបុងបញ្ញើ",</t>
        </is>
      </c>
      <c r="L898" s="75" t="n"/>
      <c r="M898" s="75" t="n"/>
      <c r="N898" s="75" t="n"/>
      <c r="O898" s="75" t="n"/>
      <c r="P898" s="75" t="n"/>
      <c r="Q898" s="75" t="n"/>
      <c r="R898" s="75" t="n"/>
      <c r="S898" s="75" t="n"/>
      <c r="T898" s="75" t="n"/>
      <c r="U898" s="75" t="n"/>
      <c r="V898" s="75" t="n"/>
      <c r="W898" s="75" t="n"/>
      <c r="X898" s="75" t="n"/>
      <c r="Y898" s="75" t="n"/>
      <c r="Z898" s="45" t="n"/>
    </row>
    <row r="899">
      <c r="A899" s="40" t="inlineStr">
        <is>
          <t>packing.enterOrderCode</t>
        </is>
      </c>
      <c r="B899" s="46" t="inlineStr">
        <is>
          <t>Nhập mã phiếu gửi</t>
        </is>
      </c>
      <c r="C899" s="46" t="inlineStr">
        <is>
          <t>Enter postal slip code</t>
        </is>
      </c>
      <c r="D899" s="75" t="inlineStr">
        <is>
          <t>បញ្ចូលលេខកូដបុងបញ្ញើ</t>
        </is>
      </c>
      <c r="E899" s="75" t="n"/>
      <c r="F899" s="75" t="n"/>
      <c r="G899" s="75" t="inlineStr">
        <is>
          <t>បញ្ចូលលេខកូដបុងបញ្ញើ</t>
        </is>
      </c>
      <c r="H899" s="75" t="inlineStr">
        <is>
          <t>បញ្ចូលលេខកូដបុងបញ្ញើ</t>
        </is>
      </c>
      <c r="I899" s="75" t="n"/>
      <c r="J899" s="75" t="n"/>
      <c r="K899" s="75" t="inlineStr">
        <is>
          <t>"packing.enterOrderCode": "បញ្ចូលលេខកូដបុងបញ្ញើ",</t>
        </is>
      </c>
      <c r="L899" s="75" t="n"/>
      <c r="M899" s="75" t="n"/>
      <c r="N899" s="75" t="n"/>
      <c r="O899" s="75" t="n"/>
      <c r="P899" s="75" t="n"/>
      <c r="Q899" s="75" t="n"/>
      <c r="R899" s="75" t="n"/>
      <c r="S899" s="75" t="n"/>
      <c r="T899" s="75" t="n"/>
      <c r="U899" s="75" t="n"/>
      <c r="V899" s="75" t="n"/>
      <c r="W899" s="75" t="n"/>
      <c r="X899" s="75" t="n"/>
      <c r="Y899" s="75" t="n"/>
      <c r="Z899" s="45" t="n"/>
    </row>
    <row r="900">
      <c r="A900" s="40" t="inlineStr">
        <is>
          <t>packing.print</t>
        </is>
      </c>
      <c r="B900" s="46" t="inlineStr">
        <is>
          <t>In đơn</t>
        </is>
      </c>
      <c r="C900" s="46" t="inlineStr">
        <is>
          <t>Print</t>
        </is>
      </c>
      <c r="D900" s="75" t="inlineStr">
        <is>
          <t>ព្រីនបុងបញ្ញើ</t>
        </is>
      </c>
      <c r="E900" s="75" t="n"/>
      <c r="F900" s="75" t="n"/>
      <c r="G900" s="75" t="inlineStr">
        <is>
          <t>ព្រីនបុងបញ្ញើ</t>
        </is>
      </c>
      <c r="H900" s="75" t="inlineStr">
        <is>
          <t>ព្រីនបុងបញ្ញើ</t>
        </is>
      </c>
      <c r="I900" s="75" t="n"/>
      <c r="J900" s="75" t="n"/>
      <c r="K900" s="75" t="inlineStr">
        <is>
          <t>"packing.print": "ព្រីនបុងបញ្ញើ",</t>
        </is>
      </c>
      <c r="L900" s="75" t="n"/>
      <c r="M900" s="75" t="n"/>
      <c r="N900" s="75" t="n"/>
      <c r="O900" s="75" t="n"/>
      <c r="P900" s="75" t="n"/>
      <c r="Q900" s="75" t="n"/>
      <c r="R900" s="75" t="n"/>
      <c r="S900" s="75" t="n"/>
      <c r="T900" s="75" t="n"/>
      <c r="U900" s="75" t="n"/>
      <c r="V900" s="75" t="n"/>
      <c r="W900" s="75" t="n"/>
      <c r="X900" s="75" t="n"/>
      <c r="Y900" s="75" t="n"/>
      <c r="Z900" s="45" t="n"/>
    </row>
    <row r="901">
      <c r="A901" s="40" t="inlineStr">
        <is>
          <t>packing.selected</t>
        </is>
      </c>
      <c r="B901" s="46" t="inlineStr">
        <is>
          <t>Đã chọn</t>
        </is>
      </c>
      <c r="C901" s="46" t="inlineStr">
        <is>
          <t>Selected</t>
        </is>
      </c>
      <c r="D901" s="43" t="inlineStr">
        <is>
          <t>បានជ្រើសរើស</t>
        </is>
      </c>
      <c r="E901" s="75" t="n"/>
      <c r="F901" s="75" t="n"/>
      <c r="G901" s="75" t="inlineStr">
        <is>
          <t>បានជ្រើសរើស</t>
        </is>
      </c>
      <c r="H901" s="75" t="inlineStr">
        <is>
          <t>បានជ្រើសរើស</t>
        </is>
      </c>
      <c r="I901" s="75" t="n"/>
      <c r="J901" s="75" t="n"/>
      <c r="K901" s="75" t="inlineStr">
        <is>
          <t>"packing.selected": "បានជ្រើសរើស",</t>
        </is>
      </c>
      <c r="L901" s="75" t="n"/>
      <c r="M901" s="75" t="n"/>
      <c r="N901" s="75" t="n"/>
      <c r="O901" s="75" t="n"/>
      <c r="P901" s="75" t="n"/>
      <c r="Q901" s="75" t="n"/>
      <c r="R901" s="75" t="n"/>
      <c r="S901" s="75" t="n"/>
      <c r="T901" s="75" t="n"/>
      <c r="U901" s="75" t="n"/>
      <c r="V901" s="75" t="n"/>
      <c r="W901" s="75" t="n"/>
      <c r="X901" s="75" t="n"/>
      <c r="Y901" s="75" t="n"/>
      <c r="Z901" s="45" t="n"/>
    </row>
    <row r="902">
      <c r="A902" s="40" t="inlineStr">
        <is>
          <t>packing.emptyOrder</t>
        </is>
      </c>
      <c r="B902" s="46" t="inlineStr">
        <is>
          <t>Vui lòng chọn đơn cần in</t>
        </is>
      </c>
      <c r="C902" s="46" t="inlineStr">
        <is>
          <t>Please select the order to print</t>
        </is>
      </c>
      <c r="D902" s="43" t="inlineStr">
        <is>
          <t>សូមជ្រើសរើសបុងដែលត្រូវព្រីន</t>
        </is>
      </c>
      <c r="E902" s="75" t="n"/>
      <c r="F902" s="75" t="n"/>
      <c r="G902" s="75" t="inlineStr">
        <is>
          <t>សូមជ្រើសរើសបុងដែលត្រូវព្រីន</t>
        </is>
      </c>
      <c r="H902" s="75" t="inlineStr">
        <is>
          <t>សូមជ្រើសរើសបុងដែលត្រូវព្រីន</t>
        </is>
      </c>
      <c r="I902" s="75" t="n"/>
      <c r="J902" s="75" t="n"/>
      <c r="K902" s="75" t="inlineStr">
        <is>
          <t>"packing.emptyOrder": "សូមជ្រើសរើសបុងដែលត្រូវព្រីន",</t>
        </is>
      </c>
      <c r="L902" s="75" t="n"/>
      <c r="M902" s="75" t="n"/>
      <c r="N902" s="75" t="n"/>
      <c r="O902" s="75" t="n"/>
      <c r="P902" s="75" t="n"/>
      <c r="Q902" s="75" t="n"/>
      <c r="R902" s="75" t="n"/>
      <c r="S902" s="75" t="n"/>
      <c r="T902" s="75" t="n"/>
      <c r="U902" s="75" t="n"/>
      <c r="V902" s="75" t="n"/>
      <c r="W902" s="75" t="n"/>
      <c r="X902" s="75" t="n"/>
      <c r="Y902" s="75" t="n"/>
      <c r="Z902" s="45" t="n"/>
    </row>
    <row r="903">
      <c r="A903" s="40" t="inlineStr">
        <is>
          <t>packing.service</t>
        </is>
      </c>
      <c r="B903" s="46" t="inlineStr">
        <is>
          <t>Dịch vụ</t>
        </is>
      </c>
      <c r="C903" s="46" t="inlineStr">
        <is>
          <t>Service</t>
        </is>
      </c>
      <c r="D903" s="43" t="inlineStr">
        <is>
          <t>សេវាកម្ម</t>
        </is>
      </c>
      <c r="E903" s="75" t="n"/>
      <c r="F903" s="75" t="n"/>
      <c r="G903" s="75" t="inlineStr">
        <is>
          <t>សេវាកម្ម</t>
        </is>
      </c>
      <c r="H903" s="75" t="inlineStr">
        <is>
          <t>សេវាកម្ម</t>
        </is>
      </c>
      <c r="I903" s="75" t="n"/>
      <c r="J903" s="75" t="n"/>
      <c r="K903" s="75" t="inlineStr">
        <is>
          <t>"packing.service": "សេវាកម្ម",</t>
        </is>
      </c>
      <c r="L903" s="75" t="n"/>
      <c r="M903" s="75" t="n"/>
      <c r="N903" s="75" t="n"/>
      <c r="O903" s="75" t="n"/>
      <c r="P903" s="75" t="n"/>
      <c r="Q903" s="75" t="n"/>
      <c r="R903" s="75" t="n"/>
      <c r="S903" s="75" t="n"/>
      <c r="T903" s="75" t="n"/>
      <c r="U903" s="75" t="n"/>
      <c r="V903" s="75" t="n"/>
      <c r="W903" s="75" t="n"/>
      <c r="X903" s="75" t="n"/>
      <c r="Y903" s="75" t="n"/>
      <c r="Z903" s="45" t="n"/>
    </row>
    <row r="904">
      <c r="A904" s="40" t="inlineStr">
        <is>
          <t>packing.address</t>
        </is>
      </c>
      <c r="B904" s="46" t="inlineStr">
        <is>
          <t>Địa chỉ</t>
        </is>
      </c>
      <c r="C904" s="46" t="inlineStr">
        <is>
          <t>Address</t>
        </is>
      </c>
      <c r="D904" s="43" t="inlineStr">
        <is>
          <t>អាស័យដ្ឋាន</t>
        </is>
      </c>
      <c r="E904" s="75" t="n"/>
      <c r="F904" s="75" t="n"/>
      <c r="G904" s="75" t="inlineStr">
        <is>
          <t>អាសយដ្ឋាន</t>
        </is>
      </c>
      <c r="H904" s="75" t="inlineStr">
        <is>
          <t>អាសយដ្ឋាន</t>
        </is>
      </c>
      <c r="I904" s="75" t="n"/>
      <c r="J904" s="75" t="n"/>
      <c r="K904" s="75" t="inlineStr">
        <is>
          <t>"packing.address": "អាសយដ្ឋាន",</t>
        </is>
      </c>
      <c r="L904" s="75" t="n"/>
      <c r="M904" s="75" t="n"/>
      <c r="N904" s="75" t="n"/>
      <c r="O904" s="75" t="n"/>
      <c r="P904" s="75" t="n"/>
      <c r="Q904" s="75" t="n"/>
      <c r="R904" s="75" t="n"/>
      <c r="S904" s="75" t="n"/>
      <c r="T904" s="75" t="n"/>
      <c r="U904" s="75" t="n"/>
      <c r="V904" s="75" t="n"/>
      <c r="W904" s="75" t="n"/>
      <c r="X904" s="75" t="n"/>
      <c r="Y904" s="75" t="n"/>
      <c r="Z904" s="45" t="n"/>
    </row>
    <row r="905">
      <c r="A905" s="40" t="inlineStr">
        <is>
          <t>packing.parcel</t>
        </is>
      </c>
      <c r="B905" s="46" t="inlineStr">
        <is>
          <t>Hàng hoá</t>
        </is>
      </c>
      <c r="C905" s="46" t="inlineStr">
        <is>
          <t>Goods</t>
        </is>
      </c>
      <c r="D905" s="43" t="inlineStr">
        <is>
          <t>កញ្ចប់អីវ៉ាន់</t>
        </is>
      </c>
      <c r="E905" s="75" t="n"/>
      <c r="F905" s="75" t="n"/>
      <c r="G905" s="75" t="inlineStr">
        <is>
          <t>កញ្ចប់អីវ៉ាន់</t>
        </is>
      </c>
      <c r="H905" s="75" t="inlineStr">
        <is>
          <t>កញ្ចប់អីវ៉ាន់</t>
        </is>
      </c>
      <c r="I905" s="75" t="n"/>
      <c r="J905" s="75" t="n"/>
      <c r="K905" s="75" t="inlineStr">
        <is>
          <t>"packing.parcel": "កញ្ចប់អីវ៉ាន់",</t>
        </is>
      </c>
      <c r="L905" s="75" t="n"/>
      <c r="M905" s="75" t="n"/>
      <c r="N905" s="75" t="n"/>
      <c r="O905" s="75" t="n"/>
      <c r="P905" s="75" t="n"/>
      <c r="Q905" s="75" t="n"/>
      <c r="R905" s="75" t="n"/>
      <c r="S905" s="75" t="n"/>
      <c r="T905" s="75" t="n"/>
      <c r="U905" s="75" t="n"/>
      <c r="V905" s="75" t="n"/>
      <c r="W905" s="75" t="n"/>
      <c r="X905" s="75" t="n"/>
      <c r="Y905" s="75" t="n"/>
      <c r="Z905" s="45" t="n"/>
    </row>
    <row r="906">
      <c r="A906" s="40" t="inlineStr">
        <is>
          <t>packing.typeAll</t>
        </is>
      </c>
      <c r="B906" s="46" t="inlineStr">
        <is>
          <t>Tất cả</t>
        </is>
      </c>
      <c r="C906" s="46" t="inlineStr">
        <is>
          <t>All</t>
        </is>
      </c>
      <c r="D906" s="43" t="inlineStr">
        <is>
          <t>ទាំងអស់</t>
        </is>
      </c>
      <c r="E906" s="75" t="n"/>
      <c r="F906" s="75" t="n"/>
      <c r="G906" s="75" t="inlineStr">
        <is>
          <t>ទាំងអស់</t>
        </is>
      </c>
      <c r="H906" s="75" t="inlineStr">
        <is>
          <t>ទាំងអស់</t>
        </is>
      </c>
      <c r="I906" s="75" t="n"/>
      <c r="J906" s="75" t="n"/>
      <c r="K906" s="75" t="inlineStr">
        <is>
          <t>"packing.typeAll": "ទាំងអស់",</t>
        </is>
      </c>
      <c r="L906" s="75" t="n"/>
      <c r="M906" s="75" t="n"/>
      <c r="N906" s="75" t="n"/>
      <c r="O906" s="75" t="n"/>
      <c r="P906" s="75" t="n"/>
      <c r="Q906" s="75" t="n"/>
      <c r="R906" s="75" t="n"/>
      <c r="S906" s="75" t="n"/>
      <c r="T906" s="75" t="n"/>
      <c r="U906" s="75" t="n"/>
      <c r="V906" s="75" t="n"/>
      <c r="W906" s="75" t="n"/>
      <c r="X906" s="75" t="n"/>
      <c r="Y906" s="75" t="n"/>
      <c r="Z906" s="45" t="n"/>
    </row>
    <row r="907">
      <c r="A907" s="40" t="inlineStr">
        <is>
          <t>packing.typeGood</t>
        </is>
      </c>
      <c r="B907" s="46" t="inlineStr">
        <is>
          <t>Hàng nhỏ</t>
        </is>
      </c>
      <c r="C907" s="46" t="inlineStr">
        <is>
          <t>Small-sized</t>
        </is>
      </c>
      <c r="D907" s="43" t="inlineStr">
        <is>
          <t>អីវ៉ាន់តូចៗ</t>
        </is>
      </c>
      <c r="E907" s="75" t="n"/>
      <c r="F907" s="75" t="n"/>
      <c r="G907" s="75" t="inlineStr">
        <is>
          <t>អីវ៉ាន់តូចៗ</t>
        </is>
      </c>
      <c r="H907" s="75" t="inlineStr">
        <is>
          <t>អីវ៉ាន់តូចៗ</t>
        </is>
      </c>
      <c r="I907" s="75" t="n"/>
      <c r="J907" s="75" t="n"/>
      <c r="K907" s="75" t="inlineStr">
        <is>
          <t>"packing.typeGood": "អីវ៉ាន់តូចៗ",</t>
        </is>
      </c>
      <c r="L907" s="75" t="n"/>
      <c r="M907" s="75" t="n"/>
      <c r="N907" s="75" t="n"/>
      <c r="O907" s="75" t="n"/>
      <c r="P907" s="75" t="n"/>
      <c r="Q907" s="75" t="n"/>
      <c r="R907" s="75" t="n"/>
      <c r="S907" s="75" t="n"/>
      <c r="T907" s="75" t="n"/>
      <c r="U907" s="75" t="n"/>
      <c r="V907" s="75" t="n"/>
      <c r="W907" s="75" t="n"/>
      <c r="X907" s="75" t="n"/>
      <c r="Y907" s="75" t="n"/>
      <c r="Z907" s="45" t="n"/>
    </row>
    <row r="908">
      <c r="A908" s="40" t="inlineStr">
        <is>
          <t>packing.typeDocument</t>
        </is>
      </c>
      <c r="B908" s="46" t="inlineStr">
        <is>
          <t>Thư</t>
        </is>
      </c>
      <c r="C908" s="46" t="inlineStr">
        <is>
          <t>Documents</t>
        </is>
      </c>
      <c r="D908" s="43" t="inlineStr">
        <is>
          <t>សំបុត្រ</t>
        </is>
      </c>
      <c r="E908" s="75" t="n"/>
      <c r="F908" s="75" t="n"/>
      <c r="G908" s="75" t="inlineStr">
        <is>
          <t>សំបុត្រ</t>
        </is>
      </c>
      <c r="H908" s="75" t="inlineStr">
        <is>
          <t>សំបុត្រ</t>
        </is>
      </c>
      <c r="I908" s="75" t="n"/>
      <c r="J908" s="75" t="n"/>
      <c r="K908" s="75" t="inlineStr">
        <is>
          <t>"packing.typeDocument": "សំបុត្រ",</t>
        </is>
      </c>
      <c r="L908" s="75" t="n"/>
      <c r="M908" s="75" t="n"/>
      <c r="N908" s="75" t="n"/>
      <c r="O908" s="75" t="n"/>
      <c r="P908" s="75" t="n"/>
      <c r="Q908" s="75" t="n"/>
      <c r="R908" s="75" t="n"/>
      <c r="S908" s="75" t="n"/>
      <c r="T908" s="75" t="n"/>
      <c r="U908" s="75" t="n"/>
      <c r="V908" s="75" t="n"/>
      <c r="W908" s="75" t="n"/>
      <c r="X908" s="75" t="n"/>
      <c r="Y908" s="75" t="n"/>
      <c r="Z908" s="45" t="n"/>
    </row>
    <row r="909">
      <c r="A909" s="40" t="inlineStr">
        <is>
          <t>packing.enterOrderAndDestination</t>
        </is>
      </c>
      <c r="B909" s="46" t="inlineStr">
        <is>
          <t>Nhập điểm đến, mã tải</t>
        </is>
      </c>
      <c r="C909" s="46" t="inlineStr">
        <is>
          <t>Enter destination, package code</t>
        </is>
      </c>
      <c r="D909" s="43" t="n"/>
      <c r="E909" s="75" t="n"/>
      <c r="F909" s="75" t="n"/>
      <c r="G909" s="75" t="inlineStr">
        <is>
          <t>បញ្ចូលđiểm đến, លេខកូដ tải</t>
        </is>
      </c>
      <c r="H909" s="75" t="inlineStr">
        <is>
          <t>បញ្ចូលđiểm đến, លេខកូដ tải</t>
        </is>
      </c>
      <c r="I909" s="75" t="n"/>
      <c r="J909" s="75" t="n"/>
      <c r="K909" s="75" t="inlineStr">
        <is>
          <t>"packing.enterOrderAndDestination": "បញ្ចូលđiểm đến, លេខកូដ tải",</t>
        </is>
      </c>
      <c r="L909" s="75" t="n"/>
      <c r="M909" s="75" t="n"/>
      <c r="N909" s="75" t="n"/>
      <c r="O909" s="75" t="n"/>
      <c r="P909" s="75" t="n"/>
      <c r="Q909" s="75" t="n"/>
      <c r="R909" s="75" t="n"/>
      <c r="S909" s="75" t="n"/>
      <c r="T909" s="75" t="n"/>
      <c r="U909" s="75" t="n"/>
      <c r="V909" s="75" t="n"/>
      <c r="W909" s="75" t="n"/>
      <c r="X909" s="75" t="n"/>
      <c r="Y909" s="75" t="n"/>
      <c r="Z909" s="45" t="n"/>
    </row>
    <row r="910">
      <c r="A910" s="40" t="inlineStr">
        <is>
          <t>packing.parcelCode</t>
        </is>
      </c>
      <c r="B910" s="46" t="inlineStr">
        <is>
          <t>Mã tải</t>
        </is>
      </c>
      <c r="C910" s="46" t="inlineStr">
        <is>
          <t>Pack code</t>
        </is>
      </c>
      <c r="D910" s="43" t="n"/>
      <c r="E910" s="75" t="n"/>
      <c r="F910" s="75" t="n"/>
      <c r="G910" s="75" t="inlineStr">
        <is>
          <t>លេខកូដtải</t>
        </is>
      </c>
      <c r="H910" s="75" t="inlineStr">
        <is>
          <t>លេខកូដtải</t>
        </is>
      </c>
      <c r="I910" s="75" t="n"/>
      <c r="J910" s="75" t="n"/>
      <c r="K910" s="75" t="inlineStr">
        <is>
          <t>"packing.parcelCode": "លេខកូដtải",</t>
        </is>
      </c>
      <c r="L910" s="75" t="n"/>
      <c r="M910" s="75" t="n"/>
      <c r="N910" s="75" t="n"/>
      <c r="O910" s="75" t="n"/>
      <c r="P910" s="75" t="n"/>
      <c r="Q910" s="75" t="n"/>
      <c r="R910" s="75" t="n"/>
      <c r="S910" s="75" t="n"/>
      <c r="T910" s="75" t="n"/>
      <c r="U910" s="75" t="n"/>
      <c r="V910" s="75" t="n"/>
      <c r="W910" s="75" t="n"/>
      <c r="X910" s="75" t="n"/>
      <c r="Y910" s="75" t="n"/>
      <c r="Z910" s="45" t="n"/>
    </row>
    <row r="911">
      <c r="A911" s="40" t="inlineStr">
        <is>
          <t>packing.postalCodeAddress</t>
        </is>
      </c>
      <c r="B911" s="46" t="inlineStr">
        <is>
          <t>Bưu cục đến</t>
        </is>
      </c>
      <c r="C911" s="46" t="inlineStr">
        <is>
          <t>Receiving post office</t>
        </is>
      </c>
      <c r="D911" s="75" t="inlineStr">
        <is>
          <t>ការិយាល័យប្រៃសណីយ៍មកដល់</t>
        </is>
      </c>
      <c r="E911" s="75" t="n"/>
      <c r="F911" s="75" t="n"/>
      <c r="G911" s="75" t="inlineStr">
        <is>
          <t>ការិយាល័យប្រៃសណីយ៍គោលដៅ</t>
        </is>
      </c>
      <c r="H911" s="75" t="inlineStr">
        <is>
          <t>ការិយាល័យប្រៃសណីយ៍គោលដៅ</t>
        </is>
      </c>
      <c r="I911" s="75" t="n"/>
      <c r="J911" s="75" t="n"/>
      <c r="K911" s="75" t="inlineStr">
        <is>
          <t>"packing.postalCodeAddress": "ការិយាល័យប្រៃសណីយ៍គោលដៅ",</t>
        </is>
      </c>
      <c r="L911" s="75" t="n"/>
      <c r="M911" s="75" t="n"/>
      <c r="N911" s="75" t="n"/>
      <c r="O911" s="75" t="n"/>
      <c r="P911" s="75" t="n"/>
      <c r="Q911" s="75" t="n"/>
      <c r="R911" s="75" t="n"/>
      <c r="S911" s="75" t="n"/>
      <c r="T911" s="75" t="n"/>
      <c r="U911" s="75" t="n"/>
      <c r="V911" s="75" t="n"/>
      <c r="W911" s="75" t="n"/>
      <c r="X911" s="75" t="n"/>
      <c r="Y911" s="75" t="n"/>
      <c r="Z911" s="45" t="n"/>
    </row>
    <row r="912">
      <c r="A912" s="40" t="inlineStr">
        <is>
          <t>packing.quantity</t>
        </is>
      </c>
      <c r="B912" s="46" t="inlineStr">
        <is>
          <t>Số lượng bưu phẩm</t>
        </is>
      </c>
      <c r="C912" s="46" t="inlineStr">
        <is>
          <t>Quantity of parcels</t>
        </is>
      </c>
      <c r="D912" s="43" t="inlineStr">
        <is>
          <t>ចំនួនអីវ៉ាន់</t>
        </is>
      </c>
      <c r="E912" s="75" t="n"/>
      <c r="F912" s="75" t="n"/>
      <c r="G912" s="75" t="inlineStr">
        <is>
          <t>ចំនួនអីវ៉ាន់</t>
        </is>
      </c>
      <c r="H912" s="75" t="inlineStr">
        <is>
          <t>ចំនួនអីវ៉ាន់</t>
        </is>
      </c>
      <c r="I912" s="75" t="n"/>
      <c r="J912" s="75" t="n"/>
      <c r="K912" s="75" t="inlineStr">
        <is>
          <t>"packing.quantity": "ចំនួនអីវ៉ាន់",</t>
        </is>
      </c>
      <c r="L912" s="75" t="n"/>
      <c r="M912" s="75" t="n"/>
      <c r="N912" s="75" t="n"/>
      <c r="O912" s="75" t="n"/>
      <c r="P912" s="75" t="n"/>
      <c r="Q912" s="75" t="n"/>
      <c r="R912" s="75" t="n"/>
      <c r="S912" s="75" t="n"/>
      <c r="T912" s="75" t="n"/>
      <c r="U912" s="75" t="n"/>
      <c r="V912" s="75" t="n"/>
      <c r="W912" s="75" t="n"/>
      <c r="X912" s="75" t="n"/>
      <c r="Y912" s="75" t="n"/>
      <c r="Z912" s="45" t="n"/>
    </row>
    <row r="913">
      <c r="A913" s="40" t="inlineStr">
        <is>
          <t>packing.note</t>
        </is>
      </c>
      <c r="B913" s="46" t="inlineStr">
        <is>
          <t>Ghi chú</t>
        </is>
      </c>
      <c r="C913" s="46" t="inlineStr">
        <is>
          <t>Note</t>
        </is>
      </c>
      <c r="D913" s="43" t="inlineStr">
        <is>
          <t>កត់ចំណាំ</t>
        </is>
      </c>
      <c r="E913" s="75" t="n"/>
      <c r="F913" s="75" t="n"/>
      <c r="G913" s="75" t="inlineStr">
        <is>
          <t>ចំណាំ</t>
        </is>
      </c>
      <c r="H913" s="75" t="inlineStr">
        <is>
          <t>ចំណាំ</t>
        </is>
      </c>
      <c r="I913" s="75" t="n"/>
      <c r="J913" s="75" t="n"/>
      <c r="K913" s="75" t="inlineStr">
        <is>
          <t>"packing.note": "ចំណាំ",</t>
        </is>
      </c>
      <c r="L913" s="75" t="n"/>
      <c r="M913" s="75" t="n"/>
      <c r="N913" s="75" t="n"/>
      <c r="O913" s="75" t="n"/>
      <c r="P913" s="75" t="n"/>
      <c r="Q913" s="75" t="n"/>
      <c r="R913" s="75" t="n"/>
      <c r="S913" s="75" t="n"/>
      <c r="T913" s="75" t="n"/>
      <c r="U913" s="75" t="n"/>
      <c r="V913" s="75" t="n"/>
      <c r="W913" s="75" t="n"/>
      <c r="X913" s="75" t="n"/>
      <c r="Y913" s="75" t="n"/>
      <c r="Z913" s="45" t="n"/>
    </row>
    <row r="914">
      <c r="A914" s="40" t="inlineStr">
        <is>
          <t>packing.createdAt</t>
        </is>
      </c>
      <c r="B914" s="46" t="inlineStr">
        <is>
          <t>Thời gian tạo</t>
        </is>
      </c>
      <c r="C914" s="46" t="inlineStr">
        <is>
          <t>Creation time</t>
        </is>
      </c>
      <c r="D914" s="43" t="inlineStr">
        <is>
          <t>ពេលវេលាបង្កើត</t>
        </is>
      </c>
      <c r="E914" s="75" t="n"/>
      <c r="F914" s="75" t="n"/>
      <c r="G914" s="75" t="inlineStr">
        <is>
          <t>ពេលវេលាបង្កើត</t>
        </is>
      </c>
      <c r="H914" s="75" t="inlineStr">
        <is>
          <t>ពេលវេលាបង្កើត</t>
        </is>
      </c>
      <c r="I914" s="75" t="n"/>
      <c r="J914" s="75" t="n"/>
      <c r="K914" s="75" t="inlineStr">
        <is>
          <t>"packing.createdAt": "ពេលវេលាបង្កើត",</t>
        </is>
      </c>
      <c r="L914" s="75" t="n"/>
      <c r="M914" s="75" t="n"/>
      <c r="N914" s="75" t="n"/>
      <c r="O914" s="75" t="n"/>
      <c r="P914" s="75" t="n"/>
      <c r="Q914" s="75" t="n"/>
      <c r="R914" s="75" t="n"/>
      <c r="S914" s="75" t="n"/>
      <c r="T914" s="75" t="n"/>
      <c r="U914" s="75" t="n"/>
      <c r="V914" s="75" t="n"/>
      <c r="W914" s="75" t="n"/>
      <c r="X914" s="75" t="n"/>
      <c r="Y914" s="75" t="n"/>
      <c r="Z914" s="45" t="n"/>
    </row>
    <row r="915">
      <c r="A915" s="40" t="inlineStr">
        <is>
          <t>packing.totalPackage</t>
        </is>
      </c>
      <c r="B915" s="46" t="inlineStr">
        <is>
          <t>Tổng tải</t>
        </is>
      </c>
      <c r="C915" s="46" t="inlineStr">
        <is>
          <t>Total package</t>
        </is>
      </c>
      <c r="D915" s="43" t="n"/>
      <c r="E915" s="75" t="n"/>
      <c r="F915" s="75" t="n"/>
      <c r="G915" s="75" t="inlineStr">
        <is>
          <t>ចំនួនtảiសរុប</t>
        </is>
      </c>
      <c r="H915" s="75" t="inlineStr">
        <is>
          <t>ចំនួនtảiសរុប</t>
        </is>
      </c>
      <c r="I915" s="75" t="n"/>
      <c r="J915" s="75" t="n"/>
      <c r="K915" s="75" t="inlineStr">
        <is>
          <t>"packing.totalPackage": "ចំនួនtảiសរុប",</t>
        </is>
      </c>
      <c r="L915" s="75" t="n"/>
      <c r="M915" s="75" t="n"/>
      <c r="N915" s="75" t="n"/>
      <c r="O915" s="75" t="n"/>
      <c r="P915" s="75" t="n"/>
      <c r="Q915" s="75" t="n"/>
      <c r="R915" s="75" t="n"/>
      <c r="S915" s="75" t="n"/>
      <c r="T915" s="75" t="n"/>
      <c r="U915" s="75" t="n"/>
      <c r="V915" s="75" t="n"/>
      <c r="W915" s="75" t="n"/>
      <c r="X915" s="75" t="n"/>
      <c r="Y915" s="75" t="n"/>
      <c r="Z915" s="45" t="n"/>
    </row>
    <row r="916">
      <c r="A916" s="40" t="inlineStr">
        <is>
          <t>packing.groupmanually</t>
        </is>
      </c>
      <c r="B916" s="46" t="inlineStr">
        <is>
          <t>Gom bưu</t>
        </is>
      </c>
      <c r="C916" s="46" t="inlineStr">
        <is>
          <t>Group order</t>
        </is>
      </c>
      <c r="D916" s="43" t="n"/>
      <c r="E916" s="75" t="n"/>
      <c r="F916" s="75" t="n"/>
      <c r="G916" s="75" t="inlineStr">
        <is>
          <t>ប្រមូលផ្តុំកញ្ចប់បញ្ញើ</t>
        </is>
      </c>
      <c r="H916" s="75" t="inlineStr">
        <is>
          <t>ប្រមូលផ្តុំកញ្ចប់បញ្ញើ</t>
        </is>
      </c>
      <c r="I916" s="75" t="n"/>
      <c r="J916" s="75" t="n"/>
      <c r="K916" s="75" t="inlineStr">
        <is>
          <t>"packing.groupmanually": "ប្រមូលផ្តុំកញ្ចប់បញ្ញើ",</t>
        </is>
      </c>
      <c r="L916" s="75" t="n"/>
      <c r="M916" s="75" t="n"/>
      <c r="N916" s="75" t="n"/>
      <c r="O916" s="75" t="n"/>
      <c r="P916" s="75" t="n"/>
      <c r="Q916" s="75" t="n"/>
      <c r="R916" s="75" t="n"/>
      <c r="S916" s="75" t="n"/>
      <c r="T916" s="75" t="n"/>
      <c r="U916" s="75" t="n"/>
      <c r="V916" s="75" t="n"/>
      <c r="W916" s="75" t="n"/>
      <c r="X916" s="75" t="n"/>
      <c r="Y916" s="75" t="n"/>
      <c r="Z916" s="45" t="n"/>
    </row>
    <row r="917">
      <c r="A917" s="40" t="inlineStr">
        <is>
          <t>packing.listType</t>
        </is>
      </c>
      <c r="B917" s="46" t="inlineStr">
        <is>
          <t>Loại bảng kê</t>
        </is>
      </c>
      <c r="C917" s="46" t="inlineStr">
        <is>
          <t>Checklist type</t>
        </is>
      </c>
      <c r="D917" s="43" t="inlineStr">
        <is>
          <t>ប្រភេទតារាង</t>
        </is>
      </c>
      <c r="E917" s="75" t="n"/>
      <c r="F917" s="75" t="n"/>
      <c r="G917" s="75" t="inlineStr">
        <is>
          <t>ប្រភេទតារាង</t>
        </is>
      </c>
      <c r="H917" s="75" t="inlineStr">
        <is>
          <t>ប្រភេទតារាង</t>
        </is>
      </c>
      <c r="I917" s="75" t="n"/>
      <c r="J917" s="75" t="n"/>
      <c r="K917" s="75" t="inlineStr">
        <is>
          <t>"packing.listType": "ប្រភេទតារាង",</t>
        </is>
      </c>
      <c r="L917" s="75" t="n"/>
      <c r="M917" s="75" t="n"/>
      <c r="N917" s="75" t="n"/>
      <c r="O917" s="75" t="n"/>
      <c r="P917" s="75" t="n"/>
      <c r="Q917" s="75" t="n"/>
      <c r="R917" s="75" t="n"/>
      <c r="S917" s="75" t="n"/>
      <c r="T917" s="75" t="n"/>
      <c r="U917" s="75" t="n"/>
      <c r="V917" s="75" t="n"/>
      <c r="W917" s="75" t="n"/>
      <c r="X917" s="75" t="n"/>
      <c r="Y917" s="75" t="n"/>
      <c r="Z917" s="45" t="n"/>
    </row>
    <row r="918">
      <c r="A918" s="40" t="inlineStr">
        <is>
          <t>packing.direct</t>
        </is>
      </c>
      <c r="B918" s="46" t="inlineStr">
        <is>
          <t>Trực tiếp</t>
        </is>
      </c>
      <c r="C918" s="46" t="inlineStr">
        <is>
          <t>On-site</t>
        </is>
      </c>
      <c r="D918" s="43" t="inlineStr">
        <is>
          <t>ផ្ទាល់</t>
        </is>
      </c>
      <c r="E918" s="75" t="n"/>
      <c r="F918" s="75" t="n"/>
      <c r="G918" s="75" t="inlineStr">
        <is>
          <t>ផ្ទាល់</t>
        </is>
      </c>
      <c r="H918" s="75" t="inlineStr">
        <is>
          <t>ផ្ទាល់</t>
        </is>
      </c>
      <c r="I918" s="75" t="n"/>
      <c r="J918" s="75" t="n"/>
      <c r="K918" s="75" t="inlineStr">
        <is>
          <t>"packing.direct": "ផ្ទាល់",</t>
        </is>
      </c>
      <c r="L918" s="75" t="n"/>
      <c r="M918" s="75" t="n"/>
      <c r="N918" s="75" t="n"/>
      <c r="O918" s="75" t="n"/>
      <c r="P918" s="75" t="n"/>
      <c r="Q918" s="75" t="n"/>
      <c r="R918" s="75" t="n"/>
      <c r="S918" s="75" t="n"/>
      <c r="T918" s="75" t="n"/>
      <c r="U918" s="75" t="n"/>
      <c r="V918" s="75" t="n"/>
      <c r="W918" s="75" t="n"/>
      <c r="X918" s="75" t="n"/>
      <c r="Y918" s="75" t="n"/>
      <c r="Z918" s="45" t="n"/>
    </row>
    <row r="919">
      <c r="A919" s="40" t="inlineStr">
        <is>
          <t>packing.parcelType</t>
        </is>
      </c>
      <c r="B919" s="46" t="inlineStr">
        <is>
          <t>Loại hàng hoá</t>
        </is>
      </c>
      <c r="C919" s="46" t="inlineStr">
        <is>
          <t>Freight types</t>
        </is>
      </c>
      <c r="D919" s="75" t="inlineStr">
        <is>
          <t>ប្រភេទកញ្ចប់អីវ៉ាន់</t>
        </is>
      </c>
      <c r="E919" s="75" t="n"/>
      <c r="F919" s="75" t="n"/>
      <c r="G919" s="75" t="inlineStr">
        <is>
          <t>ប្រភេទកញ្ចប់អីវ៉ាន់</t>
        </is>
      </c>
      <c r="H919" s="75" t="inlineStr">
        <is>
          <t>ប្រភេទកញ្ចប់អីវ៉ាន់</t>
        </is>
      </c>
      <c r="I919" s="75" t="n"/>
      <c r="J919" s="75" t="n"/>
      <c r="K919" s="75" t="inlineStr">
        <is>
          <t>"packing.parcelType": "ប្រភេទកញ្ចប់អីវ៉ាន់",</t>
        </is>
      </c>
      <c r="L919" s="75" t="n"/>
      <c r="M919" s="75" t="n"/>
      <c r="N919" s="75" t="n"/>
      <c r="O919" s="75" t="n"/>
      <c r="P919" s="75" t="n"/>
      <c r="Q919" s="75" t="n"/>
      <c r="R919" s="75" t="n"/>
      <c r="S919" s="75" t="n"/>
      <c r="T919" s="75" t="n"/>
      <c r="U919" s="75" t="n"/>
      <c r="V919" s="75" t="n"/>
      <c r="W919" s="75" t="n"/>
      <c r="X919" s="75" t="n"/>
      <c r="Y919" s="75" t="n"/>
      <c r="Z919" s="45" t="n"/>
    </row>
    <row r="920">
      <c r="A920" s="40" t="inlineStr">
        <is>
          <t>packing.toAddress</t>
        </is>
      </c>
      <c r="B920" s="46" t="inlineStr">
        <is>
          <t>Nơi đến</t>
        </is>
      </c>
      <c r="C920" s="46" t="inlineStr">
        <is>
          <t>Destination</t>
        </is>
      </c>
      <c r="D920" s="75" t="inlineStr">
        <is>
          <t>កន្លែងមកដល់</t>
        </is>
      </c>
      <c r="E920" s="75" t="n"/>
      <c r="F920" s="75" t="n"/>
      <c r="G920" s="75" t="inlineStr">
        <is>
          <t>កន្លែងមកដល់</t>
        </is>
      </c>
      <c r="H920" s="75" t="inlineStr">
        <is>
          <t>កន្លែងមកដល់</t>
        </is>
      </c>
      <c r="I920" s="75" t="n"/>
      <c r="J920" s="75" t="n"/>
      <c r="K920" s="75" t="inlineStr">
        <is>
          <t>"packing.toAddress": "កន្លែងមកដល់",</t>
        </is>
      </c>
      <c r="L920" s="75" t="n"/>
      <c r="M920" s="75" t="n"/>
      <c r="N920" s="75" t="n"/>
      <c r="O920" s="75" t="n"/>
      <c r="P920" s="75" t="n"/>
      <c r="Q920" s="75" t="n"/>
      <c r="R920" s="75" t="n"/>
      <c r="S920" s="75" t="n"/>
      <c r="T920" s="75" t="n"/>
      <c r="U920" s="75" t="n"/>
      <c r="V920" s="75" t="n"/>
      <c r="W920" s="75" t="n"/>
      <c r="X920" s="75" t="n"/>
      <c r="Y920" s="75" t="n"/>
      <c r="Z920" s="45" t="n"/>
    </row>
    <row r="921">
      <c r="A921" s="40" t="inlineStr">
        <is>
          <t>packing.enterNote</t>
        </is>
      </c>
      <c r="B921" s="46" t="inlineStr">
        <is>
          <t>Nhập nội dung ghi chú</t>
        </is>
      </c>
      <c r="C921" s="46" t="inlineStr">
        <is>
          <t>Note here</t>
        </is>
      </c>
      <c r="D921" s="43" t="inlineStr">
        <is>
          <t>បញ្ចូលខ្លឹមសារចំណាំ</t>
        </is>
      </c>
      <c r="E921" s="75" t="n"/>
      <c r="F921" s="75" t="n"/>
      <c r="G921" s="75" t="inlineStr">
        <is>
          <t>បញ្ចូលខ្លឹមសារចំណាំ</t>
        </is>
      </c>
      <c r="H921" s="75" t="inlineStr">
        <is>
          <t>បញ្ចូលខ្លឹមសារចំណាំ</t>
        </is>
      </c>
      <c r="I921" s="75" t="n"/>
      <c r="J921" s="75" t="n"/>
      <c r="K921" s="75" t="inlineStr">
        <is>
          <t>"packing.enterNote": "បញ្ចូលខ្លឹមសារចំណាំ",</t>
        </is>
      </c>
      <c r="L921" s="75" t="n"/>
      <c r="M921" s="75" t="n"/>
      <c r="N921" s="75" t="n"/>
      <c r="O921" s="75" t="n"/>
      <c r="P921" s="75" t="n"/>
      <c r="Q921" s="75" t="n"/>
      <c r="R921" s="75" t="n"/>
      <c r="S921" s="75" t="n"/>
      <c r="T921" s="75" t="n"/>
      <c r="U921" s="75" t="n"/>
      <c r="V921" s="75" t="n"/>
      <c r="W921" s="75" t="n"/>
      <c r="X921" s="75" t="n"/>
      <c r="Y921" s="75" t="n"/>
      <c r="Z921" s="45" t="n"/>
    </row>
    <row r="922">
      <c r="A922" s="40" t="inlineStr">
        <is>
          <t>packing.completePacking</t>
        </is>
      </c>
      <c r="B922" s="46" t="inlineStr">
        <is>
          <t>Hoàn thành tải thành công</t>
        </is>
      </c>
      <c r="C922" s="46" t="inlineStr">
        <is>
          <t>Pack up the package successfully</t>
        </is>
      </c>
      <c r="D922" s="43" t="n"/>
      <c r="E922" s="75" t="n"/>
      <c r="F922" s="75" t="n"/>
      <c r="G922" s="75" t="inlineStr">
        <is>
          <t>បានបញ្ចប់ tải ជោគជ័យ</t>
        </is>
      </c>
      <c r="H922" s="75" t="inlineStr">
        <is>
          <t>បានបញ្ចប់ tải ជោគជ័យ</t>
        </is>
      </c>
      <c r="I922" s="75" t="n"/>
      <c r="J922" s="75" t="n"/>
      <c r="K922" s="75" t="inlineStr">
        <is>
          <t>"packing.completePacking": "បានបញ្ចប់ tải ជោគជ័យ",</t>
        </is>
      </c>
      <c r="L922" s="75" t="n"/>
      <c r="M922" s="75" t="n"/>
      <c r="N922" s="75" t="n"/>
      <c r="O922" s="75" t="n"/>
      <c r="P922" s="75" t="n"/>
      <c r="Q922" s="75" t="n"/>
      <c r="R922" s="75" t="n"/>
      <c r="S922" s="75" t="n"/>
      <c r="T922" s="75" t="n"/>
      <c r="U922" s="75" t="n"/>
      <c r="V922" s="75" t="n"/>
      <c r="W922" s="75" t="n"/>
      <c r="X922" s="75" t="n"/>
      <c r="Y922" s="75" t="n"/>
      <c r="Z922" s="45" t="n"/>
    </row>
    <row r="923">
      <c r="A923" s="40" t="inlineStr">
        <is>
          <t>packing.emptyAddOrder</t>
        </is>
      </c>
      <c r="B923" s="46" t="inlineStr">
        <is>
          <t>Vui lòng nhập mã phiếu gửi</t>
        </is>
      </c>
      <c r="C923" s="46" t="inlineStr">
        <is>
          <t>Please enter the postal slip code</t>
        </is>
      </c>
      <c r="D923" s="43" t="inlineStr">
        <is>
          <t>សូមបញ្ចូលលេខកូដបុងបញ្ញើ</t>
        </is>
      </c>
      <c r="E923" s="75" t="n"/>
      <c r="F923" s="75" t="n"/>
      <c r="G923" s="75" t="inlineStr">
        <is>
          <t>សូមបញ្ចូលលេខកូដបុងបញ្ញើ</t>
        </is>
      </c>
      <c r="H923" s="75" t="inlineStr">
        <is>
          <t>សូមបញ្ចូលលេខកូដបុងបញ្ញើ</t>
        </is>
      </c>
      <c r="I923" s="75" t="n"/>
      <c r="J923" s="75" t="n"/>
      <c r="K923" s="75" t="inlineStr">
        <is>
          <t>"packing.emptyAddOrder": "សូមបញ្ចូលលេខកូដបុងបញ្ញើ",</t>
        </is>
      </c>
      <c r="L923" s="75" t="n"/>
      <c r="M923" s="75" t="n"/>
      <c r="N923" s="75" t="n"/>
      <c r="O923" s="75" t="n"/>
      <c r="P923" s="75" t="n"/>
      <c r="Q923" s="75" t="n"/>
      <c r="R923" s="75" t="n"/>
      <c r="S923" s="75" t="n"/>
      <c r="T923" s="75" t="n"/>
      <c r="U923" s="75" t="n"/>
      <c r="V923" s="75" t="n"/>
      <c r="W923" s="75" t="n"/>
      <c r="X923" s="75" t="n"/>
      <c r="Y923" s="75" t="n"/>
      <c r="Z923" s="45" t="n"/>
    </row>
    <row r="924">
      <c r="A924" s="40" t="inlineStr">
        <is>
          <t>packing.addOrder</t>
        </is>
      </c>
      <c r="B924" s="46" t="inlineStr">
        <is>
          <t>Thêm đơn hàng</t>
        </is>
      </c>
      <c r="C924" s="46" t="inlineStr">
        <is>
          <t>Add more order</t>
        </is>
      </c>
      <c r="D924" s="46" t="inlineStr">
        <is>
          <t>បន្ថែមបុងបញ្ញើ</t>
        </is>
      </c>
      <c r="E924" s="75" t="n"/>
      <c r="F924" s="75" t="n"/>
      <c r="G924" s="75" t="inlineStr">
        <is>
          <t>បន្ថែមបុងបញ្ញើ</t>
        </is>
      </c>
      <c r="H924" s="75" t="inlineStr">
        <is>
          <t>បន្ថែមបុងបញ្ញើ</t>
        </is>
      </c>
      <c r="I924" s="75" t="n"/>
      <c r="J924" s="75" t="n"/>
      <c r="K924" s="75" t="inlineStr">
        <is>
          <t>"packing.addOrder": "បន្ថែមបុងបញ្ញើ",</t>
        </is>
      </c>
      <c r="L924" s="75" t="n"/>
      <c r="M924" s="75" t="n"/>
      <c r="N924" s="75" t="n"/>
      <c r="O924" s="75" t="n"/>
      <c r="P924" s="75" t="n"/>
      <c r="Q924" s="75" t="n"/>
      <c r="R924" s="75" t="n"/>
      <c r="S924" s="75" t="n"/>
      <c r="T924" s="75" t="n"/>
      <c r="U924" s="75" t="n"/>
      <c r="V924" s="75" t="n"/>
      <c r="W924" s="75" t="n"/>
      <c r="X924" s="75" t="n"/>
      <c r="Y924" s="75" t="n"/>
      <c r="Z924" s="45" t="n"/>
    </row>
    <row r="925">
      <c r="A925" s="40" t="inlineStr">
        <is>
          <t>packing.enterOrderCodeToAdd</t>
        </is>
      </c>
      <c r="B925" s="46" t="inlineStr">
        <is>
          <t>Nhập mã phiếu gửi để quét</t>
        </is>
      </c>
      <c r="C925" s="46" t="inlineStr">
        <is>
          <t>Enter postal slip code to scan</t>
        </is>
      </c>
      <c r="D925" s="43" t="inlineStr">
        <is>
          <t>បញ្ចូលលេខកូដបុងបញ្ញើដើម្បីស្កេន</t>
        </is>
      </c>
      <c r="E925" s="75" t="n"/>
      <c r="F925" s="75" t="n"/>
      <c r="G925" s="75" t="inlineStr">
        <is>
          <t>បញ្ចូលលេខកូដបុងបញ្ញើដើម្បីស្កេន</t>
        </is>
      </c>
      <c r="H925" s="75" t="inlineStr">
        <is>
          <t>បញ្ចូលលេខកូដបុងបញ្ញើដើម្បីស្កេន</t>
        </is>
      </c>
      <c r="I925" s="75" t="n"/>
      <c r="J925" s="75" t="n"/>
      <c r="K925" s="75" t="inlineStr">
        <is>
          <t>"packing.enterOrderCodeToAdd": "បញ្ចូលលេខកូដបុងបញ្ញើដើម្បីស្កេន",</t>
        </is>
      </c>
      <c r="L925" s="75" t="n"/>
      <c r="M925" s="75" t="n"/>
      <c r="N925" s="75" t="n"/>
      <c r="O925" s="75" t="n"/>
      <c r="P925" s="75" t="n"/>
      <c r="Q925" s="75" t="n"/>
      <c r="R925" s="75" t="n"/>
      <c r="S925" s="75" t="n"/>
      <c r="T925" s="75" t="n"/>
      <c r="U925" s="75" t="n"/>
      <c r="V925" s="75" t="n"/>
      <c r="W925" s="75" t="n"/>
      <c r="X925" s="75" t="n"/>
      <c r="Y925" s="75" t="n"/>
      <c r="Z925" s="45" t="n"/>
    </row>
    <row r="926">
      <c r="A926" s="40" t="inlineStr">
        <is>
          <t>packing.complete</t>
        </is>
      </c>
      <c r="B926" s="46" t="inlineStr">
        <is>
          <t>Hoàn thành</t>
        </is>
      </c>
      <c r="C926" s="46" t="inlineStr">
        <is>
          <t>Complete</t>
        </is>
      </c>
      <c r="D926" s="75" t="inlineStr">
        <is>
          <t>បញ្ចប់</t>
        </is>
      </c>
      <c r="E926" s="75" t="n"/>
      <c r="F926" s="75" t="n"/>
      <c r="G926" s="75" t="inlineStr">
        <is>
          <t>បានបញ្ចប់</t>
        </is>
      </c>
      <c r="H926" s="75" t="inlineStr">
        <is>
          <t>បានបញ្ចប់</t>
        </is>
      </c>
      <c r="I926" s="75" t="n"/>
      <c r="J926" s="75" t="n"/>
      <c r="K926" s="75" t="inlineStr">
        <is>
          <t>"packing.complete": "បានបញ្ចប់",</t>
        </is>
      </c>
      <c r="L926" s="75" t="n"/>
      <c r="M926" s="75" t="n"/>
      <c r="N926" s="75" t="n"/>
      <c r="O926" s="75" t="n"/>
      <c r="P926" s="75" t="n"/>
      <c r="Q926" s="75" t="n"/>
      <c r="R926" s="75" t="n"/>
      <c r="S926" s="75" t="n"/>
      <c r="T926" s="75" t="n"/>
      <c r="U926" s="75" t="n"/>
      <c r="V926" s="75" t="n"/>
      <c r="W926" s="75" t="n"/>
      <c r="X926" s="75" t="n"/>
      <c r="Y926" s="75" t="n"/>
      <c r="Z926" s="45" t="n"/>
    </row>
    <row r="927">
      <c r="A927" s="40" t="inlineStr">
        <is>
          <t>packing.deleteOrder</t>
        </is>
      </c>
      <c r="B927" s="46" t="inlineStr">
        <is>
          <t>Loại bỏ</t>
        </is>
      </c>
      <c r="C927" s="46" t="inlineStr">
        <is>
          <t>Remove</t>
        </is>
      </c>
      <c r="D927" s="75" t="inlineStr">
        <is>
          <t>លុបចោល</t>
        </is>
      </c>
      <c r="E927" s="75" t="n"/>
      <c r="F927" s="75" t="n"/>
      <c r="G927" s="75" t="inlineStr">
        <is>
          <t>លុបចោល</t>
        </is>
      </c>
      <c r="H927" s="75" t="inlineStr">
        <is>
          <t>លុបចោល</t>
        </is>
      </c>
      <c r="I927" s="75" t="n"/>
      <c r="J927" s="75" t="n"/>
      <c r="K927" s="75" t="inlineStr">
        <is>
          <t>"packing.deleteOrder": "លុបចោល",</t>
        </is>
      </c>
      <c r="L927" s="75" t="n"/>
      <c r="M927" s="75" t="n"/>
      <c r="N927" s="75" t="n"/>
      <c r="O927" s="75" t="n"/>
      <c r="P927" s="75" t="n"/>
      <c r="Q927" s="75" t="n"/>
      <c r="R927" s="75" t="n"/>
      <c r="S927" s="75" t="n"/>
      <c r="T927" s="75" t="n"/>
      <c r="U927" s="75" t="n"/>
      <c r="V927" s="75" t="n"/>
      <c r="W927" s="75" t="n"/>
      <c r="X927" s="75" t="n"/>
      <c r="Y927" s="75" t="n"/>
      <c r="Z927" s="45" t="n"/>
    </row>
    <row r="928">
      <c r="A928" s="40" t="inlineStr">
        <is>
          <t>packing.deleteSelectedOrder</t>
        </is>
      </c>
      <c r="B928" s="46" t="inlineStr">
        <is>
          <t>Xoá đơn đã chọn</t>
        </is>
      </c>
      <c r="C928" s="46" t="inlineStr">
        <is>
          <t>Delete selected order</t>
        </is>
      </c>
      <c r="D928" s="43" t="inlineStr">
        <is>
          <t>លុបបុងដែលបានជ្រើសរើស</t>
        </is>
      </c>
      <c r="E928" s="75" t="n"/>
      <c r="F928" s="75" t="n"/>
      <c r="G928" s="75" t="inlineStr">
        <is>
          <t>លុបបុងដែលបានជ្រើសរើស</t>
        </is>
      </c>
      <c r="H928" s="75" t="inlineStr">
        <is>
          <t>លុបបុងដែលបានជ្រើសរើស</t>
        </is>
      </c>
      <c r="I928" s="75" t="n"/>
      <c r="J928" s="75" t="n"/>
      <c r="K928" s="75" t="inlineStr">
        <is>
          <t>"packing.deleteSelectedOrder": "លុបបុងដែលបានជ្រើសរើស",</t>
        </is>
      </c>
      <c r="L928" s="75" t="n"/>
      <c r="M928" s="75" t="n"/>
      <c r="N928" s="75" t="n"/>
      <c r="O928" s="75" t="n"/>
      <c r="P928" s="75" t="n"/>
      <c r="Q928" s="75" t="n"/>
      <c r="R928" s="75" t="n"/>
      <c r="S928" s="75" t="n"/>
      <c r="T928" s="75" t="n"/>
      <c r="U928" s="75" t="n"/>
      <c r="V928" s="75" t="n"/>
      <c r="W928" s="75" t="n"/>
      <c r="X928" s="75" t="n"/>
      <c r="Y928" s="75" t="n"/>
      <c r="Z928" s="45" t="n"/>
    </row>
    <row r="929">
      <c r="A929" s="40" t="inlineStr">
        <is>
          <t>packing.totalOrder</t>
        </is>
      </c>
      <c r="B929" s="46" t="inlineStr">
        <is>
          <t>Tổng đơn</t>
        </is>
      </c>
      <c r="C929" s="46" t="inlineStr">
        <is>
          <t>Total order</t>
        </is>
      </c>
      <c r="D929" s="43" t="inlineStr">
        <is>
          <t>សរុបបុងបញ្ញើ</t>
        </is>
      </c>
      <c r="E929" s="75" t="n"/>
      <c r="F929" s="75" t="n"/>
      <c r="G929" s="75" t="inlineStr">
        <is>
          <t>សរុបបុងបញ្ញើ</t>
        </is>
      </c>
      <c r="H929" s="75" t="inlineStr">
        <is>
          <t>សរុបបុងបញ្ញើ</t>
        </is>
      </c>
      <c r="I929" s="75" t="n"/>
      <c r="J929" s="75" t="n"/>
      <c r="K929" s="75" t="inlineStr">
        <is>
          <t>"packing.totalOrder": "សរុបបុងបញ្ញើ",</t>
        </is>
      </c>
      <c r="L929" s="75" t="n"/>
      <c r="M929" s="75" t="n"/>
      <c r="N929" s="75" t="n"/>
      <c r="O929" s="75" t="n"/>
      <c r="P929" s="75" t="n"/>
      <c r="Q929" s="75" t="n"/>
      <c r="R929" s="75" t="n"/>
      <c r="S929" s="75" t="n"/>
      <c r="T929" s="75" t="n"/>
      <c r="U929" s="75" t="n"/>
      <c r="V929" s="75" t="n"/>
      <c r="W929" s="75" t="n"/>
      <c r="X929" s="75" t="n"/>
      <c r="Y929" s="75" t="n"/>
      <c r="Z929" s="45" t="n"/>
    </row>
    <row r="930">
      <c r="A930" s="40" t="inlineStr">
        <is>
          <t>packing.removeOrderFail</t>
        </is>
      </c>
      <c r="B930" s="46" t="inlineStr">
        <is>
          <t>Xoá đơn khỏi tải thất bại</t>
        </is>
      </c>
      <c r="C930" s="46" t="inlineStr">
        <is>
          <t>Failed to remove order from package</t>
        </is>
      </c>
      <c r="D930" s="43" t="n"/>
      <c r="E930" s="75" t="n"/>
      <c r="F930" s="75" t="n"/>
      <c r="G930" s="75" t="inlineStr">
        <is>
          <t>Xoá បញ្ញើ khỏi tải បរាជ័យ</t>
        </is>
      </c>
      <c r="H930" s="75" t="inlineStr">
        <is>
          <t>Xoá បញ្ញើ khỏi tải បរាជ័យ</t>
        </is>
      </c>
      <c r="I930" s="75" t="n"/>
      <c r="J930" s="75" t="n"/>
      <c r="K930" s="75" t="inlineStr">
        <is>
          <t>"packing.removeOrderFail": "Xoá បញ្ញើ khỏi tải បរាជ័យ",</t>
        </is>
      </c>
      <c r="L930" s="75" t="n"/>
      <c r="M930" s="75" t="n"/>
      <c r="N930" s="75" t="n"/>
      <c r="O930" s="75" t="n"/>
      <c r="P930" s="75" t="n"/>
      <c r="Q930" s="75" t="n"/>
      <c r="R930" s="75" t="n"/>
      <c r="S930" s="75" t="n"/>
      <c r="T930" s="75" t="n"/>
      <c r="U930" s="75" t="n"/>
      <c r="V930" s="75" t="n"/>
      <c r="W930" s="75" t="n"/>
      <c r="X930" s="75" t="n"/>
      <c r="Y930" s="75" t="n"/>
      <c r="Z930" s="45" t="n"/>
    </row>
    <row r="931">
      <c r="A931" s="40" t="inlineStr">
        <is>
          <t>packing.removeOrderSuccess</t>
        </is>
      </c>
      <c r="B931" s="46" t="inlineStr">
        <is>
          <t>Xoá đơn khỏi tải thành công</t>
        </is>
      </c>
      <c r="C931" s="46" t="inlineStr">
        <is>
          <t>Successfully removed order from package</t>
        </is>
      </c>
      <c r="D931" s="43" t="n"/>
      <c r="E931" s="75" t="n"/>
      <c r="F931" s="75" t="n"/>
      <c r="G931" s="75" t="inlineStr">
        <is>
          <t>Xoá បញ្ញើ khỏi tải ជោគជ័យ</t>
        </is>
      </c>
      <c r="H931" s="75" t="inlineStr">
        <is>
          <t>Xoá បញ្ញើ khỏi tải ជោគជ័យ</t>
        </is>
      </c>
      <c r="I931" s="75" t="n"/>
      <c r="J931" s="75" t="n"/>
      <c r="K931" s="75" t="inlineStr">
        <is>
          <t>"packing.removeOrderSuccess": "Xoá បញ្ញើ khỏi tải ជោគជ័យ",</t>
        </is>
      </c>
      <c r="L931" s="75" t="n"/>
      <c r="M931" s="75" t="n"/>
      <c r="N931" s="75" t="n"/>
      <c r="O931" s="75" t="n"/>
      <c r="P931" s="75" t="n"/>
      <c r="Q931" s="75" t="n"/>
      <c r="R931" s="75" t="n"/>
      <c r="S931" s="75" t="n"/>
      <c r="T931" s="75" t="n"/>
      <c r="U931" s="75" t="n"/>
      <c r="V931" s="75" t="n"/>
      <c r="W931" s="75" t="n"/>
      <c r="X931" s="75" t="n"/>
      <c r="Y931" s="75" t="n"/>
      <c r="Z931" s="45" t="n"/>
    </row>
    <row r="932">
      <c r="A932" s="40" t="inlineStr">
        <is>
          <t>packing.detailPacking</t>
        </is>
      </c>
      <c r="B932" s="46" t="inlineStr">
        <is>
          <t>Chi tiết tải</t>
        </is>
      </c>
      <c r="C932" s="46" t="inlineStr">
        <is>
          <t>Package details</t>
        </is>
      </c>
      <c r="D932" s="43" t="inlineStr">
        <is>
          <t>លម្អិតពីជើងដឹក</t>
        </is>
      </c>
      <c r="E932" s="75" t="n"/>
      <c r="F932" s="75" t="n"/>
      <c r="G932" s="75" t="inlineStr">
        <is>
          <t>លម្អិតពីជើងដឹក</t>
        </is>
      </c>
      <c r="H932" s="75" t="inlineStr">
        <is>
          <t>លម្អិតពីជើងដឹក</t>
        </is>
      </c>
      <c r="I932" s="75" t="n"/>
      <c r="J932" s="75" t="n"/>
      <c r="K932" s="75" t="inlineStr">
        <is>
          <t>"packing.detailPacking": "លម្អិតពីជើងដឹក",</t>
        </is>
      </c>
      <c r="L932" s="75" t="n"/>
      <c r="M932" s="75" t="n"/>
      <c r="N932" s="75" t="n"/>
      <c r="O932" s="75" t="n"/>
      <c r="P932" s="75" t="n"/>
      <c r="Q932" s="75" t="n"/>
      <c r="R932" s="75" t="n"/>
      <c r="S932" s="75" t="n"/>
      <c r="T932" s="75" t="n"/>
      <c r="U932" s="75" t="n"/>
      <c r="V932" s="75" t="n"/>
      <c r="W932" s="75" t="n"/>
      <c r="X932" s="75" t="n"/>
      <c r="Y932" s="75" t="n"/>
      <c r="Z932" s="45" t="n"/>
    </row>
    <row r="933">
      <c r="A933" s="40" t="inlineStr">
        <is>
          <t>packing.addOrderSuccess</t>
        </is>
      </c>
      <c r="B933" s="46" t="inlineStr">
        <is>
          <t>Thêm đơn thành công</t>
        </is>
      </c>
      <c r="C933" s="46" t="inlineStr">
        <is>
          <t>Add more order sucessfully</t>
        </is>
      </c>
      <c r="D933" s="46" t="inlineStr">
        <is>
          <t>បន្ថែមបុុងបញ្ញើបានជោគជ័យ</t>
        </is>
      </c>
      <c r="E933" s="75" t="n"/>
      <c r="F933" s="75" t="n"/>
      <c r="G933" s="75" t="inlineStr">
        <is>
          <t>បន្ថែមបុុងបញ្ញើបានជោគជ័យ</t>
        </is>
      </c>
      <c r="H933" s="75" t="inlineStr">
        <is>
          <t>បន្ថែមបុុងបញ្ញើបានជោគជ័យ</t>
        </is>
      </c>
      <c r="I933" s="75" t="n"/>
      <c r="J933" s="75" t="n"/>
      <c r="K933" s="75" t="inlineStr">
        <is>
          <t>"packing.addOrderSuccess": "បន្ថែមបុុងបញ្ញើបានជោគជ័យ",</t>
        </is>
      </c>
      <c r="L933" s="75" t="n"/>
      <c r="M933" s="75" t="n"/>
      <c r="N933" s="75" t="n"/>
      <c r="O933" s="75" t="n"/>
      <c r="P933" s="75" t="n"/>
      <c r="Q933" s="75" t="n"/>
      <c r="R933" s="75" t="n"/>
      <c r="S933" s="75" t="n"/>
      <c r="T933" s="75" t="n"/>
      <c r="U933" s="75" t="n"/>
      <c r="V933" s="75" t="n"/>
      <c r="W933" s="75" t="n"/>
      <c r="X933" s="75" t="n"/>
      <c r="Y933" s="75" t="n"/>
      <c r="Z933" s="45" t="n"/>
    </row>
    <row r="934">
      <c r="A934" s="40" t="inlineStr">
        <is>
          <t>packing.deleteDescription</t>
        </is>
      </c>
      <c r="B934" s="46" t="inlineStr">
        <is>
          <t>Đồng chí có chắc chắn muốn xóa phiếu gửi</t>
        </is>
      </c>
      <c r="C934" s="46" t="inlineStr">
        <is>
          <t>Are you sure to report these postal slips</t>
        </is>
      </c>
      <c r="D934" s="43" t="inlineStr">
        <is>
          <t>តើអ្នកពិតជាចង់លុុបបុងបញ្ញើមែនទេ</t>
        </is>
      </c>
      <c r="E934" s="75" t="n"/>
      <c r="F934" s="75" t="n"/>
      <c r="G934" s="75" t="inlineStr">
        <is>
          <t>តើអ្នកពិតជាចង់លុុបបុងបញ្ញើមែនទេ</t>
        </is>
      </c>
      <c r="H934" s="75" t="inlineStr">
        <is>
          <t>តើអ្នកពិតជាចង់លុុបបុងបញ្ញើមែនទេ</t>
        </is>
      </c>
      <c r="I934" s="75" t="n"/>
      <c r="J934" s="75" t="n"/>
      <c r="K934" s="75" t="inlineStr">
        <is>
          <t>"packing.deleteDescription": "តើអ្នកពិតជាចង់លុុបបុងបញ្ញើមែនទេ",</t>
        </is>
      </c>
      <c r="L934" s="75" t="n"/>
      <c r="M934" s="75" t="n"/>
      <c r="N934" s="75" t="n"/>
      <c r="O934" s="75" t="n"/>
      <c r="P934" s="75" t="n"/>
      <c r="Q934" s="75" t="n"/>
      <c r="R934" s="75" t="n"/>
      <c r="S934" s="75" t="n"/>
      <c r="T934" s="75" t="n"/>
      <c r="U934" s="75" t="n"/>
      <c r="V934" s="75" t="n"/>
      <c r="W934" s="75" t="n"/>
      <c r="X934" s="75" t="n"/>
      <c r="Y934" s="75" t="n"/>
      <c r="Z934" s="45" t="n"/>
    </row>
    <row r="935">
      <c r="A935" s="40" t="inlineStr">
        <is>
          <t>packing.completePackingSuccess</t>
        </is>
      </c>
      <c r="B935" s="46" t="inlineStr">
        <is>
          <t>Gom tải thành công!</t>
        </is>
      </c>
      <c r="C935" s="46" t="inlineStr">
        <is>
          <t>Group package successful!</t>
        </is>
      </c>
      <c r="D935" s="75" t="n"/>
      <c r="E935" s="75" t="n"/>
      <c r="F935" s="75" t="n"/>
      <c r="G935" s="75" t="inlineStr">
        <is>
          <t>Gom tải ជោគជ័យ!</t>
        </is>
      </c>
      <c r="H935" s="75" t="inlineStr">
        <is>
          <t>Gom tải ជោគជ័យ!</t>
        </is>
      </c>
      <c r="I935" s="75" t="n"/>
      <c r="J935" s="75" t="n"/>
      <c r="K935" s="75" t="inlineStr">
        <is>
          <t>"packing.completePackingSuccess": "Gom tải ជោគជ័យ!",</t>
        </is>
      </c>
      <c r="L935" s="75" t="n"/>
      <c r="M935" s="75" t="n"/>
      <c r="N935" s="75" t="n"/>
      <c r="O935" s="75" t="n"/>
      <c r="P935" s="75" t="n"/>
      <c r="Q935" s="75" t="n"/>
      <c r="R935" s="75" t="n"/>
      <c r="S935" s="75" t="n"/>
      <c r="T935" s="75" t="n"/>
      <c r="U935" s="75" t="n"/>
      <c r="V935" s="75" t="n"/>
      <c r="W935" s="75" t="n"/>
      <c r="X935" s="75" t="n"/>
      <c r="Y935" s="75" t="n"/>
      <c r="Z935" s="45" t="n"/>
    </row>
    <row r="936">
      <c r="A936" s="40" t="inlineStr">
        <is>
          <t>packing.emptyPacking</t>
        </is>
      </c>
      <c r="B936" s="46" t="inlineStr">
        <is>
          <t>Vui lòng chọn tải cần in</t>
        </is>
      </c>
      <c r="C936" s="46" t="inlineStr">
        <is>
          <t>Please select the package to print</t>
        </is>
      </c>
      <c r="D936" s="75" t="n"/>
      <c r="E936" s="75" t="n"/>
      <c r="F936" s="75" t="n"/>
      <c r="G936" s="75" t="inlineStr">
        <is>
          <t>សូមជ្រើសរើសtải cần in</t>
        </is>
      </c>
      <c r="H936" s="75" t="inlineStr">
        <is>
          <t>សូមជ្រើសរើសtải cần in</t>
        </is>
      </c>
      <c r="I936" s="75" t="n"/>
      <c r="J936" s="75" t="n"/>
      <c r="K936" s="75" t="inlineStr">
        <is>
          <t>"packing.emptyPacking": "សូមជ្រើសរើសtải cần in",</t>
        </is>
      </c>
      <c r="L936" s="75" t="n"/>
      <c r="M936" s="75" t="n"/>
      <c r="N936" s="75" t="n"/>
      <c r="O936" s="75" t="n"/>
      <c r="P936" s="75" t="n"/>
      <c r="Q936" s="75" t="n"/>
      <c r="R936" s="75" t="n"/>
      <c r="S936" s="75" t="n"/>
      <c r="T936" s="75" t="n"/>
      <c r="U936" s="75" t="n"/>
      <c r="V936" s="75" t="n"/>
      <c r="W936" s="75" t="n"/>
      <c r="X936" s="75" t="n"/>
      <c r="Y936" s="75" t="n"/>
      <c r="Z936" s="45" t="n"/>
    </row>
    <row r="937">
      <c r="A937" s="40" t="inlineStr">
        <is>
          <t>packing.enterPackageAndDestination</t>
        </is>
      </c>
      <c r="B937" s="46" t="inlineStr">
        <is>
          <t>Nhập mã tải hoặc điểm đến</t>
        </is>
      </c>
      <c r="C937" s="46" t="inlineStr">
        <is>
          <t>Enter the package code or destination</t>
        </is>
      </c>
      <c r="D937" s="43" t="n"/>
      <c r="E937" s="75" t="n"/>
      <c r="F937" s="75" t="n"/>
      <c r="G937" s="75" t="inlineStr">
        <is>
          <t>បញ្ចូលលេខកូដ tải hoặc điểm đến</t>
        </is>
      </c>
      <c r="H937" s="75" t="inlineStr">
        <is>
          <t>បញ្ចូលលេខកូដ tải hoặc điểm đến</t>
        </is>
      </c>
      <c r="I937" s="75" t="n"/>
      <c r="J937" s="75" t="n"/>
      <c r="K937" s="75" t="inlineStr">
        <is>
          <t>"packing.enterPackageAndDestination": "បញ្ចូលលេខកូដ tải hoặc điểm đến",</t>
        </is>
      </c>
      <c r="L937" s="75" t="n"/>
      <c r="M937" s="75" t="n"/>
      <c r="N937" s="75" t="n"/>
      <c r="O937" s="75" t="n"/>
      <c r="P937" s="75" t="n"/>
      <c r="Q937" s="75" t="n"/>
      <c r="R937" s="75" t="n"/>
      <c r="S937" s="75" t="n"/>
      <c r="T937" s="75" t="n"/>
      <c r="U937" s="75" t="n"/>
      <c r="V937" s="75" t="n"/>
      <c r="W937" s="75" t="n"/>
      <c r="X937" s="75" t="n"/>
      <c r="Y937" s="75" t="n"/>
      <c r="Z937" s="45" t="n"/>
    </row>
    <row r="938">
      <c r="A938" s="40" t="inlineStr">
        <is>
          <t>packing.printPacking</t>
        </is>
      </c>
      <c r="B938" s="46" t="inlineStr">
        <is>
          <t>In mã tải</t>
        </is>
      </c>
      <c r="C938" s="46" t="inlineStr">
        <is>
          <t>Print code</t>
        </is>
      </c>
      <c r="D938" s="43" t="n"/>
      <c r="E938" s="75" t="n"/>
      <c r="F938" s="75" t="n"/>
      <c r="G938" s="75" t="inlineStr">
        <is>
          <t>In លេខកូដ tải</t>
        </is>
      </c>
      <c r="H938" s="75" t="inlineStr">
        <is>
          <t>In លេខកូដ tải</t>
        </is>
      </c>
      <c r="I938" s="75" t="n"/>
      <c r="J938" s="75" t="n"/>
      <c r="K938" s="75" t="inlineStr">
        <is>
          <t>"packing.printPacking": "In លេខកូដ tải",</t>
        </is>
      </c>
      <c r="L938" s="75" t="n"/>
      <c r="M938" s="75" t="n"/>
      <c r="N938" s="75" t="n"/>
      <c r="O938" s="75" t="n"/>
      <c r="P938" s="75" t="n"/>
      <c r="Q938" s="75" t="n"/>
      <c r="R938" s="75" t="n"/>
      <c r="S938" s="75" t="n"/>
      <c r="T938" s="75" t="n"/>
      <c r="U938" s="75" t="n"/>
      <c r="V938" s="75" t="n"/>
      <c r="W938" s="75" t="n"/>
      <c r="X938" s="75" t="n"/>
      <c r="Y938" s="75" t="n"/>
      <c r="Z938" s="45" t="n"/>
    </row>
    <row r="939">
      <c r="A939" s="40" t="inlineStr">
        <is>
          <t>packing.parcelSackCode</t>
        </is>
      </c>
      <c r="B939" s="46" t="inlineStr">
        <is>
          <t>Mã tải kiện</t>
        </is>
      </c>
      <c r="C939" s="46" t="inlineStr">
        <is>
          <t>Package code</t>
        </is>
      </c>
      <c r="D939" s="43" t="inlineStr">
        <is>
          <t>លេខកូដកញ្ចប់អីវ៉ាន់</t>
        </is>
      </c>
      <c r="E939" s="75" t="n"/>
      <c r="F939" s="75" t="n"/>
      <c r="G939" s="75" t="inlineStr">
        <is>
          <t>លេខកូដកញ្ចប់អីវ៉ាន់</t>
        </is>
      </c>
      <c r="H939" s="75" t="inlineStr">
        <is>
          <t>លេខកូដកញ្ចប់អីវ៉ាន់</t>
        </is>
      </c>
      <c r="I939" s="75" t="n"/>
      <c r="J939" s="75" t="n"/>
      <c r="K939" s="75" t="inlineStr">
        <is>
          <t>"packing.parcelSackCode": "លេខកូដកញ្ចប់អីវ៉ាន់",</t>
        </is>
      </c>
      <c r="L939" s="75" t="n"/>
      <c r="M939" s="75" t="n"/>
      <c r="N939" s="75" t="n"/>
      <c r="O939" s="75" t="n"/>
      <c r="P939" s="75" t="n"/>
      <c r="Q939" s="75" t="n"/>
      <c r="R939" s="75" t="n"/>
      <c r="S939" s="75" t="n"/>
      <c r="T939" s="75" t="n"/>
      <c r="U939" s="75" t="n"/>
      <c r="V939" s="75" t="n"/>
      <c r="W939" s="75" t="n"/>
      <c r="X939" s="75" t="n"/>
      <c r="Y939" s="75" t="n"/>
      <c r="Z939" s="45" t="n"/>
    </row>
    <row r="940">
      <c r="A940" s="40" t="inlineStr">
        <is>
          <t>packing.createdBy</t>
        </is>
      </c>
      <c r="B940" s="46" t="inlineStr">
        <is>
          <t>Người tác động</t>
        </is>
      </c>
      <c r="C940" s="46" t="inlineStr">
        <is>
          <t>Actor</t>
        </is>
      </c>
      <c r="D940" s="43" t="n"/>
      <c r="E940" s="75" t="n"/>
      <c r="F940" s="75" t="n"/>
      <c r="G940" s="75" t="inlineStr">
        <is>
          <t>អ្នកធ្វើប្រតិបត្តិការ</t>
        </is>
      </c>
      <c r="H940" s="75" t="inlineStr">
        <is>
          <t>អ្នកធ្វើប្រតិបត្តិការ</t>
        </is>
      </c>
      <c r="I940" s="75" t="n"/>
      <c r="J940" s="75" t="n"/>
      <c r="K940" s="75" t="inlineStr">
        <is>
          <t>"packing.createdBy": "អ្នកធ្វើប្រតិបត្តិការ",</t>
        </is>
      </c>
      <c r="L940" s="75" t="n"/>
      <c r="M940" s="75" t="n"/>
      <c r="N940" s="75" t="n"/>
      <c r="O940" s="75" t="n"/>
      <c r="P940" s="75" t="n"/>
      <c r="Q940" s="75" t="n"/>
      <c r="R940" s="75" t="n"/>
      <c r="S940" s="75" t="n"/>
      <c r="T940" s="75" t="n"/>
      <c r="U940" s="75" t="n"/>
      <c r="V940" s="75" t="n"/>
      <c r="W940" s="75" t="n"/>
      <c r="X940" s="75" t="n"/>
      <c r="Y940" s="75" t="n"/>
      <c r="Z940" s="45" t="n"/>
    </row>
    <row r="941">
      <c r="A941" s="40" t="inlineStr">
        <is>
          <t>packing.dateUpdate</t>
        </is>
      </c>
      <c r="B941" s="46" t="inlineStr">
        <is>
          <t>Ngày tác động</t>
        </is>
      </c>
      <c r="C941" s="46" t="inlineStr">
        <is>
          <t>Modification date</t>
        </is>
      </c>
      <c r="D941" s="43" t="n"/>
      <c r="E941" s="75" t="n"/>
      <c r="F941" s="75" t="n"/>
      <c r="G941" s="75" t="inlineStr">
        <is>
          <t>កាលបរិច្ឆេទtác động</t>
        </is>
      </c>
      <c r="H941" s="75" t="inlineStr">
        <is>
          <t>កាលបរិច្ឆេទtác động</t>
        </is>
      </c>
      <c r="I941" s="75" t="n"/>
      <c r="J941" s="75" t="n"/>
      <c r="K941" s="75" t="inlineStr">
        <is>
          <t>"packing.dateUpdate": "កាលបរិច្ឆេទtác động",</t>
        </is>
      </c>
      <c r="L941" s="75" t="n"/>
      <c r="M941" s="75" t="n"/>
      <c r="N941" s="75" t="n"/>
      <c r="O941" s="75" t="n"/>
      <c r="P941" s="75" t="n"/>
      <c r="Q941" s="75" t="n"/>
      <c r="R941" s="75" t="n"/>
      <c r="S941" s="75" t="n"/>
      <c r="T941" s="75" t="n"/>
      <c r="U941" s="75" t="n"/>
      <c r="V941" s="75" t="n"/>
      <c r="W941" s="75" t="n"/>
      <c r="X941" s="75" t="n"/>
      <c r="Y941" s="75" t="n"/>
      <c r="Z941" s="45" t="n"/>
    </row>
    <row r="942">
      <c r="A942" s="40" t="inlineStr">
        <is>
          <t>packing.printOrderSameStatus</t>
        </is>
      </c>
      <c r="B942" s="46" t="inlineStr">
        <is>
          <t>Vui lòng chọn đơn cùng trạng thái để in nhiều</t>
        </is>
      </c>
      <c r="C942" s="46" t="inlineStr">
        <is>
          <t>Please select orders with the same status to print multiple</t>
        </is>
      </c>
      <c r="D942" s="43" t="inlineStr">
        <is>
          <t>សូូមជ្រើសរើសបុងជាមួយស្ថានភាពដើម្បីព្រីនឲ្យច្រើន</t>
        </is>
      </c>
      <c r="E942" s="75" t="n"/>
      <c r="F942" s="75" t="n"/>
      <c r="G942" s="75" t="inlineStr">
        <is>
          <t>សូមជ្រើសរើសបុងជាមួយស្ថានភាពដើម្បីព្រីនឲ្យច្រើន</t>
        </is>
      </c>
      <c r="H942" s="75" t="inlineStr">
        <is>
          <t>សូមជ្រើសរើសបុងជាមួយស្ថានភាពដើម្បីព្រីនឲ្យច្រើន</t>
        </is>
      </c>
      <c r="I942" s="75" t="n"/>
      <c r="J942" s="75" t="n"/>
      <c r="K942" s="75" t="inlineStr">
        <is>
          <t>"packing.printOrderSameStatus": "សូមជ្រើសរើសបុងជាមួយស្ថានភាពដើម្បីព្រីនឲ្យច្រើន",</t>
        </is>
      </c>
      <c r="L942" s="75" t="n"/>
      <c r="M942" s="75" t="n"/>
      <c r="N942" s="75" t="n"/>
      <c r="O942" s="75" t="n"/>
      <c r="P942" s="75" t="n"/>
      <c r="Q942" s="75" t="n"/>
      <c r="R942" s="75" t="n"/>
      <c r="S942" s="75" t="n"/>
      <c r="T942" s="75" t="n"/>
      <c r="U942" s="75" t="n"/>
      <c r="V942" s="75" t="n"/>
      <c r="W942" s="75" t="n"/>
      <c r="X942" s="75" t="n"/>
      <c r="Y942" s="75" t="n"/>
      <c r="Z942" s="45" t="n"/>
    </row>
    <row r="943">
      <c r="A943" s="40" t="inlineStr">
        <is>
          <t>packing.printDescription1</t>
        </is>
      </c>
      <c r="B943" s="46" t="inlineStr">
        <is>
          <t>Bạn đã chọn</t>
        </is>
      </c>
      <c r="C943" s="46" t="inlineStr">
        <is>
          <t>You have selected</t>
        </is>
      </c>
      <c r="D943" s="43" t="inlineStr">
        <is>
          <t>អ្នកបានជ្រើសរើស</t>
        </is>
      </c>
      <c r="E943" s="75" t="n"/>
      <c r="F943" s="75" t="n"/>
      <c r="G943" s="75" t="inlineStr">
        <is>
          <t>អ្នកបានជ្រើសរើស</t>
        </is>
      </c>
      <c r="H943" s="75" t="inlineStr">
        <is>
          <t>អ្នកបានជ្រើសរើស</t>
        </is>
      </c>
      <c r="I943" s="75" t="n"/>
      <c r="J943" s="75" t="n"/>
      <c r="K943" s="75" t="inlineStr">
        <is>
          <t>"packing.printDescription1": "អ្នកបានជ្រើសរើស",</t>
        </is>
      </c>
      <c r="L943" s="75" t="n"/>
      <c r="M943" s="75" t="n"/>
      <c r="N943" s="75" t="n"/>
      <c r="O943" s="75" t="n"/>
      <c r="P943" s="75" t="n"/>
      <c r="Q943" s="75" t="n"/>
      <c r="R943" s="75" t="n"/>
      <c r="S943" s="75" t="n"/>
      <c r="T943" s="75" t="n"/>
      <c r="U943" s="75" t="n"/>
      <c r="V943" s="75" t="n"/>
      <c r="W943" s="75" t="n"/>
      <c r="X943" s="75" t="n"/>
      <c r="Y943" s="75" t="n"/>
      <c r="Z943" s="45" t="n"/>
    </row>
    <row r="944">
      <c r="A944" s="40" t="inlineStr">
        <is>
          <t>packing.printDescription2</t>
        </is>
      </c>
      <c r="B944" s="46" t="inlineStr">
        <is>
          <t>trong tổng số</t>
        </is>
      </c>
      <c r="C944" s="46" t="inlineStr">
        <is>
          <t>orders out of</t>
        </is>
      </c>
      <c r="D944" s="43" t="n"/>
      <c r="E944" s="75" t="n"/>
      <c r="F944" s="75" t="n"/>
      <c r="G944" s="75" t="inlineStr">
        <is>
          <t>trong ចំនួនសរុប</t>
        </is>
      </c>
      <c r="H944" s="75" t="inlineStr">
        <is>
          <t>trong ចំនួនសរុប</t>
        </is>
      </c>
      <c r="I944" s="75" t="n"/>
      <c r="J944" s="75" t="n"/>
      <c r="K944" s="75" t="inlineStr">
        <is>
          <t>"packing.printDescription2": "trong ចំនួនសរុប",</t>
        </is>
      </c>
      <c r="L944" s="75" t="n"/>
      <c r="M944" s="75" t="n"/>
      <c r="N944" s="75" t="n"/>
      <c r="O944" s="75" t="n"/>
      <c r="P944" s="75" t="n"/>
      <c r="Q944" s="75" t="n"/>
      <c r="R944" s="75" t="n"/>
      <c r="S944" s="75" t="n"/>
      <c r="T944" s="75" t="n"/>
      <c r="U944" s="75" t="n"/>
      <c r="V944" s="75" t="n"/>
      <c r="W944" s="75" t="n"/>
      <c r="X944" s="75" t="n"/>
      <c r="Y944" s="75" t="n"/>
      <c r="Z944" s="45" t="n"/>
    </row>
    <row r="945">
      <c r="A945" s="40" t="inlineStr">
        <is>
          <t>packing.printDescription3</t>
        </is>
      </c>
      <c r="B945" s="46" t="inlineStr">
        <is>
          <t>đơn</t>
        </is>
      </c>
      <c r="C945" s="75" t="n"/>
      <c r="D945" s="43" t="inlineStr">
        <is>
          <t>បុងបញ្ញើ</t>
        </is>
      </c>
      <c r="E945" s="75" t="n"/>
      <c r="F945" s="75" t="n"/>
      <c r="G945" s="75" t="inlineStr">
        <is>
          <t>បុងបញ្ញើ</t>
        </is>
      </c>
      <c r="H945" s="75" t="inlineStr">
        <is>
          <t>បុងបញ្ញើ</t>
        </is>
      </c>
      <c r="I945" s="75" t="n"/>
      <c r="J945" s="75" t="n"/>
      <c r="K945" s="75" t="inlineStr">
        <is>
          <t>"packing.printDescription3": "បុងបញ្ញើ",</t>
        </is>
      </c>
      <c r="L945" s="75" t="n"/>
      <c r="M945" s="75" t="n"/>
      <c r="N945" s="75" t="n"/>
      <c r="O945" s="75" t="n"/>
      <c r="P945" s="75" t="n"/>
      <c r="Q945" s="75" t="n"/>
      <c r="R945" s="75" t="n"/>
      <c r="S945" s="75" t="n"/>
      <c r="T945" s="75" t="n"/>
      <c r="U945" s="75" t="n"/>
      <c r="V945" s="75" t="n"/>
      <c r="W945" s="75" t="n"/>
      <c r="X945" s="75" t="n"/>
      <c r="Y945" s="75" t="n"/>
      <c r="Z945" s="45" t="n"/>
    </row>
    <row r="946">
      <c r="A946" s="40" t="inlineStr">
        <is>
          <t>packing.printDescriptionOverflow</t>
        </is>
      </c>
      <c r="B946" s="46" t="inlineStr">
        <is>
          <t>Số lượng phiếu in quá lớn, cần {{page}} trang in để in toàn bộ phiếu gửi</t>
        </is>
      </c>
      <c r="C946" s="46" t="inlineStr">
        <is>
          <t>Too many slips to print. {{page}} pages needed to print all</t>
        </is>
      </c>
      <c r="D946" s="43" t="n"/>
      <c r="E946" s="75" t="n"/>
      <c r="F946" s="75" t="n"/>
      <c r="G946" s="75" t="inlineStr">
        <is>
          <t>ចំនួន phiếu in quá lớn, cần {{page}} trang in để in toàn bộ phiếu ផ្ញើ</t>
        </is>
      </c>
      <c r="H946" s="75" t="inlineStr">
        <is>
          <t>ចំនួន phiếu in quá lớn, cần {{page}} trang in để in toàn bộ phiếu ផ្ញើ</t>
        </is>
      </c>
      <c r="I946" s="75" t="n"/>
      <c r="J946" s="75" t="n"/>
      <c r="K946" s="75" t="inlineStr">
        <is>
          <t>"packing.printDescriptionOverflow": "ចំនួន phiếu in quá lớn, cần {{page}} trang in để in toàn bộ phiếu ផ្ញើ",</t>
        </is>
      </c>
      <c r="L946" s="75" t="n"/>
      <c r="M946" s="75" t="n"/>
      <c r="N946" s="75" t="n"/>
      <c r="O946" s="75" t="n"/>
      <c r="P946" s="75" t="n"/>
      <c r="Q946" s="75" t="n"/>
      <c r="R946" s="75" t="n"/>
      <c r="S946" s="75" t="n"/>
      <c r="T946" s="75" t="n"/>
      <c r="U946" s="75" t="n"/>
      <c r="V946" s="75" t="n"/>
      <c r="W946" s="75" t="n"/>
      <c r="X946" s="75" t="n"/>
      <c r="Y946" s="75" t="n"/>
      <c r="Z946" s="45" t="n"/>
    </row>
    <row r="947">
      <c r="A947" s="40" t="inlineStr">
        <is>
          <t>packing.printNote</t>
        </is>
      </c>
      <c r="B947" s="46" t="inlineStr">
        <is>
          <t>Lưu ý: mỗi trang in gồm {{maxSize}} đơn</t>
        </is>
      </c>
      <c r="C947" s="46" t="inlineStr">
        <is>
          <t>Note: A printed page contains {{maxSize}} orders.</t>
        </is>
      </c>
      <c r="D947" s="43" t="n"/>
      <c r="E947" s="75" t="n"/>
      <c r="F947" s="75" t="n"/>
      <c r="G947" s="75" t="inlineStr">
        <is>
          <t>Lưu ý: mỗi trang in gồm {{maxSize}} បញ្ញើ</t>
        </is>
      </c>
      <c r="H947" s="75" t="inlineStr">
        <is>
          <t>Lưu ý: mỗi trang in gồm {{maxSize}} បញ្ញើ</t>
        </is>
      </c>
      <c r="I947" s="75" t="n"/>
      <c r="J947" s="75" t="n"/>
      <c r="K947" s="75" t="inlineStr">
        <is>
          <t>"packing.printNote": "Lưu ý: mỗi trang in gồm {{maxSize}} បញ្ញើ",</t>
        </is>
      </c>
      <c r="L947" s="75" t="n"/>
      <c r="M947" s="75" t="n"/>
      <c r="N947" s="75" t="n"/>
      <c r="O947" s="75" t="n"/>
      <c r="P947" s="75" t="n"/>
      <c r="Q947" s="75" t="n"/>
      <c r="R947" s="75" t="n"/>
      <c r="S947" s="75" t="n"/>
      <c r="T947" s="75" t="n"/>
      <c r="U947" s="75" t="n"/>
      <c r="V947" s="75" t="n"/>
      <c r="W947" s="75" t="n"/>
      <c r="X947" s="75" t="n"/>
      <c r="Y947" s="75" t="n"/>
      <c r="Z947" s="45" t="n"/>
    </row>
    <row r="948">
      <c r="A948" s="40" t="inlineStr">
        <is>
          <t>packing.confirmWeight</t>
        </is>
      </c>
      <c r="B948" s="46" t="inlineStr">
        <is>
          <t>Xác nhận trọng lượng</t>
        </is>
      </c>
      <c r="C948" s="46" t="inlineStr">
        <is>
          <t>Weight confirmation</t>
        </is>
      </c>
      <c r="D948" s="43" t="inlineStr">
        <is>
          <t>បញ្ជាក់ទម្ងន់</t>
        </is>
      </c>
      <c r="E948" s="75" t="n"/>
      <c r="F948" s="75" t="n"/>
      <c r="G948" s="75" t="inlineStr">
        <is>
          <t>បញ្ជាក់ទម្ងន់</t>
        </is>
      </c>
      <c r="H948" s="75" t="inlineStr">
        <is>
          <t>បញ្ជាក់ទម្ងន់</t>
        </is>
      </c>
      <c r="I948" s="75" t="n"/>
      <c r="J948" s="75" t="n"/>
      <c r="K948" s="75" t="inlineStr">
        <is>
          <t>"packing.confirmWeight": "បញ្ជាក់ទម្ងន់",</t>
        </is>
      </c>
      <c r="L948" s="75" t="n"/>
      <c r="M948" s="75" t="n"/>
      <c r="N948" s="75" t="n"/>
      <c r="O948" s="75" t="n"/>
      <c r="P948" s="75" t="n"/>
      <c r="Q948" s="75" t="n"/>
      <c r="R948" s="75" t="n"/>
      <c r="S948" s="75" t="n"/>
      <c r="T948" s="75" t="n"/>
      <c r="U948" s="75" t="n"/>
      <c r="V948" s="75" t="n"/>
      <c r="W948" s="75" t="n"/>
      <c r="X948" s="75" t="n"/>
      <c r="Y948" s="75" t="n"/>
      <c r="Z948" s="45" t="n"/>
    </row>
    <row r="949">
      <c r="A949" s="40" t="inlineStr">
        <is>
          <t>packing.delayTime</t>
        </is>
      </c>
      <c r="B949" s="46" t="inlineStr">
        <is>
          <t>Thời gian tồn</t>
        </is>
      </c>
      <c r="C949" s="46" t="inlineStr">
        <is>
          <t>Storage time</t>
        </is>
      </c>
      <c r="D949" s="43" t="n"/>
      <c r="E949" s="75" t="n"/>
      <c r="F949" s="75" t="n"/>
      <c r="G949" s="75" t="inlineStr">
        <is>
          <t>ពេលវេលាtồn</t>
        </is>
      </c>
      <c r="H949" s="75" t="inlineStr">
        <is>
          <t>ពេលវេលាtồn</t>
        </is>
      </c>
      <c r="I949" s="75" t="n"/>
      <c r="J949" s="75" t="n"/>
      <c r="K949" s="75" t="inlineStr">
        <is>
          <t>"packing.delayTime": "ពេលវេលាtồn",</t>
        </is>
      </c>
      <c r="L949" s="75" t="n"/>
      <c r="M949" s="75" t="n"/>
      <c r="N949" s="75" t="n"/>
      <c r="O949" s="75" t="n"/>
      <c r="P949" s="75" t="n"/>
      <c r="Q949" s="75" t="n"/>
      <c r="R949" s="75" t="n"/>
      <c r="S949" s="75" t="n"/>
      <c r="T949" s="75" t="n"/>
      <c r="U949" s="75" t="n"/>
      <c r="V949" s="75" t="n"/>
      <c r="W949" s="75" t="n"/>
      <c r="X949" s="75" t="n"/>
      <c r="Y949" s="75" t="n"/>
      <c r="Z949" s="45" t="n"/>
    </row>
    <row r="950">
      <c r="A950" s="40" t="inlineStr">
        <is>
          <t>packing.totalParcel</t>
        </is>
      </c>
      <c r="B950" s="46" t="inlineStr">
        <is>
          <t>Tổng bưu phẩm</t>
        </is>
      </c>
      <c r="C950" s="46" t="inlineStr">
        <is>
          <t>Total parcels</t>
        </is>
      </c>
      <c r="D950" s="43" t="inlineStr">
        <is>
          <t>សរុុបអីវ៉ាន់</t>
        </is>
      </c>
      <c r="E950" s="75" t="n"/>
      <c r="F950" s="75" t="n"/>
      <c r="G950" s="75" t="inlineStr">
        <is>
          <t>សរុុបអីវ៉ាន់</t>
        </is>
      </c>
      <c r="H950" s="75" t="inlineStr">
        <is>
          <t>សរុុបអីវ៉ាន់</t>
        </is>
      </c>
      <c r="I950" s="75" t="n"/>
      <c r="J950" s="75" t="n"/>
      <c r="K950" s="75" t="inlineStr">
        <is>
          <t>"packing.totalParcel": "សរុុបអីវ៉ាន់",</t>
        </is>
      </c>
      <c r="L950" s="75" t="n"/>
      <c r="M950" s="75" t="n"/>
      <c r="N950" s="75" t="n"/>
      <c r="O950" s="75" t="n"/>
      <c r="P950" s="75" t="n"/>
      <c r="Q950" s="75" t="n"/>
      <c r="R950" s="75" t="n"/>
      <c r="S950" s="75" t="n"/>
      <c r="T950" s="75" t="n"/>
      <c r="U950" s="75" t="n"/>
      <c r="V950" s="75" t="n"/>
      <c r="W950" s="75" t="n"/>
      <c r="X950" s="75" t="n"/>
      <c r="Y950" s="75" t="n"/>
      <c r="Z950" s="45" t="n"/>
    </row>
    <row r="951">
      <c r="A951" s="40" t="inlineStr">
        <is>
          <t>packing.selectToAddress</t>
        </is>
      </c>
      <c r="B951" s="46" t="inlineStr">
        <is>
          <t>Chọn nơi đến</t>
        </is>
      </c>
      <c r="C951" s="46" t="inlineStr">
        <is>
          <t>Select destination</t>
        </is>
      </c>
      <c r="D951" s="43" t="inlineStr">
        <is>
          <t>ជ្រើសរើសទីតាំងមកដល់</t>
        </is>
      </c>
      <c r="E951" s="75" t="n"/>
      <c r="F951" s="75" t="n"/>
      <c r="G951" s="75" t="inlineStr">
        <is>
          <t>ជ្រើសរើសទីតាំងមកដល់</t>
        </is>
      </c>
      <c r="H951" s="75" t="inlineStr">
        <is>
          <t>ជ្រើសរើសទីតាំងមកដល់</t>
        </is>
      </c>
      <c r="I951" s="75" t="n"/>
      <c r="J951" s="75" t="n"/>
      <c r="K951" s="75" t="inlineStr">
        <is>
          <t>"packing.selectToAddress": "ជ្រើសរើសទីតាំងមកដល់",</t>
        </is>
      </c>
      <c r="L951" s="75" t="n"/>
      <c r="M951" s="75" t="n"/>
      <c r="N951" s="75" t="n"/>
      <c r="O951" s="75" t="n"/>
      <c r="P951" s="75" t="n"/>
      <c r="Q951" s="75" t="n"/>
      <c r="R951" s="75" t="n"/>
      <c r="S951" s="75" t="n"/>
      <c r="T951" s="75" t="n"/>
      <c r="U951" s="75" t="n"/>
      <c r="V951" s="75" t="n"/>
      <c r="W951" s="75" t="n"/>
      <c r="X951" s="75" t="n"/>
      <c r="Y951" s="75" t="n"/>
      <c r="Z951" s="45" t="n"/>
    </row>
    <row r="952">
      <c r="A952" s="40" t="inlineStr">
        <is>
          <t>packing.printFail</t>
        </is>
      </c>
      <c r="B952" s="46" t="inlineStr">
        <is>
          <t>In mã tải thất bại</t>
        </is>
      </c>
      <c r="C952" s="46" t="inlineStr">
        <is>
          <t>Print failed</t>
        </is>
      </c>
      <c r="D952" s="43" t="n"/>
      <c r="E952" s="75" t="n"/>
      <c r="F952" s="75" t="n"/>
      <c r="G952" s="75" t="inlineStr">
        <is>
          <t>In លេខកូដ tải បរាជ័យ</t>
        </is>
      </c>
      <c r="H952" s="75" t="inlineStr">
        <is>
          <t>In លេខកូដ tải បរាជ័យ</t>
        </is>
      </c>
      <c r="I952" s="75" t="n"/>
      <c r="J952" s="75" t="n"/>
      <c r="K952" s="75" t="inlineStr">
        <is>
          <t>"packing.printFail": "In លេខកូដ tải បរាជ័យ",</t>
        </is>
      </c>
      <c r="L952" s="75" t="n"/>
      <c r="M952" s="75" t="n"/>
      <c r="N952" s="75" t="n"/>
      <c r="O952" s="75" t="n"/>
      <c r="P952" s="75" t="n"/>
      <c r="Q952" s="75" t="n"/>
      <c r="R952" s="75" t="n"/>
      <c r="S952" s="75" t="n"/>
      <c r="T952" s="75" t="n"/>
      <c r="U952" s="75" t="n"/>
      <c r="V952" s="75" t="n"/>
      <c r="W952" s="75" t="n"/>
      <c r="X952" s="75" t="n"/>
      <c r="Y952" s="75" t="n"/>
      <c r="Z952" s="45" t="n"/>
    </row>
    <row r="953">
      <c r="A953" s="40" t="inlineStr">
        <is>
          <t>packing.weightRequired</t>
        </is>
      </c>
      <c r="B953" s="46" t="inlineStr">
        <is>
          <t>Vui lòng điền trọng lượng</t>
        </is>
      </c>
      <c r="C953" s="46" t="inlineStr">
        <is>
          <t>Please enter the weight</t>
        </is>
      </c>
      <c r="D953" s="43" t="inlineStr">
        <is>
          <t>សូមបំពេញទម្ងន់</t>
        </is>
      </c>
      <c r="E953" s="75" t="n"/>
      <c r="F953" s="75" t="n"/>
      <c r="G953" s="75" t="inlineStr">
        <is>
          <t>សូមបំពេញទម្ងន់</t>
        </is>
      </c>
      <c r="H953" s="75" t="inlineStr">
        <is>
          <t>សូមបំពេញទម្ងន់</t>
        </is>
      </c>
      <c r="I953" s="75" t="n"/>
      <c r="J953" s="75" t="n"/>
      <c r="K953" s="75" t="inlineStr">
        <is>
          <t>"packing.weightRequired": "សូមបំពេញទម្ងន់",</t>
        </is>
      </c>
      <c r="L953" s="75" t="n"/>
      <c r="M953" s="75" t="n"/>
      <c r="N953" s="75" t="n"/>
      <c r="O953" s="75" t="n"/>
      <c r="P953" s="75" t="n"/>
      <c r="Q953" s="75" t="n"/>
      <c r="R953" s="75" t="n"/>
      <c r="S953" s="75" t="n"/>
      <c r="T953" s="75" t="n"/>
      <c r="U953" s="75" t="n"/>
      <c r="V953" s="75" t="n"/>
      <c r="W953" s="75" t="n"/>
      <c r="X953" s="75" t="n"/>
      <c r="Y953" s="75" t="n"/>
      <c r="Z953" s="45" t="n"/>
    </row>
    <row r="954">
      <c r="A954" s="63" t="inlineStr">
        <is>
          <t>mainStatus.100</t>
        </is>
      </c>
      <c r="B954" s="63" t="inlineStr">
        <is>
          <t>Tạo mới</t>
        </is>
      </c>
      <c r="C954" s="63" t="inlineStr">
        <is>
          <t>New</t>
        </is>
      </c>
      <c r="D954" s="65" t="inlineStr">
        <is>
          <t>បង្កើតថ្មី</t>
        </is>
      </c>
      <c r="E954" s="86" t="inlineStr">
        <is>
          <t>បង្កើតថ្មី</t>
        </is>
      </c>
      <c r="F954" s="66" t="n"/>
      <c r="G954" s="66" t="inlineStr">
        <is>
          <t>បង្កើតថ្មី</t>
        </is>
      </c>
      <c r="H954" s="66" t="inlineStr">
        <is>
          <t>បង្កើតថ្មី</t>
        </is>
      </c>
      <c r="I954" s="66" t="n"/>
      <c r="J954" s="66" t="n"/>
      <c r="K954" s="66" t="inlineStr">
        <is>
          <t>"mainStatus.100": "បង្កើតថ្មី",</t>
        </is>
      </c>
      <c r="L954" s="66" t="n"/>
      <c r="M954" s="66" t="n"/>
      <c r="N954" s="66" t="n"/>
      <c r="O954" s="66" t="n"/>
      <c r="P954" s="66" t="n"/>
      <c r="Q954" s="66" t="n"/>
      <c r="R954" s="66" t="n"/>
      <c r="S954" s="66" t="n"/>
      <c r="T954" s="66" t="n"/>
      <c r="U954" s="66" t="n"/>
      <c r="V954" s="66" t="n"/>
      <c r="W954" s="66" t="n"/>
      <c r="X954" s="66" t="n"/>
      <c r="Y954" s="66" t="n"/>
      <c r="Z954" s="66" t="n"/>
    </row>
    <row r="955">
      <c r="A955" s="27" t="inlineStr">
        <is>
          <t>mainStatus.110</t>
        </is>
      </c>
      <c r="B955" s="27" t="inlineStr">
        <is>
          <t>Chưa tiếp nhận</t>
        </is>
      </c>
      <c r="C955" s="27" t="inlineStr">
        <is>
          <t>Confirmed</t>
        </is>
      </c>
      <c r="D955" s="21" t="inlineStr">
        <is>
          <t>មិនទាន់បានទទួល</t>
        </is>
      </c>
      <c r="E955" s="102" t="inlineStr">
        <is>
          <t>មិនទាន់បានទទួល</t>
        </is>
      </c>
      <c r="F955" s="10" t="n"/>
      <c r="G955" s="10" t="inlineStr">
        <is>
          <t>មិនទាន់ទទួល</t>
        </is>
      </c>
      <c r="H955" s="10" t="inlineStr">
        <is>
          <t>មិនទាន់ទទួល</t>
        </is>
      </c>
      <c r="I955" s="10" t="n"/>
      <c r="J955" s="10" t="n"/>
      <c r="K955" s="10" t="inlineStr">
        <is>
          <t>"mainStatus.110": "មិនទាន់ទទួល",</t>
        </is>
      </c>
      <c r="L955" s="10" t="n"/>
      <c r="M955" s="10" t="n"/>
      <c r="N955" s="10" t="n"/>
      <c r="O955" s="10" t="n"/>
      <c r="P955" s="10" t="n"/>
      <c r="Q955" s="10" t="n"/>
      <c r="R955" s="10" t="n"/>
      <c r="S955" s="10" t="n"/>
      <c r="T955" s="10" t="n"/>
      <c r="U955" s="10" t="n"/>
      <c r="V955" s="10" t="n"/>
      <c r="W955" s="10" t="n"/>
      <c r="X955" s="10" t="n"/>
      <c r="Y955" s="10" t="n"/>
      <c r="Z955" s="10" t="n"/>
    </row>
    <row r="956">
      <c r="A956" s="27" t="inlineStr">
        <is>
          <t>mainStatus.120</t>
        </is>
      </c>
      <c r="B956" s="27" t="inlineStr">
        <is>
          <t>Đã tiếp nhận</t>
        </is>
      </c>
      <c r="C956" s="27" t="inlineStr">
        <is>
          <t>Waiting to receive</t>
        </is>
      </c>
      <c r="D956" s="102" t="inlineStr">
        <is>
          <t>បានទទួួល</t>
        </is>
      </c>
      <c r="E956" s="102" t="inlineStr">
        <is>
          <t>បានទទួល</t>
        </is>
      </c>
      <c r="F956" s="10" t="n"/>
      <c r="G956" s="10" t="inlineStr">
        <is>
          <t>បានទទួល</t>
        </is>
      </c>
      <c r="H956" s="10" t="inlineStr">
        <is>
          <t>បានទទួល</t>
        </is>
      </c>
      <c r="I956" s="10" t="n"/>
      <c r="J956" s="10" t="n"/>
      <c r="K956" s="10" t="inlineStr">
        <is>
          <t>"mainStatus.120": "បានទទួល",</t>
        </is>
      </c>
      <c r="L956" s="10" t="n"/>
      <c r="M956" s="10" t="n"/>
      <c r="N956" s="10" t="n"/>
      <c r="O956" s="10" t="n"/>
      <c r="P956" s="10" t="n"/>
      <c r="Q956" s="10" t="n"/>
      <c r="R956" s="10" t="n"/>
      <c r="S956" s="10" t="n"/>
      <c r="T956" s="10" t="n"/>
      <c r="U956" s="10" t="n"/>
      <c r="V956" s="10" t="n"/>
      <c r="W956" s="10" t="n"/>
      <c r="X956" s="10" t="n"/>
      <c r="Y956" s="10" t="n"/>
      <c r="Z956" s="10" t="n"/>
    </row>
    <row r="957">
      <c r="A957" s="27" t="inlineStr">
        <is>
          <t>mainStatus.200</t>
        </is>
      </c>
      <c r="B957" s="27" t="inlineStr">
        <is>
          <t>Đang lấy hàng</t>
        </is>
      </c>
      <c r="C957" s="27" t="inlineStr">
        <is>
          <t>Receiving</t>
        </is>
      </c>
      <c r="D957" s="21" t="inlineStr">
        <is>
          <t>កំពុងយកអីវ៉ាន់</t>
        </is>
      </c>
      <c r="E957" s="102" t="inlineStr">
        <is>
          <t>កំពុងយកអីវ៉ាន់</t>
        </is>
      </c>
      <c r="F957" s="10" t="n"/>
      <c r="G957" s="10" t="inlineStr">
        <is>
          <t>កំពុងទៅយកអីវ៉ាន់</t>
        </is>
      </c>
      <c r="H957" s="10" t="inlineStr">
        <is>
          <t>កំពុងទៅយកអីវ៉ាន់</t>
        </is>
      </c>
      <c r="I957" s="10" t="n"/>
      <c r="J957" s="10" t="n"/>
      <c r="K957" s="10" t="inlineStr">
        <is>
          <t>"mainStatus.200": "កំពុងទៅយកអីវ៉ាន់",</t>
        </is>
      </c>
      <c r="L957" s="10" t="n"/>
      <c r="M957" s="10" t="n"/>
      <c r="N957" s="10" t="n"/>
      <c r="O957" s="10" t="n"/>
      <c r="P957" s="10" t="n"/>
      <c r="Q957" s="10" t="n"/>
      <c r="R957" s="10" t="n"/>
      <c r="S957" s="10" t="n"/>
      <c r="T957" s="10" t="n"/>
      <c r="U957" s="10" t="n"/>
      <c r="V957" s="10" t="n"/>
      <c r="W957" s="10" t="n"/>
      <c r="X957" s="10" t="n"/>
      <c r="Y957" s="10" t="n"/>
      <c r="Z957" s="10" t="n"/>
    </row>
    <row r="958">
      <c r="A958" s="27" t="inlineStr">
        <is>
          <t>mainStatus.210</t>
        </is>
      </c>
      <c r="B958" s="27" t="inlineStr">
        <is>
          <t>Đã lấy hàng</t>
        </is>
      </c>
      <c r="C958" s="27" t="inlineStr">
        <is>
          <t>Received</t>
        </is>
      </c>
      <c r="D958" s="21" t="inlineStr">
        <is>
          <t>បានយកអីវ៉ាន់</t>
        </is>
      </c>
      <c r="E958" s="102" t="inlineStr">
        <is>
          <t>បានយកអីវ៉ាន់</t>
        </is>
      </c>
      <c r="F958" s="10" t="n"/>
      <c r="G958" s="10" t="inlineStr">
        <is>
          <t>បានយកអីវ៉ាន់រួចរាល់</t>
        </is>
      </c>
      <c r="H958" s="10" t="inlineStr">
        <is>
          <t>បានយកអីវ៉ាន់រួចរាល់</t>
        </is>
      </c>
      <c r="I958" s="10" t="n"/>
      <c r="J958" s="10" t="n"/>
      <c r="K958" s="10" t="inlineStr">
        <is>
          <t>"mainStatus.210": "បានយកអីវ៉ាន់រួចរាល់",</t>
        </is>
      </c>
      <c r="L958" s="10" t="n"/>
      <c r="M958" s="10" t="n"/>
      <c r="N958" s="10" t="n"/>
      <c r="O958" s="10" t="n"/>
      <c r="P958" s="10" t="n"/>
      <c r="Q958" s="10" t="n"/>
      <c r="R958" s="10" t="n"/>
      <c r="S958" s="10" t="n"/>
      <c r="T958" s="10" t="n"/>
      <c r="U958" s="10" t="n"/>
      <c r="V958" s="10" t="n"/>
      <c r="W958" s="10" t="n"/>
      <c r="X958" s="10" t="n"/>
      <c r="Y958" s="10" t="n"/>
      <c r="Z958" s="10" t="n"/>
    </row>
    <row r="959">
      <c r="A959" s="27" t="inlineStr">
        <is>
          <t>mainStatus.220</t>
        </is>
      </c>
      <c r="B959" s="27" t="inlineStr">
        <is>
          <t>Hẹn lấy lại</t>
        </is>
      </c>
      <c r="C959" s="27" t="inlineStr">
        <is>
          <t>Receive again</t>
        </is>
      </c>
      <c r="D959" s="102" t="inlineStr">
        <is>
          <t>កំណត់ការយកម្តងទៀត</t>
        </is>
      </c>
      <c r="E959" s="102" t="inlineStr">
        <is>
          <t>កំណត់ពេលវេលាយកអីវ៉ាន់ម្តងទៀត</t>
        </is>
      </c>
      <c r="F959" s="10" t="n"/>
      <c r="G959" s="10" t="inlineStr">
        <is>
          <t>ណាត់ពេលទៅយកម្តងទៀត</t>
        </is>
      </c>
      <c r="H959" s="10" t="inlineStr">
        <is>
          <t>ណាត់ពេលទៅយកម្តងទៀត</t>
        </is>
      </c>
      <c r="I959" s="10" t="n"/>
      <c r="J959" s="10" t="n"/>
      <c r="K959" s="10" t="inlineStr">
        <is>
          <t>"mainStatus.220": "ណាត់ពេលទៅយកម្តងទៀត",</t>
        </is>
      </c>
      <c r="L959" s="10" t="n"/>
      <c r="M959" s="10" t="n"/>
      <c r="N959" s="10" t="n"/>
      <c r="O959" s="10" t="n"/>
      <c r="P959" s="10" t="n"/>
      <c r="Q959" s="10" t="n"/>
      <c r="R959" s="10" t="n"/>
      <c r="S959" s="10" t="n"/>
      <c r="T959" s="10" t="n"/>
      <c r="U959" s="10" t="n"/>
      <c r="V959" s="10" t="n"/>
      <c r="W959" s="10" t="n"/>
      <c r="X959" s="10" t="n"/>
      <c r="Y959" s="10" t="n"/>
      <c r="Z959" s="10" t="n"/>
    </row>
    <row r="960">
      <c r="A960" s="27" t="inlineStr">
        <is>
          <t>mainStatus.230</t>
        </is>
      </c>
      <c r="B960" s="27" t="inlineStr">
        <is>
          <t>Không lấy được hàng</t>
        </is>
      </c>
      <c r="C960" s="27" t="inlineStr">
        <is>
          <t>Receive failed</t>
        </is>
      </c>
      <c r="D960" s="21" t="inlineStr">
        <is>
          <t>មិនអាចយកអីវ៉ាន់បាន</t>
        </is>
      </c>
      <c r="E960" s="102" t="inlineStr">
        <is>
          <t>មិនអាចយកអីវ៉ាន់បាន</t>
        </is>
      </c>
      <c r="F960" s="10" t="n"/>
      <c r="G960" s="10" t="inlineStr">
        <is>
          <t>យកអីវ៉ាន់មិនបានសម្រេច</t>
        </is>
      </c>
      <c r="H960" s="10" t="inlineStr">
        <is>
          <t>យកអីវ៉ាន់មិនបានសម្រេច</t>
        </is>
      </c>
      <c r="I960" s="10" t="n"/>
      <c r="J960" s="10" t="n"/>
      <c r="K960" s="10" t="inlineStr">
        <is>
          <t>"mainStatus.230": "យកអីវ៉ាន់មិនបានសម្រេច",</t>
        </is>
      </c>
      <c r="L960" s="10" t="n"/>
      <c r="M960" s="10" t="n"/>
      <c r="N960" s="10" t="n"/>
      <c r="O960" s="10" t="n"/>
      <c r="P960" s="10" t="n"/>
      <c r="Q960" s="10" t="n"/>
      <c r="R960" s="10" t="n"/>
      <c r="S960" s="10" t="n"/>
      <c r="T960" s="10" t="n"/>
      <c r="U960" s="10" t="n"/>
      <c r="V960" s="10" t="n"/>
      <c r="W960" s="10" t="n"/>
      <c r="X960" s="10" t="n"/>
      <c r="Y960" s="10" t="n"/>
      <c r="Z960" s="10" t="n"/>
    </row>
    <row r="961">
      <c r="A961" s="27" t="inlineStr">
        <is>
          <t>mainStatus.201</t>
        </is>
      </c>
      <c r="B961" s="27" t="inlineStr">
        <is>
          <t>Hủy đơn</t>
        </is>
      </c>
      <c r="C961" s="27" t="inlineStr">
        <is>
          <t>Cancelled</t>
        </is>
      </c>
      <c r="D961" s="102" t="inlineStr">
        <is>
          <t>លុបចោលបុុងបញ្ញើ</t>
        </is>
      </c>
      <c r="E961" s="102" t="inlineStr">
        <is>
          <t>លុបចោលបុងបញ្ញើ</t>
        </is>
      </c>
      <c r="F961" s="10" t="n"/>
      <c r="G961" s="10" t="inlineStr">
        <is>
          <t>លុបបុងចោល</t>
        </is>
      </c>
      <c r="H961" s="10" t="inlineStr">
        <is>
          <t>លុបបុងចោល</t>
        </is>
      </c>
      <c r="I961" s="10" t="n"/>
      <c r="J961" s="10" t="n"/>
      <c r="K961" s="10" t="inlineStr">
        <is>
          <t>"mainStatus.201": "លុបបុងចោល",</t>
        </is>
      </c>
      <c r="L961" s="10" t="n"/>
      <c r="M961" s="10" t="n"/>
      <c r="N961" s="10" t="n"/>
      <c r="O961" s="10" t="n"/>
      <c r="P961" s="10" t="n"/>
      <c r="Q961" s="10" t="n"/>
      <c r="R961" s="10" t="n"/>
      <c r="S961" s="10" t="n"/>
      <c r="T961" s="10" t="n"/>
      <c r="U961" s="10" t="n"/>
      <c r="V961" s="10" t="n"/>
      <c r="W961" s="10" t="n"/>
      <c r="X961" s="10" t="n"/>
      <c r="Y961" s="10" t="n"/>
      <c r="Z961" s="10" t="n"/>
    </row>
    <row r="962">
      <c r="A962" s="27" t="inlineStr">
        <is>
          <t>mainStatus.300</t>
        </is>
      </c>
      <c r="B962" s="27" t="inlineStr">
        <is>
          <t>Gán đơn vào tải</t>
        </is>
      </c>
      <c r="C962" s="27" t="inlineStr">
        <is>
          <t>Assign order to sack</t>
        </is>
      </c>
      <c r="D962" s="102" t="n"/>
      <c r="E962" s="102" t="inlineStr">
        <is>
          <t>យកបុងបញ្ញើចូលបាវ</t>
        </is>
      </c>
      <c r="F962" s="10" t="n"/>
      <c r="G962" s="10" t="inlineStr">
        <is>
          <t>យកបុងបញ្ញើចូលបាវ</t>
        </is>
      </c>
      <c r="H962" s="10" t="inlineStr">
        <is>
          <t>យកបុងបញ្ញើចូលបាវ</t>
        </is>
      </c>
      <c r="I962" s="10" t="n"/>
      <c r="J962" s="10" t="n"/>
      <c r="K962" s="10" t="inlineStr">
        <is>
          <t>"mainStatus.300": "យកបុងបញ្ញើចូលបាវ",</t>
        </is>
      </c>
      <c r="L962" s="10" t="n"/>
      <c r="M962" s="10" t="n"/>
      <c r="N962" s="10" t="n"/>
      <c r="O962" s="10" t="n"/>
      <c r="P962" s="10" t="n"/>
      <c r="Q962" s="10" t="n"/>
      <c r="R962" s="10" t="n"/>
      <c r="S962" s="10" t="n"/>
      <c r="T962" s="10" t="n"/>
      <c r="U962" s="10" t="n"/>
      <c r="V962" s="10" t="n"/>
      <c r="W962" s="10" t="n"/>
      <c r="X962" s="10" t="n"/>
      <c r="Y962" s="10" t="n"/>
      <c r="Z962" s="10" t="n"/>
    </row>
    <row r="963">
      <c r="A963" s="27" t="inlineStr">
        <is>
          <t>mainStatus.301</t>
        </is>
      </c>
      <c r="B963" s="27" t="inlineStr">
        <is>
          <t>Loại bỏ đơn khỏi tải</t>
        </is>
      </c>
      <c r="C963" s="27" t="inlineStr">
        <is>
          <t>Remove order from sack</t>
        </is>
      </c>
      <c r="D963" s="102" t="inlineStr">
        <is>
          <t>លុបចោលបុងបញ្ញើពី</t>
        </is>
      </c>
      <c r="E963" s="102" t="inlineStr">
        <is>
          <t>លុុបចោលបុងបញ្ញើចេញពីបាវ</t>
        </is>
      </c>
      <c r="F963" s="10" t="n"/>
      <c r="G963" s="10" t="inlineStr">
        <is>
          <t>ដកបុងចេញពីបាវ</t>
        </is>
      </c>
      <c r="H963" s="10" t="inlineStr">
        <is>
          <t>ដកបុងចេញពីបាវ</t>
        </is>
      </c>
      <c r="I963" s="10" t="n"/>
      <c r="J963" s="10" t="n"/>
      <c r="K963" s="10" t="inlineStr">
        <is>
          <t>"mainStatus.301": "ដកបុងចេញពីបាវ",</t>
        </is>
      </c>
      <c r="L963" s="10" t="n"/>
      <c r="M963" s="10" t="n"/>
      <c r="N963" s="10" t="n"/>
      <c r="O963" s="10" t="n"/>
      <c r="P963" s="10" t="n"/>
      <c r="Q963" s="10" t="n"/>
      <c r="R963" s="10" t="n"/>
      <c r="S963" s="10" t="n"/>
      <c r="T963" s="10" t="n"/>
      <c r="U963" s="10" t="n"/>
      <c r="V963" s="10" t="n"/>
      <c r="W963" s="10" t="n"/>
      <c r="X963" s="10" t="n"/>
      <c r="Y963" s="10" t="n"/>
      <c r="Z963" s="10" t="n"/>
    </row>
    <row r="964">
      <c r="A964" s="27" t="inlineStr">
        <is>
          <t>mainStatus.302</t>
        </is>
      </c>
      <c r="B964" s="27" t="inlineStr">
        <is>
          <t>Hoàn thành tải</t>
        </is>
      </c>
      <c r="C964" s="27" t="inlineStr">
        <is>
          <t>Sack completed</t>
        </is>
      </c>
      <c r="D964" s="21" t="n"/>
      <c r="E964" s="102" t="inlineStr">
        <is>
          <t>បានបញ្ចប់ការដាក់បាវរួចរាល់</t>
        </is>
      </c>
      <c r="F964" s="10" t="n"/>
      <c r="G964" s="10" t="inlineStr">
        <is>
          <t>ច្រកបាវរួចរាល់</t>
        </is>
      </c>
      <c r="H964" s="10" t="inlineStr">
        <is>
          <t>ច្រកបាវរួចរាល់</t>
        </is>
      </c>
      <c r="I964" s="10" t="n"/>
      <c r="J964" s="10" t="n"/>
      <c r="K964" s="10" t="inlineStr">
        <is>
          <t>"mainStatus.302": "ច្រកបាវរួចរាល់",</t>
        </is>
      </c>
      <c r="L964" s="10" t="n"/>
      <c r="M964" s="10" t="n"/>
      <c r="N964" s="10" t="n"/>
      <c r="O964" s="10" t="n"/>
      <c r="P964" s="10" t="n"/>
      <c r="Q964" s="10" t="n"/>
      <c r="R964" s="10" t="n"/>
      <c r="S964" s="10" t="n"/>
      <c r="T964" s="10" t="n"/>
      <c r="U964" s="10" t="n"/>
      <c r="V964" s="10" t="n"/>
      <c r="W964" s="10" t="n"/>
      <c r="X964" s="10" t="n"/>
      <c r="Y964" s="10" t="n"/>
      <c r="Z964" s="10" t="n"/>
    </row>
    <row r="965">
      <c r="A965" s="27" t="inlineStr">
        <is>
          <t>mainStatus.303</t>
        </is>
      </c>
      <c r="B965" s="27" t="inlineStr">
        <is>
          <t>Gửi yêu cầu vận tải</t>
        </is>
      </c>
      <c r="C965" s="27" t="inlineStr">
        <is>
          <t>Send transport request</t>
        </is>
      </c>
      <c r="D965" s="21" t="n"/>
      <c r="E965" s="102" t="inlineStr">
        <is>
          <t>ផ្ញើសំណើរការដឹកជញ្ជូន</t>
        </is>
      </c>
      <c r="F965" s="10" t="n"/>
      <c r="G965" s="10" t="inlineStr">
        <is>
          <t>ផ្ញើសំណើដឹកជញ្ជូន</t>
        </is>
      </c>
      <c r="H965" s="10" t="inlineStr">
        <is>
          <t>ផ្ញើសំណើដឹកជញ្ជូន</t>
        </is>
      </c>
      <c r="I965" s="10" t="n"/>
      <c r="J965" s="10" t="n"/>
      <c r="K965" s="10" t="inlineStr">
        <is>
          <t>"mainStatus.303": "ផ្ញើសំណើដឹកជញ្ជូន",</t>
        </is>
      </c>
      <c r="L965" s="10" t="n"/>
      <c r="M965" s="10" t="n"/>
      <c r="N965" s="10" t="n"/>
      <c r="O965" s="10" t="n"/>
      <c r="P965" s="10" t="n"/>
      <c r="Q965" s="10" t="n"/>
      <c r="R965" s="10" t="n"/>
      <c r="S965" s="10" t="n"/>
      <c r="T965" s="10" t="n"/>
      <c r="U965" s="10" t="n"/>
      <c r="V965" s="10" t="n"/>
      <c r="W965" s="10" t="n"/>
      <c r="X965" s="10" t="n"/>
      <c r="Y965" s="10" t="n"/>
      <c r="Z965" s="10" t="n"/>
    </row>
    <row r="966">
      <c r="A966" s="27" t="inlineStr">
        <is>
          <t>mainStatus.304</t>
        </is>
      </c>
      <c r="B966" s="27" t="inlineStr">
        <is>
          <t>Xác nhận đến đơn vị (checkin)</t>
        </is>
      </c>
      <c r="C966" s="27" t="inlineStr">
        <is>
          <t>Confirm arrival at unit</t>
        </is>
      </c>
      <c r="D966" s="21" t="inlineStr">
        <is>
          <t>បញ្ជាក់ដល់អង្គភាព</t>
        </is>
      </c>
      <c r="E966" s="102" t="inlineStr">
        <is>
          <t>បញ្ជាក់ទៅដល់អង្គភាព (check in)</t>
        </is>
      </c>
      <c r="F966" s="10" t="n"/>
      <c r="G966" s="10" t="inlineStr">
        <is>
          <t>បញ្ជាក់ទៅដល់អង្គភាព (check in)</t>
        </is>
      </c>
      <c r="H966" s="10" t="inlineStr">
        <is>
          <t>បញ្ជាក់ទៅដល់អង្គភាព (check in)</t>
        </is>
      </c>
      <c r="I966" s="10" t="n"/>
      <c r="J966" s="10" t="n"/>
      <c r="K966" s="10" t="inlineStr">
        <is>
          <t>"mainStatus.304": "បញ្ជាក់ទៅដល់អង្គភាព (check in)",</t>
        </is>
      </c>
      <c r="L966" s="10" t="n"/>
      <c r="M966" s="10" t="n"/>
      <c r="N966" s="10" t="n"/>
      <c r="O966" s="10" t="n"/>
      <c r="P966" s="10" t="n"/>
      <c r="Q966" s="10" t="n"/>
      <c r="R966" s="10" t="n"/>
      <c r="S966" s="10" t="n"/>
      <c r="T966" s="10" t="n"/>
      <c r="U966" s="10" t="n"/>
      <c r="V966" s="10" t="n"/>
      <c r="W966" s="10" t="n"/>
      <c r="X966" s="10" t="n"/>
      <c r="Y966" s="10" t="n"/>
      <c r="Z966" s="10" t="n"/>
    </row>
    <row r="967">
      <c r="A967" s="27" t="inlineStr">
        <is>
          <t>mainStatus.305</t>
        </is>
      </c>
      <c r="B967" s="27" t="inlineStr">
        <is>
          <t>Tạo bàn giao</t>
        </is>
      </c>
      <c r="C967" s="27" t="inlineStr">
        <is>
          <t>Create a new handover</t>
        </is>
      </c>
      <c r="D967" s="21" t="inlineStr">
        <is>
          <t>បង្កើតការប្រគល់</t>
        </is>
      </c>
      <c r="E967" s="102" t="inlineStr">
        <is>
          <t>បង្កើ្កតការប្រគល់</t>
        </is>
      </c>
      <c r="F967" s="10" t="n"/>
      <c r="G967" s="10" t="inlineStr">
        <is>
          <t>បង្កើតការប្រគល់ទទួល</t>
        </is>
      </c>
      <c r="H967" s="10" t="inlineStr">
        <is>
          <t>បង្កើតការប្រគល់ទទួល</t>
        </is>
      </c>
      <c r="I967" s="10" t="n"/>
      <c r="J967" s="10" t="n"/>
      <c r="K967" s="10" t="inlineStr">
        <is>
          <t>"mainStatus.305": "បង្កើតការប្រគល់ទទួល",</t>
        </is>
      </c>
      <c r="L967" s="10" t="n"/>
      <c r="M967" s="10" t="n"/>
      <c r="N967" s="10" t="n"/>
      <c r="O967" s="10" t="n"/>
      <c r="P967" s="10" t="n"/>
      <c r="Q967" s="10" t="n"/>
      <c r="R967" s="10" t="n"/>
      <c r="S967" s="10" t="n"/>
      <c r="T967" s="10" t="n"/>
      <c r="U967" s="10" t="n"/>
      <c r="V967" s="10" t="n"/>
      <c r="W967" s="10" t="n"/>
      <c r="X967" s="10" t="n"/>
      <c r="Y967" s="10" t="n"/>
      <c r="Z967" s="10" t="n"/>
    </row>
    <row r="968">
      <c r="A968" s="27" t="inlineStr">
        <is>
          <t>mainStatus.306</t>
        </is>
      </c>
      <c r="B968" s="27" t="inlineStr">
        <is>
          <t>Nhận bàn giao</t>
        </is>
      </c>
      <c r="C968" s="27" t="inlineStr">
        <is>
          <t>Accept handover</t>
        </is>
      </c>
      <c r="D968" s="21" t="inlineStr">
        <is>
          <t>ទទួលការប្រគល់</t>
        </is>
      </c>
      <c r="E968" s="102" t="inlineStr">
        <is>
          <t>ទទួលការប្រគល់</t>
        </is>
      </c>
      <c r="F968" s="10" t="n"/>
      <c r="G968" s="10" t="inlineStr">
        <is>
          <t>ទទួលការប្រគល់ទទួល</t>
        </is>
      </c>
      <c r="H968" s="10" t="inlineStr">
        <is>
          <t>ទទួលការប្រគល់ទទួល</t>
        </is>
      </c>
      <c r="I968" s="10" t="n"/>
      <c r="J968" s="10" t="n"/>
      <c r="K968" s="10" t="inlineStr">
        <is>
          <t>"mainStatus.306": "ទទួលការប្រគល់ទទួល",</t>
        </is>
      </c>
      <c r="L968" s="10" t="n"/>
      <c r="M968" s="10" t="n"/>
      <c r="N968" s="10" t="n"/>
      <c r="O968" s="10" t="n"/>
      <c r="P968" s="10" t="n"/>
      <c r="Q968" s="10" t="n"/>
      <c r="R968" s="10" t="n"/>
      <c r="S968" s="10" t="n"/>
      <c r="T968" s="10" t="n"/>
      <c r="U968" s="10" t="n"/>
      <c r="V968" s="10" t="n"/>
      <c r="W968" s="10" t="n"/>
      <c r="X968" s="10" t="n"/>
      <c r="Y968" s="10" t="n"/>
      <c r="Z968" s="10" t="n"/>
    </row>
    <row r="969">
      <c r="A969" s="27" t="inlineStr">
        <is>
          <t>mainStatus.307</t>
        </is>
      </c>
      <c r="B969" s="27" t="inlineStr">
        <is>
          <t>Từ chối nhận bàn giao</t>
        </is>
      </c>
      <c r="C969" s="27" t="inlineStr">
        <is>
          <t>Reject</t>
        </is>
      </c>
      <c r="D969" s="21" t="inlineStr">
        <is>
          <t>បដិសេដទទួលយកការប្រគល់</t>
        </is>
      </c>
      <c r="E969" s="102" t="inlineStr">
        <is>
          <t>បដិសេដទទួលយកការប្រគល់</t>
        </is>
      </c>
      <c r="F969" s="10" t="n"/>
      <c r="G969" s="10" t="inlineStr">
        <is>
          <t>បដិសេធទទួលការប្រគល់</t>
        </is>
      </c>
      <c r="H969" s="10" t="inlineStr">
        <is>
          <t>បដិសេធទទួលការប្រគល់</t>
        </is>
      </c>
      <c r="I969" s="10" t="n"/>
      <c r="J969" s="10" t="n"/>
      <c r="K969" s="10" t="inlineStr">
        <is>
          <t>"mainStatus.307": "បដិសេធទទួលការប្រគល់",</t>
        </is>
      </c>
      <c r="L969" s="10" t="n"/>
      <c r="M969" s="10" t="n"/>
      <c r="N969" s="10" t="n"/>
      <c r="O969" s="10" t="n"/>
      <c r="P969" s="10" t="n"/>
      <c r="Q969" s="10" t="n"/>
      <c r="R969" s="10" t="n"/>
      <c r="S969" s="10" t="n"/>
      <c r="T969" s="10" t="n"/>
      <c r="U969" s="10" t="n"/>
      <c r="V969" s="10" t="n"/>
      <c r="W969" s="10" t="n"/>
      <c r="X969" s="10" t="n"/>
      <c r="Y969" s="10" t="n"/>
      <c r="Z969" s="10" t="n"/>
    </row>
    <row r="970">
      <c r="A970" s="27" t="inlineStr">
        <is>
          <t>mainStatus.308</t>
        </is>
      </c>
      <c r="B970" s="27" t="inlineStr">
        <is>
          <t>Xác nhận rời đơn vị (checkout)</t>
        </is>
      </c>
      <c r="C970" s="27" t="inlineStr">
        <is>
          <t>Confirm departure from unit</t>
        </is>
      </c>
      <c r="D970" s="21" t="n"/>
      <c r="E970" s="90" t="inlineStr">
        <is>
          <t>បញ្ជាក់ការចាកចេញពីអង្គភាព (checkout)</t>
        </is>
      </c>
      <c r="F970" s="10" t="n"/>
      <c r="G970" s="10" t="inlineStr">
        <is>
          <t>បញ្ជាក់ការចាកចេញពីអង្គភាព (checkout)</t>
        </is>
      </c>
      <c r="H970" s="10" t="inlineStr">
        <is>
          <t>បញ្ជាក់ការចាកចេញពីអង្គភាព (checkout)</t>
        </is>
      </c>
      <c r="I970" s="10" t="n"/>
      <c r="J970" s="10" t="n"/>
      <c r="K970" s="10" t="inlineStr">
        <is>
          <t>"mainStatus.308": "បញ្ជាក់ការចាកចេញពីអង្គភាព (checkout)",</t>
        </is>
      </c>
      <c r="L970" s="10" t="n"/>
      <c r="M970" s="10" t="n"/>
      <c r="N970" s="10" t="n"/>
      <c r="O970" s="10" t="n"/>
      <c r="P970" s="10" t="n"/>
      <c r="Q970" s="10" t="n"/>
      <c r="R970" s="10" t="n"/>
      <c r="S970" s="10" t="n"/>
      <c r="T970" s="10" t="n"/>
      <c r="U970" s="10" t="n"/>
      <c r="V970" s="10" t="n"/>
      <c r="W970" s="10" t="n"/>
      <c r="X970" s="10" t="n"/>
      <c r="Y970" s="10" t="n"/>
      <c r="Z970" s="10" t="n"/>
    </row>
    <row r="971">
      <c r="A971" s="27" t="inlineStr">
        <is>
          <t>mainStatus.309</t>
        </is>
      </c>
      <c r="B971" s="27" t="inlineStr">
        <is>
          <t>Nhận bưu gửi</t>
        </is>
      </c>
      <c r="C971" s="27" t="inlineStr">
        <is>
          <t>Receive bill</t>
        </is>
      </c>
      <c r="D971" s="21" t="inlineStr">
        <is>
          <t>ទទួួលបញ្ញើ</t>
        </is>
      </c>
      <c r="E971" s="102" t="inlineStr">
        <is>
          <t>ទទួលកញ្ចប់ទំនិញ</t>
        </is>
      </c>
      <c r="F971" s="10" t="n"/>
      <c r="G971" s="10" t="inlineStr">
        <is>
          <t>ទទួលបុងបញ្ញើ</t>
        </is>
      </c>
      <c r="H971" s="10" t="inlineStr">
        <is>
          <t>ទទួលបុងបញ្ញើ</t>
        </is>
      </c>
      <c r="I971" s="10" t="n"/>
      <c r="J971" s="10" t="n"/>
      <c r="K971" s="10" t="inlineStr">
        <is>
          <t>"mainStatus.309": "ទទួលបុងបញ្ញើ",</t>
        </is>
      </c>
      <c r="L971" s="10" t="n"/>
      <c r="M971" s="10" t="n"/>
      <c r="N971" s="10" t="n"/>
      <c r="O971" s="10" t="n"/>
      <c r="P971" s="10" t="n"/>
      <c r="Q971" s="10" t="n"/>
      <c r="R971" s="10" t="n"/>
      <c r="S971" s="10" t="n"/>
      <c r="T971" s="10" t="n"/>
      <c r="U971" s="10" t="n"/>
      <c r="V971" s="10" t="n"/>
      <c r="W971" s="10" t="n"/>
      <c r="X971" s="10" t="n"/>
      <c r="Y971" s="10" t="n"/>
      <c r="Z971" s="10" t="n"/>
    </row>
    <row r="972">
      <c r="A972" s="27" t="inlineStr">
        <is>
          <t>mainStatus.400</t>
        </is>
      </c>
      <c r="B972" s="27" t="inlineStr">
        <is>
          <t>Phân công giao - Chưa hoàn thành</t>
        </is>
      </c>
      <c r="C972" s="27" t="inlineStr">
        <is>
          <t>Assigned to deliver - Not completed</t>
        </is>
      </c>
      <c r="D972" s="21" t="inlineStr">
        <is>
          <t>បែងចែកការប្រគល់-មិនទាន់បានបញ្ចប់</t>
        </is>
      </c>
      <c r="E972" s="102" t="inlineStr">
        <is>
          <t>ចាត់ចែងការប្រគល់ – មិនទាន់សម្រេច</t>
        </is>
      </c>
      <c r="F972" s="10" t="n"/>
      <c r="G972" s="10" t="inlineStr">
        <is>
          <t>ចាត់តាំងការដឹកជញ្ជូន - មិនទាន់បញ្ចប់</t>
        </is>
      </c>
      <c r="H972" s="10" t="inlineStr">
        <is>
          <t>ចាត់តាំងការដឹកជញ្ជូន - មិនទាន់បញ្ចប់</t>
        </is>
      </c>
      <c r="I972" s="10" t="n"/>
      <c r="J972" s="10" t="n"/>
      <c r="K972" s="10" t="inlineStr">
        <is>
          <t>"mainStatus.400": "ចាត់តាំងការដឹកជញ្ជូន - មិនទាន់បញ្ចប់",</t>
        </is>
      </c>
      <c r="L972" s="10" t="n"/>
      <c r="M972" s="10" t="n"/>
      <c r="N972" s="10" t="n"/>
      <c r="O972" s="10" t="n"/>
      <c r="P972" s="10" t="n"/>
      <c r="Q972" s="10" t="n"/>
      <c r="R972" s="10" t="n"/>
      <c r="S972" s="10" t="n"/>
      <c r="T972" s="10" t="n"/>
      <c r="U972" s="10" t="n"/>
      <c r="V972" s="10" t="n"/>
      <c r="W972" s="10" t="n"/>
      <c r="X972" s="10" t="n"/>
      <c r="Y972" s="10" t="n"/>
      <c r="Z972" s="10" t="n"/>
    </row>
    <row r="973">
      <c r="A973" s="27" t="inlineStr">
        <is>
          <t>mainStatus.401</t>
        </is>
      </c>
      <c r="B973" s="27" t="inlineStr">
        <is>
          <t>Phân công giao - Đã hoàn thành</t>
        </is>
      </c>
      <c r="C973" s="27" t="inlineStr">
        <is>
          <t>Assigned to deliver</t>
        </is>
      </c>
      <c r="D973" s="21" t="inlineStr">
        <is>
          <t>បែងចែកការប្រគល់-បានបញ្ចប់</t>
        </is>
      </c>
      <c r="E973" s="102" t="inlineStr">
        <is>
          <t>ចាត់ចែងការប្រគល់ – បានសម្រេច</t>
        </is>
      </c>
      <c r="F973" s="10" t="n"/>
      <c r="G973" s="10" t="inlineStr">
        <is>
          <t>ចាត់តាំងការដឹកជញ្ជូន - បានបញ្ចប់</t>
        </is>
      </c>
      <c r="H973" s="10" t="inlineStr">
        <is>
          <t>ចាត់តាំងការដឹកជញ្ជូន - បានបញ្ចប់</t>
        </is>
      </c>
      <c r="I973" s="10" t="n"/>
      <c r="J973" s="10" t="n"/>
      <c r="K973" s="10" t="inlineStr">
        <is>
          <t>"mainStatus.401": "ចាត់តាំងការដឹកជញ្ជូន - បានបញ្ចប់",</t>
        </is>
      </c>
      <c r="L973" s="10" t="n"/>
      <c r="M973" s="10" t="n"/>
      <c r="N973" s="10" t="n"/>
      <c r="O973" s="10" t="n"/>
      <c r="P973" s="10" t="n"/>
      <c r="Q973" s="10" t="n"/>
      <c r="R973" s="10" t="n"/>
      <c r="S973" s="10" t="n"/>
      <c r="T973" s="10" t="n"/>
      <c r="U973" s="10" t="n"/>
      <c r="V973" s="10" t="n"/>
      <c r="W973" s="10" t="n"/>
      <c r="X973" s="10" t="n"/>
      <c r="Y973" s="10" t="n"/>
      <c r="Z973" s="10" t="n"/>
    </row>
    <row r="974">
      <c r="A974" s="27" t="inlineStr">
        <is>
          <t>mainStatus.402</t>
        </is>
      </c>
      <c r="B974" s="27" t="inlineStr">
        <is>
          <t>Xác nhận phân công</t>
        </is>
      </c>
      <c r="C974" s="27" t="inlineStr">
        <is>
          <t>Assignment confirmation</t>
        </is>
      </c>
      <c r="D974" s="102" t="inlineStr">
        <is>
          <t>បញ្ជាក់ការបែងចែក</t>
        </is>
      </c>
      <c r="E974" s="102" t="inlineStr">
        <is>
          <t>បញ្ជាក់ការបែងចែក</t>
        </is>
      </c>
      <c r="F974" s="10" t="n"/>
      <c r="G974" s="10" t="inlineStr">
        <is>
          <t>បញ្ជាក់ការចាត់តាំងការងារ</t>
        </is>
      </c>
      <c r="H974" s="10" t="inlineStr">
        <is>
          <t>បញ្ជាក់ការចាត់តាំងការងារ</t>
        </is>
      </c>
      <c r="I974" s="10" t="n"/>
      <c r="J974" s="10" t="n"/>
      <c r="K974" s="10" t="inlineStr">
        <is>
          <t>"mainStatus.402": "បញ្ជាក់ការចាត់តាំងការងារ",</t>
        </is>
      </c>
      <c r="L974" s="10" t="n"/>
      <c r="M974" s="10" t="n"/>
      <c r="N974" s="10" t="n"/>
      <c r="O974" s="10" t="n"/>
      <c r="P974" s="10" t="n"/>
      <c r="Q974" s="10" t="n"/>
      <c r="R974" s="10" t="n"/>
      <c r="S974" s="10" t="n"/>
      <c r="T974" s="10" t="n"/>
      <c r="U974" s="10" t="n"/>
      <c r="V974" s="10" t="n"/>
      <c r="W974" s="10" t="n"/>
      <c r="X974" s="10" t="n"/>
      <c r="Y974" s="10" t="n"/>
      <c r="Z974" s="10" t="n"/>
    </row>
    <row r="975">
      <c r="A975" s="27" t="inlineStr">
        <is>
          <t>mainStatus.403</t>
        </is>
      </c>
      <c r="B975" s="27" t="inlineStr">
        <is>
          <t>Đến địa chỉ giao</t>
        </is>
      </c>
      <c r="C975" s="27" t="inlineStr">
        <is>
          <t>Arrived at delivery address</t>
        </is>
      </c>
      <c r="D975" s="21" t="inlineStr">
        <is>
          <t>មកដល់ទីតាំងប្រគល់</t>
        </is>
      </c>
      <c r="E975" s="102" t="inlineStr">
        <is>
          <t>មកដល់ទីតាំងប្រគល់</t>
        </is>
      </c>
      <c r="F975" s="10" t="n"/>
      <c r="G975" s="10" t="inlineStr">
        <is>
          <t>មកដល់ទីតាំងប្រគល់</t>
        </is>
      </c>
      <c r="H975" s="10" t="inlineStr">
        <is>
          <t>មកដល់ទីតាំងប្រគល់</t>
        </is>
      </c>
      <c r="I975" s="10" t="n"/>
      <c r="J975" s="10" t="n"/>
      <c r="K975" s="10" t="inlineStr">
        <is>
          <t>"mainStatus.403": "មកដល់ទីតាំងប្រគល់",</t>
        </is>
      </c>
      <c r="L975" s="10" t="n"/>
      <c r="M975" s="10" t="n"/>
      <c r="N975" s="10" t="n"/>
      <c r="O975" s="10" t="n"/>
      <c r="P975" s="10" t="n"/>
      <c r="Q975" s="10" t="n"/>
      <c r="R975" s="10" t="n"/>
      <c r="S975" s="10" t="n"/>
      <c r="T975" s="10" t="n"/>
      <c r="U975" s="10" t="n"/>
      <c r="V975" s="10" t="n"/>
      <c r="W975" s="10" t="n"/>
      <c r="X975" s="10" t="n"/>
      <c r="Y975" s="10" t="n"/>
      <c r="Z975" s="10" t="n"/>
    </row>
    <row r="976">
      <c r="A976" s="27" t="inlineStr">
        <is>
          <t>mainStatus.410</t>
        </is>
      </c>
      <c r="B976" s="27" t="inlineStr">
        <is>
          <t>Giao thành công</t>
        </is>
      </c>
      <c r="C976" s="27" t="inlineStr">
        <is>
          <t>Shipped</t>
        </is>
      </c>
      <c r="D976" s="21" t="inlineStr">
        <is>
          <t>ប្រគល់អីវ៉ាន់បានជោគជ័យ</t>
        </is>
      </c>
      <c r="E976" s="102" t="inlineStr">
        <is>
          <t>ប្រគល់បានជោគជ័យ</t>
        </is>
      </c>
      <c r="F976" s="10" t="n"/>
      <c r="G976" s="10" t="inlineStr">
        <is>
          <t>ដឹកជញ្ជូនជោគជ័យ</t>
        </is>
      </c>
      <c r="H976" s="10" t="inlineStr">
        <is>
          <t>ដឹកជញ្ជូនជោគជ័យ</t>
        </is>
      </c>
      <c r="I976" s="10" t="n"/>
      <c r="J976" s="10" t="n"/>
      <c r="K976" s="10" t="inlineStr">
        <is>
          <t>"mainStatus.410": "ដឹកជញ្ជូនជោគជ័យ",</t>
        </is>
      </c>
      <c r="L976" s="10" t="n"/>
      <c r="M976" s="10" t="n"/>
      <c r="N976" s="10" t="n"/>
      <c r="O976" s="10" t="n"/>
      <c r="P976" s="10" t="n"/>
      <c r="Q976" s="10" t="n"/>
      <c r="R976" s="10" t="n"/>
      <c r="S976" s="10" t="n"/>
      <c r="T976" s="10" t="n"/>
      <c r="U976" s="10" t="n"/>
      <c r="V976" s="10" t="n"/>
      <c r="W976" s="10" t="n"/>
      <c r="X976" s="10" t="n"/>
      <c r="Y976" s="10" t="n"/>
      <c r="Z976" s="10" t="n"/>
    </row>
    <row r="977">
      <c r="A977" s="27" t="inlineStr">
        <is>
          <t>mainStatus.420</t>
        </is>
      </c>
      <c r="B977" s="27" t="inlineStr">
        <is>
          <t>Hẹn giao lại</t>
        </is>
      </c>
      <c r="C977" s="27" t="inlineStr">
        <is>
          <t>Ship again</t>
        </is>
      </c>
      <c r="D977" s="21" t="inlineStr">
        <is>
          <t>កំណត់ការប្រគល់អីវ៉ាន់ម្តងទៀត</t>
        </is>
      </c>
      <c r="E977" s="102" t="inlineStr">
        <is>
          <t>កំណត់ពេលវេលាប្រគល់ម្តងទៀត</t>
        </is>
      </c>
      <c r="F977" s="10" t="n"/>
      <c r="G977" s="10" t="inlineStr">
        <is>
          <t>ណាត់ពេលដឹកជញ្ជូនម្តងទៀត</t>
        </is>
      </c>
      <c r="H977" s="10" t="inlineStr">
        <is>
          <t>ណាត់ពេលដឹកជញ្ជូនម្តងទៀត</t>
        </is>
      </c>
      <c r="I977" s="10" t="n"/>
      <c r="J977" s="10" t="n"/>
      <c r="K977" s="10" t="inlineStr">
        <is>
          <t>"mainStatus.420": "ណាត់ពេលដឹកជញ្ជូនម្តងទៀត",</t>
        </is>
      </c>
      <c r="L977" s="10" t="n"/>
      <c r="M977" s="10" t="n"/>
      <c r="N977" s="10" t="n"/>
      <c r="O977" s="10" t="n"/>
      <c r="P977" s="10" t="n"/>
      <c r="Q977" s="10" t="n"/>
      <c r="R977" s="10" t="n"/>
      <c r="S977" s="10" t="n"/>
      <c r="T977" s="10" t="n"/>
      <c r="U977" s="10" t="n"/>
      <c r="V977" s="10" t="n"/>
      <c r="W977" s="10" t="n"/>
      <c r="X977" s="10" t="n"/>
      <c r="Y977" s="10" t="n"/>
      <c r="Z977" s="10" t="n"/>
    </row>
    <row r="978">
      <c r="A978" s="27" t="inlineStr">
        <is>
          <t>mainStatus.430</t>
        </is>
      </c>
      <c r="B978" s="27" t="inlineStr">
        <is>
          <t>Không giao được hàng</t>
        </is>
      </c>
      <c r="C978" s="27" t="inlineStr">
        <is>
          <t>Ship failed</t>
        </is>
      </c>
      <c r="D978" s="21" t="inlineStr">
        <is>
          <t>មិនអាចប្រគល់អីវ៉ាន់បានទេ</t>
        </is>
      </c>
      <c r="E978" s="102" t="inlineStr">
        <is>
          <t>មិនអាចប្រគល់អីវ៉ាន់បាន</t>
        </is>
      </c>
      <c r="F978" s="10" t="n"/>
      <c r="G978" s="10" t="inlineStr">
        <is>
          <t>ដឹកជញ្ជូនមិនបានសម្រេច</t>
        </is>
      </c>
      <c r="H978" s="10" t="inlineStr">
        <is>
          <t>ដឹកជញ្ជូនមិនបានសម្រេច</t>
        </is>
      </c>
      <c r="I978" s="10" t="n"/>
      <c r="J978" s="10" t="n"/>
      <c r="K978" s="10" t="inlineStr">
        <is>
          <t>"mainStatus.430": "ដឹកជញ្ជូនមិនបានសម្រេច",</t>
        </is>
      </c>
      <c r="L978" s="10" t="n"/>
      <c r="M978" s="10" t="n"/>
      <c r="N978" s="10" t="n"/>
      <c r="O978" s="10" t="n"/>
      <c r="P978" s="10" t="n"/>
      <c r="Q978" s="10" t="n"/>
      <c r="R978" s="10" t="n"/>
      <c r="S978" s="10" t="n"/>
      <c r="T978" s="10" t="n"/>
      <c r="U978" s="10" t="n"/>
      <c r="V978" s="10" t="n"/>
      <c r="W978" s="10" t="n"/>
      <c r="X978" s="10" t="n"/>
      <c r="Y978" s="10" t="n"/>
      <c r="Z978" s="10" t="n"/>
    </row>
    <row r="979">
      <c r="A979" s="27" t="inlineStr">
        <is>
          <t>mainStatus.440</t>
        </is>
      </c>
      <c r="B979" s="27" t="inlineStr">
        <is>
          <t>Yêu cầu giao 1 phần</t>
        </is>
      </c>
      <c r="C979" s="27" t="inlineStr">
        <is>
          <t>Partial ship request</t>
        </is>
      </c>
      <c r="D979" s="21" t="inlineStr">
        <is>
          <t>ស្នើសុំប្រគល់១ផ្នែក</t>
        </is>
      </c>
      <c r="E979" s="102" t="inlineStr">
        <is>
          <t>ស្នើសុំប្រគល់មួយផ្នែក</t>
        </is>
      </c>
      <c r="F979" s="10" t="n"/>
      <c r="G979" s="10" t="inlineStr">
        <is>
          <t>ស្នើសុំដឹកជញ្ជូនមួយផ្នែក</t>
        </is>
      </c>
      <c r="H979" s="10" t="inlineStr">
        <is>
          <t>ស្នើសុំដឹកជញ្ជូនមួយផ្នែក</t>
        </is>
      </c>
      <c r="I979" s="10" t="n"/>
      <c r="J979" s="10" t="n"/>
      <c r="K979" s="10" t="inlineStr">
        <is>
          <t>"mainStatus.440": "ស្នើសុំដឹកជញ្ជូនមួយផ្នែក",</t>
        </is>
      </c>
      <c r="L979" s="10" t="n"/>
      <c r="M979" s="10" t="n"/>
      <c r="N979" s="10" t="n"/>
      <c r="O979" s="10" t="n"/>
      <c r="P979" s="10" t="n"/>
      <c r="Q979" s="10" t="n"/>
      <c r="R979" s="10" t="n"/>
      <c r="S979" s="10" t="n"/>
      <c r="T979" s="10" t="n"/>
      <c r="U979" s="10" t="n"/>
      <c r="V979" s="10" t="n"/>
      <c r="W979" s="10" t="n"/>
      <c r="X979" s="10" t="n"/>
      <c r="Y979" s="10" t="n"/>
      <c r="Z979" s="10" t="n"/>
    </row>
    <row r="980">
      <c r="A980" s="27" t="inlineStr">
        <is>
          <t>mainStatus.441</t>
        </is>
      </c>
      <c r="B980" s="27" t="inlineStr">
        <is>
          <t>Giao thành công 1 phần</t>
        </is>
      </c>
      <c r="C980" s="27" t="inlineStr">
        <is>
          <t>Partially shipped</t>
        </is>
      </c>
      <c r="D980" s="21" t="inlineStr">
        <is>
          <t>ប្រគល់អីវ៉ាន់បានជោគជ័យមួយផ្នែក</t>
        </is>
      </c>
      <c r="E980" s="102" t="inlineStr">
        <is>
          <t>ប្រគល់បានជោគជ័យមួយផ្នែក</t>
        </is>
      </c>
      <c r="F980" s="10" t="n"/>
      <c r="G980" s="10" t="inlineStr">
        <is>
          <t>ដឹកជញ្ជូនជោគជ័យមួយផ្នែក</t>
        </is>
      </c>
      <c r="H980" s="10" t="inlineStr">
        <is>
          <t>ដឹកជញ្ជូនជោគជ័យមួយផ្នែក</t>
        </is>
      </c>
      <c r="I980" s="10" t="n"/>
      <c r="J980" s="10" t="n"/>
      <c r="K980" s="10" t="inlineStr">
        <is>
          <t>"mainStatus.441": "ដឹកជញ្ជូនជោគជ័យមួយផ្នែក",</t>
        </is>
      </c>
      <c r="L980" s="10" t="n"/>
      <c r="M980" s="10" t="n"/>
      <c r="N980" s="10" t="n"/>
      <c r="O980" s="10" t="n"/>
      <c r="P980" s="10" t="n"/>
      <c r="Q980" s="10" t="n"/>
      <c r="R980" s="10" t="n"/>
      <c r="S980" s="10" t="n"/>
      <c r="T980" s="10" t="n"/>
      <c r="U980" s="10" t="n"/>
      <c r="V980" s="10" t="n"/>
      <c r="W980" s="10" t="n"/>
      <c r="X980" s="10" t="n"/>
      <c r="Y980" s="10" t="n"/>
      <c r="Z980" s="10" t="n"/>
    </row>
    <row r="981">
      <c r="A981" s="27" t="inlineStr">
        <is>
          <t>mainStatus.450</t>
        </is>
      </c>
      <c r="B981" s="27" t="inlineStr">
        <is>
          <t>Yêu cầu chuyển địa chỉ</t>
        </is>
      </c>
      <c r="C981" s="27" t="inlineStr">
        <is>
          <t>Forward request</t>
        </is>
      </c>
      <c r="D981" s="21" t="inlineStr">
        <is>
          <t>ស្នើ្នសុំផ្លាស់ប្តូរទីតាំង</t>
        </is>
      </c>
      <c r="E981" s="102" t="inlineStr">
        <is>
          <t>ស្នើ្នសុំផ្លាស់ប្តូរទីតាំង</t>
        </is>
      </c>
      <c r="F981" s="10" t="n"/>
      <c r="G981" s="10" t="inlineStr">
        <is>
          <t>ស្នើសុំប្តូរអាសយដ្ឋានដឹកជញ្ជូន</t>
        </is>
      </c>
      <c r="H981" s="10" t="inlineStr">
        <is>
          <t>ស្នើសុំប្តូរអាសយដ្ឋានដឹកជញ្ជូន</t>
        </is>
      </c>
      <c r="I981" s="10" t="n"/>
      <c r="J981" s="10" t="n"/>
      <c r="K981" s="10" t="inlineStr">
        <is>
          <t>"mainStatus.450": "ស្នើសុំប្តូរអាសយដ្ឋានដឹកជញ្ជូន",</t>
        </is>
      </c>
      <c r="L981" s="10" t="n"/>
      <c r="M981" s="10" t="n"/>
      <c r="N981" s="10" t="n"/>
      <c r="O981" s="10" t="n"/>
      <c r="P981" s="10" t="n"/>
      <c r="Q981" s="10" t="n"/>
      <c r="R981" s="10" t="n"/>
      <c r="S981" s="10" t="n"/>
      <c r="T981" s="10" t="n"/>
      <c r="U981" s="10" t="n"/>
      <c r="V981" s="10" t="n"/>
      <c r="W981" s="10" t="n"/>
      <c r="X981" s="10" t="n"/>
      <c r="Y981" s="10" t="n"/>
      <c r="Z981" s="10" t="n"/>
    </row>
    <row r="982">
      <c r="A982" s="27" t="inlineStr">
        <is>
          <t>mainStatus.460</t>
        </is>
      </c>
      <c r="B982" s="27" t="inlineStr">
        <is>
          <t>Thông báo chuyển hoàn</t>
        </is>
      </c>
      <c r="C982" s="27" t="inlineStr">
        <is>
          <t>Return request</t>
        </is>
      </c>
      <c r="D982" s="21" t="inlineStr">
        <is>
          <t>សេចក្តីជូនដំណឹងពីការត្រឡប់អីវ៉ាន់</t>
        </is>
      </c>
      <c r="E982" s="102" t="inlineStr">
        <is>
          <t>ស្នើសុំត្រឡប់អីវ៉ាន់</t>
        </is>
      </c>
      <c r="F982" s="10" t="n"/>
      <c r="G982" s="10" t="inlineStr">
        <is>
          <t>ជូនដំណឹងអំពីការប្រគល់ត្រឡប់</t>
        </is>
      </c>
      <c r="H982" s="10" t="inlineStr">
        <is>
          <t>ជូនដំណឹងអំពីការប្រគល់ត្រឡប់</t>
        </is>
      </c>
      <c r="I982" s="10" t="n"/>
      <c r="J982" s="10" t="n"/>
      <c r="K982" s="10" t="inlineStr">
        <is>
          <t>"mainStatus.460": "ជូនដំណឹងអំពីការប្រគល់ត្រឡប់",</t>
        </is>
      </c>
      <c r="L982" s="10" t="n"/>
      <c r="M982" s="10" t="n"/>
      <c r="N982" s="10" t="n"/>
      <c r="O982" s="10" t="n"/>
      <c r="P982" s="10" t="n"/>
      <c r="Q982" s="10" t="n"/>
      <c r="R982" s="10" t="n"/>
      <c r="S982" s="10" t="n"/>
      <c r="T982" s="10" t="n"/>
      <c r="U982" s="10" t="n"/>
      <c r="V982" s="10" t="n"/>
      <c r="W982" s="10" t="n"/>
      <c r="X982" s="10" t="n"/>
      <c r="Y982" s="10" t="n"/>
      <c r="Z982" s="10" t="n"/>
    </row>
    <row r="983">
      <c r="A983" s="27" t="inlineStr">
        <is>
          <t>mainStatus.470</t>
        </is>
      </c>
      <c r="B983" s="27" t="inlineStr">
        <is>
          <t>Đã duyệt hoàn</t>
        </is>
      </c>
      <c r="C983" s="27" t="inlineStr">
        <is>
          <t>Return confirmed</t>
        </is>
      </c>
      <c r="D983" s="21" t="n"/>
      <c r="E983" s="102" t="inlineStr">
        <is>
          <t>បានត្រឡប់</t>
        </is>
      </c>
      <c r="F983" s="10" t="n"/>
      <c r="G983" s="10" t="inlineStr">
        <is>
          <t>បានអនុម័តការប្រគល់ត្រឡប់</t>
        </is>
      </c>
      <c r="H983" s="10" t="inlineStr">
        <is>
          <t>បានអនុម័តការប្រគល់ត្រឡប់</t>
        </is>
      </c>
      <c r="I983" s="10" t="n"/>
      <c r="J983" s="10" t="n"/>
      <c r="K983" s="10" t="inlineStr">
        <is>
          <t>"mainStatus.470": "បានអនុម័តការប្រគល់ត្រឡប់",</t>
        </is>
      </c>
      <c r="L983" s="10" t="n"/>
      <c r="M983" s="10" t="n"/>
      <c r="N983" s="10" t="n"/>
      <c r="O983" s="10" t="n"/>
      <c r="P983" s="10" t="n"/>
      <c r="Q983" s="10" t="n"/>
      <c r="R983" s="10" t="n"/>
      <c r="S983" s="10" t="n"/>
      <c r="T983" s="10" t="n"/>
      <c r="U983" s="10" t="n"/>
      <c r="V983" s="10" t="n"/>
      <c r="W983" s="10" t="n"/>
      <c r="X983" s="10" t="n"/>
      <c r="Y983" s="10" t="n"/>
      <c r="Z983" s="10" t="n"/>
    </row>
    <row r="984">
      <c r="A984" s="27" t="inlineStr">
        <is>
          <t>mainStatus.471</t>
        </is>
      </c>
      <c r="B984" s="27" t="inlineStr">
        <is>
          <t>Từ chối hoàn</t>
        </is>
      </c>
      <c r="C984" s="27" t="inlineStr">
        <is>
          <t>Reject return request</t>
        </is>
      </c>
      <c r="D984" s="21" t="inlineStr">
        <is>
          <t>បដិសេដការត្រឡប់</t>
        </is>
      </c>
      <c r="E984" s="102" t="inlineStr">
        <is>
          <t>បដិសេដការត្រឡប់</t>
        </is>
      </c>
      <c r="F984" s="10" t="n"/>
      <c r="G984" s="10" t="inlineStr">
        <is>
          <t>បដិសេធការប្រគល់ត្រឡប់</t>
        </is>
      </c>
      <c r="H984" s="10" t="inlineStr">
        <is>
          <t>បដិសេធការប្រគល់ត្រឡប់</t>
        </is>
      </c>
      <c r="I984" s="10" t="n"/>
      <c r="J984" s="10" t="n"/>
      <c r="K984" s="10" t="inlineStr">
        <is>
          <t>"mainStatus.471": "បដិសេធការប្រគល់ត្រឡប់",</t>
        </is>
      </c>
      <c r="L984" s="10" t="n"/>
      <c r="M984" s="10" t="n"/>
      <c r="N984" s="10" t="n"/>
      <c r="O984" s="10" t="n"/>
      <c r="P984" s="10" t="n"/>
      <c r="Q984" s="10" t="n"/>
      <c r="R984" s="10" t="n"/>
      <c r="S984" s="10" t="n"/>
      <c r="T984" s="10" t="n"/>
      <c r="U984" s="10" t="n"/>
      <c r="V984" s="10" t="n"/>
      <c r="W984" s="10" t="n"/>
      <c r="X984" s="10" t="n"/>
      <c r="Y984" s="10" t="n"/>
      <c r="Z984" s="10" t="n"/>
    </row>
    <row r="985">
      <c r="A985" s="27" t="inlineStr">
        <is>
          <t>mainStatus.472</t>
        </is>
      </c>
      <c r="B985" s="27" t="inlineStr">
        <is>
          <t>Lưu kho</t>
        </is>
      </c>
      <c r="C985" s="27" t="inlineStr">
        <is>
          <t>Store in warehouse</t>
        </is>
      </c>
      <c r="D985" s="21" t="n"/>
      <c r="E985" s="102" t="inlineStr">
        <is>
          <t>រក្សាទុកក្នុងឃ្លាំង</t>
        </is>
      </c>
      <c r="F985" s="10" t="n"/>
      <c r="G985" s="10" t="inlineStr">
        <is>
          <t>រក្សាទុកក្នុងឃ្លាំង</t>
        </is>
      </c>
      <c r="H985" s="10" t="inlineStr">
        <is>
          <t>រក្សាទុកក្នុងឃ្លាំង</t>
        </is>
      </c>
      <c r="I985" s="10" t="n"/>
      <c r="J985" s="10" t="n"/>
      <c r="K985" s="10" t="inlineStr">
        <is>
          <t>"mainStatus.472": "រក្សាទុកក្នុងឃ្លាំង",</t>
        </is>
      </c>
      <c r="L985" s="10" t="n"/>
      <c r="M985" s="10" t="n"/>
      <c r="N985" s="10" t="n"/>
      <c r="O985" s="10" t="n"/>
      <c r="P985" s="10" t="n"/>
      <c r="Q985" s="10" t="n"/>
      <c r="R985" s="10" t="n"/>
      <c r="S985" s="10" t="n"/>
      <c r="T985" s="10" t="n"/>
      <c r="U985" s="10" t="n"/>
      <c r="V985" s="10" t="n"/>
      <c r="W985" s="10" t="n"/>
      <c r="X985" s="10" t="n"/>
      <c r="Y985" s="10" t="n"/>
      <c r="Z985" s="10" t="n"/>
    </row>
    <row r="986">
      <c r="A986" s="27" t="inlineStr">
        <is>
          <t>mainStatus.480</t>
        </is>
      </c>
      <c r="B986" s="27" t="inlineStr">
        <is>
          <t>Chuyển giao địa chỉ mới</t>
        </is>
      </c>
      <c r="C986" s="27" t="inlineStr">
        <is>
          <t>Change address</t>
        </is>
      </c>
      <c r="D986" s="21" t="inlineStr">
        <is>
          <t>ផ្លាស់ប្តូរអាស័យដ្ឋានថ្មី</t>
        </is>
      </c>
      <c r="E986" s="102" t="inlineStr">
        <is>
          <t>ប្តូរការប្រគល់ទៅទីតាំងថ្មី</t>
        </is>
      </c>
      <c r="F986" s="10" t="n"/>
      <c r="G986" s="10" t="inlineStr">
        <is>
          <t>ដឹកជញ្ជូនទៅកាន់អាសយដ្ឋានថ្មី</t>
        </is>
      </c>
      <c r="H986" s="10" t="inlineStr">
        <is>
          <t>ដឹកជញ្ជូនទៅកាន់អាសយដ្ឋានថ្មី</t>
        </is>
      </c>
      <c r="I986" s="10" t="n"/>
      <c r="J986" s="10" t="n"/>
      <c r="K986" s="10" t="inlineStr">
        <is>
          <t>"mainStatus.480": "ដឹកជញ្ជូនទៅកាន់អាសយដ្ឋានថ្មី",</t>
        </is>
      </c>
      <c r="L986" s="10" t="n"/>
      <c r="M986" s="10" t="n"/>
      <c r="N986" s="10" t="n"/>
      <c r="O986" s="10" t="n"/>
      <c r="P986" s="10" t="n"/>
      <c r="Q986" s="10" t="n"/>
      <c r="R986" s="10" t="n"/>
      <c r="S986" s="10" t="n"/>
      <c r="T986" s="10" t="n"/>
      <c r="U986" s="10" t="n"/>
      <c r="V986" s="10" t="n"/>
      <c r="W986" s="10" t="n"/>
      <c r="X986" s="10" t="n"/>
      <c r="Y986" s="10" t="n"/>
      <c r="Z986" s="10" t="n"/>
    </row>
    <row r="987">
      <c r="A987" s="27" t="inlineStr">
        <is>
          <t>mainStatus.500</t>
        </is>
      </c>
      <c r="B987" s="27" t="inlineStr">
        <is>
          <t>Chuyển hoàn</t>
        </is>
      </c>
      <c r="C987" s="27" t="inlineStr">
        <is>
          <t>Return request</t>
        </is>
      </c>
      <c r="D987" s="21" t="inlineStr">
        <is>
          <t>ត្រលប់</t>
        </is>
      </c>
      <c r="E987" s="102" t="inlineStr">
        <is>
          <t>ត្រឡប់</t>
        </is>
      </c>
      <c r="F987" s="10" t="n"/>
      <c r="G987" s="10" t="inlineStr">
        <is>
          <t>ត្រឡប់</t>
        </is>
      </c>
      <c r="H987" s="10" t="inlineStr">
        <is>
          <t>ត្រឡប់</t>
        </is>
      </c>
      <c r="I987" s="10" t="n"/>
      <c r="J987" s="10" t="n"/>
      <c r="K987" s="10" t="inlineStr">
        <is>
          <t>"mainStatus.500": "ត្រឡប់",</t>
        </is>
      </c>
      <c r="L987" s="10" t="n"/>
      <c r="M987" s="10" t="n"/>
      <c r="N987" s="10" t="n"/>
      <c r="O987" s="10" t="n"/>
      <c r="P987" s="10" t="n"/>
      <c r="Q987" s="10" t="n"/>
      <c r="R987" s="10" t="n"/>
      <c r="S987" s="10" t="n"/>
      <c r="T987" s="10" t="n"/>
      <c r="U987" s="10" t="n"/>
      <c r="V987" s="10" t="n"/>
      <c r="W987" s="10" t="n"/>
      <c r="X987" s="10" t="n"/>
      <c r="Y987" s="10" t="n"/>
      <c r="Z987" s="10" t="n"/>
    </row>
    <row r="988">
      <c r="A988" s="27" t="inlineStr">
        <is>
          <t>mainStatus.550</t>
        </is>
      </c>
      <c r="B988" s="27" t="inlineStr">
        <is>
          <t>Hủy bưu gửi theo yêu cầu khách hàng</t>
        </is>
      </c>
      <c r="C988" s="27" t="inlineStr">
        <is>
          <t>Cancel shipment per customer request</t>
        </is>
      </c>
      <c r="D988" s="21" t="inlineStr">
        <is>
          <t>លុបចោលបុងបញ្ញើ តាមការស្នើសុំរបស់អតិថិជន</t>
        </is>
      </c>
      <c r="E988" s="102" t="inlineStr">
        <is>
          <t>លុបចោលបុុងបញ្ញើតាមការស្នើសុំពីអតិថិជន</t>
        </is>
      </c>
      <c r="F988" s="10" t="n"/>
      <c r="G988" s="10" t="inlineStr">
        <is>
          <t>លុបចោលបុុងបញ្ញើតាមការស្នើសុំពីអតិថិជន</t>
        </is>
      </c>
      <c r="H988" s="10" t="inlineStr">
        <is>
          <t>លុបចោលបុុងបញ្ញើតាមការស្នើសុំពីអតិថិជន</t>
        </is>
      </c>
      <c r="I988" s="10" t="n"/>
      <c r="J988" s="10" t="n"/>
      <c r="K988" s="10" t="inlineStr">
        <is>
          <t>"mainStatus.550": "លុបចោលបុុងបញ្ញើតាមការស្នើសុំពីអតិថិជន",</t>
        </is>
      </c>
      <c r="L988" s="10" t="n"/>
      <c r="M988" s="10" t="n"/>
      <c r="N988" s="10" t="n"/>
      <c r="O988" s="10" t="n"/>
      <c r="P988" s="10" t="n"/>
      <c r="Q988" s="10" t="n"/>
      <c r="R988" s="10" t="n"/>
      <c r="S988" s="10" t="n"/>
      <c r="T988" s="10" t="n"/>
      <c r="U988" s="10" t="n"/>
      <c r="V988" s="10" t="n"/>
      <c r="W988" s="10" t="n"/>
      <c r="X988" s="10" t="n"/>
      <c r="Y988" s="10" t="n"/>
      <c r="Z988" s="10" t="n"/>
    </row>
    <row r="989">
      <c r="A989" s="27" t="inlineStr">
        <is>
          <t>mainStatus.551</t>
        </is>
      </c>
      <c r="B989" s="27" t="inlineStr">
        <is>
          <t>Hủy bưu gửi vô thừa nhận</t>
        </is>
      </c>
      <c r="C989" s="27" t="inlineStr">
        <is>
          <t>Cancel unclaimed shipment</t>
        </is>
      </c>
      <c r="D989" s="102" t="inlineStr">
        <is>
          <t>លុបចោលសំបុត្រដែលលើស</t>
        </is>
      </c>
      <c r="E989" s="93" t="inlineStr">
        <is>
          <t>លុបចោលបុងបញ្ញើដែលមិនស្គាល់</t>
        </is>
      </c>
      <c r="F989" s="10" t="n"/>
      <c r="G989" s="10" t="inlineStr">
        <is>
          <t>លុបចោលបុងបញ្ញើដែលមិនស្គាល់</t>
        </is>
      </c>
      <c r="H989" s="10" t="inlineStr">
        <is>
          <t>លុបចោលបុងបញ្ញើដែលមិនស្គាល់</t>
        </is>
      </c>
      <c r="I989" s="10" t="n"/>
      <c r="J989" s="10" t="n"/>
      <c r="K989" s="10" t="inlineStr">
        <is>
          <t>"mainStatus.551": "លុបចោលបុងបញ្ញើដែលមិនស្គាល់",</t>
        </is>
      </c>
      <c r="L989" s="10" t="n"/>
      <c r="M989" s="10" t="n"/>
      <c r="N989" s="10" t="n"/>
      <c r="O989" s="10" t="n"/>
      <c r="P989" s="10" t="n"/>
      <c r="Q989" s="10" t="n"/>
      <c r="R989" s="10" t="n"/>
      <c r="S989" s="10" t="n"/>
      <c r="T989" s="10" t="n"/>
      <c r="U989" s="10" t="n"/>
      <c r="V989" s="10" t="n"/>
      <c r="W989" s="10" t="n"/>
      <c r="X989" s="10" t="n"/>
      <c r="Y989" s="10" t="n"/>
      <c r="Z989" s="10" t="n"/>
    </row>
    <row r="990">
      <c r="A990" s="27" t="inlineStr">
        <is>
          <t>mainStatus.510</t>
        </is>
      </c>
      <c r="B990" s="27" t="inlineStr">
        <is>
          <t>Phân công giao hoàn - Chưa hoàn thành</t>
        </is>
      </c>
      <c r="C990" s="27" t="inlineStr">
        <is>
          <t>Return assignment - Not completed</t>
        </is>
      </c>
      <c r="D990" s="102" t="inlineStr">
        <is>
          <t>បែងចែកការប្រគល់ត្រឡប់-មិនទាន់បានបញ្ចប់</t>
        </is>
      </c>
      <c r="E990" s="27" t="inlineStr">
        <is>
          <t>បែងចែកការប្រគល់ត្រឡប់ - មិនទាន់សម្រេច</t>
        </is>
      </c>
      <c r="F990" s="10" t="n"/>
      <c r="G990" s="10" t="inlineStr">
        <is>
          <t>បែងចែកការប្រគល់ត្រឡប់ - មិនទាន់សម្រេច</t>
        </is>
      </c>
      <c r="H990" s="10" t="inlineStr">
        <is>
          <t>បែងចែកការប្រគល់ត្រឡប់ - មិនទាន់សម្រេច</t>
        </is>
      </c>
      <c r="I990" s="10" t="n"/>
      <c r="J990" s="10" t="n"/>
      <c r="K990" s="10" t="inlineStr">
        <is>
          <t>"mainStatus.510": "បែងចែកការប្រគល់ត្រឡប់ - មិនទាន់សម្រេច",</t>
        </is>
      </c>
      <c r="L990" s="10" t="n"/>
      <c r="M990" s="10" t="n"/>
      <c r="N990" s="10" t="n"/>
      <c r="O990" s="10" t="n"/>
      <c r="P990" s="10" t="n"/>
      <c r="Q990" s="10" t="n"/>
      <c r="R990" s="10" t="n"/>
      <c r="S990" s="10" t="n"/>
      <c r="T990" s="10" t="n"/>
      <c r="U990" s="10" t="n"/>
      <c r="V990" s="10" t="n"/>
      <c r="W990" s="10" t="n"/>
      <c r="X990" s="10" t="n"/>
      <c r="Y990" s="10" t="n"/>
      <c r="Z990" s="10" t="n"/>
    </row>
    <row r="991">
      <c r="A991" s="27" t="inlineStr">
        <is>
          <t>mainStatus.511</t>
        </is>
      </c>
      <c r="B991" s="27" t="inlineStr">
        <is>
          <t>Phân công giao hoàn - Đã hoàn thành</t>
        </is>
      </c>
      <c r="C991" s="27" t="inlineStr">
        <is>
          <t>Return assignment - Completed</t>
        </is>
      </c>
      <c r="D991" s="21" t="inlineStr">
        <is>
          <t>បែងចែកការប្រគល់ត្រឡប់-បានបញ្ចប់</t>
        </is>
      </c>
      <c r="E991" s="27" t="inlineStr">
        <is>
          <t>បែងចែកការប្រគល់ត្រឡប់ - បានទាន់សម្រេច</t>
        </is>
      </c>
      <c r="F991" s="10" t="n"/>
      <c r="G991" s="10" t="inlineStr">
        <is>
          <t>បែងចែកការប្រគល់ត្រឡប់ - បានទាន់សម្រេច</t>
        </is>
      </c>
      <c r="H991" s="10" t="inlineStr">
        <is>
          <t>បែងចែកការប្រគល់ត្រឡប់ - បានទាន់សម្រេច</t>
        </is>
      </c>
      <c r="I991" s="10" t="n"/>
      <c r="J991" s="10" t="n"/>
      <c r="K991" s="10" t="inlineStr">
        <is>
          <t>"mainStatus.511": "បែងចែកការប្រគល់ត្រឡប់ - បានទាន់សម្រេច",</t>
        </is>
      </c>
      <c r="L991" s="10" t="n"/>
      <c r="M991" s="10" t="n"/>
      <c r="N991" s="10" t="n"/>
      <c r="O991" s="10" t="n"/>
      <c r="P991" s="10" t="n"/>
      <c r="Q991" s="10" t="n"/>
      <c r="R991" s="10" t="n"/>
      <c r="S991" s="10" t="n"/>
      <c r="T991" s="10" t="n"/>
      <c r="U991" s="10" t="n"/>
      <c r="V991" s="10" t="n"/>
      <c r="W991" s="10" t="n"/>
      <c r="X991" s="10" t="n"/>
      <c r="Y991" s="10" t="n"/>
      <c r="Z991" s="10" t="n"/>
    </row>
    <row r="992">
      <c r="A992" s="27" t="inlineStr">
        <is>
          <t>mainStatus.512</t>
        </is>
      </c>
      <c r="B992" s="27" t="inlineStr">
        <is>
          <t>Xác nhận phân công hoàn</t>
        </is>
      </c>
      <c r="C992" s="27" t="inlineStr">
        <is>
          <t>Return assignment confirmation</t>
        </is>
      </c>
      <c r="D992" s="21" t="inlineStr">
        <is>
          <t>បញ្ជាក់ការបែងចែកត្រឡប់</t>
        </is>
      </c>
      <c r="E992" s="102" t="inlineStr">
        <is>
          <t>បញ្ជាក់ការបែងចែកត្រឡប់</t>
        </is>
      </c>
      <c r="F992" s="10" t="n"/>
      <c r="G992" s="10" t="inlineStr">
        <is>
          <t>បញ្ជាក់ការចាត់តាំងប្រគល់ត្រឡប់</t>
        </is>
      </c>
      <c r="H992" s="10" t="inlineStr">
        <is>
          <t>បញ្ជាក់ការចាត់តាំងប្រគល់ត្រឡប់</t>
        </is>
      </c>
      <c r="I992" s="10" t="n"/>
      <c r="J992" s="10" t="n"/>
      <c r="K992" s="10" t="inlineStr">
        <is>
          <t>"mainStatus.512": "បញ្ជាក់ការចាត់តាំងប្រគល់ត្រឡប់",</t>
        </is>
      </c>
      <c r="L992" s="10" t="n"/>
      <c r="M992" s="10" t="n"/>
      <c r="N992" s="10" t="n"/>
      <c r="O992" s="10" t="n"/>
      <c r="P992" s="10" t="n"/>
      <c r="Q992" s="10" t="n"/>
      <c r="R992" s="10" t="n"/>
      <c r="S992" s="10" t="n"/>
      <c r="T992" s="10" t="n"/>
      <c r="U992" s="10" t="n"/>
      <c r="V992" s="10" t="n"/>
      <c r="W992" s="10" t="n"/>
      <c r="X992" s="10" t="n"/>
      <c r="Y992" s="10" t="n"/>
      <c r="Z992" s="10" t="n"/>
    </row>
    <row r="993">
      <c r="A993" s="27" t="inlineStr">
        <is>
          <t>mainStatus.513</t>
        </is>
      </c>
      <c r="B993" s="27" t="inlineStr">
        <is>
          <t>Đến địa chỉ giao hoàn</t>
        </is>
      </c>
      <c r="C993" s="27" t="inlineStr">
        <is>
          <t>Arrived at return address</t>
        </is>
      </c>
      <c r="D993" s="21" t="inlineStr">
        <is>
          <t>មកដល់ទីតាំងប្រគល់អីវ៉ាន់ត្រលប់</t>
        </is>
      </c>
      <c r="E993" s="102" t="inlineStr">
        <is>
          <t>មកដល់ទីតាំងប្រគល់ត្រឡប់</t>
        </is>
      </c>
      <c r="F993" s="10" t="n"/>
      <c r="G993" s="10" t="inlineStr">
        <is>
          <t>មកដល់ទីតាំងប្រគល់ត្រឡប់</t>
        </is>
      </c>
      <c r="H993" s="10" t="inlineStr">
        <is>
          <t>មកដល់ទីតាំងប្រគល់ត្រឡប់</t>
        </is>
      </c>
      <c r="I993" s="10" t="n"/>
      <c r="J993" s="10" t="n"/>
      <c r="K993" s="10" t="inlineStr">
        <is>
          <t>"mainStatus.513": "មកដល់ទីតាំងប្រគល់ត្រឡប់",</t>
        </is>
      </c>
      <c r="L993" s="10" t="n"/>
      <c r="M993" s="10" t="n"/>
      <c r="N993" s="10" t="n"/>
      <c r="O993" s="10" t="n"/>
      <c r="P993" s="10" t="n"/>
      <c r="Q993" s="10" t="n"/>
      <c r="R993" s="10" t="n"/>
      <c r="S993" s="10" t="n"/>
      <c r="T993" s="10" t="n"/>
      <c r="U993" s="10" t="n"/>
      <c r="V993" s="10" t="n"/>
      <c r="W993" s="10" t="n"/>
      <c r="X993" s="10" t="n"/>
      <c r="Y993" s="10" t="n"/>
      <c r="Z993" s="10" t="n"/>
    </row>
    <row r="994">
      <c r="A994" s="27" t="inlineStr">
        <is>
          <t>mainStatus.520</t>
        </is>
      </c>
      <c r="B994" s="27" t="inlineStr">
        <is>
          <t>Đã trả hàng</t>
        </is>
      </c>
      <c r="C994" s="27" t="inlineStr">
        <is>
          <t>Return successful</t>
        </is>
      </c>
      <c r="D994" s="21" t="inlineStr">
        <is>
          <t>បានសងត្រលប់អីវ៉ាន់</t>
        </is>
      </c>
      <c r="E994" s="102" t="inlineStr">
        <is>
          <t>បានសងអីវ៉ាន់</t>
        </is>
      </c>
      <c r="F994" s="10" t="n"/>
      <c r="G994" s="10" t="inlineStr">
        <is>
          <t>បានប្រគល់ត្រឡប់</t>
        </is>
      </c>
      <c r="H994" s="10" t="inlineStr">
        <is>
          <t>បានប្រគល់ត្រឡប់</t>
        </is>
      </c>
      <c r="I994" s="10" t="n"/>
      <c r="J994" s="10" t="n"/>
      <c r="K994" s="10" t="inlineStr">
        <is>
          <t>"mainStatus.520": "បានប្រគល់ត្រឡប់",</t>
        </is>
      </c>
      <c r="L994" s="10" t="n"/>
      <c r="M994" s="10" t="n"/>
      <c r="N994" s="10" t="n"/>
      <c r="O994" s="10" t="n"/>
      <c r="P994" s="10" t="n"/>
      <c r="Q994" s="10" t="n"/>
      <c r="R994" s="10" t="n"/>
      <c r="S994" s="10" t="n"/>
      <c r="T994" s="10" t="n"/>
      <c r="U994" s="10" t="n"/>
      <c r="V994" s="10" t="n"/>
      <c r="W994" s="10" t="n"/>
      <c r="X994" s="10" t="n"/>
      <c r="Y994" s="10" t="n"/>
      <c r="Z994" s="10" t="n"/>
    </row>
    <row r="995">
      <c r="A995" s="27" t="inlineStr">
        <is>
          <t>mainStatus.530</t>
        </is>
      </c>
      <c r="B995" s="27" t="inlineStr">
        <is>
          <t>Hẹn trả hàng</t>
        </is>
      </c>
      <c r="C995" s="27" t="inlineStr">
        <is>
          <t>Return again</t>
        </is>
      </c>
      <c r="D995" s="102" t="inlineStr">
        <is>
          <t>កំណត់ការត្រលប់អីវ៉ាន់</t>
        </is>
      </c>
      <c r="E995" s="102" t="inlineStr">
        <is>
          <t>កំណត់ពេលវេលាសងអីវ៉ាន់</t>
        </is>
      </c>
      <c r="F995" s="10" t="n"/>
      <c r="G995" s="10" t="inlineStr">
        <is>
          <t>ណាត់ពេលប្រគល់ត្រឡប់ម្តងទៀត</t>
        </is>
      </c>
      <c r="H995" s="10" t="inlineStr">
        <is>
          <t>ណាត់ពេលប្រគល់ត្រឡប់ម្តងទៀត</t>
        </is>
      </c>
      <c r="I995" s="10" t="n"/>
      <c r="J995" s="10" t="n"/>
      <c r="K995" s="10" t="inlineStr">
        <is>
          <t>"mainStatus.530": "ណាត់ពេលប្រគល់ត្រឡប់ម្តងទៀត",</t>
        </is>
      </c>
      <c r="L995" s="10" t="n"/>
      <c r="M995" s="10" t="n"/>
      <c r="N995" s="10" t="n"/>
      <c r="O995" s="10" t="n"/>
      <c r="P995" s="10" t="n"/>
      <c r="Q995" s="10" t="n"/>
      <c r="R995" s="10" t="n"/>
      <c r="S995" s="10" t="n"/>
      <c r="T995" s="10" t="n"/>
      <c r="U995" s="10" t="n"/>
      <c r="V995" s="10" t="n"/>
      <c r="W995" s="10" t="n"/>
      <c r="X995" s="10" t="n"/>
      <c r="Y995" s="10" t="n"/>
      <c r="Z995" s="10" t="n"/>
    </row>
    <row r="996">
      <c r="A996" s="27" t="inlineStr">
        <is>
          <t>mainStatus.540</t>
        </is>
      </c>
      <c r="B996" s="27" t="inlineStr">
        <is>
          <t>Không trả được hàng</t>
        </is>
      </c>
      <c r="C996" s="27" t="inlineStr">
        <is>
          <t>Return failed</t>
        </is>
      </c>
      <c r="D996" s="102" t="inlineStr">
        <is>
          <t>មិនអាចប្រគល់អីវ៉ាន់បាន</t>
        </is>
      </c>
      <c r="E996" s="102" t="inlineStr">
        <is>
          <t>មិនអាចសងអីវ៉ាន់បាន</t>
        </is>
      </c>
      <c r="F996" s="10" t="n"/>
      <c r="G996" s="10" t="inlineStr">
        <is>
          <t>ប្រគល់ត្រឡប់មិនបានសម្រេច</t>
        </is>
      </c>
      <c r="H996" s="10" t="inlineStr">
        <is>
          <t>ប្រគល់ត្រឡប់មិនបានសម្រេច</t>
        </is>
      </c>
      <c r="I996" s="10" t="n"/>
      <c r="J996" s="10" t="n"/>
      <c r="K996" s="10" t="inlineStr">
        <is>
          <t>"mainStatus.540": "ប្រគល់ត្រឡប់មិនបានសម្រេច",</t>
        </is>
      </c>
      <c r="L996" s="10" t="n"/>
      <c r="M996" s="10" t="n"/>
      <c r="N996" s="10" t="n"/>
      <c r="O996" s="10" t="n"/>
      <c r="P996" s="10" t="n"/>
      <c r="Q996" s="10" t="n"/>
      <c r="R996" s="10" t="n"/>
      <c r="S996" s="10" t="n"/>
      <c r="T996" s="10" t="n"/>
      <c r="U996" s="10" t="n"/>
      <c r="V996" s="10" t="n"/>
      <c r="W996" s="10" t="n"/>
      <c r="X996" s="10" t="n"/>
      <c r="Y996" s="10" t="n"/>
      <c r="Z996" s="10" t="n"/>
    </row>
    <row r="997">
      <c r="A997" s="27" t="inlineStr">
        <is>
          <t>process.processPackage</t>
        </is>
      </c>
      <c r="B997" s="27" t="inlineStr">
        <is>
          <t>Tải kiện</t>
        </is>
      </c>
      <c r="C997" s="27" t="inlineStr">
        <is>
          <t>Package</t>
        </is>
      </c>
      <c r="D997" s="21" t="n"/>
      <c r="E997" s="102" t="inlineStr">
        <is>
          <t>កញ្ចប់ទំនិញ</t>
        </is>
      </c>
      <c r="F997" s="10" t="n"/>
      <c r="G997" s="10" t="inlineStr">
        <is>
          <t>កញ្ចប់ទំនិញ</t>
        </is>
      </c>
      <c r="H997" s="10" t="inlineStr">
        <is>
          <t>កញ្ចប់ទំនិញ</t>
        </is>
      </c>
      <c r="I997" s="10" t="n"/>
      <c r="J997" s="10" t="n"/>
      <c r="K997" s="10" t="inlineStr">
        <is>
          <t>"process.processPackage": "កញ្ចប់ទំនិញ",</t>
        </is>
      </c>
      <c r="L997" s="10" t="n"/>
      <c r="M997" s="10" t="n"/>
      <c r="N997" s="10" t="n"/>
      <c r="O997" s="10" t="n"/>
      <c r="P997" s="10" t="n"/>
      <c r="Q997" s="10" t="n"/>
      <c r="R997" s="10" t="n"/>
      <c r="S997" s="10" t="n"/>
      <c r="T997" s="10" t="n"/>
      <c r="U997" s="10" t="n"/>
      <c r="V997" s="10" t="n"/>
      <c r="W997" s="10" t="n"/>
      <c r="X997" s="10" t="n"/>
      <c r="Y997" s="10" t="n"/>
      <c r="Z997" s="10" t="n"/>
    </row>
    <row r="998">
      <c r="A998" s="27" t="inlineStr">
        <is>
          <t>process.processReceived</t>
        </is>
      </c>
      <c r="B998" s="27" t="inlineStr">
        <is>
          <t>Đơn đã nhận</t>
        </is>
      </c>
      <c r="C998" s="27" t="inlineStr">
        <is>
          <t>Arrived order</t>
        </is>
      </c>
      <c r="D998" s="21" t="inlineStr">
        <is>
          <t>បានទទួលការបញ្ជាទិញ</t>
        </is>
      </c>
      <c r="E998" s="102" t="inlineStr">
        <is>
          <t>បុងបញ្ញើបានទទួល</t>
        </is>
      </c>
      <c r="F998" s="10" t="n"/>
      <c r="G998" s="10" t="inlineStr">
        <is>
          <t>បុងបញ្ញើបានទទួល</t>
        </is>
      </c>
      <c r="H998" s="10" t="inlineStr">
        <is>
          <t>បុងបញ្ញើបានទទួល</t>
        </is>
      </c>
      <c r="I998" s="10" t="n"/>
      <c r="J998" s="10" t="n"/>
      <c r="K998" s="10" t="inlineStr">
        <is>
          <t>"process.processReceived": "បុងបញ្ញើបានទទួល",</t>
        </is>
      </c>
      <c r="L998" s="10" t="n"/>
      <c r="M998" s="10" t="n"/>
      <c r="N998" s="10" t="n"/>
      <c r="O998" s="10" t="n"/>
      <c r="P998" s="10" t="n"/>
      <c r="Q998" s="10" t="n"/>
      <c r="R998" s="10" t="n"/>
      <c r="S998" s="10" t="n"/>
      <c r="T998" s="10" t="n"/>
      <c r="U998" s="10" t="n"/>
      <c r="V998" s="10" t="n"/>
      <c r="W998" s="10" t="n"/>
      <c r="X998" s="10" t="n"/>
      <c r="Y998" s="10" t="n"/>
      <c r="Z998" s="10" t="n"/>
    </row>
    <row r="999">
      <c r="A999" s="27" t="inlineStr">
        <is>
          <t>process.processForward</t>
        </is>
      </c>
      <c r="B999" s="27" t="inlineStr">
        <is>
          <t>Chuyển tiếp</t>
        </is>
      </c>
      <c r="C999" s="27" t="inlineStr">
        <is>
          <t>Forward</t>
        </is>
      </c>
      <c r="D999" s="21" t="n"/>
      <c r="E999" s="102" t="inlineStr">
        <is>
          <t>បញ្ជូនបន្ត</t>
        </is>
      </c>
      <c r="F999" s="10" t="n"/>
      <c r="G999" s="10" t="inlineStr">
        <is>
          <t>បញ្ជូនបន្ត</t>
        </is>
      </c>
      <c r="H999" s="10" t="inlineStr">
        <is>
          <t>បញ្ជូនបន្ត</t>
        </is>
      </c>
      <c r="I999" s="10" t="n"/>
      <c r="J999" s="10" t="n"/>
      <c r="K999" s="10" t="inlineStr">
        <is>
          <t>"process.processForward": "បញ្ជូនបន្ត",</t>
        </is>
      </c>
      <c r="L999" s="10" t="n"/>
      <c r="M999" s="10" t="n"/>
      <c r="N999" s="10" t="n"/>
      <c r="O999" s="10" t="n"/>
      <c r="P999" s="10" t="n"/>
      <c r="Q999" s="10" t="n"/>
      <c r="R999" s="10" t="n"/>
      <c r="S999" s="10" t="n"/>
      <c r="T999" s="10" t="n"/>
      <c r="U999" s="10" t="n"/>
      <c r="V999" s="10" t="n"/>
      <c r="W999" s="10" t="n"/>
      <c r="X999" s="10" t="n"/>
      <c r="Y999" s="10" t="n"/>
      <c r="Z999" s="10" t="n"/>
    </row>
    <row r="1000">
      <c r="A1000" s="27" t="inlineStr">
        <is>
          <t>process.processMissing</t>
        </is>
      </c>
      <c r="B1000" s="27" t="inlineStr">
        <is>
          <t>Đơn thiếu</t>
        </is>
      </c>
      <c r="C1000" s="27" t="inlineStr">
        <is>
          <t>Missing order</t>
        </is>
      </c>
      <c r="D1000" s="21" t="inlineStr">
        <is>
          <t>ការបញ្ជាទិញដែលបាត់</t>
        </is>
      </c>
      <c r="E1000" s="102" t="inlineStr">
        <is>
          <t>បុងបញ្ញើខ្វះ</t>
        </is>
      </c>
      <c r="F1000" s="10" t="n"/>
      <c r="G1000" s="10" t="inlineStr">
        <is>
          <t>បុងបញ្ញើខ្វះ</t>
        </is>
      </c>
      <c r="H1000" s="10" t="inlineStr">
        <is>
          <t>បុងបញ្ញើខ្វះ</t>
        </is>
      </c>
      <c r="I1000" s="10" t="n"/>
      <c r="J1000" s="10" t="n"/>
      <c r="K1000" s="10" t="inlineStr">
        <is>
          <t>"process.processMissing": "បុងបញ្ញើខ្វះ",</t>
        </is>
      </c>
      <c r="L1000" s="10" t="n"/>
      <c r="M1000" s="10" t="n"/>
      <c r="N1000" s="10" t="n"/>
      <c r="O1000" s="10" t="n"/>
      <c r="P1000" s="10" t="n"/>
      <c r="Q1000" s="10" t="n"/>
      <c r="R1000" s="10" t="n"/>
      <c r="S1000" s="10" t="n"/>
      <c r="T1000" s="10" t="n"/>
      <c r="U1000" s="10" t="n"/>
      <c r="V1000" s="10" t="n"/>
      <c r="W1000" s="10" t="n"/>
      <c r="X1000" s="10" t="n"/>
      <c r="Y1000" s="10" t="n"/>
      <c r="Z1000" s="10" t="n"/>
    </row>
    <row r="1001">
      <c r="A1001" s="27" t="inlineStr">
        <is>
          <t>process.packageUnexploited</t>
        </is>
      </c>
      <c r="B1001" s="27" t="inlineStr">
        <is>
          <t>Chưa khai thác</t>
        </is>
      </c>
      <c r="C1001" s="27" t="inlineStr">
        <is>
          <t>Process pending</t>
        </is>
      </c>
      <c r="D1001" s="21" t="n"/>
      <c r="E1001" s="102" t="inlineStr">
        <is>
          <t>មិនទាន់បានពិនិត្យ</t>
        </is>
      </c>
      <c r="F1001" s="10" t="n"/>
      <c r="G1001" s="10" t="inlineStr">
        <is>
          <t>មិនទាន់បានពិនិត្យ</t>
        </is>
      </c>
      <c r="H1001" s="10" t="inlineStr">
        <is>
          <t>មិនទាន់បានពិនិត្យ</t>
        </is>
      </c>
      <c r="I1001" s="10" t="n"/>
      <c r="J1001" s="10" t="n"/>
      <c r="K1001" s="10" t="inlineStr">
        <is>
          <t>"process.packageUnexploited": "មិនទាន់បានពិនិត្យ",</t>
        </is>
      </c>
      <c r="L1001" s="10" t="n"/>
      <c r="M1001" s="10" t="n"/>
      <c r="N1001" s="10" t="n"/>
      <c r="O1001" s="10" t="n"/>
      <c r="P1001" s="10" t="n"/>
      <c r="Q1001" s="10" t="n"/>
      <c r="R1001" s="10" t="n"/>
      <c r="S1001" s="10" t="n"/>
      <c r="T1001" s="10" t="n"/>
      <c r="U1001" s="10" t="n"/>
      <c r="V1001" s="10" t="n"/>
      <c r="W1001" s="10" t="n"/>
      <c r="X1001" s="10" t="n"/>
      <c r="Y1001" s="10" t="n"/>
      <c r="Z1001" s="10" t="n"/>
    </row>
    <row r="1002">
      <c r="A1002" s="27" t="inlineStr">
        <is>
          <t>process.packageExploited</t>
        </is>
      </c>
      <c r="B1002" s="27" t="inlineStr">
        <is>
          <t>Đã khai thác</t>
        </is>
      </c>
      <c r="C1002" s="27" t="inlineStr">
        <is>
          <t>Processed</t>
        </is>
      </c>
      <c r="D1002" s="102" t="n"/>
      <c r="E1002" s="102" t="inlineStr">
        <is>
          <t>បានពិនិត្យ</t>
        </is>
      </c>
      <c r="F1002" s="10" t="n"/>
      <c r="G1002" s="10" t="inlineStr">
        <is>
          <t>បានពិនិត្យ</t>
        </is>
      </c>
      <c r="H1002" s="10" t="inlineStr">
        <is>
          <t>បានពិនិត្យ</t>
        </is>
      </c>
      <c r="I1002" s="10" t="n"/>
      <c r="J1002" s="10" t="n"/>
      <c r="K1002" s="10" t="inlineStr">
        <is>
          <t>"process.packageExploited": "បានពិនិត្យ",</t>
        </is>
      </c>
      <c r="L1002" s="10" t="n"/>
      <c r="M1002" s="10" t="n"/>
      <c r="N1002" s="10" t="n"/>
      <c r="O1002" s="10" t="n"/>
      <c r="P1002" s="10" t="n"/>
      <c r="Q1002" s="10" t="n"/>
      <c r="R1002" s="10" t="n"/>
      <c r="S1002" s="10" t="n"/>
      <c r="T1002" s="10" t="n"/>
      <c r="U1002" s="10" t="n"/>
      <c r="V1002" s="10" t="n"/>
      <c r="W1002" s="10" t="n"/>
      <c r="X1002" s="10" t="n"/>
      <c r="Y1002" s="10" t="n"/>
      <c r="Z1002" s="10" t="n"/>
    </row>
    <row r="1003">
      <c r="A1003" s="27" t="inlineStr">
        <is>
          <t>process.packageDetail</t>
        </is>
      </c>
      <c r="B1003" s="27" t="inlineStr">
        <is>
          <t>Chi tiết tải</t>
        </is>
      </c>
      <c r="C1003" s="27" t="inlineStr">
        <is>
          <t>Package detail</t>
        </is>
      </c>
      <c r="D1003" s="21" t="inlineStr">
        <is>
          <t>លម្អិតពីជើងដឹក</t>
        </is>
      </c>
      <c r="E1003" s="102" t="inlineStr">
        <is>
          <t>លម្អិតកញ្ចប់ទំនិញ</t>
        </is>
      </c>
      <c r="F1003" s="10" t="n"/>
      <c r="G1003" s="10" t="inlineStr">
        <is>
          <t>លម្អិតកញ្ចប់ទំនិញ</t>
        </is>
      </c>
      <c r="H1003" s="10" t="inlineStr">
        <is>
          <t>លម្អិតកញ្ចប់ទំនិញ</t>
        </is>
      </c>
      <c r="I1003" s="10" t="n"/>
      <c r="J1003" s="10" t="n"/>
      <c r="K1003" s="10" t="inlineStr">
        <is>
          <t>"process.packageDetail": "លម្អិតកញ្ចប់ទំនិញ",</t>
        </is>
      </c>
      <c r="L1003" s="10" t="n"/>
      <c r="M1003" s="10" t="n"/>
      <c r="N1003" s="10" t="n"/>
      <c r="O1003" s="10" t="n"/>
      <c r="P1003" s="10" t="n"/>
      <c r="Q1003" s="10" t="n"/>
      <c r="R1003" s="10" t="n"/>
      <c r="S1003" s="10" t="n"/>
      <c r="T1003" s="10" t="n"/>
      <c r="U1003" s="10" t="n"/>
      <c r="V1003" s="10" t="n"/>
      <c r="W1003" s="10" t="n"/>
      <c r="X1003" s="10" t="n"/>
      <c r="Y1003" s="10" t="n"/>
      <c r="Z1003" s="10" t="n"/>
    </row>
    <row r="1004">
      <c r="A1004" s="27" t="inlineStr">
        <is>
          <t>process.totalPackage</t>
        </is>
      </c>
      <c r="B1004" s="27" t="inlineStr">
        <is>
          <t>Tổng tải kiện</t>
        </is>
      </c>
      <c r="C1004" s="27" t="inlineStr">
        <is>
          <t>Total package</t>
        </is>
      </c>
      <c r="D1004" s="21" t="n"/>
      <c r="E1004" s="102" t="inlineStr">
        <is>
          <t>សរុបកញ្ចប់ទំនិញ</t>
        </is>
      </c>
      <c r="F1004" s="10" t="n"/>
      <c r="G1004" s="10" t="inlineStr">
        <is>
          <t>សរុបកញ្ចប់ទំនិញ</t>
        </is>
      </c>
      <c r="H1004" s="10" t="inlineStr">
        <is>
          <t>សរុបកញ្ចប់ទំនិញ</t>
        </is>
      </c>
      <c r="I1004" s="10" t="n"/>
      <c r="J1004" s="10" t="n"/>
      <c r="K1004" s="10" t="inlineStr">
        <is>
          <t>"process.totalPackage": "សរុបកញ្ចប់ទំនិញ",</t>
        </is>
      </c>
      <c r="L1004" s="10" t="n"/>
      <c r="M1004" s="10" t="n"/>
      <c r="N1004" s="10" t="n"/>
      <c r="O1004" s="10" t="n"/>
      <c r="P1004" s="10" t="n"/>
      <c r="Q1004" s="10" t="n"/>
      <c r="R1004" s="10" t="n"/>
      <c r="S1004" s="10" t="n"/>
      <c r="T1004" s="10" t="n"/>
      <c r="U1004" s="10" t="n"/>
      <c r="V1004" s="10" t="n"/>
      <c r="W1004" s="10" t="n"/>
      <c r="X1004" s="10" t="n"/>
      <c r="Y1004" s="10" t="n"/>
      <c r="Z1004" s="10" t="n"/>
    </row>
    <row r="1005">
      <c r="A1005" s="27" t="inlineStr">
        <is>
          <t>process.enterPackageCode</t>
        </is>
      </c>
      <c r="B1005" s="27" t="inlineStr">
        <is>
          <t>Nhập mã tải kiện</t>
        </is>
      </c>
      <c r="C1005" s="27" t="inlineStr">
        <is>
          <t>Enter package code</t>
        </is>
      </c>
      <c r="D1005" s="21" t="n"/>
      <c r="E1005" s="102" t="inlineStr">
        <is>
          <t>បញ្ចូលលេខកូដកញ្ចប់ទំនិញ</t>
        </is>
      </c>
      <c r="F1005" s="10" t="n"/>
      <c r="G1005" s="10" t="inlineStr">
        <is>
          <t>បញ្ចូលលេខកូដកញ្ចប់ទំនិញ</t>
        </is>
      </c>
      <c r="H1005" s="10" t="inlineStr">
        <is>
          <t>បញ្ចូលលេខកូដកញ្ចប់ទំនិញ</t>
        </is>
      </c>
      <c r="I1005" s="10" t="n"/>
      <c r="J1005" s="10" t="n"/>
      <c r="K1005" s="10" t="inlineStr">
        <is>
          <t>"process.enterPackageCode": "បញ្ចូលលេខកូដកញ្ចប់ទំនិញ",</t>
        </is>
      </c>
      <c r="L1005" s="10" t="n"/>
      <c r="M1005" s="10" t="n"/>
      <c r="N1005" s="10" t="n"/>
      <c r="O1005" s="10" t="n"/>
      <c r="P1005" s="10" t="n"/>
      <c r="Q1005" s="10" t="n"/>
      <c r="R1005" s="10" t="n"/>
      <c r="S1005" s="10" t="n"/>
      <c r="T1005" s="10" t="n"/>
      <c r="U1005" s="10" t="n"/>
      <c r="V1005" s="10" t="n"/>
      <c r="W1005" s="10" t="n"/>
      <c r="X1005" s="10" t="n"/>
      <c r="Y1005" s="10" t="n"/>
      <c r="Z1005" s="10" t="n"/>
    </row>
    <row r="1006">
      <c r="A1006" s="27" t="inlineStr">
        <is>
          <t>process.packageCode</t>
        </is>
      </c>
      <c r="B1006" s="27" t="inlineStr">
        <is>
          <t>Mã tải</t>
        </is>
      </c>
      <c r="C1006" s="27" t="inlineStr">
        <is>
          <t>Package code</t>
        </is>
      </c>
      <c r="D1006" s="21" t="n"/>
      <c r="E1006" s="102" t="inlineStr">
        <is>
          <t>លេខកូដកញ្ចប់ទំនិញ</t>
        </is>
      </c>
      <c r="F1006" s="10" t="n"/>
      <c r="G1006" s="10" t="inlineStr">
        <is>
          <t>លេខកូដកញ្ចប់ទំនិញ</t>
        </is>
      </c>
      <c r="H1006" s="10" t="inlineStr">
        <is>
          <t>លេខកូដកញ្ចប់ទំនិញ</t>
        </is>
      </c>
      <c r="I1006" s="10" t="n"/>
      <c r="J1006" s="10" t="n"/>
      <c r="K1006" s="10" t="inlineStr">
        <is>
          <t>"process.packageCode": "លេខកូដកញ្ចប់ទំនិញ",</t>
        </is>
      </c>
      <c r="L1006" s="10" t="n"/>
      <c r="M1006" s="10" t="n"/>
      <c r="N1006" s="10" t="n"/>
      <c r="O1006" s="10" t="n"/>
      <c r="P1006" s="10" t="n"/>
      <c r="Q1006" s="10" t="n"/>
      <c r="R1006" s="10" t="n"/>
      <c r="S1006" s="10" t="n"/>
      <c r="T1006" s="10" t="n"/>
      <c r="U1006" s="10" t="n"/>
      <c r="V1006" s="10" t="n"/>
      <c r="W1006" s="10" t="n"/>
      <c r="X1006" s="10" t="n"/>
      <c r="Y1006" s="10" t="n"/>
      <c r="Z1006" s="10" t="n"/>
    </row>
    <row r="1007">
      <c r="A1007" s="27" t="inlineStr">
        <is>
          <t>process.sendPO</t>
        </is>
      </c>
      <c r="B1007" s="27" t="inlineStr">
        <is>
          <t>Bưu cục đi</t>
        </is>
      </c>
      <c r="C1007" s="27" t="inlineStr">
        <is>
          <t>From post office</t>
        </is>
      </c>
      <c r="D1007" s="21" t="inlineStr">
        <is>
          <t>ការិយាល័យប្រៃសណីយ៍ចេញទៅ</t>
        </is>
      </c>
      <c r="E1007" s="102" t="inlineStr">
        <is>
          <t>ការិយាល័យប្រៃណីយ៍ ចាកចេញ</t>
        </is>
      </c>
      <c r="F1007" s="10" t="n"/>
      <c r="G1007" s="10" t="inlineStr">
        <is>
          <t>ការិយាល័យប្រៃណីយ៍ ចាកចេញ</t>
        </is>
      </c>
      <c r="H1007" s="10" t="inlineStr">
        <is>
          <t>ការិយាល័យប្រៃណីយ៍ ចាកចេញ</t>
        </is>
      </c>
      <c r="I1007" s="10" t="n"/>
      <c r="J1007" s="10" t="n"/>
      <c r="K1007" s="10" t="inlineStr">
        <is>
          <t>"process.sendPO": "ការិយាល័យប្រៃណីយ៍ ចាកចេញ",</t>
        </is>
      </c>
      <c r="L1007" s="10" t="n"/>
      <c r="M1007" s="10" t="n"/>
      <c r="N1007" s="10" t="n"/>
      <c r="O1007" s="10" t="n"/>
      <c r="P1007" s="10" t="n"/>
      <c r="Q1007" s="10" t="n"/>
      <c r="R1007" s="10" t="n"/>
      <c r="S1007" s="10" t="n"/>
      <c r="T1007" s="10" t="n"/>
      <c r="U1007" s="10" t="n"/>
      <c r="V1007" s="10" t="n"/>
      <c r="W1007" s="10" t="n"/>
      <c r="X1007" s="10" t="n"/>
      <c r="Y1007" s="10" t="n"/>
      <c r="Z1007" s="10" t="n"/>
    </row>
    <row r="1008">
      <c r="A1008" s="27" t="inlineStr">
        <is>
          <t>process.receivePo</t>
        </is>
      </c>
      <c r="B1008" s="27" t="inlineStr">
        <is>
          <t>Bưu cục đến</t>
        </is>
      </c>
      <c r="C1008" s="27" t="inlineStr">
        <is>
          <t>Receiving post office</t>
        </is>
      </c>
      <c r="D1008" s="21" t="inlineStr">
        <is>
          <t>ការិយាល័យប្រៃសណីយ៍មកដល់</t>
        </is>
      </c>
      <c r="E1008" s="102" t="inlineStr">
        <is>
          <t>ការិយាល័យប្រៃណីយ៍ មកដល់</t>
        </is>
      </c>
      <c r="F1008" s="10" t="n"/>
      <c r="G1008" s="10" t="inlineStr">
        <is>
          <t>ការិយាល័យប្រៃសណីយ៍គោលដៅ</t>
        </is>
      </c>
      <c r="H1008" s="10" t="inlineStr">
        <is>
          <t>ការិយាល័យប្រៃសណីយ៍គោលដៅ</t>
        </is>
      </c>
      <c r="I1008" s="10" t="n"/>
      <c r="J1008" s="10" t="n"/>
      <c r="K1008" s="10" t="inlineStr">
        <is>
          <t>"process.receivePo": "ការិយាល័យប្រៃសណីយ៍គោលដៅ",</t>
        </is>
      </c>
      <c r="L1008" s="10" t="n"/>
      <c r="M1008" s="10" t="n"/>
      <c r="N1008" s="10" t="n"/>
      <c r="O1008" s="10" t="n"/>
      <c r="P1008" s="10" t="n"/>
      <c r="Q1008" s="10" t="n"/>
      <c r="R1008" s="10" t="n"/>
      <c r="S1008" s="10" t="n"/>
      <c r="T1008" s="10" t="n"/>
      <c r="U1008" s="10" t="n"/>
      <c r="V1008" s="10" t="n"/>
      <c r="W1008" s="10" t="n"/>
      <c r="X1008" s="10" t="n"/>
      <c r="Y1008" s="10" t="n"/>
      <c r="Z1008" s="10" t="n"/>
    </row>
    <row r="1009">
      <c r="A1009" s="27" t="inlineStr">
        <is>
          <t>process.quantity</t>
        </is>
      </c>
      <c r="B1009" s="27" t="inlineStr">
        <is>
          <t>Số lượng bưu phẩm</t>
        </is>
      </c>
      <c r="C1009" s="27" t="inlineStr">
        <is>
          <t>Quantity of parcels</t>
        </is>
      </c>
      <c r="D1009" s="21" t="inlineStr">
        <is>
          <t>ចំនួនអីវ៉ាន់</t>
        </is>
      </c>
      <c r="E1009" s="102" t="inlineStr">
        <is>
          <t>ចំនួនកញ្ចប់ទំនិញ</t>
        </is>
      </c>
      <c r="F1009" s="10" t="n"/>
      <c r="G1009" s="10" t="inlineStr">
        <is>
          <t>ចំនួនកញ្ចប់ទំនិញ</t>
        </is>
      </c>
      <c r="H1009" s="10" t="inlineStr">
        <is>
          <t>ចំនួនកញ្ចប់ទំនិញ</t>
        </is>
      </c>
      <c r="I1009" s="10" t="n"/>
      <c r="J1009" s="10" t="n"/>
      <c r="K1009" s="10" t="inlineStr">
        <is>
          <t>"process.quantity": "ចំនួនកញ្ចប់ទំនិញ",</t>
        </is>
      </c>
      <c r="L1009" s="10" t="n"/>
      <c r="M1009" s="10" t="n"/>
      <c r="N1009" s="10" t="n"/>
      <c r="O1009" s="10" t="n"/>
      <c r="P1009" s="10" t="n"/>
      <c r="Q1009" s="10" t="n"/>
      <c r="R1009" s="10" t="n"/>
      <c r="S1009" s="10" t="n"/>
      <c r="T1009" s="10" t="n"/>
      <c r="U1009" s="10" t="n"/>
      <c r="V1009" s="10" t="n"/>
      <c r="W1009" s="10" t="n"/>
      <c r="X1009" s="10" t="n"/>
      <c r="Y1009" s="10" t="n"/>
      <c r="Z1009" s="10" t="n"/>
    </row>
    <row r="1010">
      <c r="A1010" s="27" t="inlineStr">
        <is>
          <t>process.weight</t>
        </is>
      </c>
      <c r="B1010" s="27" t="inlineStr">
        <is>
          <t>Trọng lượng (g)</t>
        </is>
      </c>
      <c r="C1010" s="27" t="inlineStr">
        <is>
          <t>Weight</t>
        </is>
      </c>
      <c r="D1010" s="102" t="inlineStr">
        <is>
          <t>ទម្ងន់ (ក្រាម)</t>
        </is>
      </c>
      <c r="E1010" s="102" t="inlineStr">
        <is>
          <t>ទម្ងន់ (ក្រាម)</t>
        </is>
      </c>
      <c r="F1010" s="10" t="n"/>
      <c r="G1010" s="10" t="inlineStr">
        <is>
          <t>ទម្ងន់ (ក្រាម)</t>
        </is>
      </c>
      <c r="H1010" s="10" t="inlineStr">
        <is>
          <t>ទម្ងន់ (ក្រាម)</t>
        </is>
      </c>
      <c r="I1010" s="10" t="n"/>
      <c r="J1010" s="10" t="n"/>
      <c r="K1010" s="10" t="inlineStr">
        <is>
          <t>"process.weight": "ទម្ងន់ (ក្រាម)",</t>
        </is>
      </c>
      <c r="L1010" s="10" t="n"/>
      <c r="M1010" s="10" t="n"/>
      <c r="N1010" s="10" t="n"/>
      <c r="O1010" s="10" t="n"/>
      <c r="P1010" s="10" t="n"/>
      <c r="Q1010" s="10" t="n"/>
      <c r="R1010" s="10" t="n"/>
      <c r="S1010" s="10" t="n"/>
      <c r="T1010" s="10" t="n"/>
      <c r="U1010" s="10" t="n"/>
      <c r="V1010" s="10" t="n"/>
      <c r="W1010" s="10" t="n"/>
      <c r="X1010" s="10" t="n"/>
      <c r="Y1010" s="10" t="n"/>
      <c r="Z1010" s="10" t="n"/>
    </row>
    <row r="1011">
      <c r="A1011" s="27" t="inlineStr">
        <is>
          <t>process.receivedByName</t>
        </is>
      </c>
      <c r="B1011" s="27" t="inlineStr">
        <is>
          <t>Người nhận tải</t>
        </is>
      </c>
      <c r="C1011" s="27" t="inlineStr">
        <is>
          <t>Package recipient</t>
        </is>
      </c>
      <c r="D1011" s="102" t="n"/>
      <c r="E1011" s="102" t="inlineStr">
        <is>
          <t>អ្នកទទួលកញ្ចប់ទំនិញ</t>
        </is>
      </c>
      <c r="F1011" s="10" t="n"/>
      <c r="G1011" s="10" t="inlineStr">
        <is>
          <t>អ្នកទទួលកញ្ចប់ទំនិញ</t>
        </is>
      </c>
      <c r="H1011" s="10" t="inlineStr">
        <is>
          <t>អ្នកទទួលកញ្ចប់ទំនិញ</t>
        </is>
      </c>
      <c r="I1011" s="10" t="n"/>
      <c r="J1011" s="10" t="n"/>
      <c r="K1011" s="10" t="inlineStr">
        <is>
          <t>"process.receivedByName": "អ្នកទទួលកញ្ចប់ទំនិញ",</t>
        </is>
      </c>
      <c r="L1011" s="10" t="n"/>
      <c r="M1011" s="10" t="n"/>
      <c r="N1011" s="10" t="n"/>
      <c r="O1011" s="10" t="n"/>
      <c r="P1011" s="10" t="n"/>
      <c r="Q1011" s="10" t="n"/>
      <c r="R1011" s="10" t="n"/>
      <c r="S1011" s="10" t="n"/>
      <c r="T1011" s="10" t="n"/>
      <c r="U1011" s="10" t="n"/>
      <c r="V1011" s="10" t="n"/>
      <c r="W1011" s="10" t="n"/>
      <c r="X1011" s="10" t="n"/>
      <c r="Y1011" s="10" t="n"/>
      <c r="Z1011" s="10" t="n"/>
    </row>
    <row r="1012">
      <c r="A1012" s="27" t="inlineStr">
        <is>
          <t>process.receivedAt</t>
        </is>
      </c>
      <c r="B1012" s="27" t="inlineStr">
        <is>
          <t>Ngày nhận</t>
        </is>
      </c>
      <c r="C1012" s="27" t="inlineStr">
        <is>
          <t>Received date</t>
        </is>
      </c>
      <c r="D1012" s="21" t="inlineStr">
        <is>
          <t>ថ្ងៃ្ងទទួល</t>
        </is>
      </c>
      <c r="E1012" s="102" t="inlineStr">
        <is>
          <t>ថ្ងៃទទួល</t>
        </is>
      </c>
      <c r="F1012" s="10" t="n"/>
      <c r="G1012" s="10" t="inlineStr">
        <is>
          <t>កាលបរិច្ឆេទទទួល</t>
        </is>
      </c>
      <c r="H1012" s="10" t="inlineStr">
        <is>
          <t>កាលបរិច្ឆេទទទួល</t>
        </is>
      </c>
      <c r="I1012" s="10" t="n"/>
      <c r="J1012" s="10" t="n"/>
      <c r="K1012" s="10" t="inlineStr">
        <is>
          <t>"process.receivedAt": "កាលបរិច្ឆេទទទួល",</t>
        </is>
      </c>
      <c r="L1012" s="10" t="n"/>
      <c r="M1012" s="10" t="n"/>
      <c r="N1012" s="10" t="n"/>
      <c r="O1012" s="10" t="n"/>
      <c r="P1012" s="10" t="n"/>
      <c r="Q1012" s="10" t="n"/>
      <c r="R1012" s="10" t="n"/>
      <c r="S1012" s="10" t="n"/>
      <c r="T1012" s="10" t="n"/>
      <c r="U1012" s="10" t="n"/>
      <c r="V1012" s="10" t="n"/>
      <c r="W1012" s="10" t="n"/>
      <c r="X1012" s="10" t="n"/>
      <c r="Y1012" s="10" t="n"/>
      <c r="Z1012" s="10" t="n"/>
    </row>
    <row r="1013">
      <c r="A1013" s="27" t="inlineStr">
        <is>
          <t>process.enterOrderCode</t>
        </is>
      </c>
      <c r="B1013" s="27" t="inlineStr">
        <is>
          <t>Nhập mã phiếu gửi</t>
        </is>
      </c>
      <c r="C1013" s="27" t="inlineStr">
        <is>
          <t>Enter postal slip's code</t>
        </is>
      </c>
      <c r="D1013" s="21" t="inlineStr">
        <is>
          <t>បញ្ចូលលេខកូដបុងបញ្ញើ</t>
        </is>
      </c>
      <c r="E1013" s="102" t="inlineStr">
        <is>
          <t>បញ្ចូលលេខកូូដបុងបញ្ញើ</t>
        </is>
      </c>
      <c r="F1013" s="10" t="n"/>
      <c r="G1013" s="10" t="inlineStr">
        <is>
          <t>បញ្ចូលលេខកូូដបុងបញ្ញើ</t>
        </is>
      </c>
      <c r="H1013" s="10" t="inlineStr">
        <is>
          <t>បញ្ចូលលេខកូូដបុងបញ្ញើ</t>
        </is>
      </c>
      <c r="I1013" s="10" t="n"/>
      <c r="J1013" s="10" t="n"/>
      <c r="K1013" s="10" t="inlineStr">
        <is>
          <t>"process.enterOrderCode": "បញ្ចូលលេខកូូដបុងបញ្ញើ",</t>
        </is>
      </c>
      <c r="L1013" s="10" t="n"/>
      <c r="M1013" s="10" t="n"/>
      <c r="N1013" s="10" t="n"/>
      <c r="O1013" s="10" t="n"/>
      <c r="P1013" s="10" t="n"/>
      <c r="Q1013" s="10" t="n"/>
      <c r="R1013" s="10" t="n"/>
      <c r="S1013" s="10" t="n"/>
      <c r="T1013" s="10" t="n"/>
      <c r="U1013" s="10" t="n"/>
      <c r="V1013" s="10" t="n"/>
      <c r="W1013" s="10" t="n"/>
      <c r="X1013" s="10" t="n"/>
      <c r="Y1013" s="10" t="n"/>
      <c r="Z1013" s="10" t="n"/>
    </row>
    <row r="1014">
      <c r="A1014" s="27" t="inlineStr">
        <is>
          <t>process.receiveOrder</t>
        </is>
      </c>
      <c r="B1014" s="27" t="inlineStr">
        <is>
          <t>Nhận phiếu gửi</t>
        </is>
      </c>
      <c r="C1014" s="27" t="inlineStr">
        <is>
          <t>Receive postal slip</t>
        </is>
      </c>
      <c r="D1014" s="21" t="inlineStr">
        <is>
          <t>ទទួលបុងបញ្ញើ</t>
        </is>
      </c>
      <c r="E1014" s="102" t="inlineStr">
        <is>
          <t>ទទួលបុងបញ្ញើ</t>
        </is>
      </c>
      <c r="F1014" s="10" t="n"/>
      <c r="G1014" s="10" t="inlineStr">
        <is>
          <t>ទទួលបុងបញ្ញើ</t>
        </is>
      </c>
      <c r="H1014" s="10" t="inlineStr">
        <is>
          <t>ទទួលបុងបញ្ញើ</t>
        </is>
      </c>
      <c r="I1014" s="10" t="n"/>
      <c r="J1014" s="10" t="n"/>
      <c r="K1014" s="10" t="inlineStr">
        <is>
          <t>"process.receiveOrder": "ទទួលបុងបញ្ញើ",</t>
        </is>
      </c>
      <c r="L1014" s="10" t="n"/>
      <c r="M1014" s="10" t="n"/>
      <c r="N1014" s="10" t="n"/>
      <c r="O1014" s="10" t="n"/>
      <c r="P1014" s="10" t="n"/>
      <c r="Q1014" s="10" t="n"/>
      <c r="R1014" s="10" t="n"/>
      <c r="S1014" s="10" t="n"/>
      <c r="T1014" s="10" t="n"/>
      <c r="U1014" s="10" t="n"/>
      <c r="V1014" s="10" t="n"/>
      <c r="W1014" s="10" t="n"/>
      <c r="X1014" s="10" t="n"/>
      <c r="Y1014" s="10" t="n"/>
      <c r="Z1014" s="10" t="n"/>
    </row>
    <row r="1015">
      <c r="A1015" s="27" t="inlineStr">
        <is>
          <t>process.missingOrder</t>
        </is>
      </c>
      <c r="B1015" s="27" t="inlineStr">
        <is>
          <t>Báo thiếu</t>
        </is>
      </c>
      <c r="C1015" s="27" t="inlineStr">
        <is>
          <t>Report missing</t>
        </is>
      </c>
      <c r="D1015" s="102" t="n"/>
      <c r="E1015" s="102" t="inlineStr">
        <is>
          <t>ខ្វះ</t>
        </is>
      </c>
      <c r="F1015" s="10" t="n"/>
      <c r="G1015" s="10" t="inlineStr">
        <is>
          <t>ខ្វះ</t>
        </is>
      </c>
      <c r="H1015" s="10" t="inlineStr">
        <is>
          <t>ខ្វះ</t>
        </is>
      </c>
      <c r="I1015" s="10" t="n"/>
      <c r="J1015" s="10" t="n"/>
      <c r="K1015" s="10" t="inlineStr">
        <is>
          <t>"process.missingOrder": "ខ្វះ",</t>
        </is>
      </c>
      <c r="L1015" s="10" t="n"/>
      <c r="M1015" s="10" t="n"/>
      <c r="N1015" s="10" t="n"/>
      <c r="O1015" s="10" t="n"/>
      <c r="P1015" s="10" t="n"/>
      <c r="Q1015" s="10" t="n"/>
      <c r="R1015" s="10" t="n"/>
      <c r="S1015" s="10" t="n"/>
      <c r="T1015" s="10" t="n"/>
      <c r="U1015" s="10" t="n"/>
      <c r="V1015" s="10" t="n"/>
      <c r="W1015" s="10" t="n"/>
      <c r="X1015" s="10" t="n"/>
      <c r="Y1015" s="10" t="n"/>
      <c r="Z1015" s="10" t="n"/>
    </row>
    <row r="1016">
      <c r="A1016" s="27" t="inlineStr">
        <is>
          <t>process.orderCode</t>
        </is>
      </c>
      <c r="B1016" s="27" t="inlineStr">
        <is>
          <t>Mã phiếu gửi</t>
        </is>
      </c>
      <c r="C1016" s="27" t="inlineStr">
        <is>
          <t>Postal slip code</t>
        </is>
      </c>
      <c r="D1016" s="102" t="inlineStr">
        <is>
          <t>លេខកូដបុុងបញ្ញើ</t>
        </is>
      </c>
      <c r="E1016" s="102" t="inlineStr">
        <is>
          <t>លេខកូូដបុងបញ្ញើ</t>
        </is>
      </c>
      <c r="F1016" s="10" t="n"/>
      <c r="G1016" s="10" t="inlineStr">
        <is>
          <t>លេខកូដបុងបញ្ញើ</t>
        </is>
      </c>
      <c r="H1016" s="10" t="inlineStr">
        <is>
          <t>លេខកូដបុងបញ្ញើ</t>
        </is>
      </c>
      <c r="I1016" s="10" t="n"/>
      <c r="J1016" s="10" t="n"/>
      <c r="K1016" s="10" t="inlineStr">
        <is>
          <t>"process.orderCode": "លេខកូដបុងបញ្ញើ",</t>
        </is>
      </c>
      <c r="L1016" s="10" t="n"/>
      <c r="M1016" s="10" t="n"/>
      <c r="N1016" s="10" t="n"/>
      <c r="O1016" s="10" t="n"/>
      <c r="P1016" s="10" t="n"/>
      <c r="Q1016" s="10" t="n"/>
      <c r="R1016" s="10" t="n"/>
      <c r="S1016" s="10" t="n"/>
      <c r="T1016" s="10" t="n"/>
      <c r="U1016" s="10" t="n"/>
      <c r="V1016" s="10" t="n"/>
      <c r="W1016" s="10" t="n"/>
      <c r="X1016" s="10" t="n"/>
      <c r="Y1016" s="10" t="n"/>
      <c r="Z1016" s="10" t="n"/>
    </row>
    <row r="1017">
      <c r="A1017" s="27" t="inlineStr">
        <is>
          <t>process.box</t>
        </is>
      </c>
      <c r="B1017" s="27" t="inlineStr">
        <is>
          <t>Hộp</t>
        </is>
      </c>
      <c r="C1017" s="27" t="inlineStr">
        <is>
          <t>Box</t>
        </is>
      </c>
      <c r="D1017" s="102" t="inlineStr">
        <is>
          <t>ប្រអប់</t>
        </is>
      </c>
      <c r="E1017" s="102" t="inlineStr">
        <is>
          <t>ប្រអប់</t>
        </is>
      </c>
      <c r="F1017" s="10" t="n"/>
      <c r="G1017" s="10" t="inlineStr">
        <is>
          <t>ប្រអប់</t>
        </is>
      </c>
      <c r="H1017" s="10" t="inlineStr">
        <is>
          <t>ប្រអប់</t>
        </is>
      </c>
      <c r="I1017" s="10" t="n"/>
      <c r="J1017" s="10" t="n"/>
      <c r="K1017" s="10" t="inlineStr">
        <is>
          <t>"process.box": "ប្រអប់",</t>
        </is>
      </c>
      <c r="L1017" s="10" t="n"/>
      <c r="M1017" s="10" t="n"/>
      <c r="N1017" s="10" t="n"/>
      <c r="O1017" s="10" t="n"/>
      <c r="P1017" s="10" t="n"/>
      <c r="Q1017" s="10" t="n"/>
      <c r="R1017" s="10" t="n"/>
      <c r="S1017" s="10" t="n"/>
      <c r="T1017" s="10" t="n"/>
      <c r="U1017" s="10" t="n"/>
      <c r="V1017" s="10" t="n"/>
      <c r="W1017" s="10" t="n"/>
      <c r="X1017" s="10" t="n"/>
      <c r="Y1017" s="10" t="n"/>
      <c r="Z1017" s="10" t="n"/>
    </row>
    <row r="1018">
      <c r="A1018" s="27" t="inlineStr">
        <is>
          <t>process.fromPostal</t>
        </is>
      </c>
      <c r="B1018" s="27" t="inlineStr">
        <is>
          <t>Bưu cục gốc</t>
        </is>
      </c>
      <c r="C1018" s="27" t="inlineStr">
        <is>
          <t>Original post office</t>
        </is>
      </c>
      <c r="D1018" s="102" t="inlineStr">
        <is>
          <t>ការិយាល័យប្រៃសណីយ៍ដើម</t>
        </is>
      </c>
      <c r="E1018" s="102" t="inlineStr">
        <is>
          <t>ការិយាល័យប្រៃសណីយ៍ដើម</t>
        </is>
      </c>
      <c r="F1018" s="10" t="n"/>
      <c r="G1018" s="10" t="inlineStr">
        <is>
          <t>ការិយាល័យប្រៃសណីយ៍ដើម</t>
        </is>
      </c>
      <c r="H1018" s="10" t="inlineStr">
        <is>
          <t>ការិយាល័យប្រៃសណីយ៍ដើម</t>
        </is>
      </c>
      <c r="I1018" s="10" t="n"/>
      <c r="J1018" s="10" t="n"/>
      <c r="K1018" s="10" t="inlineStr">
        <is>
          <t>"process.fromPostal": "ការិយាល័យប្រៃសណីយ៍ដើម",</t>
        </is>
      </c>
      <c r="L1018" s="10" t="n"/>
      <c r="M1018" s="10" t="n"/>
      <c r="N1018" s="10" t="n"/>
      <c r="O1018" s="10" t="n"/>
      <c r="P1018" s="10" t="n"/>
      <c r="Q1018" s="10" t="n"/>
      <c r="R1018" s="10" t="n"/>
      <c r="S1018" s="10" t="n"/>
      <c r="T1018" s="10" t="n"/>
      <c r="U1018" s="10" t="n"/>
      <c r="V1018" s="10" t="n"/>
      <c r="W1018" s="10" t="n"/>
      <c r="X1018" s="10" t="n"/>
      <c r="Y1018" s="10" t="n"/>
      <c r="Z1018" s="10" t="n"/>
    </row>
    <row r="1019">
      <c r="A1019" s="27" t="inlineStr">
        <is>
          <t>process.toPostal</t>
        </is>
      </c>
      <c r="B1019" s="27" t="inlineStr">
        <is>
          <t>Bưu cục phát</t>
        </is>
      </c>
      <c r="C1019" s="27" t="inlineStr">
        <is>
          <t>Delivery post office</t>
        </is>
      </c>
      <c r="D1019" s="21" t="inlineStr">
        <is>
          <t>ការិយាល័យប្រៃសណីយ៍ដឹកជញ្ជូន</t>
        </is>
      </c>
      <c r="E1019" s="102" t="inlineStr">
        <is>
          <t>ការិយាល័យប្រៃសណីយ៍ចែកចាយ</t>
        </is>
      </c>
      <c r="F1019" s="10" t="n"/>
      <c r="G1019" s="10" t="inlineStr">
        <is>
          <t>ការិយាល័យប្រៃសណីយ៍ដឹកចែក</t>
        </is>
      </c>
      <c r="H1019" s="10" t="inlineStr">
        <is>
          <t>ការិយាល័យប្រៃសណីយ៍ដឹកចែក</t>
        </is>
      </c>
      <c r="I1019" s="10" t="n"/>
      <c r="J1019" s="10" t="n"/>
      <c r="K1019" s="10" t="inlineStr">
        <is>
          <t>"process.toPostal": "ការិយាល័យប្រៃសណីយ៍ដឹកចែក",</t>
        </is>
      </c>
      <c r="L1019" s="10" t="n"/>
      <c r="M1019" s="10" t="n"/>
      <c r="N1019" s="10" t="n"/>
      <c r="O1019" s="10" t="n"/>
      <c r="P1019" s="10" t="n"/>
      <c r="Q1019" s="10" t="n"/>
      <c r="R1019" s="10" t="n"/>
      <c r="S1019" s="10" t="n"/>
      <c r="T1019" s="10" t="n"/>
      <c r="U1019" s="10" t="n"/>
      <c r="V1019" s="10" t="n"/>
      <c r="W1019" s="10" t="n"/>
      <c r="X1019" s="10" t="n"/>
      <c r="Y1019" s="10" t="n"/>
      <c r="Z1019" s="10" t="n"/>
    </row>
    <row r="1020">
      <c r="A1020" s="27" t="inlineStr">
        <is>
          <t>process.closePostal</t>
        </is>
      </c>
      <c r="B1020" s="27" t="inlineStr">
        <is>
          <t>Bưu cục đóng đến</t>
        </is>
      </c>
      <c r="C1020" s="27" t="inlineStr">
        <is>
          <t>Completed sack to post office</t>
        </is>
      </c>
      <c r="D1020" s="102" t="n"/>
      <c r="E1020" s="102" t="inlineStr">
        <is>
          <t>ការិយាល័យប្រៃសណីយ៍បិទដល់</t>
        </is>
      </c>
      <c r="F1020" s="10" t="n"/>
      <c r="G1020" s="10" t="inlineStr">
        <is>
          <t>ការិយាល័យប្រៃសណីយ៍បិទដល់</t>
        </is>
      </c>
      <c r="H1020" s="10" t="inlineStr">
        <is>
          <t>ការិយាល័យប្រៃសណីយ៍បិទដល់</t>
        </is>
      </c>
      <c r="I1020" s="10" t="n"/>
      <c r="J1020" s="10" t="n"/>
      <c r="K1020" s="10" t="inlineStr">
        <is>
          <t>"process.closePostal": "ការិយាល័យប្រៃសណីយ៍បិទដល់",</t>
        </is>
      </c>
      <c r="L1020" s="10" t="n"/>
      <c r="M1020" s="10" t="n"/>
      <c r="N1020" s="10" t="n"/>
      <c r="O1020" s="10" t="n"/>
      <c r="P1020" s="10" t="n"/>
      <c r="Q1020" s="10" t="n"/>
      <c r="R1020" s="10" t="n"/>
      <c r="S1020" s="10" t="n"/>
      <c r="T1020" s="10" t="n"/>
      <c r="U1020" s="10" t="n"/>
      <c r="V1020" s="10" t="n"/>
      <c r="W1020" s="10" t="n"/>
      <c r="X1020" s="10" t="n"/>
      <c r="Y1020" s="10" t="n"/>
      <c r="Z1020" s="10" t="n"/>
    </row>
    <row r="1021">
      <c r="A1021" s="27" t="inlineStr">
        <is>
          <t>process.sendDate</t>
        </is>
      </c>
      <c r="B1021" s="27" t="inlineStr">
        <is>
          <t>Ngày gửi</t>
        </is>
      </c>
      <c r="C1021" s="27" t="inlineStr">
        <is>
          <t>Sent date</t>
        </is>
      </c>
      <c r="D1021" s="102" t="inlineStr">
        <is>
          <t>ថ្ងៃផ្ញើ</t>
        </is>
      </c>
      <c r="E1021" s="102" t="inlineStr">
        <is>
          <t>ថ្ងៃផ្ញើ</t>
        </is>
      </c>
      <c r="F1021" s="10" t="n"/>
      <c r="G1021" s="10" t="inlineStr">
        <is>
          <t>កាលបរិច្ឆេទផ្ញើ</t>
        </is>
      </c>
      <c r="H1021" s="10" t="inlineStr">
        <is>
          <t>កាលបរិច្ឆេទផ្ញើ</t>
        </is>
      </c>
      <c r="I1021" s="10" t="n"/>
      <c r="J1021" s="10" t="n"/>
      <c r="K1021" s="10" t="inlineStr">
        <is>
          <t>"process.sendDate": "កាលបរិច្ឆេទផ្ញើ",</t>
        </is>
      </c>
      <c r="L1021" s="10" t="n"/>
      <c r="M1021" s="10" t="n"/>
      <c r="N1021" s="10" t="n"/>
      <c r="O1021" s="10" t="n"/>
      <c r="P1021" s="10" t="n"/>
      <c r="Q1021" s="10" t="n"/>
      <c r="R1021" s="10" t="n"/>
      <c r="S1021" s="10" t="n"/>
      <c r="T1021" s="10" t="n"/>
      <c r="U1021" s="10" t="n"/>
      <c r="V1021" s="10" t="n"/>
      <c r="W1021" s="10" t="n"/>
      <c r="X1021" s="10" t="n"/>
      <c r="Y1021" s="10" t="n"/>
      <c r="Z1021" s="10" t="n"/>
    </row>
    <row r="1022">
      <c r="A1022" s="27" t="inlineStr">
        <is>
          <t>process.toProvince</t>
        </is>
      </c>
      <c r="B1022" s="27" t="inlineStr">
        <is>
          <t>Tỉnh đến</t>
        </is>
      </c>
      <c r="C1022" s="27" t="inlineStr">
        <is>
          <t>Receiving province</t>
        </is>
      </c>
      <c r="D1022" s="95" t="inlineStr">
        <is>
          <t>ខេត្តមកដល់</t>
        </is>
      </c>
      <c r="E1022" s="102" t="inlineStr">
        <is>
          <t>ខេត្តមកដល់</t>
        </is>
      </c>
      <c r="F1022" s="10" t="n"/>
      <c r="G1022" s="10" t="inlineStr">
        <is>
          <t>ខេត្តមកដល់</t>
        </is>
      </c>
      <c r="H1022" s="10" t="inlineStr">
        <is>
          <t>ខេត្តមកដល់</t>
        </is>
      </c>
      <c r="I1022" s="10" t="n"/>
      <c r="J1022" s="10" t="n"/>
      <c r="K1022" s="10" t="inlineStr">
        <is>
          <t>"process.toProvince": "ខេត្តមកដល់",</t>
        </is>
      </c>
      <c r="L1022" s="10" t="n"/>
      <c r="M1022" s="10" t="n"/>
      <c r="N1022" s="10" t="n"/>
      <c r="O1022" s="10" t="n"/>
      <c r="P1022" s="10" t="n"/>
      <c r="Q1022" s="10" t="n"/>
      <c r="R1022" s="10" t="n"/>
      <c r="S1022" s="10" t="n"/>
      <c r="T1022" s="10" t="n"/>
      <c r="U1022" s="10" t="n"/>
      <c r="V1022" s="10" t="n"/>
      <c r="W1022" s="10" t="n"/>
      <c r="X1022" s="10" t="n"/>
      <c r="Y1022" s="10" t="n"/>
      <c r="Z1022" s="10" t="n"/>
    </row>
    <row r="1023">
      <c r="A1023" s="27" t="inlineStr">
        <is>
          <t>process.price</t>
        </is>
      </c>
      <c r="B1023" s="27" t="inlineStr">
        <is>
          <t>Tổng cước ({{money_unit}})</t>
        </is>
      </c>
      <c r="C1023" s="27" t="inlineStr">
        <is>
          <t>Total fee ({{money_unit}})</t>
        </is>
      </c>
      <c r="D1023" s="21" t="inlineStr">
        <is>
          <t>សរុបថ្លៃសេវា ({{money_unit}})</t>
        </is>
      </c>
      <c r="E1023" s="102" t="inlineStr">
        <is>
          <t>សរុុបសេវា({{money_unit}})</t>
        </is>
      </c>
      <c r="F1023" s="10" t="n"/>
      <c r="G1023" s="10" t="inlineStr">
        <is>
          <t>សរុុបសេវា({{money_unit}})</t>
        </is>
      </c>
      <c r="H1023" s="10" t="inlineStr">
        <is>
          <t>សរុុបសេវា({{money_unit}})</t>
        </is>
      </c>
      <c r="I1023" s="10" t="n"/>
      <c r="J1023" s="10" t="n"/>
      <c r="K1023" s="10" t="inlineStr">
        <is>
          <t>"process.price": "សរុុបសេវា({{money_unit}})",</t>
        </is>
      </c>
      <c r="L1023" s="10" t="n"/>
      <c r="M1023" s="10" t="n"/>
      <c r="N1023" s="10" t="n"/>
      <c r="O1023" s="10" t="n"/>
      <c r="P1023" s="10" t="n"/>
      <c r="Q1023" s="10" t="n"/>
      <c r="R1023" s="10" t="n"/>
      <c r="S1023" s="10" t="n"/>
      <c r="T1023" s="10" t="n"/>
      <c r="U1023" s="10" t="n"/>
      <c r="V1023" s="10" t="n"/>
      <c r="W1023" s="10" t="n"/>
      <c r="X1023" s="10" t="n"/>
      <c r="Y1023" s="10" t="n"/>
      <c r="Z1023" s="10" t="n"/>
    </row>
    <row r="1024">
      <c r="A1024" s="27" t="inlineStr">
        <is>
          <t>process.selected</t>
        </is>
      </c>
      <c r="B1024" s="27" t="inlineStr">
        <is>
          <t>Đã chọn</t>
        </is>
      </c>
      <c r="C1024" s="27" t="inlineStr">
        <is>
          <t>Selected</t>
        </is>
      </c>
      <c r="D1024" s="102" t="inlineStr">
        <is>
          <t>បានជ្រើសរើស</t>
        </is>
      </c>
      <c r="E1024" s="102" t="inlineStr">
        <is>
          <t>បានជ្រើសរើស</t>
        </is>
      </c>
      <c r="F1024" s="10" t="n"/>
      <c r="G1024" s="10" t="inlineStr">
        <is>
          <t>បានជ្រើសរើស</t>
        </is>
      </c>
      <c r="H1024" s="10" t="inlineStr">
        <is>
          <t>បានជ្រើសរើស</t>
        </is>
      </c>
      <c r="I1024" s="10" t="n"/>
      <c r="J1024" s="10" t="n"/>
      <c r="K1024" s="10" t="inlineStr">
        <is>
          <t>"process.selected": "បានជ្រើសរើស",</t>
        </is>
      </c>
      <c r="L1024" s="10" t="n"/>
      <c r="M1024" s="10" t="n"/>
      <c r="N1024" s="10" t="n"/>
      <c r="O1024" s="10" t="n"/>
      <c r="P1024" s="10" t="n"/>
      <c r="Q1024" s="10" t="n"/>
      <c r="R1024" s="10" t="n"/>
      <c r="S1024" s="10" t="n"/>
      <c r="T1024" s="10" t="n"/>
      <c r="U1024" s="10" t="n"/>
      <c r="V1024" s="10" t="n"/>
      <c r="W1024" s="10" t="n"/>
      <c r="X1024" s="10" t="n"/>
      <c r="Y1024" s="10" t="n"/>
      <c r="Z1024" s="10" t="n"/>
    </row>
    <row r="1025">
      <c r="A1025" s="27" t="inlineStr">
        <is>
          <t>process.onReceiveOrderSuccess</t>
        </is>
      </c>
      <c r="B1025" s="27" t="inlineStr">
        <is>
          <t>Đồng chí đã nhận phiếu gửi thành công</t>
        </is>
      </c>
      <c r="C1025" s="27" t="inlineStr">
        <is>
          <t>Receive postal slip successfully</t>
        </is>
      </c>
      <c r="D1025" s="21" t="inlineStr">
        <is>
          <t>អ្នកបានទទួលបុងបញ្ញើបានជោគជ័យ</t>
        </is>
      </c>
      <c r="E1025" s="102" t="inlineStr">
        <is>
          <t>អ្នកបានទទួលបុងបញ្ញើបានជោគជ័យ</t>
        </is>
      </c>
      <c r="F1025" s="10" t="n"/>
      <c r="G1025" s="10" t="inlineStr">
        <is>
          <t>អ្នកបានទទួលបុងបញ្ញើបានជោគជ័យ</t>
        </is>
      </c>
      <c r="H1025" s="10" t="inlineStr">
        <is>
          <t>អ្នកបានទទួលបុងបញ្ញើបានជោគជ័យ</t>
        </is>
      </c>
      <c r="I1025" s="10" t="n"/>
      <c r="J1025" s="10" t="n"/>
      <c r="K1025" s="10" t="inlineStr">
        <is>
          <t>"process.onReceiveOrderSuccess": "អ្នកបានទទួលបុងបញ្ញើបានជោគជ័យ",</t>
        </is>
      </c>
      <c r="L1025" s="10" t="n"/>
      <c r="M1025" s="10" t="n"/>
      <c r="N1025" s="10" t="n"/>
      <c r="O1025" s="10" t="n"/>
      <c r="P1025" s="10" t="n"/>
      <c r="Q1025" s="10" t="n"/>
      <c r="R1025" s="10" t="n"/>
      <c r="S1025" s="10" t="n"/>
      <c r="T1025" s="10" t="n"/>
      <c r="U1025" s="10" t="n"/>
      <c r="V1025" s="10" t="n"/>
      <c r="W1025" s="10" t="n"/>
      <c r="X1025" s="10" t="n"/>
      <c r="Y1025" s="10" t="n"/>
      <c r="Z1025" s="10" t="n"/>
    </row>
    <row r="1026">
      <c r="A1026" s="27" t="inlineStr">
        <is>
          <t>process.onMissingSuccess</t>
        </is>
      </c>
      <c r="B1026" s="27" t="inlineStr">
        <is>
          <t>Đồng chí đã báo thiếu phiếu gửi thành công</t>
        </is>
      </c>
      <c r="C1026" s="27" t="inlineStr">
        <is>
          <t>Report missing postal slip successfully</t>
        </is>
      </c>
      <c r="D1026" s="102" t="inlineStr">
        <is>
          <t>អ្នកបានរបាយការណ៍ពីការខ្វះបុងបញ្ញើបានជោគជ័យ</t>
        </is>
      </c>
      <c r="E1026" s="102" t="inlineStr">
        <is>
          <t>អ្នកបានរាយការណ៍ពីការខ្វះបុងបញ្ញើបានជោគជ័យ</t>
        </is>
      </c>
      <c r="F1026" s="10" t="n"/>
      <c r="G1026" s="10" t="inlineStr">
        <is>
          <t>អ្នកបានរាយការណ៍ពីការខ្វះបុងបញ្ញើបានជោគជ័យ</t>
        </is>
      </c>
      <c r="H1026" s="10" t="inlineStr">
        <is>
          <t>អ្នកបានរាយការណ៍ពីការខ្វះបុងបញ្ញើបានជោគជ័យ</t>
        </is>
      </c>
      <c r="I1026" s="10" t="n"/>
      <c r="J1026" s="10" t="n"/>
      <c r="K1026" s="10" t="inlineStr">
        <is>
          <t>"process.onMissingSuccess": "អ្នកបានរាយការណ៍ពីការខ្វះបុងបញ្ញើបានជោគជ័យ",</t>
        </is>
      </c>
      <c r="L1026" s="10" t="n"/>
      <c r="M1026" s="10" t="n"/>
      <c r="N1026" s="10" t="n"/>
      <c r="O1026" s="10" t="n"/>
      <c r="P1026" s="10" t="n"/>
      <c r="Q1026" s="10" t="n"/>
      <c r="R1026" s="10" t="n"/>
      <c r="S1026" s="10" t="n"/>
      <c r="T1026" s="10" t="n"/>
      <c r="U1026" s="10" t="n"/>
      <c r="V1026" s="10" t="n"/>
      <c r="W1026" s="10" t="n"/>
      <c r="X1026" s="10" t="n"/>
      <c r="Y1026" s="10" t="n"/>
      <c r="Z1026" s="10" t="n"/>
    </row>
    <row r="1027">
      <c r="A1027" s="27" t="inlineStr">
        <is>
          <t>process.confirmMissing</t>
        </is>
      </c>
      <c r="B1027" s="27" t="inlineStr">
        <is>
          <t>Đồng chí có chắc chắn muốn báo thiếu các phiếu gửi này?</t>
        </is>
      </c>
      <c r="C1027" s="27" t="inlineStr">
        <is>
          <t>Are you sure to report these postal slips?</t>
        </is>
      </c>
      <c r="D1027" s="102" t="inlineStr">
        <is>
          <t>តើអ្នកពិតជាចង់រាយការណ៍ថាបាត់សន្លឹកដឹកជញ្ជូនទាំងនេះទេ?</t>
        </is>
      </c>
      <c r="E1027" s="102" t="inlineStr">
        <is>
          <t>អ្នកពិតជាចង់រាយការណ៍ពីកង្វះបុងបញ្ញើនេះមែនទេ?</t>
        </is>
      </c>
      <c r="F1027" s="10" t="n"/>
      <c r="G1027" s="10" t="inlineStr">
        <is>
          <t>អ្នកពិតជាចង់រាយការណ៍ពីកង្វះបុងបញ្ញើនេះមែនទេ?</t>
        </is>
      </c>
      <c r="H1027" s="10" t="inlineStr">
        <is>
          <t>អ្នកពិតជាចង់រាយការណ៍ពីកង្វះបុងបញ្ញើនេះមែនទេ?</t>
        </is>
      </c>
      <c r="I1027" s="10" t="n"/>
      <c r="J1027" s="10" t="n"/>
      <c r="K1027" s="10" t="inlineStr">
        <is>
          <t>"process.confirmMissing": "អ្នកពិតជាចង់រាយការណ៍ពីកង្វះបុងបញ្ញើនេះមែនទេ?",</t>
        </is>
      </c>
      <c r="L1027" s="10" t="n"/>
      <c r="M1027" s="10" t="n"/>
      <c r="N1027" s="10" t="n"/>
      <c r="O1027" s="10" t="n"/>
      <c r="P1027" s="10" t="n"/>
      <c r="Q1027" s="10" t="n"/>
      <c r="R1027" s="10" t="n"/>
      <c r="S1027" s="10" t="n"/>
      <c r="T1027" s="10" t="n"/>
      <c r="U1027" s="10" t="n"/>
      <c r="V1027" s="10" t="n"/>
      <c r="W1027" s="10" t="n"/>
      <c r="X1027" s="10" t="n"/>
      <c r="Y1027" s="10" t="n"/>
      <c r="Z1027" s="10" t="n"/>
    </row>
    <row r="1028">
      <c r="A1028" s="27" t="inlineStr">
        <is>
          <t>process.totalOrder</t>
        </is>
      </c>
      <c r="B1028" s="27" t="inlineStr">
        <is>
          <t>Tổng đơn</t>
        </is>
      </c>
      <c r="C1028" s="27" t="inlineStr">
        <is>
          <t>Total order</t>
        </is>
      </c>
      <c r="D1028" s="21" t="inlineStr">
        <is>
          <t>សរុបបុងបញ្ញើ</t>
        </is>
      </c>
      <c r="E1028" s="102" t="inlineStr">
        <is>
          <t>សរុបបុងបញ្ញើ</t>
        </is>
      </c>
      <c r="F1028" s="10" t="n"/>
      <c r="G1028" s="10" t="inlineStr">
        <is>
          <t>សរុបបុងបញ្ញើ</t>
        </is>
      </c>
      <c r="H1028" s="10" t="inlineStr">
        <is>
          <t>សរុបបុងបញ្ញើ</t>
        </is>
      </c>
      <c r="I1028" s="10" t="n"/>
      <c r="J1028" s="10" t="n"/>
      <c r="K1028" s="10" t="inlineStr">
        <is>
          <t>"process.totalOrder": "សរុបបុងបញ្ញើ",</t>
        </is>
      </c>
      <c r="L1028" s="10" t="n"/>
      <c r="M1028" s="10" t="n"/>
      <c r="N1028" s="10" t="n"/>
      <c r="O1028" s="10" t="n"/>
      <c r="P1028" s="10" t="n"/>
      <c r="Q1028" s="10" t="n"/>
      <c r="R1028" s="10" t="n"/>
      <c r="S1028" s="10" t="n"/>
      <c r="T1028" s="10" t="n"/>
      <c r="U1028" s="10" t="n"/>
      <c r="V1028" s="10" t="n"/>
      <c r="W1028" s="10" t="n"/>
      <c r="X1028" s="10" t="n"/>
      <c r="Y1028" s="10" t="n"/>
      <c r="Z1028" s="10" t="n"/>
    </row>
    <row r="1029">
      <c r="A1029" s="27" t="inlineStr">
        <is>
          <t>process.service</t>
        </is>
      </c>
      <c r="B1029" s="27" t="inlineStr">
        <is>
          <t>Dịch vụ</t>
        </is>
      </c>
      <c r="C1029" s="27" t="inlineStr">
        <is>
          <t>Service</t>
        </is>
      </c>
      <c r="D1029" s="102" t="inlineStr">
        <is>
          <t>សេវាកម្ម</t>
        </is>
      </c>
      <c r="E1029" s="102" t="inlineStr">
        <is>
          <t>សេវាកម្ម</t>
        </is>
      </c>
      <c r="F1029" s="10" t="n"/>
      <c r="G1029" s="10" t="inlineStr">
        <is>
          <t>សេវាកម្ម</t>
        </is>
      </c>
      <c r="H1029" s="10" t="inlineStr">
        <is>
          <t>សេវាកម្ម</t>
        </is>
      </c>
      <c r="I1029" s="10" t="n"/>
      <c r="J1029" s="10" t="n"/>
      <c r="K1029" s="10" t="inlineStr">
        <is>
          <t>"process.service": "សេវាកម្ម",</t>
        </is>
      </c>
      <c r="L1029" s="10" t="n"/>
      <c r="M1029" s="10" t="n"/>
      <c r="N1029" s="10" t="n"/>
      <c r="O1029" s="10" t="n"/>
      <c r="P1029" s="10" t="n"/>
      <c r="Q1029" s="10" t="n"/>
      <c r="R1029" s="10" t="n"/>
      <c r="S1029" s="10" t="n"/>
      <c r="T1029" s="10" t="n"/>
      <c r="U1029" s="10" t="n"/>
      <c r="V1029" s="10" t="n"/>
      <c r="W1029" s="10" t="n"/>
      <c r="X1029" s="10" t="n"/>
      <c r="Y1029" s="10" t="n"/>
      <c r="Z1029" s="10" t="n"/>
    </row>
    <row r="1030">
      <c r="A1030" s="27" t="inlineStr">
        <is>
          <t>process.packageCodeOrder</t>
        </is>
      </c>
      <c r="B1030" s="27" t="inlineStr">
        <is>
          <t>Mã tải kiện</t>
        </is>
      </c>
      <c r="C1030" s="27" t="inlineStr">
        <is>
          <t>Package code</t>
        </is>
      </c>
      <c r="D1030" s="21" t="inlineStr">
        <is>
          <t>លេខកូដកញ្ចប់អីវ៉ាន់</t>
        </is>
      </c>
      <c r="E1030" s="102" t="inlineStr">
        <is>
          <t>លេខកូដបុងបញ្ញើ</t>
        </is>
      </c>
      <c r="F1030" s="10" t="n"/>
      <c r="G1030" s="10" t="inlineStr">
        <is>
          <t>លេខកូដបុងបញ្ញើ</t>
        </is>
      </c>
      <c r="H1030" s="10" t="inlineStr">
        <is>
          <t>លេខកូដបុងបញ្ញើ</t>
        </is>
      </c>
      <c r="I1030" s="10" t="n"/>
      <c r="J1030" s="10" t="n"/>
      <c r="K1030" s="10" t="inlineStr">
        <is>
          <t>"process.packageCodeOrder": "លេខកូដបុងបញ្ញើ",</t>
        </is>
      </c>
      <c r="L1030" s="10" t="n"/>
      <c r="M1030" s="10" t="n"/>
      <c r="N1030" s="10" t="n"/>
      <c r="O1030" s="10" t="n"/>
      <c r="P1030" s="10" t="n"/>
      <c r="Q1030" s="10" t="n"/>
      <c r="R1030" s="10" t="n"/>
      <c r="S1030" s="10" t="n"/>
      <c r="T1030" s="10" t="n"/>
      <c r="U1030" s="10" t="n"/>
      <c r="V1030" s="10" t="n"/>
      <c r="W1030" s="10" t="n"/>
      <c r="X1030" s="10" t="n"/>
      <c r="Y1030" s="10" t="n"/>
      <c r="Z1030" s="10" t="n"/>
    </row>
    <row r="1031">
      <c r="A1031" s="27" t="inlineStr">
        <is>
          <t>process.updateByMissing</t>
        </is>
      </c>
      <c r="B1031" s="27" t="inlineStr">
        <is>
          <t>Người báo thiếu</t>
        </is>
      </c>
      <c r="C1031" s="27" t="inlineStr">
        <is>
          <t>Report missing user</t>
        </is>
      </c>
      <c r="D1031" s="21" t="n"/>
      <c r="E1031" s="102" t="inlineStr">
        <is>
          <t>អ្នករាយការណ៍កង្វះបុងបញ្ញើ</t>
        </is>
      </c>
      <c r="F1031" s="10" t="n"/>
      <c r="G1031" s="10" t="inlineStr">
        <is>
          <t>អ្នករាយការណ៍កង្វះបុងបញ្ញើ</t>
        </is>
      </c>
      <c r="H1031" s="10" t="inlineStr">
        <is>
          <t>អ្នករាយការណ៍កង្វះបុងបញ្ញើ</t>
        </is>
      </c>
      <c r="I1031" s="10" t="n"/>
      <c r="J1031" s="10" t="n"/>
      <c r="K1031" s="10" t="inlineStr">
        <is>
          <t>"process.updateByMissing": "អ្នករាយការណ៍កង្វះបុងបញ្ញើ",</t>
        </is>
      </c>
      <c r="L1031" s="10" t="n"/>
      <c r="M1031" s="10" t="n"/>
      <c r="N1031" s="10" t="n"/>
      <c r="O1031" s="10" t="n"/>
      <c r="P1031" s="10" t="n"/>
      <c r="Q1031" s="10" t="n"/>
      <c r="R1031" s="10" t="n"/>
      <c r="S1031" s="10" t="n"/>
      <c r="T1031" s="10" t="n"/>
      <c r="U1031" s="10" t="n"/>
      <c r="V1031" s="10" t="n"/>
      <c r="W1031" s="10" t="n"/>
      <c r="X1031" s="10" t="n"/>
      <c r="Y1031" s="10" t="n"/>
      <c r="Z1031" s="10" t="n"/>
    </row>
    <row r="1032">
      <c r="A1032" s="27" t="inlineStr">
        <is>
          <t>process.updateAtMissing</t>
        </is>
      </c>
      <c r="B1032" s="27" t="inlineStr">
        <is>
          <t>Ngày báo thiếu</t>
        </is>
      </c>
      <c r="C1032" s="27" t="inlineStr">
        <is>
          <t>Report missing date</t>
        </is>
      </c>
      <c r="D1032" s="102" t="n"/>
      <c r="E1032" s="102" t="inlineStr">
        <is>
          <t>ថ្ងៃរាយការណ៍</t>
        </is>
      </c>
      <c r="F1032" s="10" t="n"/>
      <c r="G1032" s="10" t="inlineStr">
        <is>
          <t>ថ្ងៃរាយការណ៍</t>
        </is>
      </c>
      <c r="H1032" s="10" t="inlineStr">
        <is>
          <t>ថ្ងៃរាយការណ៍</t>
        </is>
      </c>
      <c r="I1032" s="10" t="n"/>
      <c r="J1032" s="10" t="n"/>
      <c r="K1032" s="10" t="inlineStr">
        <is>
          <t>"process.updateAtMissing": "ថ្ងៃរាយការណ៍",</t>
        </is>
      </c>
      <c r="L1032" s="10" t="n"/>
      <c r="M1032" s="10" t="n"/>
      <c r="N1032" s="10" t="n"/>
      <c r="O1032" s="10" t="n"/>
      <c r="P1032" s="10" t="n"/>
      <c r="Q1032" s="10" t="n"/>
      <c r="R1032" s="10" t="n"/>
      <c r="S1032" s="10" t="n"/>
      <c r="T1032" s="10" t="n"/>
      <c r="U1032" s="10" t="n"/>
      <c r="V1032" s="10" t="n"/>
      <c r="W1032" s="10" t="n"/>
      <c r="X1032" s="10" t="n"/>
      <c r="Y1032" s="10" t="n"/>
      <c r="Z1032" s="10" t="n"/>
    </row>
    <row r="1033">
      <c r="A1033" s="27" t="inlineStr">
        <is>
          <t>process.parcelType</t>
        </is>
      </c>
      <c r="B1033" s="27" t="inlineStr">
        <is>
          <t>Loại hàng hoá</t>
        </is>
      </c>
      <c r="C1033" s="27" t="inlineStr">
        <is>
          <t>Freight types</t>
        </is>
      </c>
      <c r="D1033" s="21" t="inlineStr">
        <is>
          <t>ប្រភេទកញ្ចប់អីវ៉ាន់</t>
        </is>
      </c>
      <c r="E1033" s="102" t="inlineStr">
        <is>
          <t>ប្រភេទទំនិញ</t>
        </is>
      </c>
      <c r="F1033" s="10" t="n"/>
      <c r="G1033" s="10" t="inlineStr">
        <is>
          <t>ប្រភេទទំនិញ</t>
        </is>
      </c>
      <c r="H1033" s="10" t="inlineStr">
        <is>
          <t>ប្រភេទទំនិញ</t>
        </is>
      </c>
      <c r="I1033" s="10" t="n"/>
      <c r="J1033" s="10" t="n"/>
      <c r="K1033" s="10" t="inlineStr">
        <is>
          <t>"process.parcelType": "ប្រភេទទំនិញ",</t>
        </is>
      </c>
      <c r="L1033" s="10" t="n"/>
      <c r="M1033" s="10" t="n"/>
      <c r="N1033" s="10" t="n"/>
      <c r="O1033" s="10" t="n"/>
      <c r="P1033" s="10" t="n"/>
      <c r="Q1033" s="10" t="n"/>
      <c r="R1033" s="10" t="n"/>
      <c r="S1033" s="10" t="n"/>
      <c r="T1033" s="10" t="n"/>
      <c r="U1033" s="10" t="n"/>
      <c r="V1033" s="10" t="n"/>
      <c r="W1033" s="10" t="n"/>
      <c r="X1033" s="10" t="n"/>
      <c r="Y1033" s="10" t="n"/>
      <c r="Z1033" s="10" t="n"/>
    </row>
    <row r="1034">
      <c r="A1034" s="27" t="inlineStr">
        <is>
          <t>process.updateLocation</t>
        </is>
      </c>
      <c r="B1034" s="27" t="inlineStr">
        <is>
          <t>Cập nhật địa chỉ</t>
        </is>
      </c>
      <c r="C1034" s="27" t="inlineStr">
        <is>
          <t>Address update</t>
        </is>
      </c>
      <c r="D1034" s="102" t="inlineStr">
        <is>
          <t>អាប់ដេតអាស័យដ្ឋាន</t>
        </is>
      </c>
      <c r="E1034" s="102" t="inlineStr">
        <is>
          <t>អាប់ដេតទីតាំង</t>
        </is>
      </c>
      <c r="F1034" s="10" t="n"/>
      <c r="G1034" s="10" t="inlineStr">
        <is>
          <t>អាប់ដេតទីតាំង</t>
        </is>
      </c>
      <c r="H1034" s="10" t="inlineStr">
        <is>
          <t>អាប់ដេតទីតាំង</t>
        </is>
      </c>
      <c r="I1034" s="10" t="n"/>
      <c r="J1034" s="10" t="n"/>
      <c r="K1034" s="10" t="inlineStr">
        <is>
          <t>"process.updateLocation": "អាប់ដេតទីតាំង",</t>
        </is>
      </c>
      <c r="L1034" s="10" t="n"/>
      <c r="M1034" s="10" t="n"/>
      <c r="N1034" s="10" t="n"/>
      <c r="O1034" s="10" t="n"/>
      <c r="P1034" s="10" t="n"/>
      <c r="Q1034" s="10" t="n"/>
      <c r="R1034" s="10" t="n"/>
      <c r="S1034" s="10" t="n"/>
      <c r="T1034" s="10" t="n"/>
      <c r="U1034" s="10" t="n"/>
      <c r="V1034" s="10" t="n"/>
      <c r="W1034" s="10" t="n"/>
      <c r="X1034" s="10" t="n"/>
      <c r="Y1034" s="10" t="n"/>
      <c r="Z1034" s="10" t="n"/>
    </row>
    <row r="1035">
      <c r="A1035" s="27" t="inlineStr">
        <is>
          <t>process.orderDetail</t>
        </is>
      </c>
      <c r="B1035" s="27" t="inlineStr">
        <is>
          <t>Chi tiết đơn</t>
        </is>
      </c>
      <c r="C1035" s="27" t="inlineStr">
        <is>
          <t>Order details</t>
        </is>
      </c>
      <c r="D1035" s="21" t="inlineStr">
        <is>
          <t>លម្អិតពីបុងបញ្ញើ</t>
        </is>
      </c>
      <c r="E1035" s="102" t="inlineStr">
        <is>
          <t>លម្អិ្អតបុងបញ្ញើ</t>
        </is>
      </c>
      <c r="F1035" s="10" t="n"/>
      <c r="G1035" s="10" t="inlineStr">
        <is>
          <t>លម្អិ្អតបុងបញ្ញើ</t>
        </is>
      </c>
      <c r="H1035" s="10" t="inlineStr">
        <is>
          <t>លម្អិ្អតបុងបញ្ញើ</t>
        </is>
      </c>
      <c r="I1035" s="10" t="n"/>
      <c r="J1035" s="10" t="n"/>
      <c r="K1035" s="10" t="inlineStr">
        <is>
          <t>"process.orderDetail": "លម្អិ្អតបុងបញ្ញើ",</t>
        </is>
      </c>
      <c r="L1035" s="10" t="n"/>
      <c r="M1035" s="10" t="n"/>
      <c r="N1035" s="10" t="n"/>
      <c r="O1035" s="10" t="n"/>
      <c r="P1035" s="10" t="n"/>
      <c r="Q1035" s="10" t="n"/>
      <c r="R1035" s="10" t="n"/>
      <c r="S1035" s="10" t="n"/>
      <c r="T1035" s="10" t="n"/>
      <c r="U1035" s="10" t="n"/>
      <c r="V1035" s="10" t="n"/>
      <c r="W1035" s="10" t="n"/>
      <c r="X1035" s="10" t="n"/>
      <c r="Y1035" s="10" t="n"/>
      <c r="Z1035" s="10" t="n"/>
    </row>
    <row r="1036">
      <c r="A1036" s="27" t="inlineStr">
        <is>
          <t>process.weightOrder</t>
        </is>
      </c>
      <c r="B1036" s="27" t="inlineStr">
        <is>
          <t>Trọng lượng</t>
        </is>
      </c>
      <c r="C1036" s="27" t="inlineStr">
        <is>
          <t>Weight</t>
        </is>
      </c>
      <c r="D1036" s="102" t="inlineStr">
        <is>
          <t>ទម្ងន់</t>
        </is>
      </c>
      <c r="E1036" s="102" t="inlineStr">
        <is>
          <t>ទម្ងន់</t>
        </is>
      </c>
      <c r="F1036" s="10" t="n"/>
      <c r="G1036" s="10" t="inlineStr">
        <is>
          <t>ទម្ងន់</t>
        </is>
      </c>
      <c r="H1036" s="10" t="inlineStr">
        <is>
          <t>ទម្ងន់</t>
        </is>
      </c>
      <c r="I1036" s="10" t="n"/>
      <c r="J1036" s="10" t="n"/>
      <c r="K1036" s="10" t="inlineStr">
        <is>
          <t>"process.weightOrder": "ទម្ងន់",</t>
        </is>
      </c>
      <c r="L1036" s="10" t="n"/>
      <c r="M1036" s="10" t="n"/>
      <c r="N1036" s="10" t="n"/>
      <c r="O1036" s="10" t="n"/>
      <c r="P1036" s="10" t="n"/>
      <c r="Q1036" s="10" t="n"/>
      <c r="R1036" s="10" t="n"/>
      <c r="S1036" s="10" t="n"/>
      <c r="T1036" s="10" t="n"/>
      <c r="U1036" s="10" t="n"/>
      <c r="V1036" s="10" t="n"/>
      <c r="W1036" s="10" t="n"/>
      <c r="X1036" s="10" t="n"/>
      <c r="Y1036" s="10" t="n"/>
      <c r="Z1036" s="10" t="n"/>
    </row>
    <row r="1037">
      <c r="A1037" s="27" t="inlineStr">
        <is>
          <t>process.priceOrder</t>
        </is>
      </c>
      <c r="B1037" s="27" t="inlineStr">
        <is>
          <t>Tổng cước</t>
        </is>
      </c>
      <c r="C1037" s="27" t="inlineStr">
        <is>
          <t>Total fee</t>
        </is>
      </c>
      <c r="D1037" s="21" t="inlineStr">
        <is>
          <t>សរុបថ្លៃសេវា</t>
        </is>
      </c>
      <c r="E1037" s="102" t="inlineStr">
        <is>
          <t>សរុបថ្លៃសេវា</t>
        </is>
      </c>
      <c r="F1037" s="10" t="n"/>
      <c r="G1037" s="10" t="inlineStr">
        <is>
          <t>ថ្លៃដឹកជញ្ជូនសរុប</t>
        </is>
      </c>
      <c r="H1037" s="10" t="inlineStr">
        <is>
          <t>ថ្លៃដឹកជញ្ជូនសរុប</t>
        </is>
      </c>
      <c r="I1037" s="10" t="n"/>
      <c r="J1037" s="10" t="n"/>
      <c r="K1037" s="10" t="inlineStr">
        <is>
          <t>"process.priceOrder": "ថ្លៃដឹកជញ្ជូនសរុប",</t>
        </is>
      </c>
      <c r="L1037" s="10" t="n"/>
      <c r="M1037" s="10" t="n"/>
      <c r="N1037" s="10" t="n"/>
      <c r="O1037" s="10" t="n"/>
      <c r="P1037" s="10" t="n"/>
      <c r="Q1037" s="10" t="n"/>
      <c r="R1037" s="10" t="n"/>
      <c r="S1037" s="10" t="n"/>
      <c r="T1037" s="10" t="n"/>
      <c r="U1037" s="10" t="n"/>
      <c r="V1037" s="10" t="n"/>
      <c r="W1037" s="10" t="n"/>
      <c r="X1037" s="10" t="n"/>
      <c r="Y1037" s="10" t="n"/>
      <c r="Z1037" s="10" t="n"/>
    </row>
    <row r="1038">
      <c r="A1038" s="27" t="inlineStr">
        <is>
          <t>process.receiveUser</t>
        </is>
      </c>
      <c r="B1038" s="27" t="inlineStr">
        <is>
          <t>Người nhận</t>
        </is>
      </c>
      <c r="C1038" s="27" t="inlineStr">
        <is>
          <t>Recipient</t>
        </is>
      </c>
      <c r="D1038" s="102" t="inlineStr">
        <is>
          <t>អ្នកទទួល</t>
        </is>
      </c>
      <c r="E1038" s="102" t="inlineStr">
        <is>
          <t>អ្នកទទួួល</t>
        </is>
      </c>
      <c r="F1038" s="10" t="n"/>
      <c r="G1038" s="10" t="inlineStr">
        <is>
          <t>អ្នកទទួល</t>
        </is>
      </c>
      <c r="H1038" s="10" t="inlineStr">
        <is>
          <t>អ្នកទទួល</t>
        </is>
      </c>
      <c r="I1038" s="10" t="n"/>
      <c r="J1038" s="10" t="n"/>
      <c r="K1038" s="10" t="inlineStr">
        <is>
          <t>"process.receiveUser": "អ្នកទទួល",</t>
        </is>
      </c>
      <c r="L1038" s="10" t="n"/>
      <c r="M1038" s="10" t="n"/>
      <c r="N1038" s="10" t="n"/>
      <c r="O1038" s="10" t="n"/>
      <c r="P1038" s="10" t="n"/>
      <c r="Q1038" s="10" t="n"/>
      <c r="R1038" s="10" t="n"/>
      <c r="S1038" s="10" t="n"/>
      <c r="T1038" s="10" t="n"/>
      <c r="U1038" s="10" t="n"/>
      <c r="V1038" s="10" t="n"/>
      <c r="W1038" s="10" t="n"/>
      <c r="X1038" s="10" t="n"/>
      <c r="Y1038" s="10" t="n"/>
      <c r="Z1038" s="10" t="n"/>
    </row>
    <row r="1039">
      <c r="A1039" s="27" t="inlineStr">
        <is>
          <t>process.provinceDelivery</t>
        </is>
      </c>
      <c r="B1039" s="27" t="inlineStr">
        <is>
          <t>{{province}} phát</t>
        </is>
      </c>
      <c r="C1039" s="27" t="inlineStr">
        <is>
          <t>Delivery province</t>
        </is>
      </c>
      <c r="D1039" s="102" t="inlineStr">
        <is>
          <t>ការប្រគល់ {{province}}</t>
        </is>
      </c>
      <c r="E1039" s="27" t="inlineStr">
        <is>
          <t>{{province}} ចែកចាយ</t>
        </is>
      </c>
      <c r="F1039" s="10" t="n"/>
      <c r="G1039" s="10" t="inlineStr">
        <is>
          <t>{{province}} ចែកចាយ</t>
        </is>
      </c>
      <c r="H1039" s="10" t="inlineStr">
        <is>
          <t>{{province}} ចែកចាយ</t>
        </is>
      </c>
      <c r="I1039" s="10" t="n"/>
      <c r="J1039" s="10" t="n"/>
      <c r="K1039" s="10" t="inlineStr">
        <is>
          <t>"process.provinceDelivery": "{{province}} ចែកចាយ",</t>
        </is>
      </c>
      <c r="L1039" s="10" t="n"/>
      <c r="M1039" s="10" t="n"/>
      <c r="N1039" s="10" t="n"/>
      <c r="O1039" s="10" t="n"/>
      <c r="P1039" s="10" t="n"/>
      <c r="Q1039" s="10" t="n"/>
      <c r="R1039" s="10" t="n"/>
      <c r="S1039" s="10" t="n"/>
      <c r="T1039" s="10" t="n"/>
      <c r="U1039" s="10" t="n"/>
      <c r="V1039" s="10" t="n"/>
      <c r="W1039" s="10" t="n"/>
      <c r="X1039" s="10" t="n"/>
      <c r="Y1039" s="10" t="n"/>
      <c r="Z1039" s="10" t="n"/>
    </row>
    <row r="1040">
      <c r="A1040" s="27" t="inlineStr">
        <is>
          <t>process.districtDelivery</t>
        </is>
      </c>
      <c r="B1040" s="27" t="inlineStr">
        <is>
          <t>{{district}} phát</t>
        </is>
      </c>
      <c r="C1040" s="27" t="inlineStr">
        <is>
          <t>Delivery district</t>
        </is>
      </c>
      <c r="D1040" s="21" t="inlineStr">
        <is>
          <t>ការប្រគល់ {{district}}</t>
        </is>
      </c>
      <c r="E1040" s="27" t="inlineStr">
        <is>
          <t>{{district}} ចែកចាយ</t>
        </is>
      </c>
      <c r="F1040" s="10" t="n"/>
      <c r="G1040" s="10" t="inlineStr">
        <is>
          <t>{{district}} ចែកចាយ</t>
        </is>
      </c>
      <c r="H1040" s="10" t="inlineStr">
        <is>
          <t>{{district}} ចែកចាយ</t>
        </is>
      </c>
      <c r="I1040" s="10" t="n"/>
      <c r="J1040" s="10" t="n"/>
      <c r="K1040" s="10" t="inlineStr">
        <is>
          <t>"process.districtDelivery": "{{district}} ចែកចាយ",</t>
        </is>
      </c>
      <c r="L1040" s="10" t="n"/>
      <c r="M1040" s="10" t="n"/>
      <c r="N1040" s="10" t="n"/>
      <c r="O1040" s="10" t="n"/>
      <c r="P1040" s="10" t="n"/>
      <c r="Q1040" s="10" t="n"/>
      <c r="R1040" s="10" t="n"/>
      <c r="S1040" s="10" t="n"/>
      <c r="T1040" s="10" t="n"/>
      <c r="U1040" s="10" t="n"/>
      <c r="V1040" s="10" t="n"/>
      <c r="W1040" s="10" t="n"/>
      <c r="X1040" s="10" t="n"/>
      <c r="Y1040" s="10" t="n"/>
      <c r="Z1040" s="10" t="n"/>
    </row>
    <row r="1041">
      <c r="A1041" s="27" t="inlineStr">
        <is>
          <t>process.wardDelivery</t>
        </is>
      </c>
      <c r="B1041" s="27" t="inlineStr">
        <is>
          <t>{{ward}} phát</t>
        </is>
      </c>
      <c r="C1041" s="27" t="inlineStr">
        <is>
          <t>Delivery ward</t>
        </is>
      </c>
      <c r="D1041" s="102" t="inlineStr">
        <is>
          <t>{{ward}} ការប្រគល់</t>
        </is>
      </c>
      <c r="E1041" s="27" t="inlineStr">
        <is>
          <t>{{ward}} ចែកចាយ</t>
        </is>
      </c>
      <c r="F1041" s="10" t="n"/>
      <c r="G1041" s="10" t="inlineStr">
        <is>
          <t>{{ward}} ចែកចាយ</t>
        </is>
      </c>
      <c r="H1041" s="10" t="inlineStr">
        <is>
          <t>{{ward}} ចែកចាយ</t>
        </is>
      </c>
      <c r="I1041" s="10" t="n"/>
      <c r="J1041" s="10" t="n"/>
      <c r="K1041" s="10" t="inlineStr">
        <is>
          <t>"process.wardDelivery": "{{ward}} ចែកចាយ",</t>
        </is>
      </c>
      <c r="L1041" s="10" t="n"/>
      <c r="M1041" s="10" t="n"/>
      <c r="N1041" s="10" t="n"/>
      <c r="O1041" s="10" t="n"/>
      <c r="P1041" s="10" t="n"/>
      <c r="Q1041" s="10" t="n"/>
      <c r="R1041" s="10" t="n"/>
      <c r="S1041" s="10" t="n"/>
      <c r="T1041" s="10" t="n"/>
      <c r="U1041" s="10" t="n"/>
      <c r="V1041" s="10" t="n"/>
      <c r="W1041" s="10" t="n"/>
      <c r="X1041" s="10" t="n"/>
      <c r="Y1041" s="10" t="n"/>
      <c r="Z1041" s="10" t="n"/>
    </row>
    <row r="1042">
      <c r="A1042" s="27" t="inlineStr">
        <is>
          <t>process.parcelSackCode</t>
        </is>
      </c>
      <c r="B1042" s="27" t="inlineStr">
        <is>
          <t>Mã tải kiện</t>
        </is>
      </c>
      <c r="C1042" s="27" t="inlineStr">
        <is>
          <t>Package code</t>
        </is>
      </c>
      <c r="D1042" s="102" t="inlineStr">
        <is>
          <t>លេខកូដកញ្ចប់អីវ៉ាន់</t>
        </is>
      </c>
      <c r="E1042" s="102" t="inlineStr">
        <is>
          <t>លេខកូដកញ្ចប់ទំនិញ</t>
        </is>
      </c>
      <c r="F1042" s="10" t="n"/>
      <c r="G1042" s="10" t="inlineStr">
        <is>
          <t>លេខកូដកញ្ចប់ទំនិញ</t>
        </is>
      </c>
      <c r="H1042" s="10" t="inlineStr">
        <is>
          <t>លេខកូដកញ្ចប់ទំនិញ</t>
        </is>
      </c>
      <c r="I1042" s="10" t="n"/>
      <c r="J1042" s="10" t="n"/>
      <c r="K1042" s="10" t="inlineStr">
        <is>
          <t>"process.parcelSackCode": "លេខកូដកញ្ចប់ទំនិញ",</t>
        </is>
      </c>
      <c r="L1042" s="10" t="n"/>
      <c r="M1042" s="10" t="n"/>
      <c r="N1042" s="10" t="n"/>
      <c r="O1042" s="10" t="n"/>
      <c r="P1042" s="10" t="n"/>
      <c r="Q1042" s="10" t="n"/>
      <c r="R1042" s="10" t="n"/>
      <c r="S1042" s="10" t="n"/>
      <c r="T1042" s="10" t="n"/>
      <c r="U1042" s="10" t="n"/>
      <c r="V1042" s="10" t="n"/>
      <c r="W1042" s="10" t="n"/>
      <c r="X1042" s="10" t="n"/>
      <c r="Y1042" s="10" t="n"/>
      <c r="Z1042" s="10" t="n"/>
    </row>
    <row r="1043">
      <c r="A1043" s="27" t="inlineStr">
        <is>
          <t>process.detailAddress</t>
        </is>
      </c>
      <c r="B1043" s="27" t="inlineStr">
        <is>
          <t>Địa chỉ chi tiết</t>
        </is>
      </c>
      <c r="C1043" s="27" t="inlineStr">
        <is>
          <t>Address details</t>
        </is>
      </c>
      <c r="D1043" s="102" t="inlineStr">
        <is>
          <t>អាស័យដ្ឋានលម្អិត</t>
        </is>
      </c>
      <c r="E1043" s="102" t="inlineStr">
        <is>
          <t>អាស័យដ្ឋានលម្អិត</t>
        </is>
      </c>
      <c r="F1043" s="10" t="n"/>
      <c r="G1043" s="10" t="inlineStr">
        <is>
          <t>អាសយដ្ឋានលម្អិត</t>
        </is>
      </c>
      <c r="H1043" s="10" t="inlineStr">
        <is>
          <t>អាសយដ្ឋានលម្អិត</t>
        </is>
      </c>
      <c r="I1043" s="10" t="n"/>
      <c r="J1043" s="10" t="n"/>
      <c r="K1043" s="10" t="inlineStr">
        <is>
          <t>"process.detailAddress": "អាសយដ្ឋានលម្អិត",</t>
        </is>
      </c>
      <c r="L1043" s="10" t="n"/>
      <c r="M1043" s="10" t="n"/>
      <c r="N1043" s="10" t="n"/>
      <c r="O1043" s="10" t="n"/>
      <c r="P1043" s="10" t="n"/>
      <c r="Q1043" s="10" t="n"/>
      <c r="R1043" s="10" t="n"/>
      <c r="S1043" s="10" t="n"/>
      <c r="T1043" s="10" t="n"/>
      <c r="U1043" s="10" t="n"/>
      <c r="V1043" s="10" t="n"/>
      <c r="W1043" s="10" t="n"/>
      <c r="X1043" s="10" t="n"/>
      <c r="Y1043" s="10" t="n"/>
      <c r="Z1043" s="10" t="n"/>
    </row>
    <row r="1044">
      <c r="A1044" s="27" t="inlineStr">
        <is>
          <t>process.enterAddress</t>
        </is>
      </c>
      <c r="B1044" s="27" t="inlineStr">
        <is>
          <t>Nhập địa chỉ</t>
        </is>
      </c>
      <c r="C1044" s="27" t="inlineStr">
        <is>
          <t>Enter address</t>
        </is>
      </c>
      <c r="D1044" s="21" t="inlineStr">
        <is>
          <t>បញ្ចូលអាស័យដ្ឋាន</t>
        </is>
      </c>
      <c r="E1044" s="102" t="inlineStr">
        <is>
          <t>បញ្ចូលអាស័យដ្ឋាន</t>
        </is>
      </c>
      <c r="F1044" s="10" t="n"/>
      <c r="G1044" s="10" t="inlineStr">
        <is>
          <t>បញ្ចូលអាសយដ្ឋាន</t>
        </is>
      </c>
      <c r="H1044" s="10" t="inlineStr">
        <is>
          <t>បញ្ចូលអាសយដ្ឋាន</t>
        </is>
      </c>
      <c r="I1044" s="10" t="n"/>
      <c r="J1044" s="10" t="n"/>
      <c r="K1044" s="10" t="inlineStr">
        <is>
          <t>"process.enterAddress": "បញ្ចូលអាសយដ្ឋាន",</t>
        </is>
      </c>
      <c r="L1044" s="10" t="n"/>
      <c r="M1044" s="10" t="n"/>
      <c r="N1044" s="10" t="n"/>
      <c r="O1044" s="10" t="n"/>
      <c r="P1044" s="10" t="n"/>
      <c r="Q1044" s="10" t="n"/>
      <c r="R1044" s="10" t="n"/>
      <c r="S1044" s="10" t="n"/>
      <c r="T1044" s="10" t="n"/>
      <c r="U1044" s="10" t="n"/>
      <c r="V1044" s="10" t="n"/>
      <c r="W1044" s="10" t="n"/>
      <c r="X1044" s="10" t="n"/>
      <c r="Y1044" s="10" t="n"/>
      <c r="Z1044" s="10" t="n"/>
    </row>
    <row r="1045">
      <c r="A1045" s="27" t="inlineStr">
        <is>
          <t>process.updateFail</t>
        </is>
      </c>
      <c r="B1045" s="27" t="inlineStr">
        <is>
          <t>Cập nhật địa chỉ thất bại</t>
        </is>
      </c>
      <c r="C1045" s="27" t="inlineStr">
        <is>
          <t>Fail to update address</t>
        </is>
      </c>
      <c r="D1045" s="21" t="inlineStr">
        <is>
          <t>អាប់ដេតបានបរាជ័យ</t>
        </is>
      </c>
      <c r="E1045" s="102" t="inlineStr">
        <is>
          <t>អាប់ដេតអាស័យដ្ឋានមិនបានជោគជ័យ</t>
        </is>
      </c>
      <c r="F1045" s="10" t="n"/>
      <c r="G1045" s="10" t="inlineStr">
        <is>
          <t>អាប់ដេតអាសយដ្ឋានមិនបានជោគជ័យ</t>
        </is>
      </c>
      <c r="H1045" s="10" t="inlineStr">
        <is>
          <t>អាប់ដេតអាសយដ្ឋានមិនបានជោគជ័យ</t>
        </is>
      </c>
      <c r="I1045" s="10" t="n"/>
      <c r="J1045" s="10" t="n"/>
      <c r="K1045" s="10" t="inlineStr">
        <is>
          <t>"process.updateFail": "អាប់ដេតអាសយដ្ឋានមិនបានជោគជ័យ",</t>
        </is>
      </c>
      <c r="L1045" s="10" t="n"/>
      <c r="M1045" s="10" t="n"/>
      <c r="N1045" s="10" t="n"/>
      <c r="O1045" s="10" t="n"/>
      <c r="P1045" s="10" t="n"/>
      <c r="Q1045" s="10" t="n"/>
      <c r="R1045" s="10" t="n"/>
      <c r="S1045" s="10" t="n"/>
      <c r="T1045" s="10" t="n"/>
      <c r="U1045" s="10" t="n"/>
      <c r="V1045" s="10" t="n"/>
      <c r="W1045" s="10" t="n"/>
      <c r="X1045" s="10" t="n"/>
      <c r="Y1045" s="10" t="n"/>
      <c r="Z1045" s="10" t="n"/>
    </row>
    <row r="1046">
      <c r="A1046" s="27" t="inlineStr">
        <is>
          <t>process.totalOrderReceived</t>
        </is>
      </c>
      <c r="B1046" s="27" t="inlineStr">
        <is>
          <t>Tổng đơn đã nhận</t>
        </is>
      </c>
      <c r="C1046" s="27" t="inlineStr">
        <is>
          <t>Total received orders</t>
        </is>
      </c>
      <c r="D1046" s="21" t="inlineStr">
        <is>
          <t>សរុុបបុងដែលបានទទួល</t>
        </is>
      </c>
      <c r="E1046" s="102" t="inlineStr">
        <is>
          <t>សរុបបុុងបញ្ញើបានទទួល</t>
        </is>
      </c>
      <c r="F1046" s="10" t="n"/>
      <c r="G1046" s="10" t="inlineStr">
        <is>
          <t>សរុបបុុងបញ្ញើបានទទួល</t>
        </is>
      </c>
      <c r="H1046" s="10" t="inlineStr">
        <is>
          <t>សរុបបុុងបញ្ញើបានទទួល</t>
        </is>
      </c>
      <c r="I1046" s="10" t="n"/>
      <c r="J1046" s="10" t="n"/>
      <c r="K1046" s="10" t="inlineStr">
        <is>
          <t>"process.totalOrderReceived": "សរុបបុុងបញ្ញើបានទទួល",</t>
        </is>
      </c>
      <c r="L1046" s="10" t="n"/>
      <c r="M1046" s="10" t="n"/>
      <c r="N1046" s="10" t="n"/>
      <c r="O1046" s="10" t="n"/>
      <c r="P1046" s="10" t="n"/>
      <c r="Q1046" s="10" t="n"/>
      <c r="R1046" s="10" t="n"/>
      <c r="S1046" s="10" t="n"/>
      <c r="T1046" s="10" t="n"/>
      <c r="U1046" s="10" t="n"/>
      <c r="V1046" s="10" t="n"/>
      <c r="W1046" s="10" t="n"/>
      <c r="X1046" s="10" t="n"/>
      <c r="Y1046" s="10" t="n"/>
      <c r="Z1046" s="10" t="n"/>
    </row>
    <row r="1047">
      <c r="A1047" s="27" t="inlineStr">
        <is>
          <t>process.receivedSuccess</t>
        </is>
      </c>
      <c r="B1047" s="27" t="inlineStr">
        <is>
          <t>Đồng chí đã nhận phiếu gửi thành công</t>
        </is>
      </c>
      <c r="C1047" s="27" t="inlineStr">
        <is>
          <t>Receive postal slip successfully</t>
        </is>
      </c>
      <c r="D1047" s="21" t="inlineStr">
        <is>
          <t>អ្នកបានទទួលបុងបញ្ញើបានជោគជ័យ</t>
        </is>
      </c>
      <c r="E1047" s="90" t="inlineStr">
        <is>
          <t>អ្នកបានទទួលប័ណ្ណបញ្ញើដោយជោគជ័យ</t>
        </is>
      </c>
      <c r="F1047" s="10" t="n"/>
      <c r="G1047" s="10" t="inlineStr">
        <is>
          <t>អ្នកបានទទួលបុងបញ្ញើដោយជោគជ័យ</t>
        </is>
      </c>
      <c r="H1047" s="10" t="inlineStr">
        <is>
          <t>អ្នកបានទទួលបុងបញ្ញើដោយជោគជ័យ</t>
        </is>
      </c>
      <c r="I1047" s="10" t="n"/>
      <c r="J1047" s="10" t="n"/>
      <c r="K1047" s="10" t="inlineStr">
        <is>
          <t>"process.receivedSuccess": "អ្នកបានទទួលបុងបញ្ញើដោយជោគជ័យ",</t>
        </is>
      </c>
      <c r="L1047" s="10" t="n"/>
      <c r="M1047" s="10" t="n"/>
      <c r="N1047" s="10" t="n"/>
      <c r="O1047" s="10" t="n"/>
      <c r="P1047" s="10" t="n"/>
      <c r="Q1047" s="10" t="n"/>
      <c r="R1047" s="10" t="n"/>
      <c r="S1047" s="10" t="n"/>
      <c r="T1047" s="10" t="n"/>
      <c r="U1047" s="10" t="n"/>
      <c r="V1047" s="10" t="n"/>
      <c r="W1047" s="10" t="n"/>
      <c r="X1047" s="10" t="n"/>
      <c r="Y1047" s="10" t="n"/>
      <c r="Z1047" s="10" t="n"/>
    </row>
    <row r="1048">
      <c r="A1048" s="27" t="inlineStr">
        <is>
          <t>process.receivedDifferentLocation</t>
        </is>
      </c>
      <c r="B1048" s="27" t="inlineStr">
        <is>
          <t>Phiếu gửi {{orderCode}} sai địa danh phát, sang tab "Chuyển tiếp" để xử lý</t>
        </is>
      </c>
      <c r="C1048" s="27" t="inlineStr">
        <is>
          <t>The postal slip {{orderCode}} has the wrong delivery address. Go to the "Forwarding" tab to process it</t>
        </is>
      </c>
      <c r="D1048" s="102" t="n"/>
      <c r="E1048" s="102" t="inlineStr">
        <is>
          <t>ប័ណ្ណបញ្ញើ {{orderCode}} មានទីតាំងចែកចាយខុស, ចូលទៅផ្ទាំង "បញ្ជូនបន្ត" ដើម្បីដោះស្រាយ</t>
        </is>
      </c>
      <c r="F1048" s="10" t="n"/>
      <c r="G1048" s="10" t="inlineStr">
        <is>
          <t>បុងបញ្ញើ {{orderCode}} មានទីតាំងចែកចាយខុស, ចូលទៅផ្ទាំង "បញ្ជូនបន្ត" ដើម្បីដោះស្រាយ</t>
        </is>
      </c>
      <c r="H1048" s="10" t="inlineStr">
        <is>
          <t>បុងបញ្ញើ {{orderCode}} មានទីតាំងចែកចាយខុស, ចូលទៅផ្ទាំង "បញ្ជូនបន្ត" ដើម្បីដោះស្រាយ</t>
        </is>
      </c>
      <c r="I1048" s="10" t="n"/>
      <c r="J1048" s="10" t="n"/>
      <c r="K1048" s="10" t="inlineStr">
        <is>
          <t>"process.receivedDifferentLocation": "បុងបញ្ញើ {{orderCode}} មានទីតាំងចែកចាយខុស, ចូលទៅផ្ទាំង "បញ្ជូនបន្ត" ដើម្បីដោះស្រាយ",</t>
        </is>
      </c>
      <c r="L1048" s="10" t="n"/>
      <c r="M1048" s="10" t="n"/>
      <c r="N1048" s="10" t="n"/>
      <c r="O1048" s="10" t="n"/>
      <c r="P1048" s="10" t="n"/>
      <c r="Q1048" s="10" t="n"/>
      <c r="R1048" s="10" t="n"/>
      <c r="S1048" s="10" t="n"/>
      <c r="T1048" s="10" t="n"/>
      <c r="U1048" s="10" t="n"/>
      <c r="V1048" s="10" t="n"/>
      <c r="W1048" s="10" t="n"/>
      <c r="X1048" s="10" t="n"/>
      <c r="Y1048" s="10" t="n"/>
      <c r="Z1048" s="10" t="n"/>
    </row>
    <row r="1049">
      <c r="A1049" s="36" t="inlineStr">
        <is>
          <t>process.receivedDifferentMultiple</t>
        </is>
      </c>
      <c r="B1049" s="36" t="inlineStr">
        <is>
          <t>Đồng chí đã nhận {{sameLength}} phiếu gửi thành công. {{diffLength}} phiếu gửi sai địa danh phát, đồng chí sang tab "Chuyển tiếp" để xử lý</t>
        </is>
      </c>
      <c r="C1049" s="36" t="inlineStr">
        <is>
          <t>You have successfully received {{sameLength}} postal slips. {{diffLength}} postal slips have the wrong delivery address. Please go to the 'Forwarding' tab to process them</t>
        </is>
      </c>
      <c r="D1049" s="38" t="n"/>
      <c r="E1049" s="90" t="inlineStr">
        <is>
          <t>អ្នកបានទទួល {{sameLength}} ប័ណ្ណផ្ញើដោយជោគជ័យ។ {{diffLength}} ប័ណ្ណផ្ញើមានទីតាំងចែកខុស, សូមចូលទៅផ្ទាំង "បញ្ជូនបន្ត" ដើម្បីដោះស្រាយ។</t>
        </is>
      </c>
      <c r="F1049" s="39" t="n"/>
      <c r="G1049" s="39" t="inlineStr">
        <is>
          <t>អ្នកបានទទួល {{sameLength}} បុងបញ្ញើដោយជោគជ័យ។ {{diffLength}} បុងបញ្ញើមានទីតាំងចែកខុស, សូមចូលទៅផ្ទាំង "បញ្ជូនបន្ត" ដើម្បីដោះស្រាយ។</t>
        </is>
      </c>
      <c r="H1049" s="39" t="inlineStr">
        <is>
          <t>អ្នកបានទទួល {{sameLength}} បុងបញ្ញើដោយជោគជ័យ។ {{diffLength}} បុងបញ្ញើមានទីតាំងចែកខុស, សូមចូលទៅផ្ទាំង "បញ្ជូនបន្ត" ដើម្បីដោះស្រាយ។</t>
        </is>
      </c>
      <c r="I1049" s="39" t="n"/>
      <c r="J1049" s="39" t="n"/>
      <c r="K1049" s="39" t="inlineStr">
        <is>
          <t>"process.receivedDifferentMultiple": "អ្នកបានទទួល {{sameLength}} បុងបញ្ញើដោយជោគជ័យ។ {{diffLength}} បុងបញ្ញើមានទីតាំងចែកខុស, សូមចូលទៅផ្ទាំង "បញ្ជូនបន្ត" ដើម្បីដោះស្រាយ។",</t>
        </is>
      </c>
      <c r="L1049" s="39" t="n"/>
      <c r="M1049" s="39" t="n"/>
      <c r="N1049" s="39" t="n"/>
      <c r="O1049" s="39" t="n"/>
      <c r="P1049" s="39" t="n"/>
      <c r="Q1049" s="39" t="n"/>
      <c r="R1049" s="39" t="n"/>
      <c r="S1049" s="39" t="n"/>
      <c r="T1049" s="39" t="n"/>
      <c r="U1049" s="39" t="n"/>
      <c r="V1049" s="39" t="n"/>
      <c r="W1049" s="39" t="n"/>
      <c r="X1049" s="39" t="n"/>
      <c r="Y1049" s="39" t="n"/>
      <c r="Z1049" s="39" t="n"/>
    </row>
    <row r="1050">
      <c r="A1050" s="78" t="inlineStr">
        <is>
          <t>codEmployee.employeeDebt</t>
        </is>
      </c>
      <c r="B1050" s="79" t="inlineStr">
        <is>
          <t>Bưu tá chưa tạo bảng kê</t>
        </is>
      </c>
      <c r="C1050" s="79" t="inlineStr">
        <is>
          <t>Unrecorded Postman Collections</t>
        </is>
      </c>
      <c r="D1050" s="88" t="inlineStr">
        <is>
          <t>អ្នកដឹកជញ្ជូនមិនទាន់បង្កើតតារាង</t>
        </is>
      </c>
      <c r="E1050" s="81" t="inlineStr">
        <is>
          <t>អ្នកដឹកជញ្ជូនមិនទាន់បានបង្កើតតារាង</t>
        </is>
      </c>
      <c r="F1050" s="82" t="n"/>
      <c r="G1050" s="82" t="inlineStr">
        <is>
          <t>អ្នកដឹកជញ្ជូនមិនទាន់បានបង្កើតតារាង</t>
        </is>
      </c>
      <c r="H1050" s="82" t="inlineStr">
        <is>
          <t>អ្នកដឹកជញ្ជូនមិនទាន់បានបង្កើតតារាង</t>
        </is>
      </c>
      <c r="I1050" s="82" t="n"/>
      <c r="J1050" s="82" t="n"/>
      <c r="K1050" s="82" t="inlineStr">
        <is>
          <t>"codEmployee.employeeDebt": "អ្នកដឹកជញ្ជូនមិនទាន់បានបង្កើតតារាង",</t>
        </is>
      </c>
      <c r="L1050" s="82" t="n"/>
      <c r="M1050" s="82" t="n"/>
      <c r="N1050" s="82" t="n"/>
      <c r="O1050" s="82" t="n"/>
      <c r="P1050" s="82" t="n"/>
      <c r="Q1050" s="82" t="n"/>
      <c r="R1050" s="82" t="n"/>
      <c r="S1050" s="82" t="n"/>
      <c r="T1050" s="82" t="n"/>
      <c r="U1050" s="82" t="n"/>
      <c r="V1050" s="82" t="n"/>
      <c r="W1050" s="82" t="n"/>
      <c r="X1050" s="82" t="n"/>
      <c r="Y1050" s="82" t="n"/>
      <c r="Z1050" s="83" t="n"/>
    </row>
    <row r="1051">
      <c r="A1051" s="63" t="inlineStr">
        <is>
          <t>codEmployee.employeeCod</t>
        </is>
      </c>
      <c r="B1051" s="63" t="inlineStr">
        <is>
          <t>Xác nhận bảng kê thu COD</t>
        </is>
      </c>
      <c r="C1051" s="63" t="inlineStr">
        <is>
          <t>COD Collection Statements</t>
        </is>
      </c>
      <c r="D1051" s="65" t="inlineStr">
        <is>
          <t>បញ្ជាក់តារាងប្រមូល COD</t>
        </is>
      </c>
      <c r="E1051" s="86" t="inlineStr">
        <is>
          <t>បញ្ជាក់តារាងប្រមូល COD</t>
        </is>
      </c>
      <c r="F1051" s="66" t="n"/>
      <c r="G1051" s="66" t="inlineStr">
        <is>
          <t>បញ្ជាក់តារាងប្រមូល COD</t>
        </is>
      </c>
      <c r="H1051" s="66" t="inlineStr">
        <is>
          <t>បញ្ជាក់តារាងប្រមូល COD</t>
        </is>
      </c>
      <c r="I1051" s="66" t="n"/>
      <c r="J1051" s="66" t="n"/>
      <c r="K1051" s="66" t="inlineStr">
        <is>
          <t>"codEmployee.employeeCod": "បញ្ជាក់តារាងប្រមូល COD",</t>
        </is>
      </c>
      <c r="L1051" s="66" t="n"/>
      <c r="M1051" s="66" t="n"/>
      <c r="N1051" s="66" t="n"/>
      <c r="O1051" s="66" t="n"/>
      <c r="P1051" s="66" t="n"/>
      <c r="Q1051" s="66" t="n"/>
      <c r="R1051" s="66" t="n"/>
      <c r="S1051" s="66" t="n"/>
      <c r="T1051" s="66" t="n"/>
      <c r="U1051" s="66" t="n"/>
      <c r="V1051" s="66" t="n"/>
      <c r="W1051" s="66" t="n"/>
      <c r="X1051" s="66" t="n"/>
      <c r="Y1051" s="66" t="n"/>
      <c r="Z1051" s="66" t="n"/>
    </row>
    <row r="1052">
      <c r="A1052" s="27" t="inlineStr">
        <is>
          <t>codEmployee.createCod</t>
        </is>
      </c>
      <c r="B1052" s="27" t="inlineStr">
        <is>
          <t>Tạo phiếu chi</t>
        </is>
      </c>
      <c r="C1052" s="27" t="inlineStr">
        <is>
          <t>Create Payment Voucher</t>
        </is>
      </c>
      <c r="D1052" s="102" t="inlineStr">
        <is>
          <t>បង្កើ្កតតារាង</t>
        </is>
      </c>
      <c r="E1052" s="102" t="inlineStr">
        <is>
          <t>បង្កើតតារាងចំណាយ</t>
        </is>
      </c>
      <c r="F1052" s="10" t="n"/>
      <c r="G1052" s="10" t="inlineStr">
        <is>
          <t>បង្កើតតារាងចំណាយ</t>
        </is>
      </c>
      <c r="H1052" s="10" t="inlineStr">
        <is>
          <t>បង្កើតតារាងចំណាយ</t>
        </is>
      </c>
      <c r="I1052" s="10" t="n"/>
      <c r="J1052" s="10" t="n"/>
      <c r="K1052" s="10" t="inlineStr">
        <is>
          <t>"codEmployee.createCod": "បង្កើតតារាងចំណាយ",</t>
        </is>
      </c>
      <c r="L1052" s="10" t="n"/>
      <c r="M1052" s="10" t="n"/>
      <c r="N1052" s="10" t="n"/>
      <c r="O1052" s="10" t="n"/>
      <c r="P1052" s="10" t="n"/>
      <c r="Q1052" s="10" t="n"/>
      <c r="R1052" s="10" t="n"/>
      <c r="S1052" s="10" t="n"/>
      <c r="T1052" s="10" t="n"/>
      <c r="U1052" s="10" t="n"/>
      <c r="V1052" s="10" t="n"/>
      <c r="W1052" s="10" t="n"/>
      <c r="X1052" s="10" t="n"/>
      <c r="Y1052" s="10" t="n"/>
      <c r="Z1052" s="10" t="n"/>
    </row>
    <row r="1053">
      <c r="A1053" s="27" t="inlineStr">
        <is>
          <t>codEmployee.branch</t>
        </is>
      </c>
      <c r="B1053" s="27" t="inlineStr">
        <is>
          <t>Chi nhánh</t>
        </is>
      </c>
      <c r="C1053" s="27" t="inlineStr">
        <is>
          <t>Branch</t>
        </is>
      </c>
      <c r="D1053" s="21" t="inlineStr">
        <is>
          <t>សាខា</t>
        </is>
      </c>
      <c r="E1053" s="102" t="inlineStr">
        <is>
          <t>សាខា</t>
        </is>
      </c>
      <c r="F1053" s="10" t="n"/>
      <c r="G1053" s="10" t="inlineStr">
        <is>
          <t>សាខា</t>
        </is>
      </c>
      <c r="H1053" s="10" t="inlineStr">
        <is>
          <t>សាខា</t>
        </is>
      </c>
      <c r="I1053" s="10" t="n"/>
      <c r="J1053" s="10" t="n"/>
      <c r="K1053" s="10" t="inlineStr">
        <is>
          <t>"codEmployee.branch": "សាខា",</t>
        </is>
      </c>
      <c r="L1053" s="10" t="n"/>
      <c r="M1053" s="10" t="n"/>
      <c r="N1053" s="10" t="n"/>
      <c r="O1053" s="10" t="n"/>
      <c r="P1053" s="10" t="n"/>
      <c r="Q1053" s="10" t="n"/>
      <c r="R1053" s="10" t="n"/>
      <c r="S1053" s="10" t="n"/>
      <c r="T1053" s="10" t="n"/>
      <c r="U1053" s="10" t="n"/>
      <c r="V1053" s="10" t="n"/>
      <c r="W1053" s="10" t="n"/>
      <c r="X1053" s="10" t="n"/>
      <c r="Y1053" s="10" t="n"/>
      <c r="Z1053" s="10" t="n"/>
    </row>
    <row r="1054">
      <c r="A1054" s="27" t="inlineStr">
        <is>
          <t>codEmployee.post</t>
        </is>
      </c>
      <c r="B1054" s="27" t="inlineStr">
        <is>
          <t>Bưu cục</t>
        </is>
      </c>
      <c r="C1054" s="27" t="inlineStr">
        <is>
          <t>Post office (PO)</t>
        </is>
      </c>
      <c r="D1054" s="21" t="inlineStr">
        <is>
          <t>ការិយាល័យប្រៃសណីយ៍</t>
        </is>
      </c>
      <c r="E1054" s="102" t="inlineStr">
        <is>
          <t>ការិយាល័យប្រៃសណីយ៍</t>
        </is>
      </c>
      <c r="F1054" s="10" t="n"/>
      <c r="G1054" s="10" t="inlineStr">
        <is>
          <t>ការិយាល័យប្រៃសណីយ៍</t>
        </is>
      </c>
      <c r="H1054" s="10" t="inlineStr">
        <is>
          <t>ការិយាល័យប្រៃសណីយ៍</t>
        </is>
      </c>
      <c r="I1054" s="10" t="n"/>
      <c r="J1054" s="10" t="n"/>
      <c r="K1054" s="10" t="inlineStr">
        <is>
          <t>"codEmployee.post": "ការិយាល័យប្រៃសណីយ៍",</t>
        </is>
      </c>
      <c r="L1054" s="10" t="n"/>
      <c r="M1054" s="10" t="n"/>
      <c r="N1054" s="10" t="n"/>
      <c r="O1054" s="10" t="n"/>
      <c r="P1054" s="10" t="n"/>
      <c r="Q1054" s="10" t="n"/>
      <c r="R1054" s="10" t="n"/>
      <c r="S1054" s="10" t="n"/>
      <c r="T1054" s="10" t="n"/>
      <c r="U1054" s="10" t="n"/>
      <c r="V1054" s="10" t="n"/>
      <c r="W1054" s="10" t="n"/>
      <c r="X1054" s="10" t="n"/>
      <c r="Y1054" s="10" t="n"/>
      <c r="Z1054" s="10" t="n"/>
    </row>
    <row r="1055">
      <c r="A1055" s="27" t="inlineStr">
        <is>
          <t>codEmployee.postman</t>
        </is>
      </c>
      <c r="B1055" s="27" t="inlineStr">
        <is>
          <t>Bưu tá</t>
        </is>
      </c>
      <c r="C1055" s="27" t="inlineStr">
        <is>
          <t>Postman</t>
        </is>
      </c>
      <c r="D1055" s="21" t="inlineStr">
        <is>
          <t>អ្នកដឹកជញ្ជូន</t>
        </is>
      </c>
      <c r="E1055" s="102" t="inlineStr">
        <is>
          <t>អ្នកដឹកជញ្ជូ្ជន</t>
        </is>
      </c>
      <c r="F1055" s="10" t="n"/>
      <c r="G1055" s="10" t="inlineStr">
        <is>
          <t>បុគ្គលិកដឹកជញ្ជូន</t>
        </is>
      </c>
      <c r="H1055" s="10" t="inlineStr">
        <is>
          <t>បុគ្គលិកដឹកជញ្ជូន</t>
        </is>
      </c>
      <c r="I1055" s="10" t="n"/>
      <c r="J1055" s="10" t="n"/>
      <c r="K1055" s="10" t="inlineStr">
        <is>
          <t>"codEmployee.postman": "បុគ្គលិកដឹកជញ្ជូន",</t>
        </is>
      </c>
      <c r="L1055" s="10" t="n"/>
      <c r="M1055" s="10" t="n"/>
      <c r="N1055" s="10" t="n"/>
      <c r="O1055" s="10" t="n"/>
      <c r="P1055" s="10" t="n"/>
      <c r="Q1055" s="10" t="n"/>
      <c r="R1055" s="10" t="n"/>
      <c r="S1055" s="10" t="n"/>
      <c r="T1055" s="10" t="n"/>
      <c r="U1055" s="10" t="n"/>
      <c r="V1055" s="10" t="n"/>
      <c r="W1055" s="10" t="n"/>
      <c r="X1055" s="10" t="n"/>
      <c r="Y1055" s="10" t="n"/>
      <c r="Z1055" s="10" t="n"/>
    </row>
    <row r="1056">
      <c r="A1056" s="27" t="inlineStr">
        <is>
          <t>codEmployee.dateDelivery</t>
        </is>
      </c>
      <c r="B1056" s="27" t="inlineStr">
        <is>
          <t>Ngày PTC</t>
        </is>
      </c>
      <c r="C1056" s="27" t="inlineStr">
        <is>
          <t>Ngày PTC</t>
        </is>
      </c>
      <c r="D1056" s="21" t="inlineStr">
        <is>
          <t>ថ្ងៃ PTC</t>
        </is>
      </c>
      <c r="E1056" s="102" t="inlineStr">
        <is>
          <t>ថ្ងៃ PTC</t>
        </is>
      </c>
      <c r="F1056" s="10" t="n"/>
      <c r="G1056" s="10" t="inlineStr">
        <is>
          <t>កាលបរិច្ឆេទដឹកជញ្ជូនជោគជ័យ</t>
        </is>
      </c>
      <c r="H1056" s="10" t="inlineStr">
        <is>
          <t>កាលបរិច្ឆេទដឹកជញ្ជូនជោគជ័យ</t>
        </is>
      </c>
      <c r="I1056" s="10" t="n"/>
      <c r="J1056" s="10" t="n"/>
      <c r="K1056" s="10" t="inlineStr">
        <is>
          <t>"codEmployee.dateDelivery": "កាលបរិច្ឆេទដឹកជញ្ជូនជោគជ័យ",</t>
        </is>
      </c>
      <c r="L1056" s="10" t="n"/>
      <c r="M1056" s="10" t="n"/>
      <c r="N1056" s="10" t="n"/>
      <c r="O1056" s="10" t="n"/>
      <c r="P1056" s="10" t="n"/>
      <c r="Q1056" s="10" t="n"/>
      <c r="R1056" s="10" t="n"/>
      <c r="S1056" s="10" t="n"/>
      <c r="T1056" s="10" t="n"/>
      <c r="U1056" s="10" t="n"/>
      <c r="V1056" s="10" t="n"/>
      <c r="W1056" s="10" t="n"/>
      <c r="X1056" s="10" t="n"/>
      <c r="Y1056" s="10" t="n"/>
      <c r="Z1056" s="10" t="n"/>
    </row>
    <row r="1057">
      <c r="A1057" s="27" t="inlineStr">
        <is>
          <t>codEmployee.totalCod</t>
        </is>
      </c>
      <c r="B1057" s="27" t="inlineStr">
        <is>
          <t>Tiền nộp</t>
        </is>
      </c>
      <c r="C1057" s="27" t="inlineStr">
        <is>
          <t>Amounts</t>
        </is>
      </c>
      <c r="D1057" s="102" t="inlineStr">
        <is>
          <t>ប្រាក់បង់</t>
        </is>
      </c>
      <c r="E1057" s="102" t="inlineStr">
        <is>
          <t>ប្រាក់បង់</t>
        </is>
      </c>
      <c r="F1057" s="10" t="n"/>
      <c r="G1057" s="10" t="inlineStr">
        <is>
          <t>ប្រាក់បង់</t>
        </is>
      </c>
      <c r="H1057" s="10" t="inlineStr">
        <is>
          <t>ប្រាក់បង់</t>
        </is>
      </c>
      <c r="I1057" s="10" t="n"/>
      <c r="J1057" s="10" t="n"/>
      <c r="K1057" s="10" t="inlineStr">
        <is>
          <t>"codEmployee.totalCod": "ប្រាក់បង់",</t>
        </is>
      </c>
      <c r="L1057" s="10" t="n"/>
      <c r="M1057" s="10" t="n"/>
      <c r="N1057" s="10" t="n"/>
      <c r="O1057" s="10" t="n"/>
      <c r="P1057" s="10" t="n"/>
      <c r="Q1057" s="10" t="n"/>
      <c r="R1057" s="10" t="n"/>
      <c r="S1057" s="10" t="n"/>
      <c r="T1057" s="10" t="n"/>
      <c r="U1057" s="10" t="n"/>
      <c r="V1057" s="10" t="n"/>
      <c r="W1057" s="10" t="n"/>
      <c r="X1057" s="10" t="n"/>
      <c r="Y1057" s="10" t="n"/>
      <c r="Z1057" s="10" t="n"/>
    </row>
    <row r="1058">
      <c r="A1058" s="27" t="inlineStr">
        <is>
          <t>codEmployee.detailDebt</t>
        </is>
      </c>
      <c r="B1058" s="27" t="inlineStr">
        <is>
          <t>Chi tiết bưu tá</t>
        </is>
      </c>
      <c r="C1058" s="27" t="inlineStr">
        <is>
          <t>Chi tiết bưu tá</t>
        </is>
      </c>
      <c r="D1058" s="21" t="inlineStr">
        <is>
          <t>លម្អិតពីអ្នកដឹកជញ្ជូន</t>
        </is>
      </c>
      <c r="E1058" s="102" t="inlineStr">
        <is>
          <t>លម្អិតអ្នកដឹកជញ្ជូន</t>
        </is>
      </c>
      <c r="F1058" s="10" t="n"/>
      <c r="G1058" s="10" t="inlineStr">
        <is>
          <t>លម្អិតអ្នកដឹកជញ្ជូន</t>
        </is>
      </c>
      <c r="H1058" s="10" t="inlineStr">
        <is>
          <t>លម្អិតអ្នកដឹកជញ្ជូន</t>
        </is>
      </c>
      <c r="I1058" s="10" t="n"/>
      <c r="J1058" s="10" t="n"/>
      <c r="K1058" s="10" t="inlineStr">
        <is>
          <t>"codEmployee.detailDebt": "លម្អិតអ្នកដឹកជញ្ជូន",</t>
        </is>
      </c>
      <c r="L1058" s="10" t="n"/>
      <c r="M1058" s="10" t="n"/>
      <c r="N1058" s="10" t="n"/>
      <c r="O1058" s="10" t="n"/>
      <c r="P1058" s="10" t="n"/>
      <c r="Q1058" s="10" t="n"/>
      <c r="R1058" s="10" t="n"/>
      <c r="S1058" s="10" t="n"/>
      <c r="T1058" s="10" t="n"/>
      <c r="U1058" s="10" t="n"/>
      <c r="V1058" s="10" t="n"/>
      <c r="W1058" s="10" t="n"/>
      <c r="X1058" s="10" t="n"/>
      <c r="Y1058" s="10" t="n"/>
      <c r="Z1058" s="10" t="n"/>
    </row>
    <row r="1059">
      <c r="A1059" s="27" t="inlineStr">
        <is>
          <t>codEmployee.orderCode</t>
        </is>
      </c>
      <c r="B1059" s="27" t="inlineStr">
        <is>
          <t>Mã vận đơn</t>
        </is>
      </c>
      <c r="C1059" s="27" t="inlineStr">
        <is>
          <t>Order ID</t>
        </is>
      </c>
      <c r="D1059" s="21" t="inlineStr">
        <is>
          <t>លេខកូដបុងដឹកជញ្ជូន</t>
        </is>
      </c>
      <c r="E1059" s="102" t="inlineStr">
        <is>
          <t>លេខកូដដឹកជញ្ជូន</t>
        </is>
      </c>
      <c r="F1059" s="10" t="n"/>
      <c r="G1059" s="10" t="inlineStr">
        <is>
          <t>លេខកូដបុងបញ្ញើ</t>
        </is>
      </c>
      <c r="H1059" s="10" t="inlineStr">
        <is>
          <t>លេខកូដបុងបញ្ញើ</t>
        </is>
      </c>
      <c r="I1059" s="10" t="n"/>
      <c r="J1059" s="10" t="n"/>
      <c r="K1059" s="10" t="inlineStr">
        <is>
          <t>"codEmployee.orderCode": "លេខកូដបុងបញ្ញើ",</t>
        </is>
      </c>
      <c r="L1059" s="10" t="n"/>
      <c r="M1059" s="10" t="n"/>
      <c r="N1059" s="10" t="n"/>
      <c r="O1059" s="10" t="n"/>
      <c r="P1059" s="10" t="n"/>
      <c r="Q1059" s="10" t="n"/>
      <c r="R1059" s="10" t="n"/>
      <c r="S1059" s="10" t="n"/>
      <c r="T1059" s="10" t="n"/>
      <c r="U1059" s="10" t="n"/>
      <c r="V1059" s="10" t="n"/>
      <c r="W1059" s="10" t="n"/>
      <c r="X1059" s="10" t="n"/>
      <c r="Y1059" s="10" t="n"/>
      <c r="Z1059" s="10" t="n"/>
    </row>
    <row r="1060">
      <c r="A1060" s="27" t="inlineStr">
        <is>
          <t>codEmployee.dateBill</t>
        </is>
      </c>
      <c r="B1060" s="27" t="inlineStr">
        <is>
          <t>Ngày nhập máy</t>
        </is>
      </c>
      <c r="C1060" s="27" t="inlineStr">
        <is>
          <t>Sales Entry Date</t>
        </is>
      </c>
      <c r="D1060" s="21" t="inlineStr">
        <is>
          <t>ថ្ងៃបញ្ចូលម៉ាសុីន</t>
        </is>
      </c>
      <c r="E1060" s="102" t="inlineStr">
        <is>
          <t>ថ្ងៃបញ្ចូលម៉ាស៊ីន</t>
        </is>
      </c>
      <c r="F1060" s="10" t="n"/>
      <c r="G1060" s="10" t="inlineStr">
        <is>
          <t>កាលបរិច្ឆេទបញ្ចូលប្រព័ន្ធ</t>
        </is>
      </c>
      <c r="H1060" s="10" t="inlineStr">
        <is>
          <t>កាលបរិច្ឆេទបញ្ចូលប្រព័ន្ធ</t>
        </is>
      </c>
      <c r="I1060" s="10" t="n"/>
      <c r="J1060" s="10" t="n"/>
      <c r="K1060" s="10" t="inlineStr">
        <is>
          <t>"codEmployee.dateBill": "កាលបរិច្ឆេទបញ្ចូលប្រព័ន្ធ",</t>
        </is>
      </c>
      <c r="L1060" s="10" t="n"/>
      <c r="M1060" s="10" t="n"/>
      <c r="N1060" s="10" t="n"/>
      <c r="O1060" s="10" t="n"/>
      <c r="P1060" s="10" t="n"/>
      <c r="Q1060" s="10" t="n"/>
      <c r="R1060" s="10" t="n"/>
      <c r="S1060" s="10" t="n"/>
      <c r="T1060" s="10" t="n"/>
      <c r="U1060" s="10" t="n"/>
      <c r="V1060" s="10" t="n"/>
      <c r="W1060" s="10" t="n"/>
      <c r="X1060" s="10" t="n"/>
      <c r="Y1060" s="10" t="n"/>
      <c r="Z1060" s="10" t="n"/>
    </row>
    <row r="1061">
      <c r="A1061" s="27" t="inlineStr">
        <is>
          <t>codEmployee.service</t>
        </is>
      </c>
      <c r="B1061" s="27" t="inlineStr">
        <is>
          <t>Dịch vụ</t>
        </is>
      </c>
      <c r="C1061" s="27" t="inlineStr">
        <is>
          <t>Service</t>
        </is>
      </c>
      <c r="D1061" s="21" t="inlineStr">
        <is>
          <t>សេវាកម្ម</t>
        </is>
      </c>
      <c r="E1061" s="102" t="inlineStr">
        <is>
          <t>សេវាកម្ម</t>
        </is>
      </c>
      <c r="F1061" s="10" t="n"/>
      <c r="G1061" s="10" t="inlineStr">
        <is>
          <t>សេវាកម្ម</t>
        </is>
      </c>
      <c r="H1061" s="10" t="inlineStr">
        <is>
          <t>សេវាកម្ម</t>
        </is>
      </c>
      <c r="I1061" s="10" t="n"/>
      <c r="J1061" s="10" t="n"/>
      <c r="K1061" s="10" t="inlineStr">
        <is>
          <t>"codEmployee.service": "សេវាកម្ម",</t>
        </is>
      </c>
      <c r="L1061" s="10" t="n"/>
      <c r="M1061" s="10" t="n"/>
      <c r="N1061" s="10" t="n"/>
      <c r="O1061" s="10" t="n"/>
      <c r="P1061" s="10" t="n"/>
      <c r="Q1061" s="10" t="n"/>
      <c r="R1061" s="10" t="n"/>
      <c r="S1061" s="10" t="n"/>
      <c r="T1061" s="10" t="n"/>
      <c r="U1061" s="10" t="n"/>
      <c r="V1061" s="10" t="n"/>
      <c r="W1061" s="10" t="n"/>
      <c r="X1061" s="10" t="n"/>
      <c r="Y1061" s="10" t="n"/>
      <c r="Z1061" s="10" t="n"/>
    </row>
    <row r="1062">
      <c r="A1062" s="27" t="inlineStr">
        <is>
          <t>codEmployee.totalOrder</t>
        </is>
      </c>
      <c r="B1062" s="27" t="inlineStr">
        <is>
          <t>Tổng đơn</t>
        </is>
      </c>
      <c r="C1062" s="27" t="inlineStr">
        <is>
          <t>Total number</t>
        </is>
      </c>
      <c r="D1062" s="21" t="inlineStr">
        <is>
          <t>សរុបបុងបញ្ញើ</t>
        </is>
      </c>
      <c r="E1062" s="102" t="inlineStr">
        <is>
          <t>សរុបបុងបញ្ញើ</t>
        </is>
      </c>
      <c r="F1062" s="10" t="n"/>
      <c r="G1062" s="10" t="inlineStr">
        <is>
          <t>សរុបបុងបញ្ញើ</t>
        </is>
      </c>
      <c r="H1062" s="10" t="inlineStr">
        <is>
          <t>សរុបបុងបញ្ញើ</t>
        </is>
      </c>
      <c r="I1062" s="10" t="n"/>
      <c r="J1062" s="10" t="n"/>
      <c r="K1062" s="10" t="inlineStr">
        <is>
          <t>"codEmployee.totalOrder": "សរុបបុងបញ្ញើ",</t>
        </is>
      </c>
      <c r="L1062" s="10" t="n"/>
      <c r="M1062" s="10" t="n"/>
      <c r="N1062" s="10" t="n"/>
      <c r="O1062" s="10" t="n"/>
      <c r="P1062" s="10" t="n"/>
      <c r="Q1062" s="10" t="n"/>
      <c r="R1062" s="10" t="n"/>
      <c r="S1062" s="10" t="n"/>
      <c r="T1062" s="10" t="n"/>
      <c r="U1062" s="10" t="n"/>
      <c r="V1062" s="10" t="n"/>
      <c r="W1062" s="10" t="n"/>
      <c r="X1062" s="10" t="n"/>
      <c r="Y1062" s="10" t="n"/>
      <c r="Z1062" s="10" t="n"/>
    </row>
    <row r="1063">
      <c r="A1063" s="27" t="inlineStr">
        <is>
          <t>codEmployee.ALL</t>
        </is>
      </c>
      <c r="B1063" s="27" t="inlineStr">
        <is>
          <t>Tất cả</t>
        </is>
      </c>
      <c r="C1063" s="27" t="inlineStr">
        <is>
          <t>All</t>
        </is>
      </c>
      <c r="D1063" s="21" t="inlineStr">
        <is>
          <t>ទាំងអស់</t>
        </is>
      </c>
      <c r="E1063" s="102" t="inlineStr">
        <is>
          <t>ទាំងអស់</t>
        </is>
      </c>
      <c r="F1063" s="10" t="n"/>
      <c r="G1063" s="10" t="inlineStr">
        <is>
          <t>ទាំងអស់</t>
        </is>
      </c>
      <c r="H1063" s="10" t="inlineStr">
        <is>
          <t>ទាំងអស់</t>
        </is>
      </c>
      <c r="I1063" s="10" t="n"/>
      <c r="J1063" s="10" t="n"/>
      <c r="K1063" s="10" t="inlineStr">
        <is>
          <t>"codEmployee.ALL": "ទាំងអស់",</t>
        </is>
      </c>
      <c r="L1063" s="10" t="n"/>
      <c r="M1063" s="10" t="n"/>
      <c r="N1063" s="10" t="n"/>
      <c r="O1063" s="10" t="n"/>
      <c r="P1063" s="10" t="n"/>
      <c r="Q1063" s="10" t="n"/>
      <c r="R1063" s="10" t="n"/>
      <c r="S1063" s="10" t="n"/>
      <c r="T1063" s="10" t="n"/>
      <c r="U1063" s="10" t="n"/>
      <c r="V1063" s="10" t="n"/>
      <c r="W1063" s="10" t="n"/>
      <c r="X1063" s="10" t="n"/>
      <c r="Y1063" s="10" t="n"/>
      <c r="Z1063" s="10" t="n"/>
    </row>
    <row r="1064">
      <c r="A1064" s="27" t="inlineStr">
        <is>
          <t>codEmployee.NEW</t>
        </is>
      </c>
      <c r="B1064" s="27" t="inlineStr">
        <is>
          <t>Tạo mới</t>
        </is>
      </c>
      <c r="C1064" s="27" t="inlineStr">
        <is>
          <t>Draft</t>
        </is>
      </c>
      <c r="D1064" s="21" t="inlineStr">
        <is>
          <t>បង្កើតថ្មី</t>
        </is>
      </c>
      <c r="E1064" s="102" t="inlineStr">
        <is>
          <t>បង្កើតថ្មី្ម</t>
        </is>
      </c>
      <c r="F1064" s="10" t="n"/>
      <c r="G1064" s="10" t="inlineStr">
        <is>
          <t>បង្កើតថ្មី</t>
        </is>
      </c>
      <c r="H1064" s="10" t="inlineStr">
        <is>
          <t>បង្កើតថ្មី</t>
        </is>
      </c>
      <c r="I1064" s="10" t="n"/>
      <c r="J1064" s="10" t="n"/>
      <c r="K1064" s="10" t="inlineStr">
        <is>
          <t>"codEmployee.NEW": "បង្កើតថ្មី",</t>
        </is>
      </c>
      <c r="L1064" s="10" t="n"/>
      <c r="M1064" s="10" t="n"/>
      <c r="N1064" s="10" t="n"/>
      <c r="O1064" s="10" t="n"/>
      <c r="P1064" s="10" t="n"/>
      <c r="Q1064" s="10" t="n"/>
      <c r="R1064" s="10" t="n"/>
      <c r="S1064" s="10" t="n"/>
      <c r="T1064" s="10" t="n"/>
      <c r="U1064" s="10" t="n"/>
      <c r="V1064" s="10" t="n"/>
      <c r="W1064" s="10" t="n"/>
      <c r="X1064" s="10" t="n"/>
      <c r="Y1064" s="10" t="n"/>
      <c r="Z1064" s="10" t="n"/>
    </row>
    <row r="1065">
      <c r="A1065" s="27" t="inlineStr">
        <is>
          <t>codEmployee.DONE</t>
        </is>
      </c>
      <c r="B1065" s="27" t="inlineStr">
        <is>
          <t>Chốt thu</t>
        </is>
      </c>
      <c r="C1065" s="27" t="inlineStr">
        <is>
          <t>Locked for Collection</t>
        </is>
      </c>
      <c r="D1065" s="21" t="n"/>
      <c r="E1065" s="102" t="inlineStr">
        <is>
          <t>បិទការប្រមូលប្រាក់</t>
        </is>
      </c>
      <c r="F1065" s="10" t="n"/>
      <c r="G1065" s="10" t="inlineStr">
        <is>
          <t>បិទការប្រមូលប្រាក់</t>
        </is>
      </c>
      <c r="H1065" s="10" t="inlineStr">
        <is>
          <t>បិទការប្រមូលប្រាក់</t>
        </is>
      </c>
      <c r="I1065" s="10" t="n"/>
      <c r="J1065" s="10" t="n"/>
      <c r="K1065" s="10" t="inlineStr">
        <is>
          <t>"codEmployee.DONE": "បិទការប្រមូលប្រាក់",</t>
        </is>
      </c>
      <c r="L1065" s="10" t="n"/>
      <c r="M1065" s="10" t="n"/>
      <c r="N1065" s="10" t="n"/>
      <c r="O1065" s="10" t="n"/>
      <c r="P1065" s="10" t="n"/>
      <c r="Q1065" s="10" t="n"/>
      <c r="R1065" s="10" t="n"/>
      <c r="S1065" s="10" t="n"/>
      <c r="T1065" s="10" t="n"/>
      <c r="U1065" s="10" t="n"/>
      <c r="V1065" s="10" t="n"/>
      <c r="W1065" s="10" t="n"/>
      <c r="X1065" s="10" t="n"/>
      <c r="Y1065" s="10" t="n"/>
      <c r="Z1065" s="10" t="n"/>
    </row>
    <row r="1066">
      <c r="A1066" s="27" t="inlineStr">
        <is>
          <t>codEmployee.user</t>
        </is>
      </c>
      <c r="B1066" s="27" t="inlineStr">
        <is>
          <t>Nhân viên</t>
        </is>
      </c>
      <c r="C1066" s="27" t="inlineStr">
        <is>
          <t>Staff</t>
        </is>
      </c>
      <c r="D1066" s="21" t="inlineStr">
        <is>
          <t>បុគ្គលិក</t>
        </is>
      </c>
      <c r="E1066" s="102" t="inlineStr">
        <is>
          <t>បុគ្គលិក</t>
        </is>
      </c>
      <c r="F1066" s="10" t="n"/>
      <c r="G1066" s="10" t="inlineStr">
        <is>
          <t>បុគ្គលិក</t>
        </is>
      </c>
      <c r="H1066" s="10" t="inlineStr">
        <is>
          <t>បុគ្គលិក</t>
        </is>
      </c>
      <c r="I1066" s="10" t="n"/>
      <c r="J1066" s="10" t="n"/>
      <c r="K1066" s="10" t="inlineStr">
        <is>
          <t>"codEmployee.user": "បុគ្គលិក",</t>
        </is>
      </c>
      <c r="L1066" s="10" t="n"/>
      <c r="M1066" s="10" t="n"/>
      <c r="N1066" s="10" t="n"/>
      <c r="O1066" s="10" t="n"/>
      <c r="P1066" s="10" t="n"/>
      <c r="Q1066" s="10" t="n"/>
      <c r="R1066" s="10" t="n"/>
      <c r="S1066" s="10" t="n"/>
      <c r="T1066" s="10" t="n"/>
      <c r="U1066" s="10" t="n"/>
      <c r="V1066" s="10" t="n"/>
      <c r="W1066" s="10" t="n"/>
      <c r="X1066" s="10" t="n"/>
      <c r="Y1066" s="10" t="n"/>
      <c r="Z1066" s="10" t="n"/>
    </row>
    <row r="1067">
      <c r="A1067" s="27" t="inlineStr">
        <is>
          <t>codEmployee.status</t>
        </is>
      </c>
      <c r="B1067" s="27" t="inlineStr">
        <is>
          <t>Trạng thái</t>
        </is>
      </c>
      <c r="C1067" s="27" t="inlineStr">
        <is>
          <t>Status</t>
        </is>
      </c>
      <c r="D1067" s="21" t="inlineStr">
        <is>
          <t>ស្ថានភាព</t>
        </is>
      </c>
      <c r="E1067" s="102" t="inlineStr">
        <is>
          <t>ស្ថានភាព</t>
        </is>
      </c>
      <c r="F1067" s="10" t="n"/>
      <c r="G1067" s="10" t="inlineStr">
        <is>
          <t>ស្ថានភាព</t>
        </is>
      </c>
      <c r="H1067" s="10" t="inlineStr">
        <is>
          <t>ស្ថានភាព</t>
        </is>
      </c>
      <c r="I1067" s="10" t="n"/>
      <c r="J1067" s="10" t="n"/>
      <c r="K1067" s="10" t="inlineStr">
        <is>
          <t>"codEmployee.status": "ស្ថានភាព",</t>
        </is>
      </c>
      <c r="L1067" s="10" t="n"/>
      <c r="M1067" s="10" t="n"/>
      <c r="N1067" s="10" t="n"/>
      <c r="O1067" s="10" t="n"/>
      <c r="P1067" s="10" t="n"/>
      <c r="Q1067" s="10" t="n"/>
      <c r="R1067" s="10" t="n"/>
      <c r="S1067" s="10" t="n"/>
      <c r="T1067" s="10" t="n"/>
      <c r="U1067" s="10" t="n"/>
      <c r="V1067" s="10" t="n"/>
      <c r="W1067" s="10" t="n"/>
      <c r="X1067" s="10" t="n"/>
      <c r="Y1067" s="10" t="n"/>
      <c r="Z1067" s="10" t="n"/>
    </row>
    <row r="1068">
      <c r="A1068" s="27" t="inlineStr">
        <is>
          <t>codEmployee.filterBranch</t>
        </is>
      </c>
      <c r="B1068" s="27" t="inlineStr">
        <is>
          <t>Chọn chi nhánh</t>
        </is>
      </c>
      <c r="C1068" s="27" t="inlineStr">
        <is>
          <t>Select branch</t>
        </is>
      </c>
      <c r="D1068" s="102" t="inlineStr">
        <is>
          <t>ជ្រើសរើសសាខា</t>
        </is>
      </c>
      <c r="E1068" s="102" t="inlineStr">
        <is>
          <t>ជ្រើសរើសសាខា</t>
        </is>
      </c>
      <c r="F1068" s="10" t="n"/>
      <c r="G1068" s="10" t="inlineStr">
        <is>
          <t>ជ្រើសរើសសាខា</t>
        </is>
      </c>
      <c r="H1068" s="10" t="inlineStr">
        <is>
          <t>ជ្រើសរើសសាខា</t>
        </is>
      </c>
      <c r="I1068" s="10" t="n"/>
      <c r="J1068" s="10" t="n"/>
      <c r="K1068" s="10" t="inlineStr">
        <is>
          <t>"codEmployee.filterBranch": "ជ្រើសរើសសាខា",</t>
        </is>
      </c>
      <c r="L1068" s="10" t="n"/>
      <c r="M1068" s="10" t="n"/>
      <c r="N1068" s="10" t="n"/>
      <c r="O1068" s="10" t="n"/>
      <c r="P1068" s="10" t="n"/>
      <c r="Q1068" s="10" t="n"/>
      <c r="R1068" s="10" t="n"/>
      <c r="S1068" s="10" t="n"/>
      <c r="T1068" s="10" t="n"/>
      <c r="U1068" s="10" t="n"/>
      <c r="V1068" s="10" t="n"/>
      <c r="W1068" s="10" t="n"/>
      <c r="X1068" s="10" t="n"/>
      <c r="Y1068" s="10" t="n"/>
      <c r="Z1068" s="10" t="n"/>
    </row>
    <row r="1069">
      <c r="A1069" s="27" t="inlineStr">
        <is>
          <t>codEmployee.filterPost</t>
        </is>
      </c>
      <c r="B1069" s="27" t="inlineStr">
        <is>
          <t>Chọn bưu cục</t>
        </is>
      </c>
      <c r="C1069" s="27" t="inlineStr">
        <is>
          <t>Select post office (PO)</t>
        </is>
      </c>
      <c r="D1069" s="102" t="inlineStr">
        <is>
          <t>ជ្រើសរើសការិយាល័យបប្រៃសណីយ៍</t>
        </is>
      </c>
      <c r="E1069" s="102" t="inlineStr">
        <is>
          <t>ជ្រើសរើសការិយាល័យប្រៃសណីយ៍</t>
        </is>
      </c>
      <c r="F1069" s="10" t="n"/>
      <c r="G1069" s="10" t="inlineStr">
        <is>
          <t>ជ្រើសរើសការិយាល័យប្រៃសណីយ៍</t>
        </is>
      </c>
      <c r="H1069" s="10" t="inlineStr">
        <is>
          <t>ជ្រើសរើសការិយាល័យប្រៃសណីយ៍</t>
        </is>
      </c>
      <c r="I1069" s="10" t="n"/>
      <c r="J1069" s="10" t="n"/>
      <c r="K1069" s="10" t="inlineStr">
        <is>
          <t>"codEmployee.filterPost": "ជ្រើសរើសការិយាល័យប្រៃសណីយ៍",</t>
        </is>
      </c>
      <c r="L1069" s="10" t="n"/>
      <c r="M1069" s="10" t="n"/>
      <c r="N1069" s="10" t="n"/>
      <c r="O1069" s="10" t="n"/>
      <c r="P1069" s="10" t="n"/>
      <c r="Q1069" s="10" t="n"/>
      <c r="R1069" s="10" t="n"/>
      <c r="S1069" s="10" t="n"/>
      <c r="T1069" s="10" t="n"/>
      <c r="U1069" s="10" t="n"/>
      <c r="V1069" s="10" t="n"/>
      <c r="W1069" s="10" t="n"/>
      <c r="X1069" s="10" t="n"/>
      <c r="Y1069" s="10" t="n"/>
      <c r="Z1069" s="10" t="n"/>
    </row>
    <row r="1070">
      <c r="A1070" s="27" t="inlineStr">
        <is>
          <t>codEmployee.filterUser</t>
        </is>
      </c>
      <c r="B1070" s="27" t="inlineStr">
        <is>
          <t>Chọn nhân viên</t>
        </is>
      </c>
      <c r="C1070" s="27" t="inlineStr">
        <is>
          <t>Select staff</t>
        </is>
      </c>
      <c r="D1070" s="21" t="inlineStr">
        <is>
          <t>ជ្រើសរើសបុគ្គលិក</t>
        </is>
      </c>
      <c r="E1070" s="102" t="inlineStr">
        <is>
          <t>ជ្រើសរើសបុគ្គលិក</t>
        </is>
      </c>
      <c r="F1070" s="10" t="n"/>
      <c r="G1070" s="10" t="inlineStr">
        <is>
          <t>ជ្រើសរើសបុគ្គលិក</t>
        </is>
      </c>
      <c r="H1070" s="10" t="inlineStr">
        <is>
          <t>ជ្រើសរើសបុគ្គលិក</t>
        </is>
      </c>
      <c r="I1070" s="10" t="n"/>
      <c r="J1070" s="10" t="n"/>
      <c r="K1070" s="10" t="inlineStr">
        <is>
          <t>"codEmployee.filterUser": "ជ្រើសរើសបុគ្គលិក",</t>
        </is>
      </c>
      <c r="L1070" s="10" t="n"/>
      <c r="M1070" s="10" t="n"/>
      <c r="N1070" s="10" t="n"/>
      <c r="O1070" s="10" t="n"/>
      <c r="P1070" s="10" t="n"/>
      <c r="Q1070" s="10" t="n"/>
      <c r="R1070" s="10" t="n"/>
      <c r="S1070" s="10" t="n"/>
      <c r="T1070" s="10" t="n"/>
      <c r="U1070" s="10" t="n"/>
      <c r="V1070" s="10" t="n"/>
      <c r="W1070" s="10" t="n"/>
      <c r="X1070" s="10" t="n"/>
      <c r="Y1070" s="10" t="n"/>
      <c r="Z1070" s="10" t="n"/>
    </row>
    <row r="1071">
      <c r="A1071" s="27" t="inlineStr">
        <is>
          <t>codEmployee.filterStatus</t>
        </is>
      </c>
      <c r="B1071" s="27" t="inlineStr">
        <is>
          <t>Chọn trạng thái</t>
        </is>
      </c>
      <c r="C1071" s="27" t="inlineStr">
        <is>
          <t>Select status</t>
        </is>
      </c>
      <c r="D1071" s="21" t="inlineStr">
        <is>
          <t>ជ្រើសរើសស្ថានភាព</t>
        </is>
      </c>
      <c r="E1071" s="102" t="inlineStr">
        <is>
          <t>ជ្រើសរើសស្ថានភាព</t>
        </is>
      </c>
      <c r="F1071" s="10" t="n"/>
      <c r="G1071" s="10" t="inlineStr">
        <is>
          <t>ជ្រើសរើសស្ថានភាព</t>
        </is>
      </c>
      <c r="H1071" s="10" t="inlineStr">
        <is>
          <t>ជ្រើសរើសស្ថានភាព</t>
        </is>
      </c>
      <c r="I1071" s="10" t="n"/>
      <c r="J1071" s="10" t="n"/>
      <c r="K1071" s="10" t="inlineStr">
        <is>
          <t>"codEmployee.filterStatus": "ជ្រើសរើសស្ថានភាព",</t>
        </is>
      </c>
      <c r="L1071" s="10" t="n"/>
      <c r="M1071" s="10" t="n"/>
      <c r="N1071" s="10" t="n"/>
      <c r="O1071" s="10" t="n"/>
      <c r="P1071" s="10" t="n"/>
      <c r="Q1071" s="10" t="n"/>
      <c r="R1071" s="10" t="n"/>
      <c r="S1071" s="10" t="n"/>
      <c r="T1071" s="10" t="n"/>
      <c r="U1071" s="10" t="n"/>
      <c r="V1071" s="10" t="n"/>
      <c r="W1071" s="10" t="n"/>
      <c r="X1071" s="10" t="n"/>
      <c r="Y1071" s="10" t="n"/>
      <c r="Z1071" s="10" t="n"/>
    </row>
    <row r="1072">
      <c r="A1072" s="27" t="inlineStr">
        <is>
          <t>codEmployee.codId</t>
        </is>
      </c>
      <c r="B1072" s="27" t="inlineStr">
        <is>
          <t>Mã bảng kê</t>
        </is>
      </c>
      <c r="C1072" s="27" t="inlineStr">
        <is>
          <t>COD Statement ID</t>
        </is>
      </c>
      <c r="D1072" s="21" t="n"/>
      <c r="E1072" s="102" t="inlineStr">
        <is>
          <t>លេខកូដតារាង</t>
        </is>
      </c>
      <c r="F1072" s="10" t="n"/>
      <c r="G1072" s="10" t="inlineStr">
        <is>
          <t>លេខកូដតារាង</t>
        </is>
      </c>
      <c r="H1072" s="10" t="inlineStr">
        <is>
          <t>លេខកូដតារាង</t>
        </is>
      </c>
      <c r="I1072" s="10" t="n"/>
      <c r="J1072" s="10" t="n"/>
      <c r="K1072" s="10" t="inlineStr">
        <is>
          <t>"codEmployee.codId": "លេខកូដតារាង",</t>
        </is>
      </c>
      <c r="L1072" s="10" t="n"/>
      <c r="M1072" s="10" t="n"/>
      <c r="N1072" s="10" t="n"/>
      <c r="O1072" s="10" t="n"/>
      <c r="P1072" s="10" t="n"/>
      <c r="Q1072" s="10" t="n"/>
      <c r="R1072" s="10" t="n"/>
      <c r="S1072" s="10" t="n"/>
      <c r="T1072" s="10" t="n"/>
      <c r="U1072" s="10" t="n"/>
      <c r="V1072" s="10" t="n"/>
      <c r="W1072" s="10" t="n"/>
      <c r="X1072" s="10" t="n"/>
      <c r="Y1072" s="10" t="n"/>
      <c r="Z1072" s="10" t="n"/>
    </row>
    <row r="1073">
      <c r="A1073" s="27" t="inlineStr">
        <is>
          <t>codEmployee.createdAt</t>
        </is>
      </c>
      <c r="B1073" s="27" t="inlineStr">
        <is>
          <t>Ngày tạo</t>
        </is>
      </c>
      <c r="C1073" s="27" t="inlineStr">
        <is>
          <t>Created on</t>
        </is>
      </c>
      <c r="D1073" s="21" t="inlineStr">
        <is>
          <t>ថ្ងៃបង្កើត</t>
        </is>
      </c>
      <c r="E1073" s="102" t="inlineStr">
        <is>
          <t>ថ្ងៃបង្កើត</t>
        </is>
      </c>
      <c r="F1073" s="10" t="n"/>
      <c r="G1073" s="10" t="inlineStr">
        <is>
          <t>កាលបរិច្ឆេទបង្កើត</t>
        </is>
      </c>
      <c r="H1073" s="10" t="inlineStr">
        <is>
          <t>កាលបរិច្ឆេទបង្កើត</t>
        </is>
      </c>
      <c r="I1073" s="10" t="n"/>
      <c r="J1073" s="10" t="n"/>
      <c r="K1073" s="10" t="inlineStr">
        <is>
          <t>"codEmployee.createdAt": "កាលបរិច្ឆេទបង្កើត",</t>
        </is>
      </c>
      <c r="L1073" s="10" t="n"/>
      <c r="M1073" s="10" t="n"/>
      <c r="N1073" s="10" t="n"/>
      <c r="O1073" s="10" t="n"/>
      <c r="P1073" s="10" t="n"/>
      <c r="Q1073" s="10" t="n"/>
      <c r="R1073" s="10" t="n"/>
      <c r="S1073" s="10" t="n"/>
      <c r="T1073" s="10" t="n"/>
      <c r="U1073" s="10" t="n"/>
      <c r="V1073" s="10" t="n"/>
      <c r="W1073" s="10" t="n"/>
      <c r="X1073" s="10" t="n"/>
      <c r="Y1073" s="10" t="n"/>
      <c r="Z1073" s="10" t="n"/>
    </row>
    <row r="1074">
      <c r="A1074" s="27" t="inlineStr">
        <is>
          <t>codEmployee.createdBy</t>
        </is>
      </c>
      <c r="B1074" s="27" t="inlineStr">
        <is>
          <t>Người tạo</t>
        </is>
      </c>
      <c r="C1074" s="27" t="inlineStr">
        <is>
          <t>Created by</t>
        </is>
      </c>
      <c r="D1074" s="21" t="inlineStr">
        <is>
          <t>អ្នកបង្កើត</t>
        </is>
      </c>
      <c r="E1074" s="102" t="inlineStr">
        <is>
          <t>អ្នកបង្កើត</t>
        </is>
      </c>
      <c r="F1074" s="10" t="n"/>
      <c r="G1074" s="10" t="inlineStr">
        <is>
          <t>អ្នកបង្កើត</t>
        </is>
      </c>
      <c r="H1074" s="10" t="inlineStr">
        <is>
          <t>អ្នកបង្កើត</t>
        </is>
      </c>
      <c r="I1074" s="10" t="n"/>
      <c r="J1074" s="10" t="n"/>
      <c r="K1074" s="10" t="inlineStr">
        <is>
          <t>"codEmployee.createdBy": "អ្នកបង្កើត",</t>
        </is>
      </c>
      <c r="L1074" s="10" t="n"/>
      <c r="M1074" s="10" t="n"/>
      <c r="N1074" s="10" t="n"/>
      <c r="O1074" s="10" t="n"/>
      <c r="P1074" s="10" t="n"/>
      <c r="Q1074" s="10" t="n"/>
      <c r="R1074" s="10" t="n"/>
      <c r="S1074" s="10" t="n"/>
      <c r="T1074" s="10" t="n"/>
      <c r="U1074" s="10" t="n"/>
      <c r="V1074" s="10" t="n"/>
      <c r="W1074" s="10" t="n"/>
      <c r="X1074" s="10" t="n"/>
      <c r="Y1074" s="10" t="n"/>
      <c r="Z1074" s="10" t="n"/>
    </row>
    <row r="1075">
      <c r="A1075" s="27" t="inlineStr">
        <is>
          <t>codEmployee.updatedAt</t>
        </is>
      </c>
      <c r="B1075" s="27" t="inlineStr">
        <is>
          <t>Ngày cập nhật</t>
        </is>
      </c>
      <c r="C1075" s="27" t="inlineStr">
        <is>
          <t>Updated on</t>
        </is>
      </c>
      <c r="D1075" s="21" t="inlineStr">
        <is>
          <t>ថ្ងៃអាប់ដេត</t>
        </is>
      </c>
      <c r="E1075" s="102" t="inlineStr">
        <is>
          <t>ថ្ងៃអាប់ដេត</t>
        </is>
      </c>
      <c r="F1075" s="10" t="n"/>
      <c r="G1075" s="10" t="inlineStr">
        <is>
          <t>ថ្ងៃអាប់ដេត</t>
        </is>
      </c>
      <c r="H1075" s="10" t="inlineStr">
        <is>
          <t>ថ្ងៃអាប់ដេត</t>
        </is>
      </c>
      <c r="I1075" s="10" t="n"/>
      <c r="J1075" s="10" t="n"/>
      <c r="K1075" s="10" t="inlineStr">
        <is>
          <t>"codEmployee.updatedAt": "ថ្ងៃអាប់ដេត",</t>
        </is>
      </c>
      <c r="L1075" s="10" t="n"/>
      <c r="M1075" s="10" t="n"/>
      <c r="N1075" s="10" t="n"/>
      <c r="O1075" s="10" t="n"/>
      <c r="P1075" s="10" t="n"/>
      <c r="Q1075" s="10" t="n"/>
      <c r="R1075" s="10" t="n"/>
      <c r="S1075" s="10" t="n"/>
      <c r="T1075" s="10" t="n"/>
      <c r="U1075" s="10" t="n"/>
      <c r="V1075" s="10" t="n"/>
      <c r="W1075" s="10" t="n"/>
      <c r="X1075" s="10" t="n"/>
      <c r="Y1075" s="10" t="n"/>
      <c r="Z1075" s="10" t="n"/>
    </row>
    <row r="1076">
      <c r="A1076" s="27" t="inlineStr">
        <is>
          <t>codEmployee.updatedBy</t>
        </is>
      </c>
      <c r="B1076" s="27" t="inlineStr">
        <is>
          <t>Người cập nhật</t>
        </is>
      </c>
      <c r="C1076" s="27" t="inlineStr">
        <is>
          <t>Updated by</t>
        </is>
      </c>
      <c r="D1076" s="21" t="inlineStr">
        <is>
          <t>អ្នកអាប់ដេត</t>
        </is>
      </c>
      <c r="E1076" s="102" t="inlineStr">
        <is>
          <t>អ្នកអាប់ដេត</t>
        </is>
      </c>
      <c r="F1076" s="10" t="n"/>
      <c r="G1076" s="10" t="inlineStr">
        <is>
          <t>អ្នកអាប់ដេត</t>
        </is>
      </c>
      <c r="H1076" s="10" t="inlineStr">
        <is>
          <t>អ្នកអាប់ដេត</t>
        </is>
      </c>
      <c r="I1076" s="10" t="n"/>
      <c r="J1076" s="10" t="n"/>
      <c r="K1076" s="10" t="inlineStr">
        <is>
          <t>"codEmployee.updatedBy": "អ្នកអាប់ដេត",</t>
        </is>
      </c>
      <c r="L1076" s="10" t="n"/>
      <c r="M1076" s="10" t="n"/>
      <c r="N1076" s="10" t="n"/>
      <c r="O1076" s="10" t="n"/>
      <c r="P1076" s="10" t="n"/>
      <c r="Q1076" s="10" t="n"/>
      <c r="R1076" s="10" t="n"/>
      <c r="S1076" s="10" t="n"/>
      <c r="T1076" s="10" t="n"/>
      <c r="U1076" s="10" t="n"/>
      <c r="V1076" s="10" t="n"/>
      <c r="W1076" s="10" t="n"/>
      <c r="X1076" s="10" t="n"/>
      <c r="Y1076" s="10" t="n"/>
      <c r="Z1076" s="10" t="n"/>
    </row>
    <row r="1077">
      <c r="A1077" s="27" t="inlineStr">
        <is>
          <t>codEmployee.confirm</t>
        </is>
      </c>
      <c r="B1077" s="27" t="inlineStr">
        <is>
          <t>Chốt thu</t>
        </is>
      </c>
      <c r="C1077" s="27" t="inlineStr">
        <is>
          <t>Confirm</t>
        </is>
      </c>
      <c r="D1077" s="21" t="n"/>
      <c r="E1077" s="102" t="inlineStr">
        <is>
          <t>បិទការប្រមូលប្រាក់</t>
        </is>
      </c>
      <c r="F1077" s="10" t="n"/>
      <c r="G1077" s="10" t="inlineStr">
        <is>
          <t>បិទការប្រមូលប្រាក់</t>
        </is>
      </c>
      <c r="H1077" s="10" t="inlineStr">
        <is>
          <t>បិទការប្រមូលប្រាក់</t>
        </is>
      </c>
      <c r="I1077" s="10" t="n"/>
      <c r="J1077" s="10" t="n"/>
      <c r="K1077" s="10" t="inlineStr">
        <is>
          <t>"codEmployee.confirm": "បិទការប្រមូលប្រាក់",</t>
        </is>
      </c>
      <c r="L1077" s="10" t="n"/>
      <c r="M1077" s="10" t="n"/>
      <c r="N1077" s="10" t="n"/>
      <c r="O1077" s="10" t="n"/>
      <c r="P1077" s="10" t="n"/>
      <c r="Q1077" s="10" t="n"/>
      <c r="R1077" s="10" t="n"/>
      <c r="S1077" s="10" t="n"/>
      <c r="T1077" s="10" t="n"/>
      <c r="U1077" s="10" t="n"/>
      <c r="V1077" s="10" t="n"/>
      <c r="W1077" s="10" t="n"/>
      <c r="X1077" s="10" t="n"/>
      <c r="Y1077" s="10" t="n"/>
      <c r="Z1077" s="10" t="n"/>
    </row>
    <row r="1078">
      <c r="A1078" s="27" t="inlineStr">
        <is>
          <t>codEmployee.confirmBank</t>
        </is>
      </c>
      <c r="B1078" s="27" t="inlineStr">
        <is>
          <t>Xác nhận tiền về</t>
        </is>
      </c>
      <c r="C1078" s="27" t="inlineStr">
        <is>
          <t>Confirm COD Receipt</t>
        </is>
      </c>
      <c r="D1078" s="27" t="inlineStr">
        <is>
          <t>បញ្ជាក់ប្រាក់ត្រឡប់</t>
        </is>
      </c>
      <c r="E1078" s="102" t="inlineStr">
        <is>
          <t>បញ្ជាក់ប្រាក់ត្រឡប់</t>
        </is>
      </c>
      <c r="F1078" s="10" t="n"/>
      <c r="G1078" s="10" t="inlineStr">
        <is>
          <t>បញ្ជាក់ប្រាក់ត្រឡប់</t>
        </is>
      </c>
      <c r="H1078" s="10" t="inlineStr">
        <is>
          <t>បញ្ជាក់ប្រាក់ត្រឡប់</t>
        </is>
      </c>
      <c r="I1078" s="10" t="n"/>
      <c r="J1078" s="10" t="n"/>
      <c r="K1078" s="10" t="inlineStr">
        <is>
          <t>"codEmployee.confirmBank": "បញ្ជាក់ប្រាក់ត្រឡប់",</t>
        </is>
      </c>
      <c r="L1078" s="10" t="n"/>
      <c r="M1078" s="10" t="n"/>
      <c r="N1078" s="10" t="n"/>
      <c r="O1078" s="10" t="n"/>
      <c r="P1078" s="10" t="n"/>
      <c r="Q1078" s="10" t="n"/>
      <c r="R1078" s="10" t="n"/>
      <c r="S1078" s="10" t="n"/>
      <c r="T1078" s="10" t="n"/>
      <c r="U1078" s="10" t="n"/>
      <c r="V1078" s="10" t="n"/>
      <c r="W1078" s="10" t="n"/>
      <c r="X1078" s="10" t="n"/>
      <c r="Y1078" s="10" t="n"/>
      <c r="Z1078" s="10" t="n"/>
    </row>
    <row r="1079">
      <c r="A1079" s="27" t="inlineStr">
        <is>
          <t>codEmployee.deleteCod</t>
        </is>
      </c>
      <c r="B1079" s="27" t="inlineStr">
        <is>
          <t>Xoá bảng kê</t>
        </is>
      </c>
      <c r="C1079" s="27" t="inlineStr">
        <is>
          <t>Delete statement</t>
        </is>
      </c>
      <c r="D1079" s="21" t="inlineStr">
        <is>
          <t>លុុបតារាងចោល</t>
        </is>
      </c>
      <c r="E1079" s="102" t="inlineStr">
        <is>
          <t>លុបចោលតារាង</t>
        </is>
      </c>
      <c r="F1079" s="10" t="n"/>
      <c r="G1079" s="10" t="inlineStr">
        <is>
          <t>លុបចោលតារាង</t>
        </is>
      </c>
      <c r="H1079" s="10" t="inlineStr">
        <is>
          <t>លុបចោលតារាង</t>
        </is>
      </c>
      <c r="I1079" s="10" t="n"/>
      <c r="J1079" s="10" t="n"/>
      <c r="K1079" s="10" t="inlineStr">
        <is>
          <t>"codEmployee.deleteCod": "លុបចោលតារាង",</t>
        </is>
      </c>
      <c r="L1079" s="10" t="n"/>
      <c r="M1079" s="10" t="n"/>
      <c r="N1079" s="10" t="n"/>
      <c r="O1079" s="10" t="n"/>
      <c r="P1079" s="10" t="n"/>
      <c r="Q1079" s="10" t="n"/>
      <c r="R1079" s="10" t="n"/>
      <c r="S1079" s="10" t="n"/>
      <c r="T1079" s="10" t="n"/>
      <c r="U1079" s="10" t="n"/>
      <c r="V1079" s="10" t="n"/>
      <c r="W1079" s="10" t="n"/>
      <c r="X1079" s="10" t="n"/>
      <c r="Y1079" s="10" t="n"/>
      <c r="Z1079" s="10" t="n"/>
    </row>
    <row r="1080">
      <c r="A1080" s="27" t="inlineStr">
        <is>
          <t>codEmployee.print</t>
        </is>
      </c>
      <c r="B1080" s="27" t="inlineStr">
        <is>
          <t>In</t>
        </is>
      </c>
      <c r="C1080" s="27" t="inlineStr">
        <is>
          <t>Print</t>
        </is>
      </c>
      <c r="D1080" s="21" t="inlineStr">
        <is>
          <t>ព្រីន</t>
        </is>
      </c>
      <c r="E1080" s="102" t="inlineStr">
        <is>
          <t>ព្រីន</t>
        </is>
      </c>
      <c r="F1080" s="10" t="n"/>
      <c r="G1080" s="10" t="inlineStr">
        <is>
          <t>ព្រីន</t>
        </is>
      </c>
      <c r="H1080" s="10" t="inlineStr">
        <is>
          <t>ព្រីន</t>
        </is>
      </c>
      <c r="I1080" s="10" t="n"/>
      <c r="J1080" s="10" t="n"/>
      <c r="K1080" s="10" t="inlineStr">
        <is>
          <t>"codEmployee.print": "ព្រីន",</t>
        </is>
      </c>
      <c r="L1080" s="10" t="n"/>
      <c r="M1080" s="10" t="n"/>
      <c r="N1080" s="10" t="n"/>
      <c r="O1080" s="10" t="n"/>
      <c r="P1080" s="10" t="n"/>
      <c r="Q1080" s="10" t="n"/>
      <c r="R1080" s="10" t="n"/>
      <c r="S1080" s="10" t="n"/>
      <c r="T1080" s="10" t="n"/>
      <c r="U1080" s="10" t="n"/>
      <c r="V1080" s="10" t="n"/>
      <c r="W1080" s="10" t="n"/>
      <c r="X1080" s="10" t="n"/>
      <c r="Y1080" s="10" t="n"/>
      <c r="Z1080" s="10" t="n"/>
    </row>
    <row r="1081">
      <c r="A1081" s="27" t="inlineStr">
        <is>
          <t>codEmployee.excel</t>
        </is>
      </c>
      <c r="B1081" s="27" t="inlineStr">
        <is>
          <t>Xuất Excel</t>
        </is>
      </c>
      <c r="C1081" s="27" t="inlineStr">
        <is>
          <t>Export to Excel</t>
        </is>
      </c>
      <c r="D1081" s="21" t="inlineStr">
        <is>
          <t>ចេញពី Excel</t>
        </is>
      </c>
      <c r="E1081" s="102" t="inlineStr">
        <is>
          <t>ចេញ Excel</t>
        </is>
      </c>
      <c r="F1081" s="10" t="n"/>
      <c r="G1081" s="10" t="inlineStr">
        <is>
          <t>ចេញ Excel</t>
        </is>
      </c>
      <c r="H1081" s="10" t="inlineStr">
        <is>
          <t>ចេញ Excel</t>
        </is>
      </c>
      <c r="I1081" s="10" t="n"/>
      <c r="J1081" s="10" t="n"/>
      <c r="K1081" s="10" t="inlineStr">
        <is>
          <t>"codEmployee.excel": "ចេញ Excel",</t>
        </is>
      </c>
      <c r="L1081" s="10" t="n"/>
      <c r="M1081" s="10" t="n"/>
      <c r="N1081" s="10" t="n"/>
      <c r="O1081" s="10" t="n"/>
      <c r="P1081" s="10" t="n"/>
      <c r="Q1081" s="10" t="n"/>
      <c r="R1081" s="10" t="n"/>
      <c r="S1081" s="10" t="n"/>
      <c r="T1081" s="10" t="n"/>
      <c r="U1081" s="10" t="n"/>
      <c r="V1081" s="10" t="n"/>
      <c r="W1081" s="10" t="n"/>
      <c r="X1081" s="10" t="n"/>
      <c r="Y1081" s="10" t="n"/>
      <c r="Z1081" s="10" t="n"/>
    </row>
    <row r="1082">
      <c r="A1082" s="27" t="inlineStr">
        <is>
          <t>codEmployee.detailCod</t>
        </is>
      </c>
      <c r="B1082" s="27" t="inlineStr">
        <is>
          <t>Chi tiết bảng kê</t>
        </is>
      </c>
      <c r="C1082" s="27" t="inlineStr">
        <is>
          <t>Details</t>
        </is>
      </c>
      <c r="D1082" s="21" t="inlineStr">
        <is>
          <t>លម្អិតពីតារាង</t>
        </is>
      </c>
      <c r="E1082" s="102" t="inlineStr">
        <is>
          <t>លម្អិតពីតារាង</t>
        </is>
      </c>
      <c r="F1082" s="10" t="n"/>
      <c r="G1082" s="10" t="inlineStr">
        <is>
          <t>លម្អិតពីតារាង</t>
        </is>
      </c>
      <c r="H1082" s="10" t="inlineStr">
        <is>
          <t>លម្អិតពីតារាង</t>
        </is>
      </c>
      <c r="I1082" s="10" t="n"/>
      <c r="J1082" s="10" t="n"/>
      <c r="K1082" s="10" t="inlineStr">
        <is>
          <t>"codEmployee.detailCod": "លម្អិតពីតារាង",</t>
        </is>
      </c>
      <c r="L1082" s="10" t="n"/>
      <c r="M1082" s="10" t="n"/>
      <c r="N1082" s="10" t="n"/>
      <c r="O1082" s="10" t="n"/>
      <c r="P1082" s="10" t="n"/>
      <c r="Q1082" s="10" t="n"/>
      <c r="R1082" s="10" t="n"/>
      <c r="S1082" s="10" t="n"/>
      <c r="T1082" s="10" t="n"/>
      <c r="U1082" s="10" t="n"/>
      <c r="V1082" s="10" t="n"/>
      <c r="W1082" s="10" t="n"/>
      <c r="X1082" s="10" t="n"/>
      <c r="Y1082" s="10" t="n"/>
      <c r="Z1082" s="10" t="n"/>
    </row>
    <row r="1083">
      <c r="A1083" s="27" t="inlineStr">
        <is>
          <t>codEmployee.dateDeliveryBill</t>
        </is>
      </c>
      <c r="B1083" s="27" t="inlineStr">
        <is>
          <t>Ngày phát thành công</t>
        </is>
      </c>
      <c r="C1083" s="27" t="inlineStr">
        <is>
          <t>Delivered on</t>
        </is>
      </c>
      <c r="D1083" s="21" t="inlineStr">
        <is>
          <t>ថ្ងៃប្រគល់អីវ៉ាន់បានជោគជ័យ</t>
        </is>
      </c>
      <c r="E1083" s="102" t="inlineStr">
        <is>
          <t>ថ្ងៃចែកចាយបានជោគជ័យ</t>
        </is>
      </c>
      <c r="F1083" s="10" t="n"/>
      <c r="G1083" s="10" t="inlineStr">
        <is>
          <t>កាលបរិច្ឆេទដឹកជញ្ជូនជោគជ័យ</t>
        </is>
      </c>
      <c r="H1083" s="10" t="inlineStr">
        <is>
          <t>កាលបរិច្ឆេទដឹកជញ្ជូនជោគជ័យ</t>
        </is>
      </c>
      <c r="I1083" s="10" t="n"/>
      <c r="J1083" s="10" t="n"/>
      <c r="K1083" s="10" t="inlineStr">
        <is>
          <t>"codEmployee.dateDeliveryBill": "កាលបរិច្ឆេទដឹកជញ្ជូនជោគជ័យ",</t>
        </is>
      </c>
      <c r="L1083" s="10" t="n"/>
      <c r="M1083" s="10" t="n"/>
      <c r="N1083" s="10" t="n"/>
      <c r="O1083" s="10" t="n"/>
      <c r="P1083" s="10" t="n"/>
      <c r="Q1083" s="10" t="n"/>
      <c r="R1083" s="10" t="n"/>
      <c r="S1083" s="10" t="n"/>
      <c r="T1083" s="10" t="n"/>
      <c r="U1083" s="10" t="n"/>
      <c r="V1083" s="10" t="n"/>
      <c r="W1083" s="10" t="n"/>
      <c r="X1083" s="10" t="n"/>
      <c r="Y1083" s="10" t="n"/>
      <c r="Z1083" s="10" t="n"/>
    </row>
    <row r="1084">
      <c r="A1084" s="27" t="inlineStr">
        <is>
          <t>codEmployee.enterOrderCode</t>
        </is>
      </c>
      <c r="B1084" s="27" t="inlineStr">
        <is>
          <t>Nhập mã vận đơn</t>
        </is>
      </c>
      <c r="C1084" s="27" t="inlineStr">
        <is>
          <t>Enter order ID</t>
        </is>
      </c>
      <c r="D1084" s="21" t="inlineStr">
        <is>
          <t>បញ្ចូលលេខកូដបុងដឹកជញ្ជូន</t>
        </is>
      </c>
      <c r="E1084" s="102" t="inlineStr">
        <is>
          <t>បញ្ចូលលេខកូដដឹកជញ្ជូន</t>
        </is>
      </c>
      <c r="F1084" s="10" t="n"/>
      <c r="G1084" s="10" t="inlineStr">
        <is>
          <t>បញ្ចូលលេខកូដដឹកជញ្ជូន</t>
        </is>
      </c>
      <c r="H1084" s="10" t="inlineStr">
        <is>
          <t>បញ្ចូលលេខកូដដឹកជញ្ជូន</t>
        </is>
      </c>
      <c r="I1084" s="10" t="n"/>
      <c r="J1084" s="10" t="n"/>
      <c r="K1084" s="10" t="inlineStr">
        <is>
          <t>"codEmployee.enterOrderCode": "បញ្ចូលលេខកូដដឹកជញ្ជូន",</t>
        </is>
      </c>
      <c r="L1084" s="10" t="n"/>
      <c r="M1084" s="10" t="n"/>
      <c r="N1084" s="10" t="n"/>
      <c r="O1084" s="10" t="n"/>
      <c r="P1084" s="10" t="n"/>
      <c r="Q1084" s="10" t="n"/>
      <c r="R1084" s="10" t="n"/>
      <c r="S1084" s="10" t="n"/>
      <c r="T1084" s="10" t="n"/>
      <c r="U1084" s="10" t="n"/>
      <c r="V1084" s="10" t="n"/>
      <c r="W1084" s="10" t="n"/>
      <c r="X1084" s="10" t="n"/>
      <c r="Y1084" s="10" t="n"/>
      <c r="Z1084" s="10" t="n"/>
    </row>
    <row r="1085">
      <c r="A1085" s="27" t="inlineStr">
        <is>
          <t>codEmployee.addOrderCode</t>
        </is>
      </c>
      <c r="B1085" s="27" t="inlineStr">
        <is>
          <t>Thêm vận đơn</t>
        </is>
      </c>
      <c r="C1085" s="27" t="inlineStr">
        <is>
          <t>Add order</t>
        </is>
      </c>
      <c r="D1085" s="102" t="inlineStr">
        <is>
          <t>បន្ថែមបុងដឹកជញ្ជូន</t>
        </is>
      </c>
      <c r="E1085" s="102" t="inlineStr">
        <is>
          <t>បន្ថែមការដឹកជញ្ជូន</t>
        </is>
      </c>
      <c r="F1085" s="10" t="n"/>
      <c r="G1085" s="10" t="inlineStr">
        <is>
          <t>បន្ថែមការដឹកជញ្ជូន</t>
        </is>
      </c>
      <c r="H1085" s="10" t="inlineStr">
        <is>
          <t>បន្ថែមការដឹកជញ្ជូន</t>
        </is>
      </c>
      <c r="I1085" s="10" t="n"/>
      <c r="J1085" s="10" t="n"/>
      <c r="K1085" s="10" t="inlineStr">
        <is>
          <t>"codEmployee.addOrderCode": "បន្ថែមការដឹកជញ្ជូន",</t>
        </is>
      </c>
      <c r="L1085" s="10" t="n"/>
      <c r="M1085" s="10" t="n"/>
      <c r="N1085" s="10" t="n"/>
      <c r="O1085" s="10" t="n"/>
      <c r="P1085" s="10" t="n"/>
      <c r="Q1085" s="10" t="n"/>
      <c r="R1085" s="10" t="n"/>
      <c r="S1085" s="10" t="n"/>
      <c r="T1085" s="10" t="n"/>
      <c r="U1085" s="10" t="n"/>
      <c r="V1085" s="10" t="n"/>
      <c r="W1085" s="10" t="n"/>
      <c r="X1085" s="10" t="n"/>
      <c r="Y1085" s="10" t="n"/>
      <c r="Z1085" s="10" t="n"/>
    </row>
    <row r="1086">
      <c r="A1086" s="27" t="inlineStr">
        <is>
          <t>codEmployee.deleteOrder</t>
        </is>
      </c>
      <c r="B1086" s="27" t="inlineStr">
        <is>
          <t>Loại vận đơn</t>
        </is>
      </c>
      <c r="C1086" s="27" t="inlineStr">
        <is>
          <t>Remove order</t>
        </is>
      </c>
      <c r="D1086" s="102" t="inlineStr">
        <is>
          <t>ប្រភេទបុងដឹកជញ្ជូន</t>
        </is>
      </c>
      <c r="E1086" s="102" t="inlineStr">
        <is>
          <t>ប្រភេទបុងបញ្ញើ</t>
        </is>
      </c>
      <c r="F1086" s="10" t="n"/>
      <c r="G1086" s="10" t="inlineStr">
        <is>
          <t>ប្រភេទបុងបញ្ញើ</t>
        </is>
      </c>
      <c r="H1086" s="10" t="inlineStr">
        <is>
          <t>ប្រភេទបុងបញ្ញើ</t>
        </is>
      </c>
      <c r="I1086" s="10" t="n"/>
      <c r="J1086" s="10" t="n"/>
      <c r="K1086" s="10" t="inlineStr">
        <is>
          <t>"codEmployee.deleteOrder": "ប្រភេទបុងបញ្ញើ",</t>
        </is>
      </c>
      <c r="L1086" s="10" t="n"/>
      <c r="M1086" s="10" t="n"/>
      <c r="N1086" s="10" t="n"/>
      <c r="O1086" s="10" t="n"/>
      <c r="P1086" s="10" t="n"/>
      <c r="Q1086" s="10" t="n"/>
      <c r="R1086" s="10" t="n"/>
      <c r="S1086" s="10" t="n"/>
      <c r="T1086" s="10" t="n"/>
      <c r="U1086" s="10" t="n"/>
      <c r="V1086" s="10" t="n"/>
      <c r="W1086" s="10" t="n"/>
      <c r="X1086" s="10" t="n"/>
      <c r="Y1086" s="10" t="n"/>
      <c r="Z1086" s="10" t="n"/>
    </row>
    <row r="1087">
      <c r="A1087" s="27" t="inlineStr">
        <is>
          <t>codEmployee.createSameEmployee</t>
        </is>
      </c>
      <c r="B1087" s="27" t="inlineStr">
        <is>
          <t>Vui lòng chỉ chọn 1 bưu tá để tạo bảng kê</t>
        </is>
      </c>
      <c r="C1087" s="27" t="inlineStr">
        <is>
          <t>Please select only one postman to create a statement</t>
        </is>
      </c>
      <c r="D1087" s="21" t="inlineStr">
        <is>
          <t>សូមគ្រាន់តែចុចអ្នកដឹកជញ្ជូន១ដើម្បីបង្កើតតារាង</t>
        </is>
      </c>
      <c r="E1087" s="102" t="inlineStr">
        <is>
          <t>សូមជ្រើសរើសតែអ្នកដឹកជញ្ជូនម្នាក់ដើម្បីបង្កើតបុងបញ្ញើ</t>
        </is>
      </c>
      <c r="F1087" s="10" t="n"/>
      <c r="G1087" s="10" t="inlineStr">
        <is>
          <t>សូមជ្រើសរើសតែអ្នកដឹកជញ្ជូនម្នាក់ដើម្បីបង្កើតបុងបញ្ញើ</t>
        </is>
      </c>
      <c r="H1087" s="10" t="inlineStr">
        <is>
          <t>សូមជ្រើសរើសតែអ្នកដឹកជញ្ជូនម្នាក់ដើម្បីបង្កើតបុងបញ្ញើ</t>
        </is>
      </c>
      <c r="I1087" s="10" t="n"/>
      <c r="J1087" s="10" t="n"/>
      <c r="K1087" s="10" t="inlineStr">
        <is>
          <t>"codEmployee.createSameEmployee": "សូមជ្រើសរើសតែអ្នកដឹកជញ្ជូនម្នាក់ដើម្បីបង្កើតបុងបញ្ញើ",</t>
        </is>
      </c>
      <c r="L1087" s="10" t="n"/>
      <c r="M1087" s="10" t="n"/>
      <c r="N1087" s="10" t="n"/>
      <c r="O1087" s="10" t="n"/>
      <c r="P1087" s="10" t="n"/>
      <c r="Q1087" s="10" t="n"/>
      <c r="R1087" s="10" t="n"/>
      <c r="S1087" s="10" t="n"/>
      <c r="T1087" s="10" t="n"/>
      <c r="U1087" s="10" t="n"/>
      <c r="V1087" s="10" t="n"/>
      <c r="W1087" s="10" t="n"/>
      <c r="X1087" s="10" t="n"/>
      <c r="Y1087" s="10" t="n"/>
      <c r="Z1087" s="10" t="n"/>
    </row>
    <row r="1088">
      <c r="A1088" s="27" t="inlineStr">
        <is>
          <t>codEmployee.payCod</t>
        </is>
      </c>
      <c r="B1088" s="27" t="inlineStr">
        <is>
          <t>Tiền phải thu</t>
        </is>
      </c>
      <c r="C1088" s="27" t="inlineStr">
        <is>
          <t>Amounts</t>
        </is>
      </c>
      <c r="D1088" s="21" t="inlineStr">
        <is>
          <t>ប្រាក់ត្រូវប្រមូល</t>
        </is>
      </c>
      <c r="E1088" s="102" t="inlineStr">
        <is>
          <t>ប្រាក់ដែលត្រូវប្រមូល</t>
        </is>
      </c>
      <c r="F1088" s="10" t="n"/>
      <c r="G1088" s="10" t="inlineStr">
        <is>
          <t>ប្រាក់ដែលត្រូវប្រមូល</t>
        </is>
      </c>
      <c r="H1088" s="10" t="inlineStr">
        <is>
          <t>ប្រាក់ដែលត្រូវប្រមូល</t>
        </is>
      </c>
      <c r="I1088" s="10" t="n"/>
      <c r="J1088" s="10" t="n"/>
      <c r="K1088" s="10" t="inlineStr">
        <is>
          <t>"codEmployee.payCod": "ប្រាក់ដែលត្រូវប្រមូល",</t>
        </is>
      </c>
      <c r="L1088" s="10" t="n"/>
      <c r="M1088" s="10" t="n"/>
      <c r="N1088" s="10" t="n"/>
      <c r="O1088" s="10" t="n"/>
      <c r="P1088" s="10" t="n"/>
      <c r="Q1088" s="10" t="n"/>
      <c r="R1088" s="10" t="n"/>
      <c r="S1088" s="10" t="n"/>
      <c r="T1088" s="10" t="n"/>
      <c r="U1088" s="10" t="n"/>
      <c r="V1088" s="10" t="n"/>
      <c r="W1088" s="10" t="n"/>
      <c r="X1088" s="10" t="n"/>
      <c r="Y1088" s="10" t="n"/>
      <c r="Z1088" s="10" t="n"/>
    </row>
    <row r="1089">
      <c r="A1089" s="27" t="inlineStr">
        <is>
          <t>codEmployee.emptyOrderCode</t>
        </is>
      </c>
      <c r="B1089" s="27" t="inlineStr">
        <is>
          <t>Vui lòng nhập mã vận đơn</t>
        </is>
      </c>
      <c r="C1089" s="27" t="inlineStr">
        <is>
          <t>Please enter an order ID</t>
        </is>
      </c>
      <c r="D1089" s="21" t="inlineStr">
        <is>
          <t>សូមបញ្ចូលលេខកូូដដឹកជញ្ជូន</t>
        </is>
      </c>
      <c r="E1089" s="102" t="inlineStr">
        <is>
          <t>សូមបញ្ចូលលេខកូដដឹកជញ្ជូន</t>
        </is>
      </c>
      <c r="F1089" s="10" t="n"/>
      <c r="G1089" s="10" t="inlineStr">
        <is>
          <t>សូមបញ្ចូលលេខកូដដឹកជញ្ជូន</t>
        </is>
      </c>
      <c r="H1089" s="10" t="inlineStr">
        <is>
          <t>សូមបញ្ចូលលេខកូដដឹកជញ្ជូន</t>
        </is>
      </c>
      <c r="I1089" s="10" t="n"/>
      <c r="J1089" s="10" t="n"/>
      <c r="K1089" s="10" t="inlineStr">
        <is>
          <t>"codEmployee.emptyOrderCode": "សូមបញ្ចូលលេខកូដដឹកជញ្ជូន",</t>
        </is>
      </c>
      <c r="L1089" s="10" t="n"/>
      <c r="M1089" s="10" t="n"/>
      <c r="N1089" s="10" t="n"/>
      <c r="O1089" s="10" t="n"/>
      <c r="P1089" s="10" t="n"/>
      <c r="Q1089" s="10" t="n"/>
      <c r="R1089" s="10" t="n"/>
      <c r="S1089" s="10" t="n"/>
      <c r="T1089" s="10" t="n"/>
      <c r="U1089" s="10" t="n"/>
      <c r="V1089" s="10" t="n"/>
      <c r="W1089" s="10" t="n"/>
      <c r="X1089" s="10" t="n"/>
      <c r="Y1089" s="10" t="n"/>
      <c r="Z1089" s="10" t="n"/>
    </row>
    <row r="1090">
      <c r="A1090" s="27" t="inlineStr">
        <is>
          <t>codEmployee.emptySelectOrderCode</t>
        </is>
      </c>
      <c r="B1090" s="27" t="inlineStr">
        <is>
          <t>Vui lòng chọn đơn để loại bỏ</t>
        </is>
      </c>
      <c r="C1090" s="27" t="inlineStr">
        <is>
          <t>Please select an order to remove</t>
        </is>
      </c>
      <c r="D1090" s="21" t="n"/>
      <c r="E1090" s="102" t="inlineStr">
        <is>
          <t>សូមជ្រើសរើសបុងបញ្ញើដើម្បីលុបចេញ</t>
        </is>
      </c>
      <c r="F1090" s="10" t="n"/>
      <c r="G1090" s="10" t="inlineStr">
        <is>
          <t>សូមជ្រើសរើសបុងបញ្ញើដើម្បីលុបចេញ</t>
        </is>
      </c>
      <c r="H1090" s="10" t="inlineStr">
        <is>
          <t>សូមជ្រើសរើសបុងបញ្ញើដើម្បីលុបចេញ</t>
        </is>
      </c>
      <c r="I1090" s="10" t="n"/>
      <c r="J1090" s="10" t="n"/>
      <c r="K1090" s="10" t="inlineStr">
        <is>
          <t>"codEmployee.emptySelectOrderCode": "សូមជ្រើសរើសបុងបញ្ញើដើម្បីលុបចេញ",</t>
        </is>
      </c>
      <c r="L1090" s="10" t="n"/>
      <c r="M1090" s="10" t="n"/>
      <c r="N1090" s="10" t="n"/>
      <c r="O1090" s="10" t="n"/>
      <c r="P1090" s="10" t="n"/>
      <c r="Q1090" s="10" t="n"/>
      <c r="R1090" s="10" t="n"/>
      <c r="S1090" s="10" t="n"/>
      <c r="T1090" s="10" t="n"/>
      <c r="U1090" s="10" t="n"/>
      <c r="V1090" s="10" t="n"/>
      <c r="W1090" s="10" t="n"/>
      <c r="X1090" s="10" t="n"/>
      <c r="Y1090" s="10" t="n"/>
      <c r="Z1090" s="10" t="n"/>
    </row>
    <row r="1091">
      <c r="A1091" s="27" t="inlineStr">
        <is>
          <t>codEmployee.totalMoney</t>
        </is>
      </c>
      <c r="B1091" s="27" t="inlineStr">
        <is>
          <t>Tổng tiền</t>
        </is>
      </c>
      <c r="C1091" s="27" t="inlineStr">
        <is>
          <t>Total amounts</t>
        </is>
      </c>
      <c r="D1091" s="21" t="inlineStr">
        <is>
          <t>សរុបបប្រាក់</t>
        </is>
      </c>
      <c r="E1091" s="102" t="inlineStr">
        <is>
          <t>សរុបប្រាក់</t>
        </is>
      </c>
      <c r="F1091" s="10" t="n"/>
      <c r="G1091" s="10" t="inlineStr">
        <is>
          <t>ចំនួនទឹកប្រាក់សរុប</t>
        </is>
      </c>
      <c r="H1091" s="10" t="inlineStr">
        <is>
          <t>ចំនួនទឹកប្រាក់សរុប</t>
        </is>
      </c>
      <c r="I1091" s="10" t="n"/>
      <c r="J1091" s="10" t="n"/>
      <c r="K1091" s="10" t="inlineStr">
        <is>
          <t>"codEmployee.totalMoney": "ចំនួនទឹកប្រាក់សរុប",</t>
        </is>
      </c>
      <c r="L1091" s="10" t="n"/>
      <c r="M1091" s="10" t="n"/>
      <c r="N1091" s="10" t="n"/>
      <c r="O1091" s="10" t="n"/>
      <c r="P1091" s="10" t="n"/>
      <c r="Q1091" s="10" t="n"/>
      <c r="R1091" s="10" t="n"/>
      <c r="S1091" s="10" t="n"/>
      <c r="T1091" s="10" t="n"/>
      <c r="U1091" s="10" t="n"/>
      <c r="V1091" s="10" t="n"/>
      <c r="W1091" s="10" t="n"/>
      <c r="X1091" s="10" t="n"/>
      <c r="Y1091" s="10" t="n"/>
      <c r="Z1091" s="10" t="n"/>
    </row>
    <row r="1092">
      <c r="A1092" s="27" t="inlineStr">
        <is>
          <t>codEmployee.route</t>
        </is>
      </c>
      <c r="B1092" s="27" t="inlineStr">
        <is>
          <t>Tên tuyến</t>
        </is>
      </c>
      <c r="C1092" s="27" t="inlineStr">
        <is>
          <t>Route name</t>
        </is>
      </c>
      <c r="D1092" s="21" t="inlineStr">
        <is>
          <t>ឈ្មោះផ្លូវដឹក</t>
        </is>
      </c>
      <c r="E1092" s="102" t="inlineStr">
        <is>
          <t>ឈ្មោះផ្លូវដឹកជញ្ជូន</t>
        </is>
      </c>
      <c r="F1092" s="10" t="n"/>
      <c r="G1092" s="10" t="inlineStr">
        <is>
          <t>ឈ្មោះផ្លូវដឹកជញ្ជូន</t>
        </is>
      </c>
      <c r="H1092" s="10" t="inlineStr">
        <is>
          <t>ឈ្មោះផ្លូវដឹកជញ្ជូន</t>
        </is>
      </c>
      <c r="I1092" s="10" t="n"/>
      <c r="J1092" s="10" t="n"/>
      <c r="K1092" s="10" t="inlineStr">
        <is>
          <t>"codEmployee.route": "ឈ្មោះផ្លូវដឹកជញ្ជូន",</t>
        </is>
      </c>
      <c r="L1092" s="10" t="n"/>
      <c r="M1092" s="10" t="n"/>
      <c r="N1092" s="10" t="n"/>
      <c r="O1092" s="10" t="n"/>
      <c r="P1092" s="10" t="n"/>
      <c r="Q1092" s="10" t="n"/>
      <c r="R1092" s="10" t="n"/>
      <c r="S1092" s="10" t="n"/>
      <c r="T1092" s="10" t="n"/>
      <c r="U1092" s="10" t="n"/>
      <c r="V1092" s="10" t="n"/>
      <c r="W1092" s="10" t="n"/>
      <c r="X1092" s="10" t="n"/>
      <c r="Y1092" s="10" t="n"/>
      <c r="Z1092" s="10" t="n"/>
    </row>
    <row r="1093">
      <c r="A1093" s="27" t="inlineStr">
        <is>
          <t>codEmployee.deliveredAt</t>
        </is>
      </c>
      <c r="B1093" s="27" t="inlineStr">
        <is>
          <t>Ngày phát thành công</t>
        </is>
      </c>
      <c r="C1093" s="27" t="inlineStr">
        <is>
          <t>Delivered on</t>
        </is>
      </c>
      <c r="D1093" s="21" t="inlineStr">
        <is>
          <t>ថ្ងៃប្រគល់អីវ៉ាន់បានជោគជ័យ</t>
        </is>
      </c>
      <c r="E1093" s="102" t="inlineStr">
        <is>
          <t>ថ្ងៃចែកចាយបានជោគជ័យ</t>
        </is>
      </c>
      <c r="F1093" s="10" t="n"/>
      <c r="G1093" s="10" t="inlineStr">
        <is>
          <t>កាលបរិច្ឆេទដឹកជញ្ជូនជោគជ័យ</t>
        </is>
      </c>
      <c r="H1093" s="10" t="inlineStr">
        <is>
          <t>កាលបរិច្ឆេទដឹកជញ្ជូនជោគជ័យ</t>
        </is>
      </c>
      <c r="I1093" s="10" t="n"/>
      <c r="J1093" s="10" t="n"/>
      <c r="K1093" s="10" t="inlineStr">
        <is>
          <t>"codEmployee.deliveredAt": "កាលបរិច្ឆេទដឹកជញ្ជូនជោគជ័យ",</t>
        </is>
      </c>
      <c r="L1093" s="10" t="n"/>
      <c r="M1093" s="10" t="n"/>
      <c r="N1093" s="10" t="n"/>
      <c r="O1093" s="10" t="n"/>
      <c r="P1093" s="10" t="n"/>
      <c r="Q1093" s="10" t="n"/>
      <c r="R1093" s="10" t="n"/>
      <c r="S1093" s="10" t="n"/>
      <c r="T1093" s="10" t="n"/>
      <c r="U1093" s="10" t="n"/>
      <c r="V1093" s="10" t="n"/>
      <c r="W1093" s="10" t="n"/>
      <c r="X1093" s="10" t="n"/>
      <c r="Y1093" s="10" t="n"/>
      <c r="Z1093" s="10" t="n"/>
    </row>
    <row r="1094">
      <c r="A1094" s="27" t="inlineStr">
        <is>
          <t>codEmployee.cod</t>
        </is>
      </c>
      <c r="B1094" s="27" t="inlineStr">
        <is>
          <t>Phải thu</t>
        </is>
      </c>
      <c r="C1094" s="27" t="inlineStr">
        <is>
          <t>COD</t>
        </is>
      </c>
      <c r="D1094" s="21" t="inlineStr">
        <is>
          <t>ត្រូវប្រមូល</t>
        </is>
      </c>
      <c r="E1094" s="102" t="inlineStr">
        <is>
          <t>ត្រូវប្រមូល</t>
        </is>
      </c>
      <c r="F1094" s="10" t="n"/>
      <c r="G1094" s="10" t="inlineStr">
        <is>
          <t>ត្រូវប្រមូល</t>
        </is>
      </c>
      <c r="H1094" s="10" t="inlineStr">
        <is>
          <t>ត្រូវប្រមូល</t>
        </is>
      </c>
      <c r="I1094" s="10" t="n"/>
      <c r="J1094" s="10" t="n"/>
      <c r="K1094" s="10" t="inlineStr">
        <is>
          <t>"codEmployee.cod": "ត្រូវប្រមូល",</t>
        </is>
      </c>
      <c r="L1094" s="10" t="n"/>
      <c r="M1094" s="10" t="n"/>
      <c r="N1094" s="10" t="n"/>
      <c r="O1094" s="10" t="n"/>
      <c r="P1094" s="10" t="n"/>
      <c r="Q1094" s="10" t="n"/>
      <c r="R1094" s="10" t="n"/>
      <c r="S1094" s="10" t="n"/>
      <c r="T1094" s="10" t="n"/>
      <c r="U1094" s="10" t="n"/>
      <c r="V1094" s="10" t="n"/>
      <c r="W1094" s="10" t="n"/>
      <c r="X1094" s="10" t="n"/>
      <c r="Y1094" s="10" t="n"/>
      <c r="Z1094" s="10" t="n"/>
    </row>
    <row r="1095">
      <c r="A1095" s="27" t="inlineStr">
        <is>
          <t>codEmployee.confirmError</t>
        </is>
      </c>
      <c r="B1095" s="27" t="inlineStr">
        <is>
          <t>Chỉ user tạo bảng kê mới có quyền thực hiện thao tác này</t>
        </is>
      </c>
      <c r="C1095" s="27" t="inlineStr">
        <is>
          <t>Only the user who created the statement has permission to perform this action</t>
        </is>
      </c>
      <c r="D1095" s="21" t="n"/>
      <c r="E1095" s="90" t="inlineStr">
        <is>
          <t>មានតែអ្នកប្រើដែលបង្កើតតារាងថ្មីមានសិទ្ធិអនុវត្តកម្មវិធីនេះ</t>
        </is>
      </c>
      <c r="F1095" s="10" t="n"/>
      <c r="G1095" s="10" t="inlineStr">
        <is>
          <t>មានតែអ្នកប្រើដែលបង្កើតតារាងថ្មីមានសិទ្ធិអនុវត្តកម្មវិធីនេះ</t>
        </is>
      </c>
      <c r="H1095" s="10" t="inlineStr">
        <is>
          <t>មានតែអ្នកប្រើដែលបង្កើតតារាងថ្មីមានសិទ្ធិអនុវត្តកម្មវិធីនេះ</t>
        </is>
      </c>
      <c r="I1095" s="10" t="n"/>
      <c r="J1095" s="10" t="n"/>
      <c r="K1095" s="10" t="inlineStr">
        <is>
          <t>"codEmployee.confirmError": "មានតែអ្នកប្រើដែលបង្កើតតារាងថ្មីមានសិទ្ធិអនុវត្តកម្មវិធីនេះ",</t>
        </is>
      </c>
      <c r="L1095" s="10" t="n"/>
      <c r="M1095" s="10" t="n"/>
      <c r="N1095" s="10" t="n"/>
      <c r="O1095" s="10" t="n"/>
      <c r="P1095" s="10" t="n"/>
      <c r="Q1095" s="10" t="n"/>
      <c r="R1095" s="10" t="n"/>
      <c r="S1095" s="10" t="n"/>
      <c r="T1095" s="10" t="n"/>
      <c r="U1095" s="10" t="n"/>
      <c r="V1095" s="10" t="n"/>
      <c r="W1095" s="10" t="n"/>
      <c r="X1095" s="10" t="n"/>
      <c r="Y1095" s="10" t="n"/>
      <c r="Z1095" s="10" t="n"/>
    </row>
    <row r="1096">
      <c r="A1096" s="27" t="inlineStr">
        <is>
          <t>codEmployee.emptyBill</t>
        </is>
      </c>
      <c r="B1096" s="27" t="inlineStr">
        <is>
          <t>Không tìm thấy mã vận đơn phù hợp</t>
        </is>
      </c>
      <c r="C1096" s="27" t="inlineStr">
        <is>
          <t>No matching order ID found</t>
        </is>
      </c>
      <c r="D1096" s="21" t="inlineStr">
        <is>
          <t>មិនស្វែងរកឃើញលេខកូូដបុងដឹកជញ្ជូនដែលសមស្រប</t>
        </is>
      </c>
      <c r="E1096" s="102" t="inlineStr">
        <is>
          <t>មិនអាចស្វែងរកលេខកូដដឹកជញ្ជូនបានសមស្រប</t>
        </is>
      </c>
      <c r="F1096" s="10" t="n"/>
      <c r="G1096" s="10" t="inlineStr">
        <is>
          <t>មិនអាចស្វែងរកលេខកូដដឹកជញ្ជូនបានសមស្រប</t>
        </is>
      </c>
      <c r="H1096" s="10" t="inlineStr">
        <is>
          <t>មិនអាចស្វែងរកលេខកូដដឹកជញ្ជូនបានសមស្រប</t>
        </is>
      </c>
      <c r="I1096" s="10" t="n"/>
      <c r="J1096" s="10" t="n"/>
      <c r="K1096" s="10" t="inlineStr">
        <is>
          <t>"codEmployee.emptyBill": "មិនអាចស្វែងរកលេខកូដដឹកជញ្ជូនបានសមស្រប",</t>
        </is>
      </c>
      <c r="L1096" s="10" t="n"/>
      <c r="M1096" s="10" t="n"/>
      <c r="N1096" s="10" t="n"/>
      <c r="O1096" s="10" t="n"/>
      <c r="P1096" s="10" t="n"/>
      <c r="Q1096" s="10" t="n"/>
      <c r="R1096" s="10" t="n"/>
      <c r="S1096" s="10" t="n"/>
      <c r="T1096" s="10" t="n"/>
      <c r="U1096" s="10" t="n"/>
      <c r="V1096" s="10" t="n"/>
      <c r="W1096" s="10" t="n"/>
      <c r="X1096" s="10" t="n"/>
      <c r="Y1096" s="10" t="n"/>
      <c r="Z1096" s="10" t="n"/>
    </row>
    <row r="1097">
      <c r="A1097" s="27" t="inlineStr">
        <is>
          <t>codEmployee.codEmptyBill</t>
        </is>
      </c>
      <c r="B1097" s="27" t="inlineStr">
        <is>
          <t>Bảng kê không còn mã vận đơn nào</t>
        </is>
      </c>
      <c r="C1097" s="27" t="inlineStr">
        <is>
          <t>No orders left in this statement</t>
        </is>
      </c>
      <c r="D1097" s="21" t="inlineStr">
        <is>
          <t>តារាងមិនមានលេខកូដបុងបញ្ញើណាឡើយ</t>
        </is>
      </c>
      <c r="E1097" s="102" t="inlineStr">
        <is>
          <t>តារាងមិនមានលេខកូដដឹកជញ្ជូនណាទេ</t>
        </is>
      </c>
      <c r="F1097" s="10" t="n"/>
      <c r="G1097" s="10" t="inlineStr">
        <is>
          <t>តារាងមិនមានលេខកូដដឹកជញ្ជូនណាទេ</t>
        </is>
      </c>
      <c r="H1097" s="10" t="inlineStr">
        <is>
          <t>តារាងមិនមានលេខកូដដឹកជញ្ជូនណាទេ</t>
        </is>
      </c>
      <c r="I1097" s="10" t="n"/>
      <c r="J1097" s="10" t="n"/>
      <c r="K1097" s="10" t="inlineStr">
        <is>
          <t>"codEmployee.codEmptyBill": "តារាងមិនមានលេខកូដដឹកជញ្ជូនណាទេ",</t>
        </is>
      </c>
      <c r="L1097" s="10" t="n"/>
      <c r="M1097" s="10" t="n"/>
      <c r="N1097" s="10" t="n"/>
      <c r="O1097" s="10" t="n"/>
      <c r="P1097" s="10" t="n"/>
      <c r="Q1097" s="10" t="n"/>
      <c r="R1097" s="10" t="n"/>
      <c r="S1097" s="10" t="n"/>
      <c r="T1097" s="10" t="n"/>
      <c r="U1097" s="10" t="n"/>
      <c r="V1097" s="10" t="n"/>
      <c r="W1097" s="10" t="n"/>
      <c r="X1097" s="10" t="n"/>
      <c r="Y1097" s="10" t="n"/>
      <c r="Z1097" s="10" t="n"/>
    </row>
    <row r="1098">
      <c r="A1098" s="27" t="inlineStr">
        <is>
          <t>codEmployee.addBill</t>
        </is>
      </c>
      <c r="B1098" s="27" t="inlineStr">
        <is>
          <t>Thêm đơn vào bảng kê thành công</t>
        </is>
      </c>
      <c r="C1098" s="27" t="inlineStr">
        <is>
          <t>Order added to the statement successfully</t>
        </is>
      </c>
      <c r="D1098" s="21" t="inlineStr">
        <is>
          <t>បន្ថែមបុុងបញ្ញើចូលតារាងបានជោគជ័យ</t>
        </is>
      </c>
      <c r="E1098" s="102" t="inlineStr">
        <is>
          <t>បន្ថែមបុងបញ្ញើចូលក្នុងតារាងបានជោគជ័យ</t>
        </is>
      </c>
      <c r="F1098" s="10" t="n"/>
      <c r="G1098" s="10" t="inlineStr">
        <is>
          <t>បន្ថែមបុងបញ្ញើចូលក្នុងតារាងបានជោគជ័យ</t>
        </is>
      </c>
      <c r="H1098" s="10" t="inlineStr">
        <is>
          <t>បន្ថែមបុងបញ្ញើចូលក្នុងតារាងបានជោគជ័យ</t>
        </is>
      </c>
      <c r="I1098" s="10" t="n"/>
      <c r="J1098" s="10" t="n"/>
      <c r="K1098" s="10" t="inlineStr">
        <is>
          <t>"codEmployee.addBill": "បន្ថែមបុងបញ្ញើចូលក្នុងតារាងបានជោគជ័យ",</t>
        </is>
      </c>
      <c r="L1098" s="10" t="n"/>
      <c r="M1098" s="10" t="n"/>
      <c r="N1098" s="10" t="n"/>
      <c r="O1098" s="10" t="n"/>
      <c r="P1098" s="10" t="n"/>
      <c r="Q1098" s="10" t="n"/>
      <c r="R1098" s="10" t="n"/>
      <c r="S1098" s="10" t="n"/>
      <c r="T1098" s="10" t="n"/>
      <c r="U1098" s="10" t="n"/>
      <c r="V1098" s="10" t="n"/>
      <c r="W1098" s="10" t="n"/>
      <c r="X1098" s="10" t="n"/>
      <c r="Y1098" s="10" t="n"/>
      <c r="Z1098" s="10" t="n"/>
    </row>
    <row r="1099">
      <c r="A1099" s="27" t="inlineStr">
        <is>
          <t>codEmployee.deleteBill</t>
        </is>
      </c>
      <c r="B1099" s="27" t="inlineStr">
        <is>
          <t>Xoá đơn khỏi bảng kê thành công</t>
        </is>
      </c>
      <c r="C1099" s="27" t="inlineStr">
        <is>
          <t>Order removed from the statement successfully</t>
        </is>
      </c>
      <c r="D1099" s="21" t="inlineStr">
        <is>
          <t>លុបបុងចេញពីតារាងបានជោគជ័យ</t>
        </is>
      </c>
      <c r="E1099" s="102" t="inlineStr">
        <is>
          <t>លុបបុងបញ្ញើចេញពីតារាងបានដោយជោគជ័យ</t>
        </is>
      </c>
      <c r="F1099" s="10" t="n"/>
      <c r="G1099" s="10" t="inlineStr">
        <is>
          <t>លុបបុងបញ្ញើចេញពីតារាងបានដោយជោគជ័យ</t>
        </is>
      </c>
      <c r="H1099" s="10" t="inlineStr">
        <is>
          <t>លុបបុងបញ្ញើចេញពីតារាងបានដោយជោគជ័យ</t>
        </is>
      </c>
      <c r="I1099" s="10" t="n"/>
      <c r="J1099" s="10" t="n"/>
      <c r="K1099" s="10" t="inlineStr">
        <is>
          <t>"codEmployee.deleteBill": "លុបបុងបញ្ញើចេញពីតារាងបានដោយជោគជ័យ",</t>
        </is>
      </c>
      <c r="L1099" s="10" t="n"/>
      <c r="M1099" s="10" t="n"/>
      <c r="N1099" s="10" t="n"/>
      <c r="O1099" s="10" t="n"/>
      <c r="P1099" s="10" t="n"/>
      <c r="Q1099" s="10" t="n"/>
      <c r="R1099" s="10" t="n"/>
      <c r="S1099" s="10" t="n"/>
      <c r="T1099" s="10" t="n"/>
      <c r="U1099" s="10" t="n"/>
      <c r="V1099" s="10" t="n"/>
      <c r="W1099" s="10" t="n"/>
      <c r="X1099" s="10" t="n"/>
      <c r="Y1099" s="10" t="n"/>
      <c r="Z1099" s="10" t="n"/>
    </row>
    <row r="1100">
      <c r="A1100" s="27" t="inlineStr">
        <is>
          <t>codEmployee.success</t>
        </is>
      </c>
      <c r="B1100" s="27" t="inlineStr">
        <is>
          <t>thành công</t>
        </is>
      </c>
      <c r="C1100" s="27" t="inlineStr">
        <is>
          <t>Success</t>
        </is>
      </c>
      <c r="D1100" s="21" t="inlineStr">
        <is>
          <t>ជោគជ័យ</t>
        </is>
      </c>
      <c r="E1100" s="102" t="inlineStr">
        <is>
          <t>ជោគជ័យ</t>
        </is>
      </c>
      <c r="F1100" s="10" t="n"/>
      <c r="G1100" s="10" t="inlineStr">
        <is>
          <t>ជោគជ័យ</t>
        </is>
      </c>
      <c r="H1100" s="10" t="inlineStr">
        <is>
          <t>ជោគជ័យ</t>
        </is>
      </c>
      <c r="I1100" s="10" t="n"/>
      <c r="J1100" s="10" t="n"/>
      <c r="K1100" s="10" t="inlineStr">
        <is>
          <t>"codEmployee.success": "ជោគជ័យ",</t>
        </is>
      </c>
      <c r="L1100" s="10" t="n"/>
      <c r="M1100" s="10" t="n"/>
      <c r="N1100" s="10" t="n"/>
      <c r="O1100" s="10" t="n"/>
      <c r="P1100" s="10" t="n"/>
      <c r="Q1100" s="10" t="n"/>
      <c r="R1100" s="10" t="n"/>
      <c r="S1100" s="10" t="n"/>
      <c r="T1100" s="10" t="n"/>
      <c r="U1100" s="10" t="n"/>
      <c r="V1100" s="10" t="n"/>
      <c r="W1100" s="10" t="n"/>
      <c r="X1100" s="10" t="n"/>
      <c r="Y1100" s="10" t="n"/>
      <c r="Z1100" s="10" t="n"/>
    </row>
    <row r="1101">
      <c r="A1101" s="27" t="inlineStr">
        <is>
          <t>codEmployee.copy</t>
        </is>
      </c>
      <c r="B1101" s="27" t="inlineStr">
        <is>
          <t>Sao chép mã bảng kê thành công</t>
        </is>
      </c>
      <c r="C1101" s="27" t="inlineStr">
        <is>
          <t>COD Statement code copied successfully</t>
        </is>
      </c>
      <c r="D1101" s="21" t="inlineStr">
        <is>
          <t>បានចម្លងលេខកូដតារាងបានជោគជ័យ</t>
        </is>
      </c>
      <c r="E1101" s="90" t="inlineStr">
        <is>
          <t>ចម្លងលេខកូដតារាងបានដោយជោគជ័យ</t>
        </is>
      </c>
      <c r="F1101" s="10" t="n"/>
      <c r="G1101" s="10" t="inlineStr">
        <is>
          <t>ចម្លងលេខកូដតារាងបានដោយជោគជ័យ</t>
        </is>
      </c>
      <c r="H1101" s="10" t="inlineStr">
        <is>
          <t>ចម្លងលេខកូដតារាងបានដោយជោគជ័យ</t>
        </is>
      </c>
      <c r="I1101" s="10" t="n"/>
      <c r="J1101" s="10" t="n"/>
      <c r="K1101" s="10" t="inlineStr">
        <is>
          <t>"codEmployee.copy": "ចម្លងលេខកូដតារាងបានដោយជោគជ័យ",</t>
        </is>
      </c>
      <c r="L1101" s="10" t="n"/>
      <c r="M1101" s="10" t="n"/>
      <c r="N1101" s="10" t="n"/>
      <c r="O1101" s="10" t="n"/>
      <c r="P1101" s="10" t="n"/>
      <c r="Q1101" s="10" t="n"/>
      <c r="R1101" s="10" t="n"/>
      <c r="S1101" s="10" t="n"/>
      <c r="T1101" s="10" t="n"/>
      <c r="U1101" s="10" t="n"/>
      <c r="V1101" s="10" t="n"/>
      <c r="W1101" s="10" t="n"/>
      <c r="X1101" s="10" t="n"/>
      <c r="Y1101" s="10" t="n"/>
      <c r="Z1101" s="10" t="n"/>
    </row>
    <row r="1102">
      <c r="A1102" s="27" t="inlineStr">
        <is>
          <t>codEmployee.confirmSuccess</t>
        </is>
      </c>
      <c r="B1102" s="27" t="inlineStr">
        <is>
          <t>Chốt thu bảng kê thành công</t>
        </is>
      </c>
      <c r="C1102" s="27" t="inlineStr">
        <is>
          <t>COD statement confirmed successfully</t>
        </is>
      </c>
      <c r="D1102" s="102" t="n"/>
      <c r="E1102" s="102" t="inlineStr">
        <is>
          <t>បិទការប្រមូូលបានជោគជ័យ</t>
        </is>
      </c>
      <c r="F1102" s="10" t="n"/>
      <c r="G1102" s="10" t="inlineStr">
        <is>
          <t>បិទការប្រមូូលបានជោគជ័យ</t>
        </is>
      </c>
      <c r="H1102" s="10" t="inlineStr">
        <is>
          <t>បិទការប្រមូូលបានជោគជ័យ</t>
        </is>
      </c>
      <c r="I1102" s="10" t="n"/>
      <c r="J1102" s="10" t="n"/>
      <c r="K1102" s="10" t="inlineStr">
        <is>
          <t>"codEmployee.confirmSuccess": "បិទការប្រមូូលបានជោគជ័យ",</t>
        </is>
      </c>
      <c r="L1102" s="10" t="n"/>
      <c r="M1102" s="10" t="n"/>
      <c r="N1102" s="10" t="n"/>
      <c r="O1102" s="10" t="n"/>
      <c r="P1102" s="10" t="n"/>
      <c r="Q1102" s="10" t="n"/>
      <c r="R1102" s="10" t="n"/>
      <c r="S1102" s="10" t="n"/>
      <c r="T1102" s="10" t="n"/>
      <c r="U1102" s="10" t="n"/>
      <c r="V1102" s="10" t="n"/>
      <c r="W1102" s="10" t="n"/>
      <c r="X1102" s="10" t="n"/>
      <c r="Y1102" s="10" t="n"/>
      <c r="Z1102" s="10" t="n"/>
    </row>
    <row r="1103">
      <c r="A1103" s="27" t="inlineStr">
        <is>
          <t>codEmployee.deleteSuccess</t>
        </is>
      </c>
      <c r="B1103" s="27" t="inlineStr">
        <is>
          <t>Xoá bảng kê thành công</t>
        </is>
      </c>
      <c r="C1103" s="27" t="inlineStr">
        <is>
          <t>Statement deleted successfully</t>
        </is>
      </c>
      <c r="D1103" s="21" t="inlineStr">
        <is>
          <t>លុបតារាងបានជោគជ័យ</t>
        </is>
      </c>
      <c r="E1103" s="102" t="inlineStr">
        <is>
          <t>លុបតារាងបានជោគជ័យ</t>
        </is>
      </c>
      <c r="F1103" s="10" t="n"/>
      <c r="G1103" s="10" t="inlineStr">
        <is>
          <t>លុបតារាងបានជោគជ័យ</t>
        </is>
      </c>
      <c r="H1103" s="10" t="inlineStr">
        <is>
          <t>លុបតារាងបានជោគជ័យ</t>
        </is>
      </c>
      <c r="I1103" s="10" t="n"/>
      <c r="J1103" s="10" t="n"/>
      <c r="K1103" s="10" t="inlineStr">
        <is>
          <t>"codEmployee.deleteSuccess": "លុបតារាងបានជោគជ័យ",</t>
        </is>
      </c>
      <c r="L1103" s="10" t="n"/>
      <c r="M1103" s="10" t="n"/>
      <c r="N1103" s="10" t="n"/>
      <c r="O1103" s="10" t="n"/>
      <c r="P1103" s="10" t="n"/>
      <c r="Q1103" s="10" t="n"/>
      <c r="R1103" s="10" t="n"/>
      <c r="S1103" s="10" t="n"/>
      <c r="T1103" s="10" t="n"/>
      <c r="U1103" s="10" t="n"/>
      <c r="V1103" s="10" t="n"/>
      <c r="W1103" s="10" t="n"/>
      <c r="X1103" s="10" t="n"/>
      <c r="Y1103" s="10" t="n"/>
      <c r="Z1103" s="10" t="n"/>
    </row>
    <row r="1104">
      <c r="A1104" s="27" t="inlineStr">
        <is>
          <t>codEmployee.excelSuccess</t>
        </is>
      </c>
      <c r="B1104" s="27" t="inlineStr">
        <is>
          <t>Xuất Excel thành công</t>
        </is>
      </c>
      <c r="C1104" s="27" t="inlineStr">
        <is>
          <t>Excel export successful</t>
        </is>
      </c>
      <c r="D1104" s="21" t="inlineStr">
        <is>
          <t>ចេញពី Excelបានជោគជ័យ</t>
        </is>
      </c>
      <c r="E1104" s="102" t="inlineStr">
        <is>
          <t>ចេញ Excel បានជោគជ័យ</t>
        </is>
      </c>
      <c r="F1104" s="10" t="n"/>
      <c r="G1104" s="10" t="inlineStr">
        <is>
          <t>ចេញ Excel បានជោគជ័យ</t>
        </is>
      </c>
      <c r="H1104" s="10" t="inlineStr">
        <is>
          <t>ចេញ Excel បានជោគជ័យ</t>
        </is>
      </c>
      <c r="I1104" s="10" t="n"/>
      <c r="J1104" s="10" t="n"/>
      <c r="K1104" s="10" t="inlineStr">
        <is>
          <t>"codEmployee.excelSuccess": "ចេញ Excel បានជោគជ័យ",</t>
        </is>
      </c>
      <c r="L1104" s="10" t="n"/>
      <c r="M1104" s="10" t="n"/>
      <c r="N1104" s="10" t="n"/>
      <c r="O1104" s="10" t="n"/>
      <c r="P1104" s="10" t="n"/>
      <c r="Q1104" s="10" t="n"/>
      <c r="R1104" s="10" t="n"/>
      <c r="S1104" s="10" t="n"/>
      <c r="T1104" s="10" t="n"/>
      <c r="U1104" s="10" t="n"/>
      <c r="V1104" s="10" t="n"/>
      <c r="W1104" s="10" t="n"/>
      <c r="X1104" s="10" t="n"/>
      <c r="Y1104" s="10" t="n"/>
      <c r="Z1104" s="10" t="n"/>
    </row>
    <row r="1105">
      <c r="A1105" s="27" t="inlineStr">
        <is>
          <t>codEmployee.confirmDoneCod</t>
        </is>
      </c>
      <c r="B1105" s="27" t="inlineStr">
        <is>
          <t>Xác nhận thu tiền</t>
        </is>
      </c>
      <c r="C1105" s="27" t="inlineStr">
        <is>
          <t>Confirm collection</t>
        </is>
      </c>
      <c r="D1105" s="21" t="inlineStr">
        <is>
          <t>បញ្ជាក់ការប្រមូលប្រាក់</t>
        </is>
      </c>
      <c r="E1105" s="102" t="inlineStr">
        <is>
          <t>បញ្ជាក់ការប្រមូលប្រាក់</t>
        </is>
      </c>
      <c r="F1105" s="10" t="n"/>
      <c r="G1105" s="10" t="inlineStr">
        <is>
          <t>បញ្ជាក់ការប្រមូលប្រាក់</t>
        </is>
      </c>
      <c r="H1105" s="10" t="inlineStr">
        <is>
          <t>បញ្ជាក់ការប្រមូលប្រាក់</t>
        </is>
      </c>
      <c r="I1105" s="10" t="n"/>
      <c r="J1105" s="10" t="n"/>
      <c r="K1105" s="10" t="inlineStr">
        <is>
          <t>"codEmployee.confirmDoneCod": "បញ្ជាក់ការប្រមូលប្រាក់",</t>
        </is>
      </c>
      <c r="L1105" s="10" t="n"/>
      <c r="M1105" s="10" t="n"/>
      <c r="N1105" s="10" t="n"/>
      <c r="O1105" s="10" t="n"/>
      <c r="P1105" s="10" t="n"/>
      <c r="Q1105" s="10" t="n"/>
      <c r="R1105" s="10" t="n"/>
      <c r="S1105" s="10" t="n"/>
      <c r="T1105" s="10" t="n"/>
      <c r="U1105" s="10" t="n"/>
      <c r="V1105" s="10" t="n"/>
      <c r="W1105" s="10" t="n"/>
      <c r="X1105" s="10" t="n"/>
      <c r="Y1105" s="10" t="n"/>
      <c r="Z1105" s="10" t="n"/>
    </row>
    <row r="1106">
      <c r="A1106" s="27" t="inlineStr">
        <is>
          <t>codEmployee.confirmCod</t>
        </is>
      </c>
      <c r="B1106" s="27" t="inlineStr">
        <is>
          <t>Xác nhận nộp số tiền</t>
        </is>
      </c>
      <c r="C1106" s="27" t="inlineStr">
        <is>
          <t>Confirm COD submission</t>
        </is>
      </c>
      <c r="D1106" s="21" t="inlineStr">
        <is>
          <t>បញ្ជាក់បង់ចំនួនប្រាក់</t>
        </is>
      </c>
      <c r="E1106" s="102" t="inlineStr">
        <is>
          <t>បញ្ជាក់ការបង់ប្រាក់</t>
        </is>
      </c>
      <c r="F1106" s="10" t="n"/>
      <c r="G1106" s="10" t="inlineStr">
        <is>
          <t>បញ្ជាក់ការបង់ប្រាក់</t>
        </is>
      </c>
      <c r="H1106" s="10" t="inlineStr">
        <is>
          <t>បញ្ជាក់ការបង់ប្រាក់</t>
        </is>
      </c>
      <c r="I1106" s="10" t="n"/>
      <c r="J1106" s="10" t="n"/>
      <c r="K1106" s="10" t="inlineStr">
        <is>
          <t>"codEmployee.confirmCod": "បញ្ជាក់ការបង់ប្រាក់",</t>
        </is>
      </c>
      <c r="L1106" s="10" t="n"/>
      <c r="M1106" s="10" t="n"/>
      <c r="N1106" s="10" t="n"/>
      <c r="O1106" s="10" t="n"/>
      <c r="P1106" s="10" t="n"/>
      <c r="Q1106" s="10" t="n"/>
      <c r="R1106" s="10" t="n"/>
      <c r="S1106" s="10" t="n"/>
      <c r="T1106" s="10" t="n"/>
      <c r="U1106" s="10" t="n"/>
      <c r="V1106" s="10" t="n"/>
      <c r="W1106" s="10" t="n"/>
      <c r="X1106" s="10" t="n"/>
      <c r="Y1106" s="10" t="n"/>
      <c r="Z1106" s="10" t="n"/>
    </row>
    <row r="1107">
      <c r="A1107" s="27" t="inlineStr">
        <is>
          <t>codEmployee.forCod</t>
        </is>
      </c>
      <c r="B1107" s="27" t="inlineStr">
        <is>
          <t>cho bảng kê</t>
        </is>
      </c>
      <c r="C1107" s="27" t="inlineStr">
        <is>
          <t>for the statement</t>
        </is>
      </c>
      <c r="D1107" s="21" t="n"/>
      <c r="E1107" s="102" t="inlineStr">
        <is>
          <t>ឲ្យតារាង</t>
        </is>
      </c>
      <c r="F1107" s="10" t="n"/>
      <c r="G1107" s="10" t="inlineStr">
        <is>
          <t>ឲ្យតារាង</t>
        </is>
      </c>
      <c r="H1107" s="10" t="inlineStr">
        <is>
          <t>ឲ្យតារាង</t>
        </is>
      </c>
      <c r="I1107" s="10" t="n"/>
      <c r="J1107" s="10" t="n"/>
      <c r="K1107" s="10" t="inlineStr">
        <is>
          <t>"codEmployee.forCod": "ឲ្យតារាង",</t>
        </is>
      </c>
      <c r="L1107" s="10" t="n"/>
      <c r="M1107" s="10" t="n"/>
      <c r="N1107" s="10" t="n"/>
      <c r="O1107" s="10" t="n"/>
      <c r="P1107" s="10" t="n"/>
      <c r="Q1107" s="10" t="n"/>
      <c r="R1107" s="10" t="n"/>
      <c r="S1107" s="10" t="n"/>
      <c r="T1107" s="10" t="n"/>
      <c r="U1107" s="10" t="n"/>
      <c r="V1107" s="10" t="n"/>
      <c r="W1107" s="10" t="n"/>
      <c r="X1107" s="10" t="n"/>
      <c r="Y1107" s="10" t="n"/>
      <c r="Z1107" s="10" t="n"/>
    </row>
    <row r="1108">
      <c r="A1108" s="27" t="inlineStr">
        <is>
          <t>codEmployee.confirmCodSuccess</t>
        </is>
      </c>
      <c r="B1108" s="27" t="inlineStr">
        <is>
          <t>Xác nhận tiền về thành công</t>
        </is>
      </c>
      <c r="C1108" s="27" t="inlineStr">
        <is>
          <t>Remittance confirmed!</t>
        </is>
      </c>
      <c r="D1108" s="21" t="inlineStr">
        <is>
          <t>បញ្ជាក់ប្រាក់ត្រឡប់បានជោគជ័យ</t>
        </is>
      </c>
      <c r="E1108" s="102" t="inlineStr">
        <is>
          <t>បញ្ជាក់ប្រាក់ត្រឡប់បានជោគជ័យ</t>
        </is>
      </c>
      <c r="F1108" s="10" t="n"/>
      <c r="G1108" s="10" t="inlineStr">
        <is>
          <t>បញ្ជាក់ប្រាក់ត្រឡប់បានជោគជ័យ</t>
        </is>
      </c>
      <c r="H1108" s="10" t="inlineStr">
        <is>
          <t>បញ្ជាក់ប្រាក់ត្រឡប់បានជោគជ័យ</t>
        </is>
      </c>
      <c r="I1108" s="10" t="n"/>
      <c r="J1108" s="10" t="n"/>
      <c r="K1108" s="10" t="inlineStr">
        <is>
          <t>"codEmployee.confirmCodSuccess": "បញ្ជាក់ប្រាក់ត្រឡប់បានជោគជ័យ",</t>
        </is>
      </c>
      <c r="L1108" s="10" t="n"/>
      <c r="M1108" s="10" t="n"/>
      <c r="N1108" s="10" t="n"/>
      <c r="O1108" s="10" t="n"/>
      <c r="P1108" s="10" t="n"/>
      <c r="Q1108" s="10" t="n"/>
      <c r="R1108" s="10" t="n"/>
      <c r="S1108" s="10" t="n"/>
      <c r="T1108" s="10" t="n"/>
      <c r="U1108" s="10" t="n"/>
      <c r="V1108" s="10" t="n"/>
      <c r="W1108" s="10" t="n"/>
      <c r="X1108" s="10" t="n"/>
      <c r="Y1108" s="10" t="n"/>
      <c r="Z1108" s="10" t="n"/>
    </row>
    <row r="1109">
      <c r="A1109" s="27" t="inlineStr">
        <is>
          <t>codEmployee.staffDebt</t>
        </is>
      </c>
      <c r="B1109" s="27" t="inlineStr">
        <is>
          <t>Danh sách chưa nộp tiền</t>
        </is>
      </c>
      <c r="C1109" s="27" t="inlineStr">
        <is>
          <t>COD Remittance Statements</t>
        </is>
      </c>
      <c r="D1109" s="102" t="inlineStr">
        <is>
          <t>បញ្ជីមិនទាន់បានបង់ប្រាក់</t>
        </is>
      </c>
      <c r="E1109" s="102" t="inlineStr">
        <is>
          <t>បញ្ជីមិនទាន់ដាក់ប្រាក់</t>
        </is>
      </c>
      <c r="F1109" s="10" t="n"/>
      <c r="G1109" s="10" t="inlineStr">
        <is>
          <t>បញ្ជីមិនទាន់ដាក់ប្រាក់</t>
        </is>
      </c>
      <c r="H1109" s="10" t="inlineStr">
        <is>
          <t>បញ្ជីមិនទាន់ដាក់ប្រាក់</t>
        </is>
      </c>
      <c r="I1109" s="10" t="n"/>
      <c r="J1109" s="10" t="n"/>
      <c r="K1109" s="10" t="inlineStr">
        <is>
          <t>"codEmployee.staffDebt": "បញ្ជីមិនទាន់ដាក់ប្រាក់",</t>
        </is>
      </c>
      <c r="L1109" s="10" t="n"/>
      <c r="M1109" s="10" t="n"/>
      <c r="N1109" s="10" t="n"/>
      <c r="O1109" s="10" t="n"/>
      <c r="P1109" s="10" t="n"/>
      <c r="Q1109" s="10" t="n"/>
      <c r="R1109" s="10" t="n"/>
      <c r="S1109" s="10" t="n"/>
      <c r="T1109" s="10" t="n"/>
      <c r="U1109" s="10" t="n"/>
      <c r="V1109" s="10" t="n"/>
      <c r="W1109" s="10" t="n"/>
      <c r="X1109" s="10" t="n"/>
      <c r="Y1109" s="10" t="n"/>
      <c r="Z1109" s="10" t="n"/>
    </row>
    <row r="1110">
      <c r="A1110" s="27" t="inlineStr">
        <is>
          <t>codEmployee.staffCod</t>
        </is>
      </c>
      <c r="B1110" s="27" t="inlineStr">
        <is>
          <t>Xác nhận tiền về</t>
        </is>
      </c>
      <c r="C1110" s="27" t="inlineStr">
        <is>
          <t>COD Remittance Confirmation</t>
        </is>
      </c>
      <c r="D1110" s="21" t="inlineStr">
        <is>
          <t>បញ្ជាក់ប្រាក់ត្រឡប់</t>
        </is>
      </c>
      <c r="E1110" s="102" t="inlineStr">
        <is>
          <t>បញ្ជាក់ប្រាក់ត្រឡប់</t>
        </is>
      </c>
      <c r="F1110" s="10" t="n"/>
      <c r="G1110" s="10" t="inlineStr">
        <is>
          <t>បញ្ជាក់ប្រាក់ត្រឡប់</t>
        </is>
      </c>
      <c r="H1110" s="10" t="inlineStr">
        <is>
          <t>បញ្ជាក់ប្រាក់ត្រឡប់</t>
        </is>
      </c>
      <c r="I1110" s="10" t="n"/>
      <c r="J1110" s="10" t="n"/>
      <c r="K1110" s="10" t="inlineStr">
        <is>
          <t>"codEmployee.staffCod": "បញ្ជាក់ប្រាក់ត្រឡប់",</t>
        </is>
      </c>
      <c r="L1110" s="10" t="n"/>
      <c r="M1110" s="10" t="n"/>
      <c r="N1110" s="10" t="n"/>
      <c r="O1110" s="10" t="n"/>
      <c r="P1110" s="10" t="n"/>
      <c r="Q1110" s="10" t="n"/>
      <c r="R1110" s="10" t="n"/>
      <c r="S1110" s="10" t="n"/>
      <c r="T1110" s="10" t="n"/>
      <c r="U1110" s="10" t="n"/>
      <c r="V1110" s="10" t="n"/>
      <c r="W1110" s="10" t="n"/>
      <c r="X1110" s="10" t="n"/>
      <c r="Y1110" s="10" t="n"/>
      <c r="Z1110" s="10" t="n"/>
    </row>
    <row r="1111">
      <c r="A1111" s="27" t="inlineStr">
        <is>
          <t>codEmployee.codIdLevel2</t>
        </is>
      </c>
      <c r="B1111" s="27" t="inlineStr">
        <is>
          <t>Mã bảng kê cấp 2</t>
        </is>
      </c>
      <c r="C1111" s="27" t="inlineStr">
        <is>
          <t>COD Remittance Statements</t>
        </is>
      </c>
      <c r="D1111" s="21" t="n"/>
      <c r="E1111" s="102" t="inlineStr">
        <is>
          <t>លេខកូដតារាងថ្នាក់ទី២</t>
        </is>
      </c>
      <c r="F1111" s="10" t="n"/>
      <c r="G1111" s="10" t="inlineStr">
        <is>
          <t>លេខកូដតារាងថ្នាក់ទី២</t>
        </is>
      </c>
      <c r="H1111" s="10" t="inlineStr">
        <is>
          <t>លេខកូដតារាងថ្នាក់ទី២</t>
        </is>
      </c>
      <c r="I1111" s="10" t="n"/>
      <c r="J1111" s="10" t="n"/>
      <c r="K1111" s="10" t="inlineStr">
        <is>
          <t>"codEmployee.codIdLevel2": "លេខកូដតារាងថ្នាក់ទី២",</t>
        </is>
      </c>
      <c r="L1111" s="10" t="n"/>
      <c r="M1111" s="10" t="n"/>
      <c r="N1111" s="10" t="n"/>
      <c r="O1111" s="10" t="n"/>
      <c r="P1111" s="10" t="n"/>
      <c r="Q1111" s="10" t="n"/>
      <c r="R1111" s="10" t="n"/>
      <c r="S1111" s="10" t="n"/>
      <c r="T1111" s="10" t="n"/>
      <c r="U1111" s="10" t="n"/>
      <c r="V1111" s="10" t="n"/>
      <c r="W1111" s="10" t="n"/>
      <c r="X1111" s="10" t="n"/>
      <c r="Y1111" s="10" t="n"/>
      <c r="Z1111" s="10" t="n"/>
    </row>
    <row r="1112">
      <c r="A1112" s="27" t="inlineStr">
        <is>
          <t>codEmployee.confirmLevel2</t>
        </is>
      </c>
      <c r="B1112" s="27" t="inlineStr">
        <is>
          <t>Nộp tiền</t>
        </is>
      </c>
      <c r="C1112" s="27" t="inlineStr">
        <is>
          <t>Submit Remittance</t>
        </is>
      </c>
      <c r="D1112" s="21" t="inlineStr">
        <is>
          <t>បញ្ចូ្ចលប្រាក់</t>
        </is>
      </c>
      <c r="E1112" s="102" t="inlineStr">
        <is>
          <t>បង់ប្រាក់</t>
        </is>
      </c>
      <c r="F1112" s="10" t="n"/>
      <c r="G1112" s="10" t="inlineStr">
        <is>
          <t>បង់ប្រាក់</t>
        </is>
      </c>
      <c r="H1112" s="10" t="inlineStr">
        <is>
          <t>បង់ប្រាក់</t>
        </is>
      </c>
      <c r="I1112" s="10" t="n"/>
      <c r="J1112" s="10" t="n"/>
      <c r="K1112" s="10" t="inlineStr">
        <is>
          <t>"codEmployee.confirmLevel2": "បង់ប្រាក់",</t>
        </is>
      </c>
      <c r="L1112" s="10" t="n"/>
      <c r="M1112" s="10" t="n"/>
      <c r="N1112" s="10" t="n"/>
      <c r="O1112" s="10" t="n"/>
      <c r="P1112" s="10" t="n"/>
      <c r="Q1112" s="10" t="n"/>
      <c r="R1112" s="10" t="n"/>
      <c r="S1112" s="10" t="n"/>
      <c r="T1112" s="10" t="n"/>
      <c r="U1112" s="10" t="n"/>
      <c r="V1112" s="10" t="n"/>
      <c r="W1112" s="10" t="n"/>
      <c r="X1112" s="10" t="n"/>
      <c r="Y1112" s="10" t="n"/>
      <c r="Z1112" s="10" t="n"/>
    </row>
    <row r="1113">
      <c r="A1113" s="27" t="inlineStr">
        <is>
          <t>codEmployee.createDate</t>
        </is>
      </c>
      <c r="B1113" s="27" t="inlineStr">
        <is>
          <t>Ngày tạo</t>
        </is>
      </c>
      <c r="C1113" s="27" t="inlineStr">
        <is>
          <t>Created on</t>
        </is>
      </c>
      <c r="D1113" s="21" t="inlineStr">
        <is>
          <t>ថ្ងៃបង្កើត</t>
        </is>
      </c>
      <c r="E1113" s="102" t="inlineStr">
        <is>
          <t>ថ្ងៃបង្កើ្កត</t>
        </is>
      </c>
      <c r="F1113" s="10" t="n"/>
      <c r="G1113" s="10" t="inlineStr">
        <is>
          <t>កាលបរិច្ឆេទបង្កើត</t>
        </is>
      </c>
      <c r="H1113" s="10" t="inlineStr">
        <is>
          <t>កាលបរិច្ឆេទបង្កើត</t>
        </is>
      </c>
      <c r="I1113" s="10" t="n"/>
      <c r="J1113" s="10" t="n"/>
      <c r="K1113" s="10" t="inlineStr">
        <is>
          <t>"codEmployee.createDate": "កាលបរិច្ឆេទបង្កើត",</t>
        </is>
      </c>
      <c r="L1113" s="10" t="n"/>
      <c r="M1113" s="10" t="n"/>
      <c r="N1113" s="10" t="n"/>
      <c r="O1113" s="10" t="n"/>
      <c r="P1113" s="10" t="n"/>
      <c r="Q1113" s="10" t="n"/>
      <c r="R1113" s="10" t="n"/>
      <c r="S1113" s="10" t="n"/>
      <c r="T1113" s="10" t="n"/>
      <c r="U1113" s="10" t="n"/>
      <c r="V1113" s="10" t="n"/>
      <c r="W1113" s="10" t="n"/>
      <c r="X1113" s="10" t="n"/>
      <c r="Y1113" s="10" t="n"/>
      <c r="Z1113" s="10" t="n"/>
    </row>
    <row r="1114">
      <c r="A1114" s="27" t="inlineStr">
        <is>
          <t>codEmployee.startDate</t>
        </is>
      </c>
      <c r="B1114" s="27" t="inlineStr">
        <is>
          <t>Từ ngày</t>
        </is>
      </c>
      <c r="C1114" s="27" t="inlineStr">
        <is>
          <t>From date</t>
        </is>
      </c>
      <c r="D1114" s="102" t="inlineStr">
        <is>
          <t>ចាប់ពីថ្ងៃ</t>
        </is>
      </c>
      <c r="E1114" s="102" t="inlineStr">
        <is>
          <t>ចាប់ពីថ្ងៃ</t>
        </is>
      </c>
      <c r="F1114" s="10" t="n"/>
      <c r="G1114" s="10" t="inlineStr">
        <is>
          <t>ចាប់ពីថ្ងៃ</t>
        </is>
      </c>
      <c r="H1114" s="10" t="inlineStr">
        <is>
          <t>ចាប់ពីថ្ងៃ</t>
        </is>
      </c>
      <c r="I1114" s="10" t="n"/>
      <c r="J1114" s="10" t="n"/>
      <c r="K1114" s="10" t="inlineStr">
        <is>
          <t>"codEmployee.startDate": "ចាប់ពីថ្ងៃ",</t>
        </is>
      </c>
      <c r="L1114" s="10" t="n"/>
      <c r="M1114" s="10" t="n"/>
      <c r="N1114" s="10" t="n"/>
      <c r="O1114" s="10" t="n"/>
      <c r="P1114" s="10" t="n"/>
      <c r="Q1114" s="10" t="n"/>
      <c r="R1114" s="10" t="n"/>
      <c r="S1114" s="10" t="n"/>
      <c r="T1114" s="10" t="n"/>
      <c r="U1114" s="10" t="n"/>
      <c r="V1114" s="10" t="n"/>
      <c r="W1114" s="10" t="n"/>
      <c r="X1114" s="10" t="n"/>
      <c r="Y1114" s="10" t="n"/>
      <c r="Z1114" s="10" t="n"/>
    </row>
    <row r="1115">
      <c r="A1115" s="27" t="inlineStr">
        <is>
          <t>codEmployee.endDate</t>
        </is>
      </c>
      <c r="B1115" s="27" t="inlineStr">
        <is>
          <t>Đến ngày</t>
        </is>
      </c>
      <c r="C1115" s="27" t="inlineStr">
        <is>
          <t>To date</t>
        </is>
      </c>
      <c r="D1115" s="21" t="inlineStr">
        <is>
          <t>មកដល់ថ្ងៃ</t>
        </is>
      </c>
      <c r="E1115" s="102" t="inlineStr">
        <is>
          <t>រហូតដល់ថ្ងៃ</t>
        </is>
      </c>
      <c r="F1115" s="10" t="n"/>
      <c r="G1115" s="10" t="inlineStr">
        <is>
          <t>រហូតដល់ថ្ងៃ</t>
        </is>
      </c>
      <c r="H1115" s="10" t="inlineStr">
        <is>
          <t>រហូតដល់ថ្ងៃ</t>
        </is>
      </c>
      <c r="I1115" s="10" t="n"/>
      <c r="J1115" s="10" t="n"/>
      <c r="K1115" s="10" t="inlineStr">
        <is>
          <t>"codEmployee.endDate": "រហូតដល់ថ្ងៃ",</t>
        </is>
      </c>
      <c r="L1115" s="10" t="n"/>
      <c r="M1115" s="10" t="n"/>
      <c r="N1115" s="10" t="n"/>
      <c r="O1115" s="10" t="n"/>
      <c r="P1115" s="10" t="n"/>
      <c r="Q1115" s="10" t="n"/>
      <c r="R1115" s="10" t="n"/>
      <c r="S1115" s="10" t="n"/>
      <c r="T1115" s="10" t="n"/>
      <c r="U1115" s="10" t="n"/>
      <c r="V1115" s="10" t="n"/>
      <c r="W1115" s="10" t="n"/>
      <c r="X1115" s="10" t="n"/>
      <c r="Y1115" s="10" t="n"/>
      <c r="Z1115" s="10" t="n"/>
    </row>
    <row r="1116">
      <c r="A1116" s="27" t="inlineStr">
        <is>
          <t>codEmployee.staff</t>
        </is>
      </c>
      <c r="B1116" s="27" t="inlineStr">
        <is>
          <t>Nhân viên</t>
        </is>
      </c>
      <c r="C1116" s="27" t="inlineStr">
        <is>
          <t>Staff</t>
        </is>
      </c>
      <c r="D1116" s="21" t="inlineStr">
        <is>
          <t>បុគ្គលិក</t>
        </is>
      </c>
      <c r="E1116" s="102" t="inlineStr">
        <is>
          <t>បុគ្គលិក</t>
        </is>
      </c>
      <c r="F1116" s="10" t="n"/>
      <c r="G1116" s="10" t="inlineStr">
        <is>
          <t>បុគ្គលិក</t>
        </is>
      </c>
      <c r="H1116" s="10" t="inlineStr">
        <is>
          <t>បុគ្គលិក</t>
        </is>
      </c>
      <c r="I1116" s="10" t="n"/>
      <c r="J1116" s="10" t="n"/>
      <c r="K1116" s="10" t="inlineStr">
        <is>
          <t>"codEmployee.staff": "បុគ្គលិក",</t>
        </is>
      </c>
      <c r="L1116" s="10" t="n"/>
      <c r="M1116" s="10" t="n"/>
      <c r="N1116" s="10" t="n"/>
      <c r="O1116" s="10" t="n"/>
      <c r="P1116" s="10" t="n"/>
      <c r="Q1116" s="10" t="n"/>
      <c r="R1116" s="10" t="n"/>
      <c r="S1116" s="10" t="n"/>
      <c r="T1116" s="10" t="n"/>
      <c r="U1116" s="10" t="n"/>
      <c r="V1116" s="10" t="n"/>
      <c r="W1116" s="10" t="n"/>
      <c r="X1116" s="10" t="n"/>
      <c r="Y1116" s="10" t="n"/>
      <c r="Z1116" s="10" t="n"/>
    </row>
    <row r="1117">
      <c r="A1117" s="27" t="inlineStr">
        <is>
          <t>codEmployee.statementNo</t>
        </is>
      </c>
      <c r="B1117" s="27" t="inlineStr">
        <is>
          <t>Mã bảng kê bưu tá</t>
        </is>
      </c>
      <c r="C1117" s="27" t="inlineStr">
        <is>
          <t>COD Collection Statement ID</t>
        </is>
      </c>
      <c r="D1117" s="21" t="n"/>
      <c r="E1117" s="102" t="inlineStr">
        <is>
          <t>លេខកូដតារាងអ្នកដឹកជញ្ជូន</t>
        </is>
      </c>
      <c r="F1117" s="10" t="n"/>
      <c r="G1117" s="10" t="inlineStr">
        <is>
          <t>លេខកូដតារាងអ្នកដឹកជញ្ជូន</t>
        </is>
      </c>
      <c r="H1117" s="10" t="inlineStr">
        <is>
          <t>លេខកូដតារាងអ្នកដឹកជញ្ជូន</t>
        </is>
      </c>
      <c r="I1117" s="10" t="n"/>
      <c r="J1117" s="10" t="n"/>
      <c r="K1117" s="10" t="inlineStr">
        <is>
          <t>"codEmployee.statementNo": "លេខកូដតារាងអ្នកដឹកជញ្ជូន",</t>
        </is>
      </c>
      <c r="L1117" s="10" t="n"/>
      <c r="M1117" s="10" t="n"/>
      <c r="N1117" s="10" t="n"/>
      <c r="O1117" s="10" t="n"/>
      <c r="P1117" s="10" t="n"/>
      <c r="Q1117" s="10" t="n"/>
      <c r="R1117" s="10" t="n"/>
      <c r="S1117" s="10" t="n"/>
      <c r="T1117" s="10" t="n"/>
      <c r="U1117" s="10" t="n"/>
      <c r="V1117" s="10" t="n"/>
      <c r="W1117" s="10" t="n"/>
      <c r="X1117" s="10" t="n"/>
      <c r="Y1117" s="10" t="n"/>
      <c r="Z1117" s="10" t="n"/>
    </row>
    <row r="1118">
      <c r="A1118" s="27" t="inlineStr">
        <is>
          <t>codEmployee.dateConfirm</t>
        </is>
      </c>
      <c r="B1118" s="27" t="inlineStr">
        <is>
          <t>Ngày xác nhận thu tiền</t>
        </is>
      </c>
      <c r="C1118" s="27" t="inlineStr">
        <is>
          <t>COD Collection Date</t>
        </is>
      </c>
      <c r="D1118" s="21" t="inlineStr">
        <is>
          <t>ថ្ងៃកំណត់ប្រមូលប្រាក់</t>
        </is>
      </c>
      <c r="E1118" s="102" t="inlineStr">
        <is>
          <t>ថ្ងៃបញ្ជាក់ប្រមូលប្រាក់</t>
        </is>
      </c>
      <c r="F1118" s="10" t="n"/>
      <c r="G1118" s="10" t="inlineStr">
        <is>
          <t>ថ្ងៃបញ្ជាក់ប្រមូលប្រាក់</t>
        </is>
      </c>
      <c r="H1118" s="10" t="inlineStr">
        <is>
          <t>ថ្ងៃបញ្ជាក់ប្រមូលប្រាក់</t>
        </is>
      </c>
      <c r="I1118" s="10" t="n"/>
      <c r="J1118" s="10" t="n"/>
      <c r="K1118" s="10" t="inlineStr">
        <is>
          <t>"codEmployee.dateConfirm": "ថ្ងៃបញ្ជាក់ប្រមូលប្រាក់",</t>
        </is>
      </c>
      <c r="L1118" s="10" t="n"/>
      <c r="M1118" s="10" t="n"/>
      <c r="N1118" s="10" t="n"/>
      <c r="O1118" s="10" t="n"/>
      <c r="P1118" s="10" t="n"/>
      <c r="Q1118" s="10" t="n"/>
      <c r="R1118" s="10" t="n"/>
      <c r="S1118" s="10" t="n"/>
      <c r="T1118" s="10" t="n"/>
      <c r="U1118" s="10" t="n"/>
      <c r="V1118" s="10" t="n"/>
      <c r="W1118" s="10" t="n"/>
      <c r="X1118" s="10" t="n"/>
      <c r="Y1118" s="10" t="n"/>
      <c r="Z1118" s="10" t="n"/>
    </row>
    <row r="1119">
      <c r="A1119" s="27" t="inlineStr">
        <is>
          <t>codEmployee.postmanCod</t>
        </is>
      </c>
      <c r="B1119" s="27" t="inlineStr">
        <is>
          <t>Bưu tá nộp tiền</t>
        </is>
      </c>
      <c r="C1119" s="27" t="inlineStr">
        <is>
          <t>Postman</t>
        </is>
      </c>
      <c r="D1119" s="21" t="inlineStr">
        <is>
          <t>អ្នកដឹកជញ្ជូនបង់ប្រាក់</t>
        </is>
      </c>
      <c r="E1119" s="102" t="inlineStr">
        <is>
          <t>អ្នកដឹកជញ្ជូនទូទាត់ប្រាក់</t>
        </is>
      </c>
      <c r="F1119" s="10" t="n"/>
      <c r="G1119" s="10" t="inlineStr">
        <is>
          <t>អ្នកដឹកជញ្ជូនទូទាត់ប្រាក់</t>
        </is>
      </c>
      <c r="H1119" s="10" t="inlineStr">
        <is>
          <t>អ្នកដឹកជញ្ជូនទូទាត់ប្រាក់</t>
        </is>
      </c>
      <c r="I1119" s="10" t="n"/>
      <c r="J1119" s="10" t="n"/>
      <c r="K1119" s="10" t="inlineStr">
        <is>
          <t>"codEmployee.postmanCod": "អ្នកដឹកជញ្ជូនទូទាត់ប្រាក់",</t>
        </is>
      </c>
      <c r="L1119" s="10" t="n"/>
      <c r="M1119" s="10" t="n"/>
      <c r="N1119" s="10" t="n"/>
      <c r="O1119" s="10" t="n"/>
      <c r="P1119" s="10" t="n"/>
      <c r="Q1119" s="10" t="n"/>
      <c r="R1119" s="10" t="n"/>
      <c r="S1119" s="10" t="n"/>
      <c r="T1119" s="10" t="n"/>
      <c r="U1119" s="10" t="n"/>
      <c r="V1119" s="10" t="n"/>
      <c r="W1119" s="10" t="n"/>
      <c r="X1119" s="10" t="n"/>
      <c r="Y1119" s="10" t="n"/>
      <c r="Z1119" s="10" t="n"/>
    </row>
    <row r="1120">
      <c r="A1120" s="27" t="inlineStr">
        <is>
          <t>codEmployee.receivingPayment</t>
        </is>
      </c>
      <c r="B1120" s="27" t="inlineStr">
        <is>
          <t>về với mã bảng kê</t>
        </is>
      </c>
      <c r="C1120" s="27" t="inlineStr">
        <is>
          <t>received for the statement</t>
        </is>
      </c>
      <c r="D1120" s="21" t="inlineStr">
        <is>
          <t>ត្រឡប់ទៅកាន់លេខកូដតារាង</t>
        </is>
      </c>
      <c r="E1120" s="102" t="inlineStr">
        <is>
          <t>ទៅកាន់លេខកូដបញ្ជី</t>
        </is>
      </c>
      <c r="F1120" s="10" t="n"/>
      <c r="G1120" s="10" t="inlineStr">
        <is>
          <t>ទៅកាន់លេខកូដបញ្ជី</t>
        </is>
      </c>
      <c r="H1120" s="10" t="inlineStr">
        <is>
          <t>ទៅកាន់លេខកូដបញ្ជី</t>
        </is>
      </c>
      <c r="I1120" s="10" t="n"/>
      <c r="J1120" s="10" t="n"/>
      <c r="K1120" s="10" t="inlineStr">
        <is>
          <t>"codEmployee.receivingPayment": "ទៅកាន់លេខកូដបញ្ជី",</t>
        </is>
      </c>
      <c r="L1120" s="10" t="n"/>
      <c r="M1120" s="10" t="n"/>
      <c r="N1120" s="10" t="n"/>
      <c r="O1120" s="10" t="n"/>
      <c r="P1120" s="10" t="n"/>
      <c r="Q1120" s="10" t="n"/>
      <c r="R1120" s="10" t="n"/>
      <c r="S1120" s="10" t="n"/>
      <c r="T1120" s="10" t="n"/>
      <c r="U1120" s="10" t="n"/>
      <c r="V1120" s="10" t="n"/>
      <c r="W1120" s="10" t="n"/>
      <c r="X1120" s="10" t="n"/>
      <c r="Y1120" s="10" t="n"/>
      <c r="Z1120" s="10" t="n"/>
    </row>
    <row r="1121">
      <c r="A1121" s="27" t="inlineStr">
        <is>
          <t>codEmployee.receivingPaymentDate</t>
        </is>
      </c>
      <c r="B1121" s="27" t="inlineStr">
        <is>
          <t>Ngày hạch toán</t>
        </is>
      </c>
      <c r="C1121" s="27" t="inlineStr">
        <is>
          <t>Posting Date</t>
        </is>
      </c>
      <c r="D1121" s="21" t="n"/>
      <c r="E1121" s="102" t="inlineStr">
        <is>
          <t>កាលបរិច្ឆេទកត់ត្រា</t>
        </is>
      </c>
      <c r="F1121" s="10" t="n"/>
      <c r="G1121" s="10" t="inlineStr">
        <is>
          <t>កាលបរិច្ឆេទកត់ត្រា</t>
        </is>
      </c>
      <c r="H1121" s="10" t="inlineStr">
        <is>
          <t>កាលបរិច្ឆេទកត់ត្រា</t>
        </is>
      </c>
      <c r="I1121" s="10" t="n"/>
      <c r="J1121" s="10" t="n"/>
      <c r="K1121" s="10" t="inlineStr">
        <is>
          <t>"codEmployee.receivingPaymentDate": "កាលបរិច្ឆេទកត់ត្រា",</t>
        </is>
      </c>
      <c r="L1121" s="10" t="n"/>
      <c r="M1121" s="10" t="n"/>
      <c r="N1121" s="10" t="n"/>
      <c r="O1121" s="10" t="n"/>
      <c r="P1121" s="10" t="n"/>
      <c r="Q1121" s="10" t="n"/>
      <c r="R1121" s="10" t="n"/>
      <c r="S1121" s="10" t="n"/>
      <c r="T1121" s="10" t="n"/>
      <c r="U1121" s="10" t="n"/>
      <c r="V1121" s="10" t="n"/>
      <c r="W1121" s="10" t="n"/>
      <c r="X1121" s="10" t="n"/>
      <c r="Y1121" s="10" t="n"/>
      <c r="Z1121" s="10" t="n"/>
    </row>
    <row r="1122">
      <c r="A1122" s="27" t="inlineStr">
        <is>
          <t>codEmployee.selectDate</t>
        </is>
      </c>
      <c r="B1122" s="27" t="inlineStr">
        <is>
          <t>Chọn ngày hạch toán</t>
        </is>
      </c>
      <c r="C1122" s="27" t="inlineStr">
        <is>
          <t>Select posting date</t>
        </is>
      </c>
      <c r="D1122" s="21" t="n"/>
      <c r="E1122" s="102" t="inlineStr">
        <is>
          <t>ជ្រើសកាលបរិច្ឆេទកត់ត្រា</t>
        </is>
      </c>
      <c r="F1122" s="10" t="n"/>
      <c r="G1122" s="10" t="inlineStr">
        <is>
          <t>ជ្រើសកាលបរិច្ឆេទកត់ត្រា</t>
        </is>
      </c>
      <c r="H1122" s="10" t="inlineStr">
        <is>
          <t>ជ្រើសកាលបរិច្ឆេទកត់ត្រា</t>
        </is>
      </c>
      <c r="I1122" s="10" t="n"/>
      <c r="J1122" s="10" t="n"/>
      <c r="K1122" s="10" t="inlineStr">
        <is>
          <t>"codEmployee.selectDate": "ជ្រើសកាលបរិច្ឆេទកត់ត្រា",</t>
        </is>
      </c>
      <c r="L1122" s="10" t="n"/>
      <c r="M1122" s="10" t="n"/>
      <c r="N1122" s="10" t="n"/>
      <c r="O1122" s="10" t="n"/>
      <c r="P1122" s="10" t="n"/>
      <c r="Q1122" s="10" t="n"/>
      <c r="R1122" s="10" t="n"/>
      <c r="S1122" s="10" t="n"/>
      <c r="T1122" s="10" t="n"/>
      <c r="U1122" s="10" t="n"/>
      <c r="V1122" s="10" t="n"/>
      <c r="W1122" s="10" t="n"/>
      <c r="X1122" s="10" t="n"/>
      <c r="Y1122" s="10" t="n"/>
      <c r="Z1122" s="10" t="n"/>
    </row>
    <row r="1123">
      <c r="A1123" s="27" t="inlineStr">
        <is>
          <t>codEmployee.notPermission</t>
        </is>
      </c>
      <c r="B1123" s="27" t="inlineStr">
        <is>
          <t>Bạn không có quyền sử dụng chức năng này</t>
        </is>
      </c>
      <c r="C1123" s="27" t="inlineStr">
        <is>
          <t>You do not have permission to use this function</t>
        </is>
      </c>
      <c r="D1123" s="21" t="inlineStr">
        <is>
          <t>អ្នកមិនមានសិទ្ធិក្នុងការប្រើប្រាស់មុខងារនេះទេ</t>
        </is>
      </c>
      <c r="E1123" s="21" t="inlineStr">
        <is>
          <t>អ្នកមិនមានសិទ្ធិក្នុងការប្រើប្រាស់មុខងារនេះទេ</t>
        </is>
      </c>
      <c r="F1123" s="10" t="n"/>
      <c r="G1123" s="10" t="inlineStr">
        <is>
          <t>អ្នកមិនមានសិទ្ធិក្នុងការប្រើប្រាស់មុខងារនេះទេ</t>
        </is>
      </c>
      <c r="H1123" s="10" t="inlineStr">
        <is>
          <t>អ្នកមិនមានសិទ្ធិក្នុងការប្រើប្រាស់មុខងារនេះទេ</t>
        </is>
      </c>
      <c r="I1123" s="10" t="n"/>
      <c r="J1123" s="10" t="n"/>
      <c r="K1123" s="10" t="inlineStr">
        <is>
          <t>"codEmployee.notPermission": "អ្នកមិនមានសិទ្ធិក្នុងការប្រើប្រាស់មុខងារនេះទេ",</t>
        </is>
      </c>
      <c r="L1123" s="10" t="n"/>
      <c r="M1123" s="10" t="n"/>
      <c r="N1123" s="10" t="n"/>
      <c r="O1123" s="10" t="n"/>
      <c r="P1123" s="10" t="n"/>
      <c r="Q1123" s="10" t="n"/>
      <c r="R1123" s="10" t="n"/>
      <c r="S1123" s="10" t="n"/>
      <c r="T1123" s="10" t="n"/>
      <c r="U1123" s="10" t="n"/>
      <c r="V1123" s="10" t="n"/>
      <c r="W1123" s="10" t="n"/>
      <c r="X1123" s="10" t="n"/>
      <c r="Y1123" s="10" t="n"/>
      <c r="Z1123" s="10" t="n"/>
    </row>
    <row r="1124">
      <c r="A1124" s="27" t="inlineStr">
        <is>
          <t>codEmployee.emptyData</t>
        </is>
      </c>
      <c r="B1124" s="27" t="inlineStr">
        <is>
          <t>Không có dữ liệu</t>
        </is>
      </c>
      <c r="C1124" s="27" t="inlineStr">
        <is>
          <t>No data available</t>
        </is>
      </c>
      <c r="D1124" s="21" t="inlineStr">
        <is>
          <t>មិនមានទិន្នន័យ</t>
        </is>
      </c>
      <c r="E1124" s="21" t="inlineStr">
        <is>
          <t>មិនមានទិន្នន័យ</t>
        </is>
      </c>
      <c r="F1124" s="10" t="n"/>
      <c r="G1124" s="10" t="inlineStr">
        <is>
          <t>មិនមានទិន្នន័យទេ</t>
        </is>
      </c>
      <c r="H1124" s="10" t="inlineStr">
        <is>
          <t>មិនមានទិន្នន័យទេ</t>
        </is>
      </c>
      <c r="I1124" s="10" t="n"/>
      <c r="J1124" s="10" t="n"/>
      <c r="K1124" s="10" t="inlineStr">
        <is>
          <t>"codEmployee.emptyData": "មិនមានទិន្នន័យទេ",</t>
        </is>
      </c>
      <c r="L1124" s="10" t="n"/>
      <c r="M1124" s="10" t="n"/>
      <c r="N1124" s="10" t="n"/>
      <c r="O1124" s="10" t="n"/>
      <c r="P1124" s="10" t="n"/>
      <c r="Q1124" s="10" t="n"/>
      <c r="R1124" s="10" t="n"/>
      <c r="S1124" s="10" t="n"/>
      <c r="T1124" s="10" t="n"/>
      <c r="U1124" s="10" t="n"/>
      <c r="V1124" s="10" t="n"/>
      <c r="W1124" s="10" t="n"/>
      <c r="X1124" s="10" t="n"/>
      <c r="Y1124" s="10" t="n"/>
      <c r="Z1124" s="10" t="n"/>
    </row>
    <row r="1125">
      <c r="A1125" s="27" t="inlineStr">
        <is>
          <t>codEmployee.dateDone</t>
        </is>
      </c>
      <c r="B1125" s="27" t="inlineStr">
        <is>
          <t>Ngày hạch toán</t>
        </is>
      </c>
      <c r="C1125" s="27" t="inlineStr">
        <is>
          <t>Posting Date</t>
        </is>
      </c>
      <c r="D1125" s="21" t="n"/>
      <c r="E1125" s="102" t="inlineStr">
        <is>
          <t>កាលបរិច្ឆេទកត់ត្រា</t>
        </is>
      </c>
      <c r="F1125" s="10" t="n"/>
      <c r="G1125" s="10" t="inlineStr">
        <is>
          <t>កាលបរិច្ឆេទកត់ត្រា</t>
        </is>
      </c>
      <c r="H1125" s="10" t="inlineStr">
        <is>
          <t>កាលបរិច្ឆេទកត់ត្រា</t>
        </is>
      </c>
      <c r="I1125" s="10" t="n"/>
      <c r="J1125" s="10" t="n"/>
      <c r="K1125" s="10" t="inlineStr">
        <is>
          <t>"codEmployee.dateDone": "កាលបរិច្ឆេទកត់ត្រា",</t>
        </is>
      </c>
      <c r="L1125" s="10" t="n"/>
      <c r="M1125" s="10" t="n"/>
      <c r="N1125" s="10" t="n"/>
      <c r="O1125" s="10" t="n"/>
      <c r="P1125" s="10" t="n"/>
      <c r="Q1125" s="10" t="n"/>
      <c r="R1125" s="10" t="n"/>
      <c r="S1125" s="10" t="n"/>
      <c r="T1125" s="10" t="n"/>
      <c r="U1125" s="10" t="n"/>
      <c r="V1125" s="10" t="n"/>
      <c r="W1125" s="10" t="n"/>
      <c r="X1125" s="10" t="n"/>
      <c r="Y1125" s="10" t="n"/>
      <c r="Z1125" s="10" t="n"/>
    </row>
    <row r="1126">
      <c r="A1126" s="27" t="inlineStr">
        <is>
          <t>codEmployee.updatedByUser</t>
        </is>
      </c>
      <c r="B1126" s="27" t="inlineStr">
        <is>
          <t>Người cập nhật</t>
        </is>
      </c>
      <c r="C1126" s="27" t="inlineStr">
        <is>
          <t>Updated by</t>
        </is>
      </c>
      <c r="D1126" s="21" t="inlineStr">
        <is>
          <t>អ្នកអាប់ដេត</t>
        </is>
      </c>
      <c r="E1126" s="102" t="inlineStr">
        <is>
          <t>អ្នកអាប់ដេត</t>
        </is>
      </c>
      <c r="F1126" s="10" t="n"/>
      <c r="G1126" s="10" t="inlineStr">
        <is>
          <t>អ្នកអាប់ដេត</t>
        </is>
      </c>
      <c r="H1126" s="10" t="inlineStr">
        <is>
          <t>អ្នកអាប់ដេត</t>
        </is>
      </c>
      <c r="I1126" s="10" t="n"/>
      <c r="J1126" s="10" t="n"/>
      <c r="K1126" s="10" t="inlineStr">
        <is>
          <t>"codEmployee.updatedByUser": "អ្នកអាប់ដេត",</t>
        </is>
      </c>
      <c r="L1126" s="10" t="n"/>
      <c r="M1126" s="10" t="n"/>
      <c r="N1126" s="10" t="n"/>
      <c r="O1126" s="10" t="n"/>
      <c r="P1126" s="10" t="n"/>
      <c r="Q1126" s="10" t="n"/>
      <c r="R1126" s="10" t="n"/>
      <c r="S1126" s="10" t="n"/>
      <c r="T1126" s="10" t="n"/>
      <c r="U1126" s="10" t="n"/>
      <c r="V1126" s="10" t="n"/>
      <c r="W1126" s="10" t="n"/>
      <c r="X1126" s="10" t="n"/>
      <c r="Y1126" s="10" t="n"/>
      <c r="Z1126" s="10" t="n"/>
    </row>
    <row r="1127">
      <c r="A1127" s="27" t="inlineStr">
        <is>
          <t>codEmployee.confirmCreate</t>
        </is>
      </c>
      <c r="B1127" s="27" t="inlineStr">
        <is>
          <t>Bạn có chắc chắn muốn tạo bảng kê cho bưu tá</t>
        </is>
      </c>
      <c r="C1127" s="27" t="inlineStr">
        <is>
          <t>Are you sure you want to create a statement</t>
        </is>
      </c>
      <c r="D1127" s="102" t="inlineStr">
        <is>
          <t>តើអ្នកពិតជាចង់បង្កើតការបញ្ជាទិញសម្រាប់អ្នកដឹកជញ្ជូនមែនទេ?</t>
        </is>
      </c>
      <c r="E1127" s="21" t="inlineStr">
        <is>
          <t>តើអ្នកពិតជាចង់បង្កើតការបញ្ជាទិញសម្រាប់អ្នកដឹកជញ្ជូនមែនទេ?</t>
        </is>
      </c>
      <c r="F1127" s="10" t="n"/>
      <c r="G1127" s="10" t="inlineStr">
        <is>
          <t>តើអ្នកពិតជាចង់បង្កើតការបញ្ជាទិញសម្រាប់អ្នកដឹកជញ្ជូនមែនទេ?</t>
        </is>
      </c>
      <c r="H1127" s="10" t="inlineStr">
        <is>
          <t>តើអ្នកពិតជាចង់បង្កើតការបញ្ជាទិញសម្រាប់អ្នកដឹកជញ្ជូនមែនទេ?</t>
        </is>
      </c>
      <c r="I1127" s="10" t="n"/>
      <c r="J1127" s="10" t="n"/>
      <c r="K1127" s="10" t="inlineStr">
        <is>
          <t>"codEmployee.confirmCreate": "តើអ្នកពិតជាចង់បង្កើតការបញ្ជាទិញសម្រាប់អ្នកដឹកជញ្ជូនមែនទេ?",</t>
        </is>
      </c>
      <c r="L1127" s="10" t="n"/>
      <c r="M1127" s="10" t="n"/>
      <c r="N1127" s="10" t="n"/>
      <c r="O1127" s="10" t="n"/>
      <c r="P1127" s="10" t="n"/>
      <c r="Q1127" s="10" t="n"/>
      <c r="R1127" s="10" t="n"/>
      <c r="S1127" s="10" t="n"/>
      <c r="T1127" s="10" t="n"/>
      <c r="U1127" s="10" t="n"/>
      <c r="V1127" s="10" t="n"/>
      <c r="W1127" s="10" t="n"/>
      <c r="X1127" s="10" t="n"/>
      <c r="Y1127" s="10" t="n"/>
      <c r="Z1127" s="10" t="n"/>
    </row>
    <row r="1128">
      <c r="A1128" s="27" t="inlineStr">
        <is>
          <t>codEmployee.forMoney</t>
        </is>
      </c>
      <c r="B1128" s="27" t="inlineStr">
        <is>
          <t>với số tiền</t>
        </is>
      </c>
      <c r="C1128" s="27" t="inlineStr">
        <is>
          <t>with COD</t>
        </is>
      </c>
      <c r="D1128" s="21" t="inlineStr">
        <is>
          <t>ជាមួយនឹងប្រាក់</t>
        </is>
      </c>
      <c r="E1128" s="21" t="inlineStr">
        <is>
          <t>ជាមួយនឹងប្រាក់</t>
        </is>
      </c>
      <c r="F1128" s="10" t="n"/>
      <c r="G1128" s="10" t="inlineStr">
        <is>
          <t>ជាមួយនឹងប្រាក់</t>
        </is>
      </c>
      <c r="H1128" s="10" t="inlineStr">
        <is>
          <t>ជាមួយនឹងប្រាក់</t>
        </is>
      </c>
      <c r="I1128" s="10" t="n"/>
      <c r="J1128" s="10" t="n"/>
      <c r="K1128" s="10" t="inlineStr">
        <is>
          <t>"codEmployee.forMoney": "ជាមួយនឹងប្រាក់",</t>
        </is>
      </c>
      <c r="L1128" s="10" t="n"/>
      <c r="M1128" s="10" t="n"/>
      <c r="N1128" s="10" t="n"/>
      <c r="O1128" s="10" t="n"/>
      <c r="P1128" s="10" t="n"/>
      <c r="Q1128" s="10" t="n"/>
      <c r="R1128" s="10" t="n"/>
      <c r="S1128" s="10" t="n"/>
      <c r="T1128" s="10" t="n"/>
      <c r="U1128" s="10" t="n"/>
      <c r="V1128" s="10" t="n"/>
      <c r="W1128" s="10" t="n"/>
      <c r="X1128" s="10" t="n"/>
      <c r="Y1128" s="10" t="n"/>
      <c r="Z1128" s="10" t="n"/>
    </row>
    <row r="1129">
      <c r="A1129" s="27" t="inlineStr">
        <is>
          <t>codEmployee.RECORD_COD_NEW</t>
        </is>
      </c>
      <c r="B1129" s="27" t="inlineStr">
        <is>
          <t>Tạo mới</t>
        </is>
      </c>
      <c r="C1129" s="27" t="inlineStr">
        <is>
          <t>Draft</t>
        </is>
      </c>
      <c r="D1129" s="21" t="inlineStr">
        <is>
          <t>បង្កើតថ្មី</t>
        </is>
      </c>
      <c r="E1129" s="21" t="inlineStr">
        <is>
          <t>បង្កើតថ្មី</t>
        </is>
      </c>
      <c r="F1129" s="10" t="n"/>
      <c r="G1129" s="10" t="inlineStr">
        <is>
          <t>បង្កើតថ្មី</t>
        </is>
      </c>
      <c r="H1129" s="10" t="inlineStr">
        <is>
          <t>បង្កើតថ្មី</t>
        </is>
      </c>
      <c r="I1129" s="10" t="n"/>
      <c r="J1129" s="10" t="n"/>
      <c r="K1129" s="10" t="inlineStr">
        <is>
          <t>"codEmployee.RECORD_COD_NEW": "បង្កើតថ្មី",</t>
        </is>
      </c>
      <c r="L1129" s="10" t="n"/>
      <c r="M1129" s="10" t="n"/>
      <c r="N1129" s="10" t="n"/>
      <c r="O1129" s="10" t="n"/>
      <c r="P1129" s="10" t="n"/>
      <c r="Q1129" s="10" t="n"/>
      <c r="R1129" s="10" t="n"/>
      <c r="S1129" s="10" t="n"/>
      <c r="T1129" s="10" t="n"/>
      <c r="U1129" s="10" t="n"/>
      <c r="V1129" s="10" t="n"/>
      <c r="W1129" s="10" t="n"/>
      <c r="X1129" s="10" t="n"/>
      <c r="Y1129" s="10" t="n"/>
      <c r="Z1129" s="10" t="n"/>
    </row>
    <row r="1130">
      <c r="A1130" s="27" t="inlineStr">
        <is>
          <t>codEmployee.RECORD_COD_CONFIRM</t>
        </is>
      </c>
      <c r="B1130" s="27" t="inlineStr">
        <is>
          <t>Đang thu</t>
        </is>
      </c>
      <c r="C1130" s="27" t="inlineStr">
        <is>
          <t>Collecting</t>
        </is>
      </c>
      <c r="D1130" s="21" t="inlineStr">
        <is>
          <t>កំពុងប្រមូល</t>
        </is>
      </c>
      <c r="E1130" s="21" t="inlineStr">
        <is>
          <t>កំពុងប្រមូល</t>
        </is>
      </c>
      <c r="F1130" s="10" t="n"/>
      <c r="G1130" s="10" t="inlineStr">
        <is>
          <t>កំពុងប្រមូល</t>
        </is>
      </c>
      <c r="H1130" s="10" t="inlineStr">
        <is>
          <t>កំពុងប្រមូល</t>
        </is>
      </c>
      <c r="I1130" s="10" t="n"/>
      <c r="J1130" s="10" t="n"/>
      <c r="K1130" s="10" t="inlineStr">
        <is>
          <t>"codEmployee.RECORD_COD_CONFIRM": "កំពុងប្រមូល",</t>
        </is>
      </c>
      <c r="L1130" s="10" t="n"/>
      <c r="M1130" s="10" t="n"/>
      <c r="N1130" s="10" t="n"/>
      <c r="O1130" s="10" t="n"/>
      <c r="P1130" s="10" t="n"/>
      <c r="Q1130" s="10" t="n"/>
      <c r="R1130" s="10" t="n"/>
      <c r="S1130" s="10" t="n"/>
      <c r="T1130" s="10" t="n"/>
      <c r="U1130" s="10" t="n"/>
      <c r="V1130" s="10" t="n"/>
      <c r="W1130" s="10" t="n"/>
      <c r="X1130" s="10" t="n"/>
      <c r="Y1130" s="10" t="n"/>
      <c r="Z1130" s="10" t="n"/>
    </row>
    <row r="1131">
      <c r="A1131" s="27" t="inlineStr">
        <is>
          <t>codEmployee.RECORD_COD_UMONEY_PAID</t>
        </is>
      </c>
      <c r="B1131" s="27" t="inlineStr">
        <is>
          <t>Đã thu UM</t>
        </is>
      </c>
      <c r="C1131" s="27" t="inlineStr">
        <is>
          <t>UM Collected</t>
        </is>
      </c>
      <c r="D1131" s="21" t="inlineStr">
        <is>
          <t>បានបង់ UM</t>
        </is>
      </c>
      <c r="E1131" s="24" t="inlineStr">
        <is>
          <t>បានប្រមូល UM</t>
        </is>
      </c>
      <c r="F1131" s="10" t="n"/>
      <c r="G1131" s="10" t="inlineStr">
        <is>
          <t>បានប្រមូល UM</t>
        </is>
      </c>
      <c r="H1131" s="10" t="inlineStr">
        <is>
          <t>បានប្រមូល UM</t>
        </is>
      </c>
      <c r="I1131" s="10" t="n"/>
      <c r="J1131" s="10" t="n"/>
      <c r="K1131" s="10" t="inlineStr">
        <is>
          <t>"codEmployee.RECORD_COD_UMONEY_PAID": "បានប្រមូល UM",</t>
        </is>
      </c>
      <c r="L1131" s="10" t="n"/>
      <c r="M1131" s="10" t="n"/>
      <c r="N1131" s="10" t="n"/>
      <c r="O1131" s="10" t="n"/>
      <c r="P1131" s="10" t="n"/>
      <c r="Q1131" s="10" t="n"/>
      <c r="R1131" s="10" t="n"/>
      <c r="S1131" s="10" t="n"/>
      <c r="T1131" s="10" t="n"/>
      <c r="U1131" s="10" t="n"/>
      <c r="V1131" s="10" t="n"/>
      <c r="W1131" s="10" t="n"/>
      <c r="X1131" s="10" t="n"/>
      <c r="Y1131" s="10" t="n"/>
      <c r="Z1131" s="10" t="n"/>
    </row>
    <row r="1132">
      <c r="A1132" s="27" t="inlineStr">
        <is>
          <t>codEmployee.RECORD_COD_PAYMENT_RECEIVED</t>
        </is>
      </c>
      <c r="B1132" s="27" t="inlineStr">
        <is>
          <t>Đã thu</t>
        </is>
      </c>
      <c r="C1132" s="27" t="inlineStr">
        <is>
          <t>Collected</t>
        </is>
      </c>
      <c r="D1132" s="102" t="inlineStr">
        <is>
          <t>បានទទួល</t>
        </is>
      </c>
      <c r="E1132" s="24" t="inlineStr">
        <is>
          <t>បានប្រមូូល</t>
        </is>
      </c>
      <c r="F1132" s="10" t="n"/>
      <c r="G1132" s="10" t="inlineStr">
        <is>
          <t>បានប្រមូលរួចរាល់</t>
        </is>
      </c>
      <c r="H1132" s="10" t="inlineStr">
        <is>
          <t>បានប្រមូលរួចរាល់</t>
        </is>
      </c>
      <c r="I1132" s="10" t="n"/>
      <c r="J1132" s="10" t="n"/>
      <c r="K1132" s="10" t="inlineStr">
        <is>
          <t>"codEmployee.RECORD_COD_PAYMENT_RECEIVED": "បានប្រមូលរួចរាល់",</t>
        </is>
      </c>
      <c r="L1132" s="10" t="n"/>
      <c r="M1132" s="10" t="n"/>
      <c r="N1132" s="10" t="n"/>
      <c r="O1132" s="10" t="n"/>
      <c r="P1132" s="10" t="n"/>
      <c r="Q1132" s="10" t="n"/>
      <c r="R1132" s="10" t="n"/>
      <c r="S1132" s="10" t="n"/>
      <c r="T1132" s="10" t="n"/>
      <c r="U1132" s="10" t="n"/>
      <c r="V1132" s="10" t="n"/>
      <c r="W1132" s="10" t="n"/>
      <c r="X1132" s="10" t="n"/>
      <c r="Y1132" s="10" t="n"/>
      <c r="Z1132" s="10" t="n"/>
    </row>
    <row r="1133">
      <c r="A1133" s="27" t="inlineStr">
        <is>
          <t>codEmployee.RECORD_COD_DONE</t>
        </is>
      </c>
      <c r="B1133" s="27" t="inlineStr">
        <is>
          <t>Đã nộp</t>
        </is>
      </c>
      <c r="C1133" s="27" t="inlineStr">
        <is>
          <t>Remitted</t>
        </is>
      </c>
      <c r="D1133" s="21" t="inlineStr">
        <is>
          <t>បានបង់</t>
        </is>
      </c>
      <c r="E1133" s="24" t="inlineStr">
        <is>
          <t>បានបង់</t>
        </is>
      </c>
      <c r="F1133" s="10" t="n"/>
      <c r="G1133" s="10" t="inlineStr">
        <is>
          <t>បានបង់ប្រាក់រួចរាល់</t>
        </is>
      </c>
      <c r="H1133" s="10" t="inlineStr">
        <is>
          <t>បានបង់ប្រាក់រួចរាល់</t>
        </is>
      </c>
      <c r="I1133" s="10" t="n"/>
      <c r="J1133" s="10" t="n"/>
      <c r="K1133" s="10" t="inlineStr">
        <is>
          <t>"codEmployee.RECORD_COD_DONE": "បានបង់ប្រាក់រួចរាល់",</t>
        </is>
      </c>
      <c r="L1133" s="10" t="n"/>
      <c r="M1133" s="10" t="n"/>
      <c r="N1133" s="10" t="n"/>
      <c r="O1133" s="10" t="n"/>
      <c r="P1133" s="10" t="n"/>
      <c r="Q1133" s="10" t="n"/>
      <c r="R1133" s="10" t="n"/>
      <c r="S1133" s="10" t="n"/>
      <c r="T1133" s="10" t="n"/>
      <c r="U1133" s="10" t="n"/>
      <c r="V1133" s="10" t="n"/>
      <c r="W1133" s="10" t="n"/>
      <c r="X1133" s="10" t="n"/>
      <c r="Y1133" s="10" t="n"/>
      <c r="Z1133" s="10" t="n"/>
    </row>
    <row r="1134">
      <c r="A1134" s="27" t="inlineStr">
        <is>
          <t>codEmployee.RECORD_COD_PAYMENT_DONE</t>
        </is>
      </c>
      <c r="B1134" s="27" t="inlineStr">
        <is>
          <t>Đã xác nhận</t>
        </is>
      </c>
      <c r="C1134" s="27" t="inlineStr">
        <is>
          <t>Confirmed</t>
        </is>
      </c>
      <c r="D1134" s="21" t="inlineStr">
        <is>
          <t>បានបញ្ជាក់</t>
        </is>
      </c>
      <c r="E1134" s="24" t="inlineStr">
        <is>
          <t>បានបញ្ជាក់</t>
        </is>
      </c>
      <c r="F1134" s="10" t="n"/>
      <c r="G1134" s="10" t="inlineStr">
        <is>
          <t>បានបញ្ជាក់</t>
        </is>
      </c>
      <c r="H1134" s="10" t="inlineStr">
        <is>
          <t>បានបញ្ជាក់</t>
        </is>
      </c>
      <c r="I1134" s="10" t="n"/>
      <c r="J1134" s="10" t="n"/>
      <c r="K1134" s="10" t="inlineStr">
        <is>
          <t>"codEmployee.RECORD_COD_PAYMENT_DONE": "បានបញ្ជាក់",</t>
        </is>
      </c>
      <c r="L1134" s="10" t="n"/>
      <c r="M1134" s="10" t="n"/>
      <c r="N1134" s="10" t="n"/>
      <c r="O1134" s="10" t="n"/>
      <c r="P1134" s="10" t="n"/>
      <c r="Q1134" s="10" t="n"/>
      <c r="R1134" s="10" t="n"/>
      <c r="S1134" s="10" t="n"/>
      <c r="T1134" s="10" t="n"/>
      <c r="U1134" s="10" t="n"/>
      <c r="V1134" s="10" t="n"/>
      <c r="W1134" s="10" t="n"/>
      <c r="X1134" s="10" t="n"/>
      <c r="Y1134" s="10" t="n"/>
      <c r="Z1134" s="10" t="n"/>
    </row>
    <row r="1135">
      <c r="A1135" s="27" t="inlineStr">
        <is>
          <t>codEmployee.deliveryAt</t>
        </is>
      </c>
      <c r="B1135" s="27" t="inlineStr">
        <is>
          <t>Ngày phát thành công</t>
        </is>
      </c>
      <c r="C1135" s="27" t="inlineStr">
        <is>
          <t>-</t>
        </is>
      </c>
      <c r="D1135" s="21" t="inlineStr">
        <is>
          <t>ថ្ងៃប្រគល់អីវ៉ាន់បានជោគជ័យ</t>
        </is>
      </c>
      <c r="E1135" s="24" t="inlineStr">
        <is>
          <t>ថ្ងៃប្រគល់អីវ៉ាន់បានជោគជ័យ</t>
        </is>
      </c>
      <c r="F1135" s="10" t="n"/>
      <c r="G1135" s="10" t="inlineStr">
        <is>
          <t>កាលបរិច្ឆេទដឹកជញ្ជូនជោគជ័យ</t>
        </is>
      </c>
      <c r="H1135" s="10" t="inlineStr">
        <is>
          <t>កាលបរិច្ឆេទដឹកជញ្ជូនជោគជ័យ</t>
        </is>
      </c>
      <c r="I1135" s="10" t="n"/>
      <c r="J1135" s="10" t="n"/>
      <c r="K1135" s="10" t="inlineStr">
        <is>
          <t>"codEmployee.deliveryAt": "កាលបរិច្ឆេទដឹកជញ្ជូនជោគជ័យ",</t>
        </is>
      </c>
      <c r="L1135" s="10" t="n"/>
      <c r="M1135" s="10" t="n"/>
      <c r="N1135" s="10" t="n"/>
      <c r="O1135" s="10" t="n"/>
      <c r="P1135" s="10" t="n"/>
      <c r="Q1135" s="10" t="n"/>
      <c r="R1135" s="10" t="n"/>
      <c r="S1135" s="10" t="n"/>
      <c r="T1135" s="10" t="n"/>
      <c r="U1135" s="10" t="n"/>
      <c r="V1135" s="10" t="n"/>
      <c r="W1135" s="10" t="n"/>
      <c r="X1135" s="10" t="n"/>
      <c r="Y1135" s="10" t="n"/>
      <c r="Z1135" s="10" t="n"/>
    </row>
    <row r="1136">
      <c r="A1136" s="27" t="inlineStr">
        <is>
          <t>codPrint.title</t>
        </is>
      </c>
      <c r="B1136" s="27" t="inlineStr">
        <is>
          <t>BẢNG KÊ THU TIỀN</t>
        </is>
      </c>
      <c r="C1136" s="27" t="inlineStr">
        <is>
          <t>COD Collection Statements</t>
        </is>
      </c>
      <c r="D1136" s="21" t="inlineStr">
        <is>
          <t>តារាងប្រមូលប្រាក់</t>
        </is>
      </c>
      <c r="E1136" s="24" t="inlineStr">
        <is>
          <t>តារាងប្រមូលប្រាក់</t>
        </is>
      </c>
      <c r="F1136" s="10" t="n"/>
      <c r="G1136" s="10" t="inlineStr">
        <is>
          <t>តារាងប្រមូលប្រាក់</t>
        </is>
      </c>
      <c r="H1136" s="10" t="inlineStr">
        <is>
          <t>តារាងប្រមូលប្រាក់</t>
        </is>
      </c>
      <c r="I1136" s="10" t="n"/>
      <c r="J1136" s="10" t="n"/>
      <c r="K1136" s="10" t="inlineStr">
        <is>
          <t>"codPrint.title": "តារាងប្រមូលប្រាក់",</t>
        </is>
      </c>
      <c r="L1136" s="10" t="n"/>
      <c r="M1136" s="10" t="n"/>
      <c r="N1136" s="10" t="n"/>
      <c r="O1136" s="10" t="n"/>
      <c r="P1136" s="10" t="n"/>
      <c r="Q1136" s="10" t="n"/>
      <c r="R1136" s="10" t="n"/>
      <c r="S1136" s="10" t="n"/>
      <c r="T1136" s="10" t="n"/>
      <c r="U1136" s="10" t="n"/>
      <c r="V1136" s="10" t="n"/>
      <c r="W1136" s="10" t="n"/>
      <c r="X1136" s="10" t="n"/>
      <c r="Y1136" s="10" t="n"/>
      <c r="Z1136" s="10" t="n"/>
    </row>
    <row r="1137">
      <c r="A1137" s="27" t="inlineStr">
        <is>
          <t>codPrint.datetime</t>
        </is>
      </c>
      <c r="B1137" s="27" t="inlineStr">
        <is>
          <t>Ngày {{date}} tháng {{month}} năm {{year}}</t>
        </is>
      </c>
      <c r="C1137" s="27" t="inlineStr">
        <is>
          <t>{{month}} {{date}}, {{year}}</t>
        </is>
      </c>
      <c r="D1137" s="21" t="n"/>
      <c r="E1137" s="102" t="inlineStr">
        <is>
          <t>ថ្ងៃ {{date}} ខែ {{month}} ឆ្នាំ {{year}}</t>
        </is>
      </c>
      <c r="F1137" s="10" t="n"/>
      <c r="G1137" s="10" t="inlineStr">
        <is>
          <t>ថ្ងៃ {{date}} ខែ {{month}} ឆ្នាំ {{year}}</t>
        </is>
      </c>
      <c r="H1137" s="10" t="inlineStr">
        <is>
          <t>ថ្ងៃ {{date}} ខែ {{month}} ឆ្នាំ {{year}}</t>
        </is>
      </c>
      <c r="I1137" s="10" t="n"/>
      <c r="J1137" s="10" t="n"/>
      <c r="K1137" s="10" t="inlineStr">
        <is>
          <t>"codPrint.datetime": "ថ្ងៃ {{date}} ខែ {{month}} ឆ្នាំ {{year}}",</t>
        </is>
      </c>
      <c r="L1137" s="10" t="n"/>
      <c r="M1137" s="10" t="n"/>
      <c r="N1137" s="10" t="n"/>
      <c r="O1137" s="10" t="n"/>
      <c r="P1137" s="10" t="n"/>
      <c r="Q1137" s="10" t="n"/>
      <c r="R1137" s="10" t="n"/>
      <c r="S1137" s="10" t="n"/>
      <c r="T1137" s="10" t="n"/>
      <c r="U1137" s="10" t="n"/>
      <c r="V1137" s="10" t="n"/>
      <c r="W1137" s="10" t="n"/>
      <c r="X1137" s="10" t="n"/>
      <c r="Y1137" s="10" t="n"/>
      <c r="Z1137" s="10" t="n"/>
    </row>
    <row r="1138">
      <c r="A1138" s="27" t="inlineStr">
        <is>
          <t>codPrint.hours</t>
        </is>
      </c>
      <c r="B1138" s="27" t="inlineStr">
        <is>
          <t>Giờ {{hours}}</t>
        </is>
      </c>
      <c r="C1138" s="27" t="inlineStr">
        <is>
          <t>Time</t>
        </is>
      </c>
      <c r="D1138" s="21" t="inlineStr">
        <is>
          <t>ម៉ោង {{hours}}</t>
        </is>
      </c>
      <c r="E1138" s="21" t="inlineStr">
        <is>
          <t>ម៉ោង {{hours}}</t>
        </is>
      </c>
      <c r="F1138" s="10" t="n"/>
      <c r="G1138" s="10" t="inlineStr">
        <is>
          <t>ម៉ោង {{hours}}</t>
        </is>
      </c>
      <c r="H1138" s="10" t="inlineStr">
        <is>
          <t>ម៉ោង {{hours}}</t>
        </is>
      </c>
      <c r="I1138" s="10" t="n"/>
      <c r="J1138" s="10" t="n"/>
      <c r="K1138" s="10" t="inlineStr">
        <is>
          <t>"codPrint.hours": "ម៉ោង {{hours}}",</t>
        </is>
      </c>
      <c r="L1138" s="10" t="n"/>
      <c r="M1138" s="10" t="n"/>
      <c r="N1138" s="10" t="n"/>
      <c r="O1138" s="10" t="n"/>
      <c r="P1138" s="10" t="n"/>
      <c r="Q1138" s="10" t="n"/>
      <c r="R1138" s="10" t="n"/>
      <c r="S1138" s="10" t="n"/>
      <c r="T1138" s="10" t="n"/>
      <c r="U1138" s="10" t="n"/>
      <c r="V1138" s="10" t="n"/>
      <c r="W1138" s="10" t="n"/>
      <c r="X1138" s="10" t="n"/>
      <c r="Y1138" s="10" t="n"/>
      <c r="Z1138" s="10" t="n"/>
    </row>
    <row r="1139">
      <c r="A1139" s="27" t="inlineStr">
        <is>
          <t>codPrint.postmanId</t>
        </is>
      </c>
      <c r="B1139" s="27" t="inlineStr">
        <is>
          <t>Mã bưu tá</t>
        </is>
      </c>
      <c r="C1139" s="27" t="inlineStr">
        <is>
          <t>User ID</t>
        </is>
      </c>
      <c r="D1139" s="102" t="inlineStr">
        <is>
          <t>អ្នកដឹកជញ្ជូន</t>
        </is>
      </c>
      <c r="E1139" s="24" t="inlineStr">
        <is>
          <t>លេខសម្គាល់អ្នកដឹកជញ្ជូន</t>
        </is>
      </c>
      <c r="F1139" s="10" t="n"/>
      <c r="G1139" s="10" t="inlineStr">
        <is>
          <t>លេខសម្គាល់អ្នកដឹកជញ្ជូន</t>
        </is>
      </c>
      <c r="H1139" s="10" t="inlineStr">
        <is>
          <t>លេខសម្គាល់អ្នកដឹកជញ្ជូន</t>
        </is>
      </c>
      <c r="I1139" s="10" t="n"/>
      <c r="J1139" s="10" t="n"/>
      <c r="K1139" s="10" t="inlineStr">
        <is>
          <t>"codPrint.postmanId": "លេខសម្គាល់អ្នកដឹកជញ្ជូន",</t>
        </is>
      </c>
      <c r="L1139" s="10" t="n"/>
      <c r="M1139" s="10" t="n"/>
      <c r="N1139" s="10" t="n"/>
      <c r="O1139" s="10" t="n"/>
      <c r="P1139" s="10" t="n"/>
      <c r="Q1139" s="10" t="n"/>
      <c r="R1139" s="10" t="n"/>
      <c r="S1139" s="10" t="n"/>
      <c r="T1139" s="10" t="n"/>
      <c r="U1139" s="10" t="n"/>
      <c r="V1139" s="10" t="n"/>
      <c r="W1139" s="10" t="n"/>
      <c r="X1139" s="10" t="n"/>
      <c r="Y1139" s="10" t="n"/>
      <c r="Z1139" s="10" t="n"/>
    </row>
    <row r="1140">
      <c r="A1140" s="27" t="inlineStr">
        <is>
          <t>codPrint.postnameName</t>
        </is>
      </c>
      <c r="B1140" s="27" t="inlineStr">
        <is>
          <t>Tên bưu tá</t>
        </is>
      </c>
      <c r="C1140" s="27" t="inlineStr">
        <is>
          <t>Full name</t>
        </is>
      </c>
      <c r="D1140" s="21" t="inlineStr">
        <is>
          <t>ឈ្មោះអ្នកដឹកជញ្ជូន</t>
        </is>
      </c>
      <c r="E1140" s="21" t="inlineStr">
        <is>
          <t>ឈ្មោះអ្នកដឹកជញ្ជូន</t>
        </is>
      </c>
      <c r="F1140" s="10" t="n"/>
      <c r="G1140" s="10" t="inlineStr">
        <is>
          <t>ឈ្មោះពេញ</t>
        </is>
      </c>
      <c r="H1140" s="10" t="inlineStr">
        <is>
          <t>ឈ្មោះពេញ</t>
        </is>
      </c>
      <c r="I1140" s="10" t="n"/>
      <c r="J1140" s="10" t="n"/>
      <c r="K1140" s="10" t="inlineStr">
        <is>
          <t>"codPrint.postnameName": "ឈ្មោះពេញ",</t>
        </is>
      </c>
      <c r="L1140" s="10" t="n"/>
      <c r="M1140" s="10" t="n"/>
      <c r="N1140" s="10" t="n"/>
      <c r="O1140" s="10" t="n"/>
      <c r="P1140" s="10" t="n"/>
      <c r="Q1140" s="10" t="n"/>
      <c r="R1140" s="10" t="n"/>
      <c r="S1140" s="10" t="n"/>
      <c r="T1140" s="10" t="n"/>
      <c r="U1140" s="10" t="n"/>
      <c r="V1140" s="10" t="n"/>
      <c r="W1140" s="10" t="n"/>
      <c r="X1140" s="10" t="n"/>
      <c r="Y1140" s="10" t="n"/>
      <c r="Z1140" s="10" t="n"/>
    </row>
    <row r="1141">
      <c r="A1141" s="27" t="inlineStr">
        <is>
          <t>codPrint.note</t>
        </is>
      </c>
      <c r="B1141" s="27" t="inlineStr">
        <is>
          <t>Ghi chú</t>
        </is>
      </c>
      <c r="C1141" s="27" t="inlineStr">
        <is>
          <t>Note</t>
        </is>
      </c>
      <c r="D1141" s="21" t="inlineStr">
        <is>
          <t>កត់ចំណាំ</t>
        </is>
      </c>
      <c r="E1141" s="21" t="inlineStr">
        <is>
          <t>កត់ចំណាំ</t>
        </is>
      </c>
      <c r="F1141" s="10" t="n"/>
      <c r="G1141" s="10" t="inlineStr">
        <is>
          <t>ចំណាំ</t>
        </is>
      </c>
      <c r="H1141" s="10" t="inlineStr">
        <is>
          <t>ចំណាំ</t>
        </is>
      </c>
      <c r="I1141" s="10" t="n"/>
      <c r="J1141" s="10" t="n"/>
      <c r="K1141" s="10" t="inlineStr">
        <is>
          <t>"codPrint.note": "ចំណាំ",</t>
        </is>
      </c>
      <c r="L1141" s="10" t="n"/>
      <c r="M1141" s="10" t="n"/>
      <c r="N1141" s="10" t="n"/>
      <c r="O1141" s="10" t="n"/>
      <c r="P1141" s="10" t="n"/>
      <c r="Q1141" s="10" t="n"/>
      <c r="R1141" s="10" t="n"/>
      <c r="S1141" s="10" t="n"/>
      <c r="T1141" s="10" t="n"/>
      <c r="U1141" s="10" t="n"/>
      <c r="V1141" s="10" t="n"/>
      <c r="W1141" s="10" t="n"/>
      <c r="X1141" s="10" t="n"/>
      <c r="Y1141" s="10" t="n"/>
      <c r="Z1141" s="10" t="n"/>
    </row>
    <row r="1142">
      <c r="A1142" s="27" t="inlineStr">
        <is>
          <t>codPrint.payer</t>
        </is>
      </c>
      <c r="B1142" s="27" t="inlineStr">
        <is>
          <t>Người nộp tiền</t>
        </is>
      </c>
      <c r="C1142" s="27" t="inlineStr">
        <is>
          <t>Submitter</t>
        </is>
      </c>
      <c r="D1142" s="21" t="inlineStr">
        <is>
          <t>អ្នកបង់ប្រាក់</t>
        </is>
      </c>
      <c r="E1142" s="21" t="inlineStr">
        <is>
          <t>អ្នកបង់ប្រាក់</t>
        </is>
      </c>
      <c r="F1142" s="10" t="n"/>
      <c r="G1142" s="10" t="inlineStr">
        <is>
          <t>អ្នកបង់ប្រាក់</t>
        </is>
      </c>
      <c r="H1142" s="10" t="inlineStr">
        <is>
          <t>អ្នកបង់ប្រាក់</t>
        </is>
      </c>
      <c r="I1142" s="10" t="n"/>
      <c r="J1142" s="10" t="n"/>
      <c r="K1142" s="10" t="inlineStr">
        <is>
          <t>"codPrint.payer": "អ្នកបង់ប្រាក់",</t>
        </is>
      </c>
      <c r="L1142" s="10" t="n"/>
      <c r="M1142" s="10" t="n"/>
      <c r="N1142" s="10" t="n"/>
      <c r="O1142" s="10" t="n"/>
      <c r="P1142" s="10" t="n"/>
      <c r="Q1142" s="10" t="n"/>
      <c r="R1142" s="10" t="n"/>
      <c r="S1142" s="10" t="n"/>
      <c r="T1142" s="10" t="n"/>
      <c r="U1142" s="10" t="n"/>
      <c r="V1142" s="10" t="n"/>
      <c r="W1142" s="10" t="n"/>
      <c r="X1142" s="10" t="n"/>
      <c r="Y1142" s="10" t="n"/>
      <c r="Z1142" s="10" t="n"/>
    </row>
    <row r="1143">
      <c r="A1143" s="27" t="inlineStr">
        <is>
          <t>codPrint.collector</t>
        </is>
      </c>
      <c r="B1143" s="27" t="inlineStr">
        <is>
          <t>Người thu tiền</t>
        </is>
      </c>
      <c r="C1143" s="27" t="inlineStr">
        <is>
          <t>Collector</t>
        </is>
      </c>
      <c r="D1143" s="21" t="inlineStr">
        <is>
          <t>អ្នកប្រមូលប្រាក់</t>
        </is>
      </c>
      <c r="E1143" s="21" t="inlineStr">
        <is>
          <t>អ្នកប្រមូលប្រាក់</t>
        </is>
      </c>
      <c r="F1143" s="10" t="n"/>
      <c r="G1143" s="10" t="inlineStr">
        <is>
          <t>អ្នកប្រមូលប្រាក់</t>
        </is>
      </c>
      <c r="H1143" s="10" t="inlineStr">
        <is>
          <t>អ្នកប្រមូលប្រាក់</t>
        </is>
      </c>
      <c r="I1143" s="10" t="n"/>
      <c r="J1143" s="10" t="n"/>
      <c r="K1143" s="10" t="inlineStr">
        <is>
          <t>"codPrint.collector": "អ្នកប្រមូលប្រាក់",</t>
        </is>
      </c>
      <c r="L1143" s="10" t="n"/>
      <c r="M1143" s="10" t="n"/>
      <c r="N1143" s="10" t="n"/>
      <c r="O1143" s="10" t="n"/>
      <c r="P1143" s="10" t="n"/>
      <c r="Q1143" s="10" t="n"/>
      <c r="R1143" s="10" t="n"/>
      <c r="S1143" s="10" t="n"/>
      <c r="T1143" s="10" t="n"/>
      <c r="U1143" s="10" t="n"/>
      <c r="V1143" s="10" t="n"/>
      <c r="W1143" s="10" t="n"/>
      <c r="X1143" s="10" t="n"/>
      <c r="Y1143" s="10" t="n"/>
      <c r="Z1143" s="10" t="n"/>
    </row>
    <row r="1144">
      <c r="A1144" s="27" t="inlineStr">
        <is>
          <t>codPrint.leader</t>
        </is>
      </c>
      <c r="B1144" s="27" t="inlineStr">
        <is>
          <t>Trưởng bưu cục</t>
        </is>
      </c>
      <c r="C1144" s="27" t="inlineStr">
        <is>
          <t>Post office Manager</t>
        </is>
      </c>
      <c r="D1144" s="102" t="inlineStr">
        <is>
          <t>ប្រធានការិយាល័យប្រៃសណីយ៍</t>
        </is>
      </c>
      <c r="E1144" s="21" t="inlineStr">
        <is>
          <t>ប្រធានការិយាល័យប្រៃសណីយ៍</t>
        </is>
      </c>
      <c r="F1144" s="10" t="n"/>
      <c r="G1144" s="10" t="inlineStr">
        <is>
          <t>ប្រធានការិយាល័យប្រៃសណីយ៍</t>
        </is>
      </c>
      <c r="H1144" s="10" t="inlineStr">
        <is>
          <t>ប្រធានការិយាល័យប្រៃសណីយ៍</t>
        </is>
      </c>
      <c r="I1144" s="10" t="n"/>
      <c r="J1144" s="10" t="n"/>
      <c r="K1144" s="10" t="inlineStr">
        <is>
          <t>"codPrint.leader": "ប្រធានការិយាល័យប្រៃសណីយ៍",</t>
        </is>
      </c>
      <c r="L1144" s="10" t="n"/>
      <c r="M1144" s="10" t="n"/>
      <c r="N1144" s="10" t="n"/>
      <c r="O1144" s="10" t="n"/>
      <c r="P1144" s="10" t="n"/>
      <c r="Q1144" s="10" t="n"/>
      <c r="R1144" s="10" t="n"/>
      <c r="S1144" s="10" t="n"/>
      <c r="T1144" s="10" t="n"/>
      <c r="U1144" s="10" t="n"/>
      <c r="V1144" s="10" t="n"/>
      <c r="W1144" s="10" t="n"/>
      <c r="X1144" s="10" t="n"/>
      <c r="Y1144" s="10" t="n"/>
      <c r="Z1144" s="10" t="n"/>
    </row>
    <row r="1145">
      <c r="A1145" s="27" t="inlineStr">
        <is>
          <t>codPrint.cancel</t>
        </is>
      </c>
      <c r="B1145" s="27" t="inlineStr">
        <is>
          <t>Huỷ bỏ</t>
        </is>
      </c>
      <c r="C1145" s="27" t="inlineStr">
        <is>
          <t>Cancel</t>
        </is>
      </c>
      <c r="D1145" s="21" t="inlineStr">
        <is>
          <t>លុបចោល</t>
        </is>
      </c>
      <c r="E1145" s="21" t="inlineStr">
        <is>
          <t>លុបចោល</t>
        </is>
      </c>
      <c r="F1145" s="10" t="n"/>
      <c r="G1145" s="10" t="inlineStr">
        <is>
          <t>លុបចោល</t>
        </is>
      </c>
      <c r="H1145" s="10" t="inlineStr">
        <is>
          <t>លុបចោល</t>
        </is>
      </c>
      <c r="I1145" s="10" t="n"/>
      <c r="J1145" s="10" t="n"/>
      <c r="K1145" s="10" t="inlineStr">
        <is>
          <t>"codPrint.cancel": "លុបចោល",</t>
        </is>
      </c>
      <c r="L1145" s="10" t="n"/>
      <c r="M1145" s="10" t="n"/>
      <c r="N1145" s="10" t="n"/>
      <c r="O1145" s="10" t="n"/>
      <c r="P1145" s="10" t="n"/>
      <c r="Q1145" s="10" t="n"/>
      <c r="R1145" s="10" t="n"/>
      <c r="S1145" s="10" t="n"/>
      <c r="T1145" s="10" t="n"/>
      <c r="U1145" s="10" t="n"/>
      <c r="V1145" s="10" t="n"/>
      <c r="W1145" s="10" t="n"/>
      <c r="X1145" s="10" t="n"/>
      <c r="Y1145" s="10" t="n"/>
      <c r="Z1145" s="10" t="n"/>
    </row>
    <row r="1146">
      <c r="A1146" s="27" t="inlineStr">
        <is>
          <t>codPrint.print</t>
        </is>
      </c>
      <c r="B1146" s="27" t="inlineStr">
        <is>
          <t>In phiếu</t>
        </is>
      </c>
      <c r="C1146" s="27" t="inlineStr">
        <is>
          <t>Print</t>
        </is>
      </c>
      <c r="D1146" s="21" t="inlineStr">
        <is>
          <t>ព្រីនបុង</t>
        </is>
      </c>
      <c r="E1146" s="21" t="inlineStr">
        <is>
          <t>ព្រីនបុង</t>
        </is>
      </c>
      <c r="F1146" s="10" t="n"/>
      <c r="G1146" s="10" t="inlineStr">
        <is>
          <t>ព្រីនបុងបញ្ញើ</t>
        </is>
      </c>
      <c r="H1146" s="10" t="inlineStr">
        <is>
          <t>ព្រីនបុងបញ្ញើ</t>
        </is>
      </c>
      <c r="I1146" s="10" t="n"/>
      <c r="J1146" s="10" t="n"/>
      <c r="K1146" s="10" t="inlineStr">
        <is>
          <t>"codPrint.print": "ព្រីនបុងបញ្ញើ",</t>
        </is>
      </c>
      <c r="L1146" s="10" t="n"/>
      <c r="M1146" s="10" t="n"/>
      <c r="N1146" s="10" t="n"/>
      <c r="O1146" s="10" t="n"/>
      <c r="P1146" s="10" t="n"/>
      <c r="Q1146" s="10" t="n"/>
      <c r="R1146" s="10" t="n"/>
      <c r="S1146" s="10" t="n"/>
      <c r="T1146" s="10" t="n"/>
      <c r="U1146" s="10" t="n"/>
      <c r="V1146" s="10" t="n"/>
      <c r="W1146" s="10" t="n"/>
      <c r="X1146" s="10" t="n"/>
      <c r="Y1146" s="10" t="n"/>
      <c r="Z1146" s="10" t="n"/>
    </row>
    <row r="1147">
      <c r="A1147" s="27" t="inlineStr">
        <is>
          <t>codPrint.orderCode</t>
        </is>
      </c>
      <c r="B1147" s="27" t="inlineStr">
        <is>
          <t>Mã vận đơn</t>
        </is>
      </c>
      <c r="C1147" s="27" t="inlineStr">
        <is>
          <t>Order ID</t>
        </is>
      </c>
      <c r="D1147" s="21" t="inlineStr">
        <is>
          <t>លេខកូដបុងដឹកជញ្ជូន</t>
        </is>
      </c>
      <c r="E1147" s="21" t="inlineStr">
        <is>
          <t>លេខកូដបុងដឹកជញ្ជូន</t>
        </is>
      </c>
      <c r="F1147" s="10" t="n"/>
      <c r="G1147" s="10" t="inlineStr">
        <is>
          <t>លេខកូដបុងបញ្ញើ</t>
        </is>
      </c>
      <c r="H1147" s="10" t="inlineStr">
        <is>
          <t>លេខកូដបុងបញ្ញើ</t>
        </is>
      </c>
      <c r="I1147" s="10" t="n"/>
      <c r="J1147" s="10" t="n"/>
      <c r="K1147" s="10" t="inlineStr">
        <is>
          <t>"codPrint.orderCode": "លេខកូដបុងបញ្ញើ",</t>
        </is>
      </c>
      <c r="L1147" s="10" t="n"/>
      <c r="M1147" s="10" t="n"/>
      <c r="N1147" s="10" t="n"/>
      <c r="O1147" s="10" t="n"/>
      <c r="P1147" s="10" t="n"/>
      <c r="Q1147" s="10" t="n"/>
      <c r="R1147" s="10" t="n"/>
      <c r="S1147" s="10" t="n"/>
      <c r="T1147" s="10" t="n"/>
      <c r="U1147" s="10" t="n"/>
      <c r="V1147" s="10" t="n"/>
      <c r="W1147" s="10" t="n"/>
      <c r="X1147" s="10" t="n"/>
      <c r="Y1147" s="10" t="n"/>
      <c r="Z1147" s="10" t="n"/>
    </row>
    <row r="1148">
      <c r="A1148" s="27" t="inlineStr">
        <is>
          <t>codPrint.dateDelivery</t>
        </is>
      </c>
      <c r="B1148" s="27" t="inlineStr">
        <is>
          <t>Ngày PTC</t>
        </is>
      </c>
      <c r="C1148" s="27" t="inlineStr">
        <is>
          <t>Delivered on</t>
        </is>
      </c>
      <c r="D1148" s="102" t="inlineStr">
        <is>
          <t>ថ្ងៃ PTC</t>
        </is>
      </c>
      <c r="E1148" s="21" t="inlineStr">
        <is>
          <t>ថ្ងៃ PTC</t>
        </is>
      </c>
      <c r="F1148" s="10" t="n"/>
      <c r="G1148" s="10" t="inlineStr">
        <is>
          <t>កាលបរិច្ឆេទដឹកជញ្ជូនជោគជ័យ</t>
        </is>
      </c>
      <c r="H1148" s="10" t="inlineStr">
        <is>
          <t>កាលបរិច្ឆេទដឹកជញ្ជូនជោគជ័យ</t>
        </is>
      </c>
      <c r="I1148" s="10" t="n"/>
      <c r="J1148" s="10" t="n"/>
      <c r="K1148" s="10" t="inlineStr">
        <is>
          <t>"codPrint.dateDelivery": "កាលបរិច្ឆេទដឹកជញ្ជូនជោគជ័យ",</t>
        </is>
      </c>
      <c r="L1148" s="10" t="n"/>
      <c r="M1148" s="10" t="n"/>
      <c r="N1148" s="10" t="n"/>
      <c r="O1148" s="10" t="n"/>
      <c r="P1148" s="10" t="n"/>
      <c r="Q1148" s="10" t="n"/>
      <c r="R1148" s="10" t="n"/>
      <c r="S1148" s="10" t="n"/>
      <c r="T1148" s="10" t="n"/>
      <c r="U1148" s="10" t="n"/>
      <c r="V1148" s="10" t="n"/>
      <c r="W1148" s="10" t="n"/>
      <c r="X1148" s="10" t="n"/>
      <c r="Y1148" s="10" t="n"/>
      <c r="Z1148" s="10" t="n"/>
    </row>
    <row r="1149">
      <c r="A1149" s="27" t="inlineStr">
        <is>
          <t>codPrint.codTotal</t>
        </is>
      </c>
      <c r="B1149" s="27" t="inlineStr">
        <is>
          <t>Tiền phải nộp</t>
        </is>
      </c>
      <c r="C1149" s="27" t="inlineStr">
        <is>
          <t>Amounts</t>
        </is>
      </c>
      <c r="D1149" s="21" t="inlineStr">
        <is>
          <t>ប្រាក់ត្រូវបង់</t>
        </is>
      </c>
      <c r="E1149" s="21" t="inlineStr">
        <is>
          <t>ប្រាក់ត្រូវបង់</t>
        </is>
      </c>
      <c r="F1149" s="10" t="n"/>
      <c r="G1149" s="10" t="inlineStr">
        <is>
          <t>ប្រាក់ត្រូវបង់</t>
        </is>
      </c>
      <c r="H1149" s="10" t="inlineStr">
        <is>
          <t>ប្រាក់ត្រូវបង់</t>
        </is>
      </c>
      <c r="I1149" s="10" t="n"/>
      <c r="J1149" s="10" t="n"/>
      <c r="K1149" s="10" t="inlineStr">
        <is>
          <t>"codPrint.codTotal": "ប្រាក់ត្រូវបង់",</t>
        </is>
      </c>
      <c r="L1149" s="10" t="n"/>
      <c r="M1149" s="10" t="n"/>
      <c r="N1149" s="10" t="n"/>
      <c r="O1149" s="10" t="n"/>
      <c r="P1149" s="10" t="n"/>
      <c r="Q1149" s="10" t="n"/>
      <c r="R1149" s="10" t="n"/>
      <c r="S1149" s="10" t="n"/>
      <c r="T1149" s="10" t="n"/>
      <c r="U1149" s="10" t="n"/>
      <c r="V1149" s="10" t="n"/>
      <c r="W1149" s="10" t="n"/>
      <c r="X1149" s="10" t="n"/>
      <c r="Y1149" s="10" t="n"/>
      <c r="Z1149" s="10" t="n"/>
    </row>
    <row r="1150">
      <c r="A1150" s="27" t="inlineStr">
        <is>
          <t>shippingFee.postman</t>
        </is>
      </c>
      <c r="B1150" s="27" t="inlineStr">
        <is>
          <t>Bưu tá</t>
        </is>
      </c>
      <c r="C1150" s="27" t="inlineStr">
        <is>
          <t>Postman</t>
        </is>
      </c>
      <c r="D1150" s="21" t="inlineStr">
        <is>
          <t>អ្នកដឹកជញ្ជូន</t>
        </is>
      </c>
      <c r="E1150" s="21" t="inlineStr">
        <is>
          <t>អ្នកដឹកជញ្ជូន</t>
        </is>
      </c>
      <c r="F1150" s="10" t="n"/>
      <c r="G1150" s="10" t="inlineStr">
        <is>
          <t>បុគ្គលិកដឹកជញ្ជូន</t>
        </is>
      </c>
      <c r="H1150" s="10" t="inlineStr">
        <is>
          <t>បុគ្គលិកដឹកជញ្ជូន</t>
        </is>
      </c>
      <c r="I1150" s="10" t="n"/>
      <c r="J1150" s="10" t="n"/>
      <c r="K1150" s="10" t="inlineStr">
        <is>
          <t>"shippingFee.postman": "បុគ្គលិកដឹកជញ្ជូន",</t>
        </is>
      </c>
      <c r="L1150" s="10" t="n"/>
      <c r="M1150" s="10" t="n"/>
      <c r="N1150" s="10" t="n"/>
      <c r="O1150" s="10" t="n"/>
      <c r="P1150" s="10" t="n"/>
      <c r="Q1150" s="10" t="n"/>
      <c r="R1150" s="10" t="n"/>
      <c r="S1150" s="10" t="n"/>
      <c r="T1150" s="10" t="n"/>
      <c r="U1150" s="10" t="n"/>
      <c r="V1150" s="10" t="n"/>
      <c r="W1150" s="10" t="n"/>
      <c r="X1150" s="10" t="n"/>
      <c r="Y1150" s="10" t="n"/>
      <c r="Z1150" s="10" t="n"/>
    </row>
    <row r="1151">
      <c r="A1151" s="27" t="inlineStr">
        <is>
          <t>shippingFee.filterPostman</t>
        </is>
      </c>
      <c r="B1151" s="27" t="inlineStr">
        <is>
          <t>Chọn bưu tá</t>
        </is>
      </c>
      <c r="C1151" s="27" t="inlineStr">
        <is>
          <t>Select postman</t>
        </is>
      </c>
      <c r="D1151" s="21" t="inlineStr">
        <is>
          <t>ជ្រើសរើសបុគ្គលិកដឹកជញ្ជូន</t>
        </is>
      </c>
      <c r="E1151" s="21" t="inlineStr">
        <is>
          <t>ជ្រើសរើសបុគ្គលិកដឹកជញ្ជូន</t>
        </is>
      </c>
      <c r="F1151" s="10" t="n"/>
      <c r="G1151" s="10" t="inlineStr">
        <is>
          <t>ជ្រើសរើសបុគ្គលិកដឹកជញ្ជូន</t>
        </is>
      </c>
      <c r="H1151" s="10" t="inlineStr">
        <is>
          <t>ជ្រើសរើសបុគ្គលិកដឹកជញ្ជូន</t>
        </is>
      </c>
      <c r="I1151" s="10" t="n"/>
      <c r="J1151" s="10" t="n"/>
      <c r="K1151" s="10" t="inlineStr">
        <is>
          <t>"shippingFee.filterPostman": "ជ្រើសរើសបុគ្គលិកដឹកជញ្ជូន",</t>
        </is>
      </c>
      <c r="L1151" s="10" t="n"/>
      <c r="M1151" s="10" t="n"/>
      <c r="N1151" s="10" t="n"/>
      <c r="O1151" s="10" t="n"/>
      <c r="P1151" s="10" t="n"/>
      <c r="Q1151" s="10" t="n"/>
      <c r="R1151" s="10" t="n"/>
      <c r="S1151" s="10" t="n"/>
      <c r="T1151" s="10" t="n"/>
      <c r="U1151" s="10" t="n"/>
      <c r="V1151" s="10" t="n"/>
      <c r="W1151" s="10" t="n"/>
      <c r="X1151" s="10" t="n"/>
      <c r="Y1151" s="10" t="n"/>
      <c r="Z1151" s="10" t="n"/>
    </row>
    <row r="1152">
      <c r="A1152" s="27" t="inlineStr">
        <is>
          <t>shippingFee.shippingFee</t>
        </is>
      </c>
      <c r="B1152" s="27" t="inlineStr">
        <is>
          <t>Công nợ phải thu</t>
        </is>
      </c>
      <c r="C1152" s="27" t="inlineStr">
        <is>
          <t>Receivable debt</t>
        </is>
      </c>
      <c r="D1152" s="21" t="inlineStr">
        <is>
          <t>គណនីទទួល</t>
        </is>
      </c>
      <c r="E1152" s="24" t="inlineStr">
        <is>
          <t>បំណុលដែលត្រូវប្រមូល</t>
        </is>
      </c>
      <c r="F1152" s="10" t="n"/>
      <c r="G1152" s="10" t="inlineStr">
        <is>
          <t>បំណុលដែលត្រូវប្រមូល</t>
        </is>
      </c>
      <c r="H1152" s="10" t="inlineStr">
        <is>
          <t>បំណុលដែលត្រូវប្រមូល</t>
        </is>
      </c>
      <c r="I1152" s="10" t="n"/>
      <c r="J1152" s="10" t="n"/>
      <c r="K1152" s="10" t="inlineStr">
        <is>
          <t>"shippingFee.shippingFee": "បំណុលដែលត្រូវប្រមូល",</t>
        </is>
      </c>
      <c r="L1152" s="10" t="n"/>
      <c r="M1152" s="10" t="n"/>
      <c r="N1152" s="10" t="n"/>
      <c r="O1152" s="10" t="n"/>
      <c r="P1152" s="10" t="n"/>
      <c r="Q1152" s="10" t="n"/>
      <c r="R1152" s="10" t="n"/>
      <c r="S1152" s="10" t="n"/>
      <c r="T1152" s="10" t="n"/>
      <c r="U1152" s="10" t="n"/>
      <c r="V1152" s="10" t="n"/>
      <c r="W1152" s="10" t="n"/>
      <c r="X1152" s="10" t="n"/>
      <c r="Y1152" s="10" t="n"/>
      <c r="Z1152" s="10" t="n"/>
    </row>
    <row r="1153">
      <c r="A1153" s="27" t="inlineStr">
        <is>
          <t>shippingFee.confirmShippingFee</t>
        </is>
      </c>
      <c r="B1153" s="27" t="inlineStr">
        <is>
          <t>Xác nhận bảng kê thu cước</t>
        </is>
      </c>
      <c r="C1153" s="27" t="inlineStr">
        <is>
          <t>Confirm fee collection statement</t>
        </is>
      </c>
      <c r="D1153" s="21" t="inlineStr">
        <is>
          <t>បញ្ជាក់តារាងប្រមូូលសេវា</t>
        </is>
      </c>
      <c r="E1153" s="21" t="inlineStr">
        <is>
          <t>បញ្ជាក់តារាងប្រមូូលសេវា</t>
        </is>
      </c>
      <c r="F1153" s="10" t="n"/>
      <c r="G1153" s="10" t="inlineStr">
        <is>
          <t>បញ្ជាក់តារាងប្រមូូលសេវា</t>
        </is>
      </c>
      <c r="H1153" s="10" t="inlineStr">
        <is>
          <t>បញ្ជាក់តារាងប្រមូូលសេវា</t>
        </is>
      </c>
      <c r="I1153" s="10" t="n"/>
      <c r="J1153" s="10" t="n"/>
      <c r="K1153" s="10" t="inlineStr">
        <is>
          <t>"shippingFee.confirmShippingFee": "បញ្ជាក់តារាងប្រមូូលសេវា",</t>
        </is>
      </c>
      <c r="L1153" s="10" t="n"/>
      <c r="M1153" s="10" t="n"/>
      <c r="N1153" s="10" t="n"/>
      <c r="O1153" s="10" t="n"/>
      <c r="P1153" s="10" t="n"/>
      <c r="Q1153" s="10" t="n"/>
      <c r="R1153" s="10" t="n"/>
      <c r="S1153" s="10" t="n"/>
      <c r="T1153" s="10" t="n"/>
      <c r="U1153" s="10" t="n"/>
      <c r="V1153" s="10" t="n"/>
      <c r="W1153" s="10" t="n"/>
      <c r="X1153" s="10" t="n"/>
      <c r="Y1153" s="10" t="n"/>
      <c r="Z1153" s="10" t="n"/>
    </row>
    <row r="1154">
      <c r="A1154" s="27" t="inlineStr">
        <is>
          <t>shippingFee.deleteRecord</t>
        </is>
      </c>
      <c r="B1154" s="27" t="inlineStr">
        <is>
          <t>Bạn có chắc chắn muốn xóa bảng kê</t>
        </is>
      </c>
      <c r="C1154" s="27" t="inlineStr">
        <is>
          <t>Are you sure you want to delete the statement?</t>
        </is>
      </c>
      <c r="D1154" s="102" t="inlineStr">
        <is>
          <t>តើអ្នកពិតជាចង់លុបតារាងចោលមែនទេ</t>
        </is>
      </c>
      <c r="E1154" s="21" t="inlineStr">
        <is>
          <t>តើអ្នកពិតជាចង់លុបតារាងចោលមែនទេ</t>
        </is>
      </c>
      <c r="F1154" s="10" t="n"/>
      <c r="G1154" s="10" t="inlineStr">
        <is>
          <t>តើអ្នកពិតជាចង់លុបតារាងចោលមែនទេ</t>
        </is>
      </c>
      <c r="H1154" s="10" t="inlineStr">
        <is>
          <t>តើអ្នកពិតជាចង់លុបតារាងចោលមែនទេ</t>
        </is>
      </c>
      <c r="I1154" s="10" t="n"/>
      <c r="J1154" s="10" t="n"/>
      <c r="K1154" s="10" t="inlineStr">
        <is>
          <t>"shippingFee.deleteRecord": "តើអ្នកពិតជាចង់លុបតារាងចោលមែនទេ",</t>
        </is>
      </c>
      <c r="L1154" s="10" t="n"/>
      <c r="M1154" s="10" t="n"/>
      <c r="N1154" s="10" t="n"/>
      <c r="O1154" s="10" t="n"/>
      <c r="P1154" s="10" t="n"/>
      <c r="Q1154" s="10" t="n"/>
      <c r="R1154" s="10" t="n"/>
      <c r="S1154" s="10" t="n"/>
      <c r="T1154" s="10" t="n"/>
      <c r="U1154" s="10" t="n"/>
      <c r="V1154" s="10" t="n"/>
      <c r="W1154" s="10" t="n"/>
      <c r="X1154" s="10" t="n"/>
      <c r="Y1154" s="10" t="n"/>
      <c r="Z1154" s="10" t="n"/>
    </row>
    <row r="1155">
      <c r="A1155" s="27" t="inlineStr">
        <is>
          <t>shippingFee.confirmTitle</t>
        </is>
      </c>
      <c r="B1155" s="27" t="inlineStr">
        <is>
          <t>Bạn có chắc chắn muốn chốt thu bảng kê</t>
        </is>
      </c>
      <c r="C1155" s="27" t="inlineStr">
        <is>
          <t>Are you sure you want to finalize the fee collection statement?</t>
        </is>
      </c>
      <c r="D1155" s="21" t="inlineStr">
        <is>
          <t>តើអ្នកពិតជាចង់បញ្ចប់ការបញ្ជាទិញមែនទេ?</t>
        </is>
      </c>
      <c r="E1155" s="24" t="inlineStr">
        <is>
          <t>តើអ្នកពិតជាចង់បញ្ចប់ការប្រមូលតារាងមែនទេ</t>
        </is>
      </c>
      <c r="F1155" s="10" t="n"/>
      <c r="G1155" s="10" t="inlineStr">
        <is>
          <t>តើអ្នកពិតជាចង់បញ្ចប់ការប្រមូលតារាងមែនទេ</t>
        </is>
      </c>
      <c r="H1155" s="10" t="inlineStr">
        <is>
          <t>តើអ្នកពិតជាចង់បញ្ចប់ការប្រមូលតារាងមែនទេ</t>
        </is>
      </c>
      <c r="I1155" s="10" t="n"/>
      <c r="J1155" s="10" t="n"/>
      <c r="K1155" s="10" t="inlineStr">
        <is>
          <t>"shippingFee.confirmTitle": "តើអ្នកពិតជាចង់បញ្ចប់ការប្រមូលតារាងមែនទេ",</t>
        </is>
      </c>
      <c r="L1155" s="10" t="n"/>
      <c r="M1155" s="10" t="n"/>
      <c r="N1155" s="10" t="n"/>
      <c r="O1155" s="10" t="n"/>
      <c r="P1155" s="10" t="n"/>
      <c r="Q1155" s="10" t="n"/>
      <c r="R1155" s="10" t="n"/>
      <c r="S1155" s="10" t="n"/>
      <c r="T1155" s="10" t="n"/>
      <c r="U1155" s="10" t="n"/>
      <c r="V1155" s="10" t="n"/>
      <c r="W1155" s="10" t="n"/>
      <c r="X1155" s="10" t="n"/>
      <c r="Y1155" s="10" t="n"/>
      <c r="Z1155" s="10" t="n"/>
    </row>
    <row r="1156">
      <c r="A1156" s="27" t="inlineStr">
        <is>
          <t>shippingFee.shipping</t>
        </is>
      </c>
      <c r="B1156" s="27" t="inlineStr">
        <is>
          <t>Tiền cước</t>
        </is>
      </c>
      <c r="C1156" s="27" t="inlineStr">
        <is>
          <t>Shipping fee</t>
        </is>
      </c>
      <c r="D1156" s="24" t="inlineStr">
        <is>
          <t>ថ្លៃសេវា</t>
        </is>
      </c>
      <c r="E1156" s="21" t="inlineStr">
        <is>
          <t>ថ្លៃសេវា</t>
        </is>
      </c>
      <c r="F1156" s="10" t="n"/>
      <c r="G1156" s="10" t="inlineStr">
        <is>
          <t>ថ្លៃសេវា</t>
        </is>
      </c>
      <c r="H1156" s="10" t="inlineStr">
        <is>
          <t>ថ្លៃសេវា</t>
        </is>
      </c>
      <c r="I1156" s="10" t="n"/>
      <c r="J1156" s="10" t="n"/>
      <c r="K1156" s="10" t="inlineStr">
        <is>
          <t>"shippingFee.shipping": "ថ្លៃសេវា",</t>
        </is>
      </c>
      <c r="L1156" s="10" t="n"/>
      <c r="M1156" s="10" t="n"/>
      <c r="N1156" s="10" t="n"/>
      <c r="O1156" s="10" t="n"/>
      <c r="P1156" s="10" t="n"/>
      <c r="Q1156" s="10" t="n"/>
      <c r="R1156" s="10" t="n"/>
      <c r="S1156" s="10" t="n"/>
      <c r="T1156" s="10" t="n"/>
      <c r="U1156" s="10" t="n"/>
      <c r="V1156" s="10" t="n"/>
      <c r="W1156" s="10" t="n"/>
      <c r="X1156" s="10" t="n"/>
      <c r="Y1156" s="10" t="n"/>
      <c r="Z1156" s="10" t="n"/>
    </row>
    <row r="1157">
      <c r="A1157" s="27" t="inlineStr">
        <is>
          <t>shippingFee.moneyCollected</t>
        </is>
      </c>
      <c r="B1157" s="27" t="inlineStr">
        <is>
          <t>Tiền đã thu</t>
        </is>
      </c>
      <c r="C1157" s="27" t="inlineStr">
        <is>
          <t>Collected amount</t>
        </is>
      </c>
      <c r="D1157" s="21" t="inlineStr">
        <is>
          <t>ប្រាក់ដែលបានប្រមូល</t>
        </is>
      </c>
      <c r="E1157" s="21" t="inlineStr">
        <is>
          <t>ប្រាក់ដែលបានប្រមូល</t>
        </is>
      </c>
      <c r="F1157" s="10" t="n"/>
      <c r="G1157" s="10" t="inlineStr">
        <is>
          <t>ប្រាក់ដែលបានប្រមូល</t>
        </is>
      </c>
      <c r="H1157" s="10" t="inlineStr">
        <is>
          <t>ប្រាក់ដែលបានប្រមូល</t>
        </is>
      </c>
      <c r="I1157" s="10" t="n"/>
      <c r="J1157" s="10" t="n"/>
      <c r="K1157" s="10" t="inlineStr">
        <is>
          <t>"shippingFee.moneyCollected": "ប្រាក់ដែលបានប្រមូល",</t>
        </is>
      </c>
      <c r="L1157" s="10" t="n"/>
      <c r="M1157" s="10" t="n"/>
      <c r="N1157" s="10" t="n"/>
      <c r="O1157" s="10" t="n"/>
      <c r="P1157" s="10" t="n"/>
      <c r="Q1157" s="10" t="n"/>
      <c r="R1157" s="10" t="n"/>
      <c r="S1157" s="10" t="n"/>
      <c r="T1157" s="10" t="n"/>
      <c r="U1157" s="10" t="n"/>
      <c r="V1157" s="10" t="n"/>
      <c r="W1157" s="10" t="n"/>
      <c r="X1157" s="10" t="n"/>
      <c r="Y1157" s="10" t="n"/>
      <c r="Z1157" s="10" t="n"/>
    </row>
    <row r="1158">
      <c r="A1158" s="27" t="inlineStr">
        <is>
          <t>shippingFee.fileExcelDetail</t>
        </is>
      </c>
      <c r="B1158" s="27" t="inlineStr">
        <is>
          <t>Chi tiết đơn tồn bảng kê thu cước bưu tá</t>
        </is>
      </c>
      <c r="C1158" s="27" t="inlineStr">
        <is>
          <t>Details of outstanding orders in the postman fee collection report</t>
        </is>
      </c>
      <c r="D1158" s="102" t="n"/>
      <c r="E1158" s="90" t="inlineStr">
        <is>
          <t>លម្អិតបុងនៅសល់ក្នុងតារាងប្រមូលប្រាក់របស់អ្នកដឹកជញ្ជូន</t>
        </is>
      </c>
      <c r="F1158" s="10" t="n"/>
      <c r="G1158" s="10" t="inlineStr">
        <is>
          <t>លម្អិតបុងនៅសល់ក្នុងតារាងប្រមូលប្រាក់របស់អ្នកដឹកជញ្ជូន</t>
        </is>
      </c>
      <c r="H1158" s="10" t="inlineStr">
        <is>
          <t>លម្អិតបុងនៅសល់ក្នុងតារាងប្រមូលប្រាក់របស់អ្នកដឹកជញ្ជូន</t>
        </is>
      </c>
      <c r="I1158" s="10" t="n"/>
      <c r="J1158" s="10" t="n"/>
      <c r="K1158" s="10" t="inlineStr">
        <is>
          <t>"shippingFee.fileExcelDetail": "លម្អិតបុងនៅសល់ក្នុងតារាងប្រមូលប្រាក់របស់អ្នកដឹកជញ្ជូន",</t>
        </is>
      </c>
      <c r="L1158" s="10" t="n"/>
      <c r="M1158" s="10" t="n"/>
      <c r="N1158" s="10" t="n"/>
      <c r="O1158" s="10" t="n"/>
      <c r="P1158" s="10" t="n"/>
      <c r="Q1158" s="10" t="n"/>
      <c r="R1158" s="10" t="n"/>
      <c r="S1158" s="10" t="n"/>
      <c r="T1158" s="10" t="n"/>
      <c r="U1158" s="10" t="n"/>
      <c r="V1158" s="10" t="n"/>
      <c r="W1158" s="10" t="n"/>
      <c r="X1158" s="10" t="n"/>
      <c r="Y1158" s="10" t="n"/>
      <c r="Z1158" s="10" t="n"/>
    </row>
    <row r="1159">
      <c r="A1159" s="27" t="inlineStr">
        <is>
          <t>shippingFee.paymentType</t>
        </is>
      </c>
      <c r="B1159" s="27" t="inlineStr">
        <is>
          <t>Loại thanh toán</t>
        </is>
      </c>
      <c r="C1159" s="27" t="inlineStr">
        <is>
          <t>Payment Type</t>
        </is>
      </c>
      <c r="D1159" s="102" t="inlineStr">
        <is>
          <t>ប្រភេទទូទាត់</t>
        </is>
      </c>
      <c r="E1159" s="24" t="inlineStr">
        <is>
          <t>ប្រភេទការទូទាត់</t>
        </is>
      </c>
      <c r="F1159" s="10" t="n"/>
      <c r="G1159" s="10" t="inlineStr">
        <is>
          <t>ប្រភេទការទូទាត់</t>
        </is>
      </c>
      <c r="H1159" s="10" t="inlineStr">
        <is>
          <t>ប្រភេទការទូទាត់</t>
        </is>
      </c>
      <c r="I1159" s="10" t="n"/>
      <c r="J1159" s="10" t="n"/>
      <c r="K1159" s="10" t="inlineStr">
        <is>
          <t>"shippingFee.paymentType": "ប្រភេទការទូទាត់",</t>
        </is>
      </c>
      <c r="L1159" s="10" t="n"/>
      <c r="M1159" s="10" t="n"/>
      <c r="N1159" s="10" t="n"/>
      <c r="O1159" s="10" t="n"/>
      <c r="P1159" s="10" t="n"/>
      <c r="Q1159" s="10" t="n"/>
      <c r="R1159" s="10" t="n"/>
      <c r="S1159" s="10" t="n"/>
      <c r="T1159" s="10" t="n"/>
      <c r="U1159" s="10" t="n"/>
      <c r="V1159" s="10" t="n"/>
      <c r="W1159" s="10" t="n"/>
      <c r="X1159" s="10" t="n"/>
      <c r="Y1159" s="10" t="n"/>
      <c r="Z1159" s="10" t="n"/>
    </row>
    <row r="1160">
      <c r="A1160" s="27" t="inlineStr">
        <is>
          <t>shippingFee.RECORD_CASH_BY_POSTMAN</t>
        </is>
      </c>
      <c r="B1160" s="27" t="inlineStr">
        <is>
          <t>Bưu tá thu tiền mặt</t>
        </is>
      </c>
      <c r="C1160" s="27" t="inlineStr">
        <is>
          <t>Cash by Postman</t>
        </is>
      </c>
      <c r="D1160" s="21" t="inlineStr">
        <is>
          <t>អ្នកដឹកជញ្ជូនប្រមូលជាសាច់ប្រាក់</t>
        </is>
      </c>
      <c r="E1160" s="21" t="inlineStr">
        <is>
          <t>អ្នកដឹកជញ្ជូនប្រមូលជាសាច់ប្រាក់</t>
        </is>
      </c>
      <c r="F1160" s="10" t="n"/>
      <c r="G1160" s="10" t="inlineStr">
        <is>
          <t>អ្នកដឹកជញ្ជូនប្រមូលជាសាច់ប្រាក់</t>
        </is>
      </c>
      <c r="H1160" s="10" t="inlineStr">
        <is>
          <t>អ្នកដឹកជញ្ជូនប្រមូលជាសាច់ប្រាក់</t>
        </is>
      </c>
      <c r="I1160" s="10" t="n"/>
      <c r="J1160" s="10" t="n"/>
      <c r="K1160" s="10" t="inlineStr">
        <is>
          <t>"shippingFee.RECORD_CASH_BY_POSTMAN": "អ្នកដឹកជញ្ជូនប្រមូលជាសាច់ប្រាក់",</t>
        </is>
      </c>
      <c r="L1160" s="10" t="n"/>
      <c r="M1160" s="10" t="n"/>
      <c r="N1160" s="10" t="n"/>
      <c r="O1160" s="10" t="n"/>
      <c r="P1160" s="10" t="n"/>
      <c r="Q1160" s="10" t="n"/>
      <c r="R1160" s="10" t="n"/>
      <c r="S1160" s="10" t="n"/>
      <c r="T1160" s="10" t="n"/>
      <c r="U1160" s="10" t="n"/>
      <c r="V1160" s="10" t="n"/>
      <c r="W1160" s="10" t="n"/>
      <c r="X1160" s="10" t="n"/>
      <c r="Y1160" s="10" t="n"/>
      <c r="Z1160" s="10" t="n"/>
    </row>
    <row r="1161">
      <c r="A1161" s="27" t="inlineStr">
        <is>
          <t>shippingFee.RECORD_QR_COLLECTING</t>
        </is>
      </c>
      <c r="B1161" s="27" t="inlineStr">
        <is>
          <t>Thu QR</t>
        </is>
      </c>
      <c r="C1161" s="27" t="inlineStr">
        <is>
          <t>QR Collecting</t>
        </is>
      </c>
      <c r="D1161" s="21" t="inlineStr">
        <is>
          <t>ប្រមូល QR</t>
        </is>
      </c>
      <c r="E1161" s="21" t="inlineStr">
        <is>
          <t>ប្រមូល QR</t>
        </is>
      </c>
      <c r="F1161" s="10" t="n"/>
      <c r="G1161" s="10" t="inlineStr">
        <is>
          <t>ប្រមូល QR</t>
        </is>
      </c>
      <c r="H1161" s="10" t="inlineStr">
        <is>
          <t>ប្រមូល QR</t>
        </is>
      </c>
      <c r="I1161" s="10" t="n"/>
      <c r="J1161" s="10" t="n"/>
      <c r="K1161" s="10" t="inlineStr">
        <is>
          <t>"shippingFee.RECORD_QR_COLLECTING": "ប្រមូល QR",</t>
        </is>
      </c>
      <c r="L1161" s="10" t="n"/>
      <c r="M1161" s="10" t="n"/>
      <c r="N1161" s="10" t="n"/>
      <c r="O1161" s="10" t="n"/>
      <c r="P1161" s="10" t="n"/>
      <c r="Q1161" s="10" t="n"/>
      <c r="R1161" s="10" t="n"/>
      <c r="S1161" s="10" t="n"/>
      <c r="T1161" s="10" t="n"/>
      <c r="U1161" s="10" t="n"/>
      <c r="V1161" s="10" t="n"/>
      <c r="W1161" s="10" t="n"/>
      <c r="X1161" s="10" t="n"/>
      <c r="Y1161" s="10" t="n"/>
      <c r="Z1161" s="10" t="n"/>
    </row>
    <row r="1162">
      <c r="A1162" s="27" t="inlineStr">
        <is>
          <t>shippingFeeCustomer.statusCod</t>
        </is>
      </c>
      <c r="B1162" s="27" t="inlineStr">
        <is>
          <t>Trạng thái bảng kê</t>
        </is>
      </c>
      <c r="C1162" s="27" t="inlineStr">
        <is>
          <t>Billing Status</t>
        </is>
      </c>
      <c r="D1162" s="102" t="inlineStr">
        <is>
          <t>ស្ថានភាពតារាង</t>
        </is>
      </c>
      <c r="E1162" s="21" t="inlineStr">
        <is>
          <t>ស្ថានភាពតារាង</t>
        </is>
      </c>
      <c r="F1162" s="10" t="n"/>
      <c r="G1162" s="10" t="inlineStr">
        <is>
          <t>ស្ថានភាពតារាង</t>
        </is>
      </c>
      <c r="H1162" s="10" t="inlineStr">
        <is>
          <t>ស្ថានភាពតារាង</t>
        </is>
      </c>
      <c r="I1162" s="10" t="n"/>
      <c r="J1162" s="10" t="n"/>
      <c r="K1162" s="10" t="inlineStr">
        <is>
          <t>"shippingFeeCustomer.statusCod": "ស្ថានភាពតារាង",</t>
        </is>
      </c>
      <c r="L1162" s="10" t="n"/>
      <c r="M1162" s="10" t="n"/>
      <c r="N1162" s="10" t="n"/>
      <c r="O1162" s="10" t="n"/>
      <c r="P1162" s="10" t="n"/>
      <c r="Q1162" s="10" t="n"/>
      <c r="R1162" s="10" t="n"/>
      <c r="S1162" s="10" t="n"/>
      <c r="T1162" s="10" t="n"/>
      <c r="U1162" s="10" t="n"/>
      <c r="V1162" s="10" t="n"/>
      <c r="W1162" s="10" t="n"/>
      <c r="X1162" s="10" t="n"/>
      <c r="Y1162" s="10" t="n"/>
      <c r="Z1162" s="10" t="n"/>
    </row>
    <row r="1163">
      <c r="A1163" s="27" t="inlineStr">
        <is>
          <t>shippingFeeCustomer.cod</t>
        </is>
      </c>
      <c r="B1163" s="27" t="inlineStr">
        <is>
          <t>Phải thu</t>
        </is>
      </c>
      <c r="C1163" s="27" t="inlineStr">
        <is>
          <t>Amount to Collect</t>
        </is>
      </c>
      <c r="D1163" s="21" t="inlineStr">
        <is>
          <t>ត្រូវប្រមូល</t>
        </is>
      </c>
      <c r="E1163" s="21" t="inlineStr">
        <is>
          <t>ត្រូវប្រមូល</t>
        </is>
      </c>
      <c r="F1163" s="10" t="n"/>
      <c r="G1163" s="10" t="inlineStr">
        <is>
          <t>ត្រូវប្រមូល</t>
        </is>
      </c>
      <c r="H1163" s="10" t="inlineStr">
        <is>
          <t>ត្រូវប្រមូល</t>
        </is>
      </c>
      <c r="I1163" s="10" t="n"/>
      <c r="J1163" s="10" t="n"/>
      <c r="K1163" s="10" t="inlineStr">
        <is>
          <t>"shippingFeeCustomer.cod": "ត្រូវប្រមូល",</t>
        </is>
      </c>
      <c r="L1163" s="10" t="n"/>
      <c r="M1163" s="10" t="n"/>
      <c r="N1163" s="10" t="n"/>
      <c r="O1163" s="10" t="n"/>
      <c r="P1163" s="10" t="n"/>
      <c r="Q1163" s="10" t="n"/>
      <c r="R1163" s="10" t="n"/>
      <c r="S1163" s="10" t="n"/>
      <c r="T1163" s="10" t="n"/>
      <c r="U1163" s="10" t="n"/>
      <c r="V1163" s="10" t="n"/>
      <c r="W1163" s="10" t="n"/>
      <c r="X1163" s="10" t="n"/>
      <c r="Y1163" s="10" t="n"/>
      <c r="Z1163" s="10" t="n"/>
    </row>
    <row r="1164">
      <c r="A1164" s="27" t="inlineStr">
        <is>
          <t>shippingFeeCustomer.success</t>
        </is>
      </c>
      <c r="B1164" s="27" t="inlineStr">
        <is>
          <t>thành công</t>
        </is>
      </c>
      <c r="C1164" s="27" t="inlineStr">
        <is>
          <t>Success</t>
        </is>
      </c>
      <c r="D1164" s="21" t="inlineStr">
        <is>
          <t>ជោគជ័យ</t>
        </is>
      </c>
      <c r="E1164" s="21" t="inlineStr">
        <is>
          <t>ជោគជ័យ</t>
        </is>
      </c>
      <c r="F1164" s="10" t="n"/>
      <c r="G1164" s="10" t="inlineStr">
        <is>
          <t>ជោគជ័យ</t>
        </is>
      </c>
      <c r="H1164" s="10" t="inlineStr">
        <is>
          <t>ជោគជ័យ</t>
        </is>
      </c>
      <c r="I1164" s="10" t="n"/>
      <c r="J1164" s="10" t="n"/>
      <c r="K1164" s="10" t="inlineStr">
        <is>
          <t>"shippingFeeCustomer.success": "ជោគជ័យ",</t>
        </is>
      </c>
      <c r="L1164" s="10" t="n"/>
      <c r="M1164" s="10" t="n"/>
      <c r="N1164" s="10" t="n"/>
      <c r="O1164" s="10" t="n"/>
      <c r="P1164" s="10" t="n"/>
      <c r="Q1164" s="10" t="n"/>
      <c r="R1164" s="10" t="n"/>
      <c r="S1164" s="10" t="n"/>
      <c r="T1164" s="10" t="n"/>
      <c r="U1164" s="10" t="n"/>
      <c r="V1164" s="10" t="n"/>
      <c r="W1164" s="10" t="n"/>
      <c r="X1164" s="10" t="n"/>
      <c r="Y1164" s="10" t="n"/>
      <c r="Z1164" s="10" t="n"/>
    </row>
    <row r="1165">
      <c r="A1165" s="27" t="inlineStr">
        <is>
          <t>shippingFeeCustomer.dateBill</t>
        </is>
      </c>
      <c r="B1165" s="27" t="inlineStr">
        <is>
          <t>Ngày nhập máy</t>
        </is>
      </c>
      <c r="C1165" s="27" t="inlineStr">
        <is>
          <t>Sales Entry Date</t>
        </is>
      </c>
      <c r="D1165" s="21" t="inlineStr">
        <is>
          <t>ថ្ងៃបញ្ចូលម៉ាសុីន</t>
        </is>
      </c>
      <c r="E1165" s="21" t="inlineStr">
        <is>
          <t>ថ្ងៃបញ្ចូលម៉ាសុីន</t>
        </is>
      </c>
      <c r="F1165" s="10" t="n"/>
      <c r="G1165" s="10" t="inlineStr">
        <is>
          <t>កាលបរិច្ឆេទបញ្ចូលប្រព័ន្ធ</t>
        </is>
      </c>
      <c r="H1165" s="10" t="inlineStr">
        <is>
          <t>កាលបរិច្ឆេទបញ្ចូលប្រព័ន្ធ</t>
        </is>
      </c>
      <c r="I1165" s="10" t="n"/>
      <c r="J1165" s="10" t="n"/>
      <c r="K1165" s="10" t="inlineStr">
        <is>
          <t>"shippingFeeCustomer.dateBill": "កាលបរិច្ឆេទបញ្ចូលប្រព័ន្ធ",</t>
        </is>
      </c>
      <c r="L1165" s="10" t="n"/>
      <c r="M1165" s="10" t="n"/>
      <c r="N1165" s="10" t="n"/>
      <c r="O1165" s="10" t="n"/>
      <c r="P1165" s="10" t="n"/>
      <c r="Q1165" s="10" t="n"/>
      <c r="R1165" s="10" t="n"/>
      <c r="S1165" s="10" t="n"/>
      <c r="T1165" s="10" t="n"/>
      <c r="U1165" s="10" t="n"/>
      <c r="V1165" s="10" t="n"/>
      <c r="W1165" s="10" t="n"/>
      <c r="X1165" s="10" t="n"/>
      <c r="Y1165" s="10" t="n"/>
      <c r="Z1165" s="10" t="n"/>
    </row>
    <row r="1166">
      <c r="A1166" s="27" t="inlineStr">
        <is>
          <t>shippingFeeCustomer.copy</t>
        </is>
      </c>
      <c r="B1166" s="27" t="inlineStr">
        <is>
          <t>Sao chép mã bảng kê thành công</t>
        </is>
      </c>
      <c r="C1166" s="27" t="inlineStr">
        <is>
          <t>Billing code copied successfully</t>
        </is>
      </c>
      <c r="D1166" s="21" t="inlineStr">
        <is>
          <t>បានចម្លងលេខកូដតារាងបានជោគជ័យ</t>
        </is>
      </c>
      <c r="E1166" s="21" t="inlineStr">
        <is>
          <t>បានចម្លងលេខកូដតារាងបានជោគជ័យ</t>
        </is>
      </c>
      <c r="F1166" s="10" t="n"/>
      <c r="G1166" s="10" t="inlineStr">
        <is>
          <t>បានចម្លងលេខកូដតារាងបានជោគជ័យ</t>
        </is>
      </c>
      <c r="H1166" s="10" t="inlineStr">
        <is>
          <t>បានចម្លងលេខកូដតារាងបានជោគជ័យ</t>
        </is>
      </c>
      <c r="I1166" s="10" t="n"/>
      <c r="J1166" s="10" t="n"/>
      <c r="K1166" s="10" t="inlineStr">
        <is>
          <t>"shippingFeeCustomer.copy": "បានចម្លងលេខកូដតារាងបានជោគជ័យ",</t>
        </is>
      </c>
      <c r="L1166" s="10" t="n"/>
      <c r="M1166" s="10" t="n"/>
      <c r="N1166" s="10" t="n"/>
      <c r="O1166" s="10" t="n"/>
      <c r="P1166" s="10" t="n"/>
      <c r="Q1166" s="10" t="n"/>
      <c r="R1166" s="10" t="n"/>
      <c r="S1166" s="10" t="n"/>
      <c r="T1166" s="10" t="n"/>
      <c r="U1166" s="10" t="n"/>
      <c r="V1166" s="10" t="n"/>
      <c r="W1166" s="10" t="n"/>
      <c r="X1166" s="10" t="n"/>
      <c r="Y1166" s="10" t="n"/>
      <c r="Z1166" s="10" t="n"/>
    </row>
    <row r="1167">
      <c r="A1167" s="27" t="inlineStr">
        <is>
          <t>shippingFeeCustomer.receiptId</t>
        </is>
      </c>
      <c r="B1167" s="27" t="inlineStr">
        <is>
          <t>Mã phiếu thu</t>
        </is>
      </c>
      <c r="C1167" s="27" t="inlineStr">
        <is>
          <t>Payment Receipt ID</t>
        </is>
      </c>
      <c r="D1167" s="21" t="inlineStr">
        <is>
          <t>លេខកូដបុងប្រមូល</t>
        </is>
      </c>
      <c r="E1167" s="21" t="inlineStr">
        <is>
          <t>លេខកូដបុងប្រមូល</t>
        </is>
      </c>
      <c r="F1167" s="10" t="n"/>
      <c r="G1167" s="10" t="inlineStr">
        <is>
          <t>លេខកូដបុងប្រមូល</t>
        </is>
      </c>
      <c r="H1167" s="10" t="inlineStr">
        <is>
          <t>លេខកូដបុងប្រមូល</t>
        </is>
      </c>
      <c r="I1167" s="10" t="n"/>
      <c r="J1167" s="10" t="n"/>
      <c r="K1167" s="10" t="inlineStr">
        <is>
          <t>"shippingFeeCustomer.receiptId": "លេខកូដបុងប្រមូល",</t>
        </is>
      </c>
      <c r="L1167" s="10" t="n"/>
      <c r="M1167" s="10" t="n"/>
      <c r="N1167" s="10" t="n"/>
      <c r="O1167" s="10" t="n"/>
      <c r="P1167" s="10" t="n"/>
      <c r="Q1167" s="10" t="n"/>
      <c r="R1167" s="10" t="n"/>
      <c r="S1167" s="10" t="n"/>
      <c r="T1167" s="10" t="n"/>
      <c r="U1167" s="10" t="n"/>
      <c r="V1167" s="10" t="n"/>
      <c r="W1167" s="10" t="n"/>
      <c r="X1167" s="10" t="n"/>
      <c r="Y1167" s="10" t="n"/>
      <c r="Z1167" s="10" t="n"/>
    </row>
    <row r="1168">
      <c r="A1168" s="27" t="inlineStr">
        <is>
          <t>shippingFeeCustomer.enterReceiptIdPlaceholder</t>
        </is>
      </c>
      <c r="B1168" s="27" t="inlineStr">
        <is>
          <t>Nhập mã phiếu thu để tiềm kiếm</t>
        </is>
      </c>
      <c r="C1168" s="27" t="inlineStr">
        <is>
          <t>Enter receipt ID to search</t>
        </is>
      </c>
      <c r="D1168" s="21" t="inlineStr">
        <is>
          <t>បញ្ចូលលេខកូដបុងប្រមូលដើម្បីស្វែងរក</t>
        </is>
      </c>
      <c r="E1168" s="21" t="inlineStr">
        <is>
          <t>បញ្ចូលលេខកូដបុងប្រមូលដើម្បីស្វែងរក</t>
        </is>
      </c>
      <c r="F1168" s="10" t="n"/>
      <c r="G1168" s="10" t="inlineStr">
        <is>
          <t>បញ្ចូលលេខកូដបុងប្រមូលដើម្បីស្វែងរក</t>
        </is>
      </c>
      <c r="H1168" s="10" t="inlineStr">
        <is>
          <t>បញ្ចូលលេខកូដបុងប្រមូលដើម្បីស្វែងរក</t>
        </is>
      </c>
      <c r="I1168" s="10" t="n"/>
      <c r="J1168" s="10" t="n"/>
      <c r="K1168" s="10" t="inlineStr">
        <is>
          <t>"shippingFeeCustomer.enterReceiptIdPlaceholder": "បញ្ចូលលេខកូដបុងប្រមូលដើម្បីស្វែងរក",</t>
        </is>
      </c>
      <c r="L1168" s="10" t="n"/>
      <c r="M1168" s="10" t="n"/>
      <c r="N1168" s="10" t="n"/>
      <c r="O1168" s="10" t="n"/>
      <c r="P1168" s="10" t="n"/>
      <c r="Q1168" s="10" t="n"/>
      <c r="R1168" s="10" t="n"/>
      <c r="S1168" s="10" t="n"/>
      <c r="T1168" s="10" t="n"/>
      <c r="U1168" s="10" t="n"/>
      <c r="V1168" s="10" t="n"/>
      <c r="W1168" s="10" t="n"/>
      <c r="X1168" s="10" t="n"/>
      <c r="Y1168" s="10" t="n"/>
      <c r="Z1168" s="10" t="n"/>
    </row>
    <row r="1169">
      <c r="A1169" s="27" t="inlineStr">
        <is>
          <t>shippingFeeCustomer.detailShippingCustomerFee</t>
        </is>
      </c>
      <c r="B1169" s="27" t="inlineStr">
        <is>
          <t>Chi tiết khách hàng</t>
        </is>
      </c>
      <c r="C1169" s="27" t="inlineStr">
        <is>
          <t>Details</t>
        </is>
      </c>
      <c r="D1169" s="21" t="inlineStr">
        <is>
          <t>លម្អិតពីអតិថិជន</t>
        </is>
      </c>
      <c r="E1169" s="21" t="inlineStr">
        <is>
          <t>លម្អិតពីអតិថិជន</t>
        </is>
      </c>
      <c r="F1169" s="10" t="n"/>
      <c r="G1169" s="10" t="inlineStr">
        <is>
          <t>លម្អិតពីអតិថិជន</t>
        </is>
      </c>
      <c r="H1169" s="10" t="inlineStr">
        <is>
          <t>លម្អិតពីអតិថិជន</t>
        </is>
      </c>
      <c r="I1169" s="10" t="n"/>
      <c r="J1169" s="10" t="n"/>
      <c r="K1169" s="10" t="inlineStr">
        <is>
          <t>"shippingFeeCustomer.detailShippingCustomerFee": "លម្អិតពីអតិថិជន",</t>
        </is>
      </c>
      <c r="L1169" s="10" t="n"/>
      <c r="M1169" s="10" t="n"/>
      <c r="N1169" s="10" t="n"/>
      <c r="O1169" s="10" t="n"/>
      <c r="P1169" s="10" t="n"/>
      <c r="Q1169" s="10" t="n"/>
      <c r="R1169" s="10" t="n"/>
      <c r="S1169" s="10" t="n"/>
      <c r="T1169" s="10" t="n"/>
      <c r="U1169" s="10" t="n"/>
      <c r="V1169" s="10" t="n"/>
      <c r="W1169" s="10" t="n"/>
      <c r="X1169" s="10" t="n"/>
      <c r="Y1169" s="10" t="n"/>
      <c r="Z1169" s="10" t="n"/>
    </row>
    <row r="1170">
      <c r="A1170" s="27" t="inlineStr">
        <is>
          <t>shippingFeeCustomer.createCod</t>
        </is>
      </c>
      <c r="B1170" s="27" t="inlineStr">
        <is>
          <t>Tạo bảng kê</t>
        </is>
      </c>
      <c r="C1170" s="27" t="inlineStr">
        <is>
          <t>Create statement</t>
        </is>
      </c>
      <c r="D1170" s="21" t="inlineStr">
        <is>
          <t>បង្កើ្កតតារាង</t>
        </is>
      </c>
      <c r="E1170" s="21" t="inlineStr">
        <is>
          <t>បង្កើ្កតតារាង</t>
        </is>
      </c>
      <c r="F1170" s="10" t="n"/>
      <c r="G1170" s="10" t="inlineStr">
        <is>
          <t>បង្កើ្កតតារាង</t>
        </is>
      </c>
      <c r="H1170" s="10" t="inlineStr">
        <is>
          <t>បង្កើ្កតតារាង</t>
        </is>
      </c>
      <c r="I1170" s="10" t="n"/>
      <c r="J1170" s="10" t="n"/>
      <c r="K1170" s="10" t="inlineStr">
        <is>
          <t>"shippingFeeCustomer.createCod": "បង្កើ្កតតារាង",</t>
        </is>
      </c>
      <c r="L1170" s="10" t="n"/>
      <c r="M1170" s="10" t="n"/>
      <c r="N1170" s="10" t="n"/>
      <c r="O1170" s="10" t="n"/>
      <c r="P1170" s="10" t="n"/>
      <c r="Q1170" s="10" t="n"/>
      <c r="R1170" s="10" t="n"/>
      <c r="S1170" s="10" t="n"/>
      <c r="T1170" s="10" t="n"/>
      <c r="U1170" s="10" t="n"/>
      <c r="V1170" s="10" t="n"/>
      <c r="W1170" s="10" t="n"/>
      <c r="X1170" s="10" t="n"/>
      <c r="Y1170" s="10" t="n"/>
      <c r="Z1170" s="10" t="n"/>
    </row>
    <row r="1171">
      <c r="A1171" s="27" t="inlineStr">
        <is>
          <t>shippingFeeCustomer.codId</t>
        </is>
      </c>
      <c r="B1171" s="27" t="inlineStr">
        <is>
          <t>Mã bảng kê</t>
        </is>
      </c>
      <c r="C1171" s="27" t="inlineStr">
        <is>
          <t>Billing List ID</t>
        </is>
      </c>
      <c r="D1171" s="21" t="n"/>
      <c r="E1171" s="102" t="inlineStr">
        <is>
          <t>លេខកូដតារាង</t>
        </is>
      </c>
      <c r="F1171" s="10" t="n"/>
      <c r="G1171" s="10" t="inlineStr">
        <is>
          <t>លេខកូដតារាង</t>
        </is>
      </c>
      <c r="H1171" s="10" t="inlineStr">
        <is>
          <t>លេខកូដតារាង</t>
        </is>
      </c>
      <c r="I1171" s="10" t="n"/>
      <c r="J1171" s="10" t="n"/>
      <c r="K1171" s="10" t="inlineStr">
        <is>
          <t>"shippingFeeCustomer.codId": "លេខកូដតារាង",</t>
        </is>
      </c>
      <c r="L1171" s="10" t="n"/>
      <c r="M1171" s="10" t="n"/>
      <c r="N1171" s="10" t="n"/>
      <c r="O1171" s="10" t="n"/>
      <c r="P1171" s="10" t="n"/>
      <c r="Q1171" s="10" t="n"/>
      <c r="R1171" s="10" t="n"/>
      <c r="S1171" s="10" t="n"/>
      <c r="T1171" s="10" t="n"/>
      <c r="U1171" s="10" t="n"/>
      <c r="V1171" s="10" t="n"/>
      <c r="W1171" s="10" t="n"/>
      <c r="X1171" s="10" t="n"/>
      <c r="Y1171" s="10" t="n"/>
      <c r="Z1171" s="10" t="n"/>
    </row>
    <row r="1172">
      <c r="A1172" s="27" t="inlineStr">
        <is>
          <t>shippingFeeCustomer.enterCodId</t>
        </is>
      </c>
      <c r="B1172" s="27" t="inlineStr">
        <is>
          <t>Nhập mã bảng kê</t>
        </is>
      </c>
      <c r="C1172" s="27" t="inlineStr">
        <is>
          <t>Enter billing list ID</t>
        </is>
      </c>
      <c r="D1172" s="21" t="inlineStr">
        <is>
          <t>បញ្ចូលលេខកូដតារាង</t>
        </is>
      </c>
      <c r="E1172" s="21" t="inlineStr">
        <is>
          <t>បញ្ចូលលេខកូដតារាង</t>
        </is>
      </c>
      <c r="F1172" s="10" t="n"/>
      <c r="G1172" s="10" t="inlineStr">
        <is>
          <t>បញ្ចូលលេខកូដតារាង</t>
        </is>
      </c>
      <c r="H1172" s="10" t="inlineStr">
        <is>
          <t>បញ្ចូលលេខកូដតារាង</t>
        </is>
      </c>
      <c r="I1172" s="10" t="n"/>
      <c r="J1172" s="10" t="n"/>
      <c r="K1172" s="10" t="inlineStr">
        <is>
          <t>"shippingFeeCustomer.enterCodId": "បញ្ចូលលេខកូដតារាង",</t>
        </is>
      </c>
      <c r="L1172" s="10" t="n"/>
      <c r="M1172" s="10" t="n"/>
      <c r="N1172" s="10" t="n"/>
      <c r="O1172" s="10" t="n"/>
      <c r="P1172" s="10" t="n"/>
      <c r="Q1172" s="10" t="n"/>
      <c r="R1172" s="10" t="n"/>
      <c r="S1172" s="10" t="n"/>
      <c r="T1172" s="10" t="n"/>
      <c r="U1172" s="10" t="n"/>
      <c r="V1172" s="10" t="n"/>
      <c r="W1172" s="10" t="n"/>
      <c r="X1172" s="10" t="n"/>
      <c r="Y1172" s="10" t="n"/>
      <c r="Z1172" s="10" t="n"/>
    </row>
    <row r="1173">
      <c r="A1173" s="27" t="inlineStr">
        <is>
          <t>shippingFeeCustomer.deleteCod</t>
        </is>
      </c>
      <c r="B1173" s="27" t="inlineStr">
        <is>
          <t>Xoá bảng kê</t>
        </is>
      </c>
      <c r="C1173" s="27" t="inlineStr">
        <is>
          <t>Delete Billing List</t>
        </is>
      </c>
      <c r="D1173" s="21" t="inlineStr">
        <is>
          <t>លុុបតារាងចោល</t>
        </is>
      </c>
      <c r="E1173" s="24" t="inlineStr">
        <is>
          <t>លុុបតារាង</t>
        </is>
      </c>
      <c r="F1173" s="10" t="n"/>
      <c r="G1173" s="10" t="inlineStr">
        <is>
          <t>លុុបតារាង</t>
        </is>
      </c>
      <c r="H1173" s="10" t="inlineStr">
        <is>
          <t>លុុបតារាង</t>
        </is>
      </c>
      <c r="I1173" s="10" t="n"/>
      <c r="J1173" s="10" t="n"/>
      <c r="K1173" s="10" t="inlineStr">
        <is>
          <t>"shippingFeeCustomer.deleteCod": "លុុបតារាង",</t>
        </is>
      </c>
      <c r="L1173" s="10" t="n"/>
      <c r="M1173" s="10" t="n"/>
      <c r="N1173" s="10" t="n"/>
      <c r="O1173" s="10" t="n"/>
      <c r="P1173" s="10" t="n"/>
      <c r="Q1173" s="10" t="n"/>
      <c r="R1173" s="10" t="n"/>
      <c r="S1173" s="10" t="n"/>
      <c r="T1173" s="10" t="n"/>
      <c r="U1173" s="10" t="n"/>
      <c r="V1173" s="10" t="n"/>
      <c r="W1173" s="10" t="n"/>
      <c r="X1173" s="10" t="n"/>
      <c r="Y1173" s="10" t="n"/>
      <c r="Z1173" s="10" t="n"/>
    </row>
    <row r="1174">
      <c r="A1174" s="27" t="inlineStr">
        <is>
          <t>shippingFeeCustomer.totalOrder</t>
        </is>
      </c>
      <c r="B1174" s="27" t="inlineStr">
        <is>
          <t>Tổng đơn</t>
        </is>
      </c>
      <c r="C1174" s="27" t="inlineStr">
        <is>
          <t>Total number</t>
        </is>
      </c>
      <c r="D1174" s="102" t="inlineStr">
        <is>
          <t>សរុបបុងបញ្ញើ</t>
        </is>
      </c>
      <c r="E1174" s="21" t="inlineStr">
        <is>
          <t>សរុបបុងបញ្ញើ</t>
        </is>
      </c>
      <c r="F1174" s="10" t="n"/>
      <c r="G1174" s="10" t="inlineStr">
        <is>
          <t>សរុបបុងបញ្ញើ</t>
        </is>
      </c>
      <c r="H1174" s="10" t="inlineStr">
        <is>
          <t>សរុបបុងបញ្ញើ</t>
        </is>
      </c>
      <c r="I1174" s="10" t="n"/>
      <c r="J1174" s="10" t="n"/>
      <c r="K1174" s="10" t="inlineStr">
        <is>
          <t>"shippingFeeCustomer.totalOrder": "សរុបបុងបញ្ញើ",</t>
        </is>
      </c>
      <c r="L1174" s="10" t="n"/>
      <c r="M1174" s="10" t="n"/>
      <c r="N1174" s="10" t="n"/>
      <c r="O1174" s="10" t="n"/>
      <c r="P1174" s="10" t="n"/>
      <c r="Q1174" s="10" t="n"/>
      <c r="R1174" s="10" t="n"/>
      <c r="S1174" s="10" t="n"/>
      <c r="T1174" s="10" t="n"/>
      <c r="U1174" s="10" t="n"/>
      <c r="V1174" s="10" t="n"/>
      <c r="W1174" s="10" t="n"/>
      <c r="X1174" s="10" t="n"/>
      <c r="Y1174" s="10" t="n"/>
      <c r="Z1174" s="10" t="n"/>
    </row>
    <row r="1175">
      <c r="A1175" s="27" t="inlineStr">
        <is>
          <t>shippingFeeCustomer.shippingFeeCustomer</t>
        </is>
      </c>
      <c r="B1175" s="27" t="inlineStr">
        <is>
          <t>Khách hàng chưa tạo bảng kê</t>
        </is>
      </c>
      <c r="C1175" s="27" t="inlineStr">
        <is>
          <t>Customers Pending Billing List</t>
        </is>
      </c>
      <c r="D1175" s="21" t="inlineStr">
        <is>
          <t>អតិថិជនមិនទាន់បង្កើតតារាង</t>
        </is>
      </c>
      <c r="E1175" s="21" t="inlineStr">
        <is>
          <t>អតិថិជនមិនទាន់បង្កើតតារាង</t>
        </is>
      </c>
      <c r="F1175" s="10" t="n"/>
      <c r="G1175" s="10" t="inlineStr">
        <is>
          <t>អតិថិជនមិនទាន់បង្កើតតារាង</t>
        </is>
      </c>
      <c r="H1175" s="10" t="inlineStr">
        <is>
          <t>អតិថិជនមិនទាន់បង្កើតតារាង</t>
        </is>
      </c>
      <c r="I1175" s="10" t="n"/>
      <c r="J1175" s="10" t="n"/>
      <c r="K1175" s="10" t="inlineStr">
        <is>
          <t>"shippingFeeCustomer.shippingFeeCustomer": "អតិថិជនមិនទាន់បង្កើតតារាង",</t>
        </is>
      </c>
      <c r="L1175" s="10" t="n"/>
      <c r="M1175" s="10" t="n"/>
      <c r="N1175" s="10" t="n"/>
      <c r="O1175" s="10" t="n"/>
      <c r="P1175" s="10" t="n"/>
      <c r="Q1175" s="10" t="n"/>
      <c r="R1175" s="10" t="n"/>
      <c r="S1175" s="10" t="n"/>
      <c r="T1175" s="10" t="n"/>
      <c r="U1175" s="10" t="n"/>
      <c r="V1175" s="10" t="n"/>
      <c r="W1175" s="10" t="n"/>
      <c r="X1175" s="10" t="n"/>
      <c r="Y1175" s="10" t="n"/>
      <c r="Z1175" s="10" t="n"/>
    </row>
    <row r="1176">
      <c r="A1176" s="27" t="inlineStr">
        <is>
          <t>shippingFeeCustomer.shippingFeeCustomerCod</t>
        </is>
      </c>
      <c r="B1176" s="27" t="inlineStr">
        <is>
          <t>Danh sách bảng kê</t>
        </is>
      </c>
      <c r="C1176" s="27" t="inlineStr">
        <is>
          <t>Billing List</t>
        </is>
      </c>
      <c r="D1176" s="21" t="inlineStr">
        <is>
          <t>បញ្ជីតារាង</t>
        </is>
      </c>
      <c r="E1176" s="21" t="inlineStr">
        <is>
          <t>បញ្ជីតារាង</t>
        </is>
      </c>
      <c r="F1176" s="10" t="n"/>
      <c r="G1176" s="10" t="inlineStr">
        <is>
          <t>បញ្ជីតារាង</t>
        </is>
      </c>
      <c r="H1176" s="10" t="inlineStr">
        <is>
          <t>បញ្ជីតារាង</t>
        </is>
      </c>
      <c r="I1176" s="10" t="n"/>
      <c r="J1176" s="10" t="n"/>
      <c r="K1176" s="10" t="inlineStr">
        <is>
          <t>"shippingFeeCustomer.shippingFeeCustomerCod": "បញ្ជីតារាង",</t>
        </is>
      </c>
      <c r="L1176" s="10" t="n"/>
      <c r="M1176" s="10" t="n"/>
      <c r="N1176" s="10" t="n"/>
      <c r="O1176" s="10" t="n"/>
      <c r="P1176" s="10" t="n"/>
      <c r="Q1176" s="10" t="n"/>
      <c r="R1176" s="10" t="n"/>
      <c r="S1176" s="10" t="n"/>
      <c r="T1176" s="10" t="n"/>
      <c r="U1176" s="10" t="n"/>
      <c r="V1176" s="10" t="n"/>
      <c r="W1176" s="10" t="n"/>
      <c r="X1176" s="10" t="n"/>
      <c r="Y1176" s="10" t="n"/>
      <c r="Z1176" s="10" t="n"/>
    </row>
    <row r="1177">
      <c r="A1177" s="27" t="inlineStr">
        <is>
          <t>shippingFeeCustomer.shippingFeeCustomerReceipt</t>
        </is>
      </c>
      <c r="B1177" s="27" t="inlineStr">
        <is>
          <t>Danh sách phiếu thu</t>
        </is>
      </c>
      <c r="C1177" s="27" t="inlineStr">
        <is>
          <t>Payment Receipt</t>
        </is>
      </c>
      <c r="D1177" s="21" t="inlineStr">
        <is>
          <t>បញ្ជីបុងបញ្ញើប្រមូលប្រាក់</t>
        </is>
      </c>
      <c r="E1177" s="21" t="inlineStr">
        <is>
          <t>បញ្ជីបុងបញ្ញើប្រមូលប្រាក់</t>
        </is>
      </c>
      <c r="F1177" s="10" t="n"/>
      <c r="G1177" s="10" t="inlineStr">
        <is>
          <t>បញ្ជីបុងបញ្ញើប្រមូលប្រាក់</t>
        </is>
      </c>
      <c r="H1177" s="10" t="inlineStr">
        <is>
          <t>បញ្ជីបុងបញ្ញើប្រមូលប្រាក់</t>
        </is>
      </c>
      <c r="I1177" s="10" t="n"/>
      <c r="J1177" s="10" t="n"/>
      <c r="K1177" s="10" t="inlineStr">
        <is>
          <t>"shippingFeeCustomer.shippingFeeCustomerReceipt": "បញ្ជីបុងបញ្ញើប្រមូលប្រាក់",</t>
        </is>
      </c>
      <c r="L1177" s="10" t="n"/>
      <c r="M1177" s="10" t="n"/>
      <c r="N1177" s="10" t="n"/>
      <c r="O1177" s="10" t="n"/>
      <c r="P1177" s="10" t="n"/>
      <c r="Q1177" s="10" t="n"/>
      <c r="R1177" s="10" t="n"/>
      <c r="S1177" s="10" t="n"/>
      <c r="T1177" s="10" t="n"/>
      <c r="U1177" s="10" t="n"/>
      <c r="V1177" s="10" t="n"/>
      <c r="W1177" s="10" t="n"/>
      <c r="X1177" s="10" t="n"/>
      <c r="Y1177" s="10" t="n"/>
      <c r="Z1177" s="10" t="n"/>
    </row>
    <row r="1178">
      <c r="A1178" s="27" t="inlineStr">
        <is>
          <t>shippingFeeCustomer.shipmentReconciliation</t>
        </is>
      </c>
      <c r="B1178" s="27" t="inlineStr">
        <is>
          <t>Danh sách vận đơn đối soát</t>
        </is>
      </c>
      <c r="C1178" s="27" t="inlineStr">
        <is>
          <t>Customer's order list</t>
        </is>
      </c>
      <c r="D1178" s="21" t="n"/>
      <c r="E1178" s="90" t="inlineStr">
        <is>
          <t>បញ្ជីលេខដឹកជញ្ជូនសម្រាប់វាយតម្លៃតុល្យភាព</t>
        </is>
      </c>
      <c r="F1178" s="10" t="n"/>
      <c r="G1178" s="10" t="inlineStr">
        <is>
          <t>បញ្ជីលេខដឹកជញ្ជូនសម្រាប់វាយតម្លៃតុល្យភាព</t>
        </is>
      </c>
      <c r="H1178" s="10" t="inlineStr">
        <is>
          <t>បញ្ជីលេខដឹកជញ្ជូនសម្រាប់វាយតម្លៃតុល្យភាព</t>
        </is>
      </c>
      <c r="I1178" s="10" t="n"/>
      <c r="J1178" s="10" t="n"/>
      <c r="K1178" s="10" t="inlineStr">
        <is>
          <t>"shippingFeeCustomer.shipmentReconciliation": "បញ្ជីលេខដឹកជញ្ជូនសម្រាប់វាយតម្លៃតុល្យភាព",</t>
        </is>
      </c>
      <c r="L1178" s="10" t="n"/>
      <c r="M1178" s="10" t="n"/>
      <c r="N1178" s="10" t="n"/>
      <c r="O1178" s="10" t="n"/>
      <c r="P1178" s="10" t="n"/>
      <c r="Q1178" s="10" t="n"/>
      <c r="R1178" s="10" t="n"/>
      <c r="S1178" s="10" t="n"/>
      <c r="T1178" s="10" t="n"/>
      <c r="U1178" s="10" t="n"/>
      <c r="V1178" s="10" t="n"/>
      <c r="W1178" s="10" t="n"/>
      <c r="X1178" s="10" t="n"/>
      <c r="Y1178" s="10" t="n"/>
      <c r="Z1178" s="10" t="n"/>
    </row>
    <row r="1179">
      <c r="A1179" s="27" t="inlineStr">
        <is>
          <t>shippingFeeCustomer.confirmCreate</t>
        </is>
      </c>
      <c r="B1179" s="27" t="inlineStr">
        <is>
          <t>Bạn có chắc chắn tạo bảng kê với số tiền &lt;b&gt;{{amount}}&lt;/b&gt; không?</t>
        </is>
      </c>
      <c r="C1179" s="27" t="inlineStr">
        <is>
          <t>Are you sure you want to create a billing list with the amount &lt;b&gt;{{amount}}&lt;/b&gt;?</t>
        </is>
      </c>
      <c r="D1179" s="21" t="n"/>
      <c r="E1179" s="102" t="inlineStr">
        <is>
          <t>តើអ្នកប្រាកដថាចង់បង្កើតបញ្ជីជាមួយប្រាក់ &lt;b&gt;{{amount}}&lt;/b&gt; មែនទេ?</t>
        </is>
      </c>
      <c r="F1179" s="10" t="n"/>
      <c r="G1179" s="10" t="inlineStr">
        <is>
          <t>តើអ្នកប្រាកដថាចង់បង្កើតបញ្ជីជាមួយប្រាក់ &lt;b&gt;{{amount}}&lt;/b&gt; មែនទេ?</t>
        </is>
      </c>
      <c r="H1179" s="10" t="inlineStr">
        <is>
          <t>តើអ្នកប្រាកដថាចង់បង្កើតបញ្ជីជាមួយប្រាក់ &lt;b&gt;{{amount}}&lt;/b&gt; មែនទេ?</t>
        </is>
      </c>
      <c r="I1179" s="10" t="n"/>
      <c r="J1179" s="10" t="n"/>
      <c r="K1179" s="10" t="inlineStr">
        <is>
          <t>"shippingFeeCustomer.confirmCreate": "តើអ្នកប្រាកដថាចង់បង្កើតបញ្ជីជាមួយប្រាក់ &lt;b&gt;{{amount}}&lt;/b&gt; មែនទេ?",</t>
        </is>
      </c>
      <c r="L1179" s="10" t="n"/>
      <c r="M1179" s="10" t="n"/>
      <c r="N1179" s="10" t="n"/>
      <c r="O1179" s="10" t="n"/>
      <c r="P1179" s="10" t="n"/>
      <c r="Q1179" s="10" t="n"/>
      <c r="R1179" s="10" t="n"/>
      <c r="S1179" s="10" t="n"/>
      <c r="T1179" s="10" t="n"/>
      <c r="U1179" s="10" t="n"/>
      <c r="V1179" s="10" t="n"/>
      <c r="W1179" s="10" t="n"/>
      <c r="X1179" s="10" t="n"/>
      <c r="Y1179" s="10" t="n"/>
      <c r="Z1179" s="10" t="n"/>
    </row>
    <row r="1180">
      <c r="A1180" s="27" t="inlineStr">
        <is>
          <t>shippingFeeCustomer.confirmCreateStatement</t>
        </is>
      </c>
      <c r="B1180" s="27" t="inlineStr">
        <is>
          <t>Bạn có chắc chắn muốn tạo phiếu thu với số tiền &lt;b&gt;{{amount}}&lt;/b&gt; không?</t>
        </is>
      </c>
      <c r="C1180" s="27" t="inlineStr">
        <is>
          <t>Are you sure you want to create a payment receipt with the amount of &lt;b&gt;{{amount}}&lt;/b&gt;?</t>
        </is>
      </c>
      <c r="D1180" s="21" t="inlineStr">
        <is>
          <t>តើអ្នកពិតជាចង់បង្កើតបង្កាន់ដៃដែលមានចំនួនទឹកប្រាក់ &lt;b&gt;{{amount}}&lt;/b&gt; មែនទេ?</t>
        </is>
      </c>
      <c r="E1180" s="24" t="inlineStr">
        <is>
          <t>តើអ្នកពិតជាចង់បង្កើតបង្កាន់ដៃដែលមានចំនួនទឹកប្រាក់ &lt;b&gt;{{amount}}&lt;/b&gt; មែនទេ?</t>
        </is>
      </c>
      <c r="F1180" s="10" t="n"/>
      <c r="G1180" s="10" t="inlineStr">
        <is>
          <t>តើអ្នកពិតជាចង់បង្កើតបុងបញ្ញើដែលមានចំនួនទឹកប្រាក់ &lt;b&gt;{{amount}}&lt;/b&gt; មែនទេ?</t>
        </is>
      </c>
      <c r="H1180" s="10" t="inlineStr">
        <is>
          <t>តើអ្នកពិតជាចង់បង្កើតបុងបញ្ញើដែលមានចំនួនទឹកប្រាក់ &lt;b&gt;{{amount}}&lt;/b&gt; មែនទេ?</t>
        </is>
      </c>
      <c r="I1180" s="10" t="n"/>
      <c r="J1180" s="10" t="n"/>
      <c r="K1180" s="10" t="inlineStr">
        <is>
          <t>"shippingFeeCustomer.confirmCreateStatement": "តើអ្នកពិតជាចង់បង្កើតបុងបញ្ញើដែលមានចំនួនទឹកប្រាក់ &lt;b&gt;{{amount}}&lt;/b&gt; មែនទេ?",</t>
        </is>
      </c>
      <c r="L1180" s="10" t="n"/>
      <c r="M1180" s="10" t="n"/>
      <c r="N1180" s="10" t="n"/>
      <c r="O1180" s="10" t="n"/>
      <c r="P1180" s="10" t="n"/>
      <c r="Q1180" s="10" t="n"/>
      <c r="R1180" s="10" t="n"/>
      <c r="S1180" s="10" t="n"/>
      <c r="T1180" s="10" t="n"/>
      <c r="U1180" s="10" t="n"/>
      <c r="V1180" s="10" t="n"/>
      <c r="W1180" s="10" t="n"/>
      <c r="X1180" s="10" t="n"/>
      <c r="Y1180" s="10" t="n"/>
      <c r="Z1180" s="10" t="n"/>
    </row>
    <row r="1181">
      <c r="A1181" s="27" t="inlineStr">
        <is>
          <t>shippingFeeCustomer.detailStatement</t>
        </is>
      </c>
      <c r="B1181" s="27" t="inlineStr">
        <is>
          <t>Chi tiết bảng kê</t>
        </is>
      </c>
      <c r="C1181" s="27" t="inlineStr">
        <is>
          <t>View details</t>
        </is>
      </c>
      <c r="D1181" s="21" t="inlineStr">
        <is>
          <t>លម្អិតពីតារាង</t>
        </is>
      </c>
      <c r="E1181" s="21" t="inlineStr">
        <is>
          <t>លម្អិតពីតារាង</t>
        </is>
      </c>
      <c r="F1181" s="10" t="n"/>
      <c r="G1181" s="10" t="inlineStr">
        <is>
          <t>លម្អិតពីតារាង</t>
        </is>
      </c>
      <c r="H1181" s="10" t="inlineStr">
        <is>
          <t>លម្អិតពីតារាង</t>
        </is>
      </c>
      <c r="I1181" s="10" t="n"/>
      <c r="J1181" s="10" t="n"/>
      <c r="K1181" s="10" t="inlineStr">
        <is>
          <t>"shippingFeeCustomer.detailStatement": "លម្អិតពីតារាង",</t>
        </is>
      </c>
      <c r="L1181" s="10" t="n"/>
      <c r="M1181" s="10" t="n"/>
      <c r="N1181" s="10" t="n"/>
      <c r="O1181" s="10" t="n"/>
      <c r="P1181" s="10" t="n"/>
      <c r="Q1181" s="10" t="n"/>
      <c r="R1181" s="10" t="n"/>
      <c r="S1181" s="10" t="n"/>
      <c r="T1181" s="10" t="n"/>
      <c r="U1181" s="10" t="n"/>
      <c r="V1181" s="10" t="n"/>
      <c r="W1181" s="10" t="n"/>
      <c r="X1181" s="10" t="n"/>
      <c r="Y1181" s="10" t="n"/>
      <c r="Z1181" s="10" t="n"/>
    </row>
    <row r="1182">
      <c r="A1182" s="27" t="inlineStr">
        <is>
          <t>shippingFeeCustomer.sendDate</t>
        </is>
      </c>
      <c r="B1182" s="27" t="inlineStr">
        <is>
          <t>Ngày gửi</t>
        </is>
      </c>
      <c r="C1182" s="27" t="inlineStr">
        <is>
          <t>Sending Date</t>
        </is>
      </c>
      <c r="D1182" s="21" t="inlineStr">
        <is>
          <t>ថ្ងៃផ្ញើ</t>
        </is>
      </c>
      <c r="E1182" s="21" t="inlineStr">
        <is>
          <t>ថ្ងៃផ្ញើ</t>
        </is>
      </c>
      <c r="F1182" s="10" t="n"/>
      <c r="G1182" s="10" t="inlineStr">
        <is>
          <t>កាលបរិច្ឆេទផ្ញើ</t>
        </is>
      </c>
      <c r="H1182" s="10" t="inlineStr">
        <is>
          <t>កាលបរិច្ឆេទផ្ញើ</t>
        </is>
      </c>
      <c r="I1182" s="10" t="n"/>
      <c r="J1182" s="10" t="n"/>
      <c r="K1182" s="10" t="inlineStr">
        <is>
          <t>"shippingFeeCustomer.sendDate": "កាលបរិច្ឆេទផ្ញើ",</t>
        </is>
      </c>
      <c r="L1182" s="10" t="n"/>
      <c r="M1182" s="10" t="n"/>
      <c r="N1182" s="10" t="n"/>
      <c r="O1182" s="10" t="n"/>
      <c r="P1182" s="10" t="n"/>
      <c r="Q1182" s="10" t="n"/>
      <c r="R1182" s="10" t="n"/>
      <c r="S1182" s="10" t="n"/>
      <c r="T1182" s="10" t="n"/>
      <c r="U1182" s="10" t="n"/>
      <c r="V1182" s="10" t="n"/>
      <c r="W1182" s="10" t="n"/>
      <c r="X1182" s="10" t="n"/>
      <c r="Y1182" s="10" t="n"/>
      <c r="Z1182" s="10" t="n"/>
    </row>
    <row r="1183">
      <c r="A1183" s="27" t="inlineStr">
        <is>
          <t>shippingFeeCustomer.print</t>
        </is>
      </c>
      <c r="B1183" s="27" t="inlineStr">
        <is>
          <t>In phiếu</t>
        </is>
      </c>
      <c r="C1183" s="27" t="inlineStr">
        <is>
          <t>Print</t>
        </is>
      </c>
      <c r="D1183" s="21" t="inlineStr">
        <is>
          <t>ព្រីនបុង</t>
        </is>
      </c>
      <c r="E1183" s="21" t="inlineStr">
        <is>
          <t>ព្រីនបុង</t>
        </is>
      </c>
      <c r="F1183" s="10" t="n"/>
      <c r="G1183" s="10" t="inlineStr">
        <is>
          <t>ព្រីនបុងបញ្ញើ</t>
        </is>
      </c>
      <c r="H1183" s="10" t="inlineStr">
        <is>
          <t>ព្រីនបុងបញ្ញើ</t>
        </is>
      </c>
      <c r="I1183" s="10" t="n"/>
      <c r="J1183" s="10" t="n"/>
      <c r="K1183" s="10" t="inlineStr">
        <is>
          <t>"shippingFeeCustomer.print": "ព្រីនបុងបញ្ញើ",</t>
        </is>
      </c>
      <c r="L1183" s="10" t="n"/>
      <c r="M1183" s="10" t="n"/>
      <c r="N1183" s="10" t="n"/>
      <c r="O1183" s="10" t="n"/>
      <c r="P1183" s="10" t="n"/>
      <c r="Q1183" s="10" t="n"/>
      <c r="R1183" s="10" t="n"/>
      <c r="S1183" s="10" t="n"/>
      <c r="T1183" s="10" t="n"/>
      <c r="U1183" s="10" t="n"/>
      <c r="V1183" s="10" t="n"/>
      <c r="W1183" s="10" t="n"/>
      <c r="X1183" s="10" t="n"/>
      <c r="Y1183" s="10" t="n"/>
      <c r="Z1183" s="10" t="n"/>
    </row>
    <row r="1184">
      <c r="A1184" s="27" t="inlineStr">
        <is>
          <t>shippingFeeCustomer.emptyData</t>
        </is>
      </c>
      <c r="B1184" s="27" t="inlineStr">
        <is>
          <t>Không có dữ liệu</t>
        </is>
      </c>
      <c r="C1184" s="27" t="inlineStr">
        <is>
          <t>No Data Available</t>
        </is>
      </c>
      <c r="D1184" s="21" t="inlineStr">
        <is>
          <t>មិនមានទិន្នន័យ</t>
        </is>
      </c>
      <c r="E1184" s="21" t="inlineStr">
        <is>
          <t>មិនមានទិន្នន័យ</t>
        </is>
      </c>
      <c r="F1184" s="10" t="n"/>
      <c r="G1184" s="10" t="inlineStr">
        <is>
          <t>មិនមានទិន្នន័យទេ</t>
        </is>
      </c>
      <c r="H1184" s="10" t="inlineStr">
        <is>
          <t>មិនមានទិន្នន័យទេ</t>
        </is>
      </c>
      <c r="I1184" s="10" t="n"/>
      <c r="J1184" s="10" t="n"/>
      <c r="K1184" s="10" t="inlineStr">
        <is>
          <t>"shippingFeeCustomer.emptyData": "មិនមានទិន្នន័យទេ",</t>
        </is>
      </c>
      <c r="L1184" s="10" t="n"/>
      <c r="M1184" s="10" t="n"/>
      <c r="N1184" s="10" t="n"/>
      <c r="O1184" s="10" t="n"/>
      <c r="P1184" s="10" t="n"/>
      <c r="Q1184" s="10" t="n"/>
      <c r="R1184" s="10" t="n"/>
      <c r="S1184" s="10" t="n"/>
      <c r="T1184" s="10" t="n"/>
      <c r="U1184" s="10" t="n"/>
      <c r="V1184" s="10" t="n"/>
      <c r="W1184" s="10" t="n"/>
      <c r="X1184" s="10" t="n"/>
      <c r="Y1184" s="10" t="n"/>
      <c r="Z1184" s="10" t="n"/>
    </row>
    <row r="1185">
      <c r="A1185" s="27" t="inlineStr">
        <is>
          <t>shippingFeeCustomer.excelSuccess</t>
        </is>
      </c>
      <c r="B1185" s="27" t="inlineStr">
        <is>
          <t>Xuất Excel thành công</t>
        </is>
      </c>
      <c r="C1185" s="27" t="inlineStr">
        <is>
          <t>Excel export successful</t>
        </is>
      </c>
      <c r="D1185" s="21" t="inlineStr">
        <is>
          <t>ចេញពី Excelបានជោគជ័យ</t>
        </is>
      </c>
      <c r="E1185" s="21" t="inlineStr">
        <is>
          <t>ចេញពី Excelបានជោគជ័យ</t>
        </is>
      </c>
      <c r="F1185" s="10" t="n"/>
      <c r="G1185" s="10" t="inlineStr">
        <is>
          <t>ចេញពី Excelបានជោគជ័យ</t>
        </is>
      </c>
      <c r="H1185" s="10" t="inlineStr">
        <is>
          <t>ចេញពី Excelបានជោគជ័យ</t>
        </is>
      </c>
      <c r="I1185" s="10" t="n"/>
      <c r="J1185" s="10" t="n"/>
      <c r="K1185" s="10" t="inlineStr">
        <is>
          <t>"shippingFeeCustomer.excelSuccess": "ចេញពី Excelបានជោគជ័យ",</t>
        </is>
      </c>
      <c r="L1185" s="10" t="n"/>
      <c r="M1185" s="10" t="n"/>
      <c r="N1185" s="10" t="n"/>
      <c r="O1185" s="10" t="n"/>
      <c r="P1185" s="10" t="n"/>
      <c r="Q1185" s="10" t="n"/>
      <c r="R1185" s="10" t="n"/>
      <c r="S1185" s="10" t="n"/>
      <c r="T1185" s="10" t="n"/>
      <c r="U1185" s="10" t="n"/>
      <c r="V1185" s="10" t="n"/>
      <c r="W1185" s="10" t="n"/>
      <c r="X1185" s="10" t="n"/>
      <c r="Y1185" s="10" t="n"/>
      <c r="Z1185" s="10" t="n"/>
    </row>
    <row r="1186">
      <c r="A1186" s="27" t="inlineStr">
        <is>
          <t>shippingFeeCustomer.branch</t>
        </is>
      </c>
      <c r="B1186" s="27" t="inlineStr">
        <is>
          <t>Chi nhánh</t>
        </is>
      </c>
      <c r="C1186" s="27" t="inlineStr">
        <is>
          <t>Branch</t>
        </is>
      </c>
      <c r="D1186" s="21" t="inlineStr">
        <is>
          <t>សាខា</t>
        </is>
      </c>
      <c r="E1186" s="21" t="inlineStr">
        <is>
          <t>សាខា</t>
        </is>
      </c>
      <c r="F1186" s="10" t="n"/>
      <c r="G1186" s="10" t="inlineStr">
        <is>
          <t>សាខា</t>
        </is>
      </c>
      <c r="H1186" s="10" t="inlineStr">
        <is>
          <t>សាខា</t>
        </is>
      </c>
      <c r="I1186" s="10" t="n"/>
      <c r="J1186" s="10" t="n"/>
      <c r="K1186" s="10" t="inlineStr">
        <is>
          <t>"shippingFeeCustomer.branch": "សាខា",</t>
        </is>
      </c>
      <c r="L1186" s="10" t="n"/>
      <c r="M1186" s="10" t="n"/>
      <c r="N1186" s="10" t="n"/>
      <c r="O1186" s="10" t="n"/>
      <c r="P1186" s="10" t="n"/>
      <c r="Q1186" s="10" t="n"/>
      <c r="R1186" s="10" t="n"/>
      <c r="S1186" s="10" t="n"/>
      <c r="T1186" s="10" t="n"/>
      <c r="U1186" s="10" t="n"/>
      <c r="V1186" s="10" t="n"/>
      <c r="W1186" s="10" t="n"/>
      <c r="X1186" s="10" t="n"/>
      <c r="Y1186" s="10" t="n"/>
      <c r="Z1186" s="10" t="n"/>
    </row>
    <row r="1187">
      <c r="A1187" s="27" t="inlineStr">
        <is>
          <t>shippingFeeCustomer.receiptClosing</t>
        </is>
      </c>
      <c r="B1187" s="27" t="inlineStr">
        <is>
          <t>Chốt phiếu thu</t>
        </is>
      </c>
      <c r="C1187" s="27" t="inlineStr">
        <is>
          <t>Lock</t>
        </is>
      </c>
      <c r="D1187" s="21" t="n"/>
      <c r="E1187" s="102" t="inlineStr">
        <is>
          <t>បិទបុងប្រមូលប្រាក់</t>
        </is>
      </c>
      <c r="F1187" s="10" t="n"/>
      <c r="G1187" s="10" t="inlineStr">
        <is>
          <t>បិទបុងប្រមូលប្រាក់</t>
        </is>
      </c>
      <c r="H1187" s="10" t="inlineStr">
        <is>
          <t>បិទបុងប្រមូលប្រាក់</t>
        </is>
      </c>
      <c r="I1187" s="10" t="n"/>
      <c r="J1187" s="10" t="n"/>
      <c r="K1187" s="10" t="inlineStr">
        <is>
          <t>"shippingFeeCustomer.receiptClosing": "បិទបុងប្រមូលប្រាក់",</t>
        </is>
      </c>
      <c r="L1187" s="10" t="n"/>
      <c r="M1187" s="10" t="n"/>
      <c r="N1187" s="10" t="n"/>
      <c r="O1187" s="10" t="n"/>
      <c r="P1187" s="10" t="n"/>
      <c r="Q1187" s="10" t="n"/>
      <c r="R1187" s="10" t="n"/>
      <c r="S1187" s="10" t="n"/>
      <c r="T1187" s="10" t="n"/>
      <c r="U1187" s="10" t="n"/>
      <c r="V1187" s="10" t="n"/>
      <c r="W1187" s="10" t="n"/>
      <c r="X1187" s="10" t="n"/>
      <c r="Y1187" s="10" t="n"/>
      <c r="Z1187" s="10" t="n"/>
    </row>
    <row r="1188">
      <c r="A1188" s="27" t="inlineStr">
        <is>
          <t>shippingFeeCustomer.post</t>
        </is>
      </c>
      <c r="B1188" s="27" t="inlineStr">
        <is>
          <t>Bưu cục</t>
        </is>
      </c>
      <c r="C1188" s="27" t="inlineStr">
        <is>
          <t>Post Office</t>
        </is>
      </c>
      <c r="D1188" s="21" t="inlineStr">
        <is>
          <t>ការិយាល័យប្រៃសណីយ៍</t>
        </is>
      </c>
      <c r="E1188" s="21" t="inlineStr">
        <is>
          <t>ការិយាល័យប្រៃសណីយ៍</t>
        </is>
      </c>
      <c r="F1188" s="10" t="n"/>
      <c r="G1188" s="10" t="inlineStr">
        <is>
          <t>ការិយាល័យប្រៃសណីយ៍</t>
        </is>
      </c>
      <c r="H1188" s="10" t="inlineStr">
        <is>
          <t>ការិយាល័យប្រៃសណីយ៍</t>
        </is>
      </c>
      <c r="I1188" s="10" t="n"/>
      <c r="J1188" s="10" t="n"/>
      <c r="K1188" s="10" t="inlineStr">
        <is>
          <t>"shippingFeeCustomer.post": "ការិយាល័យប្រៃសណីយ៍",</t>
        </is>
      </c>
      <c r="L1188" s="10" t="n"/>
      <c r="M1188" s="10" t="n"/>
      <c r="N1188" s="10" t="n"/>
      <c r="O1188" s="10" t="n"/>
      <c r="P1188" s="10" t="n"/>
      <c r="Q1188" s="10" t="n"/>
      <c r="R1188" s="10" t="n"/>
      <c r="S1188" s="10" t="n"/>
      <c r="T1188" s="10" t="n"/>
      <c r="U1188" s="10" t="n"/>
      <c r="V1188" s="10" t="n"/>
      <c r="W1188" s="10" t="n"/>
      <c r="X1188" s="10" t="n"/>
      <c r="Y1188" s="10" t="n"/>
      <c r="Z1188" s="10" t="n"/>
    </row>
    <row r="1189">
      <c r="A1189" s="27" t="inlineStr">
        <is>
          <t>shippingFeeCustomer.paymentMethod</t>
        </is>
      </c>
      <c r="B1189" s="27" t="inlineStr">
        <is>
          <t>Hình thức trả cước</t>
        </is>
      </c>
      <c r="C1189" s="27" t="inlineStr">
        <is>
          <t>Payment Method</t>
        </is>
      </c>
      <c r="D1189" s="21" t="inlineStr">
        <is>
          <t>វិធីសាស្រ្តនៃការទូទាត់ថ្លៃសេវា</t>
        </is>
      </c>
      <c r="E1189" s="21" t="inlineStr">
        <is>
          <t>វិធីសាស្រ្តនៃការទូទាត់ថ្លៃសេវា</t>
        </is>
      </c>
      <c r="F1189" s="10" t="n"/>
      <c r="G1189" s="10" t="inlineStr">
        <is>
          <t>វិធីសាស្រ្តនៃការទូទាត់ថ្លៃសេវា</t>
        </is>
      </c>
      <c r="H1189" s="10" t="inlineStr">
        <is>
          <t>វិធីសាស្រ្តនៃការទូទាត់ថ្លៃសេវា</t>
        </is>
      </c>
      <c r="I1189" s="10" t="n"/>
      <c r="J1189" s="10" t="n"/>
      <c r="K1189" s="10" t="inlineStr">
        <is>
          <t>"shippingFeeCustomer.paymentMethod": "វិធីសាស្រ្តនៃការទូទាត់ថ្លៃសេវា",</t>
        </is>
      </c>
      <c r="L1189" s="10" t="n"/>
      <c r="M1189" s="10" t="n"/>
      <c r="N1189" s="10" t="n"/>
      <c r="O1189" s="10" t="n"/>
      <c r="P1189" s="10" t="n"/>
      <c r="Q1189" s="10" t="n"/>
      <c r="R1189" s="10" t="n"/>
      <c r="S1189" s="10" t="n"/>
      <c r="T1189" s="10" t="n"/>
      <c r="U1189" s="10" t="n"/>
      <c r="V1189" s="10" t="n"/>
      <c r="W1189" s="10" t="n"/>
      <c r="X1189" s="10" t="n"/>
      <c r="Y1189" s="10" t="n"/>
      <c r="Z1189" s="10" t="n"/>
    </row>
    <row r="1190">
      <c r="A1190" s="27" t="inlineStr">
        <is>
          <t>shippingFeeCustomer.filterPost</t>
        </is>
      </c>
      <c r="B1190" s="27" t="inlineStr">
        <is>
          <t>Chọn bưu cục</t>
        </is>
      </c>
      <c r="C1190" s="27" t="inlineStr">
        <is>
          <t>Select Post Office</t>
        </is>
      </c>
      <c r="D1190" s="21" t="inlineStr">
        <is>
          <t>ជ្រើសរើសការិយាល័យបប្រៃសណីយ៍</t>
        </is>
      </c>
      <c r="E1190" s="24" t="inlineStr">
        <is>
          <t>ជ្រើសរើសការិយាល័យប្រៃសណីយ៍</t>
        </is>
      </c>
      <c r="F1190" s="10" t="n"/>
      <c r="G1190" s="10" t="inlineStr">
        <is>
          <t>ជ្រើសរើសការិយាល័យប្រៃសណីយ៍</t>
        </is>
      </c>
      <c r="H1190" s="10" t="inlineStr">
        <is>
          <t>ជ្រើសរើសការិយាល័យប្រៃសណីយ៍</t>
        </is>
      </c>
      <c r="I1190" s="10" t="n"/>
      <c r="J1190" s="10" t="n"/>
      <c r="K1190" s="10" t="inlineStr">
        <is>
          <t>"shippingFeeCustomer.filterPost": "ជ្រើសរើសការិយាល័យប្រៃសណីយ៍",</t>
        </is>
      </c>
      <c r="L1190" s="10" t="n"/>
      <c r="M1190" s="10" t="n"/>
      <c r="N1190" s="10" t="n"/>
      <c r="O1190" s="10" t="n"/>
      <c r="P1190" s="10" t="n"/>
      <c r="Q1190" s="10" t="n"/>
      <c r="R1190" s="10" t="n"/>
      <c r="S1190" s="10" t="n"/>
      <c r="T1190" s="10" t="n"/>
      <c r="U1190" s="10" t="n"/>
      <c r="V1190" s="10" t="n"/>
      <c r="W1190" s="10" t="n"/>
      <c r="X1190" s="10" t="n"/>
      <c r="Y1190" s="10" t="n"/>
      <c r="Z1190" s="10" t="n"/>
    </row>
    <row r="1191">
      <c r="A1191" s="27" t="inlineStr">
        <is>
          <t>shippingFeeCustomer.createReceipt</t>
        </is>
      </c>
      <c r="B1191" s="27" t="inlineStr">
        <is>
          <t>Tạo phiếu thu</t>
        </is>
      </c>
      <c r="C1191" s="27" t="inlineStr">
        <is>
          <t>Create Payment Receipt</t>
        </is>
      </c>
      <c r="D1191" s="21" t="inlineStr">
        <is>
          <t>បង្កើតបុងប្រមូល</t>
        </is>
      </c>
      <c r="E1191" s="24" t="inlineStr">
        <is>
          <t>បង្កើតបុងប្រមូល</t>
        </is>
      </c>
      <c r="F1191" s="10" t="n"/>
      <c r="G1191" s="10" t="inlineStr">
        <is>
          <t>បង្កើតបុងប្រមូល</t>
        </is>
      </c>
      <c r="H1191" s="10" t="inlineStr">
        <is>
          <t>បង្កើតបុងប្រមូល</t>
        </is>
      </c>
      <c r="I1191" s="10" t="n"/>
      <c r="J1191" s="10" t="n"/>
      <c r="K1191" s="10" t="inlineStr">
        <is>
          <t>"shippingFeeCustomer.createReceipt": "បង្កើតបុងប្រមូល",</t>
        </is>
      </c>
      <c r="L1191" s="10" t="n"/>
      <c r="M1191" s="10" t="n"/>
      <c r="N1191" s="10" t="n"/>
      <c r="O1191" s="10" t="n"/>
      <c r="P1191" s="10" t="n"/>
      <c r="Q1191" s="10" t="n"/>
      <c r="R1191" s="10" t="n"/>
      <c r="S1191" s="10" t="n"/>
      <c r="T1191" s="10" t="n"/>
      <c r="U1191" s="10" t="n"/>
      <c r="V1191" s="10" t="n"/>
      <c r="W1191" s="10" t="n"/>
      <c r="X1191" s="10" t="n"/>
      <c r="Y1191" s="10" t="n"/>
      <c r="Z1191" s="10" t="n"/>
    </row>
    <row r="1192">
      <c r="A1192" s="27" t="inlineStr">
        <is>
          <t>shippingFeeCustomer.toDate</t>
        </is>
      </c>
      <c r="B1192" s="27" t="inlineStr">
        <is>
          <t>Đến ngày</t>
        </is>
      </c>
      <c r="C1192" s="27" t="inlineStr">
        <is>
          <t>To Date</t>
        </is>
      </c>
      <c r="D1192" s="21" t="inlineStr">
        <is>
          <t>មកដល់ថ្ងៃ</t>
        </is>
      </c>
      <c r="E1192" s="21" t="inlineStr">
        <is>
          <t>មកដល់ថ្ងៃ</t>
        </is>
      </c>
      <c r="F1192" s="10" t="n"/>
      <c r="G1192" s="10" t="inlineStr">
        <is>
          <t>មកដល់ថ្ងៃ</t>
        </is>
      </c>
      <c r="H1192" s="10" t="inlineStr">
        <is>
          <t>មកដល់ថ្ងៃ</t>
        </is>
      </c>
      <c r="I1192" s="10" t="n"/>
      <c r="J1192" s="10" t="n"/>
      <c r="K1192" s="10" t="inlineStr">
        <is>
          <t>"shippingFeeCustomer.toDate": "មកដល់ថ្ងៃ",</t>
        </is>
      </c>
      <c r="L1192" s="10" t="n"/>
      <c r="M1192" s="10" t="n"/>
      <c r="N1192" s="10" t="n"/>
      <c r="O1192" s="10" t="n"/>
      <c r="P1192" s="10" t="n"/>
      <c r="Q1192" s="10" t="n"/>
      <c r="R1192" s="10" t="n"/>
      <c r="S1192" s="10" t="n"/>
      <c r="T1192" s="10" t="n"/>
      <c r="U1192" s="10" t="n"/>
      <c r="V1192" s="10" t="n"/>
      <c r="W1192" s="10" t="n"/>
      <c r="X1192" s="10" t="n"/>
      <c r="Y1192" s="10" t="n"/>
      <c r="Z1192" s="10" t="n"/>
    </row>
    <row r="1193">
      <c r="A1193" s="27" t="inlineStr">
        <is>
          <t>shippingFeeCustomer.customer</t>
        </is>
      </c>
      <c r="B1193" s="27" t="inlineStr">
        <is>
          <t>Khách hàng</t>
        </is>
      </c>
      <c r="C1193" s="27" t="inlineStr">
        <is>
          <t>Customer</t>
        </is>
      </c>
      <c r="D1193" s="21" t="inlineStr">
        <is>
          <t>អតិថិជន</t>
        </is>
      </c>
      <c r="E1193" s="21" t="inlineStr">
        <is>
          <t>អតិថិជន</t>
        </is>
      </c>
      <c r="F1193" s="10" t="n"/>
      <c r="G1193" s="10" t="inlineStr">
        <is>
          <t>អតិថិជន</t>
        </is>
      </c>
      <c r="H1193" s="10" t="inlineStr">
        <is>
          <t>អតិថិជន</t>
        </is>
      </c>
      <c r="I1193" s="10" t="n"/>
      <c r="J1193" s="10" t="n"/>
      <c r="K1193" s="10" t="inlineStr">
        <is>
          <t>"shippingFeeCustomer.customer": "អតិថិជន",</t>
        </is>
      </c>
      <c r="L1193" s="10" t="n"/>
      <c r="M1193" s="10" t="n"/>
      <c r="N1193" s="10" t="n"/>
      <c r="O1193" s="10" t="n"/>
      <c r="P1193" s="10" t="n"/>
      <c r="Q1193" s="10" t="n"/>
      <c r="R1193" s="10" t="n"/>
      <c r="S1193" s="10" t="n"/>
      <c r="T1193" s="10" t="n"/>
      <c r="U1193" s="10" t="n"/>
      <c r="V1193" s="10" t="n"/>
      <c r="W1193" s="10" t="n"/>
      <c r="X1193" s="10" t="n"/>
      <c r="Y1193" s="10" t="n"/>
      <c r="Z1193" s="10" t="n"/>
    </row>
    <row r="1194">
      <c r="A1194" s="27" t="inlineStr">
        <is>
          <t>shippingFeeCustomer.billQuantity</t>
        </is>
      </c>
      <c r="B1194" s="27" t="inlineStr">
        <is>
          <t>Số lượng bill</t>
        </is>
      </c>
      <c r="C1194" s="27" t="inlineStr">
        <is>
          <t>Order quantity</t>
        </is>
      </c>
      <c r="D1194" s="21" t="inlineStr">
        <is>
          <t>ចំនួនបុង</t>
        </is>
      </c>
      <c r="E1194" s="21" t="inlineStr">
        <is>
          <t>ចំនួនបុង</t>
        </is>
      </c>
      <c r="F1194" s="10" t="n"/>
      <c r="G1194" s="10" t="inlineStr">
        <is>
          <t>ចំនួនបុង</t>
        </is>
      </c>
      <c r="H1194" s="10" t="inlineStr">
        <is>
          <t>ចំនួនបុង</t>
        </is>
      </c>
      <c r="I1194" s="10" t="n"/>
      <c r="J1194" s="10" t="n"/>
      <c r="K1194" s="10" t="inlineStr">
        <is>
          <t>"shippingFeeCustomer.billQuantity": "ចំនួនបុង",</t>
        </is>
      </c>
      <c r="L1194" s="10" t="n"/>
      <c r="M1194" s="10" t="n"/>
      <c r="N1194" s="10" t="n"/>
      <c r="O1194" s="10" t="n"/>
      <c r="P1194" s="10" t="n"/>
      <c r="Q1194" s="10" t="n"/>
      <c r="R1194" s="10" t="n"/>
      <c r="S1194" s="10" t="n"/>
      <c r="T1194" s="10" t="n"/>
      <c r="U1194" s="10" t="n"/>
      <c r="V1194" s="10" t="n"/>
      <c r="W1194" s="10" t="n"/>
      <c r="X1194" s="10" t="n"/>
      <c r="Y1194" s="10" t="n"/>
      <c r="Z1194" s="10" t="n"/>
    </row>
    <row r="1195">
      <c r="A1195" s="27" t="inlineStr">
        <is>
          <t>shippingFeeCustomer.shippingFee</t>
        </is>
      </c>
      <c r="B1195" s="27" t="inlineStr">
        <is>
          <t>Công nợ phải thu</t>
        </is>
      </c>
      <c r="C1195" s="27" t="inlineStr">
        <is>
          <t>Outstanding Amount</t>
        </is>
      </c>
      <c r="D1195" s="102" t="inlineStr">
        <is>
          <t>គណនីទទួល</t>
        </is>
      </c>
      <c r="E1195" s="24" t="inlineStr">
        <is>
          <t>បំណុលដែលត្រូវប្រមូល</t>
        </is>
      </c>
      <c r="F1195" s="10" t="n"/>
      <c r="G1195" s="10" t="inlineStr">
        <is>
          <t>បំណុលដែលត្រូវប្រមូល</t>
        </is>
      </c>
      <c r="H1195" s="10" t="inlineStr">
        <is>
          <t>បំណុលដែលត្រូវប្រមូល</t>
        </is>
      </c>
      <c r="I1195" s="10" t="n"/>
      <c r="J1195" s="10" t="n"/>
      <c r="K1195" s="10" t="inlineStr">
        <is>
          <t>"shippingFeeCustomer.shippingFee": "បំណុលដែលត្រូវប្រមូល",</t>
        </is>
      </c>
      <c r="L1195" s="10" t="n"/>
      <c r="M1195" s="10" t="n"/>
      <c r="N1195" s="10" t="n"/>
      <c r="O1195" s="10" t="n"/>
      <c r="P1195" s="10" t="n"/>
      <c r="Q1195" s="10" t="n"/>
      <c r="R1195" s="10" t="n"/>
      <c r="S1195" s="10" t="n"/>
      <c r="T1195" s="10" t="n"/>
      <c r="U1195" s="10" t="n"/>
      <c r="V1195" s="10" t="n"/>
      <c r="W1195" s="10" t="n"/>
      <c r="X1195" s="10" t="n"/>
      <c r="Y1195" s="10" t="n"/>
      <c r="Z1195" s="10" t="n"/>
    </row>
    <row r="1196">
      <c r="A1196" s="27" t="inlineStr">
        <is>
          <t>shippingFeeCustomer.filterBranch</t>
        </is>
      </c>
      <c r="B1196" s="27" t="inlineStr">
        <is>
          <t>Chọn chi nhánh</t>
        </is>
      </c>
      <c r="C1196" s="27" t="inlineStr">
        <is>
          <t>Select Branch</t>
        </is>
      </c>
      <c r="D1196" s="21" t="inlineStr">
        <is>
          <t>ជ្រើសរើសសាខា</t>
        </is>
      </c>
      <c r="E1196" s="21" t="inlineStr">
        <is>
          <t>ជ្រើសរើសសាខា</t>
        </is>
      </c>
      <c r="F1196" s="10" t="n"/>
      <c r="G1196" s="10" t="inlineStr">
        <is>
          <t>ជ្រើសរើសសាខា</t>
        </is>
      </c>
      <c r="H1196" s="10" t="inlineStr">
        <is>
          <t>ជ្រើសរើសសាខា</t>
        </is>
      </c>
      <c r="I1196" s="10" t="n"/>
      <c r="J1196" s="10" t="n"/>
      <c r="K1196" s="10" t="inlineStr">
        <is>
          <t>"shippingFeeCustomer.filterBranch": "ជ្រើសរើសសាខា",</t>
        </is>
      </c>
      <c r="L1196" s="10" t="n"/>
      <c r="M1196" s="10" t="n"/>
      <c r="N1196" s="10" t="n"/>
      <c r="O1196" s="10" t="n"/>
      <c r="P1196" s="10" t="n"/>
      <c r="Q1196" s="10" t="n"/>
      <c r="R1196" s="10" t="n"/>
      <c r="S1196" s="10" t="n"/>
      <c r="T1196" s="10" t="n"/>
      <c r="U1196" s="10" t="n"/>
      <c r="V1196" s="10" t="n"/>
      <c r="W1196" s="10" t="n"/>
      <c r="X1196" s="10" t="n"/>
      <c r="Y1196" s="10" t="n"/>
      <c r="Z1196" s="10" t="n"/>
    </row>
    <row r="1197">
      <c r="A1197" s="27" t="inlineStr">
        <is>
          <t>shippingFeeCustomer.customerCode</t>
        </is>
      </c>
      <c r="B1197" s="27" t="inlineStr">
        <is>
          <t>Mã khách hàng</t>
        </is>
      </c>
      <c r="C1197" s="27" t="inlineStr">
        <is>
          <t>Customer ID</t>
        </is>
      </c>
      <c r="D1197" s="21" t="inlineStr">
        <is>
          <t>លេខកូដអតិថិជន</t>
        </is>
      </c>
      <c r="E1197" s="24" t="inlineStr">
        <is>
          <t>លេខសម្គាល់អតិថិជន</t>
        </is>
      </c>
      <c r="F1197" s="10" t="n"/>
      <c r="G1197" s="10" t="inlineStr">
        <is>
          <t>លេខសម្គាល់អតិថិជន</t>
        </is>
      </c>
      <c r="H1197" s="10" t="inlineStr">
        <is>
          <t>លេខសម្គាល់អតិថិជន</t>
        </is>
      </c>
      <c r="I1197" s="10" t="n"/>
      <c r="J1197" s="10" t="n"/>
      <c r="K1197" s="10" t="inlineStr">
        <is>
          <t>"shippingFeeCustomer.customerCode": "លេខសម្គាល់អតិថិជន",</t>
        </is>
      </c>
      <c r="L1197" s="10" t="n"/>
      <c r="M1197" s="10" t="n"/>
      <c r="N1197" s="10" t="n"/>
      <c r="O1197" s="10" t="n"/>
      <c r="P1197" s="10" t="n"/>
      <c r="Q1197" s="10" t="n"/>
      <c r="R1197" s="10" t="n"/>
      <c r="S1197" s="10" t="n"/>
      <c r="T1197" s="10" t="n"/>
      <c r="U1197" s="10" t="n"/>
      <c r="V1197" s="10" t="n"/>
      <c r="W1197" s="10" t="n"/>
      <c r="X1197" s="10" t="n"/>
      <c r="Y1197" s="10" t="n"/>
      <c r="Z1197" s="10" t="n"/>
    </row>
    <row r="1198">
      <c r="A1198" s="27" t="inlineStr">
        <is>
          <t>shippingFeeCustomer.exportExcel</t>
        </is>
      </c>
      <c r="B1198" s="27" t="inlineStr">
        <is>
          <t>Xuất excel</t>
        </is>
      </c>
      <c r="C1198" s="27" t="inlineStr">
        <is>
          <t>Export Excel</t>
        </is>
      </c>
      <c r="D1198" s="21" t="inlineStr">
        <is>
          <t>ចេញពី Excel</t>
        </is>
      </c>
      <c r="E1198" s="21" t="inlineStr">
        <is>
          <t>ចេញពី Excel</t>
        </is>
      </c>
      <c r="F1198" s="10" t="n"/>
      <c r="G1198" s="10" t="inlineStr">
        <is>
          <t>ចេញពី Excel</t>
        </is>
      </c>
      <c r="H1198" s="10" t="inlineStr">
        <is>
          <t>ចេញពី Excel</t>
        </is>
      </c>
      <c r="I1198" s="10" t="n"/>
      <c r="J1198" s="10" t="n"/>
      <c r="K1198" s="10" t="inlineStr">
        <is>
          <t>"shippingFeeCustomer.exportExcel": "ចេញពី Excel",</t>
        </is>
      </c>
      <c r="L1198" s="10" t="n"/>
      <c r="M1198" s="10" t="n"/>
      <c r="N1198" s="10" t="n"/>
      <c r="O1198" s="10" t="n"/>
      <c r="P1198" s="10" t="n"/>
      <c r="Q1198" s="10" t="n"/>
      <c r="R1198" s="10" t="n"/>
      <c r="S1198" s="10" t="n"/>
      <c r="T1198" s="10" t="n"/>
      <c r="U1198" s="10" t="n"/>
      <c r="V1198" s="10" t="n"/>
      <c r="W1198" s="10" t="n"/>
      <c r="X1198" s="10" t="n"/>
      <c r="Y1198" s="10" t="n"/>
      <c r="Z1198" s="10" t="n"/>
    </row>
    <row r="1199">
      <c r="A1199" s="27" t="inlineStr">
        <is>
          <t>shippingFeeCustomer.orderCode</t>
        </is>
      </c>
      <c r="B1199" s="27" t="inlineStr">
        <is>
          <t>Mã vận đơn</t>
        </is>
      </c>
      <c r="C1199" s="27" t="inlineStr">
        <is>
          <t>Order ID</t>
        </is>
      </c>
      <c r="D1199" s="21" t="inlineStr">
        <is>
          <t>លេខកូដបុងដឹកជញ្ជូន</t>
        </is>
      </c>
      <c r="E1199" s="24" t="inlineStr">
        <is>
          <t>លេខកូដបុងដឹកជញ្ជូន</t>
        </is>
      </c>
      <c r="F1199" s="10" t="n"/>
      <c r="G1199" s="10" t="inlineStr">
        <is>
          <t>លេខកូដបុងបញ្ញើ</t>
        </is>
      </c>
      <c r="H1199" s="10" t="inlineStr">
        <is>
          <t>លេខកូដបុងបញ្ញើ</t>
        </is>
      </c>
      <c r="I1199" s="10" t="n"/>
      <c r="J1199" s="10" t="n"/>
      <c r="K1199" s="10" t="inlineStr">
        <is>
          <t>"shippingFeeCustomer.orderCode": "លេខកូដបុងបញ្ញើ",</t>
        </is>
      </c>
      <c r="L1199" s="10" t="n"/>
      <c r="M1199" s="10" t="n"/>
      <c r="N1199" s="10" t="n"/>
      <c r="O1199" s="10" t="n"/>
      <c r="P1199" s="10" t="n"/>
      <c r="Q1199" s="10" t="n"/>
      <c r="R1199" s="10" t="n"/>
      <c r="S1199" s="10" t="n"/>
      <c r="T1199" s="10" t="n"/>
      <c r="U1199" s="10" t="n"/>
      <c r="V1199" s="10" t="n"/>
      <c r="W1199" s="10" t="n"/>
      <c r="X1199" s="10" t="n"/>
      <c r="Y1199" s="10" t="n"/>
      <c r="Z1199" s="10" t="n"/>
    </row>
    <row r="1200">
      <c r="A1200" s="27" t="inlineStr">
        <is>
          <t>shippingFeeCustomer.service</t>
        </is>
      </c>
      <c r="B1200" s="27" t="inlineStr">
        <is>
          <t>Dịch vụ</t>
        </is>
      </c>
      <c r="C1200" s="27" t="inlineStr">
        <is>
          <t>Service</t>
        </is>
      </c>
      <c r="D1200" s="21" t="inlineStr">
        <is>
          <t>សេវាកម្ម</t>
        </is>
      </c>
      <c r="E1200" s="24" t="inlineStr">
        <is>
          <t>សេវាកម្ម</t>
        </is>
      </c>
      <c r="F1200" s="10" t="n"/>
      <c r="G1200" s="10" t="inlineStr">
        <is>
          <t>សេវាកម្ម</t>
        </is>
      </c>
      <c r="H1200" s="10" t="inlineStr">
        <is>
          <t>សេវាកម្ម</t>
        </is>
      </c>
      <c r="I1200" s="10" t="n"/>
      <c r="J1200" s="10" t="n"/>
      <c r="K1200" s="10" t="inlineStr">
        <is>
          <t>"shippingFeeCustomer.service": "សេវាកម្ម",</t>
        </is>
      </c>
      <c r="L1200" s="10" t="n"/>
      <c r="M1200" s="10" t="n"/>
      <c r="N1200" s="10" t="n"/>
      <c r="O1200" s="10" t="n"/>
      <c r="P1200" s="10" t="n"/>
      <c r="Q1200" s="10" t="n"/>
      <c r="R1200" s="10" t="n"/>
      <c r="S1200" s="10" t="n"/>
      <c r="T1200" s="10" t="n"/>
      <c r="U1200" s="10" t="n"/>
      <c r="V1200" s="10" t="n"/>
      <c r="W1200" s="10" t="n"/>
      <c r="X1200" s="10" t="n"/>
      <c r="Y1200" s="10" t="n"/>
      <c r="Z1200" s="10" t="n"/>
    </row>
    <row r="1201">
      <c r="A1201" s="27" t="inlineStr">
        <is>
          <t>shippingFeeCustomer.paymentType</t>
        </is>
      </c>
      <c r="B1201" s="27" t="inlineStr">
        <is>
          <t>Hình thức thanh toán</t>
        </is>
      </c>
      <c r="C1201" s="27" t="inlineStr">
        <is>
          <t>Payment Type</t>
        </is>
      </c>
      <c r="D1201" s="21" t="inlineStr">
        <is>
          <t>វិធីសាស្រ្តនៃការទូទាត់</t>
        </is>
      </c>
      <c r="E1201" s="24" t="inlineStr">
        <is>
          <t>វិធីសាស្រ្តនៃការទូទាត់</t>
        </is>
      </c>
      <c r="F1201" s="10" t="n"/>
      <c r="G1201" s="10" t="inlineStr">
        <is>
          <t>វិធីសាស្រ្តនៃការទូទាត់</t>
        </is>
      </c>
      <c r="H1201" s="10" t="inlineStr">
        <is>
          <t>វិធីសាស្រ្តនៃការទូទាត់</t>
        </is>
      </c>
      <c r="I1201" s="10" t="n"/>
      <c r="J1201" s="10" t="n"/>
      <c r="K1201" s="10" t="inlineStr">
        <is>
          <t>"shippingFeeCustomer.paymentType": "វិធីសាស្រ្តនៃការទូទាត់",</t>
        </is>
      </c>
      <c r="L1201" s="10" t="n"/>
      <c r="M1201" s="10" t="n"/>
      <c r="N1201" s="10" t="n"/>
      <c r="O1201" s="10" t="n"/>
      <c r="P1201" s="10" t="n"/>
      <c r="Q1201" s="10" t="n"/>
      <c r="R1201" s="10" t="n"/>
      <c r="S1201" s="10" t="n"/>
      <c r="T1201" s="10" t="n"/>
      <c r="U1201" s="10" t="n"/>
      <c r="V1201" s="10" t="n"/>
      <c r="W1201" s="10" t="n"/>
      <c r="X1201" s="10" t="n"/>
      <c r="Y1201" s="10" t="n"/>
      <c r="Z1201" s="10" t="n"/>
    </row>
    <row r="1202">
      <c r="A1202" s="27" t="inlineStr">
        <is>
          <t>shippingFeeCustomer.totalFee</t>
        </is>
      </c>
      <c r="B1202" s="27" t="inlineStr">
        <is>
          <t>Tổng cước phải thu</t>
        </is>
      </c>
      <c r="C1202" s="27" t="inlineStr">
        <is>
          <t>Outstanding Amount</t>
        </is>
      </c>
      <c r="D1202" s="21" t="inlineStr">
        <is>
          <t>សរុបថ្លៃសេវាត្រូវប្រមូល</t>
        </is>
      </c>
      <c r="E1202" s="24" t="inlineStr">
        <is>
          <t>សរុបថ្លៃសេវាត្រូវប្រមូល</t>
        </is>
      </c>
      <c r="F1202" s="10" t="n"/>
      <c r="G1202" s="10" t="inlineStr">
        <is>
          <t>សរុបថ្លៃសេវាត្រូវប្រមូល</t>
        </is>
      </c>
      <c r="H1202" s="10" t="inlineStr">
        <is>
          <t>សរុបថ្លៃសេវាត្រូវប្រមូល</t>
        </is>
      </c>
      <c r="I1202" s="10" t="n"/>
      <c r="J1202" s="10" t="n"/>
      <c r="K1202" s="10" t="inlineStr">
        <is>
          <t>"shippingFeeCustomer.totalFee": "សរុបថ្លៃសេវាត្រូវប្រមូល",</t>
        </is>
      </c>
      <c r="L1202" s="10" t="n"/>
      <c r="M1202" s="10" t="n"/>
      <c r="N1202" s="10" t="n"/>
      <c r="O1202" s="10" t="n"/>
      <c r="P1202" s="10" t="n"/>
      <c r="Q1202" s="10" t="n"/>
      <c r="R1202" s="10" t="n"/>
      <c r="S1202" s="10" t="n"/>
      <c r="T1202" s="10" t="n"/>
      <c r="U1202" s="10" t="n"/>
      <c r="V1202" s="10" t="n"/>
      <c r="W1202" s="10" t="n"/>
      <c r="X1202" s="10" t="n"/>
      <c r="Y1202" s="10" t="n"/>
      <c r="Z1202" s="10" t="n"/>
    </row>
    <row r="1203">
      <c r="A1203" s="27" t="inlineStr">
        <is>
          <t>shippingFeeCustomer.totalMoney</t>
        </is>
      </c>
      <c r="B1203" s="27" t="inlineStr">
        <is>
          <t>Tổng tiền</t>
        </is>
      </c>
      <c r="C1203" s="27" t="inlineStr">
        <is>
          <t>Total Amounts</t>
        </is>
      </c>
      <c r="D1203" s="21" t="inlineStr">
        <is>
          <t>សរុបបប្រាក់</t>
        </is>
      </c>
      <c r="E1203" s="24" t="inlineStr">
        <is>
          <t>សរុបប្រាក់</t>
        </is>
      </c>
      <c r="F1203" s="10" t="n"/>
      <c r="G1203" s="10" t="inlineStr">
        <is>
          <t>ចំនួនទឹកប្រាក់សរុប</t>
        </is>
      </c>
      <c r="H1203" s="10" t="inlineStr">
        <is>
          <t>ចំនួនទឹកប្រាក់សរុប</t>
        </is>
      </c>
      <c r="I1203" s="10" t="n"/>
      <c r="J1203" s="10" t="n"/>
      <c r="K1203" s="10" t="inlineStr">
        <is>
          <t>"shippingFeeCustomer.totalMoney": "ចំនួនទឹកប្រាក់សរុប",</t>
        </is>
      </c>
      <c r="L1203" s="10" t="n"/>
      <c r="M1203" s="10" t="n"/>
      <c r="N1203" s="10" t="n"/>
      <c r="O1203" s="10" t="n"/>
      <c r="P1203" s="10" t="n"/>
      <c r="Q1203" s="10" t="n"/>
      <c r="R1203" s="10" t="n"/>
      <c r="S1203" s="10" t="n"/>
      <c r="T1203" s="10" t="n"/>
      <c r="U1203" s="10" t="n"/>
      <c r="V1203" s="10" t="n"/>
      <c r="W1203" s="10" t="n"/>
      <c r="X1203" s="10" t="n"/>
      <c r="Y1203" s="10" t="n"/>
      <c r="Z1203" s="10" t="n"/>
    </row>
    <row r="1204">
      <c r="A1204" s="27" t="inlineStr">
        <is>
          <t>shippingFeeCustomer.startAt</t>
        </is>
      </c>
      <c r="B1204" s="27" t="inlineStr">
        <is>
          <t>Thời gian bắt đầu</t>
        </is>
      </c>
      <c r="C1204" s="27" t="inlineStr">
        <is>
          <t>Start Time</t>
        </is>
      </c>
      <c r="D1204" s="21" t="inlineStr">
        <is>
          <t>ពេលវេលាចាប់ផ្តើម</t>
        </is>
      </c>
      <c r="E1204" s="24" t="inlineStr">
        <is>
          <t>ពេលវេលាចាប់ផ្តើម</t>
        </is>
      </c>
      <c r="F1204" s="10" t="n"/>
      <c r="G1204" s="10" t="inlineStr">
        <is>
          <t>ពេលវេលាចាប់ផ្តើម</t>
        </is>
      </c>
      <c r="H1204" s="10" t="inlineStr">
        <is>
          <t>ពេលវេលាចាប់ផ្តើម</t>
        </is>
      </c>
      <c r="I1204" s="10" t="n"/>
      <c r="J1204" s="10" t="n"/>
      <c r="K1204" s="10" t="inlineStr">
        <is>
          <t>"shippingFeeCustomer.startAt": "ពេលវេលាចាប់ផ្តើម",</t>
        </is>
      </c>
      <c r="L1204" s="10" t="n"/>
      <c r="M1204" s="10" t="n"/>
      <c r="N1204" s="10" t="n"/>
      <c r="O1204" s="10" t="n"/>
      <c r="P1204" s="10" t="n"/>
      <c r="Q1204" s="10" t="n"/>
      <c r="R1204" s="10" t="n"/>
      <c r="S1204" s="10" t="n"/>
      <c r="T1204" s="10" t="n"/>
      <c r="U1204" s="10" t="n"/>
      <c r="V1204" s="10" t="n"/>
      <c r="W1204" s="10" t="n"/>
      <c r="X1204" s="10" t="n"/>
      <c r="Y1204" s="10" t="n"/>
      <c r="Z1204" s="10" t="n"/>
    </row>
    <row r="1205">
      <c r="A1205" s="27" t="inlineStr">
        <is>
          <t>shippingFeeCustomer.time</t>
        </is>
      </c>
      <c r="B1205" s="27" t="inlineStr">
        <is>
          <t>Thời gian</t>
        </is>
      </c>
      <c r="C1205" s="27" t="inlineStr">
        <is>
          <t>Time</t>
        </is>
      </c>
      <c r="D1205" s="21" t="inlineStr">
        <is>
          <t>ពេលវេលា</t>
        </is>
      </c>
      <c r="E1205" s="21" t="inlineStr">
        <is>
          <t>ពេលវេលា</t>
        </is>
      </c>
      <c r="F1205" s="10" t="n"/>
      <c r="G1205" s="10" t="inlineStr">
        <is>
          <t>ពេលវេលា</t>
        </is>
      </c>
      <c r="H1205" s="10" t="inlineStr">
        <is>
          <t>ពេលវេលា</t>
        </is>
      </c>
      <c r="I1205" s="10" t="n"/>
      <c r="J1205" s="10" t="n"/>
      <c r="K1205" s="10" t="inlineStr">
        <is>
          <t>"shippingFeeCustomer.time": "ពេលវេលា",</t>
        </is>
      </c>
      <c r="L1205" s="10" t="n"/>
      <c r="M1205" s="10" t="n"/>
      <c r="N1205" s="10" t="n"/>
      <c r="O1205" s="10" t="n"/>
      <c r="P1205" s="10" t="n"/>
      <c r="Q1205" s="10" t="n"/>
      <c r="R1205" s="10" t="n"/>
      <c r="S1205" s="10" t="n"/>
      <c r="T1205" s="10" t="n"/>
      <c r="U1205" s="10" t="n"/>
      <c r="V1205" s="10" t="n"/>
      <c r="W1205" s="10" t="n"/>
      <c r="X1205" s="10" t="n"/>
      <c r="Y1205" s="10" t="n"/>
      <c r="Z1205" s="10" t="n"/>
    </row>
    <row r="1206">
      <c r="A1206" s="27" t="inlineStr">
        <is>
          <t>shippingFeeCustomer.status</t>
        </is>
      </c>
      <c r="B1206" s="27" t="inlineStr">
        <is>
          <t>Trạng thái</t>
        </is>
      </c>
      <c r="C1206" s="27" t="inlineStr">
        <is>
          <t>Status</t>
        </is>
      </c>
      <c r="D1206" s="21" t="inlineStr">
        <is>
          <t>ស្ថានភាព</t>
        </is>
      </c>
      <c r="E1206" s="21" t="inlineStr">
        <is>
          <t>ស្ថានភាព</t>
        </is>
      </c>
      <c r="F1206" s="10" t="n"/>
      <c r="G1206" s="10" t="inlineStr">
        <is>
          <t>ស្ថានភាព</t>
        </is>
      </c>
      <c r="H1206" s="10" t="inlineStr">
        <is>
          <t>ស្ថានភាព</t>
        </is>
      </c>
      <c r="I1206" s="10" t="n"/>
      <c r="J1206" s="10" t="n"/>
      <c r="K1206" s="10" t="inlineStr">
        <is>
          <t>"shippingFeeCustomer.status": "ស្ថានភាព",</t>
        </is>
      </c>
      <c r="L1206" s="10" t="n"/>
      <c r="M1206" s="10" t="n"/>
      <c r="N1206" s="10" t="n"/>
      <c r="O1206" s="10" t="n"/>
      <c r="P1206" s="10" t="n"/>
      <c r="Q1206" s="10" t="n"/>
      <c r="R1206" s="10" t="n"/>
      <c r="S1206" s="10" t="n"/>
      <c r="T1206" s="10" t="n"/>
      <c r="U1206" s="10" t="n"/>
      <c r="V1206" s="10" t="n"/>
      <c r="W1206" s="10" t="n"/>
      <c r="X1206" s="10" t="n"/>
      <c r="Y1206" s="10" t="n"/>
      <c r="Z1206" s="10" t="n"/>
    </row>
    <row r="1207">
      <c r="A1207" s="27" t="inlineStr">
        <is>
          <t>shippingFeeCustomer.editReceipt</t>
        </is>
      </c>
      <c r="B1207" s="27" t="inlineStr">
        <is>
          <t>Sửa phiếu thu</t>
        </is>
      </c>
      <c r="C1207" s="27" t="inlineStr">
        <is>
          <t>Edit Payment Receipt</t>
        </is>
      </c>
      <c r="D1207" s="21" t="n"/>
      <c r="E1207" s="102" t="inlineStr">
        <is>
          <t>កែបុងប្រមូល</t>
        </is>
      </c>
      <c r="F1207" s="10" t="n"/>
      <c r="G1207" s="10" t="inlineStr">
        <is>
          <t>កែបុងប្រមូល</t>
        </is>
      </c>
      <c r="H1207" s="10" t="inlineStr">
        <is>
          <t>កែបុងប្រមូល</t>
        </is>
      </c>
      <c r="I1207" s="10" t="n"/>
      <c r="J1207" s="10" t="n"/>
      <c r="K1207" s="10" t="inlineStr">
        <is>
          <t>"shippingFeeCustomer.editReceipt": "កែបុងប្រមូល",</t>
        </is>
      </c>
      <c r="L1207" s="10" t="n"/>
      <c r="M1207" s="10" t="n"/>
      <c r="N1207" s="10" t="n"/>
      <c r="O1207" s="10" t="n"/>
      <c r="P1207" s="10" t="n"/>
      <c r="Q1207" s="10" t="n"/>
      <c r="R1207" s="10" t="n"/>
      <c r="S1207" s="10" t="n"/>
      <c r="T1207" s="10" t="n"/>
      <c r="U1207" s="10" t="n"/>
      <c r="V1207" s="10" t="n"/>
      <c r="W1207" s="10" t="n"/>
      <c r="X1207" s="10" t="n"/>
      <c r="Y1207" s="10" t="n"/>
      <c r="Z1207" s="10" t="n"/>
    </row>
    <row r="1208">
      <c r="A1208" s="27" t="inlineStr">
        <is>
          <t>shippingFeeCustomer.actionAt</t>
        </is>
      </c>
      <c r="B1208" s="27" t="inlineStr">
        <is>
          <t>Thời gian kết thúc</t>
        </is>
      </c>
      <c r="C1208" s="27" t="inlineStr">
        <is>
          <t>End Time</t>
        </is>
      </c>
      <c r="D1208" s="102" t="inlineStr">
        <is>
          <t>ពេលវេលាបញ្ចប់</t>
        </is>
      </c>
      <c r="E1208" s="24" t="inlineStr">
        <is>
          <t>ពេលវេលាបញ្ចប់</t>
        </is>
      </c>
      <c r="F1208" s="10" t="n"/>
      <c r="G1208" s="10" t="inlineStr">
        <is>
          <t>ពេលវេលាបញ្ចប់</t>
        </is>
      </c>
      <c r="H1208" s="10" t="inlineStr">
        <is>
          <t>ពេលវេលាបញ្ចប់</t>
        </is>
      </c>
      <c r="I1208" s="10" t="n"/>
      <c r="J1208" s="10" t="n"/>
      <c r="K1208" s="10" t="inlineStr">
        <is>
          <t>"shippingFeeCustomer.actionAt": "ពេលវេលាបញ្ចប់",</t>
        </is>
      </c>
      <c r="L1208" s="10" t="n"/>
      <c r="M1208" s="10" t="n"/>
      <c r="N1208" s="10" t="n"/>
      <c r="O1208" s="10" t="n"/>
      <c r="P1208" s="10" t="n"/>
      <c r="Q1208" s="10" t="n"/>
      <c r="R1208" s="10" t="n"/>
      <c r="S1208" s="10" t="n"/>
      <c r="T1208" s="10" t="n"/>
      <c r="U1208" s="10" t="n"/>
      <c r="V1208" s="10" t="n"/>
      <c r="W1208" s="10" t="n"/>
      <c r="X1208" s="10" t="n"/>
      <c r="Y1208" s="10" t="n"/>
      <c r="Z1208" s="10" t="n"/>
    </row>
    <row r="1209">
      <c r="A1209" s="27" t="inlineStr">
        <is>
          <t>shippingFeeCustomer.createdAt</t>
        </is>
      </c>
      <c r="B1209" s="27" t="inlineStr">
        <is>
          <t>Ngày tạo</t>
        </is>
      </c>
      <c r="C1209" s="27" t="inlineStr">
        <is>
          <t>Created Date</t>
        </is>
      </c>
      <c r="D1209" s="21" t="inlineStr">
        <is>
          <t>ថ្ងៃបង្កើត</t>
        </is>
      </c>
      <c r="E1209" s="24" t="inlineStr">
        <is>
          <t>ថ្ងៃបង្កើត</t>
        </is>
      </c>
      <c r="F1209" s="10" t="n"/>
      <c r="G1209" s="10" t="inlineStr">
        <is>
          <t>កាលបរិច្ឆេទបង្កើត</t>
        </is>
      </c>
      <c r="H1209" s="10" t="inlineStr">
        <is>
          <t>កាលបរិច្ឆេទបង្កើត</t>
        </is>
      </c>
      <c r="I1209" s="10" t="n"/>
      <c r="J1209" s="10" t="n"/>
      <c r="K1209" s="10" t="inlineStr">
        <is>
          <t>"shippingFeeCustomer.createdAt": "កាលបរិច្ឆេទបង្កើត",</t>
        </is>
      </c>
      <c r="L1209" s="10" t="n"/>
      <c r="M1209" s="10" t="n"/>
      <c r="N1209" s="10" t="n"/>
      <c r="O1209" s="10" t="n"/>
      <c r="P1209" s="10" t="n"/>
      <c r="Q1209" s="10" t="n"/>
      <c r="R1209" s="10" t="n"/>
      <c r="S1209" s="10" t="n"/>
      <c r="T1209" s="10" t="n"/>
      <c r="U1209" s="10" t="n"/>
      <c r="V1209" s="10" t="n"/>
      <c r="W1209" s="10" t="n"/>
      <c r="X1209" s="10" t="n"/>
      <c r="Y1209" s="10" t="n"/>
      <c r="Z1209" s="10" t="n"/>
    </row>
    <row r="1210">
      <c r="A1210" s="27" t="inlineStr">
        <is>
          <t>shippingFeeCustomer.createdBy</t>
        </is>
      </c>
      <c r="B1210" s="27" t="inlineStr">
        <is>
          <t>Người tạo</t>
        </is>
      </c>
      <c r="C1210" s="27" t="inlineStr">
        <is>
          <t>Created By</t>
        </is>
      </c>
      <c r="D1210" s="21" t="inlineStr">
        <is>
          <t>អ្នកបង្កើត</t>
        </is>
      </c>
      <c r="E1210" s="24" t="inlineStr">
        <is>
          <t>អ្នកបង្កើត</t>
        </is>
      </c>
      <c r="F1210" s="10" t="n"/>
      <c r="G1210" s="10" t="inlineStr">
        <is>
          <t>អ្នកបង្កើត</t>
        </is>
      </c>
      <c r="H1210" s="10" t="inlineStr">
        <is>
          <t>អ្នកបង្កើត</t>
        </is>
      </c>
      <c r="I1210" s="10" t="n"/>
      <c r="J1210" s="10" t="n"/>
      <c r="K1210" s="10" t="inlineStr">
        <is>
          <t>"shippingFeeCustomer.createdBy": "អ្នកបង្កើត",</t>
        </is>
      </c>
      <c r="L1210" s="10" t="n"/>
      <c r="M1210" s="10" t="n"/>
      <c r="N1210" s="10" t="n"/>
      <c r="O1210" s="10" t="n"/>
      <c r="P1210" s="10" t="n"/>
      <c r="Q1210" s="10" t="n"/>
      <c r="R1210" s="10" t="n"/>
      <c r="S1210" s="10" t="n"/>
      <c r="T1210" s="10" t="n"/>
      <c r="U1210" s="10" t="n"/>
      <c r="V1210" s="10" t="n"/>
      <c r="W1210" s="10" t="n"/>
      <c r="X1210" s="10" t="n"/>
      <c r="Y1210" s="10" t="n"/>
      <c r="Z1210" s="10" t="n"/>
    </row>
    <row r="1211">
      <c r="A1211" s="27" t="inlineStr">
        <is>
          <t>shippingFeeCustomer.updatedAt</t>
        </is>
      </c>
      <c r="B1211" s="27" t="inlineStr">
        <is>
          <t>Ngày cập nhật</t>
        </is>
      </c>
      <c r="C1211" s="27" t="inlineStr">
        <is>
          <t>Updated Date</t>
        </is>
      </c>
      <c r="D1211" s="21" t="inlineStr">
        <is>
          <t>ថ្ងៃអាប់ដេត</t>
        </is>
      </c>
      <c r="E1211" s="24" t="inlineStr">
        <is>
          <t>ថ្ងៃអាប់ដេត</t>
        </is>
      </c>
      <c r="F1211" s="10" t="n"/>
      <c r="G1211" s="10" t="inlineStr">
        <is>
          <t>ថ្ងៃអាប់ដេត</t>
        </is>
      </c>
      <c r="H1211" s="10" t="inlineStr">
        <is>
          <t>ថ្ងៃអាប់ដេត</t>
        </is>
      </c>
      <c r="I1211" s="10" t="n"/>
      <c r="J1211" s="10" t="n"/>
      <c r="K1211" s="10" t="inlineStr">
        <is>
          <t>"shippingFeeCustomer.updatedAt": "ថ្ងៃអាប់ដេត",</t>
        </is>
      </c>
      <c r="L1211" s="10" t="n"/>
      <c r="M1211" s="10" t="n"/>
      <c r="N1211" s="10" t="n"/>
      <c r="O1211" s="10" t="n"/>
      <c r="P1211" s="10" t="n"/>
      <c r="Q1211" s="10" t="n"/>
      <c r="R1211" s="10" t="n"/>
      <c r="S1211" s="10" t="n"/>
      <c r="T1211" s="10" t="n"/>
      <c r="U1211" s="10" t="n"/>
      <c r="V1211" s="10" t="n"/>
      <c r="W1211" s="10" t="n"/>
      <c r="X1211" s="10" t="n"/>
      <c r="Y1211" s="10" t="n"/>
      <c r="Z1211" s="10" t="n"/>
    </row>
    <row r="1212">
      <c r="A1212" s="27" t="inlineStr">
        <is>
          <t>shippingFeeCustomer.updatedBy</t>
        </is>
      </c>
      <c r="B1212" s="27" t="inlineStr">
        <is>
          <t>Người cập nhật</t>
        </is>
      </c>
      <c r="C1212" s="27" t="inlineStr">
        <is>
          <t>Updated By</t>
        </is>
      </c>
      <c r="D1212" s="21" t="inlineStr">
        <is>
          <t>អ្នកអាប់ដេត</t>
        </is>
      </c>
      <c r="E1212" s="24" t="inlineStr">
        <is>
          <t>អ្នកអាប់ដេត</t>
        </is>
      </c>
      <c r="F1212" s="10" t="n"/>
      <c r="G1212" s="10" t="inlineStr">
        <is>
          <t>អ្នកអាប់ដេត</t>
        </is>
      </c>
      <c r="H1212" s="10" t="inlineStr">
        <is>
          <t>អ្នកអាប់ដេត</t>
        </is>
      </c>
      <c r="I1212" s="10" t="n"/>
      <c r="J1212" s="10" t="n"/>
      <c r="K1212" s="10" t="inlineStr">
        <is>
          <t>"shippingFeeCustomer.updatedBy": "អ្នកអាប់ដេត",</t>
        </is>
      </c>
      <c r="L1212" s="10" t="n"/>
      <c r="M1212" s="10" t="n"/>
      <c r="N1212" s="10" t="n"/>
      <c r="O1212" s="10" t="n"/>
      <c r="P1212" s="10" t="n"/>
      <c r="Q1212" s="10" t="n"/>
      <c r="R1212" s="10" t="n"/>
      <c r="S1212" s="10" t="n"/>
      <c r="T1212" s="10" t="n"/>
      <c r="U1212" s="10" t="n"/>
      <c r="V1212" s="10" t="n"/>
      <c r="W1212" s="10" t="n"/>
      <c r="X1212" s="10" t="n"/>
      <c r="Y1212" s="10" t="n"/>
      <c r="Z1212" s="10" t="n"/>
    </row>
    <row r="1213">
      <c r="A1213" s="27" t="inlineStr">
        <is>
          <t>shippingFeeCustomer.deleteReceipt</t>
        </is>
      </c>
      <c r="B1213" s="27" t="inlineStr">
        <is>
          <t>Xoá phiếu thu</t>
        </is>
      </c>
      <c r="C1213" s="27" t="inlineStr">
        <is>
          <t>Delete Receipt</t>
        </is>
      </c>
      <c r="D1213" s="21" t="inlineStr">
        <is>
          <t>លុបបុងប្រមូល</t>
        </is>
      </c>
      <c r="E1213" s="24" t="inlineStr">
        <is>
          <t>លុបបុងប្រមូល</t>
        </is>
      </c>
      <c r="F1213" s="10" t="n"/>
      <c r="G1213" s="10" t="inlineStr">
        <is>
          <t>លុបបុងប្រមូល</t>
        </is>
      </c>
      <c r="H1213" s="10" t="inlineStr">
        <is>
          <t>លុបបុងប្រមូល</t>
        </is>
      </c>
      <c r="I1213" s="10" t="n"/>
      <c r="J1213" s="10" t="n"/>
      <c r="K1213" s="10" t="inlineStr">
        <is>
          <t>"shippingFeeCustomer.deleteReceipt": "លុបបុងប្រមូល",</t>
        </is>
      </c>
      <c r="L1213" s="10" t="n"/>
      <c r="M1213" s="10" t="n"/>
      <c r="N1213" s="10" t="n"/>
      <c r="O1213" s="10" t="n"/>
      <c r="P1213" s="10" t="n"/>
      <c r="Q1213" s="10" t="n"/>
      <c r="R1213" s="10" t="n"/>
      <c r="S1213" s="10" t="n"/>
      <c r="T1213" s="10" t="n"/>
      <c r="U1213" s="10" t="n"/>
      <c r="V1213" s="10" t="n"/>
      <c r="W1213" s="10" t="n"/>
      <c r="X1213" s="10" t="n"/>
      <c r="Y1213" s="10" t="n"/>
      <c r="Z1213" s="10" t="n"/>
    </row>
    <row r="1214">
      <c r="A1214" s="27" t="inlineStr">
        <is>
          <t>shippingFeeCustomer.payCodLak</t>
        </is>
      </c>
      <c r="B1214" s="27" t="inlineStr">
        <is>
          <t>Tiền phải thu</t>
        </is>
      </c>
      <c r="C1214" s="27" t="inlineStr">
        <is>
          <t>Outstanding Amount</t>
        </is>
      </c>
      <c r="D1214" s="21" t="inlineStr">
        <is>
          <t>ប្រាក់ត្រូវប្រមូល</t>
        </is>
      </c>
      <c r="E1214" s="24" t="inlineStr">
        <is>
          <t>ប្រាក់ត្រូវប្រមូល</t>
        </is>
      </c>
      <c r="F1214" s="10" t="n"/>
      <c r="G1214" s="10" t="inlineStr">
        <is>
          <t>ប្រាក់ត្រូវប្រមូល</t>
        </is>
      </c>
      <c r="H1214" s="10" t="inlineStr">
        <is>
          <t>ប្រាក់ត្រូវប្រមូល</t>
        </is>
      </c>
      <c r="I1214" s="10" t="n"/>
      <c r="J1214" s="10" t="n"/>
      <c r="K1214" s="10" t="inlineStr">
        <is>
          <t>"shippingFeeCustomer.payCodLak": "ប្រាក់ត្រូវប្រមូល",</t>
        </is>
      </c>
      <c r="L1214" s="10" t="n"/>
      <c r="M1214" s="10" t="n"/>
      <c r="N1214" s="10" t="n"/>
      <c r="O1214" s="10" t="n"/>
      <c r="P1214" s="10" t="n"/>
      <c r="Q1214" s="10" t="n"/>
      <c r="R1214" s="10" t="n"/>
      <c r="S1214" s="10" t="n"/>
      <c r="T1214" s="10" t="n"/>
      <c r="U1214" s="10" t="n"/>
      <c r="V1214" s="10" t="n"/>
      <c r="W1214" s="10" t="n"/>
      <c r="X1214" s="10" t="n"/>
      <c r="Y1214" s="10" t="n"/>
      <c r="Z1214" s="10" t="n"/>
    </row>
    <row r="1215">
      <c r="A1215" s="27" t="inlineStr">
        <is>
          <t>shippingFeeCustomer.recordStatementConfirm</t>
        </is>
      </c>
      <c r="B1215" s="27" t="inlineStr">
        <is>
          <t>Chốt thu</t>
        </is>
      </c>
      <c r="C1215" s="27" t="inlineStr">
        <is>
          <t>Finalize Collection</t>
        </is>
      </c>
      <c r="D1215" s="102" t="n"/>
      <c r="E1215" s="102" t="inlineStr">
        <is>
          <t>បិទការប្រមូលប្រាក់</t>
        </is>
      </c>
      <c r="F1215" s="10" t="n"/>
      <c r="G1215" s="10" t="inlineStr">
        <is>
          <t>បិទការប្រមូលប្រាក់</t>
        </is>
      </c>
      <c r="H1215" s="10" t="inlineStr">
        <is>
          <t>បិទការប្រមូលប្រាក់</t>
        </is>
      </c>
      <c r="I1215" s="10" t="n"/>
      <c r="J1215" s="10" t="n"/>
      <c r="K1215" s="10" t="inlineStr">
        <is>
          <t>"shippingFeeCustomer.recordStatementConfirm": "បិទការប្រមូលប្រាក់",</t>
        </is>
      </c>
      <c r="L1215" s="10" t="n"/>
      <c r="M1215" s="10" t="n"/>
      <c r="N1215" s="10" t="n"/>
      <c r="O1215" s="10" t="n"/>
      <c r="P1215" s="10" t="n"/>
      <c r="Q1215" s="10" t="n"/>
      <c r="R1215" s="10" t="n"/>
      <c r="S1215" s="10" t="n"/>
      <c r="T1215" s="10" t="n"/>
      <c r="U1215" s="10" t="n"/>
      <c r="V1215" s="10" t="n"/>
      <c r="W1215" s="10" t="n"/>
      <c r="X1215" s="10" t="n"/>
      <c r="Y1215" s="10" t="n"/>
      <c r="Z1215" s="10" t="n"/>
    </row>
    <row r="1216">
      <c r="A1216" s="27" t="inlineStr">
        <is>
          <t>shippingFeeCustomer.bank</t>
        </is>
      </c>
      <c r="B1216" s="27" t="inlineStr">
        <is>
          <t>Ngân hàng</t>
        </is>
      </c>
      <c r="C1216" s="27" t="inlineStr">
        <is>
          <t>Bank</t>
        </is>
      </c>
      <c r="D1216" s="102" t="inlineStr">
        <is>
          <t>ធនាគារ</t>
        </is>
      </c>
      <c r="E1216" s="21" t="inlineStr">
        <is>
          <t>ធនាគារ</t>
        </is>
      </c>
      <c r="F1216" s="10" t="n"/>
      <c r="G1216" s="10" t="inlineStr">
        <is>
          <t>ធនាគារ</t>
        </is>
      </c>
      <c r="H1216" s="10" t="inlineStr">
        <is>
          <t>ធនាគារ</t>
        </is>
      </c>
      <c r="I1216" s="10" t="n"/>
      <c r="J1216" s="10" t="n"/>
      <c r="K1216" s="10" t="inlineStr">
        <is>
          <t>"shippingFeeCustomer.bank": "ធនាគារ",</t>
        </is>
      </c>
      <c r="L1216" s="10" t="n"/>
      <c r="M1216" s="10" t="n"/>
      <c r="N1216" s="10" t="n"/>
      <c r="O1216" s="10" t="n"/>
      <c r="P1216" s="10" t="n"/>
      <c r="Q1216" s="10" t="n"/>
      <c r="R1216" s="10" t="n"/>
      <c r="S1216" s="10" t="n"/>
      <c r="T1216" s="10" t="n"/>
      <c r="U1216" s="10" t="n"/>
      <c r="V1216" s="10" t="n"/>
      <c r="W1216" s="10" t="n"/>
      <c r="X1216" s="10" t="n"/>
      <c r="Y1216" s="10" t="n"/>
      <c r="Z1216" s="10" t="n"/>
    </row>
    <row r="1217">
      <c r="A1217" s="27" t="inlineStr">
        <is>
          <t>shippingFeeCustomer.bankPlaceholder</t>
        </is>
      </c>
      <c r="B1217" s="27" t="inlineStr">
        <is>
          <t>Vui lòng chọn ngân hàng</t>
        </is>
      </c>
      <c r="C1217" s="27" t="inlineStr">
        <is>
          <t>Please select a bank</t>
        </is>
      </c>
      <c r="D1217" s="21" t="inlineStr">
        <is>
          <t>សូមជ្រើសរើសធនាគារ</t>
        </is>
      </c>
      <c r="E1217" s="24" t="inlineStr">
        <is>
          <t>សូមជ្រើសរើសធនាគារ</t>
        </is>
      </c>
      <c r="F1217" s="10" t="n"/>
      <c r="G1217" s="10" t="inlineStr">
        <is>
          <t>សូមជ្រើសរើសធនាគារ</t>
        </is>
      </c>
      <c r="H1217" s="10" t="inlineStr">
        <is>
          <t>សូមជ្រើសរើសធនាគារ</t>
        </is>
      </c>
      <c r="I1217" s="10" t="n"/>
      <c r="J1217" s="10" t="n"/>
      <c r="K1217" s="10" t="inlineStr">
        <is>
          <t>"shippingFeeCustomer.bankPlaceholder": "សូមជ្រើសរើសធនាគារ",</t>
        </is>
      </c>
      <c r="L1217" s="10" t="n"/>
      <c r="M1217" s="10" t="n"/>
      <c r="N1217" s="10" t="n"/>
      <c r="O1217" s="10" t="n"/>
      <c r="P1217" s="10" t="n"/>
      <c r="Q1217" s="10" t="n"/>
      <c r="R1217" s="10" t="n"/>
      <c r="S1217" s="10" t="n"/>
      <c r="T1217" s="10" t="n"/>
      <c r="U1217" s="10" t="n"/>
      <c r="V1217" s="10" t="n"/>
      <c r="W1217" s="10" t="n"/>
      <c r="X1217" s="10" t="n"/>
      <c r="Y1217" s="10" t="n"/>
      <c r="Z1217" s="10" t="n"/>
    </row>
    <row r="1218">
      <c r="A1218" s="27" t="inlineStr">
        <is>
          <t>shippingFeeCustomer.accountNumber</t>
        </is>
      </c>
      <c r="B1218" s="27" t="inlineStr">
        <is>
          <t>Số tài khoản</t>
        </is>
      </c>
      <c r="C1218" s="27" t="inlineStr">
        <is>
          <t>Bank account</t>
        </is>
      </c>
      <c r="D1218" s="21" t="inlineStr">
        <is>
          <t>លេខគណនី</t>
        </is>
      </c>
      <c r="E1218" s="24" t="inlineStr">
        <is>
          <t>លេខគណនី</t>
        </is>
      </c>
      <c r="F1218" s="10" t="n"/>
      <c r="G1218" s="10" t="inlineStr">
        <is>
          <t>លេខគណនីធនាគារ</t>
        </is>
      </c>
      <c r="H1218" s="10" t="inlineStr">
        <is>
          <t>លេខគណនីធនាគារ</t>
        </is>
      </c>
      <c r="I1218" s="10" t="n"/>
      <c r="J1218" s="10" t="n"/>
      <c r="K1218" s="10" t="inlineStr">
        <is>
          <t>"shippingFeeCustomer.accountNumber": "លេខគណនីធនាគារ",</t>
        </is>
      </c>
      <c r="L1218" s="10" t="n"/>
      <c r="M1218" s="10" t="n"/>
      <c r="N1218" s="10" t="n"/>
      <c r="O1218" s="10" t="n"/>
      <c r="P1218" s="10" t="n"/>
      <c r="Q1218" s="10" t="n"/>
      <c r="R1218" s="10" t="n"/>
      <c r="S1218" s="10" t="n"/>
      <c r="T1218" s="10" t="n"/>
      <c r="U1218" s="10" t="n"/>
      <c r="V1218" s="10" t="n"/>
      <c r="W1218" s="10" t="n"/>
      <c r="X1218" s="10" t="n"/>
      <c r="Y1218" s="10" t="n"/>
      <c r="Z1218" s="10" t="n"/>
    </row>
    <row r="1219">
      <c r="A1219" s="27" t="inlineStr">
        <is>
          <t>shippingFeeCustomer.accountNumberPlaceholder</t>
        </is>
      </c>
      <c r="B1219" s="27" t="inlineStr">
        <is>
          <t>Vui lòng nhập số tài khoản</t>
        </is>
      </c>
      <c r="C1219" s="27" t="inlineStr">
        <is>
          <t>Please enter bank account</t>
        </is>
      </c>
      <c r="D1219" s="21" t="inlineStr">
        <is>
          <t>សូមបញ្ចូលលេខគណនី</t>
        </is>
      </c>
      <c r="E1219" s="24" t="inlineStr">
        <is>
          <t>សូមបញ្ចូលលេខគណនី</t>
        </is>
      </c>
      <c r="F1219" s="10" t="n"/>
      <c r="G1219" s="10" t="inlineStr">
        <is>
          <t>សូមបញ្ចូលលេខគណនី</t>
        </is>
      </c>
      <c r="H1219" s="10" t="inlineStr">
        <is>
          <t>សូមបញ្ចូលលេខគណនី</t>
        </is>
      </c>
      <c r="I1219" s="10" t="n"/>
      <c r="J1219" s="10" t="n"/>
      <c r="K1219" s="10" t="inlineStr">
        <is>
          <t>"shippingFeeCustomer.accountNumberPlaceholder": "សូមបញ្ចូលលេខគណនី",</t>
        </is>
      </c>
      <c r="L1219" s="10" t="n"/>
      <c r="M1219" s="10" t="n"/>
      <c r="N1219" s="10" t="n"/>
      <c r="O1219" s="10" t="n"/>
      <c r="P1219" s="10" t="n"/>
      <c r="Q1219" s="10" t="n"/>
      <c r="R1219" s="10" t="n"/>
      <c r="S1219" s="10" t="n"/>
      <c r="T1219" s="10" t="n"/>
      <c r="U1219" s="10" t="n"/>
      <c r="V1219" s="10" t="n"/>
      <c r="W1219" s="10" t="n"/>
      <c r="X1219" s="10" t="n"/>
      <c r="Y1219" s="10" t="n"/>
      <c r="Z1219" s="10" t="n"/>
    </row>
    <row r="1220">
      <c r="A1220" s="27" t="inlineStr">
        <is>
          <t>shippingFeeCustomer.statementDate</t>
        </is>
      </c>
      <c r="B1220" s="27" t="inlineStr">
        <is>
          <t>Ngày sao kê</t>
        </is>
      </c>
      <c r="C1220" s="27" t="inlineStr">
        <is>
          <t>Statement Date</t>
        </is>
      </c>
      <c r="D1220" s="21" t="n"/>
      <c r="E1220" s="90" t="inlineStr">
        <is>
          <t>កាលបរិច្ឆេទស្ដុកគណនី</t>
        </is>
      </c>
      <c r="F1220" s="10" t="n"/>
      <c r="G1220" s="10" t="inlineStr">
        <is>
          <t>កាលបរិច្ឆេទស្ដុកគណនី</t>
        </is>
      </c>
      <c r="H1220" s="10" t="inlineStr">
        <is>
          <t>កាលបរិច្ឆេទស្ដុកគណនី</t>
        </is>
      </c>
      <c r="I1220" s="10" t="n"/>
      <c r="J1220" s="10" t="n"/>
      <c r="K1220" s="10" t="inlineStr">
        <is>
          <t>"shippingFeeCustomer.statementDate": "កាលបរិច្ឆេទស្ដុកគណនី",</t>
        </is>
      </c>
      <c r="L1220" s="10" t="n"/>
      <c r="M1220" s="10" t="n"/>
      <c r="N1220" s="10" t="n"/>
      <c r="O1220" s="10" t="n"/>
      <c r="P1220" s="10" t="n"/>
      <c r="Q1220" s="10" t="n"/>
      <c r="R1220" s="10" t="n"/>
      <c r="S1220" s="10" t="n"/>
      <c r="T1220" s="10" t="n"/>
      <c r="U1220" s="10" t="n"/>
      <c r="V1220" s="10" t="n"/>
      <c r="W1220" s="10" t="n"/>
      <c r="X1220" s="10" t="n"/>
      <c r="Y1220" s="10" t="n"/>
      <c r="Z1220" s="10" t="n"/>
    </row>
    <row r="1221">
      <c r="A1221" s="27" t="inlineStr">
        <is>
          <t>shippingFeeCustomer.statementDatePlaceholder</t>
        </is>
      </c>
      <c r="B1221" s="27" t="inlineStr">
        <is>
          <t>Vui lòng chọn ngày</t>
        </is>
      </c>
      <c r="C1221" s="27" t="inlineStr">
        <is>
          <t>Please select a date</t>
        </is>
      </c>
      <c r="D1221" s="21" t="inlineStr">
        <is>
          <t>សូមជ្រើសរើសថ្ងៃ</t>
        </is>
      </c>
      <c r="E1221" s="24" t="inlineStr">
        <is>
          <t>សូមជ្រើសរើសថ្ងៃ</t>
        </is>
      </c>
      <c r="F1221" s="10" t="n"/>
      <c r="G1221" s="10" t="inlineStr">
        <is>
          <t>សូមជ្រើសរើសថ្ងៃ</t>
        </is>
      </c>
      <c r="H1221" s="10" t="inlineStr">
        <is>
          <t>សូមជ្រើសរើសថ្ងៃ</t>
        </is>
      </c>
      <c r="I1221" s="10" t="n"/>
      <c r="J1221" s="10" t="n"/>
      <c r="K1221" s="10" t="inlineStr">
        <is>
          <t>"shippingFeeCustomer.statementDatePlaceholder": "សូមជ្រើសរើសថ្ងៃ",</t>
        </is>
      </c>
      <c r="L1221" s="10" t="n"/>
      <c r="M1221" s="10" t="n"/>
      <c r="N1221" s="10" t="n"/>
      <c r="O1221" s="10" t="n"/>
      <c r="P1221" s="10" t="n"/>
      <c r="Q1221" s="10" t="n"/>
      <c r="R1221" s="10" t="n"/>
      <c r="S1221" s="10" t="n"/>
      <c r="T1221" s="10" t="n"/>
      <c r="U1221" s="10" t="n"/>
      <c r="V1221" s="10" t="n"/>
      <c r="W1221" s="10" t="n"/>
      <c r="X1221" s="10" t="n"/>
      <c r="Y1221" s="10" t="n"/>
      <c r="Z1221" s="10" t="n"/>
    </row>
    <row r="1222">
      <c r="A1222" s="27" t="inlineStr">
        <is>
          <t>shippingFeeCustomer.pleaseSelectStatement</t>
        </is>
      </c>
      <c r="B1222" s="27" t="inlineStr">
        <is>
          <t>Vui lòng chọn bảng kê!</t>
        </is>
      </c>
      <c r="C1222" s="27" t="inlineStr">
        <is>
          <t>Please select a billing!</t>
        </is>
      </c>
      <c r="D1222" s="21" t="inlineStr">
        <is>
          <t>សូមជ្រើសរើសតារាង!</t>
        </is>
      </c>
      <c r="E1222" s="24" t="inlineStr">
        <is>
          <t>សូមជ្រើសរើសតារាង!</t>
        </is>
      </c>
      <c r="F1222" s="10" t="n"/>
      <c r="G1222" s="10" t="inlineStr">
        <is>
          <t>សូមជ្រើសរើសតារាង!</t>
        </is>
      </c>
      <c r="H1222" s="10" t="inlineStr">
        <is>
          <t>សូមជ្រើសរើសតារាង!</t>
        </is>
      </c>
      <c r="I1222" s="10" t="n"/>
      <c r="J1222" s="10" t="n"/>
      <c r="K1222" s="10" t="inlineStr">
        <is>
          <t>"shippingFeeCustomer.pleaseSelectStatement": "សូមជ្រើសរើសតារាង!",</t>
        </is>
      </c>
      <c r="L1222" s="10" t="n"/>
      <c r="M1222" s="10" t="n"/>
      <c r="N1222" s="10" t="n"/>
      <c r="O1222" s="10" t="n"/>
      <c r="P1222" s="10" t="n"/>
      <c r="Q1222" s="10" t="n"/>
      <c r="R1222" s="10" t="n"/>
      <c r="S1222" s="10" t="n"/>
      <c r="T1222" s="10" t="n"/>
      <c r="U1222" s="10" t="n"/>
      <c r="V1222" s="10" t="n"/>
      <c r="W1222" s="10" t="n"/>
      <c r="X1222" s="10" t="n"/>
      <c r="Y1222" s="10" t="n"/>
      <c r="Z1222" s="10" t="n"/>
    </row>
    <row r="1223">
      <c r="A1223" s="27" t="inlineStr">
        <is>
          <t>shippingFeeCustomer.confirmPaymentReceivedModal</t>
        </is>
      </c>
      <c r="B1223" s="27" t="inlineStr">
        <is>
          <t>Thông tin xác nhận tiền về</t>
        </is>
      </c>
      <c r="C1223" s="27" t="inlineStr">
        <is>
          <t>Fund Receipt Confirmation Information</t>
        </is>
      </c>
      <c r="D1223" s="21" t="inlineStr">
        <is>
          <t>ព័ត៌មានកំណត់ប្រាក់ត្រឡប់</t>
        </is>
      </c>
      <c r="E1223" s="24" t="inlineStr">
        <is>
          <t>ព័ត៌មានកំណត់ប្រាក់ត្រឡប់</t>
        </is>
      </c>
      <c r="F1223" s="10" t="n"/>
      <c r="G1223" s="10" t="inlineStr">
        <is>
          <t>ព័ត៌មានកំណត់ប្រាក់ត្រឡប់</t>
        </is>
      </c>
      <c r="H1223" s="10" t="inlineStr">
        <is>
          <t>ព័ត៌មានកំណត់ប្រាក់ត្រឡប់</t>
        </is>
      </c>
      <c r="I1223" s="10" t="n"/>
      <c r="J1223" s="10" t="n"/>
      <c r="K1223" s="10" t="inlineStr">
        <is>
          <t>"shippingFeeCustomer.confirmPaymentReceivedModal": "ព័ត៌មានកំណត់ប្រាក់ត្រឡប់",</t>
        </is>
      </c>
      <c r="L1223" s="10" t="n"/>
      <c r="M1223" s="10" t="n"/>
      <c r="N1223" s="10" t="n"/>
      <c r="O1223" s="10" t="n"/>
      <c r="P1223" s="10" t="n"/>
      <c r="Q1223" s="10" t="n"/>
      <c r="R1223" s="10" t="n"/>
      <c r="S1223" s="10" t="n"/>
      <c r="T1223" s="10" t="n"/>
      <c r="U1223" s="10" t="n"/>
      <c r="V1223" s="10" t="n"/>
      <c r="W1223" s="10" t="n"/>
      <c r="X1223" s="10" t="n"/>
      <c r="Y1223" s="10" t="n"/>
      <c r="Z1223" s="10" t="n"/>
    </row>
    <row r="1224">
      <c r="A1224" s="27" t="inlineStr">
        <is>
          <t>shippingFeeCustomer.exportCustomerDetailFileName</t>
        </is>
      </c>
      <c r="B1224" s="27" t="inlineStr">
        <is>
          <t>Danh sách vận đơn khách hàng {{id}} {{date}}.xlsx</t>
        </is>
      </c>
      <c r="C1224" s="27" t="inlineStr">
        <is>
          <t>Customer shipment list {{id}} {{date}}.xlsx</t>
        </is>
      </c>
      <c r="D1224" s="102" t="n"/>
      <c r="E1224" s="99" t="inlineStr">
        <is>
          <t>បញ្ជីលេខដឹកជញ្ជូនអតិថិជន {{id}} {{date}}.xlsx</t>
        </is>
      </c>
      <c r="F1224" s="10" t="n"/>
      <c r="G1224" s="10" t="inlineStr">
        <is>
          <t>បញ្ជីលេខដឹកជញ្ជូនអតិថិជន {{id}} {{date}}.xlsx</t>
        </is>
      </c>
      <c r="H1224" s="10" t="inlineStr">
        <is>
          <t>បញ្ជីលេខដឹកជញ្ជូនអតិថិជន {{id}} {{date}}.xlsx</t>
        </is>
      </c>
      <c r="I1224" s="10" t="n"/>
      <c r="J1224" s="10" t="n"/>
      <c r="K1224" s="10" t="inlineStr">
        <is>
          <t>"shippingFeeCustomer.exportCustomerDetailFileName": "បញ្ជីលេខដឹកជញ្ជូនអតិថិជន {{id}} {{date}}.xlsx",</t>
        </is>
      </c>
      <c r="L1224" s="10" t="n"/>
      <c r="M1224" s="10" t="n"/>
      <c r="N1224" s="10" t="n"/>
      <c r="O1224" s="10" t="n"/>
      <c r="P1224" s="10" t="n"/>
      <c r="Q1224" s="10" t="n"/>
      <c r="R1224" s="10" t="n"/>
      <c r="S1224" s="10" t="n"/>
      <c r="T1224" s="10" t="n"/>
      <c r="U1224" s="10" t="n"/>
      <c r="V1224" s="10" t="n"/>
      <c r="W1224" s="10" t="n"/>
      <c r="X1224" s="10" t="n"/>
      <c r="Y1224" s="10" t="n"/>
      <c r="Z1224" s="10" t="n"/>
    </row>
    <row r="1225">
      <c r="A1225" s="27" t="inlineStr">
        <is>
          <t>shippingFeeCustomer.exportCustomerReceiptFileName</t>
        </is>
      </c>
      <c r="B1225" s="27" t="inlineStr">
        <is>
          <t>Danh sách phiếu thu công nợ theo bưu cục {{date}}.xlsx</t>
        </is>
      </c>
      <c r="C1225" s="27" t="inlineStr">
        <is>
          <t>Branch receivable receipt list {{date}}.xlsx</t>
        </is>
      </c>
      <c r="D1225" s="21" t="n"/>
      <c r="E1225" s="102" t="inlineStr">
        <is>
          <t>បញ្ជីប័ណ្ណប្រមូលប្រាក់បំណុលតាមសាខាប្រៃសណីយ៍ {{date}}.xlsx</t>
        </is>
      </c>
      <c r="F1225" s="10" t="n"/>
      <c r="G1225" s="10" t="inlineStr">
        <is>
          <t>បញ្ជីបុងប្រមូលប្រាក់បំណុលតាមសាខា {{date}}.xlsx</t>
        </is>
      </c>
      <c r="H1225" s="10" t="inlineStr">
        <is>
          <t>បញ្ជីបុងប្រមូលប្រាក់បំណុលតាមសាខា {{date}}.xlsx</t>
        </is>
      </c>
      <c r="I1225" s="10" t="n"/>
      <c r="J1225" s="10" t="n"/>
      <c r="K1225" s="10" t="inlineStr">
        <is>
          <t>"shippingFeeCustomer.exportCustomerReceiptFileName": "បញ្ជីបុងប្រមូលប្រាក់បំណុលតាមសាខា {{date}}.xlsx",</t>
        </is>
      </c>
      <c r="L1225" s="10" t="n"/>
      <c r="M1225" s="10" t="n"/>
      <c r="N1225" s="10" t="n"/>
      <c r="O1225" s="10" t="n"/>
      <c r="P1225" s="10" t="n"/>
      <c r="Q1225" s="10" t="n"/>
      <c r="R1225" s="10" t="n"/>
      <c r="S1225" s="10" t="n"/>
      <c r="T1225" s="10" t="n"/>
      <c r="U1225" s="10" t="n"/>
      <c r="V1225" s="10" t="n"/>
      <c r="W1225" s="10" t="n"/>
      <c r="X1225" s="10" t="n"/>
      <c r="Y1225" s="10" t="n"/>
      <c r="Z1225" s="10" t="n"/>
    </row>
    <row r="1226">
      <c r="A1226" s="27" t="inlineStr">
        <is>
          <t>shippingFeeCustomer.recordStatementConfirmNotice</t>
        </is>
      </c>
      <c r="B1226" s="27" t="inlineStr">
        <is>
          <t>Xác nhận chốt thu bảng kê {{id}} với số tiền {{amount}}</t>
        </is>
      </c>
      <c r="C1226" s="27" t="inlineStr">
        <is>
          <t>Are you sure you want to finalize collection for billing list {{id}} with amount {{amount}}</t>
        </is>
      </c>
      <c r="D1226" s="21" t="n"/>
      <c r="E1226" s="100" t="inlineStr">
        <is>
          <t>បញ្ជាក់ការបិទការប្រមូលប្រាក់តារាង {{id}} ជាមួយចំនួនប្រាក់ {{amount}}</t>
        </is>
      </c>
      <c r="F1226" s="10" t="n"/>
      <c r="G1226" s="10" t="inlineStr">
        <is>
          <t>បញ្ជាក់ការបិទការប្រមូលប្រាក់តារាង {{id}} ជាមួយចំនួនប្រាក់ {{amount}}</t>
        </is>
      </c>
      <c r="H1226" s="10" t="inlineStr">
        <is>
          <t>បញ្ជាក់ការបិទការប្រមូលប្រាក់តារាង {{id}} ជាមួយចំនួនប្រាក់ {{amount}}</t>
        </is>
      </c>
      <c r="I1226" s="10" t="n"/>
      <c r="J1226" s="10" t="n"/>
      <c r="K1226" s="10" t="inlineStr">
        <is>
          <t>"shippingFeeCustomer.recordStatementConfirmNotice": "បញ្ជាក់ការបិទការប្រមូលប្រាក់តារាង {{id}} ជាមួយចំនួនប្រាក់ {{amount}}",</t>
        </is>
      </c>
      <c r="L1226" s="10" t="n"/>
      <c r="M1226" s="10" t="n"/>
      <c r="N1226" s="10" t="n"/>
      <c r="O1226" s="10" t="n"/>
      <c r="P1226" s="10" t="n"/>
      <c r="Q1226" s="10" t="n"/>
      <c r="R1226" s="10" t="n"/>
      <c r="S1226" s="10" t="n"/>
      <c r="T1226" s="10" t="n"/>
      <c r="U1226" s="10" t="n"/>
      <c r="V1226" s="10" t="n"/>
      <c r="W1226" s="10" t="n"/>
      <c r="X1226" s="10" t="n"/>
      <c r="Y1226" s="10" t="n"/>
      <c r="Z1226" s="10" t="n"/>
    </row>
    <row r="1227">
      <c r="A1227" s="27" t="inlineStr">
        <is>
          <t>shippingFeeCustomer.deleteTicketConfirmNotice</t>
        </is>
      </c>
      <c r="B1227" s="27" t="inlineStr">
        <is>
          <t>Xác nhận xóa phiếu thu {{id}} với số tiền {{amount}}</t>
        </is>
      </c>
      <c r="C1227" s="27" t="inlineStr">
        <is>
          <t>Are you sure you want to delete payment receipt {{id}} with amount {{amount}}</t>
        </is>
      </c>
      <c r="D1227" s="21" t="n"/>
      <c r="E1227" s="100" t="inlineStr">
        <is>
          <t>បញ្ជាក់ការលុបបុងប្រមូលប្រាក់ {{id}} ជាមួយប្រាក់ {{amount}}</t>
        </is>
      </c>
      <c r="F1227" s="10" t="n"/>
      <c r="G1227" s="10" t="inlineStr">
        <is>
          <t>បញ្ជាក់ការលុបបុងប្រមូលប្រាក់ {{id}} ជាមួយប្រាក់ {{amount}}</t>
        </is>
      </c>
      <c r="H1227" s="10" t="inlineStr">
        <is>
          <t>បញ្ជាក់ការលុបបុងប្រមូលប្រាក់ {{id}} ជាមួយប្រាក់ {{amount}}</t>
        </is>
      </c>
      <c r="I1227" s="10" t="n"/>
      <c r="J1227" s="10" t="n"/>
      <c r="K1227" s="10" t="inlineStr">
        <is>
          <t>"shippingFeeCustomer.deleteTicketConfirmNotice": "បញ្ជាក់ការលុបបុងប្រមូលប្រាក់ {{id}} ជាមួយប្រាក់ {{amount}}",</t>
        </is>
      </c>
      <c r="L1227" s="10" t="n"/>
      <c r="M1227" s="10" t="n"/>
      <c r="N1227" s="10" t="n"/>
      <c r="O1227" s="10" t="n"/>
      <c r="P1227" s="10" t="n"/>
      <c r="Q1227" s="10" t="n"/>
      <c r="R1227" s="10" t="n"/>
      <c r="S1227" s="10" t="n"/>
      <c r="T1227" s="10" t="n"/>
      <c r="U1227" s="10" t="n"/>
      <c r="V1227" s="10" t="n"/>
      <c r="W1227" s="10" t="n"/>
      <c r="X1227" s="10" t="n"/>
      <c r="Y1227" s="10" t="n"/>
      <c r="Z1227" s="10" t="n"/>
    </row>
    <row r="1228">
      <c r="A1228" s="27" t="inlineStr">
        <is>
          <t>shippingFeeCustomer.recordStatementSuccessNotice</t>
        </is>
      </c>
      <c r="B1228" s="27" t="inlineStr">
        <is>
          <t>Chốt thu bảng kê thành công.</t>
        </is>
      </c>
      <c r="C1228" s="27" t="inlineStr">
        <is>
          <t>Billing list collection finalized successfully</t>
        </is>
      </c>
      <c r="D1228" s="21" t="n"/>
      <c r="E1228" s="102" t="inlineStr">
        <is>
          <t>បិទការប្រមូលតារាងបានជោគជ័យ។</t>
        </is>
      </c>
      <c r="F1228" s="10" t="n"/>
      <c r="G1228" s="10" t="inlineStr">
        <is>
          <t>បិទការប្រមូលតារាងបានជោគជ័យ។</t>
        </is>
      </c>
      <c r="H1228" s="10" t="inlineStr">
        <is>
          <t>បិទការប្រមូលតារាងបានជោគជ័យ។</t>
        </is>
      </c>
      <c r="I1228" s="10" t="n"/>
      <c r="J1228" s="10" t="n"/>
      <c r="K1228" s="10" t="inlineStr">
        <is>
          <t>"shippingFeeCustomer.recordStatementSuccessNotice": "បិទការប្រមូលតារាងបានជោគជ័យ។",</t>
        </is>
      </c>
      <c r="L1228" s="10" t="n"/>
      <c r="M1228" s="10" t="n"/>
      <c r="N1228" s="10" t="n"/>
      <c r="O1228" s="10" t="n"/>
      <c r="P1228" s="10" t="n"/>
      <c r="Q1228" s="10" t="n"/>
      <c r="R1228" s="10" t="n"/>
      <c r="S1228" s="10" t="n"/>
      <c r="T1228" s="10" t="n"/>
      <c r="U1228" s="10" t="n"/>
      <c r="V1228" s="10" t="n"/>
      <c r="W1228" s="10" t="n"/>
      <c r="X1228" s="10" t="n"/>
      <c r="Y1228" s="10" t="n"/>
      <c r="Z1228" s="10" t="n"/>
    </row>
    <row r="1229">
      <c r="A1229" s="27" t="inlineStr">
        <is>
          <t>shippingFeeCustomer.createTiketSuccessNotice</t>
        </is>
      </c>
      <c r="B1229" s="27" t="inlineStr">
        <is>
          <t>Tạo phiếu thu thành công.</t>
        </is>
      </c>
      <c r="C1229" s="27" t="inlineStr">
        <is>
          <t>Payment receipt created successfully.</t>
        </is>
      </c>
      <c r="D1229" s="21" t="inlineStr">
        <is>
          <t>បង្កើតបុងប្រមូលបានជោគជ័យ</t>
        </is>
      </c>
      <c r="E1229" s="102" t="inlineStr">
        <is>
          <t>បង្កើតបុុងប្រមូលបានជោគជ័យ។</t>
        </is>
      </c>
      <c r="F1229" s="10" t="n"/>
      <c r="G1229" s="10" t="inlineStr">
        <is>
          <t>បង្កើតបុុងប្រមូលបានជោគជ័យ។</t>
        </is>
      </c>
      <c r="H1229" s="10" t="inlineStr">
        <is>
          <t>បង្កើតបុុងប្រមូលបានជោគជ័យ។</t>
        </is>
      </c>
      <c r="I1229" s="10" t="n"/>
      <c r="J1229" s="10" t="n"/>
      <c r="K1229" s="10" t="inlineStr">
        <is>
          <t>"shippingFeeCustomer.createTiketSuccessNotice": "បង្កើតបុុងប្រមូលបានជោគជ័យ។",</t>
        </is>
      </c>
      <c r="L1229" s="10" t="n"/>
      <c r="M1229" s="10" t="n"/>
      <c r="N1229" s="10" t="n"/>
      <c r="O1229" s="10" t="n"/>
      <c r="P1229" s="10" t="n"/>
      <c r="Q1229" s="10" t="n"/>
      <c r="R1229" s="10" t="n"/>
      <c r="S1229" s="10" t="n"/>
      <c r="T1229" s="10" t="n"/>
      <c r="U1229" s="10" t="n"/>
      <c r="V1229" s="10" t="n"/>
      <c r="W1229" s="10" t="n"/>
      <c r="X1229" s="10" t="n"/>
      <c r="Y1229" s="10" t="n"/>
      <c r="Z1229" s="10" t="n"/>
    </row>
    <row r="1230">
      <c r="A1230" s="27" t="inlineStr">
        <is>
          <t>shippingFeeCustomer.deleteTicketSuccessNotice</t>
        </is>
      </c>
      <c r="B1230" s="27" t="inlineStr">
        <is>
          <t>Xóa phiếu thu thành công.</t>
        </is>
      </c>
      <c r="C1230" s="27" t="inlineStr">
        <is>
          <t>Payment receipt deleted successfully</t>
        </is>
      </c>
      <c r="D1230" s="21" t="inlineStr">
        <is>
          <t>លុបបុងប្រមូលបានជោគជ័យ</t>
        </is>
      </c>
      <c r="E1230" s="102" t="inlineStr">
        <is>
          <t>លុបបុងប្រមូូលបានជោគជ័យ។</t>
        </is>
      </c>
      <c r="F1230" s="10" t="n"/>
      <c r="G1230" s="10" t="inlineStr">
        <is>
          <t>លុបបុងប្រមូូលបានជោគជ័យ។</t>
        </is>
      </c>
      <c r="H1230" s="10" t="inlineStr">
        <is>
          <t>លុបបុងប្រមូូលបានជោគជ័យ។</t>
        </is>
      </c>
      <c r="I1230" s="10" t="n"/>
      <c r="J1230" s="10" t="n"/>
      <c r="K1230" s="10" t="inlineStr">
        <is>
          <t>"shippingFeeCustomer.deleteTicketSuccessNotice": "លុបបុងប្រមូូលបានជោគជ័យ។",</t>
        </is>
      </c>
      <c r="L1230" s="10" t="n"/>
      <c r="M1230" s="10" t="n"/>
      <c r="N1230" s="10" t="n"/>
      <c r="O1230" s="10" t="n"/>
      <c r="P1230" s="10" t="n"/>
      <c r="Q1230" s="10" t="n"/>
      <c r="R1230" s="10" t="n"/>
      <c r="S1230" s="10" t="n"/>
      <c r="T1230" s="10" t="n"/>
      <c r="U1230" s="10" t="n"/>
      <c r="V1230" s="10" t="n"/>
      <c r="W1230" s="10" t="n"/>
      <c r="X1230" s="10" t="n"/>
      <c r="Y1230" s="10" t="n"/>
      <c r="Z1230" s="10" t="n"/>
    </row>
    <row r="1231">
      <c r="A1231" s="27" t="inlineStr">
        <is>
          <t>shippingFeeCustomer.deleteRecordStatementConfirmNotice</t>
        </is>
      </c>
      <c r="B1231" s="27" t="inlineStr">
        <is>
          <t>Xác nhận xóa bảng kê {{id}}</t>
        </is>
      </c>
      <c r="C1231" s="27" t="inlineStr">
        <is>
          <t>Are you sure you want to delete billing list {{id}}</t>
        </is>
      </c>
      <c r="D1231" s="21" t="inlineStr">
        <is>
          <t>បញ្ជាក់ការលុបតារាង {{id}}</t>
        </is>
      </c>
      <c r="E1231" s="90" t="inlineStr">
        <is>
          <t>បញ្ជាក់ការលុបតារាង {{id}}</t>
        </is>
      </c>
      <c r="F1231" s="10" t="n"/>
      <c r="G1231" s="10" t="inlineStr">
        <is>
          <t>បញ្ជាក់ការលុបតារាង {{id}}</t>
        </is>
      </c>
      <c r="H1231" s="10" t="inlineStr">
        <is>
          <t>បញ្ជាក់ការលុបតារាង {{id}}</t>
        </is>
      </c>
      <c r="I1231" s="10" t="n"/>
      <c r="J1231" s="10" t="n"/>
      <c r="K1231" s="10" t="inlineStr">
        <is>
          <t>"shippingFeeCustomer.deleteRecordStatementConfirmNotice": "បញ្ជាក់ការលុបតារាង {{id}}",</t>
        </is>
      </c>
      <c r="L1231" s="10" t="n"/>
      <c r="M1231" s="10" t="n"/>
      <c r="N1231" s="10" t="n"/>
      <c r="O1231" s="10" t="n"/>
      <c r="P1231" s="10" t="n"/>
      <c r="Q1231" s="10" t="n"/>
      <c r="R1231" s="10" t="n"/>
      <c r="S1231" s="10" t="n"/>
      <c r="T1231" s="10" t="n"/>
      <c r="U1231" s="10" t="n"/>
      <c r="V1231" s="10" t="n"/>
      <c r="W1231" s="10" t="n"/>
      <c r="X1231" s="10" t="n"/>
      <c r="Y1231" s="10" t="n"/>
      <c r="Z1231" s="10" t="n"/>
    </row>
    <row r="1232">
      <c r="A1232" s="27" t="inlineStr">
        <is>
          <t>shippingFeeCustomer.deleteRecordStatementSuccessNotice</t>
        </is>
      </c>
      <c r="B1232" s="27" t="inlineStr">
        <is>
          <t>Xóa bảng kê thành công.</t>
        </is>
      </c>
      <c r="C1232" s="27" t="inlineStr">
        <is>
          <t>Billing list deleted successfully</t>
        </is>
      </c>
      <c r="D1232" s="21" t="inlineStr">
        <is>
          <t>លុបតារាងបានជោគជ័យ</t>
        </is>
      </c>
      <c r="E1232" s="102" t="inlineStr">
        <is>
          <t>លុបតារាងបានជោគជ័យ</t>
        </is>
      </c>
      <c r="F1232" s="10" t="n"/>
      <c r="G1232" s="10" t="inlineStr">
        <is>
          <t>លុបតារាងបានជោគជ័យ</t>
        </is>
      </c>
      <c r="H1232" s="10" t="inlineStr">
        <is>
          <t>លុបតារាងបានជោគជ័យ</t>
        </is>
      </c>
      <c r="I1232" s="10" t="n"/>
      <c r="J1232" s="10" t="n"/>
      <c r="K1232" s="10" t="inlineStr">
        <is>
          <t>"shippingFeeCustomer.deleteRecordStatementSuccessNotice": "លុបតារាងបានជោគជ័យ",</t>
        </is>
      </c>
      <c r="L1232" s="10" t="n"/>
      <c r="M1232" s="10" t="n"/>
      <c r="N1232" s="10" t="n"/>
      <c r="O1232" s="10" t="n"/>
      <c r="P1232" s="10" t="n"/>
      <c r="Q1232" s="10" t="n"/>
      <c r="R1232" s="10" t="n"/>
      <c r="S1232" s="10" t="n"/>
      <c r="T1232" s="10" t="n"/>
      <c r="U1232" s="10" t="n"/>
      <c r="V1232" s="10" t="n"/>
      <c r="W1232" s="10" t="n"/>
      <c r="X1232" s="10" t="n"/>
      <c r="Y1232" s="10" t="n"/>
      <c r="Z1232" s="10" t="n"/>
    </row>
    <row r="1233">
      <c r="A1233" s="27" t="inlineStr">
        <is>
          <t>shippingFeeCustomer.confirmLockTicket</t>
        </is>
      </c>
      <c r="B1233" s="27" t="inlineStr">
        <is>
          <t>Xác nhận chốt phiếu thu</t>
        </is>
      </c>
      <c r="C1233" s="27" t="inlineStr">
        <is>
          <t>Confirm lock Payment receipt</t>
        </is>
      </c>
      <c r="D1233" s="21" t="n"/>
      <c r="E1233" s="102" t="inlineStr">
        <is>
          <t>បញ្ជាក់ការបិទបុងប្រមូល</t>
        </is>
      </c>
      <c r="F1233" s="10" t="n"/>
      <c r="G1233" s="10" t="inlineStr">
        <is>
          <t>បញ្ជាក់ការបិទបុងប្រមូល</t>
        </is>
      </c>
      <c r="H1233" s="10" t="inlineStr">
        <is>
          <t>បញ្ជាក់ការបិទបុងប្រមូល</t>
        </is>
      </c>
      <c r="I1233" s="10" t="n"/>
      <c r="J1233" s="10" t="n"/>
      <c r="K1233" s="10" t="inlineStr">
        <is>
          <t>"shippingFeeCustomer.confirmLockTicket": "បញ្ជាក់ការបិទបុងប្រមូល",</t>
        </is>
      </c>
      <c r="L1233" s="10" t="n"/>
      <c r="M1233" s="10" t="n"/>
      <c r="N1233" s="10" t="n"/>
      <c r="O1233" s="10" t="n"/>
      <c r="P1233" s="10" t="n"/>
      <c r="Q1233" s="10" t="n"/>
      <c r="R1233" s="10" t="n"/>
      <c r="S1233" s="10" t="n"/>
      <c r="T1233" s="10" t="n"/>
      <c r="U1233" s="10" t="n"/>
      <c r="V1233" s="10" t="n"/>
      <c r="W1233" s="10" t="n"/>
      <c r="X1233" s="10" t="n"/>
      <c r="Y1233" s="10" t="n"/>
      <c r="Z1233" s="10" t="n"/>
    </row>
    <row r="1234">
      <c r="A1234" s="27" t="inlineStr">
        <is>
          <t>shippingFeeCustomer.successLockTicket</t>
        </is>
      </c>
      <c r="B1234" s="27" t="inlineStr">
        <is>
          <t>Chốt phiếu thu thành công</t>
        </is>
      </c>
      <c r="C1234" s="27" t="inlineStr">
        <is>
          <t>Payment receipt locked successfully</t>
        </is>
      </c>
      <c r="D1234" s="21" t="n"/>
      <c r="E1234" s="102" t="inlineStr">
        <is>
          <t>បិទបុុងប្រមូលបានជោគជ័យ</t>
        </is>
      </c>
      <c r="F1234" s="10" t="n"/>
      <c r="G1234" s="10" t="inlineStr">
        <is>
          <t>បិទបុុងប្រមូលបានជោគជ័យ</t>
        </is>
      </c>
      <c r="H1234" s="10" t="inlineStr">
        <is>
          <t>បិទបុុងប្រមូលបានជោគជ័យ</t>
        </is>
      </c>
      <c r="I1234" s="10" t="n"/>
      <c r="J1234" s="10" t="n"/>
      <c r="K1234" s="10" t="inlineStr">
        <is>
          <t>"shippingFeeCustomer.successLockTicket": "បិទបុុងប្រមូលបានជោគជ័យ",</t>
        </is>
      </c>
      <c r="L1234" s="10" t="n"/>
      <c r="M1234" s="10" t="n"/>
      <c r="N1234" s="10" t="n"/>
      <c r="O1234" s="10" t="n"/>
      <c r="P1234" s="10" t="n"/>
      <c r="Q1234" s="10" t="n"/>
      <c r="R1234" s="10" t="n"/>
      <c r="S1234" s="10" t="n"/>
      <c r="T1234" s="10" t="n"/>
      <c r="U1234" s="10" t="n"/>
      <c r="V1234" s="10" t="n"/>
      <c r="W1234" s="10" t="n"/>
      <c r="X1234" s="10" t="n"/>
      <c r="Y1234" s="10" t="n"/>
      <c r="Z1234" s="10" t="n"/>
    </row>
    <row r="1235">
      <c r="A1235" s="27" t="inlineStr">
        <is>
          <t>shippingFeeCustomer.bankTransferAttach</t>
        </is>
      </c>
      <c r="B1235" s="27" t="inlineStr">
        <is>
          <t>File chứng từ thu tiền</t>
        </is>
      </c>
      <c r="C1235" s="27" t="inlineStr">
        <is>
          <t>Payment voucher file</t>
        </is>
      </c>
      <c r="D1235" s="21" t="inlineStr">
        <is>
          <t>ហ្វាល់បង្កាន់ដៃបង់ប្រាក់</t>
        </is>
      </c>
      <c r="E1235" s="90" t="inlineStr">
        <is>
          <t>ឯកសារប័ណ្ណប្រមូលប្រាក់</t>
        </is>
      </c>
      <c r="F1235" s="10" t="n"/>
      <c r="G1235" s="10" t="inlineStr">
        <is>
          <t>ឯកសារបុងប្រមូលប្រាក់</t>
        </is>
      </c>
      <c r="H1235" s="10" t="inlineStr">
        <is>
          <t>ឯកសារបុងប្រមូលប្រាក់</t>
        </is>
      </c>
      <c r="I1235" s="10" t="n"/>
      <c r="J1235" s="10" t="n"/>
      <c r="K1235" s="10" t="inlineStr">
        <is>
          <t>"shippingFeeCustomer.bankTransferAttach": "ឯកសារបុងប្រមូលប្រាក់",</t>
        </is>
      </c>
      <c r="L1235" s="10" t="n"/>
      <c r="M1235" s="10" t="n"/>
      <c r="N1235" s="10" t="n"/>
      <c r="O1235" s="10" t="n"/>
      <c r="P1235" s="10" t="n"/>
      <c r="Q1235" s="10" t="n"/>
      <c r="R1235" s="10" t="n"/>
      <c r="S1235" s="10" t="n"/>
      <c r="T1235" s="10" t="n"/>
      <c r="U1235" s="10" t="n"/>
      <c r="V1235" s="10" t="n"/>
      <c r="W1235" s="10" t="n"/>
      <c r="X1235" s="10" t="n"/>
      <c r="Y1235" s="10" t="n"/>
      <c r="Z1235" s="10" t="n"/>
    </row>
    <row r="1236">
      <c r="A1236" s="27" t="inlineStr">
        <is>
          <t>shippingFeeCustomer.paidMoney</t>
        </is>
      </c>
      <c r="B1236" s="27" t="inlineStr">
        <is>
          <t>Xác nhận tiền về</t>
        </is>
      </c>
      <c r="C1236" s="27" t="inlineStr">
        <is>
          <t>Confirm Fund Receipt</t>
        </is>
      </c>
      <c r="D1236" s="21" t="inlineStr">
        <is>
          <t>បញ្ជាក់ប្រាក់ត្រឡប់</t>
        </is>
      </c>
      <c r="E1236" s="102" t="inlineStr">
        <is>
          <t>បញ្ជាក់ប្រាក់ត្រឡប់</t>
        </is>
      </c>
      <c r="F1236" s="10" t="n"/>
      <c r="G1236" s="10" t="inlineStr">
        <is>
          <t>បញ្ជាក់ប្រាក់ត្រឡប់</t>
        </is>
      </c>
      <c r="H1236" s="10" t="inlineStr">
        <is>
          <t>បញ្ជាក់ប្រាក់ត្រឡប់</t>
        </is>
      </c>
      <c r="I1236" s="10" t="n"/>
      <c r="J1236" s="10" t="n"/>
      <c r="K1236" s="10" t="inlineStr">
        <is>
          <t>"shippingFeeCustomer.paidMoney": "បញ្ជាក់ប្រាក់ត្រឡប់",</t>
        </is>
      </c>
      <c r="L1236" s="10" t="n"/>
      <c r="M1236" s="10" t="n"/>
      <c r="N1236" s="10" t="n"/>
      <c r="O1236" s="10" t="n"/>
      <c r="P1236" s="10" t="n"/>
      <c r="Q1236" s="10" t="n"/>
      <c r="R1236" s="10" t="n"/>
      <c r="S1236" s="10" t="n"/>
      <c r="T1236" s="10" t="n"/>
      <c r="U1236" s="10" t="n"/>
      <c r="V1236" s="10" t="n"/>
      <c r="W1236" s="10" t="n"/>
      <c r="X1236" s="10" t="n"/>
      <c r="Y1236" s="10" t="n"/>
      <c r="Z1236" s="10" t="n"/>
    </row>
    <row r="1237">
      <c r="A1237" s="27" t="inlineStr">
        <is>
          <t>shippingFeeCustomer.totalPayment</t>
        </is>
      </c>
      <c r="B1237" s="27" t="inlineStr">
        <is>
          <t>Tổng phải thu</t>
        </is>
      </c>
      <c r="C1237" s="27" t="inlineStr">
        <is>
          <t>Total Amount</t>
        </is>
      </c>
      <c r="D1237" s="21" t="n"/>
      <c r="E1237" s="102" t="inlineStr">
        <is>
          <t>សរុបប្រាក់ត្រូវប្រមូល</t>
        </is>
      </c>
      <c r="F1237" s="10" t="n"/>
      <c r="G1237" s="10" t="inlineStr">
        <is>
          <t>សរុបប្រាក់ត្រូវប្រមូល</t>
        </is>
      </c>
      <c r="H1237" s="10" t="inlineStr">
        <is>
          <t>សរុបប្រាក់ត្រូវប្រមូល</t>
        </is>
      </c>
      <c r="I1237" s="10" t="n"/>
      <c r="J1237" s="10" t="n"/>
      <c r="K1237" s="10" t="inlineStr">
        <is>
          <t>"shippingFeeCustomer.totalPayment": "សរុបប្រាក់ត្រូវប្រមូល",</t>
        </is>
      </c>
      <c r="L1237" s="10" t="n"/>
      <c r="M1237" s="10" t="n"/>
      <c r="N1237" s="10" t="n"/>
      <c r="O1237" s="10" t="n"/>
      <c r="P1237" s="10" t="n"/>
      <c r="Q1237" s="10" t="n"/>
      <c r="R1237" s="10" t="n"/>
      <c r="S1237" s="10" t="n"/>
      <c r="T1237" s="10" t="n"/>
      <c r="U1237" s="10" t="n"/>
      <c r="V1237" s="10" t="n"/>
      <c r="W1237" s="10" t="n"/>
      <c r="X1237" s="10" t="n"/>
      <c r="Y1237" s="10" t="n"/>
      <c r="Z1237" s="10" t="n"/>
    </row>
    <row r="1238">
      <c r="A1238" s="27" t="inlineStr">
        <is>
          <t>shippingFeeCustomer.list</t>
        </is>
      </c>
      <c r="B1238" s="27" t="inlineStr">
        <is>
          <t>Danh sách</t>
        </is>
      </c>
      <c r="C1238" s="27" t="inlineStr">
        <is>
          <t>List</t>
        </is>
      </c>
      <c r="D1238" s="21" t="inlineStr">
        <is>
          <t>បញ្ជី</t>
        </is>
      </c>
      <c r="E1238" s="102" t="inlineStr">
        <is>
          <t>បញ្ជី</t>
        </is>
      </c>
      <c r="F1238" s="10" t="n"/>
      <c r="G1238" s="10" t="inlineStr">
        <is>
          <t>បញ្ជី</t>
        </is>
      </c>
      <c r="H1238" s="10" t="inlineStr">
        <is>
          <t>បញ្ជី</t>
        </is>
      </c>
      <c r="I1238" s="10" t="n"/>
      <c r="J1238" s="10" t="n"/>
      <c r="K1238" s="10" t="inlineStr">
        <is>
          <t>"shippingFeeCustomer.list": "បញ្ជី",</t>
        </is>
      </c>
      <c r="L1238" s="10" t="n"/>
      <c r="M1238" s="10" t="n"/>
      <c r="N1238" s="10" t="n"/>
      <c r="O1238" s="10" t="n"/>
      <c r="P1238" s="10" t="n"/>
      <c r="Q1238" s="10" t="n"/>
      <c r="R1238" s="10" t="n"/>
      <c r="S1238" s="10" t="n"/>
      <c r="T1238" s="10" t="n"/>
      <c r="U1238" s="10" t="n"/>
      <c r="V1238" s="10" t="n"/>
      <c r="W1238" s="10" t="n"/>
      <c r="X1238" s="10" t="n"/>
      <c r="Y1238" s="10" t="n"/>
      <c r="Z1238" s="10" t="n"/>
    </row>
    <row r="1239">
      <c r="A1239" s="27" t="inlineStr">
        <is>
          <t>shippingFeeCustomer.statement</t>
        </is>
      </c>
      <c r="B1239" s="27" t="inlineStr">
        <is>
          <t>Bảng kê</t>
        </is>
      </c>
      <c r="C1239" s="27" t="inlineStr">
        <is>
          <t>Billing List</t>
        </is>
      </c>
      <c r="D1239" s="21" t="inlineStr">
        <is>
          <t>តារាង</t>
        </is>
      </c>
      <c r="E1239" s="102" t="inlineStr">
        <is>
          <t>តារាង</t>
        </is>
      </c>
      <c r="F1239" s="10" t="n"/>
      <c r="G1239" s="10" t="inlineStr">
        <is>
          <t>តារាង</t>
        </is>
      </c>
      <c r="H1239" s="10" t="inlineStr">
        <is>
          <t>តារាង</t>
        </is>
      </c>
      <c r="I1239" s="10" t="n"/>
      <c r="J1239" s="10" t="n"/>
      <c r="K1239" s="10" t="inlineStr">
        <is>
          <t>"shippingFeeCustomer.statement": "តារាង",</t>
        </is>
      </c>
      <c r="L1239" s="10" t="n"/>
      <c r="M1239" s="10" t="n"/>
      <c r="N1239" s="10" t="n"/>
      <c r="O1239" s="10" t="n"/>
      <c r="P1239" s="10" t="n"/>
      <c r="Q1239" s="10" t="n"/>
      <c r="R1239" s="10" t="n"/>
      <c r="S1239" s="10" t="n"/>
      <c r="T1239" s="10" t="n"/>
      <c r="U1239" s="10" t="n"/>
      <c r="V1239" s="10" t="n"/>
      <c r="W1239" s="10" t="n"/>
      <c r="X1239" s="10" t="n"/>
      <c r="Y1239" s="10" t="n"/>
      <c r="Z1239" s="10" t="n"/>
    </row>
    <row r="1240">
      <c r="A1240" s="27" t="inlineStr">
        <is>
          <t>shippingFeeCustomer.ticket</t>
        </is>
      </c>
      <c r="B1240" s="27" t="inlineStr">
        <is>
          <t>Phiếu thu</t>
        </is>
      </c>
      <c r="C1240" s="27" t="inlineStr">
        <is>
          <t>Payment Receipt</t>
        </is>
      </c>
      <c r="D1240" s="21" t="inlineStr">
        <is>
          <t>បុុងប្រមូល</t>
        </is>
      </c>
      <c r="E1240" s="102" t="inlineStr">
        <is>
          <t>បុងប្រមូល</t>
        </is>
      </c>
      <c r="F1240" s="10" t="n"/>
      <c r="G1240" s="10" t="inlineStr">
        <is>
          <t>បុងប្រមូល</t>
        </is>
      </c>
      <c r="H1240" s="10" t="inlineStr">
        <is>
          <t>បុងប្រមូល</t>
        </is>
      </c>
      <c r="I1240" s="10" t="n"/>
      <c r="J1240" s="10" t="n"/>
      <c r="K1240" s="10" t="inlineStr">
        <is>
          <t>"shippingFeeCustomer.ticket": "បុងប្រមូល",</t>
        </is>
      </c>
      <c r="L1240" s="10" t="n"/>
      <c r="M1240" s="10" t="n"/>
      <c r="N1240" s="10" t="n"/>
      <c r="O1240" s="10" t="n"/>
      <c r="P1240" s="10" t="n"/>
      <c r="Q1240" s="10" t="n"/>
      <c r="R1240" s="10" t="n"/>
      <c r="S1240" s="10" t="n"/>
      <c r="T1240" s="10" t="n"/>
      <c r="U1240" s="10" t="n"/>
      <c r="V1240" s="10" t="n"/>
      <c r="W1240" s="10" t="n"/>
      <c r="X1240" s="10" t="n"/>
      <c r="Y1240" s="10" t="n"/>
      <c r="Z1240" s="10" t="n"/>
    </row>
    <row r="1241">
      <c r="A1241" s="27" t="inlineStr">
        <is>
          <t>shippingFeeCustomer.pleaseSearch</t>
        </is>
      </c>
      <c r="B1241" s="27" t="inlineStr">
        <is>
          <t>Nhập để tìm kiếm</t>
        </is>
      </c>
      <c r="C1241" s="27" t="inlineStr">
        <is>
          <t>Type to search</t>
        </is>
      </c>
      <c r="D1241" s="21" t="inlineStr">
        <is>
          <t>បញ្ចូលដើម្បីស្វែងរក</t>
        </is>
      </c>
      <c r="E1241" s="102" t="inlineStr">
        <is>
          <t>បញ្ចូលដើម្បីស្វែងរក</t>
        </is>
      </c>
      <c r="F1241" s="10" t="n"/>
      <c r="G1241" s="10" t="inlineStr">
        <is>
          <t>បញ្ចូលដើម្បីស្វែងរក</t>
        </is>
      </c>
      <c r="H1241" s="10" t="inlineStr">
        <is>
          <t>បញ្ចូលដើម្បីស្វែងរក</t>
        </is>
      </c>
      <c r="I1241" s="10" t="n"/>
      <c r="J1241" s="10" t="n"/>
      <c r="K1241" s="10" t="inlineStr">
        <is>
          <t>"shippingFeeCustomer.pleaseSearch": "បញ្ចូលដើម្បីស្វែងរក",</t>
        </is>
      </c>
      <c r="L1241" s="10" t="n"/>
      <c r="M1241" s="10" t="n"/>
      <c r="N1241" s="10" t="n"/>
      <c r="O1241" s="10" t="n"/>
      <c r="P1241" s="10" t="n"/>
      <c r="Q1241" s="10" t="n"/>
      <c r="R1241" s="10" t="n"/>
      <c r="S1241" s="10" t="n"/>
      <c r="T1241" s="10" t="n"/>
      <c r="U1241" s="10" t="n"/>
      <c r="V1241" s="10" t="n"/>
      <c r="W1241" s="10" t="n"/>
      <c r="X1241" s="10" t="n"/>
      <c r="Y1241" s="10" t="n"/>
      <c r="Z1241" s="10" t="n"/>
    </row>
    <row r="1242">
      <c r="A1242" s="27" t="inlineStr">
        <is>
          <t>shippingFeeCustomer.contractPayLater</t>
        </is>
      </c>
      <c r="B1242" s="27" t="inlineStr">
        <is>
          <t>Trả sau theo hợp đồng</t>
        </is>
      </c>
      <c r="C1242" s="27" t="inlineStr">
        <is>
          <t>Postpaid by Sender (Contract)</t>
        </is>
      </c>
      <c r="D1242" s="21" t="inlineStr">
        <is>
          <t>ប្រគល់ក្រោយតាមកិច្ចសន្យា</t>
        </is>
      </c>
      <c r="E1242" s="102" t="inlineStr">
        <is>
          <t>សងក្រោយតាមកិច្ចសន្យា</t>
        </is>
      </c>
      <c r="F1242" s="10" t="n"/>
      <c r="G1242" s="10" t="inlineStr">
        <is>
          <t>សងក្រោយតាមកិច្ចសន្យា</t>
        </is>
      </c>
      <c r="H1242" s="10" t="inlineStr">
        <is>
          <t>សងក្រោយតាមកិច្ចសន្យា</t>
        </is>
      </c>
      <c r="I1242" s="10" t="n"/>
      <c r="J1242" s="10" t="n"/>
      <c r="K1242" s="10" t="inlineStr">
        <is>
          <t>"shippingFeeCustomer.contractPayLater": "សងក្រោយតាមកិច្ចសន្យា",</t>
        </is>
      </c>
      <c r="L1242" s="10" t="n"/>
      <c r="M1242" s="10" t="n"/>
      <c r="N1242" s="10" t="n"/>
      <c r="O1242" s="10" t="n"/>
      <c r="P1242" s="10" t="n"/>
      <c r="Q1242" s="10" t="n"/>
      <c r="R1242" s="10" t="n"/>
      <c r="S1242" s="10" t="n"/>
      <c r="T1242" s="10" t="n"/>
      <c r="U1242" s="10" t="n"/>
      <c r="V1242" s="10" t="n"/>
      <c r="W1242" s="10" t="n"/>
      <c r="X1242" s="10" t="n"/>
      <c r="Y1242" s="10" t="n"/>
      <c r="Z1242" s="10" t="n"/>
    </row>
    <row r="1243">
      <c r="A1243" s="27" t="inlineStr">
        <is>
          <t>shippingFeeCustomer.diffPost</t>
        </is>
      </c>
      <c r="B1243" s="27" t="inlineStr">
        <is>
          <t>Không thể tạo phiếu thu từ bưu cục khác</t>
        </is>
      </c>
      <c r="C1243" s="27" t="inlineStr">
        <is>
          <t>Cannot create a receipt from another post office</t>
        </is>
      </c>
      <c r="D1243" s="21" t="n"/>
      <c r="E1243" s="90" t="inlineStr">
        <is>
          <t>មិនអាចបង្កើតបុងប្រមូលប្រាក់ពីសាខាប្រៃសណីយ៍ផ្សេងបានទេ</t>
        </is>
      </c>
      <c r="F1243" s="10" t="n"/>
      <c r="G1243" s="10" t="inlineStr">
        <is>
          <t>មិនអាចបង្កើតបុងប្រមូលប្រាក់ពីសាខាប្រៃសណីយ៍ផ្សេងបានទេ</t>
        </is>
      </c>
      <c r="H1243" s="10" t="inlineStr">
        <is>
          <t>មិនអាចបង្កើតបុងប្រមូលប្រាក់ពីសាខាប្រៃសណីយ៍ផ្សេងបានទេ</t>
        </is>
      </c>
      <c r="I1243" s="10" t="n"/>
      <c r="J1243" s="10" t="n"/>
      <c r="K1243" s="10" t="inlineStr">
        <is>
          <t>"shippingFeeCustomer.diffPost": "មិនអាចបង្កើតបុងប្រមូលប្រាក់ពីសាខាប្រៃសណីយ៍ផ្សេងបានទេ",</t>
        </is>
      </c>
      <c r="L1243" s="10" t="n"/>
      <c r="M1243" s="10" t="n"/>
      <c r="N1243" s="10" t="n"/>
      <c r="O1243" s="10" t="n"/>
      <c r="P1243" s="10" t="n"/>
      <c r="Q1243" s="10" t="n"/>
      <c r="R1243" s="10" t="n"/>
      <c r="S1243" s="10" t="n"/>
      <c r="T1243" s="10" t="n"/>
      <c r="U1243" s="10" t="n"/>
      <c r="V1243" s="10" t="n"/>
      <c r="W1243" s="10" t="n"/>
      <c r="X1243" s="10" t="n"/>
      <c r="Y1243" s="10" t="n"/>
      <c r="Z1243" s="10" t="n"/>
    </row>
    <row r="1244">
      <c r="A1244" s="27" t="inlineStr">
        <is>
          <t>shippingFeeCustomer.fileRequired</t>
        </is>
      </c>
      <c r="B1244" s="27" t="inlineStr">
        <is>
          <t>Hãy upload file chứng từ thu tiền</t>
        </is>
      </c>
      <c r="C1244" s="27" t="inlineStr">
        <is>
          <t>Please upload the payment voucher file</t>
        </is>
      </c>
      <c r="D1244" s="102" t="n"/>
      <c r="E1244" s="90" t="inlineStr">
        <is>
          <t>សូមបង្កើតឯកសារប្រមូលប្រាក់</t>
        </is>
      </c>
      <c r="F1244" s="10" t="n"/>
      <c r="G1244" s="10" t="inlineStr">
        <is>
          <t>សូមបង្កើតឯកសារប្រមូលប្រាក់</t>
        </is>
      </c>
      <c r="H1244" s="10" t="inlineStr">
        <is>
          <t>សូមបង្កើតឯកសារប្រមូលប្រាក់</t>
        </is>
      </c>
      <c r="I1244" s="10" t="n"/>
      <c r="J1244" s="10" t="n"/>
      <c r="K1244" s="10" t="inlineStr">
        <is>
          <t>"shippingFeeCustomer.fileRequired": "សូមបង្កើតឯកសារប្រមូលប្រាក់",</t>
        </is>
      </c>
      <c r="L1244" s="10" t="n"/>
      <c r="M1244" s="10" t="n"/>
      <c r="N1244" s="10" t="n"/>
      <c r="O1244" s="10" t="n"/>
      <c r="P1244" s="10" t="n"/>
      <c r="Q1244" s="10" t="n"/>
      <c r="R1244" s="10" t="n"/>
      <c r="S1244" s="10" t="n"/>
      <c r="T1244" s="10" t="n"/>
      <c r="U1244" s="10" t="n"/>
      <c r="V1244" s="10" t="n"/>
      <c r="W1244" s="10" t="n"/>
      <c r="X1244" s="10" t="n"/>
      <c r="Y1244" s="10" t="n"/>
      <c r="Z1244" s="10" t="n"/>
    </row>
    <row r="1245">
      <c r="A1245" s="27" t="inlineStr">
        <is>
          <t>shippingFeeCustomer.motto</t>
        </is>
      </c>
      <c r="B1245" s="27" t="inlineStr">
        <is>
          <t>CỘNG HÒA DÂN CHỦ NHÂN DÂN LÀO</t>
        </is>
      </c>
      <c r="C1245" s="27" t="inlineStr">
        <is>
          <t>LAO PEOPLE'S DEMOCRATIC REPUBLIC</t>
        </is>
      </c>
      <c r="D1245" s="21" t="n"/>
      <c r="E1245" s="90" t="inlineStr">
        <is>
          <t>សាធារណរដ្ឋប្រជាមានិតនៃប្រជាជាតិឡាវ</t>
        </is>
      </c>
      <c r="F1245" s="10" t="n"/>
      <c r="G1245" s="10" t="inlineStr">
        <is>
          <t>សាធារណរដ្ឋប្រជាមានិតនៃប្រជាជាតិឡាវ</t>
        </is>
      </c>
      <c r="H1245" s="10" t="inlineStr">
        <is>
          <t>សាធារណរដ្ឋប្រជាមានិតនៃប្រជាជាតិឡាវ</t>
        </is>
      </c>
      <c r="I1245" s="10" t="n"/>
      <c r="J1245" s="10" t="n"/>
      <c r="K1245" s="10" t="inlineStr">
        <is>
          <t>"shippingFeeCustomer.motto": "សាធារណរដ្ឋប្រជាមានិតនៃប្រជាជាតិឡាវ",</t>
        </is>
      </c>
      <c r="L1245" s="10" t="n"/>
      <c r="M1245" s="10" t="n"/>
      <c r="N1245" s="10" t="n"/>
      <c r="O1245" s="10" t="n"/>
      <c r="P1245" s="10" t="n"/>
      <c r="Q1245" s="10" t="n"/>
      <c r="R1245" s="10" t="n"/>
      <c r="S1245" s="10" t="n"/>
      <c r="T1245" s="10" t="n"/>
      <c r="U1245" s="10" t="n"/>
      <c r="V1245" s="10" t="n"/>
      <c r="W1245" s="10" t="n"/>
      <c r="X1245" s="10" t="n"/>
      <c r="Y1245" s="10" t="n"/>
      <c r="Z1245" s="10" t="n"/>
    </row>
    <row r="1246">
      <c r="A1246" s="27" t="inlineStr">
        <is>
          <t>shippingFeeCustomer.motto2</t>
        </is>
      </c>
      <c r="B1246" s="27" t="inlineStr">
        <is>
          <t>Hòa bình - Độc lập - Dân chủ - Thống nhất - Thịnh vượng</t>
        </is>
      </c>
      <c r="C1246" s="27" t="inlineStr">
        <is>
          <t>Peace - Independence - Democracy - Unity - Prosperity</t>
        </is>
      </c>
      <c r="D1246" s="21" t="inlineStr">
        <is>
          <t>សន្តិភាព-ឯករាជ្យ-ប្រជាធិបតេយ្យ-ឯកភាព-សម្បូររុងរឿង</t>
        </is>
      </c>
      <c r="E1246" s="102" t="n"/>
      <c r="F1246" s="10" t="n"/>
      <c r="G1246" s="10" t="inlineStr">
        <is>
          <t>សន្តិភាព-ឯករាជ្យ-ប្រជាធិបតេយ្យ-ឯកភាព-សម្បូររុងរឿង</t>
        </is>
      </c>
      <c r="H1246" s="10" t="inlineStr">
        <is>
          <t>សន្តិភាព-ឯករាជ្យ-ប្រជាធិបតេយ្យ-ឯកភាព-សម្បូររុងរឿង</t>
        </is>
      </c>
      <c r="I1246" s="10" t="n"/>
      <c r="J1246" s="10" t="n"/>
      <c r="K1246" s="10" t="inlineStr">
        <is>
          <t>"shippingFeeCustomer.motto2": "សន្តិភាព-ឯករាជ្យ-ប្រជាធិបតេយ្យ-ឯកភាព-សម្បូររុងរឿង",</t>
        </is>
      </c>
      <c r="L1246" s="10" t="n"/>
      <c r="M1246" s="10" t="n"/>
      <c r="N1246" s="10" t="n"/>
      <c r="O1246" s="10" t="n"/>
      <c r="P1246" s="10" t="n"/>
      <c r="Q1246" s="10" t="n"/>
      <c r="R1246" s="10" t="n"/>
      <c r="S1246" s="10" t="n"/>
      <c r="T1246" s="10" t="n"/>
      <c r="U1246" s="10" t="n"/>
      <c r="V1246" s="10" t="n"/>
      <c r="W1246" s="10" t="n"/>
      <c r="X1246" s="10" t="n"/>
      <c r="Y1246" s="10" t="n"/>
      <c r="Z1246" s="10" t="n"/>
    </row>
    <row r="1247">
      <c r="A1247" s="27" t="inlineStr">
        <is>
          <t>shippingFeeCustomer.vtpLao</t>
        </is>
      </c>
      <c r="B1247" s="27" t="inlineStr">
        <is>
          <t>CÔNG TY TNHH STAR TELECOM</t>
        </is>
      </c>
      <c r="C1247" s="27" t="inlineStr">
        <is>
          <t>STAR TELECOM COMPANY LIMITED</t>
        </is>
      </c>
      <c r="D1247" s="21" t="inlineStr">
        <is>
          <t>CPTT</t>
        </is>
      </c>
      <c r="E1247" s="27" t="inlineStr">
        <is>
          <t>ក្រុមហ៊ុន TNHH STAR TELECOM</t>
        </is>
      </c>
      <c r="F1247" s="10" t="n"/>
      <c r="G1247" s="10" t="inlineStr">
        <is>
          <t>ក្រុមហ៊ុន TNHH STAR TELECOM</t>
        </is>
      </c>
      <c r="H1247" s="10" t="inlineStr">
        <is>
          <t>ក្រុមហ៊ុន TNHH STAR TELECOM</t>
        </is>
      </c>
      <c r="I1247" s="10" t="n"/>
      <c r="J1247" s="10" t="n"/>
      <c r="K1247" s="10" t="inlineStr">
        <is>
          <t>"shippingFeeCustomer.vtpLao": "ក្រុមហ៊ុន TNHH STAR TELECOM",</t>
        </is>
      </c>
      <c r="L1247" s="10" t="n"/>
      <c r="M1247" s="10" t="n"/>
      <c r="N1247" s="10" t="n"/>
      <c r="O1247" s="10" t="n"/>
      <c r="P1247" s="10" t="n"/>
      <c r="Q1247" s="10" t="n"/>
      <c r="R1247" s="10" t="n"/>
      <c r="S1247" s="10" t="n"/>
      <c r="T1247" s="10" t="n"/>
      <c r="U1247" s="10" t="n"/>
      <c r="V1247" s="10" t="n"/>
      <c r="W1247" s="10" t="n"/>
      <c r="X1247" s="10" t="n"/>
      <c r="Y1247" s="10" t="n"/>
      <c r="Z1247" s="10" t="n"/>
    </row>
    <row r="1248">
      <c r="A1248" s="27" t="inlineStr">
        <is>
          <t>shippingFeeCustomer.date</t>
        </is>
      </c>
      <c r="B1248" s="27" t="inlineStr">
        <is>
          <t>Ngày</t>
        </is>
      </c>
      <c r="C1248" s="27" t="inlineStr">
        <is>
          <t>Date</t>
        </is>
      </c>
      <c r="D1248" s="21" t="inlineStr">
        <is>
          <t>ថ្ងៃ</t>
        </is>
      </c>
      <c r="E1248" s="102" t="inlineStr">
        <is>
          <t>ថ្ងៃ</t>
        </is>
      </c>
      <c r="F1248" s="10" t="n"/>
      <c r="G1248" s="10" t="inlineStr">
        <is>
          <t>ថ្ងៃ</t>
        </is>
      </c>
      <c r="H1248" s="10" t="inlineStr">
        <is>
          <t>ថ្ងៃ</t>
        </is>
      </c>
      <c r="I1248" s="10" t="n"/>
      <c r="J1248" s="10" t="n"/>
      <c r="K1248" s="10" t="inlineStr">
        <is>
          <t>"shippingFeeCustomer.date": "ថ្ងៃ",</t>
        </is>
      </c>
      <c r="L1248" s="10" t="n"/>
      <c r="M1248" s="10" t="n"/>
      <c r="N1248" s="10" t="n"/>
      <c r="O1248" s="10" t="n"/>
      <c r="P1248" s="10" t="n"/>
      <c r="Q1248" s="10" t="n"/>
      <c r="R1248" s="10" t="n"/>
      <c r="S1248" s="10" t="n"/>
      <c r="T1248" s="10" t="n"/>
      <c r="U1248" s="10" t="n"/>
      <c r="V1248" s="10" t="n"/>
      <c r="W1248" s="10" t="n"/>
      <c r="X1248" s="10" t="n"/>
      <c r="Y1248" s="10" t="n"/>
      <c r="Z1248" s="10" t="n"/>
    </row>
    <row r="1249">
      <c r="A1249" s="27" t="inlineStr">
        <is>
          <t>shippingFeeCustomer.money</t>
        </is>
      </c>
      <c r="B1249" s="27" t="inlineStr">
        <is>
          <t>Số tiền</t>
        </is>
      </c>
      <c r="C1249" s="27" t="inlineStr">
        <is>
          <t>Amount</t>
        </is>
      </c>
      <c r="D1249" s="21" t="inlineStr">
        <is>
          <t>ចំនួនប្រាក់</t>
        </is>
      </c>
      <c r="E1249" s="102" t="inlineStr">
        <is>
          <t>ចំនួនប្រាក់</t>
        </is>
      </c>
      <c r="F1249" s="10" t="n"/>
      <c r="G1249" s="10" t="inlineStr">
        <is>
          <t>ចំនួនប្រាក់</t>
        </is>
      </c>
      <c r="H1249" s="10" t="inlineStr">
        <is>
          <t>ចំនួនប្រាក់</t>
        </is>
      </c>
      <c r="I1249" s="10" t="n"/>
      <c r="J1249" s="10" t="n"/>
      <c r="K1249" s="10" t="inlineStr">
        <is>
          <t>"shippingFeeCustomer.money": "ចំនួនប្រាក់",</t>
        </is>
      </c>
      <c r="L1249" s="10" t="n"/>
      <c r="M1249" s="10" t="n"/>
      <c r="N1249" s="10" t="n"/>
      <c r="O1249" s="10" t="n"/>
      <c r="P1249" s="10" t="n"/>
      <c r="Q1249" s="10" t="n"/>
      <c r="R1249" s="10" t="n"/>
      <c r="S1249" s="10" t="n"/>
      <c r="T1249" s="10" t="n"/>
      <c r="U1249" s="10" t="n"/>
      <c r="V1249" s="10" t="n"/>
      <c r="W1249" s="10" t="n"/>
      <c r="X1249" s="10" t="n"/>
      <c r="Y1249" s="10" t="n"/>
      <c r="Z1249" s="10" t="n"/>
    </row>
    <row r="1250">
      <c r="A1250" s="27" t="inlineStr">
        <is>
          <t>shippingFeeCustomer.moneyCollect</t>
        </is>
      </c>
      <c r="B1250" s="27" t="inlineStr">
        <is>
          <t>Số tiền thu</t>
        </is>
      </c>
      <c r="C1250" s="27" t="inlineStr">
        <is>
          <t>Outstanding Amount</t>
        </is>
      </c>
      <c r="D1250" s="21" t="inlineStr">
        <is>
          <t>ចំនួនប្រាក់ប្រមូល</t>
        </is>
      </c>
      <c r="E1250" s="102" t="inlineStr">
        <is>
          <t>ចំនួួនប្រាក់ដែលត្រូវប្រមូល</t>
        </is>
      </c>
      <c r="F1250" s="10" t="n"/>
      <c r="G1250" s="10" t="inlineStr">
        <is>
          <t>ចំនួួនប្រាក់ដែលត្រូវប្រមូល</t>
        </is>
      </c>
      <c r="H1250" s="10" t="inlineStr">
        <is>
          <t>ចំនួួនប្រាក់ដែលត្រូវប្រមូល</t>
        </is>
      </c>
      <c r="I1250" s="10" t="n"/>
      <c r="J1250" s="10" t="n"/>
      <c r="K1250" s="10" t="inlineStr">
        <is>
          <t>"shippingFeeCustomer.moneyCollect": "ចំនួួនប្រាក់ដែលត្រូវប្រមូល",</t>
        </is>
      </c>
      <c r="L1250" s="10" t="n"/>
      <c r="M1250" s="10" t="n"/>
      <c r="N1250" s="10" t="n"/>
      <c r="O1250" s="10" t="n"/>
      <c r="P1250" s="10" t="n"/>
      <c r="Q1250" s="10" t="n"/>
      <c r="R1250" s="10" t="n"/>
      <c r="S1250" s="10" t="n"/>
      <c r="T1250" s="10" t="n"/>
      <c r="U1250" s="10" t="n"/>
      <c r="V1250" s="10" t="n"/>
      <c r="W1250" s="10" t="n"/>
      <c r="X1250" s="10" t="n"/>
      <c r="Y1250" s="10" t="n"/>
      <c r="Z1250" s="10" t="n"/>
    </row>
    <row r="1251">
      <c r="A1251" s="27" t="inlineStr">
        <is>
          <t>shippingFeeCustomer.periodCode</t>
        </is>
      </c>
      <c r="B1251" s="27" t="inlineStr">
        <is>
          <t>Mã kỳ</t>
        </is>
      </c>
      <c r="C1251" s="27" t="inlineStr">
        <is>
          <t>Debt Period ID</t>
        </is>
      </c>
      <c r="D1251" s="21" t="n"/>
      <c r="E1251" s="102" t="inlineStr">
        <is>
          <t>លេខកូដវគ្គ</t>
        </is>
      </c>
      <c r="F1251" s="10" t="n"/>
      <c r="G1251" s="10" t="inlineStr">
        <is>
          <t>លេខកូដវគ្គ</t>
        </is>
      </c>
      <c r="H1251" s="10" t="inlineStr">
        <is>
          <t>លេខកូដវគ្គ</t>
        </is>
      </c>
      <c r="I1251" s="10" t="n"/>
      <c r="J1251" s="10" t="n"/>
      <c r="K1251" s="10" t="inlineStr">
        <is>
          <t>"shippingFeeCustomer.periodCode": "លេខកូដវគ្គ",</t>
        </is>
      </c>
      <c r="L1251" s="10" t="n"/>
      <c r="M1251" s="10" t="n"/>
      <c r="N1251" s="10" t="n"/>
      <c r="O1251" s="10" t="n"/>
      <c r="P1251" s="10" t="n"/>
      <c r="Q1251" s="10" t="n"/>
      <c r="R1251" s="10" t="n"/>
      <c r="S1251" s="10" t="n"/>
      <c r="T1251" s="10" t="n"/>
      <c r="U1251" s="10" t="n"/>
      <c r="V1251" s="10" t="n"/>
      <c r="W1251" s="10" t="n"/>
      <c r="X1251" s="10" t="n"/>
      <c r="Y1251" s="10" t="n"/>
      <c r="Z1251" s="10" t="n"/>
    </row>
    <row r="1252">
      <c r="A1252" s="27" t="inlineStr">
        <is>
          <t>shippingFeeCustomer.total</t>
        </is>
      </c>
      <c r="B1252" s="27" t="inlineStr">
        <is>
          <t>Tổng cộng</t>
        </is>
      </c>
      <c r="C1252" s="27" t="inlineStr">
        <is>
          <t>Total</t>
        </is>
      </c>
      <c r="D1252" s="102" t="inlineStr">
        <is>
          <t>សរុបបញ្ចូល</t>
        </is>
      </c>
      <c r="E1252" s="102" t="inlineStr">
        <is>
          <t>សរុប</t>
        </is>
      </c>
      <c r="F1252" s="10" t="n"/>
      <c r="G1252" s="10" t="inlineStr">
        <is>
          <t>សរុប</t>
        </is>
      </c>
      <c r="H1252" s="10" t="inlineStr">
        <is>
          <t>សរុប</t>
        </is>
      </c>
      <c r="I1252" s="10" t="n"/>
      <c r="J1252" s="10" t="n"/>
      <c r="K1252" s="10" t="inlineStr">
        <is>
          <t>"shippingFeeCustomer.total": "សរុប",</t>
        </is>
      </c>
      <c r="L1252" s="10" t="n"/>
      <c r="M1252" s="10" t="n"/>
      <c r="N1252" s="10" t="n"/>
      <c r="O1252" s="10" t="n"/>
      <c r="P1252" s="10" t="n"/>
      <c r="Q1252" s="10" t="n"/>
      <c r="R1252" s="10" t="n"/>
      <c r="S1252" s="10" t="n"/>
      <c r="T1252" s="10" t="n"/>
      <c r="U1252" s="10" t="n"/>
      <c r="V1252" s="10" t="n"/>
      <c r="W1252" s="10" t="n"/>
      <c r="X1252" s="10" t="n"/>
      <c r="Y1252" s="10" t="n"/>
      <c r="Z1252" s="10" t="n"/>
    </row>
    <row r="1253">
      <c r="A1253" s="27" t="inlineStr">
        <is>
          <t>shippingFeeCustomer.byText</t>
        </is>
      </c>
      <c r="B1253" s="27" t="inlineStr">
        <is>
          <t>Bằng chữ</t>
        </is>
      </c>
      <c r="C1253" s="27" t="inlineStr">
        <is>
          <t>In Words</t>
        </is>
      </c>
      <c r="D1253" s="21" t="inlineStr">
        <is>
          <t>ដោយអក្សរ</t>
        </is>
      </c>
      <c r="E1253" s="102" t="inlineStr">
        <is>
          <t>ដោយអក្សរ</t>
        </is>
      </c>
      <c r="F1253" s="10" t="n"/>
      <c r="G1253" s="10" t="inlineStr">
        <is>
          <t>ដោយអក្សរ</t>
        </is>
      </c>
      <c r="H1253" s="10" t="inlineStr">
        <is>
          <t>ដោយអក្សរ</t>
        </is>
      </c>
      <c r="I1253" s="10" t="n"/>
      <c r="J1253" s="10" t="n"/>
      <c r="K1253" s="10" t="inlineStr">
        <is>
          <t>"shippingFeeCustomer.byText": "ដោយអក្សរ",</t>
        </is>
      </c>
      <c r="L1253" s="10" t="n"/>
      <c r="M1253" s="10" t="n"/>
      <c r="N1253" s="10" t="n"/>
      <c r="O1253" s="10" t="n"/>
      <c r="P1253" s="10" t="n"/>
      <c r="Q1253" s="10" t="n"/>
      <c r="R1253" s="10" t="n"/>
      <c r="S1253" s="10" t="n"/>
      <c r="T1253" s="10" t="n"/>
      <c r="U1253" s="10" t="n"/>
      <c r="V1253" s="10" t="n"/>
      <c r="W1253" s="10" t="n"/>
      <c r="X1253" s="10" t="n"/>
      <c r="Y1253" s="10" t="n"/>
      <c r="Z1253" s="10" t="n"/>
    </row>
    <row r="1254">
      <c r="A1254" s="27" t="inlineStr">
        <is>
          <t>shippingFeeCustomer.createdBy1</t>
        </is>
      </c>
      <c r="B1254" s="27" t="inlineStr">
        <is>
          <t>Người lập</t>
        </is>
      </c>
      <c r="C1254" s="27" t="inlineStr">
        <is>
          <t>Prepared by</t>
        </is>
      </c>
      <c r="D1254" s="21" t="inlineStr">
        <is>
          <t>អ្នកបង្កើត</t>
        </is>
      </c>
      <c r="E1254" s="102" t="inlineStr">
        <is>
          <t>អ្នកបង្កើត</t>
        </is>
      </c>
      <c r="F1254" s="10" t="n"/>
      <c r="G1254" s="10" t="inlineStr">
        <is>
          <t>អ្នកបង្កើតកំណត់ហេតុ</t>
        </is>
      </c>
      <c r="H1254" s="10" t="inlineStr">
        <is>
          <t>អ្នកបង្កើតកំណត់ហេតុ</t>
        </is>
      </c>
      <c r="I1254" s="10" t="n"/>
      <c r="J1254" s="10" t="n"/>
      <c r="K1254" s="10" t="inlineStr">
        <is>
          <t>"shippingFeeCustomer.createdBy1": "អ្នកបង្កើតកំណត់ហេតុ",</t>
        </is>
      </c>
      <c r="L1254" s="10" t="n"/>
      <c r="M1254" s="10" t="n"/>
      <c r="N1254" s="10" t="n"/>
      <c r="O1254" s="10" t="n"/>
      <c r="P1254" s="10" t="n"/>
      <c r="Q1254" s="10" t="n"/>
      <c r="R1254" s="10" t="n"/>
      <c r="S1254" s="10" t="n"/>
      <c r="T1254" s="10" t="n"/>
      <c r="U1254" s="10" t="n"/>
      <c r="V1254" s="10" t="n"/>
      <c r="W1254" s="10" t="n"/>
      <c r="X1254" s="10" t="n"/>
      <c r="Y1254" s="10" t="n"/>
      <c r="Z1254" s="10" t="n"/>
    </row>
    <row r="1255">
      <c r="A1255" s="27" t="inlineStr">
        <is>
          <t>shippingFeeCustomer.financeDepart</t>
        </is>
      </c>
      <c r="B1255" s="27" t="inlineStr">
        <is>
          <t>PHÒNG TÀI CHÍNH</t>
        </is>
      </c>
      <c r="C1255" s="27" t="inlineStr">
        <is>
          <t>FINANCE DEPARTMENT</t>
        </is>
      </c>
      <c r="D1255" s="21" t="inlineStr">
        <is>
          <t>ផ្នែកហិរញ្ញវត្ថុ</t>
        </is>
      </c>
      <c r="E1255" s="102" t="inlineStr">
        <is>
          <t>ផ្នែកហិរញ្ញវត្ថុ</t>
        </is>
      </c>
      <c r="F1255" s="10" t="n"/>
      <c r="G1255" s="10" t="inlineStr">
        <is>
          <t>ផ្នែកហិរញ្ញវត្ថុ</t>
        </is>
      </c>
      <c r="H1255" s="10" t="inlineStr">
        <is>
          <t>ផ្នែកហិរញ្ញវត្ថុ</t>
        </is>
      </c>
      <c r="I1255" s="10" t="n"/>
      <c r="J1255" s="10" t="n"/>
      <c r="K1255" s="10" t="inlineStr">
        <is>
          <t>"shippingFeeCustomer.financeDepart": "ផ្នែកហិរញ្ញវត្ថុ",</t>
        </is>
      </c>
      <c r="L1255" s="10" t="n"/>
      <c r="M1255" s="10" t="n"/>
      <c r="N1255" s="10" t="n"/>
      <c r="O1255" s="10" t="n"/>
      <c r="P1255" s="10" t="n"/>
      <c r="Q1255" s="10" t="n"/>
      <c r="R1255" s="10" t="n"/>
      <c r="S1255" s="10" t="n"/>
      <c r="T1255" s="10" t="n"/>
      <c r="U1255" s="10" t="n"/>
      <c r="V1255" s="10" t="n"/>
      <c r="W1255" s="10" t="n"/>
      <c r="X1255" s="10" t="n"/>
      <c r="Y1255" s="10" t="n"/>
      <c r="Z1255" s="10" t="n"/>
    </row>
    <row r="1256">
      <c r="A1256" s="27" t="inlineStr">
        <is>
          <t>shippingFeeCustomer.month</t>
        </is>
      </c>
      <c r="B1256" s="27" t="inlineStr">
        <is>
          <t>tháng</t>
        </is>
      </c>
      <c r="C1256" s="27" t="inlineStr">
        <is>
          <t>month</t>
        </is>
      </c>
      <c r="D1256" s="21" t="inlineStr">
        <is>
          <t>ខែ</t>
        </is>
      </c>
      <c r="E1256" s="21" t="inlineStr">
        <is>
          <t>ខែ</t>
        </is>
      </c>
      <c r="F1256" s="10" t="n"/>
      <c r="G1256" s="10" t="inlineStr">
        <is>
          <t>ខែ</t>
        </is>
      </c>
      <c r="H1256" s="10" t="inlineStr">
        <is>
          <t>ខែ</t>
        </is>
      </c>
      <c r="I1256" s="10" t="n"/>
      <c r="J1256" s="10" t="n"/>
      <c r="K1256" s="10" t="inlineStr">
        <is>
          <t>"shippingFeeCustomer.month": "ខែ",</t>
        </is>
      </c>
      <c r="L1256" s="10" t="n"/>
      <c r="M1256" s="10" t="n"/>
      <c r="N1256" s="10" t="n"/>
      <c r="O1256" s="10" t="n"/>
      <c r="P1256" s="10" t="n"/>
      <c r="Q1256" s="10" t="n"/>
      <c r="R1256" s="10" t="n"/>
      <c r="S1256" s="10" t="n"/>
      <c r="T1256" s="10" t="n"/>
      <c r="U1256" s="10" t="n"/>
      <c r="V1256" s="10" t="n"/>
      <c r="W1256" s="10" t="n"/>
      <c r="X1256" s="10" t="n"/>
      <c r="Y1256" s="10" t="n"/>
      <c r="Z1256" s="10" t="n"/>
    </row>
    <row r="1257">
      <c r="A1257" s="27" t="inlineStr">
        <is>
          <t>shippingFeeCustomer.year</t>
        </is>
      </c>
      <c r="B1257" s="27" t="inlineStr">
        <is>
          <t>năm</t>
        </is>
      </c>
      <c r="C1257" s="27" t="inlineStr">
        <is>
          <t>year</t>
        </is>
      </c>
      <c r="D1257" s="102" t="inlineStr">
        <is>
          <t>ឆ្នាំ</t>
        </is>
      </c>
      <c r="E1257" s="102" t="inlineStr">
        <is>
          <t>ឆ្នាំ</t>
        </is>
      </c>
      <c r="F1257" s="10" t="n"/>
      <c r="G1257" s="10" t="inlineStr">
        <is>
          <t>ឆ្នាំ</t>
        </is>
      </c>
      <c r="H1257" s="10" t="inlineStr">
        <is>
          <t>ឆ្នាំ</t>
        </is>
      </c>
      <c r="I1257" s="10" t="n"/>
      <c r="J1257" s="10" t="n"/>
      <c r="K1257" s="10" t="inlineStr">
        <is>
          <t>"shippingFeeCustomer.year": "ឆ្នាំ",</t>
        </is>
      </c>
      <c r="L1257" s="10" t="n"/>
      <c r="M1257" s="10" t="n"/>
      <c r="N1257" s="10" t="n"/>
      <c r="O1257" s="10" t="n"/>
      <c r="P1257" s="10" t="n"/>
      <c r="Q1257" s="10" t="n"/>
      <c r="R1257" s="10" t="n"/>
      <c r="S1257" s="10" t="n"/>
      <c r="T1257" s="10" t="n"/>
      <c r="U1257" s="10" t="n"/>
      <c r="V1257" s="10" t="n"/>
      <c r="W1257" s="10" t="n"/>
      <c r="X1257" s="10" t="n"/>
      <c r="Y1257" s="10" t="n"/>
      <c r="Z1257" s="10" t="n"/>
    </row>
    <row r="1258">
      <c r="A1258" s="27" t="inlineStr">
        <is>
          <t>shippingFeeCustomer.hpo</t>
        </is>
      </c>
      <c r="B1258" s="27" t="inlineStr">
        <is>
          <t>Trưởng bưu cục</t>
        </is>
      </c>
      <c r="C1258" s="27" t="inlineStr">
        <is>
          <t>Post Office Manager</t>
        </is>
      </c>
      <c r="D1258" s="21" t="inlineStr">
        <is>
          <t>ប្រធានការិយាល័យប្រៃសណីយ៍</t>
        </is>
      </c>
      <c r="E1258" s="21" t="inlineStr">
        <is>
          <t>ប្រធានការិយាល័យប្រៃសណីយ៍</t>
        </is>
      </c>
      <c r="F1258" s="10" t="n"/>
      <c r="G1258" s="10" t="inlineStr">
        <is>
          <t>ប្រធានការិយាល័យប្រៃសណីយ៍</t>
        </is>
      </c>
      <c r="H1258" s="10" t="inlineStr">
        <is>
          <t>ប្រធានការិយាល័យប្រៃសណីយ៍</t>
        </is>
      </c>
      <c r="I1258" s="10" t="n"/>
      <c r="J1258" s="10" t="n"/>
      <c r="K1258" s="10" t="inlineStr">
        <is>
          <t>"shippingFeeCustomer.hpo": "ប្រធានការិយាល័យប្រៃសណីយ៍",</t>
        </is>
      </c>
      <c r="L1258" s="10" t="n"/>
      <c r="M1258" s="10" t="n"/>
      <c r="N1258" s="10" t="n"/>
      <c r="O1258" s="10" t="n"/>
      <c r="P1258" s="10" t="n"/>
      <c r="Q1258" s="10" t="n"/>
      <c r="R1258" s="10" t="n"/>
      <c r="S1258" s="10" t="n"/>
      <c r="T1258" s="10" t="n"/>
      <c r="U1258" s="10" t="n"/>
      <c r="V1258" s="10" t="n"/>
      <c r="W1258" s="10" t="n"/>
      <c r="X1258" s="10" t="n"/>
      <c r="Y1258" s="10" t="n"/>
      <c r="Z1258" s="10" t="n"/>
    </row>
    <row r="1259">
      <c r="A1259" s="27" t="inlineStr">
        <is>
          <t>shippingFeeCustomer.required</t>
        </is>
      </c>
      <c r="B1259" s="27" t="inlineStr">
        <is>
          <t>Yêu cầu nhập</t>
        </is>
      </c>
      <c r="C1259" s="27" t="inlineStr">
        <is>
          <t>Required</t>
        </is>
      </c>
      <c r="D1259" s="21" t="inlineStr">
        <is>
          <t>ស្នើសុំបញ្ចូល</t>
        </is>
      </c>
      <c r="E1259" s="21" t="inlineStr">
        <is>
          <t>ស្នើសុំបញ្ចូល</t>
        </is>
      </c>
      <c r="F1259" s="10" t="n"/>
      <c r="G1259" s="10" t="inlineStr">
        <is>
          <t>ស្នើសុំបញ្ចូល</t>
        </is>
      </c>
      <c r="H1259" s="10" t="inlineStr">
        <is>
          <t>ស្នើសុំបញ្ចូល</t>
        </is>
      </c>
      <c r="I1259" s="10" t="n"/>
      <c r="J1259" s="10" t="n"/>
      <c r="K1259" s="10" t="inlineStr">
        <is>
          <t>"shippingFeeCustomer.required": "ស្នើសុំបញ្ចូល",</t>
        </is>
      </c>
      <c r="L1259" s="10" t="n"/>
      <c r="M1259" s="10" t="n"/>
      <c r="N1259" s="10" t="n"/>
      <c r="O1259" s="10" t="n"/>
      <c r="P1259" s="10" t="n"/>
      <c r="Q1259" s="10" t="n"/>
      <c r="R1259" s="10" t="n"/>
      <c r="S1259" s="10" t="n"/>
      <c r="T1259" s="10" t="n"/>
      <c r="U1259" s="10" t="n"/>
      <c r="V1259" s="10" t="n"/>
      <c r="W1259" s="10" t="n"/>
      <c r="X1259" s="10" t="n"/>
      <c r="Y1259" s="10" t="n"/>
      <c r="Z1259" s="10" t="n"/>
    </row>
    <row r="1260">
      <c r="A1260" s="27" t="inlineStr">
        <is>
          <t>shippingFeeCustomer.detailReceipt</t>
        </is>
      </c>
      <c r="B1260" s="27" t="inlineStr">
        <is>
          <t>Chi tiết phiếu thu</t>
        </is>
      </c>
      <c r="C1260" s="27" t="inlineStr">
        <is>
          <t>Detail payment receipt</t>
        </is>
      </c>
      <c r="D1260" s="21" t="inlineStr">
        <is>
          <t>លម្អិតពីបុងប្រមូល</t>
        </is>
      </c>
      <c r="E1260" s="21" t="inlineStr">
        <is>
          <t>លម្អិតពីបុងប្រមូល</t>
        </is>
      </c>
      <c r="F1260" s="10" t="n"/>
      <c r="G1260" s="10" t="inlineStr">
        <is>
          <t>លម្អិតពីបុងប្រមូល</t>
        </is>
      </c>
      <c r="H1260" s="10" t="inlineStr">
        <is>
          <t>លម្អិតពីបុងប្រមូល</t>
        </is>
      </c>
      <c r="I1260" s="10" t="n"/>
      <c r="J1260" s="10" t="n"/>
      <c r="K1260" s="10" t="inlineStr">
        <is>
          <t>"shippingFeeCustomer.detailReceipt": "លម្អិតពីបុងប្រមូល",</t>
        </is>
      </c>
      <c r="L1260" s="10" t="n"/>
      <c r="M1260" s="10" t="n"/>
      <c r="N1260" s="10" t="n"/>
      <c r="O1260" s="10" t="n"/>
      <c r="P1260" s="10" t="n"/>
      <c r="Q1260" s="10" t="n"/>
      <c r="R1260" s="10" t="n"/>
      <c r="S1260" s="10" t="n"/>
      <c r="T1260" s="10" t="n"/>
      <c r="U1260" s="10" t="n"/>
      <c r="V1260" s="10" t="n"/>
      <c r="W1260" s="10" t="n"/>
      <c r="X1260" s="10" t="n"/>
      <c r="Y1260" s="10" t="n"/>
      <c r="Z1260" s="10" t="n"/>
    </row>
    <row r="1261">
      <c r="A1261" s="27" t="inlineStr">
        <is>
          <t>shippingFeeCustomer.statusReceipt</t>
        </is>
      </c>
      <c r="B1261" s="27" t="inlineStr">
        <is>
          <t>Trạng thái phiếu thu</t>
        </is>
      </c>
      <c r="C1261" s="27" t="inlineStr">
        <is>
          <t>Status payment receipt</t>
        </is>
      </c>
      <c r="D1261" s="102" t="n"/>
      <c r="E1261" s="102" t="inlineStr">
        <is>
          <t>បង្កើតថ្មី</t>
        </is>
      </c>
      <c r="F1261" s="10" t="n"/>
      <c r="G1261" s="10" t="inlineStr">
        <is>
          <t>បង្កើតថ្មី</t>
        </is>
      </c>
      <c r="H1261" s="10" t="inlineStr">
        <is>
          <t>បង្កើតថ្មី</t>
        </is>
      </c>
      <c r="I1261" s="10" t="n"/>
      <c r="J1261" s="10" t="n"/>
      <c r="K1261" s="10" t="inlineStr">
        <is>
          <t>"shippingFeeCustomer.statusReceipt": "បង្កើតថ្មី",</t>
        </is>
      </c>
      <c r="L1261" s="10" t="n"/>
      <c r="M1261" s="10" t="n"/>
      <c r="N1261" s="10" t="n"/>
      <c r="O1261" s="10" t="n"/>
      <c r="P1261" s="10" t="n"/>
      <c r="Q1261" s="10" t="n"/>
      <c r="R1261" s="10" t="n"/>
      <c r="S1261" s="10" t="n"/>
      <c r="T1261" s="10" t="n"/>
      <c r="U1261" s="10" t="n"/>
      <c r="V1261" s="10" t="n"/>
      <c r="W1261" s="10" t="n"/>
      <c r="X1261" s="10" t="n"/>
      <c r="Y1261" s="10" t="n"/>
      <c r="Z1261" s="10" t="n"/>
    </row>
    <row r="1262">
      <c r="A1262" s="27" t="inlineStr">
        <is>
          <t>shippingFeeCustomer.RECORD_COD_NEW</t>
        </is>
      </c>
      <c r="B1262" s="27" t="inlineStr">
        <is>
          <t>Tạo mới</t>
        </is>
      </c>
      <c r="C1262" s="27" t="inlineStr">
        <is>
          <t>New</t>
        </is>
      </c>
      <c r="D1262" s="102" t="inlineStr">
        <is>
          <t>បង្កើតថ្មី</t>
        </is>
      </c>
      <c r="E1262" s="102" t="inlineStr">
        <is>
          <t>បង្កើតថ្មី</t>
        </is>
      </c>
      <c r="F1262" s="10" t="n"/>
      <c r="G1262" s="10" t="inlineStr">
        <is>
          <t>បង្កើតថ្មី</t>
        </is>
      </c>
      <c r="H1262" s="10" t="inlineStr">
        <is>
          <t>បង្កើតថ្មី</t>
        </is>
      </c>
      <c r="I1262" s="10" t="n"/>
      <c r="J1262" s="10" t="n"/>
      <c r="K1262" s="10" t="inlineStr">
        <is>
          <t>"shippingFeeCustomer.RECORD_COD_NEW": "បង្កើតថ្មី",</t>
        </is>
      </c>
      <c r="L1262" s="10" t="n"/>
      <c r="M1262" s="10" t="n"/>
      <c r="N1262" s="10" t="n"/>
      <c r="O1262" s="10" t="n"/>
      <c r="P1262" s="10" t="n"/>
      <c r="Q1262" s="10" t="n"/>
      <c r="R1262" s="10" t="n"/>
      <c r="S1262" s="10" t="n"/>
      <c r="T1262" s="10" t="n"/>
      <c r="U1262" s="10" t="n"/>
      <c r="V1262" s="10" t="n"/>
      <c r="W1262" s="10" t="n"/>
      <c r="X1262" s="10" t="n"/>
      <c r="Y1262" s="10" t="n"/>
      <c r="Z1262" s="10" t="n"/>
    </row>
    <row r="1263">
      <c r="A1263" s="27" t="inlineStr">
        <is>
          <t>shippingFeeCustomer.RECORD_COD_CONFIRM</t>
        </is>
      </c>
      <c r="B1263" s="27" t="inlineStr">
        <is>
          <t>Đang nộp</t>
        </is>
      </c>
      <c r="C1263" s="27" t="inlineStr">
        <is>
          <t>Paying</t>
        </is>
      </c>
      <c r="D1263" s="102" t="inlineStr">
        <is>
          <t>កំពុុងបញ្ចូល</t>
        </is>
      </c>
      <c r="E1263" s="102" t="inlineStr">
        <is>
          <t>កំពុុងបញ្ចូល</t>
        </is>
      </c>
      <c r="F1263" s="10" t="n"/>
      <c r="G1263" s="10" t="inlineStr">
        <is>
          <t>កំពុុងបញ្ចូល</t>
        </is>
      </c>
      <c r="H1263" s="10" t="inlineStr">
        <is>
          <t>កំពុុងបញ្ចូល</t>
        </is>
      </c>
      <c r="I1263" s="10" t="n"/>
      <c r="J1263" s="10" t="n"/>
      <c r="K1263" s="10" t="inlineStr">
        <is>
          <t>"shippingFeeCustomer.RECORD_COD_CONFIRM": "កំពុុងបញ្ចូល",</t>
        </is>
      </c>
      <c r="L1263" s="10" t="n"/>
      <c r="M1263" s="10" t="n"/>
      <c r="N1263" s="10" t="n"/>
      <c r="O1263" s="10" t="n"/>
      <c r="P1263" s="10" t="n"/>
      <c r="Q1263" s="10" t="n"/>
      <c r="R1263" s="10" t="n"/>
      <c r="S1263" s="10" t="n"/>
      <c r="T1263" s="10" t="n"/>
      <c r="U1263" s="10" t="n"/>
      <c r="V1263" s="10" t="n"/>
      <c r="W1263" s="10" t="n"/>
      <c r="X1263" s="10" t="n"/>
      <c r="Y1263" s="10" t="n"/>
      <c r="Z1263" s="10" t="n"/>
    </row>
    <row r="1264">
      <c r="A1264" s="27" t="inlineStr">
        <is>
          <t>shippingFeeCustomer.RECORD_COD_UMONEY_PAID</t>
        </is>
      </c>
      <c r="B1264" s="27" t="inlineStr">
        <is>
          <t>Đã nộp UM</t>
        </is>
      </c>
      <c r="C1264" s="27" t="inlineStr">
        <is>
          <t>Paid via UM</t>
        </is>
      </c>
      <c r="D1264" s="102" t="inlineStr">
        <is>
          <t>បានបង់ UM</t>
        </is>
      </c>
      <c r="E1264" s="102" t="inlineStr">
        <is>
          <t>បានបង់ UM</t>
        </is>
      </c>
      <c r="F1264" s="10" t="n"/>
      <c r="G1264" s="10" t="inlineStr">
        <is>
          <t>បានបង់ UM</t>
        </is>
      </c>
      <c r="H1264" s="10" t="inlineStr">
        <is>
          <t>បានបង់ UM</t>
        </is>
      </c>
      <c r="I1264" s="10" t="n"/>
      <c r="J1264" s="10" t="n"/>
      <c r="K1264" s="10" t="inlineStr">
        <is>
          <t>"shippingFeeCustomer.RECORD_COD_UMONEY_PAID": "បានបង់ UM",</t>
        </is>
      </c>
      <c r="L1264" s="10" t="n"/>
      <c r="M1264" s="10" t="n"/>
      <c r="N1264" s="10" t="n"/>
      <c r="O1264" s="10" t="n"/>
      <c r="P1264" s="10" t="n"/>
      <c r="Q1264" s="10" t="n"/>
      <c r="R1264" s="10" t="n"/>
      <c r="S1264" s="10" t="n"/>
      <c r="T1264" s="10" t="n"/>
      <c r="U1264" s="10" t="n"/>
      <c r="V1264" s="10" t="n"/>
      <c r="W1264" s="10" t="n"/>
      <c r="X1264" s="10" t="n"/>
      <c r="Y1264" s="10" t="n"/>
      <c r="Z1264" s="10" t="n"/>
    </row>
    <row r="1265">
      <c r="A1265" s="27" t="inlineStr">
        <is>
          <t>shippingFeeCustomer.RECORD_COD_PTTM_CREATE</t>
        </is>
      </c>
      <c r="B1265" s="27" t="inlineStr">
        <is>
          <t>Tạo PTTM</t>
        </is>
      </c>
      <c r="C1265" s="27" t="inlineStr">
        <is>
          <t>Collection Slip Created</t>
        </is>
      </c>
      <c r="D1265" s="102" t="n"/>
      <c r="E1265" s="27" t="inlineStr">
        <is>
          <t>បង្កើត PTTM</t>
        </is>
      </c>
      <c r="F1265" s="10" t="n"/>
      <c r="G1265" s="10" t="inlineStr">
        <is>
          <t>បង្កើត PTTM</t>
        </is>
      </c>
      <c r="H1265" s="10" t="inlineStr">
        <is>
          <t>បង្កើត PTTM</t>
        </is>
      </c>
      <c r="I1265" s="10" t="n"/>
      <c r="J1265" s="10" t="n"/>
      <c r="K1265" s="10" t="inlineStr">
        <is>
          <t>"shippingFeeCustomer.RECORD_COD_PTTM_CREATE": "បង្កើត PTTM",</t>
        </is>
      </c>
      <c r="L1265" s="10" t="n"/>
      <c r="M1265" s="10" t="n"/>
      <c r="N1265" s="10" t="n"/>
      <c r="O1265" s="10" t="n"/>
      <c r="P1265" s="10" t="n"/>
      <c r="Q1265" s="10" t="n"/>
      <c r="R1265" s="10" t="n"/>
      <c r="S1265" s="10" t="n"/>
      <c r="T1265" s="10" t="n"/>
      <c r="U1265" s="10" t="n"/>
      <c r="V1265" s="10" t="n"/>
      <c r="W1265" s="10" t="n"/>
      <c r="X1265" s="10" t="n"/>
      <c r="Y1265" s="10" t="n"/>
      <c r="Z1265" s="10" t="n"/>
    </row>
    <row r="1266">
      <c r="A1266" s="27" t="inlineStr">
        <is>
          <t>shippingFeeCustomer.RECORD_COD_WAIT_CONFIRM</t>
        </is>
      </c>
      <c r="B1266" s="27" t="inlineStr">
        <is>
          <t>Chờ xác nhận</t>
        </is>
      </c>
      <c r="C1266" s="27" t="inlineStr">
        <is>
          <t>Pending Reconciliation</t>
        </is>
      </c>
      <c r="D1266" s="21" t="inlineStr">
        <is>
          <t>រង់ចាំការបញ្ជាក់</t>
        </is>
      </c>
      <c r="E1266" s="21" t="inlineStr">
        <is>
          <t>រង់ចាំការបញ្ជាក់</t>
        </is>
      </c>
      <c r="F1266" s="10" t="n"/>
      <c r="G1266" s="10" t="inlineStr">
        <is>
          <t>រង់ចាំការបញ្ជាក់</t>
        </is>
      </c>
      <c r="H1266" s="10" t="inlineStr">
        <is>
          <t>រង់ចាំការបញ្ជាក់</t>
        </is>
      </c>
      <c r="I1266" s="10" t="n"/>
      <c r="J1266" s="10" t="n"/>
      <c r="K1266" s="10" t="inlineStr">
        <is>
          <t>"shippingFeeCustomer.RECORD_COD_WAIT_CONFIRM": "រង់ចាំការបញ្ជាក់",</t>
        </is>
      </c>
      <c r="L1266" s="10" t="n"/>
      <c r="M1266" s="10" t="n"/>
      <c r="N1266" s="10" t="n"/>
      <c r="O1266" s="10" t="n"/>
      <c r="P1266" s="10" t="n"/>
      <c r="Q1266" s="10" t="n"/>
      <c r="R1266" s="10" t="n"/>
      <c r="S1266" s="10" t="n"/>
      <c r="T1266" s="10" t="n"/>
      <c r="U1266" s="10" t="n"/>
      <c r="V1266" s="10" t="n"/>
      <c r="W1266" s="10" t="n"/>
      <c r="X1266" s="10" t="n"/>
      <c r="Y1266" s="10" t="n"/>
      <c r="Z1266" s="10" t="n"/>
    </row>
    <row r="1267">
      <c r="A1267" s="27" t="inlineStr">
        <is>
          <t>shippingFeeCustomer.RECORD_COD_PAYMENT_RECEIVED</t>
        </is>
      </c>
      <c r="B1267" s="27" t="inlineStr">
        <is>
          <t>Đã nộp</t>
        </is>
      </c>
      <c r="C1267" s="27" t="inlineStr">
        <is>
          <t>Paid</t>
        </is>
      </c>
      <c r="D1267" s="21" t="inlineStr">
        <is>
          <t>បានបង់</t>
        </is>
      </c>
      <c r="E1267" s="21" t="inlineStr">
        <is>
          <t>បានបង់</t>
        </is>
      </c>
      <c r="F1267" s="10" t="n"/>
      <c r="G1267" s="10" t="inlineStr">
        <is>
          <t>បានបង់ប្រាក់រួចរាល់</t>
        </is>
      </c>
      <c r="H1267" s="10" t="inlineStr">
        <is>
          <t>បានបង់ប្រាក់រួចរាល់</t>
        </is>
      </c>
      <c r="I1267" s="10" t="n"/>
      <c r="J1267" s="10" t="n"/>
      <c r="K1267" s="10" t="inlineStr">
        <is>
          <t>"shippingFeeCustomer.RECORD_COD_PAYMENT_RECEIVED": "បានបង់ប្រាក់រួចរាល់",</t>
        </is>
      </c>
      <c r="L1267" s="10" t="n"/>
      <c r="M1267" s="10" t="n"/>
      <c r="N1267" s="10" t="n"/>
      <c r="O1267" s="10" t="n"/>
      <c r="P1267" s="10" t="n"/>
      <c r="Q1267" s="10" t="n"/>
      <c r="R1267" s="10" t="n"/>
      <c r="S1267" s="10" t="n"/>
      <c r="T1267" s="10" t="n"/>
      <c r="U1267" s="10" t="n"/>
      <c r="V1267" s="10" t="n"/>
      <c r="W1267" s="10" t="n"/>
      <c r="X1267" s="10" t="n"/>
      <c r="Y1267" s="10" t="n"/>
      <c r="Z1267" s="10" t="n"/>
    </row>
    <row r="1268">
      <c r="A1268" s="27" t="inlineStr">
        <is>
          <t>shippingFeeCustomer.RECORD_COD_PAYMENT_DONE</t>
        </is>
      </c>
      <c r="B1268" s="27" t="inlineStr">
        <is>
          <t>Đã xác nhận</t>
        </is>
      </c>
      <c r="C1268" s="27" t="inlineStr">
        <is>
          <t>Confirmed</t>
        </is>
      </c>
      <c r="D1268" s="21" t="inlineStr">
        <is>
          <t>បានបញ្ជាក់</t>
        </is>
      </c>
      <c r="E1268" s="21" t="inlineStr">
        <is>
          <t>បានបញ្ជាក់</t>
        </is>
      </c>
      <c r="F1268" s="10" t="n"/>
      <c r="G1268" s="10" t="inlineStr">
        <is>
          <t>បានបញ្ជាក់</t>
        </is>
      </c>
      <c r="H1268" s="10" t="inlineStr">
        <is>
          <t>បានបញ្ជាក់</t>
        </is>
      </c>
      <c r="I1268" s="10" t="n"/>
      <c r="J1268" s="10" t="n"/>
      <c r="K1268" s="10" t="inlineStr">
        <is>
          <t>"shippingFeeCustomer.RECORD_COD_PAYMENT_DONE": "បានបញ្ជាក់",</t>
        </is>
      </c>
      <c r="L1268" s="10" t="n"/>
      <c r="M1268" s="10" t="n"/>
      <c r="N1268" s="10" t="n"/>
      <c r="O1268" s="10" t="n"/>
      <c r="P1268" s="10" t="n"/>
      <c r="Q1268" s="10" t="n"/>
      <c r="R1268" s="10" t="n"/>
      <c r="S1268" s="10" t="n"/>
      <c r="T1268" s="10" t="n"/>
      <c r="U1268" s="10" t="n"/>
      <c r="V1268" s="10" t="n"/>
      <c r="W1268" s="10" t="n"/>
      <c r="X1268" s="10" t="n"/>
      <c r="Y1268" s="10" t="n"/>
      <c r="Z1268" s="10" t="n"/>
    </row>
    <row r="1269">
      <c r="A1269" s="27" t="inlineStr">
        <is>
          <t>shippingFeeCustomer.RECORD_DELETE</t>
        </is>
      </c>
      <c r="B1269" s="27" t="inlineStr">
        <is>
          <t>Đã xóa</t>
        </is>
      </c>
      <c r="C1269" s="27" t="inlineStr">
        <is>
          <t>Deleted</t>
        </is>
      </c>
      <c r="D1269" s="21" t="inlineStr">
        <is>
          <t>បានលុប</t>
        </is>
      </c>
      <c r="E1269" s="21" t="inlineStr">
        <is>
          <t>បានលុប</t>
        </is>
      </c>
      <c r="F1269" s="10" t="n"/>
      <c r="G1269" s="10" t="inlineStr">
        <is>
          <t>បានលុប</t>
        </is>
      </c>
      <c r="H1269" s="10" t="inlineStr">
        <is>
          <t>បានលុប</t>
        </is>
      </c>
      <c r="I1269" s="10" t="n"/>
      <c r="J1269" s="10" t="n"/>
      <c r="K1269" s="10" t="inlineStr">
        <is>
          <t>"shippingFeeCustomer.RECORD_DELETE": "បានលុប",</t>
        </is>
      </c>
      <c r="L1269" s="10" t="n"/>
      <c r="M1269" s="10" t="n"/>
      <c r="N1269" s="10" t="n"/>
      <c r="O1269" s="10" t="n"/>
      <c r="P1269" s="10" t="n"/>
      <c r="Q1269" s="10" t="n"/>
      <c r="R1269" s="10" t="n"/>
      <c r="S1269" s="10" t="n"/>
      <c r="T1269" s="10" t="n"/>
      <c r="U1269" s="10" t="n"/>
      <c r="V1269" s="10" t="n"/>
      <c r="W1269" s="10" t="n"/>
      <c r="X1269" s="10" t="n"/>
      <c r="Y1269" s="10" t="n"/>
      <c r="Z1269" s="10" t="n"/>
    </row>
    <row r="1270">
      <c r="A1270" s="27" t="inlineStr">
        <is>
          <t>receivingKpi.selectOneDate</t>
        </is>
      </c>
      <c r="B1270" s="27" t="inlineStr">
        <is>
          <t>Vui lòng chọn 1 ngày</t>
        </is>
      </c>
      <c r="C1270" s="27" t="inlineStr">
        <is>
          <t>Please select a date</t>
        </is>
      </c>
      <c r="D1270" s="102" t="inlineStr">
        <is>
          <t>សូមជ្រើសរើសមួយថ្ងៃ!</t>
        </is>
      </c>
      <c r="E1270" s="102" t="inlineStr">
        <is>
          <t>សូមជ្រើសរើសមួយថ្ងៃ!</t>
        </is>
      </c>
      <c r="F1270" s="10" t="n"/>
      <c r="G1270" s="10" t="inlineStr">
        <is>
          <t>សូមជ្រើសរើសមួយថ្ងៃ!</t>
        </is>
      </c>
      <c r="H1270" s="10" t="inlineStr">
        <is>
          <t>សូមជ្រើសរើសមួយថ្ងៃ!</t>
        </is>
      </c>
      <c r="I1270" s="10" t="n"/>
      <c r="J1270" s="10" t="n"/>
      <c r="K1270" s="10" t="inlineStr">
        <is>
          <t>"receivingKpi.selectOneDate": "សូមជ្រើសរើសមួយថ្ងៃ!",</t>
        </is>
      </c>
      <c r="L1270" s="10" t="n"/>
      <c r="M1270" s="10" t="n"/>
      <c r="N1270" s="10" t="n"/>
      <c r="O1270" s="10" t="n"/>
      <c r="P1270" s="10" t="n"/>
      <c r="Q1270" s="10" t="n"/>
      <c r="R1270" s="10" t="n"/>
      <c r="S1270" s="10" t="n"/>
      <c r="T1270" s="10" t="n"/>
      <c r="U1270" s="10" t="n"/>
      <c r="V1270" s="10" t="n"/>
      <c r="W1270" s="10" t="n"/>
      <c r="X1270" s="10" t="n"/>
      <c r="Y1270" s="10" t="n"/>
      <c r="Z1270" s="10" t="n"/>
    </row>
    <row r="1271">
      <c r="A1271" s="27" t="inlineStr">
        <is>
          <t>receivingKpi.fileNameExcel</t>
        </is>
      </c>
      <c r="B1271" s="27" t="inlineStr">
        <is>
          <t>BaocaoKPIthu</t>
        </is>
      </c>
      <c r="C1271" s="27" t="inlineStr">
        <is>
          <t>RecevingKPIreport</t>
        </is>
      </c>
      <c r="D1271" s="102" t="n"/>
      <c r="E1271" s="90" t="inlineStr">
        <is>
          <t>របាយការណ៍ KPI ប្រមូលប្រាក់</t>
        </is>
      </c>
      <c r="F1271" s="10" t="n"/>
      <c r="G1271" s="10" t="inlineStr">
        <is>
          <t>របាយការណ៍ KPI ប្រមូលប្រាក់</t>
        </is>
      </c>
      <c r="H1271" s="10" t="inlineStr">
        <is>
          <t>របាយការណ៍ KPI ប្រមូលប្រាក់</t>
        </is>
      </c>
      <c r="I1271" s="10" t="n"/>
      <c r="J1271" s="10" t="n"/>
      <c r="K1271" s="10" t="inlineStr">
        <is>
          <t>"receivingKpi.fileNameExcel": "របាយការណ៍ KPI ប្រមូលប្រាក់",</t>
        </is>
      </c>
      <c r="L1271" s="10" t="n"/>
      <c r="M1271" s="10" t="n"/>
      <c r="N1271" s="10" t="n"/>
      <c r="O1271" s="10" t="n"/>
      <c r="P1271" s="10" t="n"/>
      <c r="Q1271" s="10" t="n"/>
      <c r="R1271" s="10" t="n"/>
      <c r="S1271" s="10" t="n"/>
      <c r="T1271" s="10" t="n"/>
      <c r="U1271" s="10" t="n"/>
      <c r="V1271" s="10" t="n"/>
      <c r="W1271" s="10" t="n"/>
      <c r="X1271" s="10" t="n"/>
      <c r="Y1271" s="10" t="n"/>
      <c r="Z1271" s="10" t="n"/>
    </row>
    <row r="1272">
      <c r="A1272" s="27" t="inlineStr">
        <is>
          <t>receivingKpi.exportSuccess</t>
        </is>
      </c>
      <c r="B1272" s="27" t="inlineStr">
        <is>
          <t>Xuất excel thành công</t>
        </is>
      </c>
      <c r="C1272" s="27" t="inlineStr">
        <is>
          <t>Export to Excel successful</t>
        </is>
      </c>
      <c r="D1272" s="21" t="inlineStr">
        <is>
          <t>ចេញពី Excelបានជោគជ័យ</t>
        </is>
      </c>
      <c r="E1272" s="21" t="inlineStr">
        <is>
          <t>ចេញពី Excelបានជោគជ័យ</t>
        </is>
      </c>
      <c r="F1272" s="10" t="n"/>
      <c r="G1272" s="10" t="inlineStr">
        <is>
          <t>ចេញពី Excelបានជោគជ័យ</t>
        </is>
      </c>
      <c r="H1272" s="10" t="inlineStr">
        <is>
          <t>ចេញពី Excelបានជោគជ័យ</t>
        </is>
      </c>
      <c r="I1272" s="10" t="n"/>
      <c r="J1272" s="10" t="n"/>
      <c r="K1272" s="10" t="inlineStr">
        <is>
          <t>"receivingKpi.exportSuccess": "ចេញពី Excelបានជោគជ័យ",</t>
        </is>
      </c>
      <c r="L1272" s="10" t="n"/>
      <c r="M1272" s="10" t="n"/>
      <c r="N1272" s="10" t="n"/>
      <c r="O1272" s="10" t="n"/>
      <c r="P1272" s="10" t="n"/>
      <c r="Q1272" s="10" t="n"/>
      <c r="R1272" s="10" t="n"/>
      <c r="S1272" s="10" t="n"/>
      <c r="T1272" s="10" t="n"/>
      <c r="U1272" s="10" t="n"/>
      <c r="V1272" s="10" t="n"/>
      <c r="W1272" s="10" t="n"/>
      <c r="X1272" s="10" t="n"/>
      <c r="Y1272" s="10" t="n"/>
      <c r="Z1272" s="10" t="n"/>
    </row>
    <row r="1273">
      <c r="A1273" s="27" t="inlineStr">
        <is>
          <t>receivingKpi.exportFail</t>
        </is>
      </c>
      <c r="B1273" s="27" t="inlineStr">
        <is>
          <t>Xuất excel thất bại</t>
        </is>
      </c>
      <c r="C1273" s="27" t="inlineStr">
        <is>
          <t>Export to Excel failed</t>
        </is>
      </c>
      <c r="D1273" s="21" t="inlineStr">
        <is>
          <t>ចេញពី Excel បរាជ័យ</t>
        </is>
      </c>
      <c r="E1273" s="24" t="inlineStr">
        <is>
          <t>ចេញពី Excel មិនបានជោគជ័យ</t>
        </is>
      </c>
      <c r="F1273" s="10" t="n"/>
      <c r="G1273" s="10" t="inlineStr">
        <is>
          <t>ចេញពី Excel មិនបានជោគជ័យ</t>
        </is>
      </c>
      <c r="H1273" s="10" t="inlineStr">
        <is>
          <t>ចេញពី Excel មិនបានជោគជ័យ</t>
        </is>
      </c>
      <c r="I1273" s="10" t="n"/>
      <c r="J1273" s="10" t="n"/>
      <c r="K1273" s="10" t="inlineStr">
        <is>
          <t>"receivingKpi.exportFail": "ចេញពី Excel មិនបានជោគជ័យ",</t>
        </is>
      </c>
      <c r="L1273" s="10" t="n"/>
      <c r="M1273" s="10" t="n"/>
      <c r="N1273" s="10" t="n"/>
      <c r="O1273" s="10" t="n"/>
      <c r="P1273" s="10" t="n"/>
      <c r="Q1273" s="10" t="n"/>
      <c r="R1273" s="10" t="n"/>
      <c r="S1273" s="10" t="n"/>
      <c r="T1273" s="10" t="n"/>
      <c r="U1273" s="10" t="n"/>
      <c r="V1273" s="10" t="n"/>
      <c r="W1273" s="10" t="n"/>
      <c r="X1273" s="10" t="n"/>
      <c r="Y1273" s="10" t="n"/>
      <c r="Z1273" s="10" t="n"/>
    </row>
    <row r="1274">
      <c r="A1274" s="27" t="inlineStr">
        <is>
          <t>receivingKpi.fileNameExcelDetail</t>
        </is>
      </c>
      <c r="B1274" s="27" t="inlineStr">
        <is>
          <t>xuatchitiet_baocaoKPIthu</t>
        </is>
      </c>
      <c r="C1274" s="27" t="inlineStr">
        <is>
          <t>Exportdetails_RecevingKPIreport</t>
        </is>
      </c>
      <c r="D1274" s="102" t="n"/>
      <c r="E1274" s="90" t="inlineStr">
        <is>
          <t>នាំចេញលម្អិត_របាយការណ៍ KPI ប្រមូលប្រាក់</t>
        </is>
      </c>
      <c r="F1274" s="10" t="n"/>
      <c r="G1274" s="10" t="inlineStr">
        <is>
          <t>នាំចេញលម្អិត_របាយការណ៍ KPI ប្រមូលប្រាក់</t>
        </is>
      </c>
      <c r="H1274" s="10" t="inlineStr">
        <is>
          <t>នាំចេញលម្អិត_របាយការណ៍ KPI ប្រមូលប្រាក់</t>
        </is>
      </c>
      <c r="I1274" s="10" t="n"/>
      <c r="J1274" s="10" t="n"/>
      <c r="K1274" s="10" t="inlineStr">
        <is>
          <t>"receivingKpi.fileNameExcelDetail": "នាំចេញលម្អិត_របាយការណ៍ KPI ប្រមូលប្រាក់",</t>
        </is>
      </c>
      <c r="L1274" s="10" t="n"/>
      <c r="M1274" s="10" t="n"/>
      <c r="N1274" s="10" t="n"/>
      <c r="O1274" s="10" t="n"/>
      <c r="P1274" s="10" t="n"/>
      <c r="Q1274" s="10" t="n"/>
      <c r="R1274" s="10" t="n"/>
      <c r="S1274" s="10" t="n"/>
      <c r="T1274" s="10" t="n"/>
      <c r="U1274" s="10" t="n"/>
      <c r="V1274" s="10" t="n"/>
      <c r="W1274" s="10" t="n"/>
      <c r="X1274" s="10" t="n"/>
      <c r="Y1274" s="10" t="n"/>
      <c r="Z1274" s="10" t="n"/>
    </row>
    <row r="1275">
      <c r="A1275" s="27" t="inlineStr">
        <is>
          <t>receivingKpi.selectDate</t>
        </is>
      </c>
      <c r="B1275" s="27" t="inlineStr">
        <is>
          <t>Chọn ngày</t>
        </is>
      </c>
      <c r="C1275" s="27" t="inlineStr">
        <is>
          <t>Select date</t>
        </is>
      </c>
      <c r="D1275" s="21" t="inlineStr">
        <is>
          <t>ជ្រើសរើសថ្ងៃ</t>
        </is>
      </c>
      <c r="E1275" s="21" t="inlineStr">
        <is>
          <t>ជ្រើសរើសថ្ងៃ</t>
        </is>
      </c>
      <c r="F1275" s="10" t="n"/>
      <c r="G1275" s="10" t="inlineStr">
        <is>
          <t>ជ្រើសរើសថ្ងៃ</t>
        </is>
      </c>
      <c r="H1275" s="10" t="inlineStr">
        <is>
          <t>ជ្រើសរើសថ្ងៃ</t>
        </is>
      </c>
      <c r="I1275" s="10" t="n"/>
      <c r="J1275" s="10" t="n"/>
      <c r="K1275" s="10" t="inlineStr">
        <is>
          <t>"receivingKpi.selectDate": "ជ្រើសរើសថ្ងៃ",</t>
        </is>
      </c>
      <c r="L1275" s="10" t="n"/>
      <c r="M1275" s="10" t="n"/>
      <c r="N1275" s="10" t="n"/>
      <c r="O1275" s="10" t="n"/>
      <c r="P1275" s="10" t="n"/>
      <c r="Q1275" s="10" t="n"/>
      <c r="R1275" s="10" t="n"/>
      <c r="S1275" s="10" t="n"/>
      <c r="T1275" s="10" t="n"/>
      <c r="U1275" s="10" t="n"/>
      <c r="V1275" s="10" t="n"/>
      <c r="W1275" s="10" t="n"/>
      <c r="X1275" s="10" t="n"/>
      <c r="Y1275" s="10" t="n"/>
      <c r="Z1275" s="10" t="n"/>
    </row>
    <row r="1276">
      <c r="A1276" s="27" t="inlineStr">
        <is>
          <t>receivingKpi.branch</t>
        </is>
      </c>
      <c r="B1276" s="27" t="inlineStr">
        <is>
          <t>Chi nhánh</t>
        </is>
      </c>
      <c r="C1276" s="27" t="inlineStr">
        <is>
          <t>Branch</t>
        </is>
      </c>
      <c r="D1276" s="21" t="inlineStr">
        <is>
          <t>សាខា</t>
        </is>
      </c>
      <c r="E1276" s="102" t="inlineStr">
        <is>
          <t>សាខា</t>
        </is>
      </c>
      <c r="F1276" s="10" t="n"/>
      <c r="G1276" s="10" t="inlineStr">
        <is>
          <t>សាខា</t>
        </is>
      </c>
      <c r="H1276" s="10" t="inlineStr">
        <is>
          <t>សាខា</t>
        </is>
      </c>
      <c r="I1276" s="10" t="n"/>
      <c r="J1276" s="10" t="n"/>
      <c r="K1276" s="10" t="inlineStr">
        <is>
          <t>"receivingKpi.branch": "សាខា",</t>
        </is>
      </c>
      <c r="L1276" s="10" t="n"/>
      <c r="M1276" s="10" t="n"/>
      <c r="N1276" s="10" t="n"/>
      <c r="O1276" s="10" t="n"/>
      <c r="P1276" s="10" t="n"/>
      <c r="Q1276" s="10" t="n"/>
      <c r="R1276" s="10" t="n"/>
      <c r="S1276" s="10" t="n"/>
      <c r="T1276" s="10" t="n"/>
      <c r="U1276" s="10" t="n"/>
      <c r="V1276" s="10" t="n"/>
      <c r="W1276" s="10" t="n"/>
      <c r="X1276" s="10" t="n"/>
      <c r="Y1276" s="10" t="n"/>
      <c r="Z1276" s="10" t="n"/>
    </row>
    <row r="1277">
      <c r="A1277" s="27" t="inlineStr">
        <is>
          <t>receivingKpi.selectBranch</t>
        </is>
      </c>
      <c r="B1277" s="27" t="inlineStr">
        <is>
          <t>Chọn chi nhánh</t>
        </is>
      </c>
      <c r="C1277" s="27" t="inlineStr">
        <is>
          <t>Select branch</t>
        </is>
      </c>
      <c r="D1277" s="21" t="inlineStr">
        <is>
          <t>ជ្រើសរើសសាខា</t>
        </is>
      </c>
      <c r="E1277" s="102" t="inlineStr">
        <is>
          <t>ជ្រើសរើសសាខា</t>
        </is>
      </c>
      <c r="F1277" s="10" t="n"/>
      <c r="G1277" s="10" t="inlineStr">
        <is>
          <t>ជ្រើសរើសសាខា</t>
        </is>
      </c>
      <c r="H1277" s="10" t="inlineStr">
        <is>
          <t>ជ្រើសរើសសាខា</t>
        </is>
      </c>
      <c r="I1277" s="10" t="n"/>
      <c r="J1277" s="10" t="n"/>
      <c r="K1277" s="10" t="inlineStr">
        <is>
          <t>"receivingKpi.selectBranch": "ជ្រើសរើសសាខា",</t>
        </is>
      </c>
      <c r="L1277" s="10" t="n"/>
      <c r="M1277" s="10" t="n"/>
      <c r="N1277" s="10" t="n"/>
      <c r="O1277" s="10" t="n"/>
      <c r="P1277" s="10" t="n"/>
      <c r="Q1277" s="10" t="n"/>
      <c r="R1277" s="10" t="n"/>
      <c r="S1277" s="10" t="n"/>
      <c r="T1277" s="10" t="n"/>
      <c r="U1277" s="10" t="n"/>
      <c r="V1277" s="10" t="n"/>
      <c r="W1277" s="10" t="n"/>
      <c r="X1277" s="10" t="n"/>
      <c r="Y1277" s="10" t="n"/>
      <c r="Z1277" s="10" t="n"/>
    </row>
    <row r="1278">
      <c r="A1278" s="27" t="inlineStr">
        <is>
          <t>receivingKpi.postOffice</t>
        </is>
      </c>
      <c r="B1278" s="27" t="inlineStr">
        <is>
          <t>Bưu cục</t>
        </is>
      </c>
      <c r="C1278" s="27" t="inlineStr">
        <is>
          <t>Post office</t>
        </is>
      </c>
      <c r="D1278" s="21" t="inlineStr">
        <is>
          <t>ការិយាល័យប្រៃសណីយ៍</t>
        </is>
      </c>
      <c r="E1278" s="102" t="inlineStr">
        <is>
          <t>ការិយាល័យប្រៃសណីយ៍</t>
        </is>
      </c>
      <c r="F1278" s="10" t="n"/>
      <c r="G1278" s="10" t="inlineStr">
        <is>
          <t>ការិយាល័យប្រៃសណីយ៍</t>
        </is>
      </c>
      <c r="H1278" s="10" t="inlineStr">
        <is>
          <t>ការិយាល័យប្រៃសណីយ៍</t>
        </is>
      </c>
      <c r="I1278" s="10" t="n"/>
      <c r="J1278" s="10" t="n"/>
      <c r="K1278" s="10" t="inlineStr">
        <is>
          <t>"receivingKpi.postOffice": "ការិយាល័យប្រៃសណីយ៍",</t>
        </is>
      </c>
      <c r="L1278" s="10" t="n"/>
      <c r="M1278" s="10" t="n"/>
      <c r="N1278" s="10" t="n"/>
      <c r="O1278" s="10" t="n"/>
      <c r="P1278" s="10" t="n"/>
      <c r="Q1278" s="10" t="n"/>
      <c r="R1278" s="10" t="n"/>
      <c r="S1278" s="10" t="n"/>
      <c r="T1278" s="10" t="n"/>
      <c r="U1278" s="10" t="n"/>
      <c r="V1278" s="10" t="n"/>
      <c r="W1278" s="10" t="n"/>
      <c r="X1278" s="10" t="n"/>
      <c r="Y1278" s="10" t="n"/>
      <c r="Z1278" s="10" t="n"/>
    </row>
    <row r="1279">
      <c r="A1279" s="27" t="inlineStr">
        <is>
          <t>receivingKpi.selectPostOffice</t>
        </is>
      </c>
      <c r="B1279" s="27" t="inlineStr">
        <is>
          <t>Chọn bưu cục</t>
        </is>
      </c>
      <c r="C1279" s="27" t="inlineStr">
        <is>
          <t>Select post office</t>
        </is>
      </c>
      <c r="D1279" s="21" t="inlineStr">
        <is>
          <t>ជ្រើសរើសការិយាល័យបប្រៃសណីយ៍</t>
        </is>
      </c>
      <c r="E1279" s="102" t="inlineStr">
        <is>
          <t>ជ្រើសរើសការិយាល័យប្រៃសណីយ៍</t>
        </is>
      </c>
      <c r="F1279" s="10" t="n"/>
      <c r="G1279" s="10" t="inlineStr">
        <is>
          <t>ជ្រើសរើសការិយាល័យប្រៃសណីយ៍</t>
        </is>
      </c>
      <c r="H1279" s="10" t="inlineStr">
        <is>
          <t>ជ្រើសរើសការិយាល័យប្រៃសណីយ៍</t>
        </is>
      </c>
      <c r="I1279" s="10" t="n"/>
      <c r="J1279" s="10" t="n"/>
      <c r="K1279" s="10" t="inlineStr">
        <is>
          <t>"receivingKpi.selectPostOffice": "ជ្រើសរើសការិយាល័យប្រៃសណីយ៍",</t>
        </is>
      </c>
      <c r="L1279" s="10" t="n"/>
      <c r="M1279" s="10" t="n"/>
      <c r="N1279" s="10" t="n"/>
      <c r="O1279" s="10" t="n"/>
      <c r="P1279" s="10" t="n"/>
      <c r="Q1279" s="10" t="n"/>
      <c r="R1279" s="10" t="n"/>
      <c r="S1279" s="10" t="n"/>
      <c r="T1279" s="10" t="n"/>
      <c r="U1279" s="10" t="n"/>
      <c r="V1279" s="10" t="n"/>
      <c r="W1279" s="10" t="n"/>
      <c r="X1279" s="10" t="n"/>
      <c r="Y1279" s="10" t="n"/>
      <c r="Z1279" s="10" t="n"/>
    </row>
    <row r="1280">
      <c r="A1280" s="27" t="inlineStr">
        <is>
          <t>receivingKpi.postman</t>
        </is>
      </c>
      <c r="B1280" s="27" t="inlineStr">
        <is>
          <t>Tuyến</t>
        </is>
      </c>
      <c r="C1280" s="27" t="inlineStr">
        <is>
          <t>Route</t>
        </is>
      </c>
      <c r="D1280" s="102" t="inlineStr">
        <is>
          <t>ផ្លូវដឹក</t>
        </is>
      </c>
      <c r="E1280" s="102" t="inlineStr">
        <is>
          <t>ផ្លូវដឹក</t>
        </is>
      </c>
      <c r="F1280" s="10" t="n"/>
      <c r="G1280" s="10" t="inlineStr">
        <is>
          <t>ផ្លូវដឹក</t>
        </is>
      </c>
      <c r="H1280" s="10" t="inlineStr">
        <is>
          <t>ផ្លូវដឹក</t>
        </is>
      </c>
      <c r="I1280" s="10" t="n"/>
      <c r="J1280" s="10" t="n"/>
      <c r="K1280" s="10" t="inlineStr">
        <is>
          <t>"receivingKpi.postman": "ផ្លូវដឹក",</t>
        </is>
      </c>
      <c r="L1280" s="10" t="n"/>
      <c r="M1280" s="10" t="n"/>
      <c r="N1280" s="10" t="n"/>
      <c r="O1280" s="10" t="n"/>
      <c r="P1280" s="10" t="n"/>
      <c r="Q1280" s="10" t="n"/>
      <c r="R1280" s="10" t="n"/>
      <c r="S1280" s="10" t="n"/>
      <c r="T1280" s="10" t="n"/>
      <c r="U1280" s="10" t="n"/>
      <c r="V1280" s="10" t="n"/>
      <c r="W1280" s="10" t="n"/>
      <c r="X1280" s="10" t="n"/>
      <c r="Y1280" s="10" t="n"/>
      <c r="Z1280" s="10" t="n"/>
    </row>
    <row r="1281">
      <c r="A1281" s="27" t="inlineStr">
        <is>
          <t>receivingKpi.selectPostman</t>
        </is>
      </c>
      <c r="B1281" s="27" t="inlineStr">
        <is>
          <t>Chọn tuyến</t>
        </is>
      </c>
      <c r="C1281" s="27" t="inlineStr">
        <is>
          <t>Select route</t>
        </is>
      </c>
      <c r="D1281" s="102" t="inlineStr">
        <is>
          <t>ជ្រើសរើសផ្លូវដឹក</t>
        </is>
      </c>
      <c r="E1281" s="102" t="inlineStr">
        <is>
          <t>ជ្រើសរើសផ្លូវដឹក</t>
        </is>
      </c>
      <c r="F1281" s="10" t="n"/>
      <c r="G1281" s="10" t="inlineStr">
        <is>
          <t>ជ្រើសរើសផ្លូវដឹក</t>
        </is>
      </c>
      <c r="H1281" s="10" t="inlineStr">
        <is>
          <t>ជ្រើសរើសផ្លូវដឹក</t>
        </is>
      </c>
      <c r="I1281" s="10" t="n"/>
      <c r="J1281" s="10" t="n"/>
      <c r="K1281" s="10" t="inlineStr">
        <is>
          <t>"receivingKpi.selectPostman": "ជ្រើសរើសផ្លូវដឹក",</t>
        </is>
      </c>
      <c r="L1281" s="10" t="n"/>
      <c r="M1281" s="10" t="n"/>
      <c r="N1281" s="10" t="n"/>
      <c r="O1281" s="10" t="n"/>
      <c r="P1281" s="10" t="n"/>
      <c r="Q1281" s="10" t="n"/>
      <c r="R1281" s="10" t="n"/>
      <c r="S1281" s="10" t="n"/>
      <c r="T1281" s="10" t="n"/>
      <c r="U1281" s="10" t="n"/>
      <c r="V1281" s="10" t="n"/>
      <c r="W1281" s="10" t="n"/>
      <c r="X1281" s="10" t="n"/>
      <c r="Y1281" s="10" t="n"/>
      <c r="Z1281" s="10" t="n"/>
    </row>
    <row r="1282">
      <c r="A1282" s="27" t="inlineStr">
        <is>
          <t>receivingKpi.customer</t>
        </is>
      </c>
      <c r="B1282" s="27" t="inlineStr">
        <is>
          <t>Khách hàng</t>
        </is>
      </c>
      <c r="C1282" s="27" t="inlineStr">
        <is>
          <t>Customer</t>
        </is>
      </c>
      <c r="D1282" s="102" t="inlineStr">
        <is>
          <t>អតិថិជន</t>
        </is>
      </c>
      <c r="E1282" s="102" t="inlineStr">
        <is>
          <t>អតិថិជន</t>
        </is>
      </c>
      <c r="F1282" s="10" t="n"/>
      <c r="G1282" s="10" t="inlineStr">
        <is>
          <t>អតិថិជន</t>
        </is>
      </c>
      <c r="H1282" s="10" t="inlineStr">
        <is>
          <t>អតិថិជន</t>
        </is>
      </c>
      <c r="I1282" s="10" t="n"/>
      <c r="J1282" s="10" t="n"/>
      <c r="K1282" s="10" t="inlineStr">
        <is>
          <t>"receivingKpi.customer": "អតិថិជន",</t>
        </is>
      </c>
      <c r="L1282" s="10" t="n"/>
      <c r="M1282" s="10" t="n"/>
      <c r="N1282" s="10" t="n"/>
      <c r="O1282" s="10" t="n"/>
      <c r="P1282" s="10" t="n"/>
      <c r="Q1282" s="10" t="n"/>
      <c r="R1282" s="10" t="n"/>
      <c r="S1282" s="10" t="n"/>
      <c r="T1282" s="10" t="n"/>
      <c r="U1282" s="10" t="n"/>
      <c r="V1282" s="10" t="n"/>
      <c r="W1282" s="10" t="n"/>
      <c r="X1282" s="10" t="n"/>
      <c r="Y1282" s="10" t="n"/>
      <c r="Z1282" s="10" t="n"/>
    </row>
    <row r="1283">
      <c r="A1283" s="27" t="inlineStr">
        <is>
          <t>receivingKpi.selectCustomer</t>
        </is>
      </c>
      <c r="B1283" s="27" t="inlineStr">
        <is>
          <t>Chọn khách hàng</t>
        </is>
      </c>
      <c r="C1283" s="27" t="inlineStr">
        <is>
          <t>Select customer</t>
        </is>
      </c>
      <c r="D1283" s="21" t="inlineStr">
        <is>
          <t>ជ្រើសរើសអតិថិជន</t>
        </is>
      </c>
      <c r="E1283" s="102" t="inlineStr">
        <is>
          <t>ជ្រើសរើសអតិថិជន</t>
        </is>
      </c>
      <c r="F1283" s="10" t="n"/>
      <c r="G1283" s="10" t="inlineStr">
        <is>
          <t>ជ្រើសរើសអតិថិជន</t>
        </is>
      </c>
      <c r="H1283" s="10" t="inlineStr">
        <is>
          <t>ជ្រើសរើសអតិថិជន</t>
        </is>
      </c>
      <c r="I1283" s="10" t="n"/>
      <c r="J1283" s="10" t="n"/>
      <c r="K1283" s="10" t="inlineStr">
        <is>
          <t>"receivingKpi.selectCustomer": "ជ្រើសរើសអតិថិជន",</t>
        </is>
      </c>
      <c r="L1283" s="10" t="n"/>
      <c r="M1283" s="10" t="n"/>
      <c r="N1283" s="10" t="n"/>
      <c r="O1283" s="10" t="n"/>
      <c r="P1283" s="10" t="n"/>
      <c r="Q1283" s="10" t="n"/>
      <c r="R1283" s="10" t="n"/>
      <c r="S1283" s="10" t="n"/>
      <c r="T1283" s="10" t="n"/>
      <c r="U1283" s="10" t="n"/>
      <c r="V1283" s="10" t="n"/>
      <c r="W1283" s="10" t="n"/>
      <c r="X1283" s="10" t="n"/>
      <c r="Y1283" s="10" t="n"/>
      <c r="Z1283" s="10" t="n"/>
    </row>
    <row r="1284">
      <c r="A1284" s="27" t="inlineStr">
        <is>
          <t>receivingKpi.service</t>
        </is>
      </c>
      <c r="B1284" s="27" t="inlineStr">
        <is>
          <t>Dịch vụ</t>
        </is>
      </c>
      <c r="C1284" s="27" t="inlineStr">
        <is>
          <t>Service</t>
        </is>
      </c>
      <c r="D1284" s="27" t="inlineStr">
        <is>
          <t>សេវាកម្ម</t>
        </is>
      </c>
      <c r="E1284" s="102" t="inlineStr">
        <is>
          <t>សេវាកម្ម</t>
        </is>
      </c>
      <c r="F1284" s="10" t="n"/>
      <c r="G1284" s="10" t="inlineStr">
        <is>
          <t>សេវាកម្ម</t>
        </is>
      </c>
      <c r="H1284" s="10" t="inlineStr">
        <is>
          <t>សេវាកម្ម</t>
        </is>
      </c>
      <c r="I1284" s="10" t="n"/>
      <c r="J1284" s="10" t="n"/>
      <c r="K1284" s="10" t="inlineStr">
        <is>
          <t>"receivingKpi.service": "សេវាកម្ម",</t>
        </is>
      </c>
      <c r="L1284" s="10" t="n"/>
      <c r="M1284" s="10" t="n"/>
      <c r="N1284" s="10" t="n"/>
      <c r="O1284" s="10" t="n"/>
      <c r="P1284" s="10" t="n"/>
      <c r="Q1284" s="10" t="n"/>
      <c r="R1284" s="10" t="n"/>
      <c r="S1284" s="10" t="n"/>
      <c r="T1284" s="10" t="n"/>
      <c r="U1284" s="10" t="n"/>
      <c r="V1284" s="10" t="n"/>
      <c r="W1284" s="10" t="n"/>
      <c r="X1284" s="10" t="n"/>
      <c r="Y1284" s="10" t="n"/>
      <c r="Z1284" s="10" t="n"/>
    </row>
    <row r="1285">
      <c r="A1285" s="27" t="inlineStr">
        <is>
          <t>receivingKpi.selectService</t>
        </is>
      </c>
      <c r="B1285" s="27" t="inlineStr">
        <is>
          <t>Chọn dịch vụ</t>
        </is>
      </c>
      <c r="C1285" s="27" t="inlineStr">
        <is>
          <t>Select service</t>
        </is>
      </c>
      <c r="D1285" s="21" t="inlineStr">
        <is>
          <t>ជ្រើសរើសសេវាកម្ម</t>
        </is>
      </c>
      <c r="E1285" s="102" t="inlineStr">
        <is>
          <t>ជ្រើសរើសសេវាកម្ម</t>
        </is>
      </c>
      <c r="F1285" s="10" t="n"/>
      <c r="G1285" s="10" t="inlineStr">
        <is>
          <t>ជ្រើសរើសសេវាកម្ម</t>
        </is>
      </c>
      <c r="H1285" s="10" t="inlineStr">
        <is>
          <t>ជ្រើសរើសសេវាកម្ម</t>
        </is>
      </c>
      <c r="I1285" s="10" t="n"/>
      <c r="J1285" s="10" t="n"/>
      <c r="K1285" s="10" t="inlineStr">
        <is>
          <t>"receivingKpi.selectService": "ជ្រើសរើសសេវាកម្ម",</t>
        </is>
      </c>
      <c r="L1285" s="10" t="n"/>
      <c r="M1285" s="10" t="n"/>
      <c r="N1285" s="10" t="n"/>
      <c r="O1285" s="10" t="n"/>
      <c r="P1285" s="10" t="n"/>
      <c r="Q1285" s="10" t="n"/>
      <c r="R1285" s="10" t="n"/>
      <c r="S1285" s="10" t="n"/>
      <c r="T1285" s="10" t="n"/>
      <c r="U1285" s="10" t="n"/>
      <c r="V1285" s="10" t="n"/>
      <c r="W1285" s="10" t="n"/>
      <c r="X1285" s="10" t="n"/>
      <c r="Y1285" s="10" t="n"/>
      <c r="Z1285" s="10" t="n"/>
    </row>
    <row r="1286">
      <c r="A1286" s="27" t="inlineStr">
        <is>
          <t>receivingKpi.total</t>
        </is>
      </c>
      <c r="B1286" s="27" t="inlineStr">
        <is>
          <t>Tổng đơn phải nhận</t>
        </is>
      </c>
      <c r="C1286" s="27" t="inlineStr">
        <is>
          <t>Total orders to receive</t>
        </is>
      </c>
      <c r="D1286" s="21" t="inlineStr">
        <is>
          <t>សរុបបុងដែលត្រូវទទួល</t>
        </is>
      </c>
      <c r="E1286" s="102" t="inlineStr">
        <is>
          <t>សរុុបបុងបញ្ញើដែលត្រូវទទួល</t>
        </is>
      </c>
      <c r="F1286" s="10" t="n"/>
      <c r="G1286" s="10" t="inlineStr">
        <is>
          <t>សរុុបបុងបញ្ញើដែលត្រូវទទួល</t>
        </is>
      </c>
      <c r="H1286" s="10" t="inlineStr">
        <is>
          <t>សរុុបបុងបញ្ញើដែលត្រូវទទួល</t>
        </is>
      </c>
      <c r="I1286" s="10" t="n"/>
      <c r="J1286" s="10" t="n"/>
      <c r="K1286" s="10" t="inlineStr">
        <is>
          <t>"receivingKpi.total": "សរុុបបុងបញ្ញើដែលត្រូវទទួល",</t>
        </is>
      </c>
      <c r="L1286" s="10" t="n"/>
      <c r="M1286" s="10" t="n"/>
      <c r="N1286" s="10" t="n"/>
      <c r="O1286" s="10" t="n"/>
      <c r="P1286" s="10" t="n"/>
      <c r="Q1286" s="10" t="n"/>
      <c r="R1286" s="10" t="n"/>
      <c r="S1286" s="10" t="n"/>
      <c r="T1286" s="10" t="n"/>
      <c r="U1286" s="10" t="n"/>
      <c r="V1286" s="10" t="n"/>
      <c r="W1286" s="10" t="n"/>
      <c r="X1286" s="10" t="n"/>
      <c r="Y1286" s="10" t="n"/>
      <c r="Z1286" s="10" t="n"/>
    </row>
    <row r="1287">
      <c r="A1287" s="27" t="inlineStr">
        <is>
          <t>receivingKpi.totalSuccess</t>
        </is>
      </c>
      <c r="B1287" s="27" t="inlineStr">
        <is>
          <t>Tổng đơn nhận thành công</t>
        </is>
      </c>
      <c r="C1287" s="27" t="inlineStr">
        <is>
          <t>Total successfully received orders</t>
        </is>
      </c>
      <c r="D1287" s="21" t="inlineStr">
        <is>
          <t>សរុបបុុងទទួលបានជោគជ័យ</t>
        </is>
      </c>
      <c r="E1287" s="102" t="inlineStr">
        <is>
          <t>សរុបបុងបញ្ញើដែលបានទទួលជោគជ័យ</t>
        </is>
      </c>
      <c r="F1287" s="10" t="n"/>
      <c r="G1287" s="10" t="inlineStr">
        <is>
          <t>សរុបបុងបញ្ញើដែលបានទទួលជោគជ័យ</t>
        </is>
      </c>
      <c r="H1287" s="10" t="inlineStr">
        <is>
          <t>សរុបបុងបញ្ញើដែលបានទទួលជោគជ័យ</t>
        </is>
      </c>
      <c r="I1287" s="10" t="n"/>
      <c r="J1287" s="10" t="n"/>
      <c r="K1287" s="10" t="inlineStr">
        <is>
          <t>"receivingKpi.totalSuccess": "សរុបបុងបញ្ញើដែលបានទទួលជោគជ័យ",</t>
        </is>
      </c>
      <c r="L1287" s="10" t="n"/>
      <c r="M1287" s="10" t="n"/>
      <c r="N1287" s="10" t="n"/>
      <c r="O1287" s="10" t="n"/>
      <c r="P1287" s="10" t="n"/>
      <c r="Q1287" s="10" t="n"/>
      <c r="R1287" s="10" t="n"/>
      <c r="S1287" s="10" t="n"/>
      <c r="T1287" s="10" t="n"/>
      <c r="U1287" s="10" t="n"/>
      <c r="V1287" s="10" t="n"/>
      <c r="W1287" s="10" t="n"/>
      <c r="X1287" s="10" t="n"/>
      <c r="Y1287" s="10" t="n"/>
      <c r="Z1287" s="10" t="n"/>
    </row>
    <row r="1288">
      <c r="A1288" s="27" t="inlineStr">
        <is>
          <t>receivingKpi.successRate</t>
        </is>
      </c>
      <c r="B1288" s="27" t="inlineStr">
        <is>
          <t>Tỷ lệ thu thành công</t>
        </is>
      </c>
      <c r="C1288" s="27" t="inlineStr">
        <is>
          <t>Successful receiving rate</t>
        </is>
      </c>
      <c r="D1288" s="102" t="inlineStr">
        <is>
          <t>ភាគរយប្រមូលបានជោគជ័យ</t>
        </is>
      </c>
      <c r="E1288" s="102" t="inlineStr">
        <is>
          <t>ភាគរយប្រមូលបានជោគជ័យ</t>
        </is>
      </c>
      <c r="F1288" s="10" t="n"/>
      <c r="G1288" s="10" t="inlineStr">
        <is>
          <t>ភាគរយប្រមូលបានជោគជ័យ</t>
        </is>
      </c>
      <c r="H1288" s="10" t="inlineStr">
        <is>
          <t>ភាគរយប្រមូលបានជោគជ័យ</t>
        </is>
      </c>
      <c r="I1288" s="10" t="n"/>
      <c r="J1288" s="10" t="n"/>
      <c r="K1288" s="10" t="inlineStr">
        <is>
          <t>"receivingKpi.successRate": "ភាគរយប្រមូលបានជោគជ័យ",</t>
        </is>
      </c>
      <c r="L1288" s="10" t="n"/>
      <c r="M1288" s="10" t="n"/>
      <c r="N1288" s="10" t="n"/>
      <c r="O1288" s="10" t="n"/>
      <c r="P1288" s="10" t="n"/>
      <c r="Q1288" s="10" t="n"/>
      <c r="R1288" s="10" t="n"/>
      <c r="S1288" s="10" t="n"/>
      <c r="T1288" s="10" t="n"/>
      <c r="U1288" s="10" t="n"/>
      <c r="V1288" s="10" t="n"/>
      <c r="W1288" s="10" t="n"/>
      <c r="X1288" s="10" t="n"/>
      <c r="Y1288" s="10" t="n"/>
      <c r="Z1288" s="10" t="n"/>
    </row>
    <row r="1289">
      <c r="A1289" s="27" t="inlineStr">
        <is>
          <t>receivingKpi.calculateDate</t>
        </is>
      </c>
      <c r="B1289" s="27" t="inlineStr">
        <is>
          <t>Luỹ kế ngày</t>
        </is>
      </c>
      <c r="C1289" s="27" t="inlineStr">
        <is>
          <t>Day-to-date</t>
        </is>
      </c>
      <c r="D1289" s="21" t="n"/>
      <c r="E1289" s="99" t="inlineStr">
        <is>
          <t>សរុបតាមថ្ងៃ</t>
        </is>
      </c>
      <c r="F1289" s="10" t="n"/>
      <c r="G1289" s="10" t="inlineStr">
        <is>
          <t>សរុបតាមថ្ងៃ</t>
        </is>
      </c>
      <c r="H1289" s="10" t="inlineStr">
        <is>
          <t>សរុបតាមថ្ងៃ</t>
        </is>
      </c>
      <c r="I1289" s="10" t="n"/>
      <c r="J1289" s="10" t="n"/>
      <c r="K1289" s="10" t="inlineStr">
        <is>
          <t>"receivingKpi.calculateDate": "សរុបតាមថ្ងៃ",</t>
        </is>
      </c>
      <c r="L1289" s="10" t="n"/>
      <c r="M1289" s="10" t="n"/>
      <c r="N1289" s="10" t="n"/>
      <c r="O1289" s="10" t="n"/>
      <c r="P1289" s="10" t="n"/>
      <c r="Q1289" s="10" t="n"/>
      <c r="R1289" s="10" t="n"/>
      <c r="S1289" s="10" t="n"/>
      <c r="T1289" s="10" t="n"/>
      <c r="U1289" s="10" t="n"/>
      <c r="V1289" s="10" t="n"/>
      <c r="W1289" s="10" t="n"/>
      <c r="X1289" s="10" t="n"/>
      <c r="Y1289" s="10" t="n"/>
      <c r="Z1289" s="10" t="n"/>
    </row>
    <row r="1290">
      <c r="A1290" s="27" t="inlineStr">
        <is>
          <t>receivingKpi.calculateMonth</t>
        </is>
      </c>
      <c r="B1290" s="27" t="inlineStr">
        <is>
          <t>Luỹ kế tháng</t>
        </is>
      </c>
      <c r="C1290" s="27" t="inlineStr">
        <is>
          <t>Month-to-date</t>
        </is>
      </c>
      <c r="D1290" s="21" t="n"/>
      <c r="E1290" s="102" t="inlineStr">
        <is>
          <t>សរុបតាមខែ</t>
        </is>
      </c>
      <c r="F1290" s="10" t="n"/>
      <c r="G1290" s="10" t="inlineStr">
        <is>
          <t>សរុបតាមខែ</t>
        </is>
      </c>
      <c r="H1290" s="10" t="inlineStr">
        <is>
          <t>សរុបតាមខែ</t>
        </is>
      </c>
      <c r="I1290" s="10" t="n"/>
      <c r="J1290" s="10" t="n"/>
      <c r="K1290" s="10" t="inlineStr">
        <is>
          <t>"receivingKpi.calculateMonth": "សរុបតាមខែ",</t>
        </is>
      </c>
      <c r="L1290" s="10" t="n"/>
      <c r="M1290" s="10" t="n"/>
      <c r="N1290" s="10" t="n"/>
      <c r="O1290" s="10" t="n"/>
      <c r="P1290" s="10" t="n"/>
      <c r="Q1290" s="10" t="n"/>
      <c r="R1290" s="10" t="n"/>
      <c r="S1290" s="10" t="n"/>
      <c r="T1290" s="10" t="n"/>
      <c r="U1290" s="10" t="n"/>
      <c r="V1290" s="10" t="n"/>
      <c r="W1290" s="10" t="n"/>
      <c r="X1290" s="10" t="n"/>
      <c r="Y1290" s="10" t="n"/>
      <c r="Z1290" s="10" t="n"/>
    </row>
    <row r="1291">
      <c r="A1291" s="27" t="inlineStr">
        <is>
          <t>receivingKpi.orderCode</t>
        </is>
      </c>
      <c r="B1291" s="27" t="inlineStr">
        <is>
          <t>Mã phiếu gửi</t>
        </is>
      </c>
      <c r="C1291" s="27" t="inlineStr">
        <is>
          <t>Order ID</t>
        </is>
      </c>
      <c r="D1291" s="21" t="inlineStr">
        <is>
          <t>លេខកូដបុុងបញ្ញើ</t>
        </is>
      </c>
      <c r="E1291" s="102" t="inlineStr">
        <is>
          <t>លេខកូដបុងបញ្ញើ</t>
        </is>
      </c>
      <c r="F1291" s="10" t="n"/>
      <c r="G1291" s="10" t="inlineStr">
        <is>
          <t>លេខកូដបុងបញ្ញើ</t>
        </is>
      </c>
      <c r="H1291" s="10" t="inlineStr">
        <is>
          <t>លេខកូដបុងបញ្ញើ</t>
        </is>
      </c>
      <c r="I1291" s="10" t="n"/>
      <c r="J1291" s="10" t="n"/>
      <c r="K1291" s="10" t="inlineStr">
        <is>
          <t>"receivingKpi.orderCode": "លេខកូដបុងបញ្ញើ",</t>
        </is>
      </c>
      <c r="L1291" s="10" t="n"/>
      <c r="M1291" s="10" t="n"/>
      <c r="N1291" s="10" t="n"/>
      <c r="O1291" s="10" t="n"/>
      <c r="P1291" s="10" t="n"/>
      <c r="Q1291" s="10" t="n"/>
      <c r="R1291" s="10" t="n"/>
      <c r="S1291" s="10" t="n"/>
      <c r="T1291" s="10" t="n"/>
      <c r="U1291" s="10" t="n"/>
      <c r="V1291" s="10" t="n"/>
      <c r="W1291" s="10" t="n"/>
      <c r="X1291" s="10" t="n"/>
      <c r="Y1291" s="10" t="n"/>
      <c r="Z1291" s="10" t="n"/>
    </row>
    <row r="1292">
      <c r="A1292" s="27" t="inlineStr">
        <is>
          <t>receivingKpi.status</t>
        </is>
      </c>
      <c r="B1292" s="27" t="inlineStr">
        <is>
          <t>Trạng thái</t>
        </is>
      </c>
      <c r="C1292" s="27" t="inlineStr">
        <is>
          <t>Status</t>
        </is>
      </c>
      <c r="D1292" s="21" t="inlineStr">
        <is>
          <t>ស្ថានភាព</t>
        </is>
      </c>
      <c r="E1292" s="102" t="inlineStr">
        <is>
          <t>ស្ថានភាព</t>
        </is>
      </c>
      <c r="F1292" s="10" t="n"/>
      <c r="G1292" s="10" t="inlineStr">
        <is>
          <t>ស្ថានភាព</t>
        </is>
      </c>
      <c r="H1292" s="10" t="inlineStr">
        <is>
          <t>ស្ថានភាព</t>
        </is>
      </c>
      <c r="I1292" s="10" t="n"/>
      <c r="J1292" s="10" t="n"/>
      <c r="K1292" s="10" t="inlineStr">
        <is>
          <t>"receivingKpi.status": "ស្ថានភាព",</t>
        </is>
      </c>
      <c r="L1292" s="10" t="n"/>
      <c r="M1292" s="10" t="n"/>
      <c r="N1292" s="10" t="n"/>
      <c r="O1292" s="10" t="n"/>
      <c r="P1292" s="10" t="n"/>
      <c r="Q1292" s="10" t="n"/>
      <c r="R1292" s="10" t="n"/>
      <c r="S1292" s="10" t="n"/>
      <c r="T1292" s="10" t="n"/>
      <c r="U1292" s="10" t="n"/>
      <c r="V1292" s="10" t="n"/>
      <c r="W1292" s="10" t="n"/>
      <c r="X1292" s="10" t="n"/>
      <c r="Y1292" s="10" t="n"/>
      <c r="Z1292" s="10" t="n"/>
    </row>
    <row r="1293">
      <c r="A1293" s="27" t="inlineStr">
        <is>
          <t>receivingKpi.receivingBranch</t>
        </is>
      </c>
      <c r="B1293" s="27" t="inlineStr">
        <is>
          <t>Chi nhánh nhận</t>
        </is>
      </c>
      <c r="C1293" s="27" t="inlineStr">
        <is>
          <t>Receiving branch</t>
        </is>
      </c>
      <c r="D1293" s="21" t="inlineStr">
        <is>
          <t>សាខាទទួល</t>
        </is>
      </c>
      <c r="E1293" s="102" t="inlineStr">
        <is>
          <t>សាខាទទួល</t>
        </is>
      </c>
      <c r="F1293" s="10" t="n"/>
      <c r="G1293" s="10" t="inlineStr">
        <is>
          <t>សាខាទទួល</t>
        </is>
      </c>
      <c r="H1293" s="10" t="inlineStr">
        <is>
          <t>សាខាទទួល</t>
        </is>
      </c>
      <c r="I1293" s="10" t="n"/>
      <c r="J1293" s="10" t="n"/>
      <c r="K1293" s="10" t="inlineStr">
        <is>
          <t>"receivingKpi.receivingBranch": "សាខាទទួល",</t>
        </is>
      </c>
      <c r="L1293" s="10" t="n"/>
      <c r="M1293" s="10" t="n"/>
      <c r="N1293" s="10" t="n"/>
      <c r="O1293" s="10" t="n"/>
      <c r="P1293" s="10" t="n"/>
      <c r="Q1293" s="10" t="n"/>
      <c r="R1293" s="10" t="n"/>
      <c r="S1293" s="10" t="n"/>
      <c r="T1293" s="10" t="n"/>
      <c r="U1293" s="10" t="n"/>
      <c r="V1293" s="10" t="n"/>
      <c r="W1293" s="10" t="n"/>
      <c r="X1293" s="10" t="n"/>
      <c r="Y1293" s="10" t="n"/>
      <c r="Z1293" s="10" t="n"/>
    </row>
    <row r="1294">
      <c r="A1294" s="27" t="inlineStr">
        <is>
          <t>receivingKpi.receivingPostOffice</t>
        </is>
      </c>
      <c r="B1294" s="27" t="inlineStr">
        <is>
          <t>Bưu cục nhận</t>
        </is>
      </c>
      <c r="C1294" s="27" t="inlineStr">
        <is>
          <t>Receiving post office</t>
        </is>
      </c>
      <c r="D1294" s="21" t="inlineStr">
        <is>
          <t>ការិយាល័យប្រៃសណីយ៍ទទួល</t>
        </is>
      </c>
      <c r="E1294" s="21" t="inlineStr">
        <is>
          <t>ការិយាល័យប្រៃសណីយ៍ទទួល</t>
        </is>
      </c>
      <c r="F1294" s="10" t="n"/>
      <c r="G1294" s="10" t="inlineStr">
        <is>
          <t>ការិយាល័យប្រៃសណីយ៍ទទួល</t>
        </is>
      </c>
      <c r="H1294" s="10" t="inlineStr">
        <is>
          <t>ការិយាល័យប្រៃសណីយ៍ទទួល</t>
        </is>
      </c>
      <c r="I1294" s="10" t="n"/>
      <c r="J1294" s="10" t="n"/>
      <c r="K1294" s="10" t="inlineStr">
        <is>
          <t>"receivingKpi.receivingPostOffice": "ការិយាល័យប្រៃសណីយ៍ទទួល",</t>
        </is>
      </c>
      <c r="L1294" s="10" t="n"/>
      <c r="M1294" s="10" t="n"/>
      <c r="N1294" s="10" t="n"/>
      <c r="O1294" s="10" t="n"/>
      <c r="P1294" s="10" t="n"/>
      <c r="Q1294" s="10" t="n"/>
      <c r="R1294" s="10" t="n"/>
      <c r="S1294" s="10" t="n"/>
      <c r="T1294" s="10" t="n"/>
      <c r="U1294" s="10" t="n"/>
      <c r="V1294" s="10" t="n"/>
      <c r="W1294" s="10" t="n"/>
      <c r="X1294" s="10" t="n"/>
      <c r="Y1294" s="10" t="n"/>
      <c r="Z1294" s="10" t="n"/>
    </row>
    <row r="1295">
      <c r="A1295" s="27" t="inlineStr">
        <is>
          <t>receivingKpi.receivingPostman</t>
        </is>
      </c>
      <c r="B1295" s="27" t="inlineStr">
        <is>
          <t>Tuyến bưu tá nhận</t>
        </is>
      </c>
      <c r="C1295" s="27" t="inlineStr">
        <is>
          <t>Receiving route</t>
        </is>
      </c>
      <c r="D1295" s="21" t="inlineStr">
        <is>
          <t>ផ្លូ្លវអ្នកដឹកជញ្ជូនទទួល</t>
        </is>
      </c>
      <c r="E1295" s="21" t="inlineStr">
        <is>
          <t>ផ្លូ្លវអ្នកដឹកជញ្ជូនទទួល</t>
        </is>
      </c>
      <c r="F1295" s="10" t="n"/>
      <c r="G1295" s="10" t="inlineStr">
        <is>
          <t>ផ្លូ្លវអ្នកដឹកជញ្ជូនទទួល</t>
        </is>
      </c>
      <c r="H1295" s="10" t="inlineStr">
        <is>
          <t>ផ្លូ្លវអ្នកដឹកជញ្ជូនទទួល</t>
        </is>
      </c>
      <c r="I1295" s="10" t="n"/>
      <c r="J1295" s="10" t="n"/>
      <c r="K1295" s="10" t="inlineStr">
        <is>
          <t>"receivingKpi.receivingPostman": "ផ្លូ្លវអ្នកដឹកជញ្ជូនទទួល",</t>
        </is>
      </c>
      <c r="L1295" s="10" t="n"/>
      <c r="M1295" s="10" t="n"/>
      <c r="N1295" s="10" t="n"/>
      <c r="O1295" s="10" t="n"/>
      <c r="P1295" s="10" t="n"/>
      <c r="Q1295" s="10" t="n"/>
      <c r="R1295" s="10" t="n"/>
      <c r="S1295" s="10" t="n"/>
      <c r="T1295" s="10" t="n"/>
      <c r="U1295" s="10" t="n"/>
      <c r="V1295" s="10" t="n"/>
      <c r="W1295" s="10" t="n"/>
      <c r="X1295" s="10" t="n"/>
      <c r="Y1295" s="10" t="n"/>
      <c r="Z1295" s="10" t="n"/>
    </row>
    <row r="1296">
      <c r="A1296" s="27" t="inlineStr">
        <is>
          <t>receivingKpi.popupTitle</t>
        </is>
      </c>
      <c r="B1296" s="27" t="inlineStr">
        <is>
          <t>Chi tiết bưu gửi</t>
        </is>
      </c>
      <c r="C1296" s="27" t="inlineStr">
        <is>
          <t>Postal slip details</t>
        </is>
      </c>
      <c r="D1296" s="21" t="inlineStr">
        <is>
          <t>លម្អិតពីបុុងបញ្ញើ</t>
        </is>
      </c>
      <c r="E1296" s="21" t="inlineStr">
        <is>
          <t>លម្អិតពីបុុងបញ្ញើ</t>
        </is>
      </c>
      <c r="F1296" s="10" t="n"/>
      <c r="G1296" s="10" t="inlineStr">
        <is>
          <t>លម្អិតពីបុុងបញ្ញើ</t>
        </is>
      </c>
      <c r="H1296" s="10" t="inlineStr">
        <is>
          <t>លម្អិតពីបុុងបញ្ញើ</t>
        </is>
      </c>
      <c r="I1296" s="10" t="n"/>
      <c r="J1296" s="10" t="n"/>
      <c r="K1296" s="10" t="inlineStr">
        <is>
          <t>"receivingKpi.popupTitle": "លម្អិតពីបុុងបញ្ញើ",</t>
        </is>
      </c>
      <c r="L1296" s="10" t="n"/>
      <c r="M1296" s="10" t="n"/>
      <c r="N1296" s="10" t="n"/>
      <c r="O1296" s="10" t="n"/>
      <c r="P1296" s="10" t="n"/>
      <c r="Q1296" s="10" t="n"/>
      <c r="R1296" s="10" t="n"/>
      <c r="S1296" s="10" t="n"/>
      <c r="T1296" s="10" t="n"/>
      <c r="U1296" s="10" t="n"/>
      <c r="V1296" s="10" t="n"/>
      <c r="W1296" s="10" t="n"/>
      <c r="X1296" s="10" t="n"/>
      <c r="Y1296" s="10" t="n"/>
      <c r="Z1296" s="10" t="n"/>
    </row>
    <row r="1297">
      <c r="A1297" s="27" t="inlineStr">
        <is>
          <t>receivingKpi.exportExcel</t>
        </is>
      </c>
      <c r="B1297" s="27" t="inlineStr">
        <is>
          <t>Xuất excel</t>
        </is>
      </c>
      <c r="C1297" s="27" t="inlineStr">
        <is>
          <t>Export to excel</t>
        </is>
      </c>
      <c r="D1297" s="21" t="inlineStr">
        <is>
          <t>ចេញពី Excel</t>
        </is>
      </c>
      <c r="E1297" s="21" t="inlineStr">
        <is>
          <t>ចេញពី Excel</t>
        </is>
      </c>
      <c r="F1297" s="10" t="n"/>
      <c r="G1297" s="10" t="inlineStr">
        <is>
          <t>ចេញពី Excel</t>
        </is>
      </c>
      <c r="H1297" s="10" t="inlineStr">
        <is>
          <t>ចេញពី Excel</t>
        </is>
      </c>
      <c r="I1297" s="10" t="n"/>
      <c r="J1297" s="10" t="n"/>
      <c r="K1297" s="10" t="inlineStr">
        <is>
          <t>"receivingKpi.exportExcel": "ចេញពី Excel",</t>
        </is>
      </c>
      <c r="L1297" s="10" t="n"/>
      <c r="M1297" s="10" t="n"/>
      <c r="N1297" s="10" t="n"/>
      <c r="O1297" s="10" t="n"/>
      <c r="P1297" s="10" t="n"/>
      <c r="Q1297" s="10" t="n"/>
      <c r="R1297" s="10" t="n"/>
      <c r="S1297" s="10" t="n"/>
      <c r="T1297" s="10" t="n"/>
      <c r="U1297" s="10" t="n"/>
      <c r="V1297" s="10" t="n"/>
      <c r="W1297" s="10" t="n"/>
      <c r="X1297" s="10" t="n"/>
      <c r="Y1297" s="10" t="n"/>
      <c r="Z1297" s="10" t="n"/>
    </row>
    <row r="1298">
      <c r="A1298" s="27" t="inlineStr">
        <is>
          <t>receivingKpi.exportDetail</t>
        </is>
      </c>
      <c r="B1298" s="27" t="inlineStr">
        <is>
          <t>Xuất chi tiết</t>
        </is>
      </c>
      <c r="C1298" s="27" t="inlineStr">
        <is>
          <t>Export details</t>
        </is>
      </c>
      <c r="D1298" s="102" t="inlineStr">
        <is>
          <t>ចេញលម្អិត</t>
        </is>
      </c>
      <c r="E1298" s="102" t="inlineStr">
        <is>
          <t>ចេញលម្អិត</t>
        </is>
      </c>
      <c r="F1298" s="10" t="n"/>
      <c r="G1298" s="10" t="inlineStr">
        <is>
          <t>ចេញលម្អិត</t>
        </is>
      </c>
      <c r="H1298" s="10" t="inlineStr">
        <is>
          <t>ចេញលម្អិត</t>
        </is>
      </c>
      <c r="I1298" s="10" t="n"/>
      <c r="J1298" s="10" t="n"/>
      <c r="K1298" s="10" t="inlineStr">
        <is>
          <t>"receivingKpi.exportDetail": "ចេញលម្អិត",</t>
        </is>
      </c>
      <c r="L1298" s="10" t="n"/>
      <c r="M1298" s="10" t="n"/>
      <c r="N1298" s="10" t="n"/>
      <c r="O1298" s="10" t="n"/>
      <c r="P1298" s="10" t="n"/>
      <c r="Q1298" s="10" t="n"/>
      <c r="R1298" s="10" t="n"/>
      <c r="S1298" s="10" t="n"/>
      <c r="T1298" s="10" t="n"/>
      <c r="U1298" s="10" t="n"/>
      <c r="V1298" s="10" t="n"/>
      <c r="W1298" s="10" t="n"/>
      <c r="X1298" s="10" t="n"/>
      <c r="Y1298" s="10" t="n"/>
      <c r="Z1298" s="10" t="n"/>
    </row>
    <row r="1299">
      <c r="A1299" s="27" t="inlineStr">
        <is>
          <t>receivingKpi.totalOrder</t>
        </is>
      </c>
      <c r="B1299" s="27" t="inlineStr">
        <is>
          <t>Số lượng phát sinh</t>
        </is>
      </c>
      <c r="C1299" s="27" t="inlineStr">
        <is>
          <t>Generated quantity</t>
        </is>
      </c>
      <c r="D1299" s="21" t="n"/>
      <c r="E1299" s="24" t="inlineStr">
        <is>
          <t>ចំនួនដែលកើតឡើង</t>
        </is>
      </c>
      <c r="F1299" s="10" t="n"/>
      <c r="G1299" s="10" t="inlineStr">
        <is>
          <t>ចំនួនដែលកើតឡើង</t>
        </is>
      </c>
      <c r="H1299" s="10" t="inlineStr">
        <is>
          <t>ចំនួនដែលកើតឡើង</t>
        </is>
      </c>
      <c r="I1299" s="10" t="n"/>
      <c r="J1299" s="10" t="n"/>
      <c r="K1299" s="10" t="inlineStr">
        <is>
          <t>"receivingKpi.totalOrder": "ចំនួនដែលកើតឡើង",</t>
        </is>
      </c>
      <c r="L1299" s="10" t="n"/>
      <c r="M1299" s="10" t="n"/>
      <c r="N1299" s="10" t="n"/>
      <c r="O1299" s="10" t="n"/>
      <c r="P1299" s="10" t="n"/>
      <c r="Q1299" s="10" t="n"/>
      <c r="R1299" s="10" t="n"/>
      <c r="S1299" s="10" t="n"/>
      <c r="T1299" s="10" t="n"/>
      <c r="U1299" s="10" t="n"/>
      <c r="V1299" s="10" t="n"/>
      <c r="W1299" s="10" t="n"/>
      <c r="X1299" s="10" t="n"/>
      <c r="Y1299" s="10" t="n"/>
      <c r="Z1299" s="10" t="n"/>
    </row>
    <row r="1300">
      <c r="A1300" s="27" t="inlineStr">
        <is>
          <t>receivingKpi.totalDropoff</t>
        </is>
      </c>
      <c r="B1300" s="27" t="inlineStr">
        <is>
          <t>Đơn dropoff</t>
        </is>
      </c>
      <c r="C1300" s="27" t="inlineStr">
        <is>
          <t>Drop-off order</t>
        </is>
      </c>
      <c r="D1300" s="21" t="inlineStr">
        <is>
          <t>ទម្លាក់ការបញ្ជាទិញ</t>
        </is>
      </c>
      <c r="E1300" s="24" t="inlineStr">
        <is>
          <t>បុងដែលទទួលនៅការិយាល័យប្រៃណីយ៍</t>
        </is>
      </c>
      <c r="F1300" s="10" t="n"/>
      <c r="G1300" s="10" t="inlineStr">
        <is>
          <t>បុងដែលទទួលនៅការិយាល័យប្រៃណីយ៍</t>
        </is>
      </c>
      <c r="H1300" s="10" t="inlineStr">
        <is>
          <t>បុងដែលទទួលនៅការិយាល័យប្រៃណីយ៍</t>
        </is>
      </c>
      <c r="I1300" s="10" t="n"/>
      <c r="J1300" s="10" t="n"/>
      <c r="K1300" s="10" t="inlineStr">
        <is>
          <t>"receivingKpi.totalDropoff": "បុងដែលទទួលនៅការិយាល័យប្រៃណីយ៍",</t>
        </is>
      </c>
      <c r="L1300" s="10" t="n"/>
      <c r="M1300" s="10" t="n"/>
      <c r="N1300" s="10" t="n"/>
      <c r="O1300" s="10" t="n"/>
      <c r="P1300" s="10" t="n"/>
      <c r="Q1300" s="10" t="n"/>
      <c r="R1300" s="10" t="n"/>
      <c r="S1300" s="10" t="n"/>
      <c r="T1300" s="10" t="n"/>
      <c r="U1300" s="10" t="n"/>
      <c r="V1300" s="10" t="n"/>
      <c r="W1300" s="10" t="n"/>
      <c r="X1300" s="10" t="n"/>
      <c r="Y1300" s="10" t="n"/>
      <c r="Z1300" s="10" t="n"/>
    </row>
    <row r="1301">
      <c r="A1301" s="27" t="inlineStr">
        <is>
          <t>receivingKpi.totalSuccessOrder</t>
        </is>
      </c>
      <c r="B1301" s="27" t="inlineStr">
        <is>
          <t>Số lượng nhận thành công</t>
        </is>
      </c>
      <c r="C1301" s="27" t="inlineStr">
        <is>
          <t>Successfully received quantity</t>
        </is>
      </c>
      <c r="D1301" s="21" t="inlineStr">
        <is>
          <t>ចំនួនទទួលបានជោគជ័យ</t>
        </is>
      </c>
      <c r="E1301" s="21" t="inlineStr">
        <is>
          <t>ចំនួនទទួលបានជោគជ័យ</t>
        </is>
      </c>
      <c r="F1301" s="10" t="n"/>
      <c r="G1301" s="10" t="inlineStr">
        <is>
          <t>ចំនួនទទួលបានជោគជ័យ</t>
        </is>
      </c>
      <c r="H1301" s="10" t="inlineStr">
        <is>
          <t>ចំនួនទទួលបានជោគជ័យ</t>
        </is>
      </c>
      <c r="I1301" s="10" t="n"/>
      <c r="J1301" s="10" t="n"/>
      <c r="K1301" s="10" t="inlineStr">
        <is>
          <t>"receivingKpi.totalSuccessOrder": "ចំនួនទទួលបានជោគជ័យ",</t>
        </is>
      </c>
      <c r="L1301" s="10" t="n"/>
      <c r="M1301" s="10" t="n"/>
      <c r="N1301" s="10" t="n"/>
      <c r="O1301" s="10" t="n"/>
      <c r="P1301" s="10" t="n"/>
      <c r="Q1301" s="10" t="n"/>
      <c r="R1301" s="10" t="n"/>
      <c r="S1301" s="10" t="n"/>
      <c r="T1301" s="10" t="n"/>
      <c r="U1301" s="10" t="n"/>
      <c r="V1301" s="10" t="n"/>
      <c r="W1301" s="10" t="n"/>
      <c r="X1301" s="10" t="n"/>
      <c r="Y1301" s="10" t="n"/>
      <c r="Z1301" s="10" t="n"/>
    </row>
    <row r="1302">
      <c r="A1302" s="27" t="inlineStr">
        <is>
          <t>receivingKpi.totalSuccessDropoff</t>
        </is>
      </c>
      <c r="B1302" s="27" t="inlineStr">
        <is>
          <t>Đơn dropoff</t>
        </is>
      </c>
      <c r="C1302" s="27" t="inlineStr">
        <is>
          <t>Drop-off order</t>
        </is>
      </c>
      <c r="D1302" s="102" t="inlineStr">
        <is>
          <t>ទម្លាក់ការបញ្ជាទិញ</t>
        </is>
      </c>
      <c r="E1302" s="102" t="inlineStr">
        <is>
          <t>ទម្លាក់ការបញ្ជាទិញ</t>
        </is>
      </c>
      <c r="F1302" s="10" t="n"/>
      <c r="G1302" s="10" t="inlineStr">
        <is>
          <t>ទម្លាក់ការបញ្ជាទិញ</t>
        </is>
      </c>
      <c r="H1302" s="10" t="inlineStr">
        <is>
          <t>ទម្លាក់ការបញ្ជាទិញ</t>
        </is>
      </c>
      <c r="I1302" s="10" t="n"/>
      <c r="J1302" s="10" t="n"/>
      <c r="K1302" s="10" t="inlineStr">
        <is>
          <t>"receivingKpi.totalSuccessDropoff": "ទម្លាក់ការបញ្ជាទិញ",</t>
        </is>
      </c>
      <c r="L1302" s="10" t="n"/>
      <c r="M1302" s="10" t="n"/>
      <c r="N1302" s="10" t="n"/>
      <c r="O1302" s="10" t="n"/>
      <c r="P1302" s="10" t="n"/>
      <c r="Q1302" s="10" t="n"/>
      <c r="R1302" s="10" t="n"/>
      <c r="S1302" s="10" t="n"/>
      <c r="T1302" s="10" t="n"/>
      <c r="U1302" s="10" t="n"/>
      <c r="V1302" s="10" t="n"/>
      <c r="W1302" s="10" t="n"/>
      <c r="X1302" s="10" t="n"/>
      <c r="Y1302" s="10" t="n"/>
      <c r="Z1302" s="10" t="n"/>
    </row>
    <row r="1303">
      <c r="A1303" s="27" t="inlineStr">
        <is>
          <t>receivingKpi.valueAddService</t>
        </is>
      </c>
      <c r="B1303" s="27" t="inlineStr">
        <is>
          <t>Dịch vụ cộng thêm</t>
        </is>
      </c>
      <c r="C1303" s="27" t="inlineStr">
        <is>
          <t>Value-added service</t>
        </is>
      </c>
      <c r="D1303" s="21" t="inlineStr">
        <is>
          <t>សេវាកម្មបូកបន្ថែម</t>
        </is>
      </c>
      <c r="E1303" s="21" t="inlineStr">
        <is>
          <t>សេវាកម្មបូកបន្ថែម</t>
        </is>
      </c>
      <c r="F1303" s="10" t="n"/>
      <c r="G1303" s="10" t="inlineStr">
        <is>
          <t>សេវាកម្មបន្ថែម</t>
        </is>
      </c>
      <c r="H1303" s="10" t="inlineStr">
        <is>
          <t>សេវាកម្មបន្ថែម</t>
        </is>
      </c>
      <c r="I1303" s="10" t="n"/>
      <c r="J1303" s="10" t="n"/>
      <c r="K1303" s="10" t="inlineStr">
        <is>
          <t>"receivingKpi.valueAddService": "សេវាកម្មបន្ថែម",</t>
        </is>
      </c>
      <c r="L1303" s="10" t="n"/>
      <c r="M1303" s="10" t="n"/>
      <c r="N1303" s="10" t="n"/>
      <c r="O1303" s="10" t="n"/>
      <c r="P1303" s="10" t="n"/>
      <c r="Q1303" s="10" t="n"/>
      <c r="R1303" s="10" t="n"/>
      <c r="S1303" s="10" t="n"/>
      <c r="T1303" s="10" t="n"/>
      <c r="U1303" s="10" t="n"/>
      <c r="V1303" s="10" t="n"/>
      <c r="W1303" s="10" t="n"/>
      <c r="X1303" s="10" t="n"/>
      <c r="Y1303" s="10" t="n"/>
      <c r="Z1303" s="10" t="n"/>
    </row>
    <row r="1304">
      <c r="A1304" s="27" t="inlineStr">
        <is>
          <t>statusCod.NEW</t>
        </is>
      </c>
      <c r="B1304" s="27" t="inlineStr">
        <is>
          <t>Tạo mới</t>
        </is>
      </c>
      <c r="C1304" s="27" t="inlineStr">
        <is>
          <t>Draft</t>
        </is>
      </c>
      <c r="D1304" s="21" t="inlineStr">
        <is>
          <t>បង្កើតថ្មី</t>
        </is>
      </c>
      <c r="E1304" s="21" t="inlineStr">
        <is>
          <t>បង្កើតថ្មី</t>
        </is>
      </c>
      <c r="F1304" s="10" t="n"/>
      <c r="G1304" s="10" t="inlineStr">
        <is>
          <t>បង្កើតថ្មី</t>
        </is>
      </c>
      <c r="H1304" s="10" t="inlineStr">
        <is>
          <t>បង្កើតថ្មី</t>
        </is>
      </c>
      <c r="I1304" s="10" t="n"/>
      <c r="J1304" s="10" t="n"/>
      <c r="K1304" s="10" t="inlineStr">
        <is>
          <t>"statusCod.NEW": "បង្កើតថ្មី",</t>
        </is>
      </c>
      <c r="L1304" s="10" t="n"/>
      <c r="M1304" s="10" t="n"/>
      <c r="N1304" s="10" t="n"/>
      <c r="O1304" s="10" t="n"/>
      <c r="P1304" s="10" t="n"/>
      <c r="Q1304" s="10" t="n"/>
      <c r="R1304" s="10" t="n"/>
      <c r="S1304" s="10" t="n"/>
      <c r="T1304" s="10" t="n"/>
      <c r="U1304" s="10" t="n"/>
      <c r="V1304" s="10" t="n"/>
      <c r="W1304" s="10" t="n"/>
      <c r="X1304" s="10" t="n"/>
      <c r="Y1304" s="10" t="n"/>
      <c r="Z1304" s="10" t="n"/>
    </row>
    <row r="1305">
      <c r="A1305" s="27" t="inlineStr">
        <is>
          <t>statusCod.PAYMENT_PAID</t>
        </is>
      </c>
      <c r="B1305" s="27" t="inlineStr">
        <is>
          <t>Đã nộp</t>
        </is>
      </c>
      <c r="C1305" s="27" t="inlineStr">
        <is>
          <t>Remitted</t>
        </is>
      </c>
      <c r="D1305" s="21" t="inlineStr">
        <is>
          <t>បានបង់</t>
        </is>
      </c>
      <c r="E1305" s="102" t="inlineStr">
        <is>
          <t>បានបង់</t>
        </is>
      </c>
      <c r="F1305" s="10" t="n"/>
      <c r="G1305" s="10" t="inlineStr">
        <is>
          <t>បានបង់ប្រាក់រួចរាល់</t>
        </is>
      </c>
      <c r="H1305" s="10" t="inlineStr">
        <is>
          <t>បានបង់ប្រាក់រួចរាល់</t>
        </is>
      </c>
      <c r="I1305" s="10" t="n"/>
      <c r="J1305" s="10" t="n"/>
      <c r="K1305" s="10" t="inlineStr">
        <is>
          <t>"statusCod.PAYMENT_PAID": "បានបង់ប្រាក់រួចរាល់",</t>
        </is>
      </c>
      <c r="L1305" s="10" t="n"/>
      <c r="M1305" s="10" t="n"/>
      <c r="N1305" s="10" t="n"/>
      <c r="O1305" s="10" t="n"/>
      <c r="P1305" s="10" t="n"/>
      <c r="Q1305" s="10" t="n"/>
      <c r="R1305" s="10" t="n"/>
      <c r="S1305" s="10" t="n"/>
      <c r="T1305" s="10" t="n"/>
      <c r="U1305" s="10" t="n"/>
      <c r="V1305" s="10" t="n"/>
      <c r="W1305" s="10" t="n"/>
      <c r="X1305" s="10" t="n"/>
      <c r="Y1305" s="10" t="n"/>
      <c r="Z1305" s="10" t="n"/>
    </row>
    <row r="1306">
      <c r="A1306" s="27" t="inlineStr">
        <is>
          <t>statusCod.PAYMENT_CONFIRMED</t>
        </is>
      </c>
      <c r="B1306" s="27" t="inlineStr">
        <is>
          <t>Đã xác nhận</t>
        </is>
      </c>
      <c r="C1306" s="27" t="inlineStr">
        <is>
          <t>Confirmed</t>
        </is>
      </c>
      <c r="D1306" s="21" t="inlineStr">
        <is>
          <t>បានបញ្ជាក់</t>
        </is>
      </c>
      <c r="E1306" s="102" t="inlineStr">
        <is>
          <t>បានបញ្ជាក់</t>
        </is>
      </c>
      <c r="F1306" s="10" t="n"/>
      <c r="G1306" s="10" t="inlineStr">
        <is>
          <t>បានបញ្ជាក់</t>
        </is>
      </c>
      <c r="H1306" s="10" t="inlineStr">
        <is>
          <t>បានបញ្ជាក់</t>
        </is>
      </c>
      <c r="I1306" s="10" t="n"/>
      <c r="J1306" s="10" t="n"/>
      <c r="K1306" s="10" t="inlineStr">
        <is>
          <t>"statusCod.PAYMENT_CONFIRMED": "បានបញ្ជាក់",</t>
        </is>
      </c>
      <c r="L1306" s="10" t="n"/>
      <c r="M1306" s="10" t="n"/>
      <c r="N1306" s="10" t="n"/>
      <c r="O1306" s="10" t="n"/>
      <c r="P1306" s="10" t="n"/>
      <c r="Q1306" s="10" t="n"/>
      <c r="R1306" s="10" t="n"/>
      <c r="S1306" s="10" t="n"/>
      <c r="T1306" s="10" t="n"/>
      <c r="U1306" s="10" t="n"/>
      <c r="V1306" s="10" t="n"/>
      <c r="W1306" s="10" t="n"/>
      <c r="X1306" s="10" t="n"/>
      <c r="Y1306" s="10" t="n"/>
      <c r="Z1306" s="10" t="n"/>
    </row>
    <row r="1307">
      <c r="A1307" s="27" t="inlineStr">
        <is>
          <t>codPayment.cusNotPaidCod</t>
        </is>
      </c>
      <c r="B1307" s="27" t="inlineStr">
        <is>
          <t>Khách hàng chưa chi COD</t>
        </is>
      </c>
      <c r="C1307" s="27" t="inlineStr">
        <is>
          <t>Customers Pending COD Payment</t>
        </is>
      </c>
      <c r="D1307" s="21" t="inlineStr">
        <is>
          <t>អតិថិជនមិនទាន់ចំណាយCOD</t>
        </is>
      </c>
      <c r="E1307" s="24" t="inlineStr">
        <is>
          <t>អតិថិជនមិនទាន់បង់ COD</t>
        </is>
      </c>
      <c r="F1307" s="10" t="n"/>
      <c r="G1307" s="10" t="inlineStr">
        <is>
          <t>អតិថិជនមិនទាន់បង់ COD</t>
        </is>
      </c>
      <c r="H1307" s="10" t="inlineStr">
        <is>
          <t>អតិថិជនមិនទាន់បង់ COD</t>
        </is>
      </c>
      <c r="I1307" s="10" t="n"/>
      <c r="J1307" s="10" t="n"/>
      <c r="K1307" s="10" t="inlineStr">
        <is>
          <t>"codPayment.cusNotPaidCod": "អតិថិជនមិនទាន់បង់ COD",</t>
        </is>
      </c>
      <c r="L1307" s="10" t="n"/>
      <c r="M1307" s="10" t="n"/>
      <c r="N1307" s="10" t="n"/>
      <c r="O1307" s="10" t="n"/>
      <c r="P1307" s="10" t="n"/>
      <c r="Q1307" s="10" t="n"/>
      <c r="R1307" s="10" t="n"/>
      <c r="S1307" s="10" t="n"/>
      <c r="T1307" s="10" t="n"/>
      <c r="U1307" s="10" t="n"/>
      <c r="V1307" s="10" t="n"/>
      <c r="W1307" s="10" t="n"/>
      <c r="X1307" s="10" t="n"/>
      <c r="Y1307" s="10" t="n"/>
      <c r="Z1307" s="10" t="n"/>
    </row>
    <row r="1308">
      <c r="A1308" s="27" t="inlineStr">
        <is>
          <t>codPayment.existBill</t>
        </is>
      </c>
      <c r="B1308" s="27" t="inlineStr">
        <is>
          <t>Tồn bill</t>
        </is>
      </c>
      <c r="C1308" s="27" t="inlineStr">
        <is>
          <t>Total orders</t>
        </is>
      </c>
      <c r="D1308" s="102" t="n"/>
      <c r="E1308" s="102" t="inlineStr">
        <is>
          <t>បុងដែលនៅសល់</t>
        </is>
      </c>
      <c r="F1308" s="10" t="n"/>
      <c r="G1308" s="10" t="inlineStr">
        <is>
          <t>បុងដែលនៅសល់</t>
        </is>
      </c>
      <c r="H1308" s="10" t="inlineStr">
        <is>
          <t>បុងដែលនៅសល់</t>
        </is>
      </c>
      <c r="I1308" s="10" t="n"/>
      <c r="J1308" s="10" t="n"/>
      <c r="K1308" s="10" t="inlineStr">
        <is>
          <t>"codPayment.existBill": "បុងដែលនៅសល់",</t>
        </is>
      </c>
      <c r="L1308" s="10" t="n"/>
      <c r="M1308" s="10" t="n"/>
      <c r="N1308" s="10" t="n"/>
      <c r="O1308" s="10" t="n"/>
      <c r="P1308" s="10" t="n"/>
      <c r="Q1308" s="10" t="n"/>
      <c r="R1308" s="10" t="n"/>
      <c r="S1308" s="10" t="n"/>
      <c r="T1308" s="10" t="n"/>
      <c r="U1308" s="10" t="n"/>
      <c r="V1308" s="10" t="n"/>
      <c r="W1308" s="10" t="n"/>
      <c r="X1308" s="10" t="n"/>
      <c r="Y1308" s="10" t="n"/>
      <c r="Z1308" s="10" t="n"/>
    </row>
    <row r="1309">
      <c r="A1309" s="27" t="inlineStr">
        <is>
          <t>codPayment.existPackingList</t>
        </is>
      </c>
      <c r="B1309" s="27" t="inlineStr">
        <is>
          <t>Tồn bảng kê</t>
        </is>
      </c>
      <c r="C1309" s="27" t="inlineStr">
        <is>
          <t>Total lists</t>
        </is>
      </c>
      <c r="D1309" s="102" t="n"/>
      <c r="E1309" s="102" t="inlineStr">
        <is>
          <t>តារាងដែលនៅសល់</t>
        </is>
      </c>
      <c r="F1309" s="10" t="n"/>
      <c r="G1309" s="10" t="inlineStr">
        <is>
          <t>តារាងដែលនៅសល់</t>
        </is>
      </c>
      <c r="H1309" s="10" t="inlineStr">
        <is>
          <t>តារាងដែលនៅសល់</t>
        </is>
      </c>
      <c r="I1309" s="10" t="n"/>
      <c r="J1309" s="10" t="n"/>
      <c r="K1309" s="10" t="inlineStr">
        <is>
          <t>"codPayment.existPackingList": "តារាងដែលនៅសល់",</t>
        </is>
      </c>
      <c r="L1309" s="10" t="n"/>
      <c r="M1309" s="10" t="n"/>
      <c r="N1309" s="10" t="n"/>
      <c r="O1309" s="10" t="n"/>
      <c r="P1309" s="10" t="n"/>
      <c r="Q1309" s="10" t="n"/>
      <c r="R1309" s="10" t="n"/>
      <c r="S1309" s="10" t="n"/>
      <c r="T1309" s="10" t="n"/>
      <c r="U1309" s="10" t="n"/>
      <c r="V1309" s="10" t="n"/>
      <c r="W1309" s="10" t="n"/>
      <c r="X1309" s="10" t="n"/>
      <c r="Y1309" s="10" t="n"/>
      <c r="Z1309" s="10" t="n"/>
    </row>
    <row r="1310">
      <c r="A1310" s="27" t="inlineStr">
        <is>
          <t>codPayment.infoCus</t>
        </is>
      </c>
      <c r="B1310" s="27" t="inlineStr">
        <is>
          <t>Thông tin khách hàng</t>
        </is>
      </c>
      <c r="C1310" s="27" t="inlineStr">
        <is>
          <t>Customer information</t>
        </is>
      </c>
      <c r="D1310" s="21" t="inlineStr">
        <is>
          <t>ព័ត៌មានអតិថិជន</t>
        </is>
      </c>
      <c r="E1310" s="102" t="inlineStr">
        <is>
          <t>ព័ត៌មានអតិថិជន</t>
        </is>
      </c>
      <c r="F1310" s="10" t="n"/>
      <c r="G1310" s="10" t="inlineStr">
        <is>
          <t>ព័ត៌មានអតិថិជន</t>
        </is>
      </c>
      <c r="H1310" s="10" t="inlineStr">
        <is>
          <t>ព័ត៌មានអតិថិជន</t>
        </is>
      </c>
      <c r="I1310" s="10" t="n"/>
      <c r="J1310" s="10" t="n"/>
      <c r="K1310" s="10" t="inlineStr">
        <is>
          <t>"codPayment.infoCus": "ព័ត៌មានអតិថិជន",</t>
        </is>
      </c>
      <c r="L1310" s="10" t="n"/>
      <c r="M1310" s="10" t="n"/>
      <c r="N1310" s="10" t="n"/>
      <c r="O1310" s="10" t="n"/>
      <c r="P1310" s="10" t="n"/>
      <c r="Q1310" s="10" t="n"/>
      <c r="R1310" s="10" t="n"/>
      <c r="S1310" s="10" t="n"/>
      <c r="T1310" s="10" t="n"/>
      <c r="U1310" s="10" t="n"/>
      <c r="V1310" s="10" t="n"/>
      <c r="W1310" s="10" t="n"/>
      <c r="X1310" s="10" t="n"/>
      <c r="Y1310" s="10" t="n"/>
      <c r="Z1310" s="10" t="n"/>
    </row>
    <row r="1311">
      <c r="A1311" s="27" t="inlineStr">
        <is>
          <t>codPayment.config</t>
        </is>
      </c>
      <c r="B1311" s="27" t="inlineStr">
        <is>
          <t>Cấu hình</t>
        </is>
      </c>
      <c r="C1311" s="27" t="inlineStr">
        <is>
          <t>Settings</t>
        </is>
      </c>
      <c r="D1311" s="102" t="n"/>
      <c r="E1311" s="102" t="inlineStr">
        <is>
          <t>រចនាសម្ព័ន្ធ</t>
        </is>
      </c>
      <c r="F1311" s="10" t="n"/>
      <c r="G1311" s="10" t="inlineStr">
        <is>
          <t>រចនាសម្ព័ន្ធ</t>
        </is>
      </c>
      <c r="H1311" s="10" t="inlineStr">
        <is>
          <t>រចនាសម្ព័ន្ធ</t>
        </is>
      </c>
      <c r="I1311" s="10" t="n"/>
      <c r="J1311" s="10" t="n"/>
      <c r="K1311" s="10" t="inlineStr">
        <is>
          <t>"codPayment.config": "រចនាសម្ព័ន្ធ",</t>
        </is>
      </c>
      <c r="L1311" s="10" t="n"/>
      <c r="M1311" s="10" t="n"/>
      <c r="N1311" s="10" t="n"/>
      <c r="O1311" s="10" t="n"/>
      <c r="P1311" s="10" t="n"/>
      <c r="Q1311" s="10" t="n"/>
      <c r="R1311" s="10" t="n"/>
      <c r="S1311" s="10" t="n"/>
      <c r="T1311" s="10" t="n"/>
      <c r="U1311" s="10" t="n"/>
      <c r="V1311" s="10" t="n"/>
      <c r="W1311" s="10" t="n"/>
      <c r="X1311" s="10" t="n"/>
      <c r="Y1311" s="10" t="n"/>
      <c r="Z1311" s="10" t="n"/>
    </row>
    <row r="1312">
      <c r="A1312" s="27" t="inlineStr">
        <is>
          <t>codPayment.configBankPay</t>
        </is>
      </c>
      <c r="B1312" s="27" t="inlineStr">
        <is>
          <t>Cấu hình ngân hàng chi</t>
        </is>
      </c>
      <c r="C1312" s="27" t="inlineStr">
        <is>
          <t>Remitting bank settings</t>
        </is>
      </c>
      <c r="D1312" s="102" t="n"/>
      <c r="E1312" s="102" t="inlineStr">
        <is>
          <t>រចនាសម្ព័ន្ធធនាគារចំណាយ</t>
        </is>
      </c>
      <c r="F1312" s="10" t="n"/>
      <c r="G1312" s="10" t="inlineStr">
        <is>
          <t>រចនាសម្ព័ន្ធធនាគារចំណាយ</t>
        </is>
      </c>
      <c r="H1312" s="10" t="inlineStr">
        <is>
          <t>រចនាសម្ព័ន្ធធនាគារចំណាយ</t>
        </is>
      </c>
      <c r="I1312" s="10" t="n"/>
      <c r="J1312" s="10" t="n"/>
      <c r="K1312" s="10" t="inlineStr">
        <is>
          <t>"codPayment.configBankPay": "រចនាសម្ព័ន្ធធនាគារចំណាយ",</t>
        </is>
      </c>
      <c r="L1312" s="10" t="n"/>
      <c r="M1312" s="10" t="n"/>
      <c r="N1312" s="10" t="n"/>
      <c r="O1312" s="10" t="n"/>
      <c r="P1312" s="10" t="n"/>
      <c r="Q1312" s="10" t="n"/>
      <c r="R1312" s="10" t="n"/>
      <c r="S1312" s="10" t="n"/>
      <c r="T1312" s="10" t="n"/>
      <c r="U1312" s="10" t="n"/>
      <c r="V1312" s="10" t="n"/>
      <c r="W1312" s="10" t="n"/>
      <c r="X1312" s="10" t="n"/>
      <c r="Y1312" s="10" t="n"/>
      <c r="Z1312" s="10" t="n"/>
    </row>
    <row r="1313">
      <c r="A1313" s="27" t="inlineStr">
        <is>
          <t>codPayment.bankPay</t>
        </is>
      </c>
      <c r="B1313" s="27" t="inlineStr">
        <is>
          <t>Ngân hàng chi</t>
        </is>
      </c>
      <c r="C1313" s="27" t="inlineStr">
        <is>
          <t>Remitting bank</t>
        </is>
      </c>
      <c r="D1313" s="21" t="inlineStr">
        <is>
          <t>ធនាគារចំណាយ</t>
        </is>
      </c>
      <c r="E1313" s="21" t="inlineStr">
        <is>
          <t>ធនាគារចំណាយ</t>
        </is>
      </c>
      <c r="F1313" s="10" t="n"/>
      <c r="G1313" s="10" t="inlineStr">
        <is>
          <t>ធនាគារចំណាយ</t>
        </is>
      </c>
      <c r="H1313" s="10" t="inlineStr">
        <is>
          <t>ធនាគារចំណាយ</t>
        </is>
      </c>
      <c r="I1313" s="10" t="n"/>
      <c r="J1313" s="10" t="n"/>
      <c r="K1313" s="10" t="inlineStr">
        <is>
          <t>"codPayment.bankPay": "ធនាគារចំណាយ",</t>
        </is>
      </c>
      <c r="L1313" s="10" t="n"/>
      <c r="M1313" s="10" t="n"/>
      <c r="N1313" s="10" t="n"/>
      <c r="O1313" s="10" t="n"/>
      <c r="P1313" s="10" t="n"/>
      <c r="Q1313" s="10" t="n"/>
      <c r="R1313" s="10" t="n"/>
      <c r="S1313" s="10" t="n"/>
      <c r="T1313" s="10" t="n"/>
      <c r="U1313" s="10" t="n"/>
      <c r="V1313" s="10" t="n"/>
      <c r="W1313" s="10" t="n"/>
      <c r="X1313" s="10" t="n"/>
      <c r="Y1313" s="10" t="n"/>
      <c r="Z1313" s="10" t="n"/>
    </row>
    <row r="1314">
      <c r="A1314" s="27" t="inlineStr">
        <is>
          <t>codPayment.bankNamePay</t>
        </is>
      </c>
      <c r="B1314" s="27" t="inlineStr">
        <is>
          <t>Tên ngân hàng chi</t>
        </is>
      </c>
      <c r="C1314" s="27" t="inlineStr">
        <is>
          <t>Remitting bank name</t>
        </is>
      </c>
      <c r="D1314" s="21" t="inlineStr">
        <is>
          <t>ឈ្មោះធនាគារចំណាយ</t>
        </is>
      </c>
      <c r="E1314" s="21" t="inlineStr">
        <is>
          <t>ឈ្មោះធនាគារចំណាយ</t>
        </is>
      </c>
      <c r="F1314" s="10" t="n"/>
      <c r="G1314" s="10" t="inlineStr">
        <is>
          <t>ឈ្មោះធនាគារចំណាយ</t>
        </is>
      </c>
      <c r="H1314" s="10" t="inlineStr">
        <is>
          <t>ឈ្មោះធនាគារចំណាយ</t>
        </is>
      </c>
      <c r="I1314" s="10" t="n"/>
      <c r="J1314" s="10" t="n"/>
      <c r="K1314" s="10" t="inlineStr">
        <is>
          <t>"codPayment.bankNamePay": "ឈ្មោះធនាគារចំណាយ",</t>
        </is>
      </c>
      <c r="L1314" s="10" t="n"/>
      <c r="M1314" s="10" t="n"/>
      <c r="N1314" s="10" t="n"/>
      <c r="O1314" s="10" t="n"/>
      <c r="P1314" s="10" t="n"/>
      <c r="Q1314" s="10" t="n"/>
      <c r="R1314" s="10" t="n"/>
      <c r="S1314" s="10" t="n"/>
      <c r="T1314" s="10" t="n"/>
      <c r="U1314" s="10" t="n"/>
      <c r="V1314" s="10" t="n"/>
      <c r="W1314" s="10" t="n"/>
      <c r="X1314" s="10" t="n"/>
      <c r="Y1314" s="10" t="n"/>
      <c r="Z1314" s="10" t="n"/>
    </row>
    <row r="1315">
      <c r="A1315" s="27" t="inlineStr">
        <is>
          <t>codPayment.accountBankPay</t>
        </is>
      </c>
      <c r="B1315" s="27" t="inlineStr">
        <is>
          <t>Số tài khoản chi</t>
        </is>
      </c>
      <c r="C1315" s="27" t="inlineStr">
        <is>
          <t>Disbursing bank Account</t>
        </is>
      </c>
      <c r="D1315" s="21" t="inlineStr">
        <is>
          <t>លេខគណនីចំណាយ</t>
        </is>
      </c>
      <c r="E1315" s="21" t="inlineStr">
        <is>
          <t>លេខគណនីចំណាយ</t>
        </is>
      </c>
      <c r="F1315" s="10" t="n"/>
      <c r="G1315" s="10" t="inlineStr">
        <is>
          <t>លេខគណនីចំណាយ</t>
        </is>
      </c>
      <c r="H1315" s="10" t="inlineStr">
        <is>
          <t>លេខគណនីចំណាយ</t>
        </is>
      </c>
      <c r="I1315" s="10" t="n"/>
      <c r="J1315" s="10" t="n"/>
      <c r="K1315" s="10" t="inlineStr">
        <is>
          <t>"codPayment.accountBankPay": "លេខគណនីចំណាយ",</t>
        </is>
      </c>
      <c r="L1315" s="10" t="n"/>
      <c r="M1315" s="10" t="n"/>
      <c r="N1315" s="10" t="n"/>
      <c r="O1315" s="10" t="n"/>
      <c r="P1315" s="10" t="n"/>
      <c r="Q1315" s="10" t="n"/>
      <c r="R1315" s="10" t="n"/>
      <c r="S1315" s="10" t="n"/>
      <c r="T1315" s="10" t="n"/>
      <c r="U1315" s="10" t="n"/>
      <c r="V1315" s="10" t="n"/>
      <c r="W1315" s="10" t="n"/>
      <c r="X1315" s="10" t="n"/>
      <c r="Y1315" s="10" t="n"/>
      <c r="Z1315" s="10" t="n"/>
    </row>
    <row r="1316">
      <c r="A1316" s="27" t="inlineStr">
        <is>
          <t>codPayment.bankReceive</t>
        </is>
      </c>
      <c r="B1316" s="27" t="inlineStr">
        <is>
          <t>Ngân hàng nhận</t>
        </is>
      </c>
      <c r="C1316" s="27" t="inlineStr">
        <is>
          <t>Beneficiary Bank</t>
        </is>
      </c>
      <c r="D1316" s="21" t="inlineStr">
        <is>
          <t>ធនាគារទទួល</t>
        </is>
      </c>
      <c r="E1316" s="21" t="inlineStr">
        <is>
          <t>ធនាគារទទួល</t>
        </is>
      </c>
      <c r="F1316" s="10" t="n"/>
      <c r="G1316" s="10" t="inlineStr">
        <is>
          <t>ធនាគារទទួល</t>
        </is>
      </c>
      <c r="H1316" s="10" t="inlineStr">
        <is>
          <t>ធនាគារទទួល</t>
        </is>
      </c>
      <c r="I1316" s="10" t="n"/>
      <c r="J1316" s="10" t="n"/>
      <c r="K1316" s="10" t="inlineStr">
        <is>
          <t>"codPayment.bankReceive": "ធនាគារទទួល",</t>
        </is>
      </c>
      <c r="L1316" s="10" t="n"/>
      <c r="M1316" s="10" t="n"/>
      <c r="N1316" s="10" t="n"/>
      <c r="O1316" s="10" t="n"/>
      <c r="P1316" s="10" t="n"/>
      <c r="Q1316" s="10" t="n"/>
      <c r="R1316" s="10" t="n"/>
      <c r="S1316" s="10" t="n"/>
      <c r="T1316" s="10" t="n"/>
      <c r="U1316" s="10" t="n"/>
      <c r="V1316" s="10" t="n"/>
      <c r="W1316" s="10" t="n"/>
      <c r="X1316" s="10" t="n"/>
      <c r="Y1316" s="10" t="n"/>
      <c r="Z1316" s="10" t="n"/>
    </row>
    <row r="1317">
      <c r="A1317" s="27" t="inlineStr">
        <is>
          <t>codPayment.paymentMethod</t>
        </is>
      </c>
      <c r="B1317" s="27" t="inlineStr">
        <is>
          <t>Hình thức chuyển tiền</t>
        </is>
      </c>
      <c r="C1317" s="27" t="inlineStr">
        <is>
          <t>Transfer method</t>
        </is>
      </c>
      <c r="D1317" s="21" t="inlineStr">
        <is>
          <t>វិធីសាស្រ្តនៃការផ្ទេរប្រាក់</t>
        </is>
      </c>
      <c r="E1317" s="21" t="inlineStr">
        <is>
          <t>វិធីសាស្រ្តនៃការផ្ទេរប្រាក់</t>
        </is>
      </c>
      <c r="F1317" s="10" t="n"/>
      <c r="G1317" s="10" t="inlineStr">
        <is>
          <t>វិធីសាស្រ្តនៃការផ្ទេរប្រាក់</t>
        </is>
      </c>
      <c r="H1317" s="10" t="inlineStr">
        <is>
          <t>វិធីសាស្រ្តនៃការផ្ទេរប្រាក់</t>
        </is>
      </c>
      <c r="I1317" s="10" t="n"/>
      <c r="J1317" s="10" t="n"/>
      <c r="K1317" s="10" t="inlineStr">
        <is>
          <t>"codPayment.paymentMethod": "វិធីសាស្រ្តនៃការផ្ទេរប្រាក់",</t>
        </is>
      </c>
      <c r="L1317" s="10" t="n"/>
      <c r="M1317" s="10" t="n"/>
      <c r="N1317" s="10" t="n"/>
      <c r="O1317" s="10" t="n"/>
      <c r="P1317" s="10" t="n"/>
      <c r="Q1317" s="10" t="n"/>
      <c r="R1317" s="10" t="n"/>
      <c r="S1317" s="10" t="n"/>
      <c r="T1317" s="10" t="n"/>
      <c r="U1317" s="10" t="n"/>
      <c r="V1317" s="10" t="n"/>
      <c r="W1317" s="10" t="n"/>
      <c r="X1317" s="10" t="n"/>
      <c r="Y1317" s="10" t="n"/>
      <c r="Z1317" s="10" t="n"/>
    </row>
    <row r="1318">
      <c r="A1318" s="27" t="inlineStr">
        <is>
          <t>codPayment.infoPaymentCus</t>
        </is>
      </c>
      <c r="B1318" s="27" t="inlineStr">
        <is>
          <t>Thông tin thanh toán khách hàng</t>
        </is>
      </c>
      <c r="C1318" s="27" t="inlineStr">
        <is>
          <t>Customer Payment Information</t>
        </is>
      </c>
      <c r="D1318" s="21" t="inlineStr">
        <is>
          <t>ព័ត៌មានទូទាត់អតិថិជន</t>
        </is>
      </c>
      <c r="E1318" s="21" t="inlineStr">
        <is>
          <t>ព័ត៌មានទូទាត់អតិថិជន</t>
        </is>
      </c>
      <c r="F1318" s="10" t="n"/>
      <c r="G1318" s="10" t="inlineStr">
        <is>
          <t>ព័ត៌មានទូទាត់អតិថិជន</t>
        </is>
      </c>
      <c r="H1318" s="10" t="inlineStr">
        <is>
          <t>ព័ត៌មានទូទាត់អតិថិជន</t>
        </is>
      </c>
      <c r="I1318" s="10" t="n"/>
      <c r="J1318" s="10" t="n"/>
      <c r="K1318" s="10" t="inlineStr">
        <is>
          <t>"codPayment.infoPaymentCus": "ព័ត៌មានទូទាត់អតិថិជន",</t>
        </is>
      </c>
      <c r="L1318" s="10" t="n"/>
      <c r="M1318" s="10" t="n"/>
      <c r="N1318" s="10" t="n"/>
      <c r="O1318" s="10" t="n"/>
      <c r="P1318" s="10" t="n"/>
      <c r="Q1318" s="10" t="n"/>
      <c r="R1318" s="10" t="n"/>
      <c r="S1318" s="10" t="n"/>
      <c r="T1318" s="10" t="n"/>
      <c r="U1318" s="10" t="n"/>
      <c r="V1318" s="10" t="n"/>
      <c r="W1318" s="10" t="n"/>
      <c r="X1318" s="10" t="n"/>
      <c r="Y1318" s="10" t="n"/>
      <c r="Z1318" s="10" t="n"/>
    </row>
    <row r="1319">
      <c r="A1319" s="27" t="inlineStr">
        <is>
          <t>codPayment.statusContract</t>
        </is>
      </c>
      <c r="B1319" s="27" t="inlineStr">
        <is>
          <t>Trạng thái hợp đồng</t>
        </is>
      </c>
      <c r="C1319" s="27" t="inlineStr">
        <is>
          <t>Contract Status</t>
        </is>
      </c>
      <c r="D1319" s="21" t="inlineStr">
        <is>
          <t>ស្ថានភាពកិច្ចសន្យា</t>
        </is>
      </c>
      <c r="E1319" s="21" t="inlineStr">
        <is>
          <t>ស្ថានភាពកិច្ចសន្យា</t>
        </is>
      </c>
      <c r="F1319" s="10" t="n"/>
      <c r="G1319" s="10" t="inlineStr">
        <is>
          <t>ស្ថានភាពកិច្ចសន្យា</t>
        </is>
      </c>
      <c r="H1319" s="10" t="inlineStr">
        <is>
          <t>ស្ថានភាពកិច្ចសន្យា</t>
        </is>
      </c>
      <c r="I1319" s="10" t="n"/>
      <c r="J1319" s="10" t="n"/>
      <c r="K1319" s="10" t="inlineStr">
        <is>
          <t>"codPayment.statusContract": "ស្ថានភាពកិច្ចសន្យា",</t>
        </is>
      </c>
      <c r="L1319" s="10" t="n"/>
      <c r="M1319" s="10" t="n"/>
      <c r="N1319" s="10" t="n"/>
      <c r="O1319" s="10" t="n"/>
      <c r="P1319" s="10" t="n"/>
      <c r="Q1319" s="10" t="n"/>
      <c r="R1319" s="10" t="n"/>
      <c r="S1319" s="10" t="n"/>
      <c r="T1319" s="10" t="n"/>
      <c r="U1319" s="10" t="n"/>
      <c r="V1319" s="10" t="n"/>
      <c r="W1319" s="10" t="n"/>
      <c r="X1319" s="10" t="n"/>
      <c r="Y1319" s="10" t="n"/>
      <c r="Z1319" s="10" t="n"/>
    </row>
    <row r="1320">
      <c r="A1320" s="27" t="inlineStr">
        <is>
          <t>codPayment.periodControl</t>
        </is>
      </c>
      <c r="B1320" s="27" t="inlineStr">
        <is>
          <t>Kỳ đối soát</t>
        </is>
      </c>
      <c r="C1320" s="27" t="inlineStr">
        <is>
          <t>Reconciliation Cycle</t>
        </is>
      </c>
      <c r="D1320" s="102" t="n"/>
      <c r="E1320" s="90" t="inlineStr">
        <is>
          <t>រយៈពេលវាយតម្លៃតុល្យភាព</t>
        </is>
      </c>
      <c r="F1320" s="10" t="n"/>
      <c r="G1320" s="10" t="inlineStr">
        <is>
          <t>រយៈពេលវាយតម្លៃតុល្យភាព</t>
        </is>
      </c>
      <c r="H1320" s="10" t="inlineStr">
        <is>
          <t>រយៈពេលវាយតម្លៃតុល្យភាព</t>
        </is>
      </c>
      <c r="I1320" s="10" t="n"/>
      <c r="J1320" s="10" t="n"/>
      <c r="K1320" s="10" t="inlineStr">
        <is>
          <t>"codPayment.periodControl": "រយៈពេលវាយតម្លៃតុល្យភាព",</t>
        </is>
      </c>
      <c r="L1320" s="10" t="n"/>
      <c r="M1320" s="10" t="n"/>
      <c r="N1320" s="10" t="n"/>
      <c r="O1320" s="10" t="n"/>
      <c r="P1320" s="10" t="n"/>
      <c r="Q1320" s="10" t="n"/>
      <c r="R1320" s="10" t="n"/>
      <c r="S1320" s="10" t="n"/>
      <c r="T1320" s="10" t="n"/>
      <c r="U1320" s="10" t="n"/>
      <c r="V1320" s="10" t="n"/>
      <c r="W1320" s="10" t="n"/>
      <c r="X1320" s="10" t="n"/>
      <c r="Y1320" s="10" t="n"/>
      <c r="Z1320" s="10" t="n"/>
    </row>
    <row r="1321">
      <c r="A1321" s="27" t="inlineStr">
        <is>
          <t>codPayment.offsetMethod</t>
        </is>
      </c>
      <c r="B1321" s="27" t="inlineStr">
        <is>
          <t>Hình thức cấn trừ</t>
        </is>
      </c>
      <c r="C1321" s="27" t="inlineStr">
        <is>
          <t>Offset Method</t>
        </is>
      </c>
      <c r="D1321" s="102" t="n"/>
      <c r="E1321" s="102" t="inlineStr">
        <is>
          <t>របៀបកាត់បន្ថយ</t>
        </is>
      </c>
      <c r="F1321" s="10" t="n"/>
      <c r="G1321" s="10" t="inlineStr">
        <is>
          <t>របៀបកាត់បន្ថយ</t>
        </is>
      </c>
      <c r="H1321" s="10" t="inlineStr">
        <is>
          <t>របៀបកាត់បន្ថយ</t>
        </is>
      </c>
      <c r="I1321" s="10" t="n"/>
      <c r="J1321" s="10" t="n"/>
      <c r="K1321" s="10" t="inlineStr">
        <is>
          <t>"codPayment.offsetMethod": "របៀបកាត់បន្ថយ",</t>
        </is>
      </c>
      <c r="L1321" s="10" t="n"/>
      <c r="M1321" s="10" t="n"/>
      <c r="N1321" s="10" t="n"/>
      <c r="O1321" s="10" t="n"/>
      <c r="P1321" s="10" t="n"/>
      <c r="Q1321" s="10" t="n"/>
      <c r="R1321" s="10" t="n"/>
      <c r="S1321" s="10" t="n"/>
      <c r="T1321" s="10" t="n"/>
      <c r="U1321" s="10" t="n"/>
      <c r="V1321" s="10" t="n"/>
      <c r="W1321" s="10" t="n"/>
      <c r="X1321" s="10" t="n"/>
      <c r="Y1321" s="10" t="n"/>
      <c r="Z1321" s="10" t="n"/>
    </row>
    <row r="1322">
      <c r="A1322" s="27" t="inlineStr">
        <is>
          <t>codPayment.methodPay</t>
        </is>
      </c>
      <c r="B1322" s="27" t="inlineStr">
        <is>
          <t>Hình thức trả tiền</t>
        </is>
      </c>
      <c r="C1322" s="27" t="inlineStr">
        <is>
          <t>Payment Type</t>
        </is>
      </c>
      <c r="D1322" s="21" t="inlineStr">
        <is>
          <t>វិធីសាស្រ្តនៃការទូទាត់ប្រាក់</t>
        </is>
      </c>
      <c r="E1322" s="102" t="inlineStr">
        <is>
          <t>របៀបសងប្រាក់</t>
        </is>
      </c>
      <c r="F1322" s="10" t="n"/>
      <c r="G1322" s="10" t="inlineStr">
        <is>
          <t>របៀបសងប្រាក់</t>
        </is>
      </c>
      <c r="H1322" s="10" t="inlineStr">
        <is>
          <t>របៀបសងប្រាក់</t>
        </is>
      </c>
      <c r="I1322" s="10" t="n"/>
      <c r="J1322" s="10" t="n"/>
      <c r="K1322" s="10" t="inlineStr">
        <is>
          <t>"codPayment.methodPay": "របៀបសងប្រាក់",</t>
        </is>
      </c>
      <c r="L1322" s="10" t="n"/>
      <c r="M1322" s="10" t="n"/>
      <c r="N1322" s="10" t="n"/>
      <c r="O1322" s="10" t="n"/>
      <c r="P1322" s="10" t="n"/>
      <c r="Q1322" s="10" t="n"/>
      <c r="R1322" s="10" t="n"/>
      <c r="S1322" s="10" t="n"/>
      <c r="T1322" s="10" t="n"/>
      <c r="U1322" s="10" t="n"/>
      <c r="V1322" s="10" t="n"/>
      <c r="W1322" s="10" t="n"/>
      <c r="X1322" s="10" t="n"/>
      <c r="Y1322" s="10" t="n"/>
      <c r="Z1322" s="10" t="n"/>
    </row>
    <row r="1323">
      <c r="A1323" s="27" t="inlineStr">
        <is>
          <t>codPayment.amountCod</t>
        </is>
      </c>
      <c r="B1323" s="27" t="inlineStr">
        <is>
          <t>Tiền COD (Lak)</t>
        </is>
      </c>
      <c r="C1323" s="27" t="inlineStr">
        <is>
          <t>COD amount (LAK)</t>
        </is>
      </c>
      <c r="D1323" s="21" t="inlineStr">
        <is>
          <t>ប្រាក់COD</t>
        </is>
      </c>
      <c r="E1323" s="102" t="inlineStr">
        <is>
          <t>ប្រាក់ COD (Lak)</t>
        </is>
      </c>
      <c r="F1323" s="10" t="n"/>
      <c r="G1323" s="10" t="inlineStr">
        <is>
          <t>ប្រាក់ COD (Lak)</t>
        </is>
      </c>
      <c r="H1323" s="10" t="inlineStr">
        <is>
          <t>ប្រាក់ COD (Lak)</t>
        </is>
      </c>
      <c r="I1323" s="10" t="n"/>
      <c r="J1323" s="10" t="n"/>
      <c r="K1323" s="10" t="inlineStr">
        <is>
          <t>"codPayment.amountCod": "ប្រាក់ COD (Lak)",</t>
        </is>
      </c>
      <c r="L1323" s="10" t="n"/>
      <c r="M1323" s="10" t="n"/>
      <c r="N1323" s="10" t="n"/>
      <c r="O1323" s="10" t="n"/>
      <c r="P1323" s="10" t="n"/>
      <c r="Q1323" s="10" t="n"/>
      <c r="R1323" s="10" t="n"/>
      <c r="S1323" s="10" t="n"/>
      <c r="T1323" s="10" t="n"/>
      <c r="U1323" s="10" t="n"/>
      <c r="V1323" s="10" t="n"/>
      <c r="W1323" s="10" t="n"/>
      <c r="X1323" s="10" t="n"/>
      <c r="Y1323" s="10" t="n"/>
      <c r="Z1323" s="10" t="n"/>
    </row>
    <row r="1324">
      <c r="A1324" s="27" t="inlineStr">
        <is>
          <t>codPayment.amountFee</t>
        </is>
      </c>
      <c r="B1324" s="27" t="inlineStr">
        <is>
          <t>Tiền cước (Lak)</t>
        </is>
      </c>
      <c r="C1324" s="27" t="inlineStr">
        <is>
          <t>Service Charges (LAK)</t>
        </is>
      </c>
      <c r="D1324" s="21" t="inlineStr">
        <is>
          <t>ថ្លៃសេវា</t>
        </is>
      </c>
      <c r="E1324" s="102" t="inlineStr">
        <is>
          <t>ប្រាក់សេវា (Lak)</t>
        </is>
      </c>
      <c r="F1324" s="10" t="n"/>
      <c r="G1324" s="10" t="inlineStr">
        <is>
          <t>ប្រាក់សេវា (Lak)</t>
        </is>
      </c>
      <c r="H1324" s="10" t="inlineStr">
        <is>
          <t>ប្រាក់សេវា (Lak)</t>
        </is>
      </c>
      <c r="I1324" s="10" t="n"/>
      <c r="J1324" s="10" t="n"/>
      <c r="K1324" s="10" t="inlineStr">
        <is>
          <t>"codPayment.amountFee": "ប្រាក់សេវា (Lak)",</t>
        </is>
      </c>
      <c r="L1324" s="10" t="n"/>
      <c r="M1324" s="10" t="n"/>
      <c r="N1324" s="10" t="n"/>
      <c r="O1324" s="10" t="n"/>
      <c r="P1324" s="10" t="n"/>
      <c r="Q1324" s="10" t="n"/>
      <c r="R1324" s="10" t="n"/>
      <c r="S1324" s="10" t="n"/>
      <c r="T1324" s="10" t="n"/>
      <c r="U1324" s="10" t="n"/>
      <c r="V1324" s="10" t="n"/>
      <c r="W1324" s="10" t="n"/>
      <c r="X1324" s="10" t="n"/>
      <c r="Y1324" s="10" t="n"/>
      <c r="Z1324" s="10" t="n"/>
    </row>
    <row r="1325">
      <c r="A1325" s="27" t="inlineStr">
        <is>
          <t>codPayment.amountPayable</t>
        </is>
      </c>
      <c r="B1325" s="27" t="inlineStr">
        <is>
          <t>Tiền phải trả (Lak)</t>
        </is>
      </c>
      <c r="C1325" s="27" t="inlineStr">
        <is>
          <t>Amount Payable (LAK)</t>
        </is>
      </c>
      <c r="D1325" s="21" t="inlineStr">
        <is>
          <t>ប្រាក់ត្រូវត្រឡប់</t>
        </is>
      </c>
      <c r="E1325" s="102" t="inlineStr">
        <is>
          <t>ប្រាក់ដែលត្រូវសង (Lak)</t>
        </is>
      </c>
      <c r="F1325" s="10" t="n"/>
      <c r="G1325" s="10" t="inlineStr">
        <is>
          <t>ប្រាក់ដែលត្រូវសង (Lak)</t>
        </is>
      </c>
      <c r="H1325" s="10" t="inlineStr">
        <is>
          <t>ប្រាក់ដែលត្រូវសង (Lak)</t>
        </is>
      </c>
      <c r="I1325" s="10" t="n"/>
      <c r="J1325" s="10" t="n"/>
      <c r="K1325" s="10" t="inlineStr">
        <is>
          <t>"codPayment.amountPayable": "ប្រាក់ដែលត្រូវសង (Lak)",</t>
        </is>
      </c>
      <c r="L1325" s="10" t="n"/>
      <c r="M1325" s="10" t="n"/>
      <c r="N1325" s="10" t="n"/>
      <c r="O1325" s="10" t="n"/>
      <c r="P1325" s="10" t="n"/>
      <c r="Q1325" s="10" t="n"/>
      <c r="R1325" s="10" t="n"/>
      <c r="S1325" s="10" t="n"/>
      <c r="T1325" s="10" t="n"/>
      <c r="U1325" s="10" t="n"/>
      <c r="V1325" s="10" t="n"/>
      <c r="W1325" s="10" t="n"/>
      <c r="X1325" s="10" t="n"/>
      <c r="Y1325" s="10" t="n"/>
      <c r="Z1325" s="10" t="n"/>
    </row>
    <row r="1326">
      <c r="A1326" s="27" t="inlineStr">
        <is>
          <t>codPayment.totalCus</t>
        </is>
      </c>
      <c r="B1326" s="27" t="inlineStr">
        <is>
          <t>Tổng số khách hàng</t>
        </is>
      </c>
      <c r="C1326" s="27" t="inlineStr">
        <is>
          <t>Total customer</t>
        </is>
      </c>
      <c r="D1326" s="21" t="inlineStr">
        <is>
          <t>សរុបចំនួនអតិថិជន</t>
        </is>
      </c>
      <c r="E1326" s="102" t="inlineStr">
        <is>
          <t>សរុបចំនួនអតិថិជន</t>
        </is>
      </c>
      <c r="F1326" s="10" t="n"/>
      <c r="G1326" s="10" t="inlineStr">
        <is>
          <t>សរុបចំនួនអតិថិជន</t>
        </is>
      </c>
      <c r="H1326" s="10" t="inlineStr">
        <is>
          <t>សរុបចំនួនអតិថិជន</t>
        </is>
      </c>
      <c r="I1326" s="10" t="n"/>
      <c r="J1326" s="10" t="n"/>
      <c r="K1326" s="10" t="inlineStr">
        <is>
          <t>"codPayment.totalCus": "សរុបចំនួនអតិថិជន",</t>
        </is>
      </c>
      <c r="L1326" s="10" t="n"/>
      <c r="M1326" s="10" t="n"/>
      <c r="N1326" s="10" t="n"/>
      <c r="O1326" s="10" t="n"/>
      <c r="P1326" s="10" t="n"/>
      <c r="Q1326" s="10" t="n"/>
      <c r="R1326" s="10" t="n"/>
      <c r="S1326" s="10" t="n"/>
      <c r="T1326" s="10" t="n"/>
      <c r="U1326" s="10" t="n"/>
      <c r="V1326" s="10" t="n"/>
      <c r="W1326" s="10" t="n"/>
      <c r="X1326" s="10" t="n"/>
      <c r="Y1326" s="10" t="n"/>
      <c r="Z1326" s="10" t="n"/>
    </row>
    <row r="1327">
      <c r="A1327" s="27" t="inlineStr">
        <is>
          <t>codPayment.totalAmountCod</t>
        </is>
      </c>
      <c r="B1327" s="27" t="inlineStr">
        <is>
          <t>Tổng tiền COD</t>
        </is>
      </c>
      <c r="C1327" s="27" t="inlineStr">
        <is>
          <t>Total COD amount</t>
        </is>
      </c>
      <c r="D1327" s="21" t="inlineStr">
        <is>
          <t>សរុបបប្រាក់ COD</t>
        </is>
      </c>
      <c r="E1327" s="102" t="inlineStr">
        <is>
          <t>សរុបប្រាក់ COD</t>
        </is>
      </c>
      <c r="F1327" s="10" t="n"/>
      <c r="G1327" s="10" t="inlineStr">
        <is>
          <t>សរុបប្រាក់ COD</t>
        </is>
      </c>
      <c r="H1327" s="10" t="inlineStr">
        <is>
          <t>សរុបប្រាក់ COD</t>
        </is>
      </c>
      <c r="I1327" s="10" t="n"/>
      <c r="J1327" s="10" t="n"/>
      <c r="K1327" s="10" t="inlineStr">
        <is>
          <t>"codPayment.totalAmountCod": "សរុបប្រាក់ COD",</t>
        </is>
      </c>
      <c r="L1327" s="10" t="n"/>
      <c r="M1327" s="10" t="n"/>
      <c r="N1327" s="10" t="n"/>
      <c r="O1327" s="10" t="n"/>
      <c r="P1327" s="10" t="n"/>
      <c r="Q1327" s="10" t="n"/>
      <c r="R1327" s="10" t="n"/>
      <c r="S1327" s="10" t="n"/>
      <c r="T1327" s="10" t="n"/>
      <c r="U1327" s="10" t="n"/>
      <c r="V1327" s="10" t="n"/>
      <c r="W1327" s="10" t="n"/>
      <c r="X1327" s="10" t="n"/>
      <c r="Y1327" s="10" t="n"/>
      <c r="Z1327" s="10" t="n"/>
    </row>
    <row r="1328">
      <c r="A1328" s="27" t="inlineStr">
        <is>
          <t>codPayment.totalAmountPayable</t>
        </is>
      </c>
      <c r="B1328" s="27" t="inlineStr">
        <is>
          <t>Tổng tiền phải trả</t>
        </is>
      </c>
      <c r="C1328" s="27" t="inlineStr">
        <is>
          <t>Total amount payable</t>
        </is>
      </c>
      <c r="D1328" s="21" t="inlineStr">
        <is>
          <t>សរុបបប្រាក់ដែលត្រូវបង់</t>
        </is>
      </c>
      <c r="E1328" s="102" t="inlineStr">
        <is>
          <t>សរុបប្រាក់ដែលត្រូវសង</t>
        </is>
      </c>
      <c r="F1328" s="10" t="n"/>
      <c r="G1328" s="10" t="inlineStr">
        <is>
          <t>សរុបប្រាក់ដែលត្រូវសង</t>
        </is>
      </c>
      <c r="H1328" s="10" t="inlineStr">
        <is>
          <t>សរុបប្រាក់ដែលត្រូវសង</t>
        </is>
      </c>
      <c r="I1328" s="10" t="n"/>
      <c r="J1328" s="10" t="n"/>
      <c r="K1328" s="10" t="inlineStr">
        <is>
          <t>"codPayment.totalAmountPayable": "សរុបប្រាក់ដែលត្រូវសង",</t>
        </is>
      </c>
      <c r="L1328" s="10" t="n"/>
      <c r="M1328" s="10" t="n"/>
      <c r="N1328" s="10" t="n"/>
      <c r="O1328" s="10" t="n"/>
      <c r="P1328" s="10" t="n"/>
      <c r="Q1328" s="10" t="n"/>
      <c r="R1328" s="10" t="n"/>
      <c r="S1328" s="10" t="n"/>
      <c r="T1328" s="10" t="n"/>
      <c r="U1328" s="10" t="n"/>
      <c r="V1328" s="10" t="n"/>
      <c r="W1328" s="10" t="n"/>
      <c r="X1328" s="10" t="n"/>
      <c r="Y1328" s="10" t="n"/>
      <c r="Z1328" s="10" t="n"/>
    </row>
    <row r="1329">
      <c r="A1329" s="27" t="inlineStr">
        <is>
          <t>codPayment.statementCod</t>
        </is>
      </c>
      <c r="B1329" s="27" t="inlineStr">
        <is>
          <t>Bảng kê chi COD</t>
        </is>
      </c>
      <c r="C1329" s="27" t="inlineStr">
        <is>
          <t>COD Disbursement List</t>
        </is>
      </c>
      <c r="D1329" s="102" t="n"/>
      <c r="E1329" s="102" t="inlineStr">
        <is>
          <t>តារាងចំណាយ COD</t>
        </is>
      </c>
      <c r="F1329" s="10" t="n"/>
      <c r="G1329" s="10" t="inlineStr">
        <is>
          <t>តារាងចំណាយ COD</t>
        </is>
      </c>
      <c r="H1329" s="10" t="inlineStr">
        <is>
          <t>តារាងចំណាយ COD</t>
        </is>
      </c>
      <c r="I1329" s="10" t="n"/>
      <c r="J1329" s="10" t="n"/>
      <c r="K1329" s="10" t="inlineStr">
        <is>
          <t>"codPayment.statementCod": "តារាងចំណាយ COD",</t>
        </is>
      </c>
      <c r="L1329" s="10" t="n"/>
      <c r="M1329" s="10" t="n"/>
      <c r="N1329" s="10" t="n"/>
      <c r="O1329" s="10" t="n"/>
      <c r="P1329" s="10" t="n"/>
      <c r="Q1329" s="10" t="n"/>
      <c r="R1329" s="10" t="n"/>
      <c r="S1329" s="10" t="n"/>
      <c r="T1329" s="10" t="n"/>
      <c r="U1329" s="10" t="n"/>
      <c r="V1329" s="10" t="n"/>
      <c r="W1329" s="10" t="n"/>
      <c r="X1329" s="10" t="n"/>
      <c r="Y1329" s="10" t="n"/>
      <c r="Z1329" s="10" t="n"/>
    </row>
    <row r="1330">
      <c r="A1330" s="27" t="inlineStr">
        <is>
          <t>codPayment.paymentOrder</t>
        </is>
      </c>
      <c r="B1330" s="27" t="inlineStr">
        <is>
          <t>Danh sách UNC</t>
        </is>
      </c>
      <c r="C1330" s="27" t="inlineStr">
        <is>
          <t>Payment Order List</t>
        </is>
      </c>
      <c r="D1330" s="102" t="n"/>
      <c r="E1330" s="27" t="inlineStr">
        <is>
          <t>បញ្ជី UNC</t>
        </is>
      </c>
      <c r="F1330" s="10" t="n"/>
      <c r="G1330" s="10" t="inlineStr">
        <is>
          <t>បញ្ជី UNC</t>
        </is>
      </c>
      <c r="H1330" s="10" t="inlineStr">
        <is>
          <t>បញ្ជី UNC</t>
        </is>
      </c>
      <c r="I1330" s="10" t="n"/>
      <c r="J1330" s="10" t="n"/>
      <c r="K1330" s="10" t="inlineStr">
        <is>
          <t>"codPayment.paymentOrder": "បញ្ជី UNC",</t>
        </is>
      </c>
      <c r="L1330" s="10" t="n"/>
      <c r="M1330" s="10" t="n"/>
      <c r="N1330" s="10" t="n"/>
      <c r="O1330" s="10" t="n"/>
      <c r="P1330" s="10" t="n"/>
      <c r="Q1330" s="10" t="n"/>
      <c r="R1330" s="10" t="n"/>
      <c r="S1330" s="10" t="n"/>
      <c r="T1330" s="10" t="n"/>
      <c r="U1330" s="10" t="n"/>
      <c r="V1330" s="10" t="n"/>
      <c r="W1330" s="10" t="n"/>
      <c r="X1330" s="10" t="n"/>
      <c r="Y1330" s="10" t="n"/>
      <c r="Z1330" s="10" t="n"/>
    </row>
    <row r="1331">
      <c r="A1331" s="27" t="inlineStr">
        <is>
          <t>codPayment.tabNotPaid</t>
        </is>
      </c>
      <c r="B1331" s="27" t="inlineStr">
        <is>
          <t>Chưa chi</t>
        </is>
      </c>
      <c r="C1331" s="27" t="inlineStr">
        <is>
          <t>Unpaid</t>
        </is>
      </c>
      <c r="D1331" s="27" t="inlineStr">
        <is>
          <t>-</t>
        </is>
      </c>
      <c r="E1331" s="102" t="inlineStr">
        <is>
          <t>មិនទាន់ចំណាយ</t>
        </is>
      </c>
      <c r="F1331" s="10" t="n"/>
      <c r="G1331" s="10" t="inlineStr">
        <is>
          <t>មិនទាន់ចំណាយ</t>
        </is>
      </c>
      <c r="H1331" s="10" t="inlineStr">
        <is>
          <t>មិនទាន់ចំណាយ</t>
        </is>
      </c>
      <c r="I1331" s="10" t="n"/>
      <c r="J1331" s="10" t="n"/>
      <c r="K1331" s="10" t="inlineStr">
        <is>
          <t>"codPayment.tabNotPaid": "មិនទាន់ចំណាយ",</t>
        </is>
      </c>
      <c r="L1331" s="10" t="n"/>
      <c r="M1331" s="10" t="n"/>
      <c r="N1331" s="10" t="n"/>
      <c r="O1331" s="10" t="n"/>
      <c r="P1331" s="10" t="n"/>
      <c r="Q1331" s="10" t="n"/>
      <c r="R1331" s="10" t="n"/>
      <c r="S1331" s="10" t="n"/>
      <c r="T1331" s="10" t="n"/>
      <c r="U1331" s="10" t="n"/>
      <c r="V1331" s="10" t="n"/>
      <c r="W1331" s="10" t="n"/>
      <c r="X1331" s="10" t="n"/>
      <c r="Y1331" s="10" t="n"/>
      <c r="Z1331" s="10" t="n"/>
    </row>
    <row r="1332">
      <c r="A1332" s="27" t="inlineStr">
        <is>
          <t>codPayment.tabPaying</t>
        </is>
      </c>
      <c r="B1332" s="27" t="inlineStr">
        <is>
          <t>Đang chi</t>
        </is>
      </c>
      <c r="C1332" s="27" t="inlineStr">
        <is>
          <t>Processing</t>
        </is>
      </c>
      <c r="D1332" s="27" t="inlineStr">
        <is>
          <t>-</t>
        </is>
      </c>
      <c r="E1332" s="102" t="inlineStr">
        <is>
          <t>កំពុុងចំណាយ</t>
        </is>
      </c>
      <c r="F1332" s="10" t="n"/>
      <c r="G1332" s="10" t="inlineStr">
        <is>
          <t>កំពុងដំណើរការទូទាត់</t>
        </is>
      </c>
      <c r="H1332" s="10" t="inlineStr">
        <is>
          <t>កំពុងដំណើរការទូទាត់</t>
        </is>
      </c>
      <c r="I1332" s="10" t="n"/>
      <c r="J1332" s="10" t="n"/>
      <c r="K1332" s="10" t="inlineStr">
        <is>
          <t>"codPayment.tabPaying": "កំពុងដំណើរការទូទាត់",</t>
        </is>
      </c>
      <c r="L1332" s="10" t="n"/>
      <c r="M1332" s="10" t="n"/>
      <c r="N1332" s="10" t="n"/>
      <c r="O1332" s="10" t="n"/>
      <c r="P1332" s="10" t="n"/>
      <c r="Q1332" s="10" t="n"/>
      <c r="R1332" s="10" t="n"/>
      <c r="S1332" s="10" t="n"/>
      <c r="T1332" s="10" t="n"/>
      <c r="U1332" s="10" t="n"/>
      <c r="V1332" s="10" t="n"/>
      <c r="W1332" s="10" t="n"/>
      <c r="X1332" s="10" t="n"/>
      <c r="Y1332" s="10" t="n"/>
      <c r="Z1332" s="10" t="n"/>
    </row>
    <row r="1333">
      <c r="A1333" s="27" t="inlineStr">
        <is>
          <t>codPayment.tabApproved</t>
        </is>
      </c>
      <c r="B1333" s="27" t="inlineStr">
        <is>
          <t>Duyệt chi</t>
        </is>
      </c>
      <c r="C1333" s="27" t="inlineStr">
        <is>
          <t>Approval</t>
        </is>
      </c>
      <c r="D1333" s="27" t="inlineStr">
        <is>
          <t>-</t>
        </is>
      </c>
      <c r="E1333" s="90" t="inlineStr">
        <is>
          <t>អនុម័តការចំណាយ</t>
        </is>
      </c>
      <c r="F1333" s="10" t="n"/>
      <c r="G1333" s="10" t="inlineStr">
        <is>
          <t>អនុម័តការចំណាយ</t>
        </is>
      </c>
      <c r="H1333" s="10" t="inlineStr">
        <is>
          <t>អនុម័តការចំណាយ</t>
        </is>
      </c>
      <c r="I1333" s="10" t="n"/>
      <c r="J1333" s="10" t="n"/>
      <c r="K1333" s="10" t="inlineStr">
        <is>
          <t>"codPayment.tabApproved": "អនុម័តការចំណាយ",</t>
        </is>
      </c>
      <c r="L1333" s="10" t="n"/>
      <c r="M1333" s="10" t="n"/>
      <c r="N1333" s="10" t="n"/>
      <c r="O1333" s="10" t="n"/>
      <c r="P1333" s="10" t="n"/>
      <c r="Q1333" s="10" t="n"/>
      <c r="R1333" s="10" t="n"/>
      <c r="S1333" s="10" t="n"/>
      <c r="T1333" s="10" t="n"/>
      <c r="U1333" s="10" t="n"/>
      <c r="V1333" s="10" t="n"/>
      <c r="W1333" s="10" t="n"/>
      <c r="X1333" s="10" t="n"/>
      <c r="Y1333" s="10" t="n"/>
      <c r="Z1333" s="10" t="n"/>
    </row>
    <row r="1334">
      <c r="A1334" s="27" t="inlineStr">
        <is>
          <t>codPayment.customerCode</t>
        </is>
      </c>
      <c r="B1334" s="27" t="inlineStr">
        <is>
          <t>Mã khách hàng</t>
        </is>
      </c>
      <c r="C1334" s="27" t="inlineStr">
        <is>
          <t>Customer ID</t>
        </is>
      </c>
      <c r="D1334" s="21" t="inlineStr">
        <is>
          <t>លេខកូដអតិថិជន</t>
        </is>
      </c>
      <c r="E1334" s="102" t="inlineStr">
        <is>
          <t>លេខសម្គាល់អតិថិជន</t>
        </is>
      </c>
      <c r="F1334" s="10" t="n"/>
      <c r="G1334" s="10" t="inlineStr">
        <is>
          <t>លេខសម្គាល់អតិថិជន</t>
        </is>
      </c>
      <c r="H1334" s="10" t="inlineStr">
        <is>
          <t>លេខសម្គាល់អតិថិជន</t>
        </is>
      </c>
      <c r="I1334" s="10" t="n"/>
      <c r="J1334" s="10" t="n"/>
      <c r="K1334" s="10" t="inlineStr">
        <is>
          <t>"codPayment.customerCode": "លេខសម្គាល់អតិថិជន",</t>
        </is>
      </c>
      <c r="L1334" s="10" t="n"/>
      <c r="M1334" s="10" t="n"/>
      <c r="N1334" s="10" t="n"/>
      <c r="O1334" s="10" t="n"/>
      <c r="P1334" s="10" t="n"/>
      <c r="Q1334" s="10" t="n"/>
      <c r="R1334" s="10" t="n"/>
      <c r="S1334" s="10" t="n"/>
      <c r="T1334" s="10" t="n"/>
      <c r="U1334" s="10" t="n"/>
      <c r="V1334" s="10" t="n"/>
      <c r="W1334" s="10" t="n"/>
      <c r="X1334" s="10" t="n"/>
      <c r="Y1334" s="10" t="n"/>
      <c r="Z1334" s="10" t="n"/>
    </row>
    <row r="1335">
      <c r="A1335" s="27" t="inlineStr">
        <is>
          <t>codPayment.time</t>
        </is>
      </c>
      <c r="B1335" s="27" t="inlineStr">
        <is>
          <t>Thời gian</t>
        </is>
      </c>
      <c r="C1335" s="27" t="inlineStr">
        <is>
          <t>Time</t>
        </is>
      </c>
      <c r="D1335" s="21" t="inlineStr">
        <is>
          <t>ពេលវេលា</t>
        </is>
      </c>
      <c r="E1335" s="102" t="inlineStr">
        <is>
          <t>ពេលវេលា</t>
        </is>
      </c>
      <c r="F1335" s="10" t="n"/>
      <c r="G1335" s="10" t="inlineStr">
        <is>
          <t>ពេលវេលា</t>
        </is>
      </c>
      <c r="H1335" s="10" t="inlineStr">
        <is>
          <t>ពេលវេលា</t>
        </is>
      </c>
      <c r="I1335" s="10" t="n"/>
      <c r="J1335" s="10" t="n"/>
      <c r="K1335" s="10" t="inlineStr">
        <is>
          <t>"codPayment.time": "ពេលវេលា",</t>
        </is>
      </c>
      <c r="L1335" s="10" t="n"/>
      <c r="M1335" s="10" t="n"/>
      <c r="N1335" s="10" t="n"/>
      <c r="O1335" s="10" t="n"/>
      <c r="P1335" s="10" t="n"/>
      <c r="Q1335" s="10" t="n"/>
      <c r="R1335" s="10" t="n"/>
      <c r="S1335" s="10" t="n"/>
      <c r="T1335" s="10" t="n"/>
      <c r="U1335" s="10" t="n"/>
      <c r="V1335" s="10" t="n"/>
      <c r="W1335" s="10" t="n"/>
      <c r="X1335" s="10" t="n"/>
      <c r="Y1335" s="10" t="n"/>
      <c r="Z1335" s="10" t="n"/>
    </row>
    <row r="1336">
      <c r="A1336" s="87" t="inlineStr">
        <is>
          <t>codPayment.org</t>
        </is>
      </c>
      <c r="B1336" s="27" t="inlineStr">
        <is>
          <t>Chi nhánh</t>
        </is>
      </c>
      <c r="C1336" s="27" t="inlineStr">
        <is>
          <t>Branch</t>
        </is>
      </c>
      <c r="D1336" s="21" t="inlineStr">
        <is>
          <t>សាខា</t>
        </is>
      </c>
      <c r="E1336" s="102" t="inlineStr">
        <is>
          <t>សាខា</t>
        </is>
      </c>
      <c r="F1336" s="10" t="n"/>
      <c r="G1336" s="10" t="inlineStr">
        <is>
          <t>សាខា</t>
        </is>
      </c>
      <c r="H1336" s="10" t="inlineStr">
        <is>
          <t>សាខា</t>
        </is>
      </c>
      <c r="I1336" s="10" t="n"/>
      <c r="J1336" s="10" t="n"/>
      <c r="K1336" s="10" t="inlineStr">
        <is>
          <t>"codPayment.org": "សាខា",</t>
        </is>
      </c>
      <c r="L1336" s="10" t="n"/>
      <c r="M1336" s="10" t="n"/>
      <c r="N1336" s="10" t="n"/>
      <c r="O1336" s="10" t="n"/>
      <c r="P1336" s="10" t="n"/>
      <c r="Q1336" s="10" t="n"/>
      <c r="R1336" s="10" t="n"/>
      <c r="S1336" s="10" t="n"/>
      <c r="T1336" s="10" t="n"/>
      <c r="U1336" s="10" t="n"/>
      <c r="V1336" s="10" t="n"/>
      <c r="W1336" s="10" t="n"/>
      <c r="X1336" s="10" t="n"/>
      <c r="Y1336" s="10" t="n"/>
      <c r="Z1336" s="10" t="n"/>
    </row>
    <row r="1337">
      <c r="A1337" s="87" t="inlineStr">
        <is>
          <t>codPayment.post</t>
        </is>
      </c>
      <c r="B1337" s="27" t="inlineStr">
        <is>
          <t>Bưu cục</t>
        </is>
      </c>
      <c r="C1337" s="27" t="inlineStr">
        <is>
          <t>Post office</t>
        </is>
      </c>
      <c r="D1337" s="21" t="inlineStr">
        <is>
          <t>ការិយាល័យប្រៃសណីយ៍</t>
        </is>
      </c>
      <c r="E1337" s="102" t="inlineStr">
        <is>
          <t>ការិយាល័យប្រៃសណីយ៍</t>
        </is>
      </c>
      <c r="F1337" s="10" t="n"/>
      <c r="G1337" s="10" t="inlineStr">
        <is>
          <t>ការិយាល័យប្រៃសណីយ៍</t>
        </is>
      </c>
      <c r="H1337" s="10" t="inlineStr">
        <is>
          <t>ការិយាល័យប្រៃសណីយ៍</t>
        </is>
      </c>
      <c r="I1337" s="10" t="n"/>
      <c r="J1337" s="10" t="n"/>
      <c r="K1337" s="10" t="inlineStr">
        <is>
          <t>"codPayment.post": "ការិយាល័យប្រៃសណីយ៍",</t>
        </is>
      </c>
      <c r="L1337" s="10" t="n"/>
      <c r="M1337" s="10" t="n"/>
      <c r="N1337" s="10" t="n"/>
      <c r="O1337" s="10" t="n"/>
      <c r="P1337" s="10" t="n"/>
      <c r="Q1337" s="10" t="n"/>
      <c r="R1337" s="10" t="n"/>
      <c r="S1337" s="10" t="n"/>
      <c r="T1337" s="10" t="n"/>
      <c r="U1337" s="10" t="n"/>
      <c r="V1337" s="10" t="n"/>
      <c r="W1337" s="10" t="n"/>
      <c r="X1337" s="10" t="n"/>
      <c r="Y1337" s="10" t="n"/>
      <c r="Z1337" s="10" t="n"/>
    </row>
    <row r="1338">
      <c r="A1338" s="27" t="inlineStr">
        <is>
          <t>codPayment.createdAt</t>
        </is>
      </c>
      <c r="B1338" s="27" t="inlineStr">
        <is>
          <t>Ngày tạo</t>
        </is>
      </c>
      <c r="C1338" s="27" t="inlineStr">
        <is>
          <t>Created on</t>
        </is>
      </c>
      <c r="D1338" s="21" t="inlineStr">
        <is>
          <t>ថ្ងៃបង្កើត</t>
        </is>
      </c>
      <c r="E1338" s="102" t="inlineStr">
        <is>
          <t>ថ្ងៃ្ងបង្កើត</t>
        </is>
      </c>
      <c r="F1338" s="10" t="n"/>
      <c r="G1338" s="10" t="inlineStr">
        <is>
          <t>កាលបរិច្ឆេទបង្កើត</t>
        </is>
      </c>
      <c r="H1338" s="10" t="inlineStr">
        <is>
          <t>កាលបរិច្ឆេទបង្កើត</t>
        </is>
      </c>
      <c r="I1338" s="10" t="n"/>
      <c r="J1338" s="10" t="n"/>
      <c r="K1338" s="10" t="inlineStr">
        <is>
          <t>"codPayment.createdAt": "កាលបរិច្ឆេទបង្កើត",</t>
        </is>
      </c>
      <c r="L1338" s="10" t="n"/>
      <c r="M1338" s="10" t="n"/>
      <c r="N1338" s="10" t="n"/>
      <c r="O1338" s="10" t="n"/>
      <c r="P1338" s="10" t="n"/>
      <c r="Q1338" s="10" t="n"/>
      <c r="R1338" s="10" t="n"/>
      <c r="S1338" s="10" t="n"/>
      <c r="T1338" s="10" t="n"/>
      <c r="U1338" s="10" t="n"/>
      <c r="V1338" s="10" t="n"/>
      <c r="W1338" s="10" t="n"/>
      <c r="X1338" s="10" t="n"/>
      <c r="Y1338" s="10" t="n"/>
      <c r="Z1338" s="10" t="n"/>
    </row>
    <row r="1339">
      <c r="A1339" s="27" t="inlineStr">
        <is>
          <t>codPayment.createdBy</t>
        </is>
      </c>
      <c r="B1339" s="27" t="inlineStr">
        <is>
          <t>Người tạo</t>
        </is>
      </c>
      <c r="C1339" s="27" t="inlineStr">
        <is>
          <t>Created by</t>
        </is>
      </c>
      <c r="D1339" s="21" t="inlineStr">
        <is>
          <t>អ្នកបង្កើត</t>
        </is>
      </c>
      <c r="E1339" s="102" t="inlineStr">
        <is>
          <t>អ្នកបង្កើត</t>
        </is>
      </c>
      <c r="F1339" s="10" t="n"/>
      <c r="G1339" s="10" t="inlineStr">
        <is>
          <t>អ្នកបង្កើត</t>
        </is>
      </c>
      <c r="H1339" s="10" t="inlineStr">
        <is>
          <t>អ្នកបង្កើត</t>
        </is>
      </c>
      <c r="I1339" s="10" t="n"/>
      <c r="J1339" s="10" t="n"/>
      <c r="K1339" s="10" t="inlineStr">
        <is>
          <t>"codPayment.createdBy": "អ្នកបង្កើត",</t>
        </is>
      </c>
      <c r="L1339" s="10" t="n"/>
      <c r="M1339" s="10" t="n"/>
      <c r="N1339" s="10" t="n"/>
      <c r="O1339" s="10" t="n"/>
      <c r="P1339" s="10" t="n"/>
      <c r="Q1339" s="10" t="n"/>
      <c r="R1339" s="10" t="n"/>
      <c r="S1339" s="10" t="n"/>
      <c r="T1339" s="10" t="n"/>
      <c r="U1339" s="10" t="n"/>
      <c r="V1339" s="10" t="n"/>
      <c r="W1339" s="10" t="n"/>
      <c r="X1339" s="10" t="n"/>
      <c r="Y1339" s="10" t="n"/>
      <c r="Z1339" s="10" t="n"/>
    </row>
    <row r="1340">
      <c r="A1340" s="27" t="inlineStr">
        <is>
          <t>codPayment.updatedAt</t>
        </is>
      </c>
      <c r="B1340" s="27" t="inlineStr">
        <is>
          <t>Ngày cập nhật</t>
        </is>
      </c>
      <c r="C1340" s="27" t="inlineStr">
        <is>
          <t>Updated on</t>
        </is>
      </c>
      <c r="D1340" s="21" t="inlineStr">
        <is>
          <t>ថ្ងៃអាប់ដេត</t>
        </is>
      </c>
      <c r="E1340" s="102" t="inlineStr">
        <is>
          <t>ថ្ងៃអាប់ដេត</t>
        </is>
      </c>
      <c r="F1340" s="10" t="n"/>
      <c r="G1340" s="10" t="inlineStr">
        <is>
          <t>ថ្ងៃអាប់ដេត</t>
        </is>
      </c>
      <c r="H1340" s="10" t="inlineStr">
        <is>
          <t>ថ្ងៃអាប់ដេត</t>
        </is>
      </c>
      <c r="I1340" s="10" t="n"/>
      <c r="J1340" s="10" t="n"/>
      <c r="K1340" s="10" t="inlineStr">
        <is>
          <t>"codPayment.updatedAt": "ថ្ងៃអាប់ដេត",</t>
        </is>
      </c>
      <c r="L1340" s="10" t="n"/>
      <c r="M1340" s="10" t="n"/>
      <c r="N1340" s="10" t="n"/>
      <c r="O1340" s="10" t="n"/>
      <c r="P1340" s="10" t="n"/>
      <c r="Q1340" s="10" t="n"/>
      <c r="R1340" s="10" t="n"/>
      <c r="S1340" s="10" t="n"/>
      <c r="T1340" s="10" t="n"/>
      <c r="U1340" s="10" t="n"/>
      <c r="V1340" s="10" t="n"/>
      <c r="W1340" s="10" t="n"/>
      <c r="X1340" s="10" t="n"/>
      <c r="Y1340" s="10" t="n"/>
      <c r="Z1340" s="10" t="n"/>
    </row>
    <row r="1341">
      <c r="A1341" s="27" t="inlineStr">
        <is>
          <t>codPayment.updatedBy</t>
        </is>
      </c>
      <c r="B1341" s="27" t="inlineStr">
        <is>
          <t>Người cập nhật</t>
        </is>
      </c>
      <c r="C1341" s="27" t="inlineStr">
        <is>
          <t>Updated by</t>
        </is>
      </c>
      <c r="D1341" s="21" t="inlineStr">
        <is>
          <t>អ្នកអាប់ដេត</t>
        </is>
      </c>
      <c r="E1341" s="102" t="inlineStr">
        <is>
          <t>អ្នកអាប់ដេត</t>
        </is>
      </c>
      <c r="F1341" s="10" t="n"/>
      <c r="G1341" s="10" t="inlineStr">
        <is>
          <t>អ្នកអាប់ដេត</t>
        </is>
      </c>
      <c r="H1341" s="10" t="inlineStr">
        <is>
          <t>អ្នកអាប់ដេត</t>
        </is>
      </c>
      <c r="I1341" s="10" t="n"/>
      <c r="J1341" s="10" t="n"/>
      <c r="K1341" s="10" t="inlineStr">
        <is>
          <t>"codPayment.updatedBy": "អ្នកអាប់ដេត",</t>
        </is>
      </c>
      <c r="L1341" s="10" t="n"/>
      <c r="M1341" s="10" t="n"/>
      <c r="N1341" s="10" t="n"/>
      <c r="O1341" s="10" t="n"/>
      <c r="P1341" s="10" t="n"/>
      <c r="Q1341" s="10" t="n"/>
      <c r="R1341" s="10" t="n"/>
      <c r="S1341" s="10" t="n"/>
      <c r="T1341" s="10" t="n"/>
      <c r="U1341" s="10" t="n"/>
      <c r="V1341" s="10" t="n"/>
      <c r="W1341" s="10" t="n"/>
      <c r="X1341" s="10" t="n"/>
      <c r="Y1341" s="10" t="n"/>
      <c r="Z1341" s="10" t="n"/>
    </row>
    <row r="1342">
      <c r="A1342" s="27" t="inlineStr">
        <is>
          <t>codPayment.customer</t>
        </is>
      </c>
      <c r="B1342" s="27" t="inlineStr">
        <is>
          <t>Khách hàng</t>
        </is>
      </c>
      <c r="C1342" s="27" t="inlineStr">
        <is>
          <t>Customer</t>
        </is>
      </c>
      <c r="D1342" s="21" t="inlineStr">
        <is>
          <t>អតិថិជន</t>
        </is>
      </c>
      <c r="E1342" s="102" t="inlineStr">
        <is>
          <t>អតិថិជន</t>
        </is>
      </c>
      <c r="F1342" s="10" t="n"/>
      <c r="G1342" s="10" t="inlineStr">
        <is>
          <t>អតិថិជន</t>
        </is>
      </c>
      <c r="H1342" s="10" t="inlineStr">
        <is>
          <t>អតិថិជន</t>
        </is>
      </c>
      <c r="I1342" s="10" t="n"/>
      <c r="J1342" s="10" t="n"/>
      <c r="K1342" s="10" t="inlineStr">
        <is>
          <t>"codPayment.customer": "អតិថិជន",</t>
        </is>
      </c>
      <c r="L1342" s="10" t="n"/>
      <c r="M1342" s="10" t="n"/>
      <c r="N1342" s="10" t="n"/>
      <c r="O1342" s="10" t="n"/>
      <c r="P1342" s="10" t="n"/>
      <c r="Q1342" s="10" t="n"/>
      <c r="R1342" s="10" t="n"/>
      <c r="S1342" s="10" t="n"/>
      <c r="T1342" s="10" t="n"/>
      <c r="U1342" s="10" t="n"/>
      <c r="V1342" s="10" t="n"/>
      <c r="W1342" s="10" t="n"/>
      <c r="X1342" s="10" t="n"/>
      <c r="Y1342" s="10" t="n"/>
      <c r="Z1342" s="10" t="n"/>
    </row>
    <row r="1343">
      <c r="A1343" s="27" t="inlineStr">
        <is>
          <t>codPayment.bank</t>
        </is>
      </c>
      <c r="B1343" s="27" t="inlineStr">
        <is>
          <t>Ngân hàng</t>
        </is>
      </c>
      <c r="C1343" s="27" t="inlineStr">
        <is>
          <t>Bank</t>
        </is>
      </c>
      <c r="D1343" s="21" t="inlineStr">
        <is>
          <t>ធនាគារ</t>
        </is>
      </c>
      <c r="E1343" s="102" t="inlineStr">
        <is>
          <t>ធនាគារ</t>
        </is>
      </c>
      <c r="F1343" s="10" t="n"/>
      <c r="G1343" s="10" t="inlineStr">
        <is>
          <t>ធនាគារ</t>
        </is>
      </c>
      <c r="H1343" s="10" t="inlineStr">
        <is>
          <t>ធនាគារ</t>
        </is>
      </c>
      <c r="I1343" s="10" t="n"/>
      <c r="J1343" s="10" t="n"/>
      <c r="K1343" s="10" t="inlineStr">
        <is>
          <t>"codPayment.bank": "ធនាគារ",</t>
        </is>
      </c>
      <c r="L1343" s="10" t="n"/>
      <c r="M1343" s="10" t="n"/>
      <c r="N1343" s="10" t="n"/>
      <c r="O1343" s="10" t="n"/>
      <c r="P1343" s="10" t="n"/>
      <c r="Q1343" s="10" t="n"/>
      <c r="R1343" s="10" t="n"/>
      <c r="S1343" s="10" t="n"/>
      <c r="T1343" s="10" t="n"/>
      <c r="U1343" s="10" t="n"/>
      <c r="V1343" s="10" t="n"/>
      <c r="W1343" s="10" t="n"/>
      <c r="X1343" s="10" t="n"/>
      <c r="Y1343" s="10" t="n"/>
      <c r="Z1343" s="10" t="n"/>
    </row>
    <row r="1344">
      <c r="A1344" s="27" t="inlineStr">
        <is>
          <t>codPayment.bankName</t>
        </is>
      </c>
      <c r="B1344" s="27" t="inlineStr">
        <is>
          <t>Tên ngân hàng</t>
        </is>
      </c>
      <c r="C1344" s="27" t="inlineStr">
        <is>
          <t>Bank name</t>
        </is>
      </c>
      <c r="D1344" s="21" t="inlineStr">
        <is>
          <t>ឈ្មោះធនាគារ</t>
        </is>
      </c>
      <c r="E1344" s="102" t="inlineStr">
        <is>
          <t>ឈ្មោះធនាគារ</t>
        </is>
      </c>
      <c r="F1344" s="10" t="n"/>
      <c r="G1344" s="10" t="inlineStr">
        <is>
          <t>ឈ្មោះធនាគារ</t>
        </is>
      </c>
      <c r="H1344" s="10" t="inlineStr">
        <is>
          <t>ឈ្មោះធនាគារ</t>
        </is>
      </c>
      <c r="I1344" s="10" t="n"/>
      <c r="J1344" s="10" t="n"/>
      <c r="K1344" s="10" t="inlineStr">
        <is>
          <t>"codPayment.bankName": "ឈ្មោះធនាគារ",</t>
        </is>
      </c>
      <c r="L1344" s="10" t="n"/>
      <c r="M1344" s="10" t="n"/>
      <c r="N1344" s="10" t="n"/>
      <c r="O1344" s="10" t="n"/>
      <c r="P1344" s="10" t="n"/>
      <c r="Q1344" s="10" t="n"/>
      <c r="R1344" s="10" t="n"/>
      <c r="S1344" s="10" t="n"/>
      <c r="T1344" s="10" t="n"/>
      <c r="U1344" s="10" t="n"/>
      <c r="V1344" s="10" t="n"/>
      <c r="W1344" s="10" t="n"/>
      <c r="X1344" s="10" t="n"/>
      <c r="Y1344" s="10" t="n"/>
      <c r="Z1344" s="10" t="n"/>
    </row>
    <row r="1345">
      <c r="A1345" s="27" t="inlineStr">
        <is>
          <t>codPayment.accountBank</t>
        </is>
      </c>
      <c r="B1345" s="27" t="inlineStr">
        <is>
          <t>Số tài khoản</t>
        </is>
      </c>
      <c r="C1345" s="27" t="inlineStr">
        <is>
          <t>Bank account</t>
        </is>
      </c>
      <c r="D1345" s="21" t="inlineStr">
        <is>
          <t>លេខគណនី</t>
        </is>
      </c>
      <c r="E1345" s="102" t="inlineStr">
        <is>
          <t>លេខគណនី</t>
        </is>
      </c>
      <c r="F1345" s="10" t="n"/>
      <c r="G1345" s="10" t="inlineStr">
        <is>
          <t>លេខគណនីធនាគារ</t>
        </is>
      </c>
      <c r="H1345" s="10" t="inlineStr">
        <is>
          <t>លេខគណនីធនាគារ</t>
        </is>
      </c>
      <c r="I1345" s="10" t="n"/>
      <c r="J1345" s="10" t="n"/>
      <c r="K1345" s="10" t="inlineStr">
        <is>
          <t>"codPayment.accountBank": "លេខគណនីធនាគារ",</t>
        </is>
      </c>
      <c r="L1345" s="10" t="n"/>
      <c r="M1345" s="10" t="n"/>
      <c r="N1345" s="10" t="n"/>
      <c r="O1345" s="10" t="n"/>
      <c r="P1345" s="10" t="n"/>
      <c r="Q1345" s="10" t="n"/>
      <c r="R1345" s="10" t="n"/>
      <c r="S1345" s="10" t="n"/>
      <c r="T1345" s="10" t="n"/>
      <c r="U1345" s="10" t="n"/>
      <c r="V1345" s="10" t="n"/>
      <c r="W1345" s="10" t="n"/>
      <c r="X1345" s="10" t="n"/>
      <c r="Y1345" s="10" t="n"/>
      <c r="Z1345" s="10" t="n"/>
    </row>
    <row r="1346">
      <c r="A1346" s="27" t="inlineStr">
        <is>
          <t>codPayment.statementCode</t>
        </is>
      </c>
      <c r="B1346" s="27" t="inlineStr">
        <is>
          <t>Mã phiếu chi</t>
        </is>
      </c>
      <c r="C1346" s="27" t="inlineStr">
        <is>
          <t>Payment Voucher Code</t>
        </is>
      </c>
      <c r="D1346" s="102" t="n"/>
      <c r="E1346" s="102" t="inlineStr">
        <is>
          <t>លេខកូដបុុងចំណាយ</t>
        </is>
      </c>
      <c r="F1346" s="10" t="n"/>
      <c r="G1346" s="10" t="inlineStr">
        <is>
          <t>លេខកូដបុងចំណាយ</t>
        </is>
      </c>
      <c r="H1346" s="10" t="inlineStr">
        <is>
          <t>លេខកូដបុងចំណាយ</t>
        </is>
      </c>
      <c r="I1346" s="10" t="n"/>
      <c r="J1346" s="10" t="n"/>
      <c r="K1346" s="10" t="inlineStr">
        <is>
          <t>"codPayment.statementCode": "លេខកូដបុងចំណាយ",</t>
        </is>
      </c>
      <c r="L1346" s="10" t="n"/>
      <c r="M1346" s="10" t="n"/>
      <c r="N1346" s="10" t="n"/>
      <c r="O1346" s="10" t="n"/>
      <c r="P1346" s="10" t="n"/>
      <c r="Q1346" s="10" t="n"/>
      <c r="R1346" s="10" t="n"/>
      <c r="S1346" s="10" t="n"/>
      <c r="T1346" s="10" t="n"/>
      <c r="U1346" s="10" t="n"/>
      <c r="V1346" s="10" t="n"/>
      <c r="W1346" s="10" t="n"/>
      <c r="X1346" s="10" t="n"/>
      <c r="Y1346" s="10" t="n"/>
      <c r="Z1346" s="10" t="n"/>
    </row>
    <row r="1347">
      <c r="A1347" s="27" t="inlineStr">
        <is>
          <t>codPayment.status</t>
        </is>
      </c>
      <c r="B1347" s="27" t="inlineStr">
        <is>
          <t>Trạng thái</t>
        </is>
      </c>
      <c r="C1347" s="27" t="inlineStr">
        <is>
          <t>Status</t>
        </is>
      </c>
      <c r="D1347" s="21" t="inlineStr">
        <is>
          <t>ស្ថានភាព</t>
        </is>
      </c>
      <c r="E1347" s="102" t="inlineStr">
        <is>
          <t>ស្ថានភាព</t>
        </is>
      </c>
      <c r="F1347" s="10" t="n"/>
      <c r="G1347" s="10" t="inlineStr">
        <is>
          <t>ស្ថានភាព</t>
        </is>
      </c>
      <c r="H1347" s="10" t="inlineStr">
        <is>
          <t>ស្ថានភាព</t>
        </is>
      </c>
      <c r="I1347" s="10" t="n"/>
      <c r="J1347" s="10" t="n"/>
      <c r="K1347" s="10" t="inlineStr">
        <is>
          <t>"codPayment.status": "ស្ថានភាព",</t>
        </is>
      </c>
      <c r="L1347" s="10" t="n"/>
      <c r="M1347" s="10" t="n"/>
      <c r="N1347" s="10" t="n"/>
      <c r="O1347" s="10" t="n"/>
      <c r="P1347" s="10" t="n"/>
      <c r="Q1347" s="10" t="n"/>
      <c r="R1347" s="10" t="n"/>
      <c r="S1347" s="10" t="n"/>
      <c r="T1347" s="10" t="n"/>
      <c r="U1347" s="10" t="n"/>
      <c r="V1347" s="10" t="n"/>
      <c r="W1347" s="10" t="n"/>
      <c r="X1347" s="10" t="n"/>
      <c r="Y1347" s="10" t="n"/>
      <c r="Z1347" s="10" t="n"/>
    </row>
    <row r="1348">
      <c r="A1348" s="27" t="inlineStr">
        <is>
          <t>codPayment.totalStatement</t>
        </is>
      </c>
      <c r="B1348" s="27" t="inlineStr">
        <is>
          <t>Tổng số bảng kê</t>
        </is>
      </c>
      <c r="C1348" s="27" t="inlineStr">
        <is>
          <t>Total disbursement List</t>
        </is>
      </c>
      <c r="D1348" s="21" t="inlineStr">
        <is>
          <t>សរុបចំនួនតារាង</t>
        </is>
      </c>
      <c r="E1348" s="102" t="inlineStr">
        <is>
          <t>សរុបចំនួនតារាង</t>
        </is>
      </c>
      <c r="F1348" s="10" t="n"/>
      <c r="G1348" s="10" t="inlineStr">
        <is>
          <t>សរុបចំនួនតារាង</t>
        </is>
      </c>
      <c r="H1348" s="10" t="inlineStr">
        <is>
          <t>សរុបចំនួនតារាង</t>
        </is>
      </c>
      <c r="I1348" s="10" t="n"/>
      <c r="J1348" s="10" t="n"/>
      <c r="K1348" s="10" t="inlineStr">
        <is>
          <t>"codPayment.totalStatement": "សរុបចំនួនតារាង",</t>
        </is>
      </c>
      <c r="L1348" s="10" t="n"/>
      <c r="M1348" s="10" t="n"/>
      <c r="N1348" s="10" t="n"/>
      <c r="O1348" s="10" t="n"/>
      <c r="P1348" s="10" t="n"/>
      <c r="Q1348" s="10" t="n"/>
      <c r="R1348" s="10" t="n"/>
      <c r="S1348" s="10" t="n"/>
      <c r="T1348" s="10" t="n"/>
      <c r="U1348" s="10" t="n"/>
      <c r="V1348" s="10" t="n"/>
      <c r="W1348" s="10" t="n"/>
      <c r="X1348" s="10" t="n"/>
      <c r="Y1348" s="10" t="n"/>
      <c r="Z1348" s="10" t="n"/>
    </row>
    <row r="1349">
      <c r="A1349" s="27" t="inlineStr">
        <is>
          <t>codPayment.exportExcel</t>
        </is>
      </c>
      <c r="B1349" s="27" t="inlineStr">
        <is>
          <t>Xuất Excel</t>
        </is>
      </c>
      <c r="C1349" s="27" t="inlineStr">
        <is>
          <t>Export to Excel</t>
        </is>
      </c>
      <c r="D1349" s="21" t="inlineStr">
        <is>
          <t>ចេញពី Excel</t>
        </is>
      </c>
      <c r="E1349" s="102" t="inlineStr">
        <is>
          <t>ចេញទៅ Excel</t>
        </is>
      </c>
      <c r="F1349" s="10" t="n"/>
      <c r="G1349" s="10" t="inlineStr">
        <is>
          <t>ចេញទៅ Excel</t>
        </is>
      </c>
      <c r="H1349" s="10" t="inlineStr">
        <is>
          <t>ចេញទៅ Excel</t>
        </is>
      </c>
      <c r="I1349" s="10" t="n"/>
      <c r="J1349" s="10" t="n"/>
      <c r="K1349" s="10" t="inlineStr">
        <is>
          <t>"codPayment.exportExcel": "ចេញទៅ Excel",</t>
        </is>
      </c>
      <c r="L1349" s="10" t="n"/>
      <c r="M1349" s="10" t="n"/>
      <c r="N1349" s="10" t="n"/>
      <c r="O1349" s="10" t="n"/>
      <c r="P1349" s="10" t="n"/>
      <c r="Q1349" s="10" t="n"/>
      <c r="R1349" s="10" t="n"/>
      <c r="S1349" s="10" t="n"/>
      <c r="T1349" s="10" t="n"/>
      <c r="U1349" s="10" t="n"/>
      <c r="V1349" s="10" t="n"/>
      <c r="W1349" s="10" t="n"/>
      <c r="X1349" s="10" t="n"/>
      <c r="Y1349" s="10" t="n"/>
      <c r="Z1349" s="10" t="n"/>
    </row>
    <row r="1350">
      <c r="A1350" s="27" t="inlineStr">
        <is>
          <t>codPayment.createPaymentOrder</t>
        </is>
      </c>
      <c r="B1350" s="27" t="inlineStr">
        <is>
          <t>Tạo UNC</t>
        </is>
      </c>
      <c r="C1350" s="27" t="inlineStr">
        <is>
          <t>Create Payment Order</t>
        </is>
      </c>
      <c r="D1350" s="102" t="n"/>
      <c r="E1350" s="27" t="inlineStr">
        <is>
          <t>បង្កើត UNC</t>
        </is>
      </c>
      <c r="F1350" s="10" t="n"/>
      <c r="G1350" s="10" t="inlineStr">
        <is>
          <t>បង្កើត UNC</t>
        </is>
      </c>
      <c r="H1350" s="10" t="inlineStr">
        <is>
          <t>បង្កើត UNC</t>
        </is>
      </c>
      <c r="I1350" s="10" t="n"/>
      <c r="J1350" s="10" t="n"/>
      <c r="K1350" s="10" t="inlineStr">
        <is>
          <t>"codPayment.createPaymentOrder": "បង្កើត UNC",</t>
        </is>
      </c>
      <c r="L1350" s="10" t="n"/>
      <c r="M1350" s="10" t="n"/>
      <c r="N1350" s="10" t="n"/>
      <c r="O1350" s="10" t="n"/>
      <c r="P1350" s="10" t="n"/>
      <c r="Q1350" s="10" t="n"/>
      <c r="R1350" s="10" t="n"/>
      <c r="S1350" s="10" t="n"/>
      <c r="T1350" s="10" t="n"/>
      <c r="U1350" s="10" t="n"/>
      <c r="V1350" s="10" t="n"/>
      <c r="W1350" s="10" t="n"/>
      <c r="X1350" s="10" t="n"/>
      <c r="Y1350" s="10" t="n"/>
      <c r="Z1350" s="10" t="n"/>
    </row>
    <row r="1351">
      <c r="A1351" s="27" t="inlineStr">
        <is>
          <t>codPayment.createStatement</t>
        </is>
      </c>
      <c r="B1351" s="27" t="inlineStr">
        <is>
          <t>Tạo bảng kê</t>
        </is>
      </c>
      <c r="C1351" s="27" t="inlineStr">
        <is>
          <t>Create Disbursement List</t>
        </is>
      </c>
      <c r="D1351" s="21" t="inlineStr">
        <is>
          <t>បង្កើ្កតតារាង</t>
        </is>
      </c>
      <c r="E1351" s="102" t="inlineStr">
        <is>
          <t>បង្កើតតារាង</t>
        </is>
      </c>
      <c r="F1351" s="10" t="n"/>
      <c r="G1351" s="10" t="inlineStr">
        <is>
          <t>បង្កើតតារាង</t>
        </is>
      </c>
      <c r="H1351" s="10" t="inlineStr">
        <is>
          <t>បង្កើតតារាង</t>
        </is>
      </c>
      <c r="I1351" s="10" t="n"/>
      <c r="J1351" s="10" t="n"/>
      <c r="K1351" s="10" t="inlineStr">
        <is>
          <t>"codPayment.createStatement": "បង្កើតតារាង",</t>
        </is>
      </c>
      <c r="L1351" s="10" t="n"/>
      <c r="M1351" s="10" t="n"/>
      <c r="N1351" s="10" t="n"/>
      <c r="O1351" s="10" t="n"/>
      <c r="P1351" s="10" t="n"/>
      <c r="Q1351" s="10" t="n"/>
      <c r="R1351" s="10" t="n"/>
      <c r="S1351" s="10" t="n"/>
      <c r="T1351" s="10" t="n"/>
      <c r="U1351" s="10" t="n"/>
      <c r="V1351" s="10" t="n"/>
      <c r="W1351" s="10" t="n"/>
      <c r="X1351" s="10" t="n"/>
      <c r="Y1351" s="10" t="n"/>
      <c r="Z1351" s="10" t="n"/>
    </row>
    <row r="1352">
      <c r="A1352" s="27" t="inlineStr">
        <is>
          <t>codPayment.codePaymentOrder</t>
        </is>
      </c>
      <c r="B1352" s="27" t="inlineStr">
        <is>
          <t>Mã UNC</t>
        </is>
      </c>
      <c r="C1352" s="27" t="inlineStr">
        <is>
          <t>Payment Order ID</t>
        </is>
      </c>
      <c r="D1352" s="102" t="n"/>
      <c r="E1352" s="27" t="inlineStr">
        <is>
          <t>លេខកូដ UNC</t>
        </is>
      </c>
      <c r="F1352" s="10" t="n"/>
      <c r="G1352" s="10" t="inlineStr">
        <is>
          <t>លេខកូដ UNC</t>
        </is>
      </c>
      <c r="H1352" s="10" t="inlineStr">
        <is>
          <t>លេខកូដ UNC</t>
        </is>
      </c>
      <c r="I1352" s="10" t="n"/>
      <c r="J1352" s="10" t="n"/>
      <c r="K1352" s="10" t="inlineStr">
        <is>
          <t>"codPayment.codePaymentOrder": "លេខកូដ UNC",</t>
        </is>
      </c>
      <c r="L1352" s="10" t="n"/>
      <c r="M1352" s="10" t="n"/>
      <c r="N1352" s="10" t="n"/>
      <c r="O1352" s="10" t="n"/>
      <c r="P1352" s="10" t="n"/>
      <c r="Q1352" s="10" t="n"/>
      <c r="R1352" s="10" t="n"/>
      <c r="S1352" s="10" t="n"/>
      <c r="T1352" s="10" t="n"/>
      <c r="U1352" s="10" t="n"/>
      <c r="V1352" s="10" t="n"/>
      <c r="W1352" s="10" t="n"/>
      <c r="X1352" s="10" t="n"/>
      <c r="Y1352" s="10" t="n"/>
      <c r="Z1352" s="10" t="n"/>
    </row>
    <row r="1353">
      <c r="A1353" s="27" t="inlineStr">
        <is>
          <t>codPayment.totalPaymentOrder</t>
        </is>
      </c>
      <c r="B1353" s="27" t="inlineStr">
        <is>
          <t>Tổng số UNC</t>
        </is>
      </c>
      <c r="C1353" s="27" t="inlineStr">
        <is>
          <t>Total payment order</t>
        </is>
      </c>
      <c r="D1353" s="102" t="n"/>
      <c r="E1353" s="102" t="inlineStr">
        <is>
          <t>សរុបចំនួនUNC</t>
        </is>
      </c>
      <c r="F1353" s="10" t="n"/>
      <c r="G1353" s="10" t="inlineStr">
        <is>
          <t>សរុបចំនួនUNC</t>
        </is>
      </c>
      <c r="H1353" s="10" t="inlineStr">
        <is>
          <t>សរុបចំនួនUNC</t>
        </is>
      </c>
      <c r="I1353" s="10" t="n"/>
      <c r="J1353" s="10" t="n"/>
      <c r="K1353" s="10" t="inlineStr">
        <is>
          <t>"codPayment.totalPaymentOrder": "សរុបចំនួនUNC",</t>
        </is>
      </c>
      <c r="L1353" s="10" t="n"/>
      <c r="M1353" s="10" t="n"/>
      <c r="N1353" s="10" t="n"/>
      <c r="O1353" s="10" t="n"/>
      <c r="P1353" s="10" t="n"/>
      <c r="Q1353" s="10" t="n"/>
      <c r="R1353" s="10" t="n"/>
      <c r="S1353" s="10" t="n"/>
      <c r="T1353" s="10" t="n"/>
      <c r="U1353" s="10" t="n"/>
      <c r="V1353" s="10" t="n"/>
      <c r="W1353" s="10" t="n"/>
      <c r="X1353" s="10" t="n"/>
      <c r="Y1353" s="10" t="n"/>
      <c r="Z1353" s="10" t="n"/>
    </row>
    <row r="1354">
      <c r="A1354" s="27" t="inlineStr">
        <is>
          <t>codPayment.commitedPayment</t>
        </is>
      </c>
      <c r="B1354" s="27" t="inlineStr">
        <is>
          <t>Chốt chi</t>
        </is>
      </c>
      <c r="C1354" s="27" t="inlineStr">
        <is>
          <t>Locked for Payment</t>
        </is>
      </c>
      <c r="D1354" s="102" t="n"/>
      <c r="E1354" s="102" t="inlineStr">
        <is>
          <t>បិទការចំណាយ</t>
        </is>
      </c>
      <c r="F1354" s="10" t="n"/>
      <c r="G1354" s="10" t="inlineStr">
        <is>
          <t>បិទបញ្ជីទូទាត់</t>
        </is>
      </c>
      <c r="H1354" s="10" t="inlineStr">
        <is>
          <t>បិទបញ្ជីទូទាត់</t>
        </is>
      </c>
      <c r="I1354" s="10" t="n"/>
      <c r="J1354" s="10" t="n"/>
      <c r="K1354" s="10" t="inlineStr">
        <is>
          <t>"codPayment.commitedPayment": "បិទបញ្ជីទូទាត់",</t>
        </is>
      </c>
      <c r="L1354" s="10" t="n"/>
      <c r="M1354" s="10" t="n"/>
      <c r="N1354" s="10" t="n"/>
      <c r="O1354" s="10" t="n"/>
      <c r="P1354" s="10" t="n"/>
      <c r="Q1354" s="10" t="n"/>
      <c r="R1354" s="10" t="n"/>
      <c r="S1354" s="10" t="n"/>
      <c r="T1354" s="10" t="n"/>
      <c r="U1354" s="10" t="n"/>
      <c r="V1354" s="10" t="n"/>
      <c r="W1354" s="10" t="n"/>
      <c r="X1354" s="10" t="n"/>
      <c r="Y1354" s="10" t="n"/>
      <c r="Z1354" s="10" t="n"/>
    </row>
    <row r="1355">
      <c r="A1355" s="27" t="inlineStr">
        <is>
          <t>codPayment.phone</t>
        </is>
      </c>
      <c r="B1355" s="27" t="inlineStr">
        <is>
          <t>Số điện thoại</t>
        </is>
      </c>
      <c r="C1355" s="27" t="inlineStr">
        <is>
          <t>Phone number</t>
        </is>
      </c>
      <c r="D1355" s="21" t="inlineStr">
        <is>
          <t>លេខទូរស័ព្ទ</t>
        </is>
      </c>
      <c r="E1355" s="102" t="inlineStr">
        <is>
          <t>លេខទូរស័ព្ទ</t>
        </is>
      </c>
      <c r="F1355" s="10" t="n"/>
      <c r="G1355" s="10" t="inlineStr">
        <is>
          <t>លេខទូរស័ព្ទ</t>
        </is>
      </c>
      <c r="H1355" s="10" t="inlineStr">
        <is>
          <t>លេខទូរស័ព្ទ</t>
        </is>
      </c>
      <c r="I1355" s="10" t="n"/>
      <c r="J1355" s="10" t="n"/>
      <c r="K1355" s="10" t="inlineStr">
        <is>
          <t>"codPayment.phone": "លេខទូរស័ព្ទ",</t>
        </is>
      </c>
      <c r="L1355" s="10" t="n"/>
      <c r="M1355" s="10" t="n"/>
      <c r="N1355" s="10" t="n"/>
      <c r="O1355" s="10" t="n"/>
      <c r="P1355" s="10" t="n"/>
      <c r="Q1355" s="10" t="n"/>
      <c r="R1355" s="10" t="n"/>
      <c r="S1355" s="10" t="n"/>
      <c r="T1355" s="10" t="n"/>
      <c r="U1355" s="10" t="n"/>
      <c r="V1355" s="10" t="n"/>
      <c r="W1355" s="10" t="n"/>
      <c r="X1355" s="10" t="n"/>
      <c r="Y1355" s="10" t="n"/>
      <c r="Z1355" s="10" t="n"/>
    </row>
    <row r="1356">
      <c r="A1356" s="27" t="inlineStr">
        <is>
          <t>codPayment.confirmCreateBke</t>
        </is>
      </c>
      <c r="B1356" s="27" t="inlineStr">
        <is>
          <t>Bạn có chắc muốn tạo phiếu chi?</t>
        </is>
      </c>
      <c r="C1356" s="27" t="inlineStr">
        <is>
          <t>Are you sure you to create a disbursement list?</t>
        </is>
      </c>
      <c r="D1356" s="102" t="n"/>
      <c r="E1356" s="102" t="inlineStr">
        <is>
          <t>តើអ្នកពិតជាចង់បង្កើតបុងចំណាយមែនទេ?</t>
        </is>
      </c>
      <c r="F1356" s="10" t="n"/>
      <c r="G1356" s="10" t="inlineStr">
        <is>
          <t>តើអ្នកពិតជាចង់បង្កើតបុងចំណាយមែនទេ?</t>
        </is>
      </c>
      <c r="H1356" s="10" t="inlineStr">
        <is>
          <t>តើអ្នកពិតជាចង់បង្កើតបុងចំណាយមែនទេ?</t>
        </is>
      </c>
      <c r="I1356" s="10" t="n"/>
      <c r="J1356" s="10" t="n"/>
      <c r="K1356" s="10" t="inlineStr">
        <is>
          <t>"codPayment.confirmCreateBke": "តើអ្នកពិតជាចង់បង្កើតបុងចំណាយមែនទេ?",</t>
        </is>
      </c>
      <c r="L1356" s="10" t="n"/>
      <c r="M1356" s="10" t="n"/>
      <c r="N1356" s="10" t="n"/>
      <c r="O1356" s="10" t="n"/>
      <c r="P1356" s="10" t="n"/>
      <c r="Q1356" s="10" t="n"/>
      <c r="R1356" s="10" t="n"/>
      <c r="S1356" s="10" t="n"/>
      <c r="T1356" s="10" t="n"/>
      <c r="U1356" s="10" t="n"/>
      <c r="V1356" s="10" t="n"/>
      <c r="W1356" s="10" t="n"/>
      <c r="X1356" s="10" t="n"/>
      <c r="Y1356" s="10" t="n"/>
      <c r="Z1356" s="10" t="n"/>
    </row>
    <row r="1357">
      <c r="A1357" s="27" t="inlineStr">
        <is>
          <t>codPayment.msgCreateBkeSuccess</t>
        </is>
      </c>
      <c r="B1357" s="27" t="inlineStr">
        <is>
          <t>Tạo phiếu chi thành công</t>
        </is>
      </c>
      <c r="C1357" s="27" t="inlineStr">
        <is>
          <t>Successfully created COD disbursement list</t>
        </is>
      </c>
      <c r="D1357" s="21" t="inlineStr">
        <is>
          <t>បង្កើ្កតតារាងចំណាយបានជោគជ័យ</t>
        </is>
      </c>
      <c r="E1357" s="102" t="inlineStr">
        <is>
          <t>បង្កើតបុងចំណាយបានជោគជ័យ</t>
        </is>
      </c>
      <c r="F1357" s="10" t="n"/>
      <c r="G1357" s="10" t="inlineStr">
        <is>
          <t>បង្កើតបុងចំណាយបានជោគជ័យ</t>
        </is>
      </c>
      <c r="H1357" s="10" t="inlineStr">
        <is>
          <t>បង្កើតបុងចំណាយបានជោគជ័យ</t>
        </is>
      </c>
      <c r="I1357" s="10" t="n"/>
      <c r="J1357" s="10" t="n"/>
      <c r="K1357" s="10" t="inlineStr">
        <is>
          <t>"codPayment.msgCreateBkeSuccess": "បង្កើតបុងចំណាយបានជោគជ័យ",</t>
        </is>
      </c>
      <c r="L1357" s="10" t="n"/>
      <c r="M1357" s="10" t="n"/>
      <c r="N1357" s="10" t="n"/>
      <c r="O1357" s="10" t="n"/>
      <c r="P1357" s="10" t="n"/>
      <c r="Q1357" s="10" t="n"/>
      <c r="R1357" s="10" t="n"/>
      <c r="S1357" s="10" t="n"/>
      <c r="T1357" s="10" t="n"/>
      <c r="U1357" s="10" t="n"/>
      <c r="V1357" s="10" t="n"/>
      <c r="W1357" s="10" t="n"/>
      <c r="X1357" s="10" t="n"/>
      <c r="Y1357" s="10" t="n"/>
      <c r="Z1357" s="10" t="n"/>
    </row>
    <row r="1358">
      <c r="A1358" s="27" t="inlineStr">
        <is>
          <t>codPayment.confirmCreateUNC</t>
        </is>
      </c>
      <c r="B1358" s="27" t="inlineStr">
        <is>
          <t>Bạn có chắc muốn tạo UNC?</t>
        </is>
      </c>
      <c r="C1358" s="27" t="inlineStr">
        <is>
          <t>Are you sure you to create a payment order?</t>
        </is>
      </c>
      <c r="D1358" s="102" t="n"/>
      <c r="E1358" s="102" t="inlineStr">
        <is>
          <t>តើអ្នកពិតជាចង់បង្កើតបុង UNC?</t>
        </is>
      </c>
      <c r="F1358" s="10" t="n"/>
      <c r="G1358" s="10" t="inlineStr">
        <is>
          <t>តើអ្នកពិតជាចង់បង្កើតបុង UNC?</t>
        </is>
      </c>
      <c r="H1358" s="10" t="inlineStr">
        <is>
          <t>តើអ្នកពិតជាចង់បង្កើតបុង UNC?</t>
        </is>
      </c>
      <c r="I1358" s="10" t="n"/>
      <c r="J1358" s="10" t="n"/>
      <c r="K1358" s="10" t="inlineStr">
        <is>
          <t>"codPayment.confirmCreateUNC": "តើអ្នកពិតជាចង់បង្កើតបុង UNC?",</t>
        </is>
      </c>
      <c r="L1358" s="10" t="n"/>
      <c r="M1358" s="10" t="n"/>
      <c r="N1358" s="10" t="n"/>
      <c r="O1358" s="10" t="n"/>
      <c r="P1358" s="10" t="n"/>
      <c r="Q1358" s="10" t="n"/>
      <c r="R1358" s="10" t="n"/>
      <c r="S1358" s="10" t="n"/>
      <c r="T1358" s="10" t="n"/>
      <c r="U1358" s="10" t="n"/>
      <c r="V1358" s="10" t="n"/>
      <c r="W1358" s="10" t="n"/>
      <c r="X1358" s="10" t="n"/>
      <c r="Y1358" s="10" t="n"/>
      <c r="Z1358" s="10" t="n"/>
    </row>
    <row r="1359">
      <c r="A1359" s="27" t="inlineStr">
        <is>
          <t>codPayment.createUncSuccess</t>
        </is>
      </c>
      <c r="B1359" s="27" t="inlineStr">
        <is>
          <t>Tạo UNC thành công</t>
        </is>
      </c>
      <c r="C1359" s="27" t="inlineStr">
        <is>
          <t>Successfully created payment order</t>
        </is>
      </c>
      <c r="D1359" s="102" t="n"/>
      <c r="E1359" s="27" t="inlineStr">
        <is>
          <t>បង្កើត UNC បានជោគជ័យ</t>
        </is>
      </c>
      <c r="F1359" s="10" t="n"/>
      <c r="G1359" s="10" t="inlineStr">
        <is>
          <t>បង្កើត UNC បានជោគជ័យ</t>
        </is>
      </c>
      <c r="H1359" s="10" t="inlineStr">
        <is>
          <t>បង្កើត UNC បានជោគជ័យ</t>
        </is>
      </c>
      <c r="I1359" s="10" t="n"/>
      <c r="J1359" s="10" t="n"/>
      <c r="K1359" s="10" t="inlineStr">
        <is>
          <t>"codPayment.createUncSuccess": "បង្កើត UNC បានជោគជ័យ",</t>
        </is>
      </c>
      <c r="L1359" s="10" t="n"/>
      <c r="M1359" s="10" t="n"/>
      <c r="N1359" s="10" t="n"/>
      <c r="O1359" s="10" t="n"/>
      <c r="P1359" s="10" t="n"/>
      <c r="Q1359" s="10" t="n"/>
      <c r="R1359" s="10" t="n"/>
      <c r="S1359" s="10" t="n"/>
      <c r="T1359" s="10" t="n"/>
      <c r="U1359" s="10" t="n"/>
      <c r="V1359" s="10" t="n"/>
      <c r="W1359" s="10" t="n"/>
      <c r="X1359" s="10" t="n"/>
      <c r="Y1359" s="10" t="n"/>
      <c r="Z1359" s="10" t="n"/>
    </row>
    <row r="1360">
      <c r="A1360" s="27" t="inlineStr">
        <is>
          <t>codPayment.listBillCod</t>
        </is>
      </c>
      <c r="B1360" s="27" t="inlineStr">
        <is>
          <t>Danh sách bill COD</t>
        </is>
      </c>
      <c r="C1360" s="27" t="inlineStr">
        <is>
          <t>COD Collection List</t>
        </is>
      </c>
      <c r="D1360" s="21" t="inlineStr">
        <is>
          <t>បញ្ជីបុង COD</t>
        </is>
      </c>
      <c r="E1360" s="102" t="inlineStr">
        <is>
          <t>បញ្ជីបុង COD</t>
        </is>
      </c>
      <c r="F1360" s="10" t="n"/>
      <c r="G1360" s="10" t="inlineStr">
        <is>
          <t>បញ្ជីបុង COD</t>
        </is>
      </c>
      <c r="H1360" s="10" t="inlineStr">
        <is>
          <t>បញ្ជីបុង COD</t>
        </is>
      </c>
      <c r="I1360" s="10" t="n"/>
      <c r="J1360" s="10" t="n"/>
      <c r="K1360" s="10" t="inlineStr">
        <is>
          <t>"codPayment.listBillCod": "បញ្ជីបុង COD",</t>
        </is>
      </c>
      <c r="L1360" s="10" t="n"/>
      <c r="M1360" s="10" t="n"/>
      <c r="N1360" s="10" t="n"/>
      <c r="O1360" s="10" t="n"/>
      <c r="P1360" s="10" t="n"/>
      <c r="Q1360" s="10" t="n"/>
      <c r="R1360" s="10" t="n"/>
      <c r="S1360" s="10" t="n"/>
      <c r="T1360" s="10" t="n"/>
      <c r="U1360" s="10" t="n"/>
      <c r="V1360" s="10" t="n"/>
      <c r="W1360" s="10" t="n"/>
      <c r="X1360" s="10" t="n"/>
      <c r="Y1360" s="10" t="n"/>
      <c r="Z1360" s="10" t="n"/>
    </row>
    <row r="1361">
      <c r="A1361" s="27" t="inlineStr">
        <is>
          <t>codPayment.listBillFee</t>
        </is>
      </c>
      <c r="B1361" s="27" t="inlineStr">
        <is>
          <t>Danh sách bill cước</t>
        </is>
      </c>
      <c r="C1361" s="27" t="inlineStr">
        <is>
          <t>Service Charges List</t>
        </is>
      </c>
      <c r="D1361" s="21" t="inlineStr">
        <is>
          <t>បញ្ជីបុងសេវា COD</t>
        </is>
      </c>
      <c r="E1361" s="102" t="inlineStr">
        <is>
          <t>បញ្ជីបុុងថ្លៃសេវា</t>
        </is>
      </c>
      <c r="F1361" s="10" t="n"/>
      <c r="G1361" s="10" t="inlineStr">
        <is>
          <t>បញ្ជីបុុងថ្លៃសេវា</t>
        </is>
      </c>
      <c r="H1361" s="10" t="inlineStr">
        <is>
          <t>បញ្ជីបុុងថ្លៃសេវា</t>
        </is>
      </c>
      <c r="I1361" s="10" t="n"/>
      <c r="J1361" s="10" t="n"/>
      <c r="K1361" s="10" t="inlineStr">
        <is>
          <t>"codPayment.listBillFee": "បញ្ជីបុុងថ្លៃសេវា",</t>
        </is>
      </c>
      <c r="L1361" s="10" t="n"/>
      <c r="M1361" s="10" t="n"/>
      <c r="N1361" s="10" t="n"/>
      <c r="O1361" s="10" t="n"/>
      <c r="P1361" s="10" t="n"/>
      <c r="Q1361" s="10" t="n"/>
      <c r="R1361" s="10" t="n"/>
      <c r="S1361" s="10" t="n"/>
      <c r="T1361" s="10" t="n"/>
      <c r="U1361" s="10" t="n"/>
      <c r="V1361" s="10" t="n"/>
      <c r="W1361" s="10" t="n"/>
      <c r="X1361" s="10" t="n"/>
      <c r="Y1361" s="10" t="n"/>
      <c r="Z1361" s="10" t="n"/>
    </row>
    <row r="1362">
      <c r="A1362" s="27" t="inlineStr">
        <is>
          <t>codPayment.bill</t>
        </is>
      </c>
      <c r="B1362" s="27" t="inlineStr">
        <is>
          <t>Mã vận đơn</t>
        </is>
      </c>
      <c r="C1362" s="27" t="inlineStr">
        <is>
          <t>Order ID</t>
        </is>
      </c>
      <c r="D1362" s="21" t="inlineStr">
        <is>
          <t>លេខកូដបុងដឹកជញ្ជូន</t>
        </is>
      </c>
      <c r="E1362" s="102" t="inlineStr">
        <is>
          <t>លេខកូដដឹកជញ្ជូន</t>
        </is>
      </c>
      <c r="F1362" s="10" t="n"/>
      <c r="G1362" s="10" t="inlineStr">
        <is>
          <t>លេខកូដបុងបញ្ញើ</t>
        </is>
      </c>
      <c r="H1362" s="10" t="inlineStr">
        <is>
          <t>លេខកូដបុងបញ្ញើ</t>
        </is>
      </c>
      <c r="I1362" s="10" t="n"/>
      <c r="J1362" s="10" t="n"/>
      <c r="K1362" s="10" t="inlineStr">
        <is>
          <t>"codPayment.bill": "លេខកូដបុងបញ្ញើ",</t>
        </is>
      </c>
      <c r="L1362" s="10" t="n"/>
      <c r="M1362" s="10" t="n"/>
      <c r="N1362" s="10" t="n"/>
      <c r="O1362" s="10" t="n"/>
      <c r="P1362" s="10" t="n"/>
      <c r="Q1362" s="10" t="n"/>
      <c r="R1362" s="10" t="n"/>
      <c r="S1362" s="10" t="n"/>
      <c r="T1362" s="10" t="n"/>
      <c r="U1362" s="10" t="n"/>
      <c r="V1362" s="10" t="n"/>
      <c r="W1362" s="10" t="n"/>
      <c r="X1362" s="10" t="n"/>
      <c r="Y1362" s="10" t="n"/>
      <c r="Z1362" s="10" t="n"/>
    </row>
    <row r="1363">
      <c r="A1363" s="27" t="inlineStr">
        <is>
          <t>codPayment.dateSuccess</t>
        </is>
      </c>
      <c r="B1363" s="27" t="inlineStr">
        <is>
          <t>Ngày PTC</t>
        </is>
      </c>
      <c r="C1363" s="27" t="inlineStr">
        <is>
          <t>Delivered on</t>
        </is>
      </c>
      <c r="D1363" s="21" t="inlineStr">
        <is>
          <t>ថ្ងៃ PTC</t>
        </is>
      </c>
      <c r="E1363" s="21" t="inlineStr">
        <is>
          <t>ថ្ងៃ PTC</t>
        </is>
      </c>
      <c r="F1363" s="10" t="n"/>
      <c r="G1363" s="10" t="inlineStr">
        <is>
          <t>កាលបរិច្ឆេទដឹកជញ្ជូនជោគជ័យ</t>
        </is>
      </c>
      <c r="H1363" s="10" t="inlineStr">
        <is>
          <t>កាលបរិច្ឆេទដឹកជញ្ជូនជោគជ័យ</t>
        </is>
      </c>
      <c r="I1363" s="10" t="n"/>
      <c r="J1363" s="10" t="n"/>
      <c r="K1363" s="10" t="inlineStr">
        <is>
          <t>"codPayment.dateSuccess": "កាលបរិច្ឆេទដឹកជញ្ជូនជោគជ័យ",</t>
        </is>
      </c>
      <c r="L1363" s="10" t="n"/>
      <c r="M1363" s="10" t="n"/>
      <c r="N1363" s="10" t="n"/>
      <c r="O1363" s="10" t="n"/>
      <c r="P1363" s="10" t="n"/>
      <c r="Q1363" s="10" t="n"/>
      <c r="R1363" s="10" t="n"/>
      <c r="S1363" s="10" t="n"/>
      <c r="T1363" s="10" t="n"/>
      <c r="U1363" s="10" t="n"/>
      <c r="V1363" s="10" t="n"/>
      <c r="W1363" s="10" t="n"/>
      <c r="X1363" s="10" t="n"/>
      <c r="Y1363" s="10" t="n"/>
      <c r="Z1363" s="10" t="n"/>
    </row>
    <row r="1364">
      <c r="A1364" s="27" t="inlineStr">
        <is>
          <t>codPayment.service</t>
        </is>
      </c>
      <c r="B1364" s="27" t="inlineStr">
        <is>
          <t>Dịch vụ</t>
        </is>
      </c>
      <c r="C1364" s="27" t="inlineStr">
        <is>
          <t>Main service</t>
        </is>
      </c>
      <c r="D1364" s="21" t="inlineStr">
        <is>
          <t>សេវាកម្ម</t>
        </is>
      </c>
      <c r="E1364" s="21" t="inlineStr">
        <is>
          <t>សេវាកម្ម</t>
        </is>
      </c>
      <c r="F1364" s="10" t="n"/>
      <c r="G1364" s="10" t="inlineStr">
        <is>
          <t>សេវាកម្ម</t>
        </is>
      </c>
      <c r="H1364" s="10" t="inlineStr">
        <is>
          <t>សេវាកម្ម</t>
        </is>
      </c>
      <c r="I1364" s="10" t="n"/>
      <c r="J1364" s="10" t="n"/>
      <c r="K1364" s="10" t="inlineStr">
        <is>
          <t>"codPayment.service": "សេវាកម្ម",</t>
        </is>
      </c>
      <c r="L1364" s="10" t="n"/>
      <c r="M1364" s="10" t="n"/>
      <c r="N1364" s="10" t="n"/>
      <c r="O1364" s="10" t="n"/>
      <c r="P1364" s="10" t="n"/>
      <c r="Q1364" s="10" t="n"/>
      <c r="R1364" s="10" t="n"/>
      <c r="S1364" s="10" t="n"/>
      <c r="T1364" s="10" t="n"/>
      <c r="U1364" s="10" t="n"/>
      <c r="V1364" s="10" t="n"/>
      <c r="W1364" s="10" t="n"/>
      <c r="X1364" s="10" t="n"/>
      <c r="Y1364" s="10" t="n"/>
      <c r="Z1364" s="10" t="n"/>
    </row>
    <row r="1365">
      <c r="A1365" s="27" t="inlineStr">
        <is>
          <t>codPayment.totalBill</t>
        </is>
      </c>
      <c r="B1365" s="27" t="inlineStr">
        <is>
          <t>Tổng bill</t>
        </is>
      </c>
      <c r="C1365" s="27" t="inlineStr">
        <is>
          <t>Total orders</t>
        </is>
      </c>
      <c r="D1365" s="21" t="inlineStr">
        <is>
          <t>សរុបបុងបញ្ញើ</t>
        </is>
      </c>
      <c r="E1365" s="21" t="inlineStr">
        <is>
          <t>សរុបបុងបញ្ញើ</t>
        </is>
      </c>
      <c r="F1365" s="10" t="n"/>
      <c r="G1365" s="10" t="inlineStr">
        <is>
          <t>សរុបបុងបញ្ញើ</t>
        </is>
      </c>
      <c r="H1365" s="10" t="inlineStr">
        <is>
          <t>សរុបបុងបញ្ញើ</t>
        </is>
      </c>
      <c r="I1365" s="10" t="n"/>
      <c r="J1365" s="10" t="n"/>
      <c r="K1365" s="10" t="inlineStr">
        <is>
          <t>"codPayment.totalBill": "សរុបបុងបញ្ញើ",</t>
        </is>
      </c>
      <c r="L1365" s="10" t="n"/>
      <c r="M1365" s="10" t="n"/>
      <c r="N1365" s="10" t="n"/>
      <c r="O1365" s="10" t="n"/>
      <c r="P1365" s="10" t="n"/>
      <c r="Q1365" s="10" t="n"/>
      <c r="R1365" s="10" t="n"/>
      <c r="S1365" s="10" t="n"/>
      <c r="T1365" s="10" t="n"/>
      <c r="U1365" s="10" t="n"/>
      <c r="V1365" s="10" t="n"/>
      <c r="W1365" s="10" t="n"/>
      <c r="X1365" s="10" t="n"/>
      <c r="Y1365" s="10" t="n"/>
      <c r="Z1365" s="10" t="n"/>
    </row>
    <row r="1366">
      <c r="A1366" s="27" t="inlineStr">
        <is>
          <t>codPayment.totalAmount</t>
        </is>
      </c>
      <c r="B1366" s="27" t="inlineStr">
        <is>
          <t>Tổng tiền</t>
        </is>
      </c>
      <c r="C1366" s="27" t="inlineStr">
        <is>
          <t>Total amount</t>
        </is>
      </c>
      <c r="D1366" s="21" t="inlineStr">
        <is>
          <t>សរុបបប្រាក់</t>
        </is>
      </c>
      <c r="E1366" s="24" t="inlineStr">
        <is>
          <t>សរុបប្រាក់</t>
        </is>
      </c>
      <c r="F1366" s="10" t="n"/>
      <c r="G1366" s="10" t="inlineStr">
        <is>
          <t>ចំនួនទឹកប្រាក់សរុប</t>
        </is>
      </c>
      <c r="H1366" s="10" t="inlineStr">
        <is>
          <t>ចំនួនទឹកប្រាក់សរុប</t>
        </is>
      </c>
      <c r="I1366" s="10" t="n"/>
      <c r="J1366" s="10" t="n"/>
      <c r="K1366" s="10" t="inlineStr">
        <is>
          <t>"codPayment.totalAmount": "ចំនួនទឹកប្រាក់សរុប",</t>
        </is>
      </c>
      <c r="L1366" s="10" t="n"/>
      <c r="M1366" s="10" t="n"/>
      <c r="N1366" s="10" t="n"/>
      <c r="O1366" s="10" t="n"/>
      <c r="P1366" s="10" t="n"/>
      <c r="Q1366" s="10" t="n"/>
      <c r="R1366" s="10" t="n"/>
      <c r="S1366" s="10" t="n"/>
      <c r="T1366" s="10" t="n"/>
      <c r="U1366" s="10" t="n"/>
      <c r="V1366" s="10" t="n"/>
      <c r="W1366" s="10" t="n"/>
      <c r="X1366" s="10" t="n"/>
      <c r="Y1366" s="10" t="n"/>
      <c r="Z1366" s="10" t="n"/>
    </row>
    <row r="1367">
      <c r="A1367" s="27" t="inlineStr">
        <is>
          <t>codPayment.dateMachines</t>
        </is>
      </c>
      <c r="B1367" s="27" t="inlineStr">
        <is>
          <t>Ngày nhập máy</t>
        </is>
      </c>
      <c r="C1367" s="27" t="inlineStr">
        <is>
          <t>Sales entry date</t>
        </is>
      </c>
      <c r="D1367" s="21" t="inlineStr">
        <is>
          <t>ថ្ងៃបញ្ចូលម៉ាសុីន</t>
        </is>
      </c>
      <c r="E1367" s="24" t="inlineStr">
        <is>
          <t>ថ្ងៃបញ្ចូលក្នុងម៉ាសុីន</t>
        </is>
      </c>
      <c r="F1367" s="10" t="n"/>
      <c r="G1367" s="10" t="inlineStr">
        <is>
          <t>កាលបរិច្ឆេទបញ្ចូលប្រព័ន្ធ</t>
        </is>
      </c>
      <c r="H1367" s="10" t="inlineStr">
        <is>
          <t>កាលបរិច្ឆេទបញ្ចូលប្រព័ន្ធ</t>
        </is>
      </c>
      <c r="I1367" s="10" t="n"/>
      <c r="J1367" s="10" t="n"/>
      <c r="K1367" s="10" t="inlineStr">
        <is>
          <t>"codPayment.dateMachines": "កាលបរិច្ឆេទបញ្ចូលប្រព័ន្ធ",</t>
        </is>
      </c>
      <c r="L1367" s="10" t="n"/>
      <c r="M1367" s="10" t="n"/>
      <c r="N1367" s="10" t="n"/>
      <c r="O1367" s="10" t="n"/>
      <c r="P1367" s="10" t="n"/>
      <c r="Q1367" s="10" t="n"/>
      <c r="R1367" s="10" t="n"/>
      <c r="S1367" s="10" t="n"/>
      <c r="T1367" s="10" t="n"/>
      <c r="U1367" s="10" t="n"/>
      <c r="V1367" s="10" t="n"/>
      <c r="W1367" s="10" t="n"/>
      <c r="X1367" s="10" t="n"/>
      <c r="Y1367" s="10" t="n"/>
      <c r="Z1367" s="10" t="n"/>
    </row>
    <row r="1368">
      <c r="A1368" s="27" t="inlineStr">
        <is>
          <t>codPayment.detailBillCus</t>
        </is>
      </c>
      <c r="B1368" s="27" t="inlineStr">
        <is>
          <t>Chi tiết bill theo khách hàng</t>
        </is>
      </c>
      <c r="C1368" s="27" t="inlineStr">
        <is>
          <t>Disbursement List Details</t>
        </is>
      </c>
      <c r="D1368" s="21" t="inlineStr">
        <is>
          <t>លម្អិតពីបុងបញ្ញើតាមអតិថិជន</t>
        </is>
      </c>
      <c r="E1368" s="21" t="inlineStr">
        <is>
          <t>លម្អិតពីបុងបញ្ញើតាមអតិថិជន</t>
        </is>
      </c>
      <c r="F1368" s="10" t="n"/>
      <c r="G1368" s="10" t="inlineStr">
        <is>
          <t>លម្អិតពីបុងបញ្ញើតាមអតិថិជន</t>
        </is>
      </c>
      <c r="H1368" s="10" t="inlineStr">
        <is>
          <t>លម្អិតពីបុងបញ្ញើតាមអតិថិជន</t>
        </is>
      </c>
      <c r="I1368" s="10" t="n"/>
      <c r="J1368" s="10" t="n"/>
      <c r="K1368" s="10" t="inlineStr">
        <is>
          <t>"codPayment.detailBillCus": "លម្អិតពីបុងបញ្ញើតាមអតិថិជន",</t>
        </is>
      </c>
      <c r="L1368" s="10" t="n"/>
      <c r="M1368" s="10" t="n"/>
      <c r="N1368" s="10" t="n"/>
      <c r="O1368" s="10" t="n"/>
      <c r="P1368" s="10" t="n"/>
      <c r="Q1368" s="10" t="n"/>
      <c r="R1368" s="10" t="n"/>
      <c r="S1368" s="10" t="n"/>
      <c r="T1368" s="10" t="n"/>
      <c r="U1368" s="10" t="n"/>
      <c r="V1368" s="10" t="n"/>
      <c r="W1368" s="10" t="n"/>
      <c r="X1368" s="10" t="n"/>
      <c r="Y1368" s="10" t="n"/>
      <c r="Z1368" s="10" t="n"/>
    </row>
    <row r="1369">
      <c r="A1369" s="27" t="inlineStr">
        <is>
          <t>codPayment.paymentSuccess</t>
        </is>
      </c>
      <c r="B1369" s="27" t="inlineStr">
        <is>
          <t>Chi thành công</t>
        </is>
      </c>
      <c r="C1369" s="27" t="inlineStr">
        <is>
          <t>Paid</t>
        </is>
      </c>
      <c r="D1369" s="21" t="inlineStr">
        <is>
          <t>ការចំណាយបានជោគជ័យ</t>
        </is>
      </c>
      <c r="E1369" s="21" t="inlineStr">
        <is>
          <t>ការចំណាយបានជោគជ័យ</t>
        </is>
      </c>
      <c r="F1369" s="10" t="n"/>
      <c r="G1369" s="10" t="inlineStr">
        <is>
          <t>ទូទាត់ជោគជ័យ</t>
        </is>
      </c>
      <c r="H1369" s="10" t="inlineStr">
        <is>
          <t>ទូទាត់ជោគជ័យ</t>
        </is>
      </c>
      <c r="I1369" s="10" t="n"/>
      <c r="J1369" s="10" t="n"/>
      <c r="K1369" s="10" t="inlineStr">
        <is>
          <t>"codPayment.paymentSuccess": "ទូទាត់ជោគជ័យ",</t>
        </is>
      </c>
      <c r="L1369" s="10" t="n"/>
      <c r="M1369" s="10" t="n"/>
      <c r="N1369" s="10" t="n"/>
      <c r="O1369" s="10" t="n"/>
      <c r="P1369" s="10" t="n"/>
      <c r="Q1369" s="10" t="n"/>
      <c r="R1369" s="10" t="n"/>
      <c r="S1369" s="10" t="n"/>
      <c r="T1369" s="10" t="n"/>
      <c r="U1369" s="10" t="n"/>
      <c r="V1369" s="10" t="n"/>
      <c r="W1369" s="10" t="n"/>
      <c r="X1369" s="10" t="n"/>
      <c r="Y1369" s="10" t="n"/>
      <c r="Z1369" s="10" t="n"/>
    </row>
    <row r="1370">
      <c r="A1370" s="27" t="inlineStr">
        <is>
          <t>codPayment.paymentFail</t>
        </is>
      </c>
      <c r="B1370" s="27" t="inlineStr">
        <is>
          <t>Chi thất bại</t>
        </is>
      </c>
      <c r="C1370" s="27" t="inlineStr">
        <is>
          <t>Payment Failed</t>
        </is>
      </c>
      <c r="D1370" s="21" t="inlineStr">
        <is>
          <t>ការចំណាយបរាជ័យ</t>
        </is>
      </c>
      <c r="E1370" s="21" t="inlineStr">
        <is>
          <t>ការចំណាយបរាជ័យ</t>
        </is>
      </c>
      <c r="F1370" s="10" t="n"/>
      <c r="G1370" s="10" t="inlineStr">
        <is>
          <t>ទូទាត់មិនបានសម្រេច</t>
        </is>
      </c>
      <c r="H1370" s="10" t="inlineStr">
        <is>
          <t>ទូទាត់មិនបានសម្រេច</t>
        </is>
      </c>
      <c r="I1370" s="10" t="n"/>
      <c r="J1370" s="10" t="n"/>
      <c r="K1370" s="10" t="inlineStr">
        <is>
          <t>"codPayment.paymentFail": "ទូទាត់មិនបានសម្រេច",</t>
        </is>
      </c>
      <c r="L1370" s="10" t="n"/>
      <c r="M1370" s="10" t="n"/>
      <c r="N1370" s="10" t="n"/>
      <c r="O1370" s="10" t="n"/>
      <c r="P1370" s="10" t="n"/>
      <c r="Q1370" s="10" t="n"/>
      <c r="R1370" s="10" t="n"/>
      <c r="S1370" s="10" t="n"/>
      <c r="T1370" s="10" t="n"/>
      <c r="U1370" s="10" t="n"/>
      <c r="V1370" s="10" t="n"/>
      <c r="W1370" s="10" t="n"/>
      <c r="X1370" s="10" t="n"/>
      <c r="Y1370" s="10" t="n"/>
      <c r="Z1370" s="10" t="n"/>
    </row>
    <row r="1371">
      <c r="A1371" s="27" t="inlineStr">
        <is>
          <t>codPayment.enterBill</t>
        </is>
      </c>
      <c r="B1371" s="27" t="inlineStr">
        <is>
          <t>Nhập mã vận đơn</t>
        </is>
      </c>
      <c r="C1371" s="27" t="inlineStr">
        <is>
          <t>Enter order ID</t>
        </is>
      </c>
      <c r="D1371" s="21" t="inlineStr">
        <is>
          <t>បញ្ចូលលេខកូដបុងដឹកជញ្ជូន</t>
        </is>
      </c>
      <c r="E1371" s="21" t="inlineStr">
        <is>
          <t>បញ្ចូលលេខកូដបុងដឹកជញ្ជូន</t>
        </is>
      </c>
      <c r="F1371" s="10" t="n"/>
      <c r="G1371" s="10" t="inlineStr">
        <is>
          <t>បញ្ចូលលេខកូដបុងដឹកជញ្ជូន</t>
        </is>
      </c>
      <c r="H1371" s="10" t="inlineStr">
        <is>
          <t>បញ្ចូលលេខកូដបុងដឹកជញ្ជូន</t>
        </is>
      </c>
      <c r="I1371" s="10" t="n"/>
      <c r="J1371" s="10" t="n"/>
      <c r="K1371" s="10" t="inlineStr">
        <is>
          <t>"codPayment.enterBill": "បញ្ចូលលេខកូដបុងដឹកជញ្ជូន",</t>
        </is>
      </c>
      <c r="L1371" s="10" t="n"/>
      <c r="M1371" s="10" t="n"/>
      <c r="N1371" s="10" t="n"/>
      <c r="O1371" s="10" t="n"/>
      <c r="P1371" s="10" t="n"/>
      <c r="Q1371" s="10" t="n"/>
      <c r="R1371" s="10" t="n"/>
      <c r="S1371" s="10" t="n"/>
      <c r="T1371" s="10" t="n"/>
      <c r="U1371" s="10" t="n"/>
      <c r="V1371" s="10" t="n"/>
      <c r="W1371" s="10" t="n"/>
      <c r="X1371" s="10" t="n"/>
      <c r="Y1371" s="10" t="n"/>
      <c r="Z1371" s="10" t="n"/>
    </row>
    <row r="1372">
      <c r="A1372" s="27" t="inlineStr">
        <is>
          <t>codPayment.detailUnc</t>
        </is>
      </c>
      <c r="B1372" s="27" t="inlineStr">
        <is>
          <t>Chi tiết UNC</t>
        </is>
      </c>
      <c r="C1372" s="27" t="inlineStr">
        <is>
          <t>Payment order details</t>
        </is>
      </c>
      <c r="D1372" s="102" t="n"/>
      <c r="E1372" s="27" t="inlineStr">
        <is>
          <t>លម្អិត UNC</t>
        </is>
      </c>
      <c r="F1372" s="10" t="n"/>
      <c r="G1372" s="10" t="inlineStr">
        <is>
          <t>លម្អិត UNC</t>
        </is>
      </c>
      <c r="H1372" s="10" t="inlineStr">
        <is>
          <t>លម្អិត UNC</t>
        </is>
      </c>
      <c r="I1372" s="10" t="n"/>
      <c r="J1372" s="10" t="n"/>
      <c r="K1372" s="10" t="inlineStr">
        <is>
          <t>"codPayment.detailUnc": "លម្អិត UNC",</t>
        </is>
      </c>
      <c r="L1372" s="10" t="n"/>
      <c r="M1372" s="10" t="n"/>
      <c r="N1372" s="10" t="n"/>
      <c r="O1372" s="10" t="n"/>
      <c r="P1372" s="10" t="n"/>
      <c r="Q1372" s="10" t="n"/>
      <c r="R1372" s="10" t="n"/>
      <c r="S1372" s="10" t="n"/>
      <c r="T1372" s="10" t="n"/>
      <c r="U1372" s="10" t="n"/>
      <c r="V1372" s="10" t="n"/>
      <c r="W1372" s="10" t="n"/>
      <c r="X1372" s="10" t="n"/>
      <c r="Y1372" s="10" t="n"/>
      <c r="Z1372" s="10" t="n"/>
    </row>
    <row r="1373">
      <c r="A1373" s="27" t="inlineStr">
        <is>
          <t>codPayment.bkeCod</t>
        </is>
      </c>
      <c r="B1373" s="27" t="inlineStr">
        <is>
          <t>Bảng kê COD</t>
        </is>
      </c>
      <c r="C1373" s="27" t="inlineStr">
        <is>
          <t>COD Collection Billing List</t>
        </is>
      </c>
      <c r="D1373" s="21" t="inlineStr">
        <is>
          <t>តារាង COD</t>
        </is>
      </c>
      <c r="E1373" s="102" t="inlineStr">
        <is>
          <t>តារាង COD</t>
        </is>
      </c>
      <c r="F1373" s="10" t="n"/>
      <c r="G1373" s="10" t="inlineStr">
        <is>
          <t>តារាង COD</t>
        </is>
      </c>
      <c r="H1373" s="10" t="inlineStr">
        <is>
          <t>តារាង COD</t>
        </is>
      </c>
      <c r="I1373" s="10" t="n"/>
      <c r="J1373" s="10" t="n"/>
      <c r="K1373" s="10" t="inlineStr">
        <is>
          <t>"codPayment.bkeCod": "តារាង COD",</t>
        </is>
      </c>
      <c r="L1373" s="10" t="n"/>
      <c r="M1373" s="10" t="n"/>
      <c r="N1373" s="10" t="n"/>
      <c r="O1373" s="10" t="n"/>
      <c r="P1373" s="10" t="n"/>
      <c r="Q1373" s="10" t="n"/>
      <c r="R1373" s="10" t="n"/>
      <c r="S1373" s="10" t="n"/>
      <c r="T1373" s="10" t="n"/>
      <c r="U1373" s="10" t="n"/>
      <c r="V1373" s="10" t="n"/>
      <c r="W1373" s="10" t="n"/>
      <c r="X1373" s="10" t="n"/>
      <c r="Y1373" s="10" t="n"/>
      <c r="Z1373" s="10" t="n"/>
    </row>
    <row r="1374">
      <c r="A1374" s="27" t="inlineStr">
        <is>
          <t>codPayment.bkeFee</t>
        </is>
      </c>
      <c r="B1374" s="27" t="inlineStr">
        <is>
          <t>Bảng kê cước</t>
        </is>
      </c>
      <c r="C1374" s="27" t="inlineStr">
        <is>
          <t>Service Charges Billing List</t>
        </is>
      </c>
      <c r="D1374" s="21" t="inlineStr">
        <is>
          <t>តារាងថ្លៃសេវា</t>
        </is>
      </c>
      <c r="E1374" s="102" t="inlineStr">
        <is>
          <t>តារាងថ្លៃសេវា</t>
        </is>
      </c>
      <c r="F1374" s="10" t="n"/>
      <c r="G1374" s="10" t="inlineStr">
        <is>
          <t>តារាងថ្លៃសេវា</t>
        </is>
      </c>
      <c r="H1374" s="10" t="inlineStr">
        <is>
          <t>តារាងថ្លៃសេវា</t>
        </is>
      </c>
      <c r="I1374" s="10" t="n"/>
      <c r="J1374" s="10" t="n"/>
      <c r="K1374" s="10" t="inlineStr">
        <is>
          <t>"codPayment.bkeFee": "តារាងថ្លៃសេវា",</t>
        </is>
      </c>
      <c r="L1374" s="10" t="n"/>
      <c r="M1374" s="10" t="n"/>
      <c r="N1374" s="10" t="n"/>
      <c r="O1374" s="10" t="n"/>
      <c r="P1374" s="10" t="n"/>
      <c r="Q1374" s="10" t="n"/>
      <c r="R1374" s="10" t="n"/>
      <c r="S1374" s="10" t="n"/>
      <c r="T1374" s="10" t="n"/>
      <c r="U1374" s="10" t="n"/>
      <c r="V1374" s="10" t="n"/>
      <c r="W1374" s="10" t="n"/>
      <c r="X1374" s="10" t="n"/>
      <c r="Y1374" s="10" t="n"/>
      <c r="Z1374" s="10" t="n"/>
    </row>
    <row r="1375">
      <c r="A1375" s="27" t="inlineStr">
        <is>
          <t>codPayment.detailBke</t>
        </is>
      </c>
      <c r="B1375" s="27" t="inlineStr">
        <is>
          <t>Chi tiết bảng kê</t>
        </is>
      </c>
      <c r="C1375" s="27" t="inlineStr">
        <is>
          <t>Disbursement List Details</t>
        </is>
      </c>
      <c r="D1375" s="21" t="inlineStr">
        <is>
          <t>លម្អិតពីតារាង</t>
        </is>
      </c>
      <c r="E1375" s="102" t="inlineStr">
        <is>
          <t>លម្អិតតារាង</t>
        </is>
      </c>
      <c r="F1375" s="10" t="n"/>
      <c r="G1375" s="10" t="inlineStr">
        <is>
          <t>លម្អិតតារាង</t>
        </is>
      </c>
      <c r="H1375" s="10" t="inlineStr">
        <is>
          <t>លម្អិតតារាង</t>
        </is>
      </c>
      <c r="I1375" s="10" t="n"/>
      <c r="J1375" s="10" t="n"/>
      <c r="K1375" s="10" t="inlineStr">
        <is>
          <t>"codPayment.detailBke": "លម្អិតតារាង",</t>
        </is>
      </c>
      <c r="L1375" s="10" t="n"/>
      <c r="M1375" s="10" t="n"/>
      <c r="N1375" s="10" t="n"/>
      <c r="O1375" s="10" t="n"/>
      <c r="P1375" s="10" t="n"/>
      <c r="Q1375" s="10" t="n"/>
      <c r="R1375" s="10" t="n"/>
      <c r="S1375" s="10" t="n"/>
      <c r="T1375" s="10" t="n"/>
      <c r="U1375" s="10" t="n"/>
      <c r="V1375" s="10" t="n"/>
      <c r="W1375" s="10" t="n"/>
      <c r="X1375" s="10" t="n"/>
      <c r="Y1375" s="10" t="n"/>
      <c r="Z1375" s="10" t="n"/>
    </row>
    <row r="1376">
      <c r="A1376" s="27" t="inlineStr">
        <is>
          <t>codPayment.statusBke</t>
        </is>
      </c>
      <c r="B1376" s="27" t="inlineStr">
        <is>
          <t>Trạng thái bảng kê</t>
        </is>
      </c>
      <c r="C1376" s="27" t="inlineStr">
        <is>
          <t>Disbursement List Status</t>
        </is>
      </c>
      <c r="D1376" s="21" t="inlineStr">
        <is>
          <t>ស្ថានភាពតារាង</t>
        </is>
      </c>
      <c r="E1376" s="21" t="inlineStr">
        <is>
          <t>ស្ថានភាពតារាង</t>
        </is>
      </c>
      <c r="F1376" s="10" t="n"/>
      <c r="G1376" s="10" t="inlineStr">
        <is>
          <t>ស្ថានភាពតារាង</t>
        </is>
      </c>
      <c r="H1376" s="10" t="inlineStr">
        <is>
          <t>ស្ថានភាពតារាង</t>
        </is>
      </c>
      <c r="I1376" s="10" t="n"/>
      <c r="J1376" s="10" t="n"/>
      <c r="K1376" s="10" t="inlineStr">
        <is>
          <t>"codPayment.statusBke": "ស្ថានភាពតារាង",</t>
        </is>
      </c>
      <c r="L1376" s="10" t="n"/>
      <c r="M1376" s="10" t="n"/>
      <c r="N1376" s="10" t="n"/>
      <c r="O1376" s="10" t="n"/>
      <c r="P1376" s="10" t="n"/>
      <c r="Q1376" s="10" t="n"/>
      <c r="R1376" s="10" t="n"/>
      <c r="S1376" s="10" t="n"/>
      <c r="T1376" s="10" t="n"/>
      <c r="U1376" s="10" t="n"/>
      <c r="V1376" s="10" t="n"/>
      <c r="W1376" s="10" t="n"/>
      <c r="X1376" s="10" t="n"/>
      <c r="Y1376" s="10" t="n"/>
      <c r="Z1376" s="10" t="n"/>
    </row>
    <row r="1377">
      <c r="A1377" s="27" t="inlineStr">
        <is>
          <t>codPayment.confirmDel</t>
        </is>
      </c>
      <c r="B1377" s="27" t="inlineStr">
        <is>
          <t>Bạn có chắc muốn xóa?</t>
        </is>
      </c>
      <c r="C1377" s="27" t="inlineStr">
        <is>
          <t>Are you sure you to delete?</t>
        </is>
      </c>
      <c r="D1377" s="21" t="inlineStr">
        <is>
          <t>តើអ្នកពិតជាចង់លុបមែនទេ</t>
        </is>
      </c>
      <c r="E1377" s="21" t="inlineStr">
        <is>
          <t>តើអ្នកពិតជាចង់លុបមែនទេ</t>
        </is>
      </c>
      <c r="F1377" s="10" t="n"/>
      <c r="G1377" s="10" t="inlineStr">
        <is>
          <t>តើអ្នកពិតជាចង់លុបមែនទេ</t>
        </is>
      </c>
      <c r="H1377" s="10" t="inlineStr">
        <is>
          <t>តើអ្នកពិតជាចង់លុបមែនទេ</t>
        </is>
      </c>
      <c r="I1377" s="10" t="n"/>
      <c r="J1377" s="10" t="n"/>
      <c r="K1377" s="10" t="inlineStr">
        <is>
          <t>"codPayment.confirmDel": "តើអ្នកពិតជាចង់លុបមែនទេ",</t>
        </is>
      </c>
      <c r="L1377" s="10" t="n"/>
      <c r="M1377" s="10" t="n"/>
      <c r="N1377" s="10" t="n"/>
      <c r="O1377" s="10" t="n"/>
      <c r="P1377" s="10" t="n"/>
      <c r="Q1377" s="10" t="n"/>
      <c r="R1377" s="10" t="n"/>
      <c r="S1377" s="10" t="n"/>
      <c r="T1377" s="10" t="n"/>
      <c r="U1377" s="10" t="n"/>
      <c r="V1377" s="10" t="n"/>
      <c r="W1377" s="10" t="n"/>
      <c r="X1377" s="10" t="n"/>
      <c r="Y1377" s="10" t="n"/>
      <c r="Z1377" s="10" t="n"/>
    </row>
    <row r="1378">
      <c r="A1378" s="27" t="inlineStr">
        <is>
          <t>codPayment.delSuccess</t>
        </is>
      </c>
      <c r="B1378" s="27" t="inlineStr">
        <is>
          <t>Xóa thành công</t>
        </is>
      </c>
      <c r="C1378" s="27" t="inlineStr">
        <is>
          <t>Deleted successfully</t>
        </is>
      </c>
      <c r="D1378" s="21" t="inlineStr">
        <is>
          <t>លុបបានជោគជ័យ</t>
        </is>
      </c>
      <c r="E1378" s="21" t="inlineStr">
        <is>
          <t>លុបបានជោគជ័យ</t>
        </is>
      </c>
      <c r="F1378" s="10" t="n"/>
      <c r="G1378" s="10" t="inlineStr">
        <is>
          <t>លុបបានជោគជ័យ</t>
        </is>
      </c>
      <c r="H1378" s="10" t="inlineStr">
        <is>
          <t>លុបបានជោគជ័យ</t>
        </is>
      </c>
      <c r="I1378" s="10" t="n"/>
      <c r="J1378" s="10" t="n"/>
      <c r="K1378" s="10" t="inlineStr">
        <is>
          <t>"codPayment.delSuccess": "លុបបានជោគជ័យ",</t>
        </is>
      </c>
      <c r="L1378" s="10" t="n"/>
      <c r="M1378" s="10" t="n"/>
      <c r="N1378" s="10" t="n"/>
      <c r="O1378" s="10" t="n"/>
      <c r="P1378" s="10" t="n"/>
      <c r="Q1378" s="10" t="n"/>
      <c r="R1378" s="10" t="n"/>
      <c r="S1378" s="10" t="n"/>
      <c r="T1378" s="10" t="n"/>
      <c r="U1378" s="10" t="n"/>
      <c r="V1378" s="10" t="n"/>
      <c r="W1378" s="10" t="n"/>
      <c r="X1378" s="10" t="n"/>
      <c r="Y1378" s="10" t="n"/>
      <c r="Z1378" s="10" t="n"/>
    </row>
    <row r="1379">
      <c r="A1379" s="27" t="inlineStr">
        <is>
          <t>codPayment.delBke</t>
        </is>
      </c>
      <c r="B1379" s="27" t="inlineStr">
        <is>
          <t>Loại bỏ bảng kê</t>
        </is>
      </c>
      <c r="C1379" s="27" t="inlineStr">
        <is>
          <t>Remove list</t>
        </is>
      </c>
      <c r="D1379" s="21" t="inlineStr">
        <is>
          <t>លុុបចោលតារាង</t>
        </is>
      </c>
      <c r="E1379" s="21" t="inlineStr">
        <is>
          <t>លុុបចោលតារាង</t>
        </is>
      </c>
      <c r="F1379" s="10" t="n"/>
      <c r="G1379" s="10" t="inlineStr">
        <is>
          <t>លុុបចោលតារាង</t>
        </is>
      </c>
      <c r="H1379" s="10" t="inlineStr">
        <is>
          <t>លុុបចោលតារាង</t>
        </is>
      </c>
      <c r="I1379" s="10" t="n"/>
      <c r="J1379" s="10" t="n"/>
      <c r="K1379" s="10" t="inlineStr">
        <is>
          <t>"codPayment.delBke": "លុុបចោលតារាង",</t>
        </is>
      </c>
      <c r="L1379" s="10" t="n"/>
      <c r="M1379" s="10" t="n"/>
      <c r="N1379" s="10" t="n"/>
      <c r="O1379" s="10" t="n"/>
      <c r="P1379" s="10" t="n"/>
      <c r="Q1379" s="10" t="n"/>
      <c r="R1379" s="10" t="n"/>
      <c r="S1379" s="10" t="n"/>
      <c r="T1379" s="10" t="n"/>
      <c r="U1379" s="10" t="n"/>
      <c r="V1379" s="10" t="n"/>
      <c r="W1379" s="10" t="n"/>
      <c r="X1379" s="10" t="n"/>
      <c r="Y1379" s="10" t="n"/>
      <c r="Z1379" s="10" t="n"/>
    </row>
    <row r="1380">
      <c r="A1380" s="27" t="inlineStr">
        <is>
          <t>codPayment.confirmAdd</t>
        </is>
      </c>
      <c r="B1380" s="27" t="inlineStr">
        <is>
          <t>Bạn có chắc muốn thêm?</t>
        </is>
      </c>
      <c r="C1380" s="27" t="inlineStr">
        <is>
          <t>Are you sure to add?</t>
        </is>
      </c>
      <c r="D1380" s="21" t="inlineStr">
        <is>
          <t>អ្នកពិតជាចង់ថែម?</t>
        </is>
      </c>
      <c r="E1380" s="24" t="inlineStr">
        <is>
          <t>អ្នកពិតជាចង់ថែមមែនទេ?</t>
        </is>
      </c>
      <c r="F1380" s="10" t="n"/>
      <c r="G1380" s="10" t="inlineStr">
        <is>
          <t>អ្នកពិតជាចង់ថែមមែនទេ?</t>
        </is>
      </c>
      <c r="H1380" s="10" t="inlineStr">
        <is>
          <t>អ្នកពិតជាចង់ថែមមែនទេ?</t>
        </is>
      </c>
      <c r="I1380" s="10" t="n"/>
      <c r="J1380" s="10" t="n"/>
      <c r="K1380" s="10" t="inlineStr">
        <is>
          <t>"codPayment.confirmAdd": "អ្នកពិតជាចង់ថែមមែនទេ?",</t>
        </is>
      </c>
      <c r="L1380" s="10" t="n"/>
      <c r="M1380" s="10" t="n"/>
      <c r="N1380" s="10" t="n"/>
      <c r="O1380" s="10" t="n"/>
      <c r="P1380" s="10" t="n"/>
      <c r="Q1380" s="10" t="n"/>
      <c r="R1380" s="10" t="n"/>
      <c r="S1380" s="10" t="n"/>
      <c r="T1380" s="10" t="n"/>
      <c r="U1380" s="10" t="n"/>
      <c r="V1380" s="10" t="n"/>
      <c r="W1380" s="10" t="n"/>
      <c r="X1380" s="10" t="n"/>
      <c r="Y1380" s="10" t="n"/>
      <c r="Z1380" s="10" t="n"/>
    </row>
    <row r="1381">
      <c r="A1381" s="27" t="inlineStr">
        <is>
          <t>codPayment.insertSuccess</t>
        </is>
      </c>
      <c r="B1381" s="27" t="inlineStr">
        <is>
          <t>Thêm thành công</t>
        </is>
      </c>
      <c r="C1381" s="27" t="inlineStr">
        <is>
          <t>Added successfully</t>
        </is>
      </c>
      <c r="D1381" s="21" t="inlineStr">
        <is>
          <t>បន្ថែមបានជោគជ័យ</t>
        </is>
      </c>
      <c r="E1381" s="21" t="inlineStr">
        <is>
          <t>បន្ថែមបានជោគជ័យ</t>
        </is>
      </c>
      <c r="F1381" s="10" t="n"/>
      <c r="G1381" s="10" t="inlineStr">
        <is>
          <t>បន្ថែមបានជោគជ័យ</t>
        </is>
      </c>
      <c r="H1381" s="10" t="inlineStr">
        <is>
          <t>បន្ថែមបានជោគជ័យ</t>
        </is>
      </c>
      <c r="I1381" s="10" t="n"/>
      <c r="J1381" s="10" t="n"/>
      <c r="K1381" s="10" t="inlineStr">
        <is>
          <t>"codPayment.insertSuccess": "បន្ថែមបានជោគជ័យ",</t>
        </is>
      </c>
      <c r="L1381" s="10" t="n"/>
      <c r="M1381" s="10" t="n"/>
      <c r="N1381" s="10" t="n"/>
      <c r="O1381" s="10" t="n"/>
      <c r="P1381" s="10" t="n"/>
      <c r="Q1381" s="10" t="n"/>
      <c r="R1381" s="10" t="n"/>
      <c r="S1381" s="10" t="n"/>
      <c r="T1381" s="10" t="n"/>
      <c r="U1381" s="10" t="n"/>
      <c r="V1381" s="10" t="n"/>
      <c r="W1381" s="10" t="n"/>
      <c r="X1381" s="10" t="n"/>
      <c r="Y1381" s="10" t="n"/>
      <c r="Z1381" s="10" t="n"/>
    </row>
    <row r="1382">
      <c r="A1382" s="27" t="inlineStr">
        <is>
          <t>codPayment.addBillToBke</t>
        </is>
      </c>
      <c r="B1382" s="27" t="inlineStr">
        <is>
          <t>Thêm vận đơn vào bảng kê</t>
        </is>
      </c>
      <c r="C1382" s="27" t="inlineStr">
        <is>
          <t>Add order to list</t>
        </is>
      </c>
      <c r="D1382" s="21" t="inlineStr">
        <is>
          <t>បន្ថែមបុងដឹកជញ្ជូនចូលក្នុងតារាង</t>
        </is>
      </c>
      <c r="E1382" s="21" t="inlineStr">
        <is>
          <t>បន្ថែមបុងដឹកជញ្ជូនចូលក្នុងតារាង</t>
        </is>
      </c>
      <c r="F1382" s="10" t="n"/>
      <c r="G1382" s="10" t="inlineStr">
        <is>
          <t>បន្ថែមបុងដឹកជញ្ជូនចូលក្នុងតារាង</t>
        </is>
      </c>
      <c r="H1382" s="10" t="inlineStr">
        <is>
          <t>បន្ថែមបុងដឹកជញ្ជូនចូលក្នុងតារាង</t>
        </is>
      </c>
      <c r="I1382" s="10" t="n"/>
      <c r="J1382" s="10" t="n"/>
      <c r="K1382" s="10" t="inlineStr">
        <is>
          <t>"codPayment.addBillToBke": "បន្ថែមបុងដឹកជញ្ជូនចូលក្នុងតារាង",</t>
        </is>
      </c>
      <c r="L1382" s="10" t="n"/>
      <c r="M1382" s="10" t="n"/>
      <c r="N1382" s="10" t="n"/>
      <c r="O1382" s="10" t="n"/>
      <c r="P1382" s="10" t="n"/>
      <c r="Q1382" s="10" t="n"/>
      <c r="R1382" s="10" t="n"/>
      <c r="S1382" s="10" t="n"/>
      <c r="T1382" s="10" t="n"/>
      <c r="U1382" s="10" t="n"/>
      <c r="V1382" s="10" t="n"/>
      <c r="W1382" s="10" t="n"/>
      <c r="X1382" s="10" t="n"/>
      <c r="Y1382" s="10" t="n"/>
      <c r="Z1382" s="10" t="n"/>
    </row>
    <row r="1383">
      <c r="A1383" s="27" t="inlineStr">
        <is>
          <t>codPayment.addBill</t>
        </is>
      </c>
      <c r="B1383" s="27" t="inlineStr">
        <is>
          <t>Thêm vận đơn</t>
        </is>
      </c>
      <c r="C1383" s="27" t="inlineStr">
        <is>
          <t>Add order</t>
        </is>
      </c>
      <c r="D1383" s="21" t="inlineStr">
        <is>
          <t>បន្ថែមបុងដឹកជញ្ជូន</t>
        </is>
      </c>
      <c r="E1383" s="21" t="inlineStr">
        <is>
          <t>បន្ថែមបុងដឹកជញ្ជូន</t>
        </is>
      </c>
      <c r="F1383" s="10" t="n"/>
      <c r="G1383" s="10" t="inlineStr">
        <is>
          <t>បន្ថែមបុងដឹកជញ្ជូន</t>
        </is>
      </c>
      <c r="H1383" s="10" t="inlineStr">
        <is>
          <t>បន្ថែមបុងដឹកជញ្ជូន</t>
        </is>
      </c>
      <c r="I1383" s="10" t="n"/>
      <c r="J1383" s="10" t="n"/>
      <c r="K1383" s="10" t="inlineStr">
        <is>
          <t>"codPayment.addBill": "បន្ថែមបុងដឹកជញ្ជូន",</t>
        </is>
      </c>
      <c r="L1383" s="10" t="n"/>
      <c r="M1383" s="10" t="n"/>
      <c r="N1383" s="10" t="n"/>
      <c r="O1383" s="10" t="n"/>
      <c r="P1383" s="10" t="n"/>
      <c r="Q1383" s="10" t="n"/>
      <c r="R1383" s="10" t="n"/>
      <c r="S1383" s="10" t="n"/>
      <c r="T1383" s="10" t="n"/>
      <c r="U1383" s="10" t="n"/>
      <c r="V1383" s="10" t="n"/>
      <c r="W1383" s="10" t="n"/>
      <c r="X1383" s="10" t="n"/>
      <c r="Y1383" s="10" t="n"/>
      <c r="Z1383" s="10" t="n"/>
    </row>
    <row r="1384">
      <c r="A1384" s="27" t="inlineStr">
        <is>
          <t>codPayment.confirmDeleteUNC</t>
        </is>
      </c>
      <c r="B1384" s="27" t="inlineStr">
        <is>
          <t>Bạn có chắc muốn xóa UNC?</t>
        </is>
      </c>
      <c r="C1384" s="27" t="inlineStr">
        <is>
          <t>Are you sure you to delete Payment Order?</t>
        </is>
      </c>
      <c r="D1384" s="102" t="n"/>
      <c r="E1384" s="27" t="inlineStr">
        <is>
          <t>តើអ្នកពិតជាចង់លុប UNC មែនទេ?</t>
        </is>
      </c>
      <c r="F1384" s="10" t="n"/>
      <c r="G1384" s="10" t="inlineStr">
        <is>
          <t>តើអ្នកពិតជាចង់លុប UNC មែនទេ?</t>
        </is>
      </c>
      <c r="H1384" s="10" t="inlineStr">
        <is>
          <t>តើអ្នកពិតជាចង់លុប UNC មែនទេ?</t>
        </is>
      </c>
      <c r="I1384" s="10" t="n"/>
      <c r="J1384" s="10" t="n"/>
      <c r="K1384" s="10" t="inlineStr">
        <is>
          <t>"codPayment.confirmDeleteUNC": "តើអ្នកពិតជាចង់លុប UNC មែនទេ?",</t>
        </is>
      </c>
      <c r="L1384" s="10" t="n"/>
      <c r="M1384" s="10" t="n"/>
      <c r="N1384" s="10" t="n"/>
      <c r="O1384" s="10" t="n"/>
      <c r="P1384" s="10" t="n"/>
      <c r="Q1384" s="10" t="n"/>
      <c r="R1384" s="10" t="n"/>
      <c r="S1384" s="10" t="n"/>
      <c r="T1384" s="10" t="n"/>
      <c r="U1384" s="10" t="n"/>
      <c r="V1384" s="10" t="n"/>
      <c r="W1384" s="10" t="n"/>
      <c r="X1384" s="10" t="n"/>
      <c r="Y1384" s="10" t="n"/>
      <c r="Z1384" s="10" t="n"/>
    </row>
    <row r="1385">
      <c r="A1385" s="27" t="inlineStr">
        <is>
          <t>codPayment.deleteUncSuccess</t>
        </is>
      </c>
      <c r="B1385" s="27" t="inlineStr">
        <is>
          <t>Xóa UNC thành công</t>
        </is>
      </c>
      <c r="C1385" s="27" t="inlineStr">
        <is>
          <t>Payment order deleted successfully</t>
        </is>
      </c>
      <c r="D1385" s="21" t="inlineStr">
        <is>
          <t>លុប UNC បានជោគជ័យ</t>
        </is>
      </c>
      <c r="E1385" s="27" t="inlineStr">
        <is>
          <t>លុប UNC បានជោគជ័យ</t>
        </is>
      </c>
      <c r="F1385" s="10" t="n"/>
      <c r="G1385" s="10" t="inlineStr">
        <is>
          <t>លុប UNC បានជោគជ័យ</t>
        </is>
      </c>
      <c r="H1385" s="10" t="inlineStr">
        <is>
          <t>លុប UNC បានជោគជ័យ</t>
        </is>
      </c>
      <c r="I1385" s="10" t="n"/>
      <c r="J1385" s="10" t="n"/>
      <c r="K1385" s="10" t="inlineStr">
        <is>
          <t>"codPayment.deleteUncSuccess": "លុប UNC បានជោគជ័យ",</t>
        </is>
      </c>
      <c r="L1385" s="10" t="n"/>
      <c r="M1385" s="10" t="n"/>
      <c r="N1385" s="10" t="n"/>
      <c r="O1385" s="10" t="n"/>
      <c r="P1385" s="10" t="n"/>
      <c r="Q1385" s="10" t="n"/>
      <c r="R1385" s="10" t="n"/>
      <c r="S1385" s="10" t="n"/>
      <c r="T1385" s="10" t="n"/>
      <c r="U1385" s="10" t="n"/>
      <c r="V1385" s="10" t="n"/>
      <c r="W1385" s="10" t="n"/>
      <c r="X1385" s="10" t="n"/>
      <c r="Y1385" s="10" t="n"/>
      <c r="Z1385" s="10" t="n"/>
    </row>
    <row r="1386">
      <c r="A1386" s="27" t="inlineStr">
        <is>
          <t>codPayment.confirmDeleteBkUNC</t>
        </is>
      </c>
      <c r="B1386" s="27" t="inlineStr">
        <is>
          <t>Bạn có chắc chắn muốn loại bỏ phiếu chi?</t>
        </is>
      </c>
      <c r="C1386" s="27" t="inlineStr">
        <is>
          <t>Are you sure you to remove list?</t>
        </is>
      </c>
      <c r="D1386" s="102" t="n"/>
      <c r="E1386" s="102" t="inlineStr">
        <is>
          <t>តើអ្នកពិតជាចង់លុបបុងចំណាយមែនទេ?</t>
        </is>
      </c>
      <c r="F1386" s="10" t="n"/>
      <c r="G1386" s="10" t="inlineStr">
        <is>
          <t>តើអ្នកពិតជាចង់លុបបុងចំណាយមែនទេ?</t>
        </is>
      </c>
      <c r="H1386" s="10" t="inlineStr">
        <is>
          <t>តើអ្នកពិតជាចង់លុបបុងចំណាយមែនទេ?</t>
        </is>
      </c>
      <c r="I1386" s="10" t="n"/>
      <c r="J1386" s="10" t="n"/>
      <c r="K1386" s="10" t="inlineStr">
        <is>
          <t>"codPayment.confirmDeleteBkUNC": "តើអ្នកពិតជាចង់លុបបុងចំណាយមែនទេ?",</t>
        </is>
      </c>
      <c r="L1386" s="10" t="n"/>
      <c r="M1386" s="10" t="n"/>
      <c r="N1386" s="10" t="n"/>
      <c r="O1386" s="10" t="n"/>
      <c r="P1386" s="10" t="n"/>
      <c r="Q1386" s="10" t="n"/>
      <c r="R1386" s="10" t="n"/>
      <c r="S1386" s="10" t="n"/>
      <c r="T1386" s="10" t="n"/>
      <c r="U1386" s="10" t="n"/>
      <c r="V1386" s="10" t="n"/>
      <c r="W1386" s="10" t="n"/>
      <c r="X1386" s="10" t="n"/>
      <c r="Y1386" s="10" t="n"/>
      <c r="Z1386" s="10" t="n"/>
    </row>
    <row r="1387">
      <c r="A1387" s="27" t="inlineStr">
        <is>
          <t>codPayment.deleteBkeUncSuccess</t>
        </is>
      </c>
      <c r="B1387" s="27" t="inlineStr">
        <is>
          <t>Loại bỏ phiếu chi thành công</t>
        </is>
      </c>
      <c r="C1387" s="27" t="inlineStr">
        <is>
          <t>List removed successfully</t>
        </is>
      </c>
      <c r="D1387" s="21" t="inlineStr">
        <is>
          <t>លុុបចោលតារាងបានជោគជ័យ</t>
        </is>
      </c>
      <c r="E1387" s="102" t="inlineStr">
        <is>
          <t>លុបបុងចំណាយបានជោគជ័យ</t>
        </is>
      </c>
      <c r="F1387" s="10" t="n"/>
      <c r="G1387" s="10" t="inlineStr">
        <is>
          <t>លុបបុងចំណាយបានជោគជ័យ</t>
        </is>
      </c>
      <c r="H1387" s="10" t="inlineStr">
        <is>
          <t>លុបបុងចំណាយបានជោគជ័យ</t>
        </is>
      </c>
      <c r="I1387" s="10" t="n"/>
      <c r="J1387" s="10" t="n"/>
      <c r="K1387" s="10" t="inlineStr">
        <is>
          <t>"codPayment.deleteBkeUncSuccess": "លុបបុងចំណាយបានជោគជ័យ",</t>
        </is>
      </c>
      <c r="L1387" s="10" t="n"/>
      <c r="M1387" s="10" t="n"/>
      <c r="N1387" s="10" t="n"/>
      <c r="O1387" s="10" t="n"/>
      <c r="P1387" s="10" t="n"/>
      <c r="Q1387" s="10" t="n"/>
      <c r="R1387" s="10" t="n"/>
      <c r="S1387" s="10" t="n"/>
      <c r="T1387" s="10" t="n"/>
      <c r="U1387" s="10" t="n"/>
      <c r="V1387" s="10" t="n"/>
      <c r="W1387" s="10" t="n"/>
      <c r="X1387" s="10" t="n"/>
      <c r="Y1387" s="10" t="n"/>
      <c r="Z1387" s="10" t="n"/>
    </row>
    <row r="1388">
      <c r="A1388" s="27" t="inlineStr">
        <is>
          <t>codPayment.addBke</t>
        </is>
      </c>
      <c r="B1388" s="27" t="inlineStr">
        <is>
          <t>Thêm phiếu chi</t>
        </is>
      </c>
      <c r="C1388" s="27" t="inlineStr">
        <is>
          <t>Add list</t>
        </is>
      </c>
      <c r="D1388" s="21" t="inlineStr">
        <is>
          <t>បន្ថែ្ថមតារាង</t>
        </is>
      </c>
      <c r="E1388" s="102" t="inlineStr">
        <is>
          <t>បន្ថែមបុងចំណាយ</t>
        </is>
      </c>
      <c r="F1388" s="10" t="n"/>
      <c r="G1388" s="10" t="inlineStr">
        <is>
          <t>បន្ថែមបុងចំណាយ</t>
        </is>
      </c>
      <c r="H1388" s="10" t="inlineStr">
        <is>
          <t>បន្ថែមបុងចំណាយ</t>
        </is>
      </c>
      <c r="I1388" s="10" t="n"/>
      <c r="J1388" s="10" t="n"/>
      <c r="K1388" s="10" t="inlineStr">
        <is>
          <t>"codPayment.addBke": "បន្ថែមបុងចំណាយ",</t>
        </is>
      </c>
      <c r="L1388" s="10" t="n"/>
      <c r="M1388" s="10" t="n"/>
      <c r="N1388" s="10" t="n"/>
      <c r="O1388" s="10" t="n"/>
      <c r="P1388" s="10" t="n"/>
      <c r="Q1388" s="10" t="n"/>
      <c r="R1388" s="10" t="n"/>
      <c r="S1388" s="10" t="n"/>
      <c r="T1388" s="10" t="n"/>
      <c r="U1388" s="10" t="n"/>
      <c r="V1388" s="10" t="n"/>
      <c r="W1388" s="10" t="n"/>
      <c r="X1388" s="10" t="n"/>
      <c r="Y1388" s="10" t="n"/>
      <c r="Z1388" s="10" t="n"/>
    </row>
    <row r="1389">
      <c r="A1389" s="27" t="inlineStr">
        <is>
          <t>codPayment.addBkeToUNC</t>
        </is>
      </c>
      <c r="B1389" s="27" t="inlineStr">
        <is>
          <t>Thêm phiếu chi vào UNC</t>
        </is>
      </c>
      <c r="C1389" s="27" t="inlineStr">
        <is>
          <t>Add list to payment order</t>
        </is>
      </c>
      <c r="D1389" s="102" t="n"/>
      <c r="E1389" s="27" t="inlineStr">
        <is>
          <t>បន្ថែមបុងចំណាយចូល UNC</t>
        </is>
      </c>
      <c r="F1389" s="10" t="n"/>
      <c r="G1389" s="10" t="inlineStr">
        <is>
          <t>បន្ថែមបុងចំណាយចូល UNC</t>
        </is>
      </c>
      <c r="H1389" s="10" t="inlineStr">
        <is>
          <t>បន្ថែមបុងចំណាយចូល UNC</t>
        </is>
      </c>
      <c r="I1389" s="10" t="n"/>
      <c r="J1389" s="10" t="n"/>
      <c r="K1389" s="10" t="inlineStr">
        <is>
          <t>"codPayment.addBkeToUNC": "បន្ថែមបុងចំណាយចូល UNC",</t>
        </is>
      </c>
      <c r="L1389" s="10" t="n"/>
      <c r="M1389" s="10" t="n"/>
      <c r="N1389" s="10" t="n"/>
      <c r="O1389" s="10" t="n"/>
      <c r="P1389" s="10" t="n"/>
      <c r="Q1389" s="10" t="n"/>
      <c r="R1389" s="10" t="n"/>
      <c r="S1389" s="10" t="n"/>
      <c r="T1389" s="10" t="n"/>
      <c r="U1389" s="10" t="n"/>
      <c r="V1389" s="10" t="n"/>
      <c r="W1389" s="10" t="n"/>
      <c r="X1389" s="10" t="n"/>
      <c r="Y1389" s="10" t="n"/>
      <c r="Z1389" s="10" t="n"/>
    </row>
    <row r="1390">
      <c r="A1390" s="27" t="inlineStr">
        <is>
          <t>codPayment.confirmAddBkToUNC</t>
        </is>
      </c>
      <c r="B1390" s="27" t="inlineStr">
        <is>
          <t>Bạn có chắc muốn thêm bảng kê?</t>
        </is>
      </c>
      <c r="C1390" s="27" t="inlineStr">
        <is>
          <t>Are you sure you to add to payment order?</t>
        </is>
      </c>
      <c r="D1390" s="21" t="inlineStr">
        <is>
          <t>តើអ្នកពិតជាចង់បន្ថែមតារាងដែរទេ?</t>
        </is>
      </c>
      <c r="E1390" s="102" t="inlineStr">
        <is>
          <t>តើអ្នកពិតជាចង់បន្ថែមតារាងមែនទេ?</t>
        </is>
      </c>
      <c r="F1390" s="10" t="n"/>
      <c r="G1390" s="10" t="inlineStr">
        <is>
          <t>តើអ្នកពិតជាចង់បន្ថែមតារាងមែនទេ?</t>
        </is>
      </c>
      <c r="H1390" s="10" t="inlineStr">
        <is>
          <t>តើអ្នកពិតជាចង់បន្ថែមតារាងមែនទេ?</t>
        </is>
      </c>
      <c r="I1390" s="10" t="n"/>
      <c r="J1390" s="10" t="n"/>
      <c r="K1390" s="10" t="inlineStr">
        <is>
          <t>"codPayment.confirmAddBkToUNC": "តើអ្នកពិតជាចង់បន្ថែមតារាងមែនទេ?",</t>
        </is>
      </c>
      <c r="L1390" s="10" t="n"/>
      <c r="M1390" s="10" t="n"/>
      <c r="N1390" s="10" t="n"/>
      <c r="O1390" s="10" t="n"/>
      <c r="P1390" s="10" t="n"/>
      <c r="Q1390" s="10" t="n"/>
      <c r="R1390" s="10" t="n"/>
      <c r="S1390" s="10" t="n"/>
      <c r="T1390" s="10" t="n"/>
      <c r="U1390" s="10" t="n"/>
      <c r="V1390" s="10" t="n"/>
      <c r="W1390" s="10" t="n"/>
      <c r="X1390" s="10" t="n"/>
      <c r="Y1390" s="10" t="n"/>
      <c r="Z1390" s="10" t="n"/>
    </row>
    <row r="1391">
      <c r="A1391" s="27" t="inlineStr">
        <is>
          <t>codPayment.successAddBkToUNC</t>
        </is>
      </c>
      <c r="B1391" s="27" t="inlineStr">
        <is>
          <t>Thêm bảng kê thành công</t>
        </is>
      </c>
      <c r="C1391" s="27" t="inlineStr">
        <is>
          <t>List added successfully</t>
        </is>
      </c>
      <c r="D1391" s="21" t="inlineStr">
        <is>
          <t>បន្ថែ្ថមតារាងបានជោគជ័យ</t>
        </is>
      </c>
      <c r="E1391" s="102" t="inlineStr">
        <is>
          <t>បន្ថែមតារាងបានជោគជ័យ</t>
        </is>
      </c>
      <c r="F1391" s="10" t="n"/>
      <c r="G1391" s="10" t="inlineStr">
        <is>
          <t>បន្ថែមតារាងបានជោគជ័យ</t>
        </is>
      </c>
      <c r="H1391" s="10" t="inlineStr">
        <is>
          <t>បន្ថែមតារាងបានជោគជ័យ</t>
        </is>
      </c>
      <c r="I1391" s="10" t="n"/>
      <c r="J1391" s="10" t="n"/>
      <c r="K1391" s="10" t="inlineStr">
        <is>
          <t>"codPayment.successAddBkToUNC": "បន្ថែមតារាងបានជោគជ័យ",</t>
        </is>
      </c>
      <c r="L1391" s="10" t="n"/>
      <c r="M1391" s="10" t="n"/>
      <c r="N1391" s="10" t="n"/>
      <c r="O1391" s="10" t="n"/>
      <c r="P1391" s="10" t="n"/>
      <c r="Q1391" s="10" t="n"/>
      <c r="R1391" s="10" t="n"/>
      <c r="S1391" s="10" t="n"/>
      <c r="T1391" s="10" t="n"/>
      <c r="U1391" s="10" t="n"/>
      <c r="V1391" s="10" t="n"/>
      <c r="W1391" s="10" t="n"/>
      <c r="X1391" s="10" t="n"/>
      <c r="Y1391" s="10" t="n"/>
      <c r="Z1391" s="10" t="n"/>
    </row>
    <row r="1392">
      <c r="A1392" s="27" t="inlineStr">
        <is>
          <t>codPayment.confirmConfirmUNC</t>
        </is>
      </c>
      <c r="B1392" s="27" t="inlineStr">
        <is>
          <t>Bạn có chắc chắn muốn duyệt UNC?</t>
        </is>
      </c>
      <c r="C1392" s="27" t="inlineStr">
        <is>
          <t>Are you sure you to lock Payment Order?</t>
        </is>
      </c>
      <c r="D1392" s="102" t="n"/>
      <c r="E1392" s="102" t="inlineStr">
        <is>
          <t>តើអ្នកពិតជាចង់អនុម័ត UNC មែនទេ?</t>
        </is>
      </c>
      <c r="F1392" s="10" t="n"/>
      <c r="G1392" s="10" t="inlineStr">
        <is>
          <t>តើអ្នកពិតជាចង់អនុម័ត UNC មែនទេ?</t>
        </is>
      </c>
      <c r="H1392" s="10" t="inlineStr">
        <is>
          <t>តើអ្នកពិតជាចង់អនុម័ត UNC មែនទេ?</t>
        </is>
      </c>
      <c r="I1392" s="10" t="n"/>
      <c r="J1392" s="10" t="n"/>
      <c r="K1392" s="10" t="inlineStr">
        <is>
          <t>"codPayment.confirmConfirmUNC": "តើអ្នកពិតជាចង់អនុម័ត UNC មែនទេ?",</t>
        </is>
      </c>
      <c r="L1392" s="10" t="n"/>
      <c r="M1392" s="10" t="n"/>
      <c r="N1392" s="10" t="n"/>
      <c r="O1392" s="10" t="n"/>
      <c r="P1392" s="10" t="n"/>
      <c r="Q1392" s="10" t="n"/>
      <c r="R1392" s="10" t="n"/>
      <c r="S1392" s="10" t="n"/>
      <c r="T1392" s="10" t="n"/>
      <c r="U1392" s="10" t="n"/>
      <c r="V1392" s="10" t="n"/>
      <c r="W1392" s="10" t="n"/>
      <c r="X1392" s="10" t="n"/>
      <c r="Y1392" s="10" t="n"/>
      <c r="Z1392" s="10" t="n"/>
    </row>
    <row r="1393">
      <c r="A1393" s="27" t="inlineStr">
        <is>
          <t>codPayment.confirmUncSuccess</t>
        </is>
      </c>
      <c r="B1393" s="27" t="inlineStr">
        <is>
          <t>Duyệt UNC thành công</t>
        </is>
      </c>
      <c r="C1393" s="27" t="inlineStr">
        <is>
          <t>Payment order locked successfully</t>
        </is>
      </c>
      <c r="D1393" s="102" t="n"/>
      <c r="E1393" s="102" t="inlineStr">
        <is>
          <t>អនុម័ត UNC បានជោគជ័យ</t>
        </is>
      </c>
      <c r="F1393" s="10" t="n"/>
      <c r="G1393" s="10" t="inlineStr">
        <is>
          <t>អនុម័ត UNC បានជោគជ័យ</t>
        </is>
      </c>
      <c r="H1393" s="10" t="inlineStr">
        <is>
          <t>អនុម័ត UNC បានជោគជ័យ</t>
        </is>
      </c>
      <c r="I1393" s="10" t="n"/>
      <c r="J1393" s="10" t="n"/>
      <c r="K1393" s="10" t="inlineStr">
        <is>
          <t>"codPayment.confirmUncSuccess": "អនុម័ត UNC បានជោគជ័យ",</t>
        </is>
      </c>
      <c r="L1393" s="10" t="n"/>
      <c r="M1393" s="10" t="n"/>
      <c r="N1393" s="10" t="n"/>
      <c r="O1393" s="10" t="n"/>
      <c r="P1393" s="10" t="n"/>
      <c r="Q1393" s="10" t="n"/>
      <c r="R1393" s="10" t="n"/>
      <c r="S1393" s="10" t="n"/>
      <c r="T1393" s="10" t="n"/>
      <c r="U1393" s="10" t="n"/>
      <c r="V1393" s="10" t="n"/>
      <c r="W1393" s="10" t="n"/>
      <c r="X1393" s="10" t="n"/>
      <c r="Y1393" s="10" t="n"/>
      <c r="Z1393" s="10" t="n"/>
    </row>
    <row r="1394">
      <c r="A1394" s="27" t="inlineStr">
        <is>
          <t>codPayment.titleUpdateStatusFail</t>
        </is>
      </c>
      <c r="B1394" s="27" t="inlineStr">
        <is>
          <t>Cập nhật trạng thái chi thất bại</t>
        </is>
      </c>
      <c r="C1394" s="27" t="inlineStr">
        <is>
          <t>Payment-failed status updated successfully</t>
        </is>
      </c>
      <c r="D1394" s="21" t="inlineStr">
        <is>
          <t>អាប់ដេតស្ថានភាពការចំណាយបរាជ័យ!</t>
        </is>
      </c>
      <c r="E1394" s="21" t="inlineStr">
        <is>
          <t>អាប់ដេតស្ថានភាពការចំណាយបរាជ័យ!</t>
        </is>
      </c>
      <c r="F1394" s="10" t="n"/>
      <c r="G1394" s="10" t="inlineStr">
        <is>
          <t>អាប់ដេតស្ថានភាពការចំណាយបរាជ័យ!</t>
        </is>
      </c>
      <c r="H1394" s="10" t="inlineStr">
        <is>
          <t>អាប់ដេតស្ថានភាពការចំណាយបរាជ័យ!</t>
        </is>
      </c>
      <c r="I1394" s="10" t="n"/>
      <c r="J1394" s="10" t="n"/>
      <c r="K1394" s="10" t="inlineStr">
        <is>
          <t>"codPayment.titleUpdateStatusFail": "អាប់ដេតស្ថានភាពការចំណាយបរាជ័យ!",</t>
        </is>
      </c>
      <c r="L1394" s="10" t="n"/>
      <c r="M1394" s="10" t="n"/>
      <c r="N1394" s="10" t="n"/>
      <c r="O1394" s="10" t="n"/>
      <c r="P1394" s="10" t="n"/>
      <c r="Q1394" s="10" t="n"/>
      <c r="R1394" s="10" t="n"/>
      <c r="S1394" s="10" t="n"/>
      <c r="T1394" s="10" t="n"/>
      <c r="U1394" s="10" t="n"/>
      <c r="V1394" s="10" t="n"/>
      <c r="W1394" s="10" t="n"/>
      <c r="X1394" s="10" t="n"/>
      <c r="Y1394" s="10" t="n"/>
      <c r="Z1394" s="10" t="n"/>
    </row>
    <row r="1395">
      <c r="A1395" s="27" t="inlineStr">
        <is>
          <t>codPayment.titleUpdateStatusSuccess</t>
        </is>
      </c>
      <c r="B1395" s="27" t="inlineStr">
        <is>
          <t>Cập nhật trạng thái chi thành công</t>
        </is>
      </c>
      <c r="C1395" s="27" t="inlineStr">
        <is>
          <t>Payment-succesful status updated successfully</t>
        </is>
      </c>
      <c r="D1395" s="21" t="inlineStr">
        <is>
          <t>អាប់ដេតស្ថានភាពចំណាយបានជោគជ័យ!</t>
        </is>
      </c>
      <c r="E1395" s="21" t="inlineStr">
        <is>
          <t>អាប់ដេតស្ថានភាពចំណាយបានជោគជ័យ!</t>
        </is>
      </c>
      <c r="F1395" s="10" t="n"/>
      <c r="G1395" s="10" t="inlineStr">
        <is>
          <t>អាប់ដេតស្ថានភាពចំណាយបានជោគជ័យ!</t>
        </is>
      </c>
      <c r="H1395" s="10" t="inlineStr">
        <is>
          <t>អាប់ដេតស្ថានភាពចំណាយបានជោគជ័យ!</t>
        </is>
      </c>
      <c r="I1395" s="10" t="n"/>
      <c r="J1395" s="10" t="n"/>
      <c r="K1395" s="10" t="inlineStr">
        <is>
          <t>"codPayment.titleUpdateStatusSuccess": "អាប់ដេតស្ថានភាពចំណាយបានជោគជ័យ!",</t>
        </is>
      </c>
      <c r="L1395" s="10" t="n"/>
      <c r="M1395" s="10" t="n"/>
      <c r="N1395" s="10" t="n"/>
      <c r="O1395" s="10" t="n"/>
      <c r="P1395" s="10" t="n"/>
      <c r="Q1395" s="10" t="n"/>
      <c r="R1395" s="10" t="n"/>
      <c r="S1395" s="10" t="n"/>
      <c r="T1395" s="10" t="n"/>
      <c r="U1395" s="10" t="n"/>
      <c r="V1395" s="10" t="n"/>
      <c r="W1395" s="10" t="n"/>
      <c r="X1395" s="10" t="n"/>
      <c r="Y1395" s="10" t="n"/>
      <c r="Z1395" s="10" t="n"/>
    </row>
    <row r="1396">
      <c r="A1396" s="27" t="inlineStr">
        <is>
          <t>codPayment.dateCashback</t>
        </is>
      </c>
      <c r="B1396" s="27" t="inlineStr">
        <is>
          <t>Ngày tiền về</t>
        </is>
      </c>
      <c r="C1396" s="27" t="inlineStr">
        <is>
          <t>Fund Receipt Date</t>
        </is>
      </c>
      <c r="D1396" s="21" t="inlineStr">
        <is>
          <t>ថ្ងៃប្រាក់ត្រលប់</t>
        </is>
      </c>
      <c r="E1396" s="21" t="inlineStr">
        <is>
          <t>ថ្ងៃប្រាក់ត្រលប់</t>
        </is>
      </c>
      <c r="F1396" s="10" t="n"/>
      <c r="G1396" s="10" t="inlineStr">
        <is>
          <t>ថ្ងៃប្រាក់ត្រលប់</t>
        </is>
      </c>
      <c r="H1396" s="10" t="inlineStr">
        <is>
          <t>ថ្ងៃប្រាក់ត្រលប់</t>
        </is>
      </c>
      <c r="I1396" s="10" t="n"/>
      <c r="J1396" s="10" t="n"/>
      <c r="K1396" s="10" t="inlineStr">
        <is>
          <t>"codPayment.dateCashback": "ថ្ងៃប្រាក់ត្រលប់",</t>
        </is>
      </c>
      <c r="L1396" s="10" t="n"/>
      <c r="M1396" s="10" t="n"/>
      <c r="N1396" s="10" t="n"/>
      <c r="O1396" s="10" t="n"/>
      <c r="P1396" s="10" t="n"/>
      <c r="Q1396" s="10" t="n"/>
      <c r="R1396" s="10" t="n"/>
      <c r="S1396" s="10" t="n"/>
      <c r="T1396" s="10" t="n"/>
      <c r="U1396" s="10" t="n"/>
      <c r="V1396" s="10" t="n"/>
      <c r="W1396" s="10" t="n"/>
      <c r="X1396" s="10" t="n"/>
      <c r="Y1396" s="10" t="n"/>
      <c r="Z1396" s="10" t="n"/>
    </row>
    <row r="1397">
      <c r="A1397" s="27" t="inlineStr">
        <is>
          <t>codPayment.dateAccounting</t>
        </is>
      </c>
      <c r="B1397" s="27" t="inlineStr">
        <is>
          <t>Ngày hạch toán</t>
        </is>
      </c>
      <c r="C1397" s="27" t="inlineStr">
        <is>
          <t>Posting Date</t>
        </is>
      </c>
      <c r="D1397" s="102" t="n"/>
      <c r="E1397" s="102" t="inlineStr">
        <is>
          <t>កាលបរិច្ឆេទកត់ត្រា</t>
        </is>
      </c>
      <c r="F1397" s="10" t="n"/>
      <c r="G1397" s="10" t="inlineStr">
        <is>
          <t>កាលបរិច្ឆេទកត់ត្រា</t>
        </is>
      </c>
      <c r="H1397" s="10" t="inlineStr">
        <is>
          <t>កាលបរិច្ឆេទកត់ត្រា</t>
        </is>
      </c>
      <c r="I1397" s="10" t="n"/>
      <c r="J1397" s="10" t="n"/>
      <c r="K1397" s="10" t="inlineStr">
        <is>
          <t>"codPayment.dateAccounting": "កាលបរិច្ឆេទកត់ត្រា",</t>
        </is>
      </c>
      <c r="L1397" s="10" t="n"/>
      <c r="M1397" s="10" t="n"/>
      <c r="N1397" s="10" t="n"/>
      <c r="O1397" s="10" t="n"/>
      <c r="P1397" s="10" t="n"/>
      <c r="Q1397" s="10" t="n"/>
      <c r="R1397" s="10" t="n"/>
      <c r="S1397" s="10" t="n"/>
      <c r="T1397" s="10" t="n"/>
      <c r="U1397" s="10" t="n"/>
      <c r="V1397" s="10" t="n"/>
      <c r="W1397" s="10" t="n"/>
      <c r="X1397" s="10" t="n"/>
      <c r="Y1397" s="10" t="n"/>
      <c r="Z1397" s="10" t="n"/>
    </row>
    <row r="1398">
      <c r="A1398" s="27" t="inlineStr">
        <is>
          <t>codPayment.confirmUpdateSuccess</t>
        </is>
      </c>
      <c r="B1398" s="27" t="inlineStr">
        <is>
          <t>Bạn chắc chắn muốn cập nhật chi thành công?</t>
        </is>
      </c>
      <c r="C1398" s="27" t="inlineStr">
        <is>
          <t>Are you sure you to update payment-succesfulstatus?</t>
        </is>
      </c>
      <c r="D1398" s="21" t="inlineStr">
        <is>
          <t>អ្នកពិតជាចង់អាប់ដេតការចំណាយលម្អិតមែនទេ?</t>
        </is>
      </c>
      <c r="E1398" s="102" t="inlineStr">
        <is>
          <t>តើអ្នកពិតជាចង់អាប់ដេតការចំណាយបានជោគជ័យមែនទេ?</t>
        </is>
      </c>
      <c r="F1398" s="10" t="n"/>
      <c r="G1398" s="10" t="inlineStr">
        <is>
          <t>តើអ្នកពិតជាចង់អាប់ដេតការចំណាយបានជោគជ័យមែនទេ?</t>
        </is>
      </c>
      <c r="H1398" s="10" t="inlineStr">
        <is>
          <t>តើអ្នកពិតជាចង់អាប់ដេតការចំណាយបានជោគជ័យមែនទេ?</t>
        </is>
      </c>
      <c r="I1398" s="10" t="n"/>
      <c r="J1398" s="10" t="n"/>
      <c r="K1398" s="10" t="inlineStr">
        <is>
          <t>"codPayment.confirmUpdateSuccess": "តើអ្នកពិតជាចង់អាប់ដេតការចំណាយបានជោគជ័យមែនទេ?",</t>
        </is>
      </c>
      <c r="L1398" s="10" t="n"/>
      <c r="M1398" s="10" t="n"/>
      <c r="N1398" s="10" t="n"/>
      <c r="O1398" s="10" t="n"/>
      <c r="P1398" s="10" t="n"/>
      <c r="Q1398" s="10" t="n"/>
      <c r="R1398" s="10" t="n"/>
      <c r="S1398" s="10" t="n"/>
      <c r="T1398" s="10" t="n"/>
      <c r="U1398" s="10" t="n"/>
      <c r="V1398" s="10" t="n"/>
      <c r="W1398" s="10" t="n"/>
      <c r="X1398" s="10" t="n"/>
      <c r="Y1398" s="10" t="n"/>
      <c r="Z1398" s="10" t="n"/>
    </row>
    <row r="1399">
      <c r="A1399" s="27" t="inlineStr">
        <is>
          <t>codPayment.confirmUpdateFail</t>
        </is>
      </c>
      <c r="B1399" s="27" t="inlineStr">
        <is>
          <t>Bạn chắc chắn muốn cập nhật chi thất bại?</t>
        </is>
      </c>
      <c r="C1399" s="27" t="inlineStr">
        <is>
          <t>Are you sure you to update payment-failed status?</t>
        </is>
      </c>
      <c r="D1399" s="21" t="inlineStr">
        <is>
          <t>អ្នកពិតជាចង់អាប់ដេតការចំណាយបរាជ័យមែនទេ?</t>
        </is>
      </c>
      <c r="E1399" s="102" t="inlineStr">
        <is>
          <t>តើអ្នកពិតជាចង់អាប់ដេតការចំណាយមិនបានជោគជ័យមែនទេ?</t>
        </is>
      </c>
      <c r="F1399" s="10" t="n"/>
      <c r="G1399" s="10" t="inlineStr">
        <is>
          <t>តើអ្នកពិតជាចង់អាប់ដេតការចំណាយមិនបានជោគជ័យមែនទេ?</t>
        </is>
      </c>
      <c r="H1399" s="10" t="inlineStr">
        <is>
          <t>តើអ្នកពិតជាចង់អាប់ដេតការចំណាយមិនបានជោគជ័យមែនទេ?</t>
        </is>
      </c>
      <c r="I1399" s="10" t="n"/>
      <c r="J1399" s="10" t="n"/>
      <c r="K1399" s="10" t="inlineStr">
        <is>
          <t>"codPayment.confirmUpdateFail": "តើអ្នកពិតជាចង់អាប់ដេតការចំណាយមិនបានជោគជ័យមែនទេ?",</t>
        </is>
      </c>
      <c r="L1399" s="10" t="n"/>
      <c r="M1399" s="10" t="n"/>
      <c r="N1399" s="10" t="n"/>
      <c r="O1399" s="10" t="n"/>
      <c r="P1399" s="10" t="n"/>
      <c r="Q1399" s="10" t="n"/>
      <c r="R1399" s="10" t="n"/>
      <c r="S1399" s="10" t="n"/>
      <c r="T1399" s="10" t="n"/>
      <c r="U1399" s="10" t="n"/>
      <c r="V1399" s="10" t="n"/>
      <c r="W1399" s="10" t="n"/>
      <c r="X1399" s="10" t="n"/>
      <c r="Y1399" s="10" t="n"/>
      <c r="Z1399" s="10" t="n"/>
    </row>
    <row r="1400">
      <c r="A1400" s="27" t="inlineStr">
        <is>
          <t>codPayment.updateSuccess</t>
        </is>
      </c>
      <c r="B1400" s="27" t="inlineStr">
        <is>
          <t>Cập nhật thành công</t>
        </is>
      </c>
      <c r="C1400" s="27" t="inlineStr">
        <is>
          <t>Updated successfully</t>
        </is>
      </c>
      <c r="D1400" s="21" t="inlineStr">
        <is>
          <t>អាប់ដេតបានជោគជ័យ</t>
        </is>
      </c>
      <c r="E1400" s="21" t="inlineStr">
        <is>
          <t>អាប់ដេតបានជោគជ័យ</t>
        </is>
      </c>
      <c r="F1400" s="10" t="n"/>
      <c r="G1400" s="10" t="inlineStr">
        <is>
          <t>អាប់ដេតបានជោគជ័យ</t>
        </is>
      </c>
      <c r="H1400" s="10" t="inlineStr">
        <is>
          <t>អាប់ដេតបានជោគជ័យ</t>
        </is>
      </c>
      <c r="I1400" s="10" t="n"/>
      <c r="J1400" s="10" t="n"/>
      <c r="K1400" s="10" t="inlineStr">
        <is>
          <t>"codPayment.updateSuccess": "អាប់ដេតបានជោគជ័យ",</t>
        </is>
      </c>
      <c r="L1400" s="10" t="n"/>
      <c r="M1400" s="10" t="n"/>
      <c r="N1400" s="10" t="n"/>
      <c r="O1400" s="10" t="n"/>
      <c r="P1400" s="10" t="n"/>
      <c r="Q1400" s="10" t="n"/>
      <c r="R1400" s="10" t="n"/>
      <c r="S1400" s="10" t="n"/>
      <c r="T1400" s="10" t="n"/>
      <c r="U1400" s="10" t="n"/>
      <c r="V1400" s="10" t="n"/>
      <c r="W1400" s="10" t="n"/>
      <c r="X1400" s="10" t="n"/>
      <c r="Y1400" s="10" t="n"/>
      <c r="Z1400" s="10" t="n"/>
    </row>
    <row r="1401">
      <c r="A1401" s="27" t="inlineStr">
        <is>
          <t>codPayment.detailCustomer</t>
        </is>
      </c>
      <c r="B1401" s="27" t="inlineStr">
        <is>
          <t>Chi tiết khách hàng</t>
        </is>
      </c>
      <c r="C1401" s="27" t="inlineStr">
        <is>
          <t>Customer details</t>
        </is>
      </c>
      <c r="D1401" s="21" t="inlineStr">
        <is>
          <t>លម្អិតពីអតិថិជន</t>
        </is>
      </c>
      <c r="E1401" s="21" t="inlineStr">
        <is>
          <t>លម្អិតពីអតិថិជន</t>
        </is>
      </c>
      <c r="F1401" s="10" t="n"/>
      <c r="G1401" s="10" t="inlineStr">
        <is>
          <t>លម្អិតពីអតិថិជន</t>
        </is>
      </c>
      <c r="H1401" s="10" t="inlineStr">
        <is>
          <t>លម្អិតពីអតិថិជន</t>
        </is>
      </c>
      <c r="I1401" s="10" t="n"/>
      <c r="J1401" s="10" t="n"/>
      <c r="K1401" s="10" t="inlineStr">
        <is>
          <t>"codPayment.detailCustomer": "លម្អិតពីអតិថិជន",</t>
        </is>
      </c>
      <c r="L1401" s="10" t="n"/>
      <c r="M1401" s="10" t="n"/>
      <c r="N1401" s="10" t="n"/>
      <c r="O1401" s="10" t="n"/>
      <c r="P1401" s="10" t="n"/>
      <c r="Q1401" s="10" t="n"/>
      <c r="R1401" s="10" t="n"/>
      <c r="S1401" s="10" t="n"/>
      <c r="T1401" s="10" t="n"/>
      <c r="U1401" s="10" t="n"/>
      <c r="V1401" s="10" t="n"/>
      <c r="W1401" s="10" t="n"/>
      <c r="X1401" s="10" t="n"/>
      <c r="Y1401" s="10" t="n"/>
      <c r="Z1401" s="10" t="n"/>
    </row>
    <row r="1402">
      <c r="A1402" s="27" t="inlineStr">
        <is>
          <t>codPayment.noFileSp</t>
        </is>
      </c>
      <c r="B1402" s="27" t="inlineStr">
        <is>
          <t>Tệp tin không được hỗ trợ</t>
        </is>
      </c>
      <c r="C1402" s="27" t="inlineStr">
        <is>
          <t>This file format is not supported</t>
        </is>
      </c>
      <c r="D1402" s="102" t="n"/>
      <c r="E1402" s="102" t="inlineStr">
        <is>
          <t>ឯកសារមិនត្រូវបានគាំទ្រ</t>
        </is>
      </c>
      <c r="F1402" s="10" t="n"/>
      <c r="G1402" s="10" t="inlineStr">
        <is>
          <t>ឯកសារមិនត្រូវបានគាំទ្រ</t>
        </is>
      </c>
      <c r="H1402" s="10" t="inlineStr">
        <is>
          <t>ឯកសារមិនត្រូវបានគាំទ្រ</t>
        </is>
      </c>
      <c r="I1402" s="10" t="n"/>
      <c r="J1402" s="10" t="n"/>
      <c r="K1402" s="10" t="inlineStr">
        <is>
          <t>"codPayment.noFileSp": "ឯកសារមិនត្រូវបានគាំទ្រ",</t>
        </is>
      </c>
      <c r="L1402" s="10" t="n"/>
      <c r="M1402" s="10" t="n"/>
      <c r="N1402" s="10" t="n"/>
      <c r="O1402" s="10" t="n"/>
      <c r="P1402" s="10" t="n"/>
      <c r="Q1402" s="10" t="n"/>
      <c r="R1402" s="10" t="n"/>
      <c r="S1402" s="10" t="n"/>
      <c r="T1402" s="10" t="n"/>
      <c r="U1402" s="10" t="n"/>
      <c r="V1402" s="10" t="n"/>
      <c r="W1402" s="10" t="n"/>
      <c r="X1402" s="10" t="n"/>
      <c r="Y1402" s="10" t="n"/>
      <c r="Z1402" s="10" t="n"/>
    </row>
    <row r="1403">
      <c r="A1403" s="27" t="inlineStr">
        <is>
          <t>codPayment.maxFile</t>
        </is>
      </c>
      <c r="B1403" s="27" t="inlineStr">
        <is>
          <t>Bạn chỉ có thể tải lên tối đa {{count}} tệp</t>
        </is>
      </c>
      <c r="C1403" s="27" t="inlineStr">
        <is>
          <t>You can upload a maximum of {{count}} file</t>
        </is>
      </c>
      <c r="D1403" s="95" t="inlineStr">
        <is>
          <t>អ្នកអាចផ្ទុកឡើងឯកសារបានត្រឹមតែចំនួនអតិបរមា {{count}} ប៉ុណ្ណោះ។</t>
        </is>
      </c>
      <c r="E1403" s="90" t="inlineStr">
        <is>
          <t>អ្នកអាចផ្ទុកឯកសារឡើងបានអតិបរមា {{count}} ឯកសារ</t>
        </is>
      </c>
      <c r="F1403" s="10" t="n"/>
      <c r="G1403" s="10" t="inlineStr">
        <is>
          <t>អ្នកអាចផ្ទុកឯកសារឡើងបានអតិបរមា {{count}} ឯកសារ</t>
        </is>
      </c>
      <c r="H1403" s="10" t="inlineStr">
        <is>
          <t>អ្នកអាចផ្ទុកឯកសារឡើងបានអតិបរមា {{count}} ឯកសារ</t>
        </is>
      </c>
      <c r="I1403" s="10" t="n"/>
      <c r="J1403" s="10" t="n"/>
      <c r="K1403" s="10" t="inlineStr">
        <is>
          <t>"codPayment.maxFile": "អ្នកអាចផ្ទុកឯកសារឡើងបានអតិបរមា {{count}} ឯកសារ",</t>
        </is>
      </c>
      <c r="L1403" s="10" t="n"/>
      <c r="M1403" s="10" t="n"/>
      <c r="N1403" s="10" t="n"/>
      <c r="O1403" s="10" t="n"/>
      <c r="P1403" s="10" t="n"/>
      <c r="Q1403" s="10" t="n"/>
      <c r="R1403" s="10" t="n"/>
      <c r="S1403" s="10" t="n"/>
      <c r="T1403" s="10" t="n"/>
      <c r="U1403" s="10" t="n"/>
      <c r="V1403" s="10" t="n"/>
      <c r="W1403" s="10" t="n"/>
      <c r="X1403" s="10" t="n"/>
      <c r="Y1403" s="10" t="n"/>
      <c r="Z1403" s="10" t="n"/>
    </row>
    <row r="1404">
      <c r="A1404" s="27" t="inlineStr">
        <is>
          <t>codPayment.exitsFileChoose</t>
        </is>
      </c>
      <c r="B1404" s="27" t="inlineStr">
        <is>
          <t>Tệp tin đã được chọn</t>
        </is>
      </c>
      <c r="C1404" s="27" t="inlineStr">
        <is>
          <t>This file has been selected</t>
        </is>
      </c>
      <c r="D1404" s="102" t="n"/>
      <c r="E1404" s="90" t="inlineStr">
        <is>
          <t>ឯកសារត្រូវបានជ្រើសរើសរួចហើយ</t>
        </is>
      </c>
      <c r="F1404" s="10" t="n"/>
      <c r="G1404" s="10" t="inlineStr">
        <is>
          <t>ឯកសារត្រូវបានជ្រើសរើសរួចហើយ</t>
        </is>
      </c>
      <c r="H1404" s="10" t="inlineStr">
        <is>
          <t>ឯកសារត្រូវបានជ្រើសរើសរួចហើយ</t>
        </is>
      </c>
      <c r="I1404" s="10" t="n"/>
      <c r="J1404" s="10" t="n"/>
      <c r="K1404" s="10" t="inlineStr">
        <is>
          <t>"codPayment.exitsFileChoose": "ឯកសារត្រូវបានជ្រើសរើសរួចហើយ",</t>
        </is>
      </c>
      <c r="L1404" s="10" t="n"/>
      <c r="M1404" s="10" t="n"/>
      <c r="N1404" s="10" t="n"/>
      <c r="O1404" s="10" t="n"/>
      <c r="P1404" s="10" t="n"/>
      <c r="Q1404" s="10" t="n"/>
      <c r="R1404" s="10" t="n"/>
      <c r="S1404" s="10" t="n"/>
      <c r="T1404" s="10" t="n"/>
      <c r="U1404" s="10" t="n"/>
      <c r="V1404" s="10" t="n"/>
      <c r="W1404" s="10" t="n"/>
      <c r="X1404" s="10" t="n"/>
      <c r="Y1404" s="10" t="n"/>
      <c r="Z1404" s="10" t="n"/>
    </row>
    <row r="1405">
      <c r="A1405" s="27" t="inlineStr">
        <is>
          <t>codPayment.maxSizeFile</t>
        </is>
      </c>
      <c r="B1405" s="27" t="inlineStr">
        <is>
          <t>Tệp tin không được quá {{count}}MB</t>
        </is>
      </c>
      <c r="C1405" s="27" t="inlineStr">
        <is>
          <t>Maximum file size: {{count}}MB</t>
        </is>
      </c>
      <c r="D1405" s="102" t="n"/>
      <c r="E1405" s="99" t="inlineStr">
        <is>
          <t>ឯកសារមិនអាចលើស {{count}}MB បាន</t>
        </is>
      </c>
      <c r="F1405" s="10" t="n"/>
      <c r="G1405" s="10" t="inlineStr">
        <is>
          <t>ឯកសារមិនអាចលើស {{count}}MB បាន</t>
        </is>
      </c>
      <c r="H1405" s="10" t="inlineStr">
        <is>
          <t>ឯកសារមិនអាចលើស {{count}}MB បាន</t>
        </is>
      </c>
      <c r="I1405" s="10" t="n"/>
      <c r="J1405" s="10" t="n"/>
      <c r="K1405" s="10" t="inlineStr">
        <is>
          <t>"codPayment.maxSizeFile": "ឯកសារមិនអាចលើស {{count}}MB បាន",</t>
        </is>
      </c>
      <c r="L1405" s="10" t="n"/>
      <c r="M1405" s="10" t="n"/>
      <c r="N1405" s="10" t="n"/>
      <c r="O1405" s="10" t="n"/>
      <c r="P1405" s="10" t="n"/>
      <c r="Q1405" s="10" t="n"/>
      <c r="R1405" s="10" t="n"/>
      <c r="S1405" s="10" t="n"/>
      <c r="T1405" s="10" t="n"/>
      <c r="U1405" s="10" t="n"/>
      <c r="V1405" s="10" t="n"/>
      <c r="W1405" s="10" t="n"/>
      <c r="X1405" s="10" t="n"/>
      <c r="Y1405" s="10" t="n"/>
      <c r="Z1405" s="10" t="n"/>
    </row>
    <row r="1406">
      <c r="A1406" s="27" t="inlineStr">
        <is>
          <t>codPayment.totalSizeFile</t>
        </is>
      </c>
      <c r="B1406" s="27" t="inlineStr">
        <is>
          <t>Tổng dung lượng file tối đa {{count}}MB</t>
        </is>
      </c>
      <c r="C1406" s="27" t="inlineStr">
        <is>
          <t>Maximum total file size: {{count}}MB</t>
        </is>
      </c>
      <c r="D1406" s="102" t="n"/>
      <c r="E1406" s="99" t="inlineStr">
        <is>
          <t>ទំហំសរុបអតិបរមា {{count}}MB</t>
        </is>
      </c>
      <c r="F1406" s="10" t="n"/>
      <c r="G1406" s="10" t="inlineStr">
        <is>
          <t>ទំហំសរុបអតិបរមា {{count}}MB</t>
        </is>
      </c>
      <c r="H1406" s="10" t="inlineStr">
        <is>
          <t>ទំហំសរុបអតិបរមា {{count}}MB</t>
        </is>
      </c>
      <c r="I1406" s="10" t="n"/>
      <c r="J1406" s="10" t="n"/>
      <c r="K1406" s="10" t="inlineStr">
        <is>
          <t>"codPayment.totalSizeFile": "ទំហំសរុបអតិបរមា {{count}}MB",</t>
        </is>
      </c>
      <c r="L1406" s="10" t="n"/>
      <c r="M1406" s="10" t="n"/>
      <c r="N1406" s="10" t="n"/>
      <c r="O1406" s="10" t="n"/>
      <c r="P1406" s="10" t="n"/>
      <c r="Q1406" s="10" t="n"/>
      <c r="R1406" s="10" t="n"/>
      <c r="S1406" s="10" t="n"/>
      <c r="T1406" s="10" t="n"/>
      <c r="U1406" s="10" t="n"/>
      <c r="V1406" s="10" t="n"/>
      <c r="W1406" s="10" t="n"/>
      <c r="X1406" s="10" t="n"/>
      <c r="Y1406" s="10" t="n"/>
      <c r="Z1406" s="10" t="n"/>
    </row>
    <row r="1407">
      <c r="A1407" s="27" t="inlineStr">
        <is>
          <t>codPayment.confirmUpdateCustomer</t>
        </is>
      </c>
      <c r="B1407" s="27" t="inlineStr">
        <is>
          <t>Bạn có chắc chắn cập nhật thông tin khách hàng không?</t>
        </is>
      </c>
      <c r="C1407" s="27" t="inlineStr">
        <is>
          <t>Are you sure you to update customer information?</t>
        </is>
      </c>
      <c r="D1407" s="21" t="inlineStr">
        <is>
          <t>តើអ្នកពិតជាចង់ធ្វើបច្ចុប្បន្នភាពព័ត៌មានអតិថិជនមែនទេ?</t>
        </is>
      </c>
      <c r="E1407" s="99" t="inlineStr">
        <is>
          <t>តើអ្នកពិតជាចង់អាប់ដេតព័ត៌មានអតិថិជនមែនទេ?</t>
        </is>
      </c>
      <c r="F1407" s="10" t="n"/>
      <c r="G1407" s="10" t="inlineStr">
        <is>
          <t>តើអ្នកពិតជាចង់អាប់ដេតព័ត៌មានអតិថិជនមែនទេ?</t>
        </is>
      </c>
      <c r="H1407" s="10" t="inlineStr">
        <is>
          <t>តើអ្នកពិតជាចង់អាប់ដេតព័ត៌មានអតិថិជនមែនទេ?</t>
        </is>
      </c>
      <c r="I1407" s="10" t="n"/>
      <c r="J1407" s="10" t="n"/>
      <c r="K1407" s="10" t="inlineStr">
        <is>
          <t>"codPayment.confirmUpdateCustomer": "តើអ្នកពិតជាចង់អាប់ដេតព័ត៌មានអតិថិជនមែនទេ?",</t>
        </is>
      </c>
      <c r="L1407" s="10" t="n"/>
      <c r="M1407" s="10" t="n"/>
      <c r="N1407" s="10" t="n"/>
      <c r="O1407" s="10" t="n"/>
      <c r="P1407" s="10" t="n"/>
      <c r="Q1407" s="10" t="n"/>
      <c r="R1407" s="10" t="n"/>
      <c r="S1407" s="10" t="n"/>
      <c r="T1407" s="10" t="n"/>
      <c r="U1407" s="10" t="n"/>
      <c r="V1407" s="10" t="n"/>
      <c r="W1407" s="10" t="n"/>
      <c r="X1407" s="10" t="n"/>
      <c r="Y1407" s="10" t="n"/>
      <c r="Z1407" s="10" t="n"/>
    </row>
    <row r="1408">
      <c r="A1408" s="27" t="inlineStr">
        <is>
          <t>codPayment.infoContrac</t>
        </is>
      </c>
      <c r="B1408" s="27" t="inlineStr">
        <is>
          <t>Thông tin hợp đồng</t>
        </is>
      </c>
      <c r="C1408" s="27" t="inlineStr">
        <is>
          <t>Contract Information</t>
        </is>
      </c>
      <c r="D1408" s="21" t="inlineStr">
        <is>
          <t>ព័ត៌មានកិច្ចសន្យា</t>
        </is>
      </c>
      <c r="E1408" s="102" t="inlineStr">
        <is>
          <t>ព័ត៌មានកិច្ចសន្យា</t>
        </is>
      </c>
      <c r="F1408" s="10" t="n"/>
      <c r="G1408" s="10" t="inlineStr">
        <is>
          <t>ព័ត៌មានកិច្ចសន្យា</t>
        </is>
      </c>
      <c r="H1408" s="10" t="inlineStr">
        <is>
          <t>ព័ត៌មានកិច្ចសន្យា</t>
        </is>
      </c>
      <c r="I1408" s="10" t="n"/>
      <c r="J1408" s="10" t="n"/>
      <c r="K1408" s="10" t="inlineStr">
        <is>
          <t>"codPayment.infoContrac": "ព័ត៌មានកិច្ចសន្យា",</t>
        </is>
      </c>
      <c r="L1408" s="10" t="n"/>
      <c r="M1408" s="10" t="n"/>
      <c r="N1408" s="10" t="n"/>
      <c r="O1408" s="10" t="n"/>
      <c r="P1408" s="10" t="n"/>
      <c r="Q1408" s="10" t="n"/>
      <c r="R1408" s="10" t="n"/>
      <c r="S1408" s="10" t="n"/>
      <c r="T1408" s="10" t="n"/>
      <c r="U1408" s="10" t="n"/>
      <c r="V1408" s="10" t="n"/>
      <c r="W1408" s="10" t="n"/>
      <c r="X1408" s="10" t="n"/>
      <c r="Y1408" s="10" t="n"/>
      <c r="Z1408" s="10" t="n"/>
    </row>
    <row r="1409">
      <c r="A1409" s="27" t="inlineStr">
        <is>
          <t>codPayment.contractNum</t>
        </is>
      </c>
      <c r="B1409" s="27" t="inlineStr">
        <is>
          <t>Số hợp đồng</t>
        </is>
      </c>
      <c r="C1409" s="27" t="inlineStr">
        <is>
          <t>Contract Number</t>
        </is>
      </c>
      <c r="D1409" s="21" t="inlineStr">
        <is>
          <t>លេខកិច្ចសន្យា</t>
        </is>
      </c>
      <c r="E1409" s="21" t="inlineStr">
        <is>
          <t>លេខកិច្ចសន្យា</t>
        </is>
      </c>
      <c r="F1409" s="10" t="n"/>
      <c r="G1409" s="10" t="inlineStr">
        <is>
          <t>លេខកិច្ចសន្យា</t>
        </is>
      </c>
      <c r="H1409" s="10" t="inlineStr">
        <is>
          <t>លេខកិច្ចសន្យា</t>
        </is>
      </c>
      <c r="I1409" s="10" t="n"/>
      <c r="J1409" s="10" t="n"/>
      <c r="K1409" s="10" t="inlineStr">
        <is>
          <t>"codPayment.contractNum": "លេខកិច្ចសន្យា",</t>
        </is>
      </c>
      <c r="L1409" s="10" t="n"/>
      <c r="M1409" s="10" t="n"/>
      <c r="N1409" s="10" t="n"/>
      <c r="O1409" s="10" t="n"/>
      <c r="P1409" s="10" t="n"/>
      <c r="Q1409" s="10" t="n"/>
      <c r="R1409" s="10" t="n"/>
      <c r="S1409" s="10" t="n"/>
      <c r="T1409" s="10" t="n"/>
      <c r="U1409" s="10" t="n"/>
      <c r="V1409" s="10" t="n"/>
      <c r="W1409" s="10" t="n"/>
      <c r="X1409" s="10" t="n"/>
      <c r="Y1409" s="10" t="n"/>
      <c r="Z1409" s="10" t="n"/>
    </row>
    <row r="1410">
      <c r="A1410" s="27" t="inlineStr">
        <is>
          <t>codPayment.enterPleaseContractNumber</t>
        </is>
      </c>
      <c r="B1410" s="27" t="inlineStr">
        <is>
          <t>Vui lòng nhập số hợp đồng</t>
        </is>
      </c>
      <c r="C1410" s="27" t="inlineStr">
        <is>
          <t>Contract Number is required</t>
        </is>
      </c>
      <c r="D1410" s="21" t="inlineStr">
        <is>
          <t>សូមបញ្ចូលលេខកិច្ចសន្យា</t>
        </is>
      </c>
      <c r="E1410" s="21" t="inlineStr">
        <is>
          <t>សូមបញ្ចូលលេខកិច្ចសន្យា</t>
        </is>
      </c>
      <c r="F1410" s="10" t="n"/>
      <c r="G1410" s="10" t="inlineStr">
        <is>
          <t>សូមបញ្ចូលលេខកិច្ចសន្យា</t>
        </is>
      </c>
      <c r="H1410" s="10" t="inlineStr">
        <is>
          <t>សូមបញ្ចូលលេខកិច្ចសន្យា</t>
        </is>
      </c>
      <c r="I1410" s="10" t="n"/>
      <c r="J1410" s="10" t="n"/>
      <c r="K1410" s="10" t="inlineStr">
        <is>
          <t>"codPayment.enterPleaseContractNumber": "សូមបញ្ចូលលេខកិច្ចសន្យា",</t>
        </is>
      </c>
      <c r="L1410" s="10" t="n"/>
      <c r="M1410" s="10" t="n"/>
      <c r="N1410" s="10" t="n"/>
      <c r="O1410" s="10" t="n"/>
      <c r="P1410" s="10" t="n"/>
      <c r="Q1410" s="10" t="n"/>
      <c r="R1410" s="10" t="n"/>
      <c r="S1410" s="10" t="n"/>
      <c r="T1410" s="10" t="n"/>
      <c r="U1410" s="10" t="n"/>
      <c r="V1410" s="10" t="n"/>
      <c r="W1410" s="10" t="n"/>
      <c r="X1410" s="10" t="n"/>
      <c r="Y1410" s="10" t="n"/>
      <c r="Z1410" s="10" t="n"/>
    </row>
    <row r="1411">
      <c r="A1411" s="27" t="inlineStr">
        <is>
          <t>codPayment.enterContractNumber</t>
        </is>
      </c>
      <c r="B1411" s="27" t="inlineStr">
        <is>
          <t>Nhập số hợp đồng</t>
        </is>
      </c>
      <c r="C1411" s="27" t="inlineStr">
        <is>
          <t>Enter Contract Number</t>
        </is>
      </c>
      <c r="D1411" s="21" t="inlineStr">
        <is>
          <t>បញ្ចូលលេខកូដកិច្ចសន្យា</t>
        </is>
      </c>
      <c r="E1411" s="21" t="inlineStr">
        <is>
          <t>បញ្ចូលលេខកូដកិច្ចសន្យា</t>
        </is>
      </c>
      <c r="F1411" s="10" t="n"/>
      <c r="G1411" s="10" t="inlineStr">
        <is>
          <t>បញ្ចូលលេខកូដកិច្ចសន្យា</t>
        </is>
      </c>
      <c r="H1411" s="10" t="inlineStr">
        <is>
          <t>បញ្ចូលលេខកូដកិច្ចសន្យា</t>
        </is>
      </c>
      <c r="I1411" s="10" t="n"/>
      <c r="J1411" s="10" t="n"/>
      <c r="K1411" s="10" t="inlineStr">
        <is>
          <t>"codPayment.enterContractNumber": "បញ្ចូលលេខកូដកិច្ចសន្យា",</t>
        </is>
      </c>
      <c r="L1411" s="10" t="n"/>
      <c r="M1411" s="10" t="n"/>
      <c r="N1411" s="10" t="n"/>
      <c r="O1411" s="10" t="n"/>
      <c r="P1411" s="10" t="n"/>
      <c r="Q1411" s="10" t="n"/>
      <c r="R1411" s="10" t="n"/>
      <c r="S1411" s="10" t="n"/>
      <c r="T1411" s="10" t="n"/>
      <c r="U1411" s="10" t="n"/>
      <c r="V1411" s="10" t="n"/>
      <c r="W1411" s="10" t="n"/>
      <c r="X1411" s="10" t="n"/>
      <c r="Y1411" s="10" t="n"/>
      <c r="Z1411" s="10" t="n"/>
    </row>
    <row r="1412">
      <c r="A1412" s="27" t="inlineStr">
        <is>
          <t>codPayment.del</t>
        </is>
      </c>
      <c r="B1412" s="27" t="inlineStr">
        <is>
          <t>Xóa</t>
        </is>
      </c>
      <c r="C1412" s="27" t="inlineStr">
        <is>
          <t>Delete</t>
        </is>
      </c>
      <c r="D1412" s="21" t="inlineStr">
        <is>
          <t>លុបចោល</t>
        </is>
      </c>
      <c r="E1412" s="21" t="inlineStr">
        <is>
          <t>លុបចោល</t>
        </is>
      </c>
      <c r="F1412" s="10" t="n"/>
      <c r="G1412" s="10" t="inlineStr">
        <is>
          <t>លុប</t>
        </is>
      </c>
      <c r="H1412" s="10" t="inlineStr">
        <is>
          <t>លុប</t>
        </is>
      </c>
      <c r="I1412" s="10" t="n"/>
      <c r="J1412" s="10" t="n"/>
      <c r="K1412" s="10" t="inlineStr">
        <is>
          <t>"codPayment.del": "លុប",</t>
        </is>
      </c>
      <c r="L1412" s="10" t="n"/>
      <c r="M1412" s="10" t="n"/>
      <c r="N1412" s="10" t="n"/>
      <c r="O1412" s="10" t="n"/>
      <c r="P1412" s="10" t="n"/>
      <c r="Q1412" s="10" t="n"/>
      <c r="R1412" s="10" t="n"/>
      <c r="S1412" s="10" t="n"/>
      <c r="T1412" s="10" t="n"/>
      <c r="U1412" s="10" t="n"/>
      <c r="V1412" s="10" t="n"/>
      <c r="W1412" s="10" t="n"/>
      <c r="X1412" s="10" t="n"/>
      <c r="Y1412" s="10" t="n"/>
      <c r="Z1412" s="10" t="n"/>
    </row>
    <row r="1413">
      <c r="A1413" s="27" t="inlineStr">
        <is>
          <t>codPayment.msgMaxSizeFile</t>
        </is>
      </c>
      <c r="B1413" s="27" t="inlineStr">
        <is>
          <t>Bạn chỉ có thể tải tối đa {{file}} files ({{size}}MB)</t>
        </is>
      </c>
      <c r="C1413" s="27" t="inlineStr">
        <is>
          <t>You can upload a maximum of {{file}} files ({{size}}MB)</t>
        </is>
      </c>
      <c r="D1413" s="21" t="inlineStr">
        <is>
          <t>អ្នកអាចផ្ទុកឡើងឯកសារបានត្រឹមតែចំនួនអតិបរមា {{file}} ({{size}}MB) ប៉ុណ្ណោះ។</t>
        </is>
      </c>
      <c r="E1413" s="95" t="inlineStr">
        <is>
          <t>អ្នកអាចផ្ទុកឡើងឯកសារបានត្រឹមតែចំនួនអតិបរមា {{file}} ({{size}}MB) ប៉ុណ្ណោះ។</t>
        </is>
      </c>
      <c r="F1413" s="10" t="n"/>
      <c r="G1413" s="10" t="inlineStr">
        <is>
          <t>អ្នកអាចផ្ទុកឡើងឯកសារបានត្រឹមតែចំនួនអតិបរមា {{file}} ({{size}}MB) ប៉ុណ្ណោះ។</t>
        </is>
      </c>
      <c r="H1413" s="10" t="inlineStr">
        <is>
          <t>អ្នកអាចផ្ទុកឡើងឯកសារបានត្រឹមតែចំនួនអតិបរមា {{file}} ({{size}}MB) ប៉ុណ្ណោះ។</t>
        </is>
      </c>
      <c r="I1413" s="10" t="n"/>
      <c r="J1413" s="10" t="n"/>
      <c r="K1413" s="10" t="inlineStr">
        <is>
          <t>"codPayment.msgMaxSizeFile": "អ្នកអាចផ្ទុកឡើងឯកសារបានត្រឹមតែចំនួនអតិបរមា {{file}} ({{size}}MB) ប៉ុណ្ណោះ។",</t>
        </is>
      </c>
      <c r="L1413" s="10" t="n"/>
      <c r="M1413" s="10" t="n"/>
      <c r="N1413" s="10" t="n"/>
      <c r="O1413" s="10" t="n"/>
      <c r="P1413" s="10" t="n"/>
      <c r="Q1413" s="10" t="n"/>
      <c r="R1413" s="10" t="n"/>
      <c r="S1413" s="10" t="n"/>
      <c r="T1413" s="10" t="n"/>
      <c r="U1413" s="10" t="n"/>
      <c r="V1413" s="10" t="n"/>
      <c r="W1413" s="10" t="n"/>
      <c r="X1413" s="10" t="n"/>
      <c r="Y1413" s="10" t="n"/>
      <c r="Z1413" s="10" t="n"/>
    </row>
    <row r="1414">
      <c r="A1414" s="27" t="inlineStr">
        <is>
          <t>codPayment.msgFilePdf</t>
        </is>
      </c>
      <c r="B1414" s="27" t="inlineStr">
        <is>
          <t>Chỉ tải lên file PDF</t>
        </is>
      </c>
      <c r="C1414" s="27" t="inlineStr">
        <is>
          <t>Only PDF files can be uploaded</t>
        </is>
      </c>
      <c r="D1414" s="102" t="n"/>
      <c r="E1414" s="102" t="inlineStr">
        <is>
          <t>គ្រាន់តែបញ្ចូ្ចលក្នុងឯកសារ PDF</t>
        </is>
      </c>
      <c r="F1414" s="10" t="n"/>
      <c r="G1414" s="10" t="inlineStr">
        <is>
          <t>គ្រាន់តែបញ្ចូ្ចលក្នុងឯកសារ PDF</t>
        </is>
      </c>
      <c r="H1414" s="10" t="inlineStr">
        <is>
          <t>គ្រាន់តែបញ្ចូ្ចលក្នុងឯកសារ PDF</t>
        </is>
      </c>
      <c r="I1414" s="10" t="n"/>
      <c r="J1414" s="10" t="n"/>
      <c r="K1414" s="10" t="inlineStr">
        <is>
          <t>"codPayment.msgFilePdf": "គ្រាន់តែបញ្ចូ្ចលក្នុងឯកសារ PDF",</t>
        </is>
      </c>
      <c r="L1414" s="10" t="n"/>
      <c r="M1414" s="10" t="n"/>
      <c r="N1414" s="10" t="n"/>
      <c r="O1414" s="10" t="n"/>
      <c r="P1414" s="10" t="n"/>
      <c r="Q1414" s="10" t="n"/>
      <c r="R1414" s="10" t="n"/>
      <c r="S1414" s="10" t="n"/>
      <c r="T1414" s="10" t="n"/>
      <c r="U1414" s="10" t="n"/>
      <c r="V1414" s="10" t="n"/>
      <c r="W1414" s="10" t="n"/>
      <c r="X1414" s="10" t="n"/>
      <c r="Y1414" s="10" t="n"/>
      <c r="Z1414" s="10" t="n"/>
    </row>
    <row r="1415">
      <c r="A1415" s="27" t="inlineStr">
        <is>
          <t>codPayment.infoBank</t>
        </is>
      </c>
      <c r="B1415" s="27" t="inlineStr">
        <is>
          <t>Thông tin ngân hàng</t>
        </is>
      </c>
      <c r="C1415" s="27" t="inlineStr">
        <is>
          <t>Bank Information</t>
        </is>
      </c>
      <c r="D1415" s="21" t="inlineStr">
        <is>
          <t>ព័ត៌មានធនាគារ</t>
        </is>
      </c>
      <c r="E1415" s="21" t="inlineStr">
        <is>
          <t>ព័ត៌មានធនាគារ</t>
        </is>
      </c>
      <c r="F1415" s="10" t="n"/>
      <c r="G1415" s="10" t="inlineStr">
        <is>
          <t>ព័ត៌មានធនាគារ</t>
        </is>
      </c>
      <c r="H1415" s="10" t="inlineStr">
        <is>
          <t>ព័ត៌មានធនាគារ</t>
        </is>
      </c>
      <c r="I1415" s="10" t="n"/>
      <c r="J1415" s="10" t="n"/>
      <c r="K1415" s="10" t="inlineStr">
        <is>
          <t>"codPayment.infoBank": "ព័ត៌មានធនាគារ",</t>
        </is>
      </c>
      <c r="L1415" s="10" t="n"/>
      <c r="M1415" s="10" t="n"/>
      <c r="N1415" s="10" t="n"/>
      <c r="O1415" s="10" t="n"/>
      <c r="P1415" s="10" t="n"/>
      <c r="Q1415" s="10" t="n"/>
      <c r="R1415" s="10" t="n"/>
      <c r="S1415" s="10" t="n"/>
      <c r="T1415" s="10" t="n"/>
      <c r="U1415" s="10" t="n"/>
      <c r="V1415" s="10" t="n"/>
      <c r="W1415" s="10" t="n"/>
      <c r="X1415" s="10" t="n"/>
      <c r="Y1415" s="10" t="n"/>
      <c r="Z1415" s="10" t="n"/>
    </row>
    <row r="1416">
      <c r="A1416" s="27" t="inlineStr">
        <is>
          <t>codPayment.pleaseChooseBank</t>
        </is>
      </c>
      <c r="B1416" s="27" t="inlineStr">
        <is>
          <t>Vui lòng chọn ngân hàng</t>
        </is>
      </c>
      <c r="C1416" s="27" t="inlineStr">
        <is>
          <t>Bank field is required</t>
        </is>
      </c>
      <c r="D1416" s="21" t="inlineStr">
        <is>
          <t>សូមជ្រើសរើសធនាគារ</t>
        </is>
      </c>
      <c r="E1416" s="21" t="inlineStr">
        <is>
          <t>សូមជ្រើសរើសធនាគារ</t>
        </is>
      </c>
      <c r="F1416" s="10" t="n"/>
      <c r="G1416" s="10" t="inlineStr">
        <is>
          <t>សូមជ្រើសរើសធនាគារ</t>
        </is>
      </c>
      <c r="H1416" s="10" t="inlineStr">
        <is>
          <t>សូមជ្រើសរើសធនាគារ</t>
        </is>
      </c>
      <c r="I1416" s="10" t="n"/>
      <c r="J1416" s="10" t="n"/>
      <c r="K1416" s="10" t="inlineStr">
        <is>
          <t>"codPayment.pleaseChooseBank": "សូមជ្រើសរើសធនាគារ",</t>
        </is>
      </c>
      <c r="L1416" s="10" t="n"/>
      <c r="M1416" s="10" t="n"/>
      <c r="N1416" s="10" t="n"/>
      <c r="O1416" s="10" t="n"/>
      <c r="P1416" s="10" t="n"/>
      <c r="Q1416" s="10" t="n"/>
      <c r="R1416" s="10" t="n"/>
      <c r="S1416" s="10" t="n"/>
      <c r="T1416" s="10" t="n"/>
      <c r="U1416" s="10" t="n"/>
      <c r="V1416" s="10" t="n"/>
      <c r="W1416" s="10" t="n"/>
      <c r="X1416" s="10" t="n"/>
      <c r="Y1416" s="10" t="n"/>
      <c r="Z1416" s="10" t="n"/>
    </row>
    <row r="1417">
      <c r="A1417" s="27" t="inlineStr">
        <is>
          <t>codPayment.chooseBank</t>
        </is>
      </c>
      <c r="B1417" s="27" t="inlineStr">
        <is>
          <t>Chọn ngân hàng</t>
        </is>
      </c>
      <c r="C1417" s="27" t="inlineStr">
        <is>
          <t>Select bank</t>
        </is>
      </c>
      <c r="D1417" s="21" t="inlineStr">
        <is>
          <t>ជ្រើសរើសធនាគារ</t>
        </is>
      </c>
      <c r="E1417" s="21" t="inlineStr">
        <is>
          <t>ជ្រើសរើសធនាគារ</t>
        </is>
      </c>
      <c r="F1417" s="10" t="n"/>
      <c r="G1417" s="10" t="inlineStr">
        <is>
          <t>ជ្រើសរើសធនាគារ</t>
        </is>
      </c>
      <c r="H1417" s="10" t="inlineStr">
        <is>
          <t>ជ្រើសរើសធនាគារ</t>
        </is>
      </c>
      <c r="I1417" s="10" t="n"/>
      <c r="J1417" s="10" t="n"/>
      <c r="K1417" s="10" t="inlineStr">
        <is>
          <t>"codPayment.chooseBank": "ជ្រើសរើសធនាគារ",</t>
        </is>
      </c>
      <c r="L1417" s="10" t="n"/>
      <c r="M1417" s="10" t="n"/>
      <c r="N1417" s="10" t="n"/>
      <c r="O1417" s="10" t="n"/>
      <c r="P1417" s="10" t="n"/>
      <c r="Q1417" s="10" t="n"/>
      <c r="R1417" s="10" t="n"/>
      <c r="S1417" s="10" t="n"/>
      <c r="T1417" s="10" t="n"/>
      <c r="U1417" s="10" t="n"/>
      <c r="V1417" s="10" t="n"/>
      <c r="W1417" s="10" t="n"/>
      <c r="X1417" s="10" t="n"/>
      <c r="Y1417" s="10" t="n"/>
      <c r="Z1417" s="10" t="n"/>
    </row>
    <row r="1418">
      <c r="A1418" s="27" t="inlineStr">
        <is>
          <t>codPayment.accountNo</t>
        </is>
      </c>
      <c r="B1418" s="27" t="inlineStr">
        <is>
          <t>Số tài khoản</t>
        </is>
      </c>
      <c r="C1418" s="27" t="inlineStr">
        <is>
          <t>Bank account</t>
        </is>
      </c>
      <c r="D1418" s="21" t="inlineStr">
        <is>
          <t>លេខគណនី</t>
        </is>
      </c>
      <c r="E1418" s="21" t="inlineStr">
        <is>
          <t>លេខគណនី</t>
        </is>
      </c>
      <c r="F1418" s="10" t="n"/>
      <c r="G1418" s="10" t="inlineStr">
        <is>
          <t>លេខគណនីធនាគារ</t>
        </is>
      </c>
      <c r="H1418" s="10" t="inlineStr">
        <is>
          <t>លេខគណនីធនាគារ</t>
        </is>
      </c>
      <c r="I1418" s="10" t="n"/>
      <c r="J1418" s="10" t="n"/>
      <c r="K1418" s="10" t="inlineStr">
        <is>
          <t>"codPayment.accountNo": "លេខគណនីធនាគារ",</t>
        </is>
      </c>
      <c r="L1418" s="10" t="n"/>
      <c r="M1418" s="10" t="n"/>
      <c r="N1418" s="10" t="n"/>
      <c r="O1418" s="10" t="n"/>
      <c r="P1418" s="10" t="n"/>
      <c r="Q1418" s="10" t="n"/>
      <c r="R1418" s="10" t="n"/>
      <c r="S1418" s="10" t="n"/>
      <c r="T1418" s="10" t="n"/>
      <c r="U1418" s="10" t="n"/>
      <c r="V1418" s="10" t="n"/>
      <c r="W1418" s="10" t="n"/>
      <c r="X1418" s="10" t="n"/>
      <c r="Y1418" s="10" t="n"/>
      <c r="Z1418" s="10" t="n"/>
    </row>
    <row r="1419">
      <c r="A1419" s="27" t="inlineStr">
        <is>
          <t>codPayment.pleaseEnterAccountBank</t>
        </is>
      </c>
      <c r="B1419" s="27" t="inlineStr">
        <is>
          <t>Vui lòng nhập số tài khoản</t>
        </is>
      </c>
      <c r="C1419" s="27" t="inlineStr">
        <is>
          <t>Bank account is required</t>
        </is>
      </c>
      <c r="D1419" s="21" t="inlineStr">
        <is>
          <t>សូមបញ្ចូលលេខគណនី</t>
        </is>
      </c>
      <c r="E1419" s="21" t="inlineStr">
        <is>
          <t>សូមបញ្ចូលលេខគណនី</t>
        </is>
      </c>
      <c r="F1419" s="10" t="n"/>
      <c r="G1419" s="10" t="inlineStr">
        <is>
          <t>សូមបញ្ចូលលេខគណនី</t>
        </is>
      </c>
      <c r="H1419" s="10" t="inlineStr">
        <is>
          <t>សូមបញ្ចូលលេខគណនី</t>
        </is>
      </c>
      <c r="I1419" s="10" t="n"/>
      <c r="J1419" s="10" t="n"/>
      <c r="K1419" s="10" t="inlineStr">
        <is>
          <t>"codPayment.pleaseEnterAccountBank": "សូមបញ្ចូលលេខគណនី",</t>
        </is>
      </c>
      <c r="L1419" s="10" t="n"/>
      <c r="M1419" s="10" t="n"/>
      <c r="N1419" s="10" t="n"/>
      <c r="O1419" s="10" t="n"/>
      <c r="P1419" s="10" t="n"/>
      <c r="Q1419" s="10" t="n"/>
      <c r="R1419" s="10" t="n"/>
      <c r="S1419" s="10" t="n"/>
      <c r="T1419" s="10" t="n"/>
      <c r="U1419" s="10" t="n"/>
      <c r="V1419" s="10" t="n"/>
      <c r="W1419" s="10" t="n"/>
      <c r="X1419" s="10" t="n"/>
      <c r="Y1419" s="10" t="n"/>
      <c r="Z1419" s="10" t="n"/>
    </row>
    <row r="1420">
      <c r="A1420" s="27" t="inlineStr">
        <is>
          <t>codPayment.ruleNum</t>
        </is>
      </c>
      <c r="B1420" s="27" t="inlineStr">
        <is>
          <t>Chỉ được nhập số</t>
        </is>
      </c>
      <c r="C1420" s="27" t="inlineStr">
        <is>
          <t>Enter numbers only</t>
        </is>
      </c>
      <c r="D1420" s="21" t="inlineStr">
        <is>
          <t>គ្រាន់តែបញ្ចូលលេខ</t>
        </is>
      </c>
      <c r="E1420" s="21" t="inlineStr">
        <is>
          <t>គ្រាន់តែបញ្ចូលលេខ</t>
        </is>
      </c>
      <c r="F1420" s="10" t="n"/>
      <c r="G1420" s="10" t="inlineStr">
        <is>
          <t>គ្រាន់តែបញ្ចូលលេខ</t>
        </is>
      </c>
      <c r="H1420" s="10" t="inlineStr">
        <is>
          <t>គ្រាន់តែបញ្ចូលលេខ</t>
        </is>
      </c>
      <c r="I1420" s="10" t="n"/>
      <c r="J1420" s="10" t="n"/>
      <c r="K1420" s="10" t="inlineStr">
        <is>
          <t>"codPayment.ruleNum": "គ្រាន់តែបញ្ចូលលេខ",</t>
        </is>
      </c>
      <c r="L1420" s="10" t="n"/>
      <c r="M1420" s="10" t="n"/>
      <c r="N1420" s="10" t="n"/>
      <c r="O1420" s="10" t="n"/>
      <c r="P1420" s="10" t="n"/>
      <c r="Q1420" s="10" t="n"/>
      <c r="R1420" s="10" t="n"/>
      <c r="S1420" s="10" t="n"/>
      <c r="T1420" s="10" t="n"/>
      <c r="U1420" s="10" t="n"/>
      <c r="V1420" s="10" t="n"/>
      <c r="W1420" s="10" t="n"/>
      <c r="X1420" s="10" t="n"/>
      <c r="Y1420" s="10" t="n"/>
      <c r="Z1420" s="10" t="n"/>
    </row>
    <row r="1421">
      <c r="A1421" s="27" t="inlineStr">
        <is>
          <t>codPayment.enterAccountBank</t>
        </is>
      </c>
      <c r="B1421" s="27" t="inlineStr">
        <is>
          <t>Nhập số tài khoản</t>
        </is>
      </c>
      <c r="C1421" s="27" t="inlineStr">
        <is>
          <t>Enter Bank account</t>
        </is>
      </c>
      <c r="D1421" s="21" t="inlineStr">
        <is>
          <t>បញ្ចូលលេខគណនី</t>
        </is>
      </c>
      <c r="E1421" s="21" t="inlineStr">
        <is>
          <t>បញ្ចូលលេខគណនី</t>
        </is>
      </c>
      <c r="F1421" s="10" t="n"/>
      <c r="G1421" s="10" t="inlineStr">
        <is>
          <t>បញ្ចូលលេខគណនី</t>
        </is>
      </c>
      <c r="H1421" s="10" t="inlineStr">
        <is>
          <t>បញ្ចូលលេខគណនី</t>
        </is>
      </c>
      <c r="I1421" s="10" t="n"/>
      <c r="J1421" s="10" t="n"/>
      <c r="K1421" s="10" t="inlineStr">
        <is>
          <t>"codPayment.enterAccountBank": "បញ្ចូលលេខគណនី",</t>
        </is>
      </c>
      <c r="L1421" s="10" t="n"/>
      <c r="M1421" s="10" t="n"/>
      <c r="N1421" s="10" t="n"/>
      <c r="O1421" s="10" t="n"/>
      <c r="P1421" s="10" t="n"/>
      <c r="Q1421" s="10" t="n"/>
      <c r="R1421" s="10" t="n"/>
      <c r="S1421" s="10" t="n"/>
      <c r="T1421" s="10" t="n"/>
      <c r="U1421" s="10" t="n"/>
      <c r="V1421" s="10" t="n"/>
      <c r="W1421" s="10" t="n"/>
      <c r="X1421" s="10" t="n"/>
      <c r="Y1421" s="10" t="n"/>
      <c r="Z1421" s="10" t="n"/>
    </row>
    <row r="1422">
      <c r="A1422" s="27" t="inlineStr">
        <is>
          <t>codPayment.accountName</t>
        </is>
      </c>
      <c r="B1422" s="27" t="inlineStr">
        <is>
          <t>Người thụ hưởng</t>
        </is>
      </c>
      <c r="C1422" s="27" t="inlineStr">
        <is>
          <t>Beneficiary</t>
        </is>
      </c>
      <c r="D1422" s="102" t="n"/>
      <c r="E1422" s="90" t="inlineStr">
        <is>
          <t>អ្នកទទួលអត្ថប្រយោជន៍</t>
        </is>
      </c>
      <c r="F1422" s="10" t="n"/>
      <c r="G1422" s="10" t="inlineStr">
        <is>
          <t>អ្នកទទួលផល/អ្នកទទួលប្រាក់</t>
        </is>
      </c>
      <c r="H1422" s="10" t="inlineStr">
        <is>
          <t>អ្នកទទួលផល/អ្នកទទួលប្រាក់</t>
        </is>
      </c>
      <c r="I1422" s="10" t="n"/>
      <c r="J1422" s="10" t="n"/>
      <c r="K1422" s="10" t="inlineStr">
        <is>
          <t>"codPayment.accountName": "អ្នកទទួលផល/អ្នកទទួលប្រាក់",</t>
        </is>
      </c>
      <c r="L1422" s="10" t="n"/>
      <c r="M1422" s="10" t="n"/>
      <c r="N1422" s="10" t="n"/>
      <c r="O1422" s="10" t="n"/>
      <c r="P1422" s="10" t="n"/>
      <c r="Q1422" s="10" t="n"/>
      <c r="R1422" s="10" t="n"/>
      <c r="S1422" s="10" t="n"/>
      <c r="T1422" s="10" t="n"/>
      <c r="U1422" s="10" t="n"/>
      <c r="V1422" s="10" t="n"/>
      <c r="W1422" s="10" t="n"/>
      <c r="X1422" s="10" t="n"/>
      <c r="Y1422" s="10" t="n"/>
      <c r="Z1422" s="10" t="n"/>
    </row>
    <row r="1423">
      <c r="A1423" s="27" t="inlineStr">
        <is>
          <t>codPayment.pleaseEnterAccountName</t>
        </is>
      </c>
      <c r="B1423" s="27" t="inlineStr">
        <is>
          <t>Vui lòng nhập người thụ hưởng</t>
        </is>
      </c>
      <c r="C1423" s="27" t="inlineStr">
        <is>
          <t>Beneficiary is required</t>
        </is>
      </c>
      <c r="D1423" s="21" t="inlineStr">
        <is>
          <t>សូមបញ្ចូលអ្នកទទួល</t>
        </is>
      </c>
      <c r="E1423" s="90" t="inlineStr">
        <is>
          <t>សូមបញ្ចូលអ្នកទទួលអត្ថប្រយោជន៍</t>
        </is>
      </c>
      <c r="F1423" s="10" t="n"/>
      <c r="G1423" s="10" t="inlineStr">
        <is>
          <t>សូមបញ្ចូលអ្នកទទួលអត្ថប្រយោជន៍</t>
        </is>
      </c>
      <c r="H1423" s="10" t="inlineStr">
        <is>
          <t>សូមបញ្ចូលអ្នកទទួលអត្ថប្រយោជន៍</t>
        </is>
      </c>
      <c r="I1423" s="10" t="n"/>
      <c r="J1423" s="10" t="n"/>
      <c r="K1423" s="10" t="inlineStr">
        <is>
          <t>"codPayment.pleaseEnterAccountName": "សូមបញ្ចូលអ្នកទទួលអត្ថប្រយោជន៍",</t>
        </is>
      </c>
      <c r="L1423" s="10" t="n"/>
      <c r="M1423" s="10" t="n"/>
      <c r="N1423" s="10" t="n"/>
      <c r="O1423" s="10" t="n"/>
      <c r="P1423" s="10" t="n"/>
      <c r="Q1423" s="10" t="n"/>
      <c r="R1423" s="10" t="n"/>
      <c r="S1423" s="10" t="n"/>
      <c r="T1423" s="10" t="n"/>
      <c r="U1423" s="10" t="n"/>
      <c r="V1423" s="10" t="n"/>
      <c r="W1423" s="10" t="n"/>
      <c r="X1423" s="10" t="n"/>
      <c r="Y1423" s="10" t="n"/>
      <c r="Z1423" s="10" t="n"/>
    </row>
    <row r="1424">
      <c r="A1424" s="27" t="inlineStr">
        <is>
          <t>codPayment.ruleString</t>
        </is>
      </c>
      <c r="B1424" s="27" t="inlineStr">
        <is>
          <t>Chỉ được nhập chữ cái và khoảng trắng, không chứa ký tự đặc biệt</t>
        </is>
      </c>
      <c r="C1424" s="27" t="inlineStr">
        <is>
          <t>Letters and spaces only. No special characters.</t>
        </is>
      </c>
      <c r="D1424" s="102" t="n"/>
      <c r="E1424" s="99" t="inlineStr">
        <is>
          <t>អាចបញ្ចូលតែអក្សរនិងចន្លោះទទេ ប៉ុន្តែមិនអាចមានតួអក្សរពិសេសបាន</t>
        </is>
      </c>
      <c r="F1424" s="10" t="n"/>
      <c r="G1424" s="10" t="inlineStr">
        <is>
          <t>អាចបញ្ចូលតែអក្សរនិងចន្លោះទទេ ប៉ុន្តែមិនអាចមានតួអក្សរពិសេសបាន</t>
        </is>
      </c>
      <c r="H1424" s="10" t="inlineStr">
        <is>
          <t>អាចបញ្ចូលតែអក្សរនិងចន្លោះទទេ ប៉ុន្តែមិនអាចមានតួអក្សរពិសេសបាន</t>
        </is>
      </c>
      <c r="I1424" s="10" t="n"/>
      <c r="J1424" s="10" t="n"/>
      <c r="K1424" s="10" t="inlineStr">
        <is>
          <t>"codPayment.ruleString": "អាចបញ្ចូលតែអក្សរនិងចន្លោះទទេ ប៉ុន្តែមិនអាចមានតួអក្សរពិសេសបាន",</t>
        </is>
      </c>
      <c r="L1424" s="10" t="n"/>
      <c r="M1424" s="10" t="n"/>
      <c r="N1424" s="10" t="n"/>
      <c r="O1424" s="10" t="n"/>
      <c r="P1424" s="10" t="n"/>
      <c r="Q1424" s="10" t="n"/>
      <c r="R1424" s="10" t="n"/>
      <c r="S1424" s="10" t="n"/>
      <c r="T1424" s="10" t="n"/>
      <c r="U1424" s="10" t="n"/>
      <c r="V1424" s="10" t="n"/>
      <c r="W1424" s="10" t="n"/>
      <c r="X1424" s="10" t="n"/>
      <c r="Y1424" s="10" t="n"/>
      <c r="Z1424" s="10" t="n"/>
    </row>
    <row r="1425">
      <c r="A1425" s="27" t="inlineStr">
        <is>
          <t>codPayment.infoFeeCod</t>
        </is>
      </c>
      <c r="B1425" s="27" t="inlineStr">
        <is>
          <t>Thông tin thanh toán cước và COD</t>
        </is>
      </c>
      <c r="C1425" s="27" t="inlineStr">
        <is>
          <t>Payment Information for Service charges and COD</t>
        </is>
      </c>
      <c r="D1425" s="21" t="inlineStr">
        <is>
          <t>ព័ត៌មានទូទាត់ថ្លៃសេវានិង COD</t>
        </is>
      </c>
      <c r="E1425" s="90" t="inlineStr">
        <is>
          <t>ព័ត៌មានការទូទាត់ថ្លៃដឹកជញ្ជូន និង COD</t>
        </is>
      </c>
      <c r="F1425" s="10" t="n"/>
      <c r="G1425" s="10" t="inlineStr">
        <is>
          <t>ព័ត៌មានការទូទាត់ថ្លៃដឹកជញ្ជូន និង COD</t>
        </is>
      </c>
      <c r="H1425" s="10" t="inlineStr">
        <is>
          <t>ព័ត៌មានការទូទាត់ថ្លៃដឹកជញ្ជូន និង COD</t>
        </is>
      </c>
      <c r="I1425" s="10" t="n"/>
      <c r="J1425" s="10" t="n"/>
      <c r="K1425" s="10" t="inlineStr">
        <is>
          <t>"codPayment.infoFeeCod": "ព័ត៌មានការទូទាត់ថ្លៃដឹកជញ្ជូន និង COD",</t>
        </is>
      </c>
      <c r="L1425" s="10" t="n"/>
      <c r="M1425" s="10" t="n"/>
      <c r="N1425" s="10" t="n"/>
      <c r="O1425" s="10" t="n"/>
      <c r="P1425" s="10" t="n"/>
      <c r="Q1425" s="10" t="n"/>
      <c r="R1425" s="10" t="n"/>
      <c r="S1425" s="10" t="n"/>
      <c r="T1425" s="10" t="n"/>
      <c r="U1425" s="10" t="n"/>
      <c r="V1425" s="10" t="n"/>
      <c r="W1425" s="10" t="n"/>
      <c r="X1425" s="10" t="n"/>
      <c r="Y1425" s="10" t="n"/>
      <c r="Z1425" s="10" t="n"/>
    </row>
    <row r="1426">
      <c r="A1426" s="27" t="inlineStr">
        <is>
          <t>codPayment.methodPayment</t>
        </is>
      </c>
      <c r="B1426" s="27" t="inlineStr">
        <is>
          <t>Phương thức thanh toán</t>
        </is>
      </c>
      <c r="C1426" s="27" t="inlineStr">
        <is>
          <t>Payment Method</t>
        </is>
      </c>
      <c r="D1426" s="21" t="inlineStr">
        <is>
          <t>វិធីសាស្រ្តទូទាត់</t>
        </is>
      </c>
      <c r="E1426" s="21" t="inlineStr">
        <is>
          <t>វិធីសាស្រ្តទូទាត់</t>
        </is>
      </c>
      <c r="F1426" s="10" t="n"/>
      <c r="G1426" s="10" t="inlineStr">
        <is>
          <t>វិធីសាស្រ្តទូទាត់</t>
        </is>
      </c>
      <c r="H1426" s="10" t="inlineStr">
        <is>
          <t>វិធីសាស្រ្តទូទាត់</t>
        </is>
      </c>
      <c r="I1426" s="10" t="n"/>
      <c r="J1426" s="10" t="n"/>
      <c r="K1426" s="10" t="inlineStr">
        <is>
          <t>"codPayment.methodPayment": "វិធីសាស្រ្តទូទាត់",</t>
        </is>
      </c>
      <c r="L1426" s="10" t="n"/>
      <c r="M1426" s="10" t="n"/>
      <c r="N1426" s="10" t="n"/>
      <c r="O1426" s="10" t="n"/>
      <c r="P1426" s="10" t="n"/>
      <c r="Q1426" s="10" t="n"/>
      <c r="R1426" s="10" t="n"/>
      <c r="S1426" s="10" t="n"/>
      <c r="T1426" s="10" t="n"/>
      <c r="U1426" s="10" t="n"/>
      <c r="V1426" s="10" t="n"/>
      <c r="W1426" s="10" t="n"/>
      <c r="X1426" s="10" t="n"/>
      <c r="Y1426" s="10" t="n"/>
      <c r="Z1426" s="10" t="n"/>
    </row>
    <row r="1427">
      <c r="A1427" s="27" t="inlineStr">
        <is>
          <t>codPayment.pleaseMethodPayment</t>
        </is>
      </c>
      <c r="B1427" s="27" t="inlineStr">
        <is>
          <t>Vui lòng chọn phương thức thanh toán</t>
        </is>
      </c>
      <c r="C1427" s="27" t="inlineStr">
        <is>
          <t>Payment Method is required</t>
        </is>
      </c>
      <c r="D1427" s="21" t="inlineStr">
        <is>
          <t>សូមជ្រើសរើសវិធីសាស្រ្តទូទាត់</t>
        </is>
      </c>
      <c r="E1427" s="21" t="inlineStr">
        <is>
          <t>សូមជ្រើសរើសវិធីសាស្រ្តទូទាត់</t>
        </is>
      </c>
      <c r="F1427" s="10" t="n"/>
      <c r="G1427" s="10" t="inlineStr">
        <is>
          <t>សូមជ្រើសរើសវិធីសាស្រ្តទូទាត់</t>
        </is>
      </c>
      <c r="H1427" s="10" t="inlineStr">
        <is>
          <t>សូមជ្រើសរើសវិធីសាស្រ្តទូទាត់</t>
        </is>
      </c>
      <c r="I1427" s="10" t="n"/>
      <c r="J1427" s="10" t="n"/>
      <c r="K1427" s="10" t="inlineStr">
        <is>
          <t>"codPayment.pleaseMethodPayment": "សូមជ្រើសរើសវិធីសាស្រ្តទូទាត់",</t>
        </is>
      </c>
      <c r="L1427" s="10" t="n"/>
      <c r="M1427" s="10" t="n"/>
      <c r="N1427" s="10" t="n"/>
      <c r="O1427" s="10" t="n"/>
      <c r="P1427" s="10" t="n"/>
      <c r="Q1427" s="10" t="n"/>
      <c r="R1427" s="10" t="n"/>
      <c r="S1427" s="10" t="n"/>
      <c r="T1427" s="10" t="n"/>
      <c r="U1427" s="10" t="n"/>
      <c r="V1427" s="10" t="n"/>
      <c r="W1427" s="10" t="n"/>
      <c r="X1427" s="10" t="n"/>
      <c r="Y1427" s="10" t="n"/>
      <c r="Z1427" s="10" t="n"/>
    </row>
    <row r="1428">
      <c r="A1428" s="27" t="inlineStr">
        <is>
          <t>codPayment.chooseMethodOfset</t>
        </is>
      </c>
      <c r="B1428" s="27" t="inlineStr">
        <is>
          <t>Chọn phương hình thức cấn trừ</t>
        </is>
      </c>
      <c r="C1428" s="27" t="inlineStr">
        <is>
          <t>Select Charges Deduction Method</t>
        </is>
      </c>
      <c r="D1428" s="102" t="n"/>
      <c r="E1428" s="99" t="inlineStr">
        <is>
          <t>ជ្រើសរើសវិធីសាស្រ្តកាត់បន្ថយ</t>
        </is>
      </c>
      <c r="F1428" s="10" t="n"/>
      <c r="G1428" s="10" t="inlineStr">
        <is>
          <t>ជ្រើសរើសវិធីសាស្រ្តកាត់បន្ថយ</t>
        </is>
      </c>
      <c r="H1428" s="10" t="inlineStr">
        <is>
          <t>ជ្រើសរើសវិធីសាស្រ្តកាត់បន្ថយ</t>
        </is>
      </c>
      <c r="I1428" s="10" t="n"/>
      <c r="J1428" s="10" t="n"/>
      <c r="K1428" s="10" t="inlineStr">
        <is>
          <t>"codPayment.chooseMethodOfset": "ជ្រើសរើសវិធីសាស្រ្តកាត់បន្ថយ",</t>
        </is>
      </c>
      <c r="L1428" s="10" t="n"/>
      <c r="M1428" s="10" t="n"/>
      <c r="N1428" s="10" t="n"/>
      <c r="O1428" s="10" t="n"/>
      <c r="P1428" s="10" t="n"/>
      <c r="Q1428" s="10" t="n"/>
      <c r="R1428" s="10" t="n"/>
      <c r="S1428" s="10" t="n"/>
      <c r="T1428" s="10" t="n"/>
      <c r="U1428" s="10" t="n"/>
      <c r="V1428" s="10" t="n"/>
      <c r="W1428" s="10" t="n"/>
      <c r="X1428" s="10" t="n"/>
      <c r="Y1428" s="10" t="n"/>
      <c r="Z1428" s="10" t="n"/>
    </row>
    <row r="1429">
      <c r="A1429" s="27" t="inlineStr">
        <is>
          <t>codPayment.periodCod</t>
        </is>
      </c>
      <c r="B1429" s="27" t="inlineStr">
        <is>
          <t>Kỳ đối soát COD</t>
        </is>
      </c>
      <c r="C1429" s="27" t="inlineStr">
        <is>
          <t>COD Reconciliation Period</t>
        </is>
      </c>
      <c r="D1429" s="102" t="n"/>
      <c r="E1429" s="99" t="inlineStr">
        <is>
          <t>រយៈពេលវាយតម្លៃតុល្យភាព COD</t>
        </is>
      </c>
      <c r="F1429" s="10" t="n"/>
      <c r="G1429" s="10" t="inlineStr">
        <is>
          <t>រយៈពេលវាយតម្លៃតុល្យភាព COD</t>
        </is>
      </c>
      <c r="H1429" s="10" t="inlineStr">
        <is>
          <t>រយៈពេលវាយតម្លៃតុល្យភាព COD</t>
        </is>
      </c>
      <c r="I1429" s="10" t="n"/>
      <c r="J1429" s="10" t="n"/>
      <c r="K1429" s="10" t="inlineStr">
        <is>
          <t>"codPayment.periodCod": "រយៈពេលវាយតម្លៃតុល្យភាព COD",</t>
        </is>
      </c>
      <c r="L1429" s="10" t="n"/>
      <c r="M1429" s="10" t="n"/>
      <c r="N1429" s="10" t="n"/>
      <c r="O1429" s="10" t="n"/>
      <c r="P1429" s="10" t="n"/>
      <c r="Q1429" s="10" t="n"/>
      <c r="R1429" s="10" t="n"/>
      <c r="S1429" s="10" t="n"/>
      <c r="T1429" s="10" t="n"/>
      <c r="U1429" s="10" t="n"/>
      <c r="V1429" s="10" t="n"/>
      <c r="W1429" s="10" t="n"/>
      <c r="X1429" s="10" t="n"/>
      <c r="Y1429" s="10" t="n"/>
      <c r="Z1429" s="10" t="n"/>
    </row>
    <row r="1430">
      <c r="A1430" s="27" t="inlineStr">
        <is>
          <t>codPayment.pleasePeriodCod</t>
        </is>
      </c>
      <c r="B1430" s="27" t="inlineStr">
        <is>
          <t>Vui lòng chọn kỳ đối soát</t>
        </is>
      </c>
      <c r="C1430" s="27" t="inlineStr">
        <is>
          <t>COD Reconciliation Period is required</t>
        </is>
      </c>
      <c r="D1430" s="102" t="n"/>
      <c r="E1430" s="99" t="inlineStr">
        <is>
          <t>សូមជ្រើសរើសរយៈពេលវាយតម្លៃតុល្យភាព</t>
        </is>
      </c>
      <c r="F1430" s="10" t="n"/>
      <c r="G1430" s="10" t="inlineStr">
        <is>
          <t>សូមជ្រើសរើសរយៈពេលវាយតម្លៃតុល្យភាព</t>
        </is>
      </c>
      <c r="H1430" s="10" t="inlineStr">
        <is>
          <t>សូមជ្រើសរើសរយៈពេលវាយតម្លៃតុល្យភាព</t>
        </is>
      </c>
      <c r="I1430" s="10" t="n"/>
      <c r="J1430" s="10" t="n"/>
      <c r="K1430" s="10" t="inlineStr">
        <is>
          <t>"codPayment.pleasePeriodCod": "សូមជ្រើសរើសរយៈពេលវាយតម្លៃតុល្យភាព",</t>
        </is>
      </c>
      <c r="L1430" s="10" t="n"/>
      <c r="M1430" s="10" t="n"/>
      <c r="N1430" s="10" t="n"/>
      <c r="O1430" s="10" t="n"/>
      <c r="P1430" s="10" t="n"/>
      <c r="Q1430" s="10" t="n"/>
      <c r="R1430" s="10" t="n"/>
      <c r="S1430" s="10" t="n"/>
      <c r="T1430" s="10" t="n"/>
      <c r="U1430" s="10" t="n"/>
      <c r="V1430" s="10" t="n"/>
      <c r="W1430" s="10" t="n"/>
      <c r="X1430" s="10" t="n"/>
      <c r="Y1430" s="10" t="n"/>
      <c r="Z1430" s="10" t="n"/>
    </row>
    <row r="1431">
      <c r="A1431" s="27" t="inlineStr">
        <is>
          <t>codPayment.choosePeriodCod</t>
        </is>
      </c>
      <c r="B1431" s="27" t="inlineStr">
        <is>
          <t>Chọn kỳ đối soát COD</t>
        </is>
      </c>
      <c r="C1431" s="27" t="inlineStr">
        <is>
          <t>Select Reconciliation Period</t>
        </is>
      </c>
      <c r="D1431" s="102" t="n"/>
      <c r="E1431" s="99" t="inlineStr">
        <is>
          <t>ជ្រើសរើសរយៈពេលវាយតម្លៃតុល្យភាព COD</t>
        </is>
      </c>
      <c r="F1431" s="10" t="n"/>
      <c r="G1431" s="10" t="inlineStr">
        <is>
          <t>ជ្រើសរើសរយៈពេលវាយតម្លៃតុល្យភាព COD</t>
        </is>
      </c>
      <c r="H1431" s="10" t="inlineStr">
        <is>
          <t>ជ្រើសរើសរយៈពេលវាយតម្លៃតុល្យភាព COD</t>
        </is>
      </c>
      <c r="I1431" s="10" t="n"/>
      <c r="J1431" s="10" t="n"/>
      <c r="K1431" s="10" t="inlineStr">
        <is>
          <t>"codPayment.choosePeriodCod": "ជ្រើសរើសរយៈពេលវាយតម្លៃតុល្យភាព COD",</t>
        </is>
      </c>
      <c r="L1431" s="10" t="n"/>
      <c r="M1431" s="10" t="n"/>
      <c r="N1431" s="10" t="n"/>
      <c r="O1431" s="10" t="n"/>
      <c r="P1431" s="10" t="n"/>
      <c r="Q1431" s="10" t="n"/>
      <c r="R1431" s="10" t="n"/>
      <c r="S1431" s="10" t="n"/>
      <c r="T1431" s="10" t="n"/>
      <c r="U1431" s="10" t="n"/>
      <c r="V1431" s="10" t="n"/>
      <c r="W1431" s="10" t="n"/>
      <c r="X1431" s="10" t="n"/>
      <c r="Y1431" s="10" t="n"/>
      <c r="Z1431" s="10" t="n"/>
    </row>
    <row r="1432">
      <c r="A1432" s="27" t="inlineStr">
        <is>
          <t>codPayment.dayOffset</t>
        </is>
      </c>
      <c r="B1432" s="27" t="inlineStr">
        <is>
          <t>Ngày đối soát</t>
        </is>
      </c>
      <c r="C1432" s="27" t="inlineStr">
        <is>
          <t>Reconciliation Date</t>
        </is>
      </c>
      <c r="D1432" s="102" t="n"/>
      <c r="E1432" s="99" t="inlineStr">
        <is>
          <t>ថ្ងៃវាយតម្លៃតុល្យភាព</t>
        </is>
      </c>
      <c r="F1432" s="10" t="n"/>
      <c r="G1432" s="10" t="inlineStr">
        <is>
          <t>ថ្ងៃវាយតម្លៃតុល្យភាព</t>
        </is>
      </c>
      <c r="H1432" s="10" t="inlineStr">
        <is>
          <t>ថ្ងៃវាយតម្លៃតុល្យភាព</t>
        </is>
      </c>
      <c r="I1432" s="10" t="n"/>
      <c r="J1432" s="10" t="n"/>
      <c r="K1432" s="10" t="inlineStr">
        <is>
          <t>"codPayment.dayOffset": "ថ្ងៃវាយតម្លៃតុល្យភាព",</t>
        </is>
      </c>
      <c r="L1432" s="10" t="n"/>
      <c r="M1432" s="10" t="n"/>
      <c r="N1432" s="10" t="n"/>
      <c r="O1432" s="10" t="n"/>
      <c r="P1432" s="10" t="n"/>
      <c r="Q1432" s="10" t="n"/>
      <c r="R1432" s="10" t="n"/>
      <c r="S1432" s="10" t="n"/>
      <c r="T1432" s="10" t="n"/>
      <c r="U1432" s="10" t="n"/>
      <c r="V1432" s="10" t="n"/>
      <c r="W1432" s="10" t="n"/>
      <c r="X1432" s="10" t="n"/>
      <c r="Y1432" s="10" t="n"/>
      <c r="Z1432" s="10" t="n"/>
    </row>
    <row r="1433">
      <c r="A1433" s="27" t="inlineStr">
        <is>
          <t>codPayment.pleaseChooseDayOffset</t>
        </is>
      </c>
      <c r="B1433" s="27" t="inlineStr">
        <is>
          <t>Vui lòng chọn ngày đối soát</t>
        </is>
      </c>
      <c r="C1433" s="27" t="inlineStr">
        <is>
          <t>Reconciliation Date is required</t>
        </is>
      </c>
      <c r="D1433" s="102" t="n"/>
      <c r="E1433" s="99" t="inlineStr">
        <is>
          <t>សូមជ្រើសរើសថ្ងៃវាយតម្លៃតុល្យភាព</t>
        </is>
      </c>
      <c r="F1433" s="10" t="n"/>
      <c r="G1433" s="10" t="inlineStr">
        <is>
          <t>សូមជ្រើសរើសថ្ងៃវាយតម្លៃតុល្យភាព</t>
        </is>
      </c>
      <c r="H1433" s="10" t="inlineStr">
        <is>
          <t>សូមជ្រើសរើសថ្ងៃវាយតម្លៃតុល្យភាព</t>
        </is>
      </c>
      <c r="I1433" s="10" t="n"/>
      <c r="J1433" s="10" t="n"/>
      <c r="K1433" s="10" t="inlineStr">
        <is>
          <t>"codPayment.pleaseChooseDayOffset": "សូមជ្រើសរើសថ្ងៃវាយតម្លៃតុល្យភាព",</t>
        </is>
      </c>
      <c r="L1433" s="10" t="n"/>
      <c r="M1433" s="10" t="n"/>
      <c r="N1433" s="10" t="n"/>
      <c r="O1433" s="10" t="n"/>
      <c r="P1433" s="10" t="n"/>
      <c r="Q1433" s="10" t="n"/>
      <c r="R1433" s="10" t="n"/>
      <c r="S1433" s="10" t="n"/>
      <c r="T1433" s="10" t="n"/>
      <c r="U1433" s="10" t="n"/>
      <c r="V1433" s="10" t="n"/>
      <c r="W1433" s="10" t="n"/>
      <c r="X1433" s="10" t="n"/>
      <c r="Y1433" s="10" t="n"/>
      <c r="Z1433" s="10" t="n"/>
    </row>
    <row r="1434">
      <c r="A1434" s="27" t="inlineStr">
        <is>
          <t>codPayment.save</t>
        </is>
      </c>
      <c r="B1434" s="27" t="inlineStr">
        <is>
          <t>Lưu lại</t>
        </is>
      </c>
      <c r="C1434" s="27" t="inlineStr">
        <is>
          <t>Save</t>
        </is>
      </c>
      <c r="D1434" s="21" t="inlineStr">
        <is>
          <t>រក្សាទុកម្តងទៀត</t>
        </is>
      </c>
      <c r="E1434" s="21" t="inlineStr">
        <is>
          <t>រក្សាទុកម្តងទៀត</t>
        </is>
      </c>
      <c r="F1434" s="10" t="n"/>
      <c r="G1434" s="10" t="inlineStr">
        <is>
          <t>រក្សាទុកម្តងទៀត</t>
        </is>
      </c>
      <c r="H1434" s="10" t="inlineStr">
        <is>
          <t>រក្សាទុកម្តងទៀត</t>
        </is>
      </c>
      <c r="I1434" s="10" t="n"/>
      <c r="J1434" s="10" t="n"/>
      <c r="K1434" s="10" t="inlineStr">
        <is>
          <t>"codPayment.save": "រក្សាទុកម្តងទៀត",</t>
        </is>
      </c>
      <c r="L1434" s="10" t="n"/>
      <c r="M1434" s="10" t="n"/>
      <c r="N1434" s="10" t="n"/>
      <c r="O1434" s="10" t="n"/>
      <c r="P1434" s="10" t="n"/>
      <c r="Q1434" s="10" t="n"/>
      <c r="R1434" s="10" t="n"/>
      <c r="S1434" s="10" t="n"/>
      <c r="T1434" s="10" t="n"/>
      <c r="U1434" s="10" t="n"/>
      <c r="V1434" s="10" t="n"/>
      <c r="W1434" s="10" t="n"/>
      <c r="X1434" s="10" t="n"/>
      <c r="Y1434" s="10" t="n"/>
      <c r="Z1434" s="10" t="n"/>
    </row>
    <row r="1435">
      <c r="A1435" s="27" t="inlineStr">
        <is>
          <t>codPayment.deleteCod</t>
        </is>
      </c>
      <c r="B1435" s="27" t="inlineStr">
        <is>
          <t>Xóa phiếu chi</t>
        </is>
      </c>
      <c r="C1435" s="27" t="inlineStr">
        <is>
          <t>Delete</t>
        </is>
      </c>
      <c r="D1435" s="21" t="inlineStr">
        <is>
          <t>លុុបតារាងចោល</t>
        </is>
      </c>
      <c r="E1435" s="21" t="inlineStr">
        <is>
          <t>លុុបតារាងចោល</t>
        </is>
      </c>
      <c r="F1435" s="10" t="n"/>
      <c r="G1435" s="10" t="inlineStr">
        <is>
          <t>លុុបតារាងចោល</t>
        </is>
      </c>
      <c r="H1435" s="10" t="inlineStr">
        <is>
          <t>លុុបតារាងចោល</t>
        </is>
      </c>
      <c r="I1435" s="10" t="n"/>
      <c r="J1435" s="10" t="n"/>
      <c r="K1435" s="10" t="inlineStr">
        <is>
          <t>"codPayment.deleteCod": "លុុបតារាងចោល",</t>
        </is>
      </c>
      <c r="L1435" s="10" t="n"/>
      <c r="M1435" s="10" t="n"/>
      <c r="N1435" s="10" t="n"/>
      <c r="O1435" s="10" t="n"/>
      <c r="P1435" s="10" t="n"/>
      <c r="Q1435" s="10" t="n"/>
      <c r="R1435" s="10" t="n"/>
      <c r="S1435" s="10" t="n"/>
      <c r="T1435" s="10" t="n"/>
      <c r="U1435" s="10" t="n"/>
      <c r="V1435" s="10" t="n"/>
      <c r="W1435" s="10" t="n"/>
      <c r="X1435" s="10" t="n"/>
      <c r="Y1435" s="10" t="n"/>
      <c r="Z1435" s="10" t="n"/>
    </row>
    <row r="1436">
      <c r="A1436" s="27" t="inlineStr">
        <is>
          <t>codPayment.excel</t>
        </is>
      </c>
      <c r="B1436" s="27" t="inlineStr">
        <is>
          <t>Xuất excel</t>
        </is>
      </c>
      <c r="C1436" s="27" t="inlineStr">
        <is>
          <t>Export to excel</t>
        </is>
      </c>
      <c r="D1436" s="21" t="inlineStr">
        <is>
          <t>ចេញពី Excel</t>
        </is>
      </c>
      <c r="E1436" s="21" t="inlineStr">
        <is>
          <t>ចេញពី Excel</t>
        </is>
      </c>
      <c r="F1436" s="10" t="n"/>
      <c r="G1436" s="10" t="inlineStr">
        <is>
          <t>ចេញពី Excel</t>
        </is>
      </c>
      <c r="H1436" s="10" t="inlineStr">
        <is>
          <t>ចេញពី Excel</t>
        </is>
      </c>
      <c r="I1436" s="10" t="n"/>
      <c r="J1436" s="10" t="n"/>
      <c r="K1436" s="10" t="inlineStr">
        <is>
          <t>"codPayment.excel": "ចេញពី Excel",</t>
        </is>
      </c>
      <c r="L1436" s="10" t="n"/>
      <c r="M1436" s="10" t="n"/>
      <c r="N1436" s="10" t="n"/>
      <c r="O1436" s="10" t="n"/>
      <c r="P1436" s="10" t="n"/>
      <c r="Q1436" s="10" t="n"/>
      <c r="R1436" s="10" t="n"/>
      <c r="S1436" s="10" t="n"/>
      <c r="T1436" s="10" t="n"/>
      <c r="U1436" s="10" t="n"/>
      <c r="V1436" s="10" t="n"/>
      <c r="W1436" s="10" t="n"/>
      <c r="X1436" s="10" t="n"/>
      <c r="Y1436" s="10" t="n"/>
      <c r="Z1436" s="10" t="n"/>
    </row>
    <row r="1437">
      <c r="A1437" s="27" t="inlineStr">
        <is>
          <t>codPayment.print</t>
        </is>
      </c>
      <c r="B1437" s="27" t="inlineStr">
        <is>
          <t>In</t>
        </is>
      </c>
      <c r="C1437" s="27" t="inlineStr">
        <is>
          <t>Print</t>
        </is>
      </c>
      <c r="D1437" s="21" t="inlineStr">
        <is>
          <t>ព្រីន</t>
        </is>
      </c>
      <c r="E1437" s="21" t="inlineStr">
        <is>
          <t>ព្រីន</t>
        </is>
      </c>
      <c r="F1437" s="10" t="n"/>
      <c r="G1437" s="10" t="inlineStr">
        <is>
          <t>ព្រីន</t>
        </is>
      </c>
      <c r="H1437" s="10" t="inlineStr">
        <is>
          <t>ព្រីន</t>
        </is>
      </c>
      <c r="I1437" s="10" t="n"/>
      <c r="J1437" s="10" t="n"/>
      <c r="K1437" s="10" t="inlineStr">
        <is>
          <t>"codPayment.print": "ព្រីន",</t>
        </is>
      </c>
      <c r="L1437" s="10" t="n"/>
      <c r="M1437" s="10" t="n"/>
      <c r="N1437" s="10" t="n"/>
      <c r="O1437" s="10" t="n"/>
      <c r="P1437" s="10" t="n"/>
      <c r="Q1437" s="10" t="n"/>
      <c r="R1437" s="10" t="n"/>
      <c r="S1437" s="10" t="n"/>
      <c r="T1437" s="10" t="n"/>
      <c r="U1437" s="10" t="n"/>
      <c r="V1437" s="10" t="n"/>
      <c r="W1437" s="10" t="n"/>
      <c r="X1437" s="10" t="n"/>
      <c r="Y1437" s="10" t="n"/>
      <c r="Z1437" s="10" t="n"/>
    </row>
    <row r="1438">
      <c r="A1438" s="27" t="inlineStr">
        <is>
          <t>codPayment.addOrderCode</t>
        </is>
      </c>
      <c r="B1438" s="27" t="inlineStr">
        <is>
          <t>Thêm vận đơn</t>
        </is>
      </c>
      <c r="C1438" s="27" t="inlineStr">
        <is>
          <t>Add order</t>
        </is>
      </c>
      <c r="D1438" s="27" t="inlineStr">
        <is>
          <t>-</t>
        </is>
      </c>
      <c r="E1438" s="27" t="inlineStr">
        <is>
          <t>បន្ថែមកាដឹកជញ្ជូន</t>
        </is>
      </c>
      <c r="F1438" s="10" t="n"/>
      <c r="G1438" s="10" t="inlineStr">
        <is>
          <t>បន្ថែមកាដឹកជញ្ជូន</t>
        </is>
      </c>
      <c r="H1438" s="10" t="inlineStr">
        <is>
          <t>បន្ថែមកាដឹកជញ្ជូន</t>
        </is>
      </c>
      <c r="I1438" s="10" t="n"/>
      <c r="J1438" s="10" t="n"/>
      <c r="K1438" s="10" t="inlineStr">
        <is>
          <t>"codPayment.addOrderCode": "បន្ថែមកាដឹកជញ្ជូន",</t>
        </is>
      </c>
      <c r="L1438" s="10" t="n"/>
      <c r="M1438" s="10" t="n"/>
      <c r="N1438" s="10" t="n"/>
      <c r="O1438" s="10" t="n"/>
      <c r="P1438" s="10" t="n"/>
      <c r="Q1438" s="10" t="n"/>
      <c r="R1438" s="10" t="n"/>
      <c r="S1438" s="10" t="n"/>
      <c r="T1438" s="10" t="n"/>
      <c r="U1438" s="10" t="n"/>
      <c r="V1438" s="10" t="n"/>
      <c r="W1438" s="10" t="n"/>
      <c r="X1438" s="10" t="n"/>
      <c r="Y1438" s="10" t="n"/>
      <c r="Z1438" s="10" t="n"/>
    </row>
    <row r="1439">
      <c r="A1439" s="27" t="inlineStr">
        <is>
          <t>codPayment.msgConfirmStatementSuccess</t>
        </is>
      </c>
      <c r="B1439" s="27" t="inlineStr">
        <is>
          <t>Bạn có chắc muốn xóa phiếu chi này?</t>
        </is>
      </c>
      <c r="C1439" s="27" t="inlineStr">
        <is>
          <t>Are you sure you to delete this list?</t>
        </is>
      </c>
      <c r="D1439" s="21" t="inlineStr">
        <is>
          <t>តើអ្នកពិតជាចង់លុបចោលតារាងនេះមែនទេ?</t>
        </is>
      </c>
      <c r="E1439" s="99" t="inlineStr">
        <is>
          <t>តើអ្នកប្រាកដថាចង់លុបបុងចំណាយនេះមែនទេ?</t>
        </is>
      </c>
      <c r="F1439" s="10" t="n"/>
      <c r="G1439" s="10" t="inlineStr">
        <is>
          <t>តើអ្នកប្រាកដថាចង់លុបបុងចំណាយនេះមែនទេ?</t>
        </is>
      </c>
      <c r="H1439" s="10" t="inlineStr">
        <is>
          <t>តើអ្នកប្រាកដថាចង់លុបបុងចំណាយនេះមែនទេ?</t>
        </is>
      </c>
      <c r="I1439" s="10" t="n"/>
      <c r="J1439" s="10" t="n"/>
      <c r="K1439" s="10" t="inlineStr">
        <is>
          <t>"codPayment.msgConfirmStatementSuccess": "តើអ្នកប្រាកដថាចង់លុបបុងចំណាយនេះមែនទេ?",</t>
        </is>
      </c>
      <c r="L1439" s="10" t="n"/>
      <c r="M1439" s="10" t="n"/>
      <c r="N1439" s="10" t="n"/>
      <c r="O1439" s="10" t="n"/>
      <c r="P1439" s="10" t="n"/>
      <c r="Q1439" s="10" t="n"/>
      <c r="R1439" s="10" t="n"/>
      <c r="S1439" s="10" t="n"/>
      <c r="T1439" s="10" t="n"/>
      <c r="U1439" s="10" t="n"/>
      <c r="V1439" s="10" t="n"/>
      <c r="W1439" s="10" t="n"/>
      <c r="X1439" s="10" t="n"/>
      <c r="Y1439" s="10" t="n"/>
      <c r="Z1439" s="10" t="n"/>
    </row>
    <row r="1440">
      <c r="A1440" s="27" t="inlineStr">
        <is>
          <t>codPayment.msgRemoveStatementSuccess</t>
        </is>
      </c>
      <c r="B1440" s="27" t="inlineStr">
        <is>
          <t>Xóa phiếu chi thành công</t>
        </is>
      </c>
      <c r="C1440" s="27" t="inlineStr">
        <is>
          <t>List deleted successfully</t>
        </is>
      </c>
      <c r="D1440" s="21" t="inlineStr">
        <is>
          <t>លុបតារាងបានជោគជ័យ</t>
        </is>
      </c>
      <c r="E1440" s="102" t="inlineStr">
        <is>
          <t>លុបបុងចំណាយបានជោគជ័យ</t>
        </is>
      </c>
      <c r="F1440" s="10" t="n"/>
      <c r="G1440" s="10" t="inlineStr">
        <is>
          <t>លុបបុងចំណាយបានជោគជ័យ</t>
        </is>
      </c>
      <c r="H1440" s="10" t="inlineStr">
        <is>
          <t>លុបបុងចំណាយបានជោគជ័យ</t>
        </is>
      </c>
      <c r="I1440" s="10" t="n"/>
      <c r="J1440" s="10" t="n"/>
      <c r="K1440" s="10" t="inlineStr">
        <is>
          <t>"codPayment.msgRemoveStatementSuccess": "លុបបុងចំណាយបានជោគជ័យ",</t>
        </is>
      </c>
      <c r="L1440" s="10" t="n"/>
      <c r="M1440" s="10" t="n"/>
      <c r="N1440" s="10" t="n"/>
      <c r="O1440" s="10" t="n"/>
      <c r="P1440" s="10" t="n"/>
      <c r="Q1440" s="10" t="n"/>
      <c r="R1440" s="10" t="n"/>
      <c r="S1440" s="10" t="n"/>
      <c r="T1440" s="10" t="n"/>
      <c r="U1440" s="10" t="n"/>
      <c r="V1440" s="10" t="n"/>
      <c r="W1440" s="10" t="n"/>
      <c r="X1440" s="10" t="n"/>
      <c r="Y1440" s="10" t="n"/>
      <c r="Z1440" s="10" t="n"/>
    </row>
    <row r="1441">
      <c r="A1441" s="27" t="inlineStr">
        <is>
          <t>codPayment.confirmCommitStatement</t>
        </is>
      </c>
      <c r="B1441" s="27" t="inlineStr">
        <is>
          <t>Bạn có chắc muốn chốt phiếu chi?</t>
        </is>
      </c>
      <c r="C1441" s="27" t="inlineStr">
        <is>
          <t>Are you sure you to lock this list?</t>
        </is>
      </c>
      <c r="D1441" s="102" t="n"/>
      <c r="E1441" s="102" t="inlineStr">
        <is>
          <t>តើអ្នកពិតជាចង់បិទបុងចំណាយត្រឹមនេះមែនទេ?</t>
        </is>
      </c>
      <c r="F1441" s="10" t="n"/>
      <c r="G1441" s="10" t="inlineStr">
        <is>
          <t>តើអ្នកពិតជាចង់បិទបុងចំណាយត្រឹមនេះមែនទេ?</t>
        </is>
      </c>
      <c r="H1441" s="10" t="inlineStr">
        <is>
          <t>តើអ្នកពិតជាចង់បិទបុងចំណាយត្រឹមនេះមែនទេ?</t>
        </is>
      </c>
      <c r="I1441" s="10" t="n"/>
      <c r="J1441" s="10" t="n"/>
      <c r="K1441" s="10" t="inlineStr">
        <is>
          <t>"codPayment.confirmCommitStatement": "តើអ្នកពិតជាចង់បិទបុងចំណាយត្រឹមនេះមែនទេ?",</t>
        </is>
      </c>
      <c r="L1441" s="10" t="n"/>
      <c r="M1441" s="10" t="n"/>
      <c r="N1441" s="10" t="n"/>
      <c r="O1441" s="10" t="n"/>
      <c r="P1441" s="10" t="n"/>
      <c r="Q1441" s="10" t="n"/>
      <c r="R1441" s="10" t="n"/>
      <c r="S1441" s="10" t="n"/>
      <c r="T1441" s="10" t="n"/>
      <c r="U1441" s="10" t="n"/>
      <c r="V1441" s="10" t="n"/>
      <c r="W1441" s="10" t="n"/>
      <c r="X1441" s="10" t="n"/>
      <c r="Y1441" s="10" t="n"/>
      <c r="Z1441" s="10" t="n"/>
    </row>
    <row r="1442">
      <c r="A1442" s="27" t="inlineStr">
        <is>
          <t>codPayment.commitStatementSuccess</t>
        </is>
      </c>
      <c r="B1442" s="27" t="inlineStr">
        <is>
          <t>Chốt phiếu chi thành công</t>
        </is>
      </c>
      <c r="C1442" s="27" t="inlineStr">
        <is>
          <t>List locked successfully</t>
        </is>
      </c>
      <c r="D1442" s="102" t="n"/>
      <c r="E1442" s="102" t="inlineStr">
        <is>
          <t>បិទបុងចំណាយបានជោគជ័យ</t>
        </is>
      </c>
      <c r="F1442" s="10" t="n"/>
      <c r="G1442" s="10" t="inlineStr">
        <is>
          <t>បិទបុងចំណាយបានជោគជ័យ</t>
        </is>
      </c>
      <c r="H1442" s="10" t="inlineStr">
        <is>
          <t>បិទបុងចំណាយបានជោគជ័យ</t>
        </is>
      </c>
      <c r="I1442" s="10" t="n"/>
      <c r="J1442" s="10" t="n"/>
      <c r="K1442" s="10" t="inlineStr">
        <is>
          <t>"codPayment.commitStatementSuccess": "បិទបុងចំណាយបានជោគជ័យ",</t>
        </is>
      </c>
      <c r="L1442" s="10" t="n"/>
      <c r="M1442" s="10" t="n"/>
      <c r="N1442" s="10" t="n"/>
      <c r="O1442" s="10" t="n"/>
      <c r="P1442" s="10" t="n"/>
      <c r="Q1442" s="10" t="n"/>
      <c r="R1442" s="10" t="n"/>
      <c r="S1442" s="10" t="n"/>
      <c r="T1442" s="10" t="n"/>
      <c r="U1442" s="10" t="n"/>
      <c r="V1442" s="10" t="n"/>
      <c r="W1442" s="10" t="n"/>
      <c r="X1442" s="10" t="n"/>
      <c r="Y1442" s="10" t="n"/>
      <c r="Z1442" s="10" t="n"/>
    </row>
    <row r="1443">
      <c r="A1443" s="27" t="inlineStr">
        <is>
          <t>codPayment.commitStatement</t>
        </is>
      </c>
      <c r="B1443" s="27" t="inlineStr">
        <is>
          <t>Chốt phiếu chi</t>
        </is>
      </c>
      <c r="C1443" s="27" t="inlineStr">
        <is>
          <t>Lock</t>
        </is>
      </c>
      <c r="D1443" s="102" t="n"/>
      <c r="E1443" s="102" t="inlineStr">
        <is>
          <t>បិទបុុងចំណាយ</t>
        </is>
      </c>
      <c r="F1443" s="10" t="n"/>
      <c r="G1443" s="10" t="inlineStr">
        <is>
          <t>បិទបុុងចំណាយ</t>
        </is>
      </c>
      <c r="H1443" s="10" t="inlineStr">
        <is>
          <t>បិទបុុងចំណាយ</t>
        </is>
      </c>
      <c r="I1443" s="10" t="n"/>
      <c r="J1443" s="10" t="n"/>
      <c r="K1443" s="10" t="inlineStr">
        <is>
          <t>"codPayment.commitStatement": "បិទបុុងចំណាយ",</t>
        </is>
      </c>
      <c r="L1443" s="10" t="n"/>
      <c r="M1443" s="10" t="n"/>
      <c r="N1443" s="10" t="n"/>
      <c r="O1443" s="10" t="n"/>
      <c r="P1443" s="10" t="n"/>
      <c r="Q1443" s="10" t="n"/>
      <c r="R1443" s="10" t="n"/>
      <c r="S1443" s="10" t="n"/>
      <c r="T1443" s="10" t="n"/>
      <c r="U1443" s="10" t="n"/>
      <c r="V1443" s="10" t="n"/>
      <c r="W1443" s="10" t="n"/>
      <c r="X1443" s="10" t="n"/>
      <c r="Y1443" s="10" t="n"/>
      <c r="Z1443" s="10" t="n"/>
    </row>
    <row r="1444">
      <c r="A1444" s="27" t="inlineStr">
        <is>
          <t>codPayment.attachmentFile</t>
        </is>
      </c>
      <c r="B1444" s="27" t="inlineStr">
        <is>
          <t>Đính kèm chứng từ</t>
        </is>
      </c>
      <c r="C1444" s="27" t="inlineStr">
        <is>
          <t>Attach files</t>
        </is>
      </c>
      <c r="D1444" s="102" t="n"/>
      <c r="E1444" s="90" t="inlineStr">
        <is>
          <t>ភ្ជាប់ឯកសារ</t>
        </is>
      </c>
      <c r="F1444" s="10" t="n"/>
      <c r="G1444" s="10" t="inlineStr">
        <is>
          <t>ភ្ជាប់ឯកសារ</t>
        </is>
      </c>
      <c r="H1444" s="10" t="inlineStr">
        <is>
          <t>ភ្ជាប់ឯកសារ</t>
        </is>
      </c>
      <c r="I1444" s="10" t="n"/>
      <c r="J1444" s="10" t="n"/>
      <c r="K1444" s="10" t="inlineStr">
        <is>
          <t>"codPayment.attachmentFile": "ភ្ជាប់ឯកសារ",</t>
        </is>
      </c>
      <c r="L1444" s="10" t="n"/>
      <c r="M1444" s="10" t="n"/>
      <c r="N1444" s="10" t="n"/>
      <c r="O1444" s="10" t="n"/>
      <c r="P1444" s="10" t="n"/>
      <c r="Q1444" s="10" t="n"/>
      <c r="R1444" s="10" t="n"/>
      <c r="S1444" s="10" t="n"/>
      <c r="T1444" s="10" t="n"/>
      <c r="U1444" s="10" t="n"/>
      <c r="V1444" s="10" t="n"/>
      <c r="W1444" s="10" t="n"/>
      <c r="X1444" s="10" t="n"/>
      <c r="Y1444" s="10" t="n"/>
      <c r="Z1444" s="10" t="n"/>
    </row>
    <row r="1445">
      <c r="A1445" s="27" t="inlineStr">
        <is>
          <t>codPayment.uploadPaymentOrderSigned</t>
        </is>
      </c>
      <c r="B1445" s="27" t="inlineStr">
        <is>
          <t>Tải lên UNC đã ký</t>
        </is>
      </c>
      <c r="C1445" s="27" t="inlineStr">
        <is>
          <t>Upload the signed payment order</t>
        </is>
      </c>
      <c r="D1445" s="102" t="n"/>
      <c r="E1445" s="90" t="inlineStr">
        <is>
          <t>ផ្ទុកក្នុង UNC ដែលបានហត្ថលេខា</t>
        </is>
      </c>
      <c r="F1445" s="10" t="n"/>
      <c r="G1445" s="10" t="inlineStr">
        <is>
          <t>ផ្ទុកក្នុង UNC ដែលបានហត្ថលេខា</t>
        </is>
      </c>
      <c r="H1445" s="10" t="inlineStr">
        <is>
          <t>ផ្ទុកក្នុង UNC ដែលបានហត្ថលេខា</t>
        </is>
      </c>
      <c r="I1445" s="10" t="n"/>
      <c r="J1445" s="10" t="n"/>
      <c r="K1445" s="10" t="inlineStr">
        <is>
          <t>"codPayment.uploadPaymentOrderSigned": "ផ្ទុកក្នុង UNC ដែលបានហត្ថលេខា",</t>
        </is>
      </c>
      <c r="L1445" s="10" t="n"/>
      <c r="M1445" s="10" t="n"/>
      <c r="N1445" s="10" t="n"/>
      <c r="O1445" s="10" t="n"/>
      <c r="P1445" s="10" t="n"/>
      <c r="Q1445" s="10" t="n"/>
      <c r="R1445" s="10" t="n"/>
      <c r="S1445" s="10" t="n"/>
      <c r="T1445" s="10" t="n"/>
      <c r="U1445" s="10" t="n"/>
      <c r="V1445" s="10" t="n"/>
      <c r="W1445" s="10" t="n"/>
      <c r="X1445" s="10" t="n"/>
      <c r="Y1445" s="10" t="n"/>
      <c r="Z1445" s="10" t="n"/>
    </row>
    <row r="1446">
      <c r="A1446" s="27" t="inlineStr">
        <is>
          <t>codPayment.confirmApprovePay</t>
        </is>
      </c>
      <c r="B1446" s="27" t="inlineStr">
        <is>
          <t>Bạn có chắc chắn duyệt chi UNC này?</t>
        </is>
      </c>
      <c r="C1446" s="27" t="inlineStr">
        <is>
          <t>Are you sure to approve this Payment Order?</t>
        </is>
      </c>
      <c r="D1446" s="24" t="inlineStr">
        <is>
          <t>តើអ្នកពិតជាចង់អនុម័តការទូទាត់ UNC នេះមែនទេ?</t>
        </is>
      </c>
      <c r="E1446" s="24" t="inlineStr">
        <is>
          <t>តើអ្នកពិតជាចង់អនុម័តការទូទាត់ UNC នេះមែនទេ?</t>
        </is>
      </c>
      <c r="F1446" s="10" t="n"/>
      <c r="G1446" s="10" t="inlineStr">
        <is>
          <t>តើអ្នកពិតជាចង់អនុម័តការទូទាត់ UNC នេះមែនទេ?</t>
        </is>
      </c>
      <c r="H1446" s="10" t="inlineStr">
        <is>
          <t>តើអ្នកពិតជាចង់អនុម័តការទូទាត់ UNC នេះមែនទេ?</t>
        </is>
      </c>
      <c r="I1446" s="10" t="n"/>
      <c r="J1446" s="10" t="n"/>
      <c r="K1446" s="10" t="inlineStr">
        <is>
          <t>"codPayment.confirmApprovePay": "តើអ្នកពិតជាចង់អនុម័តការទូទាត់ UNC នេះមែនទេ?",</t>
        </is>
      </c>
      <c r="L1446" s="10" t="n"/>
      <c r="M1446" s="10" t="n"/>
      <c r="N1446" s="10" t="n"/>
      <c r="O1446" s="10" t="n"/>
      <c r="P1446" s="10" t="n"/>
      <c r="Q1446" s="10" t="n"/>
      <c r="R1446" s="10" t="n"/>
      <c r="S1446" s="10" t="n"/>
      <c r="T1446" s="10" t="n"/>
      <c r="U1446" s="10" t="n"/>
      <c r="V1446" s="10" t="n"/>
      <c r="W1446" s="10" t="n"/>
      <c r="X1446" s="10" t="n"/>
      <c r="Y1446" s="10" t="n"/>
      <c r="Z1446" s="10" t="n"/>
    </row>
    <row r="1447">
      <c r="A1447" s="27" t="inlineStr">
        <is>
          <t>codPayment.updatedByName</t>
        </is>
      </c>
      <c r="B1447" s="27" t="inlineStr">
        <is>
          <t>Người cập nhật</t>
        </is>
      </c>
      <c r="C1447" s="27" t="inlineStr">
        <is>
          <t>Updated by</t>
        </is>
      </c>
      <c r="D1447" s="21" t="inlineStr">
        <is>
          <t>អ្នកអាប់ដេត</t>
        </is>
      </c>
      <c r="E1447" s="21" t="inlineStr">
        <is>
          <t>អ្នកអាប់ដេត</t>
        </is>
      </c>
      <c r="F1447" s="10" t="n"/>
      <c r="G1447" s="10" t="inlineStr">
        <is>
          <t>អ្នកអាប់ដេត</t>
        </is>
      </c>
      <c r="H1447" s="10" t="inlineStr">
        <is>
          <t>អ្នកអាប់ដេត</t>
        </is>
      </c>
      <c r="I1447" s="10" t="n"/>
      <c r="J1447" s="10" t="n"/>
      <c r="K1447" s="10" t="inlineStr">
        <is>
          <t>"codPayment.updatedByName": "អ្នកអាប់ដេត",</t>
        </is>
      </c>
      <c r="L1447" s="10" t="n"/>
      <c r="M1447" s="10" t="n"/>
      <c r="N1447" s="10" t="n"/>
      <c r="O1447" s="10" t="n"/>
      <c r="P1447" s="10" t="n"/>
      <c r="Q1447" s="10" t="n"/>
      <c r="R1447" s="10" t="n"/>
      <c r="S1447" s="10" t="n"/>
      <c r="T1447" s="10" t="n"/>
      <c r="U1447" s="10" t="n"/>
      <c r="V1447" s="10" t="n"/>
      <c r="W1447" s="10" t="n"/>
      <c r="X1447" s="10" t="n"/>
      <c r="Y1447" s="10" t="n"/>
      <c r="Z1447" s="10" t="n"/>
    </row>
    <row r="1448">
      <c r="A1448" s="27" t="inlineStr">
        <is>
          <t>codPayment.fileAttachment</t>
        </is>
      </c>
      <c r="B1448" s="27" t="inlineStr">
        <is>
          <t>File đính kèm</t>
        </is>
      </c>
      <c r="C1448" s="27" t="inlineStr">
        <is>
          <t>Attached file</t>
        </is>
      </c>
      <c r="D1448" s="21" t="inlineStr">
        <is>
          <t>ហ្វាល់ភ្ជាប់មកជាមួយ</t>
        </is>
      </c>
      <c r="E1448" s="21" t="inlineStr">
        <is>
          <t>ហ្វាល់ភ្ជាប់មកជាមួយ</t>
        </is>
      </c>
      <c r="F1448" s="10" t="n"/>
      <c r="G1448" s="10" t="inlineStr">
        <is>
          <t>ឯកសារភ្ជាប់</t>
        </is>
      </c>
      <c r="H1448" s="10" t="inlineStr">
        <is>
          <t>ឯកសារភ្ជាប់</t>
        </is>
      </c>
      <c r="I1448" s="10" t="n"/>
      <c r="J1448" s="10" t="n"/>
      <c r="K1448" s="10" t="inlineStr">
        <is>
          <t>"codPayment.fileAttachment": "ឯកសារភ្ជាប់",</t>
        </is>
      </c>
      <c r="L1448" s="10" t="n"/>
      <c r="M1448" s="10" t="n"/>
      <c r="N1448" s="10" t="n"/>
      <c r="O1448" s="10" t="n"/>
      <c r="P1448" s="10" t="n"/>
      <c r="Q1448" s="10" t="n"/>
      <c r="R1448" s="10" t="n"/>
      <c r="S1448" s="10" t="n"/>
      <c r="T1448" s="10" t="n"/>
      <c r="U1448" s="10" t="n"/>
      <c r="V1448" s="10" t="n"/>
      <c r="W1448" s="10" t="n"/>
      <c r="X1448" s="10" t="n"/>
      <c r="Y1448" s="10" t="n"/>
      <c r="Z1448" s="10" t="n"/>
    </row>
    <row r="1449">
      <c r="A1449" s="27" t="inlineStr">
        <is>
          <t>codPayment.bankNo</t>
        </is>
      </c>
      <c r="B1449" s="27" t="inlineStr">
        <is>
          <t>Số tài khoản</t>
        </is>
      </c>
      <c r="C1449" s="27" t="inlineStr">
        <is>
          <t>Bank account</t>
        </is>
      </c>
      <c r="D1449" s="21" t="inlineStr">
        <is>
          <t>លេខគណនី</t>
        </is>
      </c>
      <c r="E1449" s="21" t="inlineStr">
        <is>
          <t>លេខគណនី</t>
        </is>
      </c>
      <c r="F1449" s="10" t="n"/>
      <c r="G1449" s="10" t="inlineStr">
        <is>
          <t>លេខគណនីធនាគារ</t>
        </is>
      </c>
      <c r="H1449" s="10" t="inlineStr">
        <is>
          <t>លេខគណនីធនាគារ</t>
        </is>
      </c>
      <c r="I1449" s="10" t="n"/>
      <c r="J1449" s="10" t="n"/>
      <c r="K1449" s="10" t="inlineStr">
        <is>
          <t>"codPayment.bankNo": "លេខគណនីធនាគារ",</t>
        </is>
      </c>
      <c r="L1449" s="10" t="n"/>
      <c r="M1449" s="10" t="n"/>
      <c r="N1449" s="10" t="n"/>
      <c r="O1449" s="10" t="n"/>
      <c r="P1449" s="10" t="n"/>
      <c r="Q1449" s="10" t="n"/>
      <c r="R1449" s="10" t="n"/>
      <c r="S1449" s="10" t="n"/>
      <c r="T1449" s="10" t="n"/>
      <c r="U1449" s="10" t="n"/>
      <c r="V1449" s="10" t="n"/>
      <c r="W1449" s="10" t="n"/>
      <c r="X1449" s="10" t="n"/>
      <c r="Y1449" s="10" t="n"/>
      <c r="Z1449" s="10" t="n"/>
    </row>
    <row r="1450">
      <c r="A1450" s="27" t="inlineStr">
        <is>
          <t>codPayment.enterStatementCode</t>
        </is>
      </c>
      <c r="B1450" s="27" t="inlineStr">
        <is>
          <t>Nhập mã bảng kê</t>
        </is>
      </c>
      <c r="C1450" s="27" t="inlineStr">
        <is>
          <t>-</t>
        </is>
      </c>
      <c r="D1450" s="21" t="inlineStr">
        <is>
          <t>បញ្ចូលលេខកូដតារាង</t>
        </is>
      </c>
      <c r="E1450" s="21" t="inlineStr">
        <is>
          <t>បញ្ចូលលេខកូដតារាង</t>
        </is>
      </c>
      <c r="F1450" s="10" t="n"/>
      <c r="G1450" s="10" t="inlineStr">
        <is>
          <t>បញ្ចូលលេខកូដតារាង</t>
        </is>
      </c>
      <c r="H1450" s="10" t="inlineStr">
        <is>
          <t>បញ្ចូលលេខកូដតារាង</t>
        </is>
      </c>
      <c r="I1450" s="10" t="n"/>
      <c r="J1450" s="10" t="n"/>
      <c r="K1450" s="10" t="inlineStr">
        <is>
          <t>"codPayment.enterStatementCode": "បញ្ចូលលេខកូដតារាង",</t>
        </is>
      </c>
      <c r="L1450" s="10" t="n"/>
      <c r="M1450" s="10" t="n"/>
      <c r="N1450" s="10" t="n"/>
      <c r="O1450" s="10" t="n"/>
      <c r="P1450" s="10" t="n"/>
      <c r="Q1450" s="10" t="n"/>
      <c r="R1450" s="10" t="n"/>
      <c r="S1450" s="10" t="n"/>
      <c r="T1450" s="10" t="n"/>
      <c r="U1450" s="10" t="n"/>
      <c r="V1450" s="10" t="n"/>
      <c r="W1450" s="10" t="n"/>
      <c r="X1450" s="10" t="n"/>
      <c r="Y1450" s="10" t="n"/>
      <c r="Z1450" s="10" t="n"/>
    </row>
    <row r="1451">
      <c r="A1451" s="27" t="inlineStr">
        <is>
          <t>codPayment.employeeDev</t>
        </is>
      </c>
      <c r="B1451" s="27" t="inlineStr">
        <is>
          <t>Nhân viên phát triển</t>
        </is>
      </c>
      <c r="C1451" s="27" t="inlineStr">
        <is>
          <t>Sale</t>
        </is>
      </c>
      <c r="D1451" s="27" t="inlineStr">
        <is>
          <t>-</t>
        </is>
      </c>
      <c r="E1451" s="102" t="inlineStr">
        <is>
          <t>បុគ្គលិកអភិវឌ្ឍន៍</t>
        </is>
      </c>
      <c r="F1451" s="10" t="n"/>
      <c r="G1451" s="10" t="inlineStr">
        <is>
          <t>បុគ្គលិកអភិវឌ្ឍន៍</t>
        </is>
      </c>
      <c r="H1451" s="10" t="inlineStr">
        <is>
          <t>បុគ្គលិកអភិវឌ្ឍន៍</t>
        </is>
      </c>
      <c r="I1451" s="10" t="n"/>
      <c r="J1451" s="10" t="n"/>
      <c r="K1451" s="10" t="inlineStr">
        <is>
          <t>"codPayment.employeeDev": "បុគ្គលិកអភិវឌ្ឍន៍",</t>
        </is>
      </c>
      <c r="L1451" s="10" t="n"/>
      <c r="M1451" s="10" t="n"/>
      <c r="N1451" s="10" t="n"/>
      <c r="O1451" s="10" t="n"/>
      <c r="P1451" s="10" t="n"/>
      <c r="Q1451" s="10" t="n"/>
      <c r="R1451" s="10" t="n"/>
      <c r="S1451" s="10" t="n"/>
      <c r="T1451" s="10" t="n"/>
      <c r="U1451" s="10" t="n"/>
      <c r="V1451" s="10" t="n"/>
      <c r="W1451" s="10" t="n"/>
      <c r="X1451" s="10" t="n"/>
      <c r="Y1451" s="10" t="n"/>
      <c r="Z1451" s="10" t="n"/>
    </row>
    <row r="1452">
      <c r="A1452" s="27" t="inlineStr">
        <is>
          <t>codPayment.enterEmployeeDev</t>
        </is>
      </c>
      <c r="B1452" s="27" t="inlineStr">
        <is>
          <t>Vui lòng nhập nhân viên phát triển</t>
        </is>
      </c>
      <c r="C1452" s="27" t="inlineStr">
        <is>
          <t>Please enter Sale</t>
        </is>
      </c>
      <c r="D1452" s="27" t="inlineStr">
        <is>
          <t>-</t>
        </is>
      </c>
      <c r="E1452" s="90" t="inlineStr">
        <is>
          <t>សូមបញ្ចូលបុគ្គលិកអភិវឌ្ឍន៍</t>
        </is>
      </c>
      <c r="F1452" s="10" t="n"/>
      <c r="G1452" s="10" t="inlineStr">
        <is>
          <t>សូមបញ្ចូលបុគ្គលិកអភិវឌ្ឍន៍</t>
        </is>
      </c>
      <c r="H1452" s="10" t="inlineStr">
        <is>
          <t>សូមបញ្ចូលបុគ្គលិកអភិវឌ្ឍន៍</t>
        </is>
      </c>
      <c r="I1452" s="10" t="n"/>
      <c r="J1452" s="10" t="n"/>
      <c r="K1452" s="10" t="inlineStr">
        <is>
          <t>"codPayment.enterEmployeeDev": "សូមបញ្ចូលបុគ្គលិកអភិវឌ្ឍន៍",</t>
        </is>
      </c>
      <c r="L1452" s="10" t="n"/>
      <c r="M1452" s="10" t="n"/>
      <c r="N1452" s="10" t="n"/>
      <c r="O1452" s="10" t="n"/>
      <c r="P1452" s="10" t="n"/>
      <c r="Q1452" s="10" t="n"/>
      <c r="R1452" s="10" t="n"/>
      <c r="S1452" s="10" t="n"/>
      <c r="T1452" s="10" t="n"/>
      <c r="U1452" s="10" t="n"/>
      <c r="V1452" s="10" t="n"/>
      <c r="W1452" s="10" t="n"/>
      <c r="X1452" s="10" t="n"/>
      <c r="Y1452" s="10" t="n"/>
      <c r="Z1452" s="10" t="n"/>
    </row>
    <row r="1453">
      <c r="A1453" s="27" t="inlineStr">
        <is>
          <t>codPayment.removeBill</t>
        </is>
      </c>
      <c r="B1453" s="27" t="inlineStr">
        <is>
          <t>Loại phiếu chi</t>
        </is>
      </c>
      <c r="C1453" s="27" t="inlineStr">
        <is>
          <t>Expense voucher type</t>
        </is>
      </c>
      <c r="D1453" s="21" t="inlineStr">
        <is>
          <t>លុបចោលបុងបញ្ញើ</t>
        </is>
      </c>
      <c r="E1453" s="102" t="inlineStr">
        <is>
          <t>ប្រភេទបុងចំណាយ</t>
        </is>
      </c>
      <c r="F1453" s="10" t="n"/>
      <c r="G1453" s="10" t="inlineStr">
        <is>
          <t>ប្រភេទបុងចំណាយ</t>
        </is>
      </c>
      <c r="H1453" s="10" t="inlineStr">
        <is>
          <t>ប្រភេទបុងចំណាយ</t>
        </is>
      </c>
      <c r="I1453" s="10" t="n"/>
      <c r="J1453" s="10" t="n"/>
      <c r="K1453" s="10" t="inlineStr">
        <is>
          <t>"codPayment.removeBill": "ប្រភេទបុងចំណាយ",</t>
        </is>
      </c>
      <c r="L1453" s="10" t="n"/>
      <c r="M1453" s="10" t="n"/>
      <c r="N1453" s="10" t="n"/>
      <c r="O1453" s="10" t="n"/>
      <c r="P1453" s="10" t="n"/>
      <c r="Q1453" s="10" t="n"/>
      <c r="R1453" s="10" t="n"/>
      <c r="S1453" s="10" t="n"/>
      <c r="T1453" s="10" t="n"/>
      <c r="U1453" s="10" t="n"/>
      <c r="V1453" s="10" t="n"/>
      <c r="W1453" s="10" t="n"/>
      <c r="X1453" s="10" t="n"/>
      <c r="Y1453" s="10" t="n"/>
      <c r="Z1453" s="10" t="n"/>
    </row>
    <row r="1454">
      <c r="A1454" s="27" t="inlineStr">
        <is>
          <t>codPayment.removeOrder</t>
        </is>
      </c>
      <c r="B1454" s="27" t="inlineStr">
        <is>
          <t>Loại vận đơn</t>
        </is>
      </c>
      <c r="C1454" s="27" t="inlineStr">
        <is>
          <t>Remove order</t>
        </is>
      </c>
      <c r="D1454" s="27" t="inlineStr">
        <is>
          <t>-</t>
        </is>
      </c>
      <c r="E1454" s="102" t="inlineStr">
        <is>
          <t>ប្រភេទការដឹកជញ្ជូន</t>
        </is>
      </c>
      <c r="F1454" s="10" t="n"/>
      <c r="G1454" s="10" t="inlineStr">
        <is>
          <t>ប្រភេទការដឹកជញ្ជូន</t>
        </is>
      </c>
      <c r="H1454" s="10" t="inlineStr">
        <is>
          <t>ប្រភេទការដឹកជញ្ជូន</t>
        </is>
      </c>
      <c r="I1454" s="10" t="n"/>
      <c r="J1454" s="10" t="n"/>
      <c r="K1454" s="10" t="inlineStr">
        <is>
          <t>"codPayment.removeOrder": "ប្រភេទការដឹកជញ្ជូន",</t>
        </is>
      </c>
      <c r="L1454" s="10" t="n"/>
      <c r="M1454" s="10" t="n"/>
      <c r="N1454" s="10" t="n"/>
      <c r="O1454" s="10" t="n"/>
      <c r="P1454" s="10" t="n"/>
      <c r="Q1454" s="10" t="n"/>
      <c r="R1454" s="10" t="n"/>
      <c r="S1454" s="10" t="n"/>
      <c r="T1454" s="10" t="n"/>
      <c r="U1454" s="10" t="n"/>
      <c r="V1454" s="10" t="n"/>
      <c r="W1454" s="10" t="n"/>
      <c r="X1454" s="10" t="n"/>
      <c r="Y1454" s="10" t="n"/>
      <c r="Z1454" s="10" t="n"/>
    </row>
    <row r="1455">
      <c r="A1455" s="27" t="inlineStr">
        <is>
          <t>codPayment.serviceAgent</t>
        </is>
      </c>
      <c r="B1455" s="27" t="inlineStr">
        <is>
          <t>Đại lý phục vụ</t>
        </is>
      </c>
      <c r="C1455" s="27" t="inlineStr">
        <is>
          <t>Serving Agent</t>
        </is>
      </c>
      <c r="D1455" s="27" t="inlineStr">
        <is>
          <t>ភ្នាក់ងារបម្រើអតិថិជន</t>
        </is>
      </c>
      <c r="E1455" s="102" t="n"/>
      <c r="F1455" s="10" t="n"/>
      <c r="G1455" s="10" t="inlineStr">
        <is>
          <t>ភ្នាក់ងារបម្រើអតិថិជន</t>
        </is>
      </c>
      <c r="H1455" s="10" t="inlineStr">
        <is>
          <t>ភ្នាក់ងារបម្រើអតិថិជន</t>
        </is>
      </c>
      <c r="I1455" s="10" t="n"/>
      <c r="J1455" s="10" t="n"/>
      <c r="K1455" s="10" t="inlineStr">
        <is>
          <t>"codPayment.serviceAgent": "ភ្នាក់ងារបម្រើអតិថិជន",</t>
        </is>
      </c>
      <c r="L1455" s="10" t="n"/>
      <c r="M1455" s="10" t="n"/>
      <c r="N1455" s="10" t="n"/>
      <c r="O1455" s="10" t="n"/>
      <c r="P1455" s="10" t="n"/>
      <c r="Q1455" s="10" t="n"/>
      <c r="R1455" s="10" t="n"/>
      <c r="S1455" s="10" t="n"/>
      <c r="T1455" s="10" t="n"/>
      <c r="U1455" s="10" t="n"/>
      <c r="V1455" s="10" t="n"/>
      <c r="W1455" s="10" t="n"/>
      <c r="X1455" s="10" t="n"/>
      <c r="Y1455" s="10" t="n"/>
      <c r="Z1455" s="10" t="n"/>
    </row>
    <row r="1456">
      <c r="A1456" s="27" t="inlineStr">
        <is>
          <t>codPayment.agentName</t>
        </is>
      </c>
      <c r="B1456" s="27" t="inlineStr">
        <is>
          <t>Tên đại lý</t>
        </is>
      </c>
      <c r="C1456" s="27" t="inlineStr">
        <is>
          <t>Agent Name</t>
        </is>
      </c>
      <c r="D1456" s="27" t="inlineStr">
        <is>
          <t>ឈ្មោះភ្នាក់ងារ</t>
        </is>
      </c>
      <c r="E1456" s="102" t="n"/>
      <c r="F1456" s="10" t="n"/>
      <c r="G1456" s="10" t="inlineStr">
        <is>
          <t>ឈ្មោះភ្នាក់ងារ</t>
        </is>
      </c>
      <c r="H1456" s="10" t="inlineStr">
        <is>
          <t>ឈ្មោះភ្នាក់ងារ</t>
        </is>
      </c>
      <c r="I1456" s="10" t="n"/>
      <c r="J1456" s="10" t="n"/>
      <c r="K1456" s="10" t="inlineStr">
        <is>
          <t>"codPayment.agentName": "ឈ្មោះភ្នាក់ងារ",</t>
        </is>
      </c>
      <c r="L1456" s="10" t="n"/>
      <c r="M1456" s="10" t="n"/>
      <c r="N1456" s="10" t="n"/>
      <c r="O1456" s="10" t="n"/>
      <c r="P1456" s="10" t="n"/>
      <c r="Q1456" s="10" t="n"/>
      <c r="R1456" s="10" t="n"/>
      <c r="S1456" s="10" t="n"/>
      <c r="T1456" s="10" t="n"/>
      <c r="U1456" s="10" t="n"/>
      <c r="V1456" s="10" t="n"/>
      <c r="W1456" s="10" t="n"/>
      <c r="X1456" s="10" t="n"/>
      <c r="Y1456" s="10" t="n"/>
      <c r="Z1456" s="10" t="n"/>
    </row>
    <row r="1457">
      <c r="A1457" s="27" t="inlineStr">
        <is>
          <t>codPayment.taxInfo</t>
        </is>
      </c>
      <c r="B1457" s="27" t="inlineStr">
        <is>
          <t>Thông tin thuế</t>
        </is>
      </c>
      <c r="C1457" s="27" t="inlineStr">
        <is>
          <t>Tax Information</t>
        </is>
      </c>
      <c r="D1457" s="27" t="inlineStr">
        <is>
          <t>ព័ត៌មានពន្ធ</t>
        </is>
      </c>
      <c r="E1457" s="102" t="n"/>
      <c r="F1457" s="10" t="n"/>
      <c r="G1457" s="10" t="inlineStr">
        <is>
          <t>ព័ត៌មានពន្ធ</t>
        </is>
      </c>
      <c r="H1457" s="10" t="inlineStr">
        <is>
          <t>ព័ត៌មានពន្ធ</t>
        </is>
      </c>
      <c r="I1457" s="10" t="n"/>
      <c r="J1457" s="10" t="n"/>
      <c r="K1457" s="10" t="inlineStr">
        <is>
          <t>"codPayment.taxInfo": "ព័ត៌មានពន្ធ",</t>
        </is>
      </c>
      <c r="L1457" s="10" t="n"/>
      <c r="M1457" s="10" t="n"/>
      <c r="N1457" s="10" t="n"/>
      <c r="O1457" s="10" t="n"/>
      <c r="P1457" s="10" t="n"/>
      <c r="Q1457" s="10" t="n"/>
      <c r="R1457" s="10" t="n"/>
      <c r="S1457" s="10" t="n"/>
      <c r="T1457" s="10" t="n"/>
      <c r="U1457" s="10" t="n"/>
      <c r="V1457" s="10" t="n"/>
      <c r="W1457" s="10" t="n"/>
      <c r="X1457" s="10" t="n"/>
      <c r="Y1457" s="10" t="n"/>
      <c r="Z1457" s="10" t="n"/>
    </row>
    <row r="1458">
      <c r="A1458" s="27" t="inlineStr">
        <is>
          <t>codPayment.category</t>
        </is>
      </c>
      <c r="B1458" s="27" t="inlineStr">
        <is>
          <t>Phân loại</t>
        </is>
      </c>
      <c r="C1458" s="27" t="inlineStr">
        <is>
          <t>Type</t>
        </is>
      </c>
      <c r="D1458" s="27" t="inlineStr">
        <is>
          <t>បែងចែកប្រភេទfv</t>
        </is>
      </c>
      <c r="E1458" s="102" t="n"/>
      <c r="F1458" s="10" t="n"/>
      <c r="G1458" s="10" t="inlineStr">
        <is>
          <t>បែងចែកប្រភេទfv</t>
        </is>
      </c>
      <c r="H1458" s="10" t="inlineStr">
        <is>
          <t>បែងចែកប្រភេទfv</t>
        </is>
      </c>
      <c r="I1458" s="10" t="n"/>
      <c r="J1458" s="10" t="n"/>
      <c r="K1458" s="10" t="inlineStr">
        <is>
          <t>"codPayment.category": "បែងចែកប្រភេទfv",</t>
        </is>
      </c>
      <c r="L1458" s="10" t="n"/>
      <c r="M1458" s="10" t="n"/>
      <c r="N1458" s="10" t="n"/>
      <c r="O1458" s="10" t="n"/>
      <c r="P1458" s="10" t="n"/>
      <c r="Q1458" s="10" t="n"/>
      <c r="R1458" s="10" t="n"/>
      <c r="S1458" s="10" t="n"/>
      <c r="T1458" s="10" t="n"/>
      <c r="U1458" s="10" t="n"/>
      <c r="V1458" s="10" t="n"/>
      <c r="W1458" s="10" t="n"/>
      <c r="X1458" s="10" t="n"/>
      <c r="Y1458" s="10" t="n"/>
      <c r="Z1458" s="10" t="n"/>
    </row>
    <row r="1459">
      <c r="A1459" s="27" t="inlineStr">
        <is>
          <t>codPayment.fileAlreadyExists</t>
        </is>
      </c>
      <c r="B1459" s="106" t="inlineStr">
        <is>
          <t>Tệp &lt;highlight&gt;{{value}}&lt;/highlight&gt; đã tồn tại. Bạn có muốn thay thế không?</t>
        </is>
      </c>
      <c r="C1459" s="106" t="inlineStr">
        <is>
          <t>The file &lt;highlight&gt;{{value}}&lt;/highlight&gt; already exists. Do you want to replace it?</t>
        </is>
      </c>
      <c r="D1459" s="106" t="inlineStr">
        <is>
          <t>ហ្វាល &lt;highlight&gt;{{value}}&lt;/highlight&gt; មានរួចហើយ។ តើអ្នកចង់ជំនួសដែរឬទេ?</t>
        </is>
      </c>
      <c r="E1459" s="102" t="n"/>
      <c r="F1459" s="10" t="n"/>
      <c r="G1459" s="10" t="inlineStr">
        <is>
          <t>ហ្វាល &lt;highlight&gt;{{value}}&lt;/highlight&gt; មានរួចហើយ។ តើអ្នកចង់ជំនួសដែរឬទេ?</t>
        </is>
      </c>
      <c r="H1459" s="10" t="inlineStr">
        <is>
          <t>ហ្វាល &lt;highlight&gt;{{value}}&lt;/highlight&gt; មានរួចហើយ។ តើអ្នកចង់ជំនួសដែរឬទេ?</t>
        </is>
      </c>
      <c r="I1459" s="10" t="n"/>
      <c r="J1459" s="10" t="n"/>
      <c r="K1459" s="10" t="inlineStr">
        <is>
          <t>"codPayment.fileAlreadyExists": "ហ្វាល &lt;highlight&gt;{{value}}&lt;/highlight&gt; មានរួចហើយ។ តើអ្នកចង់ជំនួសដែរឬទេ?",</t>
        </is>
      </c>
      <c r="L1459" s="10" t="n"/>
      <c r="M1459" s="10" t="n"/>
      <c r="N1459" s="10" t="n"/>
      <c r="O1459" s="10" t="n"/>
      <c r="P1459" s="10" t="n"/>
      <c r="Q1459" s="10" t="n"/>
      <c r="R1459" s="10" t="n"/>
      <c r="S1459" s="10" t="n"/>
      <c r="T1459" s="10" t="n"/>
      <c r="U1459" s="10" t="n"/>
      <c r="V1459" s="10" t="n"/>
      <c r="W1459" s="10" t="n"/>
      <c r="X1459" s="10" t="n"/>
      <c r="Y1459" s="10" t="n"/>
      <c r="Z1459" s="10" t="n"/>
    </row>
    <row r="1460">
      <c r="A1460" s="27" t="inlineStr">
        <is>
          <t>codPayment.bankUpdateTime</t>
        </is>
      </c>
      <c r="B1460" s="27" t="inlineStr">
        <is>
          <t>Thời gian cập nhật bank</t>
        </is>
      </c>
      <c r="C1460" s="27" t="inlineStr">
        <is>
          <t>Bank Info Update Time</t>
        </is>
      </c>
      <c r="D1460" s="27" t="inlineStr">
        <is>
          <t>ពេលវេលាអាប់ដេតធនាគារ</t>
        </is>
      </c>
      <c r="E1460" s="102" t="n"/>
      <c r="F1460" s="10" t="n"/>
      <c r="G1460" s="10" t="inlineStr">
        <is>
          <t>ពេលវេលាអាប់ដេតធនាគារ</t>
        </is>
      </c>
      <c r="H1460" s="10" t="inlineStr">
        <is>
          <t>ពេលវេលាអាប់ដេតធនាគារ</t>
        </is>
      </c>
      <c r="I1460" s="10" t="n"/>
      <c r="J1460" s="10" t="n"/>
      <c r="K1460" s="10" t="inlineStr">
        <is>
          <t>"codPayment.bankUpdateTime": "ពេលវេលាអាប់ដេតធនាគារ",</t>
        </is>
      </c>
      <c r="L1460" s="10" t="n"/>
      <c r="M1460" s="10" t="n"/>
      <c r="N1460" s="10" t="n"/>
      <c r="O1460" s="10" t="n"/>
      <c r="P1460" s="10" t="n"/>
      <c r="Q1460" s="10" t="n"/>
      <c r="R1460" s="10" t="n"/>
      <c r="S1460" s="10" t="n"/>
      <c r="T1460" s="10" t="n"/>
      <c r="U1460" s="10" t="n"/>
      <c r="V1460" s="10" t="n"/>
      <c r="W1460" s="10" t="n"/>
      <c r="X1460" s="10" t="n"/>
      <c r="Y1460" s="10" t="n"/>
      <c r="Z1460" s="10" t="n"/>
    </row>
    <row r="1461">
      <c r="A1461" s="27" t="inlineStr">
        <is>
          <t>codPayment.serviceAgentUpdateTime</t>
        </is>
      </c>
      <c r="B1461" s="27" t="inlineStr">
        <is>
          <t>Thời gian cập nhật đại lý</t>
        </is>
      </c>
      <c r="C1461" s="27" t="inlineStr">
        <is>
          <t>Service Agent Update Time</t>
        </is>
      </c>
      <c r="D1461" s="27" t="inlineStr">
        <is>
          <t>ពេលវេលាអាប់ដេតភ្នាក់ងារ</t>
        </is>
      </c>
      <c r="E1461" s="102" t="n"/>
      <c r="F1461" s="10" t="n"/>
      <c r="G1461" s="10" t="inlineStr">
        <is>
          <t>ពេលវេលាអាប់ដេតភ្នាក់ងារ</t>
        </is>
      </c>
      <c r="H1461" s="10" t="inlineStr">
        <is>
          <t>ពេលវេលាអាប់ដេតភ្នាក់ងារ</t>
        </is>
      </c>
      <c r="I1461" s="10" t="n"/>
      <c r="J1461" s="10" t="n"/>
      <c r="K1461" s="10" t="inlineStr">
        <is>
          <t>"codPayment.serviceAgentUpdateTime": "ពេលវេលាអាប់ដេតភ្នាក់ងារ",</t>
        </is>
      </c>
      <c r="L1461" s="10" t="n"/>
      <c r="M1461" s="10" t="n"/>
      <c r="N1461" s="10" t="n"/>
      <c r="O1461" s="10" t="n"/>
      <c r="P1461" s="10" t="n"/>
      <c r="Q1461" s="10" t="n"/>
      <c r="R1461" s="10" t="n"/>
      <c r="S1461" s="10" t="n"/>
      <c r="T1461" s="10" t="n"/>
      <c r="U1461" s="10" t="n"/>
      <c r="V1461" s="10" t="n"/>
      <c r="W1461" s="10" t="n"/>
      <c r="X1461" s="10" t="n"/>
      <c r="Y1461" s="10" t="n"/>
      <c r="Z1461" s="10" t="n"/>
    </row>
    <row r="1462">
      <c r="A1462" s="27" t="inlineStr">
        <is>
          <t>codPayment.pleaseSelectCurrency</t>
        </is>
      </c>
      <c r="B1462" s="27" t="n"/>
      <c r="C1462" s="27" t="n"/>
      <c r="D1462" s="27" t="n"/>
      <c r="E1462" s="102" t="n"/>
      <c r="F1462" s="10" t="n"/>
      <c r="G1462" s="10" t="inlineStr"/>
      <c r="H1462" s="10" t="inlineStr"/>
      <c r="I1462" s="10" t="n"/>
      <c r="J1462" s="10" t="n"/>
      <c r="K1462" s="10" t="inlineStr">
        <is>
          <t>"codPayment.pleaseSelectCurrency": "",</t>
        </is>
      </c>
      <c r="L1462" s="10" t="n"/>
      <c r="M1462" s="10" t="n"/>
      <c r="N1462" s="10" t="n"/>
      <c r="O1462" s="10" t="n"/>
      <c r="P1462" s="10" t="n"/>
      <c r="Q1462" s="10" t="n"/>
      <c r="R1462" s="10" t="n"/>
      <c r="S1462" s="10" t="n"/>
      <c r="T1462" s="10" t="n"/>
      <c r="U1462" s="10" t="n"/>
      <c r="V1462" s="10" t="n"/>
      <c r="W1462" s="10" t="n"/>
      <c r="X1462" s="10" t="n"/>
      <c r="Y1462" s="10" t="n"/>
      <c r="Z1462" s="10" t="n"/>
    </row>
    <row r="1463">
      <c r="A1463" s="27" t="inlineStr">
        <is>
          <t>statusCodPayment.new</t>
        </is>
      </c>
      <c r="B1463" s="27" t="inlineStr">
        <is>
          <t>Tạo mới</t>
        </is>
      </c>
      <c r="C1463" s="27" t="inlineStr">
        <is>
          <t>New</t>
        </is>
      </c>
      <c r="D1463" s="21" t="inlineStr">
        <is>
          <t>បង្កើតថ្មី</t>
        </is>
      </c>
      <c r="E1463" s="102" t="inlineStr">
        <is>
          <t>បង្កើតថ្មី</t>
        </is>
      </c>
      <c r="F1463" s="10" t="n"/>
      <c r="G1463" s="10" t="inlineStr">
        <is>
          <t>បង្កើតថ្មី</t>
        </is>
      </c>
      <c r="H1463" s="10" t="inlineStr">
        <is>
          <t>បង្កើតថ្មី</t>
        </is>
      </c>
      <c r="I1463" s="10" t="n"/>
      <c r="J1463" s="10" t="n"/>
      <c r="K1463" s="10" t="inlineStr">
        <is>
          <t>"statusCodPayment.new": "បង្កើតថ្មី",</t>
        </is>
      </c>
      <c r="L1463" s="10" t="n"/>
      <c r="M1463" s="10" t="n"/>
      <c r="N1463" s="10" t="n"/>
      <c r="O1463" s="10" t="n"/>
      <c r="P1463" s="10" t="n"/>
      <c r="Q1463" s="10" t="n"/>
      <c r="R1463" s="10" t="n"/>
      <c r="S1463" s="10" t="n"/>
      <c r="T1463" s="10" t="n"/>
      <c r="U1463" s="10" t="n"/>
      <c r="V1463" s="10" t="n"/>
      <c r="W1463" s="10" t="n"/>
      <c r="X1463" s="10" t="n"/>
      <c r="Y1463" s="10" t="n"/>
      <c r="Z1463" s="10" t="n"/>
    </row>
    <row r="1464">
      <c r="A1464" s="27" t="inlineStr">
        <is>
          <t>statusCodPayment.lock</t>
        </is>
      </c>
      <c r="B1464" s="27" t="inlineStr">
        <is>
          <t>Chốt chi</t>
        </is>
      </c>
      <c r="C1464" s="27" t="inlineStr">
        <is>
          <t>Locked for payment</t>
        </is>
      </c>
      <c r="D1464" s="102" t="n"/>
      <c r="E1464" s="102" t="inlineStr">
        <is>
          <t>បិទការចំណាយ</t>
        </is>
      </c>
      <c r="F1464" s="10" t="n"/>
      <c r="G1464" s="10" t="inlineStr">
        <is>
          <t>បិទបញ្ជីទូទាត់</t>
        </is>
      </c>
      <c r="H1464" s="10" t="inlineStr">
        <is>
          <t>បិទបញ្ជីទូទាត់</t>
        </is>
      </c>
      <c r="I1464" s="10" t="n"/>
      <c r="J1464" s="10" t="n"/>
      <c r="K1464" s="10" t="inlineStr">
        <is>
          <t>"statusCodPayment.lock": "បិទបញ្ជីទូទាត់",</t>
        </is>
      </c>
      <c r="L1464" s="10" t="n"/>
      <c r="M1464" s="10" t="n"/>
      <c r="N1464" s="10" t="n"/>
      <c r="O1464" s="10" t="n"/>
      <c r="P1464" s="10" t="n"/>
      <c r="Q1464" s="10" t="n"/>
      <c r="R1464" s="10" t="n"/>
      <c r="S1464" s="10" t="n"/>
      <c r="T1464" s="10" t="n"/>
      <c r="U1464" s="10" t="n"/>
      <c r="V1464" s="10" t="n"/>
      <c r="W1464" s="10" t="n"/>
      <c r="X1464" s="10" t="n"/>
      <c r="Y1464" s="10" t="n"/>
      <c r="Z1464" s="10" t="n"/>
    </row>
    <row r="1465">
      <c r="A1465" s="27" t="inlineStr">
        <is>
          <t>statusCodPayment.waiting</t>
        </is>
      </c>
      <c r="B1465" s="27" t="inlineStr">
        <is>
          <t>Chờ chi</t>
        </is>
      </c>
      <c r="C1465" s="27" t="inlineStr">
        <is>
          <t>Pending Payment</t>
        </is>
      </c>
      <c r="D1465" s="102" t="n"/>
      <c r="E1465" s="102" t="inlineStr">
        <is>
          <t>រង់ចាំការចំណាយ</t>
        </is>
      </c>
      <c r="F1465" s="10" t="n"/>
      <c r="G1465" s="10" t="inlineStr">
        <is>
          <t>រង់ចាំទូទាត់</t>
        </is>
      </c>
      <c r="H1465" s="10" t="inlineStr">
        <is>
          <t>រង់ចាំទូទាត់</t>
        </is>
      </c>
      <c r="I1465" s="10" t="n"/>
      <c r="J1465" s="10" t="n"/>
      <c r="K1465" s="10" t="inlineStr">
        <is>
          <t>"statusCodPayment.waiting": "រង់ចាំទូទាត់",</t>
        </is>
      </c>
      <c r="L1465" s="10" t="n"/>
      <c r="M1465" s="10" t="n"/>
      <c r="N1465" s="10" t="n"/>
      <c r="O1465" s="10" t="n"/>
      <c r="P1465" s="10" t="n"/>
      <c r="Q1465" s="10" t="n"/>
      <c r="R1465" s="10" t="n"/>
      <c r="S1465" s="10" t="n"/>
      <c r="T1465" s="10" t="n"/>
      <c r="U1465" s="10" t="n"/>
      <c r="V1465" s="10" t="n"/>
      <c r="W1465" s="10" t="n"/>
      <c r="X1465" s="10" t="n"/>
      <c r="Y1465" s="10" t="n"/>
      <c r="Z1465" s="10" t="n"/>
    </row>
    <row r="1466">
      <c r="A1466" s="27" t="inlineStr">
        <is>
          <t>statusCodPayment.done</t>
        </is>
      </c>
      <c r="B1466" s="27" t="inlineStr">
        <is>
          <t>Đã chi</t>
        </is>
      </c>
      <c r="C1466" s="27" t="inlineStr">
        <is>
          <t>Paid</t>
        </is>
      </c>
      <c r="D1466" s="21" t="inlineStr">
        <is>
          <t>បានចំណាយ</t>
        </is>
      </c>
      <c r="E1466" s="102" t="inlineStr">
        <is>
          <t>បានចំណាយ</t>
        </is>
      </c>
      <c r="F1466" s="10" t="n"/>
      <c r="G1466" s="10" t="inlineStr">
        <is>
          <t>បានទូទាត់ចំណាយ</t>
        </is>
      </c>
      <c r="H1466" s="10" t="inlineStr">
        <is>
          <t>បានទូទាត់ចំណាយ</t>
        </is>
      </c>
      <c r="I1466" s="10" t="n"/>
      <c r="J1466" s="10" t="n"/>
      <c r="K1466" s="10" t="inlineStr">
        <is>
          <t>"statusCodPayment.done": "បានទូទាត់ចំណាយ",</t>
        </is>
      </c>
      <c r="L1466" s="10" t="n"/>
      <c r="M1466" s="10" t="n"/>
      <c r="N1466" s="10" t="n"/>
      <c r="O1466" s="10" t="n"/>
      <c r="P1466" s="10" t="n"/>
      <c r="Q1466" s="10" t="n"/>
      <c r="R1466" s="10" t="n"/>
      <c r="S1466" s="10" t="n"/>
      <c r="T1466" s="10" t="n"/>
      <c r="U1466" s="10" t="n"/>
      <c r="V1466" s="10" t="n"/>
      <c r="W1466" s="10" t="n"/>
      <c r="X1466" s="10" t="n"/>
      <c r="Y1466" s="10" t="n"/>
      <c r="Z1466" s="10" t="n"/>
    </row>
    <row r="1467">
      <c r="A1467" s="27" t="inlineStr">
        <is>
          <t>statusCodPayment.fail</t>
        </is>
      </c>
      <c r="B1467" s="27" t="inlineStr">
        <is>
          <t>Thất bại</t>
        </is>
      </c>
      <c r="C1467" s="27" t="inlineStr">
        <is>
          <t>Failed</t>
        </is>
      </c>
      <c r="D1467" s="21" t="inlineStr">
        <is>
          <t>បរាជ័យ</t>
        </is>
      </c>
      <c r="E1467" s="102" t="inlineStr">
        <is>
          <t>បរាជ័យ</t>
        </is>
      </c>
      <c r="F1467" s="10" t="n"/>
      <c r="G1467" s="10" t="inlineStr">
        <is>
          <t>បរាជ័យ</t>
        </is>
      </c>
      <c r="H1467" s="10" t="inlineStr">
        <is>
          <t>បរាជ័យ</t>
        </is>
      </c>
      <c r="I1467" s="10" t="n"/>
      <c r="J1467" s="10" t="n"/>
      <c r="K1467" s="10" t="inlineStr">
        <is>
          <t>"statusCodPayment.fail": "បរាជ័យ",</t>
        </is>
      </c>
      <c r="L1467" s="10" t="n"/>
      <c r="M1467" s="10" t="n"/>
      <c r="N1467" s="10" t="n"/>
      <c r="O1467" s="10" t="n"/>
      <c r="P1467" s="10" t="n"/>
      <c r="Q1467" s="10" t="n"/>
      <c r="R1467" s="10" t="n"/>
      <c r="S1467" s="10" t="n"/>
      <c r="T1467" s="10" t="n"/>
      <c r="U1467" s="10" t="n"/>
      <c r="V1467" s="10" t="n"/>
      <c r="W1467" s="10" t="n"/>
      <c r="X1467" s="10" t="n"/>
      <c r="Y1467" s="10" t="n"/>
      <c r="Z1467" s="10" t="n"/>
    </row>
    <row r="1468">
      <c r="A1468" s="27" t="inlineStr">
        <is>
          <t>statusCodPayment.reject</t>
        </is>
      </c>
      <c r="B1468" s="27" t="inlineStr">
        <is>
          <t>Từ chối</t>
        </is>
      </c>
      <c r="C1468" s="27" t="inlineStr">
        <is>
          <t>Rejected</t>
        </is>
      </c>
      <c r="D1468" s="21" t="inlineStr">
        <is>
          <t>បដិសេដ</t>
        </is>
      </c>
      <c r="E1468" s="102" t="inlineStr">
        <is>
          <t>បដិសេដ</t>
        </is>
      </c>
      <c r="F1468" s="10" t="n"/>
      <c r="G1468" s="10" t="inlineStr">
        <is>
          <t>បដិសេធ</t>
        </is>
      </c>
      <c r="H1468" s="10" t="inlineStr">
        <is>
          <t>បដិសេធ</t>
        </is>
      </c>
      <c r="I1468" s="10" t="n"/>
      <c r="J1468" s="10" t="n"/>
      <c r="K1468" s="10" t="inlineStr">
        <is>
          <t>"statusCodPayment.reject": "បដិសេធ",</t>
        </is>
      </c>
      <c r="L1468" s="10" t="n"/>
      <c r="M1468" s="10" t="n"/>
      <c r="N1468" s="10" t="n"/>
      <c r="O1468" s="10" t="n"/>
      <c r="P1468" s="10" t="n"/>
      <c r="Q1468" s="10" t="n"/>
      <c r="R1468" s="10" t="n"/>
      <c r="S1468" s="10" t="n"/>
      <c r="T1468" s="10" t="n"/>
      <c r="U1468" s="10" t="n"/>
      <c r="V1468" s="10" t="n"/>
      <c r="W1468" s="10" t="n"/>
      <c r="X1468" s="10" t="n"/>
      <c r="Y1468" s="10" t="n"/>
      <c r="Z1468" s="10" t="n"/>
    </row>
    <row r="1469">
      <c r="A1469" s="27" t="inlineStr">
        <is>
          <t>statusCodPayment.success</t>
        </is>
      </c>
      <c r="B1469" s="27" t="inlineStr">
        <is>
          <t>Thành công</t>
        </is>
      </c>
      <c r="C1469" s="27" t="inlineStr">
        <is>
          <t>Succeeded</t>
        </is>
      </c>
      <c r="D1469" s="21" t="inlineStr">
        <is>
          <t>ជោគជ័យ</t>
        </is>
      </c>
      <c r="E1469" s="102" t="inlineStr">
        <is>
          <t>ជោគជ័យ</t>
        </is>
      </c>
      <c r="F1469" s="10" t="n"/>
      <c r="G1469" s="10" t="inlineStr">
        <is>
          <t>ជោគជ័យ</t>
        </is>
      </c>
      <c r="H1469" s="10" t="inlineStr">
        <is>
          <t>ជោគជ័យ</t>
        </is>
      </c>
      <c r="I1469" s="10" t="n"/>
      <c r="J1469" s="10" t="n"/>
      <c r="K1469" s="10" t="inlineStr">
        <is>
          <t>"statusCodPayment.success": "ជោគជ័យ",</t>
        </is>
      </c>
      <c r="L1469" s="10" t="n"/>
      <c r="M1469" s="10" t="n"/>
      <c r="N1469" s="10" t="n"/>
      <c r="O1469" s="10" t="n"/>
      <c r="P1469" s="10" t="n"/>
      <c r="Q1469" s="10" t="n"/>
      <c r="R1469" s="10" t="n"/>
      <c r="S1469" s="10" t="n"/>
      <c r="T1469" s="10" t="n"/>
      <c r="U1469" s="10" t="n"/>
      <c r="V1469" s="10" t="n"/>
      <c r="W1469" s="10" t="n"/>
      <c r="X1469" s="10" t="n"/>
      <c r="Y1469" s="10" t="n"/>
      <c r="Z1469" s="10" t="n"/>
    </row>
    <row r="1470">
      <c r="A1470" s="27" t="inlineStr">
        <is>
          <t>statusCodPayment.payFail</t>
        </is>
      </c>
      <c r="B1470" s="27" t="inlineStr">
        <is>
          <t>Chi thất bại</t>
        </is>
      </c>
      <c r="C1470" s="27" t="inlineStr">
        <is>
          <t>Payment failed</t>
        </is>
      </c>
      <c r="D1470" s="21" t="inlineStr">
        <is>
          <t>ការចំណាយបរាជ័យ</t>
        </is>
      </c>
      <c r="E1470" s="21" t="inlineStr">
        <is>
          <t>ការចំណាយបរាជ័យ</t>
        </is>
      </c>
      <c r="F1470" s="10" t="n"/>
      <c r="G1470" s="10" t="inlineStr">
        <is>
          <t>ទូទាត់មិនបានសម្រេច</t>
        </is>
      </c>
      <c r="H1470" s="10" t="inlineStr">
        <is>
          <t>ទូទាត់មិនបានសម្រេច</t>
        </is>
      </c>
      <c r="I1470" s="10" t="n"/>
      <c r="J1470" s="10" t="n"/>
      <c r="K1470" s="10" t="inlineStr">
        <is>
          <t>"statusCodPayment.payFail": "ទូទាត់មិនបានសម្រេច",</t>
        </is>
      </c>
      <c r="L1470" s="10" t="n"/>
      <c r="M1470" s="10" t="n"/>
      <c r="N1470" s="10" t="n"/>
      <c r="O1470" s="10" t="n"/>
      <c r="P1470" s="10" t="n"/>
      <c r="Q1470" s="10" t="n"/>
      <c r="R1470" s="10" t="n"/>
      <c r="S1470" s="10" t="n"/>
      <c r="T1470" s="10" t="n"/>
      <c r="U1470" s="10" t="n"/>
      <c r="V1470" s="10" t="n"/>
      <c r="W1470" s="10" t="n"/>
      <c r="X1470" s="10" t="n"/>
      <c r="Y1470" s="10" t="n"/>
      <c r="Z1470" s="10" t="n"/>
    </row>
    <row r="1471">
      <c r="A1471" s="27" t="inlineStr">
        <is>
          <t>statusCodPayment.exitsContract</t>
        </is>
      </c>
      <c r="B1471" s="27" t="inlineStr">
        <is>
          <t>Đã khai báo</t>
        </is>
      </c>
      <c r="C1471" s="27" t="inlineStr">
        <is>
          <t>Information Submitted</t>
        </is>
      </c>
      <c r="D1471" s="102" t="n"/>
      <c r="E1471" s="99" t="inlineStr">
        <is>
          <t>បានប្រកាសរួចហើយ</t>
        </is>
      </c>
      <c r="F1471" s="10" t="n"/>
      <c r="G1471" s="10" t="inlineStr">
        <is>
          <t>បានប្រកាសរួចហើយ</t>
        </is>
      </c>
      <c r="H1471" s="10" t="inlineStr">
        <is>
          <t>បានប្រកាសរួចហើយ</t>
        </is>
      </c>
      <c r="I1471" s="10" t="n"/>
      <c r="J1471" s="10" t="n"/>
      <c r="K1471" s="10" t="inlineStr">
        <is>
          <t>"statusCodPayment.exitsContract": "បានប្រកាសរួចហើយ",</t>
        </is>
      </c>
      <c r="L1471" s="10" t="n"/>
      <c r="M1471" s="10" t="n"/>
      <c r="N1471" s="10" t="n"/>
      <c r="O1471" s="10" t="n"/>
      <c r="P1471" s="10" t="n"/>
      <c r="Q1471" s="10" t="n"/>
      <c r="R1471" s="10" t="n"/>
      <c r="S1471" s="10" t="n"/>
      <c r="T1471" s="10" t="n"/>
      <c r="U1471" s="10" t="n"/>
      <c r="V1471" s="10" t="n"/>
      <c r="W1471" s="10" t="n"/>
      <c r="X1471" s="10" t="n"/>
      <c r="Y1471" s="10" t="n"/>
      <c r="Z1471" s="10" t="n"/>
    </row>
    <row r="1472">
      <c r="A1472" s="27" t="inlineStr">
        <is>
          <t>statusCodPayment.notExitsContract</t>
        </is>
      </c>
      <c r="B1472" s="27" t="inlineStr">
        <is>
          <t>Chưa khai báo</t>
        </is>
      </c>
      <c r="C1472" s="27" t="inlineStr">
        <is>
          <t>Information Not Submitted</t>
        </is>
      </c>
      <c r="D1472" s="102" t="n"/>
      <c r="E1472" s="102" t="inlineStr">
        <is>
          <t>មិនទាន់បានប្រកាស</t>
        </is>
      </c>
      <c r="F1472" s="10" t="n"/>
      <c r="G1472" s="10" t="inlineStr">
        <is>
          <t>មិនទាន់បានប្រកាស</t>
        </is>
      </c>
      <c r="H1472" s="10" t="inlineStr">
        <is>
          <t>មិនទាន់បានប្រកាស</t>
        </is>
      </c>
      <c r="I1472" s="10" t="n"/>
      <c r="J1472" s="10" t="n"/>
      <c r="K1472" s="10" t="inlineStr">
        <is>
          <t>"statusCodPayment.notExitsContract": "មិនទាន់បានប្រកាស",</t>
        </is>
      </c>
      <c r="L1472" s="10" t="n"/>
      <c r="M1472" s="10" t="n"/>
      <c r="N1472" s="10" t="n"/>
      <c r="O1472" s="10" t="n"/>
      <c r="P1472" s="10" t="n"/>
      <c r="Q1472" s="10" t="n"/>
      <c r="R1472" s="10" t="n"/>
      <c r="S1472" s="10" t="n"/>
      <c r="T1472" s="10" t="n"/>
      <c r="U1472" s="10" t="n"/>
      <c r="V1472" s="10" t="n"/>
      <c r="W1472" s="10" t="n"/>
      <c r="X1472" s="10" t="n"/>
      <c r="Y1472" s="10" t="n"/>
      <c r="Z1472" s="10" t="n"/>
    </row>
    <row r="1473">
      <c r="A1473" s="27" t="inlineStr">
        <is>
          <t>statusCodPayment.delUnc</t>
        </is>
      </c>
      <c r="B1473" s="27" t="inlineStr">
        <is>
          <t>Xóa UNC</t>
        </is>
      </c>
      <c r="C1473" s="27" t="inlineStr">
        <is>
          <t>Delete payment order</t>
        </is>
      </c>
      <c r="D1473" s="21" t="inlineStr">
        <is>
          <t>លុប UNC</t>
        </is>
      </c>
      <c r="E1473" s="21" t="inlineStr">
        <is>
          <t>លុប UNC</t>
        </is>
      </c>
      <c r="F1473" s="10" t="n"/>
      <c r="G1473" s="10" t="inlineStr">
        <is>
          <t>លុប UNC</t>
        </is>
      </c>
      <c r="H1473" s="10" t="inlineStr">
        <is>
          <t>លុប UNC</t>
        </is>
      </c>
      <c r="I1473" s="10" t="n"/>
      <c r="J1473" s="10" t="n"/>
      <c r="K1473" s="10" t="inlineStr">
        <is>
          <t>"statusCodPayment.delUnc": "លុប UNC",</t>
        </is>
      </c>
      <c r="L1473" s="10" t="n"/>
      <c r="M1473" s="10" t="n"/>
      <c r="N1473" s="10" t="n"/>
      <c r="O1473" s="10" t="n"/>
      <c r="P1473" s="10" t="n"/>
      <c r="Q1473" s="10" t="n"/>
      <c r="R1473" s="10" t="n"/>
      <c r="S1473" s="10" t="n"/>
      <c r="T1473" s="10" t="n"/>
      <c r="U1473" s="10" t="n"/>
      <c r="V1473" s="10" t="n"/>
      <c r="W1473" s="10" t="n"/>
      <c r="X1473" s="10" t="n"/>
      <c r="Y1473" s="10" t="n"/>
      <c r="Z1473" s="10" t="n"/>
    </row>
    <row r="1474">
      <c r="A1474" s="27" t="inlineStr">
        <is>
          <t>statusCodPayment.delStatementUnc</t>
        </is>
      </c>
      <c r="B1474" s="27" t="inlineStr">
        <is>
          <t>Xóa bảng kê ra khỏi phiếu chi</t>
        </is>
      </c>
      <c r="C1474" s="27" t="inlineStr">
        <is>
          <t>Remove list from payment order</t>
        </is>
      </c>
      <c r="D1474" s="21" t="inlineStr">
        <is>
          <t>លុុបតារាងចេញពីបុងចំណាយ</t>
        </is>
      </c>
      <c r="E1474" s="21" t="inlineStr">
        <is>
          <t>លុុបតារាងចេញពីបុងចំណាយ</t>
        </is>
      </c>
      <c r="F1474" s="10" t="n"/>
      <c r="G1474" s="10" t="inlineStr">
        <is>
          <t>លុុបតារាងចេញពីបុងចំណាយ</t>
        </is>
      </c>
      <c r="H1474" s="10" t="inlineStr">
        <is>
          <t>លុុបតារាងចេញពីបុងចំណាយ</t>
        </is>
      </c>
      <c r="I1474" s="10" t="n"/>
      <c r="J1474" s="10" t="n"/>
      <c r="K1474" s="10" t="inlineStr">
        <is>
          <t>"statusCodPayment.delStatementUnc": "លុុបតារាងចេញពីបុងចំណាយ",</t>
        </is>
      </c>
      <c r="L1474" s="10" t="n"/>
      <c r="M1474" s="10" t="n"/>
      <c r="N1474" s="10" t="n"/>
      <c r="O1474" s="10" t="n"/>
      <c r="P1474" s="10" t="n"/>
      <c r="Q1474" s="10" t="n"/>
      <c r="R1474" s="10" t="n"/>
      <c r="S1474" s="10" t="n"/>
      <c r="T1474" s="10" t="n"/>
      <c r="U1474" s="10" t="n"/>
      <c r="V1474" s="10" t="n"/>
      <c r="W1474" s="10" t="n"/>
      <c r="X1474" s="10" t="n"/>
      <c r="Y1474" s="10" t="n"/>
      <c r="Z1474" s="10" t="n"/>
    </row>
    <row r="1475">
      <c r="A1475" s="27" t="inlineStr">
        <is>
          <t>statusCodPayment.confirm</t>
        </is>
      </c>
      <c r="B1475" s="27" t="inlineStr">
        <is>
          <t>Chốt UNC</t>
        </is>
      </c>
      <c r="C1475" s="27" t="inlineStr">
        <is>
          <t>Lock payment order</t>
        </is>
      </c>
      <c r="D1475" s="102" t="n"/>
      <c r="E1475" s="27" t="inlineStr">
        <is>
          <t>បិទ UNC</t>
        </is>
      </c>
      <c r="F1475" s="10" t="n"/>
      <c r="G1475" s="10" t="inlineStr">
        <is>
          <t>បិទ UNC</t>
        </is>
      </c>
      <c r="H1475" s="10" t="inlineStr">
        <is>
          <t>បិទ UNC</t>
        </is>
      </c>
      <c r="I1475" s="10" t="n"/>
      <c r="J1475" s="10" t="n"/>
      <c r="K1475" s="10" t="inlineStr">
        <is>
          <t>"statusCodPayment.confirm": "បិទ UNC",</t>
        </is>
      </c>
      <c r="L1475" s="10" t="n"/>
      <c r="M1475" s="10" t="n"/>
      <c r="N1475" s="10" t="n"/>
      <c r="O1475" s="10" t="n"/>
      <c r="P1475" s="10" t="n"/>
      <c r="Q1475" s="10" t="n"/>
      <c r="R1475" s="10" t="n"/>
      <c r="S1475" s="10" t="n"/>
      <c r="T1475" s="10" t="n"/>
      <c r="U1475" s="10" t="n"/>
      <c r="V1475" s="10" t="n"/>
      <c r="W1475" s="10" t="n"/>
      <c r="X1475" s="10" t="n"/>
      <c r="Y1475" s="10" t="n"/>
      <c r="Z1475" s="10" t="n"/>
    </row>
    <row r="1476">
      <c r="A1476" s="27" t="inlineStr">
        <is>
          <t>statusCodPayment.paySuccess</t>
        </is>
      </c>
      <c r="B1476" s="27" t="inlineStr">
        <is>
          <t>Chi thành công</t>
        </is>
      </c>
      <c r="C1476" s="27" t="inlineStr">
        <is>
          <t>Payment succesful</t>
        </is>
      </c>
      <c r="D1476" s="21" t="inlineStr">
        <is>
          <t>ការចំណាយបានជោគជ័យ</t>
        </is>
      </c>
      <c r="E1476" s="21" t="inlineStr">
        <is>
          <t>ការចំណាយបានជោគជ័យ</t>
        </is>
      </c>
      <c r="F1476" s="10" t="n"/>
      <c r="G1476" s="10" t="inlineStr">
        <is>
          <t>ទូទាត់ជោគជ័យ</t>
        </is>
      </c>
      <c r="H1476" s="10" t="inlineStr">
        <is>
          <t>ទូទាត់ជោគជ័យ</t>
        </is>
      </c>
      <c r="I1476" s="10" t="n"/>
      <c r="J1476" s="10" t="n"/>
      <c r="K1476" s="10" t="inlineStr">
        <is>
          <t>"statusCodPayment.paySuccess": "ទូទាត់ជោគជ័យ",</t>
        </is>
      </c>
      <c r="L1476" s="10" t="n"/>
      <c r="M1476" s="10" t="n"/>
      <c r="N1476" s="10" t="n"/>
      <c r="O1476" s="10" t="n"/>
      <c r="P1476" s="10" t="n"/>
      <c r="Q1476" s="10" t="n"/>
      <c r="R1476" s="10" t="n"/>
      <c r="S1476" s="10" t="n"/>
      <c r="T1476" s="10" t="n"/>
      <c r="U1476" s="10" t="n"/>
      <c r="V1476" s="10" t="n"/>
      <c r="W1476" s="10" t="n"/>
      <c r="X1476" s="10" t="n"/>
      <c r="Y1476" s="10" t="n"/>
      <c r="Z1476" s="10" t="n"/>
    </row>
    <row r="1477">
      <c r="A1477" s="27" t="inlineStr">
        <is>
          <t>statusCodPayment.noOffset</t>
        </is>
      </c>
      <c r="B1477" s="27" t="inlineStr">
        <is>
          <t>Không cấn trừ</t>
        </is>
      </c>
      <c r="C1477" s="27" t="inlineStr">
        <is>
          <t>No deduction</t>
        </is>
      </c>
      <c r="D1477" s="102" t="n"/>
      <c r="E1477" s="102" t="inlineStr">
        <is>
          <t>មិនកាត់បន្ថយ</t>
        </is>
      </c>
      <c r="F1477" s="10" t="n"/>
      <c r="G1477" s="10" t="inlineStr">
        <is>
          <t>មិនកាត់បន្ថយ</t>
        </is>
      </c>
      <c r="H1477" s="10" t="inlineStr">
        <is>
          <t>មិនកាត់បន្ថយ</t>
        </is>
      </c>
      <c r="I1477" s="10" t="n"/>
      <c r="J1477" s="10" t="n"/>
      <c r="K1477" s="10" t="inlineStr">
        <is>
          <t>"statusCodPayment.noOffset": "មិនកាត់បន្ថយ",</t>
        </is>
      </c>
      <c r="L1477" s="10" t="n"/>
      <c r="M1477" s="10" t="n"/>
      <c r="N1477" s="10" t="n"/>
      <c r="O1477" s="10" t="n"/>
      <c r="P1477" s="10" t="n"/>
      <c r="Q1477" s="10" t="n"/>
      <c r="R1477" s="10" t="n"/>
      <c r="S1477" s="10" t="n"/>
      <c r="T1477" s="10" t="n"/>
      <c r="U1477" s="10" t="n"/>
      <c r="V1477" s="10" t="n"/>
      <c r="W1477" s="10" t="n"/>
      <c r="X1477" s="10" t="n"/>
      <c r="Y1477" s="10" t="n"/>
      <c r="Z1477" s="10" t="n"/>
    </row>
    <row r="1478">
      <c r="A1478" s="27" t="inlineStr">
        <is>
          <t>statusCodPayment.offsetByMarchine</t>
        </is>
      </c>
      <c r="B1478" s="27" t="inlineStr">
        <is>
          <t>Cấn trừ công nợ</t>
        </is>
      </c>
      <c r="C1478" s="27" t="inlineStr">
        <is>
          <t>Debt deduction</t>
        </is>
      </c>
      <c r="D1478" s="102" t="n"/>
      <c r="E1478" s="102" t="inlineStr">
        <is>
          <t>កាត់បន្ថយបំណុល</t>
        </is>
      </c>
      <c r="F1478" s="10" t="n"/>
      <c r="G1478" s="10" t="inlineStr">
        <is>
          <t>កាត់បន្ថយបំណុល</t>
        </is>
      </c>
      <c r="H1478" s="10" t="inlineStr">
        <is>
          <t>កាត់បន្ថយបំណុល</t>
        </is>
      </c>
      <c r="I1478" s="10" t="n"/>
      <c r="J1478" s="10" t="n"/>
      <c r="K1478" s="10" t="inlineStr">
        <is>
          <t>"statusCodPayment.offsetByMarchine": "កាត់បន្ថយបំណុល",</t>
        </is>
      </c>
      <c r="L1478" s="10" t="n"/>
      <c r="M1478" s="10" t="n"/>
      <c r="N1478" s="10" t="n"/>
      <c r="O1478" s="10" t="n"/>
      <c r="P1478" s="10" t="n"/>
      <c r="Q1478" s="10" t="n"/>
      <c r="R1478" s="10" t="n"/>
      <c r="S1478" s="10" t="n"/>
      <c r="T1478" s="10" t="n"/>
      <c r="U1478" s="10" t="n"/>
      <c r="V1478" s="10" t="n"/>
      <c r="W1478" s="10" t="n"/>
      <c r="X1478" s="10" t="n"/>
      <c r="Y1478" s="10" t="n"/>
      <c r="Z1478" s="10" t="n"/>
    </row>
    <row r="1479">
      <c r="A1479" s="27" t="inlineStr">
        <is>
          <t>statusCodPayment.offsetByBill</t>
        </is>
      </c>
      <c r="B1479" s="27" t="inlineStr">
        <is>
          <t>Cấn trừ theo COD</t>
        </is>
      </c>
      <c r="C1479" s="27" t="inlineStr">
        <is>
          <t>Deducted from COD</t>
        </is>
      </c>
      <c r="D1479" s="102" t="n"/>
      <c r="E1479" s="102" t="inlineStr">
        <is>
          <t>កាត់បន្ថយតាម COD</t>
        </is>
      </c>
      <c r="F1479" s="10" t="n"/>
      <c r="G1479" s="10" t="inlineStr">
        <is>
          <t>កាត់បន្ថយតាម COD</t>
        </is>
      </c>
      <c r="H1479" s="10" t="inlineStr">
        <is>
          <t>កាត់បន្ថយតាម COD</t>
        </is>
      </c>
      <c r="I1479" s="10" t="n"/>
      <c r="J1479" s="10" t="n"/>
      <c r="K1479" s="10" t="inlineStr">
        <is>
          <t>"statusCodPayment.offsetByBill": "កាត់បន្ថយតាម COD",</t>
        </is>
      </c>
      <c r="L1479" s="10" t="n"/>
      <c r="M1479" s="10" t="n"/>
      <c r="N1479" s="10" t="n"/>
      <c r="O1479" s="10" t="n"/>
      <c r="P1479" s="10" t="n"/>
      <c r="Q1479" s="10" t="n"/>
      <c r="R1479" s="10" t="n"/>
      <c r="S1479" s="10" t="n"/>
      <c r="T1479" s="10" t="n"/>
      <c r="U1479" s="10" t="n"/>
      <c r="V1479" s="10" t="n"/>
      <c r="W1479" s="10" t="n"/>
      <c r="X1479" s="10" t="n"/>
      <c r="Y1479" s="10" t="n"/>
      <c r="Z1479" s="10" t="n"/>
    </row>
    <row r="1480">
      <c r="A1480" s="27" t="inlineStr">
        <is>
          <t>statusCodPayment.control1</t>
        </is>
      </c>
      <c r="B1480" s="27" t="inlineStr">
        <is>
          <t>Đối soát 2,4,6: Đối soát vào thứ 2, thứ 4, thứ 6 cố định theo tuần.</t>
        </is>
      </c>
      <c r="C1480" s="27" t="inlineStr">
        <is>
          <t>Weekly reconciliation on Mon, Wed, Fri</t>
        </is>
      </c>
      <c r="D1480" s="102" t="n"/>
      <c r="E1480" s="102" t="inlineStr">
        <is>
          <t>វាយតម្លៃតុល្យភាព 2,4,6: វាយតម្លៃតុល្យភាពនៅថ្ងៃចន្ទ, ព្រហស្បតិ៍, សុក្រ ដោយកំណត់ជាស្ថាពរ ក្នុងមួយសប្ដាហ៍។</t>
        </is>
      </c>
      <c r="F1480" s="10" t="n"/>
      <c r="G1480" s="10" t="inlineStr">
        <is>
          <t>វាយតម្លៃតុល្យភាព 2,4,6: វាយតម្លៃតុល្យភាពនៅថ្ងៃចន្ទ, ព្រហស្បតិ៍, សុក្រ ដោយកំណត់ជាស្ថាពរ ក្នុងមួយសប្ដាហ៍។</t>
        </is>
      </c>
      <c r="H1480" s="10" t="inlineStr">
        <is>
          <t>វាយតម្លៃតុល្យភាព 2,4,6: វាយតម្លៃតុល្យភាពនៅថ្ងៃចន្ទ, ព្រហស្បតិ៍, សុក្រ ដោយកំណត់ជាស្ថាពរ ក្នុងមួយសប្ដាហ៍។</t>
        </is>
      </c>
      <c r="I1480" s="10" t="n"/>
      <c r="J1480" s="10" t="n"/>
      <c r="K1480" s="10" t="inlineStr">
        <is>
          <t>"statusCodPayment.control1": "វាយតម្លៃតុល្យភាព 2,4,6: វាយតម្លៃតុល្យភាពនៅថ្ងៃចន្ទ, ព្រហស្បតិ៍, សុក្រ ដោយកំណត់ជាស្ថាពរ ក្នុងមួយសប្ដាហ៍។",</t>
        </is>
      </c>
      <c r="L1480" s="10" t="n"/>
      <c r="M1480" s="10" t="n"/>
      <c r="N1480" s="10" t="n"/>
      <c r="O1480" s="10" t="n"/>
      <c r="P1480" s="10" t="n"/>
      <c r="Q1480" s="10" t="n"/>
      <c r="R1480" s="10" t="n"/>
      <c r="S1480" s="10" t="n"/>
      <c r="T1480" s="10" t="n"/>
      <c r="U1480" s="10" t="n"/>
      <c r="V1480" s="10" t="n"/>
      <c r="W1480" s="10" t="n"/>
      <c r="X1480" s="10" t="n"/>
      <c r="Y1480" s="10" t="n"/>
      <c r="Z1480" s="10" t="n"/>
    </row>
    <row r="1481">
      <c r="A1481" s="27" t="inlineStr">
        <is>
          <t>statusCodPayment.control2</t>
        </is>
      </c>
      <c r="B1481" s="27" t="inlineStr">
        <is>
          <t>Đối soát 3,5: Đối soát vào thứ 3, thứ 5 cố định theo tuần.</t>
        </is>
      </c>
      <c r="C1481" s="27" t="inlineStr">
        <is>
          <t>Weekly reconciliation on Tue, Thu</t>
        </is>
      </c>
      <c r="D1481" s="102" t="n"/>
      <c r="E1481" s="102" t="inlineStr">
        <is>
          <t>វាយតម្លៃតុល្យភាព 3,5: វាយតម្លៃតុល្យភាពនៅថ្ងៃអង្គារ, ពុធ ដោយកំណត់ជាស្ថាពរ ក្នុងមួយសប្ដាហ៍។</t>
        </is>
      </c>
      <c r="F1481" s="10" t="n"/>
      <c r="G1481" s="10" t="inlineStr">
        <is>
          <t>វាយតម្លៃតុល្យភាព 3,5: វាយតម្លៃតុល្យភាពនៅថ្ងៃអង្គារ, ពុធ ដោយកំណត់ជាស្ថាពរ ក្នុងមួយសប្ដាហ៍។</t>
        </is>
      </c>
      <c r="H1481" s="10" t="inlineStr">
        <is>
          <t>វាយតម្លៃតុល្យភាព 3,5: វាយតម្លៃតុល្យភាពនៅថ្ងៃអង្គារ, ពុធ ដោយកំណត់ជាស្ថាពរ ក្នុងមួយសប្ដាហ៍។</t>
        </is>
      </c>
      <c r="I1481" s="10" t="n"/>
      <c r="J1481" s="10" t="n"/>
      <c r="K1481" s="10" t="inlineStr">
        <is>
          <t>"statusCodPayment.control2": "វាយតម្លៃតុល្យភាព 3,5: វាយតម្លៃតុល្យភាពនៅថ្ងៃអង្គារ, ពុធ ដោយកំណត់ជាស្ថាពរ ក្នុងមួយសប្ដាហ៍។",</t>
        </is>
      </c>
      <c r="L1481" s="10" t="n"/>
      <c r="M1481" s="10" t="n"/>
      <c r="N1481" s="10" t="n"/>
      <c r="O1481" s="10" t="n"/>
      <c r="P1481" s="10" t="n"/>
      <c r="Q1481" s="10" t="n"/>
      <c r="R1481" s="10" t="n"/>
      <c r="S1481" s="10" t="n"/>
      <c r="T1481" s="10" t="n"/>
      <c r="U1481" s="10" t="n"/>
      <c r="V1481" s="10" t="n"/>
      <c r="W1481" s="10" t="n"/>
      <c r="X1481" s="10" t="n"/>
      <c r="Y1481" s="10" t="n"/>
      <c r="Z1481" s="10" t="n"/>
    </row>
    <row r="1482">
      <c r="A1482" s="27" t="inlineStr">
        <is>
          <t>statusCodPayment.controlMonth</t>
        </is>
      </c>
      <c r="B1482" s="27" t="inlineStr">
        <is>
          <t>Đối soát tháng</t>
        </is>
      </c>
      <c r="C1482" s="27" t="inlineStr">
        <is>
          <t>Monthly Reconciliation</t>
        </is>
      </c>
      <c r="D1482" s="21" t="inlineStr">
        <is>
          <t>ការផ្សះផ្សាខែ</t>
        </is>
      </c>
      <c r="E1482" s="90" t="inlineStr">
        <is>
          <t>វាយតម្លៃតុល្យភាពប្រចាំខែ</t>
        </is>
      </c>
      <c r="F1482" s="10" t="n"/>
      <c r="G1482" s="10" t="inlineStr">
        <is>
          <t>វាយតម្លៃតុល្យភាពប្រចាំខែ</t>
        </is>
      </c>
      <c r="H1482" s="10" t="inlineStr">
        <is>
          <t>វាយតម្លៃតុល្យភាពប្រចាំខែ</t>
        </is>
      </c>
      <c r="I1482" s="10" t="n"/>
      <c r="J1482" s="10" t="n"/>
      <c r="K1482" s="10" t="inlineStr">
        <is>
          <t>"statusCodPayment.controlMonth": "វាយតម្លៃតុល្យភាពប្រចាំខែ",</t>
        </is>
      </c>
      <c r="L1482" s="10" t="n"/>
      <c r="M1482" s="10" t="n"/>
      <c r="N1482" s="10" t="n"/>
      <c r="O1482" s="10" t="n"/>
      <c r="P1482" s="10" t="n"/>
      <c r="Q1482" s="10" t="n"/>
      <c r="R1482" s="10" t="n"/>
      <c r="S1482" s="10" t="n"/>
      <c r="T1482" s="10" t="n"/>
      <c r="U1482" s="10" t="n"/>
      <c r="V1482" s="10" t="n"/>
      <c r="W1482" s="10" t="n"/>
      <c r="X1482" s="10" t="n"/>
      <c r="Y1482" s="10" t="n"/>
      <c r="Z1482" s="10" t="n"/>
    </row>
    <row r="1483">
      <c r="A1483" s="27" t="inlineStr">
        <is>
          <t>statusCodPayment.complete</t>
        </is>
      </c>
      <c r="B1483" s="27" t="inlineStr">
        <is>
          <t>Hoàn thành</t>
        </is>
      </c>
      <c r="C1483" s="27" t="inlineStr">
        <is>
          <t>Complete</t>
        </is>
      </c>
      <c r="D1483" s="21" t="inlineStr">
        <is>
          <t>បញ្ចប់</t>
        </is>
      </c>
      <c r="E1483" s="102" t="inlineStr">
        <is>
          <t>បានសម្រេច</t>
        </is>
      </c>
      <c r="F1483" s="10" t="n"/>
      <c r="G1483" s="10" t="inlineStr">
        <is>
          <t>បានបញ្ចប់</t>
        </is>
      </c>
      <c r="H1483" s="10" t="inlineStr">
        <is>
          <t>បានបញ្ចប់</t>
        </is>
      </c>
      <c r="I1483" s="10" t="n"/>
      <c r="J1483" s="10" t="n"/>
      <c r="K1483" s="10" t="inlineStr">
        <is>
          <t>"statusCodPayment.complete": "បានបញ្ចប់",</t>
        </is>
      </c>
      <c r="L1483" s="10" t="n"/>
      <c r="M1483" s="10" t="n"/>
      <c r="N1483" s="10" t="n"/>
      <c r="O1483" s="10" t="n"/>
      <c r="P1483" s="10" t="n"/>
      <c r="Q1483" s="10" t="n"/>
      <c r="R1483" s="10" t="n"/>
      <c r="S1483" s="10" t="n"/>
      <c r="T1483" s="10" t="n"/>
      <c r="U1483" s="10" t="n"/>
      <c r="V1483" s="10" t="n"/>
      <c r="W1483" s="10" t="n"/>
      <c r="X1483" s="10" t="n"/>
      <c r="Y1483" s="10" t="n"/>
      <c r="Z1483" s="10" t="n"/>
    </row>
    <row r="1484">
      <c r="A1484" s="27" t="inlineStr">
        <is>
          <t>statusCodPayment.paymentApproved</t>
        </is>
      </c>
      <c r="B1484" s="27" t="inlineStr">
        <is>
          <t>Duyệt chi</t>
        </is>
      </c>
      <c r="C1484" s="27" t="inlineStr">
        <is>
          <t>Approve</t>
        </is>
      </c>
      <c r="D1484" s="102" t="n"/>
      <c r="E1484" s="102" t="inlineStr">
        <is>
          <t>អនុម័តការចំណាយ</t>
        </is>
      </c>
      <c r="F1484" s="10" t="n"/>
      <c r="G1484" s="10" t="inlineStr">
        <is>
          <t>អនុម័តការចំណាយ</t>
        </is>
      </c>
      <c r="H1484" s="10" t="inlineStr">
        <is>
          <t>អនុម័តការចំណាយ</t>
        </is>
      </c>
      <c r="I1484" s="10" t="n"/>
      <c r="J1484" s="10" t="n"/>
      <c r="K1484" s="10" t="inlineStr">
        <is>
          <t>"statusCodPayment.paymentApproved": "អនុម័តការចំណាយ",</t>
        </is>
      </c>
      <c r="L1484" s="10" t="n"/>
      <c r="M1484" s="10" t="n"/>
      <c r="N1484" s="10" t="n"/>
      <c r="O1484" s="10" t="n"/>
      <c r="P1484" s="10" t="n"/>
      <c r="Q1484" s="10" t="n"/>
      <c r="R1484" s="10" t="n"/>
      <c r="S1484" s="10" t="n"/>
      <c r="T1484" s="10" t="n"/>
      <c r="U1484" s="10" t="n"/>
      <c r="V1484" s="10" t="n"/>
      <c r="W1484" s="10" t="n"/>
      <c r="X1484" s="10" t="n"/>
      <c r="Y1484" s="10" t="n"/>
      <c r="Z1484" s="10" t="n"/>
    </row>
    <row r="1485">
      <c r="A1485" s="27" t="inlineStr">
        <is>
          <t>fieldSelection.title</t>
        </is>
      </c>
      <c r="B1485" s="27" t="inlineStr">
        <is>
          <t>Chọn lĩnh vực</t>
        </is>
      </c>
      <c r="C1485" s="27" t="inlineStr">
        <is>
          <t>Segment</t>
        </is>
      </c>
      <c r="D1485" s="21" t="inlineStr">
        <is>
          <t>ជ្រើសរើសវិស័យ</t>
        </is>
      </c>
      <c r="E1485" s="102" t="inlineStr">
        <is>
          <t>ជ្រើសរើសវិស័យ</t>
        </is>
      </c>
      <c r="F1485" s="10" t="n"/>
      <c r="G1485" s="10" t="inlineStr">
        <is>
          <t>ជ្រើសរើសវិស័យ</t>
        </is>
      </c>
      <c r="H1485" s="10" t="inlineStr">
        <is>
          <t>ជ្រើសរើសវិស័យ</t>
        </is>
      </c>
      <c r="I1485" s="10" t="n"/>
      <c r="J1485" s="10" t="n"/>
      <c r="K1485" s="10" t="inlineStr">
        <is>
          <t>"fieldSelection.title": "ជ្រើសរើសវិស័យ",</t>
        </is>
      </c>
      <c r="L1485" s="10" t="n"/>
      <c r="M1485" s="10" t="n"/>
      <c r="N1485" s="10" t="n"/>
      <c r="O1485" s="10" t="n"/>
      <c r="P1485" s="10" t="n"/>
      <c r="Q1485" s="10" t="n"/>
      <c r="R1485" s="10" t="n"/>
      <c r="S1485" s="10" t="n"/>
      <c r="T1485" s="10" t="n"/>
      <c r="U1485" s="10" t="n"/>
      <c r="V1485" s="10" t="n"/>
      <c r="W1485" s="10" t="n"/>
      <c r="X1485" s="10" t="n"/>
      <c r="Y1485" s="10" t="n"/>
      <c r="Z1485" s="10" t="n"/>
    </row>
    <row r="1486">
      <c r="A1486" s="27" t="inlineStr">
        <is>
          <t>fieldSelection.placeholder</t>
        </is>
      </c>
      <c r="B1486" s="27" t="inlineStr">
        <is>
          <t>Chọn lĩnh vực</t>
        </is>
      </c>
      <c r="C1486" s="27" t="inlineStr">
        <is>
          <t>Select segment</t>
        </is>
      </c>
      <c r="D1486" s="21" t="inlineStr">
        <is>
          <t>ជ្រើសរើសវិស័យ</t>
        </is>
      </c>
      <c r="E1486" s="102" t="inlineStr">
        <is>
          <t>ជ្រើសរើសវិស័យ</t>
        </is>
      </c>
      <c r="F1486" s="10" t="n"/>
      <c r="G1486" s="10" t="inlineStr">
        <is>
          <t>ជ្រើសរើសវិស័យ</t>
        </is>
      </c>
      <c r="H1486" s="10" t="inlineStr">
        <is>
          <t>ជ្រើសរើសវិស័យ</t>
        </is>
      </c>
      <c r="I1486" s="10" t="n"/>
      <c r="J1486" s="10" t="n"/>
      <c r="K1486" s="10" t="inlineStr">
        <is>
          <t>"fieldSelection.placeholder": "ជ្រើសរើសវិស័យ",</t>
        </is>
      </c>
      <c r="L1486" s="10" t="n"/>
      <c r="M1486" s="10" t="n"/>
      <c r="N1486" s="10" t="n"/>
      <c r="O1486" s="10" t="n"/>
      <c r="P1486" s="10" t="n"/>
      <c r="Q1486" s="10" t="n"/>
      <c r="R1486" s="10" t="n"/>
      <c r="S1486" s="10" t="n"/>
      <c r="T1486" s="10" t="n"/>
      <c r="U1486" s="10" t="n"/>
      <c r="V1486" s="10" t="n"/>
      <c r="W1486" s="10" t="n"/>
      <c r="X1486" s="10" t="n"/>
      <c r="Y1486" s="10" t="n"/>
      <c r="Z1486" s="10" t="n"/>
    </row>
    <row r="1487">
      <c r="A1487" s="27" t="inlineStr">
        <is>
          <t>fieldSelection.transportation</t>
        </is>
      </c>
      <c r="B1487" s="27" t="inlineStr">
        <is>
          <t>Vận tải</t>
        </is>
      </c>
      <c r="C1487" s="27" t="inlineStr">
        <is>
          <t>Transport</t>
        </is>
      </c>
      <c r="D1487" s="102" t="n"/>
      <c r="E1487" s="102" t="inlineStr">
        <is>
          <t>ដឹកជញ្ជូន</t>
        </is>
      </c>
      <c r="F1487" s="10" t="n"/>
      <c r="G1487" s="10" t="inlineStr">
        <is>
          <t>ដឹកជញ្ជូន</t>
        </is>
      </c>
      <c r="H1487" s="10" t="inlineStr">
        <is>
          <t>ដឹកជញ្ជូន</t>
        </is>
      </c>
      <c r="I1487" s="10" t="n"/>
      <c r="J1487" s="10" t="n"/>
      <c r="K1487" s="10" t="inlineStr">
        <is>
          <t>"fieldSelection.transportation": "ដឹកជញ្ជូន",</t>
        </is>
      </c>
      <c r="L1487" s="10" t="n"/>
      <c r="M1487" s="10" t="n"/>
      <c r="N1487" s="10" t="n"/>
      <c r="O1487" s="10" t="n"/>
      <c r="P1487" s="10" t="n"/>
      <c r="Q1487" s="10" t="n"/>
      <c r="R1487" s="10" t="n"/>
      <c r="S1487" s="10" t="n"/>
      <c r="T1487" s="10" t="n"/>
      <c r="U1487" s="10" t="n"/>
      <c r="V1487" s="10" t="n"/>
      <c r="W1487" s="10" t="n"/>
      <c r="X1487" s="10" t="n"/>
      <c r="Y1487" s="10" t="n"/>
      <c r="Z1487" s="10" t="n"/>
    </row>
    <row r="1488">
      <c r="A1488" s="27" t="inlineStr">
        <is>
          <t>fieldSelection.commerce_service</t>
        </is>
      </c>
      <c r="B1488" s="27" t="inlineStr">
        <is>
          <t>Thương mại dịch vụ</t>
        </is>
      </c>
      <c r="C1488" s="27" t="inlineStr">
        <is>
          <t>Commerce and service</t>
        </is>
      </c>
      <c r="D1488" s="21" t="inlineStr">
        <is>
          <t>ពាណិជ្ជកម្មសេវាកម្ម</t>
        </is>
      </c>
      <c r="E1488" s="21" t="inlineStr">
        <is>
          <t>ពាណិជ្ជកម្មសេវាកម្ម</t>
        </is>
      </c>
      <c r="F1488" s="10" t="n"/>
      <c r="G1488" s="10" t="inlineStr">
        <is>
          <t>ពាណិជ្ជកម្មសេវាកម្ម</t>
        </is>
      </c>
      <c r="H1488" s="10" t="inlineStr">
        <is>
          <t>ពាណិជ្ជកម្មសេវាកម្ម</t>
        </is>
      </c>
      <c r="I1488" s="10" t="n"/>
      <c r="J1488" s="10" t="n"/>
      <c r="K1488" s="10" t="inlineStr">
        <is>
          <t>"fieldSelection.commerce_service": "ពាណិជ្ជកម្មសេវាកម្ម",</t>
        </is>
      </c>
      <c r="L1488" s="10" t="n"/>
      <c r="M1488" s="10" t="n"/>
      <c r="N1488" s="10" t="n"/>
      <c r="O1488" s="10" t="n"/>
      <c r="P1488" s="10" t="n"/>
      <c r="Q1488" s="10" t="n"/>
      <c r="R1488" s="10" t="n"/>
      <c r="S1488" s="10" t="n"/>
      <c r="T1488" s="10" t="n"/>
      <c r="U1488" s="10" t="n"/>
      <c r="V1488" s="10" t="n"/>
      <c r="W1488" s="10" t="n"/>
      <c r="X1488" s="10" t="n"/>
      <c r="Y1488" s="10" t="n"/>
      <c r="Z1488" s="10" t="n"/>
    </row>
    <row r="1489">
      <c r="A1489" s="27" t="inlineStr">
        <is>
          <t>fieldSelection.logistics</t>
        </is>
      </c>
      <c r="B1489" s="27" t="inlineStr">
        <is>
          <t>Kho vận</t>
        </is>
      </c>
      <c r="C1489" s="27" t="inlineStr">
        <is>
          <t>Warehousing &amp; Logistics</t>
        </is>
      </c>
      <c r="D1489" s="21" t="inlineStr">
        <is>
          <t>ឃ្លាំងដឹកជញ្ជូន</t>
        </is>
      </c>
      <c r="E1489" s="21" t="inlineStr">
        <is>
          <t>ឃ្លាំងដឹកជញ្ជូន</t>
        </is>
      </c>
      <c r="F1489" s="10" t="n"/>
      <c r="G1489" s="10" t="inlineStr">
        <is>
          <t>ឃ្លាំងដឹកជញ្ជូន</t>
        </is>
      </c>
      <c r="H1489" s="10" t="inlineStr">
        <is>
          <t>ឃ្លាំងដឹកជញ្ជូន</t>
        </is>
      </c>
      <c r="I1489" s="10" t="n"/>
      <c r="J1489" s="10" t="n"/>
      <c r="K1489" s="10" t="inlineStr">
        <is>
          <t>"fieldSelection.logistics": "ឃ្លាំងដឹកជញ្ជូន",</t>
        </is>
      </c>
      <c r="L1489" s="10" t="n"/>
      <c r="M1489" s="10" t="n"/>
      <c r="N1489" s="10" t="n"/>
      <c r="O1489" s="10" t="n"/>
      <c r="P1489" s="10" t="n"/>
      <c r="Q1489" s="10" t="n"/>
      <c r="R1489" s="10" t="n"/>
      <c r="S1489" s="10" t="n"/>
      <c r="T1489" s="10" t="n"/>
      <c r="U1489" s="10" t="n"/>
      <c r="V1489" s="10" t="n"/>
      <c r="W1489" s="10" t="n"/>
      <c r="X1489" s="10" t="n"/>
      <c r="Y1489" s="10" t="n"/>
      <c r="Z1489" s="10" t="n"/>
    </row>
    <row r="1490">
      <c r="A1490" s="27" t="inlineStr">
        <is>
          <t>fieldSelection.delivery</t>
        </is>
      </c>
      <c r="B1490" s="27" t="inlineStr">
        <is>
          <t>Chuyển phát</t>
        </is>
      </c>
      <c r="C1490" s="27" t="inlineStr">
        <is>
          <t>Express</t>
        </is>
      </c>
      <c r="D1490" s="102" t="n"/>
      <c r="E1490" s="102" t="inlineStr">
        <is>
          <t>ដឹកជញ្ជូន</t>
        </is>
      </c>
      <c r="F1490" s="10" t="n"/>
      <c r="G1490" s="10" t="inlineStr">
        <is>
          <t>ដឹកជញ្ជូន</t>
        </is>
      </c>
      <c r="H1490" s="10" t="inlineStr">
        <is>
          <t>ដឹកជញ្ជូន</t>
        </is>
      </c>
      <c r="I1490" s="10" t="n"/>
      <c r="J1490" s="10" t="n"/>
      <c r="K1490" s="10" t="inlineStr">
        <is>
          <t>"fieldSelection.delivery": "ដឹកជញ្ជូន",</t>
        </is>
      </c>
      <c r="L1490" s="10" t="n"/>
      <c r="M1490" s="10" t="n"/>
      <c r="N1490" s="10" t="n"/>
      <c r="O1490" s="10" t="n"/>
      <c r="P1490" s="10" t="n"/>
      <c r="Q1490" s="10" t="n"/>
      <c r="R1490" s="10" t="n"/>
      <c r="S1490" s="10" t="n"/>
      <c r="T1490" s="10" t="n"/>
      <c r="U1490" s="10" t="n"/>
      <c r="V1490" s="10" t="n"/>
      <c r="W1490" s="10" t="n"/>
      <c r="X1490" s="10" t="n"/>
      <c r="Y1490" s="10" t="n"/>
      <c r="Z1490" s="10" t="n"/>
    </row>
    <row r="1491">
      <c r="A1491" s="27" t="inlineStr">
        <is>
          <t>fieldSelection.continue</t>
        </is>
      </c>
      <c r="B1491" s="27" t="inlineStr">
        <is>
          <t>Tiếp tục</t>
        </is>
      </c>
      <c r="C1491" s="27" t="inlineStr">
        <is>
          <t>Next</t>
        </is>
      </c>
      <c r="D1491" s="21" t="inlineStr">
        <is>
          <t>បន្ត</t>
        </is>
      </c>
      <c r="E1491" s="102" t="inlineStr">
        <is>
          <t>បន្ត</t>
        </is>
      </c>
      <c r="F1491" s="10" t="n"/>
      <c r="G1491" s="10" t="inlineStr">
        <is>
          <t>បន្ត</t>
        </is>
      </c>
      <c r="H1491" s="10" t="inlineStr">
        <is>
          <t>បន្ត</t>
        </is>
      </c>
      <c r="I1491" s="10" t="n"/>
      <c r="J1491" s="10" t="n"/>
      <c r="K1491" s="10" t="inlineStr">
        <is>
          <t>"fieldSelection.continue": "បន្ត",</t>
        </is>
      </c>
      <c r="L1491" s="10" t="n"/>
      <c r="M1491" s="10" t="n"/>
      <c r="N1491" s="10" t="n"/>
      <c r="O1491" s="10" t="n"/>
      <c r="P1491" s="10" t="n"/>
      <c r="Q1491" s="10" t="n"/>
      <c r="R1491" s="10" t="n"/>
      <c r="S1491" s="10" t="n"/>
      <c r="T1491" s="10" t="n"/>
      <c r="U1491" s="10" t="n"/>
      <c r="V1491" s="10" t="n"/>
      <c r="W1491" s="10" t="n"/>
      <c r="X1491" s="10" t="n"/>
      <c r="Y1491" s="10" t="n"/>
      <c r="Z1491" s="10" t="n"/>
    </row>
    <row r="1492">
      <c r="A1492" s="27" t="inlineStr">
        <is>
          <t>revenueManagement.keywordSearch</t>
        </is>
      </c>
      <c r="B1492" s="27" t="inlineStr">
        <is>
          <t>Từ khoá</t>
        </is>
      </c>
      <c r="C1492" s="27" t="inlineStr">
        <is>
          <t>Keyword</t>
        </is>
      </c>
      <c r="D1492" s="21" t="inlineStr">
        <is>
          <t>ពាក្យគន្លឹះ</t>
        </is>
      </c>
      <c r="E1492" s="21" t="inlineStr">
        <is>
          <t>ពាក្យគន្លឹះ</t>
        </is>
      </c>
      <c r="F1492" s="10" t="n"/>
      <c r="G1492" s="10" t="inlineStr">
        <is>
          <t>ពាក្យគន្លឹះ</t>
        </is>
      </c>
      <c r="H1492" s="10" t="inlineStr">
        <is>
          <t>ពាក្យគន្លឹះ</t>
        </is>
      </c>
      <c r="I1492" s="10" t="n"/>
      <c r="J1492" s="10" t="n"/>
      <c r="K1492" s="10" t="inlineStr">
        <is>
          <t>"revenueManagement.keywordSearch": "ពាក្យគន្លឹះ",</t>
        </is>
      </c>
      <c r="L1492" s="10" t="n"/>
      <c r="M1492" s="10" t="n"/>
      <c r="N1492" s="10" t="n"/>
      <c r="O1492" s="10" t="n"/>
      <c r="P1492" s="10" t="n"/>
      <c r="Q1492" s="10" t="n"/>
      <c r="R1492" s="10" t="n"/>
      <c r="S1492" s="10" t="n"/>
      <c r="T1492" s="10" t="n"/>
      <c r="U1492" s="10" t="n"/>
      <c r="V1492" s="10" t="n"/>
      <c r="W1492" s="10" t="n"/>
      <c r="X1492" s="10" t="n"/>
      <c r="Y1492" s="10" t="n"/>
      <c r="Z1492" s="10" t="n"/>
    </row>
    <row r="1493">
      <c r="A1493" s="27" t="inlineStr">
        <is>
          <t>revenueManagement.keywordSearchPlaceholder</t>
        </is>
      </c>
      <c r="B1493" s="27" t="inlineStr">
        <is>
          <t>Mã đơn hàng, mã KH, mã dịch vụ</t>
        </is>
      </c>
      <c r="C1493" s="27" t="inlineStr">
        <is>
          <t>Order ID, CusID, Main service code</t>
        </is>
      </c>
      <c r="D1493" s="21" t="inlineStr">
        <is>
          <t>លេខកូដអីវ៉ាន់ លេខកូដអតិថិជន លេខកូដសេវាកម្ម</t>
        </is>
      </c>
      <c r="E1493" s="102" t="inlineStr">
        <is>
          <t>កូដបុងបញ្ញើ លេខសម្គាល់អតិថិជន កូដសេវាកម្ម</t>
        </is>
      </c>
      <c r="F1493" s="10" t="n"/>
      <c r="G1493" s="10" t="inlineStr">
        <is>
          <t>កូដបុងបញ្ញើ លេខសម្គាល់អតិថិជន កូដសេវាកម្ម</t>
        </is>
      </c>
      <c r="H1493" s="10" t="inlineStr">
        <is>
          <t>កូដបុងបញ្ញើ លេខសម្គាល់អតិថិជន កូដសេវាកម្ម</t>
        </is>
      </c>
      <c r="I1493" s="10" t="n"/>
      <c r="J1493" s="10" t="n"/>
      <c r="K1493" s="10" t="inlineStr">
        <is>
          <t>"revenueManagement.keywordSearchPlaceholder": "កូដបុងបញ្ញើ លេខសម្គាល់អតិថិជន កូដសេវាកម្ម",</t>
        </is>
      </c>
      <c r="L1493" s="10" t="n"/>
      <c r="M1493" s="10" t="n"/>
      <c r="N1493" s="10" t="n"/>
      <c r="O1493" s="10" t="n"/>
      <c r="P1493" s="10" t="n"/>
      <c r="Q1493" s="10" t="n"/>
      <c r="R1493" s="10" t="n"/>
      <c r="S1493" s="10" t="n"/>
      <c r="T1493" s="10" t="n"/>
      <c r="U1493" s="10" t="n"/>
      <c r="V1493" s="10" t="n"/>
      <c r="W1493" s="10" t="n"/>
      <c r="X1493" s="10" t="n"/>
      <c r="Y1493" s="10" t="n"/>
      <c r="Z1493" s="10" t="n"/>
    </row>
    <row r="1494">
      <c r="A1494" s="27" t="inlineStr">
        <is>
          <t>revenueManagement.time</t>
        </is>
      </c>
      <c r="B1494" s="27" t="inlineStr">
        <is>
          <t>Thời gian</t>
        </is>
      </c>
      <c r="C1494" s="27" t="inlineStr">
        <is>
          <t>Time</t>
        </is>
      </c>
      <c r="D1494" s="21" t="inlineStr">
        <is>
          <t>ពេលវេលា</t>
        </is>
      </c>
      <c r="E1494" s="102" t="inlineStr">
        <is>
          <t>ពេលវេលា</t>
        </is>
      </c>
      <c r="F1494" s="10" t="n"/>
      <c r="G1494" s="10" t="inlineStr">
        <is>
          <t>ពេលវេលា</t>
        </is>
      </c>
      <c r="H1494" s="10" t="inlineStr">
        <is>
          <t>ពេលវេលា</t>
        </is>
      </c>
      <c r="I1494" s="10" t="n"/>
      <c r="J1494" s="10" t="n"/>
      <c r="K1494" s="10" t="inlineStr">
        <is>
          <t>"revenueManagement.time": "ពេលវេលា",</t>
        </is>
      </c>
      <c r="L1494" s="10" t="n"/>
      <c r="M1494" s="10" t="n"/>
      <c r="N1494" s="10" t="n"/>
      <c r="O1494" s="10" t="n"/>
      <c r="P1494" s="10" t="n"/>
      <c r="Q1494" s="10" t="n"/>
      <c r="R1494" s="10" t="n"/>
      <c r="S1494" s="10" t="n"/>
      <c r="T1494" s="10" t="n"/>
      <c r="U1494" s="10" t="n"/>
      <c r="V1494" s="10" t="n"/>
      <c r="W1494" s="10" t="n"/>
      <c r="X1494" s="10" t="n"/>
      <c r="Y1494" s="10" t="n"/>
      <c r="Z1494" s="10" t="n"/>
    </row>
    <row r="1495">
      <c r="A1495" s="27" t="inlineStr">
        <is>
          <t>revenueManagement.source</t>
        </is>
      </c>
      <c r="B1495" s="27" t="inlineStr">
        <is>
          <t>Nguồn</t>
        </is>
      </c>
      <c r="C1495" s="27" t="inlineStr">
        <is>
          <t>Source</t>
        </is>
      </c>
      <c r="D1495" s="21" t="inlineStr">
        <is>
          <t>ប្រភព</t>
        </is>
      </c>
      <c r="E1495" s="102" t="inlineStr">
        <is>
          <t>ប្រភព</t>
        </is>
      </c>
      <c r="F1495" s="10" t="n"/>
      <c r="G1495" s="10" t="inlineStr">
        <is>
          <t>ប្រភព</t>
        </is>
      </c>
      <c r="H1495" s="10" t="inlineStr">
        <is>
          <t>ប្រភព</t>
        </is>
      </c>
      <c r="I1495" s="10" t="n"/>
      <c r="J1495" s="10" t="n"/>
      <c r="K1495" s="10" t="inlineStr">
        <is>
          <t>"revenueManagement.source": "ប្រភព",</t>
        </is>
      </c>
      <c r="L1495" s="10" t="n"/>
      <c r="M1495" s="10" t="n"/>
      <c r="N1495" s="10" t="n"/>
      <c r="O1495" s="10" t="n"/>
      <c r="P1495" s="10" t="n"/>
      <c r="Q1495" s="10" t="n"/>
      <c r="R1495" s="10" t="n"/>
      <c r="S1495" s="10" t="n"/>
      <c r="T1495" s="10" t="n"/>
      <c r="U1495" s="10" t="n"/>
      <c r="V1495" s="10" t="n"/>
      <c r="W1495" s="10" t="n"/>
      <c r="X1495" s="10" t="n"/>
      <c r="Y1495" s="10" t="n"/>
      <c r="Z1495" s="10" t="n"/>
    </row>
    <row r="1496">
      <c r="A1496" s="27" t="inlineStr">
        <is>
          <t>revenueManagement.branch</t>
        </is>
      </c>
      <c r="B1496" s="27" t="inlineStr">
        <is>
          <t>Chi nhánh</t>
        </is>
      </c>
      <c r="C1496" s="27" t="inlineStr">
        <is>
          <t>Branch</t>
        </is>
      </c>
      <c r="D1496" s="21" t="inlineStr">
        <is>
          <t>សាខា</t>
        </is>
      </c>
      <c r="E1496" s="102" t="inlineStr">
        <is>
          <t>សាខា</t>
        </is>
      </c>
      <c r="F1496" s="10" t="n"/>
      <c r="G1496" s="10" t="inlineStr">
        <is>
          <t>សាខា</t>
        </is>
      </c>
      <c r="H1496" s="10" t="inlineStr">
        <is>
          <t>សាខា</t>
        </is>
      </c>
      <c r="I1496" s="10" t="n"/>
      <c r="J1496" s="10" t="n"/>
      <c r="K1496" s="10" t="inlineStr">
        <is>
          <t>"revenueManagement.branch": "សាខា",</t>
        </is>
      </c>
      <c r="L1496" s="10" t="n"/>
      <c r="M1496" s="10" t="n"/>
      <c r="N1496" s="10" t="n"/>
      <c r="O1496" s="10" t="n"/>
      <c r="P1496" s="10" t="n"/>
      <c r="Q1496" s="10" t="n"/>
      <c r="R1496" s="10" t="n"/>
      <c r="S1496" s="10" t="n"/>
      <c r="T1496" s="10" t="n"/>
      <c r="U1496" s="10" t="n"/>
      <c r="V1496" s="10" t="n"/>
      <c r="W1496" s="10" t="n"/>
      <c r="X1496" s="10" t="n"/>
      <c r="Y1496" s="10" t="n"/>
      <c r="Z1496" s="10" t="n"/>
    </row>
    <row r="1497">
      <c r="A1497" s="27" t="inlineStr">
        <is>
          <t>revenueManagement.postOffice</t>
        </is>
      </c>
      <c r="B1497" s="27" t="inlineStr">
        <is>
          <t>Bưu cục</t>
        </is>
      </c>
      <c r="C1497" s="27" t="inlineStr">
        <is>
          <t>Post office</t>
        </is>
      </c>
      <c r="D1497" s="21" t="inlineStr">
        <is>
          <t>ការិយាល័យប្រៃសណីយ៍</t>
        </is>
      </c>
      <c r="E1497" s="21" t="inlineStr">
        <is>
          <t>ការិយាល័យប្រៃសណីយ៍</t>
        </is>
      </c>
      <c r="F1497" s="10" t="n"/>
      <c r="G1497" s="10" t="inlineStr">
        <is>
          <t>ការិយាល័យប្រៃសណីយ៍</t>
        </is>
      </c>
      <c r="H1497" s="10" t="inlineStr">
        <is>
          <t>ការិយាល័យប្រៃសណីយ៍</t>
        </is>
      </c>
      <c r="I1497" s="10" t="n"/>
      <c r="J1497" s="10" t="n"/>
      <c r="K1497" s="10" t="inlineStr">
        <is>
          <t>"revenueManagement.postOffice": "ការិយាល័យប្រៃសណីយ៍",</t>
        </is>
      </c>
      <c r="L1497" s="10" t="n"/>
      <c r="M1497" s="10" t="n"/>
      <c r="N1497" s="10" t="n"/>
      <c r="O1497" s="10" t="n"/>
      <c r="P1497" s="10" t="n"/>
      <c r="Q1497" s="10" t="n"/>
      <c r="R1497" s="10" t="n"/>
      <c r="S1497" s="10" t="n"/>
      <c r="T1497" s="10" t="n"/>
      <c r="U1497" s="10" t="n"/>
      <c r="V1497" s="10" t="n"/>
      <c r="W1497" s="10" t="n"/>
      <c r="X1497" s="10" t="n"/>
      <c r="Y1497" s="10" t="n"/>
      <c r="Z1497" s="10" t="n"/>
    </row>
    <row r="1498">
      <c r="A1498" s="27" t="inlineStr">
        <is>
          <t>revenueManagement.search</t>
        </is>
      </c>
      <c r="B1498" s="27" t="inlineStr">
        <is>
          <t>Tìm kiếm</t>
        </is>
      </c>
      <c r="C1498" s="27" t="inlineStr">
        <is>
          <t>Search</t>
        </is>
      </c>
      <c r="D1498" s="21" t="inlineStr">
        <is>
          <t>ស្វែងរក</t>
        </is>
      </c>
      <c r="E1498" s="21" t="inlineStr">
        <is>
          <t>ស្វែងរក</t>
        </is>
      </c>
      <c r="F1498" s="10" t="n"/>
      <c r="G1498" s="10" t="inlineStr">
        <is>
          <t>ស្វែងរក</t>
        </is>
      </c>
      <c r="H1498" s="10" t="inlineStr">
        <is>
          <t>ស្វែងរក</t>
        </is>
      </c>
      <c r="I1498" s="10" t="n"/>
      <c r="J1498" s="10" t="n"/>
      <c r="K1498" s="10" t="inlineStr">
        <is>
          <t>"revenueManagement.search": "ស្វែងរក",</t>
        </is>
      </c>
      <c r="L1498" s="10" t="n"/>
      <c r="M1498" s="10" t="n"/>
      <c r="N1498" s="10" t="n"/>
      <c r="O1498" s="10" t="n"/>
      <c r="P1498" s="10" t="n"/>
      <c r="Q1498" s="10" t="n"/>
      <c r="R1498" s="10" t="n"/>
      <c r="S1498" s="10" t="n"/>
      <c r="T1498" s="10" t="n"/>
      <c r="U1498" s="10" t="n"/>
      <c r="V1498" s="10" t="n"/>
      <c r="W1498" s="10" t="n"/>
      <c r="X1498" s="10" t="n"/>
      <c r="Y1498" s="10" t="n"/>
      <c r="Z1498" s="10" t="n"/>
    </row>
    <row r="1499">
      <c r="A1499" s="27" t="inlineStr">
        <is>
          <t>revenueManagement.exportExcel</t>
        </is>
      </c>
      <c r="B1499" s="27" t="inlineStr">
        <is>
          <t>Xuất Excel</t>
        </is>
      </c>
      <c r="C1499" s="27" t="inlineStr">
        <is>
          <t>Export to Excel</t>
        </is>
      </c>
      <c r="D1499" s="21" t="inlineStr">
        <is>
          <t>ចេញពី Excel</t>
        </is>
      </c>
      <c r="E1499" s="21" t="inlineStr">
        <is>
          <t>ចេញពី Excel</t>
        </is>
      </c>
      <c r="F1499" s="10" t="n"/>
      <c r="G1499" s="10" t="inlineStr">
        <is>
          <t>ចេញពី Excel</t>
        </is>
      </c>
      <c r="H1499" s="10" t="inlineStr">
        <is>
          <t>ចេញពី Excel</t>
        </is>
      </c>
      <c r="I1499" s="10" t="n"/>
      <c r="J1499" s="10" t="n"/>
      <c r="K1499" s="10" t="inlineStr">
        <is>
          <t>"revenueManagement.exportExcel": "ចេញពី Excel",</t>
        </is>
      </c>
      <c r="L1499" s="10" t="n"/>
      <c r="M1499" s="10" t="n"/>
      <c r="N1499" s="10" t="n"/>
      <c r="O1499" s="10" t="n"/>
      <c r="P1499" s="10" t="n"/>
      <c r="Q1499" s="10" t="n"/>
      <c r="R1499" s="10" t="n"/>
      <c r="S1499" s="10" t="n"/>
      <c r="T1499" s="10" t="n"/>
      <c r="U1499" s="10" t="n"/>
      <c r="V1499" s="10" t="n"/>
      <c r="W1499" s="10" t="n"/>
      <c r="X1499" s="10" t="n"/>
      <c r="Y1499" s="10" t="n"/>
      <c r="Z1499" s="10" t="n"/>
    </row>
    <row r="1500">
      <c r="A1500" s="27" t="inlineStr">
        <is>
          <t>revenueManagement.orderCode</t>
        </is>
      </c>
      <c r="B1500" s="27" t="inlineStr">
        <is>
          <t>Mã đơn hàng</t>
        </is>
      </c>
      <c r="C1500" s="27" t="inlineStr">
        <is>
          <t>Order ID</t>
        </is>
      </c>
      <c r="D1500" s="102" t="n"/>
      <c r="E1500" s="102" t="inlineStr">
        <is>
          <t>កូដបុុងបញ្ញើ</t>
        </is>
      </c>
      <c r="F1500" s="10" t="n"/>
      <c r="G1500" s="10" t="inlineStr">
        <is>
          <t>លេខកូដបុងបញ្ញើ</t>
        </is>
      </c>
      <c r="H1500" s="10" t="inlineStr">
        <is>
          <t>លេខកូដបុងបញ្ញើ</t>
        </is>
      </c>
      <c r="I1500" s="10" t="n"/>
      <c r="J1500" s="10" t="n"/>
      <c r="K1500" s="10" t="inlineStr">
        <is>
          <t>"revenueManagement.orderCode": "លេខកូដបុងបញ្ញើ",</t>
        </is>
      </c>
      <c r="L1500" s="10" t="n"/>
      <c r="M1500" s="10" t="n"/>
      <c r="N1500" s="10" t="n"/>
      <c r="O1500" s="10" t="n"/>
      <c r="P1500" s="10" t="n"/>
      <c r="Q1500" s="10" t="n"/>
      <c r="R1500" s="10" t="n"/>
      <c r="S1500" s="10" t="n"/>
      <c r="T1500" s="10" t="n"/>
      <c r="U1500" s="10" t="n"/>
      <c r="V1500" s="10" t="n"/>
      <c r="W1500" s="10" t="n"/>
      <c r="X1500" s="10" t="n"/>
      <c r="Y1500" s="10" t="n"/>
      <c r="Z1500" s="10" t="n"/>
    </row>
    <row r="1501">
      <c r="A1501" s="27" t="inlineStr">
        <is>
          <t>revenueManagement.customerCode</t>
        </is>
      </c>
      <c r="B1501" s="27" t="inlineStr">
        <is>
          <t>Mã KH</t>
        </is>
      </c>
      <c r="C1501" s="27" t="inlineStr">
        <is>
          <t>Customer ID</t>
        </is>
      </c>
      <c r="D1501" s="21" t="inlineStr">
        <is>
          <t>លេខកូដអតិថិជន</t>
        </is>
      </c>
      <c r="E1501" s="102" t="inlineStr">
        <is>
          <t>លេខសម្គាល់អតិថិជន</t>
        </is>
      </c>
      <c r="F1501" s="10" t="n"/>
      <c r="G1501" s="10" t="inlineStr">
        <is>
          <t>លេខសម្គាល់អតិថិជន</t>
        </is>
      </c>
      <c r="H1501" s="10" t="inlineStr">
        <is>
          <t>លេខសម្គាល់អតិថិជន</t>
        </is>
      </c>
      <c r="I1501" s="10" t="n"/>
      <c r="J1501" s="10" t="n"/>
      <c r="K1501" s="10" t="inlineStr">
        <is>
          <t>"revenueManagement.customerCode": "លេខសម្គាល់អតិថិជន",</t>
        </is>
      </c>
      <c r="L1501" s="10" t="n"/>
      <c r="M1501" s="10" t="n"/>
      <c r="N1501" s="10" t="n"/>
      <c r="O1501" s="10" t="n"/>
      <c r="P1501" s="10" t="n"/>
      <c r="Q1501" s="10" t="n"/>
      <c r="R1501" s="10" t="n"/>
      <c r="S1501" s="10" t="n"/>
      <c r="T1501" s="10" t="n"/>
      <c r="U1501" s="10" t="n"/>
      <c r="V1501" s="10" t="n"/>
      <c r="W1501" s="10" t="n"/>
      <c r="X1501" s="10" t="n"/>
      <c r="Y1501" s="10" t="n"/>
      <c r="Z1501" s="10" t="n"/>
    </row>
    <row r="1502">
      <c r="A1502" s="27" t="inlineStr">
        <is>
          <t>revenueManagement.customerName</t>
        </is>
      </c>
      <c r="B1502" s="27" t="inlineStr">
        <is>
          <t>Tên khách hàng</t>
        </is>
      </c>
      <c r="C1502" s="27" t="inlineStr">
        <is>
          <t>Customer</t>
        </is>
      </c>
      <c r="D1502" s="21" t="inlineStr">
        <is>
          <t>ឈ្មោះអតិថិជន</t>
        </is>
      </c>
      <c r="E1502" s="21" t="inlineStr">
        <is>
          <t>ឈ្មោះអតិថិជន</t>
        </is>
      </c>
      <c r="F1502" s="10" t="n"/>
      <c r="G1502" s="10" t="inlineStr">
        <is>
          <t>ឈ្មោះអតិថិជន</t>
        </is>
      </c>
      <c r="H1502" s="10" t="inlineStr">
        <is>
          <t>ឈ្មោះអតិថិជន</t>
        </is>
      </c>
      <c r="I1502" s="10" t="n"/>
      <c r="J1502" s="10" t="n"/>
      <c r="K1502" s="10" t="inlineStr">
        <is>
          <t>"revenueManagement.customerName": "ឈ្មោះអតិថិជន",</t>
        </is>
      </c>
      <c r="L1502" s="10" t="n"/>
      <c r="M1502" s="10" t="n"/>
      <c r="N1502" s="10" t="n"/>
      <c r="O1502" s="10" t="n"/>
      <c r="P1502" s="10" t="n"/>
      <c r="Q1502" s="10" t="n"/>
      <c r="R1502" s="10" t="n"/>
      <c r="S1502" s="10" t="n"/>
      <c r="T1502" s="10" t="n"/>
      <c r="U1502" s="10" t="n"/>
      <c r="V1502" s="10" t="n"/>
      <c r="W1502" s="10" t="n"/>
      <c r="X1502" s="10" t="n"/>
      <c r="Y1502" s="10" t="n"/>
      <c r="Z1502" s="10" t="n"/>
    </row>
    <row r="1503">
      <c r="A1503" s="27" t="inlineStr">
        <is>
          <t>revenueManagement.acronymCustomerName</t>
        </is>
      </c>
      <c r="B1503" s="27" t="inlineStr">
        <is>
          <t>Tên KH</t>
        </is>
      </c>
      <c r="C1503" s="27" t="inlineStr">
        <is>
          <t>Customer</t>
        </is>
      </c>
      <c r="D1503" s="21" t="inlineStr">
        <is>
          <t>ឈ្មោះអតិថិជន</t>
        </is>
      </c>
      <c r="E1503" s="21" t="inlineStr">
        <is>
          <t>ឈ្មោះអតិថិជន</t>
        </is>
      </c>
      <c r="F1503" s="10" t="n"/>
      <c r="G1503" s="10" t="inlineStr">
        <is>
          <t>ឈ្មោះអតិថិជន</t>
        </is>
      </c>
      <c r="H1503" s="10" t="inlineStr">
        <is>
          <t>ឈ្មោះអតិថិជន</t>
        </is>
      </c>
      <c r="I1503" s="10" t="n"/>
      <c r="J1503" s="10" t="n"/>
      <c r="K1503" s="10" t="inlineStr">
        <is>
          <t>"revenueManagement.acronymCustomerName": "ឈ្មោះអតិថិជន",</t>
        </is>
      </c>
      <c r="L1503" s="10" t="n"/>
      <c r="M1503" s="10" t="n"/>
      <c r="N1503" s="10" t="n"/>
      <c r="O1503" s="10" t="n"/>
      <c r="P1503" s="10" t="n"/>
      <c r="Q1503" s="10" t="n"/>
      <c r="R1503" s="10" t="n"/>
      <c r="S1503" s="10" t="n"/>
      <c r="T1503" s="10" t="n"/>
      <c r="U1503" s="10" t="n"/>
      <c r="V1503" s="10" t="n"/>
      <c r="W1503" s="10" t="n"/>
      <c r="X1503" s="10" t="n"/>
      <c r="Y1503" s="10" t="n"/>
      <c r="Z1503" s="10" t="n"/>
    </row>
    <row r="1504">
      <c r="A1504" s="27" t="inlineStr">
        <is>
          <t>revenueManagement.customerSearchPlaceholder</t>
        </is>
      </c>
      <c r="B1504" s="27" t="inlineStr">
        <is>
          <t>Mã KH, tên KH</t>
        </is>
      </c>
      <c r="C1504" s="27" t="inlineStr">
        <is>
          <t>CusID, Customer</t>
        </is>
      </c>
      <c r="D1504" s="21" t="inlineStr">
        <is>
          <t>លេខកូដអតិថិជន ឈ្មោះអតិថិជន</t>
        </is>
      </c>
      <c r="E1504" s="24" t="inlineStr">
        <is>
          <t>លេខសម្គាល់អតិថិជន ឈ្មោះអតិថិជន</t>
        </is>
      </c>
      <c r="F1504" s="10" t="n"/>
      <c r="G1504" s="10" t="inlineStr">
        <is>
          <t>លេខសម្គាល់អតិថិជន ឈ្មោះអតិថិជន</t>
        </is>
      </c>
      <c r="H1504" s="10" t="inlineStr">
        <is>
          <t>លេខសម្គាល់អតិថិជន ឈ្មោះអតិថិជន</t>
        </is>
      </c>
      <c r="I1504" s="10" t="n"/>
      <c r="J1504" s="10" t="n"/>
      <c r="K1504" s="10" t="inlineStr">
        <is>
          <t>"revenueManagement.customerSearchPlaceholder": "លេខសម្គាល់អតិថិជន ឈ្មោះអតិថិជន",</t>
        </is>
      </c>
      <c r="L1504" s="10" t="n"/>
      <c r="M1504" s="10" t="n"/>
      <c r="N1504" s="10" t="n"/>
      <c r="O1504" s="10" t="n"/>
      <c r="P1504" s="10" t="n"/>
      <c r="Q1504" s="10" t="n"/>
      <c r="R1504" s="10" t="n"/>
      <c r="S1504" s="10" t="n"/>
      <c r="T1504" s="10" t="n"/>
      <c r="U1504" s="10" t="n"/>
      <c r="V1504" s="10" t="n"/>
      <c r="W1504" s="10" t="n"/>
      <c r="X1504" s="10" t="n"/>
      <c r="Y1504" s="10" t="n"/>
      <c r="Z1504" s="10" t="n"/>
    </row>
    <row r="1505">
      <c r="A1505" s="27" t="inlineStr">
        <is>
          <t>revenueManagement.serviceCode</t>
        </is>
      </c>
      <c r="B1505" s="27" t="inlineStr">
        <is>
          <t>Mã dịch vụ</t>
        </is>
      </c>
      <c r="C1505" s="27" t="inlineStr">
        <is>
          <t>Main service code</t>
        </is>
      </c>
      <c r="D1505" s="21" t="inlineStr">
        <is>
          <t>លេខកូដសេវាកម្ម</t>
        </is>
      </c>
      <c r="E1505" s="21" t="inlineStr">
        <is>
          <t>លេខកូដសេវាកម្ម</t>
        </is>
      </c>
      <c r="F1505" s="10" t="n"/>
      <c r="G1505" s="10" t="inlineStr">
        <is>
          <t>លេខកូដសេវាកម្ម</t>
        </is>
      </c>
      <c r="H1505" s="10" t="inlineStr">
        <is>
          <t>លេខកូដសេវាកម្ម</t>
        </is>
      </c>
      <c r="I1505" s="10" t="n"/>
      <c r="J1505" s="10" t="n"/>
      <c r="K1505" s="10" t="inlineStr">
        <is>
          <t>"revenueManagement.serviceCode": "លេខកូដសេវាកម្ម",</t>
        </is>
      </c>
      <c r="L1505" s="10" t="n"/>
      <c r="M1505" s="10" t="n"/>
      <c r="N1505" s="10" t="n"/>
      <c r="O1505" s="10" t="n"/>
      <c r="P1505" s="10" t="n"/>
      <c r="Q1505" s="10" t="n"/>
      <c r="R1505" s="10" t="n"/>
      <c r="S1505" s="10" t="n"/>
      <c r="T1505" s="10" t="n"/>
      <c r="U1505" s="10" t="n"/>
      <c r="V1505" s="10" t="n"/>
      <c r="W1505" s="10" t="n"/>
      <c r="X1505" s="10" t="n"/>
      <c r="Y1505" s="10" t="n"/>
      <c r="Z1505" s="10" t="n"/>
    </row>
    <row r="1506">
      <c r="A1506" s="27" t="inlineStr">
        <is>
          <t>revenueManagement.fee</t>
        </is>
      </c>
      <c r="B1506" s="27" t="inlineStr">
        <is>
          <t>Cước phí</t>
        </is>
      </c>
      <c r="C1506" s="27" t="inlineStr">
        <is>
          <t>Service charge</t>
        </is>
      </c>
      <c r="D1506" s="21" t="inlineStr">
        <is>
          <t>ថ្លៃសេវា</t>
        </is>
      </c>
      <c r="E1506" s="21" t="inlineStr">
        <is>
          <t>ថ្លៃសេវា</t>
        </is>
      </c>
      <c r="F1506" s="10" t="n"/>
      <c r="G1506" s="10" t="inlineStr">
        <is>
          <t>ថ្លៃដឹកជញ្ជូន</t>
        </is>
      </c>
      <c r="H1506" s="10" t="inlineStr">
        <is>
          <t>ថ្លៃដឹកជញ្ជូន</t>
        </is>
      </c>
      <c r="I1506" s="10" t="n"/>
      <c r="J1506" s="10" t="n"/>
      <c r="K1506" s="10" t="inlineStr">
        <is>
          <t>"revenueManagement.fee": "ថ្លៃដឹកជញ្ជូន",</t>
        </is>
      </c>
      <c r="L1506" s="10" t="n"/>
      <c r="M1506" s="10" t="n"/>
      <c r="N1506" s="10" t="n"/>
      <c r="O1506" s="10" t="n"/>
      <c r="P1506" s="10" t="n"/>
      <c r="Q1506" s="10" t="n"/>
      <c r="R1506" s="10" t="n"/>
      <c r="S1506" s="10" t="n"/>
      <c r="T1506" s="10" t="n"/>
      <c r="U1506" s="10" t="n"/>
      <c r="V1506" s="10" t="n"/>
      <c r="W1506" s="10" t="n"/>
      <c r="X1506" s="10" t="n"/>
      <c r="Y1506" s="10" t="n"/>
      <c r="Z1506" s="10" t="n"/>
    </row>
    <row r="1507">
      <c r="A1507" s="27" t="inlineStr">
        <is>
          <t>revenueManagement.weight</t>
        </is>
      </c>
      <c r="B1507" s="27" t="inlineStr">
        <is>
          <t>Trọng lượng (g)</t>
        </is>
      </c>
      <c r="C1507" s="27" t="inlineStr">
        <is>
          <t>Weight (g)</t>
        </is>
      </c>
      <c r="D1507" s="21" t="inlineStr">
        <is>
          <t>ទម្ងន់ (ក្រាម)</t>
        </is>
      </c>
      <c r="E1507" s="21" t="inlineStr">
        <is>
          <t>ទម្ងន់ (ក្រាម)</t>
        </is>
      </c>
      <c r="F1507" s="10" t="n"/>
      <c r="G1507" s="10" t="inlineStr">
        <is>
          <t>ទម្ងន់ (ក្រាម)</t>
        </is>
      </c>
      <c r="H1507" s="10" t="inlineStr">
        <is>
          <t>ទម្ងន់ (ក្រាម)</t>
        </is>
      </c>
      <c r="I1507" s="10" t="n"/>
      <c r="J1507" s="10" t="n"/>
      <c r="K1507" s="10" t="inlineStr">
        <is>
          <t>"revenueManagement.weight": "ទម្ងន់ (ក្រាម)",</t>
        </is>
      </c>
      <c r="L1507" s="10" t="n"/>
      <c r="M1507" s="10" t="n"/>
      <c r="N1507" s="10" t="n"/>
      <c r="O1507" s="10" t="n"/>
      <c r="P1507" s="10" t="n"/>
      <c r="Q1507" s="10" t="n"/>
      <c r="R1507" s="10" t="n"/>
      <c r="S1507" s="10" t="n"/>
      <c r="T1507" s="10" t="n"/>
      <c r="U1507" s="10" t="n"/>
      <c r="V1507" s="10" t="n"/>
      <c r="W1507" s="10" t="n"/>
      <c r="X1507" s="10" t="n"/>
      <c r="Y1507" s="10" t="n"/>
      <c r="Z1507" s="10" t="n"/>
    </row>
    <row r="1508">
      <c r="A1508" s="27" t="inlineStr">
        <is>
          <t>revenueManagement.orderStatus</t>
        </is>
      </c>
      <c r="B1508" s="27" t="inlineStr">
        <is>
          <t>Trạng thái đơn</t>
        </is>
      </c>
      <c r="C1508" s="27" t="inlineStr">
        <is>
          <t>Order status</t>
        </is>
      </c>
      <c r="D1508" s="21" t="inlineStr">
        <is>
          <t>ស្ថានភាពបុងបញ្ញើ</t>
        </is>
      </c>
      <c r="E1508" s="21" t="inlineStr">
        <is>
          <t>ស្ថានភាពបុងបញ្ញើ</t>
        </is>
      </c>
      <c r="F1508" s="10" t="n"/>
      <c r="G1508" s="10" t="inlineStr">
        <is>
          <t>ស្ថានភាពបុងបញ្ញើ</t>
        </is>
      </c>
      <c r="H1508" s="10" t="inlineStr">
        <is>
          <t>ស្ថានភាពបុងបញ្ញើ</t>
        </is>
      </c>
      <c r="I1508" s="10" t="n"/>
      <c r="J1508" s="10" t="n"/>
      <c r="K1508" s="10" t="inlineStr">
        <is>
          <t>"revenueManagement.orderStatus": "ស្ថានភាពបុងបញ្ញើ",</t>
        </is>
      </c>
      <c r="L1508" s="10" t="n"/>
      <c r="M1508" s="10" t="n"/>
      <c r="N1508" s="10" t="n"/>
      <c r="O1508" s="10" t="n"/>
      <c r="P1508" s="10" t="n"/>
      <c r="Q1508" s="10" t="n"/>
      <c r="R1508" s="10" t="n"/>
      <c r="S1508" s="10" t="n"/>
      <c r="T1508" s="10" t="n"/>
      <c r="U1508" s="10" t="n"/>
      <c r="V1508" s="10" t="n"/>
      <c r="W1508" s="10" t="n"/>
      <c r="X1508" s="10" t="n"/>
      <c r="Y1508" s="10" t="n"/>
      <c r="Z1508" s="10" t="n"/>
    </row>
    <row r="1509">
      <c r="A1509" s="27" t="inlineStr">
        <is>
          <t>revenueManagement.createdAt</t>
        </is>
      </c>
      <c r="B1509" s="27" t="inlineStr">
        <is>
          <t>Ngày tạo</t>
        </is>
      </c>
      <c r="C1509" s="27" t="inlineStr">
        <is>
          <t>Created on</t>
        </is>
      </c>
      <c r="D1509" s="21" t="inlineStr">
        <is>
          <t>ថ្ងៃបង្កើត</t>
        </is>
      </c>
      <c r="E1509" s="21" t="inlineStr">
        <is>
          <t>ថ្ងៃបង្កើត</t>
        </is>
      </c>
      <c r="F1509" s="10" t="n"/>
      <c r="G1509" s="10" t="inlineStr">
        <is>
          <t>កាលបរិច្ឆេទបង្កើត</t>
        </is>
      </c>
      <c r="H1509" s="10" t="inlineStr">
        <is>
          <t>កាលបរិច្ឆេទបង្កើត</t>
        </is>
      </c>
      <c r="I1509" s="10" t="n"/>
      <c r="J1509" s="10" t="n"/>
      <c r="K1509" s="10" t="inlineStr">
        <is>
          <t>"revenueManagement.createdAt": "កាលបរិច្ឆេទបង្កើត",</t>
        </is>
      </c>
      <c r="L1509" s="10" t="n"/>
      <c r="M1509" s="10" t="n"/>
      <c r="N1509" s="10" t="n"/>
      <c r="O1509" s="10" t="n"/>
      <c r="P1509" s="10" t="n"/>
      <c r="Q1509" s="10" t="n"/>
      <c r="R1509" s="10" t="n"/>
      <c r="S1509" s="10" t="n"/>
      <c r="T1509" s="10" t="n"/>
      <c r="U1509" s="10" t="n"/>
      <c r="V1509" s="10" t="n"/>
      <c r="W1509" s="10" t="n"/>
      <c r="X1509" s="10" t="n"/>
      <c r="Y1509" s="10" t="n"/>
      <c r="Z1509" s="10" t="n"/>
    </row>
    <row r="1510">
      <c r="A1510" s="27" t="inlineStr">
        <is>
          <t>revenueManagement.cod</t>
        </is>
      </c>
      <c r="B1510" s="27" t="inlineStr">
        <is>
          <t>Tiền COD</t>
        </is>
      </c>
      <c r="C1510" s="27" t="inlineStr">
        <is>
          <t>COD amount</t>
        </is>
      </c>
      <c r="D1510" s="21" t="inlineStr">
        <is>
          <t>ប្រាក់COD</t>
        </is>
      </c>
      <c r="E1510" s="21" t="inlineStr">
        <is>
          <t>ប្រាក់COD</t>
        </is>
      </c>
      <c r="F1510" s="10" t="n"/>
      <c r="G1510" s="10" t="inlineStr">
        <is>
          <t>ប្រាក់ COD</t>
        </is>
      </c>
      <c r="H1510" s="10" t="inlineStr">
        <is>
          <t>ប្រាក់ COD</t>
        </is>
      </c>
      <c r="I1510" s="10" t="n"/>
      <c r="J1510" s="10" t="n"/>
      <c r="K1510" s="10" t="inlineStr">
        <is>
          <t>"revenueManagement.cod": "ប្រាក់ COD",</t>
        </is>
      </c>
      <c r="L1510" s="10" t="n"/>
      <c r="M1510" s="10" t="n"/>
      <c r="N1510" s="10" t="n"/>
      <c r="O1510" s="10" t="n"/>
      <c r="P1510" s="10" t="n"/>
      <c r="Q1510" s="10" t="n"/>
      <c r="R1510" s="10" t="n"/>
      <c r="S1510" s="10" t="n"/>
      <c r="T1510" s="10" t="n"/>
      <c r="U1510" s="10" t="n"/>
      <c r="V1510" s="10" t="n"/>
      <c r="W1510" s="10" t="n"/>
      <c r="X1510" s="10" t="n"/>
      <c r="Y1510" s="10" t="n"/>
      <c r="Z1510" s="10" t="n"/>
    </row>
    <row r="1511">
      <c r="A1511" s="27" t="inlineStr">
        <is>
          <t>revenueManagement.shippingFee</t>
        </is>
      </c>
      <c r="B1511" s="27" t="inlineStr">
        <is>
          <t>Tiền Cước</t>
        </is>
      </c>
      <c r="C1511" s="27" t="inlineStr">
        <is>
          <t>Service charge</t>
        </is>
      </c>
      <c r="D1511" s="21" t="inlineStr">
        <is>
          <t>ថ្លៃសេវា</t>
        </is>
      </c>
      <c r="E1511" s="21" t="inlineStr">
        <is>
          <t>ថ្លៃសេវា</t>
        </is>
      </c>
      <c r="F1511" s="10" t="n"/>
      <c r="G1511" s="10" t="inlineStr">
        <is>
          <t>ថ្លៃសេវា</t>
        </is>
      </c>
      <c r="H1511" s="10" t="inlineStr">
        <is>
          <t>ថ្លៃសេវា</t>
        </is>
      </c>
      <c r="I1511" s="10" t="n"/>
      <c r="J1511" s="10" t="n"/>
      <c r="K1511" s="10" t="inlineStr">
        <is>
          <t>"revenueManagement.shippingFee": "ថ្លៃសេវា",</t>
        </is>
      </c>
      <c r="L1511" s="10" t="n"/>
      <c r="M1511" s="10" t="n"/>
      <c r="N1511" s="10" t="n"/>
      <c r="O1511" s="10" t="n"/>
      <c r="P1511" s="10" t="n"/>
      <c r="Q1511" s="10" t="n"/>
      <c r="R1511" s="10" t="n"/>
      <c r="S1511" s="10" t="n"/>
      <c r="T1511" s="10" t="n"/>
      <c r="U1511" s="10" t="n"/>
      <c r="V1511" s="10" t="n"/>
      <c r="W1511" s="10" t="n"/>
      <c r="X1511" s="10" t="n"/>
      <c r="Y1511" s="10" t="n"/>
      <c r="Z1511" s="10" t="n"/>
    </row>
    <row r="1512">
      <c r="A1512" s="27" t="inlineStr">
        <is>
          <t>revenueManagement.vat</t>
        </is>
      </c>
      <c r="B1512" s="27" t="inlineStr">
        <is>
          <t>VAT</t>
        </is>
      </c>
      <c r="C1512" s="27" t="inlineStr">
        <is>
          <t>VAT</t>
        </is>
      </c>
      <c r="D1512" s="21" t="inlineStr">
        <is>
          <t>ពន្ធ VAT</t>
        </is>
      </c>
      <c r="E1512" s="21" t="inlineStr">
        <is>
          <t>ពន្ធ VAT</t>
        </is>
      </c>
      <c r="F1512" s="10" t="n"/>
      <c r="G1512" s="10" t="inlineStr">
        <is>
          <t>ពន្ធ VAT</t>
        </is>
      </c>
      <c r="H1512" s="10" t="inlineStr">
        <is>
          <t>ពន្ធ VAT</t>
        </is>
      </c>
      <c r="I1512" s="10" t="n"/>
      <c r="J1512" s="10" t="n"/>
      <c r="K1512" s="10" t="inlineStr">
        <is>
          <t>"revenueManagement.vat": "ពន្ធ VAT",</t>
        </is>
      </c>
      <c r="L1512" s="10" t="n"/>
      <c r="M1512" s="10" t="n"/>
      <c r="N1512" s="10" t="n"/>
      <c r="O1512" s="10" t="n"/>
      <c r="P1512" s="10" t="n"/>
      <c r="Q1512" s="10" t="n"/>
      <c r="R1512" s="10" t="n"/>
      <c r="S1512" s="10" t="n"/>
      <c r="T1512" s="10" t="n"/>
      <c r="U1512" s="10" t="n"/>
      <c r="V1512" s="10" t="n"/>
      <c r="W1512" s="10" t="n"/>
      <c r="X1512" s="10" t="n"/>
      <c r="Y1512" s="10" t="n"/>
      <c r="Z1512" s="10" t="n"/>
    </row>
    <row r="1513">
      <c r="A1513" s="27" t="inlineStr">
        <is>
          <t>revenueManagement.afterTax</t>
        </is>
      </c>
      <c r="B1513" s="27" t="inlineStr">
        <is>
          <t>Tiền sau thuế</t>
        </is>
      </c>
      <c r="C1513" s="27" t="inlineStr">
        <is>
          <t>Post-tax service charge</t>
        </is>
      </c>
      <c r="D1513" s="21" t="inlineStr">
        <is>
          <t>ប្រាក់ក្រោយពន្ធ</t>
        </is>
      </c>
      <c r="E1513" s="21" t="inlineStr">
        <is>
          <t>ប្រាក់ក្រោយពន្ធ</t>
        </is>
      </c>
      <c r="F1513" s="10" t="n"/>
      <c r="G1513" s="10" t="inlineStr">
        <is>
          <t>ប្រាក់ក្រោយពន្ធ</t>
        </is>
      </c>
      <c r="H1513" s="10" t="inlineStr">
        <is>
          <t>ប្រាក់ក្រោយពន្ធ</t>
        </is>
      </c>
      <c r="I1513" s="10" t="n"/>
      <c r="J1513" s="10" t="n"/>
      <c r="K1513" s="10" t="inlineStr">
        <is>
          <t>"revenueManagement.afterTax": "ប្រាក់ក្រោយពន្ធ",</t>
        </is>
      </c>
      <c r="L1513" s="10" t="n"/>
      <c r="M1513" s="10" t="n"/>
      <c r="N1513" s="10" t="n"/>
      <c r="O1513" s="10" t="n"/>
      <c r="P1513" s="10" t="n"/>
      <c r="Q1513" s="10" t="n"/>
      <c r="R1513" s="10" t="n"/>
      <c r="S1513" s="10" t="n"/>
      <c r="T1513" s="10" t="n"/>
      <c r="U1513" s="10" t="n"/>
      <c r="V1513" s="10" t="n"/>
      <c r="W1513" s="10" t="n"/>
      <c r="X1513" s="10" t="n"/>
      <c r="Y1513" s="10" t="n"/>
      <c r="Z1513" s="10" t="n"/>
    </row>
    <row r="1514">
      <c r="A1514" s="27" t="inlineStr">
        <is>
          <t>revenueManagement.discount</t>
        </is>
      </c>
      <c r="B1514" s="27" t="inlineStr">
        <is>
          <t>Giảm giá</t>
        </is>
      </c>
      <c r="C1514" s="27" t="inlineStr">
        <is>
          <t>Discount</t>
        </is>
      </c>
      <c r="D1514" s="21" t="inlineStr">
        <is>
          <t>បញ្ចុះតម្លៃ</t>
        </is>
      </c>
      <c r="E1514" s="21" t="inlineStr">
        <is>
          <t>បញ្ចុះតម្លៃ</t>
        </is>
      </c>
      <c r="F1514" s="10" t="n"/>
      <c r="G1514" s="10" t="inlineStr">
        <is>
          <t>បញ្ចុះតម្លៃ</t>
        </is>
      </c>
      <c r="H1514" s="10" t="inlineStr">
        <is>
          <t>បញ្ចុះតម្លៃ</t>
        </is>
      </c>
      <c r="I1514" s="10" t="n"/>
      <c r="J1514" s="10" t="n"/>
      <c r="K1514" s="10" t="inlineStr">
        <is>
          <t>"revenueManagement.discount": "បញ្ចុះតម្លៃ",</t>
        </is>
      </c>
      <c r="L1514" s="10" t="n"/>
      <c r="M1514" s="10" t="n"/>
      <c r="N1514" s="10" t="n"/>
      <c r="O1514" s="10" t="n"/>
      <c r="P1514" s="10" t="n"/>
      <c r="Q1514" s="10" t="n"/>
      <c r="R1514" s="10" t="n"/>
      <c r="S1514" s="10" t="n"/>
      <c r="T1514" s="10" t="n"/>
      <c r="U1514" s="10" t="n"/>
      <c r="V1514" s="10" t="n"/>
      <c r="W1514" s="10" t="n"/>
      <c r="X1514" s="10" t="n"/>
      <c r="Y1514" s="10" t="n"/>
      <c r="Z1514" s="10" t="n"/>
    </row>
    <row r="1515">
      <c r="A1515" s="27" t="inlineStr">
        <is>
          <t>revenueManagement.revenueAfterDiscount</t>
        </is>
      </c>
      <c r="B1515" s="27" t="inlineStr">
        <is>
          <t>Doanh thu sau giảm giá</t>
        </is>
      </c>
      <c r="C1515" s="27" t="inlineStr">
        <is>
          <t>Revenue after discounts</t>
        </is>
      </c>
      <c r="D1515" s="21" t="inlineStr">
        <is>
          <t>ប្រាក់ចំណូលក្រោយពីបានបញ្ចុះតម្លៃ</t>
        </is>
      </c>
      <c r="E1515" s="21" t="inlineStr">
        <is>
          <t>ប្រាក់ចំណូលក្រោយពីបានបញ្ចុះតម្លៃ</t>
        </is>
      </c>
      <c r="F1515" s="10" t="n"/>
      <c r="G1515" s="10" t="inlineStr">
        <is>
          <t>ប្រាក់ចំណូលក្រោយពីបានបញ្ចុះតម្លៃ</t>
        </is>
      </c>
      <c r="H1515" s="10" t="inlineStr">
        <is>
          <t>ប្រាក់ចំណូលក្រោយពីបានបញ្ចុះតម្លៃ</t>
        </is>
      </c>
      <c r="I1515" s="10" t="n"/>
      <c r="J1515" s="10" t="n"/>
      <c r="K1515" s="10" t="inlineStr">
        <is>
          <t>"revenueManagement.revenueAfterDiscount": "ប្រាក់ចំណូលក្រោយពីបានបញ្ចុះតម្លៃ",</t>
        </is>
      </c>
      <c r="L1515" s="10" t="n"/>
      <c r="M1515" s="10" t="n"/>
      <c r="N1515" s="10" t="n"/>
      <c r="O1515" s="10" t="n"/>
      <c r="P1515" s="10" t="n"/>
      <c r="Q1515" s="10" t="n"/>
      <c r="R1515" s="10" t="n"/>
      <c r="S1515" s="10" t="n"/>
      <c r="T1515" s="10" t="n"/>
      <c r="U1515" s="10" t="n"/>
      <c r="V1515" s="10" t="n"/>
      <c r="W1515" s="10" t="n"/>
      <c r="X1515" s="10" t="n"/>
      <c r="Y1515" s="10" t="n"/>
      <c r="Z1515" s="10" t="n"/>
    </row>
    <row r="1516">
      <c r="A1516" s="27" t="inlineStr">
        <is>
          <t>revenueManagement.syncStatus</t>
        </is>
      </c>
      <c r="B1516" s="27" t="inlineStr">
        <is>
          <t>Trạng thái đồng bộ</t>
        </is>
      </c>
      <c r="C1516" s="27" t="inlineStr">
        <is>
          <t>Sync status</t>
        </is>
      </c>
      <c r="D1516" s="102" t="n"/>
      <c r="E1516" s="99" t="inlineStr">
        <is>
          <t>ស្ថានភាពសមមូល</t>
        </is>
      </c>
      <c r="F1516" s="10" t="n"/>
      <c r="G1516" s="10" t="inlineStr">
        <is>
          <t>ស្ថានភាពសមមូល</t>
        </is>
      </c>
      <c r="H1516" s="10" t="inlineStr">
        <is>
          <t>ស្ថានភាពសមមូល</t>
        </is>
      </c>
      <c r="I1516" s="10" t="n"/>
      <c r="J1516" s="10" t="n"/>
      <c r="K1516" s="10" t="inlineStr">
        <is>
          <t>"revenueManagement.syncStatus": "ស្ថានភាពសមមូល",</t>
        </is>
      </c>
      <c r="L1516" s="10" t="n"/>
      <c r="M1516" s="10" t="n"/>
      <c r="N1516" s="10" t="n"/>
      <c r="O1516" s="10" t="n"/>
      <c r="P1516" s="10" t="n"/>
      <c r="Q1516" s="10" t="n"/>
      <c r="R1516" s="10" t="n"/>
      <c r="S1516" s="10" t="n"/>
      <c r="T1516" s="10" t="n"/>
      <c r="U1516" s="10" t="n"/>
      <c r="V1516" s="10" t="n"/>
      <c r="W1516" s="10" t="n"/>
      <c r="X1516" s="10" t="n"/>
      <c r="Y1516" s="10" t="n"/>
      <c r="Z1516" s="10" t="n"/>
    </row>
    <row r="1517">
      <c r="A1517" s="27" t="inlineStr">
        <is>
          <t>revenueManagement.handle</t>
        </is>
      </c>
      <c r="B1517" s="27" t="inlineStr">
        <is>
          <t>Thao tác</t>
        </is>
      </c>
      <c r="C1517" s="27" t="inlineStr">
        <is>
          <t>Action</t>
        </is>
      </c>
      <c r="D1517" s="21" t="inlineStr">
        <is>
          <t>ប្រតិបត្តិ្តការ</t>
        </is>
      </c>
      <c r="E1517" s="21" t="inlineStr">
        <is>
          <t>ប្រតិបត្តិ្តការ</t>
        </is>
      </c>
      <c r="F1517" s="10" t="n"/>
      <c r="G1517" s="10" t="inlineStr">
        <is>
          <t>ប្រតិបត្តិការ</t>
        </is>
      </c>
      <c r="H1517" s="10" t="inlineStr">
        <is>
          <t>ប្រតិបត្តិការ</t>
        </is>
      </c>
      <c r="I1517" s="10" t="n"/>
      <c r="J1517" s="10" t="n"/>
      <c r="K1517" s="10" t="inlineStr">
        <is>
          <t>"revenueManagement.handle": "ប្រតិបត្តិការ",</t>
        </is>
      </c>
      <c r="L1517" s="10" t="n"/>
      <c r="M1517" s="10" t="n"/>
      <c r="N1517" s="10" t="n"/>
      <c r="O1517" s="10" t="n"/>
      <c r="P1517" s="10" t="n"/>
      <c r="Q1517" s="10" t="n"/>
      <c r="R1517" s="10" t="n"/>
      <c r="S1517" s="10" t="n"/>
      <c r="T1517" s="10" t="n"/>
      <c r="U1517" s="10" t="n"/>
      <c r="V1517" s="10" t="n"/>
      <c r="W1517" s="10" t="n"/>
      <c r="X1517" s="10" t="n"/>
      <c r="Y1517" s="10" t="n"/>
      <c r="Z1517" s="10" t="n"/>
    </row>
    <row r="1518">
      <c r="A1518" s="27" t="inlineStr">
        <is>
          <t>revenueManagement.pusBackOrder</t>
        </is>
      </c>
      <c r="B1518" s="27" t="inlineStr">
        <is>
          <t>Đẩy lại đơn hàng</t>
        </is>
      </c>
      <c r="C1518" s="27" t="inlineStr">
        <is>
          <t>Resend order</t>
        </is>
      </c>
      <c r="D1518" s="102" t="n"/>
      <c r="E1518" s="90" t="inlineStr">
        <is>
          <t>ផ្ញើបុងបញ្ញើម្តងទៀត</t>
        </is>
      </c>
      <c r="F1518" s="10" t="n"/>
      <c r="G1518" s="10" t="inlineStr">
        <is>
          <t>ផ្ញើបុងបញ្ញើម្តងទៀត</t>
        </is>
      </c>
      <c r="H1518" s="10" t="inlineStr">
        <is>
          <t>ផ្ញើបុងបញ្ញើម្តងទៀត</t>
        </is>
      </c>
      <c r="I1518" s="10" t="n"/>
      <c r="J1518" s="10" t="n"/>
      <c r="K1518" s="10" t="inlineStr">
        <is>
          <t>"revenueManagement.pusBackOrder": "ផ្ញើបុងបញ្ញើម្តងទៀត",</t>
        </is>
      </c>
      <c r="L1518" s="10" t="n"/>
      <c r="M1518" s="10" t="n"/>
      <c r="N1518" s="10" t="n"/>
      <c r="O1518" s="10" t="n"/>
      <c r="P1518" s="10" t="n"/>
      <c r="Q1518" s="10" t="n"/>
      <c r="R1518" s="10" t="n"/>
      <c r="S1518" s="10" t="n"/>
      <c r="T1518" s="10" t="n"/>
      <c r="U1518" s="10" t="n"/>
      <c r="V1518" s="10" t="n"/>
      <c r="W1518" s="10" t="n"/>
      <c r="X1518" s="10" t="n"/>
      <c r="Y1518" s="10" t="n"/>
      <c r="Z1518" s="10" t="n"/>
    </row>
    <row r="1519">
      <c r="A1519" s="27" t="inlineStr">
        <is>
          <t>revenueManagement.companyCode</t>
        </is>
      </c>
      <c r="B1519" s="27" t="inlineStr">
        <is>
          <t>Company Code</t>
        </is>
      </c>
      <c r="C1519" s="27" t="inlineStr">
        <is>
          <t>Company Code</t>
        </is>
      </c>
      <c r="D1519" s="21" t="inlineStr">
        <is>
          <t>លេខសម្គាល់ក្រុមហ៊ុន</t>
        </is>
      </c>
      <c r="E1519" s="21" t="inlineStr">
        <is>
          <t>លេខសម្គាល់ក្រុមហ៊ុន</t>
        </is>
      </c>
      <c r="F1519" s="10" t="n"/>
      <c r="G1519" s="10" t="inlineStr">
        <is>
          <t>លេខសម្គាល់ក្រុមហ៊ុន</t>
        </is>
      </c>
      <c r="H1519" s="10" t="inlineStr">
        <is>
          <t>លេខសម្គាល់ក្រុមហ៊ុន</t>
        </is>
      </c>
      <c r="I1519" s="10" t="n"/>
      <c r="J1519" s="10" t="n"/>
      <c r="K1519" s="10" t="inlineStr">
        <is>
          <t>"revenueManagement.companyCode": "លេខសម្គាល់ក្រុមហ៊ុន",</t>
        </is>
      </c>
      <c r="L1519" s="10" t="n"/>
      <c r="M1519" s="10" t="n"/>
      <c r="N1519" s="10" t="n"/>
      <c r="O1519" s="10" t="n"/>
      <c r="P1519" s="10" t="n"/>
      <c r="Q1519" s="10" t="n"/>
      <c r="R1519" s="10" t="n"/>
      <c r="S1519" s="10" t="n"/>
      <c r="T1519" s="10" t="n"/>
      <c r="U1519" s="10" t="n"/>
      <c r="V1519" s="10" t="n"/>
      <c r="W1519" s="10" t="n"/>
      <c r="X1519" s="10" t="n"/>
      <c r="Y1519" s="10" t="n"/>
      <c r="Z1519" s="10" t="n"/>
    </row>
    <row r="1520">
      <c r="A1520" s="27" t="inlineStr">
        <is>
          <t>revenueManagement.referencesId</t>
        </is>
      </c>
      <c r="B1520" s="27" t="inlineStr">
        <is>
          <t>Mã tham chiếu</t>
        </is>
      </c>
      <c r="C1520" s="27" t="inlineStr">
        <is>
          <t>Reference code</t>
        </is>
      </c>
      <c r="D1520" s="102" t="n"/>
      <c r="E1520" s="99" t="inlineStr">
        <is>
          <t>លេខយោង</t>
        </is>
      </c>
      <c r="F1520" s="10" t="n"/>
      <c r="G1520" s="10" t="inlineStr">
        <is>
          <t>លេខយោង</t>
        </is>
      </c>
      <c r="H1520" s="10" t="inlineStr">
        <is>
          <t>លេខយោង</t>
        </is>
      </c>
      <c r="I1520" s="10" t="n"/>
      <c r="J1520" s="10" t="n"/>
      <c r="K1520" s="10" t="inlineStr">
        <is>
          <t>"revenueManagement.referencesId": "លេខយោង",</t>
        </is>
      </c>
      <c r="L1520" s="10" t="n"/>
      <c r="M1520" s="10" t="n"/>
      <c r="N1520" s="10" t="n"/>
      <c r="O1520" s="10" t="n"/>
      <c r="P1520" s="10" t="n"/>
      <c r="Q1520" s="10" t="n"/>
      <c r="R1520" s="10" t="n"/>
      <c r="S1520" s="10" t="n"/>
      <c r="T1520" s="10" t="n"/>
      <c r="U1520" s="10" t="n"/>
      <c r="V1520" s="10" t="n"/>
      <c r="W1520" s="10" t="n"/>
      <c r="X1520" s="10" t="n"/>
      <c r="Y1520" s="10" t="n"/>
      <c r="Z1520" s="10" t="n"/>
    </row>
    <row r="1521">
      <c r="A1521" s="27" t="inlineStr">
        <is>
          <t>revenueManagement.statementId</t>
        </is>
      </c>
      <c r="B1521" s="27" t="inlineStr">
        <is>
          <t>Mã bảng kê</t>
        </is>
      </c>
      <c r="C1521" s="27" t="inlineStr">
        <is>
          <t>Billing list ID</t>
        </is>
      </c>
      <c r="D1521" s="102" t="n"/>
      <c r="E1521" s="102" t="inlineStr">
        <is>
          <t>កូដតារាង</t>
        </is>
      </c>
      <c r="F1521" s="10" t="n"/>
      <c r="G1521" s="10" t="inlineStr">
        <is>
          <t>កូដតារាង</t>
        </is>
      </c>
      <c r="H1521" s="10" t="inlineStr">
        <is>
          <t>កូដតារាង</t>
        </is>
      </c>
      <c r="I1521" s="10" t="n"/>
      <c r="J1521" s="10" t="n"/>
      <c r="K1521" s="10" t="inlineStr">
        <is>
          <t>"revenueManagement.statementId": "កូដតារាង",</t>
        </is>
      </c>
      <c r="L1521" s="10" t="n"/>
      <c r="M1521" s="10" t="n"/>
      <c r="N1521" s="10" t="n"/>
      <c r="O1521" s="10" t="n"/>
      <c r="P1521" s="10" t="n"/>
      <c r="Q1521" s="10" t="n"/>
      <c r="R1521" s="10" t="n"/>
      <c r="S1521" s="10" t="n"/>
      <c r="T1521" s="10" t="n"/>
      <c r="U1521" s="10" t="n"/>
      <c r="V1521" s="10" t="n"/>
      <c r="W1521" s="10" t="n"/>
      <c r="X1521" s="10" t="n"/>
      <c r="Y1521" s="10" t="n"/>
      <c r="Z1521" s="10" t="n"/>
    </row>
    <row r="1522">
      <c r="A1522" s="27" t="inlineStr">
        <is>
          <t>revenueManagement.createStatementXHD</t>
        </is>
      </c>
      <c r="B1522" s="27" t="inlineStr">
        <is>
          <t>Tạo bảng kê XHĐ</t>
        </is>
      </c>
      <c r="C1522" s="27" t="inlineStr">
        <is>
          <t>Create</t>
        </is>
      </c>
      <c r="D1522" s="102" t="n"/>
      <c r="E1522" s="102" t="inlineStr">
        <is>
          <t>បង្កើតតារាងចេញវិក័យប័ត្រ</t>
        </is>
      </c>
      <c r="F1522" s="10" t="n"/>
      <c r="G1522" s="10" t="inlineStr">
        <is>
          <t>បង្កើតតារាងចេញវិក័យប័ត្រ</t>
        </is>
      </c>
      <c r="H1522" s="10" t="inlineStr">
        <is>
          <t>បង្កើតតារាងចេញវិក័យប័ត្រ</t>
        </is>
      </c>
      <c r="I1522" s="10" t="n"/>
      <c r="J1522" s="10" t="n"/>
      <c r="K1522" s="10" t="inlineStr">
        <is>
          <t>"revenueManagement.createStatementXHD": "បង្កើតតារាងចេញវិក័យប័ត្រ",</t>
        </is>
      </c>
      <c r="L1522" s="10" t="n"/>
      <c r="M1522" s="10" t="n"/>
      <c r="N1522" s="10" t="n"/>
      <c r="O1522" s="10" t="n"/>
      <c r="P1522" s="10" t="n"/>
      <c r="Q1522" s="10" t="n"/>
      <c r="R1522" s="10" t="n"/>
      <c r="S1522" s="10" t="n"/>
      <c r="T1522" s="10" t="n"/>
      <c r="U1522" s="10" t="n"/>
      <c r="V1522" s="10" t="n"/>
      <c r="W1522" s="10" t="n"/>
      <c r="X1522" s="10" t="n"/>
      <c r="Y1522" s="10" t="n"/>
      <c r="Z1522" s="10" t="n"/>
    </row>
    <row r="1523">
      <c r="A1523" s="27" t="inlineStr">
        <is>
          <t>revenueManagement.createStatement</t>
        </is>
      </c>
      <c r="B1523" s="27" t="inlineStr">
        <is>
          <t>Tạo bảng kê</t>
        </is>
      </c>
      <c r="C1523" s="27" t="inlineStr">
        <is>
          <t>Create billing list</t>
        </is>
      </c>
      <c r="D1523" s="21" t="inlineStr">
        <is>
          <t>បង្កើ្កតតារាង</t>
        </is>
      </c>
      <c r="E1523" s="102" t="inlineStr">
        <is>
          <t>បង្កើតតារាង</t>
        </is>
      </c>
      <c r="F1523" s="10" t="n"/>
      <c r="G1523" s="10" t="inlineStr">
        <is>
          <t>បង្កើតតារាង</t>
        </is>
      </c>
      <c r="H1523" s="10" t="inlineStr">
        <is>
          <t>បង្កើតតារាង</t>
        </is>
      </c>
      <c r="I1523" s="10" t="n"/>
      <c r="J1523" s="10" t="n"/>
      <c r="K1523" s="10" t="inlineStr">
        <is>
          <t>"revenueManagement.createStatement": "បង្កើតតារាង",</t>
        </is>
      </c>
      <c r="L1523" s="10" t="n"/>
      <c r="M1523" s="10" t="n"/>
      <c r="N1523" s="10" t="n"/>
      <c r="O1523" s="10" t="n"/>
      <c r="P1523" s="10" t="n"/>
      <c r="Q1523" s="10" t="n"/>
      <c r="R1523" s="10" t="n"/>
      <c r="S1523" s="10" t="n"/>
      <c r="T1523" s="10" t="n"/>
      <c r="U1523" s="10" t="n"/>
      <c r="V1523" s="10" t="n"/>
      <c r="W1523" s="10" t="n"/>
      <c r="X1523" s="10" t="n"/>
      <c r="Y1523" s="10" t="n"/>
      <c r="Z1523" s="10" t="n"/>
    </row>
    <row r="1524">
      <c r="A1524" s="27" t="inlineStr">
        <is>
          <t>revenueManagement.createStatementXHDModal</t>
        </is>
      </c>
      <c r="B1524" s="27" t="inlineStr">
        <is>
          <t>Tạo bảng kê xuất hoá đơn</t>
        </is>
      </c>
      <c r="C1524" s="27" t="inlineStr">
        <is>
          <t>Create an invoice issuance list</t>
        </is>
      </c>
      <c r="D1524" s="21" t="inlineStr">
        <is>
          <t>បង្កើ្កតតារាងចេញបុងបញ្ញើ</t>
        </is>
      </c>
      <c r="E1524" s="102" t="inlineStr">
        <is>
          <t>បង្កើតតារាងចេញវិក័យប័ត្រ</t>
        </is>
      </c>
      <c r="F1524" s="10" t="n"/>
      <c r="G1524" s="10" t="inlineStr">
        <is>
          <t>បង្កើតតារាងចេញវិក័យប័ត្រ</t>
        </is>
      </c>
      <c r="H1524" s="10" t="inlineStr">
        <is>
          <t>បង្កើតតារាងចេញវិក័យប័ត្រ</t>
        </is>
      </c>
      <c r="I1524" s="10" t="n"/>
      <c r="J1524" s="10" t="n"/>
      <c r="K1524" s="10" t="inlineStr">
        <is>
          <t>"revenueManagement.createStatementXHDModal": "បង្កើតតារាងចេញវិក័យប័ត្រ",</t>
        </is>
      </c>
      <c r="L1524" s="10" t="n"/>
      <c r="M1524" s="10" t="n"/>
      <c r="N1524" s="10" t="n"/>
      <c r="O1524" s="10" t="n"/>
      <c r="P1524" s="10" t="n"/>
      <c r="Q1524" s="10" t="n"/>
      <c r="R1524" s="10" t="n"/>
      <c r="S1524" s="10" t="n"/>
      <c r="T1524" s="10" t="n"/>
      <c r="U1524" s="10" t="n"/>
      <c r="V1524" s="10" t="n"/>
      <c r="W1524" s="10" t="n"/>
      <c r="X1524" s="10" t="n"/>
      <c r="Y1524" s="10" t="n"/>
      <c r="Z1524" s="10" t="n"/>
    </row>
    <row r="1525">
      <c r="A1525" s="27" t="inlineStr">
        <is>
          <t>revenueManagement.groupInvoice</t>
        </is>
      </c>
      <c r="B1525" s="27" t="inlineStr">
        <is>
          <t>Nhóm hoá đơn</t>
        </is>
      </c>
      <c r="C1525" s="27" t="inlineStr">
        <is>
          <t>Invoice Group</t>
        </is>
      </c>
      <c r="D1525" s="21" t="inlineStr">
        <is>
          <t>ក្រុមបុងបញ្ញើ</t>
        </is>
      </c>
      <c r="E1525" s="102" t="inlineStr">
        <is>
          <t>ក្រុមបុងបញ្ញើ</t>
        </is>
      </c>
      <c r="F1525" s="10" t="n"/>
      <c r="G1525" s="10" t="inlineStr">
        <is>
          <t>ក្រុមបុងបញ្ញើ</t>
        </is>
      </c>
      <c r="H1525" s="10" t="inlineStr">
        <is>
          <t>ក្រុមបុងបញ្ញើ</t>
        </is>
      </c>
      <c r="I1525" s="10" t="n"/>
      <c r="J1525" s="10" t="n"/>
      <c r="K1525" s="10" t="inlineStr">
        <is>
          <t>"revenueManagement.groupInvoice": "ក្រុមបុងបញ្ញើ",</t>
        </is>
      </c>
      <c r="L1525" s="10" t="n"/>
      <c r="M1525" s="10" t="n"/>
      <c r="N1525" s="10" t="n"/>
      <c r="O1525" s="10" t="n"/>
      <c r="P1525" s="10" t="n"/>
      <c r="Q1525" s="10" t="n"/>
      <c r="R1525" s="10" t="n"/>
      <c r="S1525" s="10" t="n"/>
      <c r="T1525" s="10" t="n"/>
      <c r="U1525" s="10" t="n"/>
      <c r="V1525" s="10" t="n"/>
      <c r="W1525" s="10" t="n"/>
      <c r="X1525" s="10" t="n"/>
      <c r="Y1525" s="10" t="n"/>
      <c r="Z1525" s="10" t="n"/>
    </row>
    <row r="1526">
      <c r="A1526" s="27" t="inlineStr">
        <is>
          <t>revenueManagement.groupInvoicePlaceholder</t>
        </is>
      </c>
      <c r="B1526" s="27" t="inlineStr">
        <is>
          <t>Chọn nhóm hoá đơn</t>
        </is>
      </c>
      <c r="C1526" s="27" t="inlineStr">
        <is>
          <t>Select invoice group</t>
        </is>
      </c>
      <c r="D1526" s="102" t="n"/>
      <c r="E1526" s="102" t="inlineStr">
        <is>
          <t>ជ្រើសរើសបុងបញ្ញើ</t>
        </is>
      </c>
      <c r="F1526" s="10" t="n"/>
      <c r="G1526" s="10" t="inlineStr">
        <is>
          <t>ជ្រើសរើសបុងបញ្ញើ</t>
        </is>
      </c>
      <c r="H1526" s="10" t="inlineStr">
        <is>
          <t>ជ្រើសរើសបុងបញ្ញើ</t>
        </is>
      </c>
      <c r="I1526" s="10" t="n"/>
      <c r="J1526" s="10" t="n"/>
      <c r="K1526" s="10" t="inlineStr">
        <is>
          <t>"revenueManagement.groupInvoicePlaceholder": "ជ្រើសរើសបុងបញ្ញើ",</t>
        </is>
      </c>
      <c r="L1526" s="10" t="n"/>
      <c r="M1526" s="10" t="n"/>
      <c r="N1526" s="10" t="n"/>
      <c r="O1526" s="10" t="n"/>
      <c r="P1526" s="10" t="n"/>
      <c r="Q1526" s="10" t="n"/>
      <c r="R1526" s="10" t="n"/>
      <c r="S1526" s="10" t="n"/>
      <c r="T1526" s="10" t="n"/>
      <c r="U1526" s="10" t="n"/>
      <c r="V1526" s="10" t="n"/>
      <c r="W1526" s="10" t="n"/>
      <c r="X1526" s="10" t="n"/>
      <c r="Y1526" s="10" t="n"/>
      <c r="Z1526" s="10" t="n"/>
    </row>
    <row r="1527">
      <c r="A1527" s="27" t="inlineStr">
        <is>
          <t>revenueManagement.cancel</t>
        </is>
      </c>
      <c r="B1527" s="27" t="inlineStr">
        <is>
          <t>Huỷ</t>
        </is>
      </c>
      <c r="C1527" s="27" t="inlineStr">
        <is>
          <t>Cancel</t>
        </is>
      </c>
      <c r="D1527" s="21" t="inlineStr">
        <is>
          <t>លុបចោល</t>
        </is>
      </c>
      <c r="E1527" s="102" t="inlineStr">
        <is>
          <t>លុបចោល</t>
        </is>
      </c>
      <c r="F1527" s="10" t="n"/>
      <c r="G1527" s="10" t="inlineStr">
        <is>
          <t>លុបចោល</t>
        </is>
      </c>
      <c r="H1527" s="10" t="inlineStr">
        <is>
          <t>លុបចោល</t>
        </is>
      </c>
      <c r="I1527" s="10" t="n"/>
      <c r="J1527" s="10" t="n"/>
      <c r="K1527" s="10" t="inlineStr">
        <is>
          <t>"revenueManagement.cancel": "លុបចោល",</t>
        </is>
      </c>
      <c r="L1527" s="10" t="n"/>
      <c r="M1527" s="10" t="n"/>
      <c r="N1527" s="10" t="n"/>
      <c r="O1527" s="10" t="n"/>
      <c r="P1527" s="10" t="n"/>
      <c r="Q1527" s="10" t="n"/>
      <c r="R1527" s="10" t="n"/>
      <c r="S1527" s="10" t="n"/>
      <c r="T1527" s="10" t="n"/>
      <c r="U1527" s="10" t="n"/>
      <c r="V1527" s="10" t="n"/>
      <c r="W1527" s="10" t="n"/>
      <c r="X1527" s="10" t="n"/>
      <c r="Y1527" s="10" t="n"/>
      <c r="Z1527" s="10" t="n"/>
    </row>
    <row r="1528">
      <c r="A1528" s="27" t="inlineStr">
        <is>
          <t>revenueManagement.confirm</t>
        </is>
      </c>
      <c r="B1528" s="27" t="inlineStr">
        <is>
          <t>Xác nhận</t>
        </is>
      </c>
      <c r="C1528" s="27" t="inlineStr">
        <is>
          <t>Confirm</t>
        </is>
      </c>
      <c r="D1528" s="21" t="inlineStr">
        <is>
          <t>កំណត់</t>
        </is>
      </c>
      <c r="E1528" s="102" t="inlineStr">
        <is>
          <t>បញ្ជាក់</t>
        </is>
      </c>
      <c r="F1528" s="10" t="n"/>
      <c r="G1528" s="10" t="inlineStr">
        <is>
          <t>បញ្ជាក់</t>
        </is>
      </c>
      <c r="H1528" s="10" t="inlineStr">
        <is>
          <t>បញ្ជាក់</t>
        </is>
      </c>
      <c r="I1528" s="10" t="n"/>
      <c r="J1528" s="10" t="n"/>
      <c r="K1528" s="10" t="inlineStr">
        <is>
          <t>"revenueManagement.confirm": "បញ្ជាក់",</t>
        </is>
      </c>
      <c r="L1528" s="10" t="n"/>
      <c r="M1528" s="10" t="n"/>
      <c r="N1528" s="10" t="n"/>
      <c r="O1528" s="10" t="n"/>
      <c r="P1528" s="10" t="n"/>
      <c r="Q1528" s="10" t="n"/>
      <c r="R1528" s="10" t="n"/>
      <c r="S1528" s="10" t="n"/>
      <c r="T1528" s="10" t="n"/>
      <c r="U1528" s="10" t="n"/>
      <c r="V1528" s="10" t="n"/>
      <c r="W1528" s="10" t="n"/>
      <c r="X1528" s="10" t="n"/>
      <c r="Y1528" s="10" t="n"/>
      <c r="Z1528" s="10" t="n"/>
    </row>
    <row r="1529">
      <c r="A1529" s="27" t="inlineStr">
        <is>
          <t>revenueManagement.field</t>
        </is>
      </c>
      <c r="B1529" s="27" t="inlineStr">
        <is>
          <t>Lĩnh vực</t>
        </is>
      </c>
      <c r="C1529" s="27" t="inlineStr">
        <is>
          <t>Segment</t>
        </is>
      </c>
      <c r="D1529" s="21" t="inlineStr">
        <is>
          <t>វិស័យ</t>
        </is>
      </c>
      <c r="E1529" s="102" t="inlineStr">
        <is>
          <t>វិស័យ</t>
        </is>
      </c>
      <c r="F1529" s="10" t="n"/>
      <c r="G1529" s="10" t="inlineStr">
        <is>
          <t>វិស័យ</t>
        </is>
      </c>
      <c r="H1529" s="10" t="inlineStr">
        <is>
          <t>វិស័យ</t>
        </is>
      </c>
      <c r="I1529" s="10" t="n"/>
      <c r="J1529" s="10" t="n"/>
      <c r="K1529" s="10" t="inlineStr">
        <is>
          <t>"revenueManagement.field": "វិស័យ",</t>
        </is>
      </c>
      <c r="L1529" s="10" t="n"/>
      <c r="M1529" s="10" t="n"/>
      <c r="N1529" s="10" t="n"/>
      <c r="O1529" s="10" t="n"/>
      <c r="P1529" s="10" t="n"/>
      <c r="Q1529" s="10" t="n"/>
      <c r="R1529" s="10" t="n"/>
      <c r="S1529" s="10" t="n"/>
      <c r="T1529" s="10" t="n"/>
      <c r="U1529" s="10" t="n"/>
      <c r="V1529" s="10" t="n"/>
      <c r="W1529" s="10" t="n"/>
      <c r="X1529" s="10" t="n"/>
      <c r="Y1529" s="10" t="n"/>
      <c r="Z1529" s="10" t="n"/>
    </row>
    <row r="1530">
      <c r="A1530" s="27" t="inlineStr">
        <is>
          <t>revenueManagement.startDate</t>
        </is>
      </c>
      <c r="B1530" s="27" t="inlineStr">
        <is>
          <t>Ngày bắt đầu</t>
        </is>
      </c>
      <c r="C1530" s="27" t="inlineStr">
        <is>
          <t>From</t>
        </is>
      </c>
      <c r="D1530" s="21" t="inlineStr">
        <is>
          <t>ថ្ងៃចាប់ផ្តើម</t>
        </is>
      </c>
      <c r="E1530" s="102" t="inlineStr">
        <is>
          <t>ថ្ងៃចាប់ផ្តើម</t>
        </is>
      </c>
      <c r="F1530" s="10" t="n"/>
      <c r="G1530" s="10" t="inlineStr">
        <is>
          <t>ថ្ងៃចាប់ផ្តើម</t>
        </is>
      </c>
      <c r="H1530" s="10" t="inlineStr">
        <is>
          <t>ថ្ងៃចាប់ផ្តើម</t>
        </is>
      </c>
      <c r="I1530" s="10" t="n"/>
      <c r="J1530" s="10" t="n"/>
      <c r="K1530" s="10" t="inlineStr">
        <is>
          <t>"revenueManagement.startDate": "ថ្ងៃចាប់ផ្តើម",</t>
        </is>
      </c>
      <c r="L1530" s="10" t="n"/>
      <c r="M1530" s="10" t="n"/>
      <c r="N1530" s="10" t="n"/>
      <c r="O1530" s="10" t="n"/>
      <c r="P1530" s="10" t="n"/>
      <c r="Q1530" s="10" t="n"/>
      <c r="R1530" s="10" t="n"/>
      <c r="S1530" s="10" t="n"/>
      <c r="T1530" s="10" t="n"/>
      <c r="U1530" s="10" t="n"/>
      <c r="V1530" s="10" t="n"/>
      <c r="W1530" s="10" t="n"/>
      <c r="X1530" s="10" t="n"/>
      <c r="Y1530" s="10" t="n"/>
      <c r="Z1530" s="10" t="n"/>
    </row>
    <row r="1531">
      <c r="A1531" s="27" t="inlineStr">
        <is>
          <t>revenueManagement.endDate</t>
        </is>
      </c>
      <c r="B1531" s="27" t="inlineStr">
        <is>
          <t>Ngày kết thúc</t>
        </is>
      </c>
      <c r="C1531" s="27" t="inlineStr">
        <is>
          <t>To</t>
        </is>
      </c>
      <c r="D1531" s="102" t="n"/>
      <c r="E1531" s="102" t="inlineStr">
        <is>
          <t>ថ្ងៃបញ្ចប់</t>
        </is>
      </c>
      <c r="F1531" s="10" t="n"/>
      <c r="G1531" s="10" t="inlineStr">
        <is>
          <t>ថ្ងៃបញ្ចប់</t>
        </is>
      </c>
      <c r="H1531" s="10" t="inlineStr">
        <is>
          <t>ថ្ងៃបញ្ចប់</t>
        </is>
      </c>
      <c r="I1531" s="10" t="n"/>
      <c r="J1531" s="10" t="n"/>
      <c r="K1531" s="10" t="inlineStr">
        <is>
          <t>"revenueManagement.endDate": "ថ្ងៃបញ្ចប់",</t>
        </is>
      </c>
      <c r="L1531" s="10" t="n"/>
      <c r="M1531" s="10" t="n"/>
      <c r="N1531" s="10" t="n"/>
      <c r="O1531" s="10" t="n"/>
      <c r="P1531" s="10" t="n"/>
      <c r="Q1531" s="10" t="n"/>
      <c r="R1531" s="10" t="n"/>
      <c r="S1531" s="10" t="n"/>
      <c r="T1531" s="10" t="n"/>
      <c r="U1531" s="10" t="n"/>
      <c r="V1531" s="10" t="n"/>
      <c r="W1531" s="10" t="n"/>
      <c r="X1531" s="10" t="n"/>
      <c r="Y1531" s="10" t="n"/>
      <c r="Z1531" s="10" t="n"/>
    </row>
    <row r="1532">
      <c r="A1532" s="119" t="inlineStr">
        <is>
          <t>revenueManagement.cusiId</t>
        </is>
      </c>
      <c r="B1532" s="119" t="inlineStr">
        <is>
          <t>CusiId</t>
        </is>
      </c>
      <c r="C1532" s="119" t="inlineStr">
        <is>
          <t>CusID</t>
        </is>
      </c>
      <c r="D1532" s="120" t="n"/>
      <c r="E1532" s="120" t="n"/>
      <c r="F1532" s="120" t="n"/>
      <c r="G1532" s="120" t="inlineStr">
        <is>
          <t>CusiId</t>
        </is>
      </c>
      <c r="H1532" s="120" t="inlineStr">
        <is>
          <t>CusiId</t>
        </is>
      </c>
      <c r="I1532" s="120" t="n"/>
      <c r="J1532" s="120" t="n"/>
      <c r="K1532" s="120" t="inlineStr">
        <is>
          <t>"revenueManagement.cusiId": "CusiId",</t>
        </is>
      </c>
      <c r="L1532" s="120" t="n"/>
      <c r="M1532" s="120" t="n"/>
      <c r="N1532" s="120" t="n"/>
      <c r="O1532" s="120" t="n"/>
      <c r="P1532" s="120" t="n"/>
      <c r="Q1532" s="120" t="n"/>
      <c r="R1532" s="120" t="n"/>
      <c r="S1532" s="120" t="n"/>
      <c r="T1532" s="120" t="n"/>
      <c r="U1532" s="120" t="n"/>
      <c r="V1532" s="120" t="n"/>
      <c r="W1532" s="120" t="n"/>
      <c r="X1532" s="120" t="n"/>
      <c r="Y1532" s="120" t="n"/>
      <c r="Z1532" s="120" t="n"/>
    </row>
    <row r="1533">
      <c r="A1533" s="27" t="inlineStr">
        <is>
          <t>revenueManagement.phoneNumber</t>
        </is>
      </c>
      <c r="B1533" s="27" t="inlineStr">
        <is>
          <t>SĐT</t>
        </is>
      </c>
      <c r="C1533" s="27" t="inlineStr">
        <is>
          <t>Phone number</t>
        </is>
      </c>
      <c r="D1533" s="21" t="inlineStr">
        <is>
          <t>លេខទូរស័ព្ទ</t>
        </is>
      </c>
      <c r="E1533" s="21" t="inlineStr">
        <is>
          <t>លេខទូរស័ព្ទ</t>
        </is>
      </c>
      <c r="F1533" s="10" t="n"/>
      <c r="G1533" s="10" t="inlineStr">
        <is>
          <t>លេខទូរស័ព្ទ</t>
        </is>
      </c>
      <c r="H1533" s="10" t="inlineStr">
        <is>
          <t>លេខទូរស័ព្ទ</t>
        </is>
      </c>
      <c r="I1533" s="10" t="n"/>
      <c r="J1533" s="10" t="n"/>
      <c r="K1533" s="10" t="inlineStr">
        <is>
          <t>"revenueManagement.phoneNumber": "លេខទូរស័ព្ទ",</t>
        </is>
      </c>
      <c r="L1533" s="10" t="n"/>
      <c r="M1533" s="10" t="n"/>
      <c r="N1533" s="10" t="n"/>
      <c r="O1533" s="10" t="n"/>
      <c r="P1533" s="10" t="n"/>
      <c r="Q1533" s="10" t="n"/>
      <c r="R1533" s="10" t="n"/>
      <c r="S1533" s="10" t="n"/>
      <c r="T1533" s="10" t="n"/>
      <c r="U1533" s="10" t="n"/>
      <c r="V1533" s="10" t="n"/>
      <c r="W1533" s="10" t="n"/>
      <c r="X1533" s="10" t="n"/>
      <c r="Y1533" s="10" t="n"/>
      <c r="Z1533" s="10" t="n"/>
    </row>
    <row r="1534">
      <c r="A1534" s="27" t="inlineStr">
        <is>
          <t>revenueManagement.email</t>
        </is>
      </c>
      <c r="B1534" s="27" t="inlineStr">
        <is>
          <t>Email</t>
        </is>
      </c>
      <c r="C1534" s="27" t="inlineStr">
        <is>
          <t>Email</t>
        </is>
      </c>
      <c r="D1534" s="21" t="inlineStr">
        <is>
          <t>អ៊ីម៉ែល</t>
        </is>
      </c>
      <c r="E1534" s="21" t="inlineStr">
        <is>
          <t>អ៊ីម៉ែល</t>
        </is>
      </c>
      <c r="F1534" s="10" t="n"/>
      <c r="G1534" s="10" t="inlineStr">
        <is>
          <t>អ៊ីម៉ែល</t>
        </is>
      </c>
      <c r="H1534" s="10" t="inlineStr">
        <is>
          <t>អ៊ីម៉ែល</t>
        </is>
      </c>
      <c r="I1534" s="10" t="n"/>
      <c r="J1534" s="10" t="n"/>
      <c r="K1534" s="10" t="inlineStr">
        <is>
          <t>"revenueManagement.email": "អ៊ីម៉ែល",</t>
        </is>
      </c>
      <c r="L1534" s="10" t="n"/>
      <c r="M1534" s="10" t="n"/>
      <c r="N1534" s="10" t="n"/>
      <c r="O1534" s="10" t="n"/>
      <c r="P1534" s="10" t="n"/>
      <c r="Q1534" s="10" t="n"/>
      <c r="R1534" s="10" t="n"/>
      <c r="S1534" s="10" t="n"/>
      <c r="T1534" s="10" t="n"/>
      <c r="U1534" s="10" t="n"/>
      <c r="V1534" s="10" t="n"/>
      <c r="W1534" s="10" t="n"/>
      <c r="X1534" s="10" t="n"/>
      <c r="Y1534" s="10" t="n"/>
      <c r="Z1534" s="10" t="n"/>
    </row>
    <row r="1535">
      <c r="A1535" s="27" t="inlineStr">
        <is>
          <t>revenueManagement.taxCode</t>
        </is>
      </c>
      <c r="B1535" s="27" t="inlineStr">
        <is>
          <t>MST</t>
        </is>
      </c>
      <c r="C1535" s="27" t="inlineStr">
        <is>
          <t>Tax code</t>
        </is>
      </c>
      <c r="D1535" s="102" t="n"/>
      <c r="E1535" s="21" t="inlineStr">
        <is>
          <t>អ៊ីម៉ែល</t>
        </is>
      </c>
      <c r="F1535" s="10" t="n"/>
      <c r="G1535" s="10" t="inlineStr">
        <is>
          <t>អ៊ីម៉ែល</t>
        </is>
      </c>
      <c r="H1535" s="10" t="inlineStr">
        <is>
          <t>អ៊ីម៉ែល</t>
        </is>
      </c>
      <c r="I1535" s="10" t="n"/>
      <c r="J1535" s="10" t="n"/>
      <c r="K1535" s="10" t="inlineStr">
        <is>
          <t>"revenueManagement.taxCode": "អ៊ីម៉ែល",</t>
        </is>
      </c>
      <c r="L1535" s="10" t="n"/>
      <c r="M1535" s="10" t="n"/>
      <c r="N1535" s="10" t="n"/>
      <c r="O1535" s="10" t="n"/>
      <c r="P1535" s="10" t="n"/>
      <c r="Q1535" s="10" t="n"/>
      <c r="R1535" s="10" t="n"/>
      <c r="S1535" s="10" t="n"/>
      <c r="T1535" s="10" t="n"/>
      <c r="U1535" s="10" t="n"/>
      <c r="V1535" s="10" t="n"/>
      <c r="W1535" s="10" t="n"/>
      <c r="X1535" s="10" t="n"/>
      <c r="Y1535" s="10" t="n"/>
      <c r="Z1535" s="10" t="n"/>
    </row>
    <row r="1536">
      <c r="A1536" s="27" t="inlineStr">
        <is>
          <t>revenueManagement.updatedAt</t>
        </is>
      </c>
      <c r="B1536" s="27" t="inlineStr">
        <is>
          <t>Ngày cập nhật</t>
        </is>
      </c>
      <c r="C1536" s="27" t="inlineStr">
        <is>
          <t>Updated on</t>
        </is>
      </c>
      <c r="D1536" s="21" t="inlineStr">
        <is>
          <t>ថ្ងៃអាប់ដេត</t>
        </is>
      </c>
      <c r="E1536" s="21" t="inlineStr">
        <is>
          <t>ថ្ងៃអាប់ដេត</t>
        </is>
      </c>
      <c r="F1536" s="10" t="n"/>
      <c r="G1536" s="10" t="inlineStr">
        <is>
          <t>ថ្ងៃអាប់ដេត</t>
        </is>
      </c>
      <c r="H1536" s="10" t="inlineStr">
        <is>
          <t>ថ្ងៃអាប់ដេត</t>
        </is>
      </c>
      <c r="I1536" s="10" t="n"/>
      <c r="J1536" s="10" t="n"/>
      <c r="K1536" s="10" t="inlineStr">
        <is>
          <t>"revenueManagement.updatedAt": "ថ្ងៃអាប់ដេត",</t>
        </is>
      </c>
      <c r="L1536" s="10" t="n"/>
      <c r="M1536" s="10" t="n"/>
      <c r="N1536" s="10" t="n"/>
      <c r="O1536" s="10" t="n"/>
      <c r="P1536" s="10" t="n"/>
      <c r="Q1536" s="10" t="n"/>
      <c r="R1536" s="10" t="n"/>
      <c r="S1536" s="10" t="n"/>
      <c r="T1536" s="10" t="n"/>
      <c r="U1536" s="10" t="n"/>
      <c r="V1536" s="10" t="n"/>
      <c r="W1536" s="10" t="n"/>
      <c r="X1536" s="10" t="n"/>
      <c r="Y1536" s="10" t="n"/>
      <c r="Z1536" s="10" t="n"/>
    </row>
    <row r="1537">
      <c r="A1537" s="27" t="inlineStr">
        <is>
          <t>revenueManagement.city</t>
        </is>
      </c>
      <c r="B1537" s="27" t="inlineStr">
        <is>
          <t>Tỉnh/TP</t>
        </is>
      </c>
      <c r="C1537" s="27" t="inlineStr">
        <is>
          <t>Province</t>
        </is>
      </c>
      <c r="D1537" s="102" t="n"/>
      <c r="E1537" s="102" t="inlineStr">
        <is>
          <t>ខេត្ត/ក្រុង</t>
        </is>
      </c>
      <c r="F1537" s="10" t="n"/>
      <c r="G1537" s="10" t="inlineStr">
        <is>
          <t>ខេត្ត/ក្រុង</t>
        </is>
      </c>
      <c r="H1537" s="10" t="inlineStr">
        <is>
          <t>ខេត្ត/ក្រុង</t>
        </is>
      </c>
      <c r="I1537" s="10" t="n"/>
      <c r="J1537" s="10" t="n"/>
      <c r="K1537" s="10" t="inlineStr">
        <is>
          <t>"revenueManagement.city": "ខេត្ត/ក្រុង",</t>
        </is>
      </c>
      <c r="L1537" s="10" t="n"/>
      <c r="M1537" s="10" t="n"/>
      <c r="N1537" s="10" t="n"/>
      <c r="O1537" s="10" t="n"/>
      <c r="P1537" s="10" t="n"/>
      <c r="Q1537" s="10" t="n"/>
      <c r="R1537" s="10" t="n"/>
      <c r="S1537" s="10" t="n"/>
      <c r="T1537" s="10" t="n"/>
      <c r="U1537" s="10" t="n"/>
      <c r="V1537" s="10" t="n"/>
      <c r="W1537" s="10" t="n"/>
      <c r="X1537" s="10" t="n"/>
      <c r="Y1537" s="10" t="n"/>
      <c r="Z1537" s="10" t="n"/>
    </row>
    <row r="1538">
      <c r="A1538" s="27" t="inlineStr">
        <is>
          <t>revenueManagement.district</t>
        </is>
      </c>
      <c r="B1538" s="27" t="inlineStr">
        <is>
          <t>Quận/Huyện</t>
        </is>
      </c>
      <c r="C1538" s="27" t="inlineStr">
        <is>
          <t>District</t>
        </is>
      </c>
      <c r="D1538" s="21" t="inlineStr">
        <is>
          <t>ស្រុក/ខណ្ឌ</t>
        </is>
      </c>
      <c r="E1538" s="21" t="inlineStr">
        <is>
          <t>ស្រុក/ខណ្ឌ</t>
        </is>
      </c>
      <c r="F1538" s="10" t="n"/>
      <c r="G1538" s="10" t="inlineStr">
        <is>
          <t>ស្រុក/ខណ្ឌ</t>
        </is>
      </c>
      <c r="H1538" s="10" t="inlineStr">
        <is>
          <t>ស្រុក/ខណ្ឌ</t>
        </is>
      </c>
      <c r="I1538" s="10" t="n"/>
      <c r="J1538" s="10" t="n"/>
      <c r="K1538" s="10" t="inlineStr">
        <is>
          <t>"revenueManagement.district": "ស្រុក/ខណ្ឌ",</t>
        </is>
      </c>
      <c r="L1538" s="10" t="n"/>
      <c r="M1538" s="10" t="n"/>
      <c r="N1538" s="10" t="n"/>
      <c r="O1538" s="10" t="n"/>
      <c r="P1538" s="10" t="n"/>
      <c r="Q1538" s="10" t="n"/>
      <c r="R1538" s="10" t="n"/>
      <c r="S1538" s="10" t="n"/>
      <c r="T1538" s="10" t="n"/>
      <c r="U1538" s="10" t="n"/>
      <c r="V1538" s="10" t="n"/>
      <c r="W1538" s="10" t="n"/>
      <c r="X1538" s="10" t="n"/>
      <c r="Y1538" s="10" t="n"/>
      <c r="Z1538" s="10" t="n"/>
    </row>
    <row r="1539">
      <c r="A1539" s="27" t="inlineStr">
        <is>
          <t>revenueManagement.ward</t>
        </is>
      </c>
      <c r="B1539" s="27" t="inlineStr">
        <is>
          <t>Phường/Xã</t>
        </is>
      </c>
      <c r="C1539" s="27" t="inlineStr">
        <is>
          <t>Village</t>
        </is>
      </c>
      <c r="D1539" s="21" t="inlineStr">
        <is>
          <t>ឃុំ/សង្កាត់</t>
        </is>
      </c>
      <c r="E1539" s="21" t="inlineStr">
        <is>
          <t>ឃុំ/សង្កាត់</t>
        </is>
      </c>
      <c r="F1539" s="10" t="n"/>
      <c r="G1539" s="10" t="inlineStr">
        <is>
          <t>ឃុំ/សង្កាត់</t>
        </is>
      </c>
      <c r="H1539" s="10" t="inlineStr">
        <is>
          <t>ឃុំ/សង្កាត់</t>
        </is>
      </c>
      <c r="I1539" s="10" t="n"/>
      <c r="J1539" s="10" t="n"/>
      <c r="K1539" s="10" t="inlineStr">
        <is>
          <t>"revenueManagement.ward": "ឃុំ/សង្កាត់",</t>
        </is>
      </c>
      <c r="L1539" s="10" t="n"/>
      <c r="M1539" s="10" t="n"/>
      <c r="N1539" s="10" t="n"/>
      <c r="O1539" s="10" t="n"/>
      <c r="P1539" s="10" t="n"/>
      <c r="Q1539" s="10" t="n"/>
      <c r="R1539" s="10" t="n"/>
      <c r="S1539" s="10" t="n"/>
      <c r="T1539" s="10" t="n"/>
      <c r="U1539" s="10" t="n"/>
      <c r="V1539" s="10" t="n"/>
      <c r="W1539" s="10" t="n"/>
      <c r="X1539" s="10" t="n"/>
      <c r="Y1539" s="10" t="n"/>
      <c r="Z1539" s="10" t="n"/>
    </row>
    <row r="1540">
      <c r="A1540" s="27" t="inlineStr">
        <is>
          <t>revenueManagement.addressDetail</t>
        </is>
      </c>
      <c r="B1540" s="27" t="inlineStr">
        <is>
          <t>Địa chỉ chi tiết</t>
        </is>
      </c>
      <c r="C1540" s="27" t="inlineStr">
        <is>
          <t>Address Details</t>
        </is>
      </c>
      <c r="D1540" s="21" t="inlineStr">
        <is>
          <t>អាស័យដ្ឋានលម្អិត</t>
        </is>
      </c>
      <c r="E1540" s="21" t="inlineStr">
        <is>
          <t>អាស័យដ្ឋានលម្អិត</t>
        </is>
      </c>
      <c r="F1540" s="10" t="n"/>
      <c r="G1540" s="10" t="inlineStr">
        <is>
          <t>អាសយដ្ឋានលម្អិត</t>
        </is>
      </c>
      <c r="H1540" s="10" t="inlineStr">
        <is>
          <t>អាសយដ្ឋានលម្អិត</t>
        </is>
      </c>
      <c r="I1540" s="10" t="n"/>
      <c r="J1540" s="10" t="n"/>
      <c r="K1540" s="10" t="inlineStr">
        <is>
          <t>"revenueManagement.addressDetail": "អាសយដ្ឋានលម្អិត",</t>
        </is>
      </c>
      <c r="L1540" s="10" t="n"/>
      <c r="M1540" s="10" t="n"/>
      <c r="N1540" s="10" t="n"/>
      <c r="O1540" s="10" t="n"/>
      <c r="P1540" s="10" t="n"/>
      <c r="Q1540" s="10" t="n"/>
      <c r="R1540" s="10" t="n"/>
      <c r="S1540" s="10" t="n"/>
      <c r="T1540" s="10" t="n"/>
      <c r="U1540" s="10" t="n"/>
      <c r="V1540" s="10" t="n"/>
      <c r="W1540" s="10" t="n"/>
      <c r="X1540" s="10" t="n"/>
      <c r="Y1540" s="10" t="n"/>
      <c r="Z1540" s="10" t="n"/>
    </row>
    <row r="1541">
      <c r="A1541" s="27" t="inlineStr">
        <is>
          <t>revenueManagement.bankAccount</t>
        </is>
      </c>
      <c r="B1541" s="27" t="inlineStr">
        <is>
          <t>Số tài khoản</t>
        </is>
      </c>
      <c r="C1541" s="27" t="inlineStr">
        <is>
          <t>Bank account</t>
        </is>
      </c>
      <c r="D1541" s="21" t="inlineStr">
        <is>
          <t>លេខគណនី</t>
        </is>
      </c>
      <c r="E1541" s="21" t="inlineStr">
        <is>
          <t>លេខគណនី</t>
        </is>
      </c>
      <c r="F1541" s="10" t="n"/>
      <c r="G1541" s="10" t="inlineStr">
        <is>
          <t>លេខគណនីធនាគារ</t>
        </is>
      </c>
      <c r="H1541" s="10" t="inlineStr">
        <is>
          <t>លេខគណនីធនាគារ</t>
        </is>
      </c>
      <c r="I1541" s="10" t="n"/>
      <c r="J1541" s="10" t="n"/>
      <c r="K1541" s="10" t="inlineStr">
        <is>
          <t>"revenueManagement.bankAccount": "លេខគណនីធនាគារ",</t>
        </is>
      </c>
      <c r="L1541" s="10" t="n"/>
      <c r="M1541" s="10" t="n"/>
      <c r="N1541" s="10" t="n"/>
      <c r="O1541" s="10" t="n"/>
      <c r="P1541" s="10" t="n"/>
      <c r="Q1541" s="10" t="n"/>
      <c r="R1541" s="10" t="n"/>
      <c r="S1541" s="10" t="n"/>
      <c r="T1541" s="10" t="n"/>
      <c r="U1541" s="10" t="n"/>
      <c r="V1541" s="10" t="n"/>
      <c r="W1541" s="10" t="n"/>
      <c r="X1541" s="10" t="n"/>
      <c r="Y1541" s="10" t="n"/>
      <c r="Z1541" s="10" t="n"/>
    </row>
    <row r="1542">
      <c r="A1542" s="27" t="inlineStr">
        <is>
          <t>revenueManagement.startAt</t>
        </is>
      </c>
      <c r="B1542" s="27" t="inlineStr">
        <is>
          <t>Thời gian bắt đầu</t>
        </is>
      </c>
      <c r="C1542" s="27" t="inlineStr">
        <is>
          <t>From</t>
        </is>
      </c>
      <c r="D1542" s="21" t="inlineStr">
        <is>
          <t>ពេលវេលាចាប់ផ្តើម</t>
        </is>
      </c>
      <c r="E1542" s="21" t="inlineStr">
        <is>
          <t>ពេលវេលាចាប់ផ្តើម</t>
        </is>
      </c>
      <c r="F1542" s="10" t="n"/>
      <c r="G1542" s="10" t="inlineStr">
        <is>
          <t>ពេលវេលាចាប់ផ្តើម</t>
        </is>
      </c>
      <c r="H1542" s="10" t="inlineStr">
        <is>
          <t>ពេលវេលាចាប់ផ្តើម</t>
        </is>
      </c>
      <c r="I1542" s="10" t="n"/>
      <c r="J1542" s="10" t="n"/>
      <c r="K1542" s="10" t="inlineStr">
        <is>
          <t>"revenueManagement.startAt": "ពេលវេលាចាប់ផ្តើម",</t>
        </is>
      </c>
      <c r="L1542" s="10" t="n"/>
      <c r="M1542" s="10" t="n"/>
      <c r="N1542" s="10" t="n"/>
      <c r="O1542" s="10" t="n"/>
      <c r="P1542" s="10" t="n"/>
      <c r="Q1542" s="10" t="n"/>
      <c r="R1542" s="10" t="n"/>
      <c r="S1542" s="10" t="n"/>
      <c r="T1542" s="10" t="n"/>
      <c r="U1542" s="10" t="n"/>
      <c r="V1542" s="10" t="n"/>
      <c r="W1542" s="10" t="n"/>
      <c r="X1542" s="10" t="n"/>
      <c r="Y1542" s="10" t="n"/>
      <c r="Z1542" s="10" t="n"/>
    </row>
    <row r="1543">
      <c r="A1543" s="27" t="inlineStr">
        <is>
          <t>revenueManagement.actionAt</t>
        </is>
      </c>
      <c r="B1543" s="27" t="inlineStr">
        <is>
          <t>Thời gian kết thúc</t>
        </is>
      </c>
      <c r="C1543" s="27" t="inlineStr">
        <is>
          <t>To</t>
        </is>
      </c>
      <c r="D1543" s="21" t="inlineStr">
        <is>
          <t>ពេលវេលាបញ្ចប់</t>
        </is>
      </c>
      <c r="E1543" s="21" t="inlineStr">
        <is>
          <t>ពេលវេលាបញ្ចប់</t>
        </is>
      </c>
      <c r="F1543" s="10" t="n"/>
      <c r="G1543" s="10" t="inlineStr">
        <is>
          <t>ពេលវេលាបញ្ចប់</t>
        </is>
      </c>
      <c r="H1543" s="10" t="inlineStr">
        <is>
          <t>ពេលវេលាបញ្ចប់</t>
        </is>
      </c>
      <c r="I1543" s="10" t="n"/>
      <c r="J1543" s="10" t="n"/>
      <c r="K1543" s="10" t="inlineStr">
        <is>
          <t>"revenueManagement.actionAt": "ពេលវេលាបញ្ចប់",</t>
        </is>
      </c>
      <c r="L1543" s="10" t="n"/>
      <c r="M1543" s="10" t="n"/>
      <c r="N1543" s="10" t="n"/>
      <c r="O1543" s="10" t="n"/>
      <c r="P1543" s="10" t="n"/>
      <c r="Q1543" s="10" t="n"/>
      <c r="R1543" s="10" t="n"/>
      <c r="S1543" s="10" t="n"/>
      <c r="T1543" s="10" t="n"/>
      <c r="U1543" s="10" t="n"/>
      <c r="V1543" s="10" t="n"/>
      <c r="W1543" s="10" t="n"/>
      <c r="X1543" s="10" t="n"/>
      <c r="Y1543" s="10" t="n"/>
      <c r="Z1543" s="10" t="n"/>
    </row>
    <row r="1544">
      <c r="A1544" s="27" t="inlineStr">
        <is>
          <t>revenueManagement.bankName</t>
        </is>
      </c>
      <c r="B1544" s="27" t="inlineStr">
        <is>
          <t>Ngân hàng</t>
        </is>
      </c>
      <c r="C1544" s="27" t="inlineStr">
        <is>
          <t>Bank</t>
        </is>
      </c>
      <c r="D1544" s="21" t="inlineStr">
        <is>
          <t>ធនាគារ</t>
        </is>
      </c>
      <c r="E1544" s="21" t="inlineStr">
        <is>
          <t>ធនាគារ</t>
        </is>
      </c>
      <c r="F1544" s="10" t="n"/>
      <c r="G1544" s="10" t="inlineStr">
        <is>
          <t>ធនាគារ</t>
        </is>
      </c>
      <c r="H1544" s="10" t="inlineStr">
        <is>
          <t>ធនាគារ</t>
        </is>
      </c>
      <c r="I1544" s="10" t="n"/>
      <c r="J1544" s="10" t="n"/>
      <c r="K1544" s="10" t="inlineStr">
        <is>
          <t>"revenueManagement.bankName": "ធនាគារ",</t>
        </is>
      </c>
      <c r="L1544" s="10" t="n"/>
      <c r="M1544" s="10" t="n"/>
      <c r="N1544" s="10" t="n"/>
      <c r="O1544" s="10" t="n"/>
      <c r="P1544" s="10" t="n"/>
      <c r="Q1544" s="10" t="n"/>
      <c r="R1544" s="10" t="n"/>
      <c r="S1544" s="10" t="n"/>
      <c r="T1544" s="10" t="n"/>
      <c r="U1544" s="10" t="n"/>
      <c r="V1544" s="10" t="n"/>
      <c r="W1544" s="10" t="n"/>
      <c r="X1544" s="10" t="n"/>
      <c r="Y1544" s="10" t="n"/>
      <c r="Z1544" s="10" t="n"/>
    </row>
    <row r="1545">
      <c r="A1545" s="27" t="inlineStr">
        <is>
          <t>revenueManagement.bankBranch</t>
        </is>
      </c>
      <c r="B1545" s="27" t="inlineStr">
        <is>
          <t>Chi nhánh ngân hàng</t>
        </is>
      </c>
      <c r="C1545" s="27" t="inlineStr">
        <is>
          <t>Bank branch</t>
        </is>
      </c>
      <c r="D1545" s="21" t="inlineStr">
        <is>
          <t>សាខាធនាគារ</t>
        </is>
      </c>
      <c r="E1545" s="21" t="inlineStr">
        <is>
          <t>សាខាធនាគារ</t>
        </is>
      </c>
      <c r="F1545" s="10" t="n"/>
      <c r="G1545" s="10" t="inlineStr">
        <is>
          <t>សាខាធនាគារ</t>
        </is>
      </c>
      <c r="H1545" s="10" t="inlineStr">
        <is>
          <t>សាខាធនាគារ</t>
        </is>
      </c>
      <c r="I1545" s="10" t="n"/>
      <c r="J1545" s="10" t="n"/>
      <c r="K1545" s="10" t="inlineStr">
        <is>
          <t>"revenueManagement.bankBranch": "សាខាធនាគារ",</t>
        </is>
      </c>
      <c r="L1545" s="10" t="n"/>
      <c r="M1545" s="10" t="n"/>
      <c r="N1545" s="10" t="n"/>
      <c r="O1545" s="10" t="n"/>
      <c r="P1545" s="10" t="n"/>
      <c r="Q1545" s="10" t="n"/>
      <c r="R1545" s="10" t="n"/>
      <c r="S1545" s="10" t="n"/>
      <c r="T1545" s="10" t="n"/>
      <c r="U1545" s="10" t="n"/>
      <c r="V1545" s="10" t="n"/>
      <c r="W1545" s="10" t="n"/>
      <c r="X1545" s="10" t="n"/>
      <c r="Y1545" s="10" t="n"/>
      <c r="Z1545" s="10" t="n"/>
    </row>
    <row r="1546">
      <c r="A1546" s="27" t="inlineStr">
        <is>
          <t>revenueManagement.NOT_SYNC_STATUS</t>
        </is>
      </c>
      <c r="B1546" s="27" t="inlineStr">
        <is>
          <t>Tạo mới</t>
        </is>
      </c>
      <c r="C1546" s="27" t="inlineStr">
        <is>
          <t>New</t>
        </is>
      </c>
      <c r="D1546" s="21" t="inlineStr">
        <is>
          <t>បង្កើតថ្មី</t>
        </is>
      </c>
      <c r="E1546" s="21" t="inlineStr">
        <is>
          <t>បង្កើតថ្មី</t>
        </is>
      </c>
      <c r="F1546" s="10" t="n"/>
      <c r="G1546" s="10" t="inlineStr">
        <is>
          <t>បង្កើតថ្មី</t>
        </is>
      </c>
      <c r="H1546" s="10" t="inlineStr">
        <is>
          <t>បង្កើតថ្មី</t>
        </is>
      </c>
      <c r="I1546" s="10" t="n"/>
      <c r="J1546" s="10" t="n"/>
      <c r="K1546" s="10" t="inlineStr">
        <is>
          <t>"revenueManagement.NOT_SYNC_STATUS": "បង្កើតថ្មី",</t>
        </is>
      </c>
      <c r="L1546" s="10" t="n"/>
      <c r="M1546" s="10" t="n"/>
      <c r="N1546" s="10" t="n"/>
      <c r="O1546" s="10" t="n"/>
      <c r="P1546" s="10" t="n"/>
      <c r="Q1546" s="10" t="n"/>
      <c r="R1546" s="10" t="n"/>
      <c r="S1546" s="10" t="n"/>
      <c r="T1546" s="10" t="n"/>
      <c r="U1546" s="10" t="n"/>
      <c r="V1546" s="10" t="n"/>
      <c r="W1546" s="10" t="n"/>
      <c r="X1546" s="10" t="n"/>
      <c r="Y1546" s="10" t="n"/>
      <c r="Z1546" s="10" t="n"/>
    </row>
    <row r="1547">
      <c r="A1547" s="27" t="inlineStr">
        <is>
          <t>revenueManagement.SYNCED_STATUS</t>
        </is>
      </c>
      <c r="B1547" s="27" t="inlineStr">
        <is>
          <t>Đồng bộ thành công</t>
        </is>
      </c>
      <c r="C1547" s="27" t="inlineStr">
        <is>
          <t>Synced successfully</t>
        </is>
      </c>
      <c r="D1547" s="21" t="inlineStr">
        <is>
          <t>ការធ្វើសមកាលកម្មជោគជ័យ</t>
        </is>
      </c>
      <c r="E1547" s="21" t="inlineStr">
        <is>
          <t>ការធ្វើសមកាលកម្មជោគជ័យ</t>
        </is>
      </c>
      <c r="F1547" s="10" t="n"/>
      <c r="G1547" s="10" t="inlineStr">
        <is>
          <t>ការធ្វើសមកាលកម្មជោគជ័យ</t>
        </is>
      </c>
      <c r="H1547" s="10" t="inlineStr">
        <is>
          <t>ការធ្វើសមកាលកម្មជោគជ័យ</t>
        </is>
      </c>
      <c r="I1547" s="10" t="n"/>
      <c r="J1547" s="10" t="n"/>
      <c r="K1547" s="10" t="inlineStr">
        <is>
          <t>"revenueManagement.SYNCED_STATUS": "ការធ្វើសមកាលកម្មជោគជ័យ",</t>
        </is>
      </c>
      <c r="L1547" s="10" t="n"/>
      <c r="M1547" s="10" t="n"/>
      <c r="N1547" s="10" t="n"/>
      <c r="O1547" s="10" t="n"/>
      <c r="P1547" s="10" t="n"/>
      <c r="Q1547" s="10" t="n"/>
      <c r="R1547" s="10" t="n"/>
      <c r="S1547" s="10" t="n"/>
      <c r="T1547" s="10" t="n"/>
      <c r="U1547" s="10" t="n"/>
      <c r="V1547" s="10" t="n"/>
      <c r="W1547" s="10" t="n"/>
      <c r="X1547" s="10" t="n"/>
      <c r="Y1547" s="10" t="n"/>
      <c r="Z1547" s="10" t="n"/>
    </row>
    <row r="1548">
      <c r="A1548" s="27" t="inlineStr">
        <is>
          <t>revenueManagement.SYNCING_STATUS</t>
        </is>
      </c>
      <c r="B1548" s="27" t="inlineStr">
        <is>
          <t>Đang đồng bộ</t>
        </is>
      </c>
      <c r="C1548" s="27" t="inlineStr">
        <is>
          <t>Syncing</t>
        </is>
      </c>
      <c r="D1548" s="102" t="n"/>
      <c r="E1548" s="90" t="inlineStr">
        <is>
          <t>កំពុងសមមូល</t>
        </is>
      </c>
      <c r="F1548" s="10" t="n"/>
      <c r="G1548" s="10" t="inlineStr">
        <is>
          <t>កំពុងសមមូល</t>
        </is>
      </c>
      <c r="H1548" s="10" t="inlineStr">
        <is>
          <t>កំពុងសមមូល</t>
        </is>
      </c>
      <c r="I1548" s="10" t="n"/>
      <c r="J1548" s="10" t="n"/>
      <c r="K1548" s="10" t="inlineStr">
        <is>
          <t>"revenueManagement.SYNCING_STATUS": "កំពុងសមមូល",</t>
        </is>
      </c>
      <c r="L1548" s="10" t="n"/>
      <c r="M1548" s="10" t="n"/>
      <c r="N1548" s="10" t="n"/>
      <c r="O1548" s="10" t="n"/>
      <c r="P1548" s="10" t="n"/>
      <c r="Q1548" s="10" t="n"/>
      <c r="R1548" s="10" t="n"/>
      <c r="S1548" s="10" t="n"/>
      <c r="T1548" s="10" t="n"/>
      <c r="U1548" s="10" t="n"/>
      <c r="V1548" s="10" t="n"/>
      <c r="W1548" s="10" t="n"/>
      <c r="X1548" s="10" t="n"/>
      <c r="Y1548" s="10" t="n"/>
      <c r="Z1548" s="10" t="n"/>
    </row>
    <row r="1549">
      <c r="A1549" s="27" t="inlineStr">
        <is>
          <t>revenueManagement.SYNC_FAILED_STATUS</t>
        </is>
      </c>
      <c r="B1549" s="27" t="inlineStr">
        <is>
          <t>Đồng bộ thất bại</t>
        </is>
      </c>
      <c r="C1549" s="27" t="inlineStr">
        <is>
          <t>Sync failed</t>
        </is>
      </c>
      <c r="D1549" s="21" t="inlineStr">
        <is>
          <t>ការធ្វើសមកាលកម្មបរាជ័យ</t>
        </is>
      </c>
      <c r="E1549" s="90" t="inlineStr">
        <is>
          <t>សមមូលបរាជ័យ</t>
        </is>
      </c>
      <c r="F1549" s="10" t="n"/>
      <c r="G1549" s="10" t="inlineStr">
        <is>
          <t>សមមូលបរាជ័យ</t>
        </is>
      </c>
      <c r="H1549" s="10" t="inlineStr">
        <is>
          <t>សមមូលបរាជ័យ</t>
        </is>
      </c>
      <c r="I1549" s="10" t="n"/>
      <c r="J1549" s="10" t="n"/>
      <c r="K1549" s="10" t="inlineStr">
        <is>
          <t>"revenueManagement.SYNC_FAILED_STATUS": "សមមូលបរាជ័យ",</t>
        </is>
      </c>
      <c r="L1549" s="10" t="n"/>
      <c r="M1549" s="10" t="n"/>
      <c r="N1549" s="10" t="n"/>
      <c r="O1549" s="10" t="n"/>
      <c r="P1549" s="10" t="n"/>
      <c r="Q1549" s="10" t="n"/>
      <c r="R1549" s="10" t="n"/>
      <c r="S1549" s="10" t="n"/>
      <c r="T1549" s="10" t="n"/>
      <c r="U1549" s="10" t="n"/>
      <c r="V1549" s="10" t="n"/>
      <c r="W1549" s="10" t="n"/>
      <c r="X1549" s="10" t="n"/>
      <c r="Y1549" s="10" t="n"/>
      <c r="Z1549" s="10" t="n"/>
    </row>
    <row r="1550">
      <c r="A1550" s="27" t="inlineStr">
        <is>
          <t>revenueManagement.syncErrorNotice</t>
        </is>
      </c>
      <c r="B1550" s="27" t="inlineStr">
        <is>
          <t>Lỗi đồng bộ thất bại</t>
        </is>
      </c>
      <c r="C1550" s="27" t="inlineStr">
        <is>
          <t>Sync failed</t>
        </is>
      </c>
      <c r="D1550" s="102" t="n"/>
      <c r="E1550" s="90" t="inlineStr">
        <is>
          <t>បញ្ហាសមមូលមិនបានជោគជ័យ</t>
        </is>
      </c>
      <c r="F1550" s="10" t="n"/>
      <c r="G1550" s="10" t="inlineStr">
        <is>
          <t>បញ្ហាសមមូលមិនបានជោគជ័យ</t>
        </is>
      </c>
      <c r="H1550" s="10" t="inlineStr">
        <is>
          <t>បញ្ហាសមមូលមិនបានជោគជ័យ</t>
        </is>
      </c>
      <c r="I1550" s="10" t="n"/>
      <c r="J1550" s="10" t="n"/>
      <c r="K1550" s="10" t="inlineStr">
        <is>
          <t>"revenueManagement.syncErrorNotice": "បញ្ហាសមមូលមិនបានជោគជ័យ",</t>
        </is>
      </c>
      <c r="L1550" s="10" t="n"/>
      <c r="M1550" s="10" t="n"/>
      <c r="N1550" s="10" t="n"/>
      <c r="O1550" s="10" t="n"/>
      <c r="P1550" s="10" t="n"/>
      <c r="Q1550" s="10" t="n"/>
      <c r="R1550" s="10" t="n"/>
      <c r="S1550" s="10" t="n"/>
      <c r="T1550" s="10" t="n"/>
      <c r="U1550" s="10" t="n"/>
      <c r="V1550" s="10" t="n"/>
      <c r="W1550" s="10" t="n"/>
      <c r="X1550" s="10" t="n"/>
      <c r="Y1550" s="10" t="n"/>
      <c r="Z1550" s="10" t="n"/>
    </row>
    <row r="1551">
      <c r="A1551" s="27" t="inlineStr">
        <is>
          <t>revenueManagement.pusBackOrderConfirm</t>
        </is>
      </c>
      <c r="B1551" s="27" t="inlineStr">
        <is>
          <t>Bạn có chắc chắn muốn thực hiện đẩy lại đơn hàng sang BCCS không</t>
        </is>
      </c>
      <c r="C1551" s="27" t="inlineStr">
        <is>
          <t>Are you sure you push the order back to BCCS</t>
        </is>
      </c>
      <c r="D1551" s="102" t="n"/>
      <c r="E1551" s="102" t="inlineStr">
        <is>
          <t>តើអ្នកពិតជាចង់ធ្វើការផ្ញើបុងបញ្ញើម្តងទៀតទៅ BCCS មែនទេ?</t>
        </is>
      </c>
      <c r="F1551" s="10" t="n"/>
      <c r="G1551" s="10" t="inlineStr">
        <is>
          <t>តើអ្នកពិតជាចង់ធ្វើការផ្ញើបុងបញ្ញើម្តងទៀតទៅ BCCS មែនទេ?</t>
        </is>
      </c>
      <c r="H1551" s="10" t="inlineStr">
        <is>
          <t>តើអ្នកពិតជាចង់ធ្វើការផ្ញើបុងបញ្ញើម្តងទៀតទៅ BCCS មែនទេ?</t>
        </is>
      </c>
      <c r="I1551" s="10" t="n"/>
      <c r="J1551" s="10" t="n"/>
      <c r="K1551" s="10" t="inlineStr">
        <is>
          <t>"revenueManagement.pusBackOrderConfirm": "តើអ្នកពិតជាចង់ធ្វើការផ្ញើបុងបញ្ញើម្តងទៀតទៅ BCCS មែនទេ?",</t>
        </is>
      </c>
      <c r="L1551" s="10" t="n"/>
      <c r="M1551" s="10" t="n"/>
      <c r="N1551" s="10" t="n"/>
      <c r="O1551" s="10" t="n"/>
      <c r="P1551" s="10" t="n"/>
      <c r="Q1551" s="10" t="n"/>
      <c r="R1551" s="10" t="n"/>
      <c r="S1551" s="10" t="n"/>
      <c r="T1551" s="10" t="n"/>
      <c r="U1551" s="10" t="n"/>
      <c r="V1551" s="10" t="n"/>
      <c r="W1551" s="10" t="n"/>
      <c r="X1551" s="10" t="n"/>
      <c r="Y1551" s="10" t="n"/>
      <c r="Z1551" s="10" t="n"/>
    </row>
    <row r="1552">
      <c r="A1552" s="27" t="inlineStr">
        <is>
          <t>revenueManagement.GROUP_BY_ORDER</t>
        </is>
      </c>
      <c r="B1552" s="27" t="inlineStr">
        <is>
          <t>Theo đơn hàng</t>
        </is>
      </c>
      <c r="C1552" s="27" t="inlineStr">
        <is>
          <t>Group by order</t>
        </is>
      </c>
      <c r="D1552" s="21" t="inlineStr">
        <is>
          <t>បន្ថែមបុងបញ្ញើ</t>
        </is>
      </c>
      <c r="E1552" s="102" t="inlineStr">
        <is>
          <t>តាមបុងបញ្ញើ</t>
        </is>
      </c>
      <c r="F1552" s="10" t="n"/>
      <c r="G1552" s="10" t="inlineStr">
        <is>
          <t>តាមបុងបញ្ញើ</t>
        </is>
      </c>
      <c r="H1552" s="10" t="inlineStr">
        <is>
          <t>តាមបុងបញ្ញើ</t>
        </is>
      </c>
      <c r="I1552" s="10" t="n"/>
      <c r="J1552" s="10" t="n"/>
      <c r="K1552" s="10" t="inlineStr">
        <is>
          <t>"revenueManagement.GROUP_BY_ORDER": "តាមបុងបញ្ញើ",</t>
        </is>
      </c>
      <c r="L1552" s="10" t="n"/>
      <c r="M1552" s="10" t="n"/>
      <c r="N1552" s="10" t="n"/>
      <c r="O1552" s="10" t="n"/>
      <c r="P1552" s="10" t="n"/>
      <c r="Q1552" s="10" t="n"/>
      <c r="R1552" s="10" t="n"/>
      <c r="S1552" s="10" t="n"/>
      <c r="T1552" s="10" t="n"/>
      <c r="U1552" s="10" t="n"/>
      <c r="V1552" s="10" t="n"/>
      <c r="W1552" s="10" t="n"/>
      <c r="X1552" s="10" t="n"/>
      <c r="Y1552" s="10" t="n"/>
      <c r="Z1552" s="10" t="n"/>
    </row>
    <row r="1553">
      <c r="A1553" s="27" t="inlineStr">
        <is>
          <t>revenueManagement.GROUP_BY_INVOICE_INFO</t>
        </is>
      </c>
      <c r="B1553" s="27" t="inlineStr">
        <is>
          <t>Theo thông tin xuất hoá đơn</t>
        </is>
      </c>
      <c r="C1553" s="27" t="inlineStr">
        <is>
          <t>Group by invoice information</t>
        </is>
      </c>
      <c r="D1553" s="21" t="inlineStr">
        <is>
          <t>បន្ថែមព័ត៌មានចេញបុងបញ្ញើ</t>
        </is>
      </c>
      <c r="E1553" s="102" t="inlineStr">
        <is>
          <t>តាមព័ត៌មានចេញបុងបញ្ញើ</t>
        </is>
      </c>
      <c r="F1553" s="10" t="n"/>
      <c r="G1553" s="10" t="inlineStr">
        <is>
          <t>តាមព័ត៌មានចេញបុងបញ្ញើ</t>
        </is>
      </c>
      <c r="H1553" s="10" t="inlineStr">
        <is>
          <t>តាមព័ត៌មានចេញបុងបញ្ញើ</t>
        </is>
      </c>
      <c r="I1553" s="10" t="n"/>
      <c r="J1553" s="10" t="n"/>
      <c r="K1553" s="10" t="inlineStr">
        <is>
          <t>"revenueManagement.GROUP_BY_INVOICE_INFO": "តាមព័ត៌មានចេញបុងបញ្ញើ",</t>
        </is>
      </c>
      <c r="L1553" s="10" t="n"/>
      <c r="M1553" s="10" t="n"/>
      <c r="N1553" s="10" t="n"/>
      <c r="O1553" s="10" t="n"/>
      <c r="P1553" s="10" t="n"/>
      <c r="Q1553" s="10" t="n"/>
      <c r="R1553" s="10" t="n"/>
      <c r="S1553" s="10" t="n"/>
      <c r="T1553" s="10" t="n"/>
      <c r="U1553" s="10" t="n"/>
      <c r="V1553" s="10" t="n"/>
      <c r="W1553" s="10" t="n"/>
      <c r="X1553" s="10" t="n"/>
      <c r="Y1553" s="10" t="n"/>
      <c r="Z1553" s="10" t="n"/>
    </row>
    <row r="1554">
      <c r="A1554" s="27" t="inlineStr">
        <is>
          <t>revenueManagement.invoice_info</t>
        </is>
      </c>
      <c r="B1554" s="27" t="inlineStr">
        <is>
          <t>Thông tin xuất hoá đơn</t>
        </is>
      </c>
      <c r="C1554" s="27" t="inlineStr">
        <is>
          <t>Invoice Information</t>
        </is>
      </c>
      <c r="D1554" s="21" t="inlineStr">
        <is>
          <t>ព័ត៌មានចេញបុងបញ្ញើ</t>
        </is>
      </c>
      <c r="E1554" s="102" t="inlineStr">
        <is>
          <t>ព័ត៌មានចេញបុងបញ្ញើ</t>
        </is>
      </c>
      <c r="F1554" s="10" t="n"/>
      <c r="G1554" s="10" t="inlineStr">
        <is>
          <t>ព័ត៌មានចេញបុងបញ្ញើ</t>
        </is>
      </c>
      <c r="H1554" s="10" t="inlineStr">
        <is>
          <t>ព័ត៌មានចេញបុងបញ្ញើ</t>
        </is>
      </c>
      <c r="I1554" s="10" t="n"/>
      <c r="J1554" s="10" t="n"/>
      <c r="K1554" s="10" t="inlineStr">
        <is>
          <t>"revenueManagement.invoice_info": "ព័ត៌មានចេញបុងបញ្ញើ",</t>
        </is>
      </c>
      <c r="L1554" s="10" t="n"/>
      <c r="M1554" s="10" t="n"/>
      <c r="N1554" s="10" t="n"/>
      <c r="O1554" s="10" t="n"/>
      <c r="P1554" s="10" t="n"/>
      <c r="Q1554" s="10" t="n"/>
      <c r="R1554" s="10" t="n"/>
      <c r="S1554" s="10" t="n"/>
      <c r="T1554" s="10" t="n"/>
      <c r="U1554" s="10" t="n"/>
      <c r="V1554" s="10" t="n"/>
      <c r="W1554" s="10" t="n"/>
      <c r="X1554" s="10" t="n"/>
      <c r="Y1554" s="10" t="n"/>
      <c r="Z1554" s="10" t="n"/>
    </row>
    <row r="1555">
      <c r="A1555" s="27" t="inlineStr">
        <is>
          <t>revenueManagement.pleaseSelectOrder</t>
        </is>
      </c>
      <c r="B1555" s="27" t="inlineStr">
        <is>
          <t>Vui lòng chọn đơn hàng!</t>
        </is>
      </c>
      <c r="C1555" s="27" t="inlineStr">
        <is>
          <t>Order is required!</t>
        </is>
      </c>
      <c r="D1555" s="21" t="inlineStr">
        <is>
          <t>សូមជ្រើសរើសបុងបញ្ញើ!</t>
        </is>
      </c>
      <c r="E1555" s="102" t="inlineStr">
        <is>
          <t>សូមជ្រើសរើសបុងបញ្ញើ!</t>
        </is>
      </c>
      <c r="F1555" s="10" t="n"/>
      <c r="G1555" s="10" t="inlineStr">
        <is>
          <t>សូមជ្រើសរើសបុងបញ្ញើ!</t>
        </is>
      </c>
      <c r="H1555" s="10" t="inlineStr">
        <is>
          <t>សូមជ្រើសរើសបុងបញ្ញើ!</t>
        </is>
      </c>
      <c r="I1555" s="10" t="n"/>
      <c r="J1555" s="10" t="n"/>
      <c r="K1555" s="10" t="inlineStr">
        <is>
          <t>"revenueManagement.pleaseSelectOrder": "សូមជ្រើសរើសបុងបញ្ញើ!",</t>
        </is>
      </c>
      <c r="L1555" s="10" t="n"/>
      <c r="M1555" s="10" t="n"/>
      <c r="N1555" s="10" t="n"/>
      <c r="O1555" s="10" t="n"/>
      <c r="P1555" s="10" t="n"/>
      <c r="Q1555" s="10" t="n"/>
      <c r="R1555" s="10" t="n"/>
      <c r="S1555" s="10" t="n"/>
      <c r="T1555" s="10" t="n"/>
      <c r="U1555" s="10" t="n"/>
      <c r="V1555" s="10" t="n"/>
      <c r="W1555" s="10" t="n"/>
      <c r="X1555" s="10" t="n"/>
      <c r="Y1555" s="10" t="n"/>
      <c r="Z1555" s="10" t="n"/>
    </row>
    <row r="1556">
      <c r="A1556" s="27" t="inlineStr">
        <is>
          <t>revenueManagement.validForCreateStatement</t>
        </is>
      </c>
      <c r="B1556" s="27" t="inlineStr">
        <is>
          <t>Chỉ cho phép tạo bảng kê với đơn hàng trạng thái Đồng bộ thành công.</t>
        </is>
      </c>
      <c r="C1556" s="27" t="inlineStr">
        <is>
          <t>Billing lists can only be created for orders with status 'Synced successfully</t>
        </is>
      </c>
      <c r="D1556" s="102" t="n"/>
      <c r="E1556" s="102" t="inlineStr">
        <is>
          <t>អនុញ្ញាតឲ្យបង្កើតបញ្ជីតែសម្រាប់បុងបញ្ញើដែលមានស្ថានភាពសមមូលជោគជ័យតែប៉ុណ្ណោះ</t>
        </is>
      </c>
      <c r="F1556" s="10" t="n"/>
      <c r="G1556" s="10" t="inlineStr">
        <is>
          <t>អនុញ្ញាតឲ្យបង្កើតបញ្ជីតែសម្រាប់បុងបញ្ញើដែលមានស្ថានភាពសមមូលជោគជ័យតែប៉ុណ្ណោះ</t>
        </is>
      </c>
      <c r="H1556" s="10" t="inlineStr">
        <is>
          <t>អនុញ្ញាតឲ្យបង្កើតបញ្ជីតែសម្រាប់បុងបញ្ញើដែលមានស្ថានភាពសមមូលជោគជ័យតែប៉ុណ្ណោះ</t>
        </is>
      </c>
      <c r="I1556" s="10" t="n"/>
      <c r="J1556" s="10" t="n"/>
      <c r="K1556" s="10" t="inlineStr">
        <is>
          <t>"revenueManagement.validForCreateStatement": "អនុញ្ញាតឲ្យបង្កើតបញ្ជីតែសម្រាប់បុងបញ្ញើដែលមានស្ថានភាពសមមូលជោគជ័យតែប៉ុណ្ណោះ",</t>
        </is>
      </c>
      <c r="L1556" s="10" t="n"/>
      <c r="M1556" s="10" t="n"/>
      <c r="N1556" s="10" t="n"/>
      <c r="O1556" s="10" t="n"/>
      <c r="P1556" s="10" t="n"/>
      <c r="Q1556" s="10" t="n"/>
      <c r="R1556" s="10" t="n"/>
      <c r="S1556" s="10" t="n"/>
      <c r="T1556" s="10" t="n"/>
      <c r="U1556" s="10" t="n"/>
      <c r="V1556" s="10" t="n"/>
      <c r="W1556" s="10" t="n"/>
      <c r="X1556" s="10" t="n"/>
      <c r="Y1556" s="10" t="n"/>
      <c r="Z1556" s="10" t="n"/>
    </row>
    <row r="1557">
      <c r="A1557" s="27" t="inlineStr">
        <is>
          <t>revenueManagement.buyerName</t>
        </is>
      </c>
      <c r="B1557" s="27" t="inlineStr">
        <is>
          <t>Tên người mua hàng</t>
        </is>
      </c>
      <c r="C1557" s="27" t="inlineStr">
        <is>
          <t>Buyer's name</t>
        </is>
      </c>
      <c r="D1557" s="21" t="inlineStr">
        <is>
          <t>ឈ្មោះអ្នកទិញអីវ៉ាន់</t>
        </is>
      </c>
      <c r="E1557" s="102" t="inlineStr">
        <is>
          <t>ឈ្មោះអ្នកទិញអីវ៉ាន់</t>
        </is>
      </c>
      <c r="F1557" s="10" t="n"/>
      <c r="G1557" s="10" t="inlineStr">
        <is>
          <t>ឈ្មោះអ្នកទិញអីវ៉ាន់</t>
        </is>
      </c>
      <c r="H1557" s="10" t="inlineStr">
        <is>
          <t>ឈ្មោះអ្នកទិញអីវ៉ាន់</t>
        </is>
      </c>
      <c r="I1557" s="10" t="n"/>
      <c r="J1557" s="10" t="n"/>
      <c r="K1557" s="10" t="inlineStr">
        <is>
          <t>"revenueManagement.buyerName": "ឈ្មោះអ្នកទិញអីវ៉ាន់",</t>
        </is>
      </c>
      <c r="L1557" s="10" t="n"/>
      <c r="M1557" s="10" t="n"/>
      <c r="N1557" s="10" t="n"/>
      <c r="O1557" s="10" t="n"/>
      <c r="P1557" s="10" t="n"/>
      <c r="Q1557" s="10" t="n"/>
      <c r="R1557" s="10" t="n"/>
      <c r="S1557" s="10" t="n"/>
      <c r="T1557" s="10" t="n"/>
      <c r="U1557" s="10" t="n"/>
      <c r="V1557" s="10" t="n"/>
      <c r="W1557" s="10" t="n"/>
      <c r="X1557" s="10" t="n"/>
      <c r="Y1557" s="10" t="n"/>
      <c r="Z1557" s="10" t="n"/>
    </row>
    <row r="1558">
      <c r="A1558" s="27" t="inlineStr">
        <is>
          <t>revenueManagement.buyerPhoneNumber</t>
        </is>
      </c>
      <c r="B1558" s="27" t="inlineStr">
        <is>
          <t>Số điện thoại</t>
        </is>
      </c>
      <c r="C1558" s="27" t="inlineStr">
        <is>
          <t>Phone number</t>
        </is>
      </c>
      <c r="D1558" s="21" t="inlineStr">
        <is>
          <t>លេខទូរស័ព្ទ</t>
        </is>
      </c>
      <c r="E1558" s="102" t="inlineStr">
        <is>
          <t>លេខទូូរស័ព្ទ</t>
        </is>
      </c>
      <c r="F1558" s="10" t="n"/>
      <c r="G1558" s="10" t="inlineStr">
        <is>
          <t>លេខទូរស័ព្ទ</t>
        </is>
      </c>
      <c r="H1558" s="10" t="inlineStr">
        <is>
          <t>លេខទូរស័ព្ទ</t>
        </is>
      </c>
      <c r="I1558" s="10" t="n"/>
      <c r="J1558" s="10" t="n"/>
      <c r="K1558" s="10" t="inlineStr">
        <is>
          <t>"revenueManagement.buyerPhoneNumber": "លេខទូរស័ព្ទ",</t>
        </is>
      </c>
      <c r="L1558" s="10" t="n"/>
      <c r="M1558" s="10" t="n"/>
      <c r="N1558" s="10" t="n"/>
      <c r="O1558" s="10" t="n"/>
      <c r="P1558" s="10" t="n"/>
      <c r="Q1558" s="10" t="n"/>
      <c r="R1558" s="10" t="n"/>
      <c r="S1558" s="10" t="n"/>
      <c r="T1558" s="10" t="n"/>
      <c r="U1558" s="10" t="n"/>
      <c r="V1558" s="10" t="n"/>
      <c r="W1558" s="10" t="n"/>
      <c r="X1558" s="10" t="n"/>
      <c r="Y1558" s="10" t="n"/>
      <c r="Z1558" s="10" t="n"/>
    </row>
    <row r="1559">
      <c r="A1559" s="27" t="inlineStr">
        <is>
          <t>revenueManagement.buyerCity</t>
        </is>
      </c>
      <c r="B1559" s="27" t="inlineStr">
        <is>
          <t>Tỉnh</t>
        </is>
      </c>
      <c r="C1559" s="27" t="inlineStr">
        <is>
          <t>Province</t>
        </is>
      </c>
      <c r="D1559" s="21" t="inlineStr">
        <is>
          <t>ខេត្ត</t>
        </is>
      </c>
      <c r="E1559" s="21" t="inlineStr">
        <is>
          <t>ខេត្ត</t>
        </is>
      </c>
      <c r="F1559" s="10" t="n"/>
      <c r="G1559" s="10" t="inlineStr">
        <is>
          <t>ខេត្ត</t>
        </is>
      </c>
      <c r="H1559" s="10" t="inlineStr">
        <is>
          <t>ខេត្ត</t>
        </is>
      </c>
      <c r="I1559" s="10" t="n"/>
      <c r="J1559" s="10" t="n"/>
      <c r="K1559" s="10" t="inlineStr">
        <is>
          <t>"revenueManagement.buyerCity": "ខេត្ត",</t>
        </is>
      </c>
      <c r="L1559" s="10" t="n"/>
      <c r="M1559" s="10" t="n"/>
      <c r="N1559" s="10" t="n"/>
      <c r="O1559" s="10" t="n"/>
      <c r="P1559" s="10" t="n"/>
      <c r="Q1559" s="10" t="n"/>
      <c r="R1559" s="10" t="n"/>
      <c r="S1559" s="10" t="n"/>
      <c r="T1559" s="10" t="n"/>
      <c r="U1559" s="10" t="n"/>
      <c r="V1559" s="10" t="n"/>
      <c r="W1559" s="10" t="n"/>
      <c r="X1559" s="10" t="n"/>
      <c r="Y1559" s="10" t="n"/>
      <c r="Z1559" s="10" t="n"/>
    </row>
    <row r="1560">
      <c r="A1560" s="27" t="inlineStr">
        <is>
          <t>revenueManagement.buyerDistrict</t>
        </is>
      </c>
      <c r="B1560" s="27" t="inlineStr">
        <is>
          <t>Huyện</t>
        </is>
      </c>
      <c r="C1560" s="27" t="inlineStr">
        <is>
          <t>District</t>
        </is>
      </c>
      <c r="D1560" s="21" t="inlineStr">
        <is>
          <t>ស្រុក</t>
        </is>
      </c>
      <c r="E1560" s="21" t="inlineStr">
        <is>
          <t>ស្រុក</t>
        </is>
      </c>
      <c r="F1560" s="10" t="n"/>
      <c r="G1560" s="10" t="inlineStr">
        <is>
          <t>ស្រុក</t>
        </is>
      </c>
      <c r="H1560" s="10" t="inlineStr">
        <is>
          <t>ស្រុក</t>
        </is>
      </c>
      <c r="I1560" s="10" t="n"/>
      <c r="J1560" s="10" t="n"/>
      <c r="K1560" s="10" t="inlineStr">
        <is>
          <t>"revenueManagement.buyerDistrict": "ស្រុក",</t>
        </is>
      </c>
      <c r="L1560" s="10" t="n"/>
      <c r="M1560" s="10" t="n"/>
      <c r="N1560" s="10" t="n"/>
      <c r="O1560" s="10" t="n"/>
      <c r="P1560" s="10" t="n"/>
      <c r="Q1560" s="10" t="n"/>
      <c r="R1560" s="10" t="n"/>
      <c r="S1560" s="10" t="n"/>
      <c r="T1560" s="10" t="n"/>
      <c r="U1560" s="10" t="n"/>
      <c r="V1560" s="10" t="n"/>
      <c r="W1560" s="10" t="n"/>
      <c r="X1560" s="10" t="n"/>
      <c r="Y1560" s="10" t="n"/>
      <c r="Z1560" s="10" t="n"/>
    </row>
    <row r="1561">
      <c r="A1561" s="27" t="inlineStr">
        <is>
          <t>revenueManagement.buyerWard</t>
        </is>
      </c>
      <c r="B1561" s="27" t="inlineStr">
        <is>
          <t>Xã</t>
        </is>
      </c>
      <c r="C1561" s="27" t="inlineStr">
        <is>
          <t>Village</t>
        </is>
      </c>
      <c r="D1561" s="21" t="inlineStr">
        <is>
          <t>ឃុំ</t>
        </is>
      </c>
      <c r="E1561" s="21" t="inlineStr">
        <is>
          <t>ឃុំ</t>
        </is>
      </c>
      <c r="F1561" s="10" t="n"/>
      <c r="G1561" s="10" t="inlineStr">
        <is>
          <t>ឃុំ</t>
        </is>
      </c>
      <c r="H1561" s="10" t="inlineStr">
        <is>
          <t>ឃុំ</t>
        </is>
      </c>
      <c r="I1561" s="10" t="n"/>
      <c r="J1561" s="10" t="n"/>
      <c r="K1561" s="10" t="inlineStr">
        <is>
          <t>"revenueManagement.buyerWard": "ឃុំ",</t>
        </is>
      </c>
      <c r="L1561" s="10" t="n"/>
      <c r="M1561" s="10" t="n"/>
      <c r="N1561" s="10" t="n"/>
      <c r="O1561" s="10" t="n"/>
      <c r="P1561" s="10" t="n"/>
      <c r="Q1561" s="10" t="n"/>
      <c r="R1561" s="10" t="n"/>
      <c r="S1561" s="10" t="n"/>
      <c r="T1561" s="10" t="n"/>
      <c r="U1561" s="10" t="n"/>
      <c r="V1561" s="10" t="n"/>
      <c r="W1561" s="10" t="n"/>
      <c r="X1561" s="10" t="n"/>
      <c r="Y1561" s="10" t="n"/>
      <c r="Z1561" s="10" t="n"/>
    </row>
    <row r="1562">
      <c r="A1562" s="27" t="inlineStr">
        <is>
          <t>revenueManagement.downloadExcelFileName</t>
        </is>
      </c>
      <c r="B1562" s="27" t="inlineStr">
        <is>
          <t>Danh_sach_don_hang</t>
        </is>
      </c>
      <c r="C1562" s="27" t="inlineStr">
        <is>
          <t>Order_List</t>
        </is>
      </c>
      <c r="D1562" s="102" t="n"/>
      <c r="E1562" s="102" t="inlineStr">
        <is>
          <t>បញ្ជីបុងបញ្ញើ</t>
        </is>
      </c>
      <c r="F1562" s="10" t="n"/>
      <c r="G1562" s="10" t="inlineStr">
        <is>
          <t>បញ្ជីបុងបញ្ញើ</t>
        </is>
      </c>
      <c r="H1562" s="10" t="inlineStr">
        <is>
          <t>បញ្ជីបុងបញ្ញើ</t>
        </is>
      </c>
      <c r="I1562" s="10" t="n"/>
      <c r="J1562" s="10" t="n"/>
      <c r="K1562" s="10" t="inlineStr">
        <is>
          <t>"revenueManagement.downloadExcelFileName": "បញ្ជីបុងបញ្ញើ",</t>
        </is>
      </c>
      <c r="L1562" s="10" t="n"/>
      <c r="M1562" s="10" t="n"/>
      <c r="N1562" s="10" t="n"/>
      <c r="O1562" s="10" t="n"/>
      <c r="P1562" s="10" t="n"/>
      <c r="Q1562" s="10" t="n"/>
      <c r="R1562" s="10" t="n"/>
      <c r="S1562" s="10" t="n"/>
      <c r="T1562" s="10" t="n"/>
      <c r="U1562" s="10" t="n"/>
      <c r="V1562" s="10" t="n"/>
      <c r="W1562" s="10" t="n"/>
      <c r="X1562" s="10" t="n"/>
      <c r="Y1562" s="10" t="n"/>
      <c r="Z1562" s="10" t="n"/>
    </row>
    <row r="1563">
      <c r="A1563" s="27" t="inlineStr">
        <is>
          <t>invoiceManagement.detailStatement</t>
        </is>
      </c>
      <c r="B1563" s="27" t="inlineStr">
        <is>
          <t>Chi tiết bảng kê</t>
        </is>
      </c>
      <c r="C1563" s="27" t="inlineStr">
        <is>
          <t>Billing list details</t>
        </is>
      </c>
      <c r="D1563" s="21" t="inlineStr">
        <is>
          <t>លម្អិតពីតារាង</t>
        </is>
      </c>
      <c r="E1563" s="24" t="inlineStr">
        <is>
          <t>លម្អិតពីតារាង</t>
        </is>
      </c>
      <c r="F1563" s="10" t="n"/>
      <c r="G1563" s="10" t="inlineStr">
        <is>
          <t>លម្អិតពីតារាង</t>
        </is>
      </c>
      <c r="H1563" s="10" t="inlineStr">
        <is>
          <t>លម្អិតពីតារាង</t>
        </is>
      </c>
      <c r="I1563" s="10" t="n"/>
      <c r="J1563" s="10" t="n"/>
      <c r="K1563" s="10" t="inlineStr">
        <is>
          <t>"invoiceManagement.detailStatement": "លម្អិតពីតារាង",</t>
        </is>
      </c>
      <c r="L1563" s="10" t="n"/>
      <c r="M1563" s="10" t="n"/>
      <c r="N1563" s="10" t="n"/>
      <c r="O1563" s="10" t="n"/>
      <c r="P1563" s="10" t="n"/>
      <c r="Q1563" s="10" t="n"/>
      <c r="R1563" s="10" t="n"/>
      <c r="S1563" s="10" t="n"/>
      <c r="T1563" s="10" t="n"/>
      <c r="U1563" s="10" t="n"/>
      <c r="V1563" s="10" t="n"/>
      <c r="W1563" s="10" t="n"/>
      <c r="X1563" s="10" t="n"/>
      <c r="Y1563" s="10" t="n"/>
      <c r="Z1563" s="10" t="n"/>
    </row>
    <row r="1564">
      <c r="A1564" s="27" t="inlineStr">
        <is>
          <t>invoiceManagement.keywordSearch</t>
        </is>
      </c>
      <c r="B1564" s="27" t="inlineStr">
        <is>
          <t>Từ khoá</t>
        </is>
      </c>
      <c r="C1564" s="27" t="inlineStr">
        <is>
          <t>Keyword</t>
        </is>
      </c>
      <c r="D1564" s="21" t="inlineStr">
        <is>
          <t>ពាក្យគន្លឹះ</t>
        </is>
      </c>
      <c r="E1564" s="24" t="inlineStr">
        <is>
          <t>ពាក្យគន្លឹះ</t>
        </is>
      </c>
      <c r="F1564" s="10" t="n"/>
      <c r="G1564" s="10" t="inlineStr">
        <is>
          <t>ពាក្យគន្លឹះ</t>
        </is>
      </c>
      <c r="H1564" s="10" t="inlineStr">
        <is>
          <t>ពាក្យគន្លឹះ</t>
        </is>
      </c>
      <c r="I1564" s="10" t="n"/>
      <c r="J1564" s="10" t="n"/>
      <c r="K1564" s="10" t="inlineStr">
        <is>
          <t>"invoiceManagement.keywordSearch": "ពាក្យគន្លឹះ",</t>
        </is>
      </c>
      <c r="L1564" s="10" t="n"/>
      <c r="M1564" s="10" t="n"/>
      <c r="N1564" s="10" t="n"/>
      <c r="O1564" s="10" t="n"/>
      <c r="P1564" s="10" t="n"/>
      <c r="Q1564" s="10" t="n"/>
      <c r="R1564" s="10" t="n"/>
      <c r="S1564" s="10" t="n"/>
      <c r="T1564" s="10" t="n"/>
      <c r="U1564" s="10" t="n"/>
      <c r="V1564" s="10" t="n"/>
      <c r="W1564" s="10" t="n"/>
      <c r="X1564" s="10" t="n"/>
      <c r="Y1564" s="10" t="n"/>
      <c r="Z1564" s="10" t="n"/>
    </row>
    <row r="1565">
      <c r="A1565" s="27" t="inlineStr">
        <is>
          <t>invoiceManagement.keywordSearchPlaceholder</t>
        </is>
      </c>
      <c r="B1565" s="27" t="inlineStr">
        <is>
          <t>Mã bảng kê, mã KH</t>
        </is>
      </c>
      <c r="C1565" s="27" t="inlineStr">
        <is>
          <t>Billing list ID, customer ID</t>
        </is>
      </c>
      <c r="D1565" s="102" t="n"/>
      <c r="E1565" s="102" t="inlineStr">
        <is>
          <t>កូដតារាង លេខសម្គាលអតិថិជន</t>
        </is>
      </c>
      <c r="F1565" s="10" t="n"/>
      <c r="G1565" s="10" t="inlineStr">
        <is>
          <t>កូដតារាង លេខសម្គាលអតិថិជន</t>
        </is>
      </c>
      <c r="H1565" s="10" t="inlineStr">
        <is>
          <t>កូដតារាង លេខសម្គាលអតិថិជន</t>
        </is>
      </c>
      <c r="I1565" s="10" t="n"/>
      <c r="J1565" s="10" t="n"/>
      <c r="K1565" s="10" t="inlineStr">
        <is>
          <t>"invoiceManagement.keywordSearchPlaceholder": "កូដតារាង លេខសម្គាលអតិថិជន",</t>
        </is>
      </c>
      <c r="L1565" s="10" t="n"/>
      <c r="M1565" s="10" t="n"/>
      <c r="N1565" s="10" t="n"/>
      <c r="O1565" s="10" t="n"/>
      <c r="P1565" s="10" t="n"/>
      <c r="Q1565" s="10" t="n"/>
      <c r="R1565" s="10" t="n"/>
      <c r="S1565" s="10" t="n"/>
      <c r="T1565" s="10" t="n"/>
      <c r="U1565" s="10" t="n"/>
      <c r="V1565" s="10" t="n"/>
      <c r="W1565" s="10" t="n"/>
      <c r="X1565" s="10" t="n"/>
      <c r="Y1565" s="10" t="n"/>
      <c r="Z1565" s="10" t="n"/>
    </row>
    <row r="1566">
      <c r="A1566" s="27" t="inlineStr">
        <is>
          <t>invoiceManagement.requestInvoice</t>
        </is>
      </c>
      <c r="B1566" s="27" t="inlineStr">
        <is>
          <t>Gửi yêu cầu XHĐ</t>
        </is>
      </c>
      <c r="C1566" s="27" t="inlineStr">
        <is>
          <t>Submit invoice issuance request</t>
        </is>
      </c>
      <c r="D1566" s="102" t="n"/>
      <c r="E1566" s="102" t="inlineStr">
        <is>
          <t>ផ្តល់សំណើរចេញបុងបញ្ញើ</t>
        </is>
      </c>
      <c r="F1566" s="10" t="n"/>
      <c r="G1566" s="10" t="inlineStr">
        <is>
          <t>ផ្តល់សំណើរចេញបុងបញ្ញើ</t>
        </is>
      </c>
      <c r="H1566" s="10" t="inlineStr">
        <is>
          <t>ផ្តល់សំណើរចេញបុងបញ្ញើ</t>
        </is>
      </c>
      <c r="I1566" s="10" t="n"/>
      <c r="J1566" s="10" t="n"/>
      <c r="K1566" s="10" t="inlineStr">
        <is>
          <t>"invoiceManagement.requestInvoice": "ផ្តល់សំណើរចេញបុងបញ្ញើ",</t>
        </is>
      </c>
      <c r="L1566" s="10" t="n"/>
      <c r="M1566" s="10" t="n"/>
      <c r="N1566" s="10" t="n"/>
      <c r="O1566" s="10" t="n"/>
      <c r="P1566" s="10" t="n"/>
      <c r="Q1566" s="10" t="n"/>
      <c r="R1566" s="10" t="n"/>
      <c r="S1566" s="10" t="n"/>
      <c r="T1566" s="10" t="n"/>
      <c r="U1566" s="10" t="n"/>
      <c r="V1566" s="10" t="n"/>
      <c r="W1566" s="10" t="n"/>
      <c r="X1566" s="10" t="n"/>
      <c r="Y1566" s="10" t="n"/>
      <c r="Z1566" s="10" t="n"/>
    </row>
    <row r="1567">
      <c r="A1567" s="27" t="inlineStr">
        <is>
          <t>invoiceManagement.time</t>
        </is>
      </c>
      <c r="B1567" s="27" t="inlineStr">
        <is>
          <t>Thời gian</t>
        </is>
      </c>
      <c r="C1567" s="27" t="inlineStr">
        <is>
          <t>Time</t>
        </is>
      </c>
      <c r="D1567" s="21" t="inlineStr">
        <is>
          <t>ពេលវេលា</t>
        </is>
      </c>
      <c r="E1567" s="102" t="inlineStr">
        <is>
          <t>ពេលវេលា</t>
        </is>
      </c>
      <c r="F1567" s="10" t="n"/>
      <c r="G1567" s="10" t="inlineStr">
        <is>
          <t>ពេលវេលា</t>
        </is>
      </c>
      <c r="H1567" s="10" t="inlineStr">
        <is>
          <t>ពេលវេលា</t>
        </is>
      </c>
      <c r="I1567" s="10" t="n"/>
      <c r="J1567" s="10" t="n"/>
      <c r="K1567" s="10" t="inlineStr">
        <is>
          <t>"invoiceManagement.time": "ពេលវេលា",</t>
        </is>
      </c>
      <c r="L1567" s="10" t="n"/>
      <c r="M1567" s="10" t="n"/>
      <c r="N1567" s="10" t="n"/>
      <c r="O1567" s="10" t="n"/>
      <c r="P1567" s="10" t="n"/>
      <c r="Q1567" s="10" t="n"/>
      <c r="R1567" s="10" t="n"/>
      <c r="S1567" s="10" t="n"/>
      <c r="T1567" s="10" t="n"/>
      <c r="U1567" s="10" t="n"/>
      <c r="V1567" s="10" t="n"/>
      <c r="W1567" s="10" t="n"/>
      <c r="X1567" s="10" t="n"/>
      <c r="Y1567" s="10" t="n"/>
      <c r="Z1567" s="10" t="n"/>
    </row>
    <row r="1568">
      <c r="A1568" s="27" t="inlineStr">
        <is>
          <t>invoiceManagement.source</t>
        </is>
      </c>
      <c r="B1568" s="27" t="inlineStr">
        <is>
          <t>Nguồn</t>
        </is>
      </c>
      <c r="C1568" s="27" t="inlineStr">
        <is>
          <t>Source</t>
        </is>
      </c>
      <c r="D1568" s="21" t="inlineStr">
        <is>
          <t>ប្រភព</t>
        </is>
      </c>
      <c r="E1568" s="102" t="inlineStr">
        <is>
          <t>ប្រភព</t>
        </is>
      </c>
      <c r="F1568" s="10" t="n"/>
      <c r="G1568" s="10" t="inlineStr">
        <is>
          <t>ប្រភព</t>
        </is>
      </c>
      <c r="H1568" s="10" t="inlineStr">
        <is>
          <t>ប្រភព</t>
        </is>
      </c>
      <c r="I1568" s="10" t="n"/>
      <c r="J1568" s="10" t="n"/>
      <c r="K1568" s="10" t="inlineStr">
        <is>
          <t>"invoiceManagement.source": "ប្រភព",</t>
        </is>
      </c>
      <c r="L1568" s="10" t="n"/>
      <c r="M1568" s="10" t="n"/>
      <c r="N1568" s="10" t="n"/>
      <c r="O1568" s="10" t="n"/>
      <c r="P1568" s="10" t="n"/>
      <c r="Q1568" s="10" t="n"/>
      <c r="R1568" s="10" t="n"/>
      <c r="S1568" s="10" t="n"/>
      <c r="T1568" s="10" t="n"/>
      <c r="U1568" s="10" t="n"/>
      <c r="V1568" s="10" t="n"/>
      <c r="W1568" s="10" t="n"/>
      <c r="X1568" s="10" t="n"/>
      <c r="Y1568" s="10" t="n"/>
      <c r="Z1568" s="10" t="n"/>
    </row>
    <row r="1569">
      <c r="A1569" s="27" t="inlineStr">
        <is>
          <t>invoiceManagement.branch</t>
        </is>
      </c>
      <c r="B1569" s="27" t="inlineStr">
        <is>
          <t>Chi nhánh</t>
        </is>
      </c>
      <c r="C1569" s="27" t="inlineStr">
        <is>
          <t>Branch</t>
        </is>
      </c>
      <c r="D1569" s="21" t="inlineStr">
        <is>
          <t>សាខា</t>
        </is>
      </c>
      <c r="E1569" s="102" t="inlineStr">
        <is>
          <t>សាខា</t>
        </is>
      </c>
      <c r="F1569" s="10" t="n"/>
      <c r="G1569" s="10" t="inlineStr">
        <is>
          <t>សាខា</t>
        </is>
      </c>
      <c r="H1569" s="10" t="inlineStr">
        <is>
          <t>សាខា</t>
        </is>
      </c>
      <c r="I1569" s="10" t="n"/>
      <c r="J1569" s="10" t="n"/>
      <c r="K1569" s="10" t="inlineStr">
        <is>
          <t>"invoiceManagement.branch": "សាខា",</t>
        </is>
      </c>
      <c r="L1569" s="10" t="n"/>
      <c r="M1569" s="10" t="n"/>
      <c r="N1569" s="10" t="n"/>
      <c r="O1569" s="10" t="n"/>
      <c r="P1569" s="10" t="n"/>
      <c r="Q1569" s="10" t="n"/>
      <c r="R1569" s="10" t="n"/>
      <c r="S1569" s="10" t="n"/>
      <c r="T1569" s="10" t="n"/>
      <c r="U1569" s="10" t="n"/>
      <c r="V1569" s="10" t="n"/>
      <c r="W1569" s="10" t="n"/>
      <c r="X1569" s="10" t="n"/>
      <c r="Y1569" s="10" t="n"/>
      <c r="Z1569" s="10" t="n"/>
    </row>
    <row r="1570">
      <c r="A1570" s="27" t="inlineStr">
        <is>
          <t>invoiceManagement.postOffice</t>
        </is>
      </c>
      <c r="B1570" s="27" t="inlineStr">
        <is>
          <t>Bưu cục</t>
        </is>
      </c>
      <c r="C1570" s="27" t="inlineStr">
        <is>
          <t>Post office</t>
        </is>
      </c>
      <c r="D1570" s="21" t="inlineStr">
        <is>
          <t>ការិយាល័យប្រៃសណីយ៍</t>
        </is>
      </c>
      <c r="E1570" s="102" t="inlineStr">
        <is>
          <t>ការិយាល័យប្រៃសណីយ៍</t>
        </is>
      </c>
      <c r="F1570" s="10" t="n"/>
      <c r="G1570" s="10" t="inlineStr">
        <is>
          <t>ការិយាល័យប្រៃសណីយ៍</t>
        </is>
      </c>
      <c r="H1570" s="10" t="inlineStr">
        <is>
          <t>ការិយាល័យប្រៃសណីយ៍</t>
        </is>
      </c>
      <c r="I1570" s="10" t="n"/>
      <c r="J1570" s="10" t="n"/>
      <c r="K1570" s="10" t="inlineStr">
        <is>
          <t>"invoiceManagement.postOffice": "ការិយាល័យប្រៃសណីយ៍",</t>
        </is>
      </c>
      <c r="L1570" s="10" t="n"/>
      <c r="M1570" s="10" t="n"/>
      <c r="N1570" s="10" t="n"/>
      <c r="O1570" s="10" t="n"/>
      <c r="P1570" s="10" t="n"/>
      <c r="Q1570" s="10" t="n"/>
      <c r="R1570" s="10" t="n"/>
      <c r="S1570" s="10" t="n"/>
      <c r="T1570" s="10" t="n"/>
      <c r="U1570" s="10" t="n"/>
      <c r="V1570" s="10" t="n"/>
      <c r="W1570" s="10" t="n"/>
      <c r="X1570" s="10" t="n"/>
      <c r="Y1570" s="10" t="n"/>
      <c r="Z1570" s="10" t="n"/>
    </row>
    <row r="1571">
      <c r="A1571" s="27" t="inlineStr">
        <is>
          <t>invoiceManagement.search</t>
        </is>
      </c>
      <c r="B1571" s="27" t="inlineStr">
        <is>
          <t>Tìm kiếm</t>
        </is>
      </c>
      <c r="C1571" s="27" t="inlineStr">
        <is>
          <t>Search</t>
        </is>
      </c>
      <c r="D1571" s="21" t="inlineStr">
        <is>
          <t>ស្វែងរក</t>
        </is>
      </c>
      <c r="E1571" s="102" t="inlineStr">
        <is>
          <t>ស្វែងរក</t>
        </is>
      </c>
      <c r="F1571" s="10" t="n"/>
      <c r="G1571" s="10" t="inlineStr">
        <is>
          <t>ស្វែងរក</t>
        </is>
      </c>
      <c r="H1571" s="10" t="inlineStr">
        <is>
          <t>ស្វែងរក</t>
        </is>
      </c>
      <c r="I1571" s="10" t="n"/>
      <c r="J1571" s="10" t="n"/>
      <c r="K1571" s="10" t="inlineStr">
        <is>
          <t>"invoiceManagement.search": "ស្វែងរក",</t>
        </is>
      </c>
      <c r="L1571" s="10" t="n"/>
      <c r="M1571" s="10" t="n"/>
      <c r="N1571" s="10" t="n"/>
      <c r="O1571" s="10" t="n"/>
      <c r="P1571" s="10" t="n"/>
      <c r="Q1571" s="10" t="n"/>
      <c r="R1571" s="10" t="n"/>
      <c r="S1571" s="10" t="n"/>
      <c r="T1571" s="10" t="n"/>
      <c r="U1571" s="10" t="n"/>
      <c r="V1571" s="10" t="n"/>
      <c r="W1571" s="10" t="n"/>
      <c r="X1571" s="10" t="n"/>
      <c r="Y1571" s="10" t="n"/>
      <c r="Z1571" s="10" t="n"/>
    </row>
    <row r="1572">
      <c r="A1572" s="27" t="inlineStr">
        <is>
          <t>invoiceManagement.exportExcel</t>
        </is>
      </c>
      <c r="B1572" s="27" t="inlineStr">
        <is>
          <t>Xuất Excel</t>
        </is>
      </c>
      <c r="C1572" s="27" t="inlineStr">
        <is>
          <t>Export to Excel</t>
        </is>
      </c>
      <c r="D1572" s="21" t="inlineStr">
        <is>
          <t>ចេញពី Excel</t>
        </is>
      </c>
      <c r="E1572" s="21" t="inlineStr">
        <is>
          <t>ចេញពី Excel</t>
        </is>
      </c>
      <c r="F1572" s="10" t="n"/>
      <c r="G1572" s="10" t="inlineStr">
        <is>
          <t>ចេញពី Excel</t>
        </is>
      </c>
      <c r="H1572" s="10" t="inlineStr">
        <is>
          <t>ចេញពី Excel</t>
        </is>
      </c>
      <c r="I1572" s="10" t="n"/>
      <c r="J1572" s="10" t="n"/>
      <c r="K1572" s="10" t="inlineStr">
        <is>
          <t>"invoiceManagement.exportExcel": "ចេញពី Excel",</t>
        </is>
      </c>
      <c r="L1572" s="10" t="n"/>
      <c r="M1572" s="10" t="n"/>
      <c r="N1572" s="10" t="n"/>
      <c r="O1572" s="10" t="n"/>
      <c r="P1572" s="10" t="n"/>
      <c r="Q1572" s="10" t="n"/>
      <c r="R1572" s="10" t="n"/>
      <c r="S1572" s="10" t="n"/>
      <c r="T1572" s="10" t="n"/>
      <c r="U1572" s="10" t="n"/>
      <c r="V1572" s="10" t="n"/>
      <c r="W1572" s="10" t="n"/>
      <c r="X1572" s="10" t="n"/>
      <c r="Y1572" s="10" t="n"/>
      <c r="Z1572" s="10" t="n"/>
    </row>
    <row r="1573">
      <c r="A1573" s="27" t="inlineStr">
        <is>
          <t>invoiceManagement.orderCode</t>
        </is>
      </c>
      <c r="B1573" s="27" t="inlineStr">
        <is>
          <t>Mã đơn hàng</t>
        </is>
      </c>
      <c r="C1573" s="27" t="inlineStr">
        <is>
          <t>Order ID</t>
        </is>
      </c>
      <c r="D1573" s="102" t="n"/>
      <c r="E1573" s="102" t="inlineStr">
        <is>
          <t>លេខកូដបុងបញ្ញើ</t>
        </is>
      </c>
      <c r="F1573" s="10" t="n"/>
      <c r="G1573" s="10" t="inlineStr">
        <is>
          <t>លេខកូដបុងបញ្ញើ</t>
        </is>
      </c>
      <c r="H1573" s="10" t="inlineStr">
        <is>
          <t>លេខកូដបុងបញ្ញើ</t>
        </is>
      </c>
      <c r="I1573" s="10" t="n"/>
      <c r="J1573" s="10" t="n"/>
      <c r="K1573" s="10" t="inlineStr">
        <is>
          <t>"invoiceManagement.orderCode": "លេខកូដបុងបញ្ញើ",</t>
        </is>
      </c>
      <c r="L1573" s="10" t="n"/>
      <c r="M1573" s="10" t="n"/>
      <c r="N1573" s="10" t="n"/>
      <c r="O1573" s="10" t="n"/>
      <c r="P1573" s="10" t="n"/>
      <c r="Q1573" s="10" t="n"/>
      <c r="R1573" s="10" t="n"/>
      <c r="S1573" s="10" t="n"/>
      <c r="T1573" s="10" t="n"/>
      <c r="U1573" s="10" t="n"/>
      <c r="V1573" s="10" t="n"/>
      <c r="W1573" s="10" t="n"/>
      <c r="X1573" s="10" t="n"/>
      <c r="Y1573" s="10" t="n"/>
      <c r="Z1573" s="10" t="n"/>
    </row>
    <row r="1574">
      <c r="A1574" s="27" t="inlineStr">
        <is>
          <t>invoiceManagement.customerCode</t>
        </is>
      </c>
      <c r="B1574" s="27" t="inlineStr">
        <is>
          <t>Mã KH</t>
        </is>
      </c>
      <c r="C1574" s="27" t="inlineStr">
        <is>
          <t>Customer ID</t>
        </is>
      </c>
      <c r="D1574" s="21" t="inlineStr">
        <is>
          <t>លេខកូដអតិថិជន</t>
        </is>
      </c>
      <c r="E1574" s="102" t="inlineStr">
        <is>
          <t>លេខសម្គាល់អតិថិជន</t>
        </is>
      </c>
      <c r="F1574" s="10" t="n"/>
      <c r="G1574" s="10" t="inlineStr">
        <is>
          <t>លេខសម្គាល់អតិថិជន</t>
        </is>
      </c>
      <c r="H1574" s="10" t="inlineStr">
        <is>
          <t>លេខសម្គាល់អតិថិជន</t>
        </is>
      </c>
      <c r="I1574" s="10" t="n"/>
      <c r="J1574" s="10" t="n"/>
      <c r="K1574" s="10" t="inlineStr">
        <is>
          <t>"invoiceManagement.customerCode": "លេខសម្គាល់អតិថិជន",</t>
        </is>
      </c>
      <c r="L1574" s="10" t="n"/>
      <c r="M1574" s="10" t="n"/>
      <c r="N1574" s="10" t="n"/>
      <c r="O1574" s="10" t="n"/>
      <c r="P1574" s="10" t="n"/>
      <c r="Q1574" s="10" t="n"/>
      <c r="R1574" s="10" t="n"/>
      <c r="S1574" s="10" t="n"/>
      <c r="T1574" s="10" t="n"/>
      <c r="U1574" s="10" t="n"/>
      <c r="V1574" s="10" t="n"/>
      <c r="W1574" s="10" t="n"/>
      <c r="X1574" s="10" t="n"/>
      <c r="Y1574" s="10" t="n"/>
      <c r="Z1574" s="10" t="n"/>
    </row>
    <row r="1575">
      <c r="A1575" s="27" t="inlineStr">
        <is>
          <t>invoiceManagement.customerName</t>
        </is>
      </c>
      <c r="B1575" s="27" t="inlineStr">
        <is>
          <t>Tên khách hàng</t>
        </is>
      </c>
      <c r="C1575" s="27" t="inlineStr">
        <is>
          <t>Customer</t>
        </is>
      </c>
      <c r="D1575" s="21" t="inlineStr">
        <is>
          <t>ឈ្មោះអតិថិជន</t>
        </is>
      </c>
      <c r="E1575" s="102" t="inlineStr">
        <is>
          <t>ឈ្មោះអតិថិជន</t>
        </is>
      </c>
      <c r="F1575" s="10" t="n"/>
      <c r="G1575" s="10" t="inlineStr">
        <is>
          <t>ឈ្មោះអតិថិជន</t>
        </is>
      </c>
      <c r="H1575" s="10" t="inlineStr">
        <is>
          <t>ឈ្មោះអតិថិជន</t>
        </is>
      </c>
      <c r="I1575" s="10" t="n"/>
      <c r="J1575" s="10" t="n"/>
      <c r="K1575" s="10" t="inlineStr">
        <is>
          <t>"invoiceManagement.customerName": "ឈ្មោះអតិថិជន",</t>
        </is>
      </c>
      <c r="L1575" s="10" t="n"/>
      <c r="M1575" s="10" t="n"/>
      <c r="N1575" s="10" t="n"/>
      <c r="O1575" s="10" t="n"/>
      <c r="P1575" s="10" t="n"/>
      <c r="Q1575" s="10" t="n"/>
      <c r="R1575" s="10" t="n"/>
      <c r="S1575" s="10" t="n"/>
      <c r="T1575" s="10" t="n"/>
      <c r="U1575" s="10" t="n"/>
      <c r="V1575" s="10" t="n"/>
      <c r="W1575" s="10" t="n"/>
      <c r="X1575" s="10" t="n"/>
      <c r="Y1575" s="10" t="n"/>
      <c r="Z1575" s="10" t="n"/>
    </row>
    <row r="1576">
      <c r="A1576" s="27" t="inlineStr">
        <is>
          <t>invoiceManagement.acronymCustomerName</t>
        </is>
      </c>
      <c r="B1576" s="27" t="inlineStr">
        <is>
          <t>Tên KH</t>
        </is>
      </c>
      <c r="C1576" s="27" t="inlineStr">
        <is>
          <t>Customer</t>
        </is>
      </c>
      <c r="D1576" s="21" t="inlineStr">
        <is>
          <t>ឈ្មោះអតិថិជន</t>
        </is>
      </c>
      <c r="E1576" s="102" t="inlineStr">
        <is>
          <t>ឈ្មោះអតិថិជន</t>
        </is>
      </c>
      <c r="F1576" s="10" t="n"/>
      <c r="G1576" s="10" t="inlineStr">
        <is>
          <t>ឈ្មោះអតិថិជន</t>
        </is>
      </c>
      <c r="H1576" s="10" t="inlineStr">
        <is>
          <t>ឈ្មោះអតិថិជន</t>
        </is>
      </c>
      <c r="I1576" s="10" t="n"/>
      <c r="J1576" s="10" t="n"/>
      <c r="K1576" s="10" t="inlineStr">
        <is>
          <t>"invoiceManagement.acronymCustomerName": "ឈ្មោះអតិថិជន",</t>
        </is>
      </c>
      <c r="L1576" s="10" t="n"/>
      <c r="M1576" s="10" t="n"/>
      <c r="N1576" s="10" t="n"/>
      <c r="O1576" s="10" t="n"/>
      <c r="P1576" s="10" t="n"/>
      <c r="Q1576" s="10" t="n"/>
      <c r="R1576" s="10" t="n"/>
      <c r="S1576" s="10" t="n"/>
      <c r="T1576" s="10" t="n"/>
      <c r="U1576" s="10" t="n"/>
      <c r="V1576" s="10" t="n"/>
      <c r="W1576" s="10" t="n"/>
      <c r="X1576" s="10" t="n"/>
      <c r="Y1576" s="10" t="n"/>
      <c r="Z1576" s="10" t="n"/>
    </row>
    <row r="1577">
      <c r="A1577" s="27" t="inlineStr">
        <is>
          <t>invoiceManagement.customerSearchPlaceholder</t>
        </is>
      </c>
      <c r="B1577" s="27" t="inlineStr">
        <is>
          <t>Mã KH, tên KH</t>
        </is>
      </c>
      <c r="C1577" s="27" t="inlineStr">
        <is>
          <t>Customer ID or name</t>
        </is>
      </c>
      <c r="D1577" s="21" t="inlineStr">
        <is>
          <t>លេខកូដអតិថិជន ឈ្មោះអតិថិជន</t>
        </is>
      </c>
      <c r="E1577" s="102" t="inlineStr">
        <is>
          <t>លេខសម្គាល់អតិថិជន ឈ្មោះអតិថិជន</t>
        </is>
      </c>
      <c r="F1577" s="10" t="n"/>
      <c r="G1577" s="10" t="inlineStr">
        <is>
          <t>លេខសម្គាល់អតិថិជន ឈ្មោះអតិថិជន</t>
        </is>
      </c>
      <c r="H1577" s="10" t="inlineStr">
        <is>
          <t>លេខសម្គាល់អតិថិជន ឈ្មោះអតិថិជន</t>
        </is>
      </c>
      <c r="I1577" s="10" t="n"/>
      <c r="J1577" s="10" t="n"/>
      <c r="K1577" s="10" t="inlineStr">
        <is>
          <t>"invoiceManagement.customerSearchPlaceholder": "លេខសម្គាល់អតិថិជន ឈ្មោះអតិថិជន",</t>
        </is>
      </c>
      <c r="L1577" s="10" t="n"/>
      <c r="M1577" s="10" t="n"/>
      <c r="N1577" s="10" t="n"/>
      <c r="O1577" s="10" t="n"/>
      <c r="P1577" s="10" t="n"/>
      <c r="Q1577" s="10" t="n"/>
      <c r="R1577" s="10" t="n"/>
      <c r="S1577" s="10" t="n"/>
      <c r="T1577" s="10" t="n"/>
      <c r="U1577" s="10" t="n"/>
      <c r="V1577" s="10" t="n"/>
      <c r="W1577" s="10" t="n"/>
      <c r="X1577" s="10" t="n"/>
      <c r="Y1577" s="10" t="n"/>
      <c r="Z1577" s="10" t="n"/>
    </row>
    <row r="1578">
      <c r="A1578" s="27" t="inlineStr">
        <is>
          <t>invoiceManagement.serviceCode</t>
        </is>
      </c>
      <c r="B1578" s="27" t="inlineStr">
        <is>
          <t>Mã dịch vụ</t>
        </is>
      </c>
      <c r="C1578" s="27" t="inlineStr">
        <is>
          <t>Main service code</t>
        </is>
      </c>
      <c r="D1578" s="21" t="inlineStr">
        <is>
          <t>លេខកូដសេវាកម្ម</t>
        </is>
      </c>
      <c r="E1578" s="102" t="inlineStr">
        <is>
          <t>លេខកូូដសេវាកម្ម</t>
        </is>
      </c>
      <c r="F1578" s="10" t="n"/>
      <c r="G1578" s="10" t="inlineStr">
        <is>
          <t>លេខកូូដសេវាកម្ម</t>
        </is>
      </c>
      <c r="H1578" s="10" t="inlineStr">
        <is>
          <t>លេខកូូដសេវាកម្ម</t>
        </is>
      </c>
      <c r="I1578" s="10" t="n"/>
      <c r="J1578" s="10" t="n"/>
      <c r="K1578" s="10" t="inlineStr">
        <is>
          <t>"invoiceManagement.serviceCode": "លេខកូូដសេវាកម្ម",</t>
        </is>
      </c>
      <c r="L1578" s="10" t="n"/>
      <c r="M1578" s="10" t="n"/>
      <c r="N1578" s="10" t="n"/>
      <c r="O1578" s="10" t="n"/>
      <c r="P1578" s="10" t="n"/>
      <c r="Q1578" s="10" t="n"/>
      <c r="R1578" s="10" t="n"/>
      <c r="S1578" s="10" t="n"/>
      <c r="T1578" s="10" t="n"/>
      <c r="U1578" s="10" t="n"/>
      <c r="V1578" s="10" t="n"/>
      <c r="W1578" s="10" t="n"/>
      <c r="X1578" s="10" t="n"/>
      <c r="Y1578" s="10" t="n"/>
      <c r="Z1578" s="10" t="n"/>
    </row>
    <row r="1579">
      <c r="A1579" s="27" t="inlineStr">
        <is>
          <t>invoiceManagement.fee</t>
        </is>
      </c>
      <c r="B1579" s="27" t="inlineStr">
        <is>
          <t>Cước phí</t>
        </is>
      </c>
      <c r="C1579" s="27" t="inlineStr">
        <is>
          <t>Service charges</t>
        </is>
      </c>
      <c r="D1579" s="21" t="inlineStr">
        <is>
          <t>ថ្លៃសេវា</t>
        </is>
      </c>
      <c r="E1579" s="21" t="inlineStr">
        <is>
          <t>ថ្លៃសេវា</t>
        </is>
      </c>
      <c r="F1579" s="10" t="n"/>
      <c r="G1579" s="10" t="inlineStr">
        <is>
          <t>ថ្លៃដឹកជញ្ជូន</t>
        </is>
      </c>
      <c r="H1579" s="10" t="inlineStr">
        <is>
          <t>ថ្លៃដឹកជញ្ជូន</t>
        </is>
      </c>
      <c r="I1579" s="10" t="n"/>
      <c r="J1579" s="10" t="n"/>
      <c r="K1579" s="10" t="inlineStr">
        <is>
          <t>"invoiceManagement.fee": "ថ្លៃដឹកជញ្ជូន",</t>
        </is>
      </c>
      <c r="L1579" s="10" t="n"/>
      <c r="M1579" s="10" t="n"/>
      <c r="N1579" s="10" t="n"/>
      <c r="O1579" s="10" t="n"/>
      <c r="P1579" s="10" t="n"/>
      <c r="Q1579" s="10" t="n"/>
      <c r="R1579" s="10" t="n"/>
      <c r="S1579" s="10" t="n"/>
      <c r="T1579" s="10" t="n"/>
      <c r="U1579" s="10" t="n"/>
      <c r="V1579" s="10" t="n"/>
      <c r="W1579" s="10" t="n"/>
      <c r="X1579" s="10" t="n"/>
      <c r="Y1579" s="10" t="n"/>
      <c r="Z1579" s="10" t="n"/>
    </row>
    <row r="1580">
      <c r="A1580" s="27" t="inlineStr">
        <is>
          <t>invoiceManagement.weight</t>
        </is>
      </c>
      <c r="B1580" s="27" t="inlineStr">
        <is>
          <t>Trọng lượng (g)</t>
        </is>
      </c>
      <c r="C1580" s="27" t="inlineStr">
        <is>
          <t>Weight (g)</t>
        </is>
      </c>
      <c r="D1580" s="21" t="inlineStr">
        <is>
          <t>ទម្ងន់ (ក្រាម)</t>
        </is>
      </c>
      <c r="E1580" s="21" t="inlineStr">
        <is>
          <t>ទម្ងន់ (ក្រាម)</t>
        </is>
      </c>
      <c r="F1580" s="10" t="n"/>
      <c r="G1580" s="10" t="inlineStr">
        <is>
          <t>ទម្ងន់ (ក្រាម)</t>
        </is>
      </c>
      <c r="H1580" s="10" t="inlineStr">
        <is>
          <t>ទម្ងន់ (ក្រាម)</t>
        </is>
      </c>
      <c r="I1580" s="10" t="n"/>
      <c r="J1580" s="10" t="n"/>
      <c r="K1580" s="10" t="inlineStr">
        <is>
          <t>"invoiceManagement.weight": "ទម្ងន់ (ក្រាម)",</t>
        </is>
      </c>
      <c r="L1580" s="10" t="n"/>
      <c r="M1580" s="10" t="n"/>
      <c r="N1580" s="10" t="n"/>
      <c r="O1580" s="10" t="n"/>
      <c r="P1580" s="10" t="n"/>
      <c r="Q1580" s="10" t="n"/>
      <c r="R1580" s="10" t="n"/>
      <c r="S1580" s="10" t="n"/>
      <c r="T1580" s="10" t="n"/>
      <c r="U1580" s="10" t="n"/>
      <c r="V1580" s="10" t="n"/>
      <c r="W1580" s="10" t="n"/>
      <c r="X1580" s="10" t="n"/>
      <c r="Y1580" s="10" t="n"/>
      <c r="Z1580" s="10" t="n"/>
    </row>
    <row r="1581">
      <c r="A1581" s="27" t="inlineStr">
        <is>
          <t>invoiceManagement.orderStatus</t>
        </is>
      </c>
      <c r="B1581" s="27" t="inlineStr">
        <is>
          <t>Trạng thái đơn</t>
        </is>
      </c>
      <c r="C1581" s="27" t="inlineStr">
        <is>
          <t>Order status</t>
        </is>
      </c>
      <c r="D1581" s="21" t="inlineStr">
        <is>
          <t>ស្ថានភាពបុងបញ្ញើ</t>
        </is>
      </c>
      <c r="E1581" s="21" t="inlineStr">
        <is>
          <t>ស្ថានភាពបុងបញ្ញើ</t>
        </is>
      </c>
      <c r="F1581" s="10" t="n"/>
      <c r="G1581" s="10" t="inlineStr">
        <is>
          <t>ស្ថានភាពបុងបញ្ញើ</t>
        </is>
      </c>
      <c r="H1581" s="10" t="inlineStr">
        <is>
          <t>ស្ថានភាពបុងបញ្ញើ</t>
        </is>
      </c>
      <c r="I1581" s="10" t="n"/>
      <c r="J1581" s="10" t="n"/>
      <c r="K1581" s="10" t="inlineStr">
        <is>
          <t>"invoiceManagement.orderStatus": "ស្ថានភាពបុងបញ្ញើ",</t>
        </is>
      </c>
      <c r="L1581" s="10" t="n"/>
      <c r="M1581" s="10" t="n"/>
      <c r="N1581" s="10" t="n"/>
      <c r="O1581" s="10" t="n"/>
      <c r="P1581" s="10" t="n"/>
      <c r="Q1581" s="10" t="n"/>
      <c r="R1581" s="10" t="n"/>
      <c r="S1581" s="10" t="n"/>
      <c r="T1581" s="10" t="n"/>
      <c r="U1581" s="10" t="n"/>
      <c r="V1581" s="10" t="n"/>
      <c r="W1581" s="10" t="n"/>
      <c r="X1581" s="10" t="n"/>
      <c r="Y1581" s="10" t="n"/>
      <c r="Z1581" s="10" t="n"/>
    </row>
    <row r="1582">
      <c r="A1582" s="27" t="inlineStr">
        <is>
          <t>invoiceManagement.deleteStatement</t>
        </is>
      </c>
      <c r="B1582" s="27" t="inlineStr">
        <is>
          <t>Xoá bảng kê</t>
        </is>
      </c>
      <c r="C1582" s="27" t="inlineStr">
        <is>
          <t>Delete billing list</t>
        </is>
      </c>
      <c r="D1582" s="21" t="inlineStr">
        <is>
          <t>លុុបតារាងចោល</t>
        </is>
      </c>
      <c r="E1582" s="21" t="inlineStr">
        <is>
          <t>លុុបតារាងចោល</t>
        </is>
      </c>
      <c r="F1582" s="10" t="n"/>
      <c r="G1582" s="10" t="inlineStr">
        <is>
          <t>លុុបតារាងចោល</t>
        </is>
      </c>
      <c r="H1582" s="10" t="inlineStr">
        <is>
          <t>លុុបតារាងចោល</t>
        </is>
      </c>
      <c r="I1582" s="10" t="n"/>
      <c r="J1582" s="10" t="n"/>
      <c r="K1582" s="10" t="inlineStr">
        <is>
          <t>"invoiceManagement.deleteStatement": "លុុបតារាងចោល",</t>
        </is>
      </c>
      <c r="L1582" s="10" t="n"/>
      <c r="M1582" s="10" t="n"/>
      <c r="N1582" s="10" t="n"/>
      <c r="O1582" s="10" t="n"/>
      <c r="P1582" s="10" t="n"/>
      <c r="Q1582" s="10" t="n"/>
      <c r="R1582" s="10" t="n"/>
      <c r="S1582" s="10" t="n"/>
      <c r="T1582" s="10" t="n"/>
      <c r="U1582" s="10" t="n"/>
      <c r="V1582" s="10" t="n"/>
      <c r="W1582" s="10" t="n"/>
      <c r="X1582" s="10" t="n"/>
      <c r="Y1582" s="10" t="n"/>
      <c r="Z1582" s="10" t="n"/>
    </row>
    <row r="1583">
      <c r="A1583" s="27" t="inlineStr">
        <is>
          <t>invoiceManagement.editStatement</t>
        </is>
      </c>
      <c r="B1583" s="27" t="inlineStr">
        <is>
          <t>Chỉnh sửa</t>
        </is>
      </c>
      <c r="C1583" s="27" t="inlineStr">
        <is>
          <t>Modify</t>
        </is>
      </c>
      <c r="D1583" s="21" t="inlineStr">
        <is>
          <t>កែសម្រួល</t>
        </is>
      </c>
      <c r="E1583" s="21" t="inlineStr">
        <is>
          <t>កែសម្រួល</t>
        </is>
      </c>
      <c r="F1583" s="10" t="n"/>
      <c r="G1583" s="10" t="inlineStr">
        <is>
          <t>កែសម្រួល</t>
        </is>
      </c>
      <c r="H1583" s="10" t="inlineStr">
        <is>
          <t>កែសម្រួល</t>
        </is>
      </c>
      <c r="I1583" s="10" t="n"/>
      <c r="J1583" s="10" t="n"/>
      <c r="K1583" s="10" t="inlineStr">
        <is>
          <t>"invoiceManagement.editStatement": "កែសម្រួល",</t>
        </is>
      </c>
      <c r="L1583" s="10" t="n"/>
      <c r="M1583" s="10" t="n"/>
      <c r="N1583" s="10" t="n"/>
      <c r="O1583" s="10" t="n"/>
      <c r="P1583" s="10" t="n"/>
      <c r="Q1583" s="10" t="n"/>
      <c r="R1583" s="10" t="n"/>
      <c r="S1583" s="10" t="n"/>
      <c r="T1583" s="10" t="n"/>
      <c r="U1583" s="10" t="n"/>
      <c r="V1583" s="10" t="n"/>
      <c r="W1583" s="10" t="n"/>
      <c r="X1583" s="10" t="n"/>
      <c r="Y1583" s="10" t="n"/>
      <c r="Z1583" s="10" t="n"/>
    </row>
    <row r="1584">
      <c r="A1584" s="27" t="inlineStr">
        <is>
          <t>invoiceManagement.createdAt</t>
        </is>
      </c>
      <c r="B1584" s="27" t="inlineStr">
        <is>
          <t>Ngày tạo</t>
        </is>
      </c>
      <c r="C1584" s="27" t="inlineStr">
        <is>
          <t>Created on</t>
        </is>
      </c>
      <c r="D1584" s="21" t="inlineStr">
        <is>
          <t>ថ្ងៃបង្កើត</t>
        </is>
      </c>
      <c r="E1584" s="21" t="inlineStr">
        <is>
          <t>ថ្ងៃបង្កើត</t>
        </is>
      </c>
      <c r="F1584" s="10" t="n"/>
      <c r="G1584" s="10" t="inlineStr">
        <is>
          <t>កាលបរិច្ឆេទបង្កើត</t>
        </is>
      </c>
      <c r="H1584" s="10" t="inlineStr">
        <is>
          <t>កាលបរិច្ឆេទបង្កើត</t>
        </is>
      </c>
      <c r="I1584" s="10" t="n"/>
      <c r="J1584" s="10" t="n"/>
      <c r="K1584" s="10" t="inlineStr">
        <is>
          <t>"invoiceManagement.createdAt": "កាលបរិច្ឆេទបង្កើត",</t>
        </is>
      </c>
      <c r="L1584" s="10" t="n"/>
      <c r="M1584" s="10" t="n"/>
      <c r="N1584" s="10" t="n"/>
      <c r="O1584" s="10" t="n"/>
      <c r="P1584" s="10" t="n"/>
      <c r="Q1584" s="10" t="n"/>
      <c r="R1584" s="10" t="n"/>
      <c r="S1584" s="10" t="n"/>
      <c r="T1584" s="10" t="n"/>
      <c r="U1584" s="10" t="n"/>
      <c r="V1584" s="10" t="n"/>
      <c r="W1584" s="10" t="n"/>
      <c r="X1584" s="10" t="n"/>
      <c r="Y1584" s="10" t="n"/>
      <c r="Z1584" s="10" t="n"/>
    </row>
    <row r="1585">
      <c r="A1585" s="27" t="inlineStr">
        <is>
          <t>invoiceManagement.cod</t>
        </is>
      </c>
      <c r="B1585" s="27" t="inlineStr">
        <is>
          <t>Tiền COD</t>
        </is>
      </c>
      <c r="C1585" s="27" t="inlineStr">
        <is>
          <t>COD amount</t>
        </is>
      </c>
      <c r="D1585" s="21" t="inlineStr">
        <is>
          <t>ប្រាក់COD</t>
        </is>
      </c>
      <c r="E1585" s="21" t="inlineStr">
        <is>
          <t>ប្រាក់COD</t>
        </is>
      </c>
      <c r="F1585" s="10" t="n"/>
      <c r="G1585" s="10" t="inlineStr">
        <is>
          <t>ប្រាក់ COD</t>
        </is>
      </c>
      <c r="H1585" s="10" t="inlineStr">
        <is>
          <t>ប្រាក់ COD</t>
        </is>
      </c>
      <c r="I1585" s="10" t="n"/>
      <c r="J1585" s="10" t="n"/>
      <c r="K1585" s="10" t="inlineStr">
        <is>
          <t>"invoiceManagement.cod": "ប្រាក់ COD",</t>
        </is>
      </c>
      <c r="L1585" s="10" t="n"/>
      <c r="M1585" s="10" t="n"/>
      <c r="N1585" s="10" t="n"/>
      <c r="O1585" s="10" t="n"/>
      <c r="P1585" s="10" t="n"/>
      <c r="Q1585" s="10" t="n"/>
      <c r="R1585" s="10" t="n"/>
      <c r="S1585" s="10" t="n"/>
      <c r="T1585" s="10" t="n"/>
      <c r="U1585" s="10" t="n"/>
      <c r="V1585" s="10" t="n"/>
      <c r="W1585" s="10" t="n"/>
      <c r="X1585" s="10" t="n"/>
      <c r="Y1585" s="10" t="n"/>
      <c r="Z1585" s="10" t="n"/>
    </row>
    <row r="1586">
      <c r="A1586" s="27" t="inlineStr">
        <is>
          <t>invoiceManagement.shippingFee</t>
        </is>
      </c>
      <c r="B1586" s="27" t="inlineStr">
        <is>
          <t>Tiền Cước</t>
        </is>
      </c>
      <c r="C1586" s="27" t="inlineStr">
        <is>
          <t>Shipping fee</t>
        </is>
      </c>
      <c r="D1586" s="21" t="inlineStr">
        <is>
          <t>ថ្លៃសេវា</t>
        </is>
      </c>
      <c r="E1586" s="21" t="inlineStr">
        <is>
          <t>ថ្លៃសេវា</t>
        </is>
      </c>
      <c r="F1586" s="10" t="n"/>
      <c r="G1586" s="10" t="inlineStr">
        <is>
          <t>ថ្លៃសេវា</t>
        </is>
      </c>
      <c r="H1586" s="10" t="inlineStr">
        <is>
          <t>ថ្លៃសេវា</t>
        </is>
      </c>
      <c r="I1586" s="10" t="n"/>
      <c r="J1586" s="10" t="n"/>
      <c r="K1586" s="10" t="inlineStr">
        <is>
          <t>"invoiceManagement.shippingFee": "ថ្លៃសេវា",</t>
        </is>
      </c>
      <c r="L1586" s="10" t="n"/>
      <c r="M1586" s="10" t="n"/>
      <c r="N1586" s="10" t="n"/>
      <c r="O1586" s="10" t="n"/>
      <c r="P1586" s="10" t="n"/>
      <c r="Q1586" s="10" t="n"/>
      <c r="R1586" s="10" t="n"/>
      <c r="S1586" s="10" t="n"/>
      <c r="T1586" s="10" t="n"/>
      <c r="U1586" s="10" t="n"/>
      <c r="V1586" s="10" t="n"/>
      <c r="W1586" s="10" t="n"/>
      <c r="X1586" s="10" t="n"/>
      <c r="Y1586" s="10" t="n"/>
      <c r="Z1586" s="10" t="n"/>
    </row>
    <row r="1587">
      <c r="A1587" s="27" t="inlineStr">
        <is>
          <t>invoiceManagement.vat</t>
        </is>
      </c>
      <c r="B1587" s="27" t="inlineStr">
        <is>
          <t>VAT</t>
        </is>
      </c>
      <c r="C1587" s="27" t="inlineStr">
        <is>
          <t>VAT</t>
        </is>
      </c>
      <c r="D1587" s="21" t="inlineStr">
        <is>
          <t>ពន្ធ VAT</t>
        </is>
      </c>
      <c r="E1587" s="21" t="inlineStr">
        <is>
          <t>ពន្ធ VAT</t>
        </is>
      </c>
      <c r="F1587" s="10" t="n"/>
      <c r="G1587" s="10" t="inlineStr">
        <is>
          <t>ពន្ធ VAT</t>
        </is>
      </c>
      <c r="H1587" s="10" t="inlineStr">
        <is>
          <t>ពន្ធ VAT</t>
        </is>
      </c>
      <c r="I1587" s="10" t="n"/>
      <c r="J1587" s="10" t="n"/>
      <c r="K1587" s="10" t="inlineStr">
        <is>
          <t>"invoiceManagement.vat": "ពន្ធ VAT",</t>
        </is>
      </c>
      <c r="L1587" s="10" t="n"/>
      <c r="M1587" s="10" t="n"/>
      <c r="N1587" s="10" t="n"/>
      <c r="O1587" s="10" t="n"/>
      <c r="P1587" s="10" t="n"/>
      <c r="Q1587" s="10" t="n"/>
      <c r="R1587" s="10" t="n"/>
      <c r="S1587" s="10" t="n"/>
      <c r="T1587" s="10" t="n"/>
      <c r="U1587" s="10" t="n"/>
      <c r="V1587" s="10" t="n"/>
      <c r="W1587" s="10" t="n"/>
      <c r="X1587" s="10" t="n"/>
      <c r="Y1587" s="10" t="n"/>
      <c r="Z1587" s="10" t="n"/>
    </row>
    <row r="1588">
      <c r="A1588" s="27" t="inlineStr">
        <is>
          <t>invoiceManagement.afterTax</t>
        </is>
      </c>
      <c r="B1588" s="27" t="inlineStr">
        <is>
          <t>Tiền sau thuế</t>
        </is>
      </c>
      <c r="C1588" s="27" t="inlineStr">
        <is>
          <t>Service charges after tax</t>
        </is>
      </c>
      <c r="D1588" s="21" t="inlineStr">
        <is>
          <t>ប្រាក់ក្រោយពន្ធ</t>
        </is>
      </c>
      <c r="E1588" s="21" t="inlineStr">
        <is>
          <t>ប្រាក់ក្រោយពន្ធ</t>
        </is>
      </c>
      <c r="F1588" s="10" t="n"/>
      <c r="G1588" s="10" t="inlineStr">
        <is>
          <t>ប្រាក់ក្រោយពន្ធ</t>
        </is>
      </c>
      <c r="H1588" s="10" t="inlineStr">
        <is>
          <t>ប្រាក់ក្រោយពន្ធ</t>
        </is>
      </c>
      <c r="I1588" s="10" t="n"/>
      <c r="J1588" s="10" t="n"/>
      <c r="K1588" s="10" t="inlineStr">
        <is>
          <t>"invoiceManagement.afterTax": "ប្រាក់ក្រោយពន្ធ",</t>
        </is>
      </c>
      <c r="L1588" s="10" t="n"/>
      <c r="M1588" s="10" t="n"/>
      <c r="N1588" s="10" t="n"/>
      <c r="O1588" s="10" t="n"/>
      <c r="P1588" s="10" t="n"/>
      <c r="Q1588" s="10" t="n"/>
      <c r="R1588" s="10" t="n"/>
      <c r="S1588" s="10" t="n"/>
      <c r="T1588" s="10" t="n"/>
      <c r="U1588" s="10" t="n"/>
      <c r="V1588" s="10" t="n"/>
      <c r="W1588" s="10" t="n"/>
      <c r="X1588" s="10" t="n"/>
      <c r="Y1588" s="10" t="n"/>
      <c r="Z1588" s="10" t="n"/>
    </row>
    <row r="1589">
      <c r="A1589" s="27" t="inlineStr">
        <is>
          <t>invoiceManagement.discount</t>
        </is>
      </c>
      <c r="B1589" s="27" t="inlineStr">
        <is>
          <t>Giảm giá</t>
        </is>
      </c>
      <c r="C1589" s="27" t="inlineStr">
        <is>
          <t>Discount</t>
        </is>
      </c>
      <c r="D1589" s="21" t="inlineStr">
        <is>
          <t>បញ្ចុះតម្លៃ</t>
        </is>
      </c>
      <c r="E1589" s="21" t="inlineStr">
        <is>
          <t>បញ្ចុះតម្លៃ</t>
        </is>
      </c>
      <c r="F1589" s="10" t="n"/>
      <c r="G1589" s="10" t="inlineStr">
        <is>
          <t>បញ្ចុះតម្លៃ</t>
        </is>
      </c>
      <c r="H1589" s="10" t="inlineStr">
        <is>
          <t>បញ្ចុះតម្លៃ</t>
        </is>
      </c>
      <c r="I1589" s="10" t="n"/>
      <c r="J1589" s="10" t="n"/>
      <c r="K1589" s="10" t="inlineStr">
        <is>
          <t>"invoiceManagement.discount": "បញ្ចុះតម្លៃ",</t>
        </is>
      </c>
      <c r="L1589" s="10" t="n"/>
      <c r="M1589" s="10" t="n"/>
      <c r="N1589" s="10" t="n"/>
      <c r="O1589" s="10" t="n"/>
      <c r="P1589" s="10" t="n"/>
      <c r="Q1589" s="10" t="n"/>
      <c r="R1589" s="10" t="n"/>
      <c r="S1589" s="10" t="n"/>
      <c r="T1589" s="10" t="n"/>
      <c r="U1589" s="10" t="n"/>
      <c r="V1589" s="10" t="n"/>
      <c r="W1589" s="10" t="n"/>
      <c r="X1589" s="10" t="n"/>
      <c r="Y1589" s="10" t="n"/>
      <c r="Z1589" s="10" t="n"/>
    </row>
    <row r="1590">
      <c r="A1590" s="27" t="inlineStr">
        <is>
          <t>invoiceManagement.revenueAfterDiscount</t>
        </is>
      </c>
      <c r="B1590" s="27" t="inlineStr">
        <is>
          <t>Doanh thu sau giảm giá</t>
        </is>
      </c>
      <c r="C1590" s="27" t="inlineStr">
        <is>
          <t>Revenue after discounts</t>
        </is>
      </c>
      <c r="D1590" s="21" t="inlineStr">
        <is>
          <t>ប្រាក់ចំណូលក្រោយពីបានបញ្ចុះតម្លៃ</t>
        </is>
      </c>
      <c r="E1590" s="21" t="inlineStr">
        <is>
          <t>ប្រាក់ចំណូលក្រោយពីបានបញ្ចុះតម្លៃ</t>
        </is>
      </c>
      <c r="F1590" s="10" t="n"/>
      <c r="G1590" s="10" t="inlineStr">
        <is>
          <t>ប្រាក់ចំណូលក្រោយពីបានបញ្ចុះតម្លៃ</t>
        </is>
      </c>
      <c r="H1590" s="10" t="inlineStr">
        <is>
          <t>ប្រាក់ចំណូលក្រោយពីបានបញ្ចុះតម្លៃ</t>
        </is>
      </c>
      <c r="I1590" s="10" t="n"/>
      <c r="J1590" s="10" t="n"/>
      <c r="K1590" s="10" t="inlineStr">
        <is>
          <t>"invoiceManagement.revenueAfterDiscount": "ប្រាក់ចំណូលក្រោយពីបានបញ្ចុះតម្លៃ",</t>
        </is>
      </c>
      <c r="L1590" s="10" t="n"/>
      <c r="M1590" s="10" t="n"/>
      <c r="N1590" s="10" t="n"/>
      <c r="O1590" s="10" t="n"/>
      <c r="P1590" s="10" t="n"/>
      <c r="Q1590" s="10" t="n"/>
      <c r="R1590" s="10" t="n"/>
      <c r="S1590" s="10" t="n"/>
      <c r="T1590" s="10" t="n"/>
      <c r="U1590" s="10" t="n"/>
      <c r="V1590" s="10" t="n"/>
      <c r="W1590" s="10" t="n"/>
      <c r="X1590" s="10" t="n"/>
      <c r="Y1590" s="10" t="n"/>
      <c r="Z1590" s="10" t="n"/>
    </row>
    <row r="1591">
      <c r="A1591" s="27" t="inlineStr">
        <is>
          <t>invoiceManagement.syncStatus</t>
        </is>
      </c>
      <c r="B1591" s="27" t="inlineStr">
        <is>
          <t>Trạng thái đồng bộ</t>
        </is>
      </c>
      <c r="C1591" s="27" t="inlineStr">
        <is>
          <t>Sync status</t>
        </is>
      </c>
      <c r="D1591" s="102" t="n"/>
      <c r="E1591" s="102" t="inlineStr">
        <is>
          <t>ស្ថានភាពសមមូល</t>
        </is>
      </c>
      <c r="F1591" s="10" t="n"/>
      <c r="G1591" s="10" t="inlineStr">
        <is>
          <t>ស្ថានភាពសមមូល</t>
        </is>
      </c>
      <c r="H1591" s="10" t="inlineStr">
        <is>
          <t>ស្ថានភាពសមមូល</t>
        </is>
      </c>
      <c r="I1591" s="10" t="n"/>
      <c r="J1591" s="10" t="n"/>
      <c r="K1591" s="10" t="inlineStr">
        <is>
          <t>"invoiceManagement.syncStatus": "ស្ថានភាពសមមូល",</t>
        </is>
      </c>
      <c r="L1591" s="10" t="n"/>
      <c r="M1591" s="10" t="n"/>
      <c r="N1591" s="10" t="n"/>
      <c r="O1591" s="10" t="n"/>
      <c r="P1591" s="10" t="n"/>
      <c r="Q1591" s="10" t="n"/>
      <c r="R1591" s="10" t="n"/>
      <c r="S1591" s="10" t="n"/>
      <c r="T1591" s="10" t="n"/>
      <c r="U1591" s="10" t="n"/>
      <c r="V1591" s="10" t="n"/>
      <c r="W1591" s="10" t="n"/>
      <c r="X1591" s="10" t="n"/>
      <c r="Y1591" s="10" t="n"/>
      <c r="Z1591" s="10" t="n"/>
    </row>
    <row r="1592">
      <c r="A1592" s="27" t="inlineStr">
        <is>
          <t>invoiceManagement.handle</t>
        </is>
      </c>
      <c r="B1592" s="27" t="inlineStr">
        <is>
          <t>Thao tác</t>
        </is>
      </c>
      <c r="C1592" s="27" t="inlineStr">
        <is>
          <t>Actions</t>
        </is>
      </c>
      <c r="D1592" s="21" t="inlineStr">
        <is>
          <t>ប្រតិបត្តិការ</t>
        </is>
      </c>
      <c r="E1592" s="24" t="inlineStr">
        <is>
          <t>ប្រតិបត្តិការ</t>
        </is>
      </c>
      <c r="F1592" s="10" t="n"/>
      <c r="G1592" s="10" t="inlineStr">
        <is>
          <t>ប្រតិបត្តិការ</t>
        </is>
      </c>
      <c r="H1592" s="10" t="inlineStr">
        <is>
          <t>ប្រតិបត្តិការ</t>
        </is>
      </c>
      <c r="I1592" s="10" t="n"/>
      <c r="J1592" s="10" t="n"/>
      <c r="K1592" s="10" t="inlineStr">
        <is>
          <t>"invoiceManagement.handle": "ប្រតិបត្តិការ",</t>
        </is>
      </c>
      <c r="L1592" s="10" t="n"/>
      <c r="M1592" s="10" t="n"/>
      <c r="N1592" s="10" t="n"/>
      <c r="O1592" s="10" t="n"/>
      <c r="P1592" s="10" t="n"/>
      <c r="Q1592" s="10" t="n"/>
      <c r="R1592" s="10" t="n"/>
      <c r="S1592" s="10" t="n"/>
      <c r="T1592" s="10" t="n"/>
      <c r="U1592" s="10" t="n"/>
      <c r="V1592" s="10" t="n"/>
      <c r="W1592" s="10" t="n"/>
      <c r="X1592" s="10" t="n"/>
      <c r="Y1592" s="10" t="n"/>
      <c r="Z1592" s="10" t="n"/>
    </row>
    <row r="1593">
      <c r="A1593" s="27" t="inlineStr">
        <is>
          <t>invoiceManagement.companyCode</t>
        </is>
      </c>
      <c r="B1593" s="27" t="inlineStr">
        <is>
          <t>Company Code</t>
        </is>
      </c>
      <c r="C1593" s="27" t="inlineStr">
        <is>
          <t>Company code</t>
        </is>
      </c>
      <c r="D1593" s="21" t="inlineStr">
        <is>
          <t>លេខសម្គាល់ក្រុមហ៊ុន</t>
        </is>
      </c>
      <c r="E1593" s="24" t="inlineStr">
        <is>
          <t>លេខសម្គាល់ក្រុមហ៊ុន</t>
        </is>
      </c>
      <c r="F1593" s="10" t="n"/>
      <c r="G1593" s="10" t="inlineStr">
        <is>
          <t>លេខសម្គាល់ក្រុមហ៊ុន</t>
        </is>
      </c>
      <c r="H1593" s="10" t="inlineStr">
        <is>
          <t>លេខសម្គាល់ក្រុមហ៊ុន</t>
        </is>
      </c>
      <c r="I1593" s="10" t="n"/>
      <c r="J1593" s="10" t="n"/>
      <c r="K1593" s="10" t="inlineStr">
        <is>
          <t>"invoiceManagement.companyCode": "លេខសម្គាល់ក្រុមហ៊ុន",</t>
        </is>
      </c>
      <c r="L1593" s="10" t="n"/>
      <c r="M1593" s="10" t="n"/>
      <c r="N1593" s="10" t="n"/>
      <c r="O1593" s="10" t="n"/>
      <c r="P1593" s="10" t="n"/>
      <c r="Q1593" s="10" t="n"/>
      <c r="R1593" s="10" t="n"/>
      <c r="S1593" s="10" t="n"/>
      <c r="T1593" s="10" t="n"/>
      <c r="U1593" s="10" t="n"/>
      <c r="V1593" s="10" t="n"/>
      <c r="W1593" s="10" t="n"/>
      <c r="X1593" s="10" t="n"/>
      <c r="Y1593" s="10" t="n"/>
      <c r="Z1593" s="10" t="n"/>
    </row>
    <row r="1594">
      <c r="A1594" s="27" t="inlineStr">
        <is>
          <t>invoiceManagement.referencesId</t>
        </is>
      </c>
      <c r="B1594" s="27" t="inlineStr">
        <is>
          <t>Mã tham chiếu</t>
        </is>
      </c>
      <c r="C1594" s="27" t="inlineStr">
        <is>
          <t>Reference code</t>
        </is>
      </c>
      <c r="D1594" s="102" t="n"/>
      <c r="E1594" s="102" t="inlineStr">
        <is>
          <t>លេខយោង</t>
        </is>
      </c>
      <c r="F1594" s="10" t="n"/>
      <c r="G1594" s="10" t="inlineStr">
        <is>
          <t>លេខយោង</t>
        </is>
      </c>
      <c r="H1594" s="10" t="inlineStr">
        <is>
          <t>លេខយោង</t>
        </is>
      </c>
      <c r="I1594" s="10" t="n"/>
      <c r="J1594" s="10" t="n"/>
      <c r="K1594" s="10" t="inlineStr">
        <is>
          <t>"invoiceManagement.referencesId": "លេខយោង",</t>
        </is>
      </c>
      <c r="L1594" s="10" t="n"/>
      <c r="M1594" s="10" t="n"/>
      <c r="N1594" s="10" t="n"/>
      <c r="O1594" s="10" t="n"/>
      <c r="P1594" s="10" t="n"/>
      <c r="Q1594" s="10" t="n"/>
      <c r="R1594" s="10" t="n"/>
      <c r="S1594" s="10" t="n"/>
      <c r="T1594" s="10" t="n"/>
      <c r="U1594" s="10" t="n"/>
      <c r="V1594" s="10" t="n"/>
      <c r="W1594" s="10" t="n"/>
      <c r="X1594" s="10" t="n"/>
      <c r="Y1594" s="10" t="n"/>
      <c r="Z1594" s="10" t="n"/>
    </row>
    <row r="1595">
      <c r="A1595" s="27" t="inlineStr">
        <is>
          <t>invoiceManagement.statementId</t>
        </is>
      </c>
      <c r="B1595" s="27" t="inlineStr">
        <is>
          <t>Mã bảng kê</t>
        </is>
      </c>
      <c r="C1595" s="27" t="inlineStr">
        <is>
          <t>Billing list ID</t>
        </is>
      </c>
      <c r="D1595" s="102" t="n"/>
      <c r="E1595" s="102" t="inlineStr">
        <is>
          <t>លេខកូដតារាង</t>
        </is>
      </c>
      <c r="F1595" s="10" t="n"/>
      <c r="G1595" s="10" t="inlineStr">
        <is>
          <t>លេខកូដតារាង</t>
        </is>
      </c>
      <c r="H1595" s="10" t="inlineStr">
        <is>
          <t>លេខកូដតារាង</t>
        </is>
      </c>
      <c r="I1595" s="10" t="n"/>
      <c r="J1595" s="10" t="n"/>
      <c r="K1595" s="10" t="inlineStr">
        <is>
          <t>"invoiceManagement.statementId": "លេខកូដតារាង",</t>
        </is>
      </c>
      <c r="L1595" s="10" t="n"/>
      <c r="M1595" s="10" t="n"/>
      <c r="N1595" s="10" t="n"/>
      <c r="O1595" s="10" t="n"/>
      <c r="P1595" s="10" t="n"/>
      <c r="Q1595" s="10" t="n"/>
      <c r="R1595" s="10" t="n"/>
      <c r="S1595" s="10" t="n"/>
      <c r="T1595" s="10" t="n"/>
      <c r="U1595" s="10" t="n"/>
      <c r="V1595" s="10" t="n"/>
      <c r="W1595" s="10" t="n"/>
      <c r="X1595" s="10" t="n"/>
      <c r="Y1595" s="10" t="n"/>
      <c r="Z1595" s="10" t="n"/>
    </row>
    <row r="1596">
      <c r="A1596" s="27" t="inlineStr">
        <is>
          <t>invoiceManagement.createStatementXHD</t>
        </is>
      </c>
      <c r="B1596" s="27" t="inlineStr">
        <is>
          <t>Tạo bảng kê XHĐ</t>
        </is>
      </c>
      <c r="C1596" s="27" t="inlineStr">
        <is>
          <t>Create an invoice issuance list</t>
        </is>
      </c>
      <c r="D1596" s="102" t="n"/>
      <c r="E1596" s="102" t="inlineStr">
        <is>
          <t>បង្កើតតារាងចេញវិក័យប័ត្រ</t>
        </is>
      </c>
      <c r="F1596" s="10" t="n"/>
      <c r="G1596" s="10" t="inlineStr">
        <is>
          <t>បង្កើតតារាងចេញវិក័យប័ត្រ</t>
        </is>
      </c>
      <c r="H1596" s="10" t="inlineStr">
        <is>
          <t>បង្កើតតារាងចេញវិក័យប័ត្រ</t>
        </is>
      </c>
      <c r="I1596" s="10" t="n"/>
      <c r="J1596" s="10" t="n"/>
      <c r="K1596" s="10" t="inlineStr">
        <is>
          <t>"invoiceManagement.createStatementXHD": "បង្កើតតារាងចេញវិក័យប័ត្រ",</t>
        </is>
      </c>
      <c r="L1596" s="10" t="n"/>
      <c r="M1596" s="10" t="n"/>
      <c r="N1596" s="10" t="n"/>
      <c r="O1596" s="10" t="n"/>
      <c r="P1596" s="10" t="n"/>
      <c r="Q1596" s="10" t="n"/>
      <c r="R1596" s="10" t="n"/>
      <c r="S1596" s="10" t="n"/>
      <c r="T1596" s="10" t="n"/>
      <c r="U1596" s="10" t="n"/>
      <c r="V1596" s="10" t="n"/>
      <c r="W1596" s="10" t="n"/>
      <c r="X1596" s="10" t="n"/>
      <c r="Y1596" s="10" t="n"/>
      <c r="Z1596" s="10" t="n"/>
    </row>
    <row r="1597">
      <c r="A1597" s="27" t="inlineStr">
        <is>
          <t>invoiceManagement.statusXHD</t>
        </is>
      </c>
      <c r="B1597" s="27" t="inlineStr">
        <is>
          <t>Trạng thái XHĐ</t>
        </is>
      </c>
      <c r="C1597" s="27" t="inlineStr">
        <is>
          <t>Invoice issuance status</t>
        </is>
      </c>
      <c r="D1597" s="102" t="n"/>
      <c r="E1597" s="102" t="inlineStr">
        <is>
          <t>ស្ថានភាពចេញវិក័យប័ត្រ</t>
        </is>
      </c>
      <c r="F1597" s="10" t="n"/>
      <c r="G1597" s="10" t="inlineStr">
        <is>
          <t>ស្ថានភាពចេញវិក័យប័ត្រ</t>
        </is>
      </c>
      <c r="H1597" s="10" t="inlineStr">
        <is>
          <t>ស្ថានភាពចេញវិក័យប័ត្រ</t>
        </is>
      </c>
      <c r="I1597" s="10" t="n"/>
      <c r="J1597" s="10" t="n"/>
      <c r="K1597" s="10" t="inlineStr">
        <is>
          <t>"invoiceManagement.statusXHD": "ស្ថានភាពចេញវិក័យប័ត្រ",</t>
        </is>
      </c>
      <c r="L1597" s="10" t="n"/>
      <c r="M1597" s="10" t="n"/>
      <c r="N1597" s="10" t="n"/>
      <c r="O1597" s="10" t="n"/>
      <c r="P1597" s="10" t="n"/>
      <c r="Q1597" s="10" t="n"/>
      <c r="R1597" s="10" t="n"/>
      <c r="S1597" s="10" t="n"/>
      <c r="T1597" s="10" t="n"/>
      <c r="U1597" s="10" t="n"/>
      <c r="V1597" s="10" t="n"/>
      <c r="W1597" s="10" t="n"/>
      <c r="X1597" s="10" t="n"/>
      <c r="Y1597" s="10" t="n"/>
      <c r="Z1597" s="10" t="n"/>
    </row>
    <row r="1598">
      <c r="A1598" s="27" t="inlineStr">
        <is>
          <t>invoiceManagement.statusStatementXHD</t>
        </is>
      </c>
      <c r="B1598" s="27" t="inlineStr">
        <is>
          <t>Trạng thái bảng kê XHĐ</t>
        </is>
      </c>
      <c r="C1598" s="27" t="inlineStr">
        <is>
          <t>Invoice issuance list status</t>
        </is>
      </c>
      <c r="D1598" s="21" t="inlineStr">
        <is>
          <t>ស្ថានភាពតារាង</t>
        </is>
      </c>
      <c r="E1598" s="102" t="inlineStr">
        <is>
          <t>ស្ថានភាពតារាងចេញវិក័យប័ត្រ</t>
        </is>
      </c>
      <c r="F1598" s="10" t="n"/>
      <c r="G1598" s="10" t="inlineStr">
        <is>
          <t>ស្ថានភាពតារាងចេញវិក័យប័ត្រ</t>
        </is>
      </c>
      <c r="H1598" s="10" t="inlineStr">
        <is>
          <t>ស្ថានភាពតារាងចេញវិក័យប័ត្រ</t>
        </is>
      </c>
      <c r="I1598" s="10" t="n"/>
      <c r="J1598" s="10" t="n"/>
      <c r="K1598" s="10" t="inlineStr">
        <is>
          <t>"invoiceManagement.statusStatementXHD": "ស្ថានភាពតារាងចេញវិក័យប័ត្រ",</t>
        </is>
      </c>
      <c r="L1598" s="10" t="n"/>
      <c r="M1598" s="10" t="n"/>
      <c r="N1598" s="10" t="n"/>
      <c r="O1598" s="10" t="n"/>
      <c r="P1598" s="10" t="n"/>
      <c r="Q1598" s="10" t="n"/>
      <c r="R1598" s="10" t="n"/>
      <c r="S1598" s="10" t="n"/>
      <c r="T1598" s="10" t="n"/>
      <c r="U1598" s="10" t="n"/>
      <c r="V1598" s="10" t="n"/>
      <c r="W1598" s="10" t="n"/>
      <c r="X1598" s="10" t="n"/>
      <c r="Y1598" s="10" t="n"/>
      <c r="Z1598" s="10" t="n"/>
    </row>
    <row r="1599">
      <c r="A1599" s="27" t="inlineStr">
        <is>
          <t>invoiceManagement.createStatementXHDModal</t>
        </is>
      </c>
      <c r="B1599" s="27" t="inlineStr">
        <is>
          <t>Cấu hình bảng kê xuất hoá đơn</t>
        </is>
      </c>
      <c r="C1599" s="27" t="inlineStr">
        <is>
          <t>Create an invoice issuance list</t>
        </is>
      </c>
      <c r="D1599" s="102" t="n"/>
      <c r="E1599" s="102" t="inlineStr">
        <is>
          <t>រចនាសម្ព័ន្ធតារាងចេញវិក័យប័ត្រ</t>
        </is>
      </c>
      <c r="F1599" s="10" t="n"/>
      <c r="G1599" s="10" t="inlineStr">
        <is>
          <t>រចនាសម្ព័ន្ធតារាងចេញវិក័យប័ត្រ</t>
        </is>
      </c>
      <c r="H1599" s="10" t="inlineStr">
        <is>
          <t>រចនាសម្ព័ន្ធតារាងចេញវិក័យប័ត្រ</t>
        </is>
      </c>
      <c r="I1599" s="10" t="n"/>
      <c r="J1599" s="10" t="n"/>
      <c r="K1599" s="10" t="inlineStr">
        <is>
          <t>"invoiceManagement.createStatementXHDModal": "រចនាសម្ព័ន្ធតារាងចេញវិក័យប័ត្រ",</t>
        </is>
      </c>
      <c r="L1599" s="10" t="n"/>
      <c r="M1599" s="10" t="n"/>
      <c r="N1599" s="10" t="n"/>
      <c r="O1599" s="10" t="n"/>
      <c r="P1599" s="10" t="n"/>
      <c r="Q1599" s="10" t="n"/>
      <c r="R1599" s="10" t="n"/>
      <c r="S1599" s="10" t="n"/>
      <c r="T1599" s="10" t="n"/>
      <c r="U1599" s="10" t="n"/>
      <c r="V1599" s="10" t="n"/>
      <c r="W1599" s="10" t="n"/>
      <c r="X1599" s="10" t="n"/>
      <c r="Y1599" s="10" t="n"/>
      <c r="Z1599" s="10" t="n"/>
    </row>
    <row r="1600">
      <c r="A1600" s="27" t="inlineStr">
        <is>
          <t>invoiceManagement.editStatementXHDModal</t>
        </is>
      </c>
      <c r="B1600" s="27" t="inlineStr">
        <is>
          <t>Chỉnh sửa cấu hình bảng kê xuất hoá đơn</t>
        </is>
      </c>
      <c r="C1600" s="27" t="inlineStr">
        <is>
          <t>Adjust invoice issuance list</t>
        </is>
      </c>
      <c r="D1600" s="102" t="n"/>
      <c r="E1600" s="102" t="inlineStr">
        <is>
          <t>កែសម្រួលរចនាសម្ព័ន្ធតារាងការដាក់ចេញវិក្កយបត្រ</t>
        </is>
      </c>
      <c r="F1600" s="10" t="n"/>
      <c r="G1600" s="10" t="inlineStr">
        <is>
          <t>កែសម្រួលរចនាសម្ព័ន្ធតារាងការដាក់ចេញវិក្កយបត្រ</t>
        </is>
      </c>
      <c r="H1600" s="10" t="inlineStr">
        <is>
          <t>កែសម្រួលរចនាសម្ព័ន្ធតារាងការដាក់ចេញវិក្កយបត្រ</t>
        </is>
      </c>
      <c r="I1600" s="10" t="n"/>
      <c r="J1600" s="10" t="n"/>
      <c r="K1600" s="10" t="inlineStr">
        <is>
          <t>"invoiceManagement.editStatementXHDModal": "កែសម្រួលរចនាសម្ព័ន្ធតារាងការដាក់ចេញវិក្កយបត្រ",</t>
        </is>
      </c>
      <c r="L1600" s="10" t="n"/>
      <c r="M1600" s="10" t="n"/>
      <c r="N1600" s="10" t="n"/>
      <c r="O1600" s="10" t="n"/>
      <c r="P1600" s="10" t="n"/>
      <c r="Q1600" s="10" t="n"/>
      <c r="R1600" s="10" t="n"/>
      <c r="S1600" s="10" t="n"/>
      <c r="T1600" s="10" t="n"/>
      <c r="U1600" s="10" t="n"/>
      <c r="V1600" s="10" t="n"/>
      <c r="W1600" s="10" t="n"/>
      <c r="X1600" s="10" t="n"/>
      <c r="Y1600" s="10" t="n"/>
      <c r="Z1600" s="10" t="n"/>
    </row>
    <row r="1601">
      <c r="A1601" s="27" t="inlineStr">
        <is>
          <t>invoiceManagement.cancel</t>
        </is>
      </c>
      <c r="B1601" s="27" t="inlineStr">
        <is>
          <t>Huỷ</t>
        </is>
      </c>
      <c r="C1601" s="27" t="inlineStr">
        <is>
          <t>Cancel</t>
        </is>
      </c>
      <c r="D1601" s="21" t="inlineStr">
        <is>
          <t>លុបចោល</t>
        </is>
      </c>
      <c r="E1601" s="102" t="inlineStr">
        <is>
          <t>លុុបចោល</t>
        </is>
      </c>
      <c r="F1601" s="10" t="n"/>
      <c r="G1601" s="10" t="inlineStr">
        <is>
          <t>លុុបចោល</t>
        </is>
      </c>
      <c r="H1601" s="10" t="inlineStr">
        <is>
          <t>លុុបចោល</t>
        </is>
      </c>
      <c r="I1601" s="10" t="n"/>
      <c r="J1601" s="10" t="n"/>
      <c r="K1601" s="10" t="inlineStr">
        <is>
          <t>"invoiceManagement.cancel": "លុុបចោល",</t>
        </is>
      </c>
      <c r="L1601" s="10" t="n"/>
      <c r="M1601" s="10" t="n"/>
      <c r="N1601" s="10" t="n"/>
      <c r="O1601" s="10" t="n"/>
      <c r="P1601" s="10" t="n"/>
      <c r="Q1601" s="10" t="n"/>
      <c r="R1601" s="10" t="n"/>
      <c r="S1601" s="10" t="n"/>
      <c r="T1601" s="10" t="n"/>
      <c r="U1601" s="10" t="n"/>
      <c r="V1601" s="10" t="n"/>
      <c r="W1601" s="10" t="n"/>
      <c r="X1601" s="10" t="n"/>
      <c r="Y1601" s="10" t="n"/>
      <c r="Z1601" s="10" t="n"/>
    </row>
    <row r="1602">
      <c r="A1602" s="27" t="inlineStr">
        <is>
          <t>invoiceManagement.confirm</t>
        </is>
      </c>
      <c r="B1602" s="27" t="inlineStr">
        <is>
          <t>Xác nhận</t>
        </is>
      </c>
      <c r="C1602" s="27" t="inlineStr">
        <is>
          <t>Confirm</t>
        </is>
      </c>
      <c r="D1602" s="21" t="inlineStr">
        <is>
          <t>កំណត់</t>
        </is>
      </c>
      <c r="E1602" s="102" t="inlineStr">
        <is>
          <t>បញ្ជាក់</t>
        </is>
      </c>
      <c r="F1602" s="10" t="n"/>
      <c r="G1602" s="10" t="inlineStr">
        <is>
          <t>បញ្ជាក់</t>
        </is>
      </c>
      <c r="H1602" s="10" t="inlineStr">
        <is>
          <t>បញ្ជាក់</t>
        </is>
      </c>
      <c r="I1602" s="10" t="n"/>
      <c r="J1602" s="10" t="n"/>
      <c r="K1602" s="10" t="inlineStr">
        <is>
          <t>"invoiceManagement.confirm": "បញ្ជាក់",</t>
        </is>
      </c>
      <c r="L1602" s="10" t="n"/>
      <c r="M1602" s="10" t="n"/>
      <c r="N1602" s="10" t="n"/>
      <c r="O1602" s="10" t="n"/>
      <c r="P1602" s="10" t="n"/>
      <c r="Q1602" s="10" t="n"/>
      <c r="R1602" s="10" t="n"/>
      <c r="S1602" s="10" t="n"/>
      <c r="T1602" s="10" t="n"/>
      <c r="U1602" s="10" t="n"/>
      <c r="V1602" s="10" t="n"/>
      <c r="W1602" s="10" t="n"/>
      <c r="X1602" s="10" t="n"/>
      <c r="Y1602" s="10" t="n"/>
      <c r="Z1602" s="10" t="n"/>
    </row>
    <row r="1603">
      <c r="A1603" s="27" t="inlineStr">
        <is>
          <t>invoiceManagement.field</t>
        </is>
      </c>
      <c r="B1603" s="27" t="inlineStr">
        <is>
          <t>Lĩnh vực</t>
        </is>
      </c>
      <c r="C1603" s="27" t="inlineStr">
        <is>
          <t>Segment</t>
        </is>
      </c>
      <c r="D1603" s="21" t="inlineStr">
        <is>
          <t>វិស័យ</t>
        </is>
      </c>
      <c r="E1603" s="102" t="inlineStr">
        <is>
          <t>វិស័យ</t>
        </is>
      </c>
      <c r="F1603" s="10" t="n"/>
      <c r="G1603" s="10" t="inlineStr">
        <is>
          <t>វិស័យ</t>
        </is>
      </c>
      <c r="H1603" s="10" t="inlineStr">
        <is>
          <t>វិស័យ</t>
        </is>
      </c>
      <c r="I1603" s="10" t="n"/>
      <c r="J1603" s="10" t="n"/>
      <c r="K1603" s="10" t="inlineStr">
        <is>
          <t>"invoiceManagement.field": "វិស័យ",</t>
        </is>
      </c>
      <c r="L1603" s="10" t="n"/>
      <c r="M1603" s="10" t="n"/>
      <c r="N1603" s="10" t="n"/>
      <c r="O1603" s="10" t="n"/>
      <c r="P1603" s="10" t="n"/>
      <c r="Q1603" s="10" t="n"/>
      <c r="R1603" s="10" t="n"/>
      <c r="S1603" s="10" t="n"/>
      <c r="T1603" s="10" t="n"/>
      <c r="U1603" s="10" t="n"/>
      <c r="V1603" s="10" t="n"/>
      <c r="W1603" s="10" t="n"/>
      <c r="X1603" s="10" t="n"/>
      <c r="Y1603" s="10" t="n"/>
      <c r="Z1603" s="10" t="n"/>
    </row>
    <row r="1604">
      <c r="A1604" s="27" t="inlineStr">
        <is>
          <t>invoiceManagement.startDate</t>
        </is>
      </c>
      <c r="B1604" s="27" t="inlineStr">
        <is>
          <t>Ngày bắt đầu</t>
        </is>
      </c>
      <c r="C1604" s="27" t="inlineStr">
        <is>
          <t>Start date</t>
        </is>
      </c>
      <c r="D1604" s="21" t="inlineStr">
        <is>
          <t>ថ្ងៃចាប់ផ្តើម</t>
        </is>
      </c>
      <c r="E1604" s="102" t="inlineStr">
        <is>
          <t>ថ្ងៃចាប់ផ្តើម</t>
        </is>
      </c>
      <c r="F1604" s="10" t="n"/>
      <c r="G1604" s="10" t="inlineStr">
        <is>
          <t>ថ្ងៃចាប់ផ្តើម</t>
        </is>
      </c>
      <c r="H1604" s="10" t="inlineStr">
        <is>
          <t>ថ្ងៃចាប់ផ្តើម</t>
        </is>
      </c>
      <c r="I1604" s="10" t="n"/>
      <c r="J1604" s="10" t="n"/>
      <c r="K1604" s="10" t="inlineStr">
        <is>
          <t>"invoiceManagement.startDate": "ថ្ងៃចាប់ផ្តើម",</t>
        </is>
      </c>
      <c r="L1604" s="10" t="n"/>
      <c r="M1604" s="10" t="n"/>
      <c r="N1604" s="10" t="n"/>
      <c r="O1604" s="10" t="n"/>
      <c r="P1604" s="10" t="n"/>
      <c r="Q1604" s="10" t="n"/>
      <c r="R1604" s="10" t="n"/>
      <c r="S1604" s="10" t="n"/>
      <c r="T1604" s="10" t="n"/>
      <c r="U1604" s="10" t="n"/>
      <c r="V1604" s="10" t="n"/>
      <c r="W1604" s="10" t="n"/>
      <c r="X1604" s="10" t="n"/>
      <c r="Y1604" s="10" t="n"/>
      <c r="Z1604" s="10" t="n"/>
    </row>
    <row r="1605">
      <c r="A1605" s="27" t="inlineStr">
        <is>
          <t>invoiceManagement.endDate</t>
        </is>
      </c>
      <c r="B1605" s="27" t="inlineStr">
        <is>
          <t>Ngày kết thúc</t>
        </is>
      </c>
      <c r="C1605" s="27" t="inlineStr">
        <is>
          <t>End date</t>
        </is>
      </c>
      <c r="D1605" s="21" t="inlineStr">
        <is>
          <t>ថ្ងៃបញ្ចប់</t>
        </is>
      </c>
      <c r="E1605" s="102" t="inlineStr">
        <is>
          <t>ថ្ងៃបញ្ចប់</t>
        </is>
      </c>
      <c r="F1605" s="10" t="n"/>
      <c r="G1605" s="10" t="inlineStr">
        <is>
          <t>ថ្ងៃបញ្ចប់</t>
        </is>
      </c>
      <c r="H1605" s="10" t="inlineStr">
        <is>
          <t>ថ្ងៃបញ្ចប់</t>
        </is>
      </c>
      <c r="I1605" s="10" t="n"/>
      <c r="J1605" s="10" t="n"/>
      <c r="K1605" s="10" t="inlineStr">
        <is>
          <t>"invoiceManagement.endDate": "ថ្ងៃបញ្ចប់",</t>
        </is>
      </c>
      <c r="L1605" s="10" t="n"/>
      <c r="M1605" s="10" t="n"/>
      <c r="N1605" s="10" t="n"/>
      <c r="O1605" s="10" t="n"/>
      <c r="P1605" s="10" t="n"/>
      <c r="Q1605" s="10" t="n"/>
      <c r="R1605" s="10" t="n"/>
      <c r="S1605" s="10" t="n"/>
      <c r="T1605" s="10" t="n"/>
      <c r="U1605" s="10" t="n"/>
      <c r="V1605" s="10" t="n"/>
      <c r="W1605" s="10" t="n"/>
      <c r="X1605" s="10" t="n"/>
      <c r="Y1605" s="10" t="n"/>
      <c r="Z1605" s="10" t="n"/>
    </row>
    <row r="1606">
      <c r="A1606" s="119" t="inlineStr">
        <is>
          <t>invoiceManagement.cusiId</t>
        </is>
      </c>
      <c r="B1606" s="119" t="inlineStr">
        <is>
          <t>CusiId</t>
        </is>
      </c>
      <c r="C1606" s="119" t="inlineStr">
        <is>
          <t>CusID</t>
        </is>
      </c>
      <c r="D1606" s="120" t="n"/>
      <c r="E1606" s="120" t="n"/>
      <c r="F1606" s="120" t="n"/>
      <c r="G1606" s="120" t="inlineStr">
        <is>
          <t>CusiId</t>
        </is>
      </c>
      <c r="H1606" s="120" t="inlineStr">
        <is>
          <t>CusiId</t>
        </is>
      </c>
      <c r="I1606" s="120" t="n"/>
      <c r="J1606" s="120" t="n"/>
      <c r="K1606" s="120" t="inlineStr">
        <is>
          <t>"invoiceManagement.cusiId": "CusiId",</t>
        </is>
      </c>
      <c r="L1606" s="120" t="n"/>
      <c r="M1606" s="120" t="n"/>
      <c r="N1606" s="120" t="n"/>
      <c r="O1606" s="120" t="n"/>
      <c r="P1606" s="120" t="n"/>
      <c r="Q1606" s="120" t="n"/>
      <c r="R1606" s="120" t="n"/>
      <c r="S1606" s="120" t="n"/>
      <c r="T1606" s="120" t="n"/>
      <c r="U1606" s="120" t="n"/>
      <c r="V1606" s="120" t="n"/>
      <c r="W1606" s="120" t="n"/>
      <c r="X1606" s="120" t="n"/>
      <c r="Y1606" s="120" t="n"/>
      <c r="Z1606" s="120" t="n"/>
    </row>
    <row r="1607">
      <c r="A1607" s="27" t="inlineStr">
        <is>
          <t>invoiceManagement.phoneNumber</t>
        </is>
      </c>
      <c r="B1607" s="27" t="inlineStr">
        <is>
          <t>SĐT</t>
        </is>
      </c>
      <c r="C1607" s="27" t="inlineStr">
        <is>
          <t>Phone number</t>
        </is>
      </c>
      <c r="D1607" s="21" t="inlineStr">
        <is>
          <t>លេខទូរស័ព្ទ</t>
        </is>
      </c>
      <c r="E1607" s="102" t="inlineStr">
        <is>
          <t>លេខទូរស័ព្ទ</t>
        </is>
      </c>
      <c r="F1607" s="10" t="n"/>
      <c r="G1607" s="10" t="inlineStr">
        <is>
          <t>លេខទូរស័ព្ទ</t>
        </is>
      </c>
      <c r="H1607" s="10" t="inlineStr">
        <is>
          <t>លេខទូរស័ព្ទ</t>
        </is>
      </c>
      <c r="I1607" s="10" t="n"/>
      <c r="J1607" s="10" t="n"/>
      <c r="K1607" s="10" t="inlineStr">
        <is>
          <t>"invoiceManagement.phoneNumber": "លេខទូរស័ព្ទ",</t>
        </is>
      </c>
      <c r="L1607" s="10" t="n"/>
      <c r="M1607" s="10" t="n"/>
      <c r="N1607" s="10" t="n"/>
      <c r="O1607" s="10" t="n"/>
      <c r="P1607" s="10" t="n"/>
      <c r="Q1607" s="10" t="n"/>
      <c r="R1607" s="10" t="n"/>
      <c r="S1607" s="10" t="n"/>
      <c r="T1607" s="10" t="n"/>
      <c r="U1607" s="10" t="n"/>
      <c r="V1607" s="10" t="n"/>
      <c r="W1607" s="10" t="n"/>
      <c r="X1607" s="10" t="n"/>
      <c r="Y1607" s="10" t="n"/>
      <c r="Z1607" s="10" t="n"/>
    </row>
    <row r="1608">
      <c r="A1608" s="27" t="inlineStr">
        <is>
          <t>invoiceManagement.email</t>
        </is>
      </c>
      <c r="B1608" s="27" t="inlineStr">
        <is>
          <t>Email</t>
        </is>
      </c>
      <c r="C1608" s="27" t="inlineStr">
        <is>
          <t>Email</t>
        </is>
      </c>
      <c r="D1608" s="21" t="inlineStr">
        <is>
          <t>អ៊ីម៉ែល</t>
        </is>
      </c>
      <c r="E1608" s="21" t="inlineStr">
        <is>
          <t>អ៊ីម៉ែល</t>
        </is>
      </c>
      <c r="F1608" s="10" t="n"/>
      <c r="G1608" s="10" t="inlineStr">
        <is>
          <t>អ៊ីម៉ែល</t>
        </is>
      </c>
      <c r="H1608" s="10" t="inlineStr">
        <is>
          <t>អ៊ីម៉ែល</t>
        </is>
      </c>
      <c r="I1608" s="10" t="n"/>
      <c r="J1608" s="10" t="n"/>
      <c r="K1608" s="10" t="inlineStr">
        <is>
          <t>"invoiceManagement.email": "អ៊ីម៉ែល",</t>
        </is>
      </c>
      <c r="L1608" s="10" t="n"/>
      <c r="M1608" s="10" t="n"/>
      <c r="N1608" s="10" t="n"/>
      <c r="O1608" s="10" t="n"/>
      <c r="P1608" s="10" t="n"/>
      <c r="Q1608" s="10" t="n"/>
      <c r="R1608" s="10" t="n"/>
      <c r="S1608" s="10" t="n"/>
      <c r="T1608" s="10" t="n"/>
      <c r="U1608" s="10" t="n"/>
      <c r="V1608" s="10" t="n"/>
      <c r="W1608" s="10" t="n"/>
      <c r="X1608" s="10" t="n"/>
      <c r="Y1608" s="10" t="n"/>
      <c r="Z1608" s="10" t="n"/>
    </row>
    <row r="1609">
      <c r="A1609" s="27" t="inlineStr">
        <is>
          <t>invoiceManagement.taxCode</t>
        </is>
      </c>
      <c r="B1609" s="27" t="inlineStr">
        <is>
          <t>MST</t>
        </is>
      </c>
      <c r="C1609" s="27" t="inlineStr">
        <is>
          <t>Tax code</t>
        </is>
      </c>
      <c r="D1609" s="102" t="n"/>
      <c r="E1609" s="102" t="inlineStr">
        <is>
          <t>លេខកូដពន្ធ</t>
        </is>
      </c>
      <c r="F1609" s="10" t="n"/>
      <c r="G1609" s="10" t="inlineStr">
        <is>
          <t>លេខកូដពន្ធ</t>
        </is>
      </c>
      <c r="H1609" s="10" t="inlineStr">
        <is>
          <t>លេខកូដពន្ធ</t>
        </is>
      </c>
      <c r="I1609" s="10" t="n"/>
      <c r="J1609" s="10" t="n"/>
      <c r="K1609" s="10" t="inlineStr">
        <is>
          <t>"invoiceManagement.taxCode": "លេខកូដពន្ធ",</t>
        </is>
      </c>
      <c r="L1609" s="10" t="n"/>
      <c r="M1609" s="10" t="n"/>
      <c r="N1609" s="10" t="n"/>
      <c r="O1609" s="10" t="n"/>
      <c r="P1609" s="10" t="n"/>
      <c r="Q1609" s="10" t="n"/>
      <c r="R1609" s="10" t="n"/>
      <c r="S1609" s="10" t="n"/>
      <c r="T1609" s="10" t="n"/>
      <c r="U1609" s="10" t="n"/>
      <c r="V1609" s="10" t="n"/>
      <c r="W1609" s="10" t="n"/>
      <c r="X1609" s="10" t="n"/>
      <c r="Y1609" s="10" t="n"/>
      <c r="Z1609" s="10" t="n"/>
    </row>
    <row r="1610">
      <c r="A1610" s="27" t="inlineStr">
        <is>
          <t>invoiceManagement.updatedAt</t>
        </is>
      </c>
      <c r="B1610" s="27" t="inlineStr">
        <is>
          <t>Ngày cập nhật</t>
        </is>
      </c>
      <c r="C1610" s="27" t="inlineStr">
        <is>
          <t>Updated on</t>
        </is>
      </c>
      <c r="D1610" s="21" t="inlineStr">
        <is>
          <t>ថ្ងៃអាប់ដេត</t>
        </is>
      </c>
      <c r="E1610" s="21" t="inlineStr">
        <is>
          <t>ថ្ងៃអាប់ដេត</t>
        </is>
      </c>
      <c r="F1610" s="10" t="n"/>
      <c r="G1610" s="10" t="inlineStr">
        <is>
          <t>ថ្ងៃអាប់ដេត</t>
        </is>
      </c>
      <c r="H1610" s="10" t="inlineStr">
        <is>
          <t>ថ្ងៃអាប់ដេត</t>
        </is>
      </c>
      <c r="I1610" s="10" t="n"/>
      <c r="J1610" s="10" t="n"/>
      <c r="K1610" s="10" t="inlineStr">
        <is>
          <t>"invoiceManagement.updatedAt": "ថ្ងៃអាប់ដេត",</t>
        </is>
      </c>
      <c r="L1610" s="10" t="n"/>
      <c r="M1610" s="10" t="n"/>
      <c r="N1610" s="10" t="n"/>
      <c r="O1610" s="10" t="n"/>
      <c r="P1610" s="10" t="n"/>
      <c r="Q1610" s="10" t="n"/>
      <c r="R1610" s="10" t="n"/>
      <c r="S1610" s="10" t="n"/>
      <c r="T1610" s="10" t="n"/>
      <c r="U1610" s="10" t="n"/>
      <c r="V1610" s="10" t="n"/>
      <c r="W1610" s="10" t="n"/>
      <c r="X1610" s="10" t="n"/>
      <c r="Y1610" s="10" t="n"/>
      <c r="Z1610" s="10" t="n"/>
    </row>
    <row r="1611">
      <c r="A1611" s="27" t="inlineStr">
        <is>
          <t>invoiceManagement.createAt</t>
        </is>
      </c>
      <c r="B1611" s="27" t="inlineStr">
        <is>
          <t>Ngày tạo</t>
        </is>
      </c>
      <c r="C1611" s="27" t="inlineStr">
        <is>
          <t>Created on</t>
        </is>
      </c>
      <c r="D1611" s="21" t="inlineStr">
        <is>
          <t>ថ្ងៃបង្កើត</t>
        </is>
      </c>
      <c r="E1611" s="21" t="inlineStr">
        <is>
          <t>ថ្ងៃបង្កើត</t>
        </is>
      </c>
      <c r="F1611" s="10" t="n"/>
      <c r="G1611" s="10" t="inlineStr">
        <is>
          <t>កាលបរិច្ឆេទបង្កើត</t>
        </is>
      </c>
      <c r="H1611" s="10" t="inlineStr">
        <is>
          <t>កាលបរិច្ឆេទបង្កើត</t>
        </is>
      </c>
      <c r="I1611" s="10" t="n"/>
      <c r="J1611" s="10" t="n"/>
      <c r="K1611" s="10" t="inlineStr">
        <is>
          <t>"invoiceManagement.createAt": "កាលបរិច្ឆេទបង្កើត",</t>
        </is>
      </c>
      <c r="L1611" s="10" t="n"/>
      <c r="M1611" s="10" t="n"/>
      <c r="N1611" s="10" t="n"/>
      <c r="O1611" s="10" t="n"/>
      <c r="P1611" s="10" t="n"/>
      <c r="Q1611" s="10" t="n"/>
      <c r="R1611" s="10" t="n"/>
      <c r="S1611" s="10" t="n"/>
      <c r="T1611" s="10" t="n"/>
      <c r="U1611" s="10" t="n"/>
      <c r="V1611" s="10" t="n"/>
      <c r="W1611" s="10" t="n"/>
      <c r="X1611" s="10" t="n"/>
      <c r="Y1611" s="10" t="n"/>
      <c r="Z1611" s="10" t="n"/>
    </row>
    <row r="1612">
      <c r="A1612" s="27" t="inlineStr">
        <is>
          <t>invoiceManagement.createdBy</t>
        </is>
      </c>
      <c r="B1612" s="27" t="inlineStr">
        <is>
          <t>Người tạo</t>
        </is>
      </c>
      <c r="C1612" s="27" t="inlineStr">
        <is>
          <t>Created by</t>
        </is>
      </c>
      <c r="D1612" s="21" t="inlineStr">
        <is>
          <t>អ្នកបង្កើត</t>
        </is>
      </c>
      <c r="E1612" s="21" t="inlineStr">
        <is>
          <t>អ្នកបង្កើត</t>
        </is>
      </c>
      <c r="F1612" s="10" t="n"/>
      <c r="G1612" s="10" t="inlineStr">
        <is>
          <t>អ្នកបង្កើត</t>
        </is>
      </c>
      <c r="H1612" s="10" t="inlineStr">
        <is>
          <t>អ្នកបង្កើត</t>
        </is>
      </c>
      <c r="I1612" s="10" t="n"/>
      <c r="J1612" s="10" t="n"/>
      <c r="K1612" s="10" t="inlineStr">
        <is>
          <t>"invoiceManagement.createdBy": "អ្នកបង្កើត",</t>
        </is>
      </c>
      <c r="L1612" s="10" t="n"/>
      <c r="M1612" s="10" t="n"/>
      <c r="N1612" s="10" t="n"/>
      <c r="O1612" s="10" t="n"/>
      <c r="P1612" s="10" t="n"/>
      <c r="Q1612" s="10" t="n"/>
      <c r="R1612" s="10" t="n"/>
      <c r="S1612" s="10" t="n"/>
      <c r="T1612" s="10" t="n"/>
      <c r="U1612" s="10" t="n"/>
      <c r="V1612" s="10" t="n"/>
      <c r="W1612" s="10" t="n"/>
      <c r="X1612" s="10" t="n"/>
      <c r="Y1612" s="10" t="n"/>
      <c r="Z1612" s="10" t="n"/>
    </row>
    <row r="1613">
      <c r="A1613" s="27" t="inlineStr">
        <is>
          <t>invoiceManagement.updateBy</t>
        </is>
      </c>
      <c r="B1613" s="27" t="inlineStr">
        <is>
          <t>Người cập nhật</t>
        </is>
      </c>
      <c r="C1613" s="27" t="inlineStr">
        <is>
          <t>Updated by</t>
        </is>
      </c>
      <c r="D1613" s="21" t="inlineStr">
        <is>
          <t>អ្នកអាប់ដេត</t>
        </is>
      </c>
      <c r="E1613" s="21" t="inlineStr">
        <is>
          <t>អ្នកអាប់ដេត</t>
        </is>
      </c>
      <c r="F1613" s="10" t="n"/>
      <c r="G1613" s="10" t="inlineStr">
        <is>
          <t>អ្នកអាប់ដេត</t>
        </is>
      </c>
      <c r="H1613" s="10" t="inlineStr">
        <is>
          <t>អ្នកអាប់ដេត</t>
        </is>
      </c>
      <c r="I1613" s="10" t="n"/>
      <c r="J1613" s="10" t="n"/>
      <c r="K1613" s="10" t="inlineStr">
        <is>
          <t>"invoiceManagement.updateBy": "អ្នកអាប់ដេត",</t>
        </is>
      </c>
      <c r="L1613" s="10" t="n"/>
      <c r="M1613" s="10" t="n"/>
      <c r="N1613" s="10" t="n"/>
      <c r="O1613" s="10" t="n"/>
      <c r="P1613" s="10" t="n"/>
      <c r="Q1613" s="10" t="n"/>
      <c r="R1613" s="10" t="n"/>
      <c r="S1613" s="10" t="n"/>
      <c r="T1613" s="10" t="n"/>
      <c r="U1613" s="10" t="n"/>
      <c r="V1613" s="10" t="n"/>
      <c r="W1613" s="10" t="n"/>
      <c r="X1613" s="10" t="n"/>
      <c r="Y1613" s="10" t="n"/>
      <c r="Z1613" s="10" t="n"/>
    </row>
    <row r="1614">
      <c r="A1614" s="27" t="inlineStr">
        <is>
          <t>invoiceManagement.invoiceDate</t>
        </is>
      </c>
      <c r="B1614" s="27" t="inlineStr">
        <is>
          <t>Ngày XHĐ</t>
        </is>
      </c>
      <c r="C1614" s="27" t="inlineStr">
        <is>
          <t>Invoice date</t>
        </is>
      </c>
      <c r="D1614" s="102" t="n"/>
      <c r="E1614" s="102" t="inlineStr">
        <is>
          <t>ថ្ងៃចេញវិក័យប័ត្រ</t>
        </is>
      </c>
      <c r="F1614" s="10" t="n"/>
      <c r="G1614" s="10" t="inlineStr">
        <is>
          <t>ថ្ងៃចេញវិក័យប័ត្រ</t>
        </is>
      </c>
      <c r="H1614" s="10" t="inlineStr">
        <is>
          <t>ថ្ងៃចេញវិក័យប័ត្រ</t>
        </is>
      </c>
      <c r="I1614" s="10" t="n"/>
      <c r="J1614" s="10" t="n"/>
      <c r="K1614" s="10" t="inlineStr">
        <is>
          <t>"invoiceManagement.invoiceDate": "ថ្ងៃចេញវិក័យប័ត្រ",</t>
        </is>
      </c>
      <c r="L1614" s="10" t="n"/>
      <c r="M1614" s="10" t="n"/>
      <c r="N1614" s="10" t="n"/>
      <c r="O1614" s="10" t="n"/>
      <c r="P1614" s="10" t="n"/>
      <c r="Q1614" s="10" t="n"/>
      <c r="R1614" s="10" t="n"/>
      <c r="S1614" s="10" t="n"/>
      <c r="T1614" s="10" t="n"/>
      <c r="U1614" s="10" t="n"/>
      <c r="V1614" s="10" t="n"/>
      <c r="W1614" s="10" t="n"/>
      <c r="X1614" s="10" t="n"/>
      <c r="Y1614" s="10" t="n"/>
      <c r="Z1614" s="10" t="n"/>
    </row>
    <row r="1615">
      <c r="A1615" s="8" t="inlineStr">
        <is>
          <t>invoiceManagement.invoiceError</t>
        </is>
      </c>
      <c r="B1615" s="27" t="inlineStr">
        <is>
          <t>Lỗi XHĐ</t>
        </is>
      </c>
      <c r="C1615" s="27" t="inlineStr">
        <is>
          <t>Invoice issuance error</t>
        </is>
      </c>
      <c r="D1615" s="102" t="n"/>
      <c r="E1615" s="102" t="inlineStr">
        <is>
          <t>ចេញវិក័យប័ត្រមានបញ្ហា</t>
        </is>
      </c>
      <c r="F1615" s="10" t="n"/>
      <c r="G1615" s="10" t="inlineStr">
        <is>
          <t>ចេញវិក័យប័ត្រមានបញ្ហា</t>
        </is>
      </c>
      <c r="H1615" s="10" t="inlineStr">
        <is>
          <t>ចេញវិក័យប័ត្រមានបញ្ហា</t>
        </is>
      </c>
      <c r="I1615" s="10" t="n"/>
      <c r="J1615" s="10" t="n"/>
      <c r="K1615" s="10" t="inlineStr">
        <is>
          <t>"invoiceManagement.invoiceError": "ចេញវិក័យប័ត្រមានបញ្ហា",</t>
        </is>
      </c>
      <c r="L1615" s="10" t="n"/>
      <c r="M1615" s="10" t="n"/>
      <c r="N1615" s="10" t="n"/>
      <c r="O1615" s="10" t="n"/>
      <c r="P1615" s="10" t="n"/>
      <c r="Q1615" s="10" t="n"/>
      <c r="R1615" s="10" t="n"/>
      <c r="S1615" s="10" t="n"/>
      <c r="T1615" s="10" t="n"/>
      <c r="U1615" s="10" t="n"/>
      <c r="V1615" s="10" t="n"/>
      <c r="W1615" s="10" t="n"/>
      <c r="X1615" s="10" t="n"/>
      <c r="Y1615" s="10" t="n"/>
      <c r="Z1615" s="10" t="n"/>
    </row>
    <row r="1616">
      <c r="A1616" s="27" t="inlineStr">
        <is>
          <t>invoiceManagement.billNo</t>
        </is>
      </c>
      <c r="B1616" s="27" t="inlineStr">
        <is>
          <t>Số bill</t>
        </is>
      </c>
      <c r="C1616" s="27" t="inlineStr">
        <is>
          <t>Order ID</t>
        </is>
      </c>
      <c r="D1616" s="21" t="inlineStr">
        <is>
          <t>លេខបុង</t>
        </is>
      </c>
      <c r="E1616" s="24" t="inlineStr">
        <is>
          <t>លេខវិក័យប័ត្រ</t>
        </is>
      </c>
      <c r="F1616" s="10" t="n"/>
      <c r="G1616" s="10" t="inlineStr">
        <is>
          <t>លេខវិក័យប័ត្រ</t>
        </is>
      </c>
      <c r="H1616" s="10" t="inlineStr">
        <is>
          <t>លេខវិក័យប័ត្រ</t>
        </is>
      </c>
      <c r="I1616" s="10" t="n"/>
      <c r="J1616" s="10" t="n"/>
      <c r="K1616" s="10" t="inlineStr">
        <is>
          <t>"invoiceManagement.billNo": "លេខវិក័យប័ត្រ",</t>
        </is>
      </c>
      <c r="L1616" s="10" t="n"/>
      <c r="M1616" s="10" t="n"/>
      <c r="N1616" s="10" t="n"/>
      <c r="O1616" s="10" t="n"/>
      <c r="P1616" s="10" t="n"/>
      <c r="Q1616" s="10" t="n"/>
      <c r="R1616" s="10" t="n"/>
      <c r="S1616" s="10" t="n"/>
      <c r="T1616" s="10" t="n"/>
      <c r="U1616" s="10" t="n"/>
      <c r="V1616" s="10" t="n"/>
      <c r="W1616" s="10" t="n"/>
      <c r="X1616" s="10" t="n"/>
      <c r="Y1616" s="10" t="n"/>
      <c r="Z1616" s="10" t="n"/>
    </row>
    <row r="1617">
      <c r="A1617" s="27" t="inlineStr">
        <is>
          <t>invoiceManagement.preTaxMoney</t>
        </is>
      </c>
      <c r="B1617" s="27" t="inlineStr">
        <is>
          <t>Tiền trước thuế</t>
        </is>
      </c>
      <c r="C1617" s="27" t="inlineStr">
        <is>
          <t>Service charge before tax</t>
        </is>
      </c>
      <c r="D1617" s="21" t="inlineStr">
        <is>
          <t>ប្រាក់មុនបូកពន្ធ</t>
        </is>
      </c>
      <c r="E1617" s="21" t="inlineStr">
        <is>
          <t>ប្រាក់មុនបូកពន្ធ</t>
        </is>
      </c>
      <c r="F1617" s="10" t="n"/>
      <c r="G1617" s="10" t="inlineStr">
        <is>
          <t>ប្រាក់មុនបូកពន្ធ</t>
        </is>
      </c>
      <c r="H1617" s="10" t="inlineStr">
        <is>
          <t>ប្រាក់មុនបូកពន្ធ</t>
        </is>
      </c>
      <c r="I1617" s="10" t="n"/>
      <c r="J1617" s="10" t="n"/>
      <c r="K1617" s="10" t="inlineStr">
        <is>
          <t>"invoiceManagement.preTaxMoney": "ប្រាក់មុនបូកពន្ធ",</t>
        </is>
      </c>
      <c r="L1617" s="10" t="n"/>
      <c r="M1617" s="10" t="n"/>
      <c r="N1617" s="10" t="n"/>
      <c r="O1617" s="10" t="n"/>
      <c r="P1617" s="10" t="n"/>
      <c r="Q1617" s="10" t="n"/>
      <c r="R1617" s="10" t="n"/>
      <c r="S1617" s="10" t="n"/>
      <c r="T1617" s="10" t="n"/>
      <c r="U1617" s="10" t="n"/>
      <c r="V1617" s="10" t="n"/>
      <c r="W1617" s="10" t="n"/>
      <c r="X1617" s="10" t="n"/>
      <c r="Y1617" s="10" t="n"/>
      <c r="Z1617" s="10" t="n"/>
    </row>
    <row r="1618">
      <c r="A1618" s="27" t="inlineStr">
        <is>
          <t>invoiceManagement.afterTaxMoney</t>
        </is>
      </c>
      <c r="B1618" s="27" t="inlineStr">
        <is>
          <t>Tiền sau thuế</t>
        </is>
      </c>
      <c r="C1618" s="27" t="inlineStr">
        <is>
          <t>Service charge after tax</t>
        </is>
      </c>
      <c r="D1618" s="21" t="inlineStr">
        <is>
          <t>ប្រាក់ក្រោយពន្ធ</t>
        </is>
      </c>
      <c r="E1618" s="24" t="inlineStr">
        <is>
          <t>ប្រាក់ក្រោយបូកពន្ធ</t>
        </is>
      </c>
      <c r="F1618" s="10" t="n"/>
      <c r="G1618" s="10" t="inlineStr">
        <is>
          <t>ប្រាក់ក្រោយបូកពន្ធ</t>
        </is>
      </c>
      <c r="H1618" s="10" t="inlineStr">
        <is>
          <t>ប្រាក់ក្រោយបូកពន្ធ</t>
        </is>
      </c>
      <c r="I1618" s="10" t="n"/>
      <c r="J1618" s="10" t="n"/>
      <c r="K1618" s="10" t="inlineStr">
        <is>
          <t>"invoiceManagement.afterTaxMoney": "ប្រាក់ក្រោយបូកពន្ធ",</t>
        </is>
      </c>
      <c r="L1618" s="10" t="n"/>
      <c r="M1618" s="10" t="n"/>
      <c r="N1618" s="10" t="n"/>
      <c r="O1618" s="10" t="n"/>
      <c r="P1618" s="10" t="n"/>
      <c r="Q1618" s="10" t="n"/>
      <c r="R1618" s="10" t="n"/>
      <c r="S1618" s="10" t="n"/>
      <c r="T1618" s="10" t="n"/>
      <c r="U1618" s="10" t="n"/>
      <c r="V1618" s="10" t="n"/>
      <c r="W1618" s="10" t="n"/>
      <c r="X1618" s="10" t="n"/>
      <c r="Y1618" s="10" t="n"/>
      <c r="Z1618" s="10" t="n"/>
    </row>
    <row r="1619">
      <c r="A1619" s="27" t="inlineStr">
        <is>
          <t>invoiceManagement.invoiceFile</t>
        </is>
      </c>
      <c r="B1619" s="27" t="inlineStr">
        <is>
          <t>File hoá đơn</t>
        </is>
      </c>
      <c r="C1619" s="27" t="inlineStr">
        <is>
          <t>Invoice file</t>
        </is>
      </c>
      <c r="D1619" s="21" t="inlineStr">
        <is>
          <t>ហ្វាល់បុងបញ្ញើ</t>
        </is>
      </c>
      <c r="E1619" s="21" t="inlineStr">
        <is>
          <t>ហ្វាល់បុងបញ្ញើ</t>
        </is>
      </c>
      <c r="F1619" s="10" t="n"/>
      <c r="G1619" s="10" t="inlineStr">
        <is>
          <t>ហ្វាល់បុងបញ្ញើ</t>
        </is>
      </c>
      <c r="H1619" s="10" t="inlineStr">
        <is>
          <t>ហ្វាល់បុងបញ្ញើ</t>
        </is>
      </c>
      <c r="I1619" s="10" t="n"/>
      <c r="J1619" s="10" t="n"/>
      <c r="K1619" s="10" t="inlineStr">
        <is>
          <t>"invoiceManagement.invoiceFile": "ហ្វាល់បុងបញ្ញើ",</t>
        </is>
      </c>
      <c r="L1619" s="10" t="n"/>
      <c r="M1619" s="10" t="n"/>
      <c r="N1619" s="10" t="n"/>
      <c r="O1619" s="10" t="n"/>
      <c r="P1619" s="10" t="n"/>
      <c r="Q1619" s="10" t="n"/>
      <c r="R1619" s="10" t="n"/>
      <c r="S1619" s="10" t="n"/>
      <c r="T1619" s="10" t="n"/>
      <c r="U1619" s="10" t="n"/>
      <c r="V1619" s="10" t="n"/>
      <c r="W1619" s="10" t="n"/>
      <c r="X1619" s="10" t="n"/>
      <c r="Y1619" s="10" t="n"/>
      <c r="Z1619" s="10" t="n"/>
    </row>
    <row r="1620">
      <c r="A1620" s="27" t="inlineStr">
        <is>
          <t>invoiceManagement.city</t>
        </is>
      </c>
      <c r="B1620" s="27" t="inlineStr">
        <is>
          <t>Tỉnh/TP</t>
        </is>
      </c>
      <c r="C1620" s="27" t="inlineStr">
        <is>
          <t>Province</t>
        </is>
      </c>
      <c r="D1620" s="102" t="n"/>
      <c r="E1620" s="102" t="inlineStr">
        <is>
          <t>ខេត្ត/ក្រុង</t>
        </is>
      </c>
      <c r="F1620" s="10" t="n"/>
      <c r="G1620" s="10" t="inlineStr">
        <is>
          <t>ខេត្ត/ក្រុង</t>
        </is>
      </c>
      <c r="H1620" s="10" t="inlineStr">
        <is>
          <t>ខេត្ត/ក្រុង</t>
        </is>
      </c>
      <c r="I1620" s="10" t="n"/>
      <c r="J1620" s="10" t="n"/>
      <c r="K1620" s="10" t="inlineStr">
        <is>
          <t>"invoiceManagement.city": "ខេត្ត/ក្រុង",</t>
        </is>
      </c>
      <c r="L1620" s="10" t="n"/>
      <c r="M1620" s="10" t="n"/>
      <c r="N1620" s="10" t="n"/>
      <c r="O1620" s="10" t="n"/>
      <c r="P1620" s="10" t="n"/>
      <c r="Q1620" s="10" t="n"/>
      <c r="R1620" s="10" t="n"/>
      <c r="S1620" s="10" t="n"/>
      <c r="T1620" s="10" t="n"/>
      <c r="U1620" s="10" t="n"/>
      <c r="V1620" s="10" t="n"/>
      <c r="W1620" s="10" t="n"/>
      <c r="X1620" s="10" t="n"/>
      <c r="Y1620" s="10" t="n"/>
      <c r="Z1620" s="10" t="n"/>
    </row>
    <row r="1621">
      <c r="A1621" s="27" t="inlineStr">
        <is>
          <t>invoiceManagement.district</t>
        </is>
      </c>
      <c r="B1621" s="27" t="inlineStr">
        <is>
          <t>Quận/Huyện</t>
        </is>
      </c>
      <c r="C1621" s="27" t="inlineStr">
        <is>
          <t>District</t>
        </is>
      </c>
      <c r="D1621" s="21" t="inlineStr">
        <is>
          <t>ស្រុក/ខណ្ឌ</t>
        </is>
      </c>
      <c r="E1621" s="21" t="inlineStr">
        <is>
          <t>ស្រុក/ខណ្ឌ</t>
        </is>
      </c>
      <c r="F1621" s="10" t="n"/>
      <c r="G1621" s="10" t="inlineStr">
        <is>
          <t>ស្រុក/ខណ្ឌ</t>
        </is>
      </c>
      <c r="H1621" s="10" t="inlineStr">
        <is>
          <t>ស្រុក/ខណ្ឌ</t>
        </is>
      </c>
      <c r="I1621" s="10" t="n"/>
      <c r="J1621" s="10" t="n"/>
      <c r="K1621" s="10" t="inlineStr">
        <is>
          <t>"invoiceManagement.district": "ស្រុក/ខណ្ឌ",</t>
        </is>
      </c>
      <c r="L1621" s="10" t="n"/>
      <c r="M1621" s="10" t="n"/>
      <c r="N1621" s="10" t="n"/>
      <c r="O1621" s="10" t="n"/>
      <c r="P1621" s="10" t="n"/>
      <c r="Q1621" s="10" t="n"/>
      <c r="R1621" s="10" t="n"/>
      <c r="S1621" s="10" t="n"/>
      <c r="T1621" s="10" t="n"/>
      <c r="U1621" s="10" t="n"/>
      <c r="V1621" s="10" t="n"/>
      <c r="W1621" s="10" t="n"/>
      <c r="X1621" s="10" t="n"/>
      <c r="Y1621" s="10" t="n"/>
      <c r="Z1621" s="10" t="n"/>
    </row>
    <row r="1622">
      <c r="A1622" s="27" t="inlineStr">
        <is>
          <t>invoiceManagement.ward</t>
        </is>
      </c>
      <c r="B1622" s="27" t="inlineStr">
        <is>
          <t>Phường/Xã</t>
        </is>
      </c>
      <c r="C1622" s="27" t="inlineStr">
        <is>
          <t>Village</t>
        </is>
      </c>
      <c r="D1622" s="21" t="inlineStr">
        <is>
          <t>ឃុំ/សង្កាត់</t>
        </is>
      </c>
      <c r="E1622" s="21" t="inlineStr">
        <is>
          <t>ឃុំ/សង្កាត់</t>
        </is>
      </c>
      <c r="F1622" s="10" t="n"/>
      <c r="G1622" s="10" t="inlineStr">
        <is>
          <t>ឃុំ/សង្កាត់</t>
        </is>
      </c>
      <c r="H1622" s="10" t="inlineStr">
        <is>
          <t>ឃុំ/សង្កាត់</t>
        </is>
      </c>
      <c r="I1622" s="10" t="n"/>
      <c r="J1622" s="10" t="n"/>
      <c r="K1622" s="10" t="inlineStr">
        <is>
          <t>"invoiceManagement.ward": "ឃុំ/សង្កាត់",</t>
        </is>
      </c>
      <c r="L1622" s="10" t="n"/>
      <c r="M1622" s="10" t="n"/>
      <c r="N1622" s="10" t="n"/>
      <c r="O1622" s="10" t="n"/>
      <c r="P1622" s="10" t="n"/>
      <c r="Q1622" s="10" t="n"/>
      <c r="R1622" s="10" t="n"/>
      <c r="S1622" s="10" t="n"/>
      <c r="T1622" s="10" t="n"/>
      <c r="U1622" s="10" t="n"/>
      <c r="V1622" s="10" t="n"/>
      <c r="W1622" s="10" t="n"/>
      <c r="X1622" s="10" t="n"/>
      <c r="Y1622" s="10" t="n"/>
      <c r="Z1622" s="10" t="n"/>
    </row>
    <row r="1623">
      <c r="A1623" s="27" t="inlineStr">
        <is>
          <t>invoiceManagement.addressDetail</t>
        </is>
      </c>
      <c r="B1623" s="27" t="inlineStr">
        <is>
          <t>Địa chỉ chi tiết</t>
        </is>
      </c>
      <c r="C1623" s="27" t="inlineStr">
        <is>
          <t>Address details</t>
        </is>
      </c>
      <c r="D1623" s="21" t="inlineStr">
        <is>
          <t>អាស័យដ្ឋានលម្អិត</t>
        </is>
      </c>
      <c r="E1623" s="21" t="inlineStr">
        <is>
          <t>អាស័យដ្ឋានលម្អិត</t>
        </is>
      </c>
      <c r="F1623" s="10" t="n"/>
      <c r="G1623" s="10" t="inlineStr">
        <is>
          <t>អាសយដ្ឋានលម្អិត</t>
        </is>
      </c>
      <c r="H1623" s="10" t="inlineStr">
        <is>
          <t>អាសយដ្ឋានលម្អិត</t>
        </is>
      </c>
      <c r="I1623" s="10" t="n"/>
      <c r="J1623" s="10" t="n"/>
      <c r="K1623" s="10" t="inlineStr">
        <is>
          <t>"invoiceManagement.addressDetail": "អាសយដ្ឋានលម្អិត",</t>
        </is>
      </c>
      <c r="L1623" s="10" t="n"/>
      <c r="M1623" s="10" t="n"/>
      <c r="N1623" s="10" t="n"/>
      <c r="O1623" s="10" t="n"/>
      <c r="P1623" s="10" t="n"/>
      <c r="Q1623" s="10" t="n"/>
      <c r="R1623" s="10" t="n"/>
      <c r="S1623" s="10" t="n"/>
      <c r="T1623" s="10" t="n"/>
      <c r="U1623" s="10" t="n"/>
      <c r="V1623" s="10" t="n"/>
      <c r="W1623" s="10" t="n"/>
      <c r="X1623" s="10" t="n"/>
      <c r="Y1623" s="10" t="n"/>
      <c r="Z1623" s="10" t="n"/>
    </row>
    <row r="1624">
      <c r="A1624" s="27" t="inlineStr">
        <is>
          <t>invoiceManagement.startAt</t>
        </is>
      </c>
      <c r="B1624" s="27" t="inlineStr">
        <is>
          <t>Thời gian bắt đầu</t>
        </is>
      </c>
      <c r="C1624" s="27" t="inlineStr">
        <is>
          <t>Start</t>
        </is>
      </c>
      <c r="D1624" s="21" t="inlineStr">
        <is>
          <t>ពេលវេលាចាប់ផ្តើម</t>
        </is>
      </c>
      <c r="E1624" s="21" t="inlineStr">
        <is>
          <t>ពេលវេលាចាប់ផ្តើម</t>
        </is>
      </c>
      <c r="F1624" s="10" t="n"/>
      <c r="G1624" s="10" t="inlineStr">
        <is>
          <t>ពេលវេលាចាប់ផ្តើម</t>
        </is>
      </c>
      <c r="H1624" s="10" t="inlineStr">
        <is>
          <t>ពេលវេលាចាប់ផ្តើម</t>
        </is>
      </c>
      <c r="I1624" s="10" t="n"/>
      <c r="J1624" s="10" t="n"/>
      <c r="K1624" s="10" t="inlineStr">
        <is>
          <t>"invoiceManagement.startAt": "ពេលវេលាចាប់ផ្តើម",</t>
        </is>
      </c>
      <c r="L1624" s="10" t="n"/>
      <c r="M1624" s="10" t="n"/>
      <c r="N1624" s="10" t="n"/>
      <c r="O1624" s="10" t="n"/>
      <c r="P1624" s="10" t="n"/>
      <c r="Q1624" s="10" t="n"/>
      <c r="R1624" s="10" t="n"/>
      <c r="S1624" s="10" t="n"/>
      <c r="T1624" s="10" t="n"/>
      <c r="U1624" s="10" t="n"/>
      <c r="V1624" s="10" t="n"/>
      <c r="W1624" s="10" t="n"/>
      <c r="X1624" s="10" t="n"/>
      <c r="Y1624" s="10" t="n"/>
      <c r="Z1624" s="10" t="n"/>
    </row>
    <row r="1625">
      <c r="A1625" s="27" t="inlineStr">
        <is>
          <t>invoiceManagement.actionAt</t>
        </is>
      </c>
      <c r="B1625" s="27" t="inlineStr">
        <is>
          <t>Thời gian kết thúc</t>
        </is>
      </c>
      <c r="C1625" s="27" t="inlineStr">
        <is>
          <t>End</t>
        </is>
      </c>
      <c r="D1625" s="21" t="inlineStr">
        <is>
          <t>ពេលវេលាបញ្ចប់</t>
        </is>
      </c>
      <c r="E1625" s="21" t="inlineStr">
        <is>
          <t>ពេលវេលាបញ្ចប់</t>
        </is>
      </c>
      <c r="F1625" s="10" t="n"/>
      <c r="G1625" s="10" t="inlineStr">
        <is>
          <t>ពេលវេលាបញ្ចប់</t>
        </is>
      </c>
      <c r="H1625" s="10" t="inlineStr">
        <is>
          <t>ពេលវេលាបញ្ចប់</t>
        </is>
      </c>
      <c r="I1625" s="10" t="n"/>
      <c r="J1625" s="10" t="n"/>
      <c r="K1625" s="10" t="inlineStr">
        <is>
          <t>"invoiceManagement.actionAt": "ពេលវេលាបញ្ចប់",</t>
        </is>
      </c>
      <c r="L1625" s="10" t="n"/>
      <c r="M1625" s="10" t="n"/>
      <c r="N1625" s="10" t="n"/>
      <c r="O1625" s="10" t="n"/>
      <c r="P1625" s="10" t="n"/>
      <c r="Q1625" s="10" t="n"/>
      <c r="R1625" s="10" t="n"/>
      <c r="S1625" s="10" t="n"/>
      <c r="T1625" s="10" t="n"/>
      <c r="U1625" s="10" t="n"/>
      <c r="V1625" s="10" t="n"/>
      <c r="W1625" s="10" t="n"/>
      <c r="X1625" s="10" t="n"/>
      <c r="Y1625" s="10" t="n"/>
      <c r="Z1625" s="10" t="n"/>
    </row>
    <row r="1626">
      <c r="A1626" s="27" t="inlineStr">
        <is>
          <t>invoiceManagement.bankAccount</t>
        </is>
      </c>
      <c r="B1626" s="27" t="inlineStr">
        <is>
          <t>Số tài khoản</t>
        </is>
      </c>
      <c r="C1626" s="27" t="inlineStr">
        <is>
          <t>Bank account</t>
        </is>
      </c>
      <c r="D1626" s="21" t="inlineStr">
        <is>
          <t>លេខគណនី</t>
        </is>
      </c>
      <c r="E1626" s="21" t="inlineStr">
        <is>
          <t>លេខគណនី</t>
        </is>
      </c>
      <c r="F1626" s="10" t="n"/>
      <c r="G1626" s="10" t="inlineStr">
        <is>
          <t>លេខគណនីធនាគារ</t>
        </is>
      </c>
      <c r="H1626" s="10" t="inlineStr">
        <is>
          <t>លេខគណនីធនាគារ</t>
        </is>
      </c>
      <c r="I1626" s="10" t="n"/>
      <c r="J1626" s="10" t="n"/>
      <c r="K1626" s="10" t="inlineStr">
        <is>
          <t>"invoiceManagement.bankAccount": "លេខគណនីធនាគារ",</t>
        </is>
      </c>
      <c r="L1626" s="10" t="n"/>
      <c r="M1626" s="10" t="n"/>
      <c r="N1626" s="10" t="n"/>
      <c r="O1626" s="10" t="n"/>
      <c r="P1626" s="10" t="n"/>
      <c r="Q1626" s="10" t="n"/>
      <c r="R1626" s="10" t="n"/>
      <c r="S1626" s="10" t="n"/>
      <c r="T1626" s="10" t="n"/>
      <c r="U1626" s="10" t="n"/>
      <c r="V1626" s="10" t="n"/>
      <c r="W1626" s="10" t="n"/>
      <c r="X1626" s="10" t="n"/>
      <c r="Y1626" s="10" t="n"/>
      <c r="Z1626" s="10" t="n"/>
    </row>
    <row r="1627">
      <c r="A1627" s="27" t="inlineStr">
        <is>
          <t>invoiceManagement.bankName</t>
        </is>
      </c>
      <c r="B1627" s="27" t="inlineStr">
        <is>
          <t>Ngân hàng</t>
        </is>
      </c>
      <c r="C1627" s="27" t="inlineStr">
        <is>
          <t>Bank</t>
        </is>
      </c>
      <c r="D1627" s="21" t="inlineStr">
        <is>
          <t>ធនាគារ</t>
        </is>
      </c>
      <c r="E1627" s="21" t="inlineStr">
        <is>
          <t>ធនាគារ</t>
        </is>
      </c>
      <c r="F1627" s="10" t="n"/>
      <c r="G1627" s="10" t="inlineStr">
        <is>
          <t>ធនាគារ</t>
        </is>
      </c>
      <c r="H1627" s="10" t="inlineStr">
        <is>
          <t>ធនាគារ</t>
        </is>
      </c>
      <c r="I1627" s="10" t="n"/>
      <c r="J1627" s="10" t="n"/>
      <c r="K1627" s="10" t="inlineStr">
        <is>
          <t>"invoiceManagement.bankName": "ធនាគារ",</t>
        </is>
      </c>
      <c r="L1627" s="10" t="n"/>
      <c r="M1627" s="10" t="n"/>
      <c r="N1627" s="10" t="n"/>
      <c r="O1627" s="10" t="n"/>
      <c r="P1627" s="10" t="n"/>
      <c r="Q1627" s="10" t="n"/>
      <c r="R1627" s="10" t="n"/>
      <c r="S1627" s="10" t="n"/>
      <c r="T1627" s="10" t="n"/>
      <c r="U1627" s="10" t="n"/>
      <c r="V1627" s="10" t="n"/>
      <c r="W1627" s="10" t="n"/>
      <c r="X1627" s="10" t="n"/>
      <c r="Y1627" s="10" t="n"/>
      <c r="Z1627" s="10" t="n"/>
    </row>
    <row r="1628">
      <c r="A1628" s="27" t="inlineStr">
        <is>
          <t>invoiceManagement.bankBranch</t>
        </is>
      </c>
      <c r="B1628" s="27" t="inlineStr">
        <is>
          <t>Chi nhánh ngân hàng</t>
        </is>
      </c>
      <c r="C1628" s="27" t="inlineStr">
        <is>
          <t>Bank branch</t>
        </is>
      </c>
      <c r="D1628" s="21" t="inlineStr">
        <is>
          <t>សាខាធនាគារ</t>
        </is>
      </c>
      <c r="E1628" s="21" t="inlineStr">
        <is>
          <t>សាខាធនាគារ</t>
        </is>
      </c>
      <c r="F1628" s="10" t="n"/>
      <c r="G1628" s="10" t="inlineStr">
        <is>
          <t>សាខាធនាគារ</t>
        </is>
      </c>
      <c r="H1628" s="10" t="inlineStr">
        <is>
          <t>សាខាធនាគារ</t>
        </is>
      </c>
      <c r="I1628" s="10" t="n"/>
      <c r="J1628" s="10" t="n"/>
      <c r="K1628" s="10" t="inlineStr">
        <is>
          <t>"invoiceManagement.bankBranch": "សាខាធនាគារ",</t>
        </is>
      </c>
      <c r="L1628" s="10" t="n"/>
      <c r="M1628" s="10" t="n"/>
      <c r="N1628" s="10" t="n"/>
      <c r="O1628" s="10" t="n"/>
      <c r="P1628" s="10" t="n"/>
      <c r="Q1628" s="10" t="n"/>
      <c r="R1628" s="10" t="n"/>
      <c r="S1628" s="10" t="n"/>
      <c r="T1628" s="10" t="n"/>
      <c r="U1628" s="10" t="n"/>
      <c r="V1628" s="10" t="n"/>
      <c r="W1628" s="10" t="n"/>
      <c r="X1628" s="10" t="n"/>
      <c r="Y1628" s="10" t="n"/>
      <c r="Z1628" s="10" t="n"/>
    </row>
    <row r="1629">
      <c r="A1629" s="27" t="inlineStr">
        <is>
          <t>invoiceManagement.viewStatementDetail</t>
        </is>
      </c>
      <c r="B1629" s="27" t="inlineStr">
        <is>
          <t>Xem chi tiết</t>
        </is>
      </c>
      <c r="C1629" s="27" t="inlineStr">
        <is>
          <t>Details</t>
        </is>
      </c>
      <c r="D1629" s="21" t="inlineStr">
        <is>
          <t>មើលលម្អិត</t>
        </is>
      </c>
      <c r="E1629" s="21" t="inlineStr">
        <is>
          <t>មើលលម្អិត</t>
        </is>
      </c>
      <c r="F1629" s="10" t="n"/>
      <c r="G1629" s="10" t="inlineStr">
        <is>
          <t>មើលព័ត៌មានលម្អិត</t>
        </is>
      </c>
      <c r="H1629" s="10" t="inlineStr">
        <is>
          <t>មើលព័ត៌មានលម្អិត</t>
        </is>
      </c>
      <c r="I1629" s="10" t="n"/>
      <c r="J1629" s="10" t="n"/>
      <c r="K1629" s="10" t="inlineStr">
        <is>
          <t>"invoiceManagement.viewStatementDetail": "មើលព័ត៌មានលម្អិត",</t>
        </is>
      </c>
      <c r="L1629" s="10" t="n"/>
      <c r="M1629" s="10" t="n"/>
      <c r="N1629" s="10" t="n"/>
      <c r="O1629" s="10" t="n"/>
      <c r="P1629" s="10" t="n"/>
      <c r="Q1629" s="10" t="n"/>
      <c r="R1629" s="10" t="n"/>
      <c r="S1629" s="10" t="n"/>
      <c r="T1629" s="10" t="n"/>
      <c r="U1629" s="10" t="n"/>
      <c r="V1629" s="10" t="n"/>
      <c r="W1629" s="10" t="n"/>
      <c r="X1629" s="10" t="n"/>
      <c r="Y1629" s="10" t="n"/>
      <c r="Z1629" s="10" t="n"/>
    </row>
    <row r="1630">
      <c r="A1630" s="27" t="inlineStr">
        <is>
          <t>invoiceManagement.sendInvoiceExport</t>
        </is>
      </c>
      <c r="B1630" s="27" t="inlineStr">
        <is>
          <t>Gửi yêu cầu xuất hoá đơn đến BCCS</t>
        </is>
      </c>
      <c r="C1630" s="27" t="inlineStr">
        <is>
          <t>Send invoice issuance request to BCCS</t>
        </is>
      </c>
      <c r="D1630" s="102" t="n"/>
      <c r="E1630" s="90" t="inlineStr">
        <is>
          <t>ផ្ញើសំណើសុំការដាក់ចេញវិក្កយបត្រទៅ BCCS</t>
        </is>
      </c>
      <c r="F1630" s="10" t="n"/>
      <c r="G1630" s="10" t="inlineStr">
        <is>
          <t>ផ្ញើសំណើសុំការដាក់ចេញវិក្កយបត្រទៅ BCCS</t>
        </is>
      </c>
      <c r="H1630" s="10" t="inlineStr">
        <is>
          <t>ផ្ញើសំណើសុំការដាក់ចេញវិក្កយបត្រទៅ BCCS</t>
        </is>
      </c>
      <c r="I1630" s="10" t="n"/>
      <c r="J1630" s="10" t="n"/>
      <c r="K1630" s="10" t="inlineStr">
        <is>
          <t>"invoiceManagement.sendInvoiceExport": "ផ្ញើសំណើសុំការដាក់ចេញវិក្កយបត្រទៅ BCCS",</t>
        </is>
      </c>
      <c r="L1630" s="10" t="n"/>
      <c r="M1630" s="10" t="n"/>
      <c r="N1630" s="10" t="n"/>
      <c r="O1630" s="10" t="n"/>
      <c r="P1630" s="10" t="n"/>
      <c r="Q1630" s="10" t="n"/>
      <c r="R1630" s="10" t="n"/>
      <c r="S1630" s="10" t="n"/>
      <c r="T1630" s="10" t="n"/>
      <c r="U1630" s="10" t="n"/>
      <c r="V1630" s="10" t="n"/>
      <c r="W1630" s="10" t="n"/>
      <c r="X1630" s="10" t="n"/>
      <c r="Y1630" s="10" t="n"/>
      <c r="Z1630" s="10" t="n"/>
    </row>
    <row r="1631">
      <c r="A1631" s="27" t="inlineStr">
        <is>
          <t>invoiceManagement.print</t>
        </is>
      </c>
      <c r="B1631" s="27" t="inlineStr">
        <is>
          <t>In hoá đơn</t>
        </is>
      </c>
      <c r="C1631" s="27" t="inlineStr">
        <is>
          <t>Print invoice</t>
        </is>
      </c>
      <c r="D1631" s="21" t="inlineStr">
        <is>
          <t>ព្រីនបុុងបញ្ញើ</t>
        </is>
      </c>
      <c r="E1631" s="102" t="inlineStr">
        <is>
          <t>ព្រីនបុងបញ្ញើ</t>
        </is>
      </c>
      <c r="F1631" s="10" t="n"/>
      <c r="G1631" s="10" t="inlineStr">
        <is>
          <t>ព្រីនបុងបញ្ញើ</t>
        </is>
      </c>
      <c r="H1631" s="10" t="inlineStr">
        <is>
          <t>ព្រីនបុងបញ្ញើ</t>
        </is>
      </c>
      <c r="I1631" s="10" t="n"/>
      <c r="J1631" s="10" t="n"/>
      <c r="K1631" s="10" t="inlineStr">
        <is>
          <t>"invoiceManagement.print": "ព្រីនបុងបញ្ញើ",</t>
        </is>
      </c>
      <c r="L1631" s="10" t="n"/>
      <c r="M1631" s="10" t="n"/>
      <c r="N1631" s="10" t="n"/>
      <c r="O1631" s="10" t="n"/>
      <c r="P1631" s="10" t="n"/>
      <c r="Q1631" s="10" t="n"/>
      <c r="R1631" s="10" t="n"/>
      <c r="S1631" s="10" t="n"/>
      <c r="T1631" s="10" t="n"/>
      <c r="U1631" s="10" t="n"/>
      <c r="V1631" s="10" t="n"/>
      <c r="W1631" s="10" t="n"/>
      <c r="X1631" s="10" t="n"/>
      <c r="Y1631" s="10" t="n"/>
      <c r="Z1631" s="10" t="n"/>
    </row>
    <row r="1632">
      <c r="A1632" s="27" t="inlineStr">
        <is>
          <t>invoiceManagement.billCode</t>
        </is>
      </c>
      <c r="B1632" s="27" t="inlineStr">
        <is>
          <t>Mã vận đơn</t>
        </is>
      </c>
      <c r="C1632" s="27" t="inlineStr">
        <is>
          <t>Order ID</t>
        </is>
      </c>
      <c r="D1632" s="21" t="inlineStr">
        <is>
          <t>លេខកូដបុងដឹកជញ្ជូន</t>
        </is>
      </c>
      <c r="E1632" s="102" t="inlineStr">
        <is>
          <t>លេខកូូដដឹកជញ្ជូន</t>
        </is>
      </c>
      <c r="F1632" s="10" t="n"/>
      <c r="G1632" s="10" t="inlineStr">
        <is>
          <t>លេខកូដបុងបញ្ញើ</t>
        </is>
      </c>
      <c r="H1632" s="10" t="inlineStr">
        <is>
          <t>លេខកូដបុងបញ្ញើ</t>
        </is>
      </c>
      <c r="I1632" s="10" t="n"/>
      <c r="J1632" s="10" t="n"/>
      <c r="K1632" s="10" t="inlineStr">
        <is>
          <t>"invoiceManagement.billCode": "លេខកូដបុងបញ្ញើ",</t>
        </is>
      </c>
      <c r="L1632" s="10" t="n"/>
      <c r="M1632" s="10" t="n"/>
      <c r="N1632" s="10" t="n"/>
      <c r="O1632" s="10" t="n"/>
      <c r="P1632" s="10" t="n"/>
      <c r="Q1632" s="10" t="n"/>
      <c r="R1632" s="10" t="n"/>
      <c r="S1632" s="10" t="n"/>
      <c r="T1632" s="10" t="n"/>
      <c r="U1632" s="10" t="n"/>
      <c r="V1632" s="10" t="n"/>
      <c r="W1632" s="10" t="n"/>
      <c r="X1632" s="10" t="n"/>
      <c r="Y1632" s="10" t="n"/>
      <c r="Z1632" s="10" t="n"/>
    </row>
    <row r="1633">
      <c r="A1633" s="27" t="inlineStr">
        <is>
          <t>invoiceManagement.removeBill</t>
        </is>
      </c>
      <c r="B1633" s="27" t="inlineStr">
        <is>
          <t>Loại bỏ bill</t>
        </is>
      </c>
      <c r="C1633" s="27" t="inlineStr">
        <is>
          <t>Remove order</t>
        </is>
      </c>
      <c r="D1633" s="21" t="inlineStr">
        <is>
          <t>លុុបចោលបុងបញ្ញើ</t>
        </is>
      </c>
      <c r="E1633" s="24" t="inlineStr">
        <is>
          <t>លុុបចោលវិក័យប័ត្រ</t>
        </is>
      </c>
      <c r="F1633" s="10" t="n"/>
      <c r="G1633" s="10" t="inlineStr">
        <is>
          <t>លុុបចោលវិក័យប័ត្រ</t>
        </is>
      </c>
      <c r="H1633" s="10" t="inlineStr">
        <is>
          <t>លុុបចោលវិក័យប័ត្រ</t>
        </is>
      </c>
      <c r="I1633" s="10" t="n"/>
      <c r="J1633" s="10" t="n"/>
      <c r="K1633" s="10" t="inlineStr">
        <is>
          <t>"invoiceManagement.removeBill": "លុុបចោលវិក័យប័ត្រ",</t>
        </is>
      </c>
      <c r="L1633" s="10" t="n"/>
      <c r="M1633" s="10" t="n"/>
      <c r="N1633" s="10" t="n"/>
      <c r="O1633" s="10" t="n"/>
      <c r="P1633" s="10" t="n"/>
      <c r="Q1633" s="10" t="n"/>
      <c r="R1633" s="10" t="n"/>
      <c r="S1633" s="10" t="n"/>
      <c r="T1633" s="10" t="n"/>
      <c r="U1633" s="10" t="n"/>
      <c r="V1633" s="10" t="n"/>
      <c r="W1633" s="10" t="n"/>
      <c r="X1633" s="10" t="n"/>
      <c r="Y1633" s="10" t="n"/>
      <c r="Z1633" s="10" t="n"/>
    </row>
    <row r="1634">
      <c r="A1634" s="27" t="inlineStr">
        <is>
          <t>invoiceManagement.exportInvoice</t>
        </is>
      </c>
      <c r="B1634" s="27" t="inlineStr">
        <is>
          <t>Xuất hoá đơn</t>
        </is>
      </c>
      <c r="C1634" s="27" t="inlineStr">
        <is>
          <t>Export invoice</t>
        </is>
      </c>
      <c r="D1634" s="21" t="inlineStr">
        <is>
          <t>ចេញបុងបញ្ញើ</t>
        </is>
      </c>
      <c r="E1634" s="21" t="inlineStr">
        <is>
          <t>ចេញបុងបញ្ញើ</t>
        </is>
      </c>
      <c r="F1634" s="10" t="n"/>
      <c r="G1634" s="10" t="inlineStr">
        <is>
          <t>ចេញបុងបញ្ញើ</t>
        </is>
      </c>
      <c r="H1634" s="10" t="inlineStr">
        <is>
          <t>ចេញបុងបញ្ញើ</t>
        </is>
      </c>
      <c r="I1634" s="10" t="n"/>
      <c r="J1634" s="10" t="n"/>
      <c r="K1634" s="10" t="inlineStr">
        <is>
          <t>"invoiceManagement.exportInvoice": "ចេញបុងបញ្ញើ",</t>
        </is>
      </c>
      <c r="L1634" s="10" t="n"/>
      <c r="M1634" s="10" t="n"/>
      <c r="N1634" s="10" t="n"/>
      <c r="O1634" s="10" t="n"/>
      <c r="P1634" s="10" t="n"/>
      <c r="Q1634" s="10" t="n"/>
      <c r="R1634" s="10" t="n"/>
      <c r="S1634" s="10" t="n"/>
      <c r="T1634" s="10" t="n"/>
      <c r="U1634" s="10" t="n"/>
      <c r="V1634" s="10" t="n"/>
      <c r="W1634" s="10" t="n"/>
      <c r="X1634" s="10" t="n"/>
      <c r="Y1634" s="10" t="n"/>
      <c r="Z1634" s="10" t="n"/>
    </row>
    <row r="1635">
      <c r="A1635" s="27" t="inlineStr">
        <is>
          <t>invoiceManagement.pleaseSelectStatement</t>
        </is>
      </c>
      <c r="B1635" s="27" t="inlineStr">
        <is>
          <t>Vui lòng chọn bảng kê!</t>
        </is>
      </c>
      <c r="C1635" s="27" t="inlineStr">
        <is>
          <t>Billing list is required</t>
        </is>
      </c>
      <c r="D1635" s="21" t="inlineStr">
        <is>
          <t>សូមជ្រើសរើសការិយាល័យប្រៃសណីយ៍</t>
        </is>
      </c>
      <c r="E1635" s="24" t="inlineStr">
        <is>
          <t>សូមជ្រើសរើសតារាង!</t>
        </is>
      </c>
      <c r="F1635" s="10" t="n"/>
      <c r="G1635" s="10" t="inlineStr">
        <is>
          <t>សូមជ្រើសរើសតារាង!</t>
        </is>
      </c>
      <c r="H1635" s="10" t="inlineStr">
        <is>
          <t>សូមជ្រើសរើសតារាង!</t>
        </is>
      </c>
      <c r="I1635" s="10" t="n"/>
      <c r="J1635" s="10" t="n"/>
      <c r="K1635" s="10" t="inlineStr">
        <is>
          <t>"invoiceManagement.pleaseSelectStatement": "សូមជ្រើសរើសតារាង!",</t>
        </is>
      </c>
      <c r="L1635" s="10" t="n"/>
      <c r="M1635" s="10" t="n"/>
      <c r="N1635" s="10" t="n"/>
      <c r="O1635" s="10" t="n"/>
      <c r="P1635" s="10" t="n"/>
      <c r="Q1635" s="10" t="n"/>
      <c r="R1635" s="10" t="n"/>
      <c r="S1635" s="10" t="n"/>
      <c r="T1635" s="10" t="n"/>
      <c r="U1635" s="10" t="n"/>
      <c r="V1635" s="10" t="n"/>
      <c r="W1635" s="10" t="n"/>
      <c r="X1635" s="10" t="n"/>
      <c r="Y1635" s="10" t="n"/>
      <c r="Z1635" s="10" t="n"/>
    </row>
    <row r="1636">
      <c r="A1636" s="27" t="inlineStr">
        <is>
          <t>invoiceManagement.pleaseSelectOrder</t>
        </is>
      </c>
      <c r="B1636" s="27" t="inlineStr">
        <is>
          <t>Vui lòng chọn đơn hàng!</t>
        </is>
      </c>
      <c r="C1636" s="27" t="inlineStr">
        <is>
          <t>Order is required</t>
        </is>
      </c>
      <c r="D1636" s="21" t="inlineStr">
        <is>
          <t>សូមជ្រើសរើសបុងបញ្ញើ!</t>
        </is>
      </c>
      <c r="E1636" s="21" t="inlineStr">
        <is>
          <t>សូមជ្រើសរើសបុងបញ្ញើ!</t>
        </is>
      </c>
      <c r="F1636" s="10" t="n"/>
      <c r="G1636" s="10" t="inlineStr">
        <is>
          <t>សូមជ្រើសរើសបុងបញ្ញើ!</t>
        </is>
      </c>
      <c r="H1636" s="10" t="inlineStr">
        <is>
          <t>សូមជ្រើសរើសបុងបញ្ញើ!</t>
        </is>
      </c>
      <c r="I1636" s="10" t="n"/>
      <c r="J1636" s="10" t="n"/>
      <c r="K1636" s="10" t="inlineStr">
        <is>
          <t>"invoiceManagement.pleaseSelectOrder": "សូមជ្រើសរើសបុងបញ្ញើ!",</t>
        </is>
      </c>
      <c r="L1636" s="10" t="n"/>
      <c r="M1636" s="10" t="n"/>
      <c r="N1636" s="10" t="n"/>
      <c r="O1636" s="10" t="n"/>
      <c r="P1636" s="10" t="n"/>
      <c r="Q1636" s="10" t="n"/>
      <c r="R1636" s="10" t="n"/>
      <c r="S1636" s="10" t="n"/>
      <c r="T1636" s="10" t="n"/>
      <c r="U1636" s="10" t="n"/>
      <c r="V1636" s="10" t="n"/>
      <c r="W1636" s="10" t="n"/>
      <c r="X1636" s="10" t="n"/>
      <c r="Y1636" s="10" t="n"/>
      <c r="Z1636" s="10" t="n"/>
    </row>
    <row r="1637">
      <c r="A1637" s="27" t="inlineStr">
        <is>
          <t>invoiceManagement.validForInvoiceExport</t>
        </is>
      </c>
      <c r="B1637" s="27" t="inlineStr">
        <is>
          <t>Chỉ cho phép xuất hoá đơn với trạng thái Tạo mới hoặc Xuất hoá đơn thất bại.</t>
        </is>
      </c>
      <c r="C1637" s="27" t="inlineStr">
        <is>
          <t>Invoice issuance is only allowed for invoices with status 'New' or 'Invoice issuance failed'</t>
        </is>
      </c>
      <c r="D1637" s="102" t="n"/>
      <c r="E1637" s="102" t="inlineStr">
        <is>
          <t>អនុញ្ញាតឲ្យដាក់ចេញវិក្កយបត្រតែសម្រាប់ស្ថានភាពបង្កើតថ្មី ឬការដាក់ចេញវិក្កយបត្របរាជ័យប៉ុណ្ណោះ</t>
        </is>
      </c>
      <c r="F1637" s="10" t="n"/>
      <c r="G1637" s="10" t="inlineStr">
        <is>
          <t>អនុញ្ញាតឲ្យដាក់ចេញវិក្កយបត្រតែសម្រាប់ស្ថានភាពបង្កើតថ្មី ឬការដាក់ចេញវិក្កយបត្របរាជ័យប៉ុណ្ណោះ</t>
        </is>
      </c>
      <c r="H1637" s="10" t="inlineStr">
        <is>
          <t>អនុញ្ញាតឲ្យដាក់ចេញវិក្កយបត្រតែសម្រាប់ស្ថានភាពបង្កើតថ្មី ឬការដាក់ចេញវិក្កយបត្របរាជ័យប៉ុណ្ណោះ</t>
        </is>
      </c>
      <c r="I1637" s="10" t="n"/>
      <c r="J1637" s="10" t="n"/>
      <c r="K1637" s="10" t="inlineStr">
        <is>
          <t>"invoiceManagement.validForInvoiceExport": "អនុញ្ញាតឲ្យដាក់ចេញវិក្កយបត្រតែសម្រាប់ស្ថានភាពបង្កើតថ្មី ឬការដាក់ចេញវិក្កយបត្របរាជ័យប៉ុណ្ណោះ",</t>
        </is>
      </c>
      <c r="L1637" s="10" t="n"/>
      <c r="M1637" s="10" t="n"/>
      <c r="N1637" s="10" t="n"/>
      <c r="O1637" s="10" t="n"/>
      <c r="P1637" s="10" t="n"/>
      <c r="Q1637" s="10" t="n"/>
      <c r="R1637" s="10" t="n"/>
      <c r="S1637" s="10" t="n"/>
      <c r="T1637" s="10" t="n"/>
      <c r="U1637" s="10" t="n"/>
      <c r="V1637" s="10" t="n"/>
      <c r="W1637" s="10" t="n"/>
      <c r="X1637" s="10" t="n"/>
      <c r="Y1637" s="10" t="n"/>
      <c r="Z1637" s="10" t="n"/>
    </row>
    <row r="1638">
      <c r="A1638" s="27" t="inlineStr">
        <is>
          <t>invoiceManagement.validForStatementDelete</t>
        </is>
      </c>
      <c r="B1638" s="27" t="inlineStr">
        <is>
          <t>Chỉ cho phép xoá bảng kê với trạng thái Tạo mới.</t>
        </is>
      </c>
      <c r="C1638" s="27" t="inlineStr">
        <is>
          <t>Deleting the billing list is only allowed for lists with status 'New'</t>
        </is>
      </c>
      <c r="D1638" s="102" t="n"/>
      <c r="E1638" s="99" t="inlineStr">
        <is>
          <t>អនុញ្ញាតឲ្យលុបបញ្ជីតែសម្រាប់ស្ថានភាពបង្កើតថ្មីប៉ុណ្ណោះ</t>
        </is>
      </c>
      <c r="F1638" s="10" t="n"/>
      <c r="G1638" s="10" t="inlineStr">
        <is>
          <t>អនុញ្ញាតឲ្យលុបបញ្ជីតែសម្រាប់ស្ថានភាពបង្កើតថ្មីប៉ុណ្ណោះ</t>
        </is>
      </c>
      <c r="H1638" s="10" t="inlineStr">
        <is>
          <t>អនុញ្ញាតឲ្យលុបបញ្ជីតែសម្រាប់ស្ថានភាពបង្កើតថ្មីប៉ុណ្ណោះ</t>
        </is>
      </c>
      <c r="I1638" s="10" t="n"/>
      <c r="J1638" s="10" t="n"/>
      <c r="K1638" s="10" t="inlineStr">
        <is>
          <t>"invoiceManagement.validForStatementDelete": "អនុញ្ញាតឲ្យលុបបញ្ជីតែសម្រាប់ស្ថានភាពបង្កើតថ្មីប៉ុណ្ណោះ",</t>
        </is>
      </c>
      <c r="L1638" s="10" t="n"/>
      <c r="M1638" s="10" t="n"/>
      <c r="N1638" s="10" t="n"/>
      <c r="O1638" s="10" t="n"/>
      <c r="P1638" s="10" t="n"/>
      <c r="Q1638" s="10" t="n"/>
      <c r="R1638" s="10" t="n"/>
      <c r="S1638" s="10" t="n"/>
      <c r="T1638" s="10" t="n"/>
      <c r="U1638" s="10" t="n"/>
      <c r="V1638" s="10" t="n"/>
      <c r="W1638" s="10" t="n"/>
      <c r="X1638" s="10" t="n"/>
      <c r="Y1638" s="10" t="n"/>
      <c r="Z1638" s="10" t="n"/>
    </row>
    <row r="1639">
      <c r="A1639" s="27" t="inlineStr">
        <is>
          <t>invoiceManagement.RECORD_STATEMENT_NEW</t>
        </is>
      </c>
      <c r="B1639" s="27" t="inlineStr">
        <is>
          <t>Tạo mới</t>
        </is>
      </c>
      <c r="C1639" s="27" t="inlineStr">
        <is>
          <t>New</t>
        </is>
      </c>
      <c r="D1639" s="24" t="inlineStr">
        <is>
          <t>បង្កើតថ្មី</t>
        </is>
      </c>
      <c r="E1639" s="21" t="inlineStr">
        <is>
          <t>បង្កើតថ្មី</t>
        </is>
      </c>
      <c r="F1639" s="10" t="n"/>
      <c r="G1639" s="10" t="inlineStr">
        <is>
          <t>បង្កើតថ្មី</t>
        </is>
      </c>
      <c r="H1639" s="10" t="inlineStr">
        <is>
          <t>បង្កើតថ្មី</t>
        </is>
      </c>
      <c r="I1639" s="10" t="n"/>
      <c r="J1639" s="10" t="n"/>
      <c r="K1639" s="10" t="inlineStr">
        <is>
          <t>"invoiceManagement.RECORD_STATEMENT_NEW": "បង្កើតថ្មី",</t>
        </is>
      </c>
      <c r="L1639" s="10" t="n"/>
      <c r="M1639" s="10" t="n"/>
      <c r="N1639" s="10" t="n"/>
      <c r="O1639" s="10" t="n"/>
      <c r="P1639" s="10" t="n"/>
      <c r="Q1639" s="10" t="n"/>
      <c r="R1639" s="10" t="n"/>
      <c r="S1639" s="10" t="n"/>
      <c r="T1639" s="10" t="n"/>
      <c r="U1639" s="10" t="n"/>
      <c r="V1639" s="10" t="n"/>
      <c r="W1639" s="10" t="n"/>
      <c r="X1639" s="10" t="n"/>
      <c r="Y1639" s="10" t="n"/>
      <c r="Z1639" s="10" t="n"/>
    </row>
    <row r="1640">
      <c r="A1640" s="27" t="inlineStr">
        <is>
          <t>invoiceManagement.RECORD_STATEMENT_PENDING</t>
        </is>
      </c>
      <c r="B1640" s="27" t="inlineStr">
        <is>
          <t>Đang XHĐ</t>
        </is>
      </c>
      <c r="C1640" s="27" t="inlineStr">
        <is>
          <t>Issuance in Progress</t>
        </is>
      </c>
      <c r="D1640" s="102" t="n"/>
      <c r="E1640" s="102" t="inlineStr">
        <is>
          <t>កំពុងចេញវិក័យប័ត្រ</t>
        </is>
      </c>
      <c r="F1640" s="10" t="n"/>
      <c r="G1640" s="10" t="inlineStr">
        <is>
          <t>កំពុងចេញវិក័យប័ត្រ</t>
        </is>
      </c>
      <c r="H1640" s="10" t="inlineStr">
        <is>
          <t>កំពុងចេញវិក័យប័ត្រ</t>
        </is>
      </c>
      <c r="I1640" s="10" t="n"/>
      <c r="J1640" s="10" t="n"/>
      <c r="K1640" s="10" t="inlineStr">
        <is>
          <t>"invoiceManagement.RECORD_STATEMENT_PENDING": "កំពុងចេញវិក័យប័ត្រ",</t>
        </is>
      </c>
      <c r="L1640" s="10" t="n"/>
      <c r="M1640" s="10" t="n"/>
      <c r="N1640" s="10" t="n"/>
      <c r="O1640" s="10" t="n"/>
      <c r="P1640" s="10" t="n"/>
      <c r="Q1640" s="10" t="n"/>
      <c r="R1640" s="10" t="n"/>
      <c r="S1640" s="10" t="n"/>
      <c r="T1640" s="10" t="n"/>
      <c r="U1640" s="10" t="n"/>
      <c r="V1640" s="10" t="n"/>
      <c r="W1640" s="10" t="n"/>
      <c r="X1640" s="10" t="n"/>
      <c r="Y1640" s="10" t="n"/>
      <c r="Z1640" s="10" t="n"/>
    </row>
    <row r="1641">
      <c r="A1641" s="27" t="inlineStr">
        <is>
          <t>invoiceManagement.RECORD_STATEMENT_FAILED</t>
        </is>
      </c>
      <c r="B1641" s="27" t="inlineStr">
        <is>
          <t>Lỗi XHĐ</t>
        </is>
      </c>
      <c r="C1641" s="27" t="inlineStr">
        <is>
          <t>Issuance Failed</t>
        </is>
      </c>
      <c r="D1641" s="102" t="n"/>
      <c r="E1641" s="102" t="inlineStr">
        <is>
          <t>ចេញវិក័យប័ត្រមានបញ្ហា</t>
        </is>
      </c>
      <c r="F1641" s="10" t="n"/>
      <c r="G1641" s="10" t="inlineStr">
        <is>
          <t>ចេញវិក័យប័ត្រមានបញ្ហា</t>
        </is>
      </c>
      <c r="H1641" s="10" t="inlineStr">
        <is>
          <t>ចេញវិក័យប័ត្រមានបញ្ហា</t>
        </is>
      </c>
      <c r="I1641" s="10" t="n"/>
      <c r="J1641" s="10" t="n"/>
      <c r="K1641" s="10" t="inlineStr">
        <is>
          <t>"invoiceManagement.RECORD_STATEMENT_FAILED": "ចេញវិក័យប័ត្រមានបញ្ហា",</t>
        </is>
      </c>
      <c r="L1641" s="10" t="n"/>
      <c r="M1641" s="10" t="n"/>
      <c r="N1641" s="10" t="n"/>
      <c r="O1641" s="10" t="n"/>
      <c r="P1641" s="10" t="n"/>
      <c r="Q1641" s="10" t="n"/>
      <c r="R1641" s="10" t="n"/>
      <c r="S1641" s="10" t="n"/>
      <c r="T1641" s="10" t="n"/>
      <c r="U1641" s="10" t="n"/>
      <c r="V1641" s="10" t="n"/>
      <c r="W1641" s="10" t="n"/>
      <c r="X1641" s="10" t="n"/>
      <c r="Y1641" s="10" t="n"/>
      <c r="Z1641" s="10" t="n"/>
    </row>
    <row r="1642">
      <c r="A1642" s="27" t="inlineStr">
        <is>
          <t>invoiceManagement.RECORD_STATEMENT_INVOICED</t>
        </is>
      </c>
      <c r="B1642" s="27" t="inlineStr">
        <is>
          <t>XHĐ thành công</t>
        </is>
      </c>
      <c r="C1642" s="27" t="inlineStr">
        <is>
          <t>Issued Successfully</t>
        </is>
      </c>
      <c r="D1642" s="102" t="n"/>
      <c r="E1642" s="102" t="inlineStr">
        <is>
          <t>ចេញវិក័យប័ត្របានជោគជ័យ</t>
        </is>
      </c>
      <c r="F1642" s="10" t="n"/>
      <c r="G1642" s="10" t="inlineStr">
        <is>
          <t>ចេញវិក័យប័ត្របានជោគជ័យ</t>
        </is>
      </c>
      <c r="H1642" s="10" t="inlineStr">
        <is>
          <t>ចេញវិក័យប័ត្របានជោគជ័យ</t>
        </is>
      </c>
      <c r="I1642" s="10" t="n"/>
      <c r="J1642" s="10" t="n"/>
      <c r="K1642" s="10" t="inlineStr">
        <is>
          <t>"invoiceManagement.RECORD_STATEMENT_INVOICED": "ចេញវិក័យប័ត្របានជោគជ័យ",</t>
        </is>
      </c>
      <c r="L1642" s="10" t="n"/>
      <c r="M1642" s="10" t="n"/>
      <c r="N1642" s="10" t="n"/>
      <c r="O1642" s="10" t="n"/>
      <c r="P1642" s="10" t="n"/>
      <c r="Q1642" s="10" t="n"/>
      <c r="R1642" s="10" t="n"/>
      <c r="S1642" s="10" t="n"/>
      <c r="T1642" s="10" t="n"/>
      <c r="U1642" s="10" t="n"/>
      <c r="V1642" s="10" t="n"/>
      <c r="W1642" s="10" t="n"/>
      <c r="X1642" s="10" t="n"/>
      <c r="Y1642" s="10" t="n"/>
      <c r="Z1642" s="10" t="n"/>
    </row>
    <row r="1643">
      <c r="A1643" s="27" t="inlineStr">
        <is>
          <t>invoiceManagement.confirmListRequest</t>
        </is>
      </c>
      <c r="B1643" s="27" t="inlineStr">
        <is>
          <t>Bạn có chắc chắn muốn gửi yêu cầu XHĐ với những bảng kê đã chọn</t>
        </is>
      </c>
      <c r="C1643" s="27" t="inlineStr">
        <is>
          <t>Are you sure to send the invoice issuance request for the selected billing lists</t>
        </is>
      </c>
      <c r="D1643" s="21" t="inlineStr">
        <is>
          <t>តើអ្នកពិតជាចង់ដាក់សំណើរបង់ប្រាក់ជាមួយនឹងការបញ្ជាទិញដែលបានជ្រើសរើសមែនទេ?</t>
        </is>
      </c>
      <c r="E1643" s="24" t="inlineStr">
        <is>
          <t>តើអ្នកពិតជាចង់ដាក់សំណើរបង់ប្រាក់ជាមួយនឹងបុងបញ្ញើដែលបានជ្រើសរើសមែនទេ?</t>
        </is>
      </c>
      <c r="F1643" s="10" t="n"/>
      <c r="G1643" s="10" t="inlineStr">
        <is>
          <t>តើអ្នកពិតជាចង់ដាក់សំណើរបង់ប្រាក់ជាមួយនឹងបុងបញ្ញើដែលបានជ្រើសរើសមែនទេ?</t>
        </is>
      </c>
      <c r="H1643" s="10" t="inlineStr">
        <is>
          <t>តើអ្នកពិតជាចង់ដាក់សំណើរបង់ប្រាក់ជាមួយនឹងបុងបញ្ញើដែលបានជ្រើសរើសមែនទេ?</t>
        </is>
      </c>
      <c r="I1643" s="10" t="n"/>
      <c r="J1643" s="10" t="n"/>
      <c r="K1643" s="10" t="inlineStr">
        <is>
          <t>"invoiceManagement.confirmListRequest": "តើអ្នកពិតជាចង់ដាក់សំណើរបង់ប្រាក់ជាមួយនឹងបុងបញ្ញើដែលបានជ្រើសរើសមែនទេ?",</t>
        </is>
      </c>
      <c r="L1643" s="10" t="n"/>
      <c r="M1643" s="10" t="n"/>
      <c r="N1643" s="10" t="n"/>
      <c r="O1643" s="10" t="n"/>
      <c r="P1643" s="10" t="n"/>
      <c r="Q1643" s="10" t="n"/>
      <c r="R1643" s="10" t="n"/>
      <c r="S1643" s="10" t="n"/>
      <c r="T1643" s="10" t="n"/>
      <c r="U1643" s="10" t="n"/>
      <c r="V1643" s="10" t="n"/>
      <c r="W1643" s="10" t="n"/>
      <c r="X1643" s="10" t="n"/>
      <c r="Y1643" s="10" t="n"/>
      <c r="Z1643" s="10" t="n"/>
    </row>
    <row r="1644">
      <c r="A1644" s="27" t="inlineStr">
        <is>
          <t>invoiceManagement.confirmRemoveOrders</t>
        </is>
      </c>
      <c r="B1644" s="27" t="inlineStr">
        <is>
          <t>Bạn có chắc chắn muốn loại bỏ những đơn hàng đã chọn</t>
        </is>
      </c>
      <c r="C1644" s="27" t="inlineStr">
        <is>
          <t>Are you sure to remove the selected orders</t>
        </is>
      </c>
      <c r="D1644" s="21" t="inlineStr">
        <is>
          <t>តើអ្នកពិតជាចង់លុបការបញ្ជាទិញដែលបានជ្រើសរើសមែនទេ?</t>
        </is>
      </c>
      <c r="E1644" s="24" t="inlineStr">
        <is>
          <t>តើអ្នកពិតជាចង់លុបបុងបញ្ញើដែលបានជ្រើសរើសមែនទេ?</t>
        </is>
      </c>
      <c r="F1644" s="10" t="n"/>
      <c r="G1644" s="10" t="inlineStr">
        <is>
          <t>តើអ្នកពិតជាចង់លុបបុងបញ្ញើដែលបានជ្រើសរើសមែនទេ?</t>
        </is>
      </c>
      <c r="H1644" s="10" t="inlineStr">
        <is>
          <t>តើអ្នកពិតជាចង់លុបបុងបញ្ញើដែលបានជ្រើសរើសមែនទេ?</t>
        </is>
      </c>
      <c r="I1644" s="10" t="n"/>
      <c r="J1644" s="10" t="n"/>
      <c r="K1644" s="10" t="inlineStr">
        <is>
          <t>"invoiceManagement.confirmRemoveOrders": "តើអ្នកពិតជាចង់លុបបុងបញ្ញើដែលបានជ្រើសរើសមែនទេ?",</t>
        </is>
      </c>
      <c r="L1644" s="10" t="n"/>
      <c r="M1644" s="10" t="n"/>
      <c r="N1644" s="10" t="n"/>
      <c r="O1644" s="10" t="n"/>
      <c r="P1644" s="10" t="n"/>
      <c r="Q1644" s="10" t="n"/>
      <c r="R1644" s="10" t="n"/>
      <c r="S1644" s="10" t="n"/>
      <c r="T1644" s="10" t="n"/>
      <c r="U1644" s="10" t="n"/>
      <c r="V1644" s="10" t="n"/>
      <c r="W1644" s="10" t="n"/>
      <c r="X1644" s="10" t="n"/>
      <c r="Y1644" s="10" t="n"/>
      <c r="Z1644" s="10" t="n"/>
    </row>
    <row r="1645">
      <c r="A1645" s="27" t="inlineStr">
        <is>
          <t>invoiceManagement.confirmRemoveBill</t>
        </is>
      </c>
      <c r="B1645" s="27" t="inlineStr">
        <is>
          <t>Bạn có chắc chắn muốn loại bỏ đơn hàng</t>
        </is>
      </c>
      <c r="C1645" s="27" t="inlineStr">
        <is>
          <t>Are you sure to remove this order</t>
        </is>
      </c>
      <c r="D1645" s="21" t="inlineStr">
        <is>
          <t>តើអ្នកពិតជាចង់លុបការបញ្ជាទិញមែនទេ?</t>
        </is>
      </c>
      <c r="E1645" s="24" t="inlineStr">
        <is>
          <t>តើអ្នកពិតជាចង់លុបបុងបញ្ញើមែនទេ?</t>
        </is>
      </c>
      <c r="F1645" s="10" t="n"/>
      <c r="G1645" s="10" t="inlineStr">
        <is>
          <t>តើអ្នកពិតជាចង់លុបបុងបញ្ញើមែនទេ?</t>
        </is>
      </c>
      <c r="H1645" s="10" t="inlineStr">
        <is>
          <t>តើអ្នកពិតជាចង់លុបបុងបញ្ញើមែនទេ?</t>
        </is>
      </c>
      <c r="I1645" s="10" t="n"/>
      <c r="J1645" s="10" t="n"/>
      <c r="K1645" s="10" t="inlineStr">
        <is>
          <t>"invoiceManagement.confirmRemoveBill": "តើអ្នកពិតជាចង់លុបបុងបញ្ញើមែនទេ?",</t>
        </is>
      </c>
      <c r="L1645" s="10" t="n"/>
      <c r="M1645" s="10" t="n"/>
      <c r="N1645" s="10" t="n"/>
      <c r="O1645" s="10" t="n"/>
      <c r="P1645" s="10" t="n"/>
      <c r="Q1645" s="10" t="n"/>
      <c r="R1645" s="10" t="n"/>
      <c r="S1645" s="10" t="n"/>
      <c r="T1645" s="10" t="n"/>
      <c r="U1645" s="10" t="n"/>
      <c r="V1645" s="10" t="n"/>
      <c r="W1645" s="10" t="n"/>
      <c r="X1645" s="10" t="n"/>
      <c r="Y1645" s="10" t="n"/>
      <c r="Z1645" s="10" t="n"/>
    </row>
    <row r="1646">
      <c r="A1646" s="27" t="inlineStr">
        <is>
          <t>invoiceManagement.confirmDeleteOrders</t>
        </is>
      </c>
      <c r="B1646" s="27" t="inlineStr">
        <is>
          <t>Bạn có chắc chắn muốn xoá những đơn hàng đã chọn</t>
        </is>
      </c>
      <c r="C1646" s="27" t="inlineStr">
        <is>
          <t>Are you sure to delete the selected orders</t>
        </is>
      </c>
      <c r="D1646" s="21" t="inlineStr">
        <is>
          <t>តើអ្នកពិតជាចង់លុបបុងទាំងអស់ដែលបានជ្រើសរើសមែនទេ</t>
        </is>
      </c>
      <c r="E1646" s="21" t="inlineStr">
        <is>
          <t>តើអ្នកពិតជាចង់លុបបុងទាំងអស់ដែលបានជ្រើសរើសមែនទេ</t>
        </is>
      </c>
      <c r="F1646" s="10" t="n"/>
      <c r="G1646" s="10" t="inlineStr">
        <is>
          <t>តើអ្នកពិតជាចង់លុបបុងទាំងអស់ដែលបានជ្រើសរើសមែនទេ</t>
        </is>
      </c>
      <c r="H1646" s="10" t="inlineStr">
        <is>
          <t>តើអ្នកពិតជាចង់លុបបុងទាំងអស់ដែលបានជ្រើសរើសមែនទេ</t>
        </is>
      </c>
      <c r="I1646" s="10" t="n"/>
      <c r="J1646" s="10" t="n"/>
      <c r="K1646" s="10" t="inlineStr">
        <is>
          <t>"invoiceManagement.confirmDeleteOrders": "តើអ្នកពិតជាចង់លុបបុងទាំងអស់ដែលបានជ្រើសរើសមែនទេ",</t>
        </is>
      </c>
      <c r="L1646" s="10" t="n"/>
      <c r="M1646" s="10" t="n"/>
      <c r="N1646" s="10" t="n"/>
      <c r="O1646" s="10" t="n"/>
      <c r="P1646" s="10" t="n"/>
      <c r="Q1646" s="10" t="n"/>
      <c r="R1646" s="10" t="n"/>
      <c r="S1646" s="10" t="n"/>
      <c r="T1646" s="10" t="n"/>
      <c r="U1646" s="10" t="n"/>
      <c r="V1646" s="10" t="n"/>
      <c r="W1646" s="10" t="n"/>
      <c r="X1646" s="10" t="n"/>
      <c r="Y1646" s="10" t="n"/>
      <c r="Z1646" s="10" t="n"/>
    </row>
    <row r="1647">
      <c r="A1647" s="27" t="inlineStr">
        <is>
          <t>invoiceManagement.confirmDeleteStatements</t>
        </is>
      </c>
      <c r="B1647" s="27" t="inlineStr">
        <is>
          <t>Bạn có chắc chắn muốn xoá những bảng kê đã chọn</t>
        </is>
      </c>
      <c r="C1647" s="27" t="inlineStr">
        <is>
          <t>Are you sure to delete the selected billing lists</t>
        </is>
      </c>
      <c r="D1647" s="21" t="inlineStr">
        <is>
          <t>តើអ្នកពិតជាចង់លុបចោលតារាងដែលបានជ្រើសរើសមែនទេ</t>
        </is>
      </c>
      <c r="E1647" s="21" t="inlineStr">
        <is>
          <t>តើអ្នកពិតជាចង់លុបចោលតារាងដែលបានជ្រើសរើសមែនទេ</t>
        </is>
      </c>
      <c r="F1647" s="10" t="n"/>
      <c r="G1647" s="10" t="inlineStr">
        <is>
          <t>តើអ្នកពិតជាចង់លុបចោលតារាងដែលបានជ្រើសរើសមែនទេ</t>
        </is>
      </c>
      <c r="H1647" s="10" t="inlineStr">
        <is>
          <t>តើអ្នកពិតជាចង់លុបចោលតារាងដែលបានជ្រើសរើសមែនទេ</t>
        </is>
      </c>
      <c r="I1647" s="10" t="n"/>
      <c r="J1647" s="10" t="n"/>
      <c r="K1647" s="10" t="inlineStr">
        <is>
          <t>"invoiceManagement.confirmDeleteStatements": "តើអ្នកពិតជាចង់លុបចោលតារាងដែលបានជ្រើសរើសមែនទេ",</t>
        </is>
      </c>
      <c r="L1647" s="10" t="n"/>
      <c r="M1647" s="10" t="n"/>
      <c r="N1647" s="10" t="n"/>
      <c r="O1647" s="10" t="n"/>
      <c r="P1647" s="10" t="n"/>
      <c r="Q1647" s="10" t="n"/>
      <c r="R1647" s="10" t="n"/>
      <c r="S1647" s="10" t="n"/>
      <c r="T1647" s="10" t="n"/>
      <c r="U1647" s="10" t="n"/>
      <c r="V1647" s="10" t="n"/>
      <c r="W1647" s="10" t="n"/>
      <c r="X1647" s="10" t="n"/>
      <c r="Y1647" s="10" t="n"/>
      <c r="Z1647" s="10" t="n"/>
    </row>
    <row r="1648">
      <c r="A1648" s="27" t="inlineStr">
        <is>
          <t>invoiceManagement.confirmDeleteStatement</t>
        </is>
      </c>
      <c r="B1648" s="27" t="inlineStr">
        <is>
          <t>Bạn có chắc chắn muốn xoá bản kê</t>
        </is>
      </c>
      <c r="C1648" s="27" t="inlineStr">
        <is>
          <t>Are you sure to delete this billing list</t>
        </is>
      </c>
      <c r="D1648" s="21" t="inlineStr">
        <is>
          <t>តើអ្នកពិតជាចង់លុបតារាងចោលមែនទេ</t>
        </is>
      </c>
      <c r="E1648" s="21" t="inlineStr">
        <is>
          <t>តើអ្នកពិតជាចង់លុបតារាងចោលមែនទេ</t>
        </is>
      </c>
      <c r="F1648" s="10" t="n"/>
      <c r="G1648" s="10" t="inlineStr">
        <is>
          <t>តើអ្នកពិតជាចង់លុបតារាងចោលមែនទេ</t>
        </is>
      </c>
      <c r="H1648" s="10" t="inlineStr">
        <is>
          <t>តើអ្នកពិតជាចង់លុបតារាងចោលមែនទេ</t>
        </is>
      </c>
      <c r="I1648" s="10" t="n"/>
      <c r="J1648" s="10" t="n"/>
      <c r="K1648" s="10" t="inlineStr">
        <is>
          <t>"invoiceManagement.confirmDeleteStatement": "តើអ្នកពិតជាចង់លុបតារាងចោលមែនទេ",</t>
        </is>
      </c>
      <c r="L1648" s="10" t="n"/>
      <c r="M1648" s="10" t="n"/>
      <c r="N1648" s="10" t="n"/>
      <c r="O1648" s="10" t="n"/>
      <c r="P1648" s="10" t="n"/>
      <c r="Q1648" s="10" t="n"/>
      <c r="R1648" s="10" t="n"/>
      <c r="S1648" s="10" t="n"/>
      <c r="T1648" s="10" t="n"/>
      <c r="U1648" s="10" t="n"/>
      <c r="V1648" s="10" t="n"/>
      <c r="W1648" s="10" t="n"/>
      <c r="X1648" s="10" t="n"/>
      <c r="Y1648" s="10" t="n"/>
      <c r="Z1648" s="10" t="n"/>
    </row>
    <row r="1649">
      <c r="A1649" s="27" t="inlineStr">
        <is>
          <t>invoiceManagement.statements</t>
        </is>
      </c>
      <c r="B1649" s="27" t="inlineStr">
        <is>
          <t>Danh sách bảng kê</t>
        </is>
      </c>
      <c r="C1649" s="27" t="inlineStr">
        <is>
          <t>Billing list</t>
        </is>
      </c>
      <c r="D1649" s="21" t="inlineStr">
        <is>
          <t>បញ្ជីតារាង</t>
        </is>
      </c>
      <c r="E1649" s="21" t="inlineStr">
        <is>
          <t>បញ្ជីតារាង</t>
        </is>
      </c>
      <c r="F1649" s="10" t="n"/>
      <c r="G1649" s="10" t="inlineStr">
        <is>
          <t>បញ្ជីតារាង</t>
        </is>
      </c>
      <c r="H1649" s="10" t="inlineStr">
        <is>
          <t>បញ្ជីតារាង</t>
        </is>
      </c>
      <c r="I1649" s="10" t="n"/>
      <c r="J1649" s="10" t="n"/>
      <c r="K1649" s="10" t="inlineStr">
        <is>
          <t>"invoiceManagement.statements": "បញ្ជីតារាង",</t>
        </is>
      </c>
      <c r="L1649" s="10" t="n"/>
      <c r="M1649" s="10" t="n"/>
      <c r="N1649" s="10" t="n"/>
      <c r="O1649" s="10" t="n"/>
      <c r="P1649" s="10" t="n"/>
      <c r="Q1649" s="10" t="n"/>
      <c r="R1649" s="10" t="n"/>
      <c r="S1649" s="10" t="n"/>
      <c r="T1649" s="10" t="n"/>
      <c r="U1649" s="10" t="n"/>
      <c r="V1649" s="10" t="n"/>
      <c r="W1649" s="10" t="n"/>
      <c r="X1649" s="10" t="n"/>
      <c r="Y1649" s="10" t="n"/>
      <c r="Z1649" s="10" t="n"/>
    </row>
    <row r="1650">
      <c r="A1650" s="27" t="inlineStr">
        <is>
          <t>invoiceManagement.statementSetting</t>
        </is>
      </c>
      <c r="B1650" s="27" t="inlineStr">
        <is>
          <t>Cấu hình bảng kê</t>
        </is>
      </c>
      <c r="C1650" s="27" t="inlineStr">
        <is>
          <t>Billing list settings</t>
        </is>
      </c>
      <c r="D1650" s="102" t="n"/>
      <c r="E1650" s="102" t="inlineStr">
        <is>
          <t>រចនាសម្ព័ន្ធតារាង</t>
        </is>
      </c>
      <c r="F1650" s="10" t="n"/>
      <c r="G1650" s="10" t="inlineStr">
        <is>
          <t>រចនាសម្ព័ន្ធតារាង</t>
        </is>
      </c>
      <c r="H1650" s="10" t="inlineStr">
        <is>
          <t>រចនាសម្ព័ន្ធតារាង</t>
        </is>
      </c>
      <c r="I1650" s="10" t="n"/>
      <c r="J1650" s="10" t="n"/>
      <c r="K1650" s="10" t="inlineStr">
        <is>
          <t>"invoiceManagement.statementSetting": "រចនាសម្ព័ន្ធតារាង",</t>
        </is>
      </c>
      <c r="L1650" s="10" t="n"/>
      <c r="M1650" s="10" t="n"/>
      <c r="N1650" s="10" t="n"/>
      <c r="O1650" s="10" t="n"/>
      <c r="P1650" s="10" t="n"/>
      <c r="Q1650" s="10" t="n"/>
      <c r="R1650" s="10" t="n"/>
      <c r="S1650" s="10" t="n"/>
      <c r="T1650" s="10" t="n"/>
      <c r="U1650" s="10" t="n"/>
      <c r="V1650" s="10" t="n"/>
      <c r="W1650" s="10" t="n"/>
      <c r="X1650" s="10" t="n"/>
      <c r="Y1650" s="10" t="n"/>
      <c r="Z1650" s="10" t="n"/>
    </row>
    <row r="1651">
      <c r="A1651" s="27" t="inlineStr">
        <is>
          <t>invoiceManagement.statementSettingDetail</t>
        </is>
      </c>
      <c r="B1651" s="27" t="inlineStr">
        <is>
          <t>Chi tiết cấu hình bảng kê</t>
        </is>
      </c>
      <c r="C1651" s="27" t="inlineStr">
        <is>
          <t>-</t>
        </is>
      </c>
      <c r="D1651" s="102" t="n"/>
      <c r="E1651" s="102" t="inlineStr">
        <is>
          <t>លម្អិតរចនាសម្ព័ន្ធតារាង</t>
        </is>
      </c>
      <c r="F1651" s="10" t="n"/>
      <c r="G1651" s="10" t="inlineStr">
        <is>
          <t>លម្អិតរចនាសម្ព័ន្ធតារាង</t>
        </is>
      </c>
      <c r="H1651" s="10" t="inlineStr">
        <is>
          <t>លម្អិតរចនាសម្ព័ន្ធតារាង</t>
        </is>
      </c>
      <c r="I1651" s="10" t="n"/>
      <c r="J1651" s="10" t="n"/>
      <c r="K1651" s="10" t="inlineStr">
        <is>
          <t>"invoiceManagement.statementSettingDetail": "លម្អិតរចនាសម្ព័ន្ធតារាង",</t>
        </is>
      </c>
      <c r="L1651" s="10" t="n"/>
      <c r="M1651" s="10" t="n"/>
      <c r="N1651" s="10" t="n"/>
      <c r="O1651" s="10" t="n"/>
      <c r="P1651" s="10" t="n"/>
      <c r="Q1651" s="10" t="n"/>
      <c r="R1651" s="10" t="n"/>
      <c r="S1651" s="10" t="n"/>
      <c r="T1651" s="10" t="n"/>
      <c r="U1651" s="10" t="n"/>
      <c r="V1651" s="10" t="n"/>
      <c r="W1651" s="10" t="n"/>
      <c r="X1651" s="10" t="n"/>
      <c r="Y1651" s="10" t="n"/>
      <c r="Z1651" s="10" t="n"/>
    </row>
    <row r="1652">
      <c r="A1652" s="27" t="inlineStr">
        <is>
          <t>invoiceManagement.createStatement</t>
        </is>
      </c>
      <c r="B1652" s="27" t="inlineStr">
        <is>
          <t>Thêm mới</t>
        </is>
      </c>
      <c r="C1652" s="27" t="inlineStr">
        <is>
          <t>Add</t>
        </is>
      </c>
      <c r="D1652" s="21" t="inlineStr">
        <is>
          <t>បន្ថែមថ្មី្ម</t>
        </is>
      </c>
      <c r="E1652" s="21" t="inlineStr">
        <is>
          <t>បន្ថែមថ្មី្ម</t>
        </is>
      </c>
      <c r="F1652" s="10" t="n"/>
      <c r="G1652" s="10" t="inlineStr">
        <is>
          <t>បន្ថែមថ្មី</t>
        </is>
      </c>
      <c r="H1652" s="10" t="inlineStr">
        <is>
          <t>បន្ថែមថ្មី</t>
        </is>
      </c>
      <c r="I1652" s="10" t="n"/>
      <c r="J1652" s="10" t="n"/>
      <c r="K1652" s="10" t="inlineStr">
        <is>
          <t>"invoiceManagement.createStatement": "បន្ថែមថ្មី",</t>
        </is>
      </c>
      <c r="L1652" s="10" t="n"/>
      <c r="M1652" s="10" t="n"/>
      <c r="N1652" s="10" t="n"/>
      <c r="O1652" s="10" t="n"/>
      <c r="P1652" s="10" t="n"/>
      <c r="Q1652" s="10" t="n"/>
      <c r="R1652" s="10" t="n"/>
      <c r="S1652" s="10" t="n"/>
      <c r="T1652" s="10" t="n"/>
      <c r="U1652" s="10" t="n"/>
      <c r="V1652" s="10" t="n"/>
      <c r="W1652" s="10" t="n"/>
      <c r="X1652" s="10" t="n"/>
      <c r="Y1652" s="10" t="n"/>
      <c r="Z1652" s="10" t="n"/>
    </row>
    <row r="1653">
      <c r="A1653" s="27" t="inlineStr">
        <is>
          <t>invoiceManagement.settingId</t>
        </is>
      </c>
      <c r="B1653" s="27" t="inlineStr">
        <is>
          <t>Mã cấu hình</t>
        </is>
      </c>
      <c r="C1653" s="27" t="inlineStr">
        <is>
          <t>Settings ID</t>
        </is>
      </c>
      <c r="D1653" s="102" t="n"/>
      <c r="E1653" s="102" t="inlineStr">
        <is>
          <t>លេខកូដរចនាសម្ព័ន្ធ</t>
        </is>
      </c>
      <c r="F1653" s="10" t="n"/>
      <c r="G1653" s="10" t="inlineStr">
        <is>
          <t>លេខកូដរចនាសម្ព័ន្ធ</t>
        </is>
      </c>
      <c r="H1653" s="10" t="inlineStr">
        <is>
          <t>លេខកូដរចនាសម្ព័ន្ធ</t>
        </is>
      </c>
      <c r="I1653" s="10" t="n"/>
      <c r="J1653" s="10" t="n"/>
      <c r="K1653" s="10" t="inlineStr">
        <is>
          <t>"invoiceManagement.settingId": "លេខកូដរចនាសម្ព័ន្ធ",</t>
        </is>
      </c>
      <c r="L1653" s="10" t="n"/>
      <c r="M1653" s="10" t="n"/>
      <c r="N1653" s="10" t="n"/>
      <c r="O1653" s="10" t="n"/>
      <c r="P1653" s="10" t="n"/>
      <c r="Q1653" s="10" t="n"/>
      <c r="R1653" s="10" t="n"/>
      <c r="S1653" s="10" t="n"/>
      <c r="T1653" s="10" t="n"/>
      <c r="U1653" s="10" t="n"/>
      <c r="V1653" s="10" t="n"/>
      <c r="W1653" s="10" t="n"/>
      <c r="X1653" s="10" t="n"/>
      <c r="Y1653" s="10" t="n"/>
      <c r="Z1653" s="10" t="n"/>
    </row>
    <row r="1654">
      <c r="A1654" s="27" t="inlineStr">
        <is>
          <t>invoiceManagement.method</t>
        </is>
      </c>
      <c r="B1654" s="27" t="inlineStr">
        <is>
          <t>Hình thức</t>
        </is>
      </c>
      <c r="C1654" s="27" t="inlineStr">
        <is>
          <t>Creation Method</t>
        </is>
      </c>
      <c r="D1654" s="21" t="inlineStr">
        <is>
          <t>ទម្រង់</t>
        </is>
      </c>
      <c r="E1654" s="21" t="inlineStr">
        <is>
          <t>ទម្រង់</t>
        </is>
      </c>
      <c r="F1654" s="10" t="n"/>
      <c r="G1654" s="10" t="inlineStr">
        <is>
          <t>ទម្រង់</t>
        </is>
      </c>
      <c r="H1654" s="10" t="inlineStr">
        <is>
          <t>ទម្រង់</t>
        </is>
      </c>
      <c r="I1654" s="10" t="n"/>
      <c r="J1654" s="10" t="n"/>
      <c r="K1654" s="10" t="inlineStr">
        <is>
          <t>"invoiceManagement.method": "ទម្រង់",</t>
        </is>
      </c>
      <c r="L1654" s="10" t="n"/>
      <c r="M1654" s="10" t="n"/>
      <c r="N1654" s="10" t="n"/>
      <c r="O1654" s="10" t="n"/>
      <c r="P1654" s="10" t="n"/>
      <c r="Q1654" s="10" t="n"/>
      <c r="R1654" s="10" t="n"/>
      <c r="S1654" s="10" t="n"/>
      <c r="T1654" s="10" t="n"/>
      <c r="U1654" s="10" t="n"/>
      <c r="V1654" s="10" t="n"/>
      <c r="W1654" s="10" t="n"/>
      <c r="X1654" s="10" t="n"/>
      <c r="Y1654" s="10" t="n"/>
      <c r="Z1654" s="10" t="n"/>
    </row>
    <row r="1655">
      <c r="A1655" s="27" t="inlineStr">
        <is>
          <t>invoiceManagement.deleteRecord</t>
        </is>
      </c>
      <c r="B1655" s="27" t="inlineStr">
        <is>
          <t>Bạn có chắc chắn muốn xóa bảng kê</t>
        </is>
      </c>
      <c r="C1655" s="27" t="inlineStr">
        <is>
          <t>Are you sure to delete this billing list</t>
        </is>
      </c>
      <c r="D1655" s="21" t="inlineStr">
        <is>
          <t>តើអ្នកពិតជាចង់លុបតារាងចោលមែនទេ</t>
        </is>
      </c>
      <c r="E1655" s="21" t="inlineStr">
        <is>
          <t>តើអ្នកពិតជាចង់លុបតារាងចោលមែនទេ</t>
        </is>
      </c>
      <c r="F1655" s="10" t="n"/>
      <c r="G1655" s="10" t="inlineStr">
        <is>
          <t>តើអ្នកពិតជាចង់លុបតារាងចោលមែនទេ</t>
        </is>
      </c>
      <c r="H1655" s="10" t="inlineStr">
        <is>
          <t>តើអ្នកពិតជាចង់លុបតារាងចោលមែនទេ</t>
        </is>
      </c>
      <c r="I1655" s="10" t="n"/>
      <c r="J1655" s="10" t="n"/>
      <c r="K1655" s="10" t="inlineStr">
        <is>
          <t>"invoiceManagement.deleteRecord": "តើអ្នកពិតជាចង់លុបតារាងចោលមែនទេ",</t>
        </is>
      </c>
      <c r="L1655" s="10" t="n"/>
      <c r="M1655" s="10" t="n"/>
      <c r="N1655" s="10" t="n"/>
      <c r="O1655" s="10" t="n"/>
      <c r="P1655" s="10" t="n"/>
      <c r="Q1655" s="10" t="n"/>
      <c r="R1655" s="10" t="n"/>
      <c r="S1655" s="10" t="n"/>
      <c r="T1655" s="10" t="n"/>
      <c r="U1655" s="10" t="n"/>
      <c r="V1655" s="10" t="n"/>
      <c r="W1655" s="10" t="n"/>
      <c r="X1655" s="10" t="n"/>
      <c r="Y1655" s="10" t="n"/>
      <c r="Z1655" s="10" t="n"/>
    </row>
    <row r="1656">
      <c r="A1656" s="27" t="inlineStr">
        <is>
          <t>invoiceManagement.collectByOrder</t>
        </is>
      </c>
      <c r="B1656" s="27" t="inlineStr">
        <is>
          <t>Gom theo từng đơn</t>
        </is>
      </c>
      <c r="C1656" s="27" t="inlineStr">
        <is>
          <t>Create by order</t>
        </is>
      </c>
      <c r="D1656" s="102" t="n"/>
      <c r="E1656" s="102" t="inlineStr">
        <is>
          <t>បញ្ចូលតាមបុងបញ្ញើនីមួយៗ</t>
        </is>
      </c>
      <c r="F1656" s="10" t="n"/>
      <c r="G1656" s="10" t="inlineStr">
        <is>
          <t>បញ្ចូលតាមបុងបញ្ញើនីមួយៗ</t>
        </is>
      </c>
      <c r="H1656" s="10" t="inlineStr">
        <is>
          <t>បញ្ចូលតាមបុងបញ្ញើនីមួយៗ</t>
        </is>
      </c>
      <c r="I1656" s="10" t="n"/>
      <c r="J1656" s="10" t="n"/>
      <c r="K1656" s="10" t="inlineStr">
        <is>
          <t>"invoiceManagement.collectByOrder": "បញ្ចូលតាមបុងបញ្ញើនីមួយៗ",</t>
        </is>
      </c>
      <c r="L1656" s="10" t="n"/>
      <c r="M1656" s="10" t="n"/>
      <c r="N1656" s="10" t="n"/>
      <c r="O1656" s="10" t="n"/>
      <c r="P1656" s="10" t="n"/>
      <c r="Q1656" s="10" t="n"/>
      <c r="R1656" s="10" t="n"/>
      <c r="S1656" s="10" t="n"/>
      <c r="T1656" s="10" t="n"/>
      <c r="U1656" s="10" t="n"/>
      <c r="V1656" s="10" t="n"/>
      <c r="W1656" s="10" t="n"/>
      <c r="X1656" s="10" t="n"/>
      <c r="Y1656" s="10" t="n"/>
      <c r="Z1656" s="10" t="n"/>
    </row>
    <row r="1657">
      <c r="A1657" s="27" t="inlineStr">
        <is>
          <t>invoiceManagement.RECORD_STATEMENT_CREATE_NEW</t>
        </is>
      </c>
      <c r="B1657" s="27" t="inlineStr">
        <is>
          <t>Tạo mới</t>
        </is>
      </c>
      <c r="C1657" s="27" t="inlineStr">
        <is>
          <t>New</t>
        </is>
      </c>
      <c r="D1657" s="21" t="inlineStr">
        <is>
          <t>បង្កើតថ្មី</t>
        </is>
      </c>
      <c r="E1657" s="102" t="inlineStr">
        <is>
          <t>បង្កើ្កតថ្មី</t>
        </is>
      </c>
      <c r="F1657" s="10" t="n"/>
      <c r="G1657" s="10" t="inlineStr">
        <is>
          <t>បង្កើតថ្មី</t>
        </is>
      </c>
      <c r="H1657" s="10" t="inlineStr">
        <is>
          <t>បង្កើតថ្មី</t>
        </is>
      </c>
      <c r="I1657" s="10" t="n"/>
      <c r="J1657" s="10" t="n"/>
      <c r="K1657" s="10" t="inlineStr">
        <is>
          <t>"invoiceManagement.RECORD_STATEMENT_CREATE_NEW": "បង្កើតថ្មី",</t>
        </is>
      </c>
      <c r="L1657" s="10" t="n"/>
      <c r="M1657" s="10" t="n"/>
      <c r="N1657" s="10" t="n"/>
      <c r="O1657" s="10" t="n"/>
      <c r="P1657" s="10" t="n"/>
      <c r="Q1657" s="10" t="n"/>
      <c r="R1657" s="10" t="n"/>
      <c r="S1657" s="10" t="n"/>
      <c r="T1657" s="10" t="n"/>
      <c r="U1657" s="10" t="n"/>
      <c r="V1657" s="10" t="n"/>
      <c r="W1657" s="10" t="n"/>
      <c r="X1657" s="10" t="n"/>
      <c r="Y1657" s="10" t="n"/>
      <c r="Z1657" s="10" t="n"/>
    </row>
    <row r="1658">
      <c r="A1658" s="27" t="inlineStr">
        <is>
          <t>invoiceManagement.RECORD_STATEMENT_ISSUING</t>
        </is>
      </c>
      <c r="B1658" s="27" t="inlineStr">
        <is>
          <t>Đang xuất hoá đơn</t>
        </is>
      </c>
      <c r="C1658" s="27" t="inlineStr">
        <is>
          <t>Issuing</t>
        </is>
      </c>
      <c r="D1658" s="21" t="inlineStr">
        <is>
          <t>កំពុុងចេញបុងបញ្ញើ</t>
        </is>
      </c>
      <c r="E1658" s="21" t="inlineStr">
        <is>
          <t>កំពុុងចេញបុងបញ្ញើ</t>
        </is>
      </c>
      <c r="F1658" s="10" t="n"/>
      <c r="G1658" s="10" t="inlineStr">
        <is>
          <t>កំពុុងចេញបុងបញ្ញើ</t>
        </is>
      </c>
      <c r="H1658" s="10" t="inlineStr">
        <is>
          <t>កំពុុងចេញបុងបញ្ញើ</t>
        </is>
      </c>
      <c r="I1658" s="10" t="n"/>
      <c r="J1658" s="10" t="n"/>
      <c r="K1658" s="10" t="inlineStr">
        <is>
          <t>"invoiceManagement.RECORD_STATEMENT_ISSUING": "កំពុុងចេញបុងបញ្ញើ",</t>
        </is>
      </c>
      <c r="L1658" s="10" t="n"/>
      <c r="M1658" s="10" t="n"/>
      <c r="N1658" s="10" t="n"/>
      <c r="O1658" s="10" t="n"/>
      <c r="P1658" s="10" t="n"/>
      <c r="Q1658" s="10" t="n"/>
      <c r="R1658" s="10" t="n"/>
      <c r="S1658" s="10" t="n"/>
      <c r="T1658" s="10" t="n"/>
      <c r="U1658" s="10" t="n"/>
      <c r="V1658" s="10" t="n"/>
      <c r="W1658" s="10" t="n"/>
      <c r="X1658" s="10" t="n"/>
      <c r="Y1658" s="10" t="n"/>
      <c r="Z1658" s="10" t="n"/>
    </row>
    <row r="1659">
      <c r="A1659" s="27" t="inlineStr">
        <is>
          <t>invoiceManagement.RECORD_COD_PAYMENT_ISSUED</t>
        </is>
      </c>
      <c r="B1659" s="27" t="inlineStr">
        <is>
          <t>Xuất hoá đơn thành công</t>
        </is>
      </c>
      <c r="C1659" s="27" t="inlineStr">
        <is>
          <t>Issued</t>
        </is>
      </c>
      <c r="D1659" s="21" t="inlineStr">
        <is>
          <t>ចេញបុងបញ្ញើបានជោគជ័យ</t>
        </is>
      </c>
      <c r="E1659" s="21" t="inlineStr">
        <is>
          <t>ចេញបុងបញ្ញើបានជោគជ័យ</t>
        </is>
      </c>
      <c r="F1659" s="10" t="n"/>
      <c r="G1659" s="10" t="inlineStr">
        <is>
          <t>ចេញបុងបញ្ញើបានជោគជ័យ</t>
        </is>
      </c>
      <c r="H1659" s="10" t="inlineStr">
        <is>
          <t>ចេញបុងបញ្ញើបានជោគជ័យ</t>
        </is>
      </c>
      <c r="I1659" s="10" t="n"/>
      <c r="J1659" s="10" t="n"/>
      <c r="K1659" s="10" t="inlineStr">
        <is>
          <t>"invoiceManagement.RECORD_COD_PAYMENT_ISSUED": "ចេញបុងបញ្ញើបានជោគជ័យ",</t>
        </is>
      </c>
      <c r="L1659" s="10" t="n"/>
      <c r="M1659" s="10" t="n"/>
      <c r="N1659" s="10" t="n"/>
      <c r="O1659" s="10" t="n"/>
      <c r="P1659" s="10" t="n"/>
      <c r="Q1659" s="10" t="n"/>
      <c r="R1659" s="10" t="n"/>
      <c r="S1659" s="10" t="n"/>
      <c r="T1659" s="10" t="n"/>
      <c r="U1659" s="10" t="n"/>
      <c r="V1659" s="10" t="n"/>
      <c r="W1659" s="10" t="n"/>
      <c r="X1659" s="10" t="n"/>
      <c r="Y1659" s="10" t="n"/>
      <c r="Z1659" s="10" t="n"/>
    </row>
    <row r="1660">
      <c r="A1660" s="27" t="inlineStr">
        <is>
          <t>invoiceManagement.RECORD_STATEMENT_EXPORT_ERROR</t>
        </is>
      </c>
      <c r="B1660" s="27" t="inlineStr">
        <is>
          <t>Xuất hóa đơn thất bại</t>
        </is>
      </c>
      <c r="C1660" s="27" t="inlineStr">
        <is>
          <t>Invoice Issuance Error</t>
        </is>
      </c>
      <c r="D1660" s="21" t="inlineStr">
        <is>
          <t>ចេញបុងបញ្ញើបរាជ័យ</t>
        </is>
      </c>
      <c r="E1660" s="21" t="inlineStr">
        <is>
          <t>ចេញបុងបញ្ញើបរាជ័យ</t>
        </is>
      </c>
      <c r="F1660" s="10" t="n"/>
      <c r="G1660" s="10" t="inlineStr">
        <is>
          <t>ចេញបុងបញ្ញើបរាជ័យ</t>
        </is>
      </c>
      <c r="H1660" s="10" t="inlineStr">
        <is>
          <t>ចេញបុងបញ្ញើបរាជ័យ</t>
        </is>
      </c>
      <c r="I1660" s="10" t="n"/>
      <c r="J1660" s="10" t="n"/>
      <c r="K1660" s="10" t="inlineStr">
        <is>
          <t>"invoiceManagement.RECORD_STATEMENT_EXPORT_ERROR": "ចេញបុងបញ្ញើបរាជ័យ",</t>
        </is>
      </c>
      <c r="L1660" s="10" t="n"/>
      <c r="M1660" s="10" t="n"/>
      <c r="N1660" s="10" t="n"/>
      <c r="O1660" s="10" t="n"/>
      <c r="P1660" s="10" t="n"/>
      <c r="Q1660" s="10" t="n"/>
      <c r="R1660" s="10" t="n"/>
      <c r="S1660" s="10" t="n"/>
      <c r="T1660" s="10" t="n"/>
      <c r="U1660" s="10" t="n"/>
      <c r="V1660" s="10" t="n"/>
      <c r="W1660" s="10" t="n"/>
      <c r="X1660" s="10" t="n"/>
      <c r="Y1660" s="10" t="n"/>
      <c r="Z1660" s="10" t="n"/>
    </row>
    <row r="1661">
      <c r="A1661" s="27" t="inlineStr">
        <is>
          <t>invoiceManagement.removeOrder</t>
        </is>
      </c>
      <c r="B1661" s="27" t="inlineStr">
        <is>
          <t>Loại bỏ đơn hàng</t>
        </is>
      </c>
      <c r="C1661" s="27" t="inlineStr">
        <is>
          <t>Remove order</t>
        </is>
      </c>
      <c r="D1661" s="21" t="inlineStr">
        <is>
          <t>លុបចោលបុងបញ្ញើ</t>
        </is>
      </c>
      <c r="E1661" s="21" t="inlineStr">
        <is>
          <t>លុបចោលបុងបញ្ញើ</t>
        </is>
      </c>
      <c r="F1661" s="10" t="n"/>
      <c r="G1661" s="10" t="inlineStr">
        <is>
          <t>លុបចោលបុងបញ្ញើ</t>
        </is>
      </c>
      <c r="H1661" s="10" t="inlineStr">
        <is>
          <t>លុបចោលបុងបញ្ញើ</t>
        </is>
      </c>
      <c r="I1661" s="10" t="n"/>
      <c r="J1661" s="10" t="n"/>
      <c r="K1661" s="10" t="inlineStr">
        <is>
          <t>"invoiceManagement.removeOrder": "លុបចោលបុងបញ្ញើ",</t>
        </is>
      </c>
      <c r="L1661" s="10" t="n"/>
      <c r="M1661" s="10" t="n"/>
      <c r="N1661" s="10" t="n"/>
      <c r="O1661" s="10" t="n"/>
      <c r="P1661" s="10" t="n"/>
      <c r="Q1661" s="10" t="n"/>
      <c r="R1661" s="10" t="n"/>
      <c r="S1661" s="10" t="n"/>
      <c r="T1661" s="10" t="n"/>
      <c r="U1661" s="10" t="n"/>
      <c r="V1661" s="10" t="n"/>
      <c r="W1661" s="10" t="n"/>
      <c r="X1661" s="10" t="n"/>
      <c r="Y1661" s="10" t="n"/>
      <c r="Z1661" s="10" t="n"/>
    </row>
    <row r="1662">
      <c r="A1662" s="27" t="inlineStr">
        <is>
          <t>invoiceManagement.deleteOrder</t>
        </is>
      </c>
      <c r="B1662" s="27" t="inlineStr">
        <is>
          <t>Xoá đơn hàng</t>
        </is>
      </c>
      <c r="C1662" s="27" t="inlineStr">
        <is>
          <t>Delete order</t>
        </is>
      </c>
      <c r="D1662" s="21" t="inlineStr">
        <is>
          <t>លុបបុុងបញ្ញើ</t>
        </is>
      </c>
      <c r="E1662" s="21" t="inlineStr">
        <is>
          <t>លុបបុុងបញ្ញើ</t>
        </is>
      </c>
      <c r="F1662" s="10" t="n"/>
      <c r="G1662" s="10" t="inlineStr">
        <is>
          <t>លុបបុុងបញ្ញើ</t>
        </is>
      </c>
      <c r="H1662" s="10" t="inlineStr">
        <is>
          <t>លុបបុុងបញ្ញើ</t>
        </is>
      </c>
      <c r="I1662" s="10" t="n"/>
      <c r="J1662" s="10" t="n"/>
      <c r="K1662" s="10" t="inlineStr">
        <is>
          <t>"invoiceManagement.deleteOrder": "លុបបុុងបញ្ញើ",</t>
        </is>
      </c>
      <c r="L1662" s="10" t="n"/>
      <c r="M1662" s="10" t="n"/>
      <c r="N1662" s="10" t="n"/>
      <c r="O1662" s="10" t="n"/>
      <c r="P1662" s="10" t="n"/>
      <c r="Q1662" s="10" t="n"/>
      <c r="R1662" s="10" t="n"/>
      <c r="S1662" s="10" t="n"/>
      <c r="T1662" s="10" t="n"/>
      <c r="U1662" s="10" t="n"/>
      <c r="V1662" s="10" t="n"/>
      <c r="W1662" s="10" t="n"/>
      <c r="X1662" s="10" t="n"/>
      <c r="Y1662" s="10" t="n"/>
      <c r="Z1662" s="10" t="n"/>
    </row>
    <row r="1663">
      <c r="A1663" s="27" t="inlineStr">
        <is>
          <t>invoiceManagement.autoRemove</t>
        </is>
      </c>
      <c r="B1663" s="27" t="inlineStr">
        <is>
          <t>Toàn bộ đơn hàng trong bảng kê đã bị xóa. Hệ thống sẽ tự động xóa bảng kê này.</t>
        </is>
      </c>
      <c r="C1663" s="27" t="inlineStr">
        <is>
          <t>All orders in this billing list have been deleted. The system will automatically delete this billing list.</t>
        </is>
      </c>
      <c r="D1663" s="24" t="inlineStr">
        <is>
          <t>គ្រប់បុងបញ្ញើនៅក្នុងតារាងនេះត្រូវបានលុប។ ប្រព័ន្ធនឹងត្រូវលុបតារាងនេះ។</t>
        </is>
      </c>
      <c r="E1663" s="24" t="inlineStr">
        <is>
          <t>គ្រប់បុងបញ្ញើនៅក្នុងតារាងនេះត្រូវបានលុប។ ប្រព័ន្ធនឹងត្រូវលុបតារាងនេះ។</t>
        </is>
      </c>
      <c r="F1663" s="10" t="n"/>
      <c r="G1663" s="10" t="inlineStr">
        <is>
          <t>គ្រប់បុងបញ្ញើនៅក្នុងតារាងនេះត្រូវបានលុប។ ប្រព័ន្ធនឹងត្រូវលុបតារាងនេះ។</t>
        </is>
      </c>
      <c r="H1663" s="10" t="inlineStr">
        <is>
          <t>គ្រប់បុងបញ្ញើនៅក្នុងតារាងនេះត្រូវបានលុប។ ប្រព័ន្ធនឹងត្រូវលុបតារាងនេះ។</t>
        </is>
      </c>
      <c r="I1663" s="10" t="n"/>
      <c r="J1663" s="10" t="n"/>
      <c r="K1663" s="10" t="inlineStr">
        <is>
          <t>"invoiceManagement.autoRemove": "គ្រប់បុងបញ្ញើនៅក្នុងតារាងនេះត្រូវបានលុប។ ប្រព័ន្ធនឹងត្រូវលុបតារាងនេះ។",</t>
        </is>
      </c>
      <c r="L1663" s="10" t="n"/>
      <c r="M1663" s="10" t="n"/>
      <c r="N1663" s="10" t="n"/>
      <c r="O1663" s="10" t="n"/>
      <c r="P1663" s="10" t="n"/>
      <c r="Q1663" s="10" t="n"/>
      <c r="R1663" s="10" t="n"/>
      <c r="S1663" s="10" t="n"/>
      <c r="T1663" s="10" t="n"/>
      <c r="U1663" s="10" t="n"/>
      <c r="V1663" s="10" t="n"/>
      <c r="W1663" s="10" t="n"/>
      <c r="X1663" s="10" t="n"/>
      <c r="Y1663" s="10" t="n"/>
      <c r="Z1663" s="10" t="n"/>
    </row>
    <row r="1664">
      <c r="A1664" s="27" t="inlineStr">
        <is>
          <t>invoiceManagement.validateTime</t>
        </is>
      </c>
      <c r="B1664" s="27" t="inlineStr">
        <is>
          <t>{{label}} không được để trống, vui lòng chọn lại.</t>
        </is>
      </c>
      <c r="C1664" s="27" t="inlineStr">
        <is>
          <t>{{label}} is required, please select again.</t>
        </is>
      </c>
      <c r="D1664" s="27" t="inlineStr">
        <is>
          <t>{{label}} មិនអាចទុកនៅចន្លោះបានទេ សូមជ្រើសរើសម្តងទៀត។</t>
        </is>
      </c>
      <c r="E1664" s="27" t="inlineStr">
        <is>
          <t>{{label}} មិនអាចទុកនៅចន្លោះបានទេ សូមជ្រើសរើសម្តងទៀត។</t>
        </is>
      </c>
      <c r="F1664" s="10" t="n"/>
      <c r="G1664" s="10" t="inlineStr">
        <is>
          <t>{{label}} មិនអាចទុកនៅចន្លោះបានទេ សូមជ្រើសរើសម្តងទៀត។</t>
        </is>
      </c>
      <c r="H1664" s="10" t="inlineStr">
        <is>
          <t>{{label}} មិនអាចទុកនៅចន្លោះបានទេ សូមជ្រើសរើសម្តងទៀត។</t>
        </is>
      </c>
      <c r="I1664" s="10" t="n"/>
      <c r="J1664" s="10" t="n"/>
      <c r="K1664" s="10" t="inlineStr">
        <is>
          <t>"invoiceManagement.validateTime": "{{label}} មិនអាចទុកនៅចន្លោះបានទេ សូមជ្រើសរើសម្តងទៀត។",</t>
        </is>
      </c>
      <c r="L1664" s="10" t="n"/>
      <c r="M1664" s="10" t="n"/>
      <c r="N1664" s="10" t="n"/>
      <c r="O1664" s="10" t="n"/>
      <c r="P1664" s="10" t="n"/>
      <c r="Q1664" s="10" t="n"/>
      <c r="R1664" s="10" t="n"/>
      <c r="S1664" s="10" t="n"/>
      <c r="T1664" s="10" t="n"/>
      <c r="U1664" s="10" t="n"/>
      <c r="V1664" s="10" t="n"/>
      <c r="W1664" s="10" t="n"/>
      <c r="X1664" s="10" t="n"/>
      <c r="Y1664" s="10" t="n"/>
      <c r="Z1664" s="10" t="n"/>
    </row>
    <row r="1665">
      <c r="A1665" s="27" t="inlineStr">
        <is>
          <t>invoiceManagement.startDateMustBeforeEnd</t>
        </is>
      </c>
      <c r="B1665" s="27" t="inlineStr">
        <is>
          <t>Ngày bắt đầu không được lớn hơn ngày kết thúc</t>
        </is>
      </c>
      <c r="C1665" s="27" t="inlineStr">
        <is>
          <t>The end date must be the same as or later than the start date.</t>
        </is>
      </c>
      <c r="D1665" s="21" t="inlineStr">
        <is>
          <t>ថ្ងៃចាប់ផ្តើមមិនអាចធំជាងថ្ងៃបញ្ចប់</t>
        </is>
      </c>
      <c r="E1665" s="21" t="inlineStr">
        <is>
          <t>ថ្ងៃចាប់ផ្តើមមិនអាចធំជាងថ្ងៃបញ្ចប់</t>
        </is>
      </c>
      <c r="F1665" s="10" t="n"/>
      <c r="G1665" s="10" t="inlineStr">
        <is>
          <t>ថ្ងៃចាប់ផ្តើមមិនអាចធំជាងថ្ងៃបញ្ចប់</t>
        </is>
      </c>
      <c r="H1665" s="10" t="inlineStr">
        <is>
          <t>ថ្ងៃចាប់ផ្តើមមិនអាចធំជាងថ្ងៃបញ្ចប់</t>
        </is>
      </c>
      <c r="I1665" s="10" t="n"/>
      <c r="J1665" s="10" t="n"/>
      <c r="K1665" s="10" t="inlineStr">
        <is>
          <t>"invoiceManagement.startDateMustBeforeEnd": "ថ្ងៃចាប់ផ្តើមមិនអាចធំជាងថ្ងៃបញ្ចប់",</t>
        </is>
      </c>
      <c r="L1665" s="10" t="n"/>
      <c r="M1665" s="10" t="n"/>
      <c r="N1665" s="10" t="n"/>
      <c r="O1665" s="10" t="n"/>
      <c r="P1665" s="10" t="n"/>
      <c r="Q1665" s="10" t="n"/>
      <c r="R1665" s="10" t="n"/>
      <c r="S1665" s="10" t="n"/>
      <c r="T1665" s="10" t="n"/>
      <c r="U1665" s="10" t="n"/>
      <c r="V1665" s="10" t="n"/>
      <c r="W1665" s="10" t="n"/>
      <c r="X1665" s="10" t="n"/>
      <c r="Y1665" s="10" t="n"/>
      <c r="Z1665" s="10" t="n"/>
    </row>
    <row r="1666">
      <c r="A1666" s="27" t="inlineStr">
        <is>
          <t>paymentReconcile.internalReconcile</t>
        </is>
      </c>
      <c r="B1666" s="27" t="inlineStr">
        <is>
          <t>Đối soát nội bộ</t>
        </is>
      </c>
      <c r="C1666" s="27" t="inlineStr">
        <is>
          <t>Internal Reconciliation</t>
        </is>
      </c>
      <c r="D1666" s="21" t="inlineStr">
        <is>
          <t>ការផ្សះផ្សាផ្ទៃក្នុង</t>
        </is>
      </c>
      <c r="E1666" s="90" t="inlineStr">
        <is>
          <t>ត្រួតពិនិត្យផ្នែកខាងក្នុង</t>
        </is>
      </c>
      <c r="F1666" s="10" t="n"/>
      <c r="G1666" s="10" t="inlineStr">
        <is>
          <t>ត្រួតពិនិត្យផ្នែកខាងក្នុង</t>
        </is>
      </c>
      <c r="H1666" s="10" t="inlineStr">
        <is>
          <t>ត្រួតពិនិត្យផ្នែកខាងក្នុង</t>
        </is>
      </c>
      <c r="I1666" s="10" t="n"/>
      <c r="J1666" s="10" t="n"/>
      <c r="K1666" s="10" t="inlineStr">
        <is>
          <t>"paymentReconcile.internalReconcile": "ត្រួតពិនិត្យផ្នែកខាងក្នុង",</t>
        </is>
      </c>
      <c r="L1666" s="10" t="n"/>
      <c r="M1666" s="10" t="n"/>
      <c r="N1666" s="10" t="n"/>
      <c r="O1666" s="10" t="n"/>
      <c r="P1666" s="10" t="n"/>
      <c r="Q1666" s="10" t="n"/>
      <c r="R1666" s="10" t="n"/>
      <c r="S1666" s="10" t="n"/>
      <c r="T1666" s="10" t="n"/>
      <c r="U1666" s="10" t="n"/>
      <c r="V1666" s="10" t="n"/>
      <c r="W1666" s="10" t="n"/>
      <c r="X1666" s="10" t="n"/>
      <c r="Y1666" s="10" t="n"/>
      <c r="Z1666" s="10" t="n"/>
    </row>
    <row r="1667">
      <c r="A1667" s="27" t="inlineStr">
        <is>
          <t>paymentReconcile.partnerReconcile</t>
        </is>
      </c>
      <c r="B1667" s="27" t="inlineStr">
        <is>
          <t>Đối soát đối tác</t>
        </is>
      </c>
      <c r="C1667" s="27" t="inlineStr">
        <is>
          <t>Partner Reconciliation</t>
        </is>
      </c>
      <c r="D1667" s="21" t="inlineStr">
        <is>
          <t>ការផ្សះផ្សាដៃគូ</t>
        </is>
      </c>
      <c r="E1667" s="90" t="inlineStr">
        <is>
          <t>ត្រួតពិនិត្យជាមួយដៃគូ</t>
        </is>
      </c>
      <c r="F1667" s="10" t="n"/>
      <c r="G1667" s="10" t="inlineStr">
        <is>
          <t>ត្រួតពិនិត្យជាមួយដៃគូ</t>
        </is>
      </c>
      <c r="H1667" s="10" t="inlineStr">
        <is>
          <t>ត្រួតពិនិត្យជាមួយដៃគូ</t>
        </is>
      </c>
      <c r="I1667" s="10" t="n"/>
      <c r="J1667" s="10" t="n"/>
      <c r="K1667" s="10" t="inlineStr">
        <is>
          <t>"paymentReconcile.partnerReconcile": "ត្រួតពិនិត្យជាមួយដៃគូ",</t>
        </is>
      </c>
      <c r="L1667" s="10" t="n"/>
      <c r="M1667" s="10" t="n"/>
      <c r="N1667" s="10" t="n"/>
      <c r="O1667" s="10" t="n"/>
      <c r="P1667" s="10" t="n"/>
      <c r="Q1667" s="10" t="n"/>
      <c r="R1667" s="10" t="n"/>
      <c r="S1667" s="10" t="n"/>
      <c r="T1667" s="10" t="n"/>
      <c r="U1667" s="10" t="n"/>
      <c r="V1667" s="10" t="n"/>
      <c r="W1667" s="10" t="n"/>
      <c r="X1667" s="10" t="n"/>
      <c r="Y1667" s="10" t="n"/>
      <c r="Z1667" s="10" t="n"/>
    </row>
    <row r="1668">
      <c r="A1668" s="27" t="inlineStr">
        <is>
          <t>paymentReconcile.fromDate</t>
        </is>
      </c>
      <c r="B1668" s="27" t="inlineStr">
        <is>
          <t>Từ ngày</t>
        </is>
      </c>
      <c r="C1668" s="27" t="inlineStr">
        <is>
          <t>From Date</t>
        </is>
      </c>
      <c r="D1668" s="21" t="inlineStr">
        <is>
          <t>ចាប់ពីថ្ងៃ</t>
        </is>
      </c>
      <c r="E1668" s="21" t="inlineStr">
        <is>
          <t>ចាប់ពីថ្ងៃ</t>
        </is>
      </c>
      <c r="F1668" s="10" t="n"/>
      <c r="G1668" s="10" t="inlineStr">
        <is>
          <t>ចាប់ពីថ្ងៃ</t>
        </is>
      </c>
      <c r="H1668" s="10" t="inlineStr">
        <is>
          <t>ចាប់ពីថ្ងៃ</t>
        </is>
      </c>
      <c r="I1668" s="10" t="n"/>
      <c r="J1668" s="10" t="n"/>
      <c r="K1668" s="10" t="inlineStr">
        <is>
          <t>"paymentReconcile.fromDate": "ចាប់ពីថ្ងៃ",</t>
        </is>
      </c>
      <c r="L1668" s="10" t="n"/>
      <c r="M1668" s="10" t="n"/>
      <c r="N1668" s="10" t="n"/>
      <c r="O1668" s="10" t="n"/>
      <c r="P1668" s="10" t="n"/>
      <c r="Q1668" s="10" t="n"/>
      <c r="R1668" s="10" t="n"/>
      <c r="S1668" s="10" t="n"/>
      <c r="T1668" s="10" t="n"/>
      <c r="U1668" s="10" t="n"/>
      <c r="V1668" s="10" t="n"/>
      <c r="W1668" s="10" t="n"/>
      <c r="X1668" s="10" t="n"/>
      <c r="Y1668" s="10" t="n"/>
      <c r="Z1668" s="10" t="n"/>
    </row>
    <row r="1669">
      <c r="A1669" s="27" t="inlineStr">
        <is>
          <t>paymentReconcile.toDate</t>
        </is>
      </c>
      <c r="B1669" s="27" t="inlineStr">
        <is>
          <t>Đến ngày</t>
        </is>
      </c>
      <c r="C1669" s="27" t="inlineStr">
        <is>
          <t>To Date</t>
        </is>
      </c>
      <c r="D1669" s="21" t="inlineStr">
        <is>
          <t>មកដល់ថ្ងៃ</t>
        </is>
      </c>
      <c r="E1669" s="24" t="inlineStr">
        <is>
          <t>រហូតដល់ថ្ងៃ</t>
        </is>
      </c>
      <c r="F1669" s="10" t="n"/>
      <c r="G1669" s="10" t="inlineStr">
        <is>
          <t>រហូតដល់ថ្ងៃ</t>
        </is>
      </c>
      <c r="H1669" s="10" t="inlineStr">
        <is>
          <t>រហូតដល់ថ្ងៃ</t>
        </is>
      </c>
      <c r="I1669" s="10" t="n"/>
      <c r="J1669" s="10" t="n"/>
      <c r="K1669" s="10" t="inlineStr">
        <is>
          <t>"paymentReconcile.toDate": "រហូតដល់ថ្ងៃ",</t>
        </is>
      </c>
      <c r="L1669" s="10" t="n"/>
      <c r="M1669" s="10" t="n"/>
      <c r="N1669" s="10" t="n"/>
      <c r="O1669" s="10" t="n"/>
      <c r="P1669" s="10" t="n"/>
      <c r="Q1669" s="10" t="n"/>
      <c r="R1669" s="10" t="n"/>
      <c r="S1669" s="10" t="n"/>
      <c r="T1669" s="10" t="n"/>
      <c r="U1669" s="10" t="n"/>
      <c r="V1669" s="10" t="n"/>
      <c r="W1669" s="10" t="n"/>
      <c r="X1669" s="10" t="n"/>
      <c r="Y1669" s="10" t="n"/>
      <c r="Z1669" s="10" t="n"/>
    </row>
    <row r="1670">
      <c r="A1670" s="27" t="inlineStr">
        <is>
          <t>paymentReconcile.paymentMethod</t>
        </is>
      </c>
      <c r="B1670" s="27" t="inlineStr">
        <is>
          <t>Hình thức thanh toán</t>
        </is>
      </c>
      <c r="C1670" s="27" t="inlineStr">
        <is>
          <t>Payment Method</t>
        </is>
      </c>
      <c r="D1670" s="21" t="inlineStr">
        <is>
          <t>វិធីសាស្រ្តនៃការទូូទាត់</t>
        </is>
      </c>
      <c r="E1670" s="21" t="inlineStr">
        <is>
          <t>វិធីសាស្រ្តនៃការទូូទាត់</t>
        </is>
      </c>
      <c r="F1670" s="10" t="n"/>
      <c r="G1670" s="10" t="inlineStr">
        <is>
          <t>វិធីសាស្រ្តនៃការទូូទាត់</t>
        </is>
      </c>
      <c r="H1670" s="10" t="inlineStr">
        <is>
          <t>វិធីសាស្រ្តនៃការទូូទាត់</t>
        </is>
      </c>
      <c r="I1670" s="10" t="n"/>
      <c r="J1670" s="10" t="n"/>
      <c r="K1670" s="10" t="inlineStr">
        <is>
          <t>"paymentReconcile.paymentMethod": "វិធីសាស្រ្តនៃការទូូទាត់",</t>
        </is>
      </c>
      <c r="L1670" s="10" t="n"/>
      <c r="M1670" s="10" t="n"/>
      <c r="N1670" s="10" t="n"/>
      <c r="O1670" s="10" t="n"/>
      <c r="P1670" s="10" t="n"/>
      <c r="Q1670" s="10" t="n"/>
      <c r="R1670" s="10" t="n"/>
      <c r="S1670" s="10" t="n"/>
      <c r="T1670" s="10" t="n"/>
      <c r="U1670" s="10" t="n"/>
      <c r="V1670" s="10" t="n"/>
      <c r="W1670" s="10" t="n"/>
      <c r="X1670" s="10" t="n"/>
      <c r="Y1670" s="10" t="n"/>
      <c r="Z1670" s="10" t="n"/>
    </row>
    <row r="1671">
      <c r="A1671" s="27" t="inlineStr">
        <is>
          <t>paymentReconcile.QR_CODE</t>
        </is>
      </c>
      <c r="B1671" s="27" t="inlineStr">
        <is>
          <t>QR code</t>
        </is>
      </c>
      <c r="C1671" s="27" t="inlineStr">
        <is>
          <t>QR Code</t>
        </is>
      </c>
      <c r="D1671" s="27" t="inlineStr">
        <is>
          <t>QR code</t>
        </is>
      </c>
      <c r="E1671" s="27" t="inlineStr">
        <is>
          <t>QR code</t>
        </is>
      </c>
      <c r="F1671" s="10" t="n"/>
      <c r="G1671" s="10" t="inlineStr">
        <is>
          <t>QR code</t>
        </is>
      </c>
      <c r="H1671" s="10" t="inlineStr">
        <is>
          <t>QR code</t>
        </is>
      </c>
      <c r="I1671" s="10" t="n"/>
      <c r="J1671" s="10" t="n"/>
      <c r="K1671" s="10" t="inlineStr">
        <is>
          <t>"paymentReconcile.QR_CODE": "QR code",</t>
        </is>
      </c>
      <c r="L1671" s="10" t="n"/>
      <c r="M1671" s="10" t="n"/>
      <c r="N1671" s="10" t="n"/>
      <c r="O1671" s="10" t="n"/>
      <c r="P1671" s="10" t="n"/>
      <c r="Q1671" s="10" t="n"/>
      <c r="R1671" s="10" t="n"/>
      <c r="S1671" s="10" t="n"/>
      <c r="T1671" s="10" t="n"/>
      <c r="U1671" s="10" t="n"/>
      <c r="V1671" s="10" t="n"/>
      <c r="W1671" s="10" t="n"/>
      <c r="X1671" s="10" t="n"/>
      <c r="Y1671" s="10" t="n"/>
      <c r="Z1671" s="10" t="n"/>
    </row>
    <row r="1672">
      <c r="A1672" s="27" t="inlineStr">
        <is>
          <t>paymentReconcile.LINKED_ACCOUNT</t>
        </is>
      </c>
      <c r="B1672" s="27" t="inlineStr">
        <is>
          <t>Tài khoản liên kết</t>
        </is>
      </c>
      <c r="C1672" s="27" t="inlineStr">
        <is>
          <t>Linked Account</t>
        </is>
      </c>
      <c r="D1672" s="102" t="n"/>
      <c r="E1672" s="90" t="inlineStr">
        <is>
          <t>គណនីដែលភ្ជាប់</t>
        </is>
      </c>
      <c r="F1672" s="10" t="n"/>
      <c r="G1672" s="10" t="inlineStr">
        <is>
          <t>គណនីដែលភ្ជាប់</t>
        </is>
      </c>
      <c r="H1672" s="10" t="inlineStr">
        <is>
          <t>គណនីដែលភ្ជាប់</t>
        </is>
      </c>
      <c r="I1672" s="10" t="n"/>
      <c r="J1672" s="10" t="n"/>
      <c r="K1672" s="10" t="inlineStr">
        <is>
          <t>"paymentReconcile.LINKED_ACCOUNT": "គណនីដែលភ្ជាប់",</t>
        </is>
      </c>
      <c r="L1672" s="10" t="n"/>
      <c r="M1672" s="10" t="n"/>
      <c r="N1672" s="10" t="n"/>
      <c r="O1672" s="10" t="n"/>
      <c r="P1672" s="10" t="n"/>
      <c r="Q1672" s="10" t="n"/>
      <c r="R1672" s="10" t="n"/>
      <c r="S1672" s="10" t="n"/>
      <c r="T1672" s="10" t="n"/>
      <c r="U1672" s="10" t="n"/>
      <c r="V1672" s="10" t="n"/>
      <c r="W1672" s="10" t="n"/>
      <c r="X1672" s="10" t="n"/>
      <c r="Y1672" s="10" t="n"/>
      <c r="Z1672" s="10" t="n"/>
    </row>
    <row r="1673">
      <c r="A1673" s="27" t="inlineStr">
        <is>
          <t>paymentReconcile.reconcile</t>
        </is>
      </c>
      <c r="B1673" s="27" t="inlineStr">
        <is>
          <t>Đối tác</t>
        </is>
      </c>
      <c r="C1673" s="27" t="inlineStr">
        <is>
          <t>Partner</t>
        </is>
      </c>
      <c r="D1673" s="21" t="inlineStr">
        <is>
          <t>ដៃគូ</t>
        </is>
      </c>
      <c r="E1673" s="21" t="inlineStr">
        <is>
          <t>ដៃគូ</t>
        </is>
      </c>
      <c r="F1673" s="10" t="n"/>
      <c r="G1673" s="10" t="inlineStr">
        <is>
          <t>ដៃគូ</t>
        </is>
      </c>
      <c r="H1673" s="10" t="inlineStr">
        <is>
          <t>ដៃគូ</t>
        </is>
      </c>
      <c r="I1673" s="10" t="n"/>
      <c r="J1673" s="10" t="n"/>
      <c r="K1673" s="10" t="inlineStr">
        <is>
          <t>"paymentReconcile.reconcile": "ដៃគូ",</t>
        </is>
      </c>
      <c r="L1673" s="10" t="n"/>
      <c r="M1673" s="10" t="n"/>
      <c r="N1673" s="10" t="n"/>
      <c r="O1673" s="10" t="n"/>
      <c r="P1673" s="10" t="n"/>
      <c r="Q1673" s="10" t="n"/>
      <c r="R1673" s="10" t="n"/>
      <c r="S1673" s="10" t="n"/>
      <c r="T1673" s="10" t="n"/>
      <c r="U1673" s="10" t="n"/>
      <c r="V1673" s="10" t="n"/>
      <c r="W1673" s="10" t="n"/>
      <c r="X1673" s="10" t="n"/>
      <c r="Y1673" s="10" t="n"/>
      <c r="Z1673" s="10" t="n"/>
    </row>
    <row r="1674">
      <c r="A1674" s="27" t="inlineStr">
        <is>
          <t>paymentReconcile.branch</t>
        </is>
      </c>
      <c r="B1674" s="27" t="inlineStr">
        <is>
          <t>Chi nhánh</t>
        </is>
      </c>
      <c r="C1674" s="27" t="inlineStr">
        <is>
          <t>Branch</t>
        </is>
      </c>
      <c r="D1674" s="21" t="inlineStr">
        <is>
          <t>សាខា</t>
        </is>
      </c>
      <c r="E1674" s="21" t="inlineStr">
        <is>
          <t>សាខា</t>
        </is>
      </c>
      <c r="F1674" s="10" t="n"/>
      <c r="G1674" s="10" t="inlineStr">
        <is>
          <t>សាខា</t>
        </is>
      </c>
      <c r="H1674" s="10" t="inlineStr">
        <is>
          <t>សាខា</t>
        </is>
      </c>
      <c r="I1674" s="10" t="n"/>
      <c r="J1674" s="10" t="n"/>
      <c r="K1674" s="10" t="inlineStr">
        <is>
          <t>"paymentReconcile.branch": "សាខា",</t>
        </is>
      </c>
      <c r="L1674" s="10" t="n"/>
      <c r="M1674" s="10" t="n"/>
      <c r="N1674" s="10" t="n"/>
      <c r="O1674" s="10" t="n"/>
      <c r="P1674" s="10" t="n"/>
      <c r="Q1674" s="10" t="n"/>
      <c r="R1674" s="10" t="n"/>
      <c r="S1674" s="10" t="n"/>
      <c r="T1674" s="10" t="n"/>
      <c r="U1674" s="10" t="n"/>
      <c r="V1674" s="10" t="n"/>
      <c r="W1674" s="10" t="n"/>
      <c r="X1674" s="10" t="n"/>
      <c r="Y1674" s="10" t="n"/>
      <c r="Z1674" s="10" t="n"/>
    </row>
    <row r="1675">
      <c r="A1675" s="87" t="inlineStr">
        <is>
          <t>paymentReconcile.post</t>
        </is>
      </c>
      <c r="B1675" s="27" t="inlineStr">
        <is>
          <t>Bưu cục</t>
        </is>
      </c>
      <c r="C1675" s="27" t="inlineStr">
        <is>
          <t>Post Office</t>
        </is>
      </c>
      <c r="D1675" s="21" t="inlineStr">
        <is>
          <t>ការិយាល័យប្រៃសណីយ៍</t>
        </is>
      </c>
      <c r="E1675" s="21" t="inlineStr">
        <is>
          <t>ការិយាល័យប្រៃសណីយ៍</t>
        </is>
      </c>
      <c r="F1675" s="10" t="n"/>
      <c r="G1675" s="10" t="inlineStr">
        <is>
          <t>ការិយាល័យប្រៃសណីយ៍</t>
        </is>
      </c>
      <c r="H1675" s="10" t="inlineStr">
        <is>
          <t>ការិយាល័យប្រៃសណីយ៍</t>
        </is>
      </c>
      <c r="I1675" s="10" t="n"/>
      <c r="J1675" s="10" t="n"/>
      <c r="K1675" s="10" t="inlineStr">
        <is>
          <t>"paymentReconcile.post": "ការិយាល័យប្រៃសណីយ៍",</t>
        </is>
      </c>
      <c r="L1675" s="10" t="n"/>
      <c r="M1675" s="10" t="n"/>
      <c r="N1675" s="10" t="n"/>
      <c r="O1675" s="10" t="n"/>
      <c r="P1675" s="10" t="n"/>
      <c r="Q1675" s="10" t="n"/>
      <c r="R1675" s="10" t="n"/>
      <c r="S1675" s="10" t="n"/>
      <c r="T1675" s="10" t="n"/>
      <c r="U1675" s="10" t="n"/>
      <c r="V1675" s="10" t="n"/>
      <c r="W1675" s="10" t="n"/>
      <c r="X1675" s="10" t="n"/>
      <c r="Y1675" s="10" t="n"/>
      <c r="Z1675" s="10" t="n"/>
    </row>
    <row r="1676">
      <c r="A1676" s="27" t="inlineStr">
        <is>
          <t>paymentReconcile.ficoStatus</t>
        </is>
      </c>
      <c r="B1676" s="27" t="inlineStr">
        <is>
          <t>Trạng thái FICO</t>
        </is>
      </c>
      <c r="C1676" s="27" t="inlineStr">
        <is>
          <t>FICO Status</t>
        </is>
      </c>
      <c r="D1676" s="102" t="n"/>
      <c r="E1676" s="90" t="inlineStr">
        <is>
          <t>ស្ថានភាព FICO</t>
        </is>
      </c>
      <c r="F1676" s="10" t="n"/>
      <c r="G1676" s="10" t="inlineStr">
        <is>
          <t>ស្ថានភាព FICO</t>
        </is>
      </c>
      <c r="H1676" s="10" t="inlineStr">
        <is>
          <t>ស្ថានភាព FICO</t>
        </is>
      </c>
      <c r="I1676" s="10" t="n"/>
      <c r="J1676" s="10" t="n"/>
      <c r="K1676" s="10" t="inlineStr">
        <is>
          <t>"paymentReconcile.ficoStatus": "ស្ថានភាព FICO",</t>
        </is>
      </c>
      <c r="L1676" s="10" t="n"/>
      <c r="M1676" s="10" t="n"/>
      <c r="N1676" s="10" t="n"/>
      <c r="O1676" s="10" t="n"/>
      <c r="P1676" s="10" t="n"/>
      <c r="Q1676" s="10" t="n"/>
      <c r="R1676" s="10" t="n"/>
      <c r="S1676" s="10" t="n"/>
      <c r="T1676" s="10" t="n"/>
      <c r="U1676" s="10" t="n"/>
      <c r="V1676" s="10" t="n"/>
      <c r="W1676" s="10" t="n"/>
      <c r="X1676" s="10" t="n"/>
      <c r="Y1676" s="10" t="n"/>
      <c r="Z1676" s="10" t="n"/>
    </row>
    <row r="1677">
      <c r="A1677" s="27" t="inlineStr">
        <is>
          <t>paymentReconcile.transactionInfo</t>
        </is>
      </c>
      <c r="B1677" s="27" t="inlineStr">
        <is>
          <t>Thông tin giao dịch</t>
        </is>
      </c>
      <c r="C1677" s="27" t="inlineStr">
        <is>
          <t>Transaction Information</t>
        </is>
      </c>
      <c r="D1677" s="21" t="inlineStr">
        <is>
          <t>ព័ត៌មានប្រតិបត្តិការ</t>
        </is>
      </c>
      <c r="E1677" s="21" t="inlineStr">
        <is>
          <t>ព័ត៌មានប្រតិបត្តិការ</t>
        </is>
      </c>
      <c r="F1677" s="10" t="n"/>
      <c r="G1677" s="10" t="inlineStr">
        <is>
          <t>ព័ត៌មានប្រតិបត្តិការ</t>
        </is>
      </c>
      <c r="H1677" s="10" t="inlineStr">
        <is>
          <t>ព័ត៌មានប្រតិបត្តិការ</t>
        </is>
      </c>
      <c r="I1677" s="10" t="n"/>
      <c r="J1677" s="10" t="n"/>
      <c r="K1677" s="10" t="inlineStr">
        <is>
          <t>"paymentReconcile.transactionInfo": "ព័ត៌មានប្រតិបត្តិការ",</t>
        </is>
      </c>
      <c r="L1677" s="10" t="n"/>
      <c r="M1677" s="10" t="n"/>
      <c r="N1677" s="10" t="n"/>
      <c r="O1677" s="10" t="n"/>
      <c r="P1677" s="10" t="n"/>
      <c r="Q1677" s="10" t="n"/>
      <c r="R1677" s="10" t="n"/>
      <c r="S1677" s="10" t="n"/>
      <c r="T1677" s="10" t="n"/>
      <c r="U1677" s="10" t="n"/>
      <c r="V1677" s="10" t="n"/>
      <c r="W1677" s="10" t="n"/>
      <c r="X1677" s="10" t="n"/>
      <c r="Y1677" s="10" t="n"/>
      <c r="Z1677" s="10" t="n"/>
    </row>
    <row r="1678">
      <c r="A1678" s="27" t="inlineStr">
        <is>
          <t>paymentReconcile.differentialStatus</t>
        </is>
      </c>
      <c r="B1678" s="27" t="inlineStr">
        <is>
          <t>Trạng thái chênh lệch</t>
        </is>
      </c>
      <c r="C1678" s="27" t="inlineStr">
        <is>
          <t>Discrepancy Status</t>
        </is>
      </c>
      <c r="D1678" s="102" t="n"/>
      <c r="E1678" s="102" t="inlineStr">
        <is>
          <t>ស្ថានភាពខុសគ្នា</t>
        </is>
      </c>
      <c r="F1678" s="10" t="n"/>
      <c r="G1678" s="10" t="inlineStr">
        <is>
          <t>ស្ថានភាពខុសគ្នា</t>
        </is>
      </c>
      <c r="H1678" s="10" t="inlineStr">
        <is>
          <t>ស្ថានភាពខុសគ្នា</t>
        </is>
      </c>
      <c r="I1678" s="10" t="n"/>
      <c r="J1678" s="10" t="n"/>
      <c r="K1678" s="10" t="inlineStr">
        <is>
          <t>"paymentReconcile.differentialStatus": "ស្ថានភាពខុសគ្នា",</t>
        </is>
      </c>
      <c r="L1678" s="10" t="n"/>
      <c r="M1678" s="10" t="n"/>
      <c r="N1678" s="10" t="n"/>
      <c r="O1678" s="10" t="n"/>
      <c r="P1678" s="10" t="n"/>
      <c r="Q1678" s="10" t="n"/>
      <c r="R1678" s="10" t="n"/>
      <c r="S1678" s="10" t="n"/>
      <c r="T1678" s="10" t="n"/>
      <c r="U1678" s="10" t="n"/>
      <c r="V1678" s="10" t="n"/>
      <c r="W1678" s="10" t="n"/>
      <c r="X1678" s="10" t="n"/>
      <c r="Y1678" s="10" t="n"/>
      <c r="Z1678" s="10" t="n"/>
    </row>
    <row r="1679">
      <c r="A1679" s="27" t="inlineStr">
        <is>
          <t>paymentReconcile.cusID</t>
        </is>
      </c>
      <c r="B1679" s="27" t="inlineStr">
        <is>
          <t>Mã đối tượng</t>
        </is>
      </c>
      <c r="C1679" s="27" t="inlineStr">
        <is>
          <t>Customer ID</t>
        </is>
      </c>
      <c r="D1679" s="102" t="n"/>
      <c r="E1679" s="102" t="inlineStr">
        <is>
          <t>លេខសម្គាល់អតិថិជន</t>
        </is>
      </c>
      <c r="F1679" s="10" t="n"/>
      <c r="G1679" s="10" t="inlineStr">
        <is>
          <t>លេខសម្គាល់អតិថិជន</t>
        </is>
      </c>
      <c r="H1679" s="10" t="inlineStr">
        <is>
          <t>លេខសម្គាល់អតិថិជន</t>
        </is>
      </c>
      <c r="I1679" s="10" t="n"/>
      <c r="J1679" s="10" t="n"/>
      <c r="K1679" s="10" t="inlineStr">
        <is>
          <t>"paymentReconcile.cusID": "លេខសម្គាល់អតិថិជន",</t>
        </is>
      </c>
      <c r="L1679" s="10" t="n"/>
      <c r="M1679" s="10" t="n"/>
      <c r="N1679" s="10" t="n"/>
      <c r="O1679" s="10" t="n"/>
      <c r="P1679" s="10" t="n"/>
      <c r="Q1679" s="10" t="n"/>
      <c r="R1679" s="10" t="n"/>
      <c r="S1679" s="10" t="n"/>
      <c r="T1679" s="10" t="n"/>
      <c r="U1679" s="10" t="n"/>
      <c r="V1679" s="10" t="n"/>
      <c r="W1679" s="10" t="n"/>
      <c r="X1679" s="10" t="n"/>
      <c r="Y1679" s="10" t="n"/>
      <c r="Z1679" s="10" t="n"/>
    </row>
    <row r="1680">
      <c r="A1680" s="27" t="inlineStr">
        <is>
          <t>paymentReconcile.statementId</t>
        </is>
      </c>
      <c r="B1680" s="27" t="inlineStr">
        <is>
          <t>Mã bảng kê</t>
        </is>
      </c>
      <c r="C1680" s="27" t="inlineStr">
        <is>
          <t>Statement ID</t>
        </is>
      </c>
      <c r="D1680" s="102" t="n"/>
      <c r="E1680" s="102" t="inlineStr">
        <is>
          <t>លេខកូដតារាង</t>
        </is>
      </c>
      <c r="F1680" s="10" t="n"/>
      <c r="G1680" s="10" t="inlineStr">
        <is>
          <t>លេខកូដតារាង</t>
        </is>
      </c>
      <c r="H1680" s="10" t="inlineStr">
        <is>
          <t>លេខកូដតារាង</t>
        </is>
      </c>
      <c r="I1680" s="10" t="n"/>
      <c r="J1680" s="10" t="n"/>
      <c r="K1680" s="10" t="inlineStr">
        <is>
          <t>"paymentReconcile.statementId": "លេខកូដតារាង",</t>
        </is>
      </c>
      <c r="L1680" s="10" t="n"/>
      <c r="M1680" s="10" t="n"/>
      <c r="N1680" s="10" t="n"/>
      <c r="O1680" s="10" t="n"/>
      <c r="P1680" s="10" t="n"/>
      <c r="Q1680" s="10" t="n"/>
      <c r="R1680" s="10" t="n"/>
      <c r="S1680" s="10" t="n"/>
      <c r="T1680" s="10" t="n"/>
      <c r="U1680" s="10" t="n"/>
      <c r="V1680" s="10" t="n"/>
      <c r="W1680" s="10" t="n"/>
      <c r="X1680" s="10" t="n"/>
      <c r="Y1680" s="10" t="n"/>
      <c r="Z1680" s="10" t="n"/>
    </row>
    <row r="1681">
      <c r="A1681" s="27" t="inlineStr">
        <is>
          <t>paymentReconcile.requestId</t>
        </is>
      </c>
      <c r="B1681" s="27" t="inlineStr">
        <is>
          <t>Mã thanh toán</t>
        </is>
      </c>
      <c r="C1681" s="27" t="inlineStr">
        <is>
          <t>Request ID</t>
        </is>
      </c>
      <c r="D1681" s="102" t="n"/>
      <c r="E1681" s="102" t="inlineStr">
        <is>
          <t>លេខកូដទូទាត់</t>
        </is>
      </c>
      <c r="F1681" s="10" t="n"/>
      <c r="G1681" s="10" t="inlineStr">
        <is>
          <t>លេខកូដទូទាត់</t>
        </is>
      </c>
      <c r="H1681" s="10" t="inlineStr">
        <is>
          <t>លេខកូដទូទាត់</t>
        </is>
      </c>
      <c r="I1681" s="10" t="n"/>
      <c r="J1681" s="10" t="n"/>
      <c r="K1681" s="10" t="inlineStr">
        <is>
          <t>"paymentReconcile.requestId": "លេខកូដទូទាត់",</t>
        </is>
      </c>
      <c r="L1681" s="10" t="n"/>
      <c r="M1681" s="10" t="n"/>
      <c r="N1681" s="10" t="n"/>
      <c r="O1681" s="10" t="n"/>
      <c r="P1681" s="10" t="n"/>
      <c r="Q1681" s="10" t="n"/>
      <c r="R1681" s="10" t="n"/>
      <c r="S1681" s="10" t="n"/>
      <c r="T1681" s="10" t="n"/>
      <c r="U1681" s="10" t="n"/>
      <c r="V1681" s="10" t="n"/>
      <c r="W1681" s="10" t="n"/>
      <c r="X1681" s="10" t="n"/>
      <c r="Y1681" s="10" t="n"/>
      <c r="Z1681" s="10" t="n"/>
    </row>
    <row r="1682">
      <c r="A1682" s="27" t="inlineStr">
        <is>
          <t>paymentReconcile.transactionId</t>
        </is>
      </c>
      <c r="B1682" s="27" t="inlineStr">
        <is>
          <t>Mã giao dịch</t>
        </is>
      </c>
      <c r="C1682" s="27" t="inlineStr">
        <is>
          <t>Transaction ID</t>
        </is>
      </c>
      <c r="D1682" s="21" t="inlineStr">
        <is>
          <t>លេខកូូដប្រតិបត្តិការ</t>
        </is>
      </c>
      <c r="E1682" s="21" t="inlineStr">
        <is>
          <t>លេខកូូដប្រតិបត្តិការ</t>
        </is>
      </c>
      <c r="F1682" s="10" t="n"/>
      <c r="G1682" s="10" t="inlineStr">
        <is>
          <t>លេខកូូដប្រតិបត្តិការ</t>
        </is>
      </c>
      <c r="H1682" s="10" t="inlineStr">
        <is>
          <t>លេខកូូដប្រតិបត្តិការ</t>
        </is>
      </c>
      <c r="I1682" s="10" t="n"/>
      <c r="J1682" s="10" t="n"/>
      <c r="K1682" s="10" t="inlineStr">
        <is>
          <t>"paymentReconcile.transactionId": "លេខកូូដប្រតិបត្តិការ",</t>
        </is>
      </c>
      <c r="L1682" s="10" t="n"/>
      <c r="M1682" s="10" t="n"/>
      <c r="N1682" s="10" t="n"/>
      <c r="O1682" s="10" t="n"/>
      <c r="P1682" s="10" t="n"/>
      <c r="Q1682" s="10" t="n"/>
      <c r="R1682" s="10" t="n"/>
      <c r="S1682" s="10" t="n"/>
      <c r="T1682" s="10" t="n"/>
      <c r="U1682" s="10" t="n"/>
      <c r="V1682" s="10" t="n"/>
      <c r="W1682" s="10" t="n"/>
      <c r="X1682" s="10" t="n"/>
      <c r="Y1682" s="10" t="n"/>
      <c r="Z1682" s="10" t="n"/>
    </row>
    <row r="1683">
      <c r="A1683" s="27" t="inlineStr">
        <is>
          <t>paymentReconcile.transactionType</t>
        </is>
      </c>
      <c r="B1683" s="27" t="inlineStr">
        <is>
          <t>Loại giao dịch</t>
        </is>
      </c>
      <c r="C1683" s="27" t="inlineStr">
        <is>
          <t>Transaction Type</t>
        </is>
      </c>
      <c r="D1683" s="21" t="inlineStr">
        <is>
          <t>ប្រភេទប្រតិបត្តិការ</t>
        </is>
      </c>
      <c r="E1683" s="21" t="inlineStr">
        <is>
          <t>ប្រភេទប្រតិបត្តិការ</t>
        </is>
      </c>
      <c r="F1683" s="10" t="n"/>
      <c r="G1683" s="10" t="inlineStr">
        <is>
          <t>ប្រភេទប្រតិបត្តិការ</t>
        </is>
      </c>
      <c r="H1683" s="10" t="inlineStr">
        <is>
          <t>ប្រភេទប្រតិបត្តិការ</t>
        </is>
      </c>
      <c r="I1683" s="10" t="n"/>
      <c r="J1683" s="10" t="n"/>
      <c r="K1683" s="10" t="inlineStr">
        <is>
          <t>"paymentReconcile.transactionType": "ប្រភេទប្រតិបត្តិការ",</t>
        </is>
      </c>
      <c r="L1683" s="10" t="n"/>
      <c r="M1683" s="10" t="n"/>
      <c r="N1683" s="10" t="n"/>
      <c r="O1683" s="10" t="n"/>
      <c r="P1683" s="10" t="n"/>
      <c r="Q1683" s="10" t="n"/>
      <c r="R1683" s="10" t="n"/>
      <c r="S1683" s="10" t="n"/>
      <c r="T1683" s="10" t="n"/>
      <c r="U1683" s="10" t="n"/>
      <c r="V1683" s="10" t="n"/>
      <c r="W1683" s="10" t="n"/>
      <c r="X1683" s="10" t="n"/>
      <c r="Y1683" s="10" t="n"/>
      <c r="Z1683" s="10" t="n"/>
    </row>
    <row r="1684">
      <c r="A1684" s="27" t="inlineStr">
        <is>
          <t>paymentReconcile.amountNum</t>
        </is>
      </c>
      <c r="B1684" s="27" t="inlineStr">
        <is>
          <t>Số tiền</t>
        </is>
      </c>
      <c r="C1684" s="27" t="inlineStr">
        <is>
          <t>Amount</t>
        </is>
      </c>
      <c r="D1684" s="21" t="inlineStr">
        <is>
          <t>ចំនួនប្រាក់</t>
        </is>
      </c>
      <c r="E1684" s="21" t="inlineStr">
        <is>
          <t>ចំនួនប្រាក់</t>
        </is>
      </c>
      <c r="F1684" s="10" t="n"/>
      <c r="G1684" s="10" t="inlineStr">
        <is>
          <t>ចំនួនប្រាក់</t>
        </is>
      </c>
      <c r="H1684" s="10" t="inlineStr">
        <is>
          <t>ចំនួនប្រាក់</t>
        </is>
      </c>
      <c r="I1684" s="10" t="n"/>
      <c r="J1684" s="10" t="n"/>
      <c r="K1684" s="10" t="inlineStr">
        <is>
          <t>"paymentReconcile.amountNum": "ចំនួនប្រាក់",</t>
        </is>
      </c>
      <c r="L1684" s="10" t="n"/>
      <c r="M1684" s="10" t="n"/>
      <c r="N1684" s="10" t="n"/>
      <c r="O1684" s="10" t="n"/>
      <c r="P1684" s="10" t="n"/>
      <c r="Q1684" s="10" t="n"/>
      <c r="R1684" s="10" t="n"/>
      <c r="S1684" s="10" t="n"/>
      <c r="T1684" s="10" t="n"/>
      <c r="U1684" s="10" t="n"/>
      <c r="V1684" s="10" t="n"/>
      <c r="W1684" s="10" t="n"/>
      <c r="X1684" s="10" t="n"/>
      <c r="Y1684" s="10" t="n"/>
      <c r="Z1684" s="10" t="n"/>
    </row>
    <row r="1685">
      <c r="A1685" s="27" t="inlineStr">
        <is>
          <t>paymentReconcile.time</t>
        </is>
      </c>
      <c r="B1685" s="27" t="inlineStr">
        <is>
          <t>Thời gian</t>
        </is>
      </c>
      <c r="C1685" s="27" t="inlineStr">
        <is>
          <t>Time</t>
        </is>
      </c>
      <c r="D1685" s="21" t="inlineStr">
        <is>
          <t>ពេលវេលា</t>
        </is>
      </c>
      <c r="E1685" s="21" t="inlineStr">
        <is>
          <t>ពេលវេលា</t>
        </is>
      </c>
      <c r="F1685" s="10" t="n"/>
      <c r="G1685" s="10" t="inlineStr">
        <is>
          <t>ពេលវេលា</t>
        </is>
      </c>
      <c r="H1685" s="10" t="inlineStr">
        <is>
          <t>ពេលវេលា</t>
        </is>
      </c>
      <c r="I1685" s="10" t="n"/>
      <c r="J1685" s="10" t="n"/>
      <c r="K1685" s="10" t="inlineStr">
        <is>
          <t>"paymentReconcile.time": "ពេលវេលា",</t>
        </is>
      </c>
      <c r="L1685" s="10" t="n"/>
      <c r="M1685" s="10" t="n"/>
      <c r="N1685" s="10" t="n"/>
      <c r="O1685" s="10" t="n"/>
      <c r="P1685" s="10" t="n"/>
      <c r="Q1685" s="10" t="n"/>
      <c r="R1685" s="10" t="n"/>
      <c r="S1685" s="10" t="n"/>
      <c r="T1685" s="10" t="n"/>
      <c r="U1685" s="10" t="n"/>
      <c r="V1685" s="10" t="n"/>
      <c r="W1685" s="10" t="n"/>
      <c r="X1685" s="10" t="n"/>
      <c r="Y1685" s="10" t="n"/>
      <c r="Z1685" s="10" t="n"/>
    </row>
    <row r="1686">
      <c r="A1686" s="27" t="inlineStr">
        <is>
          <t>paymentReconcile.status</t>
        </is>
      </c>
      <c r="B1686" s="27" t="inlineStr">
        <is>
          <t>Trạng thái</t>
        </is>
      </c>
      <c r="C1686" s="27" t="inlineStr">
        <is>
          <t>Status</t>
        </is>
      </c>
      <c r="D1686" s="21" t="inlineStr">
        <is>
          <t>ស្ថានភាព</t>
        </is>
      </c>
      <c r="E1686" s="21" t="inlineStr">
        <is>
          <t>ស្ថានភាព</t>
        </is>
      </c>
      <c r="F1686" s="10" t="n"/>
      <c r="G1686" s="10" t="inlineStr">
        <is>
          <t>ស្ថានភាព</t>
        </is>
      </c>
      <c r="H1686" s="10" t="inlineStr">
        <is>
          <t>ស្ថានភាព</t>
        </is>
      </c>
      <c r="I1686" s="10" t="n"/>
      <c r="J1686" s="10" t="n"/>
      <c r="K1686" s="10" t="inlineStr">
        <is>
          <t>"paymentReconcile.status": "ស្ថានភាព",</t>
        </is>
      </c>
      <c r="L1686" s="10" t="n"/>
      <c r="M1686" s="10" t="n"/>
      <c r="N1686" s="10" t="n"/>
      <c r="O1686" s="10" t="n"/>
      <c r="P1686" s="10" t="n"/>
      <c r="Q1686" s="10" t="n"/>
      <c r="R1686" s="10" t="n"/>
      <c r="S1686" s="10" t="n"/>
      <c r="T1686" s="10" t="n"/>
      <c r="U1686" s="10" t="n"/>
      <c r="V1686" s="10" t="n"/>
      <c r="W1686" s="10" t="n"/>
      <c r="X1686" s="10" t="n"/>
      <c r="Y1686" s="10" t="n"/>
      <c r="Z1686" s="10" t="n"/>
    </row>
    <row r="1687">
      <c r="A1687" s="27" t="inlineStr">
        <is>
          <t>paymentReconcile.statusGlobal</t>
        </is>
      </c>
      <c r="B1687" s="27" t="inlineStr">
        <is>
          <t>Trạng thái giao dịch</t>
        </is>
      </c>
      <c r="C1687" s="27" t="inlineStr">
        <is>
          <t>Transaction Status</t>
        </is>
      </c>
      <c r="D1687" s="21" t="inlineStr">
        <is>
          <t>ស្ថានភាពប្រតិបត្តិការ</t>
        </is>
      </c>
      <c r="E1687" s="21" t="inlineStr">
        <is>
          <t>ស្ថានភាពប្រតិបត្តិការ</t>
        </is>
      </c>
      <c r="F1687" s="10" t="n"/>
      <c r="G1687" s="10" t="inlineStr">
        <is>
          <t>ស្ថានភាពប្រតិបត្តិការ</t>
        </is>
      </c>
      <c r="H1687" s="10" t="inlineStr">
        <is>
          <t>ស្ថានភាពប្រតិបត្តិការ</t>
        </is>
      </c>
      <c r="I1687" s="10" t="n"/>
      <c r="J1687" s="10" t="n"/>
      <c r="K1687" s="10" t="inlineStr">
        <is>
          <t>"paymentReconcile.statusGlobal": "ស្ថានភាពប្រតិបត្តិការ",</t>
        </is>
      </c>
      <c r="L1687" s="10" t="n"/>
      <c r="M1687" s="10" t="n"/>
      <c r="N1687" s="10" t="n"/>
      <c r="O1687" s="10" t="n"/>
      <c r="P1687" s="10" t="n"/>
      <c r="Q1687" s="10" t="n"/>
      <c r="R1687" s="10" t="n"/>
      <c r="S1687" s="10" t="n"/>
      <c r="T1687" s="10" t="n"/>
      <c r="U1687" s="10" t="n"/>
      <c r="V1687" s="10" t="n"/>
      <c r="W1687" s="10" t="n"/>
      <c r="X1687" s="10" t="n"/>
      <c r="Y1687" s="10" t="n"/>
      <c r="Z1687" s="10" t="n"/>
    </row>
    <row r="1688">
      <c r="A1688" s="27" t="inlineStr">
        <is>
          <t>paymentReconcile.qrInfo</t>
        </is>
      </c>
      <c r="B1688" s="27" t="inlineStr">
        <is>
          <t>Thông tin thanh toán QR</t>
        </is>
      </c>
      <c r="C1688" s="27" t="inlineStr">
        <is>
          <t>QR Payment Info</t>
        </is>
      </c>
      <c r="D1688" s="21" t="inlineStr">
        <is>
          <t>ព័ត៌មានទូទាត់QR</t>
        </is>
      </c>
      <c r="E1688" s="21" t="inlineStr">
        <is>
          <t>ព័ត៌មានទូទាត់QR</t>
        </is>
      </c>
      <c r="F1688" s="10" t="n"/>
      <c r="G1688" s="10" t="inlineStr">
        <is>
          <t>ព័ត៌មានទូទាត់QR</t>
        </is>
      </c>
      <c r="H1688" s="10" t="inlineStr">
        <is>
          <t>ព័ត៌មានទូទាត់QR</t>
        </is>
      </c>
      <c r="I1688" s="10" t="n"/>
      <c r="J1688" s="10" t="n"/>
      <c r="K1688" s="10" t="inlineStr">
        <is>
          <t>"paymentReconcile.qrInfo": "ព័ត៌មានទូទាត់QR",</t>
        </is>
      </c>
      <c r="L1688" s="10" t="n"/>
      <c r="M1688" s="10" t="n"/>
      <c r="N1688" s="10" t="n"/>
      <c r="O1688" s="10" t="n"/>
      <c r="P1688" s="10" t="n"/>
      <c r="Q1688" s="10" t="n"/>
      <c r="R1688" s="10" t="n"/>
      <c r="S1688" s="10" t="n"/>
      <c r="T1688" s="10" t="n"/>
      <c r="U1688" s="10" t="n"/>
      <c r="V1688" s="10" t="n"/>
      <c r="W1688" s="10" t="n"/>
      <c r="X1688" s="10" t="n"/>
      <c r="Y1688" s="10" t="n"/>
      <c r="Z1688" s="10" t="n"/>
    </row>
    <row r="1689">
      <c r="A1689" s="27" t="inlineStr">
        <is>
          <t>paymentReconcile.globalInfo</t>
        </is>
      </c>
      <c r="B1689" s="27" t="inlineStr">
        <is>
          <t>Thông tin thanh toán Global</t>
        </is>
      </c>
      <c r="C1689" s="27" t="inlineStr">
        <is>
          <t>Global Payment Info</t>
        </is>
      </c>
      <c r="D1689" s="21" t="inlineStr">
        <is>
          <t>ព័ត៌មានទូទាត់ Global</t>
        </is>
      </c>
      <c r="E1689" s="21" t="inlineStr">
        <is>
          <t>ព័ត៌មានទូទាត់ Global</t>
        </is>
      </c>
      <c r="F1689" s="10" t="n"/>
      <c r="G1689" s="10" t="inlineStr">
        <is>
          <t>ព័ត៌មានទូទាត់ Global</t>
        </is>
      </c>
      <c r="H1689" s="10" t="inlineStr">
        <is>
          <t>ព័ត៌មានទូទាត់ Global</t>
        </is>
      </c>
      <c r="I1689" s="10" t="n"/>
      <c r="J1689" s="10" t="n"/>
      <c r="K1689" s="10" t="inlineStr">
        <is>
          <t>"paymentReconcile.globalInfo": "ព័ត៌មានទូទាត់ Global",</t>
        </is>
      </c>
      <c r="L1689" s="10" t="n"/>
      <c r="M1689" s="10" t="n"/>
      <c r="N1689" s="10" t="n"/>
      <c r="O1689" s="10" t="n"/>
      <c r="P1689" s="10" t="n"/>
      <c r="Q1689" s="10" t="n"/>
      <c r="R1689" s="10" t="n"/>
      <c r="S1689" s="10" t="n"/>
      <c r="T1689" s="10" t="n"/>
      <c r="U1689" s="10" t="n"/>
      <c r="V1689" s="10" t="n"/>
      <c r="W1689" s="10" t="n"/>
      <c r="X1689" s="10" t="n"/>
      <c r="Y1689" s="10" t="n"/>
      <c r="Z1689" s="10" t="n"/>
    </row>
    <row r="1690">
      <c r="A1690" s="27" t="inlineStr">
        <is>
          <t>paymentReconcile.differential</t>
        </is>
      </c>
      <c r="B1690" s="27" t="inlineStr">
        <is>
          <t>Chênh lệch</t>
        </is>
      </c>
      <c r="C1690" s="27" t="inlineStr">
        <is>
          <t>Difference</t>
        </is>
      </c>
      <c r="D1690" s="21" t="inlineStr">
        <is>
          <t>ភាពខុសគ្នា</t>
        </is>
      </c>
      <c r="E1690" s="21" t="inlineStr">
        <is>
          <t>ភាពខុសគ្នា</t>
        </is>
      </c>
      <c r="F1690" s="10" t="n"/>
      <c r="G1690" s="10" t="inlineStr">
        <is>
          <t>ភាពខុសគ្នា</t>
        </is>
      </c>
      <c r="H1690" s="10" t="inlineStr">
        <is>
          <t>ភាពខុសគ្នា</t>
        </is>
      </c>
      <c r="I1690" s="10" t="n"/>
      <c r="J1690" s="10" t="n"/>
      <c r="K1690" s="10" t="inlineStr">
        <is>
          <t>"paymentReconcile.differential": "ភាពខុសគ្នា",</t>
        </is>
      </c>
      <c r="L1690" s="10" t="n"/>
      <c r="M1690" s="10" t="n"/>
      <c r="N1690" s="10" t="n"/>
      <c r="O1690" s="10" t="n"/>
      <c r="P1690" s="10" t="n"/>
      <c r="Q1690" s="10" t="n"/>
      <c r="R1690" s="10" t="n"/>
      <c r="S1690" s="10" t="n"/>
      <c r="T1690" s="10" t="n"/>
      <c r="U1690" s="10" t="n"/>
      <c r="V1690" s="10" t="n"/>
      <c r="W1690" s="10" t="n"/>
      <c r="X1690" s="10" t="n"/>
      <c r="Y1690" s="10" t="n"/>
      <c r="Z1690" s="10" t="n"/>
    </row>
    <row r="1691">
      <c r="A1691" s="27" t="inlineStr">
        <is>
          <t>paymentReconcile.amountNumTotal</t>
        </is>
      </c>
      <c r="B1691" s="27" t="inlineStr">
        <is>
          <t>Số tiền =1-2</t>
        </is>
      </c>
      <c r="C1691" s="27" t="inlineStr">
        <is>
          <t>Amount =1-2</t>
        </is>
      </c>
      <c r="D1691" s="21" t="inlineStr">
        <is>
          <t>ចំនួនប្រាក់ =1-2</t>
        </is>
      </c>
      <c r="E1691" s="24" t="inlineStr">
        <is>
          <t>ចំនួនប្រាក់ =1-2</t>
        </is>
      </c>
      <c r="F1691" s="10" t="n"/>
      <c r="G1691" s="10" t="inlineStr">
        <is>
          <t>ចំនួនប្រាក់ =1-2</t>
        </is>
      </c>
      <c r="H1691" s="10" t="inlineStr">
        <is>
          <t>ចំនួនប្រាក់ =1-2</t>
        </is>
      </c>
      <c r="I1691" s="10" t="n"/>
      <c r="J1691" s="10" t="n"/>
      <c r="K1691" s="10" t="inlineStr">
        <is>
          <t>"paymentReconcile.amountNumTotal": "ចំនួនប្រាក់ =1-2",</t>
        </is>
      </c>
      <c r="L1691" s="10" t="n"/>
      <c r="M1691" s="10" t="n"/>
      <c r="N1691" s="10" t="n"/>
      <c r="O1691" s="10" t="n"/>
      <c r="P1691" s="10" t="n"/>
      <c r="Q1691" s="10" t="n"/>
      <c r="R1691" s="10" t="n"/>
      <c r="S1691" s="10" t="n"/>
      <c r="T1691" s="10" t="n"/>
      <c r="U1691" s="10" t="n"/>
      <c r="V1691" s="10" t="n"/>
      <c r="W1691" s="10" t="n"/>
      <c r="X1691" s="10" t="n"/>
      <c r="Y1691" s="10" t="n"/>
      <c r="Z1691" s="10" t="n"/>
    </row>
    <row r="1692">
      <c r="A1692" s="27" t="inlineStr">
        <is>
          <t>paymentReconcile.partner</t>
        </is>
      </c>
      <c r="B1692" s="27" t="inlineStr">
        <is>
          <t>Đối tác</t>
        </is>
      </c>
      <c r="C1692" s="27" t="inlineStr">
        <is>
          <t>Partner</t>
        </is>
      </c>
      <c r="D1692" s="21" t="inlineStr">
        <is>
          <t>ដៃគូ</t>
        </is>
      </c>
      <c r="E1692" s="21" t="inlineStr">
        <is>
          <t>ដៃគូ</t>
        </is>
      </c>
      <c r="F1692" s="10" t="n"/>
      <c r="G1692" s="10" t="inlineStr">
        <is>
          <t>ដៃគូ</t>
        </is>
      </c>
      <c r="H1692" s="10" t="inlineStr">
        <is>
          <t>ដៃគូ</t>
        </is>
      </c>
      <c r="I1692" s="10" t="n"/>
      <c r="J1692" s="10" t="n"/>
      <c r="K1692" s="10" t="inlineStr">
        <is>
          <t>"paymentReconcile.partner": "ដៃគូ",</t>
        </is>
      </c>
      <c r="L1692" s="10" t="n"/>
      <c r="M1692" s="10" t="n"/>
      <c r="N1692" s="10" t="n"/>
      <c r="O1692" s="10" t="n"/>
      <c r="P1692" s="10" t="n"/>
      <c r="Q1692" s="10" t="n"/>
      <c r="R1692" s="10" t="n"/>
      <c r="S1692" s="10" t="n"/>
      <c r="T1692" s="10" t="n"/>
      <c r="U1692" s="10" t="n"/>
      <c r="V1692" s="10" t="n"/>
      <c r="W1692" s="10" t="n"/>
      <c r="X1692" s="10" t="n"/>
      <c r="Y1692" s="10" t="n"/>
      <c r="Z1692" s="10" t="n"/>
    </row>
    <row r="1693">
      <c r="A1693" s="27" t="inlineStr">
        <is>
          <t>paymentReconcile.search</t>
        </is>
      </c>
      <c r="B1693" s="27" t="inlineStr">
        <is>
          <t>Tra cứu</t>
        </is>
      </c>
      <c r="C1693" s="27" t="inlineStr">
        <is>
          <t>Search</t>
        </is>
      </c>
      <c r="D1693" s="21" t="inlineStr">
        <is>
          <t>ស្វែងរក</t>
        </is>
      </c>
      <c r="E1693" s="21" t="inlineStr">
        <is>
          <t>ស្វែងរក</t>
        </is>
      </c>
      <c r="F1693" s="10" t="n"/>
      <c r="G1693" s="10" t="inlineStr">
        <is>
          <t>ស្វែងរក</t>
        </is>
      </c>
      <c r="H1693" s="10" t="inlineStr">
        <is>
          <t>ស្វែងរក</t>
        </is>
      </c>
      <c r="I1693" s="10" t="n"/>
      <c r="J1693" s="10" t="n"/>
      <c r="K1693" s="10" t="inlineStr">
        <is>
          <t>"paymentReconcile.search": "ស្វែងរក",</t>
        </is>
      </c>
      <c r="L1693" s="10" t="n"/>
      <c r="M1693" s="10" t="n"/>
      <c r="N1693" s="10" t="n"/>
      <c r="O1693" s="10" t="n"/>
      <c r="P1693" s="10" t="n"/>
      <c r="Q1693" s="10" t="n"/>
      <c r="R1693" s="10" t="n"/>
      <c r="S1693" s="10" t="n"/>
      <c r="T1693" s="10" t="n"/>
      <c r="U1693" s="10" t="n"/>
      <c r="V1693" s="10" t="n"/>
      <c r="W1693" s="10" t="n"/>
      <c r="X1693" s="10" t="n"/>
      <c r="Y1693" s="10" t="n"/>
      <c r="Z1693" s="10" t="n"/>
    </row>
    <row r="1694">
      <c r="A1694" s="27" t="inlineStr">
        <is>
          <t>paymentReconcile.exportExcel</t>
        </is>
      </c>
      <c r="B1694" s="27" t="inlineStr">
        <is>
          <t>Kết xuất excel</t>
        </is>
      </c>
      <c r="C1694" s="27" t="inlineStr">
        <is>
          <t>Export Excel</t>
        </is>
      </c>
      <c r="D1694" s="21" t="inlineStr">
        <is>
          <t>ចាកចេញពី Excel</t>
        </is>
      </c>
      <c r="E1694" s="21" t="inlineStr">
        <is>
          <t>ចាកចេញពី Excel</t>
        </is>
      </c>
      <c r="F1694" s="10" t="n"/>
      <c r="G1694" s="10" t="inlineStr">
        <is>
          <t>ចាកចេញពី Excel</t>
        </is>
      </c>
      <c r="H1694" s="10" t="inlineStr">
        <is>
          <t>ចាកចេញពី Excel</t>
        </is>
      </c>
      <c r="I1694" s="10" t="n"/>
      <c r="J1694" s="10" t="n"/>
      <c r="K1694" s="10" t="inlineStr">
        <is>
          <t>"paymentReconcile.exportExcel": "ចាកចេញពី Excel",</t>
        </is>
      </c>
      <c r="L1694" s="10" t="n"/>
      <c r="M1694" s="10" t="n"/>
      <c r="N1694" s="10" t="n"/>
      <c r="O1694" s="10" t="n"/>
      <c r="P1694" s="10" t="n"/>
      <c r="Q1694" s="10" t="n"/>
      <c r="R1694" s="10" t="n"/>
      <c r="S1694" s="10" t="n"/>
      <c r="T1694" s="10" t="n"/>
      <c r="U1694" s="10" t="n"/>
      <c r="V1694" s="10" t="n"/>
      <c r="W1694" s="10" t="n"/>
      <c r="X1694" s="10" t="n"/>
      <c r="Y1694" s="10" t="n"/>
      <c r="Z1694" s="10" t="n"/>
    </row>
    <row r="1695">
      <c r="A1695" s="27" t="inlineStr">
        <is>
          <t>paymentReconcile.startDate</t>
        </is>
      </c>
      <c r="B1695" s="27" t="inlineStr">
        <is>
          <t>Ngày bắt đầu</t>
        </is>
      </c>
      <c r="C1695" s="27" t="inlineStr">
        <is>
          <t>Start Date</t>
        </is>
      </c>
      <c r="D1695" s="21" t="inlineStr">
        <is>
          <t>ថ្ងៃចាប់ផ្តើម</t>
        </is>
      </c>
      <c r="E1695" s="21" t="inlineStr">
        <is>
          <t>ថ្ងៃចាប់ផ្តើម</t>
        </is>
      </c>
      <c r="F1695" s="10" t="n"/>
      <c r="G1695" s="10" t="inlineStr">
        <is>
          <t>ថ្ងៃចាប់ផ្តើម</t>
        </is>
      </c>
      <c r="H1695" s="10" t="inlineStr">
        <is>
          <t>ថ្ងៃចាប់ផ្តើម</t>
        </is>
      </c>
      <c r="I1695" s="10" t="n"/>
      <c r="J1695" s="10" t="n"/>
      <c r="K1695" s="10" t="inlineStr">
        <is>
          <t>"paymentReconcile.startDate": "ថ្ងៃចាប់ផ្តើម",</t>
        </is>
      </c>
      <c r="L1695" s="10" t="n"/>
      <c r="M1695" s="10" t="n"/>
      <c r="N1695" s="10" t="n"/>
      <c r="O1695" s="10" t="n"/>
      <c r="P1695" s="10" t="n"/>
      <c r="Q1695" s="10" t="n"/>
      <c r="R1695" s="10" t="n"/>
      <c r="S1695" s="10" t="n"/>
      <c r="T1695" s="10" t="n"/>
      <c r="U1695" s="10" t="n"/>
      <c r="V1695" s="10" t="n"/>
      <c r="W1695" s="10" t="n"/>
      <c r="X1695" s="10" t="n"/>
      <c r="Y1695" s="10" t="n"/>
      <c r="Z1695" s="10" t="n"/>
    </row>
    <row r="1696">
      <c r="A1696" s="27" t="inlineStr">
        <is>
          <t>paymentReconcile.endDate</t>
        </is>
      </c>
      <c r="B1696" s="27" t="inlineStr">
        <is>
          <t>Ngày kết thúc</t>
        </is>
      </c>
      <c r="C1696" s="27" t="inlineStr">
        <is>
          <t>End Date</t>
        </is>
      </c>
      <c r="D1696" s="21" t="inlineStr">
        <is>
          <t>ថ្ងៃ្ងបញ្ចប់</t>
        </is>
      </c>
      <c r="E1696" s="21" t="inlineStr">
        <is>
          <t>ថ្ងៃ្ងបញ្ចប់</t>
        </is>
      </c>
      <c r="F1696" s="10" t="n"/>
      <c r="G1696" s="10" t="inlineStr">
        <is>
          <t>ថ្ងៃ្ងបញ្ចប់</t>
        </is>
      </c>
      <c r="H1696" s="10" t="inlineStr">
        <is>
          <t>ថ្ងៃ្ងបញ្ចប់</t>
        </is>
      </c>
      <c r="I1696" s="10" t="n"/>
      <c r="J1696" s="10" t="n"/>
      <c r="K1696" s="10" t="inlineStr">
        <is>
          <t>"paymentReconcile.endDate": "ថ្ងៃ្ងបញ្ចប់",</t>
        </is>
      </c>
      <c r="L1696" s="10" t="n"/>
      <c r="M1696" s="10" t="n"/>
      <c r="N1696" s="10" t="n"/>
      <c r="O1696" s="10" t="n"/>
      <c r="P1696" s="10" t="n"/>
      <c r="Q1696" s="10" t="n"/>
      <c r="R1696" s="10" t="n"/>
      <c r="S1696" s="10" t="n"/>
      <c r="T1696" s="10" t="n"/>
      <c r="U1696" s="10" t="n"/>
      <c r="V1696" s="10" t="n"/>
      <c r="W1696" s="10" t="n"/>
      <c r="X1696" s="10" t="n"/>
      <c r="Y1696" s="10" t="n"/>
      <c r="Z1696" s="10" t="n"/>
    </row>
    <row r="1697">
      <c r="A1697" s="27" t="inlineStr">
        <is>
          <t>paymentReconcile.fromDateCannotBeAfterToDate</t>
        </is>
      </c>
      <c r="B1697" s="27" t="inlineStr">
        <is>
          <t>Ngày bắt đầu không được lớn hơn ngày kết thúc.</t>
        </is>
      </c>
      <c r="C1697" s="27" t="inlineStr">
        <is>
          <t>Start date cannot be after end date.</t>
        </is>
      </c>
      <c r="D1697" s="21" t="inlineStr">
        <is>
          <t>ថ្ងៃចាប់ផ្តើមមិនអាចធំជាងថ្ងៃបញ្ចប់</t>
        </is>
      </c>
      <c r="E1697" s="21" t="inlineStr">
        <is>
          <t>ថ្ងៃចាប់ផ្តើមមិនអាចធំជាងថ្ងៃបញ្ចប់</t>
        </is>
      </c>
      <c r="F1697" s="10" t="n"/>
      <c r="G1697" s="10" t="inlineStr">
        <is>
          <t>ថ្ងៃចាប់ផ្តើមមិនអាចធំជាងថ្ងៃបញ្ចប់</t>
        </is>
      </c>
      <c r="H1697" s="10" t="inlineStr">
        <is>
          <t>ថ្ងៃចាប់ផ្តើមមិនអាចធំជាងថ្ងៃបញ្ចប់</t>
        </is>
      </c>
      <c r="I1697" s="10" t="n"/>
      <c r="J1697" s="10" t="n"/>
      <c r="K1697" s="10" t="inlineStr">
        <is>
          <t>"paymentReconcile.fromDateCannotBeAfterToDate": "ថ្ងៃចាប់ផ្តើមមិនអាចធំជាងថ្ងៃបញ្ចប់",</t>
        </is>
      </c>
      <c r="L1697" s="10" t="n"/>
      <c r="M1697" s="10" t="n"/>
      <c r="N1697" s="10" t="n"/>
      <c r="O1697" s="10" t="n"/>
      <c r="P1697" s="10" t="n"/>
      <c r="Q1697" s="10" t="n"/>
      <c r="R1697" s="10" t="n"/>
      <c r="S1697" s="10" t="n"/>
      <c r="T1697" s="10" t="n"/>
      <c r="U1697" s="10" t="n"/>
      <c r="V1697" s="10" t="n"/>
      <c r="W1697" s="10" t="n"/>
      <c r="X1697" s="10" t="n"/>
      <c r="Y1697" s="10" t="n"/>
      <c r="Z1697" s="10" t="n"/>
    </row>
    <row r="1698">
      <c r="A1698" s="27" t="inlineStr">
        <is>
          <t>paymentReconcile.toDateCannotBeBeforeFromDate</t>
        </is>
      </c>
      <c r="B1698" s="27" t="inlineStr">
        <is>
          <t>Ngày kết thúc không được nhỏ hơn ngày bắt đầu.</t>
        </is>
      </c>
      <c r="C1698" s="27" t="inlineStr">
        <is>
          <t>End date cannot be before start date.</t>
        </is>
      </c>
      <c r="D1698" s="21" t="inlineStr">
        <is>
          <t>ថ្ងៃបញ្ចប់មិនអាចតូចជាងថ្ងៃចាប់ផ្តើមទេ</t>
        </is>
      </c>
      <c r="E1698" s="21" t="inlineStr">
        <is>
          <t>ថ្ងៃបញ្ចប់មិនអាចតូចជាងថ្ងៃចាប់ផ្តើមទេ</t>
        </is>
      </c>
      <c r="F1698" s="10" t="n"/>
      <c r="G1698" s="10" t="inlineStr">
        <is>
          <t>ថ្ងៃបញ្ចប់មិនអាចតូចជាងថ្ងៃចាប់ផ្តើមទេ</t>
        </is>
      </c>
      <c r="H1698" s="10" t="inlineStr">
        <is>
          <t>ថ្ងៃបញ្ចប់មិនអាចតូចជាងថ្ងៃចាប់ផ្តើមទេ</t>
        </is>
      </c>
      <c r="I1698" s="10" t="n"/>
      <c r="J1698" s="10" t="n"/>
      <c r="K1698" s="10" t="inlineStr">
        <is>
          <t>"paymentReconcile.toDateCannotBeBeforeFromDate": "ថ្ងៃបញ្ចប់មិនអាចតូចជាងថ្ងៃចាប់ផ្តើមទេ",</t>
        </is>
      </c>
      <c r="L1698" s="10" t="n"/>
      <c r="M1698" s="10" t="n"/>
      <c r="N1698" s="10" t="n"/>
      <c r="O1698" s="10" t="n"/>
      <c r="P1698" s="10" t="n"/>
      <c r="Q1698" s="10" t="n"/>
      <c r="R1698" s="10" t="n"/>
      <c r="S1698" s="10" t="n"/>
      <c r="T1698" s="10" t="n"/>
      <c r="U1698" s="10" t="n"/>
      <c r="V1698" s="10" t="n"/>
      <c r="W1698" s="10" t="n"/>
      <c r="X1698" s="10" t="n"/>
      <c r="Y1698" s="10" t="n"/>
      <c r="Z1698" s="10" t="n"/>
    </row>
    <row r="1699">
      <c r="A1699" s="27" t="inlineStr">
        <is>
          <t>paymentReconcile.RECORD_SUCCESS</t>
        </is>
      </c>
      <c r="B1699" s="27" t="inlineStr">
        <is>
          <t>Thành công</t>
        </is>
      </c>
      <c r="C1699" s="27" t="inlineStr">
        <is>
          <t>Success</t>
        </is>
      </c>
      <c r="D1699" s="21" t="inlineStr">
        <is>
          <t>ជោគជ័យ</t>
        </is>
      </c>
      <c r="E1699" s="21" t="inlineStr">
        <is>
          <t>ជោគជ័យ</t>
        </is>
      </c>
      <c r="F1699" s="10" t="n"/>
      <c r="G1699" s="10" t="inlineStr">
        <is>
          <t>ជោគជ័យ</t>
        </is>
      </c>
      <c r="H1699" s="10" t="inlineStr">
        <is>
          <t>ជោគជ័យ</t>
        </is>
      </c>
      <c r="I1699" s="10" t="n"/>
      <c r="J1699" s="10" t="n"/>
      <c r="K1699" s="10" t="inlineStr">
        <is>
          <t>"paymentReconcile.RECORD_SUCCESS": "ជោគជ័យ",</t>
        </is>
      </c>
      <c r="L1699" s="10" t="n"/>
      <c r="M1699" s="10" t="n"/>
      <c r="N1699" s="10" t="n"/>
      <c r="O1699" s="10" t="n"/>
      <c r="P1699" s="10" t="n"/>
      <c r="Q1699" s="10" t="n"/>
      <c r="R1699" s="10" t="n"/>
      <c r="S1699" s="10" t="n"/>
      <c r="T1699" s="10" t="n"/>
      <c r="U1699" s="10" t="n"/>
      <c r="V1699" s="10" t="n"/>
      <c r="W1699" s="10" t="n"/>
      <c r="X1699" s="10" t="n"/>
      <c r="Y1699" s="10" t="n"/>
      <c r="Z1699" s="10" t="n"/>
    </row>
    <row r="1700">
      <c r="A1700" s="27" t="inlineStr">
        <is>
          <t>paymentReconcile.RECORD_PROCESSING</t>
        </is>
      </c>
      <c r="B1700" s="27" t="inlineStr">
        <is>
          <t>Đang xử lý</t>
        </is>
      </c>
      <c r="C1700" s="27" t="inlineStr">
        <is>
          <t>Processing</t>
        </is>
      </c>
      <c r="D1700" s="21" t="inlineStr">
        <is>
          <t>កំពុងដោះស្រាយ</t>
        </is>
      </c>
      <c r="E1700" s="21" t="inlineStr">
        <is>
          <t>កំពុងដោះស្រាយ</t>
        </is>
      </c>
      <c r="F1700" s="10" t="n"/>
      <c r="G1700" s="10" t="inlineStr">
        <is>
          <t>កំពុងដំណើរការ</t>
        </is>
      </c>
      <c r="H1700" s="10" t="inlineStr">
        <is>
          <t>កំពុងដំណើរការ</t>
        </is>
      </c>
      <c r="I1700" s="10" t="n"/>
      <c r="J1700" s="10" t="n"/>
      <c r="K1700" s="10" t="inlineStr">
        <is>
          <t>"paymentReconcile.RECORD_PROCESSING": "កំពុងដំណើរការ",</t>
        </is>
      </c>
      <c r="L1700" s="10" t="n"/>
      <c r="M1700" s="10" t="n"/>
      <c r="N1700" s="10" t="n"/>
      <c r="O1700" s="10" t="n"/>
      <c r="P1700" s="10" t="n"/>
      <c r="Q1700" s="10" t="n"/>
      <c r="R1700" s="10" t="n"/>
      <c r="S1700" s="10" t="n"/>
      <c r="T1700" s="10" t="n"/>
      <c r="U1700" s="10" t="n"/>
      <c r="V1700" s="10" t="n"/>
      <c r="W1700" s="10" t="n"/>
      <c r="X1700" s="10" t="n"/>
      <c r="Y1700" s="10" t="n"/>
      <c r="Z1700" s="10" t="n"/>
    </row>
    <row r="1701">
      <c r="A1701" s="27" t="inlineStr">
        <is>
          <t>paymentReconcile.downloadExcelFileName</t>
        </is>
      </c>
      <c r="B1701" s="27" t="inlineStr">
        <is>
          <t>Danh_sach_giao_dich_ doi_soat_noi_bo</t>
        </is>
      </c>
      <c r="C1701" s="27" t="inlineStr">
        <is>
          <t>Internal_reconciliation_transaction_list</t>
        </is>
      </c>
      <c r="D1701" s="102" t="n"/>
      <c r="E1701" s="102" t="inlineStr">
        <is>
          <t>បញ្ជីប្រតិបត្តិការត្រួតពិនិត្យផ្នែកខាងក្នុង</t>
        </is>
      </c>
      <c r="F1701" s="10" t="n"/>
      <c r="G1701" s="10" t="inlineStr">
        <is>
          <t>បញ្ជីប្រតិបត្តិការត្រួតពិនិត្យផ្នែកខាងក្នុង</t>
        </is>
      </c>
      <c r="H1701" s="10" t="inlineStr">
        <is>
          <t>បញ្ជីប្រតិបត្តិការត្រួតពិនិត្យផ្នែកខាងក្នុង</t>
        </is>
      </c>
      <c r="I1701" s="10" t="n"/>
      <c r="J1701" s="10" t="n"/>
      <c r="K1701" s="10" t="inlineStr">
        <is>
          <t>"paymentReconcile.downloadExcelFileName": "បញ្ជីប្រតិបត្តិការត្រួតពិនិត្យផ្នែកខាងក្នុង",</t>
        </is>
      </c>
      <c r="L1701" s="10" t="n"/>
      <c r="M1701" s="10" t="n"/>
      <c r="N1701" s="10" t="n"/>
      <c r="O1701" s="10" t="n"/>
      <c r="P1701" s="10" t="n"/>
      <c r="Q1701" s="10" t="n"/>
      <c r="R1701" s="10" t="n"/>
      <c r="S1701" s="10" t="n"/>
      <c r="T1701" s="10" t="n"/>
      <c r="U1701" s="10" t="n"/>
      <c r="V1701" s="10" t="n"/>
      <c r="W1701" s="10" t="n"/>
      <c r="X1701" s="10" t="n"/>
      <c r="Y1701" s="10" t="n"/>
      <c r="Z1701" s="10" t="n"/>
    </row>
    <row r="1702">
      <c r="A1702" s="27" t="inlineStr">
        <is>
          <t>paymentReconcile.partnerSummaryTitle</t>
        </is>
      </c>
      <c r="B1702" s="27" t="inlineStr">
        <is>
          <t>Thông tin tổng hợp</t>
        </is>
      </c>
      <c r="C1702" s="27" t="inlineStr">
        <is>
          <t>Summary Information</t>
        </is>
      </c>
      <c r="D1702" s="102" t="n"/>
      <c r="E1702" s="102" t="inlineStr">
        <is>
          <t>ព័ត៌មានសរុប</t>
        </is>
      </c>
      <c r="F1702" s="10" t="n"/>
      <c r="G1702" s="10" t="inlineStr">
        <is>
          <t>ព័ត៌មានសរុប</t>
        </is>
      </c>
      <c r="H1702" s="10" t="inlineStr">
        <is>
          <t>ព័ត៌មានសរុប</t>
        </is>
      </c>
      <c r="I1702" s="10" t="n"/>
      <c r="J1702" s="10" t="n"/>
      <c r="K1702" s="10" t="inlineStr">
        <is>
          <t>"paymentReconcile.partnerSummaryTitle": "ព័ត៌មានសរុប",</t>
        </is>
      </c>
      <c r="L1702" s="10" t="n"/>
      <c r="M1702" s="10" t="n"/>
      <c r="N1702" s="10" t="n"/>
      <c r="O1702" s="10" t="n"/>
      <c r="P1702" s="10" t="n"/>
      <c r="Q1702" s="10" t="n"/>
      <c r="R1702" s="10" t="n"/>
      <c r="S1702" s="10" t="n"/>
      <c r="T1702" s="10" t="n"/>
      <c r="U1702" s="10" t="n"/>
      <c r="V1702" s="10" t="n"/>
      <c r="W1702" s="10" t="n"/>
      <c r="X1702" s="10" t="n"/>
      <c r="Y1702" s="10" t="n"/>
      <c r="Z1702" s="10" t="n"/>
    </row>
    <row r="1703">
      <c r="A1703" s="27" t="inlineStr">
        <is>
          <t>paymentReconcile.transactions</t>
        </is>
      </c>
      <c r="B1703" s="27" t="inlineStr">
        <is>
          <t>Số giao dịch</t>
        </is>
      </c>
      <c r="C1703" s="27" t="inlineStr">
        <is>
          <t>Transactions</t>
        </is>
      </c>
      <c r="D1703" s="21" t="inlineStr">
        <is>
          <t>លេខប្រតិបត្តិការ</t>
        </is>
      </c>
      <c r="E1703" s="21" t="inlineStr">
        <is>
          <t>លេខប្រតិបត្តិការ</t>
        </is>
      </c>
      <c r="F1703" s="10" t="n"/>
      <c r="G1703" s="10" t="inlineStr">
        <is>
          <t>លេខប្រតិបត្តិការ</t>
        </is>
      </c>
      <c r="H1703" s="10" t="inlineStr">
        <is>
          <t>លេខប្រតិបត្តិការ</t>
        </is>
      </c>
      <c r="I1703" s="10" t="n"/>
      <c r="J1703" s="10" t="n"/>
      <c r="K1703" s="10" t="inlineStr">
        <is>
          <t>"paymentReconcile.transactions": "លេខប្រតិបត្តិការ",</t>
        </is>
      </c>
      <c r="L1703" s="10" t="n"/>
      <c r="M1703" s="10" t="n"/>
      <c r="N1703" s="10" t="n"/>
      <c r="O1703" s="10" t="n"/>
      <c r="P1703" s="10" t="n"/>
      <c r="Q1703" s="10" t="n"/>
      <c r="R1703" s="10" t="n"/>
      <c r="S1703" s="10" t="n"/>
      <c r="T1703" s="10" t="n"/>
      <c r="U1703" s="10" t="n"/>
      <c r="V1703" s="10" t="n"/>
      <c r="W1703" s="10" t="n"/>
      <c r="X1703" s="10" t="n"/>
      <c r="Y1703" s="10" t="n"/>
      <c r="Z1703" s="10" t="n"/>
    </row>
    <row r="1704">
      <c r="A1704" s="27" t="inlineStr">
        <is>
          <t>paymentReconcile.difference</t>
        </is>
      </c>
      <c r="B1704" s="27" t="inlineStr">
        <is>
          <t>Chênh lệch</t>
        </is>
      </c>
      <c r="C1704" s="27" t="inlineStr">
        <is>
          <t>Difference</t>
        </is>
      </c>
      <c r="D1704" s="21" t="inlineStr">
        <is>
          <t>ភាពខុសគ្នា</t>
        </is>
      </c>
      <c r="E1704" s="21" t="inlineStr">
        <is>
          <t>ភាពខុសគ្នា</t>
        </is>
      </c>
      <c r="F1704" s="10" t="n"/>
      <c r="G1704" s="10" t="inlineStr">
        <is>
          <t>ភាពខុសគ្នា</t>
        </is>
      </c>
      <c r="H1704" s="10" t="inlineStr">
        <is>
          <t>ភាពខុសគ្នា</t>
        </is>
      </c>
      <c r="I1704" s="10" t="n"/>
      <c r="J1704" s="10" t="n"/>
      <c r="K1704" s="10" t="inlineStr">
        <is>
          <t>"paymentReconcile.difference": "ភាពខុសគ្នា",</t>
        </is>
      </c>
      <c r="L1704" s="10" t="n"/>
      <c r="M1704" s="10" t="n"/>
      <c r="N1704" s="10" t="n"/>
      <c r="O1704" s="10" t="n"/>
      <c r="P1704" s="10" t="n"/>
      <c r="Q1704" s="10" t="n"/>
      <c r="R1704" s="10" t="n"/>
      <c r="S1704" s="10" t="n"/>
      <c r="T1704" s="10" t="n"/>
      <c r="U1704" s="10" t="n"/>
      <c r="V1704" s="10" t="n"/>
      <c r="W1704" s="10" t="n"/>
      <c r="X1704" s="10" t="n"/>
      <c r="Y1704" s="10" t="n"/>
      <c r="Z1704" s="10" t="n"/>
    </row>
    <row r="1705">
      <c r="A1705" s="27" t="inlineStr">
        <is>
          <t>paymentReconcile.differenceOccurred</t>
        </is>
      </c>
      <c r="B1705" s="27" t="inlineStr">
        <is>
          <t>Phát sinh chênh lệch/ Không phát sinh chênh lệch</t>
        </is>
      </c>
      <c r="C1705" s="27" t="inlineStr">
        <is>
          <t>Difference Occurred / No Difference</t>
        </is>
      </c>
      <c r="D1705" s="102" t="n"/>
      <c r="E1705" s="90" t="inlineStr">
        <is>
          <t>មានការខុសគ្នាបានកើតឡើង</t>
        </is>
      </c>
      <c r="F1705" s="10" t="n"/>
      <c r="G1705" s="10" t="inlineStr">
        <is>
          <t>មានការខុសគ្នាបានកើតឡើង</t>
        </is>
      </c>
      <c r="H1705" s="10" t="inlineStr">
        <is>
          <t>មានការខុសគ្នាបានកើតឡើង</t>
        </is>
      </c>
      <c r="I1705" s="10" t="n"/>
      <c r="J1705" s="10" t="n"/>
      <c r="K1705" s="10" t="inlineStr">
        <is>
          <t>"paymentReconcile.differenceOccurred": "មានការខុសគ្នាបានកើតឡើង",</t>
        </is>
      </c>
      <c r="L1705" s="10" t="n"/>
      <c r="M1705" s="10" t="n"/>
      <c r="N1705" s="10" t="n"/>
      <c r="O1705" s="10" t="n"/>
      <c r="P1705" s="10" t="n"/>
      <c r="Q1705" s="10" t="n"/>
      <c r="R1705" s="10" t="n"/>
      <c r="S1705" s="10" t="n"/>
      <c r="T1705" s="10" t="n"/>
      <c r="U1705" s="10" t="n"/>
      <c r="V1705" s="10" t="n"/>
      <c r="W1705" s="10" t="n"/>
      <c r="X1705" s="10" t="n"/>
      <c r="Y1705" s="10" t="n"/>
      <c r="Z1705" s="10" t="n"/>
    </row>
    <row r="1706">
      <c r="A1706" s="27" t="inlineStr">
        <is>
          <t>paymentReconcile.transactionTitle</t>
        </is>
      </c>
      <c r="B1706" s="27" t="inlineStr">
        <is>
          <t>Thông tin chi tiết giao dịch</t>
        </is>
      </c>
      <c r="C1706" s="27" t="inlineStr">
        <is>
          <t>Transaction Details</t>
        </is>
      </c>
      <c r="D1706" s="21" t="inlineStr">
        <is>
          <t>ព័ត៌មានលម្អិតពីប្រតិបត្តិការ</t>
        </is>
      </c>
      <c r="E1706" s="21" t="inlineStr">
        <is>
          <t>ព័ត៌មានលម្អិតពីប្រតិបត្តិការ</t>
        </is>
      </c>
      <c r="F1706" s="10" t="n"/>
      <c r="G1706" s="10" t="inlineStr">
        <is>
          <t>ព័ត៌មានលម្អិតពីប្រតិបត្តិការ</t>
        </is>
      </c>
      <c r="H1706" s="10" t="inlineStr">
        <is>
          <t>ព័ត៌មានលម្អិតពីប្រតិបត្តិការ</t>
        </is>
      </c>
      <c r="I1706" s="10" t="n"/>
      <c r="J1706" s="10" t="n"/>
      <c r="K1706" s="10" t="inlineStr">
        <is>
          <t>"paymentReconcile.transactionTitle": "ព័ត៌មានលម្អិតពីប្រតិបត្តិការ",</t>
        </is>
      </c>
      <c r="L1706" s="10" t="n"/>
      <c r="M1706" s="10" t="n"/>
      <c r="N1706" s="10" t="n"/>
      <c r="O1706" s="10" t="n"/>
      <c r="P1706" s="10" t="n"/>
      <c r="Q1706" s="10" t="n"/>
      <c r="R1706" s="10" t="n"/>
      <c r="S1706" s="10" t="n"/>
      <c r="T1706" s="10" t="n"/>
      <c r="U1706" s="10" t="n"/>
      <c r="V1706" s="10" t="n"/>
      <c r="W1706" s="10" t="n"/>
      <c r="X1706" s="10" t="n"/>
      <c r="Y1706" s="10" t="n"/>
      <c r="Z1706" s="10" t="n"/>
    </row>
    <row r="1707">
      <c r="A1707" s="27" t="inlineStr">
        <is>
          <t>paymentReconcile.totalInternal</t>
        </is>
      </c>
      <c r="B1707" s="27" t="inlineStr">
        <is>
          <t>Tổng giao dịch Thành công tại VTP</t>
        </is>
      </c>
      <c r="C1707" s="27" t="inlineStr">
        <is>
          <t>Total Successful Transactions at VTP</t>
        </is>
      </c>
      <c r="D1707" s="102" t="n"/>
      <c r="E1707" s="90" t="inlineStr">
        <is>
          <t>ចំនួនប្រតិបត្តិការជោគជ័យសរុបនៅ VTP</t>
        </is>
      </c>
      <c r="F1707" s="10" t="n"/>
      <c r="G1707" s="10" t="inlineStr">
        <is>
          <t>ចំនួនប្រតិបត្តិការជោគជ័យសរុបនៅ VTP</t>
        </is>
      </c>
      <c r="H1707" s="10" t="inlineStr">
        <is>
          <t>ចំនួនប្រតិបត្តិការជោគជ័យសរុបនៅ VTP</t>
        </is>
      </c>
      <c r="I1707" s="10" t="n"/>
      <c r="J1707" s="10" t="n"/>
      <c r="K1707" s="10" t="inlineStr">
        <is>
          <t>"paymentReconcile.totalInternal": "ចំនួនប្រតិបត្តិការជោគជ័យសរុបនៅ VTP",</t>
        </is>
      </c>
      <c r="L1707" s="10" t="n"/>
      <c r="M1707" s="10" t="n"/>
      <c r="N1707" s="10" t="n"/>
      <c r="O1707" s="10" t="n"/>
      <c r="P1707" s="10" t="n"/>
      <c r="Q1707" s="10" t="n"/>
      <c r="R1707" s="10" t="n"/>
      <c r="S1707" s="10" t="n"/>
      <c r="T1707" s="10" t="n"/>
      <c r="U1707" s="10" t="n"/>
      <c r="V1707" s="10" t="n"/>
      <c r="W1707" s="10" t="n"/>
      <c r="X1707" s="10" t="n"/>
      <c r="Y1707" s="10" t="n"/>
      <c r="Z1707" s="10" t="n"/>
    </row>
    <row r="1708">
      <c r="A1708" s="27" t="inlineStr">
        <is>
          <t>paymentReconcile.totalPartner</t>
        </is>
      </c>
      <c r="B1708" s="27" t="inlineStr">
        <is>
          <t>Tổng giao dịch Thành tại đối tác</t>
        </is>
      </c>
      <c r="C1708" s="27" t="inlineStr">
        <is>
          <t>Total Successful Transactions at Partner</t>
        </is>
      </c>
      <c r="D1708" s="102" t="n"/>
      <c r="E1708" s="90" t="inlineStr">
        <is>
          <t>ចំនួនប្រតិបត្តិការជោគជ័យសរុបនៅដៃគូ</t>
        </is>
      </c>
      <c r="F1708" s="10" t="n"/>
      <c r="G1708" s="10" t="inlineStr">
        <is>
          <t>ចំនួនប្រតិបត្តិការជោគជ័យសរុបនៅដៃគូ</t>
        </is>
      </c>
      <c r="H1708" s="10" t="inlineStr">
        <is>
          <t>ចំនួនប្រតិបត្តិការជោគជ័យសរុបនៅដៃគូ</t>
        </is>
      </c>
      <c r="I1708" s="10" t="n"/>
      <c r="J1708" s="10" t="n"/>
      <c r="K1708" s="10" t="inlineStr">
        <is>
          <t>"paymentReconcile.totalPartner": "ចំនួនប្រតិបត្តិការជោគជ័យសរុបនៅដៃគូ",</t>
        </is>
      </c>
      <c r="L1708" s="10" t="n"/>
      <c r="M1708" s="10" t="n"/>
      <c r="N1708" s="10" t="n"/>
      <c r="O1708" s="10" t="n"/>
      <c r="P1708" s="10" t="n"/>
      <c r="Q1708" s="10" t="n"/>
      <c r="R1708" s="10" t="n"/>
      <c r="S1708" s="10" t="n"/>
      <c r="T1708" s="10" t="n"/>
      <c r="U1708" s="10" t="n"/>
      <c r="V1708" s="10" t="n"/>
      <c r="W1708" s="10" t="n"/>
      <c r="X1708" s="10" t="n"/>
      <c r="Y1708" s="10" t="n"/>
      <c r="Z1708" s="10" t="n"/>
    </row>
    <row r="1709">
      <c r="A1709" s="27" t="inlineStr">
        <is>
          <t>paymentReconcile.updatedAt</t>
        </is>
      </c>
      <c r="B1709" s="27" t="inlineStr">
        <is>
          <t>Thời gian cập nhật</t>
        </is>
      </c>
      <c r="C1709" s="27" t="inlineStr">
        <is>
          <t>Updated At</t>
        </is>
      </c>
      <c r="D1709" s="21" t="inlineStr">
        <is>
          <t>ពេលវេលាអាប់ដេត</t>
        </is>
      </c>
      <c r="E1709" s="21" t="inlineStr">
        <is>
          <t>ពេលវេលាអាប់ដេត</t>
        </is>
      </c>
      <c r="F1709" s="10" t="n"/>
      <c r="G1709" s="10" t="inlineStr">
        <is>
          <t>ពេលវេលាអាប់ដេត</t>
        </is>
      </c>
      <c r="H1709" s="10" t="inlineStr">
        <is>
          <t>ពេលវេលាអាប់ដេត</t>
        </is>
      </c>
      <c r="I1709" s="10" t="n"/>
      <c r="J1709" s="10" t="n"/>
      <c r="K1709" s="10" t="inlineStr">
        <is>
          <t>"paymentReconcile.updatedAt": "ពេលវេលាអាប់ដេត",</t>
        </is>
      </c>
      <c r="L1709" s="10" t="n"/>
      <c r="M1709" s="10" t="n"/>
      <c r="N1709" s="10" t="n"/>
      <c r="O1709" s="10" t="n"/>
      <c r="P1709" s="10" t="n"/>
      <c r="Q1709" s="10" t="n"/>
      <c r="R1709" s="10" t="n"/>
      <c r="S1709" s="10" t="n"/>
      <c r="T1709" s="10" t="n"/>
      <c r="U1709" s="10" t="n"/>
      <c r="V1709" s="10" t="n"/>
      <c r="W1709" s="10" t="n"/>
      <c r="X1709" s="10" t="n"/>
      <c r="Y1709" s="10" t="n"/>
      <c r="Z1709" s="10" t="n"/>
    </row>
    <row r="1710">
      <c r="A1710" s="27" t="inlineStr">
        <is>
          <t>outstandingDebtReport.company</t>
        </is>
      </c>
      <c r="B1710" s="27" t="inlineStr">
        <is>
          <t>Công ty</t>
        </is>
      </c>
      <c r="C1710" s="27" t="inlineStr">
        <is>
          <t>Company</t>
        </is>
      </c>
      <c r="D1710" s="27" t="inlineStr">
        <is>
          <t>-</t>
        </is>
      </c>
      <c r="E1710" s="102" t="inlineStr">
        <is>
          <t>ក្រុមហ៊ុន</t>
        </is>
      </c>
      <c r="F1710" s="10" t="n"/>
      <c r="G1710" s="10" t="inlineStr">
        <is>
          <t>ក្រុមហ៊ុន</t>
        </is>
      </c>
      <c r="H1710" s="10" t="inlineStr">
        <is>
          <t>ក្រុមហ៊ុន</t>
        </is>
      </c>
      <c r="I1710" s="10" t="n"/>
      <c r="J1710" s="10" t="n"/>
      <c r="K1710" s="10" t="inlineStr">
        <is>
          <t>"outstandingDebtReport.company": "ក្រុមហ៊ុន",</t>
        </is>
      </c>
      <c r="L1710" s="10" t="n"/>
      <c r="M1710" s="10" t="n"/>
      <c r="N1710" s="10" t="n"/>
      <c r="O1710" s="10" t="n"/>
      <c r="P1710" s="10" t="n"/>
      <c r="Q1710" s="10" t="n"/>
      <c r="R1710" s="10" t="n"/>
      <c r="S1710" s="10" t="n"/>
      <c r="T1710" s="10" t="n"/>
      <c r="U1710" s="10" t="n"/>
      <c r="V1710" s="10" t="n"/>
      <c r="W1710" s="10" t="n"/>
      <c r="X1710" s="10" t="n"/>
      <c r="Y1710" s="10" t="n"/>
      <c r="Z1710" s="10" t="n"/>
    </row>
    <row r="1711">
      <c r="A1711" s="27" t="inlineStr">
        <is>
          <t>outstandingDebtReport.branch</t>
        </is>
      </c>
      <c r="B1711" s="27" t="inlineStr">
        <is>
          <t>Chi nhánh</t>
        </is>
      </c>
      <c r="C1711" s="27" t="inlineStr">
        <is>
          <t>Branch</t>
        </is>
      </c>
      <c r="D1711" s="27" t="inlineStr">
        <is>
          <t>-</t>
        </is>
      </c>
      <c r="E1711" s="102" t="inlineStr">
        <is>
          <t>សាខា</t>
        </is>
      </c>
      <c r="F1711" s="10" t="n"/>
      <c r="G1711" s="10" t="inlineStr">
        <is>
          <t>សាខា</t>
        </is>
      </c>
      <c r="H1711" s="10" t="inlineStr">
        <is>
          <t>សាខា</t>
        </is>
      </c>
      <c r="I1711" s="10" t="n"/>
      <c r="J1711" s="10" t="n"/>
      <c r="K1711" s="10" t="inlineStr">
        <is>
          <t>"outstandingDebtReport.branch": "សាខា",</t>
        </is>
      </c>
      <c r="L1711" s="10" t="n"/>
      <c r="M1711" s="10" t="n"/>
      <c r="N1711" s="10" t="n"/>
      <c r="O1711" s="10" t="n"/>
      <c r="P1711" s="10" t="n"/>
      <c r="Q1711" s="10" t="n"/>
      <c r="R1711" s="10" t="n"/>
      <c r="S1711" s="10" t="n"/>
      <c r="T1711" s="10" t="n"/>
      <c r="U1711" s="10" t="n"/>
      <c r="V1711" s="10" t="n"/>
      <c r="W1711" s="10" t="n"/>
      <c r="X1711" s="10" t="n"/>
      <c r="Y1711" s="10" t="n"/>
      <c r="Z1711" s="10" t="n"/>
    </row>
    <row r="1712">
      <c r="A1712" s="27" t="inlineStr">
        <is>
          <t>outstandingDebtReport.branchPlaceholder</t>
        </is>
      </c>
      <c r="B1712" s="27" t="inlineStr">
        <is>
          <t>Chọn chi nhánh</t>
        </is>
      </c>
      <c r="C1712" s="27" t="inlineStr">
        <is>
          <t>Select branch</t>
        </is>
      </c>
      <c r="D1712" s="27" t="inlineStr">
        <is>
          <t>-</t>
        </is>
      </c>
      <c r="E1712" s="102" t="inlineStr">
        <is>
          <t>ជ្រើសរើសសាខា</t>
        </is>
      </c>
      <c r="F1712" s="10" t="n"/>
      <c r="G1712" s="10" t="inlineStr">
        <is>
          <t>ជ្រើសរើសសាខា</t>
        </is>
      </c>
      <c r="H1712" s="10" t="inlineStr">
        <is>
          <t>ជ្រើសរើសសាខា</t>
        </is>
      </c>
      <c r="I1712" s="10" t="n"/>
      <c r="J1712" s="10" t="n"/>
      <c r="K1712" s="10" t="inlineStr">
        <is>
          <t>"outstandingDebtReport.branchPlaceholder": "ជ្រើសរើសសាខា",</t>
        </is>
      </c>
      <c r="L1712" s="10" t="n"/>
      <c r="M1712" s="10" t="n"/>
      <c r="N1712" s="10" t="n"/>
      <c r="O1712" s="10" t="n"/>
      <c r="P1712" s="10" t="n"/>
      <c r="Q1712" s="10" t="n"/>
      <c r="R1712" s="10" t="n"/>
      <c r="S1712" s="10" t="n"/>
      <c r="T1712" s="10" t="n"/>
      <c r="U1712" s="10" t="n"/>
      <c r="V1712" s="10" t="n"/>
      <c r="W1712" s="10" t="n"/>
      <c r="X1712" s="10" t="n"/>
      <c r="Y1712" s="10" t="n"/>
      <c r="Z1712" s="10" t="n"/>
    </row>
    <row r="1713">
      <c r="A1713" s="27" t="inlineStr">
        <is>
          <t>outstandingDebtReport.postOffice</t>
        </is>
      </c>
      <c r="B1713" s="27" t="inlineStr">
        <is>
          <t>Bưu cục</t>
        </is>
      </c>
      <c r="C1713" s="27" t="inlineStr">
        <is>
          <t>Post office</t>
        </is>
      </c>
      <c r="D1713" s="27" t="inlineStr">
        <is>
          <t>-</t>
        </is>
      </c>
      <c r="E1713" s="102" t="inlineStr">
        <is>
          <t>ការិយាល័យប្រៃសណីយ៍</t>
        </is>
      </c>
      <c r="F1713" s="10" t="n"/>
      <c r="G1713" s="10" t="inlineStr">
        <is>
          <t>ការិយាល័យប្រៃសណីយ៍</t>
        </is>
      </c>
      <c r="H1713" s="10" t="inlineStr">
        <is>
          <t>ការិយាល័យប្រៃសណីយ៍</t>
        </is>
      </c>
      <c r="I1713" s="10" t="n"/>
      <c r="J1713" s="10" t="n"/>
      <c r="K1713" s="10" t="inlineStr">
        <is>
          <t>"outstandingDebtReport.postOffice": "ការិយាល័យប្រៃសណីយ៍",</t>
        </is>
      </c>
      <c r="L1713" s="10" t="n"/>
      <c r="M1713" s="10" t="n"/>
      <c r="N1713" s="10" t="n"/>
      <c r="O1713" s="10" t="n"/>
      <c r="P1713" s="10" t="n"/>
      <c r="Q1713" s="10" t="n"/>
      <c r="R1713" s="10" t="n"/>
      <c r="S1713" s="10" t="n"/>
      <c r="T1713" s="10" t="n"/>
      <c r="U1713" s="10" t="n"/>
      <c r="V1713" s="10" t="n"/>
      <c r="W1713" s="10" t="n"/>
      <c r="X1713" s="10" t="n"/>
      <c r="Y1713" s="10" t="n"/>
      <c r="Z1713" s="10" t="n"/>
    </row>
    <row r="1714">
      <c r="A1714" s="27" t="inlineStr">
        <is>
          <t>outstandingDebtReport.postOfficePlaceholder</t>
        </is>
      </c>
      <c r="B1714" s="27" t="inlineStr">
        <is>
          <t>Chọn bưu cục</t>
        </is>
      </c>
      <c r="C1714" s="27" t="inlineStr">
        <is>
          <t>Select Post office</t>
        </is>
      </c>
      <c r="D1714" s="27" t="inlineStr">
        <is>
          <t>-</t>
        </is>
      </c>
      <c r="E1714" s="102" t="inlineStr">
        <is>
          <t>ជ្រើសរើសការិយាល័យប្រៃសណីយ៍</t>
        </is>
      </c>
      <c r="F1714" s="10" t="n"/>
      <c r="G1714" s="10" t="inlineStr">
        <is>
          <t>ជ្រើសរើសការិយាល័យប្រៃសណីយ៍</t>
        </is>
      </c>
      <c r="H1714" s="10" t="inlineStr">
        <is>
          <t>ជ្រើសរើសការិយាល័យប្រៃសណីយ៍</t>
        </is>
      </c>
      <c r="I1714" s="10" t="n"/>
      <c r="J1714" s="10" t="n"/>
      <c r="K1714" s="10" t="inlineStr">
        <is>
          <t>"outstandingDebtReport.postOfficePlaceholder": "ជ្រើសរើសការិយាល័យប្រៃសណីយ៍",</t>
        </is>
      </c>
      <c r="L1714" s="10" t="n"/>
      <c r="M1714" s="10" t="n"/>
      <c r="N1714" s="10" t="n"/>
      <c r="O1714" s="10" t="n"/>
      <c r="P1714" s="10" t="n"/>
      <c r="Q1714" s="10" t="n"/>
      <c r="R1714" s="10" t="n"/>
      <c r="S1714" s="10" t="n"/>
      <c r="T1714" s="10" t="n"/>
      <c r="U1714" s="10" t="n"/>
      <c r="V1714" s="10" t="n"/>
      <c r="W1714" s="10" t="n"/>
      <c r="X1714" s="10" t="n"/>
      <c r="Y1714" s="10" t="n"/>
      <c r="Z1714" s="10" t="n"/>
    </row>
    <row r="1715">
      <c r="A1715" s="27" t="inlineStr">
        <is>
          <t>outstandingDebtReport.detailBranchInfo</t>
        </is>
      </c>
      <c r="B1715" s="27" t="inlineStr">
        <is>
          <t>Thông tin chi tiết của chi nhánh: {{ branchCode }}</t>
        </is>
      </c>
      <c r="C1715" s="27" t="inlineStr">
        <is>
          <t>Branch detail information: {{ branchCode }}</t>
        </is>
      </c>
      <c r="D1715" s="27" t="inlineStr">
        <is>
          <t>-</t>
        </is>
      </c>
      <c r="E1715" s="90" t="inlineStr">
        <is>
          <t>ព័ត៌មានលម្អិតនៃសាខា៖ {{ branchCode }}</t>
        </is>
      </c>
      <c r="F1715" s="10" t="n"/>
      <c r="G1715" s="10" t="inlineStr">
        <is>
          <t>ព័ត៌មានលម្អិតនៃសាខា៖ {{ branchCode }}</t>
        </is>
      </c>
      <c r="H1715" s="10" t="inlineStr">
        <is>
          <t>ព័ត៌មានលម្អិតនៃសាខា៖ {{ branchCode }}</t>
        </is>
      </c>
      <c r="I1715" s="10" t="n"/>
      <c r="J1715" s="10" t="n"/>
      <c r="K1715" s="10" t="inlineStr">
        <is>
          <t>"outstandingDebtReport.detailBranchInfo": "ព័ត៌មានលម្អិតនៃសាខា៖ {{ branchCode }}",</t>
        </is>
      </c>
      <c r="L1715" s="10" t="n"/>
      <c r="M1715" s="10" t="n"/>
      <c r="N1715" s="10" t="n"/>
      <c r="O1715" s="10" t="n"/>
      <c r="P1715" s="10" t="n"/>
      <c r="Q1715" s="10" t="n"/>
      <c r="R1715" s="10" t="n"/>
      <c r="S1715" s="10" t="n"/>
      <c r="T1715" s="10" t="n"/>
      <c r="U1715" s="10" t="n"/>
      <c r="V1715" s="10" t="n"/>
      <c r="W1715" s="10" t="n"/>
      <c r="X1715" s="10" t="n"/>
      <c r="Y1715" s="10" t="n"/>
      <c r="Z1715" s="10" t="n"/>
    </row>
    <row r="1716">
      <c r="A1716" s="27" t="inlineStr">
        <is>
          <t>outstandingDebtReport.detailPostInfo</t>
        </is>
      </c>
      <c r="B1716" s="27" t="inlineStr">
        <is>
          <t>Thông tin chi tiết bưu cục: {{ postCode }}</t>
        </is>
      </c>
      <c r="C1716" s="27" t="inlineStr">
        <is>
          <t>Post office detail information: {{ postCode }}</t>
        </is>
      </c>
      <c r="D1716" s="27" t="inlineStr">
        <is>
          <t>-</t>
        </is>
      </c>
      <c r="E1716" s="102" t="inlineStr">
        <is>
          <t>ព័ត៌មានលម្អិតនៃសាខាប្រតិបត្តិការ៖ {{ postCode }}</t>
        </is>
      </c>
      <c r="F1716" s="10" t="n"/>
      <c r="G1716" s="10" t="inlineStr">
        <is>
          <t>ព័ត៌មានលម្អិតនៃសាខាប្រតិបត្តិការ៖ {{ postCode }}</t>
        </is>
      </c>
      <c r="H1716" s="10" t="inlineStr">
        <is>
          <t>ព័ត៌មានលម្អិតនៃសាខាប្រតិបត្តិការ៖ {{ postCode }}</t>
        </is>
      </c>
      <c r="I1716" s="10" t="n"/>
      <c r="J1716" s="10" t="n"/>
      <c r="K1716" s="10" t="inlineStr">
        <is>
          <t>"outstandingDebtReport.detailPostInfo": "ព័ត៌មានលម្អិតនៃសាខាប្រតិបត្តិការ៖ {{ postCode }}",</t>
        </is>
      </c>
      <c r="L1716" s="10" t="n"/>
      <c r="M1716" s="10" t="n"/>
      <c r="N1716" s="10" t="n"/>
      <c r="O1716" s="10" t="n"/>
      <c r="P1716" s="10" t="n"/>
      <c r="Q1716" s="10" t="n"/>
      <c r="R1716" s="10" t="n"/>
      <c r="S1716" s="10" t="n"/>
      <c r="T1716" s="10" t="n"/>
      <c r="U1716" s="10" t="n"/>
      <c r="V1716" s="10" t="n"/>
      <c r="W1716" s="10" t="n"/>
      <c r="X1716" s="10" t="n"/>
      <c r="Y1716" s="10" t="n"/>
      <c r="Z1716" s="10" t="n"/>
    </row>
    <row r="1717">
      <c r="A1717" s="27" t="inlineStr">
        <is>
          <t>outstandingDebtReport.detailCustomerCod</t>
        </is>
      </c>
      <c r="B1717" s="27" t="inlineStr">
        <is>
          <t>Chi tiết đơn phải thu COD bưu tá: {{ name }}</t>
        </is>
      </c>
      <c r="C1717" s="27" t="inlineStr">
        <is>
          <t>COD receivable order details of postman: {{ name }}</t>
        </is>
      </c>
      <c r="D1717" s="27" t="inlineStr">
        <is>
          <t>-</t>
        </is>
      </c>
      <c r="E1717" s="102" t="inlineStr">
        <is>
          <t>ព័ត៌មានលម្អិតនៃអប្បបរមា COD នៃអ្នកចែកសំបុត្រ៖ {{ name }}</t>
        </is>
      </c>
      <c r="F1717" s="10" t="n"/>
      <c r="G1717" s="10" t="inlineStr">
        <is>
          <t>ព័ត៌មានលម្អិតនៃអប្បបរមា COD នៃអ្នកដឹកជញ្ជូន៖ {{ name }}</t>
        </is>
      </c>
      <c r="H1717" s="10" t="inlineStr">
        <is>
          <t>ព័ត៌មានលម្អិតនៃអប្បបរមា COD នៃអ្នកដឹកជញ្ជូន៖ {{ name }}</t>
        </is>
      </c>
      <c r="I1717" s="10" t="n"/>
      <c r="J1717" s="10" t="n"/>
      <c r="K1717" s="10" t="inlineStr">
        <is>
          <t>"outstandingDebtReport.detailCustomerCod": "ព័ត៌មានលម្អិតនៃអប្បបរមា COD នៃអ្នកដឹកជញ្ជូន៖ {{ name }}",</t>
        </is>
      </c>
      <c r="L1717" s="10" t="n"/>
      <c r="M1717" s="10" t="n"/>
      <c r="N1717" s="10" t="n"/>
      <c r="O1717" s="10" t="n"/>
      <c r="P1717" s="10" t="n"/>
      <c r="Q1717" s="10" t="n"/>
      <c r="R1717" s="10" t="n"/>
      <c r="S1717" s="10" t="n"/>
      <c r="T1717" s="10" t="n"/>
      <c r="U1717" s="10" t="n"/>
      <c r="V1717" s="10" t="n"/>
      <c r="W1717" s="10" t="n"/>
      <c r="X1717" s="10" t="n"/>
      <c r="Y1717" s="10" t="n"/>
      <c r="Z1717" s="10" t="n"/>
    </row>
    <row r="1718">
      <c r="A1718" s="27" t="inlineStr">
        <is>
          <t>outstandingDebtReport.detailCustomerFee</t>
        </is>
      </c>
      <c r="B1718" s="27" t="inlineStr">
        <is>
          <t>Chi tiết đơn phải thu cước bưu tá: {{ name }}</t>
        </is>
      </c>
      <c r="C1718" s="27" t="inlineStr">
        <is>
          <t>Fee receivable order details of postman: {{ name }}</t>
        </is>
      </c>
      <c r="D1718" s="27" t="inlineStr">
        <is>
          <t>-</t>
        </is>
      </c>
      <c r="E1718" s="102" t="inlineStr">
        <is>
          <t>ព័ត៌មានលម្អិតនៃការទូទាត់សេវាប្រតិបត្តិការនៃអ្នកចែកសំបុត្រ៖ {{ name }}</t>
        </is>
      </c>
      <c r="F1718" s="10" t="n"/>
      <c r="G1718" s="10" t="inlineStr">
        <is>
          <t>ព័ត៌មានលម្អិតនៃការទូទាត់សេវាប្រតិបត្តិការនៃអ្នកដឹកជញ្ជូន៖ {{ name }}</t>
        </is>
      </c>
      <c r="H1718" s="10" t="inlineStr">
        <is>
          <t>ព័ត៌មានលម្អិតនៃការទូទាត់សេវាប្រតិបត្តិការនៃអ្នកដឹកជញ្ជូន៖ {{ name }}</t>
        </is>
      </c>
      <c r="I1718" s="10" t="n"/>
      <c r="J1718" s="10" t="n"/>
      <c r="K1718" s="10" t="inlineStr">
        <is>
          <t>"outstandingDebtReport.detailCustomerFee": "ព័ត៌មានលម្អិតនៃការទូទាត់សេវាប្រតិបត្តិការនៃអ្នកដឹកជញ្ជូន៖ {{ name }}",</t>
        </is>
      </c>
      <c r="L1718" s="10" t="n"/>
      <c r="M1718" s="10" t="n"/>
      <c r="N1718" s="10" t="n"/>
      <c r="O1718" s="10" t="n"/>
      <c r="P1718" s="10" t="n"/>
      <c r="Q1718" s="10" t="n"/>
      <c r="R1718" s="10" t="n"/>
      <c r="S1718" s="10" t="n"/>
      <c r="T1718" s="10" t="n"/>
      <c r="U1718" s="10" t="n"/>
      <c r="V1718" s="10" t="n"/>
      <c r="W1718" s="10" t="n"/>
      <c r="X1718" s="10" t="n"/>
      <c r="Y1718" s="10" t="n"/>
      <c r="Z1718" s="10" t="n"/>
    </row>
    <row r="1719">
      <c r="A1719" s="27" t="inlineStr">
        <is>
          <t>outstandingDebtReport.detailCustomer</t>
        </is>
      </c>
      <c r="B1719" s="27" t="inlineStr">
        <is>
          <t>Chi tiết đơn phải thu cước khách hàng: {{ name }}</t>
        </is>
      </c>
      <c r="C1719" s="27" t="inlineStr">
        <is>
          <t>Fee receivable order details of customer: {{ name }}</t>
        </is>
      </c>
      <c r="D1719" s="27" t="inlineStr">
        <is>
          <t>-</t>
        </is>
      </c>
      <c r="E1719" s="102" t="inlineStr">
        <is>
          <t>ព័ត៌មានលម្អិតនៃការទូទាត់សេវាប្រតិបត្តិការនៃអតិថិជន៖ {{ name }}</t>
        </is>
      </c>
      <c r="F1719" s="10" t="n"/>
      <c r="G1719" s="10" t="inlineStr">
        <is>
          <t>ព័ត៌មានលម្អិតនៃការទូទាត់សេវាប្រតិបត្តិការនៃអតិថិជន៖ {{ name }}</t>
        </is>
      </c>
      <c r="H1719" s="10" t="inlineStr">
        <is>
          <t>ព័ត៌មានលម្អិតនៃការទូទាត់សេវាប្រតិបត្តិការនៃអតិថិជន៖ {{ name }}</t>
        </is>
      </c>
      <c r="I1719" s="10" t="n"/>
      <c r="J1719" s="10" t="n"/>
      <c r="K1719" s="10" t="inlineStr">
        <is>
          <t>"outstandingDebtReport.detailCustomer": "ព័ត៌មានលម្អិតនៃការទូទាត់សេវាប្រតិបត្តិការនៃអតិថិជន៖ {{ name }}",</t>
        </is>
      </c>
      <c r="L1719" s="10" t="n"/>
      <c r="M1719" s="10" t="n"/>
      <c r="N1719" s="10" t="n"/>
      <c r="O1719" s="10" t="n"/>
      <c r="P1719" s="10" t="n"/>
      <c r="Q1719" s="10" t="n"/>
      <c r="R1719" s="10" t="n"/>
      <c r="S1719" s="10" t="n"/>
      <c r="T1719" s="10" t="n"/>
      <c r="U1719" s="10" t="n"/>
      <c r="V1719" s="10" t="n"/>
      <c r="W1719" s="10" t="n"/>
      <c r="X1719" s="10" t="n"/>
      <c r="Y1719" s="10" t="n"/>
      <c r="Z1719" s="10" t="n"/>
    </row>
    <row r="1720">
      <c r="A1720" s="27" t="inlineStr">
        <is>
          <t>outstandingDebtReport.CODOutstandingDebt</t>
        </is>
      </c>
      <c r="B1720" s="27" t="inlineStr">
        <is>
          <t>COD bưu tá</t>
        </is>
      </c>
      <c r="C1720" s="27" t="inlineStr">
        <is>
          <t>COD</t>
        </is>
      </c>
      <c r="D1720" s="27" t="inlineStr">
        <is>
          <t>-</t>
        </is>
      </c>
      <c r="E1720" s="102" t="inlineStr">
        <is>
          <t>COD អ្នកដឹកជញ្ជូន</t>
        </is>
      </c>
      <c r="F1720" s="10" t="n"/>
      <c r="G1720" s="10" t="inlineStr">
        <is>
          <t>COD អ្នកដឹកជញ្ជូន</t>
        </is>
      </c>
      <c r="H1720" s="10" t="inlineStr">
        <is>
          <t>COD អ្នកដឹកជញ្ជូន</t>
        </is>
      </c>
      <c r="I1720" s="10" t="n"/>
      <c r="J1720" s="10" t="n"/>
      <c r="K1720" s="10" t="inlineStr">
        <is>
          <t>"outstandingDebtReport.CODOutstandingDebt": "COD អ្នកដឹកជញ្ជូន",</t>
        </is>
      </c>
      <c r="L1720" s="10" t="n"/>
      <c r="M1720" s="10" t="n"/>
      <c r="N1720" s="10" t="n"/>
      <c r="O1720" s="10" t="n"/>
      <c r="P1720" s="10" t="n"/>
      <c r="Q1720" s="10" t="n"/>
      <c r="R1720" s="10" t="n"/>
      <c r="S1720" s="10" t="n"/>
      <c r="T1720" s="10" t="n"/>
      <c r="U1720" s="10" t="n"/>
      <c r="V1720" s="10" t="n"/>
      <c r="W1720" s="10" t="n"/>
      <c r="X1720" s="10" t="n"/>
      <c r="Y1720" s="10" t="n"/>
      <c r="Z1720" s="10" t="n"/>
    </row>
    <row r="1721">
      <c r="A1721" s="27" t="inlineStr">
        <is>
          <t>outstandingDebtReport.FeeOutstandingDebt</t>
        </is>
      </c>
      <c r="B1721" s="27" t="inlineStr">
        <is>
          <t>Cước bưu tá</t>
        </is>
      </c>
      <c r="C1721" s="27" t="inlineStr">
        <is>
          <t>Postman fee</t>
        </is>
      </c>
      <c r="D1721" s="27" t="inlineStr">
        <is>
          <t>-</t>
        </is>
      </c>
      <c r="E1721" s="102" t="inlineStr">
        <is>
          <t>ថ្លៃសេវាអ្នកដឹកជញ្ជូន</t>
        </is>
      </c>
      <c r="F1721" s="10" t="n"/>
      <c r="G1721" s="10" t="inlineStr">
        <is>
          <t>ថ្លៃសេវាអ្នកដឹកជញ្ជូន</t>
        </is>
      </c>
      <c r="H1721" s="10" t="inlineStr">
        <is>
          <t>ថ្លៃសេវាអ្នកដឹកជញ្ជូន</t>
        </is>
      </c>
      <c r="I1721" s="10" t="n"/>
      <c r="J1721" s="10" t="n"/>
      <c r="K1721" s="10" t="inlineStr">
        <is>
          <t>"outstandingDebtReport.FeeOutstandingDebt": "ថ្លៃសេវាអ្នកដឹកជញ្ជូន",</t>
        </is>
      </c>
      <c r="L1721" s="10" t="n"/>
      <c r="M1721" s="10" t="n"/>
      <c r="N1721" s="10" t="n"/>
      <c r="O1721" s="10" t="n"/>
      <c r="P1721" s="10" t="n"/>
      <c r="Q1721" s="10" t="n"/>
      <c r="R1721" s="10" t="n"/>
      <c r="S1721" s="10" t="n"/>
      <c r="T1721" s="10" t="n"/>
      <c r="U1721" s="10" t="n"/>
      <c r="V1721" s="10" t="n"/>
      <c r="W1721" s="10" t="n"/>
      <c r="X1721" s="10" t="n"/>
      <c r="Y1721" s="10" t="n"/>
      <c r="Z1721" s="10" t="n"/>
    </row>
    <row r="1722">
      <c r="A1722" s="27" t="inlineStr">
        <is>
          <t>outstandingDebtReport.customerFeeOutstandingDebt</t>
        </is>
      </c>
      <c r="B1722" s="27" t="inlineStr">
        <is>
          <t>Cước khách hàng</t>
        </is>
      </c>
      <c r="C1722" s="27" t="inlineStr">
        <is>
          <t>Customer fee</t>
        </is>
      </c>
      <c r="D1722" s="27" t="inlineStr">
        <is>
          <t>-</t>
        </is>
      </c>
      <c r="E1722" s="102" t="inlineStr">
        <is>
          <t>ថ្លៃសេវាអតិថិជន</t>
        </is>
      </c>
      <c r="F1722" s="10" t="n"/>
      <c r="G1722" s="10" t="inlineStr">
        <is>
          <t>ថ្លៃសេវាអតិថិជន</t>
        </is>
      </c>
      <c r="H1722" s="10" t="inlineStr">
        <is>
          <t>ថ្លៃសេវាអតិថិជន</t>
        </is>
      </c>
      <c r="I1722" s="10" t="n"/>
      <c r="J1722" s="10" t="n"/>
      <c r="K1722" s="10" t="inlineStr">
        <is>
          <t>"outstandingDebtReport.customerFeeOutstandingDebt": "ថ្លៃសេវាអតិថិជន",</t>
        </is>
      </c>
      <c r="L1722" s="10" t="n"/>
      <c r="M1722" s="10" t="n"/>
      <c r="N1722" s="10" t="n"/>
      <c r="O1722" s="10" t="n"/>
      <c r="P1722" s="10" t="n"/>
      <c r="Q1722" s="10" t="n"/>
      <c r="R1722" s="10" t="n"/>
      <c r="S1722" s="10" t="n"/>
      <c r="T1722" s="10" t="n"/>
      <c r="U1722" s="10" t="n"/>
      <c r="V1722" s="10" t="n"/>
      <c r="W1722" s="10" t="n"/>
      <c r="X1722" s="10" t="n"/>
      <c r="Y1722" s="10" t="n"/>
      <c r="Z1722" s="10" t="n"/>
    </row>
    <row r="1723">
      <c r="A1723" s="27" t="inlineStr">
        <is>
          <t>outstandingDebtReport.customer</t>
        </is>
      </c>
      <c r="B1723" s="27" t="inlineStr">
        <is>
          <t>Khách hàng</t>
        </is>
      </c>
      <c r="C1723" s="27" t="inlineStr">
        <is>
          <t>Customer</t>
        </is>
      </c>
      <c r="D1723" s="27" t="inlineStr">
        <is>
          <t>-</t>
        </is>
      </c>
      <c r="E1723" s="102" t="inlineStr">
        <is>
          <t>អតិថិជន</t>
        </is>
      </c>
      <c r="F1723" s="10" t="n"/>
      <c r="G1723" s="10" t="inlineStr">
        <is>
          <t>អតិថិជន</t>
        </is>
      </c>
      <c r="H1723" s="10" t="inlineStr">
        <is>
          <t>អតិថិជន</t>
        </is>
      </c>
      <c r="I1723" s="10" t="n"/>
      <c r="J1723" s="10" t="n"/>
      <c r="K1723" s="10" t="inlineStr">
        <is>
          <t>"outstandingDebtReport.customer": "អតិថិជន",</t>
        </is>
      </c>
      <c r="L1723" s="10" t="n"/>
      <c r="M1723" s="10" t="n"/>
      <c r="N1723" s="10" t="n"/>
      <c r="O1723" s="10" t="n"/>
      <c r="P1723" s="10" t="n"/>
      <c r="Q1723" s="10" t="n"/>
      <c r="R1723" s="10" t="n"/>
      <c r="S1723" s="10" t="n"/>
      <c r="T1723" s="10" t="n"/>
      <c r="U1723" s="10" t="n"/>
      <c r="V1723" s="10" t="n"/>
      <c r="W1723" s="10" t="n"/>
      <c r="X1723" s="10" t="n"/>
      <c r="Y1723" s="10" t="n"/>
      <c r="Z1723" s="10" t="n"/>
    </row>
    <row r="1724">
      <c r="A1724" s="27" t="inlineStr">
        <is>
          <t>outstandingDebtReport.dateN</t>
        </is>
      </c>
      <c r="B1724" s="27" t="inlineStr">
        <is>
          <t>Ngày N</t>
        </is>
      </c>
      <c r="C1724" s="27" t="inlineStr">
        <is>
          <t>Date N</t>
        </is>
      </c>
      <c r="D1724" s="27" t="inlineStr">
        <is>
          <t>-</t>
        </is>
      </c>
      <c r="E1724" s="27" t="inlineStr">
        <is>
          <t>ថ្ងៃ N</t>
        </is>
      </c>
      <c r="F1724" s="10" t="n"/>
      <c r="G1724" s="10" t="inlineStr">
        <is>
          <t>ថ្ងៃ N</t>
        </is>
      </c>
      <c r="H1724" s="10" t="inlineStr">
        <is>
          <t>ថ្ងៃ N</t>
        </is>
      </c>
      <c r="I1724" s="10" t="n"/>
      <c r="J1724" s="10" t="n"/>
      <c r="K1724" s="10" t="inlineStr">
        <is>
          <t>"outstandingDebtReport.dateN": "ថ្ងៃ N",</t>
        </is>
      </c>
      <c r="L1724" s="10" t="n"/>
      <c r="M1724" s="10" t="n"/>
      <c r="N1724" s="10" t="n"/>
      <c r="O1724" s="10" t="n"/>
      <c r="P1724" s="10" t="n"/>
      <c r="Q1724" s="10" t="n"/>
      <c r="R1724" s="10" t="n"/>
      <c r="S1724" s="10" t="n"/>
      <c r="T1724" s="10" t="n"/>
      <c r="U1724" s="10" t="n"/>
      <c r="V1724" s="10" t="n"/>
      <c r="W1724" s="10" t="n"/>
      <c r="X1724" s="10" t="n"/>
      <c r="Y1724" s="10" t="n"/>
      <c r="Z1724" s="10" t="n"/>
    </row>
    <row r="1725">
      <c r="A1725" s="27" t="inlineStr">
        <is>
          <t>outstandingDebtReport.dateN1</t>
        </is>
      </c>
      <c r="B1725" s="27" t="inlineStr">
        <is>
          <t>Ngày N - 1</t>
        </is>
      </c>
      <c r="C1725" s="27" t="inlineStr">
        <is>
          <t>Date N - 1</t>
        </is>
      </c>
      <c r="D1725" s="27" t="inlineStr">
        <is>
          <t>-</t>
        </is>
      </c>
      <c r="E1725" s="27" t="inlineStr">
        <is>
          <t>ថ្ងៃ N - 1</t>
        </is>
      </c>
      <c r="F1725" s="10" t="n"/>
      <c r="G1725" s="10" t="inlineStr">
        <is>
          <t>ថ្ងៃ N - 1</t>
        </is>
      </c>
      <c r="H1725" s="10" t="inlineStr">
        <is>
          <t>ថ្ងៃ N - 1</t>
        </is>
      </c>
      <c r="I1725" s="10" t="n"/>
      <c r="J1725" s="10" t="n"/>
      <c r="K1725" s="10" t="inlineStr">
        <is>
          <t>"outstandingDebtReport.dateN1": "ថ្ងៃ N - 1",</t>
        </is>
      </c>
      <c r="L1725" s="10" t="n"/>
      <c r="M1725" s="10" t="n"/>
      <c r="N1725" s="10" t="n"/>
      <c r="O1725" s="10" t="n"/>
      <c r="P1725" s="10" t="n"/>
      <c r="Q1725" s="10" t="n"/>
      <c r="R1725" s="10" t="n"/>
      <c r="S1725" s="10" t="n"/>
      <c r="T1725" s="10" t="n"/>
      <c r="U1725" s="10" t="n"/>
      <c r="V1725" s="10" t="n"/>
      <c r="W1725" s="10" t="n"/>
      <c r="X1725" s="10" t="n"/>
      <c r="Y1725" s="10" t="n"/>
      <c r="Z1725" s="10" t="n"/>
    </row>
    <row r="1726">
      <c r="A1726" s="27" t="inlineStr">
        <is>
          <t>outstandingDebtReport.dateN2</t>
        </is>
      </c>
      <c r="B1726" s="27" t="inlineStr">
        <is>
          <t>Ngày N - 2...</t>
        </is>
      </c>
      <c r="C1726" s="27" t="inlineStr">
        <is>
          <t>Date N - 2...</t>
        </is>
      </c>
      <c r="D1726" s="27" t="inlineStr">
        <is>
          <t>-</t>
        </is>
      </c>
      <c r="E1726" s="27" t="inlineStr">
        <is>
          <t>ថ្ងៃ N - 2...</t>
        </is>
      </c>
      <c r="F1726" s="10" t="n"/>
      <c r="G1726" s="10" t="inlineStr">
        <is>
          <t>ថ្ងៃ N - 2...</t>
        </is>
      </c>
      <c r="H1726" s="10" t="inlineStr">
        <is>
          <t>ថ្ងៃ N - 2...</t>
        </is>
      </c>
      <c r="I1726" s="10" t="n"/>
      <c r="J1726" s="10" t="n"/>
      <c r="K1726" s="10" t="inlineStr">
        <is>
          <t>"outstandingDebtReport.dateN2": "ថ្ងៃ N - 2...",</t>
        </is>
      </c>
      <c r="L1726" s="10" t="n"/>
      <c r="M1726" s="10" t="n"/>
      <c r="N1726" s="10" t="n"/>
      <c r="O1726" s="10" t="n"/>
      <c r="P1726" s="10" t="n"/>
      <c r="Q1726" s="10" t="n"/>
      <c r="R1726" s="10" t="n"/>
      <c r="S1726" s="10" t="n"/>
      <c r="T1726" s="10" t="n"/>
      <c r="U1726" s="10" t="n"/>
      <c r="V1726" s="10" t="n"/>
      <c r="W1726" s="10" t="n"/>
      <c r="X1726" s="10" t="n"/>
      <c r="Y1726" s="10" t="n"/>
      <c r="Z1726" s="10" t="n"/>
    </row>
    <row r="1727">
      <c r="A1727" s="27" t="inlineStr">
        <is>
          <t>outstandingDebtReport.updateAt</t>
        </is>
      </c>
      <c r="B1727" s="27" t="inlineStr">
        <is>
          <t>Thời gian cập nhật</t>
        </is>
      </c>
      <c r="C1727" s="27" t="inlineStr">
        <is>
          <t>Updated time</t>
        </is>
      </c>
      <c r="D1727" s="27" t="inlineStr">
        <is>
          <t>-</t>
        </is>
      </c>
      <c r="E1727" s="102" t="inlineStr">
        <is>
          <t>ពេលវេលាអាប់ដេត</t>
        </is>
      </c>
      <c r="F1727" s="10" t="n"/>
      <c r="G1727" s="10" t="inlineStr">
        <is>
          <t>ពេលវេលាអាប់ដេត</t>
        </is>
      </c>
      <c r="H1727" s="10" t="inlineStr">
        <is>
          <t>ពេលវេលាអាប់ដេត</t>
        </is>
      </c>
      <c r="I1727" s="10" t="n"/>
      <c r="J1727" s="10" t="n"/>
      <c r="K1727" s="10" t="inlineStr">
        <is>
          <t>"outstandingDebtReport.updateAt": "ពេលវេលាអាប់ដេត",</t>
        </is>
      </c>
      <c r="L1727" s="10" t="n"/>
      <c r="M1727" s="10" t="n"/>
      <c r="N1727" s="10" t="n"/>
      <c r="O1727" s="10" t="n"/>
      <c r="P1727" s="10" t="n"/>
      <c r="Q1727" s="10" t="n"/>
      <c r="R1727" s="10" t="n"/>
      <c r="S1727" s="10" t="n"/>
      <c r="T1727" s="10" t="n"/>
      <c r="U1727" s="10" t="n"/>
      <c r="V1727" s="10" t="n"/>
      <c r="W1727" s="10" t="n"/>
      <c r="X1727" s="10" t="n"/>
      <c r="Y1727" s="10" t="n"/>
      <c r="Z1727" s="10" t="n"/>
    </row>
    <row r="1728">
      <c r="A1728" s="27" t="inlineStr">
        <is>
          <t>outstandingDebtReport.employee</t>
        </is>
      </c>
      <c r="B1728" s="27" t="inlineStr">
        <is>
          <t>Tuyến bưu tá</t>
        </is>
      </c>
      <c r="C1728" s="27" t="inlineStr">
        <is>
          <t>Employee</t>
        </is>
      </c>
      <c r="D1728" s="27" t="inlineStr">
        <is>
          <t>-</t>
        </is>
      </c>
      <c r="E1728" s="102" t="inlineStr">
        <is>
          <t>ផ្លូវដឹកជញ្ជូន</t>
        </is>
      </c>
      <c r="F1728" s="10" t="n"/>
      <c r="G1728" s="10" t="inlineStr">
        <is>
          <t>ផ្លូវដឹកជញ្ជូន</t>
        </is>
      </c>
      <c r="H1728" s="10" t="inlineStr">
        <is>
          <t>ផ្លូវដឹកជញ្ជូន</t>
        </is>
      </c>
      <c r="I1728" s="10" t="n"/>
      <c r="J1728" s="10" t="n"/>
      <c r="K1728" s="10" t="inlineStr">
        <is>
          <t>"outstandingDebtReport.employee": "ផ្លូវដឹកជញ្ជូន",</t>
        </is>
      </c>
      <c r="L1728" s="10" t="n"/>
      <c r="M1728" s="10" t="n"/>
      <c r="N1728" s="10" t="n"/>
      <c r="O1728" s="10" t="n"/>
      <c r="P1728" s="10" t="n"/>
      <c r="Q1728" s="10" t="n"/>
      <c r="R1728" s="10" t="n"/>
      <c r="S1728" s="10" t="n"/>
      <c r="T1728" s="10" t="n"/>
      <c r="U1728" s="10" t="n"/>
      <c r="V1728" s="10" t="n"/>
      <c r="W1728" s="10" t="n"/>
      <c r="X1728" s="10" t="n"/>
      <c r="Y1728" s="10" t="n"/>
      <c r="Z1728" s="10" t="n"/>
    </row>
    <row r="1729">
      <c r="A1729" s="27" t="inlineStr">
        <is>
          <t>outstandingDebtReport.exportExcel</t>
        </is>
      </c>
      <c r="B1729" s="27" t="inlineStr">
        <is>
          <t>Xuất Excel</t>
        </is>
      </c>
      <c r="C1729" s="27" t="inlineStr">
        <is>
          <t>Export Excel</t>
        </is>
      </c>
      <c r="D1729" s="27" t="inlineStr">
        <is>
          <t>-</t>
        </is>
      </c>
      <c r="E1729" s="102" t="inlineStr">
        <is>
          <t>ចេញទៅ Excel</t>
        </is>
      </c>
      <c r="F1729" s="10" t="n"/>
      <c r="G1729" s="10" t="inlineStr">
        <is>
          <t>ចេញទៅ Excel</t>
        </is>
      </c>
      <c r="H1729" s="10" t="inlineStr">
        <is>
          <t>ចេញទៅ Excel</t>
        </is>
      </c>
      <c r="I1729" s="10" t="n"/>
      <c r="J1729" s="10" t="n"/>
      <c r="K1729" s="10" t="inlineStr">
        <is>
          <t>"outstandingDebtReport.exportExcel": "ចេញទៅ Excel",</t>
        </is>
      </c>
      <c r="L1729" s="10" t="n"/>
      <c r="M1729" s="10" t="n"/>
      <c r="N1729" s="10" t="n"/>
      <c r="O1729" s="10" t="n"/>
      <c r="P1729" s="10" t="n"/>
      <c r="Q1729" s="10" t="n"/>
      <c r="R1729" s="10" t="n"/>
      <c r="S1729" s="10" t="n"/>
      <c r="T1729" s="10" t="n"/>
      <c r="U1729" s="10" t="n"/>
      <c r="V1729" s="10" t="n"/>
      <c r="W1729" s="10" t="n"/>
      <c r="X1729" s="10" t="n"/>
      <c r="Y1729" s="10" t="n"/>
      <c r="Z1729" s="10" t="n"/>
    </row>
    <row r="1730">
      <c r="A1730" s="27" t="inlineStr">
        <is>
          <t>outstandingDebtReport.orderCode</t>
        </is>
      </c>
      <c r="B1730" s="27" t="inlineStr">
        <is>
          <t>Mã đơn</t>
        </is>
      </c>
      <c r="C1730" s="27" t="inlineStr">
        <is>
          <t>Order ID</t>
        </is>
      </c>
      <c r="D1730" s="27" t="inlineStr">
        <is>
          <t>-</t>
        </is>
      </c>
      <c r="E1730" s="102" t="inlineStr">
        <is>
          <t>លេខកូដបុងបញ្ញើ</t>
        </is>
      </c>
      <c r="F1730" s="10" t="n"/>
      <c r="G1730" s="10" t="inlineStr">
        <is>
          <t>លេខកូដបុងបញ្ញើ</t>
        </is>
      </c>
      <c r="H1730" s="10" t="inlineStr">
        <is>
          <t>លេខកូដបុងបញ្ញើ</t>
        </is>
      </c>
      <c r="I1730" s="10" t="n"/>
      <c r="J1730" s="10" t="n"/>
      <c r="K1730" s="10" t="inlineStr">
        <is>
          <t>"outstandingDebtReport.orderCode": "លេខកូដបុងបញ្ញើ",</t>
        </is>
      </c>
      <c r="L1730" s="10" t="n"/>
      <c r="M1730" s="10" t="n"/>
      <c r="N1730" s="10" t="n"/>
      <c r="O1730" s="10" t="n"/>
      <c r="P1730" s="10" t="n"/>
      <c r="Q1730" s="10" t="n"/>
      <c r="R1730" s="10" t="n"/>
      <c r="S1730" s="10" t="n"/>
      <c r="T1730" s="10" t="n"/>
      <c r="U1730" s="10" t="n"/>
      <c r="V1730" s="10" t="n"/>
      <c r="W1730" s="10" t="n"/>
      <c r="X1730" s="10" t="n"/>
      <c r="Y1730" s="10" t="n"/>
      <c r="Z1730" s="10" t="n"/>
    </row>
    <row r="1731">
      <c r="A1731" s="27" t="inlineStr">
        <is>
          <t>outstandingDebtReport.orderCodePlaceholder</t>
        </is>
      </c>
      <c r="B1731" s="27" t="inlineStr">
        <is>
          <t>Nhập mã đơn</t>
        </is>
      </c>
      <c r="C1731" s="27" t="inlineStr">
        <is>
          <t>Enter order ID</t>
        </is>
      </c>
      <c r="D1731" s="27" t="inlineStr">
        <is>
          <t>-</t>
        </is>
      </c>
      <c r="E1731" s="102" t="inlineStr">
        <is>
          <t>បញ្ចូលកូដបុងបញ្ញើ</t>
        </is>
      </c>
      <c r="F1731" s="10" t="n"/>
      <c r="G1731" s="10" t="inlineStr">
        <is>
          <t>បញ្ចូលកូដបុងបញ្ញើ</t>
        </is>
      </c>
      <c r="H1731" s="10" t="inlineStr">
        <is>
          <t>បញ្ចូលកូដបុងបញ្ញើ</t>
        </is>
      </c>
      <c r="I1731" s="10" t="n"/>
      <c r="J1731" s="10" t="n"/>
      <c r="K1731" s="10" t="inlineStr">
        <is>
          <t>"outstandingDebtReport.orderCodePlaceholder": "បញ្ចូលកូដបុងបញ្ញើ",</t>
        </is>
      </c>
      <c r="L1731" s="10" t="n"/>
      <c r="M1731" s="10" t="n"/>
      <c r="N1731" s="10" t="n"/>
      <c r="O1731" s="10" t="n"/>
      <c r="P1731" s="10" t="n"/>
      <c r="Q1731" s="10" t="n"/>
      <c r="R1731" s="10" t="n"/>
      <c r="S1731" s="10" t="n"/>
      <c r="T1731" s="10" t="n"/>
      <c r="U1731" s="10" t="n"/>
      <c r="V1731" s="10" t="n"/>
      <c r="W1731" s="10" t="n"/>
      <c r="X1731" s="10" t="n"/>
      <c r="Y1731" s="10" t="n"/>
      <c r="Z1731" s="10" t="n"/>
    </row>
    <row r="1732">
      <c r="A1732" s="27" t="inlineStr">
        <is>
          <t>outstandingDebtReport.dateOfOccurrence</t>
        </is>
      </c>
      <c r="B1732" s="27" t="inlineStr">
        <is>
          <t>Ngày phát sinh</t>
        </is>
      </c>
      <c r="C1732" s="27" t="inlineStr">
        <is>
          <t>Occurrence date</t>
        </is>
      </c>
      <c r="D1732" s="27" t="inlineStr">
        <is>
          <t>-</t>
        </is>
      </c>
      <c r="E1732" s="102" t="inlineStr">
        <is>
          <t>ថ្ងៃកើតឡើង</t>
        </is>
      </c>
      <c r="F1732" s="10" t="n"/>
      <c r="G1732" s="10" t="inlineStr">
        <is>
          <t>ថ្ងៃកើតឡើង</t>
        </is>
      </c>
      <c r="H1732" s="10" t="inlineStr">
        <is>
          <t>ថ្ងៃកើតឡើង</t>
        </is>
      </c>
      <c r="I1732" s="10" t="n"/>
      <c r="J1732" s="10" t="n"/>
      <c r="K1732" s="10" t="inlineStr">
        <is>
          <t>"outstandingDebtReport.dateOfOccurrence": "ថ្ងៃកើតឡើង",</t>
        </is>
      </c>
      <c r="L1732" s="10" t="n"/>
      <c r="M1732" s="10" t="n"/>
      <c r="N1732" s="10" t="n"/>
      <c r="O1732" s="10" t="n"/>
      <c r="P1732" s="10" t="n"/>
      <c r="Q1732" s="10" t="n"/>
      <c r="R1732" s="10" t="n"/>
      <c r="S1732" s="10" t="n"/>
      <c r="T1732" s="10" t="n"/>
      <c r="U1732" s="10" t="n"/>
      <c r="V1732" s="10" t="n"/>
      <c r="W1732" s="10" t="n"/>
      <c r="X1732" s="10" t="n"/>
      <c r="Y1732" s="10" t="n"/>
      <c r="Z1732" s="10" t="n"/>
    </row>
    <row r="1733">
      <c r="A1733" s="27" t="inlineStr">
        <is>
          <t>outstandingDebtReport.datePtc</t>
        </is>
      </c>
      <c r="B1733" s="27" t="inlineStr">
        <is>
          <t>Ngày phát thành công</t>
        </is>
      </c>
      <c r="C1733" s="27" t="inlineStr">
        <is>
          <t>Successful delivery date</t>
        </is>
      </c>
      <c r="D1733" s="27" t="inlineStr">
        <is>
          <t>-</t>
        </is>
      </c>
      <c r="E1733" s="102" t="inlineStr">
        <is>
          <t>ថ្ងៃចែកចាយបានជោគជ័យ</t>
        </is>
      </c>
      <c r="F1733" s="10" t="n"/>
      <c r="G1733" s="10" t="inlineStr">
        <is>
          <t>កាលបរិច្ឆេទដឹកជញ្ជូនជោគជ័យ</t>
        </is>
      </c>
      <c r="H1733" s="10" t="inlineStr">
        <is>
          <t>កាលបរិច្ឆេទដឹកជញ្ជូនជោគជ័យ</t>
        </is>
      </c>
      <c r="I1733" s="10" t="n"/>
      <c r="J1733" s="10" t="n"/>
      <c r="K1733" s="10" t="inlineStr">
        <is>
          <t>"outstandingDebtReport.datePtc": "កាលបរិច្ឆេទដឹកជញ្ជូនជោគជ័យ",</t>
        </is>
      </c>
      <c r="L1733" s="10" t="n"/>
      <c r="M1733" s="10" t="n"/>
      <c r="N1733" s="10" t="n"/>
      <c r="O1733" s="10" t="n"/>
      <c r="P1733" s="10" t="n"/>
      <c r="Q1733" s="10" t="n"/>
      <c r="R1733" s="10" t="n"/>
      <c r="S1733" s="10" t="n"/>
      <c r="T1733" s="10" t="n"/>
      <c r="U1733" s="10" t="n"/>
      <c r="V1733" s="10" t="n"/>
      <c r="W1733" s="10" t="n"/>
      <c r="X1733" s="10" t="n"/>
      <c r="Y1733" s="10" t="n"/>
      <c r="Z1733" s="10" t="n"/>
    </row>
    <row r="1734">
      <c r="A1734" s="27" t="inlineStr">
        <is>
          <t>outstandingDebtReport.collection</t>
        </is>
      </c>
      <c r="B1734" s="27" t="inlineStr">
        <is>
          <t>Tiền thu hộ</t>
        </is>
      </c>
      <c r="C1734" s="27" t="inlineStr">
        <is>
          <t>COD</t>
        </is>
      </c>
      <c r="D1734" s="27" t="inlineStr">
        <is>
          <t>-</t>
        </is>
      </c>
      <c r="E1734" s="102" t="inlineStr">
        <is>
          <t>ប្រាក់ប្រមូលជំនួស</t>
        </is>
      </c>
      <c r="F1734" s="10" t="n"/>
      <c r="G1734" s="10" t="inlineStr">
        <is>
          <t>ប្រាក់ប្រមូលជំនួស (COD)</t>
        </is>
      </c>
      <c r="H1734" s="10" t="inlineStr">
        <is>
          <t>ប្រាក់ប្រមូលជំនួស (COD)</t>
        </is>
      </c>
      <c r="I1734" s="10" t="n"/>
      <c r="J1734" s="10" t="n"/>
      <c r="K1734" s="10" t="inlineStr">
        <is>
          <t>"outstandingDebtReport.collection": "ប្រាក់ប្រមូលជំនួស (COD)",</t>
        </is>
      </c>
      <c r="L1734" s="10" t="n"/>
      <c r="M1734" s="10" t="n"/>
      <c r="N1734" s="10" t="n"/>
      <c r="O1734" s="10" t="n"/>
      <c r="P1734" s="10" t="n"/>
      <c r="Q1734" s="10" t="n"/>
      <c r="R1734" s="10" t="n"/>
      <c r="S1734" s="10" t="n"/>
      <c r="T1734" s="10" t="n"/>
      <c r="U1734" s="10" t="n"/>
      <c r="V1734" s="10" t="n"/>
      <c r="W1734" s="10" t="n"/>
      <c r="X1734" s="10" t="n"/>
      <c r="Y1734" s="10" t="n"/>
      <c r="Z1734" s="10" t="n"/>
    </row>
    <row r="1735">
      <c r="A1735" s="27" t="inlineStr">
        <is>
          <t>outstandingDebtReport.collectionCOD</t>
        </is>
      </c>
      <c r="B1735" s="27" t="inlineStr">
        <is>
          <t>Tiền COD ({{ unit }})</t>
        </is>
      </c>
      <c r="C1735" s="27" t="inlineStr">
        <is>
          <t>COD amount ({{ unit }})</t>
        </is>
      </c>
      <c r="D1735" s="27" t="inlineStr">
        <is>
          <t>-</t>
        </is>
      </c>
      <c r="E1735" s="102" t="inlineStr">
        <is>
          <t>ប្រាក់ COD ({{ unit }})</t>
        </is>
      </c>
      <c r="F1735" s="10" t="n"/>
      <c r="G1735" s="10" t="inlineStr">
        <is>
          <t>ប្រាក់ COD ({{ unit }})</t>
        </is>
      </c>
      <c r="H1735" s="10" t="inlineStr">
        <is>
          <t>ប្រាក់ COD ({{ unit }})</t>
        </is>
      </c>
      <c r="I1735" s="10" t="n"/>
      <c r="J1735" s="10" t="n"/>
      <c r="K1735" s="10" t="inlineStr">
        <is>
          <t>"outstandingDebtReport.collectionCOD": "ប្រាក់ COD ({{ unit }})",</t>
        </is>
      </c>
      <c r="L1735" s="10" t="n"/>
      <c r="M1735" s="10" t="n"/>
      <c r="N1735" s="10" t="n"/>
      <c r="O1735" s="10" t="n"/>
      <c r="P1735" s="10" t="n"/>
      <c r="Q1735" s="10" t="n"/>
      <c r="R1735" s="10" t="n"/>
      <c r="S1735" s="10" t="n"/>
      <c r="T1735" s="10" t="n"/>
      <c r="U1735" s="10" t="n"/>
      <c r="V1735" s="10" t="n"/>
      <c r="W1735" s="10" t="n"/>
      <c r="X1735" s="10" t="n"/>
      <c r="Y1735" s="10" t="n"/>
      <c r="Z1735" s="10" t="n"/>
    </row>
    <row r="1736">
      <c r="A1736" s="27" t="inlineStr">
        <is>
          <t>outstandingDebtReport.exportDetail</t>
        </is>
      </c>
      <c r="B1736" s="27" t="inlineStr">
        <is>
          <t>Xuất chi tiết</t>
        </is>
      </c>
      <c r="C1736" s="27" t="inlineStr">
        <is>
          <t>Export details</t>
        </is>
      </c>
      <c r="D1736" s="27" t="inlineStr">
        <is>
          <t>-</t>
        </is>
      </c>
      <c r="E1736" s="102" t="inlineStr">
        <is>
          <t>ចេញលម្អិត</t>
        </is>
      </c>
      <c r="F1736" s="10" t="n"/>
      <c r="G1736" s="10" t="inlineStr">
        <is>
          <t>ចេញលម្អិត</t>
        </is>
      </c>
      <c r="H1736" s="10" t="inlineStr">
        <is>
          <t>ចេញលម្អិត</t>
        </is>
      </c>
      <c r="I1736" s="10" t="n"/>
      <c r="J1736" s="10" t="n"/>
      <c r="K1736" s="10" t="inlineStr">
        <is>
          <t>"outstandingDebtReport.exportDetail": "ចេញលម្អិត",</t>
        </is>
      </c>
      <c r="L1736" s="10" t="n"/>
      <c r="M1736" s="10" t="n"/>
      <c r="N1736" s="10" t="n"/>
      <c r="O1736" s="10" t="n"/>
      <c r="P1736" s="10" t="n"/>
      <c r="Q1736" s="10" t="n"/>
      <c r="R1736" s="10" t="n"/>
      <c r="S1736" s="10" t="n"/>
      <c r="T1736" s="10" t="n"/>
      <c r="U1736" s="10" t="n"/>
      <c r="V1736" s="10" t="n"/>
      <c r="W1736" s="10" t="n"/>
      <c r="X1736" s="10" t="n"/>
      <c r="Y1736" s="10" t="n"/>
      <c r="Z1736" s="10" t="n"/>
    </row>
    <row r="1737">
      <c r="A1737" s="119" t="inlineStr">
        <is>
          <t>outstandingDebtReport.fileNameExcel</t>
        </is>
      </c>
      <c r="B1737" s="119" t="inlineStr">
        <is>
          <t>Baocaocongno</t>
        </is>
      </c>
      <c r="C1737" s="119" t="inlineStr">
        <is>
          <t>Baocaocongno</t>
        </is>
      </c>
      <c r="D1737" s="119" t="inlineStr">
        <is>
          <t>-</t>
        </is>
      </c>
      <c r="E1737" s="120" t="inlineStr">
        <is>
          <t>របាយការណ៍បំណុល</t>
        </is>
      </c>
      <c r="F1737" s="120" t="n"/>
      <c r="G1737" s="120" t="inlineStr">
        <is>
          <t>របាយការណ៍បំណុល</t>
        </is>
      </c>
      <c r="H1737" s="120" t="inlineStr">
        <is>
          <t>របាយការណ៍បំណុល</t>
        </is>
      </c>
      <c r="I1737" s="120" t="n"/>
      <c r="J1737" s="120" t="n"/>
      <c r="K1737" s="120" t="inlineStr">
        <is>
          <t>"outstandingDebtReport.fileNameExcel": "របាយការណ៍បំណុល",</t>
        </is>
      </c>
      <c r="L1737" s="120" t="n"/>
      <c r="M1737" s="120" t="n"/>
      <c r="N1737" s="120" t="n"/>
      <c r="O1737" s="120" t="n"/>
      <c r="P1737" s="120" t="n"/>
      <c r="Q1737" s="120" t="n"/>
      <c r="R1737" s="120" t="n"/>
      <c r="S1737" s="120" t="n"/>
      <c r="T1737" s="120" t="n"/>
      <c r="U1737" s="120" t="n"/>
      <c r="V1737" s="120" t="n"/>
      <c r="W1737" s="120" t="n"/>
      <c r="X1737" s="120" t="n"/>
      <c r="Y1737" s="120" t="n"/>
      <c r="Z1737" s="120" t="n"/>
    </row>
    <row r="1738">
      <c r="A1738" s="27" t="inlineStr">
        <is>
          <t>outstandingDebtReport.fileNameExcelCOD</t>
        </is>
      </c>
      <c r="B1738" s="121" t="inlineStr">
        <is>
          <t>Outstanding debt report – COD</t>
        </is>
      </c>
      <c r="C1738" s="27" t="inlineStr">
        <is>
          <t>Outstanding debt report – COD</t>
        </is>
      </c>
      <c r="D1738" s="27" t="inlineStr">
        <is>
          <t>Outstanding debt report – COD</t>
        </is>
      </c>
      <c r="E1738" s="27" t="inlineStr">
        <is>
          <t>Outstanding debt report – COD</t>
        </is>
      </c>
      <c r="F1738" s="10" t="n"/>
      <c r="G1738" s="10" t="inlineStr">
        <is>
          <t>របាយការណ៍បំណុលសេសសល់ – ប្រាក់ COD</t>
        </is>
      </c>
      <c r="H1738" s="10" t="inlineStr">
        <is>
          <t>របាយការណ៍បំណុលសេសសល់ – ប្រាក់ COD</t>
        </is>
      </c>
      <c r="I1738" s="10" t="n"/>
      <c r="J1738" s="10" t="n"/>
      <c r="K1738" s="10" t="inlineStr">
        <is>
          <t>"outstandingDebtReport.fileNameExcelCOD": "របាយការណ៍បំណុលសេសសល់ – ប្រាក់ COD",</t>
        </is>
      </c>
      <c r="L1738" s="10" t="n"/>
      <c r="M1738" s="10" t="n"/>
      <c r="N1738" s="10" t="n"/>
      <c r="O1738" s="10" t="n"/>
      <c r="P1738" s="10" t="n"/>
      <c r="Q1738" s="10" t="n"/>
      <c r="R1738" s="10" t="n"/>
      <c r="S1738" s="10" t="n"/>
      <c r="T1738" s="10" t="n"/>
      <c r="U1738" s="10" t="n"/>
      <c r="V1738" s="10" t="n"/>
      <c r="W1738" s="10" t="n"/>
      <c r="X1738" s="10" t="n"/>
      <c r="Y1738" s="10" t="n"/>
      <c r="Z1738" s="10" t="n"/>
    </row>
    <row r="1739">
      <c r="A1739" s="27" t="inlineStr">
        <is>
          <t>outstandingDebtReport.fileNameExcelDetailCOD</t>
        </is>
      </c>
      <c r="B1739" s="121" t="inlineStr">
        <is>
          <t>Outstanding debt report details – COD</t>
        </is>
      </c>
      <c r="C1739" s="27" t="inlineStr">
        <is>
          <t>Outstanding debt report details – COD</t>
        </is>
      </c>
      <c r="D1739" s="27" t="inlineStr">
        <is>
          <t>Outstanding debt report details – COD</t>
        </is>
      </c>
      <c r="E1739" s="27" t="inlineStr">
        <is>
          <t>Outstanding debt report details – COD</t>
        </is>
      </c>
      <c r="F1739" s="10" t="n"/>
      <c r="G1739" s="10" t="inlineStr">
        <is>
          <t>ព័ត៌មានលម្អិតរបាយការណ៍បំណុលសេសសល់ – ប្រាក់ COD</t>
        </is>
      </c>
      <c r="H1739" s="10" t="inlineStr">
        <is>
          <t>ព័ត៌មានលម្អិតរបាយការណ៍បំណុលសេសសល់ – ប្រាក់ COD</t>
        </is>
      </c>
      <c r="I1739" s="10" t="n"/>
      <c r="J1739" s="10" t="n"/>
      <c r="K1739" s="10" t="inlineStr">
        <is>
          <t>"outstandingDebtReport.fileNameExcelDetailCOD": "ព័ត៌មានលម្អិតរបាយការណ៍បំណុលសេសសល់ – ប្រាក់ COD",</t>
        </is>
      </c>
      <c r="L1739" s="10" t="n"/>
      <c r="M1739" s="10" t="n"/>
      <c r="N1739" s="10" t="n"/>
      <c r="O1739" s="10" t="n"/>
      <c r="P1739" s="10" t="n"/>
      <c r="Q1739" s="10" t="n"/>
      <c r="R1739" s="10" t="n"/>
      <c r="S1739" s="10" t="n"/>
      <c r="T1739" s="10" t="n"/>
      <c r="U1739" s="10" t="n"/>
      <c r="V1739" s="10" t="n"/>
      <c r="W1739" s="10" t="n"/>
      <c r="X1739" s="10" t="n"/>
      <c r="Y1739" s="10" t="n"/>
      <c r="Z1739" s="10" t="n"/>
    </row>
    <row r="1740">
      <c r="A1740" s="27" t="inlineStr">
        <is>
          <t>outstandingDebtReport.fileNameExcelCustomer</t>
        </is>
      </c>
      <c r="B1740" s="121" t="inlineStr">
        <is>
          <t>Outstanding debt report – Customer fees</t>
        </is>
      </c>
      <c r="C1740" s="27" t="inlineStr">
        <is>
          <t>Outstanding debt report – Customer fees</t>
        </is>
      </c>
      <c r="D1740" s="27" t="inlineStr">
        <is>
          <t>Outstanding debt report – Customer fees</t>
        </is>
      </c>
      <c r="E1740" s="27" t="inlineStr">
        <is>
          <t>Outstanding debt report – Customer fees</t>
        </is>
      </c>
      <c r="F1740" s="10" t="n"/>
      <c r="G1740" s="10" t="inlineStr">
        <is>
          <t>របាយការណ៍បំណុលសេសសល់ – ថ្លៃសេវាអតិថិជន</t>
        </is>
      </c>
      <c r="H1740" s="10" t="inlineStr">
        <is>
          <t>របាយការណ៍បំណុលសេសសល់ – ថ្លៃសេវាអតិថិជន</t>
        </is>
      </c>
      <c r="I1740" s="10" t="n"/>
      <c r="J1740" s="10" t="n"/>
      <c r="K1740" s="10" t="inlineStr">
        <is>
          <t>"outstandingDebtReport.fileNameExcelCustomer": "របាយការណ៍បំណុលសេសសល់ – ថ្លៃសេវាអតិថិជន",</t>
        </is>
      </c>
      <c r="L1740" s="10" t="n"/>
      <c r="M1740" s="10" t="n"/>
      <c r="N1740" s="10" t="n"/>
      <c r="O1740" s="10" t="n"/>
      <c r="P1740" s="10" t="n"/>
      <c r="Q1740" s="10" t="n"/>
      <c r="R1740" s="10" t="n"/>
      <c r="S1740" s="10" t="n"/>
      <c r="T1740" s="10" t="n"/>
      <c r="U1740" s="10" t="n"/>
      <c r="V1740" s="10" t="n"/>
      <c r="W1740" s="10" t="n"/>
      <c r="X1740" s="10" t="n"/>
      <c r="Y1740" s="10" t="n"/>
      <c r="Z1740" s="10" t="n"/>
    </row>
    <row r="1741">
      <c r="A1741" s="27" t="inlineStr">
        <is>
          <t>outstandingDebtReport.fileNameExcelDetailCustomer</t>
        </is>
      </c>
      <c r="B1741" s="121" t="inlineStr">
        <is>
          <t>Outstanding debt report details – Customer fees</t>
        </is>
      </c>
      <c r="C1741" s="27" t="inlineStr">
        <is>
          <t>Outstanding debt report details – Customer fees</t>
        </is>
      </c>
      <c r="D1741" s="27" t="inlineStr">
        <is>
          <t>Outstanding debt report details – Customer fees</t>
        </is>
      </c>
      <c r="E1741" s="27" t="inlineStr">
        <is>
          <t>Outstanding debt report details – Customer fees</t>
        </is>
      </c>
      <c r="F1741" s="10" t="n"/>
      <c r="G1741" s="10" t="inlineStr">
        <is>
          <t>ព័ត៌មានលម្អិតរបាយការណ៍បំណុលសេសសល់ – ថ្លៃសេវាអតិថិជន</t>
        </is>
      </c>
      <c r="H1741" s="10" t="inlineStr">
        <is>
          <t>ព័ត៌មានលម្អិតរបាយការណ៍បំណុលសេសសល់ – ថ្លៃសេវាអតិថិជន</t>
        </is>
      </c>
      <c r="I1741" s="10" t="n"/>
      <c r="J1741" s="10" t="n"/>
      <c r="K1741" s="10" t="inlineStr">
        <is>
          <t>"outstandingDebtReport.fileNameExcelDetailCustomer": "ព័ត៌មានលម្អិតរបាយការណ៍បំណុលសេសសល់ – ថ្លៃសេវាអតិថិជន",</t>
        </is>
      </c>
      <c r="L1741" s="10" t="n"/>
      <c r="M1741" s="10" t="n"/>
      <c r="N1741" s="10" t="n"/>
      <c r="O1741" s="10" t="n"/>
      <c r="P1741" s="10" t="n"/>
      <c r="Q1741" s="10" t="n"/>
      <c r="R1741" s="10" t="n"/>
      <c r="S1741" s="10" t="n"/>
      <c r="T1741" s="10" t="n"/>
      <c r="U1741" s="10" t="n"/>
      <c r="V1741" s="10" t="n"/>
      <c r="W1741" s="10" t="n"/>
      <c r="X1741" s="10" t="n"/>
      <c r="Y1741" s="10" t="n"/>
      <c r="Z1741" s="10" t="n"/>
    </row>
    <row r="1742">
      <c r="A1742" s="27" t="inlineStr">
        <is>
          <t>outstandingDebtReport.fileNameExcelFEE</t>
        </is>
      </c>
      <c r="B1742" s="121" t="inlineStr">
        <is>
          <t>Outstanding debt report – Postman fees</t>
        </is>
      </c>
      <c r="C1742" s="27" t="inlineStr">
        <is>
          <t>Outstanding debt report – Postman fees</t>
        </is>
      </c>
      <c r="D1742" s="27" t="inlineStr">
        <is>
          <t>Outstanding debt report – Postman fees</t>
        </is>
      </c>
      <c r="E1742" s="27" t="inlineStr">
        <is>
          <t>Outstanding debt report – Postman fees</t>
        </is>
      </c>
      <c r="F1742" s="10" t="n"/>
      <c r="G1742" s="10" t="inlineStr">
        <is>
          <t>របាយការណ៍បំណុលសេសសល់ – ថ្លៃសេវាបុគ្គលិកដឹកជញ្ជូន</t>
        </is>
      </c>
      <c r="H1742" s="10" t="inlineStr">
        <is>
          <t>របាយការណ៍បំណុលសេសសល់ – ថ្លៃសេវាបុគ្គលិកដឹកជញ្ជូន</t>
        </is>
      </c>
      <c r="I1742" s="10" t="n"/>
      <c r="J1742" s="10" t="n"/>
      <c r="K1742" s="10" t="inlineStr">
        <is>
          <t>"outstandingDebtReport.fileNameExcelFEE": "របាយការណ៍បំណុលសេសសល់ – ថ្លៃសេវាបុគ្គលិកដឹកជញ្ជូន",</t>
        </is>
      </c>
      <c r="L1742" s="10" t="n"/>
      <c r="M1742" s="10" t="n"/>
      <c r="N1742" s="10" t="n"/>
      <c r="O1742" s="10" t="n"/>
      <c r="P1742" s="10" t="n"/>
      <c r="Q1742" s="10" t="n"/>
      <c r="R1742" s="10" t="n"/>
      <c r="S1742" s="10" t="n"/>
      <c r="T1742" s="10" t="n"/>
      <c r="U1742" s="10" t="n"/>
      <c r="V1742" s="10" t="n"/>
      <c r="W1742" s="10" t="n"/>
      <c r="X1742" s="10" t="n"/>
      <c r="Y1742" s="10" t="n"/>
      <c r="Z1742" s="10" t="n"/>
    </row>
    <row r="1743">
      <c r="A1743" s="27" t="inlineStr">
        <is>
          <t>outstandingDebtReport.fileNameExcelDetailFEE</t>
        </is>
      </c>
      <c r="B1743" s="121" t="inlineStr">
        <is>
          <t>Outstanding debt report details – Postman fees</t>
        </is>
      </c>
      <c r="C1743" s="27" t="inlineStr">
        <is>
          <t>Outstanding debt report details – Postman fees</t>
        </is>
      </c>
      <c r="D1743" s="27" t="inlineStr">
        <is>
          <t>Outstanding debt report details – Postman fees</t>
        </is>
      </c>
      <c r="E1743" s="27" t="inlineStr">
        <is>
          <t>Outstanding debt report details – Postman fees</t>
        </is>
      </c>
      <c r="F1743" s="10" t="n"/>
      <c r="G1743" s="10" t="inlineStr">
        <is>
          <t>ព័ត៌មានលម្អិតរបាយការណ៍បំណុលសេសសល់ – ថ្លៃសេវាបុគ្គលិកដឹកជញ្ជូន</t>
        </is>
      </c>
      <c r="H1743" s="10" t="inlineStr">
        <is>
          <t>ព័ត៌មានលម្អិតរបាយការណ៍បំណុលសេសសល់ – ថ្លៃសេវាបុគ្គលិកដឹកជញ្ជូន</t>
        </is>
      </c>
      <c r="I1743" s="10" t="n"/>
      <c r="J1743" s="10" t="n"/>
      <c r="K1743" s="10" t="inlineStr">
        <is>
          <t>"outstandingDebtReport.fileNameExcelDetailFEE": "ព័ត៌មានលម្អិតរបាយការណ៍បំណុលសេសសល់ – ថ្លៃសេវាបុគ្គលិកដឹកជញ្ជូន",</t>
        </is>
      </c>
      <c r="L1743" s="10" t="n"/>
      <c r="M1743" s="10" t="n"/>
      <c r="N1743" s="10" t="n"/>
      <c r="O1743" s="10" t="n"/>
      <c r="P1743" s="10" t="n"/>
      <c r="Q1743" s="10" t="n"/>
      <c r="R1743" s="10" t="n"/>
      <c r="S1743" s="10" t="n"/>
      <c r="T1743" s="10" t="n"/>
      <c r="U1743" s="10" t="n"/>
      <c r="V1743" s="10" t="n"/>
      <c r="W1743" s="10" t="n"/>
      <c r="X1743" s="10" t="n"/>
      <c r="Y1743" s="10" t="n"/>
      <c r="Z1743" s="10" t="n"/>
    </row>
    <row r="1744">
      <c r="A1744" s="27" t="inlineStr">
        <is>
          <t>outstandingDebtReport.fileNameExcelDetail</t>
        </is>
      </c>
      <c r="B1744" s="27" t="inlineStr">
        <is>
          <t>Chitietbaocaocongno</t>
        </is>
      </c>
      <c r="C1744" s="27" t="inlineStr">
        <is>
          <t>Chitietbaocaocongno</t>
        </is>
      </c>
      <c r="D1744" s="27" t="inlineStr">
        <is>
          <t>-</t>
        </is>
      </c>
      <c r="E1744" s="124" t="inlineStr">
        <is>
          <t>លម្អិតរបាយការណ៍បំណុល</t>
        </is>
      </c>
      <c r="F1744" s="10" t="n"/>
      <c r="G1744" s="10" t="inlineStr">
        <is>
          <t>លម្អិតរបាយការណ៍បំណុល</t>
        </is>
      </c>
      <c r="H1744" s="10" t="inlineStr">
        <is>
          <t>លម្អិតរបាយការណ៍បំណុល</t>
        </is>
      </c>
      <c r="I1744" s="10" t="n"/>
      <c r="J1744" s="10" t="n"/>
      <c r="K1744" s="10" t="inlineStr">
        <is>
          <t>"outstandingDebtReport.fileNameExcelDetail": "លម្អិតរបាយការណ៍បំណុល",</t>
        </is>
      </c>
      <c r="L1744" s="10" t="n"/>
      <c r="M1744" s="10" t="n"/>
      <c r="N1744" s="10" t="n"/>
      <c r="O1744" s="10" t="n"/>
      <c r="P1744" s="10" t="n"/>
      <c r="Q1744" s="10" t="n"/>
      <c r="R1744" s="10" t="n"/>
      <c r="S1744" s="10" t="n"/>
      <c r="T1744" s="10" t="n"/>
      <c r="U1744" s="10" t="n"/>
      <c r="V1744" s="10" t="n"/>
      <c r="W1744" s="10" t="n"/>
      <c r="X1744" s="10" t="n"/>
      <c r="Y1744" s="10" t="n"/>
      <c r="Z1744" s="10" t="n"/>
    </row>
    <row r="1745">
      <c r="A1745" s="27" t="inlineStr">
        <is>
          <t>outstandingDebtReport.customerTotal</t>
        </is>
      </c>
      <c r="B1745" s="27" t="inlineStr">
        <is>
          <t>Tổng KH</t>
        </is>
      </c>
      <c r="C1745" s="27" t="inlineStr">
        <is>
          <t>Total customers</t>
        </is>
      </c>
      <c r="D1745" s="27" t="inlineStr">
        <is>
          <t>-</t>
        </is>
      </c>
      <c r="E1745" s="124" t="inlineStr">
        <is>
          <t>សរុបអតិថិជន</t>
        </is>
      </c>
      <c r="F1745" s="10" t="n"/>
      <c r="G1745" s="10" t="inlineStr">
        <is>
          <t>សរុបអតិថិជន</t>
        </is>
      </c>
      <c r="H1745" s="10" t="inlineStr">
        <is>
          <t>សរុបអតិថិជន</t>
        </is>
      </c>
      <c r="I1745" s="10" t="n"/>
      <c r="J1745" s="10" t="n"/>
      <c r="K1745" s="10" t="inlineStr">
        <is>
          <t>"outstandingDebtReport.customerTotal": "សរុបអតិថិជន",</t>
        </is>
      </c>
      <c r="L1745" s="10" t="n"/>
      <c r="M1745" s="10" t="n"/>
      <c r="N1745" s="10" t="n"/>
      <c r="O1745" s="10" t="n"/>
      <c r="P1745" s="10" t="n"/>
      <c r="Q1745" s="10" t="n"/>
      <c r="R1745" s="10" t="n"/>
      <c r="S1745" s="10" t="n"/>
      <c r="T1745" s="10" t="n"/>
      <c r="U1745" s="10" t="n"/>
      <c r="V1745" s="10" t="n"/>
      <c r="W1745" s="10" t="n"/>
      <c r="X1745" s="10" t="n"/>
      <c r="Y1745" s="10" t="n"/>
      <c r="Z1745" s="10" t="n"/>
    </row>
    <row r="1746">
      <c r="A1746" s="27" t="inlineStr">
        <is>
          <t>outstandingDebtReport.orderTotal</t>
        </is>
      </c>
      <c r="B1746" s="27" t="inlineStr">
        <is>
          <t>Tổng đơn</t>
        </is>
      </c>
      <c r="C1746" s="27" t="inlineStr">
        <is>
          <t>Total orders</t>
        </is>
      </c>
      <c r="D1746" s="27" t="inlineStr">
        <is>
          <t>-</t>
        </is>
      </c>
      <c r="E1746" s="124" t="inlineStr">
        <is>
          <t>សរុុបបុងបញ្ញើ</t>
        </is>
      </c>
      <c r="F1746" s="10" t="n"/>
      <c r="G1746" s="10" t="inlineStr">
        <is>
          <t>សរុុបបុងបញ្ញើ</t>
        </is>
      </c>
      <c r="H1746" s="10" t="inlineStr">
        <is>
          <t>សរុុបបុងបញ្ញើ</t>
        </is>
      </c>
      <c r="I1746" s="10" t="n"/>
      <c r="J1746" s="10" t="n"/>
      <c r="K1746" s="10" t="inlineStr">
        <is>
          <t>"outstandingDebtReport.orderTotal": "សរុុបបុងបញ្ញើ",</t>
        </is>
      </c>
      <c r="L1746" s="10" t="n"/>
      <c r="M1746" s="10" t="n"/>
      <c r="N1746" s="10" t="n"/>
      <c r="O1746" s="10" t="n"/>
      <c r="P1746" s="10" t="n"/>
      <c r="Q1746" s="10" t="n"/>
      <c r="R1746" s="10" t="n"/>
      <c r="S1746" s="10" t="n"/>
      <c r="T1746" s="10" t="n"/>
      <c r="U1746" s="10" t="n"/>
      <c r="V1746" s="10" t="n"/>
      <c r="W1746" s="10" t="n"/>
      <c r="X1746" s="10" t="n"/>
      <c r="Y1746" s="10" t="n"/>
      <c r="Z1746" s="10" t="n"/>
    </row>
    <row r="1747">
      <c r="A1747" s="27" t="inlineStr">
        <is>
          <t>outstandingDebtReport.orderBill</t>
        </is>
      </c>
      <c r="B1747" s="27" t="inlineStr">
        <is>
          <t>Tổng bill</t>
        </is>
      </c>
      <c r="C1747" s="27" t="inlineStr">
        <is>
          <t>Total bill</t>
        </is>
      </c>
      <c r="D1747" s="27" t="inlineStr">
        <is>
          <t>-</t>
        </is>
      </c>
      <c r="E1747" s="124" t="inlineStr">
        <is>
          <t>សរុបវិក័យប័ត្រ</t>
        </is>
      </c>
      <c r="F1747" s="10" t="n"/>
      <c r="G1747" s="10" t="inlineStr">
        <is>
          <t>សរុបវិក័យប័ត្រ</t>
        </is>
      </c>
      <c r="H1747" s="10" t="inlineStr">
        <is>
          <t>សរុបវិក័យប័ត្រ</t>
        </is>
      </c>
      <c r="I1747" s="10" t="n"/>
      <c r="J1747" s="10" t="n"/>
      <c r="K1747" s="10" t="inlineStr">
        <is>
          <t>"outstandingDebtReport.orderBill": "សរុបវិក័យប័ត្រ",</t>
        </is>
      </c>
      <c r="L1747" s="10" t="n"/>
      <c r="M1747" s="10" t="n"/>
      <c r="N1747" s="10" t="n"/>
      <c r="O1747" s="10" t="n"/>
      <c r="P1747" s="10" t="n"/>
      <c r="Q1747" s="10" t="n"/>
      <c r="R1747" s="10" t="n"/>
      <c r="S1747" s="10" t="n"/>
      <c r="T1747" s="10" t="n"/>
      <c r="U1747" s="10" t="n"/>
      <c r="V1747" s="10" t="n"/>
      <c r="W1747" s="10" t="n"/>
      <c r="X1747" s="10" t="n"/>
      <c r="Y1747" s="10" t="n"/>
      <c r="Z1747" s="10" t="n"/>
    </row>
    <row r="1748">
      <c r="A1748" s="27" t="inlineStr">
        <is>
          <t>outstandingDebtReport.feeTotal</t>
        </is>
      </c>
      <c r="B1748" s="27" t="inlineStr">
        <is>
          <t>Tổng cước ({{ unit }})</t>
        </is>
      </c>
      <c r="C1748" s="27" t="inlineStr">
        <is>
          <t>Total fee ({{ unit }})</t>
        </is>
      </c>
      <c r="D1748" s="27" t="inlineStr">
        <is>
          <t>-</t>
        </is>
      </c>
      <c r="E1748" s="27" t="inlineStr">
        <is>
          <t>សរុបថ្លៃសេវា ({{ unit }})</t>
        </is>
      </c>
      <c r="F1748" s="10" t="n"/>
      <c r="G1748" s="10" t="inlineStr">
        <is>
          <t>សរុបថ្លៃសេវា ({{ unit }})</t>
        </is>
      </c>
      <c r="H1748" s="10" t="inlineStr">
        <is>
          <t>សរុបថ្លៃសេវា ({{ unit }})</t>
        </is>
      </c>
      <c r="I1748" s="10" t="n"/>
      <c r="J1748" s="10" t="n"/>
      <c r="K1748" s="10" t="inlineStr">
        <is>
          <t>"outstandingDebtReport.feeTotal": "សរុបថ្លៃសេវា ({{ unit }})",</t>
        </is>
      </c>
      <c r="L1748" s="10" t="n"/>
      <c r="M1748" s="10" t="n"/>
      <c r="N1748" s="10" t="n"/>
      <c r="O1748" s="10" t="n"/>
      <c r="P1748" s="10" t="n"/>
      <c r="Q1748" s="10" t="n"/>
      <c r="R1748" s="10" t="n"/>
      <c r="S1748" s="10" t="n"/>
      <c r="T1748" s="10" t="n"/>
      <c r="U1748" s="10" t="n"/>
      <c r="V1748" s="10" t="n"/>
      <c r="W1748" s="10" t="n"/>
      <c r="X1748" s="10" t="n"/>
      <c r="Y1748" s="10" t="n"/>
      <c r="Z1748" s="10" t="n"/>
    </row>
    <row r="1749">
      <c r="A1749" s="27" t="inlineStr">
        <is>
          <t>outstandingDebtReport.revenueDate</t>
        </is>
      </c>
      <c r="B1749" s="27" t="inlineStr">
        <is>
          <t>Ngày nhập doanh thu</t>
        </is>
      </c>
      <c r="C1749" s="27" t="inlineStr">
        <is>
          <t>Revenue entry date</t>
        </is>
      </c>
      <c r="D1749" s="27" t="inlineStr">
        <is>
          <t>-</t>
        </is>
      </c>
      <c r="E1749" s="124" t="inlineStr">
        <is>
          <t>ថ្ងៃបញ្ចូលប្រាក់ចំណូល</t>
        </is>
      </c>
      <c r="F1749" s="10" t="n"/>
      <c r="G1749" s="10" t="inlineStr">
        <is>
          <t>ថ្ងៃបញ្ចូលប្រាក់ចំណូល</t>
        </is>
      </c>
      <c r="H1749" s="10" t="inlineStr">
        <is>
          <t>ថ្ងៃបញ្ចូលប្រាក់ចំណូល</t>
        </is>
      </c>
      <c r="I1749" s="10" t="n"/>
      <c r="J1749" s="10" t="n"/>
      <c r="K1749" s="10" t="inlineStr">
        <is>
          <t>"outstandingDebtReport.revenueDate": "ថ្ងៃបញ្ចូលប្រាក់ចំណូល",</t>
        </is>
      </c>
      <c r="L1749" s="10" t="n"/>
      <c r="M1749" s="10" t="n"/>
      <c r="N1749" s="10" t="n"/>
      <c r="O1749" s="10" t="n"/>
      <c r="P1749" s="10" t="n"/>
      <c r="Q1749" s="10" t="n"/>
      <c r="R1749" s="10" t="n"/>
      <c r="S1749" s="10" t="n"/>
      <c r="T1749" s="10" t="n"/>
      <c r="U1749" s="10" t="n"/>
      <c r="V1749" s="10" t="n"/>
      <c r="W1749" s="10" t="n"/>
      <c r="X1749" s="10" t="n"/>
      <c r="Y1749" s="10" t="n"/>
      <c r="Z1749" s="10" t="n"/>
    </row>
    <row r="1750">
      <c r="A1750" s="27" t="inlineStr">
        <is>
          <t>outstandingDebtReport.receiptOrderDate</t>
        </is>
      </c>
      <c r="B1750" s="27" t="inlineStr">
        <is>
          <t>Ngày nhận đơn</t>
        </is>
      </c>
      <c r="C1750" s="27" t="inlineStr">
        <is>
          <t>Order received date</t>
        </is>
      </c>
      <c r="D1750" s="27" t="inlineStr">
        <is>
          <t>-</t>
        </is>
      </c>
      <c r="E1750" s="124" t="inlineStr">
        <is>
          <t>ថ្ងៃទទួលបុងបញ្ញើ</t>
        </is>
      </c>
      <c r="F1750" s="10" t="n"/>
      <c r="G1750" s="10" t="inlineStr">
        <is>
          <t>ថ្ងៃទទួលបុងបញ្ញើ</t>
        </is>
      </c>
      <c r="H1750" s="10" t="inlineStr">
        <is>
          <t>ថ្ងៃទទួលបុងបញ្ញើ</t>
        </is>
      </c>
      <c r="I1750" s="10" t="n"/>
      <c r="J1750" s="10" t="n"/>
      <c r="K1750" s="10" t="inlineStr">
        <is>
          <t>"outstandingDebtReport.receiptOrderDate": "ថ្ងៃទទួលបុងបញ្ញើ",</t>
        </is>
      </c>
      <c r="L1750" s="10" t="n"/>
      <c r="M1750" s="10" t="n"/>
      <c r="N1750" s="10" t="n"/>
      <c r="O1750" s="10" t="n"/>
      <c r="P1750" s="10" t="n"/>
      <c r="Q1750" s="10" t="n"/>
      <c r="R1750" s="10" t="n"/>
      <c r="S1750" s="10" t="n"/>
      <c r="T1750" s="10" t="n"/>
      <c r="U1750" s="10" t="n"/>
      <c r="V1750" s="10" t="n"/>
      <c r="W1750" s="10" t="n"/>
      <c r="X1750" s="10" t="n"/>
      <c r="Y1750" s="10" t="n"/>
      <c r="Z1750" s="10" t="n"/>
    </row>
    <row r="1751">
      <c r="A1751" s="27" t="inlineStr">
        <is>
          <t>outstandingDebtReport.fee</t>
        </is>
      </c>
      <c r="B1751" s="27" t="inlineStr">
        <is>
          <t>Tiền cước ({{ unit }})</t>
        </is>
      </c>
      <c r="C1751" s="27" t="inlineStr">
        <is>
          <t>Fee amount ({{ unit }})</t>
        </is>
      </c>
      <c r="D1751" s="27" t="inlineStr">
        <is>
          <t>-</t>
        </is>
      </c>
      <c r="E1751" s="27" t="inlineStr">
        <is>
          <t>ថ្លៃសេវា ({{ unit }})</t>
        </is>
      </c>
      <c r="F1751" s="10" t="n"/>
      <c r="G1751" s="10" t="inlineStr">
        <is>
          <t>ថ្លៃសេវា ({{ unit }})</t>
        </is>
      </c>
      <c r="H1751" s="10" t="inlineStr">
        <is>
          <t>ថ្លៃសេវា ({{ unit }})</t>
        </is>
      </c>
      <c r="I1751" s="10" t="n"/>
      <c r="J1751" s="10" t="n"/>
      <c r="K1751" s="10" t="inlineStr">
        <is>
          <t>"outstandingDebtReport.fee": "ថ្លៃសេវា ({{ unit }})",</t>
        </is>
      </c>
      <c r="L1751" s="10" t="n"/>
      <c r="M1751" s="10" t="n"/>
      <c r="N1751" s="10" t="n"/>
      <c r="O1751" s="10" t="n"/>
      <c r="P1751" s="10" t="n"/>
      <c r="Q1751" s="10" t="n"/>
      <c r="R1751" s="10" t="n"/>
      <c r="S1751" s="10" t="n"/>
      <c r="T1751" s="10" t="n"/>
      <c r="U1751" s="10" t="n"/>
      <c r="V1751" s="10" t="n"/>
      <c r="W1751" s="10" t="n"/>
      <c r="X1751" s="10" t="n"/>
      <c r="Y1751" s="10" t="n"/>
      <c r="Z1751" s="10" t="n"/>
    </row>
    <row r="1752">
      <c r="A1752" s="27" t="inlineStr">
        <is>
          <t>outstandingDebtReport.createAt</t>
        </is>
      </c>
      <c r="B1752" s="27" t="inlineStr">
        <is>
          <t>Ngày tạo</t>
        </is>
      </c>
      <c r="C1752" s="27" t="inlineStr">
        <is>
          <t>Created at</t>
        </is>
      </c>
      <c r="D1752" s="27" t="inlineStr">
        <is>
          <t>-</t>
        </is>
      </c>
      <c r="E1752" s="124" t="inlineStr">
        <is>
          <t>ថ្ងៃបង្កើត</t>
        </is>
      </c>
      <c r="F1752" s="10" t="n"/>
      <c r="G1752" s="10" t="inlineStr">
        <is>
          <t>កាលបរិច្ឆេទបង្កើត</t>
        </is>
      </c>
      <c r="H1752" s="10" t="inlineStr">
        <is>
          <t>កាលបរិច្ឆេទបង្កើត</t>
        </is>
      </c>
      <c r="I1752" s="10" t="n"/>
      <c r="J1752" s="10" t="n"/>
      <c r="K1752" s="10" t="inlineStr">
        <is>
          <t>"outstandingDebtReport.createAt": "កាលបរិច្ឆេទបង្កើត",</t>
        </is>
      </c>
      <c r="L1752" s="10" t="n"/>
      <c r="M1752" s="10" t="n"/>
      <c r="N1752" s="10" t="n"/>
      <c r="O1752" s="10" t="n"/>
      <c r="P1752" s="10" t="n"/>
      <c r="Q1752" s="10" t="n"/>
      <c r="R1752" s="10" t="n"/>
      <c r="S1752" s="10" t="n"/>
      <c r="T1752" s="10" t="n"/>
      <c r="U1752" s="10" t="n"/>
      <c r="V1752" s="10" t="n"/>
      <c r="W1752" s="10" t="n"/>
      <c r="X1752" s="10" t="n"/>
      <c r="Y1752" s="10" t="n"/>
      <c r="Z1752" s="10" t="n"/>
    </row>
    <row r="1753">
      <c r="A1753" s="27" t="inlineStr">
        <is>
          <t>outstandingDebtReport.updateListTime</t>
        </is>
      </c>
      <c r="B1753" s="27" t="inlineStr">
        <is>
          <t>Cập nhật báo cáo lần cuối lúc {{ dateTime }}</t>
        </is>
      </c>
      <c r="C1753" s="27" t="inlineStr">
        <is>
          <t>Report last updated at {{ dateTime }}</t>
        </is>
      </c>
      <c r="D1753" s="27" t="inlineStr">
        <is>
          <t>-</t>
        </is>
      </c>
      <c r="E1753" s="90" t="inlineStr">
        <is>
          <t>អាប់ដេតរបាយការណ៍ពេលចុងក្រោយនៅ {{ dateTime }}</t>
        </is>
      </c>
      <c r="F1753" s="10" t="n"/>
      <c r="G1753" s="10" t="inlineStr">
        <is>
          <t>អាប់ដេតរបាយការណ៍ពេលចុងក្រោយនៅ {{ dateTime }}</t>
        </is>
      </c>
      <c r="H1753" s="10" t="inlineStr">
        <is>
          <t>អាប់ដេតរបាយការណ៍ពេលចុងក្រោយនៅ {{ dateTime }}</t>
        </is>
      </c>
      <c r="I1753" s="10" t="n"/>
      <c r="J1753" s="10" t="n"/>
      <c r="K1753" s="10" t="inlineStr">
        <is>
          <t>"outstandingDebtReport.updateListTime": "អាប់ដេតរបាយការណ៍ពេលចុងក្រោយនៅ {{ dateTime }}",</t>
        </is>
      </c>
      <c r="L1753" s="10" t="n"/>
      <c r="M1753" s="10" t="n"/>
      <c r="N1753" s="10" t="n"/>
      <c r="O1753" s="10" t="n"/>
      <c r="P1753" s="10" t="n"/>
      <c r="Q1753" s="10" t="n"/>
      <c r="R1753" s="10" t="n"/>
      <c r="S1753" s="10" t="n"/>
      <c r="T1753" s="10" t="n"/>
      <c r="U1753" s="10" t="n"/>
      <c r="V1753" s="10" t="n"/>
      <c r="W1753" s="10" t="n"/>
      <c r="X1753" s="10" t="n"/>
      <c r="Y1753" s="10" t="n"/>
      <c r="Z1753" s="10" t="n"/>
    </row>
    <row r="1754">
      <c r="A1754" s="27" t="inlineStr">
        <is>
          <t>outstandingDebtReport.pleaseSearch</t>
        </is>
      </c>
      <c r="B1754" s="27" t="inlineStr">
        <is>
          <t>Nhập để tìm kiếm</t>
        </is>
      </c>
      <c r="C1754" s="27" t="inlineStr">
        <is>
          <t>Type to search</t>
        </is>
      </c>
      <c r="D1754" s="27" t="inlineStr">
        <is>
          <t>-</t>
        </is>
      </c>
      <c r="E1754" s="102" t="inlineStr">
        <is>
          <t>បញ្ចូលដើម្បីស្វែងរក</t>
        </is>
      </c>
      <c r="F1754" s="10" t="n"/>
      <c r="G1754" s="10" t="inlineStr">
        <is>
          <t>បញ្ចូលដើម្បីស្វែងរក</t>
        </is>
      </c>
      <c r="H1754" s="10" t="inlineStr">
        <is>
          <t>បញ្ចូលដើម្បីស្វែងរក</t>
        </is>
      </c>
      <c r="I1754" s="10" t="n"/>
      <c r="J1754" s="10" t="n"/>
      <c r="K1754" s="10" t="inlineStr">
        <is>
          <t>"outstandingDebtReport.pleaseSearch": "បញ្ចូលដើម្បីស្វែងរក",</t>
        </is>
      </c>
      <c r="L1754" s="10" t="n"/>
      <c r="M1754" s="10" t="n"/>
      <c r="N1754" s="10" t="n"/>
      <c r="O1754" s="10" t="n"/>
      <c r="P1754" s="10" t="n"/>
      <c r="Q1754" s="10" t="n"/>
      <c r="R1754" s="10" t="n"/>
      <c r="S1754" s="10" t="n"/>
      <c r="T1754" s="10" t="n"/>
      <c r="U1754" s="10" t="n"/>
      <c r="V1754" s="10" t="n"/>
      <c r="W1754" s="10" t="n"/>
      <c r="X1754" s="10" t="n"/>
      <c r="Y1754" s="10" t="n"/>
      <c r="Z1754" s="10" t="n"/>
    </row>
    <row r="1755">
      <c r="A1755" s="102" t="inlineStr">
        <is>
          <t>slider.ReconPaidCod</t>
        </is>
      </c>
      <c r="B1755" s="102" t="inlineStr">
        <is>
          <t>Đối soát chi COD</t>
        </is>
      </c>
      <c r="C1755" s="102" t="n"/>
      <c r="D1755" s="102" t="inlineStr">
        <is>
          <t>ផ្ទៀងផ្ទាត់ការទូទាត់ COD</t>
        </is>
      </c>
      <c r="E1755" s="102" t="n"/>
      <c r="F1755" s="10" t="n"/>
      <c r="G1755" s="10" t="inlineStr">
        <is>
          <t>ផ្ទៀងផ្ទាត់ការទូទាត់ COD</t>
        </is>
      </c>
      <c r="H1755" s="10" t="inlineStr">
        <is>
          <t>ផ្ទៀងផ្ទាត់ការទូទាត់ COD</t>
        </is>
      </c>
      <c r="I1755" s="10" t="n"/>
      <c r="J1755" s="10" t="n"/>
      <c r="K1755" s="10" t="inlineStr">
        <is>
          <t>"slider.ReconPaidCod": "ផ្ទៀងផ្ទាត់ការទូទាត់ COD",</t>
        </is>
      </c>
      <c r="L1755" s="10" t="n"/>
      <c r="M1755" s="10" t="n"/>
      <c r="N1755" s="10" t="n"/>
      <c r="O1755" s="10" t="n"/>
      <c r="P1755" s="10" t="n"/>
      <c r="Q1755" s="10" t="n"/>
      <c r="R1755" s="10" t="n"/>
      <c r="S1755" s="10" t="n"/>
      <c r="T1755" s="10" t="n"/>
      <c r="U1755" s="10" t="n"/>
      <c r="V1755" s="10" t="n"/>
      <c r="W1755" s="10" t="n"/>
      <c r="X1755" s="10" t="n"/>
      <c r="Y1755" s="10" t="n"/>
      <c r="Z1755" s="10" t="n"/>
    </row>
    <row r="1756">
      <c r="A1756" s="217" t="inlineStr">
        <is>
          <t>slider.ReconciliationCollected</t>
        </is>
      </c>
      <c r="B1756" s="102" t="inlineStr">
        <is>
          <t>Đối soát thu COD</t>
        </is>
      </c>
      <c r="C1756" s="102" t="n"/>
      <c r="D1756" s="102" t="inlineStr">
        <is>
          <t xml:space="preserve">ផ្ទៀងផ្ទាត់ការប្រមូលប្រាក់ COD </t>
        </is>
      </c>
      <c r="E1756" s="102" t="n"/>
      <c r="F1756" s="10" t="n"/>
      <c r="G1756" s="10" t="inlineStr">
        <is>
          <t>ផ្ទៀងផ្ទាត់ការប្រមូលប្រាក់ COD</t>
        </is>
      </c>
      <c r="H1756" s="10" t="inlineStr">
        <is>
          <t>ផ្ទៀងផ្ទាត់ការប្រមូលប្រាក់ COD</t>
        </is>
      </c>
      <c r="I1756" s="10" t="n"/>
      <c r="J1756" s="10" t="n"/>
      <c r="K1756" s="10" t="inlineStr">
        <is>
          <t>"slider.ReconciliationCollected": "ផ្ទៀងផ្ទាត់ការប្រមូលប្រាក់ COD",</t>
        </is>
      </c>
      <c r="L1756" s="10" t="n"/>
      <c r="M1756" s="10" t="n"/>
      <c r="N1756" s="10" t="n"/>
      <c r="O1756" s="10" t="n"/>
      <c r="P1756" s="10" t="n"/>
      <c r="Q1756" s="10" t="n"/>
      <c r="R1756" s="10" t="n"/>
      <c r="S1756" s="10" t="n"/>
      <c r="T1756" s="10" t="n"/>
      <c r="U1756" s="10" t="n"/>
      <c r="V1756" s="10" t="n"/>
      <c r="W1756" s="10" t="n"/>
      <c r="X1756" s="10" t="n"/>
      <c r="Y1756" s="10" t="n"/>
      <c r="Z1756" s="10" t="n"/>
    </row>
    <row r="1757">
      <c r="A1757" s="217" t="inlineStr">
        <is>
          <t>paymentReconcile.infoPaymentLogistic</t>
        </is>
      </c>
      <c r="B1757" s="126" t="inlineStr">
        <is>
          <t>Thông tin thanh toán Logistic</t>
        </is>
      </c>
      <c r="C1757" s="126" t="n"/>
      <c r="D1757" s="126" t="inlineStr">
        <is>
          <t xml:space="preserve"> ព័ត៌មានការទូទាត់សម្រាប់ឡូជីស្ទីក</t>
        </is>
      </c>
      <c r="E1757" s="126" t="n"/>
      <c r="F1757" s="127" t="n"/>
      <c r="G1757" s="127" t="inlineStr">
        <is>
          <t>ព័ត៌មានការទូទាត់សម្រាប់ឡូជីស្ទីក</t>
        </is>
      </c>
      <c r="H1757" s="127" t="inlineStr">
        <is>
          <t>ព័ត៌មានការទូទាត់សម្រាប់ឡូជីស្ទីក</t>
        </is>
      </c>
      <c r="I1757" s="127" t="n"/>
      <c r="J1757" s="127" t="n"/>
      <c r="K1757" s="127" t="inlineStr">
        <is>
          <t>"paymentReconcile.infoPaymentLogistic": "ព័ត៌មានការទូទាត់សម្រាប់ឡូជីស្ទីក",</t>
        </is>
      </c>
      <c r="L1757" s="127" t="n"/>
      <c r="M1757" s="127" t="n"/>
      <c r="N1757" s="127" t="n"/>
      <c r="O1757" s="127" t="n"/>
      <c r="P1757" s="127" t="n"/>
      <c r="Q1757" s="127" t="n"/>
      <c r="R1757" s="127" t="n"/>
      <c r="S1757" s="127" t="n"/>
      <c r="T1757" s="127" t="n"/>
      <c r="U1757" s="127" t="n"/>
      <c r="V1757" s="127" t="n"/>
      <c r="W1757" s="127" t="n"/>
      <c r="X1757" s="127" t="n"/>
      <c r="Y1757" s="127" t="n"/>
      <c r="Z1757" s="127" t="n"/>
    </row>
    <row r="1758">
      <c r="A1758" s="217" t="inlineStr">
        <is>
          <t>paymentReconcile.totalTrans</t>
        </is>
      </c>
      <c r="B1758" s="126" t="inlineStr">
        <is>
          <t>Tổng số giao dịch</t>
        </is>
      </c>
      <c r="C1758" s="126" t="n"/>
      <c r="D1758" s="126" t="inlineStr">
        <is>
          <t>ចំនួនប្រតិបត្តិការសរុប</t>
        </is>
      </c>
      <c r="E1758" s="126" t="n"/>
      <c r="F1758" s="127" t="n"/>
      <c r="G1758" s="127" t="inlineStr">
        <is>
          <t>ចំនួនប្រតិបត្តិការសរុប</t>
        </is>
      </c>
      <c r="H1758" s="127" t="inlineStr">
        <is>
          <t>ចំនួនប្រតិបត្តិការសរុប</t>
        </is>
      </c>
      <c r="I1758" s="127" t="n"/>
      <c r="J1758" s="127" t="n"/>
      <c r="K1758" s="127" t="inlineStr">
        <is>
          <t>"paymentReconcile.totalTrans": "ចំនួនប្រតិបត្តិការសរុប",</t>
        </is>
      </c>
      <c r="L1758" s="127" t="n"/>
      <c r="M1758" s="127" t="n"/>
      <c r="N1758" s="127" t="n"/>
      <c r="O1758" s="127" t="n"/>
      <c r="P1758" s="127" t="n"/>
      <c r="Q1758" s="127" t="n"/>
      <c r="R1758" s="127" t="n"/>
      <c r="S1758" s="127" t="n"/>
      <c r="T1758" s="127" t="n"/>
      <c r="U1758" s="127" t="n"/>
      <c r="V1758" s="127" t="n"/>
      <c r="W1758" s="127" t="n"/>
      <c r="X1758" s="127" t="n"/>
      <c r="Y1758" s="127" t="n"/>
      <c r="Z1758" s="127" t="n"/>
    </row>
    <row r="1759">
      <c r="A1759" s="217" t="inlineStr">
        <is>
          <t>paymentReconcile.totalTransSuccessPartner</t>
        </is>
      </c>
      <c r="B1759" s="126" t="inlineStr">
        <is>
          <t>Tổng giao dịch thành công tại Đối tác</t>
        </is>
      </c>
      <c r="C1759" s="126" t="n"/>
      <c r="D1759" s="126" t="inlineStr">
        <is>
          <t>សរុបចំនួនប្រតិបត្តិការជោគជ័យនៅដៃគូ</t>
        </is>
      </c>
      <c r="E1759" s="126" t="n"/>
      <c r="F1759" s="127" t="n"/>
      <c r="G1759" s="127" t="inlineStr">
        <is>
          <t>សរុបចំនួនប្រតិបត្តិការជោគជ័យនៅដៃគូ</t>
        </is>
      </c>
      <c r="H1759" s="127" t="inlineStr">
        <is>
          <t>សរុបចំនួនប្រតិបត្តិការជោគជ័យនៅដៃគូ</t>
        </is>
      </c>
      <c r="I1759" s="127" t="n"/>
      <c r="J1759" s="127" t="n"/>
      <c r="K1759" s="127" t="inlineStr">
        <is>
          <t>"paymentReconcile.totalTransSuccessPartner": "សរុបចំនួនប្រតិបត្តិការជោគជ័យនៅដៃគូ",</t>
        </is>
      </c>
      <c r="L1759" s="127" t="n"/>
      <c r="M1759" s="127" t="n"/>
      <c r="N1759" s="127" t="n"/>
      <c r="O1759" s="127" t="n"/>
      <c r="P1759" s="127" t="n"/>
      <c r="Q1759" s="127" t="n"/>
      <c r="R1759" s="127" t="n"/>
      <c r="S1759" s="127" t="n"/>
      <c r="T1759" s="127" t="n"/>
      <c r="U1759" s="127" t="n"/>
      <c r="V1759" s="127" t="n"/>
      <c r="W1759" s="127" t="n"/>
      <c r="X1759" s="127" t="n"/>
      <c r="Y1759" s="127" t="n"/>
      <c r="Z1759" s="127" t="n"/>
    </row>
    <row r="1760">
      <c r="A1760" s="217" t="inlineStr">
        <is>
          <t>paymentReconcile.totalTransSuccessLogistic</t>
        </is>
      </c>
      <c r="B1760" s="128" t="inlineStr">
        <is>
          <t>Tổng giao dịch thành công tại Logistic</t>
        </is>
      </c>
      <c r="C1760" s="126" t="n"/>
      <c r="D1760" s="126" t="inlineStr">
        <is>
          <t>សរុបប្រតិបត្តិការជោគជ័យនៅផ្នែក Logistic</t>
        </is>
      </c>
      <c r="E1760" s="126" t="n"/>
      <c r="F1760" s="127" t="n"/>
      <c r="G1760" s="127" t="inlineStr">
        <is>
          <t>សរុបប្រតិបត្តិការជោគជ័យនៅផ្នែក Logistic</t>
        </is>
      </c>
      <c r="H1760" s="127" t="inlineStr">
        <is>
          <t>សរុបប្រតិបត្តិការជោគជ័យនៅផ្នែក Logistic</t>
        </is>
      </c>
      <c r="I1760" s="127" t="n"/>
      <c r="J1760" s="127" t="n"/>
      <c r="K1760" s="127" t="inlineStr">
        <is>
          <t>"paymentReconcile.totalTransSuccessLogistic": "សរុបប្រតិបត្តិការជោគជ័យនៅផ្នែក Logistic",</t>
        </is>
      </c>
      <c r="L1760" s="127" t="n"/>
      <c r="M1760" s="127" t="n"/>
      <c r="N1760" s="127" t="n"/>
      <c r="O1760" s="127" t="n"/>
      <c r="P1760" s="127" t="n"/>
      <c r="Q1760" s="127" t="n"/>
      <c r="R1760" s="127" t="n"/>
      <c r="S1760" s="127" t="n"/>
      <c r="T1760" s="127" t="n"/>
      <c r="U1760" s="127" t="n"/>
      <c r="V1760" s="127" t="n"/>
      <c r="W1760" s="127" t="n"/>
      <c r="X1760" s="127" t="n"/>
      <c r="Y1760" s="127" t="n"/>
      <c r="Z1760" s="127" t="n"/>
    </row>
    <row r="1761">
      <c r="A1761" s="217" t="inlineStr">
        <is>
          <t>paymentReconcile.partnerCode</t>
        </is>
      </c>
      <c r="B1761" s="126" t="inlineStr">
        <is>
          <t>mã đối tác</t>
        </is>
      </c>
      <c r="C1761" s="126" t="n"/>
      <c r="D1761" s="126" t="inlineStr">
        <is>
          <t xml:space="preserve">លេខកូដដៃគូ </t>
        </is>
      </c>
      <c r="E1761" s="126" t="n"/>
      <c r="F1761" s="127" t="n"/>
      <c r="G1761" s="127" t="inlineStr">
        <is>
          <t>លេខកូដដៃគូ</t>
        </is>
      </c>
      <c r="H1761" s="127" t="inlineStr">
        <is>
          <t>លេខកូដដៃគូ</t>
        </is>
      </c>
      <c r="I1761" s="127" t="n"/>
      <c r="J1761" s="127" t="n"/>
      <c r="K1761" s="127" t="inlineStr">
        <is>
          <t>"paymentReconcile.partnerCode": "លេខកូដដៃគូ",</t>
        </is>
      </c>
      <c r="L1761" s="127" t="n"/>
      <c r="M1761" s="127" t="n"/>
      <c r="N1761" s="127" t="n"/>
      <c r="O1761" s="127" t="n"/>
      <c r="P1761" s="127" t="n"/>
      <c r="Q1761" s="127" t="n"/>
      <c r="R1761" s="127" t="n"/>
      <c r="S1761" s="127" t="n"/>
      <c r="T1761" s="127" t="n"/>
      <c r="U1761" s="127" t="n"/>
      <c r="V1761" s="127" t="n"/>
      <c r="W1761" s="127" t="n"/>
      <c r="X1761" s="127" t="n"/>
      <c r="Y1761" s="127" t="n"/>
      <c r="Z1761" s="127" t="n"/>
    </row>
    <row r="1762">
      <c r="A1762" s="217" t="inlineStr">
        <is>
          <t>paymentReconcile.codeTransParter</t>
        </is>
      </c>
      <c r="B1762" s="126" t="inlineStr">
        <is>
          <t>Mã giao dịch đối tác</t>
        </is>
      </c>
      <c r="C1762" s="126" t="n"/>
      <c r="D1762" s="126" t="inlineStr">
        <is>
          <t>លេខកូូដប្រតិបត្តិការដៃគូ</t>
        </is>
      </c>
      <c r="E1762" s="126" t="n"/>
      <c r="F1762" s="127" t="n"/>
      <c r="G1762" s="127" t="inlineStr">
        <is>
          <t>លេខកូូដប្រតិបត្តិការដៃគូ</t>
        </is>
      </c>
      <c r="H1762" s="127" t="inlineStr">
        <is>
          <t>លេខកូូដប្រតិបត្តិការដៃគូ</t>
        </is>
      </c>
      <c r="I1762" s="127" t="n"/>
      <c r="J1762" s="127" t="n"/>
      <c r="K1762" s="127" t="inlineStr">
        <is>
          <t>"paymentReconcile.codeTransParter": "លេខកូូដប្រតិបត្តិការដៃគូ",</t>
        </is>
      </c>
      <c r="L1762" s="127" t="n"/>
      <c r="M1762" s="127" t="n"/>
      <c r="N1762" s="127" t="n"/>
      <c r="O1762" s="127" t="n"/>
      <c r="P1762" s="127" t="n"/>
      <c r="Q1762" s="127" t="n"/>
      <c r="R1762" s="127" t="n"/>
      <c r="S1762" s="127" t="n"/>
      <c r="T1762" s="127" t="n"/>
      <c r="U1762" s="127" t="n"/>
      <c r="V1762" s="127" t="n"/>
      <c r="W1762" s="127" t="n"/>
      <c r="X1762" s="127" t="n"/>
      <c r="Y1762" s="127" t="n"/>
      <c r="Z1762" s="127" t="n"/>
    </row>
    <row r="1763">
      <c r="A1763" s="217" t="inlineStr">
        <is>
          <t>paymentReconcile.codePaidParter</t>
        </is>
      </c>
      <c r="B1763" s="126" t="inlineStr">
        <is>
          <t>Mã thanh toán đối tác</t>
        </is>
      </c>
      <c r="C1763" s="126" t="n"/>
      <c r="D1763" s="126" t="inlineStr">
        <is>
          <t>លេខកូដទូទាត់ដៃគូ</t>
        </is>
      </c>
      <c r="E1763" s="126" t="n"/>
      <c r="F1763" s="127" t="n"/>
      <c r="G1763" s="127" t="inlineStr">
        <is>
          <t>លេខកូដទូទាត់ដៃគូ</t>
        </is>
      </c>
      <c r="H1763" s="127" t="inlineStr">
        <is>
          <t>លេខកូដទូទាត់ដៃគូ</t>
        </is>
      </c>
      <c r="I1763" s="127" t="n"/>
      <c r="J1763" s="127" t="n"/>
      <c r="K1763" s="127" t="inlineStr">
        <is>
          <t>"paymentReconcile.codePaidParter": "លេខកូដទូទាត់ដៃគូ",</t>
        </is>
      </c>
      <c r="L1763" s="127" t="n"/>
      <c r="M1763" s="127" t="n"/>
      <c r="N1763" s="127" t="n"/>
      <c r="O1763" s="127" t="n"/>
      <c r="P1763" s="127" t="n"/>
      <c r="Q1763" s="127" t="n"/>
      <c r="R1763" s="127" t="n"/>
      <c r="S1763" s="127" t="n"/>
      <c r="T1763" s="127" t="n"/>
      <c r="U1763" s="127" t="n"/>
      <c r="V1763" s="127" t="n"/>
      <c r="W1763" s="127" t="n"/>
      <c r="X1763" s="127" t="n"/>
      <c r="Y1763" s="127" t="n"/>
      <c r="Z1763" s="127" t="n"/>
    </row>
    <row r="1764">
      <c r="A1764" s="217" t="inlineStr">
        <is>
          <t>paymentReconcile.infoPartnerPaid</t>
        </is>
      </c>
      <c r="B1764" s="126" t="inlineStr">
        <is>
          <t>Thông tin đối tác đã thanh toán</t>
        </is>
      </c>
      <c r="C1764" s="126" t="n"/>
      <c r="D1764" s="126" t="inlineStr">
        <is>
          <t>ព័ត៌មានដៃគូដែលបានទូទាត់</t>
        </is>
      </c>
      <c r="E1764" s="126" t="n"/>
      <c r="F1764" s="127" t="n"/>
      <c r="G1764" s="127" t="inlineStr">
        <is>
          <t>ព័ត៌មានដៃគូដែលបានទូទាត់</t>
        </is>
      </c>
      <c r="H1764" s="127" t="inlineStr">
        <is>
          <t>ព័ត៌មានដៃគូដែលបានទូទាត់</t>
        </is>
      </c>
      <c r="I1764" s="127" t="n"/>
      <c r="J1764" s="127" t="n"/>
      <c r="K1764" s="127" t="inlineStr">
        <is>
          <t>"paymentReconcile.infoPartnerPaid": "ព័ត៌មានដៃគូដែលបានទូទាត់",</t>
        </is>
      </c>
      <c r="L1764" s="127" t="n"/>
      <c r="M1764" s="127" t="n"/>
      <c r="N1764" s="127" t="n"/>
      <c r="O1764" s="127" t="n"/>
      <c r="P1764" s="127" t="n"/>
      <c r="Q1764" s="127" t="n"/>
      <c r="R1764" s="127" t="n"/>
      <c r="S1764" s="127" t="n"/>
      <c r="T1764" s="127" t="n"/>
      <c r="U1764" s="127" t="n"/>
      <c r="V1764" s="127" t="n"/>
      <c r="W1764" s="127" t="n"/>
      <c r="X1764" s="127" t="n"/>
      <c r="Y1764" s="127" t="n"/>
      <c r="Z1764" s="127" t="n"/>
    </row>
    <row r="1765">
      <c r="A1765" s="217" t="inlineStr">
        <is>
          <t>paymentReconcile.afterRecon</t>
        </is>
      </c>
      <c r="B1765" s="126" t="inlineStr">
        <is>
          <t>Sau đối soát</t>
        </is>
      </c>
      <c r="C1765" s="126" t="n"/>
      <c r="D1765" s="90" t="inlineStr">
        <is>
          <t>បន្ទាប់ពីការផ្ទៀងផ្ទាត់</t>
        </is>
      </c>
      <c r="E1765" s="126" t="n"/>
      <c r="F1765" s="127" t="n"/>
      <c r="G1765" s="127" t="inlineStr">
        <is>
          <t>បន្ទាប់ពីការផ្ទៀងផ្ទាត់</t>
        </is>
      </c>
      <c r="H1765" s="127" t="inlineStr">
        <is>
          <t>បន្ទាប់ពីការផ្ទៀងផ្ទាត់</t>
        </is>
      </c>
      <c r="I1765" s="127" t="n"/>
      <c r="J1765" s="127" t="n"/>
      <c r="K1765" s="127" t="inlineStr">
        <is>
          <t>"paymentReconcile.afterRecon": "បន្ទាប់ពីការផ្ទៀងផ្ទាត់",</t>
        </is>
      </c>
      <c r="L1765" s="127" t="n"/>
      <c r="M1765" s="127" t="n"/>
      <c r="N1765" s="127" t="n"/>
      <c r="O1765" s="127" t="n"/>
      <c r="P1765" s="127" t="n"/>
      <c r="Q1765" s="127" t="n"/>
      <c r="R1765" s="127" t="n"/>
      <c r="S1765" s="127" t="n"/>
      <c r="T1765" s="127" t="n"/>
      <c r="U1765" s="127" t="n"/>
      <c r="V1765" s="127" t="n"/>
      <c r="W1765" s="127" t="n"/>
      <c r="X1765" s="127" t="n"/>
      <c r="Y1765" s="127" t="n"/>
      <c r="Z1765" s="127" t="n"/>
    </row>
    <row r="1766">
      <c r="A1766" s="217" t="inlineStr">
        <is>
          <t>paymentReconcile.match</t>
        </is>
      </c>
      <c r="B1766" s="126" t="inlineStr">
        <is>
          <t>Cân khớp</t>
        </is>
      </c>
      <c r="C1766" s="126" t="n"/>
      <c r="D1766" s="126" t="inlineStr">
        <is>
          <t>ផ្គូផ្គង</t>
        </is>
      </c>
      <c r="E1766" s="126" t="n"/>
      <c r="F1766" s="127" t="n"/>
      <c r="G1766" s="127" t="inlineStr">
        <is>
          <t>ផ្គូផ្គង</t>
        </is>
      </c>
      <c r="H1766" s="127" t="inlineStr">
        <is>
          <t>ផ្គូផ្គង</t>
        </is>
      </c>
      <c r="I1766" s="127" t="n"/>
      <c r="J1766" s="127" t="n"/>
      <c r="K1766" s="127" t="inlineStr">
        <is>
          <t>"paymentReconcile.match": "ផ្គូផ្គង",</t>
        </is>
      </c>
      <c r="L1766" s="127" t="n"/>
      <c r="M1766" s="127" t="n"/>
      <c r="N1766" s="127" t="n"/>
      <c r="O1766" s="127" t="n"/>
      <c r="P1766" s="127" t="n"/>
      <c r="Q1766" s="127" t="n"/>
      <c r="R1766" s="127" t="n"/>
      <c r="S1766" s="127" t="n"/>
      <c r="T1766" s="127" t="n"/>
      <c r="U1766" s="127" t="n"/>
      <c r="V1766" s="127" t="n"/>
      <c r="W1766" s="127" t="n"/>
      <c r="X1766" s="127" t="n"/>
      <c r="Y1766" s="127" t="n"/>
      <c r="Z1766" s="127" t="n"/>
    </row>
    <row r="1767">
      <c r="A1767" s="217" t="inlineStr">
        <is>
          <t>paymentReconcile.infoPaymentLogistic</t>
        </is>
      </c>
      <c r="B1767" s="126" t="inlineStr">
        <is>
          <t>Thông tin giao dịch chi</t>
        </is>
      </c>
      <c r="C1767" s="126" t="n"/>
      <c r="D1767" s="90" t="inlineStr">
        <is>
          <t>ព័ត៌មានប្រតិបត្តិការចំណាយ</t>
        </is>
      </c>
      <c r="E1767" s="126" t="n"/>
      <c r="F1767" s="127" t="n"/>
      <c r="G1767" s="127" t="inlineStr">
        <is>
          <t>ព័ត៌មានប្រតិបត្តិការចំណាយ</t>
        </is>
      </c>
      <c r="H1767" s="127" t="inlineStr">
        <is>
          <t>ព័ត៌មានប្រតិបត្តិការចំណាយ</t>
        </is>
      </c>
      <c r="I1767" s="127" t="n"/>
      <c r="J1767" s="127" t="n"/>
      <c r="K1767" s="127" t="inlineStr">
        <is>
          <t>"paymentReconcile.infoPaymentLogistic": "ព័ត៌មានប្រតិបត្តិការចំណាយ",</t>
        </is>
      </c>
      <c r="L1767" s="127" t="n"/>
      <c r="M1767" s="127" t="n"/>
      <c r="N1767" s="127" t="n"/>
      <c r="O1767" s="127" t="n"/>
      <c r="P1767" s="127" t="n"/>
      <c r="Q1767" s="127" t="n"/>
      <c r="R1767" s="127" t="n"/>
      <c r="S1767" s="127" t="n"/>
      <c r="T1767" s="127" t="n"/>
      <c r="U1767" s="127" t="n"/>
      <c r="V1767" s="127" t="n"/>
      <c r="W1767" s="127" t="n"/>
      <c r="X1767" s="127" t="n"/>
      <c r="Y1767" s="127" t="n"/>
      <c r="Z1767" s="127" t="n"/>
    </row>
    <row r="1768">
      <c r="A1768" s="217" t="inlineStr">
        <is>
          <t>paymentReconcile.WalletEmoney</t>
        </is>
      </c>
      <c r="B1768" s="126" t="inlineStr">
        <is>
          <t>Ví Emoney thu QR</t>
        </is>
      </c>
      <c r="C1768" s="126" t="n"/>
      <c r="D1768" s="90" t="inlineStr">
        <is>
          <t>គណនី Emoney ទទួលតាម QR</t>
        </is>
      </c>
      <c r="E1768" s="126" t="n"/>
      <c r="F1768" s="127" t="n"/>
      <c r="G1768" s="127" t="inlineStr">
        <is>
          <t>គណនី Emoney ទទួលតាម QR</t>
        </is>
      </c>
      <c r="H1768" s="127" t="inlineStr">
        <is>
          <t>គណនី Emoney ទទួលតាម QR</t>
        </is>
      </c>
      <c r="I1768" s="127" t="n"/>
      <c r="J1768" s="127" t="n"/>
      <c r="K1768" s="127" t="inlineStr">
        <is>
          <t>"paymentReconcile.WalletEmoney": "គណនី Emoney ទទួលតាម QR",</t>
        </is>
      </c>
      <c r="L1768" s="127" t="n"/>
      <c r="M1768" s="127" t="n"/>
      <c r="N1768" s="127" t="n"/>
      <c r="O1768" s="127" t="n"/>
      <c r="P1768" s="127" t="n"/>
      <c r="Q1768" s="127" t="n"/>
      <c r="R1768" s="127" t="n"/>
      <c r="S1768" s="127" t="n"/>
      <c r="T1768" s="127" t="n"/>
      <c r="U1768" s="127" t="n"/>
      <c r="V1768" s="127" t="n"/>
      <c r="W1768" s="127" t="n"/>
      <c r="X1768" s="127" t="n"/>
      <c r="Y1768" s="127" t="n"/>
      <c r="Z1768" s="127" t="n"/>
    </row>
    <row r="1769">
      <c r="A1769" s="217" t="inlineStr">
        <is>
          <t>paymentReconcile.receivingAccount</t>
        </is>
      </c>
      <c r="B1769" s="126" t="inlineStr">
        <is>
          <t>Số tài khoản thụ hưởng</t>
        </is>
      </c>
      <c r="C1769" s="126" t="n"/>
      <c r="D1769" s="90" t="inlineStr">
        <is>
          <t>លេខគណនីអ្នកទទួល</t>
        </is>
      </c>
      <c r="E1769" s="126" t="n"/>
      <c r="F1769" s="127" t="n"/>
      <c r="G1769" s="127" t="inlineStr">
        <is>
          <t>លេខគណនីអ្នកទទួល</t>
        </is>
      </c>
      <c r="H1769" s="127" t="inlineStr">
        <is>
          <t>លេខគណនីអ្នកទទួល</t>
        </is>
      </c>
      <c r="I1769" s="127" t="n"/>
      <c r="J1769" s="127" t="n"/>
      <c r="K1769" s="127" t="inlineStr">
        <is>
          <t>"paymentReconcile.receivingAccount": "លេខគណនីអ្នកទទួល",</t>
        </is>
      </c>
      <c r="L1769" s="127" t="n"/>
      <c r="M1769" s="127" t="n"/>
      <c r="N1769" s="127" t="n"/>
      <c r="O1769" s="127" t="n"/>
      <c r="P1769" s="127" t="n"/>
      <c r="Q1769" s="127" t="n"/>
      <c r="R1769" s="127" t="n"/>
      <c r="S1769" s="127" t="n"/>
      <c r="T1769" s="127" t="n"/>
      <c r="U1769" s="127" t="n"/>
      <c r="V1769" s="127" t="n"/>
      <c r="W1769" s="127" t="n"/>
      <c r="X1769" s="127" t="n"/>
      <c r="Y1769" s="127" t="n"/>
      <c r="Z1769" s="127" t="n"/>
    </row>
    <row r="1770">
      <c r="A1770" s="217" t="inlineStr">
        <is>
          <t>paymentReconcile.infoPaidLogistic</t>
        </is>
      </c>
      <c r="B1770" s="126" t="inlineStr">
        <is>
          <t>Thông tin chi Logistic</t>
        </is>
      </c>
      <c r="C1770" s="126" t="n"/>
      <c r="D1770" s="90" t="inlineStr">
        <is>
          <t>ព័ត៌មានចំណាយ Logistic</t>
        </is>
      </c>
      <c r="E1770" s="126" t="n"/>
      <c r="F1770" s="127" t="n"/>
      <c r="G1770" s="127" t="inlineStr">
        <is>
          <t>ព័ត៌មានចំណាយ Logistic</t>
        </is>
      </c>
      <c r="H1770" s="127" t="inlineStr">
        <is>
          <t>ព័ត៌មានចំណាយ Logistic</t>
        </is>
      </c>
      <c r="I1770" s="127" t="n"/>
      <c r="J1770" s="127" t="n"/>
      <c r="K1770" s="127" t="inlineStr">
        <is>
          <t>"paymentReconcile.infoPaidLogistic": "ព័ត៌មានចំណាយ Logistic",</t>
        </is>
      </c>
      <c r="L1770" s="127" t="n"/>
      <c r="M1770" s="127" t="n"/>
      <c r="N1770" s="127" t="n"/>
      <c r="O1770" s="127" t="n"/>
      <c r="P1770" s="127" t="n"/>
      <c r="Q1770" s="127" t="n"/>
      <c r="R1770" s="127" t="n"/>
      <c r="S1770" s="127" t="n"/>
      <c r="T1770" s="127" t="n"/>
      <c r="U1770" s="127" t="n"/>
      <c r="V1770" s="127" t="n"/>
      <c r="W1770" s="127" t="n"/>
      <c r="X1770" s="127" t="n"/>
      <c r="Y1770" s="127" t="n"/>
      <c r="Z1770" s="127" t="n"/>
    </row>
    <row r="1771">
      <c r="A1771" s="217" t="inlineStr">
        <is>
          <t>paymentReconcile.numberRef</t>
        </is>
      </c>
      <c r="B1771" s="126" t="inlineStr">
        <is>
          <t>Số REF</t>
        </is>
      </c>
      <c r="C1771" s="126" t="n"/>
      <c r="D1771" s="90" t="inlineStr">
        <is>
          <t>លេខ REF</t>
        </is>
      </c>
      <c r="E1771" s="126" t="n"/>
      <c r="F1771" s="127" t="n"/>
      <c r="G1771" s="127" t="inlineStr">
        <is>
          <t>លេខ REF</t>
        </is>
      </c>
      <c r="H1771" s="127" t="inlineStr">
        <is>
          <t>លេខ REF</t>
        </is>
      </c>
      <c r="I1771" s="127" t="n"/>
      <c r="J1771" s="127" t="n"/>
      <c r="K1771" s="127" t="inlineStr">
        <is>
          <t>"paymentReconcile.numberRef": "លេខ REF",</t>
        </is>
      </c>
      <c r="L1771" s="127" t="n"/>
      <c r="M1771" s="127" t="n"/>
      <c r="N1771" s="127" t="n"/>
      <c r="O1771" s="127" t="n"/>
      <c r="P1771" s="127" t="n"/>
      <c r="Q1771" s="127" t="n"/>
      <c r="R1771" s="127" t="n"/>
      <c r="S1771" s="127" t="n"/>
      <c r="T1771" s="127" t="n"/>
      <c r="U1771" s="127" t="n"/>
      <c r="V1771" s="127" t="n"/>
      <c r="W1771" s="127" t="n"/>
      <c r="X1771" s="127" t="n"/>
      <c r="Y1771" s="127" t="n"/>
      <c r="Z1771" s="127" t="n"/>
    </row>
    <row r="1772">
      <c r="A1772" s="217" t="inlineStr">
        <is>
          <t>paymentReconcile.numberRefReturn</t>
        </is>
      </c>
      <c r="B1772" s="126" t="inlineStr">
        <is>
          <t>Số REF được hoàn</t>
        </is>
      </c>
      <c r="C1772" s="126" t="n"/>
      <c r="D1772" s="90" t="inlineStr">
        <is>
          <t>លេខ REF បានបង្វិលសង</t>
        </is>
      </c>
      <c r="E1772" s="126" t="n"/>
      <c r="F1772" s="127" t="n"/>
      <c r="G1772" s="127" t="inlineStr">
        <is>
          <t>លេខ REF បានបង្វិលសង</t>
        </is>
      </c>
      <c r="H1772" s="127" t="inlineStr">
        <is>
          <t>លេខ REF បានបង្វិលសង</t>
        </is>
      </c>
      <c r="I1772" s="127" t="n"/>
      <c r="J1772" s="127" t="n"/>
      <c r="K1772" s="127" t="inlineStr">
        <is>
          <t>"paymentReconcile.numberRefReturn": "លេខ REF បានបង្វិលសង",</t>
        </is>
      </c>
      <c r="L1772" s="127" t="n"/>
      <c r="M1772" s="127" t="n"/>
      <c r="N1772" s="127" t="n"/>
      <c r="O1772" s="127" t="n"/>
      <c r="P1772" s="127" t="n"/>
      <c r="Q1772" s="127" t="n"/>
      <c r="R1772" s="127" t="n"/>
      <c r="S1772" s="127" t="n"/>
      <c r="T1772" s="127" t="n"/>
      <c r="U1772" s="127" t="n"/>
      <c r="V1772" s="127" t="n"/>
      <c r="W1772" s="127" t="n"/>
      <c r="X1772" s="127" t="n"/>
      <c r="Y1772" s="127" t="n"/>
      <c r="Z1772" s="127" t="n"/>
    </row>
    <row r="1773">
      <c r="A1773" s="217" t="inlineStr">
        <is>
          <t>paymentReconcile.infoPaidPartner</t>
        </is>
      </c>
      <c r="B1773" s="126" t="inlineStr">
        <is>
          <t>Thông tin chi đối tác</t>
        </is>
      </c>
      <c r="C1773" s="126" t="n"/>
      <c r="D1773" s="90" t="inlineStr">
        <is>
          <t>ព័ត៌មានចំណាយដៃគូ</t>
        </is>
      </c>
      <c r="E1773" s="126" t="n"/>
      <c r="F1773" s="127" t="n"/>
      <c r="G1773" s="127" t="inlineStr">
        <is>
          <t>ព័ត៌មានចំណាយដៃគូ</t>
        </is>
      </c>
      <c r="H1773" s="127" t="inlineStr">
        <is>
          <t>ព័ត៌មានចំណាយដៃគូ</t>
        </is>
      </c>
      <c r="I1773" s="127" t="n"/>
      <c r="J1773" s="127" t="n"/>
      <c r="K1773" s="127" t="inlineStr">
        <is>
          <t>"paymentReconcile.infoPaidPartner": "ព័ត៌មានចំណាយដៃគូ",</t>
        </is>
      </c>
      <c r="L1773" s="127" t="n"/>
      <c r="M1773" s="127" t="n"/>
      <c r="N1773" s="127" t="n"/>
      <c r="O1773" s="127" t="n"/>
      <c r="P1773" s="127" t="n"/>
      <c r="Q1773" s="127" t="n"/>
      <c r="R1773" s="127" t="n"/>
      <c r="S1773" s="127" t="n"/>
      <c r="T1773" s="127" t="n"/>
      <c r="U1773" s="127" t="n"/>
      <c r="V1773" s="127" t="n"/>
      <c r="W1773" s="127" t="n"/>
      <c r="X1773" s="127" t="n"/>
      <c r="Y1773" s="127" t="n"/>
      <c r="Z1773" s="127" t="n"/>
    </row>
    <row r="1774">
      <c r="B1774" s="126" t="inlineStr">
        <is>
          <t>Vui lòng chọn loại tiền tệ</t>
        </is>
      </c>
      <c r="C1774" s="126" t="n"/>
      <c r="D1774" s="90" t="inlineStr">
        <is>
          <t>សូមជ្រើសរើសប្រភេទរូបិយប័ណ្ណ</t>
        </is>
      </c>
      <c r="E1774" s="126" t="n"/>
      <c r="F1774" s="127" t="n"/>
      <c r="G1774" s="127" t="inlineStr">
        <is>
          <t>សូមជ្រើសរើសប្រភេទរូបិយប័ណ្ណ</t>
        </is>
      </c>
      <c r="H1774" s="127" t="inlineStr">
        <is>
          <t>សូមជ្រើសរើសប្រភេទរូបិយប័ណ្ណ</t>
        </is>
      </c>
      <c r="I1774" s="127" t="n"/>
      <c r="J1774" s="127" t="n"/>
      <c r="K1774" s="127" t="inlineStr"/>
      <c r="L1774" s="127" t="n"/>
      <c r="M1774" s="127" t="n"/>
      <c r="N1774" s="127" t="n"/>
      <c r="O1774" s="127" t="n"/>
      <c r="P1774" s="127" t="n"/>
      <c r="Q1774" s="127" t="n"/>
      <c r="R1774" s="127" t="n"/>
      <c r="S1774" s="127" t="n"/>
      <c r="T1774" s="127" t="n"/>
      <c r="U1774" s="127" t="n"/>
      <c r="V1774" s="127" t="n"/>
      <c r="W1774" s="127" t="n"/>
      <c r="X1774" s="127" t="n"/>
      <c r="Y1774" s="127" t="n"/>
      <c r="Z1774" s="127" t="n"/>
    </row>
    <row r="1775">
      <c r="B1775" s="126" t="inlineStr">
        <is>
          <t>Dịch vụ COD (thanh toán khi nhận hàng)</t>
        </is>
      </c>
      <c r="C1775" s="126" t="n"/>
      <c r="D1775" s="90" t="inlineStr">
        <is>
          <t>សេវា COD (បង់ប្រាក់ពេលទទួលទំនិញ)</t>
        </is>
      </c>
      <c r="E1775" s="126" t="n"/>
      <c r="F1775" s="127" t="n"/>
      <c r="G1775" s="127" t="inlineStr">
        <is>
          <t>សេវា COD (បង់ប្រាក់ពេលទទួលទំនិញ)</t>
        </is>
      </c>
      <c r="H1775" s="127" t="inlineStr">
        <is>
          <t>សេវា COD (បង់ប្រាក់ពេលទទួលទំនិញ)</t>
        </is>
      </c>
      <c r="I1775" s="127" t="n"/>
      <c r="J1775" s="127" t="n"/>
      <c r="K1775" s="127" t="inlineStr"/>
      <c r="L1775" s="127" t="n"/>
      <c r="M1775" s="127" t="n"/>
      <c r="N1775" s="127" t="n"/>
      <c r="O1775" s="127" t="n"/>
      <c r="P1775" s="127" t="n"/>
      <c r="Q1775" s="127" t="n"/>
      <c r="R1775" s="127" t="n"/>
      <c r="S1775" s="127" t="n"/>
      <c r="T1775" s="127" t="n"/>
      <c r="U1775" s="127" t="n"/>
      <c r="V1775" s="127" t="n"/>
      <c r="W1775" s="127" t="n"/>
      <c r="X1775" s="127" t="n"/>
      <c r="Y1775" s="127" t="n"/>
      <c r="Z1775" s="127" t="n"/>
    </row>
    <row r="1776">
      <c r="B1776" s="126" t="inlineStr">
        <is>
          <t>Bảo hiểm</t>
        </is>
      </c>
      <c r="C1776" s="126" t="n"/>
      <c r="D1776" s="90" t="inlineStr">
        <is>
          <t>ធានារ៉ាប់រង</t>
        </is>
      </c>
      <c r="E1776" s="126" t="n"/>
      <c r="F1776" s="127" t="n"/>
      <c r="G1776" s="127" t="inlineStr">
        <is>
          <t>ធានារ៉ាប់រង</t>
        </is>
      </c>
      <c r="H1776" s="127" t="inlineStr">
        <is>
          <t>ធានារ៉ាប់រង</t>
        </is>
      </c>
      <c r="I1776" s="127" t="n"/>
      <c r="J1776" s="127" t="n"/>
      <c r="K1776" s="127" t="inlineStr"/>
      <c r="L1776" s="127" t="n"/>
      <c r="M1776" s="127" t="n"/>
      <c r="N1776" s="127" t="n"/>
      <c r="O1776" s="127" t="n"/>
      <c r="P1776" s="127" t="n"/>
      <c r="Q1776" s="127" t="n"/>
      <c r="R1776" s="127" t="n"/>
      <c r="S1776" s="127" t="n"/>
      <c r="T1776" s="127" t="n"/>
      <c r="U1776" s="127" t="n"/>
      <c r="V1776" s="127" t="n"/>
      <c r="W1776" s="127" t="n"/>
      <c r="X1776" s="127" t="n"/>
      <c r="Y1776" s="127" t="n"/>
      <c r="Z1776" s="127" t="n"/>
    </row>
    <row r="1777">
      <c r="B1777" s="126" t="inlineStr">
        <is>
          <t>Đồng kiểm</t>
        </is>
      </c>
      <c r="C1777" s="126" t="n"/>
      <c r="D1777" s="126" t="inlineStr">
        <is>
          <t>ពិនិត្យអីវ៉ាន់រួមគ្នា</t>
        </is>
      </c>
      <c r="E1777" s="126" t="n"/>
      <c r="F1777" s="127" t="n"/>
      <c r="G1777" s="127" t="inlineStr">
        <is>
          <t>ពិនិត្យអីវ៉ាន់រួមគ្នា</t>
        </is>
      </c>
      <c r="H1777" s="127" t="inlineStr">
        <is>
          <t>ពិនិត្យអីវ៉ាន់រួមគ្នា</t>
        </is>
      </c>
      <c r="I1777" s="127" t="n"/>
      <c r="J1777" s="127" t="n"/>
      <c r="K1777" s="127" t="inlineStr"/>
      <c r="L1777" s="127" t="n"/>
      <c r="M1777" s="127" t="n"/>
      <c r="N1777" s="127" t="n"/>
      <c r="O1777" s="127" t="n"/>
      <c r="P1777" s="127" t="n"/>
      <c r="Q1777" s="127" t="n"/>
      <c r="R1777" s="127" t="n"/>
      <c r="S1777" s="127" t="n"/>
      <c r="T1777" s="127" t="n"/>
      <c r="U1777" s="127" t="n"/>
      <c r="V1777" s="127" t="n"/>
      <c r="W1777" s="127" t="n"/>
      <c r="X1777" s="127" t="n"/>
      <c r="Y1777" s="127" t="n"/>
      <c r="Z1777" s="127" t="n"/>
    </row>
    <row r="1778">
      <c r="B1778" s="126" t="inlineStr">
        <is>
          <t>Giao hàng tận tay</t>
        </is>
      </c>
      <c r="C1778" s="126" t="n"/>
      <c r="D1778" s="126" t="inlineStr">
        <is>
          <t>ដឹកជញ្ជូនដល់ដៃ</t>
        </is>
      </c>
      <c r="E1778" s="126" t="n"/>
      <c r="F1778" s="127" t="n"/>
      <c r="G1778" s="127" t="inlineStr">
        <is>
          <t>ដឹកជញ្ជូនដល់ដៃ</t>
        </is>
      </c>
      <c r="H1778" s="127" t="inlineStr">
        <is>
          <t>ដឹកជញ្ជូនដល់ដៃ</t>
        </is>
      </c>
      <c r="I1778" s="127" t="n"/>
      <c r="J1778" s="127" t="n"/>
      <c r="K1778" s="127" t="inlineStr"/>
      <c r="L1778" s="127" t="n"/>
      <c r="M1778" s="127" t="n"/>
      <c r="N1778" s="127" t="n"/>
      <c r="O1778" s="127" t="n"/>
      <c r="P1778" s="127" t="n"/>
      <c r="Q1778" s="127" t="n"/>
      <c r="R1778" s="127" t="n"/>
      <c r="S1778" s="127" t="n"/>
      <c r="T1778" s="127" t="n"/>
      <c r="U1778" s="127" t="n"/>
      <c r="V1778" s="127" t="n"/>
      <c r="W1778" s="127" t="n"/>
      <c r="X1778" s="127" t="n"/>
      <c r="Y1778" s="127" t="n"/>
      <c r="Z1778" s="127" t="n"/>
    </row>
    <row r="1779">
      <c r="B1779" s="126" t="inlineStr">
        <is>
          <t>Thông báo phát hàng</t>
        </is>
      </c>
      <c r="C1779" s="126" t="n"/>
      <c r="D1779" s="90" t="inlineStr">
        <is>
          <t>ជូនដំណឹងពីការចែកចាយអីវ៉ាន់</t>
        </is>
      </c>
      <c r="E1779" s="126" t="n"/>
      <c r="F1779" s="127" t="n"/>
      <c r="G1779" s="127" t="inlineStr">
        <is>
          <t>ជូនដំណឹងពីការចែកចាយអីវ៉ាន់</t>
        </is>
      </c>
      <c r="H1779" s="127" t="inlineStr">
        <is>
          <t>ជូនដំណឹងពីការចែកចាយអីវ៉ាន់</t>
        </is>
      </c>
      <c r="I1779" s="127" t="n"/>
      <c r="J1779" s="127" t="n"/>
      <c r="K1779" s="127" t="inlineStr"/>
      <c r="L1779" s="127" t="n"/>
      <c r="M1779" s="127" t="n"/>
      <c r="N1779" s="127" t="n"/>
      <c r="O1779" s="127" t="n"/>
      <c r="P1779" s="127" t="n"/>
      <c r="Q1779" s="127" t="n"/>
      <c r="R1779" s="127" t="n"/>
      <c r="S1779" s="127" t="n"/>
      <c r="T1779" s="127" t="n"/>
      <c r="U1779" s="127" t="n"/>
      <c r="V1779" s="127" t="n"/>
      <c r="W1779" s="127" t="n"/>
      <c r="X1779" s="127" t="n"/>
      <c r="Y1779" s="127" t="n"/>
      <c r="Z1779" s="127" t="n"/>
    </row>
    <row r="1780">
      <c r="A1780" s="217" t="inlineStr">
        <is>
          <t>reportCod:totalFeeCollected</t>
        </is>
      </c>
      <c r="B1780" s="126" t="inlineStr">
        <is>
          <t>Tổng cước đã thu</t>
        </is>
      </c>
      <c r="C1780" s="126" t="n"/>
      <c r="D1780" s="90" t="inlineStr">
        <is>
          <t>សរុបថ្លៃសេវាដែលបានប្រមូល</t>
        </is>
      </c>
      <c r="E1780" s="126" t="n"/>
      <c r="F1780" s="127" t="n"/>
      <c r="G1780" s="127" t="inlineStr">
        <is>
          <t>សរុបថ្លៃសេវាដែលបានប្រមូល</t>
        </is>
      </c>
      <c r="H1780" s="127" t="inlineStr">
        <is>
          <t>សរុបថ្លៃសេវាដែលបានប្រមូល</t>
        </is>
      </c>
      <c r="I1780" s="127" t="n"/>
      <c r="J1780" s="127" t="n"/>
      <c r="K1780" s="127" t="inlineStr">
        <is>
          <t>"reportCod:totalFeeCollected": "សរុបថ្លៃសេវាដែលបានប្រមូល",</t>
        </is>
      </c>
      <c r="L1780" s="127" t="n"/>
      <c r="M1780" s="127" t="n"/>
      <c r="N1780" s="127" t="n"/>
      <c r="O1780" s="127" t="n"/>
      <c r="P1780" s="127" t="n"/>
      <c r="Q1780" s="127" t="n"/>
      <c r="R1780" s="127" t="n"/>
      <c r="S1780" s="127" t="n"/>
      <c r="T1780" s="127" t="n"/>
      <c r="U1780" s="127" t="n"/>
      <c r="V1780" s="127" t="n"/>
      <c r="W1780" s="127" t="n"/>
      <c r="X1780" s="127" t="n"/>
      <c r="Y1780" s="127" t="n"/>
      <c r="Z1780" s="127" t="n"/>
    </row>
    <row r="1781">
      <c r="A1781" s="132" t="inlineStr">
        <is>
          <t>reportCod:collectedCodPostman</t>
        </is>
      </c>
      <c r="B1781" s="132" t="inlineStr">
        <is>
          <t>Đã thu cước bưu tá</t>
        </is>
      </c>
      <c r="C1781" s="126" t="n"/>
      <c r="D1781" s="126" t="inlineStr">
        <is>
          <t>បានប្រមូលថ្លៃសេវាពីអ្នកដឹកជញ្ជូន</t>
        </is>
      </c>
      <c r="E1781" s="126" t="n"/>
      <c r="F1781" s="127" t="n"/>
      <c r="G1781" s="127" t="inlineStr">
        <is>
          <t>បានប្រមូលថ្លៃសេវាពីអ្នកដឹកជញ្ជូន</t>
        </is>
      </c>
      <c r="H1781" s="127" t="inlineStr">
        <is>
          <t>បានប្រមូលថ្លៃសេវាពីអ្នកដឹកជញ្ជូន</t>
        </is>
      </c>
      <c r="I1781" s="127" t="n"/>
      <c r="J1781" s="127" t="n"/>
      <c r="K1781" s="127" t="inlineStr">
        <is>
          <t>"reportCod:collectedCodPostman": "បានប្រមូលថ្លៃសេវាពីអ្នកដឹកជញ្ជូន",</t>
        </is>
      </c>
      <c r="L1781" s="127" t="n"/>
      <c r="M1781" s="127" t="n"/>
      <c r="N1781" s="127" t="n"/>
      <c r="O1781" s="127" t="n"/>
      <c r="P1781" s="127" t="n"/>
      <c r="Q1781" s="127" t="n"/>
      <c r="R1781" s="127" t="n"/>
      <c r="S1781" s="127" t="n"/>
      <c r="T1781" s="127" t="n"/>
      <c r="U1781" s="127" t="n"/>
      <c r="V1781" s="127" t="n"/>
      <c r="W1781" s="127" t="n"/>
      <c r="X1781" s="127" t="n"/>
      <c r="Y1781" s="127" t="n"/>
      <c r="Z1781" s="127" t="n"/>
    </row>
    <row r="1782">
      <c r="A1782" s="217" t="inlineStr">
        <is>
          <t>slider:reportCodTitle</t>
        </is>
      </c>
      <c r="B1782" s="126" t="inlineStr">
        <is>
          <t>Báo cáo công nợ</t>
        </is>
      </c>
      <c r="C1782" s="126" t="n"/>
      <c r="D1782" s="126" t="inlineStr">
        <is>
          <t>ធ្វើរបាយការណ៍ពីបំណុល</t>
        </is>
      </c>
      <c r="E1782" s="126" t="n"/>
      <c r="F1782" s="127" t="n"/>
      <c r="G1782" s="127" t="inlineStr">
        <is>
          <t>ធ្វើរបាយការណ៍ពីបំណុល</t>
        </is>
      </c>
      <c r="H1782" s="127" t="inlineStr">
        <is>
          <t>ធ្វើរបាយការណ៍ពីបំណុល</t>
        </is>
      </c>
      <c r="I1782" s="127" t="n"/>
      <c r="J1782" s="127" t="n"/>
      <c r="K1782" s="127" t="inlineStr">
        <is>
          <t>"slider:reportCodTitle": "ធ្វើរបាយការណ៍ពីបំណុល",</t>
        </is>
      </c>
      <c r="L1782" s="127" t="n"/>
      <c r="M1782" s="127" t="n"/>
      <c r="N1782" s="127" t="n"/>
      <c r="O1782" s="127" t="n"/>
      <c r="P1782" s="127" t="n"/>
      <c r="Q1782" s="127" t="n"/>
      <c r="R1782" s="127" t="n"/>
      <c r="S1782" s="127" t="n"/>
      <c r="T1782" s="127" t="n"/>
      <c r="U1782" s="127" t="n"/>
      <c r="V1782" s="127" t="n"/>
      <c r="W1782" s="127" t="n"/>
      <c r="X1782" s="127" t="n"/>
      <c r="Y1782" s="127" t="n"/>
      <c r="Z1782" s="127" t="n"/>
    </row>
    <row r="1783">
      <c r="A1783" s="217" t="inlineStr">
        <is>
          <t>reportCod:placeholderTypeReport</t>
        </is>
      </c>
      <c r="B1783" s="126" t="inlineStr">
        <is>
          <t>Chọn loại báo cáo</t>
        </is>
      </c>
      <c r="C1783" s="126" t="n"/>
      <c r="D1783" s="126" t="inlineStr">
        <is>
          <t>ជ្រើសរើសប្រភេទរបាយការណ៍</t>
        </is>
      </c>
      <c r="E1783" s="126" t="n"/>
      <c r="F1783" s="127" t="n"/>
      <c r="G1783" s="127" t="inlineStr">
        <is>
          <t>ជ្រើសរើសប្រភេទរបាយការណ៍</t>
        </is>
      </c>
      <c r="H1783" s="127" t="inlineStr">
        <is>
          <t>ជ្រើសរើសប្រភេទរបាយការណ៍</t>
        </is>
      </c>
      <c r="I1783" s="127" t="n"/>
      <c r="J1783" s="127" t="n"/>
      <c r="K1783" s="127" t="inlineStr">
        <is>
          <t>"reportCod:placeholderTypeReport": "ជ្រើសរើសប្រភេទរបាយការណ៍",</t>
        </is>
      </c>
      <c r="L1783" s="127" t="n"/>
      <c r="M1783" s="127" t="n"/>
      <c r="N1783" s="127" t="n"/>
      <c r="O1783" s="127" t="n"/>
      <c r="P1783" s="127" t="n"/>
      <c r="Q1783" s="127" t="n"/>
      <c r="R1783" s="127" t="n"/>
      <c r="S1783" s="127" t="n"/>
      <c r="T1783" s="127" t="n"/>
      <c r="U1783" s="127" t="n"/>
      <c r="V1783" s="127" t="n"/>
      <c r="W1783" s="127" t="n"/>
      <c r="X1783" s="127" t="n"/>
      <c r="Y1783" s="127" t="n"/>
      <c r="Z1783" s="127" t="n"/>
    </row>
    <row r="1784">
      <c r="A1784" s="217" t="inlineStr">
        <is>
          <t>reportCod: totalFeeCollected</t>
        </is>
      </c>
      <c r="B1784" s="126" t="inlineStr">
        <is>
          <t>Tổng cước đã thu</t>
        </is>
      </c>
      <c r="C1784" s="126" t="n"/>
      <c r="D1784" s="126" t="inlineStr">
        <is>
          <t>សរុបថ្លៃសេវាដែលបានប្រមូល</t>
        </is>
      </c>
      <c r="E1784" s="126" t="n"/>
      <c r="F1784" s="127" t="n"/>
      <c r="G1784" s="127" t="inlineStr">
        <is>
          <t>សរុបថ្លៃសេវាដែលបានប្រមូល</t>
        </is>
      </c>
      <c r="H1784" s="127" t="inlineStr">
        <is>
          <t>សរុបថ្លៃសេវាដែលបានប្រមូល</t>
        </is>
      </c>
      <c r="I1784" s="127" t="n"/>
      <c r="J1784" s="127" t="n"/>
      <c r="K1784" s="127" t="inlineStr">
        <is>
          <t>"reportCod: totalFeeCollected": "សរុបថ្លៃសេវាដែលបានប្រមូល",</t>
        </is>
      </c>
      <c r="L1784" s="127" t="n"/>
      <c r="M1784" s="127" t="n"/>
      <c r="N1784" s="127" t="n"/>
      <c r="O1784" s="127" t="n"/>
      <c r="P1784" s="127" t="n"/>
      <c r="Q1784" s="127" t="n"/>
      <c r="R1784" s="127" t="n"/>
      <c r="S1784" s="127" t="n"/>
      <c r="T1784" s="127" t="n"/>
      <c r="U1784" s="127" t="n"/>
      <c r="V1784" s="127" t="n"/>
      <c r="W1784" s="127" t="n"/>
      <c r="X1784" s="127" t="n"/>
      <c r="Y1784" s="127" t="n"/>
      <c r="Z1784" s="127" t="n"/>
    </row>
    <row r="1785">
      <c r="A1785" s="217" t="inlineStr">
        <is>
          <t>reportCod:collectedCodPostman</t>
        </is>
      </c>
      <c r="B1785" s="126" t="inlineStr">
        <is>
          <t>Đã thu cước bưu tá</t>
        </is>
      </c>
      <c r="C1785" s="126" t="n"/>
      <c r="D1785" s="126" t="inlineStr">
        <is>
          <t>បានប្រមូលថ្លៃសេវាពីអ្នកដឹកជញ្ជូន</t>
        </is>
      </c>
      <c r="E1785" s="126" t="n"/>
      <c r="F1785" s="127" t="n"/>
      <c r="G1785" s="127" t="inlineStr">
        <is>
          <t>បានប្រមូលថ្លៃសេវាពីអ្នកដឹកជញ្ជូន</t>
        </is>
      </c>
      <c r="H1785" s="127" t="inlineStr">
        <is>
          <t>បានប្រមូលថ្លៃសេវាពីអ្នកដឹកជញ្ជូន</t>
        </is>
      </c>
      <c r="I1785" s="127" t="n"/>
      <c r="J1785" s="127" t="n"/>
      <c r="K1785" s="127" t="inlineStr">
        <is>
          <t>"reportCod:collectedCodPostman": "បានប្រមូលថ្លៃសេវាពីអ្នកដឹកជញ្ជូន",</t>
        </is>
      </c>
      <c r="L1785" s="127" t="n"/>
      <c r="M1785" s="127" t="n"/>
      <c r="N1785" s="127" t="n"/>
      <c r="O1785" s="127" t="n"/>
      <c r="P1785" s="127" t="n"/>
      <c r="Q1785" s="127" t="n"/>
      <c r="R1785" s="127" t="n"/>
      <c r="S1785" s="127" t="n"/>
      <c r="T1785" s="127" t="n"/>
      <c r="U1785" s="127" t="n"/>
      <c r="V1785" s="127" t="n"/>
      <c r="W1785" s="127" t="n"/>
      <c r="X1785" s="127" t="n"/>
      <c r="Y1785" s="127" t="n"/>
      <c r="Z1785" s="127" t="n"/>
    </row>
    <row r="1786">
      <c r="A1786" s="217" t="inlineStr">
        <is>
          <t>reportCod:feeTotal</t>
        </is>
      </c>
      <c r="B1786" s="126" t="inlineStr">
        <is>
          <t>Tổng cước đã thu ({{ unit }})</t>
        </is>
      </c>
      <c r="C1786" s="126" t="n"/>
      <c r="D1786" s="126" t="inlineStr">
        <is>
          <t>សរុបថ្លៃសេវាបានប្រមូល ({{ unit }})</t>
        </is>
      </c>
      <c r="E1786" s="126" t="n"/>
      <c r="F1786" s="127" t="n"/>
      <c r="G1786" s="127" t="inlineStr">
        <is>
          <t>សរុបថ្លៃសេវាបានប្រមូល ({{ unit }})</t>
        </is>
      </c>
      <c r="H1786" s="127" t="inlineStr">
        <is>
          <t>សរុបថ្លៃសេវាបានប្រមូល ({{ unit }})</t>
        </is>
      </c>
      <c r="I1786" s="127" t="n"/>
      <c r="J1786" s="127" t="n"/>
      <c r="K1786" s="127" t="inlineStr">
        <is>
          <t>"reportCod:feeTotal": "សរុបថ្លៃសេវាបានប្រមូល ({{ unit }})",</t>
        </is>
      </c>
      <c r="L1786" s="127" t="n"/>
      <c r="M1786" s="127" t="n"/>
      <c r="N1786" s="127" t="n"/>
      <c r="O1786" s="127" t="n"/>
      <c r="P1786" s="127" t="n"/>
      <c r="Q1786" s="127" t="n"/>
      <c r="R1786" s="127" t="n"/>
      <c r="S1786" s="127" t="n"/>
      <c r="T1786" s="127" t="n"/>
      <c r="U1786" s="127" t="n"/>
      <c r="V1786" s="127" t="n"/>
      <c r="W1786" s="127" t="n"/>
      <c r="X1786" s="127" t="n"/>
      <c r="Y1786" s="127" t="n"/>
      <c r="Z1786" s="127" t="n"/>
    </row>
    <row r="1787">
      <c r="A1787" s="217" t="inlineStr">
        <is>
          <t>reportCod:detailModalPostCus</t>
        </is>
      </c>
      <c r="B1787" s="126" t="inlineStr">
        <is>
          <t>Chi tiết đơn đã thu cước khách hàng: {{ unit }}</t>
        </is>
      </c>
      <c r="C1787" s="126" t="n"/>
      <c r="D1787" s="90" t="inlineStr">
        <is>
          <t>លម្អិតបុងបញ្ញើដែលបានប្រមូលពីអតិថិជន: {{ unit }}</t>
        </is>
      </c>
      <c r="E1787" s="126" t="n"/>
      <c r="F1787" s="127" t="n"/>
      <c r="G1787" s="127" t="inlineStr">
        <is>
          <t>លម្អិតបុងបញ្ញើដែលបានប្រមូលពីអតិថិជន: {{ unit }}</t>
        </is>
      </c>
      <c r="H1787" s="127" t="inlineStr">
        <is>
          <t>លម្អិតបុងបញ្ញើដែលបានប្រមូលពីអតិថិជន: {{ unit }}</t>
        </is>
      </c>
      <c r="I1787" s="127" t="n"/>
      <c r="J1787" s="127" t="n"/>
      <c r="K1787" s="127" t="inlineStr">
        <is>
          <t>"reportCod:detailModalPostCus": "លម្អិតបុងបញ្ញើដែលបានប្រមូលពីអតិថិជន: {{ unit }}",</t>
        </is>
      </c>
      <c r="L1787" s="127" t="n"/>
      <c r="M1787" s="127" t="n"/>
      <c r="N1787" s="127" t="n"/>
      <c r="O1787" s="127" t="n"/>
      <c r="P1787" s="127" t="n"/>
      <c r="Q1787" s="127" t="n"/>
      <c r="R1787" s="127" t="n"/>
      <c r="S1787" s="127" t="n"/>
      <c r="T1787" s="127" t="n"/>
      <c r="U1787" s="127" t="n"/>
      <c r="V1787" s="127" t="n"/>
      <c r="W1787" s="127" t="n"/>
      <c r="X1787" s="127" t="n"/>
      <c r="Y1787" s="127" t="n"/>
      <c r="Z1787" s="127" t="n"/>
    </row>
    <row r="1788">
      <c r="A1788" s="217" t="inlineStr">
        <is>
          <t>reportCod:detailModalPostPostman</t>
        </is>
      </c>
      <c r="B1788" s="135" t="inlineStr">
        <is>
          <t>Chi tiết đơn đã thu cước bưu tá: {{ unit }}</t>
        </is>
      </c>
      <c r="C1788" s="126" t="n"/>
      <c r="D1788" s="90" t="inlineStr">
        <is>
          <t>លម្អិតបុងបញ្ញើ ដែលបានប្រមូលពីអ្នកដឹកជញ្ជូន: {{ unit }}</t>
        </is>
      </c>
      <c r="E1788" s="126" t="n"/>
      <c r="F1788" s="127" t="n"/>
      <c r="G1788" s="127" t="inlineStr">
        <is>
          <t>លម្អិតបុងបញ្ញើ ដែលបានប្រមូលពីអ្នកដឹកជញ្ជូន: {{ unit }}</t>
        </is>
      </c>
      <c r="H1788" s="127" t="inlineStr">
        <is>
          <t>លម្អិតបុងបញ្ញើ ដែលបានប្រមូលពីអ្នកដឹកជញ្ជូន: {{ unit }}</t>
        </is>
      </c>
      <c r="I1788" s="127" t="n"/>
      <c r="J1788" s="127" t="n"/>
      <c r="K1788" s="127" t="inlineStr">
        <is>
          <t>"reportCod:detailModalPostPostman": "លម្អិតបុងបញ្ញើ ដែលបានប្រមូលពីអ្នកដឹកជញ្ជូន: {{ unit }}",</t>
        </is>
      </c>
      <c r="L1788" s="127" t="n"/>
      <c r="M1788" s="127" t="n"/>
      <c r="N1788" s="127" t="n"/>
      <c r="O1788" s="127" t="n"/>
      <c r="P1788" s="127" t="n"/>
      <c r="Q1788" s="127" t="n"/>
      <c r="R1788" s="127" t="n"/>
      <c r="S1788" s="127" t="n"/>
      <c r="T1788" s="127" t="n"/>
      <c r="U1788" s="127" t="n"/>
      <c r="V1788" s="127" t="n"/>
      <c r="W1788" s="127" t="n"/>
      <c r="X1788" s="127" t="n"/>
      <c r="Y1788" s="127" t="n"/>
      <c r="Z1788" s="127" t="n"/>
    </row>
    <row r="1789">
      <c r="A1789" s="217" t="inlineStr">
        <is>
          <t>reportCod:detailModalPostPostmanCod</t>
        </is>
      </c>
      <c r="B1789" s="126" t="inlineStr">
        <is>
          <t>Chi tiết đơn đã thu COD bưu tá: {{ unit }}</t>
        </is>
      </c>
      <c r="C1789" s="126" t="n"/>
      <c r="D1789" s="90" t="inlineStr">
        <is>
          <t>លម្អិតបុងបញ្ញើដែលបានប្រមូល COD ពីអ្នកដឹកជញ្ជូន: {{ unit }}</t>
        </is>
      </c>
      <c r="E1789" s="126" t="n"/>
      <c r="F1789" s="127" t="n"/>
      <c r="G1789" s="127" t="inlineStr">
        <is>
          <t>លម្អិតបុងបញ្ញើដែលបានប្រមូល COD ពីអ្នកដឹកជញ្ជូន: {{ unit }}</t>
        </is>
      </c>
      <c r="H1789" s="127" t="inlineStr">
        <is>
          <t>លម្អិតបុងបញ្ញើដែលបានប្រមូល COD ពីអ្នកដឹកជញ្ជូន: {{ unit }}</t>
        </is>
      </c>
      <c r="I1789" s="127" t="n"/>
      <c r="J1789" s="127" t="n"/>
      <c r="K1789" s="127" t="inlineStr">
        <is>
          <t>"reportCod:detailModalPostPostmanCod": "លម្អិតបុងបញ្ញើដែលបានប្រមូល COD ពីអ្នកដឹកជញ្ជូន: {{ unit }}",</t>
        </is>
      </c>
      <c r="L1789" s="127" t="n"/>
      <c r="M1789" s="127" t="n"/>
      <c r="N1789" s="127" t="n"/>
      <c r="O1789" s="127" t="n"/>
      <c r="P1789" s="127" t="n"/>
      <c r="Q1789" s="127" t="n"/>
      <c r="R1789" s="127" t="n"/>
      <c r="S1789" s="127" t="n"/>
      <c r="T1789" s="127" t="n"/>
      <c r="U1789" s="127" t="n"/>
      <c r="V1789" s="127" t="n"/>
      <c r="W1789" s="127" t="n"/>
      <c r="X1789" s="127" t="n"/>
      <c r="Y1789" s="127" t="n"/>
      <c r="Z1789" s="127" t="n"/>
    </row>
    <row r="1790">
      <c r="A1790" s="217" t="inlineStr">
        <is>
          <t>reportCod:collectedCod</t>
        </is>
      </c>
      <c r="B1790" s="126" t="inlineStr">
        <is>
          <t>Đã thu COD</t>
        </is>
      </c>
      <c r="C1790" s="126" t="n"/>
      <c r="D1790" s="126" t="inlineStr">
        <is>
          <t>បានប្រមូល COD</t>
        </is>
      </c>
      <c r="E1790" s="126" t="n"/>
      <c r="F1790" s="127" t="n"/>
      <c r="G1790" s="127" t="inlineStr">
        <is>
          <t>បានប្រមូល COD</t>
        </is>
      </c>
      <c r="H1790" s="127" t="inlineStr">
        <is>
          <t>បានប្រមូល COD</t>
        </is>
      </c>
      <c r="I1790" s="127" t="n"/>
      <c r="J1790" s="127" t="n"/>
      <c r="K1790" s="127" t="inlineStr">
        <is>
          <t>"reportCod:collectedCod": "បានប្រមូល COD",</t>
        </is>
      </c>
      <c r="L1790" s="127" t="n"/>
      <c r="M1790" s="127" t="n"/>
      <c r="N1790" s="127" t="n"/>
      <c r="O1790" s="127" t="n"/>
      <c r="P1790" s="127" t="n"/>
      <c r="Q1790" s="127" t="n"/>
      <c r="R1790" s="127" t="n"/>
      <c r="S1790" s="127" t="n"/>
      <c r="T1790" s="127" t="n"/>
      <c r="U1790" s="127" t="n"/>
      <c r="V1790" s="127" t="n"/>
      <c r="W1790" s="127" t="n"/>
      <c r="X1790" s="127" t="n"/>
      <c r="Y1790" s="127" t="n"/>
      <c r="Z1790" s="127" t="n"/>
    </row>
    <row r="1791">
      <c r="A1791" s="217" t="inlineStr">
        <is>
          <t>reportCod:amountCodCollected</t>
        </is>
      </c>
      <c r="B1791" s="126" t="inlineStr">
        <is>
          <t>COD đã thu( {{unit}})</t>
        </is>
      </c>
      <c r="C1791" s="126" t="n"/>
      <c r="D1791" s="126" t="inlineStr">
        <is>
          <t>COD បានប្រមូល( {{unit}})</t>
        </is>
      </c>
      <c r="E1791" s="126" t="n"/>
      <c r="F1791" s="127" t="n"/>
      <c r="G1791" s="127" t="inlineStr">
        <is>
          <t>COD បានប្រមូល( {{unit}})</t>
        </is>
      </c>
      <c r="H1791" s="127" t="inlineStr">
        <is>
          <t>COD បានប្រមូល( {{unit}})</t>
        </is>
      </c>
      <c r="I1791" s="127" t="n"/>
      <c r="J1791" s="127" t="n"/>
      <c r="K1791" s="127" t="inlineStr">
        <is>
          <t>"reportCod:amountCodCollected": "COD បានប្រមូល( {{unit}})",</t>
        </is>
      </c>
      <c r="L1791" s="127" t="n"/>
      <c r="M1791" s="127" t="n"/>
      <c r="N1791" s="127" t="n"/>
      <c r="O1791" s="127" t="n"/>
      <c r="P1791" s="127" t="n"/>
      <c r="Q1791" s="127" t="n"/>
      <c r="R1791" s="127" t="n"/>
      <c r="S1791" s="127" t="n"/>
      <c r="T1791" s="127" t="n"/>
      <c r="U1791" s="127" t="n"/>
      <c r="V1791" s="127" t="n"/>
      <c r="W1791" s="127" t="n"/>
      <c r="X1791" s="127" t="n"/>
      <c r="Y1791" s="127" t="n"/>
      <c r="Z1791" s="127" t="n"/>
    </row>
    <row r="1792">
      <c r="A1792" s="217" t="inlineStr">
        <is>
          <t>paymentReconcile:totalTransReturnPartner</t>
        </is>
      </c>
      <c r="B1792" s="126" t="inlineStr">
        <is>
          <t>Tổng giao dịch hoàn trả thành công tại Đối tác</t>
        </is>
      </c>
      <c r="C1792" s="126" t="n"/>
      <c r="D1792" s="90" t="inlineStr">
        <is>
          <t>សរុបប្រតិបត្តិការបង្វិលសងជោគជ័យនៅដៃគូ</t>
        </is>
      </c>
      <c r="E1792" s="126" t="n"/>
      <c r="F1792" s="127" t="n"/>
      <c r="G1792" s="127" t="inlineStr">
        <is>
          <t>សរុបប្រតិបត្តិការបង្វិលសងជោគជ័យនៅដៃគូ</t>
        </is>
      </c>
      <c r="H1792" s="127" t="inlineStr">
        <is>
          <t>សរុបប្រតិបត្តិការបង្វិលសងជោគជ័យនៅដៃគូ</t>
        </is>
      </c>
      <c r="I1792" s="127" t="n"/>
      <c r="J1792" s="127" t="n"/>
      <c r="K1792" s="127" t="inlineStr">
        <is>
          <t>"paymentReconcile:totalTransReturnPartner": "សរុបប្រតិបត្តិការបង្វិលសងជោគជ័យនៅដៃគូ",</t>
        </is>
      </c>
      <c r="L1792" s="127" t="n"/>
      <c r="M1792" s="127" t="n"/>
      <c r="N1792" s="127" t="n"/>
      <c r="O1792" s="127" t="n"/>
      <c r="P1792" s="127" t="n"/>
      <c r="Q1792" s="127" t="n"/>
      <c r="R1792" s="127" t="n"/>
      <c r="S1792" s="127" t="n"/>
      <c r="T1792" s="127" t="n"/>
      <c r="U1792" s="127" t="n"/>
      <c r="V1792" s="127" t="n"/>
      <c r="W1792" s="127" t="n"/>
      <c r="X1792" s="127" t="n"/>
      <c r="Y1792" s="127" t="n"/>
      <c r="Z1792" s="127" t="n"/>
    </row>
    <row r="1793">
      <c r="A1793" s="217" t="inlineStr">
        <is>
          <t>reportCod:collectedCodCus</t>
        </is>
      </c>
      <c r="B1793" s="126" t="inlineStr">
        <is>
          <t>Đã thu cước khách hàng</t>
        </is>
      </c>
      <c r="C1793" s="126" t="n"/>
      <c r="D1793" s="126" t="inlineStr">
        <is>
          <t>បានប្រមូូលថ្លៃសេវាពីអតិថិជន</t>
        </is>
      </c>
      <c r="E1793" s="126" t="n"/>
      <c r="F1793" s="127" t="n"/>
      <c r="G1793" s="127" t="inlineStr">
        <is>
          <t>បានប្រមូូលថ្លៃសេវាពីអតិថិជន</t>
        </is>
      </c>
      <c r="H1793" s="127" t="inlineStr">
        <is>
          <t>បានប្រមូូលថ្លៃសេវាពីអតិថិជន</t>
        </is>
      </c>
      <c r="I1793" s="127" t="n"/>
      <c r="J1793" s="127" t="n"/>
      <c r="K1793" s="127" t="inlineStr">
        <is>
          <t>"reportCod:collectedCodCus": "បានប្រមូូលថ្លៃសេវាពីអតិថិជន",</t>
        </is>
      </c>
      <c r="L1793" s="127" t="n"/>
      <c r="M1793" s="127" t="n"/>
      <c r="N1793" s="127" t="n"/>
      <c r="O1793" s="127" t="n"/>
      <c r="P1793" s="127" t="n"/>
      <c r="Q1793" s="127" t="n"/>
      <c r="R1793" s="127" t="n"/>
      <c r="S1793" s="127" t="n"/>
      <c r="T1793" s="127" t="n"/>
      <c r="U1793" s="127" t="n"/>
      <c r="V1793" s="127" t="n"/>
      <c r="W1793" s="127" t="n"/>
      <c r="X1793" s="127" t="n"/>
      <c r="Y1793" s="127" t="n"/>
      <c r="Z1793" s="127" t="n"/>
    </row>
    <row r="1794">
      <c r="A1794" s="217" t="inlineStr">
        <is>
          <t>slider:</t>
        </is>
      </c>
      <c r="B1794" s="132" t="inlineStr">
        <is>
          <t>Đối soát công nợ thu QR Code</t>
        </is>
      </c>
      <c r="C1794" s="126" t="n"/>
      <c r="D1794" s="126" t="inlineStr">
        <is>
          <t>ត្រួតពិនិត្យបំណុលប្រមូលតាម QR កូដ</t>
        </is>
      </c>
      <c r="E1794" s="126" t="n"/>
      <c r="F1794" s="127" t="n"/>
      <c r="G1794" s="127" t="inlineStr">
        <is>
          <t>ត្រួតពិនិត្យបំណុលប្រមូលតាម QR កូដ</t>
        </is>
      </c>
      <c r="H1794" s="127" t="inlineStr">
        <is>
          <t>ត្រួតពិនិត្យបំណុលប្រមូលតាម QR កូដ</t>
        </is>
      </c>
      <c r="I1794" s="127" t="n"/>
      <c r="J1794" s="127" t="n"/>
      <c r="K1794" s="127" t="inlineStr">
        <is>
          <t>"slider:": "ត្រួតពិនិត្យបំណុលប្រមូលតាម QR កូដ",</t>
        </is>
      </c>
      <c r="L1794" s="127" t="n"/>
      <c r="M1794" s="127" t="n"/>
      <c r="N1794" s="127" t="n"/>
      <c r="O1794" s="127" t="n"/>
      <c r="P1794" s="127" t="n"/>
      <c r="Q1794" s="127" t="n"/>
      <c r="R1794" s="127" t="n"/>
      <c r="S1794" s="127" t="n"/>
      <c r="T1794" s="127" t="n"/>
      <c r="U1794" s="127" t="n"/>
      <c r="V1794" s="127" t="n"/>
      <c r="W1794" s="127" t="n"/>
      <c r="X1794" s="127" t="n"/>
      <c r="Y1794" s="127" t="n"/>
      <c r="Z1794" s="127" t="n"/>
    </row>
    <row r="1795">
      <c r="A1795" s="217" t="n"/>
      <c r="B1795" s="126" t="inlineStr">
        <is>
          <t xml:space="preserve">Hạch toán Emoney
</t>
        </is>
      </c>
      <c r="C1795" s="126" t="n"/>
      <c r="D1795" s="126" t="inlineStr">
        <is>
          <t>កត់ត្រាបញ្ជី eMoney</t>
        </is>
      </c>
      <c r="E1795" s="126" t="n"/>
      <c r="F1795" s="127" t="n"/>
      <c r="G1795" s="127" t="inlineStr">
        <is>
          <t>កត់ត្រាបញ្ជី eMoney</t>
        </is>
      </c>
      <c r="H1795" s="127" t="inlineStr">
        <is>
          <t>កត់ត្រាបញ្ជី eMoney</t>
        </is>
      </c>
      <c r="I1795" s="127" t="n"/>
      <c r="J1795" s="127" t="n"/>
      <c r="K1795" s="127" t="inlineStr"/>
      <c r="L1795" s="127" t="n"/>
      <c r="M1795" s="127" t="n"/>
      <c r="N1795" s="127" t="n"/>
      <c r="O1795" s="127" t="n"/>
      <c r="P1795" s="127" t="n"/>
      <c r="Q1795" s="127" t="n"/>
      <c r="R1795" s="127" t="n"/>
      <c r="S1795" s="127" t="n"/>
      <c r="T1795" s="127" t="n"/>
      <c r="U1795" s="127" t="n"/>
      <c r="V1795" s="127" t="n"/>
      <c r="W1795" s="127" t="n"/>
      <c r="X1795" s="127" t="n"/>
      <c r="Y1795" s="127" t="n"/>
      <c r="Z1795" s="127" t="n"/>
    </row>
    <row r="1796">
      <c r="A1796" s="217" t="n"/>
      <c r="B1796" s="126" t="inlineStr">
        <is>
          <t>Hủy phiếu chi</t>
        </is>
      </c>
      <c r="C1796" s="126" t="n"/>
      <c r="D1796" s="126" t="inlineStr">
        <is>
          <t>លុបចោលបង្កាន់ដៃទូទាត់</t>
        </is>
      </c>
      <c r="E1796" s="126" t="n"/>
      <c r="F1796" s="127" t="n"/>
      <c r="G1796" s="127" t="inlineStr">
        <is>
          <t>លុបបុងចំណាយ</t>
        </is>
      </c>
      <c r="H1796" s="127" t="inlineStr">
        <is>
          <t>លុបបុងចំណាយ</t>
        </is>
      </c>
      <c r="I1796" s="127" t="n"/>
      <c r="J1796" s="127" t="n"/>
      <c r="K1796" s="127" t="inlineStr"/>
      <c r="L1796" s="127" t="n"/>
      <c r="M1796" s="127" t="n"/>
      <c r="N1796" s="127" t="n"/>
      <c r="O1796" s="127" t="n"/>
      <c r="P1796" s="127" t="n"/>
      <c r="Q1796" s="127" t="n"/>
      <c r="R1796" s="127" t="n"/>
      <c r="S1796" s="127" t="n"/>
      <c r="T1796" s="127" t="n"/>
      <c r="U1796" s="127" t="n"/>
      <c r="V1796" s="127" t="n"/>
      <c r="W1796" s="127" t="n"/>
      <c r="X1796" s="127" t="n"/>
      <c r="Y1796" s="127" t="n"/>
      <c r="Z1796" s="127" t="n"/>
    </row>
    <row r="1797">
      <c r="A1797" s="217" t="n"/>
      <c r="B1797" s="126" t="inlineStr">
        <is>
          <t>Thất bại chờ chi lại</t>
        </is>
      </c>
      <c r="C1797" s="126" t="n"/>
      <c r="D1797" s="126" t="inlineStr">
        <is>
          <t>បរាជ័យ រង់ចាំការទូទាត់ឡើងវិញ</t>
        </is>
      </c>
      <c r="E1797" s="126" t="n"/>
      <c r="F1797" s="127" t="n"/>
      <c r="G1797" s="127" t="inlineStr">
        <is>
          <t>បរាជ័យ រង់ចាំការទូទាត់ឡើងវិញ</t>
        </is>
      </c>
      <c r="H1797" s="127" t="inlineStr">
        <is>
          <t>បរាជ័យ រង់ចាំការទូទាត់ឡើងវិញ</t>
        </is>
      </c>
      <c r="I1797" s="127" t="n"/>
      <c r="J1797" s="127" t="n"/>
      <c r="K1797" s="127" t="inlineStr"/>
      <c r="L1797" s="127" t="n"/>
      <c r="M1797" s="127" t="n"/>
      <c r="N1797" s="127" t="n"/>
      <c r="O1797" s="127" t="n"/>
      <c r="P1797" s="127" t="n"/>
      <c r="Q1797" s="127" t="n"/>
      <c r="R1797" s="127" t="n"/>
      <c r="S1797" s="127" t="n"/>
      <c r="T1797" s="127" t="n"/>
      <c r="U1797" s="127" t="n"/>
      <c r="V1797" s="127" t="n"/>
      <c r="W1797" s="127" t="n"/>
      <c r="X1797" s="127" t="n"/>
      <c r="Y1797" s="127" t="n"/>
      <c r="Z1797" s="127" t="n"/>
    </row>
    <row r="1798">
      <c r="A1798" s="217" t="n"/>
      <c r="B1798" s="126" t="inlineStr">
        <is>
          <t>Đang chi</t>
        </is>
      </c>
      <c r="C1798" s="126" t="n"/>
      <c r="D1798" s="126" t="inlineStr">
        <is>
          <t>កំពុងទូទាត់</t>
        </is>
      </c>
      <c r="E1798" s="126" t="n"/>
      <c r="F1798" s="127" t="n"/>
      <c r="G1798" s="127" t="inlineStr">
        <is>
          <t>កំពុងដំណើរការទូទាត់</t>
        </is>
      </c>
      <c r="H1798" s="127" t="inlineStr">
        <is>
          <t>កំពុងដំណើរការទូទាត់</t>
        </is>
      </c>
      <c r="I1798" s="127" t="n"/>
      <c r="J1798" s="127" t="n"/>
      <c r="K1798" s="127" t="inlineStr"/>
      <c r="L1798" s="127" t="n"/>
      <c r="M1798" s="127" t="n"/>
      <c r="N1798" s="127" t="n"/>
      <c r="O1798" s="127" t="n"/>
      <c r="P1798" s="127" t="n"/>
      <c r="Q1798" s="127" t="n"/>
      <c r="R1798" s="127" t="n"/>
      <c r="S1798" s="127" t="n"/>
      <c r="T1798" s="127" t="n"/>
      <c r="U1798" s="127" t="n"/>
      <c r="V1798" s="127" t="n"/>
      <c r="W1798" s="127" t="n"/>
      <c r="X1798" s="127" t="n"/>
      <c r="Y1798" s="127" t="n"/>
      <c r="Z1798" s="127" t="n"/>
    </row>
    <row r="1799">
      <c r="A1799" s="217" t="n"/>
      <c r="B1799" s="126" t="inlineStr">
        <is>
          <t>Chuẩn bị chi</t>
        </is>
      </c>
      <c r="C1799" s="126" t="n"/>
      <c r="D1799" s="126" t="inlineStr">
        <is>
          <t>ត្រៀមទូទាត់</t>
        </is>
      </c>
      <c r="E1799" s="126" t="n"/>
      <c r="F1799" s="127" t="n"/>
      <c r="G1799" s="127" t="inlineStr">
        <is>
          <t>ត្រៀមទូទាត់</t>
        </is>
      </c>
      <c r="H1799" s="127" t="inlineStr">
        <is>
          <t>ត្រៀមទូទាត់</t>
        </is>
      </c>
      <c r="I1799" s="127" t="n"/>
      <c r="J1799" s="127" t="n"/>
      <c r="K1799" s="127" t="inlineStr"/>
      <c r="L1799" s="127" t="n"/>
      <c r="M1799" s="127" t="n"/>
      <c r="N1799" s="127" t="n"/>
      <c r="O1799" s="127" t="n"/>
      <c r="P1799" s="127" t="n"/>
      <c r="Q1799" s="127" t="n"/>
      <c r="R1799" s="127" t="n"/>
      <c r="S1799" s="127" t="n"/>
      <c r="T1799" s="127" t="n"/>
      <c r="U1799" s="127" t="n"/>
      <c r="V1799" s="127" t="n"/>
      <c r="W1799" s="127" t="n"/>
      <c r="X1799" s="127" t="n"/>
      <c r="Y1799" s="127" t="n"/>
      <c r="Z1799" s="127" t="n"/>
    </row>
    <row r="1800">
      <c r="A1800" s="217" t="n"/>
      <c r="B1800" s="126" t="inlineStr">
        <is>
          <t>Ngân hàng thụ hưởng</t>
        </is>
      </c>
      <c r="C1800" s="126" t="n"/>
      <c r="D1800" s="126" t="inlineStr">
        <is>
          <t>ធនាគារអ្នកទទួល</t>
        </is>
      </c>
      <c r="E1800" s="126" t="n"/>
      <c r="F1800" s="127" t="n"/>
      <c r="G1800" s="127" t="inlineStr">
        <is>
          <t>ធនាគារអ្នកទទួល</t>
        </is>
      </c>
      <c r="H1800" s="127" t="inlineStr">
        <is>
          <t>ធនាគារអ្នកទទួល</t>
        </is>
      </c>
      <c r="I1800" s="127" t="n"/>
      <c r="J1800" s="127" t="n"/>
      <c r="K1800" s="127" t="inlineStr"/>
      <c r="L1800" s="127" t="n"/>
      <c r="M1800" s="127" t="n"/>
      <c r="N1800" s="127" t="n"/>
      <c r="O1800" s="127" t="n"/>
      <c r="P1800" s="127" t="n"/>
      <c r="Q1800" s="127" t="n"/>
      <c r="R1800" s="127" t="n"/>
      <c r="S1800" s="127" t="n"/>
      <c r="T1800" s="127" t="n"/>
      <c r="U1800" s="127" t="n"/>
      <c r="V1800" s="127" t="n"/>
      <c r="W1800" s="127" t="n"/>
      <c r="X1800" s="127" t="n"/>
      <c r="Y1800" s="127" t="n"/>
      <c r="Z1800" s="127" t="n"/>
    </row>
    <row r="1801">
      <c r="A1801" s="217" t="n"/>
      <c r="B1801" s="126" t="inlineStr">
        <is>
          <t>Hướng dẫn khách hàng tạo đơn trên app Metfone Express!</t>
        </is>
      </c>
      <c r="C1801" s="126" t="n"/>
      <c r="D1801" s="126" t="inlineStr">
        <is>
          <t>ណែនាំអតិថិជនឱ្យបង្កើតបុងបញ្ញើនៅលើកម្មវិធី Metfone Express!</t>
        </is>
      </c>
      <c r="E1801" s="126" t="n"/>
      <c r="F1801" s="127" t="n"/>
      <c r="G1801" s="127" t="inlineStr">
        <is>
          <t>ណែនាំអតិថិជនឱ្យបង្កើតបុងបញ្ញើនៅលើកម្មវិធី Metfone Express!</t>
        </is>
      </c>
      <c r="H1801" s="127" t="inlineStr">
        <is>
          <t>ណែនាំអតិថិជនឱ្យបង្កើតបុងបញ្ញើនៅលើកម្មវិធី Metfone Express!</t>
        </is>
      </c>
      <c r="I1801" s="127" t="n"/>
      <c r="J1801" s="127" t="n"/>
      <c r="K1801" s="127" t="inlineStr"/>
      <c r="L1801" s="127" t="n"/>
      <c r="M1801" s="127" t="n"/>
      <c r="N1801" s="127" t="n"/>
      <c r="O1801" s="127" t="n"/>
      <c r="P1801" s="127" t="n"/>
      <c r="Q1801" s="127" t="n"/>
      <c r="R1801" s="127" t="n"/>
      <c r="S1801" s="127" t="n"/>
      <c r="T1801" s="127" t="n"/>
      <c r="U1801" s="127" t="n"/>
      <c r="V1801" s="127" t="n"/>
      <c r="W1801" s="127" t="n"/>
      <c r="X1801" s="127" t="n"/>
      <c r="Y1801" s="127" t="n"/>
      <c r="Z1801" s="127" t="n"/>
    </row>
    <row r="1802">
      <c r="A1802" s="217" t="n"/>
      <c r="B1802" s="126" t="inlineStr">
        <is>
          <t>Vui lòng thực hiện tiếp nhận đơn trên app mExpress</t>
        </is>
      </c>
      <c r="C1802" s="126" t="n"/>
      <c r="D1802" s="126" t="inlineStr">
        <is>
          <t>សូមធ្វើការទទួលបុងបញ្ញើនៅលើកម្មវិធី mExpress</t>
        </is>
      </c>
      <c r="E1802" s="126" t="n"/>
      <c r="F1802" s="127" t="n"/>
      <c r="G1802" s="127" t="inlineStr">
        <is>
          <t>សូមធ្វើការទទួលបុងបញ្ញើនៅលើកម្មវិធី mExpress</t>
        </is>
      </c>
      <c r="H1802" s="127" t="inlineStr">
        <is>
          <t>សូមធ្វើការទទួលបុងបញ្ញើនៅលើកម្មវិធី mExpress</t>
        </is>
      </c>
      <c r="I1802" s="127" t="n"/>
      <c r="J1802" s="127" t="n"/>
      <c r="K1802" s="127" t="inlineStr"/>
      <c r="L1802" s="127" t="n"/>
      <c r="M1802" s="127" t="n"/>
      <c r="N1802" s="127" t="n"/>
      <c r="O1802" s="127" t="n"/>
      <c r="P1802" s="127" t="n"/>
      <c r="Q1802" s="127" t="n"/>
      <c r="R1802" s="127" t="n"/>
      <c r="S1802" s="127" t="n"/>
      <c r="T1802" s="127" t="n"/>
      <c r="U1802" s="127" t="n"/>
      <c r="V1802" s="127" t="n"/>
      <c r="W1802" s="127" t="n"/>
      <c r="X1802" s="127" t="n"/>
      <c r="Y1802" s="127" t="n"/>
      <c r="Z1802" s="127" t="n"/>
    </row>
    <row r="1803">
      <c r="A1803" s="217" t="n"/>
      <c r="B1803" s="126" t="inlineStr">
        <is>
          <t>Thanh toán không hợp lệ, vui lòng kiểm tra lại trạng thái thanh toán của đơn</t>
        </is>
      </c>
      <c r="C1803" s="126" t="n"/>
      <c r="D1803" s="126" t="inlineStr">
        <is>
          <t>ការទូទាត់មិនត្រឹមត្រូវ សូមពិនិត្យមើលស្ថានភាពទូទាត់នៃបុងបញ្ញើឡើងវិញ</t>
        </is>
      </c>
      <c r="E1803" s="126" t="n"/>
      <c r="F1803" s="127" t="n"/>
      <c r="G1803" s="127" t="inlineStr">
        <is>
          <t>ការទូទាត់មិនត្រឹមត្រូវ សូមពិនិត្យមើលស្ថានភាពទូទាត់នៃបុងបញ្ញើឡើងវិញ</t>
        </is>
      </c>
      <c r="H1803" s="127" t="inlineStr">
        <is>
          <t>ការទូទាត់មិនត្រឹមត្រូវ សូមពិនិត្យមើលស្ថានភាពទូទាត់នៃបុងបញ្ញើឡើងវិញ</t>
        </is>
      </c>
      <c r="I1803" s="127" t="n"/>
      <c r="J1803" s="127" t="n"/>
      <c r="K1803" s="127" t="inlineStr"/>
      <c r="L1803" s="127" t="n"/>
      <c r="M1803" s="127" t="n"/>
      <c r="N1803" s="127" t="n"/>
      <c r="O1803" s="127" t="n"/>
      <c r="P1803" s="127" t="n"/>
      <c r="Q1803" s="127" t="n"/>
      <c r="R1803" s="127" t="n"/>
      <c r="S1803" s="127" t="n"/>
      <c r="T1803" s="127" t="n"/>
      <c r="U1803" s="127" t="n"/>
      <c r="V1803" s="127" t="n"/>
      <c r="W1803" s="127" t="n"/>
      <c r="X1803" s="127" t="n"/>
      <c r="Y1803" s="127" t="n"/>
      <c r="Z1803" s="127" t="n"/>
    </row>
    <row r="1804">
      <c r="A1804" s="217" t="n"/>
      <c r="B1804" s="126" t="inlineStr">
        <is>
          <t>Người tác động</t>
        </is>
      </c>
      <c r="C1804" s="217" t="inlineStr">
        <is>
          <t>Updated by</t>
        </is>
      </c>
      <c r="D1804" s="126" t="inlineStr">
        <is>
          <t>អ្នកអនុវត្ត</t>
        </is>
      </c>
      <c r="E1804" s="126" t="n"/>
      <c r="F1804" s="127" t="n"/>
      <c r="G1804" s="127" t="inlineStr">
        <is>
          <t>អ្នកធ្វើប្រតិបត្តិការ</t>
        </is>
      </c>
      <c r="H1804" s="127" t="inlineStr">
        <is>
          <t>អ្នកធ្វើប្រតិបត្តិការ</t>
        </is>
      </c>
      <c r="I1804" s="127" t="n"/>
      <c r="J1804" s="127" t="n"/>
      <c r="K1804" s="127" t="inlineStr"/>
      <c r="L1804" s="127" t="n"/>
      <c r="M1804" s="127" t="n"/>
      <c r="N1804" s="127" t="n"/>
      <c r="O1804" s="127" t="n"/>
      <c r="P1804" s="127" t="n"/>
      <c r="Q1804" s="127" t="n"/>
      <c r="R1804" s="127" t="n"/>
      <c r="S1804" s="127" t="n"/>
      <c r="T1804" s="127" t="n"/>
      <c r="U1804" s="127" t="n"/>
      <c r="V1804" s="127" t="n"/>
      <c r="W1804" s="127" t="n"/>
      <c r="X1804" s="127" t="n"/>
      <c r="Y1804" s="127" t="n"/>
      <c r="Z1804" s="127" t="n"/>
    </row>
    <row r="1805">
      <c r="A1805" s="137" t="inlineStr">
        <is>
          <t>requestList: "Danh sách yêu cầu",</t>
        </is>
      </c>
      <c r="B1805" s="126" t="inlineStr">
        <is>
          <t xml:space="preserve">Danh sách yêu cầu </t>
        </is>
      </c>
      <c r="C1805" s="217" t="inlineStr">
        <is>
          <t>Request list</t>
        </is>
      </c>
      <c r="D1805" s="126" t="inlineStr">
        <is>
          <t>បញ្ជីសំណើ</t>
        </is>
      </c>
      <c r="E1805" s="126" t="n"/>
      <c r="F1805" s="127" t="n"/>
      <c r="G1805" s="127" t="inlineStr">
        <is>
          <t>បញ្ជីសំណើ</t>
        </is>
      </c>
      <c r="H1805" s="127" t="inlineStr">
        <is>
          <t>បញ្ជីសំណើ</t>
        </is>
      </c>
      <c r="I1805" s="127" t="n"/>
      <c r="J1805" s="127" t="n"/>
      <c r="K1805" s="127" t="inlineStr">
        <is>
          <t>"requestList: "Danh sách yêu cầu",": "បញ្ជីសំណើ",</t>
        </is>
      </c>
      <c r="L1805" s="127" t="n"/>
      <c r="M1805" s="127" t="n"/>
      <c r="N1805" s="127" t="n"/>
      <c r="O1805" s="127" t="n"/>
      <c r="P1805" s="127" t="n"/>
      <c r="Q1805" s="127" t="n"/>
      <c r="R1805" s="127" t="n"/>
      <c r="S1805" s="127" t="n"/>
      <c r="T1805" s="127" t="n"/>
      <c r="U1805" s="127" t="n"/>
      <c r="V1805" s="127" t="n"/>
      <c r="W1805" s="127" t="n"/>
      <c r="X1805" s="127" t="n"/>
      <c r="Y1805" s="127" t="n"/>
      <c r="Z1805" s="127" t="n"/>
    </row>
    <row r="1806">
      <c r="A1806" s="217" t="inlineStr">
        <is>
          <t>requestApproval: "Phê duyệt yêu cầu",</t>
        </is>
      </c>
      <c r="B1806" s="126" t="inlineStr">
        <is>
          <t>Phê duyệt yêu cầu</t>
        </is>
      </c>
      <c r="C1806" s="217" t="inlineStr">
        <is>
          <t>Approve request</t>
        </is>
      </c>
      <c r="D1806" s="126" t="inlineStr">
        <is>
          <t>អនុម័តសំណើ</t>
        </is>
      </c>
      <c r="E1806" s="126" t="n"/>
      <c r="F1806" s="127" t="n"/>
      <c r="G1806" s="127" t="inlineStr">
        <is>
          <t>អនុម័តសំណើ</t>
        </is>
      </c>
      <c r="H1806" s="127" t="inlineStr">
        <is>
          <t>អនុម័តសំណើ</t>
        </is>
      </c>
      <c r="I1806" s="127" t="n"/>
      <c r="J1806" s="127" t="n"/>
      <c r="K1806" s="127" t="inlineStr">
        <is>
          <t>"requestApproval: "Phê duyệt yêu cầu",": "អនុម័តសំណើ",</t>
        </is>
      </c>
      <c r="L1806" s="127" t="n"/>
      <c r="M1806" s="127" t="n"/>
      <c r="N1806" s="127" t="n"/>
      <c r="O1806" s="127" t="n"/>
      <c r="P1806" s="127" t="n"/>
      <c r="Q1806" s="127" t="n"/>
      <c r="R1806" s="127" t="n"/>
      <c r="S1806" s="127" t="n"/>
      <c r="T1806" s="127" t="n"/>
      <c r="U1806" s="127" t="n"/>
      <c r="V1806" s="127" t="n"/>
      <c r="W1806" s="127" t="n"/>
      <c r="X1806" s="127" t="n"/>
      <c r="Y1806" s="127" t="n"/>
      <c r="Z1806" s="127" t="n"/>
    </row>
    <row r="1807">
      <c r="A1807" s="217" t="inlineStr">
        <is>
          <t>status: "Trạng thái",</t>
        </is>
      </c>
      <c r="B1807" s="126" t="inlineStr">
        <is>
          <t>Trạng thái</t>
        </is>
      </c>
      <c r="C1807" s="217" t="inlineStr">
        <is>
          <t>Status</t>
        </is>
      </c>
      <c r="D1807" s="126" t="inlineStr">
        <is>
          <t>ស្ថានភាព</t>
        </is>
      </c>
      <c r="E1807" s="126" t="n"/>
      <c r="F1807" s="127" t="n"/>
      <c r="G1807" s="127" t="inlineStr">
        <is>
          <t>ស្ថានភាព</t>
        </is>
      </c>
      <c r="H1807" s="127" t="inlineStr">
        <is>
          <t>ស្ថានភាព</t>
        </is>
      </c>
      <c r="I1807" s="127" t="n"/>
      <c r="J1807" s="127" t="n"/>
      <c r="K1807" s="127" t="inlineStr">
        <is>
          <t>"status: "Trạng thái",": "ស្ថានភាព",</t>
        </is>
      </c>
      <c r="L1807" s="127" t="n"/>
      <c r="M1807" s="127" t="n"/>
      <c r="N1807" s="127" t="n"/>
      <c r="O1807" s="127" t="n"/>
      <c r="P1807" s="127" t="n"/>
      <c r="Q1807" s="127" t="n"/>
      <c r="R1807" s="127" t="n"/>
      <c r="S1807" s="127" t="n"/>
      <c r="T1807" s="127" t="n"/>
      <c r="U1807" s="127" t="n"/>
      <c r="V1807" s="127" t="n"/>
      <c r="W1807" s="127" t="n"/>
      <c r="X1807" s="127" t="n"/>
      <c r="Y1807" s="127" t="n"/>
      <c r="Z1807" s="127" t="n"/>
    </row>
    <row r="1808">
      <c r="A1808" s="217" t="inlineStr">
        <is>
          <t>orderCode: "Mã đơn hàng",</t>
        </is>
      </c>
      <c r="B1808" s="126" t="inlineStr">
        <is>
          <t>Mã đơn hàng</t>
        </is>
      </c>
      <c r="C1808" s="217" t="inlineStr">
        <is>
          <t>Order number</t>
        </is>
      </c>
      <c r="D1808" s="126" t="inlineStr">
        <is>
          <t>លេខកូដបុងបញ្ញើ</t>
        </is>
      </c>
      <c r="E1808" s="126" t="n"/>
      <c r="F1808" s="127" t="n"/>
      <c r="G1808" s="127" t="inlineStr">
        <is>
          <t>លេខកូដបុងបញ្ញើ</t>
        </is>
      </c>
      <c r="H1808" s="127" t="inlineStr">
        <is>
          <t>លេខកូដបុងបញ្ញើ</t>
        </is>
      </c>
      <c r="I1808" s="127" t="n"/>
      <c r="J1808" s="127" t="n"/>
      <c r="K1808" s="127" t="inlineStr">
        <is>
          <t>"orderCode: "Mã đơn hàng",": "លេខកូដបុងបញ្ញើ",</t>
        </is>
      </c>
      <c r="L1808" s="127" t="n"/>
      <c r="M1808" s="127" t="n"/>
      <c r="N1808" s="127" t="n"/>
      <c r="O1808" s="127" t="n"/>
      <c r="P1808" s="127" t="n"/>
      <c r="Q1808" s="127" t="n"/>
      <c r="R1808" s="127" t="n"/>
      <c r="S1808" s="127" t="n"/>
      <c r="T1808" s="127" t="n"/>
      <c r="U1808" s="127" t="n"/>
      <c r="V1808" s="127" t="n"/>
      <c r="W1808" s="127" t="n"/>
      <c r="X1808" s="127" t="n"/>
      <c r="Y1808" s="127" t="n"/>
      <c r="Z1808" s="127" t="n"/>
    </row>
    <row r="1809">
      <c r="A1809" s="217" t="inlineStr">
        <is>
          <t>reason: "Nội dung yêu cầu sửa",</t>
        </is>
      </c>
      <c r="B1809" s="126" t="inlineStr">
        <is>
          <t>Nội dung yêu cầu sửa</t>
        </is>
      </c>
      <c r="C1809" s="217" t="inlineStr">
        <is>
          <t>Content of repair request</t>
        </is>
      </c>
      <c r="D1809" s="126" t="inlineStr">
        <is>
          <t>ខ្លឹមសារស្នើកែសម្រួល</t>
        </is>
      </c>
      <c r="E1809" s="126" t="n"/>
      <c r="F1809" s="127" t="n"/>
      <c r="G1809" s="127" t="inlineStr">
        <is>
          <t>ខ្លឹមសារស្នើកែសម្រួល</t>
        </is>
      </c>
      <c r="H1809" s="127" t="inlineStr">
        <is>
          <t>ខ្លឹមសារស្នើកែសម្រួល</t>
        </is>
      </c>
      <c r="I1809" s="127" t="n"/>
      <c r="J1809" s="127" t="n"/>
      <c r="K1809" s="127" t="inlineStr">
        <is>
          <t>"reason: "Nội dung yêu cầu sửa",": "ខ្លឹមសារស្នើកែសម្រួល",</t>
        </is>
      </c>
      <c r="L1809" s="127" t="n"/>
      <c r="M1809" s="127" t="n"/>
      <c r="N1809" s="127" t="n"/>
      <c r="O1809" s="127" t="n"/>
      <c r="P1809" s="127" t="n"/>
      <c r="Q1809" s="127" t="n"/>
      <c r="R1809" s="127" t="n"/>
      <c r="S1809" s="127" t="n"/>
      <c r="T1809" s="127" t="n"/>
      <c r="U1809" s="127" t="n"/>
      <c r="V1809" s="127" t="n"/>
      <c r="W1809" s="127" t="n"/>
      <c r="X1809" s="127" t="n"/>
      <c r="Y1809" s="127" t="n"/>
      <c r="Z1809" s="127" t="n"/>
    </row>
    <row r="1810">
      <c r="A1810" s="217" t="inlineStr">
        <is>
          <t>createdBy: "Người yêu cầu",</t>
        </is>
      </c>
      <c r="B1810" s="126" t="inlineStr">
        <is>
          <t>Người yêu cầu sửa</t>
        </is>
      </c>
      <c r="C1810" s="217" t="inlineStr">
        <is>
          <t>Requester</t>
        </is>
      </c>
      <c r="D1810" s="126" t="inlineStr">
        <is>
          <t>អ្នកស្នើសុំកែសម្រួល</t>
        </is>
      </c>
      <c r="E1810" s="126" t="n"/>
      <c r="F1810" s="127" t="n"/>
      <c r="G1810" s="127" t="inlineStr">
        <is>
          <t>អ្នកស្នើសុំកែសម្រួល</t>
        </is>
      </c>
      <c r="H1810" s="127" t="inlineStr">
        <is>
          <t>អ្នកស្នើសុំកែសម្រួល</t>
        </is>
      </c>
      <c r="I1810" s="127" t="n"/>
      <c r="J1810" s="127" t="n"/>
      <c r="K1810" s="127" t="inlineStr">
        <is>
          <t>"createdBy: "Người yêu cầu",": "អ្នកស្នើសុំកែសម្រួល",</t>
        </is>
      </c>
      <c r="L1810" s="127" t="n"/>
      <c r="M1810" s="127" t="n"/>
      <c r="N1810" s="127" t="n"/>
      <c r="O1810" s="127" t="n"/>
      <c r="P1810" s="127" t="n"/>
      <c r="Q1810" s="127" t="n"/>
      <c r="R1810" s="127" t="n"/>
      <c r="S1810" s="127" t="n"/>
      <c r="T1810" s="127" t="n"/>
      <c r="U1810" s="127" t="n"/>
      <c r="V1810" s="127" t="n"/>
      <c r="W1810" s="127" t="n"/>
      <c r="X1810" s="127" t="n"/>
      <c r="Y1810" s="127" t="n"/>
      <c r="Z1810" s="127" t="n"/>
    </row>
    <row r="1811">
      <c r="A1811" s="217" t="inlineStr">
        <is>
          <t>createdAt: "Ngày yêu cầu",</t>
        </is>
      </c>
      <c r="B1811" s="126" t="inlineStr">
        <is>
          <t>Ngày yêu cầu</t>
        </is>
      </c>
      <c r="C1811" s="217" t="inlineStr">
        <is>
          <t>Request date</t>
        </is>
      </c>
      <c r="D1811" s="126" t="inlineStr">
        <is>
          <t>ថ្ងៃស្នើសុំ</t>
        </is>
      </c>
      <c r="E1811" s="126" t="n"/>
      <c r="F1811" s="127" t="n"/>
      <c r="G1811" s="127" t="inlineStr">
        <is>
          <t>ថ្ងៃស្នើសុំ</t>
        </is>
      </c>
      <c r="H1811" s="127" t="inlineStr">
        <is>
          <t>ថ្ងៃស្នើសុំ</t>
        </is>
      </c>
      <c r="I1811" s="127" t="n"/>
      <c r="J1811" s="127" t="n"/>
      <c r="K1811" s="127" t="inlineStr">
        <is>
          <t>"createdAt: "Ngày yêu cầu",": "ថ្ងៃស្នើសុំ",</t>
        </is>
      </c>
      <c r="L1811" s="127" t="n"/>
      <c r="M1811" s="127" t="n"/>
      <c r="N1811" s="127" t="n"/>
      <c r="O1811" s="127" t="n"/>
      <c r="P1811" s="127" t="n"/>
      <c r="Q1811" s="127" t="n"/>
      <c r="R1811" s="127" t="n"/>
      <c r="S1811" s="127" t="n"/>
      <c r="T1811" s="127" t="n"/>
      <c r="U1811" s="127" t="n"/>
      <c r="V1811" s="127" t="n"/>
      <c r="W1811" s="127" t="n"/>
      <c r="X1811" s="127" t="n"/>
      <c r="Y1811" s="127" t="n"/>
      <c r="Z1811" s="127" t="n"/>
    </row>
    <row r="1812">
      <c r="A1812" s="217" t="inlineStr">
        <is>
          <t>deliveryPostCode: "Bưu cục duyệt",</t>
        </is>
      </c>
      <c r="B1812" s="126" t="inlineStr">
        <is>
          <t>Bưu cục phê duyệt</t>
        </is>
      </c>
      <c r="C1812" s="217" t="inlineStr">
        <is>
          <t>Post office approval</t>
        </is>
      </c>
      <c r="D1812" s="126" t="inlineStr">
        <is>
          <t>ប្រៃសណីយ៍អនុម័ត</t>
        </is>
      </c>
      <c r="E1812" s="126" t="n"/>
      <c r="F1812" s="127" t="n"/>
      <c r="G1812" s="127" t="inlineStr">
        <is>
          <t>ប្រៃសណីយ៍អនុម័ត</t>
        </is>
      </c>
      <c r="H1812" s="127" t="inlineStr">
        <is>
          <t>ប្រៃសណីយ៍អនុម័ត</t>
        </is>
      </c>
      <c r="I1812" s="127" t="n"/>
      <c r="J1812" s="127" t="n"/>
      <c r="K1812" s="127" t="inlineStr">
        <is>
          <t>"deliveryPostCode: "Bưu cục duyệt",": "ប្រៃសណីយ៍អនុម័ត",</t>
        </is>
      </c>
      <c r="L1812" s="127" t="n"/>
      <c r="M1812" s="127" t="n"/>
      <c r="N1812" s="127" t="n"/>
      <c r="O1812" s="127" t="n"/>
      <c r="P1812" s="127" t="n"/>
      <c r="Q1812" s="127" t="n"/>
      <c r="R1812" s="127" t="n"/>
      <c r="S1812" s="127" t="n"/>
      <c r="T1812" s="127" t="n"/>
      <c r="U1812" s="127" t="n"/>
      <c r="V1812" s="127" t="n"/>
      <c r="W1812" s="127" t="n"/>
      <c r="X1812" s="127" t="n"/>
      <c r="Y1812" s="127" t="n"/>
      <c r="Z1812" s="127" t="n"/>
    </row>
    <row r="1813">
      <c r="A1813" s="217" t="inlineStr">
        <is>
          <t>reviewedAt: "Ngày duyệt",</t>
        </is>
      </c>
      <c r="B1813" s="126" t="inlineStr">
        <is>
          <t>Ngày duyệt</t>
        </is>
      </c>
      <c r="C1813" s="217" t="inlineStr">
        <is>
          <t>Approval date</t>
        </is>
      </c>
      <c r="D1813" s="126" t="inlineStr">
        <is>
          <t>ថ្ងៃអនុម័ត</t>
        </is>
      </c>
      <c r="E1813" s="126" t="n"/>
      <c r="F1813" s="127" t="n"/>
      <c r="G1813" s="127" t="inlineStr">
        <is>
          <t>កាលបរិច្ឆេទអនុម័ត</t>
        </is>
      </c>
      <c r="H1813" s="127" t="inlineStr">
        <is>
          <t>កាលបរិច្ឆេទអនុម័ត</t>
        </is>
      </c>
      <c r="I1813" s="127" t="n"/>
      <c r="J1813" s="127" t="n"/>
      <c r="K1813" s="127" t="inlineStr">
        <is>
          <t>"reviewedAt: "Ngày duyệt",": "កាលបរិច្ឆេទអនុម័ត",</t>
        </is>
      </c>
      <c r="L1813" s="127" t="n"/>
      <c r="M1813" s="127" t="n"/>
      <c r="N1813" s="127" t="n"/>
      <c r="O1813" s="127" t="n"/>
      <c r="P1813" s="127" t="n"/>
      <c r="Q1813" s="127" t="n"/>
      <c r="R1813" s="127" t="n"/>
      <c r="S1813" s="127" t="n"/>
      <c r="T1813" s="127" t="n"/>
      <c r="U1813" s="127" t="n"/>
      <c r="V1813" s="127" t="n"/>
      <c r="W1813" s="127" t="n"/>
      <c r="X1813" s="127" t="n"/>
      <c r="Y1813" s="127" t="n"/>
      <c r="Z1813" s="127" t="n"/>
    </row>
    <row r="1814">
      <c r="A1814" s="217" t="inlineStr">
        <is>
          <t>createRequest: "Tạo yêu cầu",</t>
        </is>
      </c>
      <c r="B1814" s="126" t="inlineStr">
        <is>
          <t>Tạo yêu cầu</t>
        </is>
      </c>
      <c r="C1814" s="217" t="inlineStr">
        <is>
          <t>Create request</t>
        </is>
      </c>
      <c r="D1814" s="126" t="inlineStr">
        <is>
          <t>បង្កើតសំណើ</t>
        </is>
      </c>
      <c r="E1814" s="126" t="n"/>
      <c r="F1814" s="127" t="n"/>
      <c r="G1814" s="127" t="inlineStr">
        <is>
          <t>បង្កើតសំណើ</t>
        </is>
      </c>
      <c r="H1814" s="127" t="inlineStr">
        <is>
          <t>បង្កើតសំណើ</t>
        </is>
      </c>
      <c r="I1814" s="127" t="n"/>
      <c r="J1814" s="127" t="n"/>
      <c r="K1814" s="127" t="inlineStr">
        <is>
          <t>"createRequest: "Tạo yêu cầu",": "បង្កើតសំណើ",</t>
        </is>
      </c>
      <c r="L1814" s="127" t="n"/>
      <c r="M1814" s="127" t="n"/>
      <c r="N1814" s="127" t="n"/>
      <c r="O1814" s="127" t="n"/>
      <c r="P1814" s="127" t="n"/>
      <c r="Q1814" s="127" t="n"/>
      <c r="R1814" s="127" t="n"/>
      <c r="S1814" s="127" t="n"/>
      <c r="T1814" s="127" t="n"/>
      <c r="U1814" s="127" t="n"/>
      <c r="V1814" s="127" t="n"/>
      <c r="W1814" s="127" t="n"/>
      <c r="X1814" s="127" t="n"/>
      <c r="Y1814" s="127" t="n"/>
      <c r="Z1814" s="127" t="n"/>
    </row>
    <row r="1815">
      <c r="A1815" s="217" t="inlineStr">
        <is>
          <t>searchPlaceholder: "Nhập từ khóa tìm kiếm",</t>
        </is>
      </c>
      <c r="B1815" s="126" t="inlineStr">
        <is>
          <t>Nhập từ khóa tìm kiếm</t>
        </is>
      </c>
      <c r="C1815" s="217" t="inlineStr">
        <is>
          <t>Enter search keywords</t>
        </is>
      </c>
      <c r="D1815" s="126" t="inlineStr">
        <is>
          <t>បំពេញពាក្យគន្លឹះស្វែងរក</t>
        </is>
      </c>
      <c r="E1815" s="126" t="n"/>
      <c r="F1815" s="127" t="n"/>
      <c r="G1815" s="127" t="inlineStr">
        <is>
          <t>បំពេញពាក្យគន្លឹះស្វែងរក</t>
        </is>
      </c>
      <c r="H1815" s="127" t="inlineStr">
        <is>
          <t>បំពេញពាក្យគន្លឹះស្វែងរក</t>
        </is>
      </c>
      <c r="I1815" s="127" t="n"/>
      <c r="J1815" s="127" t="n"/>
      <c r="K1815" s="127" t="inlineStr">
        <is>
          <t>"searchPlaceholder: "Nhập từ khóa tìm kiếm",": "បំពេញពាក្យគន្លឹះស្វែងរក",</t>
        </is>
      </c>
      <c r="L1815" s="127" t="n"/>
      <c r="M1815" s="127" t="n"/>
      <c r="N1815" s="127" t="n"/>
      <c r="O1815" s="127" t="n"/>
      <c r="P1815" s="127" t="n"/>
      <c r="Q1815" s="127" t="n"/>
      <c r="R1815" s="127" t="n"/>
      <c r="S1815" s="127" t="n"/>
      <c r="T1815" s="127" t="n"/>
      <c r="U1815" s="127" t="n"/>
      <c r="V1815" s="127" t="n"/>
      <c r="W1815" s="127" t="n"/>
      <c r="X1815" s="127" t="n"/>
      <c r="Y1815" s="127" t="n"/>
      <c r="Z1815" s="127" t="n"/>
    </row>
    <row r="1816">
      <c r="A1816" s="217" t="inlineStr">
        <is>
          <t>orderCodePlaceholder: "Nhập mã đơn hàng",</t>
        </is>
      </c>
      <c r="B1816" s="126" t="inlineStr">
        <is>
          <t>Nhập mã đơn hàng</t>
        </is>
      </c>
      <c r="C1816" s="217" t="inlineStr">
        <is>
          <t>Enter order number</t>
        </is>
      </c>
      <c r="D1816" s="126" t="inlineStr">
        <is>
          <t>បំពេញលេខកូដបុងបញ្ញើ</t>
        </is>
      </c>
      <c r="E1816" s="126" t="n"/>
      <c r="F1816" s="127" t="n"/>
      <c r="G1816" s="127" t="inlineStr">
        <is>
          <t>បំពេញលេខកូដបុងបញ្ញើ</t>
        </is>
      </c>
      <c r="H1816" s="127" t="inlineStr">
        <is>
          <t>បំពេញលេខកូដបុងបញ្ញើ</t>
        </is>
      </c>
      <c r="I1816" s="127" t="n"/>
      <c r="J1816" s="127" t="n"/>
      <c r="K1816" s="127" t="inlineStr">
        <is>
          <t>"orderCodePlaceholder: "Nhập mã đơn hàng",": "បំពេញលេខកូដបុងបញ្ញើ",</t>
        </is>
      </c>
      <c r="L1816" s="127" t="n"/>
      <c r="M1816" s="127" t="n"/>
      <c r="N1816" s="127" t="n"/>
      <c r="O1816" s="127" t="n"/>
      <c r="P1816" s="127" t="n"/>
      <c r="Q1816" s="127" t="n"/>
      <c r="R1816" s="127" t="n"/>
      <c r="S1816" s="127" t="n"/>
      <c r="T1816" s="127" t="n"/>
      <c r="U1816" s="127" t="n"/>
      <c r="V1816" s="127" t="n"/>
      <c r="W1816" s="127" t="n"/>
      <c r="X1816" s="127" t="n"/>
      <c r="Y1816" s="127" t="n"/>
      <c r="Z1816" s="127" t="n"/>
    </row>
    <row r="1817">
      <c r="A1817" s="217" t="inlineStr">
        <is>
          <t>reasonPlaceholder: "Nhập nội dung",</t>
        </is>
      </c>
      <c r="B1817" s="126" t="inlineStr">
        <is>
          <t>Nhập nội dung</t>
        </is>
      </c>
      <c r="C1817" s="217" t="inlineStr">
        <is>
          <t>Enter content</t>
        </is>
      </c>
      <c r="D1817" s="126" t="inlineStr">
        <is>
          <t>បំពេញខ្លឹមសារ</t>
        </is>
      </c>
      <c r="E1817" s="126" t="n"/>
      <c r="F1817" s="127" t="n"/>
      <c r="G1817" s="127" t="inlineStr">
        <is>
          <t>បំពេញខ្លឹមសារ</t>
        </is>
      </c>
      <c r="H1817" s="127" t="inlineStr">
        <is>
          <t>បំពេញខ្លឹមសារ</t>
        </is>
      </c>
      <c r="I1817" s="127" t="n"/>
      <c r="J1817" s="127" t="n"/>
      <c r="K1817" s="127" t="inlineStr">
        <is>
          <t>"reasonPlaceholder: "Nhập nội dung",": "បំពេញខ្លឹមសារ",</t>
        </is>
      </c>
      <c r="L1817" s="127" t="n"/>
      <c r="M1817" s="127" t="n"/>
      <c r="N1817" s="127" t="n"/>
      <c r="O1817" s="127" t="n"/>
      <c r="P1817" s="127" t="n"/>
      <c r="Q1817" s="127" t="n"/>
      <c r="R1817" s="127" t="n"/>
      <c r="S1817" s="127" t="n"/>
      <c r="T1817" s="127" t="n"/>
      <c r="U1817" s="127" t="n"/>
      <c r="V1817" s="127" t="n"/>
      <c r="W1817" s="127" t="n"/>
      <c r="X1817" s="127" t="n"/>
      <c r="Y1817" s="127" t="n"/>
      <c r="Z1817" s="127" t="n"/>
    </row>
    <row r="1818">
      <c r="A1818" s="217" t="inlineStr">
        <is>
          <t>statusPending: "Chờ duyệt",</t>
        </is>
      </c>
      <c r="B1818" s="126" t="inlineStr">
        <is>
          <t>Chờ duyệt</t>
        </is>
      </c>
      <c r="C1818" s="217" t="inlineStr">
        <is>
          <t>Pending approval</t>
        </is>
      </c>
      <c r="D1818" s="126" t="inlineStr">
        <is>
          <t>រង់ចាំការអនុម័ត</t>
        </is>
      </c>
      <c r="E1818" s="126" t="n"/>
      <c r="F1818" s="127" t="n"/>
      <c r="G1818" s="127" t="inlineStr">
        <is>
          <t>រង់ចាំការអនុម័ត</t>
        </is>
      </c>
      <c r="H1818" s="127" t="inlineStr">
        <is>
          <t>រង់ចាំការអនុម័ត</t>
        </is>
      </c>
      <c r="I1818" s="127" t="n"/>
      <c r="J1818" s="127" t="n"/>
      <c r="K1818" s="127" t="inlineStr">
        <is>
          <t>"statusPending: "Chờ duyệt",": "រង់ចាំការអនុម័ត",</t>
        </is>
      </c>
      <c r="L1818" s="127" t="n"/>
      <c r="M1818" s="127" t="n"/>
      <c r="N1818" s="127" t="n"/>
      <c r="O1818" s="127" t="n"/>
      <c r="P1818" s="127" t="n"/>
      <c r="Q1818" s="127" t="n"/>
      <c r="R1818" s="127" t="n"/>
      <c r="S1818" s="127" t="n"/>
      <c r="T1818" s="127" t="n"/>
      <c r="U1818" s="127" t="n"/>
      <c r="V1818" s="127" t="n"/>
      <c r="W1818" s="127" t="n"/>
      <c r="X1818" s="127" t="n"/>
      <c r="Y1818" s="127" t="n"/>
      <c r="Z1818" s="127" t="n"/>
    </row>
    <row r="1819">
      <c r="A1819" s="217" t="inlineStr">
        <is>
          <t>statusApproved: "Đã duyệt",</t>
        </is>
      </c>
      <c r="B1819" s="126" t="inlineStr">
        <is>
          <t>Đã duyệt</t>
        </is>
      </c>
      <c r="C1819" s="217" t="inlineStr">
        <is>
          <t>Approved</t>
        </is>
      </c>
      <c r="D1819" s="126" t="inlineStr">
        <is>
          <t>បានអនុម័ត</t>
        </is>
      </c>
      <c r="E1819" s="126" t="n"/>
      <c r="F1819" s="127" t="n"/>
      <c r="G1819" s="127" t="inlineStr">
        <is>
          <t>បានអនុម័ត</t>
        </is>
      </c>
      <c r="H1819" s="127" t="inlineStr">
        <is>
          <t>បានអនុម័ត</t>
        </is>
      </c>
      <c r="I1819" s="127" t="n"/>
      <c r="J1819" s="127" t="n"/>
      <c r="K1819" s="127" t="inlineStr">
        <is>
          <t>"statusApproved: "Đã duyệt",": "បានអនុម័ត",</t>
        </is>
      </c>
      <c r="L1819" s="127" t="n"/>
      <c r="M1819" s="127" t="n"/>
      <c r="N1819" s="127" t="n"/>
      <c r="O1819" s="127" t="n"/>
      <c r="P1819" s="127" t="n"/>
      <c r="Q1819" s="127" t="n"/>
      <c r="R1819" s="127" t="n"/>
      <c r="S1819" s="127" t="n"/>
      <c r="T1819" s="127" t="n"/>
      <c r="U1819" s="127" t="n"/>
      <c r="V1819" s="127" t="n"/>
      <c r="W1819" s="127" t="n"/>
      <c r="X1819" s="127" t="n"/>
      <c r="Y1819" s="127" t="n"/>
      <c r="Z1819" s="127" t="n"/>
    </row>
    <row r="1820">
      <c r="A1820" s="217" t="inlineStr">
        <is>
          <t>statusRejected: "Từ chối",</t>
        </is>
      </c>
      <c r="B1820" s="126" t="inlineStr">
        <is>
          <t>Từ chối</t>
        </is>
      </c>
      <c r="C1820" s="217" t="inlineStr">
        <is>
          <t>Rejected</t>
        </is>
      </c>
      <c r="D1820" s="126" t="inlineStr">
        <is>
          <t>បដិសេធ</t>
        </is>
      </c>
      <c r="E1820" s="126" t="n"/>
      <c r="F1820" s="127" t="n"/>
      <c r="G1820" s="127" t="inlineStr">
        <is>
          <t>បដិសេធ</t>
        </is>
      </c>
      <c r="H1820" s="127" t="inlineStr">
        <is>
          <t>បដិសេធ</t>
        </is>
      </c>
      <c r="I1820" s="127" t="n"/>
      <c r="J1820" s="127" t="n"/>
      <c r="K1820" s="127" t="inlineStr">
        <is>
          <t>"statusRejected: "Từ chối",": "បដិសេធ",</t>
        </is>
      </c>
      <c r="L1820" s="127" t="n"/>
      <c r="M1820" s="127" t="n"/>
      <c r="N1820" s="127" t="n"/>
      <c r="O1820" s="127" t="n"/>
      <c r="P1820" s="127" t="n"/>
      <c r="Q1820" s="127" t="n"/>
      <c r="R1820" s="127" t="n"/>
      <c r="S1820" s="127" t="n"/>
      <c r="T1820" s="127" t="n"/>
      <c r="U1820" s="127" t="n"/>
      <c r="V1820" s="127" t="n"/>
      <c r="W1820" s="127" t="n"/>
      <c r="X1820" s="127" t="n"/>
      <c r="Y1820" s="127" t="n"/>
      <c r="Z1820" s="127" t="n"/>
    </row>
    <row r="1821">
      <c r="A1821" s="217" t="inlineStr">
        <is>
          <t>statusCompleted: "Đã sửa",</t>
        </is>
      </c>
      <c r="B1821" s="126" t="inlineStr">
        <is>
          <t>Đã sửa</t>
        </is>
      </c>
      <c r="C1821" s="217" t="inlineStr">
        <is>
          <t>Repaired</t>
        </is>
      </c>
      <c r="D1821" s="126" t="inlineStr">
        <is>
          <t>បានកែសម្រួល</t>
        </is>
      </c>
      <c r="E1821" s="126" t="n"/>
      <c r="F1821" s="127" t="n"/>
      <c r="G1821" s="127" t="inlineStr">
        <is>
          <t>បានកែសម្រួល</t>
        </is>
      </c>
      <c r="H1821" s="127" t="inlineStr">
        <is>
          <t>បានកែសម្រួល</t>
        </is>
      </c>
      <c r="I1821" s="127" t="n"/>
      <c r="J1821" s="127" t="n"/>
      <c r="K1821" s="127" t="inlineStr">
        <is>
          <t>"statusCompleted: "Đã sửa",": "បានកែសម្រួល",</t>
        </is>
      </c>
      <c r="L1821" s="127" t="n"/>
      <c r="M1821" s="127" t="n"/>
      <c r="N1821" s="127" t="n"/>
      <c r="O1821" s="127" t="n"/>
      <c r="P1821" s="127" t="n"/>
      <c r="Q1821" s="127" t="n"/>
      <c r="R1821" s="127" t="n"/>
      <c r="S1821" s="127" t="n"/>
      <c r="T1821" s="127" t="n"/>
      <c r="U1821" s="127" t="n"/>
      <c r="V1821" s="127" t="n"/>
      <c r="W1821" s="127" t="n"/>
      <c r="X1821" s="127" t="n"/>
      <c r="Y1821" s="127" t="n"/>
      <c r="Z1821" s="127" t="n"/>
    </row>
    <row r="1822">
      <c r="A1822" s="217" t="inlineStr">
        <is>
          <t>statusCancelled: "Đã hủy",</t>
        </is>
      </c>
      <c r="B1822" s="126" t="inlineStr">
        <is>
          <t>Đã hủy</t>
        </is>
      </c>
      <c r="C1822" s="217" t="inlineStr">
        <is>
          <t>Canceled</t>
        </is>
      </c>
      <c r="D1822" s="126" t="inlineStr">
        <is>
          <t>បានបោះបង់</t>
        </is>
      </c>
      <c r="E1822" s="126" t="n"/>
      <c r="F1822" s="127" t="n"/>
      <c r="G1822" s="127" t="inlineStr">
        <is>
          <t>បានបោះបង់</t>
        </is>
      </c>
      <c r="H1822" s="127" t="inlineStr">
        <is>
          <t>បានបោះបង់</t>
        </is>
      </c>
      <c r="I1822" s="127" t="n"/>
      <c r="J1822" s="127" t="n"/>
      <c r="K1822" s="127" t="inlineStr">
        <is>
          <t>"statusCancelled: "Đã hủy",": "បានបោះបង់",</t>
        </is>
      </c>
      <c r="L1822" s="127" t="n"/>
      <c r="M1822" s="127" t="n"/>
      <c r="N1822" s="127" t="n"/>
      <c r="O1822" s="127" t="n"/>
      <c r="P1822" s="127" t="n"/>
      <c r="Q1822" s="127" t="n"/>
      <c r="R1822" s="127" t="n"/>
      <c r="S1822" s="127" t="n"/>
      <c r="T1822" s="127" t="n"/>
      <c r="U1822" s="127" t="n"/>
      <c r="V1822" s="127" t="n"/>
      <c r="W1822" s="127" t="n"/>
      <c r="X1822" s="127" t="n"/>
      <c r="Y1822" s="127" t="n"/>
      <c r="Z1822" s="127" t="n"/>
    </row>
    <row r="1823">
      <c r="A1823" s="217" t="inlineStr">
        <is>
          <t>deleteConfirm: "Bạn có chắc muốn xoá yêu cầu {{orderCode}}?",</t>
        </is>
      </c>
      <c r="B1823" s="126" t="inlineStr">
        <is>
          <t>Bạn có chắc muốn xóa yêu cầu</t>
        </is>
      </c>
      <c r="C1823" s="217" t="inlineStr">
        <is>
          <t>Are you sure you want to delete the request?</t>
        </is>
      </c>
      <c r="D1823" s="126" t="inlineStr">
        <is>
          <t>តើអ្នកប្រាកដថាចង់លុបសំណើនេះមែនទេ?</t>
        </is>
      </c>
      <c r="E1823" s="126" t="n"/>
      <c r="F1823" s="127" t="n"/>
      <c r="G1823" s="127" t="inlineStr">
        <is>
          <t>តើអ្នកប្រាកដថាចង់លុបសំណើនេះមែនទេ?</t>
        </is>
      </c>
      <c r="H1823" s="127" t="inlineStr">
        <is>
          <t>តើអ្នកប្រាកដថាចង់លុបសំណើនេះមែនទេ?</t>
        </is>
      </c>
      <c r="I1823" s="127" t="n"/>
      <c r="J1823" s="127" t="n"/>
      <c r="K1823" s="127" t="inlineStr">
        <is>
          <t>"deleteConfirm: "Bạn có chắc muốn xoá yêu cầu {{orderCode}}?",": "តើអ្នកប្រាកដថាចង់លុបសំណើនេះមែនទេ?",</t>
        </is>
      </c>
      <c r="L1823" s="127" t="n"/>
      <c r="M1823" s="127" t="n"/>
      <c r="N1823" s="127" t="n"/>
      <c r="O1823" s="127" t="n"/>
      <c r="P1823" s="127" t="n"/>
      <c r="Q1823" s="127" t="n"/>
      <c r="R1823" s="127" t="n"/>
      <c r="S1823" s="127" t="n"/>
      <c r="T1823" s="127" t="n"/>
      <c r="U1823" s="127" t="n"/>
      <c r="V1823" s="127" t="n"/>
      <c r="W1823" s="127" t="n"/>
      <c r="X1823" s="127" t="n"/>
      <c r="Y1823" s="127" t="n"/>
      <c r="Z1823" s="127" t="n"/>
    </row>
    <row r="1824">
      <c r="A1824" s="217" t="inlineStr">
        <is>
          <t>deleteSuccess: "Xoá yêu cầu thành công",</t>
        </is>
      </c>
      <c r="B1824" s="126" t="inlineStr">
        <is>
          <t>Xóa yêu cầu thành công</t>
        </is>
      </c>
      <c r="C1824" s="217" t="inlineStr">
        <is>
          <t>Request deleted successfully</t>
        </is>
      </c>
      <c r="D1824" s="126" t="inlineStr">
        <is>
          <t>លុបសំណើបានជោគជ័យ</t>
        </is>
      </c>
      <c r="E1824" s="126" t="n"/>
      <c r="F1824" s="127" t="n"/>
      <c r="G1824" s="127" t="inlineStr">
        <is>
          <t>លុបសំណើបានជោគជ័យ</t>
        </is>
      </c>
      <c r="H1824" s="127" t="inlineStr">
        <is>
          <t>លុបសំណើបានជោគជ័យ</t>
        </is>
      </c>
      <c r="I1824" s="127" t="n"/>
      <c r="J1824" s="127" t="n"/>
      <c r="K1824" s="127" t="inlineStr">
        <is>
          <t>"deleteSuccess: "Xoá yêu cầu thành công",": "លុបសំណើបានជោគជ័យ",</t>
        </is>
      </c>
      <c r="L1824" s="127" t="n"/>
      <c r="M1824" s="127" t="n"/>
      <c r="N1824" s="127" t="n"/>
      <c r="O1824" s="127" t="n"/>
      <c r="P1824" s="127" t="n"/>
      <c r="Q1824" s="127" t="n"/>
      <c r="R1824" s="127" t="n"/>
      <c r="S1824" s="127" t="n"/>
      <c r="T1824" s="127" t="n"/>
      <c r="U1824" s="127" t="n"/>
      <c r="V1824" s="127" t="n"/>
      <c r="W1824" s="127" t="n"/>
      <c r="X1824" s="127" t="n"/>
      <c r="Y1824" s="127" t="n"/>
      <c r="Z1824" s="127" t="n"/>
    </row>
    <row r="1825">
      <c r="A1825" s="217" t="inlineStr">
        <is>
          <t>rejectRequest: "Từ chối yêu cầu",</t>
        </is>
      </c>
      <c r="B1825" s="126" t="inlineStr">
        <is>
          <t>Từ chối yêu cầu</t>
        </is>
      </c>
      <c r="C1825" s="217" t="inlineStr">
        <is>
          <t>Reject request</t>
        </is>
      </c>
      <c r="D1825" s="126" t="inlineStr">
        <is>
          <t>បដិសេធសំណើ</t>
        </is>
      </c>
      <c r="E1825" s="126" t="n"/>
      <c r="F1825" s="127" t="n"/>
      <c r="G1825" s="127" t="inlineStr">
        <is>
          <t>បដិសេធសំណើ</t>
        </is>
      </c>
      <c r="H1825" s="127" t="inlineStr">
        <is>
          <t>បដិសេធសំណើ</t>
        </is>
      </c>
      <c r="I1825" s="127" t="n"/>
      <c r="J1825" s="127" t="n"/>
      <c r="K1825" s="127" t="inlineStr">
        <is>
          <t>"rejectRequest: "Từ chối yêu cầu",": "បដិសេធសំណើ",</t>
        </is>
      </c>
      <c r="L1825" s="127" t="n"/>
      <c r="M1825" s="127" t="n"/>
      <c r="N1825" s="127" t="n"/>
      <c r="O1825" s="127" t="n"/>
      <c r="P1825" s="127" t="n"/>
      <c r="Q1825" s="127" t="n"/>
      <c r="R1825" s="127" t="n"/>
      <c r="S1825" s="127" t="n"/>
      <c r="T1825" s="127" t="n"/>
      <c r="U1825" s="127" t="n"/>
      <c r="V1825" s="127" t="n"/>
      <c r="W1825" s="127" t="n"/>
      <c r="X1825" s="127" t="n"/>
      <c r="Y1825" s="127" t="n"/>
      <c r="Z1825" s="127" t="n"/>
    </row>
    <row r="1826">
      <c r="A1826" s="217" t="inlineStr">
        <is>
          <t>rejectReason: "Lý do từ chối"</t>
        </is>
      </c>
      <c r="B1826" s="126" t="inlineStr">
        <is>
          <t>Lý do từ chối</t>
        </is>
      </c>
      <c r="C1826" s="217" t="inlineStr">
        <is>
          <t>Reason for rejection</t>
        </is>
      </c>
      <c r="D1826" s="126" t="inlineStr">
        <is>
          <t>មូលហេតុបដិសេធ</t>
        </is>
      </c>
      <c r="E1826" s="126" t="n"/>
      <c r="F1826" s="127" t="n"/>
      <c r="G1826" s="127" t="inlineStr">
        <is>
          <t>មូលហេតុបដិសេធ</t>
        </is>
      </c>
      <c r="H1826" s="127" t="inlineStr">
        <is>
          <t>មូលហេតុបដិសេធ</t>
        </is>
      </c>
      <c r="I1826" s="127" t="n"/>
      <c r="J1826" s="127" t="n"/>
      <c r="K1826" s="127" t="inlineStr">
        <is>
          <t>"rejectReason: "Lý do từ chối"": "មូលហេតុបដិសេធ",</t>
        </is>
      </c>
      <c r="L1826" s="127" t="n"/>
      <c r="M1826" s="127" t="n"/>
      <c r="N1826" s="127" t="n"/>
      <c r="O1826" s="127" t="n"/>
      <c r="P1826" s="127" t="n"/>
      <c r="Q1826" s="127" t="n"/>
      <c r="R1826" s="127" t="n"/>
      <c r="S1826" s="127" t="n"/>
      <c r="T1826" s="127" t="n"/>
      <c r="U1826" s="127" t="n"/>
      <c r="V1826" s="127" t="n"/>
      <c r="W1826" s="127" t="n"/>
      <c r="X1826" s="127" t="n"/>
      <c r="Y1826" s="127" t="n"/>
      <c r="Z1826" s="127" t="n"/>
    </row>
    <row r="1827">
      <c r="A1827" s="217" t="n"/>
      <c r="B1827" s="126" t="inlineStr">
        <is>
          <t>METFONE EXPRESS CENTE</t>
        </is>
      </c>
      <c r="C1827" s="126" t="n"/>
      <c r="D1827" s="126" t="inlineStr">
        <is>
          <t>មជ្ឈមណ្ឌល មេហ្វូន អ៊ិចប្រេស</t>
        </is>
      </c>
      <c r="E1827" s="126" t="n"/>
      <c r="F1827" s="127" t="n"/>
      <c r="G1827" s="127" t="inlineStr">
        <is>
          <t>មជ្ឈមណ្ឌល មេហ្វូន អ៊ិចប្រេស</t>
        </is>
      </c>
      <c r="H1827" s="127" t="inlineStr">
        <is>
          <t>មជ្ឈមណ្ឌល មេហ្វូន អ៊ិចប្រេស</t>
        </is>
      </c>
      <c r="I1827" s="127" t="n"/>
      <c r="J1827" s="127" t="n"/>
      <c r="K1827" s="127" t="inlineStr"/>
      <c r="L1827" s="127" t="n"/>
      <c r="M1827" s="127" t="n"/>
      <c r="N1827" s="127" t="n"/>
      <c r="O1827" s="127" t="n"/>
      <c r="P1827" s="127" t="n"/>
      <c r="Q1827" s="127" t="n"/>
      <c r="R1827" s="127" t="n"/>
      <c r="S1827" s="127" t="n"/>
      <c r="T1827" s="127" t="n"/>
      <c r="U1827" s="127" t="n"/>
      <c r="V1827" s="127" t="n"/>
      <c r="W1827" s="127" t="n"/>
      <c r="X1827" s="127" t="n"/>
      <c r="Y1827" s="127" t="n"/>
      <c r="Z1827" s="127" t="n"/>
    </row>
    <row r="1828">
      <c r="A1828" s="217" t="n"/>
      <c r="B1828" s="126" t="inlineStr">
        <is>
          <t>VIETTEL(CAMBODIA)PTE.,LTD</t>
        </is>
      </c>
      <c r="C1828" s="126" t="n"/>
      <c r="D1828" s="126" t="inlineStr">
        <is>
          <t xml:space="preserve"> ក្រុ មហ៊ុនហ៊ុវៀ តធេ ល(ខេ មបូឌាបូ )</t>
        </is>
      </c>
      <c r="E1828" s="126" t="n"/>
      <c r="F1828" s="127" t="n"/>
      <c r="G1828" s="127" t="inlineStr">
        <is>
          <t>ក្រុ មហ៊ុនហ៊ុវៀ តធេ ល(ខេ មបូឌាបូ )</t>
        </is>
      </c>
      <c r="H1828" s="127" t="inlineStr">
        <is>
          <t>ក្រុ មហ៊ុនហ៊ុវៀ តធេ ល(ខេ មបូឌាបូ )</t>
        </is>
      </c>
      <c r="I1828" s="127" t="n"/>
      <c r="J1828" s="127" t="n"/>
      <c r="K1828" s="127" t="inlineStr"/>
      <c r="L1828" s="127" t="n"/>
      <c r="M1828" s="127" t="n"/>
      <c r="N1828" s="127" t="n"/>
      <c r="O1828" s="127" t="n"/>
      <c r="P1828" s="127" t="n"/>
      <c r="Q1828" s="127" t="n"/>
      <c r="R1828" s="127" t="n"/>
      <c r="S1828" s="127" t="n"/>
      <c r="T1828" s="127" t="n"/>
      <c r="U1828" s="127" t="n"/>
      <c r="V1828" s="127" t="n"/>
      <c r="W1828" s="127" t="n"/>
      <c r="X1828" s="127" t="n"/>
      <c r="Y1828" s="127" t="n"/>
      <c r="Z1828" s="127" t="n"/>
    </row>
    <row r="1829">
      <c r="A1829" s="217" t="n"/>
      <c r="B1829" s="126" t="inlineStr">
        <is>
          <t>Vui lòng thực hiện thanh toán sau 00h01</t>
        </is>
      </c>
      <c r="C1829" s="126" t="inlineStr">
        <is>
          <t>Please make the payment after 12:01 AM</t>
        </is>
      </c>
      <c r="D1829" s="126" t="inlineStr">
        <is>
          <t>សូមធ្វើការទូទាត់បន្ទាប់ពីម៉ោង 00:01</t>
        </is>
      </c>
      <c r="E1829" s="126" t="n"/>
      <c r="F1829" s="127" t="n"/>
      <c r="G1829" s="127" t="inlineStr">
        <is>
          <t>សូមធ្វើការទូទាត់បន្ទាប់ពីម៉ោង 00:01</t>
        </is>
      </c>
      <c r="H1829" s="127" t="inlineStr">
        <is>
          <t>សូមធ្វើការទូទាត់បន្ទាប់ពីម៉ោង 00:01</t>
        </is>
      </c>
      <c r="I1829" s="127" t="n"/>
      <c r="J1829" s="127" t="n"/>
      <c r="K1829" s="127" t="inlineStr"/>
      <c r="L1829" s="127" t="n"/>
      <c r="M1829" s="127" t="n"/>
      <c r="N1829" s="127" t="n"/>
      <c r="O1829" s="127" t="n"/>
      <c r="P1829" s="127" t="n"/>
      <c r="Q1829" s="127" t="n"/>
      <c r="R1829" s="127" t="n"/>
      <c r="S1829" s="127" t="n"/>
      <c r="T1829" s="127" t="n"/>
      <c r="U1829" s="127" t="n"/>
      <c r="V1829" s="127" t="n"/>
      <c r="W1829" s="127" t="n"/>
      <c r="X1829" s="127" t="n"/>
      <c r="Y1829" s="127" t="n"/>
      <c r="Z1829" s="127" t="n"/>
    </row>
    <row r="1830">
      <c r="A1830" s="217" t="n"/>
      <c r="B1830" s="126" t="n"/>
      <c r="C1830" s="126" t="n"/>
      <c r="D1830" s="126" t="n"/>
      <c r="E1830" s="126" t="n"/>
      <c r="F1830" s="127" t="n"/>
      <c r="G1830" s="127" t="inlineStr"/>
      <c r="H1830" s="127" t="inlineStr"/>
      <c r="I1830" s="127" t="n"/>
      <c r="J1830" s="127" t="n"/>
      <c r="K1830" s="127" t="inlineStr"/>
      <c r="L1830" s="127" t="n"/>
      <c r="M1830" s="127" t="n"/>
      <c r="N1830" s="127" t="n"/>
      <c r="O1830" s="127" t="n"/>
      <c r="P1830" s="127" t="n"/>
      <c r="Q1830" s="127" t="n"/>
      <c r="R1830" s="127" t="n"/>
      <c r="S1830" s="127" t="n"/>
      <c r="T1830" s="127" t="n"/>
      <c r="U1830" s="127" t="n"/>
      <c r="V1830" s="127" t="n"/>
      <c r="W1830" s="127" t="n"/>
      <c r="X1830" s="127" t="n"/>
      <c r="Y1830" s="127" t="n"/>
      <c r="Z1830" s="127" t="n"/>
    </row>
    <row r="1831">
      <c r="A1831" s="217" t="n"/>
      <c r="B1831" s="126" t="n"/>
      <c r="C1831" s="126" t="n"/>
      <c r="D1831" s="126" t="n"/>
      <c r="E1831" s="126" t="n"/>
      <c r="F1831" s="127" t="n"/>
      <c r="G1831" s="127" t="inlineStr"/>
      <c r="H1831" s="127" t="inlineStr"/>
      <c r="I1831" s="127" t="n"/>
      <c r="J1831" s="127" t="n"/>
      <c r="K1831" s="127" t="inlineStr"/>
      <c r="L1831" s="127" t="n"/>
      <c r="M1831" s="127" t="n"/>
      <c r="N1831" s="127" t="n"/>
      <c r="O1831" s="127" t="n"/>
      <c r="P1831" s="127" t="n"/>
      <c r="Q1831" s="127" t="n"/>
      <c r="R1831" s="127" t="n"/>
      <c r="S1831" s="127" t="n"/>
      <c r="T1831" s="127" t="n"/>
      <c r="U1831" s="127" t="n"/>
      <c r="V1831" s="127" t="n"/>
      <c r="W1831" s="127" t="n"/>
      <c r="X1831" s="127" t="n"/>
      <c r="Y1831" s="127" t="n"/>
      <c r="Z1831" s="127" t="n"/>
    </row>
    <row r="1832">
      <c r="A1832" s="217" t="n"/>
      <c r="B1832" s="126" t="n"/>
      <c r="C1832" s="126" t="n"/>
      <c r="D1832" s="126" t="n"/>
      <c r="E1832" s="126" t="n"/>
      <c r="F1832" s="127" t="n"/>
      <c r="G1832" s="127" t="inlineStr"/>
      <c r="H1832" s="127" t="inlineStr"/>
      <c r="I1832" s="127" t="n"/>
      <c r="J1832" s="127" t="n"/>
      <c r="K1832" s="127" t="inlineStr"/>
      <c r="L1832" s="127" t="n"/>
      <c r="M1832" s="127" t="n"/>
      <c r="N1832" s="127" t="n"/>
      <c r="O1832" s="127" t="n"/>
      <c r="P1832" s="127" t="n"/>
      <c r="Q1832" s="127" t="n"/>
      <c r="R1832" s="127" t="n"/>
      <c r="S1832" s="127" t="n"/>
      <c r="T1832" s="127" t="n"/>
      <c r="U1832" s="127" t="n"/>
      <c r="V1832" s="127" t="n"/>
      <c r="W1832" s="127" t="n"/>
      <c r="X1832" s="127" t="n"/>
      <c r="Y1832" s="127" t="n"/>
      <c r="Z1832" s="127" t="n"/>
    </row>
    <row r="1833">
      <c r="A1833" s="217" t="n"/>
      <c r="B1833" s="126" t="n"/>
      <c r="C1833" s="126" t="n"/>
      <c r="D1833" s="126" t="n"/>
      <c r="E1833" s="126" t="n"/>
      <c r="F1833" s="127" t="n"/>
      <c r="G1833" s="127" t="inlineStr"/>
      <c r="H1833" s="127" t="inlineStr"/>
      <c r="I1833" s="127" t="n"/>
      <c r="J1833" s="127" t="n"/>
      <c r="K1833" s="127" t="inlineStr"/>
      <c r="L1833" s="127" t="n"/>
      <c r="M1833" s="127" t="n"/>
      <c r="N1833" s="127" t="n"/>
      <c r="O1833" s="127" t="n"/>
      <c r="P1833" s="127" t="n"/>
      <c r="Q1833" s="127" t="n"/>
      <c r="R1833" s="127" t="n"/>
      <c r="S1833" s="127" t="n"/>
      <c r="T1833" s="127" t="n"/>
      <c r="U1833" s="127" t="n"/>
      <c r="V1833" s="127" t="n"/>
      <c r="W1833" s="127" t="n"/>
      <c r="X1833" s="127" t="n"/>
      <c r="Y1833" s="127" t="n"/>
      <c r="Z1833" s="127" t="n"/>
    </row>
    <row r="1834">
      <c r="A1834" s="217" t="n"/>
      <c r="B1834" s="126" t="n"/>
      <c r="C1834" s="126" t="n"/>
      <c r="D1834" s="126" t="n"/>
      <c r="E1834" s="126" t="n"/>
      <c r="F1834" s="127" t="n"/>
      <c r="G1834" s="127" t="inlineStr"/>
      <c r="H1834" s="127" t="inlineStr"/>
      <c r="I1834" s="127" t="n"/>
      <c r="J1834" s="127" t="n"/>
      <c r="K1834" s="127" t="inlineStr"/>
      <c r="L1834" s="127" t="n"/>
      <c r="M1834" s="127" t="n"/>
      <c r="N1834" s="127" t="n"/>
      <c r="O1834" s="127" t="n"/>
      <c r="P1834" s="127" t="n"/>
      <c r="Q1834" s="127" t="n"/>
      <c r="R1834" s="127" t="n"/>
      <c r="S1834" s="127" t="n"/>
      <c r="T1834" s="127" t="n"/>
      <c r="U1834" s="127" t="n"/>
      <c r="V1834" s="127" t="n"/>
      <c r="W1834" s="127" t="n"/>
      <c r="X1834" s="127" t="n"/>
      <c r="Y1834" s="127" t="n"/>
      <c r="Z1834" s="127" t="n"/>
    </row>
    <row r="1835">
      <c r="A1835" s="217" t="n"/>
      <c r="B1835" s="126" t="n"/>
      <c r="C1835" s="126" t="n"/>
      <c r="D1835" s="126" t="n"/>
      <c r="E1835" s="126" t="n"/>
      <c r="F1835" s="127" t="n"/>
      <c r="G1835" s="127" t="inlineStr"/>
      <c r="H1835" s="127" t="inlineStr"/>
      <c r="I1835" s="127" t="n"/>
      <c r="J1835" s="127" t="n"/>
      <c r="K1835" s="127" t="inlineStr"/>
      <c r="L1835" s="127" t="n"/>
      <c r="M1835" s="127" t="n"/>
      <c r="N1835" s="127" t="n"/>
      <c r="O1835" s="127" t="n"/>
      <c r="P1835" s="127" t="n"/>
      <c r="Q1835" s="127" t="n"/>
      <c r="R1835" s="127" t="n"/>
      <c r="S1835" s="127" t="n"/>
      <c r="T1835" s="127" t="n"/>
      <c r="U1835" s="127" t="n"/>
      <c r="V1835" s="127" t="n"/>
      <c r="W1835" s="127" t="n"/>
      <c r="X1835" s="127" t="n"/>
      <c r="Y1835" s="127" t="n"/>
      <c r="Z1835" s="127" t="n"/>
    </row>
    <row r="1836">
      <c r="A1836" s="217" t="n"/>
      <c r="B1836" s="126" t="n"/>
      <c r="C1836" s="126" t="n"/>
      <c r="D1836" s="126" t="n"/>
      <c r="E1836" s="126" t="n"/>
      <c r="F1836" s="127" t="n"/>
      <c r="G1836" s="127" t="inlineStr"/>
      <c r="H1836" s="127" t="inlineStr"/>
      <c r="I1836" s="127" t="n"/>
      <c r="J1836" s="127" t="n"/>
      <c r="K1836" s="127" t="inlineStr"/>
      <c r="L1836" s="127" t="n"/>
      <c r="M1836" s="127" t="n"/>
      <c r="N1836" s="127" t="n"/>
      <c r="O1836" s="127" t="n"/>
      <c r="P1836" s="127" t="n"/>
      <c r="Q1836" s="127" t="n"/>
      <c r="R1836" s="127" t="n"/>
      <c r="S1836" s="127" t="n"/>
      <c r="T1836" s="127" t="n"/>
      <c r="U1836" s="127" t="n"/>
      <c r="V1836" s="127" t="n"/>
      <c r="W1836" s="127" t="n"/>
      <c r="X1836" s="127" t="n"/>
      <c r="Y1836" s="127" t="n"/>
      <c r="Z1836" s="127" t="n"/>
    </row>
    <row r="1837">
      <c r="A1837" s="217" t="n"/>
      <c r="B1837" s="126" t="n"/>
      <c r="C1837" s="126" t="n"/>
      <c r="D1837" s="126" t="n"/>
      <c r="E1837" s="126" t="n"/>
      <c r="F1837" s="127" t="n"/>
      <c r="G1837" s="127" t="inlineStr"/>
      <c r="H1837" s="127" t="inlineStr"/>
      <c r="I1837" s="127" t="n"/>
      <c r="J1837" s="127" t="n"/>
      <c r="K1837" s="127" t="inlineStr"/>
      <c r="L1837" s="127" t="n"/>
      <c r="M1837" s="127" t="n"/>
      <c r="N1837" s="127" t="n"/>
      <c r="O1837" s="127" t="n"/>
      <c r="P1837" s="127" t="n"/>
      <c r="Q1837" s="127" t="n"/>
      <c r="R1837" s="127" t="n"/>
      <c r="S1837" s="127" t="n"/>
      <c r="T1837" s="127" t="n"/>
      <c r="U1837" s="127" t="n"/>
      <c r="V1837" s="127" t="n"/>
      <c r="W1837" s="127" t="n"/>
      <c r="X1837" s="127" t="n"/>
      <c r="Y1837" s="127" t="n"/>
      <c r="Z1837" s="127" t="n"/>
    </row>
    <row r="1838">
      <c r="A1838" s="217" t="n"/>
      <c r="B1838" s="126" t="n"/>
      <c r="C1838" s="126" t="n"/>
      <c r="D1838" s="126" t="n"/>
      <c r="E1838" s="126" t="n"/>
      <c r="F1838" s="127" t="n"/>
      <c r="G1838" s="127" t="inlineStr"/>
      <c r="H1838" s="127" t="inlineStr"/>
      <c r="I1838" s="127" t="n"/>
      <c r="J1838" s="127" t="n"/>
      <c r="K1838" s="127" t="inlineStr"/>
      <c r="L1838" s="127" t="n"/>
      <c r="M1838" s="127" t="n"/>
      <c r="N1838" s="127" t="n"/>
      <c r="O1838" s="127" t="n"/>
      <c r="P1838" s="127" t="n"/>
      <c r="Q1838" s="127" t="n"/>
      <c r="R1838" s="127" t="n"/>
      <c r="S1838" s="127" t="n"/>
      <c r="T1838" s="127" t="n"/>
      <c r="U1838" s="127" t="n"/>
      <c r="V1838" s="127" t="n"/>
      <c r="W1838" s="127" t="n"/>
      <c r="X1838" s="127" t="n"/>
      <c r="Y1838" s="127" t="n"/>
      <c r="Z1838" s="127" t="n"/>
    </row>
    <row r="1839">
      <c r="A1839" s="217" t="n"/>
      <c r="B1839" s="126" t="n"/>
      <c r="C1839" s="126" t="n"/>
      <c r="D1839" s="126" t="n"/>
      <c r="E1839" s="126" t="n"/>
      <c r="F1839" s="127" t="n"/>
      <c r="G1839" s="127" t="inlineStr"/>
      <c r="H1839" s="127" t="inlineStr"/>
      <c r="I1839" s="127" t="n"/>
      <c r="J1839" s="127" t="n"/>
      <c r="K1839" s="127" t="inlineStr"/>
      <c r="L1839" s="127" t="n"/>
      <c r="M1839" s="127" t="n"/>
      <c r="N1839" s="127" t="n"/>
      <c r="O1839" s="127" t="n"/>
      <c r="P1839" s="127" t="n"/>
      <c r="Q1839" s="127" t="n"/>
      <c r="R1839" s="127" t="n"/>
      <c r="S1839" s="127" t="n"/>
      <c r="T1839" s="127" t="n"/>
      <c r="U1839" s="127" t="n"/>
      <c r="V1839" s="127" t="n"/>
      <c r="W1839" s="127" t="n"/>
      <c r="X1839" s="127" t="n"/>
      <c r="Y1839" s="127" t="n"/>
      <c r="Z1839" s="127" t="n"/>
    </row>
    <row r="1840">
      <c r="A1840" s="217" t="n"/>
      <c r="B1840" s="126" t="n"/>
      <c r="C1840" s="126" t="n"/>
      <c r="D1840" s="126" t="n"/>
      <c r="E1840" s="126" t="n"/>
      <c r="F1840" s="127" t="n"/>
      <c r="G1840" s="127" t="inlineStr"/>
      <c r="H1840" s="127" t="inlineStr"/>
      <c r="I1840" s="127" t="n"/>
      <c r="J1840" s="127" t="n"/>
      <c r="K1840" s="127" t="inlineStr"/>
      <c r="L1840" s="127" t="n"/>
      <c r="M1840" s="127" t="n"/>
      <c r="N1840" s="127" t="n"/>
      <c r="O1840" s="127" t="n"/>
      <c r="P1840" s="127" t="n"/>
      <c r="Q1840" s="127" t="n"/>
      <c r="R1840" s="127" t="n"/>
      <c r="S1840" s="127" t="n"/>
      <c r="T1840" s="127" t="n"/>
      <c r="U1840" s="127" t="n"/>
      <c r="V1840" s="127" t="n"/>
      <c r="W1840" s="127" t="n"/>
      <c r="X1840" s="127" t="n"/>
      <c r="Y1840" s="127" t="n"/>
      <c r="Z1840" s="127" t="n"/>
    </row>
    <row r="1841">
      <c r="A1841" s="217" t="n"/>
      <c r="B1841" s="126" t="n"/>
      <c r="C1841" s="126" t="n"/>
      <c r="D1841" s="126" t="n"/>
      <c r="E1841" s="126" t="n"/>
      <c r="F1841" s="127" t="n"/>
      <c r="G1841" s="127" t="inlineStr"/>
      <c r="H1841" s="127" t="inlineStr"/>
      <c r="I1841" s="127" t="n"/>
      <c r="J1841" s="127" t="n"/>
      <c r="K1841" s="127" t="inlineStr"/>
      <c r="L1841" s="127" t="n"/>
      <c r="M1841" s="127" t="n"/>
      <c r="N1841" s="127" t="n"/>
      <c r="O1841" s="127" t="n"/>
      <c r="P1841" s="127" t="n"/>
      <c r="Q1841" s="127" t="n"/>
      <c r="R1841" s="127" t="n"/>
      <c r="S1841" s="127" t="n"/>
      <c r="T1841" s="127" t="n"/>
      <c r="U1841" s="127" t="n"/>
      <c r="V1841" s="127" t="n"/>
      <c r="W1841" s="127" t="n"/>
      <c r="X1841" s="127" t="n"/>
      <c r="Y1841" s="127" t="n"/>
      <c r="Z1841" s="127" t="n"/>
    </row>
    <row r="1842">
      <c r="A1842" s="217" t="n"/>
      <c r="B1842" s="126" t="n"/>
      <c r="C1842" s="126" t="n"/>
      <c r="D1842" s="126" t="n"/>
      <c r="E1842" s="126" t="n"/>
      <c r="F1842" s="127" t="n"/>
      <c r="G1842" s="127" t="inlineStr"/>
      <c r="H1842" s="127" t="inlineStr"/>
      <c r="I1842" s="127" t="n"/>
      <c r="J1842" s="127" t="n"/>
      <c r="K1842" s="127" t="inlineStr"/>
      <c r="L1842" s="127" t="n"/>
      <c r="M1842" s="127" t="n"/>
      <c r="N1842" s="127" t="n"/>
      <c r="O1842" s="127" t="n"/>
      <c r="P1842" s="127" t="n"/>
      <c r="Q1842" s="127" t="n"/>
      <c r="R1842" s="127" t="n"/>
      <c r="S1842" s="127" t="n"/>
      <c r="T1842" s="127" t="n"/>
      <c r="U1842" s="127" t="n"/>
      <c r="V1842" s="127" t="n"/>
      <c r="W1842" s="127" t="n"/>
      <c r="X1842" s="127" t="n"/>
      <c r="Y1842" s="127" t="n"/>
      <c r="Z1842" s="127" t="n"/>
    </row>
    <row r="1843">
      <c r="A1843" s="217" t="n"/>
      <c r="B1843" s="126" t="n"/>
      <c r="C1843" s="126" t="n"/>
      <c r="D1843" s="126" t="n"/>
      <c r="E1843" s="126" t="n"/>
      <c r="F1843" s="127" t="n"/>
      <c r="G1843" s="127" t="inlineStr"/>
      <c r="H1843" s="127" t="inlineStr"/>
      <c r="I1843" s="127" t="n"/>
      <c r="J1843" s="127" t="n"/>
      <c r="K1843" s="127" t="inlineStr"/>
      <c r="L1843" s="127" t="n"/>
      <c r="M1843" s="127" t="n"/>
      <c r="N1843" s="127" t="n"/>
      <c r="O1843" s="127" t="n"/>
      <c r="P1843" s="127" t="n"/>
      <c r="Q1843" s="127" t="n"/>
      <c r="R1843" s="127" t="n"/>
      <c r="S1843" s="127" t="n"/>
      <c r="T1843" s="127" t="n"/>
      <c r="U1843" s="127" t="n"/>
      <c r="V1843" s="127" t="n"/>
      <c r="W1843" s="127" t="n"/>
      <c r="X1843" s="127" t="n"/>
      <c r="Y1843" s="127" t="n"/>
      <c r="Z1843" s="127" t="n"/>
    </row>
    <row r="1844">
      <c r="A1844" s="217" t="n"/>
      <c r="B1844" s="126" t="n"/>
      <c r="C1844" s="126" t="n"/>
      <c r="D1844" s="126" t="n"/>
      <c r="E1844" s="126" t="n"/>
      <c r="F1844" s="127" t="n"/>
      <c r="G1844" s="127" t="inlineStr"/>
      <c r="H1844" s="127" t="inlineStr"/>
      <c r="I1844" s="127" t="n"/>
      <c r="J1844" s="127" t="n"/>
      <c r="K1844" s="127" t="inlineStr"/>
      <c r="L1844" s="127" t="n"/>
      <c r="M1844" s="127" t="n"/>
      <c r="N1844" s="127" t="n"/>
      <c r="O1844" s="127" t="n"/>
      <c r="P1844" s="127" t="n"/>
      <c r="Q1844" s="127" t="n"/>
      <c r="R1844" s="127" t="n"/>
      <c r="S1844" s="127" t="n"/>
      <c r="T1844" s="127" t="n"/>
      <c r="U1844" s="127" t="n"/>
      <c r="V1844" s="127" t="n"/>
      <c r="W1844" s="127" t="n"/>
      <c r="X1844" s="127" t="n"/>
      <c r="Y1844" s="127" t="n"/>
      <c r="Z1844" s="127" t="n"/>
    </row>
    <row r="1845">
      <c r="A1845" s="217" t="n"/>
      <c r="B1845" s="126" t="n"/>
      <c r="C1845" s="126" t="n"/>
      <c r="D1845" s="126" t="n"/>
      <c r="E1845" s="126" t="n"/>
      <c r="F1845" s="127" t="n"/>
      <c r="G1845" s="127" t="inlineStr"/>
      <c r="H1845" s="127" t="inlineStr"/>
      <c r="I1845" s="127" t="n"/>
      <c r="J1845" s="127" t="n"/>
      <c r="K1845" s="127" t="inlineStr"/>
      <c r="L1845" s="127" t="n"/>
      <c r="M1845" s="127" t="n"/>
      <c r="N1845" s="127" t="n"/>
      <c r="O1845" s="127" t="n"/>
      <c r="P1845" s="127" t="n"/>
      <c r="Q1845" s="127" t="n"/>
      <c r="R1845" s="127" t="n"/>
      <c r="S1845" s="127" t="n"/>
      <c r="T1845" s="127" t="n"/>
      <c r="U1845" s="127" t="n"/>
      <c r="V1845" s="127" t="n"/>
      <c r="W1845" s="127" t="n"/>
      <c r="X1845" s="127" t="n"/>
      <c r="Y1845" s="127" t="n"/>
      <c r="Z1845" s="127" t="n"/>
    </row>
    <row r="1846">
      <c r="A1846" s="217" t="n"/>
      <c r="B1846" s="126" t="n"/>
      <c r="C1846" s="126" t="n"/>
      <c r="D1846" s="126" t="n"/>
      <c r="E1846" s="126" t="n"/>
      <c r="F1846" s="127" t="n"/>
      <c r="G1846" s="127" t="inlineStr"/>
      <c r="H1846" s="127" t="inlineStr"/>
      <c r="I1846" s="127" t="n"/>
      <c r="J1846" s="127" t="n"/>
      <c r="K1846" s="127" t="inlineStr"/>
      <c r="L1846" s="127" t="n"/>
      <c r="M1846" s="127" t="n"/>
      <c r="N1846" s="127" t="n"/>
      <c r="O1846" s="127" t="n"/>
      <c r="P1846" s="127" t="n"/>
      <c r="Q1846" s="127" t="n"/>
      <c r="R1846" s="127" t="n"/>
      <c r="S1846" s="127" t="n"/>
      <c r="T1846" s="127" t="n"/>
      <c r="U1846" s="127" t="n"/>
      <c r="V1846" s="127" t="n"/>
      <c r="W1846" s="127" t="n"/>
      <c r="X1846" s="127" t="n"/>
      <c r="Y1846" s="127" t="n"/>
      <c r="Z1846" s="127" t="n"/>
    </row>
    <row r="1847">
      <c r="A1847" s="217" t="n"/>
      <c r="B1847" s="126" t="n"/>
      <c r="C1847" s="126" t="n"/>
      <c r="D1847" s="126" t="n"/>
      <c r="E1847" s="126" t="n"/>
      <c r="F1847" s="127" t="n"/>
      <c r="G1847" s="127" t="inlineStr"/>
      <c r="H1847" s="127" t="inlineStr"/>
      <c r="I1847" s="127" t="n"/>
      <c r="J1847" s="127" t="n"/>
      <c r="K1847" s="127" t="inlineStr"/>
      <c r="L1847" s="127" t="n"/>
      <c r="M1847" s="127" t="n"/>
      <c r="N1847" s="127" t="n"/>
      <c r="O1847" s="127" t="n"/>
      <c r="P1847" s="127" t="n"/>
      <c r="Q1847" s="127" t="n"/>
      <c r="R1847" s="127" t="n"/>
      <c r="S1847" s="127" t="n"/>
      <c r="T1847" s="127" t="n"/>
      <c r="U1847" s="127" t="n"/>
      <c r="V1847" s="127" t="n"/>
      <c r="W1847" s="127" t="n"/>
      <c r="X1847" s="127" t="n"/>
      <c r="Y1847" s="127" t="n"/>
      <c r="Z1847" s="127" t="n"/>
    </row>
    <row r="1848">
      <c r="A1848" s="217" t="n"/>
      <c r="B1848" s="126" t="n"/>
      <c r="C1848" s="126" t="n"/>
      <c r="D1848" s="126" t="n"/>
      <c r="E1848" s="126" t="n"/>
      <c r="F1848" s="127" t="n"/>
      <c r="G1848" s="127" t="inlineStr"/>
      <c r="H1848" s="127" t="inlineStr"/>
      <c r="I1848" s="127" t="n"/>
      <c r="J1848" s="127" t="n"/>
      <c r="K1848" s="127" t="inlineStr"/>
      <c r="L1848" s="127" t="n"/>
      <c r="M1848" s="127" t="n"/>
      <c r="N1848" s="127" t="n"/>
      <c r="O1848" s="127" t="n"/>
      <c r="P1848" s="127" t="n"/>
      <c r="Q1848" s="127" t="n"/>
      <c r="R1848" s="127" t="n"/>
      <c r="S1848" s="127" t="n"/>
      <c r="T1848" s="127" t="n"/>
      <c r="U1848" s="127" t="n"/>
      <c r="V1848" s="127" t="n"/>
      <c r="W1848" s="127" t="n"/>
      <c r="X1848" s="127" t="n"/>
      <c r="Y1848" s="127" t="n"/>
      <c r="Z1848" s="127" t="n"/>
    </row>
    <row r="1849">
      <c r="A1849" s="217" t="n"/>
      <c r="B1849" s="126" t="n"/>
      <c r="C1849" s="126" t="n"/>
      <c r="D1849" s="126" t="n"/>
      <c r="E1849" s="126" t="n"/>
      <c r="F1849" s="127" t="n"/>
      <c r="G1849" s="127" t="inlineStr"/>
      <c r="H1849" s="127" t="inlineStr"/>
      <c r="I1849" s="127" t="n"/>
      <c r="J1849" s="127" t="n"/>
      <c r="K1849" s="127" t="inlineStr"/>
      <c r="L1849" s="127" t="n"/>
      <c r="M1849" s="127" t="n"/>
      <c r="N1849" s="127" t="n"/>
      <c r="O1849" s="127" t="n"/>
      <c r="P1849" s="127" t="n"/>
      <c r="Q1849" s="127" t="n"/>
      <c r="R1849" s="127" t="n"/>
      <c r="S1849" s="127" t="n"/>
      <c r="T1849" s="127" t="n"/>
      <c r="U1849" s="127" t="n"/>
      <c r="V1849" s="127" t="n"/>
      <c r="W1849" s="127" t="n"/>
      <c r="X1849" s="127" t="n"/>
      <c r="Y1849" s="127" t="n"/>
      <c r="Z1849" s="127" t="n"/>
    </row>
    <row r="1850">
      <c r="A1850" s="217" t="n"/>
      <c r="B1850" s="126" t="n"/>
      <c r="C1850" s="126" t="n"/>
      <c r="D1850" s="126" t="n"/>
      <c r="E1850" s="126" t="n"/>
      <c r="F1850" s="127" t="n"/>
      <c r="G1850" s="127" t="inlineStr"/>
      <c r="H1850" s="127" t="inlineStr"/>
      <c r="I1850" s="127" t="n"/>
      <c r="J1850" s="127" t="n"/>
      <c r="K1850" s="127" t="inlineStr"/>
      <c r="L1850" s="127" t="n"/>
      <c r="M1850" s="127" t="n"/>
      <c r="N1850" s="127" t="n"/>
      <c r="O1850" s="127" t="n"/>
      <c r="P1850" s="127" t="n"/>
      <c r="Q1850" s="127" t="n"/>
      <c r="R1850" s="127" t="n"/>
      <c r="S1850" s="127" t="n"/>
      <c r="T1850" s="127" t="n"/>
      <c r="U1850" s="127" t="n"/>
      <c r="V1850" s="127" t="n"/>
      <c r="W1850" s="127" t="n"/>
      <c r="X1850" s="127" t="n"/>
      <c r="Y1850" s="127" t="n"/>
      <c r="Z1850" s="127" t="n"/>
    </row>
    <row r="1851">
      <c r="A1851" s="217" t="n"/>
      <c r="B1851" s="126" t="n"/>
      <c r="C1851" s="126" t="n"/>
      <c r="D1851" s="126" t="n"/>
      <c r="E1851" s="126" t="n"/>
      <c r="F1851" s="127" t="n"/>
      <c r="G1851" s="127" t="inlineStr"/>
      <c r="H1851" s="127" t="inlineStr"/>
      <c r="I1851" s="127" t="n"/>
      <c r="J1851" s="127" t="n"/>
      <c r="K1851" s="127" t="inlineStr"/>
      <c r="L1851" s="127" t="n"/>
      <c r="M1851" s="127" t="n"/>
      <c r="N1851" s="127" t="n"/>
      <c r="O1851" s="127" t="n"/>
      <c r="P1851" s="127" t="n"/>
      <c r="Q1851" s="127" t="n"/>
      <c r="R1851" s="127" t="n"/>
      <c r="S1851" s="127" t="n"/>
      <c r="T1851" s="127" t="n"/>
      <c r="U1851" s="127" t="n"/>
      <c r="V1851" s="127" t="n"/>
      <c r="W1851" s="127" t="n"/>
      <c r="X1851" s="127" t="n"/>
      <c r="Y1851" s="127" t="n"/>
      <c r="Z1851" s="127" t="n"/>
    </row>
    <row r="1852">
      <c r="A1852" s="217" t="n"/>
      <c r="B1852" s="126" t="n"/>
      <c r="C1852" s="126" t="n"/>
      <c r="D1852" s="126" t="n"/>
      <c r="E1852" s="126" t="n"/>
      <c r="F1852" s="127" t="n"/>
      <c r="G1852" s="127" t="inlineStr"/>
      <c r="H1852" s="127" t="inlineStr"/>
      <c r="I1852" s="127" t="n"/>
      <c r="J1852" s="127" t="n"/>
      <c r="K1852" s="127" t="inlineStr"/>
      <c r="L1852" s="127" t="n"/>
      <c r="M1852" s="127" t="n"/>
      <c r="N1852" s="127" t="n"/>
      <c r="O1852" s="127" t="n"/>
      <c r="P1852" s="127" t="n"/>
      <c r="Q1852" s="127" t="n"/>
      <c r="R1852" s="127" t="n"/>
      <c r="S1852" s="127" t="n"/>
      <c r="T1852" s="127" t="n"/>
      <c r="U1852" s="127" t="n"/>
      <c r="V1852" s="127" t="n"/>
      <c r="W1852" s="127" t="n"/>
      <c r="X1852" s="127" t="n"/>
      <c r="Y1852" s="127" t="n"/>
      <c r="Z1852" s="127" t="n"/>
    </row>
    <row r="1853">
      <c r="A1853" s="217" t="n"/>
      <c r="B1853" s="126" t="n"/>
      <c r="C1853" s="126" t="n"/>
      <c r="D1853" s="126" t="n"/>
      <c r="E1853" s="126" t="n"/>
      <c r="F1853" s="127" t="n"/>
      <c r="G1853" s="127" t="inlineStr"/>
      <c r="H1853" s="127" t="inlineStr"/>
      <c r="I1853" s="127" t="n"/>
      <c r="J1853" s="127" t="n"/>
      <c r="K1853" s="127" t="inlineStr"/>
      <c r="L1853" s="127" t="n"/>
      <c r="M1853" s="127" t="n"/>
      <c r="N1853" s="127" t="n"/>
      <c r="O1853" s="127" t="n"/>
      <c r="P1853" s="127" t="n"/>
      <c r="Q1853" s="127" t="n"/>
      <c r="R1853" s="127" t="n"/>
      <c r="S1853" s="127" t="n"/>
      <c r="T1853" s="127" t="n"/>
      <c r="U1853" s="127" t="n"/>
      <c r="V1853" s="127" t="n"/>
      <c r="W1853" s="127" t="n"/>
      <c r="X1853" s="127" t="n"/>
      <c r="Y1853" s="127" t="n"/>
      <c r="Z1853" s="127" t="n"/>
    </row>
    <row r="1854">
      <c r="A1854" s="217" t="n"/>
      <c r="B1854" s="126" t="n"/>
      <c r="C1854" s="126" t="n"/>
      <c r="D1854" s="126" t="n"/>
      <c r="E1854" s="126" t="n"/>
      <c r="F1854" s="127" t="n"/>
      <c r="G1854" s="127" t="inlineStr"/>
      <c r="H1854" s="127" t="inlineStr"/>
      <c r="I1854" s="127" t="n"/>
      <c r="J1854" s="127" t="n"/>
      <c r="K1854" s="127" t="inlineStr"/>
      <c r="L1854" s="127" t="n"/>
      <c r="M1854" s="127" t="n"/>
      <c r="N1854" s="127" t="n"/>
      <c r="O1854" s="127" t="n"/>
      <c r="P1854" s="127" t="n"/>
      <c r="Q1854" s="127" t="n"/>
      <c r="R1854" s="127" t="n"/>
      <c r="S1854" s="127" t="n"/>
      <c r="T1854" s="127" t="n"/>
      <c r="U1854" s="127" t="n"/>
      <c r="V1854" s="127" t="n"/>
      <c r="W1854" s="127" t="n"/>
      <c r="X1854" s="127" t="n"/>
      <c r="Y1854" s="127" t="n"/>
      <c r="Z1854" s="127" t="n"/>
    </row>
    <row r="1855">
      <c r="A1855" s="217" t="n"/>
      <c r="B1855" s="126" t="n"/>
      <c r="C1855" s="126" t="n"/>
      <c r="D1855" s="126" t="n"/>
      <c r="E1855" s="126" t="n"/>
      <c r="F1855" s="127" t="n"/>
      <c r="G1855" s="127" t="inlineStr"/>
      <c r="H1855" s="127" t="inlineStr"/>
      <c r="I1855" s="127" t="n"/>
      <c r="J1855" s="127" t="n"/>
      <c r="K1855" s="127" t="inlineStr"/>
      <c r="L1855" s="127" t="n"/>
      <c r="M1855" s="127" t="n"/>
      <c r="N1855" s="127" t="n"/>
      <c r="O1855" s="127" t="n"/>
      <c r="P1855" s="127" t="n"/>
      <c r="Q1855" s="127" t="n"/>
      <c r="R1855" s="127" t="n"/>
      <c r="S1855" s="127" t="n"/>
      <c r="T1855" s="127" t="n"/>
      <c r="U1855" s="127" t="n"/>
      <c r="V1855" s="127" t="n"/>
      <c r="W1855" s="127" t="n"/>
      <c r="X1855" s="127" t="n"/>
      <c r="Y1855" s="127" t="n"/>
      <c r="Z1855" s="127" t="n"/>
    </row>
    <row r="1856">
      <c r="A1856" s="217" t="n"/>
      <c r="B1856" s="126" t="n"/>
      <c r="C1856" s="126" t="n"/>
      <c r="D1856" s="126" t="n"/>
      <c r="E1856" s="126" t="n"/>
      <c r="F1856" s="127" t="n"/>
      <c r="G1856" s="127" t="inlineStr"/>
      <c r="H1856" s="127" t="inlineStr"/>
      <c r="I1856" s="127" t="n"/>
      <c r="J1856" s="127" t="n"/>
      <c r="K1856" s="127" t="inlineStr"/>
      <c r="L1856" s="127" t="n"/>
      <c r="M1856" s="127" t="n"/>
      <c r="N1856" s="127" t="n"/>
      <c r="O1856" s="127" t="n"/>
      <c r="P1856" s="127" t="n"/>
      <c r="Q1856" s="127" t="n"/>
      <c r="R1856" s="127" t="n"/>
      <c r="S1856" s="127" t="n"/>
      <c r="T1856" s="127" t="n"/>
      <c r="U1856" s="127" t="n"/>
      <c r="V1856" s="127" t="n"/>
      <c r="W1856" s="127" t="n"/>
      <c r="X1856" s="127" t="n"/>
      <c r="Y1856" s="127" t="n"/>
      <c r="Z1856" s="127" t="n"/>
    </row>
    <row r="1857">
      <c r="A1857" s="217" t="n"/>
      <c r="B1857" s="126" t="n"/>
      <c r="C1857" s="126" t="n"/>
      <c r="D1857" s="126" t="n"/>
      <c r="E1857" s="126" t="n"/>
      <c r="F1857" s="127" t="n"/>
      <c r="G1857" s="127" t="inlineStr"/>
      <c r="H1857" s="127" t="inlineStr"/>
      <c r="I1857" s="127" t="n"/>
      <c r="J1857" s="127" t="n"/>
      <c r="K1857" s="127" t="inlineStr"/>
      <c r="L1857" s="127" t="n"/>
      <c r="M1857" s="127" t="n"/>
      <c r="N1857" s="127" t="n"/>
      <c r="O1857" s="127" t="n"/>
      <c r="P1857" s="127" t="n"/>
      <c r="Q1857" s="127" t="n"/>
      <c r="R1857" s="127" t="n"/>
      <c r="S1857" s="127" t="n"/>
      <c r="T1857" s="127" t="n"/>
      <c r="U1857" s="127" t="n"/>
      <c r="V1857" s="127" t="n"/>
      <c r="W1857" s="127" t="n"/>
      <c r="X1857" s="127" t="n"/>
      <c r="Y1857" s="127" t="n"/>
      <c r="Z1857" s="127" t="n"/>
    </row>
    <row r="1858">
      <c r="A1858" s="217" t="n"/>
      <c r="B1858" s="126" t="n"/>
      <c r="C1858" s="126" t="n"/>
      <c r="D1858" s="126" t="n"/>
      <c r="E1858" s="126" t="n"/>
      <c r="F1858" s="127" t="n"/>
      <c r="G1858" s="127" t="inlineStr"/>
      <c r="H1858" s="127" t="inlineStr"/>
      <c r="I1858" s="127" t="n"/>
      <c r="J1858" s="127" t="n"/>
      <c r="K1858" s="127" t="inlineStr"/>
      <c r="L1858" s="127" t="n"/>
      <c r="M1858" s="127" t="n"/>
      <c r="N1858" s="127" t="n"/>
      <c r="O1858" s="127" t="n"/>
      <c r="P1858" s="127" t="n"/>
      <c r="Q1858" s="127" t="n"/>
      <c r="R1858" s="127" t="n"/>
      <c r="S1858" s="127" t="n"/>
      <c r="T1858" s="127" t="n"/>
      <c r="U1858" s="127" t="n"/>
      <c r="V1858" s="127" t="n"/>
      <c r="W1858" s="127" t="n"/>
      <c r="X1858" s="127" t="n"/>
      <c r="Y1858" s="127" t="n"/>
      <c r="Z1858" s="127" t="n"/>
    </row>
    <row r="1859">
      <c r="A1859" s="217" t="n"/>
      <c r="B1859" s="126" t="n"/>
      <c r="C1859" s="126" t="n"/>
      <c r="D1859" s="126" t="n"/>
      <c r="E1859" s="126" t="n"/>
      <c r="F1859" s="127" t="n"/>
      <c r="G1859" s="127" t="inlineStr"/>
      <c r="H1859" s="127" t="inlineStr"/>
      <c r="I1859" s="127" t="n"/>
      <c r="J1859" s="127" t="n"/>
      <c r="K1859" s="127" t="inlineStr"/>
      <c r="L1859" s="127" t="n"/>
      <c r="M1859" s="127" t="n"/>
      <c r="N1859" s="127" t="n"/>
      <c r="O1859" s="127" t="n"/>
      <c r="P1859" s="127" t="n"/>
      <c r="Q1859" s="127" t="n"/>
      <c r="R1859" s="127" t="n"/>
      <c r="S1859" s="127" t="n"/>
      <c r="T1859" s="127" t="n"/>
      <c r="U1859" s="127" t="n"/>
      <c r="V1859" s="127" t="n"/>
      <c r="W1859" s="127" t="n"/>
      <c r="X1859" s="127" t="n"/>
      <c r="Y1859" s="127" t="n"/>
      <c r="Z1859" s="127" t="n"/>
    </row>
    <row r="1860">
      <c r="A1860" s="217" t="n"/>
      <c r="B1860" s="126" t="n"/>
      <c r="C1860" s="126" t="n"/>
      <c r="D1860" s="126" t="n"/>
      <c r="E1860" s="126" t="n"/>
      <c r="F1860" s="127" t="n"/>
      <c r="G1860" s="127" t="inlineStr"/>
      <c r="H1860" s="127" t="inlineStr"/>
      <c r="I1860" s="127" t="n"/>
      <c r="J1860" s="127" t="n"/>
      <c r="K1860" s="127" t="inlineStr"/>
      <c r="L1860" s="127" t="n"/>
      <c r="M1860" s="127" t="n"/>
      <c r="N1860" s="127" t="n"/>
      <c r="O1860" s="127" t="n"/>
      <c r="P1860" s="127" t="n"/>
      <c r="Q1860" s="127" t="n"/>
      <c r="R1860" s="127" t="n"/>
      <c r="S1860" s="127" t="n"/>
      <c r="T1860" s="127" t="n"/>
      <c r="U1860" s="127" t="n"/>
      <c r="V1860" s="127" t="n"/>
      <c r="W1860" s="127" t="n"/>
      <c r="X1860" s="127" t="n"/>
      <c r="Y1860" s="127" t="n"/>
      <c r="Z1860" s="127" t="n"/>
    </row>
    <row r="1861">
      <c r="A1861" s="217" t="n"/>
      <c r="B1861" s="126" t="n"/>
      <c r="C1861" s="126" t="n"/>
      <c r="D1861" s="126" t="n"/>
      <c r="E1861" s="126" t="n"/>
      <c r="F1861" s="127" t="n"/>
      <c r="G1861" s="127" t="inlineStr"/>
      <c r="H1861" s="127" t="inlineStr"/>
      <c r="I1861" s="127" t="n"/>
      <c r="J1861" s="127" t="n"/>
      <c r="K1861" s="127" t="inlineStr"/>
      <c r="L1861" s="127" t="n"/>
      <c r="M1861" s="127" t="n"/>
      <c r="N1861" s="127" t="n"/>
      <c r="O1861" s="127" t="n"/>
      <c r="P1861" s="127" t="n"/>
      <c r="Q1861" s="127" t="n"/>
      <c r="R1861" s="127" t="n"/>
      <c r="S1861" s="127" t="n"/>
      <c r="T1861" s="127" t="n"/>
      <c r="U1861" s="127" t="n"/>
      <c r="V1861" s="127" t="n"/>
      <c r="W1861" s="127" t="n"/>
      <c r="X1861" s="127" t="n"/>
      <c r="Y1861" s="127" t="n"/>
      <c r="Z1861" s="127" t="n"/>
    </row>
    <row r="1862">
      <c r="A1862" s="217" t="n"/>
      <c r="B1862" s="126" t="n"/>
      <c r="C1862" s="126" t="n"/>
      <c r="D1862" s="126" t="n"/>
      <c r="E1862" s="126" t="n"/>
      <c r="F1862" s="127" t="n"/>
      <c r="G1862" s="127" t="inlineStr"/>
      <c r="H1862" s="127" t="inlineStr"/>
      <c r="I1862" s="127" t="n"/>
      <c r="J1862" s="127" t="n"/>
      <c r="K1862" s="127" t="inlineStr"/>
      <c r="L1862" s="127" t="n"/>
      <c r="M1862" s="127" t="n"/>
      <c r="N1862" s="127" t="n"/>
      <c r="O1862" s="127" t="n"/>
      <c r="P1862" s="127" t="n"/>
      <c r="Q1862" s="127" t="n"/>
      <c r="R1862" s="127" t="n"/>
      <c r="S1862" s="127" t="n"/>
      <c r="T1862" s="127" t="n"/>
      <c r="U1862" s="127" t="n"/>
      <c r="V1862" s="127" t="n"/>
      <c r="W1862" s="127" t="n"/>
      <c r="X1862" s="127" t="n"/>
      <c r="Y1862" s="127" t="n"/>
      <c r="Z1862" s="127" t="n"/>
    </row>
    <row r="1863">
      <c r="A1863" s="217" t="n"/>
      <c r="B1863" s="126" t="n"/>
      <c r="C1863" s="126" t="n"/>
      <c r="D1863" s="126" t="n"/>
      <c r="E1863" s="126" t="n"/>
      <c r="F1863" s="127" t="n"/>
      <c r="G1863" s="127" t="inlineStr"/>
      <c r="H1863" s="127" t="inlineStr"/>
      <c r="I1863" s="127" t="n"/>
      <c r="J1863" s="127" t="n"/>
      <c r="K1863" s="127" t="inlineStr"/>
      <c r="L1863" s="127" t="n"/>
      <c r="M1863" s="127" t="n"/>
      <c r="N1863" s="127" t="n"/>
      <c r="O1863" s="127" t="n"/>
      <c r="P1863" s="127" t="n"/>
      <c r="Q1863" s="127" t="n"/>
      <c r="R1863" s="127" t="n"/>
      <c r="S1863" s="127" t="n"/>
      <c r="T1863" s="127" t="n"/>
      <c r="U1863" s="127" t="n"/>
      <c r="V1863" s="127" t="n"/>
      <c r="W1863" s="127" t="n"/>
      <c r="X1863" s="127" t="n"/>
      <c r="Y1863" s="127" t="n"/>
      <c r="Z1863" s="127" t="n"/>
    </row>
    <row r="1864">
      <c r="A1864" s="217" t="n"/>
      <c r="B1864" s="126" t="n"/>
      <c r="C1864" s="126" t="n"/>
      <c r="D1864" s="126" t="n"/>
      <c r="E1864" s="126" t="n"/>
      <c r="F1864" s="127" t="n"/>
      <c r="G1864" s="127" t="inlineStr"/>
      <c r="H1864" s="127" t="inlineStr"/>
      <c r="I1864" s="127" t="n"/>
      <c r="J1864" s="127" t="n"/>
      <c r="K1864" s="127" t="inlineStr"/>
      <c r="L1864" s="127" t="n"/>
      <c r="M1864" s="127" t="n"/>
      <c r="N1864" s="127" t="n"/>
      <c r="O1864" s="127" t="n"/>
      <c r="P1864" s="127" t="n"/>
      <c r="Q1864" s="127" t="n"/>
      <c r="R1864" s="127" t="n"/>
      <c r="S1864" s="127" t="n"/>
      <c r="T1864" s="127" t="n"/>
      <c r="U1864" s="127" t="n"/>
      <c r="V1864" s="127" t="n"/>
      <c r="W1864" s="127" t="n"/>
      <c r="X1864" s="127" t="n"/>
      <c r="Y1864" s="127" t="n"/>
      <c r="Z1864" s="127" t="n"/>
    </row>
    <row r="1865">
      <c r="A1865" s="217" t="n"/>
      <c r="B1865" s="126" t="n"/>
      <c r="C1865" s="126" t="n"/>
      <c r="D1865" s="126" t="n"/>
      <c r="E1865" s="126" t="n"/>
      <c r="F1865" s="127" t="n"/>
      <c r="G1865" s="127" t="inlineStr"/>
      <c r="H1865" s="127" t="inlineStr"/>
      <c r="I1865" s="127" t="n"/>
      <c r="J1865" s="127" t="n"/>
      <c r="K1865" s="127" t="inlineStr"/>
      <c r="L1865" s="127" t="n"/>
      <c r="M1865" s="127" t="n"/>
      <c r="N1865" s="127" t="n"/>
      <c r="O1865" s="127" t="n"/>
      <c r="P1865" s="127" t="n"/>
      <c r="Q1865" s="127" t="n"/>
      <c r="R1865" s="127" t="n"/>
      <c r="S1865" s="127" t="n"/>
      <c r="T1865" s="127" t="n"/>
      <c r="U1865" s="127" t="n"/>
      <c r="V1865" s="127" t="n"/>
      <c r="W1865" s="127" t="n"/>
      <c r="X1865" s="127" t="n"/>
      <c r="Y1865" s="127" t="n"/>
      <c r="Z1865" s="127" t="n"/>
    </row>
    <row r="1866">
      <c r="A1866" s="217" t="n"/>
      <c r="B1866" s="126" t="n"/>
      <c r="C1866" s="126" t="n"/>
      <c r="D1866" s="126" t="n"/>
      <c r="E1866" s="126" t="n"/>
      <c r="F1866" s="127" t="n"/>
      <c r="G1866" s="127" t="inlineStr"/>
      <c r="H1866" s="127" t="inlineStr"/>
      <c r="I1866" s="127" t="n"/>
      <c r="J1866" s="127" t="n"/>
      <c r="K1866" s="127" t="inlineStr"/>
      <c r="L1866" s="127" t="n"/>
      <c r="M1866" s="127" t="n"/>
      <c r="N1866" s="127" t="n"/>
      <c r="O1866" s="127" t="n"/>
      <c r="P1866" s="127" t="n"/>
      <c r="Q1866" s="127" t="n"/>
      <c r="R1866" s="127" t="n"/>
      <c r="S1866" s="127" t="n"/>
      <c r="T1866" s="127" t="n"/>
      <c r="U1866" s="127" t="n"/>
      <c r="V1866" s="127" t="n"/>
      <c r="W1866" s="127" t="n"/>
      <c r="X1866" s="127" t="n"/>
      <c r="Y1866" s="127" t="n"/>
      <c r="Z1866" s="127" t="n"/>
    </row>
    <row r="1867">
      <c r="A1867" s="217" t="n"/>
      <c r="B1867" s="126" t="n"/>
      <c r="C1867" s="126" t="n"/>
      <c r="D1867" s="126" t="n"/>
      <c r="E1867" s="126" t="n"/>
      <c r="F1867" s="127" t="n"/>
      <c r="G1867" s="127" t="inlineStr"/>
      <c r="H1867" s="127" t="inlineStr"/>
      <c r="I1867" s="127" t="n"/>
      <c r="J1867" s="127" t="n"/>
      <c r="K1867" s="127" t="inlineStr"/>
      <c r="L1867" s="127" t="n"/>
      <c r="M1867" s="127" t="n"/>
      <c r="N1867" s="127" t="n"/>
      <c r="O1867" s="127" t="n"/>
      <c r="P1867" s="127" t="n"/>
      <c r="Q1867" s="127" t="n"/>
      <c r="R1867" s="127" t="n"/>
      <c r="S1867" s="127" t="n"/>
      <c r="T1867" s="127" t="n"/>
      <c r="U1867" s="127" t="n"/>
      <c r="V1867" s="127" t="n"/>
      <c r="W1867" s="127" t="n"/>
      <c r="X1867" s="127" t="n"/>
      <c r="Y1867" s="127" t="n"/>
      <c r="Z1867" s="127" t="n"/>
    </row>
    <row r="1868">
      <c r="A1868" s="217" t="n"/>
      <c r="B1868" s="126" t="n"/>
      <c r="C1868" s="126" t="n"/>
      <c r="D1868" s="126" t="n"/>
      <c r="E1868" s="126" t="n"/>
      <c r="F1868" s="127" t="n"/>
      <c r="G1868" s="127" t="inlineStr"/>
      <c r="H1868" s="127" t="inlineStr"/>
      <c r="I1868" s="127" t="n"/>
      <c r="J1868" s="127" t="n"/>
      <c r="K1868" s="127" t="inlineStr"/>
      <c r="L1868" s="127" t="n"/>
      <c r="M1868" s="127" t="n"/>
      <c r="N1868" s="127" t="n"/>
      <c r="O1868" s="127" t="n"/>
      <c r="P1868" s="127" t="n"/>
      <c r="Q1868" s="127" t="n"/>
      <c r="R1868" s="127" t="n"/>
      <c r="S1868" s="127" t="n"/>
      <c r="T1868" s="127" t="n"/>
      <c r="U1868" s="127" t="n"/>
      <c r="V1868" s="127" t="n"/>
      <c r="W1868" s="127" t="n"/>
      <c r="X1868" s="127" t="n"/>
      <c r="Y1868" s="127" t="n"/>
      <c r="Z1868" s="127" t="n"/>
    </row>
    <row r="1869">
      <c r="A1869" s="217" t="n"/>
      <c r="B1869" s="126" t="n"/>
      <c r="C1869" s="126" t="n"/>
      <c r="D1869" s="126" t="n"/>
      <c r="E1869" s="126" t="n"/>
      <c r="F1869" s="127" t="n"/>
      <c r="G1869" s="127" t="inlineStr"/>
      <c r="H1869" s="127" t="inlineStr"/>
      <c r="I1869" s="127" t="n"/>
      <c r="J1869" s="127" t="n"/>
      <c r="K1869" s="127" t="inlineStr"/>
      <c r="L1869" s="127" t="n"/>
      <c r="M1869" s="127" t="n"/>
      <c r="N1869" s="127" t="n"/>
      <c r="O1869" s="127" t="n"/>
      <c r="P1869" s="127" t="n"/>
      <c r="Q1869" s="127" t="n"/>
      <c r="R1869" s="127" t="n"/>
      <c r="S1869" s="127" t="n"/>
      <c r="T1869" s="127" t="n"/>
      <c r="U1869" s="127" t="n"/>
      <c r="V1869" s="127" t="n"/>
      <c r="W1869" s="127" t="n"/>
      <c r="X1869" s="127" t="n"/>
      <c r="Y1869" s="127" t="n"/>
      <c r="Z1869" s="127" t="n"/>
    </row>
    <row r="1870">
      <c r="A1870" s="217" t="n"/>
      <c r="B1870" s="126" t="n"/>
      <c r="C1870" s="126" t="n"/>
      <c r="D1870" s="126" t="n"/>
      <c r="E1870" s="126" t="n"/>
      <c r="F1870" s="127" t="n"/>
      <c r="G1870" s="127" t="inlineStr"/>
      <c r="H1870" s="127" t="inlineStr"/>
      <c r="I1870" s="127" t="n"/>
      <c r="J1870" s="127" t="n"/>
      <c r="K1870" s="127" t="inlineStr"/>
      <c r="L1870" s="127" t="n"/>
      <c r="M1870" s="127" t="n"/>
      <c r="N1870" s="127" t="n"/>
      <c r="O1870" s="127" t="n"/>
      <c r="P1870" s="127" t="n"/>
      <c r="Q1870" s="127" t="n"/>
      <c r="R1870" s="127" t="n"/>
      <c r="S1870" s="127" t="n"/>
      <c r="T1870" s="127" t="n"/>
      <c r="U1870" s="127" t="n"/>
      <c r="V1870" s="127" t="n"/>
      <c r="W1870" s="127" t="n"/>
      <c r="X1870" s="127" t="n"/>
      <c r="Y1870" s="127" t="n"/>
      <c r="Z1870" s="127" t="n"/>
    </row>
    <row r="1871">
      <c r="A1871" s="217" t="n"/>
      <c r="B1871" s="126" t="n"/>
      <c r="C1871" s="126" t="n"/>
      <c r="D1871" s="126" t="n"/>
      <c r="E1871" s="126" t="n"/>
      <c r="F1871" s="127" t="n"/>
      <c r="G1871" s="127" t="inlineStr"/>
      <c r="H1871" s="127" t="inlineStr"/>
      <c r="I1871" s="127" t="n"/>
      <c r="J1871" s="127" t="n"/>
      <c r="K1871" s="127" t="inlineStr"/>
      <c r="L1871" s="127" t="n"/>
      <c r="M1871" s="127" t="n"/>
      <c r="N1871" s="127" t="n"/>
      <c r="O1871" s="127" t="n"/>
      <c r="P1871" s="127" t="n"/>
      <c r="Q1871" s="127" t="n"/>
      <c r="R1871" s="127" t="n"/>
      <c r="S1871" s="127" t="n"/>
      <c r="T1871" s="127" t="n"/>
      <c r="U1871" s="127" t="n"/>
      <c r="V1871" s="127" t="n"/>
      <c r="W1871" s="127" t="n"/>
      <c r="X1871" s="127" t="n"/>
      <c r="Y1871" s="127" t="n"/>
      <c r="Z1871" s="127" t="n"/>
    </row>
    <row r="1872">
      <c r="A1872" s="217" t="n"/>
      <c r="B1872" s="126" t="n"/>
      <c r="C1872" s="126" t="n"/>
      <c r="D1872" s="126" t="n"/>
      <c r="E1872" s="126" t="n"/>
      <c r="F1872" s="127" t="n"/>
      <c r="G1872" s="127" t="inlineStr"/>
      <c r="H1872" s="127" t="inlineStr"/>
      <c r="I1872" s="127" t="n"/>
      <c r="J1872" s="127" t="n"/>
      <c r="K1872" s="127" t="inlineStr"/>
      <c r="L1872" s="127" t="n"/>
      <c r="M1872" s="127" t="n"/>
      <c r="N1872" s="127" t="n"/>
      <c r="O1872" s="127" t="n"/>
      <c r="P1872" s="127" t="n"/>
      <c r="Q1872" s="127" t="n"/>
      <c r="R1872" s="127" t="n"/>
      <c r="S1872" s="127" t="n"/>
      <c r="T1872" s="127" t="n"/>
      <c r="U1872" s="127" t="n"/>
      <c r="V1872" s="127" t="n"/>
      <c r="W1872" s="127" t="n"/>
      <c r="X1872" s="127" t="n"/>
      <c r="Y1872" s="127" t="n"/>
      <c r="Z1872" s="127" t="n"/>
    </row>
    <row r="1873">
      <c r="A1873" s="217" t="n"/>
      <c r="B1873" s="126" t="n"/>
      <c r="C1873" s="126" t="n"/>
      <c r="D1873" s="126" t="n"/>
      <c r="E1873" s="126" t="n"/>
      <c r="F1873" s="127" t="n"/>
      <c r="G1873" s="127" t="inlineStr"/>
      <c r="H1873" s="127" t="inlineStr"/>
      <c r="I1873" s="127" t="n"/>
      <c r="J1873" s="127" t="n"/>
      <c r="K1873" s="127" t="inlineStr"/>
      <c r="L1873" s="127" t="n"/>
      <c r="M1873" s="127" t="n"/>
      <c r="N1873" s="127" t="n"/>
      <c r="O1873" s="127" t="n"/>
      <c r="P1873" s="127" t="n"/>
      <c r="Q1873" s="127" t="n"/>
      <c r="R1873" s="127" t="n"/>
      <c r="S1873" s="127" t="n"/>
      <c r="T1873" s="127" t="n"/>
      <c r="U1873" s="127" t="n"/>
      <c r="V1873" s="127" t="n"/>
      <c r="W1873" s="127" t="n"/>
      <c r="X1873" s="127" t="n"/>
      <c r="Y1873" s="127" t="n"/>
      <c r="Z1873" s="127" t="n"/>
    </row>
    <row r="1874">
      <c r="A1874" s="217" t="n"/>
      <c r="B1874" s="126" t="n"/>
      <c r="C1874" s="126" t="n"/>
      <c r="D1874" s="126" t="n"/>
      <c r="E1874" s="126" t="n"/>
      <c r="F1874" s="127" t="n"/>
      <c r="G1874" s="127" t="inlineStr"/>
      <c r="H1874" s="127" t="inlineStr"/>
      <c r="I1874" s="127" t="n"/>
      <c r="J1874" s="127" t="n"/>
      <c r="K1874" s="127" t="inlineStr"/>
      <c r="L1874" s="127" t="n"/>
      <c r="M1874" s="127" t="n"/>
      <c r="N1874" s="127" t="n"/>
      <c r="O1874" s="127" t="n"/>
      <c r="P1874" s="127" t="n"/>
      <c r="Q1874" s="127" t="n"/>
      <c r="R1874" s="127" t="n"/>
      <c r="S1874" s="127" t="n"/>
      <c r="T1874" s="127" t="n"/>
      <c r="U1874" s="127" t="n"/>
      <c r="V1874" s="127" t="n"/>
      <c r="W1874" s="127" t="n"/>
      <c r="X1874" s="127" t="n"/>
      <c r="Y1874" s="127" t="n"/>
      <c r="Z1874" s="127" t="n"/>
    </row>
    <row r="1875">
      <c r="A1875" s="217" t="n"/>
      <c r="B1875" s="126" t="n"/>
      <c r="C1875" s="126" t="n"/>
      <c r="D1875" s="126" t="n"/>
      <c r="E1875" s="126" t="n"/>
      <c r="F1875" s="127" t="n"/>
      <c r="G1875" s="127" t="inlineStr"/>
      <c r="H1875" s="127" t="inlineStr"/>
      <c r="I1875" s="127" t="n"/>
      <c r="J1875" s="127" t="n"/>
      <c r="K1875" s="127" t="inlineStr"/>
      <c r="L1875" s="127" t="n"/>
      <c r="M1875" s="127" t="n"/>
      <c r="N1875" s="127" t="n"/>
      <c r="O1875" s="127" t="n"/>
      <c r="P1875" s="127" t="n"/>
      <c r="Q1875" s="127" t="n"/>
      <c r="R1875" s="127" t="n"/>
      <c r="S1875" s="127" t="n"/>
      <c r="T1875" s="127" t="n"/>
      <c r="U1875" s="127" t="n"/>
      <c r="V1875" s="127" t="n"/>
      <c r="W1875" s="127" t="n"/>
      <c r="X1875" s="127" t="n"/>
      <c r="Y1875" s="127" t="n"/>
      <c r="Z1875" s="127" t="n"/>
    </row>
    <row r="1876">
      <c r="A1876" s="217" t="n"/>
      <c r="B1876" s="126" t="n"/>
      <c r="C1876" s="126" t="n"/>
      <c r="D1876" s="126" t="n"/>
      <c r="E1876" s="126" t="n"/>
      <c r="F1876" s="127" t="n"/>
      <c r="G1876" s="127" t="inlineStr"/>
      <c r="H1876" s="127" t="inlineStr"/>
      <c r="I1876" s="127" t="n"/>
      <c r="J1876" s="127" t="n"/>
      <c r="K1876" s="127" t="inlineStr"/>
      <c r="L1876" s="127" t="n"/>
      <c r="M1876" s="127" t="n"/>
      <c r="N1876" s="127" t="n"/>
      <c r="O1876" s="127" t="n"/>
      <c r="P1876" s="127" t="n"/>
      <c r="Q1876" s="127" t="n"/>
      <c r="R1876" s="127" t="n"/>
      <c r="S1876" s="127" t="n"/>
      <c r="T1876" s="127" t="n"/>
      <c r="U1876" s="127" t="n"/>
      <c r="V1876" s="127" t="n"/>
      <c r="W1876" s="127" t="n"/>
      <c r="X1876" s="127" t="n"/>
      <c r="Y1876" s="127" t="n"/>
      <c r="Z1876" s="127" t="n"/>
    </row>
    <row r="1877">
      <c r="A1877" s="217" t="n"/>
      <c r="B1877" s="126" t="n"/>
      <c r="C1877" s="126" t="n"/>
      <c r="D1877" s="126" t="n"/>
      <c r="E1877" s="126" t="n"/>
      <c r="F1877" s="127" t="n"/>
      <c r="G1877" s="127" t="inlineStr"/>
      <c r="H1877" s="127" t="inlineStr"/>
      <c r="I1877" s="127" t="n"/>
      <c r="J1877" s="127" t="n"/>
      <c r="K1877" s="127" t="inlineStr"/>
      <c r="L1877" s="127" t="n"/>
      <c r="M1877" s="127" t="n"/>
      <c r="N1877" s="127" t="n"/>
      <c r="O1877" s="127" t="n"/>
      <c r="P1877" s="127" t="n"/>
      <c r="Q1877" s="127" t="n"/>
      <c r="R1877" s="127" t="n"/>
      <c r="S1877" s="127" t="n"/>
      <c r="T1877" s="127" t="n"/>
      <c r="U1877" s="127" t="n"/>
      <c r="V1877" s="127" t="n"/>
      <c r="W1877" s="127" t="n"/>
      <c r="X1877" s="127" t="n"/>
      <c r="Y1877" s="127" t="n"/>
      <c r="Z1877" s="127" t="n"/>
    </row>
    <row r="1878">
      <c r="A1878" s="217" t="n"/>
      <c r="B1878" s="126" t="n"/>
      <c r="C1878" s="126" t="n"/>
      <c r="D1878" s="126" t="n"/>
      <c r="E1878" s="126" t="n"/>
      <c r="F1878" s="127" t="n"/>
      <c r="G1878" s="127" t="inlineStr"/>
      <c r="H1878" s="127" t="inlineStr"/>
      <c r="I1878" s="127" t="n"/>
      <c r="J1878" s="127" t="n"/>
      <c r="K1878" s="127" t="inlineStr"/>
      <c r="L1878" s="127" t="n"/>
      <c r="M1878" s="127" t="n"/>
      <c r="N1878" s="127" t="n"/>
      <c r="O1878" s="127" t="n"/>
      <c r="P1878" s="127" t="n"/>
      <c r="Q1878" s="127" t="n"/>
      <c r="R1878" s="127" t="n"/>
      <c r="S1878" s="127" t="n"/>
      <c r="T1878" s="127" t="n"/>
      <c r="U1878" s="127" t="n"/>
      <c r="V1878" s="127" t="n"/>
      <c r="W1878" s="127" t="n"/>
      <c r="X1878" s="127" t="n"/>
      <c r="Y1878" s="127" t="n"/>
      <c r="Z1878" s="127" t="n"/>
    </row>
    <row r="1879">
      <c r="A1879" s="217" t="n"/>
      <c r="B1879" s="126" t="n"/>
      <c r="C1879" s="126" t="n"/>
      <c r="D1879" s="126" t="n"/>
      <c r="E1879" s="126" t="n"/>
      <c r="F1879" s="127" t="n"/>
      <c r="G1879" s="127" t="inlineStr"/>
      <c r="H1879" s="127" t="inlineStr"/>
      <c r="I1879" s="127" t="n"/>
      <c r="J1879" s="127" t="n"/>
      <c r="K1879" s="127" t="inlineStr"/>
      <c r="L1879" s="127" t="n"/>
      <c r="M1879" s="127" t="n"/>
      <c r="N1879" s="127" t="n"/>
      <c r="O1879" s="127" t="n"/>
      <c r="P1879" s="127" t="n"/>
      <c r="Q1879" s="127" t="n"/>
      <c r="R1879" s="127" t="n"/>
      <c r="S1879" s="127" t="n"/>
      <c r="T1879" s="127" t="n"/>
      <c r="U1879" s="127" t="n"/>
      <c r="V1879" s="127" t="n"/>
      <c r="W1879" s="127" t="n"/>
      <c r="X1879" s="127" t="n"/>
      <c r="Y1879" s="127" t="n"/>
      <c r="Z1879" s="127" t="n"/>
    </row>
    <row r="1880">
      <c r="A1880" s="217" t="n"/>
      <c r="B1880" s="126" t="n"/>
      <c r="C1880" s="126" t="n"/>
      <c r="D1880" s="126" t="n"/>
      <c r="E1880" s="126" t="n"/>
      <c r="F1880" s="127" t="n"/>
      <c r="G1880" s="127" t="inlineStr"/>
      <c r="H1880" s="127" t="inlineStr"/>
      <c r="I1880" s="127" t="n"/>
      <c r="J1880" s="127" t="n"/>
      <c r="K1880" s="127" t="inlineStr"/>
      <c r="L1880" s="127" t="n"/>
      <c r="M1880" s="127" t="n"/>
      <c r="N1880" s="127" t="n"/>
      <c r="O1880" s="127" t="n"/>
      <c r="P1880" s="127" t="n"/>
      <c r="Q1880" s="127" t="n"/>
      <c r="R1880" s="127" t="n"/>
      <c r="S1880" s="127" t="n"/>
      <c r="T1880" s="127" t="n"/>
      <c r="U1880" s="127" t="n"/>
      <c r="V1880" s="127" t="n"/>
      <c r="W1880" s="127" t="n"/>
      <c r="X1880" s="127" t="n"/>
      <c r="Y1880" s="127" t="n"/>
      <c r="Z1880" s="127" t="n"/>
    </row>
    <row r="1881">
      <c r="A1881" s="217" t="n"/>
      <c r="B1881" s="126" t="n"/>
      <c r="C1881" s="126" t="n"/>
      <c r="D1881" s="126" t="n"/>
      <c r="E1881" s="126" t="n"/>
      <c r="F1881" s="127" t="n"/>
      <c r="G1881" s="127" t="inlineStr"/>
      <c r="H1881" s="127" t="inlineStr"/>
      <c r="I1881" s="127" t="n"/>
      <c r="J1881" s="127" t="n"/>
      <c r="K1881" s="127" t="inlineStr"/>
      <c r="L1881" s="127" t="n"/>
      <c r="M1881" s="127" t="n"/>
      <c r="N1881" s="127" t="n"/>
      <c r="O1881" s="127" t="n"/>
      <c r="P1881" s="127" t="n"/>
      <c r="Q1881" s="127" t="n"/>
      <c r="R1881" s="127" t="n"/>
      <c r="S1881" s="127" t="n"/>
      <c r="T1881" s="127" t="n"/>
      <c r="U1881" s="127" t="n"/>
      <c r="V1881" s="127" t="n"/>
      <c r="W1881" s="127" t="n"/>
      <c r="X1881" s="127" t="n"/>
      <c r="Y1881" s="127" t="n"/>
      <c r="Z1881" s="127" t="n"/>
    </row>
    <row r="1882">
      <c r="A1882" s="217" t="n"/>
      <c r="B1882" s="126" t="n"/>
      <c r="C1882" s="126" t="n"/>
      <c r="D1882" s="126" t="n"/>
      <c r="E1882" s="126" t="n"/>
      <c r="F1882" s="127" t="n"/>
      <c r="G1882" s="127" t="inlineStr"/>
      <c r="H1882" s="127" t="inlineStr"/>
      <c r="I1882" s="127" t="n"/>
      <c r="J1882" s="127" t="n"/>
      <c r="K1882" s="127" t="inlineStr"/>
      <c r="L1882" s="127" t="n"/>
      <c r="M1882" s="127" t="n"/>
      <c r="N1882" s="127" t="n"/>
      <c r="O1882" s="127" t="n"/>
      <c r="P1882" s="127" t="n"/>
      <c r="Q1882" s="127" t="n"/>
      <c r="R1882" s="127" t="n"/>
      <c r="S1882" s="127" t="n"/>
      <c r="T1882" s="127" t="n"/>
      <c r="U1882" s="127" t="n"/>
      <c r="V1882" s="127" t="n"/>
      <c r="W1882" s="127" t="n"/>
      <c r="X1882" s="127" t="n"/>
      <c r="Y1882" s="127" t="n"/>
      <c r="Z1882" s="127" t="n"/>
    </row>
    <row r="1883">
      <c r="A1883" s="217" t="n"/>
      <c r="B1883" s="126" t="n"/>
      <c r="C1883" s="126" t="n"/>
      <c r="D1883" s="126" t="n"/>
      <c r="E1883" s="126" t="n"/>
      <c r="F1883" s="127" t="n"/>
      <c r="G1883" s="127" t="inlineStr"/>
      <c r="H1883" s="127" t="inlineStr"/>
      <c r="I1883" s="127" t="n"/>
      <c r="J1883" s="127" t="n"/>
      <c r="K1883" s="127" t="inlineStr"/>
      <c r="L1883" s="127" t="n"/>
      <c r="M1883" s="127" t="n"/>
      <c r="N1883" s="127" t="n"/>
      <c r="O1883" s="127" t="n"/>
      <c r="P1883" s="127" t="n"/>
      <c r="Q1883" s="127" t="n"/>
      <c r="R1883" s="127" t="n"/>
      <c r="S1883" s="127" t="n"/>
      <c r="T1883" s="127" t="n"/>
      <c r="U1883" s="127" t="n"/>
      <c r="V1883" s="127" t="n"/>
      <c r="W1883" s="127" t="n"/>
      <c r="X1883" s="127" t="n"/>
      <c r="Y1883" s="127" t="n"/>
      <c r="Z1883" s="127" t="n"/>
    </row>
    <row r="1884">
      <c r="A1884" s="217" t="n"/>
      <c r="B1884" s="126" t="n"/>
      <c r="C1884" s="126" t="n"/>
      <c r="D1884" s="126" t="n"/>
      <c r="E1884" s="126" t="n"/>
      <c r="F1884" s="127" t="n"/>
      <c r="G1884" s="127" t="inlineStr"/>
      <c r="H1884" s="127" t="inlineStr"/>
      <c r="I1884" s="127" t="n"/>
      <c r="J1884" s="127" t="n"/>
      <c r="K1884" s="127" t="inlineStr"/>
      <c r="L1884" s="127" t="n"/>
      <c r="M1884" s="127" t="n"/>
      <c r="N1884" s="127" t="n"/>
      <c r="O1884" s="127" t="n"/>
      <c r="P1884" s="127" t="n"/>
      <c r="Q1884" s="127" t="n"/>
      <c r="R1884" s="127" t="n"/>
      <c r="S1884" s="127" t="n"/>
      <c r="T1884" s="127" t="n"/>
      <c r="U1884" s="127" t="n"/>
      <c r="V1884" s="127" t="n"/>
      <c r="W1884" s="127" t="n"/>
      <c r="X1884" s="127" t="n"/>
      <c r="Y1884" s="127" t="n"/>
      <c r="Z1884" s="127" t="n"/>
    </row>
    <row r="1885">
      <c r="A1885" s="217" t="n"/>
      <c r="B1885" s="126" t="n"/>
      <c r="C1885" s="126" t="n"/>
      <c r="D1885" s="126" t="n"/>
      <c r="E1885" s="126" t="n"/>
      <c r="F1885" s="127" t="n"/>
      <c r="G1885" s="127" t="inlineStr"/>
      <c r="H1885" s="127" t="inlineStr"/>
      <c r="I1885" s="127" t="n"/>
      <c r="J1885" s="127" t="n"/>
      <c r="K1885" s="127" t="inlineStr"/>
      <c r="L1885" s="127" t="n"/>
      <c r="M1885" s="127" t="n"/>
      <c r="N1885" s="127" t="n"/>
      <c r="O1885" s="127" t="n"/>
      <c r="P1885" s="127" t="n"/>
      <c r="Q1885" s="127" t="n"/>
      <c r="R1885" s="127" t="n"/>
      <c r="S1885" s="127" t="n"/>
      <c r="T1885" s="127" t="n"/>
      <c r="U1885" s="127" t="n"/>
      <c r="V1885" s="127" t="n"/>
      <c r="W1885" s="127" t="n"/>
      <c r="X1885" s="127" t="n"/>
      <c r="Y1885" s="127" t="n"/>
      <c r="Z1885" s="127" t="n"/>
    </row>
    <row r="1886">
      <c r="A1886" s="217" t="n"/>
      <c r="B1886" s="126" t="n"/>
      <c r="C1886" s="126" t="n"/>
      <c r="D1886" s="126" t="n"/>
      <c r="E1886" s="126" t="n"/>
      <c r="F1886" s="127" t="n"/>
      <c r="G1886" s="127" t="inlineStr"/>
      <c r="H1886" s="127" t="inlineStr"/>
      <c r="I1886" s="127" t="n"/>
      <c r="J1886" s="127" t="n"/>
      <c r="K1886" s="127" t="inlineStr"/>
      <c r="L1886" s="127" t="n"/>
      <c r="M1886" s="127" t="n"/>
      <c r="N1886" s="127" t="n"/>
      <c r="O1886" s="127" t="n"/>
      <c r="P1886" s="127" t="n"/>
      <c r="Q1886" s="127" t="n"/>
      <c r="R1886" s="127" t="n"/>
      <c r="S1886" s="127" t="n"/>
      <c r="T1886" s="127" t="n"/>
      <c r="U1886" s="127" t="n"/>
      <c r="V1886" s="127" t="n"/>
      <c r="W1886" s="127" t="n"/>
      <c r="X1886" s="127" t="n"/>
      <c r="Y1886" s="127" t="n"/>
      <c r="Z1886" s="127" t="n"/>
    </row>
    <row r="1887">
      <c r="A1887" s="217" t="n"/>
      <c r="B1887" s="126" t="n"/>
      <c r="C1887" s="126" t="n"/>
      <c r="D1887" s="126" t="n"/>
      <c r="E1887" s="126" t="n"/>
      <c r="F1887" s="127" t="n"/>
      <c r="G1887" s="127" t="inlineStr"/>
      <c r="H1887" s="127" t="inlineStr"/>
      <c r="I1887" s="127" t="n"/>
      <c r="J1887" s="127" t="n"/>
      <c r="K1887" s="127" t="inlineStr"/>
      <c r="L1887" s="127" t="n"/>
      <c r="M1887" s="127" t="n"/>
      <c r="N1887" s="127" t="n"/>
      <c r="O1887" s="127" t="n"/>
      <c r="P1887" s="127" t="n"/>
      <c r="Q1887" s="127" t="n"/>
      <c r="R1887" s="127" t="n"/>
      <c r="S1887" s="127" t="n"/>
      <c r="T1887" s="127" t="n"/>
      <c r="U1887" s="127" t="n"/>
      <c r="V1887" s="127" t="n"/>
      <c r="W1887" s="127" t="n"/>
      <c r="X1887" s="127" t="n"/>
      <c r="Y1887" s="127" t="n"/>
      <c r="Z1887" s="127" t="n"/>
    </row>
    <row r="1888">
      <c r="A1888" s="217" t="n"/>
      <c r="B1888" s="126" t="n"/>
      <c r="C1888" s="126" t="n"/>
      <c r="D1888" s="126" t="n"/>
      <c r="E1888" s="126" t="n"/>
      <c r="F1888" s="127" t="n"/>
      <c r="G1888" s="127" t="inlineStr"/>
      <c r="H1888" s="127" t="inlineStr"/>
      <c r="I1888" s="127" t="n"/>
      <c r="J1888" s="127" t="n"/>
      <c r="K1888" s="127" t="inlineStr"/>
      <c r="L1888" s="127" t="n"/>
      <c r="M1888" s="127" t="n"/>
      <c r="N1888" s="127" t="n"/>
      <c r="O1888" s="127" t="n"/>
      <c r="P1888" s="127" t="n"/>
      <c r="Q1888" s="127" t="n"/>
      <c r="R1888" s="127" t="n"/>
      <c r="S1888" s="127" t="n"/>
      <c r="T1888" s="127" t="n"/>
      <c r="U1888" s="127" t="n"/>
      <c r="V1888" s="127" t="n"/>
      <c r="W1888" s="127" t="n"/>
      <c r="X1888" s="127" t="n"/>
      <c r="Y1888" s="127" t="n"/>
      <c r="Z1888" s="127" t="n"/>
    </row>
    <row r="1889">
      <c r="A1889" s="217" t="n"/>
      <c r="B1889" s="126" t="n"/>
      <c r="C1889" s="126" t="n"/>
      <c r="D1889" s="126" t="n"/>
      <c r="E1889" s="126" t="n"/>
      <c r="F1889" s="127" t="n"/>
      <c r="G1889" s="127" t="inlineStr"/>
      <c r="H1889" s="127" t="inlineStr"/>
      <c r="I1889" s="127" t="n"/>
      <c r="J1889" s="127" t="n"/>
      <c r="K1889" s="127" t="inlineStr"/>
      <c r="L1889" s="127" t="n"/>
      <c r="M1889" s="127" t="n"/>
      <c r="N1889" s="127" t="n"/>
      <c r="O1889" s="127" t="n"/>
      <c r="P1889" s="127" t="n"/>
      <c r="Q1889" s="127" t="n"/>
      <c r="R1889" s="127" t="n"/>
      <c r="S1889" s="127" t="n"/>
      <c r="T1889" s="127" t="n"/>
      <c r="U1889" s="127" t="n"/>
      <c r="V1889" s="127" t="n"/>
      <c r="W1889" s="127" t="n"/>
      <c r="X1889" s="127" t="n"/>
      <c r="Y1889" s="127" t="n"/>
      <c r="Z1889" s="127" t="n"/>
    </row>
    <row r="1890">
      <c r="A1890" s="217" t="n"/>
      <c r="B1890" s="126" t="n"/>
      <c r="C1890" s="126" t="n"/>
      <c r="D1890" s="126" t="n"/>
      <c r="E1890" s="126" t="n"/>
      <c r="F1890" s="127" t="n"/>
      <c r="G1890" s="127" t="inlineStr"/>
      <c r="H1890" s="127" t="inlineStr"/>
      <c r="I1890" s="127" t="n"/>
      <c r="J1890" s="127" t="n"/>
      <c r="K1890" s="127" t="inlineStr"/>
      <c r="L1890" s="127" t="n"/>
      <c r="M1890" s="127" t="n"/>
      <c r="N1890" s="127" t="n"/>
      <c r="O1890" s="127" t="n"/>
      <c r="P1890" s="127" t="n"/>
      <c r="Q1890" s="127" t="n"/>
      <c r="R1890" s="127" t="n"/>
      <c r="S1890" s="127" t="n"/>
      <c r="T1890" s="127" t="n"/>
      <c r="U1890" s="127" t="n"/>
      <c r="V1890" s="127" t="n"/>
      <c r="W1890" s="127" t="n"/>
      <c r="X1890" s="127" t="n"/>
      <c r="Y1890" s="127" t="n"/>
      <c r="Z1890" s="127" t="n"/>
    </row>
    <row r="1891">
      <c r="A1891" s="217" t="n"/>
      <c r="B1891" s="126" t="n"/>
      <c r="C1891" s="126" t="n"/>
      <c r="D1891" s="126" t="n"/>
      <c r="E1891" s="126" t="n"/>
      <c r="F1891" s="127" t="n"/>
      <c r="G1891" s="127" t="inlineStr"/>
      <c r="H1891" s="127" t="inlineStr"/>
      <c r="I1891" s="127" t="n"/>
      <c r="J1891" s="127" t="n"/>
      <c r="K1891" s="127" t="inlineStr"/>
      <c r="L1891" s="127" t="n"/>
      <c r="M1891" s="127" t="n"/>
      <c r="N1891" s="127" t="n"/>
      <c r="O1891" s="127" t="n"/>
      <c r="P1891" s="127" t="n"/>
      <c r="Q1891" s="127" t="n"/>
      <c r="R1891" s="127" t="n"/>
      <c r="S1891" s="127" t="n"/>
      <c r="T1891" s="127" t="n"/>
      <c r="U1891" s="127" t="n"/>
      <c r="V1891" s="127" t="n"/>
      <c r="W1891" s="127" t="n"/>
      <c r="X1891" s="127" t="n"/>
      <c r="Y1891" s="127" t="n"/>
      <c r="Z1891" s="127" t="n"/>
    </row>
    <row r="1892">
      <c r="A1892" s="217" t="n"/>
      <c r="B1892" s="126" t="n"/>
      <c r="C1892" s="126" t="n"/>
      <c r="D1892" s="126" t="n"/>
      <c r="E1892" s="126" t="n"/>
      <c r="F1892" s="127" t="n"/>
      <c r="G1892" s="127" t="inlineStr"/>
      <c r="H1892" s="127" t="inlineStr"/>
      <c r="I1892" s="127" t="n"/>
      <c r="J1892" s="127" t="n"/>
      <c r="K1892" s="127" t="inlineStr"/>
      <c r="L1892" s="127" t="n"/>
      <c r="M1892" s="127" t="n"/>
      <c r="N1892" s="127" t="n"/>
      <c r="O1892" s="127" t="n"/>
      <c r="P1892" s="127" t="n"/>
      <c r="Q1892" s="127" t="n"/>
      <c r="R1892" s="127" t="n"/>
      <c r="S1892" s="127" t="n"/>
      <c r="T1892" s="127" t="n"/>
      <c r="U1892" s="127" t="n"/>
      <c r="V1892" s="127" t="n"/>
      <c r="W1892" s="127" t="n"/>
      <c r="X1892" s="127" t="n"/>
      <c r="Y1892" s="127" t="n"/>
      <c r="Z1892" s="127" t="n"/>
    </row>
    <row r="1893">
      <c r="A1893" s="217" t="n"/>
      <c r="B1893" s="126" t="n"/>
      <c r="C1893" s="126" t="n"/>
      <c r="D1893" s="126" t="n"/>
      <c r="E1893" s="126" t="n"/>
      <c r="F1893" s="127" t="n"/>
      <c r="G1893" s="127" t="inlineStr"/>
      <c r="H1893" s="127" t="inlineStr"/>
      <c r="I1893" s="127" t="n"/>
      <c r="J1893" s="127" t="n"/>
      <c r="K1893" s="127" t="inlineStr"/>
      <c r="L1893" s="127" t="n"/>
      <c r="M1893" s="127" t="n"/>
      <c r="N1893" s="127" t="n"/>
      <c r="O1893" s="127" t="n"/>
      <c r="P1893" s="127" t="n"/>
      <c r="Q1893" s="127" t="n"/>
      <c r="R1893" s="127" t="n"/>
      <c r="S1893" s="127" t="n"/>
      <c r="T1893" s="127" t="n"/>
      <c r="U1893" s="127" t="n"/>
      <c r="V1893" s="127" t="n"/>
      <c r="W1893" s="127" t="n"/>
      <c r="X1893" s="127" t="n"/>
      <c r="Y1893" s="127" t="n"/>
      <c r="Z1893" s="127" t="n"/>
    </row>
    <row r="1894">
      <c r="A1894" s="217" t="n"/>
      <c r="B1894" s="126" t="n"/>
      <c r="C1894" s="126" t="n"/>
      <c r="D1894" s="126" t="n"/>
      <c r="E1894" s="126" t="n"/>
      <c r="F1894" s="127" t="n"/>
      <c r="G1894" s="127" t="inlineStr"/>
      <c r="H1894" s="127" t="inlineStr"/>
      <c r="I1894" s="127" t="n"/>
      <c r="J1894" s="127" t="n"/>
      <c r="K1894" s="127" t="inlineStr"/>
      <c r="L1894" s="127" t="n"/>
      <c r="M1894" s="127" t="n"/>
      <c r="N1894" s="127" t="n"/>
      <c r="O1894" s="127" t="n"/>
      <c r="P1894" s="127" t="n"/>
      <c r="Q1894" s="127" t="n"/>
      <c r="R1894" s="127" t="n"/>
      <c r="S1894" s="127" t="n"/>
      <c r="T1894" s="127" t="n"/>
      <c r="U1894" s="127" t="n"/>
      <c r="V1894" s="127" t="n"/>
      <c r="W1894" s="127" t="n"/>
      <c r="X1894" s="127" t="n"/>
      <c r="Y1894" s="127" t="n"/>
      <c r="Z1894" s="127" t="n"/>
    </row>
    <row r="1895">
      <c r="A1895" s="217" t="n"/>
      <c r="B1895" s="126" t="n"/>
      <c r="C1895" s="126" t="n"/>
      <c r="D1895" s="126" t="n"/>
      <c r="E1895" s="126" t="n"/>
      <c r="F1895" s="127" t="n"/>
      <c r="G1895" s="127" t="inlineStr"/>
      <c r="H1895" s="127" t="inlineStr"/>
      <c r="I1895" s="127" t="n"/>
      <c r="J1895" s="127" t="n"/>
      <c r="K1895" s="127" t="inlineStr"/>
      <c r="L1895" s="127" t="n"/>
      <c r="M1895" s="127" t="n"/>
      <c r="N1895" s="127" t="n"/>
      <c r="O1895" s="127" t="n"/>
      <c r="P1895" s="127" t="n"/>
      <c r="Q1895" s="127" t="n"/>
      <c r="R1895" s="127" t="n"/>
      <c r="S1895" s="127" t="n"/>
      <c r="T1895" s="127" t="n"/>
      <c r="U1895" s="127" t="n"/>
      <c r="V1895" s="127" t="n"/>
      <c r="W1895" s="127" t="n"/>
      <c r="X1895" s="127" t="n"/>
      <c r="Y1895" s="127" t="n"/>
      <c r="Z1895" s="127" t="n"/>
    </row>
    <row r="1896">
      <c r="A1896" s="217" t="n"/>
      <c r="B1896" s="126" t="n"/>
      <c r="C1896" s="126" t="n"/>
      <c r="D1896" s="126" t="n"/>
      <c r="E1896" s="126" t="n"/>
      <c r="F1896" s="127" t="n"/>
      <c r="G1896" s="127" t="inlineStr"/>
      <c r="H1896" s="127" t="inlineStr"/>
      <c r="I1896" s="127" t="n"/>
      <c r="J1896" s="127" t="n"/>
      <c r="K1896" s="127" t="inlineStr"/>
      <c r="L1896" s="127" t="n"/>
      <c r="M1896" s="127" t="n"/>
      <c r="N1896" s="127" t="n"/>
      <c r="O1896" s="127" t="n"/>
      <c r="P1896" s="127" t="n"/>
      <c r="Q1896" s="127" t="n"/>
      <c r="R1896" s="127" t="n"/>
      <c r="S1896" s="127" t="n"/>
      <c r="T1896" s="127" t="n"/>
      <c r="U1896" s="127" t="n"/>
      <c r="V1896" s="127" t="n"/>
      <c r="W1896" s="127" t="n"/>
      <c r="X1896" s="127" t="n"/>
      <c r="Y1896" s="127" t="n"/>
      <c r="Z1896" s="127" t="n"/>
    </row>
    <row r="1897">
      <c r="A1897" s="217" t="n"/>
      <c r="B1897" s="126" t="n"/>
      <c r="C1897" s="126" t="n"/>
      <c r="D1897" s="126" t="n"/>
      <c r="E1897" s="126" t="n"/>
      <c r="F1897" s="127" t="n"/>
      <c r="G1897" s="127" t="inlineStr"/>
      <c r="H1897" s="127" t="inlineStr"/>
      <c r="I1897" s="127" t="n"/>
      <c r="J1897" s="127" t="n"/>
      <c r="K1897" s="127" t="inlineStr"/>
      <c r="L1897" s="127" t="n"/>
      <c r="M1897" s="127" t="n"/>
      <c r="N1897" s="127" t="n"/>
      <c r="O1897" s="127" t="n"/>
      <c r="P1897" s="127" t="n"/>
      <c r="Q1897" s="127" t="n"/>
      <c r="R1897" s="127" t="n"/>
      <c r="S1897" s="127" t="n"/>
      <c r="T1897" s="127" t="n"/>
      <c r="U1897" s="127" t="n"/>
      <c r="V1897" s="127" t="n"/>
      <c r="W1897" s="127" t="n"/>
      <c r="X1897" s="127" t="n"/>
      <c r="Y1897" s="127" t="n"/>
      <c r="Z1897" s="127" t="n"/>
    </row>
    <row r="1898">
      <c r="A1898" s="217" t="n"/>
      <c r="B1898" s="126" t="n"/>
      <c r="C1898" s="126" t="n"/>
      <c r="D1898" s="126" t="n"/>
      <c r="E1898" s="126" t="n"/>
      <c r="F1898" s="127" t="n"/>
      <c r="G1898" s="127" t="inlineStr"/>
      <c r="H1898" s="127" t="inlineStr"/>
      <c r="I1898" s="127" t="n"/>
      <c r="J1898" s="127" t="n"/>
      <c r="K1898" s="127" t="inlineStr"/>
      <c r="L1898" s="127" t="n"/>
      <c r="M1898" s="127" t="n"/>
      <c r="N1898" s="127" t="n"/>
      <c r="O1898" s="127" t="n"/>
      <c r="P1898" s="127" t="n"/>
      <c r="Q1898" s="127" t="n"/>
      <c r="R1898" s="127" t="n"/>
      <c r="S1898" s="127" t="n"/>
      <c r="T1898" s="127" t="n"/>
      <c r="U1898" s="127" t="n"/>
      <c r="V1898" s="127" t="n"/>
      <c r="W1898" s="127" t="n"/>
      <c r="X1898" s="127" t="n"/>
      <c r="Y1898" s="127" t="n"/>
      <c r="Z1898" s="127" t="n"/>
    </row>
    <row r="1899">
      <c r="A1899" s="217" t="n"/>
      <c r="B1899" s="126" t="n"/>
      <c r="C1899" s="126" t="n"/>
      <c r="D1899" s="126" t="n"/>
      <c r="E1899" s="126" t="n"/>
      <c r="F1899" s="127" t="n"/>
      <c r="G1899" s="127" t="inlineStr"/>
      <c r="H1899" s="127" t="inlineStr"/>
      <c r="I1899" s="127" t="n"/>
      <c r="J1899" s="127" t="n"/>
      <c r="K1899" s="127" t="inlineStr"/>
      <c r="L1899" s="127" t="n"/>
      <c r="M1899" s="127" t="n"/>
      <c r="N1899" s="127" t="n"/>
      <c r="O1899" s="127" t="n"/>
      <c r="P1899" s="127" t="n"/>
      <c r="Q1899" s="127" t="n"/>
      <c r="R1899" s="127" t="n"/>
      <c r="S1899" s="127" t="n"/>
      <c r="T1899" s="127" t="n"/>
      <c r="U1899" s="127" t="n"/>
      <c r="V1899" s="127" t="n"/>
      <c r="W1899" s="127" t="n"/>
      <c r="X1899" s="127" t="n"/>
      <c r="Y1899" s="127" t="n"/>
      <c r="Z1899" s="127" t="n"/>
    </row>
    <row r="1900">
      <c r="A1900" s="217" t="n"/>
      <c r="B1900" s="126" t="n"/>
      <c r="C1900" s="126" t="n"/>
      <c r="D1900" s="126" t="n"/>
      <c r="E1900" s="126" t="n"/>
      <c r="F1900" s="127" t="n"/>
      <c r="G1900" s="127" t="inlineStr"/>
      <c r="H1900" s="127" t="inlineStr"/>
      <c r="I1900" s="127" t="n"/>
      <c r="J1900" s="127" t="n"/>
      <c r="K1900" s="127" t="inlineStr"/>
      <c r="L1900" s="127" t="n"/>
      <c r="M1900" s="127" t="n"/>
      <c r="N1900" s="127" t="n"/>
      <c r="O1900" s="127" t="n"/>
      <c r="P1900" s="127" t="n"/>
      <c r="Q1900" s="127" t="n"/>
      <c r="R1900" s="127" t="n"/>
      <c r="S1900" s="127" t="n"/>
      <c r="T1900" s="127" t="n"/>
      <c r="U1900" s="127" t="n"/>
      <c r="V1900" s="127" t="n"/>
      <c r="W1900" s="127" t="n"/>
      <c r="X1900" s="127" t="n"/>
      <c r="Y1900" s="127" t="n"/>
      <c r="Z1900" s="127" t="n"/>
    </row>
    <row r="1901">
      <c r="A1901" s="217" t="n"/>
      <c r="B1901" s="126" t="n"/>
      <c r="C1901" s="126" t="n"/>
      <c r="D1901" s="126" t="n"/>
      <c r="E1901" s="126" t="n"/>
      <c r="F1901" s="127" t="n"/>
      <c r="G1901" s="127" t="inlineStr"/>
      <c r="H1901" s="127" t="inlineStr"/>
      <c r="I1901" s="127" t="n"/>
      <c r="J1901" s="127" t="n"/>
      <c r="K1901" s="127" t="inlineStr"/>
      <c r="L1901" s="127" t="n"/>
      <c r="M1901" s="127" t="n"/>
      <c r="N1901" s="127" t="n"/>
      <c r="O1901" s="127" t="n"/>
      <c r="P1901" s="127" t="n"/>
      <c r="Q1901" s="127" t="n"/>
      <c r="R1901" s="127" t="n"/>
      <c r="S1901" s="127" t="n"/>
      <c r="T1901" s="127" t="n"/>
      <c r="U1901" s="127" t="n"/>
      <c r="V1901" s="127" t="n"/>
      <c r="W1901" s="127" t="n"/>
      <c r="X1901" s="127" t="n"/>
      <c r="Y1901" s="127" t="n"/>
      <c r="Z1901" s="127" t="n"/>
    </row>
    <row r="1902">
      <c r="A1902" s="217" t="n"/>
      <c r="B1902" s="126" t="n"/>
      <c r="C1902" s="126" t="n"/>
      <c r="D1902" s="126" t="n"/>
      <c r="E1902" s="126" t="n"/>
      <c r="F1902" s="127" t="n"/>
      <c r="G1902" s="127" t="inlineStr"/>
      <c r="H1902" s="127" t="inlineStr"/>
      <c r="I1902" s="127" t="n"/>
      <c r="J1902" s="127" t="n"/>
      <c r="K1902" s="127" t="inlineStr"/>
      <c r="L1902" s="127" t="n"/>
      <c r="M1902" s="127" t="n"/>
      <c r="N1902" s="127" t="n"/>
      <c r="O1902" s="127" t="n"/>
      <c r="P1902" s="127" t="n"/>
      <c r="Q1902" s="127" t="n"/>
      <c r="R1902" s="127" t="n"/>
      <c r="S1902" s="127" t="n"/>
      <c r="T1902" s="127" t="n"/>
      <c r="U1902" s="127" t="n"/>
      <c r="V1902" s="127" t="n"/>
      <c r="W1902" s="127" t="n"/>
      <c r="X1902" s="127" t="n"/>
      <c r="Y1902" s="127" t="n"/>
      <c r="Z1902" s="127" t="n"/>
    </row>
    <row r="1903">
      <c r="A1903" s="217" t="n"/>
      <c r="B1903" s="126" t="n"/>
      <c r="C1903" s="126" t="n"/>
      <c r="D1903" s="126" t="n"/>
      <c r="E1903" s="126" t="n"/>
      <c r="F1903" s="127" t="n"/>
      <c r="G1903" s="127" t="inlineStr"/>
      <c r="H1903" s="127" t="inlineStr"/>
      <c r="I1903" s="127" t="n"/>
      <c r="J1903" s="127" t="n"/>
      <c r="K1903" s="127" t="inlineStr"/>
      <c r="L1903" s="127" t="n"/>
      <c r="M1903" s="127" t="n"/>
      <c r="N1903" s="127" t="n"/>
      <c r="O1903" s="127" t="n"/>
      <c r="P1903" s="127" t="n"/>
      <c r="Q1903" s="127" t="n"/>
      <c r="R1903" s="127" t="n"/>
      <c r="S1903" s="127" t="n"/>
      <c r="T1903" s="127" t="n"/>
      <c r="U1903" s="127" t="n"/>
      <c r="V1903" s="127" t="n"/>
      <c r="W1903" s="127" t="n"/>
      <c r="X1903" s="127" t="n"/>
      <c r="Y1903" s="127" t="n"/>
      <c r="Z1903" s="127" t="n"/>
    </row>
    <row r="1904">
      <c r="A1904" s="217" t="n"/>
      <c r="B1904" s="126" t="n"/>
      <c r="C1904" s="126" t="n"/>
      <c r="D1904" s="126" t="n"/>
      <c r="E1904" s="126" t="n"/>
      <c r="F1904" s="127" t="n"/>
      <c r="G1904" s="127" t="inlineStr"/>
      <c r="H1904" s="127" t="inlineStr"/>
      <c r="I1904" s="127" t="n"/>
      <c r="J1904" s="127" t="n"/>
      <c r="K1904" s="127" t="inlineStr"/>
      <c r="L1904" s="127" t="n"/>
      <c r="M1904" s="127" t="n"/>
      <c r="N1904" s="127" t="n"/>
      <c r="O1904" s="127" t="n"/>
      <c r="P1904" s="127" t="n"/>
      <c r="Q1904" s="127" t="n"/>
      <c r="R1904" s="127" t="n"/>
      <c r="S1904" s="127" t="n"/>
      <c r="T1904" s="127" t="n"/>
      <c r="U1904" s="127" t="n"/>
      <c r="V1904" s="127" t="n"/>
      <c r="W1904" s="127" t="n"/>
      <c r="X1904" s="127" t="n"/>
      <c r="Y1904" s="127" t="n"/>
      <c r="Z1904" s="127" t="n"/>
    </row>
    <row r="1905">
      <c r="A1905" s="217" t="n"/>
      <c r="B1905" s="126" t="n"/>
      <c r="C1905" s="126" t="n"/>
      <c r="D1905" s="126" t="n"/>
      <c r="E1905" s="126" t="n"/>
      <c r="F1905" s="127" t="n"/>
      <c r="G1905" s="127" t="inlineStr"/>
      <c r="H1905" s="127" t="inlineStr"/>
      <c r="I1905" s="127" t="n"/>
      <c r="J1905" s="127" t="n"/>
      <c r="K1905" s="127" t="inlineStr"/>
      <c r="L1905" s="127" t="n"/>
      <c r="M1905" s="127" t="n"/>
      <c r="N1905" s="127" t="n"/>
      <c r="O1905" s="127" t="n"/>
      <c r="P1905" s="127" t="n"/>
      <c r="Q1905" s="127" t="n"/>
      <c r="R1905" s="127" t="n"/>
      <c r="S1905" s="127" t="n"/>
      <c r="T1905" s="127" t="n"/>
      <c r="U1905" s="127" t="n"/>
      <c r="V1905" s="127" t="n"/>
      <c r="W1905" s="127" t="n"/>
      <c r="X1905" s="127" t="n"/>
      <c r="Y1905" s="127" t="n"/>
      <c r="Z1905" s="127" t="n"/>
    </row>
    <row r="1906">
      <c r="A1906" s="217" t="n"/>
      <c r="B1906" s="126" t="n"/>
      <c r="C1906" s="126" t="n"/>
      <c r="D1906" s="126" t="n"/>
      <c r="E1906" s="126" t="n"/>
      <c r="F1906" s="127" t="n"/>
      <c r="G1906" s="127" t="inlineStr"/>
      <c r="H1906" s="127" t="inlineStr"/>
      <c r="I1906" s="127" t="n"/>
      <c r="J1906" s="127" t="n"/>
      <c r="K1906" s="127" t="inlineStr"/>
      <c r="L1906" s="127" t="n"/>
      <c r="M1906" s="127" t="n"/>
      <c r="N1906" s="127" t="n"/>
      <c r="O1906" s="127" t="n"/>
      <c r="P1906" s="127" t="n"/>
      <c r="Q1906" s="127" t="n"/>
      <c r="R1906" s="127" t="n"/>
      <c r="S1906" s="127" t="n"/>
      <c r="T1906" s="127" t="n"/>
      <c r="U1906" s="127" t="n"/>
      <c r="V1906" s="127" t="n"/>
      <c r="W1906" s="127" t="n"/>
      <c r="X1906" s="127" t="n"/>
      <c r="Y1906" s="127" t="n"/>
      <c r="Z1906" s="127" t="n"/>
    </row>
    <row r="1907">
      <c r="A1907" s="217" t="n"/>
      <c r="B1907" s="126" t="n"/>
      <c r="C1907" s="126" t="n"/>
      <c r="D1907" s="126" t="n"/>
      <c r="E1907" s="126" t="n"/>
      <c r="F1907" s="127" t="n"/>
      <c r="G1907" s="127" t="inlineStr"/>
      <c r="H1907" s="127" t="inlineStr"/>
      <c r="I1907" s="127" t="n"/>
      <c r="J1907" s="127" t="n"/>
      <c r="K1907" s="127" t="inlineStr"/>
      <c r="L1907" s="127" t="n"/>
      <c r="M1907" s="127" t="n"/>
      <c r="N1907" s="127" t="n"/>
      <c r="O1907" s="127" t="n"/>
      <c r="P1907" s="127" t="n"/>
      <c r="Q1907" s="127" t="n"/>
      <c r="R1907" s="127" t="n"/>
      <c r="S1907" s="127" t="n"/>
      <c r="T1907" s="127" t="n"/>
      <c r="U1907" s="127" t="n"/>
      <c r="V1907" s="127" t="n"/>
      <c r="W1907" s="127" t="n"/>
      <c r="X1907" s="127" t="n"/>
      <c r="Y1907" s="127" t="n"/>
      <c r="Z1907" s="127" t="n"/>
    </row>
    <row r="1908">
      <c r="A1908" s="217" t="n"/>
      <c r="B1908" s="126" t="n"/>
      <c r="C1908" s="126" t="n"/>
      <c r="D1908" s="126" t="n"/>
      <c r="E1908" s="126" t="n"/>
      <c r="F1908" s="127" t="n"/>
      <c r="G1908" s="127" t="inlineStr"/>
      <c r="H1908" s="127" t="inlineStr"/>
      <c r="I1908" s="127" t="n"/>
      <c r="J1908" s="127" t="n"/>
      <c r="K1908" s="127" t="inlineStr"/>
      <c r="L1908" s="127" t="n"/>
      <c r="M1908" s="127" t="n"/>
      <c r="N1908" s="127" t="n"/>
      <c r="O1908" s="127" t="n"/>
      <c r="P1908" s="127" t="n"/>
      <c r="Q1908" s="127" t="n"/>
      <c r="R1908" s="127" t="n"/>
      <c r="S1908" s="127" t="n"/>
      <c r="T1908" s="127" t="n"/>
      <c r="U1908" s="127" t="n"/>
      <c r="V1908" s="127" t="n"/>
      <c r="W1908" s="127" t="n"/>
      <c r="X1908" s="127" t="n"/>
      <c r="Y1908" s="127" t="n"/>
      <c r="Z1908" s="127" t="n"/>
    </row>
    <row r="1909">
      <c r="A1909" s="217" t="n"/>
      <c r="B1909" s="126" t="n"/>
      <c r="C1909" s="126" t="n"/>
      <c r="D1909" s="126" t="n"/>
      <c r="E1909" s="126" t="n"/>
      <c r="F1909" s="127" t="n"/>
      <c r="G1909" s="127" t="inlineStr"/>
      <c r="H1909" s="127" t="inlineStr"/>
      <c r="I1909" s="127" t="n"/>
      <c r="J1909" s="127" t="n"/>
      <c r="K1909" s="127" t="inlineStr"/>
      <c r="L1909" s="127" t="n"/>
      <c r="M1909" s="127" t="n"/>
      <c r="N1909" s="127" t="n"/>
      <c r="O1909" s="127" t="n"/>
      <c r="P1909" s="127" t="n"/>
      <c r="Q1909" s="127" t="n"/>
      <c r="R1909" s="127" t="n"/>
      <c r="S1909" s="127" t="n"/>
      <c r="T1909" s="127" t="n"/>
      <c r="U1909" s="127" t="n"/>
      <c r="V1909" s="127" t="n"/>
      <c r="W1909" s="127" t="n"/>
      <c r="X1909" s="127" t="n"/>
      <c r="Y1909" s="127" t="n"/>
      <c r="Z1909" s="127" t="n"/>
    </row>
    <row r="1910">
      <c r="A1910" s="217" t="n"/>
      <c r="B1910" s="126" t="n"/>
      <c r="C1910" s="126" t="n"/>
      <c r="D1910" s="126" t="n"/>
      <c r="E1910" s="126" t="n"/>
      <c r="F1910" s="127" t="n"/>
      <c r="G1910" s="127" t="inlineStr"/>
      <c r="H1910" s="127" t="inlineStr"/>
      <c r="I1910" s="127" t="n"/>
      <c r="J1910" s="127" t="n"/>
      <c r="K1910" s="127" t="inlineStr"/>
      <c r="L1910" s="127" t="n"/>
      <c r="M1910" s="127" t="n"/>
      <c r="N1910" s="127" t="n"/>
      <c r="O1910" s="127" t="n"/>
      <c r="P1910" s="127" t="n"/>
      <c r="Q1910" s="127" t="n"/>
      <c r="R1910" s="127" t="n"/>
      <c r="S1910" s="127" t="n"/>
      <c r="T1910" s="127" t="n"/>
      <c r="U1910" s="127" t="n"/>
      <c r="V1910" s="127" t="n"/>
      <c r="W1910" s="127" t="n"/>
      <c r="X1910" s="127" t="n"/>
      <c r="Y1910" s="127" t="n"/>
      <c r="Z1910" s="127" t="n"/>
    </row>
    <row r="1911">
      <c r="A1911" s="217" t="n"/>
      <c r="B1911" s="126" t="n"/>
      <c r="C1911" s="126" t="n"/>
      <c r="D1911" s="126" t="n"/>
      <c r="E1911" s="126" t="n"/>
      <c r="F1911" s="127" t="n"/>
      <c r="G1911" s="127" t="inlineStr"/>
      <c r="H1911" s="127" t="inlineStr"/>
      <c r="I1911" s="127" t="n"/>
      <c r="J1911" s="127" t="n"/>
      <c r="K1911" s="127" t="inlineStr"/>
      <c r="L1911" s="127" t="n"/>
      <c r="M1911" s="127" t="n"/>
      <c r="N1911" s="127" t="n"/>
      <c r="O1911" s="127" t="n"/>
      <c r="P1911" s="127" t="n"/>
      <c r="Q1911" s="127" t="n"/>
      <c r="R1911" s="127" t="n"/>
      <c r="S1911" s="127" t="n"/>
      <c r="T1911" s="127" t="n"/>
      <c r="U1911" s="127" t="n"/>
      <c r="V1911" s="127" t="n"/>
      <c r="W1911" s="127" t="n"/>
      <c r="X1911" s="127" t="n"/>
      <c r="Y1911" s="127" t="n"/>
      <c r="Z1911" s="127" t="n"/>
    </row>
    <row r="1912">
      <c r="A1912" s="217" t="n"/>
      <c r="B1912" s="126" t="n"/>
      <c r="C1912" s="126" t="n"/>
      <c r="D1912" s="126" t="n"/>
      <c r="E1912" s="126" t="n"/>
      <c r="F1912" s="127" t="n"/>
      <c r="G1912" s="127" t="inlineStr"/>
      <c r="H1912" s="127" t="inlineStr"/>
      <c r="I1912" s="127" t="n"/>
      <c r="J1912" s="127" t="n"/>
      <c r="K1912" s="127" t="inlineStr"/>
      <c r="L1912" s="127" t="n"/>
      <c r="M1912" s="127" t="n"/>
      <c r="N1912" s="127" t="n"/>
      <c r="O1912" s="127" t="n"/>
      <c r="P1912" s="127" t="n"/>
      <c r="Q1912" s="127" t="n"/>
      <c r="R1912" s="127" t="n"/>
      <c r="S1912" s="127" t="n"/>
      <c r="T1912" s="127" t="n"/>
      <c r="U1912" s="127" t="n"/>
      <c r="V1912" s="127" t="n"/>
      <c r="W1912" s="127" t="n"/>
      <c r="X1912" s="127" t="n"/>
      <c r="Y1912" s="127" t="n"/>
      <c r="Z1912" s="127" t="n"/>
    </row>
    <row r="1913">
      <c r="A1913" s="217" t="n"/>
      <c r="B1913" s="126" t="n"/>
      <c r="C1913" s="126" t="n"/>
      <c r="D1913" s="126" t="n"/>
      <c r="E1913" s="126" t="n"/>
      <c r="F1913" s="127" t="n"/>
      <c r="G1913" s="127" t="inlineStr"/>
      <c r="H1913" s="127" t="inlineStr"/>
      <c r="I1913" s="127" t="n"/>
      <c r="J1913" s="127" t="n"/>
      <c r="K1913" s="127" t="inlineStr"/>
      <c r="L1913" s="127" t="n"/>
      <c r="M1913" s="127" t="n"/>
      <c r="N1913" s="127" t="n"/>
      <c r="O1913" s="127" t="n"/>
      <c r="P1913" s="127" t="n"/>
      <c r="Q1913" s="127" t="n"/>
      <c r="R1913" s="127" t="n"/>
      <c r="S1913" s="127" t="n"/>
      <c r="T1913" s="127" t="n"/>
      <c r="U1913" s="127" t="n"/>
      <c r="V1913" s="127" t="n"/>
      <c r="W1913" s="127" t="n"/>
      <c r="X1913" s="127" t="n"/>
      <c r="Y1913" s="127" t="n"/>
      <c r="Z1913" s="127" t="n"/>
    </row>
    <row r="1914">
      <c r="A1914" s="217" t="n"/>
      <c r="B1914" s="126" t="n"/>
      <c r="C1914" s="126" t="n"/>
      <c r="D1914" s="126" t="n"/>
      <c r="E1914" s="126" t="n"/>
      <c r="F1914" s="127" t="n"/>
      <c r="G1914" s="127" t="inlineStr"/>
      <c r="H1914" s="127" t="inlineStr"/>
      <c r="I1914" s="127" t="n"/>
      <c r="J1914" s="127" t="n"/>
      <c r="K1914" s="127" t="inlineStr"/>
      <c r="L1914" s="127" t="n"/>
      <c r="M1914" s="127" t="n"/>
      <c r="N1914" s="127" t="n"/>
      <c r="O1914" s="127" t="n"/>
      <c r="P1914" s="127" t="n"/>
      <c r="Q1914" s="127" t="n"/>
      <c r="R1914" s="127" t="n"/>
      <c r="S1914" s="127" t="n"/>
      <c r="T1914" s="127" t="n"/>
      <c r="U1914" s="127" t="n"/>
      <c r="V1914" s="127" t="n"/>
      <c r="W1914" s="127" t="n"/>
      <c r="X1914" s="127" t="n"/>
      <c r="Y1914" s="127" t="n"/>
      <c r="Z1914" s="127" t="n"/>
    </row>
    <row r="1915">
      <c r="A1915" s="217" t="n"/>
      <c r="B1915" s="126" t="n"/>
      <c r="C1915" s="126" t="n"/>
      <c r="D1915" s="126" t="n"/>
      <c r="E1915" s="126" t="n"/>
      <c r="F1915" s="127" t="n"/>
      <c r="G1915" s="127" t="inlineStr"/>
      <c r="H1915" s="127" t="inlineStr"/>
      <c r="I1915" s="127" t="n"/>
      <c r="J1915" s="127" t="n"/>
      <c r="K1915" s="127" t="inlineStr"/>
      <c r="L1915" s="127" t="n"/>
      <c r="M1915" s="127" t="n"/>
      <c r="N1915" s="127" t="n"/>
      <c r="O1915" s="127" t="n"/>
      <c r="P1915" s="127" t="n"/>
      <c r="Q1915" s="127" t="n"/>
      <c r="R1915" s="127" t="n"/>
      <c r="S1915" s="127" t="n"/>
      <c r="T1915" s="127" t="n"/>
      <c r="U1915" s="127" t="n"/>
      <c r="V1915" s="127" t="n"/>
      <c r="W1915" s="127" t="n"/>
      <c r="X1915" s="127" t="n"/>
      <c r="Y1915" s="127" t="n"/>
      <c r="Z1915" s="127" t="n"/>
    </row>
    <row r="1916">
      <c r="A1916" s="217" t="n"/>
      <c r="B1916" s="126" t="n"/>
      <c r="C1916" s="126" t="n"/>
      <c r="D1916" s="126" t="n"/>
      <c r="E1916" s="126" t="n"/>
      <c r="F1916" s="127" t="n"/>
      <c r="G1916" s="127" t="inlineStr"/>
      <c r="H1916" s="127" t="inlineStr"/>
      <c r="I1916" s="127" t="n"/>
      <c r="J1916" s="127" t="n"/>
      <c r="K1916" s="127" t="inlineStr"/>
      <c r="L1916" s="127" t="n"/>
      <c r="M1916" s="127" t="n"/>
      <c r="N1916" s="127" t="n"/>
      <c r="O1916" s="127" t="n"/>
      <c r="P1916" s="127" t="n"/>
      <c r="Q1916" s="127" t="n"/>
      <c r="R1916" s="127" t="n"/>
      <c r="S1916" s="127" t="n"/>
      <c r="T1916" s="127" t="n"/>
      <c r="U1916" s="127" t="n"/>
      <c r="V1916" s="127" t="n"/>
      <c r="W1916" s="127" t="n"/>
      <c r="X1916" s="127" t="n"/>
      <c r="Y1916" s="127" t="n"/>
      <c r="Z1916" s="127" t="n"/>
    </row>
    <row r="1917">
      <c r="A1917" s="217" t="n"/>
      <c r="B1917" s="126" t="n"/>
      <c r="C1917" s="126" t="n"/>
      <c r="D1917" s="126" t="n"/>
      <c r="E1917" s="126" t="n"/>
      <c r="F1917" s="127" t="n"/>
      <c r="G1917" s="127" t="inlineStr"/>
      <c r="H1917" s="127" t="inlineStr"/>
      <c r="I1917" s="127" t="n"/>
      <c r="J1917" s="127" t="n"/>
      <c r="K1917" s="127" t="inlineStr"/>
      <c r="L1917" s="127" t="n"/>
      <c r="M1917" s="127" t="n"/>
      <c r="N1917" s="127" t="n"/>
      <c r="O1917" s="127" t="n"/>
      <c r="P1917" s="127" t="n"/>
      <c r="Q1917" s="127" t="n"/>
      <c r="R1917" s="127" t="n"/>
      <c r="S1917" s="127" t="n"/>
      <c r="T1917" s="127" t="n"/>
      <c r="U1917" s="127" t="n"/>
      <c r="V1917" s="127" t="n"/>
      <c r="W1917" s="127" t="n"/>
      <c r="X1917" s="127" t="n"/>
      <c r="Y1917" s="127" t="n"/>
      <c r="Z1917" s="127" t="n"/>
    </row>
    <row r="1918">
      <c r="A1918" s="217" t="n"/>
      <c r="B1918" s="126" t="n"/>
      <c r="C1918" s="126" t="n"/>
      <c r="D1918" s="126" t="n"/>
      <c r="E1918" s="126" t="n"/>
      <c r="F1918" s="127" t="n"/>
      <c r="G1918" s="127" t="inlineStr"/>
      <c r="H1918" s="127" t="inlineStr"/>
      <c r="I1918" s="127" t="n"/>
      <c r="J1918" s="127" t="n"/>
      <c r="K1918" s="127" t="inlineStr"/>
      <c r="L1918" s="127" t="n"/>
      <c r="M1918" s="127" t="n"/>
      <c r="N1918" s="127" t="n"/>
      <c r="O1918" s="127" t="n"/>
      <c r="P1918" s="127" t="n"/>
      <c r="Q1918" s="127" t="n"/>
      <c r="R1918" s="127" t="n"/>
      <c r="S1918" s="127" t="n"/>
      <c r="T1918" s="127" t="n"/>
      <c r="U1918" s="127" t="n"/>
      <c r="V1918" s="127" t="n"/>
      <c r="W1918" s="127" t="n"/>
      <c r="X1918" s="127" t="n"/>
      <c r="Y1918" s="127" t="n"/>
      <c r="Z1918" s="127" t="n"/>
    </row>
    <row r="1919">
      <c r="A1919" s="217" t="n"/>
      <c r="B1919" s="126" t="n"/>
      <c r="C1919" s="126" t="n"/>
      <c r="D1919" s="126" t="n"/>
      <c r="E1919" s="126" t="n"/>
      <c r="F1919" s="127" t="n"/>
      <c r="G1919" s="127" t="inlineStr"/>
      <c r="H1919" s="127" t="inlineStr"/>
      <c r="I1919" s="127" t="n"/>
      <c r="J1919" s="127" t="n"/>
      <c r="K1919" s="127" t="inlineStr"/>
      <c r="L1919" s="127" t="n"/>
      <c r="M1919" s="127" t="n"/>
      <c r="N1919" s="127" t="n"/>
      <c r="O1919" s="127" t="n"/>
      <c r="P1919" s="127" t="n"/>
      <c r="Q1919" s="127" t="n"/>
      <c r="R1919" s="127" t="n"/>
      <c r="S1919" s="127" t="n"/>
      <c r="T1919" s="127" t="n"/>
      <c r="U1919" s="127" t="n"/>
      <c r="V1919" s="127" t="n"/>
      <c r="W1919" s="127" t="n"/>
      <c r="X1919" s="127" t="n"/>
      <c r="Y1919" s="127" t="n"/>
      <c r="Z1919" s="127" t="n"/>
    </row>
    <row r="1920">
      <c r="A1920" s="217" t="n"/>
      <c r="B1920" s="126" t="n"/>
      <c r="C1920" s="126" t="n"/>
      <c r="D1920" s="126" t="n"/>
      <c r="E1920" s="126" t="n"/>
      <c r="F1920" s="127" t="n"/>
      <c r="G1920" s="127" t="inlineStr"/>
      <c r="H1920" s="127" t="inlineStr"/>
      <c r="I1920" s="127" t="n"/>
      <c r="J1920" s="127" t="n"/>
      <c r="K1920" s="127" t="inlineStr"/>
      <c r="L1920" s="127" t="n"/>
      <c r="M1920" s="127" t="n"/>
      <c r="N1920" s="127" t="n"/>
      <c r="O1920" s="127" t="n"/>
      <c r="P1920" s="127" t="n"/>
      <c r="Q1920" s="127" t="n"/>
      <c r="R1920" s="127" t="n"/>
      <c r="S1920" s="127" t="n"/>
      <c r="T1920" s="127" t="n"/>
      <c r="U1920" s="127" t="n"/>
      <c r="V1920" s="127" t="n"/>
      <c r="W1920" s="127" t="n"/>
      <c r="X1920" s="127" t="n"/>
      <c r="Y1920" s="127" t="n"/>
      <c r="Z1920" s="127" t="n"/>
    </row>
    <row r="1921">
      <c r="A1921" s="217" t="n"/>
      <c r="B1921" s="126" t="n"/>
      <c r="C1921" s="126" t="n"/>
      <c r="D1921" s="126" t="n"/>
      <c r="E1921" s="126" t="n"/>
      <c r="F1921" s="127" t="n"/>
      <c r="G1921" s="127" t="inlineStr"/>
      <c r="H1921" s="127" t="inlineStr"/>
      <c r="I1921" s="127" t="n"/>
      <c r="J1921" s="127" t="n"/>
      <c r="K1921" s="127" t="inlineStr"/>
      <c r="L1921" s="127" t="n"/>
      <c r="M1921" s="127" t="n"/>
      <c r="N1921" s="127" t="n"/>
      <c r="O1921" s="127" t="n"/>
      <c r="P1921" s="127" t="n"/>
      <c r="Q1921" s="127" t="n"/>
      <c r="R1921" s="127" t="n"/>
      <c r="S1921" s="127" t="n"/>
      <c r="T1921" s="127" t="n"/>
      <c r="U1921" s="127" t="n"/>
      <c r="V1921" s="127" t="n"/>
      <c r="W1921" s="127" t="n"/>
      <c r="X1921" s="127" t="n"/>
      <c r="Y1921" s="127" t="n"/>
      <c r="Z1921" s="127" t="n"/>
    </row>
    <row r="1922">
      <c r="A1922" s="217" t="n"/>
      <c r="B1922" s="126" t="n"/>
      <c r="C1922" s="126" t="n"/>
      <c r="D1922" s="126" t="n"/>
      <c r="E1922" s="126" t="n"/>
      <c r="F1922" s="127" t="n"/>
      <c r="G1922" s="127" t="inlineStr"/>
      <c r="H1922" s="127" t="inlineStr"/>
      <c r="I1922" s="127" t="n"/>
      <c r="J1922" s="127" t="n"/>
      <c r="K1922" s="127" t="inlineStr"/>
      <c r="L1922" s="127" t="n"/>
      <c r="M1922" s="127" t="n"/>
      <c r="N1922" s="127" t="n"/>
      <c r="O1922" s="127" t="n"/>
      <c r="P1922" s="127" t="n"/>
      <c r="Q1922" s="127" t="n"/>
      <c r="R1922" s="127" t="n"/>
      <c r="S1922" s="127" t="n"/>
      <c r="T1922" s="127" t="n"/>
      <c r="U1922" s="127" t="n"/>
      <c r="V1922" s="127" t="n"/>
      <c r="W1922" s="127" t="n"/>
      <c r="X1922" s="127" t="n"/>
      <c r="Y1922" s="127" t="n"/>
      <c r="Z1922" s="127" t="n"/>
    </row>
    <row r="1923">
      <c r="A1923" s="217" t="n"/>
      <c r="B1923" s="126" t="n"/>
      <c r="C1923" s="126" t="n"/>
      <c r="D1923" s="126" t="n"/>
      <c r="E1923" s="126" t="n"/>
      <c r="F1923" s="127" t="n"/>
      <c r="G1923" s="127" t="inlineStr"/>
      <c r="H1923" s="127" t="inlineStr"/>
      <c r="I1923" s="127" t="n"/>
      <c r="J1923" s="127" t="n"/>
      <c r="K1923" s="127" t="inlineStr"/>
      <c r="L1923" s="127" t="n"/>
      <c r="M1923" s="127" t="n"/>
      <c r="N1923" s="127" t="n"/>
      <c r="O1923" s="127" t="n"/>
      <c r="P1923" s="127" t="n"/>
      <c r="Q1923" s="127" t="n"/>
      <c r="R1923" s="127" t="n"/>
      <c r="S1923" s="127" t="n"/>
      <c r="T1923" s="127" t="n"/>
      <c r="U1923" s="127" t="n"/>
      <c r="V1923" s="127" t="n"/>
      <c r="W1923" s="127" t="n"/>
      <c r="X1923" s="127" t="n"/>
      <c r="Y1923" s="127" t="n"/>
      <c r="Z1923" s="127" t="n"/>
    </row>
    <row r="1924">
      <c r="A1924" s="217" t="n"/>
      <c r="B1924" s="126" t="n"/>
      <c r="C1924" s="126" t="n"/>
      <c r="D1924" s="126" t="n"/>
      <c r="E1924" s="126" t="n"/>
      <c r="F1924" s="127" t="n"/>
      <c r="G1924" s="127" t="inlineStr"/>
      <c r="H1924" s="127" t="inlineStr"/>
      <c r="I1924" s="127" t="n"/>
      <c r="J1924" s="127" t="n"/>
      <c r="K1924" s="127" t="inlineStr"/>
      <c r="L1924" s="127" t="n"/>
      <c r="M1924" s="127" t="n"/>
      <c r="N1924" s="127" t="n"/>
      <c r="O1924" s="127" t="n"/>
      <c r="P1924" s="127" t="n"/>
      <c r="Q1924" s="127" t="n"/>
      <c r="R1924" s="127" t="n"/>
      <c r="S1924" s="127" t="n"/>
      <c r="T1924" s="127" t="n"/>
      <c r="U1924" s="127" t="n"/>
      <c r="V1924" s="127" t="n"/>
      <c r="W1924" s="127" t="n"/>
      <c r="X1924" s="127" t="n"/>
      <c r="Y1924" s="127" t="n"/>
      <c r="Z1924" s="127" t="n"/>
    </row>
    <row r="1925">
      <c r="A1925" s="217" t="n"/>
      <c r="B1925" s="126" t="n"/>
      <c r="C1925" s="126" t="n"/>
      <c r="D1925" s="126" t="n"/>
      <c r="E1925" s="126" t="n"/>
      <c r="F1925" s="127" t="n"/>
      <c r="G1925" s="127" t="inlineStr"/>
      <c r="H1925" s="127" t="inlineStr"/>
      <c r="I1925" s="127" t="n"/>
      <c r="J1925" s="127" t="n"/>
      <c r="K1925" s="127" t="inlineStr"/>
      <c r="L1925" s="127" t="n"/>
      <c r="M1925" s="127" t="n"/>
      <c r="N1925" s="127" t="n"/>
      <c r="O1925" s="127" t="n"/>
      <c r="P1925" s="127" t="n"/>
      <c r="Q1925" s="127" t="n"/>
      <c r="R1925" s="127" t="n"/>
      <c r="S1925" s="127" t="n"/>
      <c r="T1925" s="127" t="n"/>
      <c r="U1925" s="127" t="n"/>
      <c r="V1925" s="127" t="n"/>
      <c r="W1925" s="127" t="n"/>
      <c r="X1925" s="127" t="n"/>
      <c r="Y1925" s="127" t="n"/>
      <c r="Z1925" s="127" t="n"/>
    </row>
    <row r="1926">
      <c r="A1926" s="217" t="n"/>
      <c r="B1926" s="126" t="n"/>
      <c r="C1926" s="126" t="n"/>
      <c r="D1926" s="126" t="n"/>
      <c r="E1926" s="126" t="n"/>
      <c r="F1926" s="127" t="n"/>
      <c r="G1926" s="127" t="inlineStr"/>
      <c r="H1926" s="127" t="inlineStr"/>
      <c r="I1926" s="127" t="n"/>
      <c r="J1926" s="127" t="n"/>
      <c r="K1926" s="127" t="inlineStr"/>
      <c r="L1926" s="127" t="n"/>
      <c r="M1926" s="127" t="n"/>
      <c r="N1926" s="127" t="n"/>
      <c r="O1926" s="127" t="n"/>
      <c r="P1926" s="127" t="n"/>
      <c r="Q1926" s="127" t="n"/>
      <c r="R1926" s="127" t="n"/>
      <c r="S1926" s="127" t="n"/>
      <c r="T1926" s="127" t="n"/>
      <c r="U1926" s="127" t="n"/>
      <c r="V1926" s="127" t="n"/>
      <c r="W1926" s="127" t="n"/>
      <c r="X1926" s="127" t="n"/>
      <c r="Y1926" s="127" t="n"/>
      <c r="Z1926" s="127" t="n"/>
    </row>
    <row r="1927">
      <c r="A1927" s="217" t="n"/>
      <c r="B1927" s="126" t="n"/>
      <c r="C1927" s="126" t="n"/>
      <c r="D1927" s="126" t="n"/>
      <c r="E1927" s="126" t="n"/>
      <c r="F1927" s="127" t="n"/>
      <c r="G1927" s="127" t="inlineStr"/>
      <c r="H1927" s="127" t="inlineStr"/>
      <c r="I1927" s="127" t="n"/>
      <c r="J1927" s="127" t="n"/>
      <c r="K1927" s="127" t="inlineStr"/>
      <c r="L1927" s="127" t="n"/>
      <c r="M1927" s="127" t="n"/>
      <c r="N1927" s="127" t="n"/>
      <c r="O1927" s="127" t="n"/>
      <c r="P1927" s="127" t="n"/>
      <c r="Q1927" s="127" t="n"/>
      <c r="R1927" s="127" t="n"/>
      <c r="S1927" s="127" t="n"/>
      <c r="T1927" s="127" t="n"/>
      <c r="U1927" s="127" t="n"/>
      <c r="V1927" s="127" t="n"/>
      <c r="W1927" s="127" t="n"/>
      <c r="X1927" s="127" t="n"/>
      <c r="Y1927" s="127" t="n"/>
      <c r="Z1927" s="127" t="n"/>
    </row>
    <row r="1928">
      <c r="A1928" s="217" t="n"/>
      <c r="B1928" s="126" t="n"/>
      <c r="C1928" s="126" t="n"/>
      <c r="D1928" s="126" t="n"/>
      <c r="E1928" s="126" t="n"/>
      <c r="F1928" s="127" t="n"/>
      <c r="G1928" s="127" t="inlineStr"/>
      <c r="H1928" s="127" t="inlineStr"/>
      <c r="I1928" s="127" t="n"/>
      <c r="J1928" s="127" t="n"/>
      <c r="K1928" s="127" t="inlineStr"/>
      <c r="L1928" s="127" t="n"/>
      <c r="M1928" s="127" t="n"/>
      <c r="N1928" s="127" t="n"/>
      <c r="O1928" s="127" t="n"/>
      <c r="P1928" s="127" t="n"/>
      <c r="Q1928" s="127" t="n"/>
      <c r="R1928" s="127" t="n"/>
      <c r="S1928" s="127" t="n"/>
      <c r="T1928" s="127" t="n"/>
      <c r="U1928" s="127" t="n"/>
      <c r="V1928" s="127" t="n"/>
      <c r="W1928" s="127" t="n"/>
      <c r="X1928" s="127" t="n"/>
      <c r="Y1928" s="127" t="n"/>
      <c r="Z1928" s="127" t="n"/>
    </row>
    <row r="1929">
      <c r="A1929" s="217" t="n"/>
      <c r="B1929" s="126" t="n"/>
      <c r="C1929" s="126" t="n"/>
      <c r="D1929" s="126" t="n"/>
      <c r="E1929" s="126" t="n"/>
      <c r="F1929" s="127" t="n"/>
      <c r="G1929" s="127" t="inlineStr"/>
      <c r="H1929" s="127" t="inlineStr"/>
      <c r="I1929" s="127" t="n"/>
      <c r="J1929" s="127" t="n"/>
      <c r="K1929" s="127" t="inlineStr"/>
      <c r="L1929" s="127" t="n"/>
      <c r="M1929" s="127" t="n"/>
      <c r="N1929" s="127" t="n"/>
      <c r="O1929" s="127" t="n"/>
      <c r="P1929" s="127" t="n"/>
      <c r="Q1929" s="127" t="n"/>
      <c r="R1929" s="127" t="n"/>
      <c r="S1929" s="127" t="n"/>
      <c r="T1929" s="127" t="n"/>
      <c r="U1929" s="127" t="n"/>
      <c r="V1929" s="127" t="n"/>
      <c r="W1929" s="127" t="n"/>
      <c r="X1929" s="127" t="n"/>
      <c r="Y1929" s="127" t="n"/>
      <c r="Z1929" s="127" t="n"/>
    </row>
    <row r="1930">
      <c r="A1930" s="217" t="n"/>
      <c r="B1930" s="126" t="n"/>
      <c r="C1930" s="126" t="n"/>
      <c r="D1930" s="126" t="n"/>
      <c r="E1930" s="126" t="n"/>
      <c r="F1930" s="127" t="n"/>
      <c r="G1930" s="127" t="inlineStr"/>
      <c r="H1930" s="127" t="inlineStr"/>
      <c r="I1930" s="127" t="n"/>
      <c r="J1930" s="127" t="n"/>
      <c r="K1930" s="127" t="inlineStr"/>
      <c r="L1930" s="127" t="n"/>
      <c r="M1930" s="127" t="n"/>
      <c r="N1930" s="127" t="n"/>
      <c r="O1930" s="127" t="n"/>
      <c r="P1930" s="127" t="n"/>
      <c r="Q1930" s="127" t="n"/>
      <c r="R1930" s="127" t="n"/>
      <c r="S1930" s="127" t="n"/>
      <c r="T1930" s="127" t="n"/>
      <c r="U1930" s="127" t="n"/>
      <c r="V1930" s="127" t="n"/>
      <c r="W1930" s="127" t="n"/>
      <c r="X1930" s="127" t="n"/>
      <c r="Y1930" s="127" t="n"/>
      <c r="Z1930" s="127" t="n"/>
    </row>
    <row r="1931">
      <c r="A1931" s="217" t="n"/>
      <c r="B1931" s="126" t="n"/>
      <c r="C1931" s="126" t="n"/>
      <c r="D1931" s="126" t="n"/>
      <c r="E1931" s="126" t="n"/>
      <c r="F1931" s="127" t="n"/>
      <c r="G1931" s="127" t="inlineStr"/>
      <c r="H1931" s="127" t="inlineStr"/>
      <c r="I1931" s="127" t="n"/>
      <c r="J1931" s="127" t="n"/>
      <c r="K1931" s="127" t="inlineStr"/>
      <c r="L1931" s="127" t="n"/>
      <c r="M1931" s="127" t="n"/>
      <c r="N1931" s="127" t="n"/>
      <c r="O1931" s="127" t="n"/>
      <c r="P1931" s="127" t="n"/>
      <c r="Q1931" s="127" t="n"/>
      <c r="R1931" s="127" t="n"/>
      <c r="S1931" s="127" t="n"/>
      <c r="T1931" s="127" t="n"/>
      <c r="U1931" s="127" t="n"/>
      <c r="V1931" s="127" t="n"/>
      <c r="W1931" s="127" t="n"/>
      <c r="X1931" s="127" t="n"/>
      <c r="Y1931" s="127" t="n"/>
      <c r="Z1931" s="127" t="n"/>
    </row>
    <row r="1932">
      <c r="A1932" s="217" t="n"/>
      <c r="B1932" s="126" t="n"/>
      <c r="C1932" s="126" t="n"/>
      <c r="D1932" s="126" t="n"/>
      <c r="E1932" s="126" t="n"/>
      <c r="F1932" s="127" t="n"/>
      <c r="G1932" s="127" t="inlineStr"/>
      <c r="H1932" s="127" t="inlineStr"/>
      <c r="I1932" s="127" t="n"/>
      <c r="J1932" s="127" t="n"/>
      <c r="K1932" s="127" t="inlineStr"/>
      <c r="L1932" s="127" t="n"/>
      <c r="M1932" s="127" t="n"/>
      <c r="N1932" s="127" t="n"/>
      <c r="O1932" s="127" t="n"/>
      <c r="P1932" s="127" t="n"/>
      <c r="Q1932" s="127" t="n"/>
      <c r="R1932" s="127" t="n"/>
      <c r="S1932" s="127" t="n"/>
      <c r="T1932" s="127" t="n"/>
      <c r="U1932" s="127" t="n"/>
      <c r="V1932" s="127" t="n"/>
      <c r="W1932" s="127" t="n"/>
      <c r="X1932" s="127" t="n"/>
      <c r="Y1932" s="127" t="n"/>
      <c r="Z1932" s="127" t="n"/>
    </row>
    <row r="1933">
      <c r="A1933" s="217" t="n"/>
      <c r="B1933" s="126" t="n"/>
      <c r="C1933" s="126" t="n"/>
      <c r="D1933" s="126" t="n"/>
      <c r="E1933" s="126" t="n"/>
      <c r="F1933" s="127" t="n"/>
      <c r="G1933" s="127" t="inlineStr"/>
      <c r="H1933" s="127" t="inlineStr"/>
      <c r="I1933" s="127" t="n"/>
      <c r="J1933" s="127" t="n"/>
      <c r="K1933" s="127" t="inlineStr"/>
      <c r="L1933" s="127" t="n"/>
      <c r="M1933" s="127" t="n"/>
      <c r="N1933" s="127" t="n"/>
      <c r="O1933" s="127" t="n"/>
      <c r="P1933" s="127" t="n"/>
      <c r="Q1933" s="127" t="n"/>
      <c r="R1933" s="127" t="n"/>
      <c r="S1933" s="127" t="n"/>
      <c r="T1933" s="127" t="n"/>
      <c r="U1933" s="127" t="n"/>
      <c r="V1933" s="127" t="n"/>
      <c r="W1933" s="127" t="n"/>
      <c r="X1933" s="127" t="n"/>
      <c r="Y1933" s="127" t="n"/>
      <c r="Z1933" s="127" t="n"/>
    </row>
    <row r="1934">
      <c r="A1934" s="217" t="n"/>
      <c r="B1934" s="126" t="n"/>
      <c r="C1934" s="126" t="n"/>
      <c r="D1934" s="126" t="n"/>
      <c r="E1934" s="126" t="n"/>
      <c r="F1934" s="127" t="n"/>
      <c r="G1934" s="127" t="inlineStr"/>
      <c r="H1934" s="127" t="inlineStr"/>
      <c r="I1934" s="127" t="n"/>
      <c r="J1934" s="127" t="n"/>
      <c r="K1934" s="127" t="inlineStr"/>
      <c r="L1934" s="127" t="n"/>
      <c r="M1934" s="127" t="n"/>
      <c r="N1934" s="127" t="n"/>
      <c r="O1934" s="127" t="n"/>
      <c r="P1934" s="127" t="n"/>
      <c r="Q1934" s="127" t="n"/>
      <c r="R1934" s="127" t="n"/>
      <c r="S1934" s="127" t="n"/>
      <c r="T1934" s="127" t="n"/>
      <c r="U1934" s="127" t="n"/>
      <c r="V1934" s="127" t="n"/>
      <c r="W1934" s="127" t="n"/>
      <c r="X1934" s="127" t="n"/>
      <c r="Y1934" s="127" t="n"/>
      <c r="Z1934" s="127" t="n"/>
    </row>
    <row r="1935">
      <c r="A1935" s="217" t="n"/>
      <c r="B1935" s="126" t="n"/>
      <c r="C1935" s="126" t="n"/>
      <c r="D1935" s="126" t="n"/>
      <c r="E1935" s="126" t="n"/>
      <c r="F1935" s="127" t="n"/>
      <c r="G1935" s="127" t="inlineStr"/>
      <c r="H1935" s="127" t="inlineStr"/>
      <c r="I1935" s="127" t="n"/>
      <c r="J1935" s="127" t="n"/>
      <c r="K1935" s="127" t="inlineStr"/>
      <c r="L1935" s="127" t="n"/>
      <c r="M1935" s="127" t="n"/>
      <c r="N1935" s="127" t="n"/>
      <c r="O1935" s="127" t="n"/>
      <c r="P1935" s="127" t="n"/>
      <c r="Q1935" s="127" t="n"/>
      <c r="R1935" s="127" t="n"/>
      <c r="S1935" s="127" t="n"/>
      <c r="T1935" s="127" t="n"/>
      <c r="U1935" s="127" t="n"/>
      <c r="V1935" s="127" t="n"/>
      <c r="W1935" s="127" t="n"/>
      <c r="X1935" s="127" t="n"/>
      <c r="Y1935" s="127" t="n"/>
      <c r="Z1935" s="127" t="n"/>
    </row>
    <row r="1936">
      <c r="A1936" s="217" t="n"/>
      <c r="B1936" s="126" t="n"/>
      <c r="C1936" s="126" t="n"/>
      <c r="D1936" s="126" t="n"/>
      <c r="E1936" s="126" t="n"/>
      <c r="F1936" s="127" t="n"/>
      <c r="G1936" s="127" t="inlineStr"/>
      <c r="H1936" s="127" t="inlineStr"/>
      <c r="I1936" s="127" t="n"/>
      <c r="J1936" s="127" t="n"/>
      <c r="K1936" s="127" t="inlineStr"/>
      <c r="L1936" s="127" t="n"/>
      <c r="M1936" s="127" t="n"/>
      <c r="N1936" s="127" t="n"/>
      <c r="O1936" s="127" t="n"/>
      <c r="P1936" s="127" t="n"/>
      <c r="Q1936" s="127" t="n"/>
      <c r="R1936" s="127" t="n"/>
      <c r="S1936" s="127" t="n"/>
      <c r="T1936" s="127" t="n"/>
      <c r="U1936" s="127" t="n"/>
      <c r="V1936" s="127" t="n"/>
      <c r="W1936" s="127" t="n"/>
      <c r="X1936" s="127" t="n"/>
      <c r="Y1936" s="127" t="n"/>
      <c r="Z1936" s="127" t="n"/>
    </row>
    <row r="1937">
      <c r="A1937" s="217" t="n"/>
      <c r="B1937" s="126" t="n"/>
      <c r="C1937" s="126" t="n"/>
      <c r="D1937" s="126" t="n"/>
      <c r="E1937" s="126" t="n"/>
      <c r="F1937" s="127" t="n"/>
      <c r="G1937" s="127" t="inlineStr"/>
      <c r="H1937" s="127" t="inlineStr"/>
      <c r="I1937" s="127" t="n"/>
      <c r="J1937" s="127" t="n"/>
      <c r="K1937" s="127" t="inlineStr"/>
      <c r="L1937" s="127" t="n"/>
      <c r="M1937" s="127" t="n"/>
      <c r="N1937" s="127" t="n"/>
      <c r="O1937" s="127" t="n"/>
      <c r="P1937" s="127" t="n"/>
      <c r="Q1937" s="127" t="n"/>
      <c r="R1937" s="127" t="n"/>
      <c r="S1937" s="127" t="n"/>
      <c r="T1937" s="127" t="n"/>
      <c r="U1937" s="127" t="n"/>
      <c r="V1937" s="127" t="n"/>
      <c r="W1937" s="127" t="n"/>
      <c r="X1937" s="127" t="n"/>
      <c r="Y1937" s="127" t="n"/>
      <c r="Z1937" s="127" t="n"/>
    </row>
    <row r="1938">
      <c r="A1938" s="217" t="n"/>
      <c r="B1938" s="126" t="n"/>
      <c r="C1938" s="126" t="n"/>
      <c r="D1938" s="126" t="n"/>
      <c r="E1938" s="126" t="n"/>
      <c r="F1938" s="127" t="n"/>
      <c r="G1938" s="127" t="inlineStr"/>
      <c r="H1938" s="127" t="inlineStr"/>
      <c r="I1938" s="127" t="n"/>
      <c r="J1938" s="127" t="n"/>
      <c r="K1938" s="127" t="inlineStr"/>
      <c r="L1938" s="127" t="n"/>
      <c r="M1938" s="127" t="n"/>
      <c r="N1938" s="127" t="n"/>
      <c r="O1938" s="127" t="n"/>
      <c r="P1938" s="127" t="n"/>
      <c r="Q1938" s="127" t="n"/>
      <c r="R1938" s="127" t="n"/>
      <c r="S1938" s="127" t="n"/>
      <c r="T1938" s="127" t="n"/>
      <c r="U1938" s="127" t="n"/>
      <c r="V1938" s="127" t="n"/>
      <c r="W1938" s="127" t="n"/>
      <c r="X1938" s="127" t="n"/>
      <c r="Y1938" s="127" t="n"/>
      <c r="Z1938" s="127" t="n"/>
    </row>
    <row r="1939">
      <c r="A1939" s="217" t="n"/>
      <c r="B1939" s="126" t="n"/>
      <c r="C1939" s="126" t="n"/>
      <c r="D1939" s="126" t="n"/>
      <c r="E1939" s="126" t="n"/>
      <c r="F1939" s="127" t="n"/>
      <c r="G1939" s="127" t="inlineStr"/>
      <c r="H1939" s="127" t="inlineStr"/>
      <c r="I1939" s="127" t="n"/>
      <c r="J1939" s="127" t="n"/>
      <c r="K1939" s="127" t="inlineStr"/>
      <c r="L1939" s="127" t="n"/>
      <c r="M1939" s="127" t="n"/>
      <c r="N1939" s="127" t="n"/>
      <c r="O1939" s="127" t="n"/>
      <c r="P1939" s="127" t="n"/>
      <c r="Q1939" s="127" t="n"/>
      <c r="R1939" s="127" t="n"/>
      <c r="S1939" s="127" t="n"/>
      <c r="T1939" s="127" t="n"/>
      <c r="U1939" s="127" t="n"/>
      <c r="V1939" s="127" t="n"/>
      <c r="W1939" s="127" t="n"/>
      <c r="X1939" s="127" t="n"/>
      <c r="Y1939" s="127" t="n"/>
      <c r="Z1939" s="127" t="n"/>
    </row>
    <row r="1940">
      <c r="A1940" s="217" t="n"/>
      <c r="B1940" s="126" t="n"/>
      <c r="C1940" s="126" t="n"/>
      <c r="D1940" s="126" t="n"/>
      <c r="E1940" s="126" t="n"/>
      <c r="F1940" s="127" t="n"/>
      <c r="G1940" s="127" t="inlineStr"/>
      <c r="H1940" s="127" t="inlineStr"/>
      <c r="I1940" s="127" t="n"/>
      <c r="J1940" s="127" t="n"/>
      <c r="K1940" s="127" t="inlineStr"/>
      <c r="L1940" s="127" t="n"/>
      <c r="M1940" s="127" t="n"/>
      <c r="N1940" s="127" t="n"/>
      <c r="O1940" s="127" t="n"/>
      <c r="P1940" s="127" t="n"/>
      <c r="Q1940" s="127" t="n"/>
      <c r="R1940" s="127" t="n"/>
      <c r="S1940" s="127" t="n"/>
      <c r="T1940" s="127" t="n"/>
      <c r="U1940" s="127" t="n"/>
      <c r="V1940" s="127" t="n"/>
      <c r="W1940" s="127" t="n"/>
      <c r="X1940" s="127" t="n"/>
      <c r="Y1940" s="127" t="n"/>
      <c r="Z1940" s="127" t="n"/>
    </row>
    <row r="1941">
      <c r="A1941" s="217" t="n"/>
      <c r="B1941" s="126" t="n"/>
      <c r="C1941" s="126" t="n"/>
      <c r="D1941" s="126" t="n"/>
      <c r="E1941" s="126" t="n"/>
      <c r="F1941" s="127" t="n"/>
      <c r="G1941" s="127" t="inlineStr"/>
      <c r="H1941" s="127" t="inlineStr"/>
      <c r="I1941" s="127" t="n"/>
      <c r="J1941" s="127" t="n"/>
      <c r="K1941" s="127" t="inlineStr"/>
      <c r="L1941" s="127" t="n"/>
      <c r="M1941" s="127" t="n"/>
      <c r="N1941" s="127" t="n"/>
      <c r="O1941" s="127" t="n"/>
      <c r="P1941" s="127" t="n"/>
      <c r="Q1941" s="127" t="n"/>
      <c r="R1941" s="127" t="n"/>
      <c r="S1941" s="127" t="n"/>
      <c r="T1941" s="127" t="n"/>
      <c r="U1941" s="127" t="n"/>
      <c r="V1941" s="127" t="n"/>
      <c r="W1941" s="127" t="n"/>
      <c r="X1941" s="127" t="n"/>
      <c r="Y1941" s="127" t="n"/>
      <c r="Z1941" s="127" t="n"/>
    </row>
    <row r="1942">
      <c r="A1942" s="217" t="n"/>
      <c r="B1942" s="126" t="n"/>
      <c r="C1942" s="126" t="n"/>
      <c r="D1942" s="126" t="n"/>
      <c r="E1942" s="126" t="n"/>
      <c r="F1942" s="127" t="n"/>
      <c r="G1942" s="127" t="inlineStr"/>
      <c r="H1942" s="127" t="inlineStr"/>
      <c r="I1942" s="127" t="n"/>
      <c r="J1942" s="127" t="n"/>
      <c r="K1942" s="127" t="inlineStr"/>
      <c r="L1942" s="127" t="n"/>
      <c r="M1942" s="127" t="n"/>
      <c r="N1942" s="127" t="n"/>
      <c r="O1942" s="127" t="n"/>
      <c r="P1942" s="127" t="n"/>
      <c r="Q1942" s="127" t="n"/>
      <c r="R1942" s="127" t="n"/>
      <c r="S1942" s="127" t="n"/>
      <c r="T1942" s="127" t="n"/>
      <c r="U1942" s="127" t="n"/>
      <c r="V1942" s="127" t="n"/>
      <c r="W1942" s="127" t="n"/>
      <c r="X1942" s="127" t="n"/>
      <c r="Y1942" s="127" t="n"/>
      <c r="Z1942" s="127" t="n"/>
    </row>
    <row r="1943">
      <c r="A1943" s="217" t="n"/>
      <c r="B1943" s="126" t="n"/>
      <c r="C1943" s="126" t="n"/>
      <c r="D1943" s="126" t="n"/>
      <c r="E1943" s="126" t="n"/>
      <c r="F1943" s="127" t="n"/>
      <c r="G1943" s="127" t="inlineStr"/>
      <c r="H1943" s="127" t="inlineStr"/>
      <c r="I1943" s="127" t="n"/>
      <c r="J1943" s="127" t="n"/>
      <c r="K1943" s="127" t="inlineStr"/>
      <c r="L1943" s="127" t="n"/>
      <c r="M1943" s="127" t="n"/>
      <c r="N1943" s="127" t="n"/>
      <c r="O1943" s="127" t="n"/>
      <c r="P1943" s="127" t="n"/>
      <c r="Q1943" s="127" t="n"/>
      <c r="R1943" s="127" t="n"/>
      <c r="S1943" s="127" t="n"/>
      <c r="T1943" s="127" t="n"/>
      <c r="U1943" s="127" t="n"/>
      <c r="V1943" s="127" t="n"/>
      <c r="W1943" s="127" t="n"/>
      <c r="X1943" s="127" t="n"/>
      <c r="Y1943" s="127" t="n"/>
      <c r="Z1943" s="127" t="n"/>
    </row>
    <row r="1944">
      <c r="A1944" s="217" t="n"/>
      <c r="B1944" s="126" t="n"/>
      <c r="C1944" s="126" t="n"/>
      <c r="D1944" s="126" t="n"/>
      <c r="E1944" s="126" t="n"/>
      <c r="F1944" s="127" t="n"/>
      <c r="G1944" s="127" t="inlineStr"/>
      <c r="H1944" s="127" t="inlineStr"/>
      <c r="I1944" s="127" t="n"/>
      <c r="J1944" s="127" t="n"/>
      <c r="K1944" s="127" t="inlineStr"/>
      <c r="L1944" s="127" t="n"/>
      <c r="M1944" s="127" t="n"/>
      <c r="N1944" s="127" t="n"/>
      <c r="O1944" s="127" t="n"/>
      <c r="P1944" s="127" t="n"/>
      <c r="Q1944" s="127" t="n"/>
      <c r="R1944" s="127" t="n"/>
      <c r="S1944" s="127" t="n"/>
      <c r="T1944" s="127" t="n"/>
      <c r="U1944" s="127" t="n"/>
      <c r="V1944" s="127" t="n"/>
      <c r="W1944" s="127" t="n"/>
      <c r="X1944" s="127" t="n"/>
      <c r="Y1944" s="127" t="n"/>
      <c r="Z1944" s="127" t="n"/>
    </row>
    <row r="1945">
      <c r="A1945" s="217" t="n"/>
      <c r="B1945" s="126" t="n"/>
      <c r="C1945" s="126" t="n"/>
      <c r="D1945" s="126" t="n"/>
      <c r="E1945" s="126" t="n"/>
      <c r="F1945" s="127" t="n"/>
      <c r="G1945" s="127" t="inlineStr"/>
      <c r="H1945" s="127" t="inlineStr"/>
      <c r="I1945" s="127" t="n"/>
      <c r="J1945" s="127" t="n"/>
      <c r="K1945" s="127" t="inlineStr"/>
      <c r="L1945" s="127" t="n"/>
      <c r="M1945" s="127" t="n"/>
      <c r="N1945" s="127" t="n"/>
      <c r="O1945" s="127" t="n"/>
      <c r="P1945" s="127" t="n"/>
      <c r="Q1945" s="127" t="n"/>
      <c r="R1945" s="127" t="n"/>
      <c r="S1945" s="127" t="n"/>
      <c r="T1945" s="127" t="n"/>
      <c r="U1945" s="127" t="n"/>
      <c r="V1945" s="127" t="n"/>
      <c r="W1945" s="127" t="n"/>
      <c r="X1945" s="127" t="n"/>
      <c r="Y1945" s="127" t="n"/>
      <c r="Z1945" s="127" t="n"/>
    </row>
    <row r="1946">
      <c r="A1946" s="217" t="n"/>
      <c r="B1946" s="126" t="n"/>
      <c r="C1946" s="126" t="n"/>
      <c r="D1946" s="126" t="n"/>
      <c r="E1946" s="126" t="n"/>
      <c r="F1946" s="127" t="n"/>
      <c r="G1946" s="127" t="inlineStr"/>
      <c r="H1946" s="127" t="inlineStr"/>
      <c r="I1946" s="127" t="n"/>
      <c r="J1946" s="127" t="n"/>
      <c r="K1946" s="127" t="inlineStr"/>
      <c r="L1946" s="127" t="n"/>
      <c r="M1946" s="127" t="n"/>
      <c r="N1946" s="127" t="n"/>
      <c r="O1946" s="127" t="n"/>
      <c r="P1946" s="127" t="n"/>
      <c r="Q1946" s="127" t="n"/>
      <c r="R1946" s="127" t="n"/>
      <c r="S1946" s="127" t="n"/>
      <c r="T1946" s="127" t="n"/>
      <c r="U1946" s="127" t="n"/>
      <c r="V1946" s="127" t="n"/>
      <c r="W1946" s="127" t="n"/>
      <c r="X1946" s="127" t="n"/>
      <c r="Y1946" s="127" t="n"/>
      <c r="Z1946" s="127" t="n"/>
    </row>
    <row r="1947">
      <c r="A1947" s="217" t="n"/>
      <c r="B1947" s="126" t="n"/>
      <c r="C1947" s="126" t="n"/>
      <c r="D1947" s="126" t="n"/>
      <c r="E1947" s="126" t="n"/>
      <c r="F1947" s="127" t="n"/>
      <c r="G1947" s="127" t="inlineStr"/>
      <c r="H1947" s="127" t="inlineStr"/>
      <c r="I1947" s="127" t="n"/>
      <c r="J1947" s="127" t="n"/>
      <c r="K1947" s="127" t="inlineStr"/>
      <c r="L1947" s="127" t="n"/>
      <c r="M1947" s="127" t="n"/>
      <c r="N1947" s="127" t="n"/>
      <c r="O1947" s="127" t="n"/>
      <c r="P1947" s="127" t="n"/>
      <c r="Q1947" s="127" t="n"/>
      <c r="R1947" s="127" t="n"/>
      <c r="S1947" s="127" t="n"/>
      <c r="T1947" s="127" t="n"/>
      <c r="U1947" s="127" t="n"/>
      <c r="V1947" s="127" t="n"/>
      <c r="W1947" s="127" t="n"/>
      <c r="X1947" s="127" t="n"/>
      <c r="Y1947" s="127" t="n"/>
      <c r="Z1947" s="127" t="n"/>
    </row>
    <row r="1948">
      <c r="A1948" s="217" t="n"/>
      <c r="B1948" s="126" t="n"/>
      <c r="C1948" s="126" t="n"/>
      <c r="D1948" s="126" t="n"/>
      <c r="E1948" s="126" t="n"/>
      <c r="F1948" s="127" t="n"/>
      <c r="G1948" s="127" t="inlineStr"/>
      <c r="H1948" s="127" t="inlineStr"/>
      <c r="I1948" s="127" t="n"/>
      <c r="J1948" s="127" t="n"/>
      <c r="K1948" s="127" t="inlineStr"/>
      <c r="L1948" s="127" t="n"/>
      <c r="M1948" s="127" t="n"/>
      <c r="N1948" s="127" t="n"/>
      <c r="O1948" s="127" t="n"/>
      <c r="P1948" s="127" t="n"/>
      <c r="Q1948" s="127" t="n"/>
      <c r="R1948" s="127" t="n"/>
      <c r="S1948" s="127" t="n"/>
      <c r="T1948" s="127" t="n"/>
      <c r="U1948" s="127" t="n"/>
      <c r="V1948" s="127" t="n"/>
      <c r="W1948" s="127" t="n"/>
      <c r="X1948" s="127" t="n"/>
      <c r="Y1948" s="127" t="n"/>
      <c r="Z1948" s="127" t="n"/>
    </row>
    <row r="1949">
      <c r="A1949" s="217" t="n"/>
      <c r="B1949" s="126" t="n"/>
      <c r="C1949" s="126" t="n"/>
      <c r="D1949" s="126" t="n"/>
      <c r="E1949" s="126" t="n"/>
      <c r="F1949" s="127" t="n"/>
      <c r="G1949" s="127" t="inlineStr"/>
      <c r="H1949" s="127" t="inlineStr"/>
      <c r="I1949" s="127" t="n"/>
      <c r="J1949" s="127" t="n"/>
      <c r="K1949" s="127" t="inlineStr"/>
      <c r="L1949" s="127" t="n"/>
      <c r="M1949" s="127" t="n"/>
      <c r="N1949" s="127" t="n"/>
      <c r="O1949" s="127" t="n"/>
      <c r="P1949" s="127" t="n"/>
      <c r="Q1949" s="127" t="n"/>
      <c r="R1949" s="127" t="n"/>
      <c r="S1949" s="127" t="n"/>
      <c r="T1949" s="127" t="n"/>
      <c r="U1949" s="127" t="n"/>
      <c r="V1949" s="127" t="n"/>
      <c r="W1949" s="127" t="n"/>
      <c r="X1949" s="127" t="n"/>
      <c r="Y1949" s="127" t="n"/>
      <c r="Z1949" s="127" t="n"/>
    </row>
    <row r="1950">
      <c r="A1950" s="217" t="n"/>
      <c r="B1950" s="126" t="n"/>
      <c r="C1950" s="126" t="n"/>
      <c r="D1950" s="126" t="n"/>
      <c r="E1950" s="126" t="n"/>
      <c r="F1950" s="127" t="n"/>
      <c r="G1950" s="127" t="inlineStr"/>
      <c r="H1950" s="127" t="inlineStr"/>
      <c r="I1950" s="127" t="n"/>
      <c r="J1950" s="127" t="n"/>
      <c r="K1950" s="127" t="inlineStr"/>
      <c r="L1950" s="127" t="n"/>
      <c r="M1950" s="127" t="n"/>
      <c r="N1950" s="127" t="n"/>
      <c r="O1950" s="127" t="n"/>
      <c r="P1950" s="127" t="n"/>
      <c r="Q1950" s="127" t="n"/>
      <c r="R1950" s="127" t="n"/>
      <c r="S1950" s="127" t="n"/>
      <c r="T1950" s="127" t="n"/>
      <c r="U1950" s="127" t="n"/>
      <c r="V1950" s="127" t="n"/>
      <c r="W1950" s="127" t="n"/>
      <c r="X1950" s="127" t="n"/>
      <c r="Y1950" s="127" t="n"/>
      <c r="Z1950" s="127" t="n"/>
    </row>
    <row r="1951">
      <c r="A1951" s="217" t="n"/>
      <c r="B1951" s="126" t="n"/>
      <c r="C1951" s="126" t="n"/>
      <c r="D1951" s="126" t="n"/>
      <c r="E1951" s="126" t="n"/>
      <c r="F1951" s="127" t="n"/>
      <c r="G1951" s="127" t="inlineStr"/>
      <c r="H1951" s="127" t="inlineStr"/>
      <c r="I1951" s="127" t="n"/>
      <c r="J1951" s="127" t="n"/>
      <c r="K1951" s="127" t="inlineStr"/>
      <c r="L1951" s="127" t="n"/>
      <c r="M1951" s="127" t="n"/>
      <c r="N1951" s="127" t="n"/>
      <c r="O1951" s="127" t="n"/>
      <c r="P1951" s="127" t="n"/>
      <c r="Q1951" s="127" t="n"/>
      <c r="R1951" s="127" t="n"/>
      <c r="S1951" s="127" t="n"/>
      <c r="T1951" s="127" t="n"/>
      <c r="U1951" s="127" t="n"/>
      <c r="V1951" s="127" t="n"/>
      <c r="W1951" s="127" t="n"/>
      <c r="X1951" s="127" t="n"/>
      <c r="Y1951" s="127" t="n"/>
      <c r="Z1951" s="127" t="n"/>
    </row>
    <row r="1952">
      <c r="A1952" s="217" t="n"/>
      <c r="B1952" s="126" t="n"/>
      <c r="C1952" s="126" t="n"/>
      <c r="D1952" s="126" t="n"/>
      <c r="E1952" s="126" t="n"/>
      <c r="F1952" s="127" t="n"/>
      <c r="G1952" s="127" t="inlineStr"/>
      <c r="H1952" s="127" t="inlineStr"/>
      <c r="I1952" s="127" t="n"/>
      <c r="J1952" s="127" t="n"/>
      <c r="K1952" s="127" t="inlineStr"/>
      <c r="L1952" s="127" t="n"/>
      <c r="M1952" s="127" t="n"/>
      <c r="N1952" s="127" t="n"/>
      <c r="O1952" s="127" t="n"/>
      <c r="P1952" s="127" t="n"/>
      <c r="Q1952" s="127" t="n"/>
      <c r="R1952" s="127" t="n"/>
      <c r="S1952" s="127" t="n"/>
      <c r="T1952" s="127" t="n"/>
      <c r="U1952" s="127" t="n"/>
      <c r="V1952" s="127" t="n"/>
      <c r="W1952" s="127" t="n"/>
      <c r="X1952" s="127" t="n"/>
      <c r="Y1952" s="127" t="n"/>
      <c r="Z1952" s="127" t="n"/>
    </row>
    <row r="1953">
      <c r="A1953" s="217" t="n"/>
      <c r="B1953" s="126" t="n"/>
      <c r="C1953" s="126" t="n"/>
      <c r="D1953" s="126" t="n"/>
      <c r="E1953" s="126" t="n"/>
      <c r="F1953" s="127" t="n"/>
      <c r="G1953" s="127" t="inlineStr"/>
      <c r="H1953" s="127" t="inlineStr"/>
      <c r="I1953" s="127" t="n"/>
      <c r="J1953" s="127" t="n"/>
      <c r="K1953" s="127" t="inlineStr"/>
      <c r="L1953" s="127" t="n"/>
      <c r="M1953" s="127" t="n"/>
      <c r="N1953" s="127" t="n"/>
      <c r="O1953" s="127" t="n"/>
      <c r="P1953" s="127" t="n"/>
      <c r="Q1953" s="127" t="n"/>
      <c r="R1953" s="127" t="n"/>
      <c r="S1953" s="127" t="n"/>
      <c r="T1953" s="127" t="n"/>
      <c r="U1953" s="127" t="n"/>
      <c r="V1953" s="127" t="n"/>
      <c r="W1953" s="127" t="n"/>
      <c r="X1953" s="127" t="n"/>
      <c r="Y1953" s="127" t="n"/>
      <c r="Z1953" s="127" t="n"/>
    </row>
    <row r="1954">
      <c r="A1954" s="217" t="n"/>
      <c r="B1954" s="126" t="n"/>
      <c r="C1954" s="126" t="n"/>
      <c r="D1954" s="126" t="n"/>
      <c r="E1954" s="126" t="n"/>
      <c r="F1954" s="127" t="n"/>
      <c r="G1954" s="127" t="inlineStr"/>
      <c r="H1954" s="127" t="inlineStr"/>
      <c r="I1954" s="127" t="n"/>
      <c r="J1954" s="127" t="n"/>
      <c r="K1954" s="127" t="inlineStr"/>
      <c r="L1954" s="127" t="n"/>
      <c r="M1954" s="127" t="n"/>
      <c r="N1954" s="127" t="n"/>
      <c r="O1954" s="127" t="n"/>
      <c r="P1954" s="127" t="n"/>
      <c r="Q1954" s="127" t="n"/>
      <c r="R1954" s="127" t="n"/>
      <c r="S1954" s="127" t="n"/>
      <c r="T1954" s="127" t="n"/>
      <c r="U1954" s="127" t="n"/>
      <c r="V1954" s="127" t="n"/>
      <c r="W1954" s="127" t="n"/>
      <c r="X1954" s="127" t="n"/>
      <c r="Y1954" s="127" t="n"/>
      <c r="Z1954" s="127" t="n"/>
    </row>
    <row r="1955">
      <c r="A1955" s="217" t="n"/>
      <c r="B1955" s="126" t="n"/>
      <c r="C1955" s="126" t="n"/>
      <c r="D1955" s="126" t="n"/>
      <c r="E1955" s="126" t="n"/>
      <c r="F1955" s="127" t="n"/>
      <c r="G1955" s="127" t="inlineStr"/>
      <c r="H1955" s="127" t="inlineStr"/>
      <c r="I1955" s="127" t="n"/>
      <c r="J1955" s="127" t="n"/>
      <c r="K1955" s="127" t="inlineStr"/>
      <c r="L1955" s="127" t="n"/>
      <c r="M1955" s="127" t="n"/>
      <c r="N1955" s="127" t="n"/>
      <c r="O1955" s="127" t="n"/>
      <c r="P1955" s="127" t="n"/>
      <c r="Q1955" s="127" t="n"/>
      <c r="R1955" s="127" t="n"/>
      <c r="S1955" s="127" t="n"/>
      <c r="T1955" s="127" t="n"/>
      <c r="U1955" s="127" t="n"/>
      <c r="V1955" s="127" t="n"/>
      <c r="W1955" s="127" t="n"/>
      <c r="X1955" s="127" t="n"/>
      <c r="Y1955" s="127" t="n"/>
      <c r="Z1955" s="127" t="n"/>
    </row>
    <row r="1956">
      <c r="A1956" s="217" t="n"/>
      <c r="B1956" s="126" t="n"/>
      <c r="C1956" s="126" t="n"/>
      <c r="D1956" s="126" t="n"/>
      <c r="E1956" s="126" t="n"/>
      <c r="F1956" s="127" t="n"/>
      <c r="G1956" s="127" t="inlineStr"/>
      <c r="H1956" s="127" t="inlineStr"/>
      <c r="I1956" s="127" t="n"/>
      <c r="J1956" s="127" t="n"/>
      <c r="K1956" s="127" t="inlineStr"/>
      <c r="L1956" s="127" t="n"/>
      <c r="M1956" s="127" t="n"/>
      <c r="N1956" s="127" t="n"/>
      <c r="O1956" s="127" t="n"/>
      <c r="P1956" s="127" t="n"/>
      <c r="Q1956" s="127" t="n"/>
      <c r="R1956" s="127" t="n"/>
      <c r="S1956" s="127" t="n"/>
      <c r="T1956" s="127" t="n"/>
      <c r="U1956" s="127" t="n"/>
      <c r="V1956" s="127" t="n"/>
      <c r="W1956" s="127" t="n"/>
      <c r="X1956" s="127" t="n"/>
      <c r="Y1956" s="127" t="n"/>
      <c r="Z1956" s="127" t="n"/>
    </row>
    <row r="1957">
      <c r="A1957" s="217" t="n"/>
      <c r="B1957" s="126" t="n"/>
      <c r="C1957" s="126" t="n"/>
      <c r="D1957" s="126" t="n"/>
      <c r="E1957" s="126" t="n"/>
      <c r="F1957" s="127" t="n"/>
      <c r="G1957" s="127" t="inlineStr"/>
      <c r="H1957" s="127" t="inlineStr"/>
      <c r="I1957" s="127" t="n"/>
      <c r="J1957" s="127" t="n"/>
      <c r="K1957" s="127" t="inlineStr"/>
      <c r="L1957" s="127" t="n"/>
      <c r="M1957" s="127" t="n"/>
      <c r="N1957" s="127" t="n"/>
      <c r="O1957" s="127" t="n"/>
      <c r="P1957" s="127" t="n"/>
      <c r="Q1957" s="127" t="n"/>
      <c r="R1957" s="127" t="n"/>
      <c r="S1957" s="127" t="n"/>
      <c r="T1957" s="127" t="n"/>
      <c r="U1957" s="127" t="n"/>
      <c r="V1957" s="127" t="n"/>
      <c r="W1957" s="127" t="n"/>
      <c r="X1957" s="127" t="n"/>
      <c r="Y1957" s="127" t="n"/>
      <c r="Z1957" s="127" t="n"/>
    </row>
    <row r="1958">
      <c r="A1958" s="217" t="n"/>
      <c r="B1958" s="126" t="n"/>
      <c r="C1958" s="126" t="n"/>
      <c r="D1958" s="126" t="n"/>
      <c r="E1958" s="126" t="n"/>
      <c r="F1958" s="127" t="n"/>
      <c r="G1958" s="127" t="inlineStr"/>
      <c r="H1958" s="127" t="inlineStr"/>
      <c r="I1958" s="127" t="n"/>
      <c r="J1958" s="127" t="n"/>
      <c r="K1958" s="127" t="inlineStr"/>
      <c r="L1958" s="127" t="n"/>
      <c r="M1958" s="127" t="n"/>
      <c r="N1958" s="127" t="n"/>
      <c r="O1958" s="127" t="n"/>
      <c r="P1958" s="127" t="n"/>
      <c r="Q1958" s="127" t="n"/>
      <c r="R1958" s="127" t="n"/>
      <c r="S1958" s="127" t="n"/>
      <c r="T1958" s="127" t="n"/>
      <c r="U1958" s="127" t="n"/>
      <c r="V1958" s="127" t="n"/>
      <c r="W1958" s="127" t="n"/>
      <c r="X1958" s="127" t="n"/>
      <c r="Y1958" s="127" t="n"/>
      <c r="Z1958" s="127" t="n"/>
    </row>
    <row r="1959">
      <c r="A1959" s="217" t="n"/>
      <c r="B1959" s="126" t="n"/>
      <c r="C1959" s="126" t="n"/>
      <c r="D1959" s="126" t="n"/>
      <c r="E1959" s="126" t="n"/>
      <c r="F1959" s="127" t="n"/>
      <c r="G1959" s="127" t="inlineStr"/>
      <c r="H1959" s="127" t="inlineStr"/>
      <c r="I1959" s="127" t="n"/>
      <c r="J1959" s="127" t="n"/>
      <c r="K1959" s="127" t="inlineStr"/>
      <c r="L1959" s="127" t="n"/>
      <c r="M1959" s="127" t="n"/>
      <c r="N1959" s="127" t="n"/>
      <c r="O1959" s="127" t="n"/>
      <c r="P1959" s="127" t="n"/>
      <c r="Q1959" s="127" t="n"/>
      <c r="R1959" s="127" t="n"/>
      <c r="S1959" s="127" t="n"/>
      <c r="T1959" s="127" t="n"/>
      <c r="U1959" s="127" t="n"/>
      <c r="V1959" s="127" t="n"/>
      <c r="W1959" s="127" t="n"/>
      <c r="X1959" s="127" t="n"/>
      <c r="Y1959" s="127" t="n"/>
      <c r="Z1959" s="127" t="n"/>
    </row>
    <row r="1960">
      <c r="A1960" s="217" t="n"/>
      <c r="B1960" s="126" t="n"/>
      <c r="C1960" s="126" t="n"/>
      <c r="D1960" s="126" t="n"/>
      <c r="E1960" s="126" t="n"/>
      <c r="F1960" s="127" t="n"/>
      <c r="G1960" s="127" t="inlineStr"/>
      <c r="H1960" s="127" t="inlineStr"/>
      <c r="I1960" s="127" t="n"/>
      <c r="J1960" s="127" t="n"/>
      <c r="K1960" s="127" t="inlineStr"/>
      <c r="L1960" s="127" t="n"/>
      <c r="M1960" s="127" t="n"/>
      <c r="N1960" s="127" t="n"/>
      <c r="O1960" s="127" t="n"/>
      <c r="P1960" s="127" t="n"/>
      <c r="Q1960" s="127" t="n"/>
      <c r="R1960" s="127" t="n"/>
      <c r="S1960" s="127" t="n"/>
      <c r="T1960" s="127" t="n"/>
      <c r="U1960" s="127" t="n"/>
      <c r="V1960" s="127" t="n"/>
      <c r="W1960" s="127" t="n"/>
      <c r="X1960" s="127" t="n"/>
      <c r="Y1960" s="127" t="n"/>
      <c r="Z1960" s="127" t="n"/>
    </row>
    <row r="1961">
      <c r="A1961" s="217" t="n"/>
      <c r="B1961" s="126" t="n"/>
      <c r="C1961" s="126" t="n"/>
      <c r="D1961" s="126" t="n"/>
      <c r="E1961" s="126" t="n"/>
      <c r="F1961" s="127" t="n"/>
      <c r="G1961" s="127" t="inlineStr"/>
      <c r="H1961" s="127" t="inlineStr"/>
      <c r="I1961" s="127" t="n"/>
      <c r="J1961" s="127" t="n"/>
      <c r="K1961" s="127" t="inlineStr"/>
      <c r="L1961" s="127" t="n"/>
      <c r="M1961" s="127" t="n"/>
      <c r="N1961" s="127" t="n"/>
      <c r="O1961" s="127" t="n"/>
      <c r="P1961" s="127" t="n"/>
      <c r="Q1961" s="127" t="n"/>
      <c r="R1961" s="127" t="n"/>
      <c r="S1961" s="127" t="n"/>
      <c r="T1961" s="127" t="n"/>
      <c r="U1961" s="127" t="n"/>
      <c r="V1961" s="127" t="n"/>
      <c r="W1961" s="127" t="n"/>
      <c r="X1961" s="127" t="n"/>
      <c r="Y1961" s="127" t="n"/>
      <c r="Z1961" s="127" t="n"/>
    </row>
    <row r="1962">
      <c r="A1962" s="217" t="n"/>
      <c r="B1962" s="126" t="n"/>
      <c r="C1962" s="126" t="n"/>
      <c r="D1962" s="126" t="n"/>
      <c r="E1962" s="126" t="n"/>
      <c r="F1962" s="127" t="n"/>
      <c r="G1962" s="127" t="inlineStr"/>
      <c r="H1962" s="127" t="inlineStr"/>
      <c r="I1962" s="127" t="n"/>
      <c r="J1962" s="127" t="n"/>
      <c r="K1962" s="127" t="inlineStr"/>
      <c r="L1962" s="127" t="n"/>
      <c r="M1962" s="127" t="n"/>
      <c r="N1962" s="127" t="n"/>
      <c r="O1962" s="127" t="n"/>
      <c r="P1962" s="127" t="n"/>
      <c r="Q1962" s="127" t="n"/>
      <c r="R1962" s="127" t="n"/>
      <c r="S1962" s="127" t="n"/>
      <c r="T1962" s="127" t="n"/>
      <c r="U1962" s="127" t="n"/>
      <c r="V1962" s="127" t="n"/>
      <c r="W1962" s="127" t="n"/>
      <c r="X1962" s="127" t="n"/>
      <c r="Y1962" s="127" t="n"/>
      <c r="Z1962" s="127" t="n"/>
    </row>
    <row r="1963">
      <c r="A1963" s="217" t="n"/>
      <c r="B1963" s="126" t="n"/>
      <c r="C1963" s="126" t="n"/>
      <c r="D1963" s="126" t="n"/>
      <c r="E1963" s="126" t="n"/>
      <c r="F1963" s="127" t="n"/>
      <c r="G1963" s="127" t="inlineStr"/>
      <c r="H1963" s="127" t="inlineStr"/>
      <c r="I1963" s="127" t="n"/>
      <c r="J1963" s="127" t="n"/>
      <c r="K1963" s="127" t="inlineStr"/>
      <c r="L1963" s="127" t="n"/>
      <c r="M1963" s="127" t="n"/>
      <c r="N1963" s="127" t="n"/>
      <c r="O1963" s="127" t="n"/>
      <c r="P1963" s="127" t="n"/>
      <c r="Q1963" s="127" t="n"/>
      <c r="R1963" s="127" t="n"/>
      <c r="S1963" s="127" t="n"/>
      <c r="T1963" s="127" t="n"/>
      <c r="U1963" s="127" t="n"/>
      <c r="V1963" s="127" t="n"/>
      <c r="W1963" s="127" t="n"/>
      <c r="X1963" s="127" t="n"/>
      <c r="Y1963" s="127" t="n"/>
      <c r="Z1963" s="127" t="n"/>
    </row>
    <row r="1964">
      <c r="A1964" s="217" t="n"/>
      <c r="B1964" s="126" t="n"/>
      <c r="C1964" s="126" t="n"/>
      <c r="D1964" s="126" t="n"/>
      <c r="E1964" s="126" t="n"/>
      <c r="F1964" s="127" t="n"/>
      <c r="G1964" s="127" t="inlineStr"/>
      <c r="H1964" s="127" t="inlineStr"/>
      <c r="I1964" s="127" t="n"/>
      <c r="J1964" s="127" t="n"/>
      <c r="K1964" s="127" t="inlineStr"/>
      <c r="L1964" s="127" t="n"/>
      <c r="M1964" s="127" t="n"/>
      <c r="N1964" s="127" t="n"/>
      <c r="O1964" s="127" t="n"/>
      <c r="P1964" s="127" t="n"/>
      <c r="Q1964" s="127" t="n"/>
      <c r="R1964" s="127" t="n"/>
      <c r="S1964" s="127" t="n"/>
      <c r="T1964" s="127" t="n"/>
      <c r="U1964" s="127" t="n"/>
      <c r="V1964" s="127" t="n"/>
      <c r="W1964" s="127" t="n"/>
      <c r="X1964" s="127" t="n"/>
      <c r="Y1964" s="127" t="n"/>
      <c r="Z1964" s="127" t="n"/>
    </row>
    <row r="1965">
      <c r="A1965" s="217" t="n"/>
      <c r="B1965" s="126" t="n"/>
      <c r="C1965" s="126" t="n"/>
      <c r="D1965" s="126" t="n"/>
      <c r="E1965" s="126" t="n"/>
      <c r="F1965" s="127" t="n"/>
      <c r="G1965" s="127" t="inlineStr"/>
      <c r="H1965" s="127" t="inlineStr"/>
      <c r="I1965" s="127" t="n"/>
      <c r="J1965" s="127" t="n"/>
      <c r="K1965" s="127" t="inlineStr"/>
      <c r="L1965" s="127" t="n"/>
      <c r="M1965" s="127" t="n"/>
      <c r="N1965" s="127" t="n"/>
      <c r="O1965" s="127" t="n"/>
      <c r="P1965" s="127" t="n"/>
      <c r="Q1965" s="127" t="n"/>
      <c r="R1965" s="127" t="n"/>
      <c r="S1965" s="127" t="n"/>
      <c r="T1965" s="127" t="n"/>
      <c r="U1965" s="127" t="n"/>
      <c r="V1965" s="127" t="n"/>
      <c r="W1965" s="127" t="n"/>
      <c r="X1965" s="127" t="n"/>
      <c r="Y1965" s="127" t="n"/>
      <c r="Z1965" s="127" t="n"/>
    </row>
    <row r="1966">
      <c r="A1966" s="217" t="n"/>
      <c r="B1966" s="126" t="n"/>
      <c r="C1966" s="126" t="n"/>
      <c r="D1966" s="126" t="n"/>
      <c r="E1966" s="126" t="n"/>
      <c r="F1966" s="127" t="n"/>
      <c r="G1966" s="127" t="inlineStr"/>
      <c r="H1966" s="127" t="inlineStr"/>
      <c r="I1966" s="127" t="n"/>
      <c r="J1966" s="127" t="n"/>
      <c r="K1966" s="127" t="inlineStr"/>
      <c r="L1966" s="127" t="n"/>
      <c r="M1966" s="127" t="n"/>
      <c r="N1966" s="127" t="n"/>
      <c r="O1966" s="127" t="n"/>
      <c r="P1966" s="127" t="n"/>
      <c r="Q1966" s="127" t="n"/>
      <c r="R1966" s="127" t="n"/>
      <c r="S1966" s="127" t="n"/>
      <c r="T1966" s="127" t="n"/>
      <c r="U1966" s="127" t="n"/>
      <c r="V1966" s="127" t="n"/>
      <c r="W1966" s="127" t="n"/>
      <c r="X1966" s="127" t="n"/>
      <c r="Y1966" s="127" t="n"/>
      <c r="Z1966" s="127" t="n"/>
    </row>
    <row r="1967">
      <c r="A1967" s="217" t="n"/>
      <c r="B1967" s="126" t="n"/>
      <c r="C1967" s="126" t="n"/>
      <c r="D1967" s="126" t="n"/>
      <c r="E1967" s="126" t="n"/>
      <c r="F1967" s="127" t="n"/>
      <c r="G1967" s="127" t="inlineStr"/>
      <c r="H1967" s="127" t="inlineStr"/>
      <c r="I1967" s="127" t="n"/>
      <c r="J1967" s="127" t="n"/>
      <c r="K1967" s="127" t="inlineStr"/>
      <c r="L1967" s="127" t="n"/>
      <c r="M1967" s="127" t="n"/>
      <c r="N1967" s="127" t="n"/>
      <c r="O1967" s="127" t="n"/>
      <c r="P1967" s="127" t="n"/>
      <c r="Q1967" s="127" t="n"/>
      <c r="R1967" s="127" t="n"/>
      <c r="S1967" s="127" t="n"/>
      <c r="T1967" s="127" t="n"/>
      <c r="U1967" s="127" t="n"/>
      <c r="V1967" s="127" t="n"/>
      <c r="W1967" s="127" t="n"/>
      <c r="X1967" s="127" t="n"/>
      <c r="Y1967" s="127" t="n"/>
      <c r="Z1967" s="127" t="n"/>
    </row>
    <row r="1968">
      <c r="A1968" s="217" t="n"/>
      <c r="B1968" s="126" t="n"/>
      <c r="C1968" s="126" t="n"/>
      <c r="D1968" s="126" t="n"/>
      <c r="E1968" s="126" t="n"/>
      <c r="F1968" s="127" t="n"/>
      <c r="G1968" s="127" t="inlineStr"/>
      <c r="H1968" s="127" t="inlineStr"/>
      <c r="I1968" s="127" t="n"/>
      <c r="J1968" s="127" t="n"/>
      <c r="K1968" s="127" t="inlineStr"/>
      <c r="L1968" s="127" t="n"/>
      <c r="M1968" s="127" t="n"/>
      <c r="N1968" s="127" t="n"/>
      <c r="O1968" s="127" t="n"/>
      <c r="P1968" s="127" t="n"/>
      <c r="Q1968" s="127" t="n"/>
      <c r="R1968" s="127" t="n"/>
      <c r="S1968" s="127" t="n"/>
      <c r="T1968" s="127" t="n"/>
      <c r="U1968" s="127" t="n"/>
      <c r="V1968" s="127" t="n"/>
      <c r="W1968" s="127" t="n"/>
      <c r="X1968" s="127" t="n"/>
      <c r="Y1968" s="127" t="n"/>
      <c r="Z1968" s="127" t="n"/>
    </row>
    <row r="1969">
      <c r="A1969" s="217" t="n"/>
      <c r="B1969" s="126" t="n"/>
      <c r="C1969" s="126" t="n"/>
      <c r="D1969" s="126" t="n"/>
      <c r="E1969" s="126" t="n"/>
      <c r="F1969" s="127" t="n"/>
      <c r="G1969" s="127" t="inlineStr"/>
      <c r="H1969" s="127" t="inlineStr"/>
      <c r="I1969" s="127" t="n"/>
      <c r="J1969" s="127" t="n"/>
      <c r="K1969" s="127" t="inlineStr"/>
      <c r="L1969" s="127" t="n"/>
      <c r="M1969" s="127" t="n"/>
      <c r="N1969" s="127" t="n"/>
      <c r="O1969" s="127" t="n"/>
      <c r="P1969" s="127" t="n"/>
      <c r="Q1969" s="127" t="n"/>
      <c r="R1969" s="127" t="n"/>
      <c r="S1969" s="127" t="n"/>
      <c r="T1969" s="127" t="n"/>
      <c r="U1969" s="127" t="n"/>
      <c r="V1969" s="127" t="n"/>
      <c r="W1969" s="127" t="n"/>
      <c r="X1969" s="127" t="n"/>
      <c r="Y1969" s="127" t="n"/>
      <c r="Z1969" s="127" t="n"/>
    </row>
    <row r="1970">
      <c r="A1970" s="217" t="n"/>
      <c r="B1970" s="126" t="n"/>
      <c r="C1970" s="126" t="n"/>
      <c r="D1970" s="126" t="n"/>
      <c r="E1970" s="126" t="n"/>
      <c r="F1970" s="127" t="n"/>
      <c r="G1970" s="127" t="inlineStr"/>
      <c r="H1970" s="127" t="inlineStr"/>
      <c r="I1970" s="127" t="n"/>
      <c r="J1970" s="127" t="n"/>
      <c r="K1970" s="127" t="inlineStr"/>
      <c r="L1970" s="127" t="n"/>
      <c r="M1970" s="127" t="n"/>
      <c r="N1970" s="127" t="n"/>
      <c r="O1970" s="127" t="n"/>
      <c r="P1970" s="127" t="n"/>
      <c r="Q1970" s="127" t="n"/>
      <c r="R1970" s="127" t="n"/>
      <c r="S1970" s="127" t="n"/>
      <c r="T1970" s="127" t="n"/>
      <c r="U1970" s="127" t="n"/>
      <c r="V1970" s="127" t="n"/>
      <c r="W1970" s="127" t="n"/>
      <c r="X1970" s="127" t="n"/>
      <c r="Y1970" s="127" t="n"/>
      <c r="Z1970" s="127" t="n"/>
    </row>
    <row r="1971">
      <c r="A1971" s="217" t="n"/>
      <c r="B1971" s="126" t="n"/>
      <c r="C1971" s="126" t="n"/>
      <c r="D1971" s="126" t="n"/>
      <c r="E1971" s="126" t="n"/>
      <c r="F1971" s="127" t="n"/>
      <c r="G1971" s="127" t="inlineStr"/>
      <c r="H1971" s="127" t="inlineStr"/>
      <c r="I1971" s="127" t="n"/>
      <c r="J1971" s="127" t="n"/>
      <c r="K1971" s="127" t="inlineStr"/>
      <c r="L1971" s="127" t="n"/>
      <c r="M1971" s="127" t="n"/>
      <c r="N1971" s="127" t="n"/>
      <c r="O1971" s="127" t="n"/>
      <c r="P1971" s="127" t="n"/>
      <c r="Q1971" s="127" t="n"/>
      <c r="R1971" s="127" t="n"/>
      <c r="S1971" s="127" t="n"/>
      <c r="T1971" s="127" t="n"/>
      <c r="U1971" s="127" t="n"/>
      <c r="V1971" s="127" t="n"/>
      <c r="W1971" s="127" t="n"/>
      <c r="X1971" s="127" t="n"/>
      <c r="Y1971" s="127" t="n"/>
      <c r="Z1971" s="127" t="n"/>
    </row>
    <row r="1972">
      <c r="A1972" s="217" t="n"/>
      <c r="B1972" s="126" t="n"/>
      <c r="C1972" s="126" t="n"/>
      <c r="D1972" s="126" t="n"/>
      <c r="E1972" s="126" t="n"/>
      <c r="F1972" s="127" t="n"/>
      <c r="G1972" s="127" t="inlineStr"/>
      <c r="H1972" s="127" t="inlineStr"/>
      <c r="I1972" s="127" t="n"/>
      <c r="J1972" s="127" t="n"/>
      <c r="K1972" s="127" t="inlineStr"/>
      <c r="L1972" s="127" t="n"/>
      <c r="M1972" s="127" t="n"/>
      <c r="N1972" s="127" t="n"/>
      <c r="O1972" s="127" t="n"/>
      <c r="P1972" s="127" t="n"/>
      <c r="Q1972" s="127" t="n"/>
      <c r="R1972" s="127" t="n"/>
      <c r="S1972" s="127" t="n"/>
      <c r="T1972" s="127" t="n"/>
      <c r="U1972" s="127" t="n"/>
      <c r="V1972" s="127" t="n"/>
      <c r="W1972" s="127" t="n"/>
      <c r="X1972" s="127" t="n"/>
      <c r="Y1972" s="127" t="n"/>
      <c r="Z1972" s="127" t="n"/>
    </row>
    <row r="1973">
      <c r="A1973" s="217" t="n"/>
      <c r="B1973" s="126" t="n"/>
      <c r="C1973" s="126" t="n"/>
      <c r="D1973" s="126" t="n"/>
      <c r="E1973" s="126" t="n"/>
      <c r="F1973" s="127" t="n"/>
      <c r="G1973" s="127" t="inlineStr"/>
      <c r="H1973" s="127" t="inlineStr"/>
      <c r="I1973" s="127" t="n"/>
      <c r="J1973" s="127" t="n"/>
      <c r="K1973" s="127" t="inlineStr"/>
      <c r="L1973" s="127" t="n"/>
      <c r="M1973" s="127" t="n"/>
      <c r="N1973" s="127" t="n"/>
      <c r="O1973" s="127" t="n"/>
      <c r="P1973" s="127" t="n"/>
      <c r="Q1973" s="127" t="n"/>
      <c r="R1973" s="127" t="n"/>
      <c r="S1973" s="127" t="n"/>
      <c r="T1973" s="127" t="n"/>
      <c r="U1973" s="127" t="n"/>
      <c r="V1973" s="127" t="n"/>
      <c r="W1973" s="127" t="n"/>
      <c r="X1973" s="127" t="n"/>
      <c r="Y1973" s="127" t="n"/>
      <c r="Z1973" s="127" t="n"/>
    </row>
    <row r="1974">
      <c r="A1974" s="217" t="n"/>
      <c r="B1974" s="126" t="n"/>
      <c r="C1974" s="126" t="n"/>
      <c r="D1974" s="126" t="n"/>
      <c r="E1974" s="126" t="n"/>
      <c r="F1974" s="127" t="n"/>
      <c r="G1974" s="127" t="inlineStr"/>
      <c r="H1974" s="127" t="inlineStr"/>
      <c r="I1974" s="127" t="n"/>
      <c r="J1974" s="127" t="n"/>
      <c r="K1974" s="127" t="inlineStr"/>
      <c r="L1974" s="127" t="n"/>
      <c r="M1974" s="127" t="n"/>
      <c r="N1974" s="127" t="n"/>
      <c r="O1974" s="127" t="n"/>
      <c r="P1974" s="127" t="n"/>
      <c r="Q1974" s="127" t="n"/>
      <c r="R1974" s="127" t="n"/>
      <c r="S1974" s="127" t="n"/>
      <c r="T1974" s="127" t="n"/>
      <c r="U1974" s="127" t="n"/>
      <c r="V1974" s="127" t="n"/>
      <c r="W1974" s="127" t="n"/>
      <c r="X1974" s="127" t="n"/>
      <c r="Y1974" s="127" t="n"/>
      <c r="Z1974" s="127" t="n"/>
    </row>
    <row r="1975">
      <c r="A1975" s="217" t="n"/>
      <c r="B1975" s="126" t="n"/>
      <c r="C1975" s="126" t="n"/>
      <c r="D1975" s="126" t="n"/>
      <c r="E1975" s="126" t="n"/>
      <c r="F1975" s="127" t="n"/>
      <c r="G1975" s="127" t="inlineStr"/>
      <c r="H1975" s="127" t="inlineStr"/>
      <c r="I1975" s="127" t="n"/>
      <c r="J1975" s="127" t="n"/>
      <c r="K1975" s="127" t="inlineStr"/>
      <c r="L1975" s="127" t="n"/>
      <c r="M1975" s="127" t="n"/>
      <c r="N1975" s="127" t="n"/>
      <c r="O1975" s="127" t="n"/>
      <c r="P1975" s="127" t="n"/>
      <c r="Q1975" s="127" t="n"/>
      <c r="R1975" s="127" t="n"/>
      <c r="S1975" s="127" t="n"/>
      <c r="T1975" s="127" t="n"/>
      <c r="U1975" s="127" t="n"/>
      <c r="V1975" s="127" t="n"/>
      <c r="W1975" s="127" t="n"/>
      <c r="X1975" s="127" t="n"/>
      <c r="Y1975" s="127" t="n"/>
      <c r="Z1975" s="127" t="n"/>
    </row>
    <row r="1976">
      <c r="A1976" s="217" t="n"/>
      <c r="B1976" s="126" t="n"/>
      <c r="C1976" s="126" t="n"/>
      <c r="D1976" s="126" t="n"/>
      <c r="E1976" s="126" t="n"/>
      <c r="F1976" s="127" t="n"/>
      <c r="G1976" s="127" t="inlineStr"/>
      <c r="H1976" s="127" t="inlineStr"/>
      <c r="I1976" s="127" t="n"/>
      <c r="J1976" s="127" t="n"/>
      <c r="K1976" s="127" t="inlineStr"/>
      <c r="L1976" s="127" t="n"/>
      <c r="M1976" s="127" t="n"/>
      <c r="N1976" s="127" t="n"/>
      <c r="O1976" s="127" t="n"/>
      <c r="P1976" s="127" t="n"/>
      <c r="Q1976" s="127" t="n"/>
      <c r="R1976" s="127" t="n"/>
      <c r="S1976" s="127" t="n"/>
      <c r="T1976" s="127" t="n"/>
      <c r="U1976" s="127" t="n"/>
      <c r="V1976" s="127" t="n"/>
      <c r="W1976" s="127" t="n"/>
      <c r="X1976" s="127" t="n"/>
      <c r="Y1976" s="127" t="n"/>
      <c r="Z1976" s="127" t="n"/>
    </row>
    <row r="1977">
      <c r="A1977" s="217" t="n"/>
      <c r="B1977" s="126" t="n"/>
      <c r="C1977" s="126" t="n"/>
      <c r="D1977" s="126" t="n"/>
      <c r="E1977" s="126" t="n"/>
      <c r="F1977" s="127" t="n"/>
      <c r="G1977" s="127" t="inlineStr"/>
      <c r="H1977" s="127" t="inlineStr"/>
      <c r="I1977" s="127" t="n"/>
      <c r="J1977" s="127" t="n"/>
      <c r="K1977" s="127" t="inlineStr"/>
      <c r="L1977" s="127" t="n"/>
      <c r="M1977" s="127" t="n"/>
      <c r="N1977" s="127" t="n"/>
      <c r="O1977" s="127" t="n"/>
      <c r="P1977" s="127" t="n"/>
      <c r="Q1977" s="127" t="n"/>
      <c r="R1977" s="127" t="n"/>
      <c r="S1977" s="127" t="n"/>
      <c r="T1977" s="127" t="n"/>
      <c r="U1977" s="127" t="n"/>
      <c r="V1977" s="127" t="n"/>
      <c r="W1977" s="127" t="n"/>
      <c r="X1977" s="127" t="n"/>
      <c r="Y1977" s="127" t="n"/>
      <c r="Z1977" s="127" t="n"/>
    </row>
    <row r="1978">
      <c r="A1978" s="217" t="n"/>
      <c r="B1978" s="126" t="n"/>
      <c r="C1978" s="126" t="n"/>
      <c r="D1978" s="126" t="n"/>
      <c r="E1978" s="126" t="n"/>
      <c r="F1978" s="127" t="n"/>
      <c r="G1978" s="127" t="inlineStr"/>
      <c r="H1978" s="127" t="inlineStr"/>
      <c r="I1978" s="127" t="n"/>
      <c r="J1978" s="127" t="n"/>
      <c r="K1978" s="127" t="inlineStr"/>
      <c r="L1978" s="127" t="n"/>
      <c r="M1978" s="127" t="n"/>
      <c r="N1978" s="127" t="n"/>
      <c r="O1978" s="127" t="n"/>
      <c r="P1978" s="127" t="n"/>
      <c r="Q1978" s="127" t="n"/>
      <c r="R1978" s="127" t="n"/>
      <c r="S1978" s="127" t="n"/>
      <c r="T1978" s="127" t="n"/>
      <c r="U1978" s="127" t="n"/>
      <c r="V1978" s="127" t="n"/>
      <c r="W1978" s="127" t="n"/>
      <c r="X1978" s="127" t="n"/>
      <c r="Y1978" s="127" t="n"/>
      <c r="Z1978" s="127" t="n"/>
    </row>
    <row r="1979">
      <c r="A1979" s="217" t="n"/>
      <c r="B1979" s="126" t="n"/>
      <c r="C1979" s="126" t="n"/>
      <c r="D1979" s="126" t="n"/>
      <c r="E1979" s="126" t="n"/>
      <c r="F1979" s="127" t="n"/>
      <c r="G1979" s="127" t="inlineStr"/>
      <c r="H1979" s="127" t="inlineStr"/>
      <c r="I1979" s="127" t="n"/>
      <c r="J1979" s="127" t="n"/>
      <c r="K1979" s="127" t="inlineStr"/>
      <c r="L1979" s="127" t="n"/>
      <c r="M1979" s="127" t="n"/>
      <c r="N1979" s="127" t="n"/>
      <c r="O1979" s="127" t="n"/>
      <c r="P1979" s="127" t="n"/>
      <c r="Q1979" s="127" t="n"/>
      <c r="R1979" s="127" t="n"/>
      <c r="S1979" s="127" t="n"/>
      <c r="T1979" s="127" t="n"/>
      <c r="U1979" s="127" t="n"/>
      <c r="V1979" s="127" t="n"/>
      <c r="W1979" s="127" t="n"/>
      <c r="X1979" s="127" t="n"/>
      <c r="Y1979" s="127" t="n"/>
      <c r="Z1979" s="127" t="n"/>
    </row>
    <row r="1980">
      <c r="A1980" s="217" t="n"/>
      <c r="B1980" s="126" t="n"/>
      <c r="C1980" s="126" t="n"/>
      <c r="D1980" s="126" t="n"/>
      <c r="E1980" s="126" t="n"/>
      <c r="F1980" s="127" t="n"/>
      <c r="G1980" s="127" t="inlineStr"/>
      <c r="H1980" s="127" t="inlineStr"/>
      <c r="I1980" s="127" t="n"/>
      <c r="J1980" s="127" t="n"/>
      <c r="K1980" s="127" t="inlineStr"/>
      <c r="L1980" s="127" t="n"/>
      <c r="M1980" s="127" t="n"/>
      <c r="N1980" s="127" t="n"/>
      <c r="O1980" s="127" t="n"/>
      <c r="P1980" s="127" t="n"/>
      <c r="Q1980" s="127" t="n"/>
      <c r="R1980" s="127" t="n"/>
      <c r="S1980" s="127" t="n"/>
      <c r="T1980" s="127" t="n"/>
      <c r="U1980" s="127" t="n"/>
      <c r="V1980" s="127" t="n"/>
      <c r="W1980" s="127" t="n"/>
      <c r="X1980" s="127" t="n"/>
      <c r="Y1980" s="127" t="n"/>
      <c r="Z1980" s="127" t="n"/>
    </row>
    <row r="1981">
      <c r="A1981" s="217" t="n"/>
      <c r="B1981" s="126" t="n"/>
      <c r="C1981" s="126" t="n"/>
      <c r="D1981" s="126" t="n"/>
      <c r="E1981" s="126" t="n"/>
      <c r="F1981" s="127" t="n"/>
      <c r="G1981" s="127" t="inlineStr"/>
      <c r="H1981" s="127" t="inlineStr"/>
      <c r="I1981" s="127" t="n"/>
      <c r="J1981" s="127" t="n"/>
      <c r="K1981" s="127" t="inlineStr"/>
      <c r="L1981" s="127" t="n"/>
      <c r="M1981" s="127" t="n"/>
      <c r="N1981" s="127" t="n"/>
      <c r="O1981" s="127" t="n"/>
      <c r="P1981" s="127" t="n"/>
      <c r="Q1981" s="127" t="n"/>
      <c r="R1981" s="127" t="n"/>
      <c r="S1981" s="127" t="n"/>
      <c r="T1981" s="127" t="n"/>
      <c r="U1981" s="127" t="n"/>
      <c r="V1981" s="127" t="n"/>
      <c r="W1981" s="127" t="n"/>
      <c r="X1981" s="127" t="n"/>
      <c r="Y1981" s="127" t="n"/>
      <c r="Z1981" s="127" t="n"/>
    </row>
    <row r="1982">
      <c r="A1982" s="217" t="n"/>
      <c r="B1982" s="126" t="n"/>
      <c r="C1982" s="126" t="n"/>
      <c r="D1982" s="126" t="n"/>
      <c r="E1982" s="126" t="n"/>
      <c r="F1982" s="127" t="n"/>
      <c r="G1982" s="127" t="inlineStr"/>
      <c r="H1982" s="127" t="inlineStr"/>
      <c r="I1982" s="127" t="n"/>
      <c r="J1982" s="127" t="n"/>
      <c r="K1982" s="127" t="inlineStr"/>
      <c r="L1982" s="127" t="n"/>
      <c r="M1982" s="127" t="n"/>
      <c r="N1982" s="127" t="n"/>
      <c r="O1982" s="127" t="n"/>
      <c r="P1982" s="127" t="n"/>
      <c r="Q1982" s="127" t="n"/>
      <c r="R1982" s="127" t="n"/>
      <c r="S1982" s="127" t="n"/>
      <c r="T1982" s="127" t="n"/>
      <c r="U1982" s="127" t="n"/>
      <c r="V1982" s="127" t="n"/>
      <c r="W1982" s="127" t="n"/>
      <c r="X1982" s="127" t="n"/>
      <c r="Y1982" s="127" t="n"/>
      <c r="Z1982" s="127" t="n"/>
    </row>
    <row r="1983">
      <c r="A1983" s="217" t="n"/>
      <c r="B1983" s="126" t="n"/>
      <c r="C1983" s="126" t="n"/>
      <c r="D1983" s="126" t="n"/>
      <c r="E1983" s="126" t="n"/>
      <c r="F1983" s="127" t="n"/>
      <c r="G1983" s="127" t="inlineStr"/>
      <c r="H1983" s="127" t="inlineStr"/>
      <c r="I1983" s="127" t="n"/>
      <c r="J1983" s="127" t="n"/>
      <c r="K1983" s="127" t="inlineStr"/>
      <c r="L1983" s="127" t="n"/>
      <c r="M1983" s="127" t="n"/>
      <c r="N1983" s="127" t="n"/>
      <c r="O1983" s="127" t="n"/>
      <c r="P1983" s="127" t="n"/>
      <c r="Q1983" s="127" t="n"/>
      <c r="R1983" s="127" t="n"/>
      <c r="S1983" s="127" t="n"/>
      <c r="T1983" s="127" t="n"/>
      <c r="U1983" s="127" t="n"/>
      <c r="V1983" s="127" t="n"/>
      <c r="W1983" s="127" t="n"/>
      <c r="X1983" s="127" t="n"/>
      <c r="Y1983" s="127" t="n"/>
      <c r="Z1983" s="127" t="n"/>
    </row>
    <row r="1984">
      <c r="A1984" s="217" t="n"/>
      <c r="B1984" s="126" t="n"/>
      <c r="C1984" s="126" t="n"/>
      <c r="D1984" s="126" t="n"/>
      <c r="E1984" s="126" t="n"/>
      <c r="F1984" s="127" t="n"/>
      <c r="G1984" s="127" t="inlineStr"/>
      <c r="H1984" s="127" t="inlineStr"/>
      <c r="I1984" s="127" t="n"/>
      <c r="J1984" s="127" t="n"/>
      <c r="K1984" s="127" t="inlineStr"/>
      <c r="L1984" s="127" t="n"/>
      <c r="M1984" s="127" t="n"/>
      <c r="N1984" s="127" t="n"/>
      <c r="O1984" s="127" t="n"/>
      <c r="P1984" s="127" t="n"/>
      <c r="Q1984" s="127" t="n"/>
      <c r="R1984" s="127" t="n"/>
      <c r="S1984" s="127" t="n"/>
      <c r="T1984" s="127" t="n"/>
      <c r="U1984" s="127" t="n"/>
      <c r="V1984" s="127" t="n"/>
      <c r="W1984" s="127" t="n"/>
      <c r="X1984" s="127" t="n"/>
      <c r="Y1984" s="127" t="n"/>
      <c r="Z1984" s="127" t="n"/>
    </row>
    <row r="1985">
      <c r="A1985" s="217" t="n"/>
      <c r="B1985" s="126" t="n"/>
      <c r="C1985" s="126" t="n"/>
      <c r="D1985" s="126" t="n"/>
      <c r="E1985" s="126" t="n"/>
      <c r="F1985" s="127" t="n"/>
      <c r="G1985" s="127" t="inlineStr"/>
      <c r="H1985" s="127" t="inlineStr"/>
      <c r="I1985" s="127" t="n"/>
      <c r="J1985" s="127" t="n"/>
      <c r="K1985" s="127" t="inlineStr"/>
      <c r="L1985" s="127" t="n"/>
      <c r="M1985" s="127" t="n"/>
      <c r="N1985" s="127" t="n"/>
      <c r="O1985" s="127" t="n"/>
      <c r="P1985" s="127" t="n"/>
      <c r="Q1985" s="127" t="n"/>
      <c r="R1985" s="127" t="n"/>
      <c r="S1985" s="127" t="n"/>
      <c r="T1985" s="127" t="n"/>
      <c r="U1985" s="127" t="n"/>
      <c r="V1985" s="127" t="n"/>
      <c r="W1985" s="127" t="n"/>
      <c r="X1985" s="127" t="n"/>
      <c r="Y1985" s="127" t="n"/>
      <c r="Z1985" s="127" t="n"/>
    </row>
    <row r="1986">
      <c r="A1986" s="217" t="n"/>
      <c r="B1986" s="126" t="n"/>
      <c r="C1986" s="126" t="n"/>
      <c r="D1986" s="126" t="n"/>
      <c r="E1986" s="126" t="n"/>
      <c r="F1986" s="127" t="n"/>
      <c r="G1986" s="127" t="inlineStr"/>
      <c r="H1986" s="127" t="inlineStr"/>
      <c r="I1986" s="127" t="n"/>
      <c r="J1986" s="127" t="n"/>
      <c r="K1986" s="127" t="inlineStr"/>
      <c r="L1986" s="127" t="n"/>
      <c r="M1986" s="127" t="n"/>
      <c r="N1986" s="127" t="n"/>
      <c r="O1986" s="127" t="n"/>
      <c r="P1986" s="127" t="n"/>
      <c r="Q1986" s="127" t="n"/>
      <c r="R1986" s="127" t="n"/>
      <c r="S1986" s="127" t="n"/>
      <c r="T1986" s="127" t="n"/>
      <c r="U1986" s="127" t="n"/>
      <c r="V1986" s="127" t="n"/>
      <c r="W1986" s="127" t="n"/>
      <c r="X1986" s="127" t="n"/>
      <c r="Y1986" s="127" t="n"/>
      <c r="Z1986" s="127" t="n"/>
    </row>
    <row r="1987">
      <c r="A1987" s="217" t="n"/>
      <c r="B1987" s="126" t="n"/>
      <c r="C1987" s="126" t="n"/>
      <c r="D1987" s="126" t="n"/>
      <c r="E1987" s="126" t="n"/>
      <c r="F1987" s="127" t="n"/>
      <c r="G1987" s="127" t="inlineStr"/>
      <c r="H1987" s="127" t="inlineStr"/>
      <c r="I1987" s="127" t="n"/>
      <c r="J1987" s="127" t="n"/>
      <c r="K1987" s="127" t="inlineStr"/>
      <c r="L1987" s="127" t="n"/>
      <c r="M1987" s="127" t="n"/>
      <c r="N1987" s="127" t="n"/>
      <c r="O1987" s="127" t="n"/>
      <c r="P1987" s="127" t="n"/>
      <c r="Q1987" s="127" t="n"/>
      <c r="R1987" s="127" t="n"/>
      <c r="S1987" s="127" t="n"/>
      <c r="T1987" s="127" t="n"/>
      <c r="U1987" s="127" t="n"/>
      <c r="V1987" s="127" t="n"/>
      <c r="W1987" s="127" t="n"/>
      <c r="X1987" s="127" t="n"/>
      <c r="Y1987" s="127" t="n"/>
      <c r="Z1987" s="127" t="n"/>
    </row>
    <row r="1988">
      <c r="A1988" s="217" t="n"/>
      <c r="B1988" s="126" t="n"/>
      <c r="C1988" s="126" t="n"/>
      <c r="D1988" s="126" t="n"/>
      <c r="E1988" s="126" t="n"/>
      <c r="F1988" s="127" t="n"/>
      <c r="G1988" s="127" t="inlineStr"/>
      <c r="H1988" s="127" t="inlineStr"/>
      <c r="I1988" s="127" t="n"/>
      <c r="J1988" s="127" t="n"/>
      <c r="K1988" s="127" t="inlineStr"/>
      <c r="L1988" s="127" t="n"/>
      <c r="M1988" s="127" t="n"/>
      <c r="N1988" s="127" t="n"/>
      <c r="O1988" s="127" t="n"/>
      <c r="P1988" s="127" t="n"/>
      <c r="Q1988" s="127" t="n"/>
      <c r="R1988" s="127" t="n"/>
      <c r="S1988" s="127" t="n"/>
      <c r="T1988" s="127" t="n"/>
      <c r="U1988" s="127" t="n"/>
      <c r="V1988" s="127" t="n"/>
      <c r="W1988" s="127" t="n"/>
      <c r="X1988" s="127" t="n"/>
      <c r="Y1988" s="127" t="n"/>
      <c r="Z1988" s="127" t="n"/>
    </row>
    <row r="1989">
      <c r="A1989" s="217" t="n"/>
      <c r="B1989" s="126" t="n"/>
      <c r="C1989" s="126" t="n"/>
      <c r="D1989" s="126" t="n"/>
      <c r="E1989" s="126" t="n"/>
      <c r="F1989" s="127" t="n"/>
      <c r="G1989" s="127" t="inlineStr"/>
      <c r="H1989" s="127" t="inlineStr"/>
      <c r="I1989" s="127" t="n"/>
      <c r="J1989" s="127" t="n"/>
      <c r="K1989" s="127" t="inlineStr"/>
      <c r="L1989" s="127" t="n"/>
      <c r="M1989" s="127" t="n"/>
      <c r="N1989" s="127" t="n"/>
      <c r="O1989" s="127" t="n"/>
      <c r="P1989" s="127" t="n"/>
      <c r="Q1989" s="127" t="n"/>
      <c r="R1989" s="127" t="n"/>
      <c r="S1989" s="127" t="n"/>
      <c r="T1989" s="127" t="n"/>
      <c r="U1989" s="127" t="n"/>
      <c r="V1989" s="127" t="n"/>
      <c r="W1989" s="127" t="n"/>
      <c r="X1989" s="127" t="n"/>
      <c r="Y1989" s="127" t="n"/>
      <c r="Z1989" s="127" t="n"/>
    </row>
    <row r="1990">
      <c r="A1990" s="217" t="n"/>
      <c r="B1990" s="126" t="n"/>
      <c r="C1990" s="126" t="n"/>
      <c r="D1990" s="126" t="n"/>
      <c r="E1990" s="126" t="n"/>
      <c r="F1990" s="127" t="n"/>
      <c r="G1990" s="127" t="inlineStr"/>
      <c r="H1990" s="127" t="inlineStr"/>
      <c r="I1990" s="127" t="n"/>
      <c r="J1990" s="127" t="n"/>
      <c r="K1990" s="127" t="inlineStr"/>
      <c r="L1990" s="127" t="n"/>
      <c r="M1990" s="127" t="n"/>
      <c r="N1990" s="127" t="n"/>
      <c r="O1990" s="127" t="n"/>
      <c r="P1990" s="127" t="n"/>
      <c r="Q1990" s="127" t="n"/>
      <c r="R1990" s="127" t="n"/>
      <c r="S1990" s="127" t="n"/>
      <c r="T1990" s="127" t="n"/>
      <c r="U1990" s="127" t="n"/>
      <c r="V1990" s="127" t="n"/>
      <c r="W1990" s="127" t="n"/>
      <c r="X1990" s="127" t="n"/>
      <c r="Y1990" s="127" t="n"/>
      <c r="Z1990" s="127" t="n"/>
    </row>
    <row r="1991">
      <c r="A1991" s="217" t="n"/>
      <c r="B1991" s="126" t="n"/>
      <c r="C1991" s="126" t="n"/>
      <c r="D1991" s="126" t="n"/>
      <c r="E1991" s="126" t="n"/>
      <c r="F1991" s="127" t="n"/>
      <c r="G1991" s="127" t="inlineStr"/>
      <c r="H1991" s="127" t="inlineStr"/>
      <c r="I1991" s="127" t="n"/>
      <c r="J1991" s="127" t="n"/>
      <c r="K1991" s="127" t="inlineStr"/>
      <c r="L1991" s="127" t="n"/>
      <c r="M1991" s="127" t="n"/>
      <c r="N1991" s="127" t="n"/>
      <c r="O1991" s="127" t="n"/>
      <c r="P1991" s="127" t="n"/>
      <c r="Q1991" s="127" t="n"/>
      <c r="R1991" s="127" t="n"/>
      <c r="S1991" s="127" t="n"/>
      <c r="T1991" s="127" t="n"/>
      <c r="U1991" s="127" t="n"/>
      <c r="V1991" s="127" t="n"/>
      <c r="W1991" s="127" t="n"/>
      <c r="X1991" s="127" t="n"/>
      <c r="Y1991" s="127" t="n"/>
      <c r="Z1991" s="127" t="n"/>
    </row>
    <row r="1992">
      <c r="A1992" s="217" t="n"/>
      <c r="B1992" s="126" t="n"/>
      <c r="C1992" s="126" t="n"/>
      <c r="D1992" s="126" t="n"/>
      <c r="E1992" s="126" t="n"/>
      <c r="F1992" s="127" t="n"/>
      <c r="G1992" s="127" t="inlineStr"/>
      <c r="H1992" s="127" t="inlineStr"/>
      <c r="I1992" s="127" t="n"/>
      <c r="J1992" s="127" t="n"/>
      <c r="K1992" s="127" t="inlineStr"/>
      <c r="L1992" s="127" t="n"/>
      <c r="M1992" s="127" t="n"/>
      <c r="N1992" s="127" t="n"/>
      <c r="O1992" s="127" t="n"/>
      <c r="P1992" s="127" t="n"/>
      <c r="Q1992" s="127" t="n"/>
      <c r="R1992" s="127" t="n"/>
      <c r="S1992" s="127" t="n"/>
      <c r="T1992" s="127" t="n"/>
      <c r="U1992" s="127" t="n"/>
      <c r="V1992" s="127" t="n"/>
      <c r="W1992" s="127" t="n"/>
      <c r="X1992" s="127" t="n"/>
      <c r="Y1992" s="127" t="n"/>
      <c r="Z1992" s="127" t="n"/>
    </row>
    <row r="1993">
      <c r="A1993" s="217" t="n"/>
      <c r="B1993" s="126" t="n"/>
      <c r="C1993" s="126" t="n"/>
      <c r="D1993" s="126" t="n"/>
      <c r="E1993" s="126" t="n"/>
      <c r="F1993" s="127" t="n"/>
      <c r="G1993" s="127" t="inlineStr"/>
      <c r="H1993" s="127" t="inlineStr"/>
      <c r="I1993" s="127" t="n"/>
      <c r="J1993" s="127" t="n"/>
      <c r="K1993" s="127" t="inlineStr"/>
      <c r="L1993" s="127" t="n"/>
      <c r="M1993" s="127" t="n"/>
      <c r="N1993" s="127" t="n"/>
      <c r="O1993" s="127" t="n"/>
      <c r="P1993" s="127" t="n"/>
      <c r="Q1993" s="127" t="n"/>
      <c r="R1993" s="127" t="n"/>
      <c r="S1993" s="127" t="n"/>
      <c r="T1993" s="127" t="n"/>
      <c r="U1993" s="127" t="n"/>
      <c r="V1993" s="127" t="n"/>
      <c r="W1993" s="127" t="n"/>
      <c r="X1993" s="127" t="n"/>
      <c r="Y1993" s="127" t="n"/>
      <c r="Z1993" s="127" t="n"/>
    </row>
    <row r="1994">
      <c r="A1994" s="217" t="n"/>
      <c r="B1994" s="126" t="n"/>
      <c r="C1994" s="126" t="n"/>
      <c r="D1994" s="126" t="n"/>
      <c r="E1994" s="126" t="n"/>
      <c r="F1994" s="127" t="n"/>
      <c r="G1994" s="127" t="inlineStr"/>
      <c r="H1994" s="127" t="inlineStr"/>
      <c r="I1994" s="127" t="n"/>
      <c r="J1994" s="127" t="n"/>
      <c r="K1994" s="127" t="inlineStr"/>
      <c r="L1994" s="127" t="n"/>
      <c r="M1994" s="127" t="n"/>
      <c r="N1994" s="127" t="n"/>
      <c r="O1994" s="127" t="n"/>
      <c r="P1994" s="127" t="n"/>
      <c r="Q1994" s="127" t="n"/>
      <c r="R1994" s="127" t="n"/>
      <c r="S1994" s="127" t="n"/>
      <c r="T1994" s="127" t="n"/>
      <c r="U1994" s="127" t="n"/>
      <c r="V1994" s="127" t="n"/>
      <c r="W1994" s="127" t="n"/>
      <c r="X1994" s="127" t="n"/>
      <c r="Y1994" s="127" t="n"/>
      <c r="Z1994" s="127" t="n"/>
    </row>
    <row r="1995">
      <c r="A1995" s="217" t="n"/>
      <c r="B1995" s="126" t="n"/>
      <c r="C1995" s="126" t="n"/>
      <c r="D1995" s="126" t="n"/>
      <c r="E1995" s="126" t="n"/>
      <c r="F1995" s="127" t="n"/>
      <c r="G1995" s="127" t="inlineStr"/>
      <c r="H1995" s="127" t="inlineStr"/>
      <c r="I1995" s="127" t="n"/>
      <c r="J1995" s="127" t="n"/>
      <c r="K1995" s="127" t="inlineStr"/>
      <c r="L1995" s="127" t="n"/>
      <c r="M1995" s="127" t="n"/>
      <c r="N1995" s="127" t="n"/>
      <c r="O1995" s="127" t="n"/>
      <c r="P1995" s="127" t="n"/>
      <c r="Q1995" s="127" t="n"/>
      <c r="R1995" s="127" t="n"/>
      <c r="S1995" s="127" t="n"/>
      <c r="T1995" s="127" t="n"/>
      <c r="U1995" s="127" t="n"/>
      <c r="V1995" s="127" t="n"/>
      <c r="W1995" s="127" t="n"/>
      <c r="X1995" s="127" t="n"/>
      <c r="Y1995" s="127" t="n"/>
      <c r="Z1995" s="127" t="n"/>
    </row>
    <row r="1996">
      <c r="A1996" s="217" t="n"/>
      <c r="B1996" s="126" t="n"/>
      <c r="C1996" s="126" t="n"/>
      <c r="D1996" s="126" t="n"/>
      <c r="E1996" s="126" t="n"/>
      <c r="F1996" s="127" t="n"/>
      <c r="G1996" s="127" t="inlineStr"/>
      <c r="H1996" s="127" t="inlineStr"/>
      <c r="I1996" s="127" t="n"/>
      <c r="J1996" s="127" t="n"/>
      <c r="K1996" s="127" t="inlineStr"/>
      <c r="L1996" s="127" t="n"/>
      <c r="M1996" s="127" t="n"/>
      <c r="N1996" s="127" t="n"/>
      <c r="O1996" s="127" t="n"/>
      <c r="P1996" s="127" t="n"/>
      <c r="Q1996" s="127" t="n"/>
      <c r="R1996" s="127" t="n"/>
      <c r="S1996" s="127" t="n"/>
      <c r="T1996" s="127" t="n"/>
      <c r="U1996" s="127" t="n"/>
      <c r="V1996" s="127" t="n"/>
      <c r="W1996" s="127" t="n"/>
      <c r="X1996" s="127" t="n"/>
      <c r="Y1996" s="127" t="n"/>
      <c r="Z1996" s="127" t="n"/>
    </row>
    <row r="1997">
      <c r="A1997" s="217" t="n"/>
      <c r="B1997" s="126" t="n"/>
      <c r="C1997" s="126" t="n"/>
      <c r="D1997" s="126" t="n"/>
      <c r="E1997" s="126" t="n"/>
      <c r="F1997" s="127" t="n"/>
      <c r="G1997" s="127" t="inlineStr"/>
      <c r="H1997" s="127" t="inlineStr"/>
      <c r="I1997" s="127" t="n"/>
      <c r="J1997" s="127" t="n"/>
      <c r="K1997" s="127" t="inlineStr"/>
      <c r="L1997" s="127" t="n"/>
      <c r="M1997" s="127" t="n"/>
      <c r="N1997" s="127" t="n"/>
      <c r="O1997" s="127" t="n"/>
      <c r="P1997" s="127" t="n"/>
      <c r="Q1997" s="127" t="n"/>
      <c r="R1997" s="127" t="n"/>
      <c r="S1997" s="127" t="n"/>
      <c r="T1997" s="127" t="n"/>
      <c r="U1997" s="127" t="n"/>
      <c r="V1997" s="127" t="n"/>
      <c r="W1997" s="127" t="n"/>
      <c r="X1997" s="127" t="n"/>
      <c r="Y1997" s="127" t="n"/>
      <c r="Z1997" s="127" t="n"/>
    </row>
    <row r="1998">
      <c r="A1998" s="217" t="n"/>
      <c r="B1998" s="126" t="n"/>
      <c r="C1998" s="126" t="n"/>
      <c r="D1998" s="126" t="n"/>
      <c r="E1998" s="126" t="n"/>
      <c r="F1998" s="127" t="n"/>
      <c r="G1998" s="127" t="inlineStr"/>
      <c r="H1998" s="127" t="inlineStr"/>
      <c r="I1998" s="127" t="n"/>
      <c r="J1998" s="127" t="n"/>
      <c r="K1998" s="127" t="inlineStr"/>
      <c r="L1998" s="127" t="n"/>
      <c r="M1998" s="127" t="n"/>
      <c r="N1998" s="127" t="n"/>
      <c r="O1998" s="127" t="n"/>
      <c r="P1998" s="127" t="n"/>
      <c r="Q1998" s="127" t="n"/>
      <c r="R1998" s="127" t="n"/>
      <c r="S1998" s="127" t="n"/>
      <c r="T1998" s="127" t="n"/>
      <c r="U1998" s="127" t="n"/>
      <c r="V1998" s="127" t="n"/>
      <c r="W1998" s="127" t="n"/>
      <c r="X1998" s="127" t="n"/>
      <c r="Y1998" s="127" t="n"/>
      <c r="Z1998" s="127" t="n"/>
    </row>
    <row r="1999">
      <c r="A1999" s="217" t="n"/>
      <c r="B1999" s="126" t="n"/>
      <c r="C1999" s="126" t="n"/>
      <c r="D1999" s="126" t="n"/>
      <c r="E1999" s="126" t="n"/>
      <c r="F1999" s="127" t="n"/>
      <c r="G1999" s="127" t="inlineStr"/>
      <c r="H1999" s="127" t="inlineStr"/>
      <c r="I1999" s="127" t="n"/>
      <c r="J1999" s="127" t="n"/>
      <c r="K1999" s="127" t="inlineStr"/>
      <c r="L1999" s="127" t="n"/>
      <c r="M1999" s="127" t="n"/>
      <c r="N1999" s="127" t="n"/>
      <c r="O1999" s="127" t="n"/>
      <c r="P1999" s="127" t="n"/>
      <c r="Q1999" s="127" t="n"/>
      <c r="R1999" s="127" t="n"/>
      <c r="S1999" s="127" t="n"/>
      <c r="T1999" s="127" t="n"/>
      <c r="U1999" s="127" t="n"/>
      <c r="V1999" s="127" t="n"/>
      <c r="W1999" s="127" t="n"/>
      <c r="X1999" s="127" t="n"/>
      <c r="Y1999" s="127" t="n"/>
      <c r="Z1999" s="127" t="n"/>
    </row>
    <row r="2000">
      <c r="A2000" s="217" t="n"/>
      <c r="B2000" s="126" t="n"/>
      <c r="C2000" s="126" t="n"/>
      <c r="D2000" s="126" t="n"/>
      <c r="E2000" s="126" t="n"/>
      <c r="F2000" s="127" t="n"/>
      <c r="G2000" s="127" t="inlineStr"/>
      <c r="H2000" s="127" t="inlineStr"/>
      <c r="I2000" s="127" t="n"/>
      <c r="J2000" s="127" t="n"/>
      <c r="K2000" s="127" t="inlineStr"/>
      <c r="L2000" s="127" t="n"/>
      <c r="M2000" s="127" t="n"/>
      <c r="N2000" s="127" t="n"/>
      <c r="O2000" s="127" t="n"/>
      <c r="P2000" s="127" t="n"/>
      <c r="Q2000" s="127" t="n"/>
      <c r="R2000" s="127" t="n"/>
      <c r="S2000" s="127" t="n"/>
      <c r="T2000" s="127" t="n"/>
      <c r="U2000" s="127" t="n"/>
      <c r="V2000" s="127" t="n"/>
      <c r="W2000" s="127" t="n"/>
      <c r="X2000" s="127" t="n"/>
      <c r="Y2000" s="127" t="n"/>
      <c r="Z2000" s="127" t="n"/>
    </row>
    <row r="2001">
      <c r="A2001" s="217" t="n"/>
      <c r="B2001" s="126" t="n"/>
      <c r="C2001" s="126" t="n"/>
      <c r="D2001" s="126" t="n"/>
      <c r="E2001" s="126" t="n"/>
      <c r="F2001" s="127" t="n"/>
      <c r="G2001" s="127" t="inlineStr"/>
      <c r="H2001" s="127" t="inlineStr"/>
      <c r="I2001" s="127" t="n"/>
      <c r="J2001" s="127" t="n"/>
      <c r="K2001" s="127" t="inlineStr"/>
      <c r="L2001" s="127" t="n"/>
      <c r="M2001" s="127" t="n"/>
      <c r="N2001" s="127" t="n"/>
      <c r="O2001" s="127" t="n"/>
      <c r="P2001" s="127" t="n"/>
      <c r="Q2001" s="127" t="n"/>
      <c r="R2001" s="127" t="n"/>
      <c r="S2001" s="127" t="n"/>
      <c r="T2001" s="127" t="n"/>
      <c r="U2001" s="127" t="n"/>
      <c r="V2001" s="127" t="n"/>
      <c r="W2001" s="127" t="n"/>
      <c r="X2001" s="127" t="n"/>
      <c r="Y2001" s="127" t="n"/>
      <c r="Z2001" s="127" t="n"/>
    </row>
    <row r="2002">
      <c r="A2002" s="217" t="n"/>
      <c r="B2002" s="126" t="n"/>
      <c r="C2002" s="126" t="n"/>
      <c r="D2002" s="126" t="n"/>
      <c r="E2002" s="126" t="n"/>
      <c r="F2002" s="127" t="n"/>
      <c r="G2002" s="127" t="inlineStr"/>
      <c r="H2002" s="127" t="inlineStr"/>
      <c r="I2002" s="127" t="n"/>
      <c r="J2002" s="127" t="n"/>
      <c r="K2002" s="127" t="inlineStr"/>
      <c r="L2002" s="127" t="n"/>
      <c r="M2002" s="127" t="n"/>
      <c r="N2002" s="127" t="n"/>
      <c r="O2002" s="127" t="n"/>
      <c r="P2002" s="127" t="n"/>
      <c r="Q2002" s="127" t="n"/>
      <c r="R2002" s="127" t="n"/>
      <c r="S2002" s="127" t="n"/>
      <c r="T2002" s="127" t="n"/>
      <c r="U2002" s="127" t="n"/>
      <c r="V2002" s="127" t="n"/>
      <c r="W2002" s="127" t="n"/>
      <c r="X2002" s="127" t="n"/>
      <c r="Y2002" s="127" t="n"/>
      <c r="Z2002" s="127" t="n"/>
    </row>
    <row r="2003">
      <c r="A2003" s="217" t="n"/>
      <c r="B2003" s="126" t="n"/>
      <c r="C2003" s="126" t="n"/>
      <c r="D2003" s="126" t="n"/>
      <c r="E2003" s="126" t="n"/>
      <c r="F2003" s="127" t="n"/>
      <c r="G2003" s="127" t="inlineStr"/>
      <c r="H2003" s="127" t="inlineStr"/>
      <c r="I2003" s="127" t="n"/>
      <c r="J2003" s="127" t="n"/>
      <c r="K2003" s="127" t="inlineStr"/>
      <c r="L2003" s="127" t="n"/>
      <c r="M2003" s="127" t="n"/>
      <c r="N2003" s="127" t="n"/>
      <c r="O2003" s="127" t="n"/>
      <c r="P2003" s="127" t="n"/>
      <c r="Q2003" s="127" t="n"/>
      <c r="R2003" s="127" t="n"/>
      <c r="S2003" s="127" t="n"/>
      <c r="T2003" s="127" t="n"/>
      <c r="U2003" s="127" t="n"/>
      <c r="V2003" s="127" t="n"/>
      <c r="W2003" s="127" t="n"/>
      <c r="X2003" s="127" t="n"/>
      <c r="Y2003" s="127" t="n"/>
      <c r="Z2003" s="127" t="n"/>
    </row>
    <row r="2004">
      <c r="A2004" s="217" t="n"/>
      <c r="B2004" s="126" t="n"/>
      <c r="C2004" s="126" t="n"/>
      <c r="D2004" s="126" t="n"/>
      <c r="E2004" s="126" t="n"/>
      <c r="F2004" s="127" t="n"/>
      <c r="G2004" s="127" t="inlineStr"/>
      <c r="H2004" s="127" t="inlineStr"/>
      <c r="I2004" s="127" t="n"/>
      <c r="J2004" s="127" t="n"/>
      <c r="K2004" s="127" t="inlineStr"/>
      <c r="L2004" s="127" t="n"/>
      <c r="M2004" s="127" t="n"/>
      <c r="N2004" s="127" t="n"/>
      <c r="O2004" s="127" t="n"/>
      <c r="P2004" s="127" t="n"/>
      <c r="Q2004" s="127" t="n"/>
      <c r="R2004" s="127" t="n"/>
      <c r="S2004" s="127" t="n"/>
      <c r="T2004" s="127" t="n"/>
      <c r="U2004" s="127" t="n"/>
      <c r="V2004" s="127" t="n"/>
      <c r="W2004" s="127" t="n"/>
      <c r="X2004" s="127" t="n"/>
      <c r="Y2004" s="127" t="n"/>
      <c r="Z2004" s="127" t="n"/>
    </row>
    <row r="2005">
      <c r="A2005" s="217" t="n"/>
      <c r="B2005" s="126" t="n"/>
      <c r="C2005" s="126" t="n"/>
      <c r="D2005" s="126" t="n"/>
      <c r="E2005" s="126" t="n"/>
      <c r="F2005" s="127" t="n"/>
      <c r="G2005" s="127" t="inlineStr"/>
      <c r="H2005" s="127" t="inlineStr"/>
      <c r="I2005" s="127" t="n"/>
      <c r="J2005" s="127" t="n"/>
      <c r="K2005" s="127" t="inlineStr"/>
      <c r="L2005" s="127" t="n"/>
      <c r="M2005" s="127" t="n"/>
      <c r="N2005" s="127" t="n"/>
      <c r="O2005" s="127" t="n"/>
      <c r="P2005" s="127" t="n"/>
      <c r="Q2005" s="127" t="n"/>
      <c r="R2005" s="127" t="n"/>
      <c r="S2005" s="127" t="n"/>
      <c r="T2005" s="127" t="n"/>
      <c r="U2005" s="127" t="n"/>
      <c r="V2005" s="127" t="n"/>
      <c r="W2005" s="127" t="n"/>
      <c r="X2005" s="127" t="n"/>
      <c r="Y2005" s="127" t="n"/>
      <c r="Z2005" s="127" t="n"/>
    </row>
    <row r="2006">
      <c r="A2006" s="217" t="n"/>
      <c r="B2006" s="126" t="n"/>
      <c r="C2006" s="126" t="n"/>
      <c r="D2006" s="126" t="n"/>
      <c r="E2006" s="126" t="n"/>
      <c r="F2006" s="127" t="n"/>
      <c r="G2006" s="127" t="inlineStr"/>
      <c r="H2006" s="127" t="inlineStr"/>
      <c r="I2006" s="127" t="n"/>
      <c r="J2006" s="127" t="n"/>
      <c r="K2006" s="127" t="inlineStr"/>
      <c r="L2006" s="127" t="n"/>
      <c r="M2006" s="127" t="n"/>
      <c r="N2006" s="127" t="n"/>
      <c r="O2006" s="127" t="n"/>
      <c r="P2006" s="127" t="n"/>
      <c r="Q2006" s="127" t="n"/>
      <c r="R2006" s="127" t="n"/>
      <c r="S2006" s="127" t="n"/>
      <c r="T2006" s="127" t="n"/>
      <c r="U2006" s="127" t="n"/>
      <c r="V2006" s="127" t="n"/>
      <c r="W2006" s="127" t="n"/>
      <c r="X2006" s="127" t="n"/>
      <c r="Y2006" s="127" t="n"/>
      <c r="Z2006" s="127" t="n"/>
    </row>
    <row r="2007">
      <c r="A2007" s="217" t="n"/>
      <c r="B2007" s="126" t="n"/>
      <c r="C2007" s="126" t="n"/>
      <c r="D2007" s="126" t="n"/>
      <c r="E2007" s="126" t="n"/>
      <c r="F2007" s="127" t="n"/>
      <c r="G2007" s="127" t="inlineStr"/>
      <c r="H2007" s="127" t="inlineStr"/>
      <c r="I2007" s="127" t="n"/>
      <c r="J2007" s="127" t="n"/>
      <c r="K2007" s="127" t="inlineStr"/>
      <c r="L2007" s="127" t="n"/>
      <c r="M2007" s="127" t="n"/>
      <c r="N2007" s="127" t="n"/>
      <c r="O2007" s="127" t="n"/>
      <c r="P2007" s="127" t="n"/>
      <c r="Q2007" s="127" t="n"/>
      <c r="R2007" s="127" t="n"/>
      <c r="S2007" s="127" t="n"/>
      <c r="T2007" s="127" t="n"/>
      <c r="U2007" s="127" t="n"/>
      <c r="V2007" s="127" t="n"/>
      <c r="W2007" s="127" t="n"/>
      <c r="X2007" s="127" t="n"/>
      <c r="Y2007" s="127" t="n"/>
      <c r="Z2007" s="127" t="n"/>
    </row>
    <row r="2008">
      <c r="A2008" s="217" t="n"/>
      <c r="B2008" s="126" t="n"/>
      <c r="C2008" s="126" t="n"/>
      <c r="D2008" s="126" t="n"/>
      <c r="E2008" s="126" t="n"/>
      <c r="F2008" s="127" t="n"/>
      <c r="G2008" s="127" t="inlineStr"/>
      <c r="H2008" s="127" t="inlineStr"/>
      <c r="I2008" s="127" t="n"/>
      <c r="J2008" s="127" t="n"/>
      <c r="K2008" s="127" t="inlineStr"/>
      <c r="L2008" s="127" t="n"/>
      <c r="M2008" s="127" t="n"/>
      <c r="N2008" s="127" t="n"/>
      <c r="O2008" s="127" t="n"/>
      <c r="P2008" s="127" t="n"/>
      <c r="Q2008" s="127" t="n"/>
      <c r="R2008" s="127" t="n"/>
      <c r="S2008" s="127" t="n"/>
      <c r="T2008" s="127" t="n"/>
      <c r="U2008" s="127" t="n"/>
      <c r="V2008" s="127" t="n"/>
      <c r="W2008" s="127" t="n"/>
      <c r="X2008" s="127" t="n"/>
      <c r="Y2008" s="127" t="n"/>
      <c r="Z2008" s="127" t="n"/>
    </row>
    <row r="2009">
      <c r="A2009" s="217" t="n"/>
      <c r="B2009" s="126" t="n"/>
      <c r="C2009" s="126" t="n"/>
      <c r="D2009" s="126" t="n"/>
      <c r="E2009" s="126" t="n"/>
      <c r="F2009" s="127" t="n"/>
      <c r="G2009" s="127" t="inlineStr"/>
      <c r="H2009" s="127" t="inlineStr"/>
      <c r="I2009" s="127" t="n"/>
      <c r="J2009" s="127" t="n"/>
      <c r="K2009" s="127" t="inlineStr"/>
      <c r="L2009" s="127" t="n"/>
      <c r="M2009" s="127" t="n"/>
      <c r="N2009" s="127" t="n"/>
      <c r="O2009" s="127" t="n"/>
      <c r="P2009" s="127" t="n"/>
      <c r="Q2009" s="127" t="n"/>
      <c r="R2009" s="127" t="n"/>
      <c r="S2009" s="127" t="n"/>
      <c r="T2009" s="127" t="n"/>
      <c r="U2009" s="127" t="n"/>
      <c r="V2009" s="127" t="n"/>
      <c r="W2009" s="127" t="n"/>
      <c r="X2009" s="127" t="n"/>
      <c r="Y2009" s="127" t="n"/>
      <c r="Z2009" s="127" t="n"/>
    </row>
    <row r="2010">
      <c r="A2010" s="217" t="n"/>
      <c r="B2010" s="126" t="n"/>
      <c r="C2010" s="126" t="n"/>
      <c r="D2010" s="126" t="n"/>
      <c r="E2010" s="126" t="n"/>
      <c r="F2010" s="127" t="n"/>
      <c r="G2010" s="127" t="inlineStr"/>
      <c r="H2010" s="127" t="inlineStr"/>
      <c r="I2010" s="127" t="n"/>
      <c r="J2010" s="127" t="n"/>
      <c r="K2010" s="127" t="inlineStr"/>
      <c r="L2010" s="127" t="n"/>
      <c r="M2010" s="127" t="n"/>
      <c r="N2010" s="127" t="n"/>
      <c r="O2010" s="127" t="n"/>
      <c r="P2010" s="127" t="n"/>
      <c r="Q2010" s="127" t="n"/>
      <c r="R2010" s="127" t="n"/>
      <c r="S2010" s="127" t="n"/>
      <c r="T2010" s="127" t="n"/>
      <c r="U2010" s="127" t="n"/>
      <c r="V2010" s="127" t="n"/>
      <c r="W2010" s="127" t="n"/>
      <c r="X2010" s="127" t="n"/>
      <c r="Y2010" s="127" t="n"/>
      <c r="Z2010" s="127" t="n"/>
    </row>
    <row r="2011">
      <c r="A2011" s="217" t="n"/>
      <c r="B2011" s="126" t="n"/>
      <c r="C2011" s="126" t="n"/>
      <c r="D2011" s="126" t="n"/>
      <c r="E2011" s="126" t="n"/>
      <c r="F2011" s="127" t="n"/>
      <c r="G2011" s="127" t="inlineStr"/>
      <c r="H2011" s="127" t="inlineStr"/>
      <c r="I2011" s="127" t="n"/>
      <c r="J2011" s="127" t="n"/>
      <c r="K2011" s="127" t="inlineStr"/>
      <c r="L2011" s="127" t="n"/>
      <c r="M2011" s="127" t="n"/>
      <c r="N2011" s="127" t="n"/>
      <c r="O2011" s="127" t="n"/>
      <c r="P2011" s="127" t="n"/>
      <c r="Q2011" s="127" t="n"/>
      <c r="R2011" s="127" t="n"/>
      <c r="S2011" s="127" t="n"/>
      <c r="T2011" s="127" t="n"/>
      <c r="U2011" s="127" t="n"/>
      <c r="V2011" s="127" t="n"/>
      <c r="W2011" s="127" t="n"/>
      <c r="X2011" s="127" t="n"/>
      <c r="Y2011" s="127" t="n"/>
      <c r="Z2011" s="127" t="n"/>
    </row>
    <row r="2012">
      <c r="A2012" s="217" t="n"/>
      <c r="B2012" s="126" t="n"/>
      <c r="C2012" s="126" t="n"/>
      <c r="D2012" s="126" t="n"/>
      <c r="E2012" s="126" t="n"/>
      <c r="F2012" s="127" t="n"/>
      <c r="G2012" s="127" t="inlineStr"/>
      <c r="H2012" s="127" t="inlineStr"/>
      <c r="I2012" s="127" t="n"/>
      <c r="J2012" s="127" t="n"/>
      <c r="K2012" s="127" t="inlineStr"/>
      <c r="L2012" s="127" t="n"/>
      <c r="M2012" s="127" t="n"/>
      <c r="N2012" s="127" t="n"/>
      <c r="O2012" s="127" t="n"/>
      <c r="P2012" s="127" t="n"/>
      <c r="Q2012" s="127" t="n"/>
      <c r="R2012" s="127" t="n"/>
      <c r="S2012" s="127" t="n"/>
      <c r="T2012" s="127" t="n"/>
      <c r="U2012" s="127" t="n"/>
      <c r="V2012" s="127" t="n"/>
      <c r="W2012" s="127" t="n"/>
      <c r="X2012" s="127" t="n"/>
      <c r="Y2012" s="127" t="n"/>
      <c r="Z2012" s="127" t="n"/>
    </row>
    <row r="2013">
      <c r="A2013" s="217" t="n"/>
      <c r="B2013" s="126" t="n"/>
      <c r="C2013" s="126" t="n"/>
      <c r="D2013" s="126" t="n"/>
      <c r="E2013" s="126" t="n"/>
      <c r="F2013" s="127" t="n"/>
      <c r="G2013" s="127" t="inlineStr"/>
      <c r="H2013" s="127" t="inlineStr"/>
      <c r="I2013" s="127" t="n"/>
      <c r="J2013" s="127" t="n"/>
      <c r="K2013" s="127" t="inlineStr"/>
      <c r="L2013" s="127" t="n"/>
      <c r="M2013" s="127" t="n"/>
      <c r="N2013" s="127" t="n"/>
      <c r="O2013" s="127" t="n"/>
      <c r="P2013" s="127" t="n"/>
      <c r="Q2013" s="127" t="n"/>
      <c r="R2013" s="127" t="n"/>
      <c r="S2013" s="127" t="n"/>
      <c r="T2013" s="127" t="n"/>
      <c r="U2013" s="127" t="n"/>
      <c r="V2013" s="127" t="n"/>
      <c r="W2013" s="127" t="n"/>
      <c r="X2013" s="127" t="n"/>
      <c r="Y2013" s="127" t="n"/>
      <c r="Z2013" s="127" t="n"/>
    </row>
    <row r="2014">
      <c r="A2014" s="217" t="n"/>
      <c r="B2014" s="126" t="n"/>
      <c r="C2014" s="126" t="n"/>
      <c r="D2014" s="126" t="n"/>
      <c r="E2014" s="126" t="n"/>
      <c r="F2014" s="127" t="n"/>
      <c r="G2014" s="127" t="inlineStr"/>
      <c r="H2014" s="127" t="inlineStr"/>
      <c r="I2014" s="127" t="n"/>
      <c r="J2014" s="127" t="n"/>
      <c r="K2014" s="127" t="inlineStr"/>
      <c r="L2014" s="127" t="n"/>
      <c r="M2014" s="127" t="n"/>
      <c r="N2014" s="127" t="n"/>
      <c r="O2014" s="127" t="n"/>
      <c r="P2014" s="127" t="n"/>
      <c r="Q2014" s="127" t="n"/>
      <c r="R2014" s="127" t="n"/>
      <c r="S2014" s="127" t="n"/>
      <c r="T2014" s="127" t="n"/>
      <c r="U2014" s="127" t="n"/>
      <c r="V2014" s="127" t="n"/>
      <c r="W2014" s="127" t="n"/>
      <c r="X2014" s="127" t="n"/>
      <c r="Y2014" s="127" t="n"/>
      <c r="Z2014" s="127" t="n"/>
    </row>
    <row r="2015">
      <c r="A2015" s="217" t="n"/>
      <c r="B2015" s="126" t="n"/>
      <c r="C2015" s="126" t="n"/>
      <c r="D2015" s="126" t="n"/>
      <c r="E2015" s="126" t="n"/>
      <c r="F2015" s="127" t="n"/>
      <c r="G2015" s="127" t="inlineStr"/>
      <c r="H2015" s="127" t="inlineStr"/>
      <c r="I2015" s="127" t="n"/>
      <c r="J2015" s="127" t="n"/>
      <c r="K2015" s="127" t="inlineStr"/>
      <c r="L2015" s="127" t="n"/>
      <c r="M2015" s="127" t="n"/>
      <c r="N2015" s="127" t="n"/>
      <c r="O2015" s="127" t="n"/>
      <c r="P2015" s="127" t="n"/>
      <c r="Q2015" s="127" t="n"/>
      <c r="R2015" s="127" t="n"/>
      <c r="S2015" s="127" t="n"/>
      <c r="T2015" s="127" t="n"/>
      <c r="U2015" s="127" t="n"/>
      <c r="V2015" s="127" t="n"/>
      <c r="W2015" s="127" t="n"/>
      <c r="X2015" s="127" t="n"/>
      <c r="Y2015" s="127" t="n"/>
      <c r="Z2015" s="127" t="n"/>
    </row>
    <row r="2016">
      <c r="A2016" s="217" t="n"/>
      <c r="B2016" s="126" t="n"/>
      <c r="C2016" s="126" t="n"/>
      <c r="D2016" s="126" t="n"/>
      <c r="E2016" s="126" t="n"/>
      <c r="F2016" s="127" t="n"/>
      <c r="G2016" s="127" t="inlineStr"/>
      <c r="H2016" s="127" t="inlineStr"/>
      <c r="I2016" s="127" t="n"/>
      <c r="J2016" s="127" t="n"/>
      <c r="K2016" s="127" t="inlineStr"/>
      <c r="L2016" s="127" t="n"/>
      <c r="M2016" s="127" t="n"/>
      <c r="N2016" s="127" t="n"/>
      <c r="O2016" s="127" t="n"/>
      <c r="P2016" s="127" t="n"/>
      <c r="Q2016" s="127" t="n"/>
      <c r="R2016" s="127" t="n"/>
      <c r="S2016" s="127" t="n"/>
      <c r="T2016" s="127" t="n"/>
      <c r="U2016" s="127" t="n"/>
      <c r="V2016" s="127" t="n"/>
      <c r="W2016" s="127" t="n"/>
      <c r="X2016" s="127" t="n"/>
      <c r="Y2016" s="127" t="n"/>
      <c r="Z2016" s="127" t="n"/>
    </row>
    <row r="2017">
      <c r="A2017" s="217" t="n"/>
      <c r="B2017" s="126" t="n"/>
      <c r="C2017" s="126" t="n"/>
      <c r="D2017" s="126" t="n"/>
      <c r="E2017" s="126" t="n"/>
      <c r="F2017" s="127" t="n"/>
      <c r="G2017" s="127" t="inlineStr"/>
      <c r="H2017" s="127" t="inlineStr"/>
      <c r="I2017" s="127" t="n"/>
      <c r="J2017" s="127" t="n"/>
      <c r="K2017" s="127" t="inlineStr"/>
      <c r="L2017" s="127" t="n"/>
      <c r="M2017" s="127" t="n"/>
      <c r="N2017" s="127" t="n"/>
      <c r="O2017" s="127" t="n"/>
      <c r="P2017" s="127" t="n"/>
      <c r="Q2017" s="127" t="n"/>
      <c r="R2017" s="127" t="n"/>
      <c r="S2017" s="127" t="n"/>
      <c r="T2017" s="127" t="n"/>
      <c r="U2017" s="127" t="n"/>
      <c r="V2017" s="127" t="n"/>
      <c r="W2017" s="127" t="n"/>
      <c r="X2017" s="127" t="n"/>
      <c r="Y2017" s="127" t="n"/>
      <c r="Z2017" s="127" t="n"/>
    </row>
    <row r="2018">
      <c r="A2018" s="217" t="n"/>
      <c r="B2018" s="126" t="n"/>
      <c r="C2018" s="126" t="n"/>
      <c r="D2018" s="126" t="n"/>
      <c r="E2018" s="126" t="n"/>
      <c r="F2018" s="127" t="n"/>
      <c r="G2018" s="127" t="inlineStr"/>
      <c r="H2018" s="127" t="inlineStr"/>
      <c r="I2018" s="127" t="n"/>
      <c r="J2018" s="127" t="n"/>
      <c r="K2018" s="127" t="inlineStr"/>
      <c r="L2018" s="127" t="n"/>
      <c r="M2018" s="127" t="n"/>
      <c r="N2018" s="127" t="n"/>
      <c r="O2018" s="127" t="n"/>
      <c r="P2018" s="127" t="n"/>
      <c r="Q2018" s="127" t="n"/>
      <c r="R2018" s="127" t="n"/>
      <c r="S2018" s="127" t="n"/>
      <c r="T2018" s="127" t="n"/>
      <c r="U2018" s="127" t="n"/>
      <c r="V2018" s="127" t="n"/>
      <c r="W2018" s="127" t="n"/>
      <c r="X2018" s="127" t="n"/>
      <c r="Y2018" s="127" t="n"/>
      <c r="Z2018" s="127" t="n"/>
    </row>
    <row r="2019">
      <c r="A2019" s="217" t="n"/>
      <c r="B2019" s="126" t="n"/>
      <c r="C2019" s="126" t="n"/>
      <c r="D2019" s="126" t="n"/>
      <c r="E2019" s="126" t="n"/>
      <c r="F2019" s="127" t="n"/>
      <c r="G2019" s="127" t="inlineStr"/>
      <c r="H2019" s="127" t="inlineStr"/>
      <c r="I2019" s="127" t="n"/>
      <c r="J2019" s="127" t="n"/>
      <c r="K2019" s="127" t="inlineStr"/>
      <c r="L2019" s="127" t="n"/>
      <c r="M2019" s="127" t="n"/>
      <c r="N2019" s="127" t="n"/>
      <c r="O2019" s="127" t="n"/>
      <c r="P2019" s="127" t="n"/>
      <c r="Q2019" s="127" t="n"/>
      <c r="R2019" s="127" t="n"/>
      <c r="S2019" s="127" t="n"/>
      <c r="T2019" s="127" t="n"/>
      <c r="U2019" s="127" t="n"/>
      <c r="V2019" s="127" t="n"/>
      <c r="W2019" s="127" t="n"/>
      <c r="X2019" s="127" t="n"/>
      <c r="Y2019" s="127" t="n"/>
      <c r="Z2019" s="127" t="n"/>
    </row>
    <row r="2020">
      <c r="A2020" s="217" t="n"/>
      <c r="B2020" s="126" t="n"/>
      <c r="C2020" s="126" t="n"/>
      <c r="D2020" s="126" t="n"/>
      <c r="E2020" s="126" t="n"/>
      <c r="F2020" s="127" t="n"/>
      <c r="G2020" s="127" t="inlineStr"/>
      <c r="H2020" s="127" t="inlineStr"/>
      <c r="I2020" s="127" t="n"/>
      <c r="J2020" s="127" t="n"/>
      <c r="K2020" s="127" t="inlineStr"/>
      <c r="L2020" s="127" t="n"/>
      <c r="M2020" s="127" t="n"/>
      <c r="N2020" s="127" t="n"/>
      <c r="O2020" s="127" t="n"/>
      <c r="P2020" s="127" t="n"/>
      <c r="Q2020" s="127" t="n"/>
      <c r="R2020" s="127" t="n"/>
      <c r="S2020" s="127" t="n"/>
      <c r="T2020" s="127" t="n"/>
      <c r="U2020" s="127" t="n"/>
      <c r="V2020" s="127" t="n"/>
      <c r="W2020" s="127" t="n"/>
      <c r="X2020" s="127" t="n"/>
      <c r="Y2020" s="127" t="n"/>
      <c r="Z2020" s="127" t="n"/>
    </row>
    <row r="2021">
      <c r="A2021" s="217" t="n"/>
      <c r="B2021" s="126" t="n"/>
      <c r="C2021" s="126" t="n"/>
      <c r="D2021" s="126" t="n"/>
      <c r="E2021" s="126" t="n"/>
      <c r="F2021" s="127" t="n"/>
      <c r="G2021" s="127" t="inlineStr"/>
      <c r="H2021" s="127" t="inlineStr"/>
      <c r="I2021" s="127" t="n"/>
      <c r="J2021" s="127" t="n"/>
      <c r="K2021" s="127" t="inlineStr"/>
      <c r="L2021" s="127" t="n"/>
      <c r="M2021" s="127" t="n"/>
      <c r="N2021" s="127" t="n"/>
      <c r="O2021" s="127" t="n"/>
      <c r="P2021" s="127" t="n"/>
      <c r="Q2021" s="127" t="n"/>
      <c r="R2021" s="127" t="n"/>
      <c r="S2021" s="127" t="n"/>
      <c r="T2021" s="127" t="n"/>
      <c r="U2021" s="127" t="n"/>
      <c r="V2021" s="127" t="n"/>
      <c r="W2021" s="127" t="n"/>
      <c r="X2021" s="127" t="n"/>
      <c r="Y2021" s="127" t="n"/>
      <c r="Z2021" s="127" t="n"/>
    </row>
    <row r="2022">
      <c r="A2022" s="217" t="n"/>
      <c r="B2022" s="126" t="n"/>
      <c r="C2022" s="126" t="n"/>
      <c r="D2022" s="126" t="n"/>
      <c r="E2022" s="126" t="n"/>
      <c r="F2022" s="127" t="n"/>
      <c r="G2022" s="127" t="inlineStr"/>
      <c r="H2022" s="127" t="inlineStr"/>
      <c r="I2022" s="127" t="n"/>
      <c r="J2022" s="127" t="n"/>
      <c r="K2022" s="127" t="inlineStr"/>
      <c r="L2022" s="127" t="n"/>
      <c r="M2022" s="127" t="n"/>
      <c r="N2022" s="127" t="n"/>
      <c r="O2022" s="127" t="n"/>
      <c r="P2022" s="127" t="n"/>
      <c r="Q2022" s="127" t="n"/>
      <c r="R2022" s="127" t="n"/>
      <c r="S2022" s="127" t="n"/>
      <c r="T2022" s="127" t="n"/>
      <c r="U2022" s="127" t="n"/>
      <c r="V2022" s="127" t="n"/>
      <c r="W2022" s="127" t="n"/>
      <c r="X2022" s="127" t="n"/>
      <c r="Y2022" s="127" t="n"/>
      <c r="Z2022" s="127" t="n"/>
    </row>
    <row r="2023">
      <c r="A2023" s="217" t="n"/>
      <c r="B2023" s="126" t="n"/>
      <c r="C2023" s="126" t="n"/>
      <c r="D2023" s="126" t="n"/>
      <c r="E2023" s="126" t="n"/>
      <c r="F2023" s="127" t="n"/>
      <c r="G2023" s="127" t="inlineStr"/>
      <c r="H2023" s="127" t="inlineStr"/>
      <c r="I2023" s="127" t="n"/>
      <c r="J2023" s="127" t="n"/>
      <c r="K2023" s="127" t="inlineStr"/>
      <c r="L2023" s="127" t="n"/>
      <c r="M2023" s="127" t="n"/>
      <c r="N2023" s="127" t="n"/>
      <c r="O2023" s="127" t="n"/>
      <c r="P2023" s="127" t="n"/>
      <c r="Q2023" s="127" t="n"/>
      <c r="R2023" s="127" t="n"/>
      <c r="S2023" s="127" t="n"/>
      <c r="T2023" s="127" t="n"/>
      <c r="U2023" s="127" t="n"/>
      <c r="V2023" s="127" t="n"/>
      <c r="W2023" s="127" t="n"/>
      <c r="X2023" s="127" t="n"/>
      <c r="Y2023" s="127" t="n"/>
      <c r="Z2023" s="127" t="n"/>
    </row>
    <row r="2024">
      <c r="A2024" s="217" t="n"/>
      <c r="B2024" s="126" t="n"/>
      <c r="C2024" s="126" t="n"/>
      <c r="D2024" s="126" t="n"/>
      <c r="E2024" s="126" t="n"/>
      <c r="F2024" s="127" t="n"/>
      <c r="G2024" s="127" t="inlineStr"/>
      <c r="H2024" s="127" t="inlineStr"/>
      <c r="I2024" s="127" t="n"/>
      <c r="J2024" s="127" t="n"/>
      <c r="K2024" s="127" t="inlineStr"/>
      <c r="L2024" s="127" t="n"/>
      <c r="M2024" s="127" t="n"/>
      <c r="N2024" s="127" t="n"/>
      <c r="O2024" s="127" t="n"/>
      <c r="P2024" s="127" t="n"/>
      <c r="Q2024" s="127" t="n"/>
      <c r="R2024" s="127" t="n"/>
      <c r="S2024" s="127" t="n"/>
      <c r="T2024" s="127" t="n"/>
      <c r="U2024" s="127" t="n"/>
      <c r="V2024" s="127" t="n"/>
      <c r="W2024" s="127" t="n"/>
      <c r="X2024" s="127" t="n"/>
      <c r="Y2024" s="127" t="n"/>
      <c r="Z2024" s="127" t="n"/>
    </row>
    <row r="2025">
      <c r="A2025" s="217" t="n"/>
      <c r="B2025" s="126" t="n"/>
      <c r="C2025" s="126" t="n"/>
      <c r="D2025" s="126" t="n"/>
      <c r="E2025" s="126" t="n"/>
      <c r="F2025" s="127" t="n"/>
      <c r="G2025" s="127" t="inlineStr"/>
      <c r="H2025" s="127" t="inlineStr"/>
      <c r="I2025" s="127" t="n"/>
      <c r="J2025" s="127" t="n"/>
      <c r="K2025" s="127" t="inlineStr"/>
      <c r="L2025" s="127" t="n"/>
      <c r="M2025" s="127" t="n"/>
      <c r="N2025" s="127" t="n"/>
      <c r="O2025" s="127" t="n"/>
      <c r="P2025" s="127" t="n"/>
      <c r="Q2025" s="127" t="n"/>
      <c r="R2025" s="127" t="n"/>
      <c r="S2025" s="127" t="n"/>
      <c r="T2025" s="127" t="n"/>
      <c r="U2025" s="127" t="n"/>
      <c r="V2025" s="127" t="n"/>
      <c r="W2025" s="127" t="n"/>
      <c r="X2025" s="127" t="n"/>
      <c r="Y2025" s="127" t="n"/>
      <c r="Z2025" s="127" t="n"/>
    </row>
    <row r="2026">
      <c r="A2026" s="217" t="n"/>
      <c r="B2026" s="126" t="n"/>
      <c r="C2026" s="126" t="n"/>
      <c r="D2026" s="126" t="n"/>
      <c r="E2026" s="126" t="n"/>
      <c r="F2026" s="127" t="n"/>
      <c r="G2026" s="127" t="inlineStr"/>
      <c r="H2026" s="127" t="inlineStr"/>
      <c r="I2026" s="127" t="n"/>
      <c r="J2026" s="127" t="n"/>
      <c r="K2026" s="127" t="inlineStr"/>
      <c r="L2026" s="127" t="n"/>
      <c r="M2026" s="127" t="n"/>
      <c r="N2026" s="127" t="n"/>
      <c r="O2026" s="127" t="n"/>
      <c r="P2026" s="127" t="n"/>
      <c r="Q2026" s="127" t="n"/>
      <c r="R2026" s="127" t="n"/>
      <c r="S2026" s="127" t="n"/>
      <c r="T2026" s="127" t="n"/>
      <c r="U2026" s="127" t="n"/>
      <c r="V2026" s="127" t="n"/>
      <c r="W2026" s="127" t="n"/>
      <c r="X2026" s="127" t="n"/>
      <c r="Y2026" s="127" t="n"/>
      <c r="Z2026" s="127" t="n"/>
    </row>
    <row r="2027">
      <c r="A2027" s="217" t="n"/>
      <c r="B2027" s="126" t="n"/>
      <c r="C2027" s="126" t="n"/>
      <c r="D2027" s="126" t="n"/>
      <c r="E2027" s="126" t="n"/>
      <c r="F2027" s="127" t="n"/>
      <c r="G2027" s="127" t="inlineStr"/>
      <c r="H2027" s="127" t="inlineStr"/>
      <c r="I2027" s="127" t="n"/>
      <c r="J2027" s="127" t="n"/>
      <c r="K2027" s="127" t="inlineStr"/>
      <c r="L2027" s="127" t="n"/>
      <c r="M2027" s="127" t="n"/>
      <c r="N2027" s="127" t="n"/>
      <c r="O2027" s="127" t="n"/>
      <c r="P2027" s="127" t="n"/>
      <c r="Q2027" s="127" t="n"/>
      <c r="R2027" s="127" t="n"/>
      <c r="S2027" s="127" t="n"/>
      <c r="T2027" s="127" t="n"/>
      <c r="U2027" s="127" t="n"/>
      <c r="V2027" s="127" t="n"/>
      <c r="W2027" s="127" t="n"/>
      <c r="X2027" s="127" t="n"/>
      <c r="Y2027" s="127" t="n"/>
      <c r="Z2027" s="127" t="n"/>
    </row>
    <row r="2028">
      <c r="A2028" s="217" t="n"/>
      <c r="B2028" s="126" t="n"/>
      <c r="C2028" s="126" t="n"/>
      <c r="D2028" s="126" t="n"/>
      <c r="E2028" s="126" t="n"/>
      <c r="F2028" s="127" t="n"/>
      <c r="G2028" s="127" t="inlineStr"/>
      <c r="H2028" s="127" t="inlineStr"/>
      <c r="I2028" s="127" t="n"/>
      <c r="J2028" s="127" t="n"/>
      <c r="K2028" s="127" t="inlineStr"/>
      <c r="L2028" s="127" t="n"/>
      <c r="M2028" s="127" t="n"/>
      <c r="N2028" s="127" t="n"/>
      <c r="O2028" s="127" t="n"/>
      <c r="P2028" s="127" t="n"/>
      <c r="Q2028" s="127" t="n"/>
      <c r="R2028" s="127" t="n"/>
      <c r="S2028" s="127" t="n"/>
      <c r="T2028" s="127" t="n"/>
      <c r="U2028" s="127" t="n"/>
      <c r="V2028" s="127" t="n"/>
      <c r="W2028" s="127" t="n"/>
      <c r="X2028" s="127" t="n"/>
      <c r="Y2028" s="127" t="n"/>
      <c r="Z2028" s="127" t="n"/>
    </row>
    <row r="2029">
      <c r="A2029" s="217" t="n"/>
      <c r="B2029" s="126" t="n"/>
      <c r="C2029" s="126" t="n"/>
      <c r="D2029" s="126" t="n"/>
      <c r="E2029" s="126" t="n"/>
      <c r="F2029" s="127" t="n"/>
      <c r="G2029" s="127" t="inlineStr"/>
      <c r="H2029" s="127" t="inlineStr"/>
      <c r="I2029" s="127" t="n"/>
      <c r="J2029" s="127" t="n"/>
      <c r="K2029" s="127" t="inlineStr"/>
      <c r="L2029" s="127" t="n"/>
      <c r="M2029" s="127" t="n"/>
      <c r="N2029" s="127" t="n"/>
      <c r="O2029" s="127" t="n"/>
      <c r="P2029" s="127" t="n"/>
      <c r="Q2029" s="127" t="n"/>
      <c r="R2029" s="127" t="n"/>
      <c r="S2029" s="127" t="n"/>
      <c r="T2029" s="127" t="n"/>
      <c r="U2029" s="127" t="n"/>
      <c r="V2029" s="127" t="n"/>
      <c r="W2029" s="127" t="n"/>
      <c r="X2029" s="127" t="n"/>
      <c r="Y2029" s="127" t="n"/>
      <c r="Z2029" s="127" t="n"/>
    </row>
    <row r="2030">
      <c r="A2030" s="217" t="n"/>
      <c r="B2030" s="126" t="n"/>
      <c r="C2030" s="126" t="n"/>
      <c r="D2030" s="126" t="n"/>
      <c r="E2030" s="126" t="n"/>
      <c r="F2030" s="127" t="n"/>
      <c r="G2030" s="127" t="inlineStr"/>
      <c r="H2030" s="127" t="inlineStr"/>
      <c r="I2030" s="127" t="n"/>
      <c r="J2030" s="127" t="n"/>
      <c r="K2030" s="127" t="inlineStr"/>
      <c r="L2030" s="127" t="n"/>
      <c r="M2030" s="127" t="n"/>
      <c r="N2030" s="127" t="n"/>
      <c r="O2030" s="127" t="n"/>
      <c r="P2030" s="127" t="n"/>
      <c r="Q2030" s="127" t="n"/>
      <c r="R2030" s="127" t="n"/>
      <c r="S2030" s="127" t="n"/>
      <c r="T2030" s="127" t="n"/>
      <c r="U2030" s="127" t="n"/>
      <c r="V2030" s="127" t="n"/>
      <c r="W2030" s="127" t="n"/>
      <c r="X2030" s="127" t="n"/>
      <c r="Y2030" s="127" t="n"/>
      <c r="Z2030" s="127" t="n"/>
    </row>
    <row r="2031">
      <c r="A2031" s="217" t="n"/>
      <c r="B2031" s="126" t="n"/>
      <c r="C2031" s="126" t="n"/>
      <c r="D2031" s="126" t="n"/>
      <c r="E2031" s="126" t="n"/>
      <c r="F2031" s="127" t="n"/>
      <c r="G2031" s="127" t="inlineStr"/>
      <c r="H2031" s="127" t="inlineStr"/>
      <c r="I2031" s="127" t="n"/>
      <c r="J2031" s="127" t="n"/>
      <c r="K2031" s="127" t="inlineStr"/>
      <c r="L2031" s="127" t="n"/>
      <c r="M2031" s="127" t="n"/>
      <c r="N2031" s="127" t="n"/>
      <c r="O2031" s="127" t="n"/>
      <c r="P2031" s="127" t="n"/>
      <c r="Q2031" s="127" t="n"/>
      <c r="R2031" s="127" t="n"/>
      <c r="S2031" s="127" t="n"/>
      <c r="T2031" s="127" t="n"/>
      <c r="U2031" s="127" t="n"/>
      <c r="V2031" s="127" t="n"/>
      <c r="W2031" s="127" t="n"/>
      <c r="X2031" s="127" t="n"/>
      <c r="Y2031" s="127" t="n"/>
      <c r="Z2031" s="127" t="n"/>
    </row>
    <row r="2032">
      <c r="A2032" s="217" t="n"/>
      <c r="B2032" s="126" t="n"/>
      <c r="C2032" s="126" t="n"/>
      <c r="D2032" s="126" t="n"/>
      <c r="E2032" s="126" t="n"/>
      <c r="F2032" s="127" t="n"/>
      <c r="G2032" s="127" t="inlineStr"/>
      <c r="H2032" s="127" t="inlineStr"/>
      <c r="I2032" s="127" t="n"/>
      <c r="J2032" s="127" t="n"/>
      <c r="K2032" s="127" t="inlineStr"/>
      <c r="L2032" s="127" t="n"/>
      <c r="M2032" s="127" t="n"/>
      <c r="N2032" s="127" t="n"/>
      <c r="O2032" s="127" t="n"/>
      <c r="P2032" s="127" t="n"/>
      <c r="Q2032" s="127" t="n"/>
      <c r="R2032" s="127" t="n"/>
      <c r="S2032" s="127" t="n"/>
      <c r="T2032" s="127" t="n"/>
      <c r="U2032" s="127" t="n"/>
      <c r="V2032" s="127" t="n"/>
      <c r="W2032" s="127" t="n"/>
      <c r="X2032" s="127" t="n"/>
      <c r="Y2032" s="127" t="n"/>
      <c r="Z2032" s="127" t="n"/>
    </row>
    <row r="2033">
      <c r="A2033" s="217" t="n"/>
      <c r="B2033" s="126" t="n"/>
      <c r="C2033" s="126" t="n"/>
      <c r="D2033" s="126" t="n"/>
      <c r="E2033" s="126" t="n"/>
      <c r="F2033" s="127" t="n"/>
      <c r="G2033" s="127" t="inlineStr"/>
      <c r="H2033" s="127" t="inlineStr"/>
      <c r="I2033" s="127" t="n"/>
      <c r="J2033" s="127" t="n"/>
      <c r="K2033" s="127" t="inlineStr"/>
      <c r="L2033" s="127" t="n"/>
      <c r="M2033" s="127" t="n"/>
      <c r="N2033" s="127" t="n"/>
      <c r="O2033" s="127" t="n"/>
      <c r="P2033" s="127" t="n"/>
      <c r="Q2033" s="127" t="n"/>
      <c r="R2033" s="127" t="n"/>
      <c r="S2033" s="127" t="n"/>
      <c r="T2033" s="127" t="n"/>
      <c r="U2033" s="127" t="n"/>
      <c r="V2033" s="127" t="n"/>
      <c r="W2033" s="127" t="n"/>
      <c r="X2033" s="127" t="n"/>
      <c r="Y2033" s="127" t="n"/>
      <c r="Z2033" s="127" t="n"/>
    </row>
    <row r="2034">
      <c r="A2034" s="217" t="n"/>
      <c r="B2034" s="126" t="n"/>
      <c r="C2034" s="126" t="n"/>
      <c r="D2034" s="126" t="n"/>
      <c r="E2034" s="126" t="n"/>
      <c r="F2034" s="127" t="n"/>
      <c r="G2034" s="127" t="inlineStr"/>
      <c r="H2034" s="127" t="inlineStr"/>
      <c r="I2034" s="127" t="n"/>
      <c r="J2034" s="127" t="n"/>
      <c r="K2034" s="127" t="inlineStr"/>
      <c r="L2034" s="127" t="n"/>
      <c r="M2034" s="127" t="n"/>
      <c r="N2034" s="127" t="n"/>
      <c r="O2034" s="127" t="n"/>
      <c r="P2034" s="127" t="n"/>
      <c r="Q2034" s="127" t="n"/>
      <c r="R2034" s="127" t="n"/>
      <c r="S2034" s="127" t="n"/>
      <c r="T2034" s="127" t="n"/>
      <c r="U2034" s="127" t="n"/>
      <c r="V2034" s="127" t="n"/>
      <c r="W2034" s="127" t="n"/>
      <c r="X2034" s="127" t="n"/>
      <c r="Y2034" s="127" t="n"/>
      <c r="Z2034" s="127" t="n"/>
    </row>
    <row r="2035">
      <c r="A2035" s="217" t="n"/>
      <c r="B2035" s="126" t="n"/>
      <c r="C2035" s="126" t="n"/>
      <c r="D2035" s="126" t="n"/>
      <c r="E2035" s="126" t="n"/>
      <c r="F2035" s="127" t="n"/>
      <c r="G2035" s="127" t="inlineStr"/>
      <c r="H2035" s="127" t="inlineStr"/>
      <c r="I2035" s="127" t="n"/>
      <c r="J2035" s="127" t="n"/>
      <c r="K2035" s="127" t="inlineStr"/>
      <c r="L2035" s="127" t="n"/>
      <c r="M2035" s="127" t="n"/>
      <c r="N2035" s="127" t="n"/>
      <c r="O2035" s="127" t="n"/>
      <c r="P2035" s="127" t="n"/>
      <c r="Q2035" s="127" t="n"/>
      <c r="R2035" s="127" t="n"/>
      <c r="S2035" s="127" t="n"/>
      <c r="T2035" s="127" t="n"/>
      <c r="U2035" s="127" t="n"/>
      <c r="V2035" s="127" t="n"/>
      <c r="W2035" s="127" t="n"/>
      <c r="X2035" s="127" t="n"/>
      <c r="Y2035" s="127" t="n"/>
      <c r="Z2035" s="127" t="n"/>
    </row>
    <row r="2036">
      <c r="A2036" s="217" t="n"/>
      <c r="B2036" s="126" t="n"/>
      <c r="C2036" s="126" t="n"/>
      <c r="D2036" s="126" t="n"/>
      <c r="E2036" s="126" t="n"/>
      <c r="F2036" s="127" t="n"/>
      <c r="G2036" s="127" t="inlineStr"/>
      <c r="H2036" s="127" t="inlineStr"/>
      <c r="I2036" s="127" t="n"/>
      <c r="J2036" s="127" t="n"/>
      <c r="K2036" s="127" t="inlineStr"/>
      <c r="L2036" s="127" t="n"/>
      <c r="M2036" s="127" t="n"/>
      <c r="N2036" s="127" t="n"/>
      <c r="O2036" s="127" t="n"/>
      <c r="P2036" s="127" t="n"/>
      <c r="Q2036" s="127" t="n"/>
      <c r="R2036" s="127" t="n"/>
      <c r="S2036" s="127" t="n"/>
      <c r="T2036" s="127" t="n"/>
      <c r="U2036" s="127" t="n"/>
      <c r="V2036" s="127" t="n"/>
      <c r="W2036" s="127" t="n"/>
      <c r="X2036" s="127" t="n"/>
      <c r="Y2036" s="127" t="n"/>
      <c r="Z2036" s="127" t="n"/>
    </row>
    <row r="2037">
      <c r="A2037" s="217" t="n"/>
      <c r="B2037" s="126" t="n"/>
      <c r="C2037" s="126" t="n"/>
      <c r="D2037" s="126" t="n"/>
      <c r="E2037" s="126" t="n"/>
      <c r="F2037" s="127" t="n"/>
      <c r="G2037" s="127" t="inlineStr"/>
      <c r="H2037" s="127" t="inlineStr"/>
      <c r="I2037" s="127" t="n"/>
      <c r="J2037" s="127" t="n"/>
      <c r="K2037" s="127" t="inlineStr"/>
      <c r="L2037" s="127" t="n"/>
      <c r="M2037" s="127" t="n"/>
      <c r="N2037" s="127" t="n"/>
      <c r="O2037" s="127" t="n"/>
      <c r="P2037" s="127" t="n"/>
      <c r="Q2037" s="127" t="n"/>
      <c r="R2037" s="127" t="n"/>
      <c r="S2037" s="127" t="n"/>
      <c r="T2037" s="127" t="n"/>
      <c r="U2037" s="127" t="n"/>
      <c r="V2037" s="127" t="n"/>
      <c r="W2037" s="127" t="n"/>
      <c r="X2037" s="127" t="n"/>
      <c r="Y2037" s="127" t="n"/>
      <c r="Z2037" s="127" t="n"/>
    </row>
    <row r="2038">
      <c r="A2038" s="217" t="n"/>
      <c r="B2038" s="126" t="n"/>
      <c r="C2038" s="126" t="n"/>
      <c r="D2038" s="126" t="n"/>
      <c r="E2038" s="126" t="n"/>
      <c r="F2038" s="127" t="n"/>
      <c r="G2038" s="127" t="inlineStr"/>
      <c r="H2038" s="127" t="inlineStr"/>
      <c r="I2038" s="127" t="n"/>
      <c r="J2038" s="127" t="n"/>
      <c r="K2038" s="127" t="inlineStr"/>
      <c r="L2038" s="127" t="n"/>
      <c r="M2038" s="127" t="n"/>
      <c r="N2038" s="127" t="n"/>
      <c r="O2038" s="127" t="n"/>
      <c r="P2038" s="127" t="n"/>
      <c r="Q2038" s="127" t="n"/>
      <c r="R2038" s="127" t="n"/>
      <c r="S2038" s="127" t="n"/>
      <c r="T2038" s="127" t="n"/>
      <c r="U2038" s="127" t="n"/>
      <c r="V2038" s="127" t="n"/>
      <c r="W2038" s="127" t="n"/>
      <c r="X2038" s="127" t="n"/>
      <c r="Y2038" s="127" t="n"/>
      <c r="Z2038" s="127" t="n"/>
    </row>
    <row r="2039">
      <c r="A2039" s="217" t="n"/>
      <c r="B2039" s="126" t="n"/>
      <c r="C2039" s="126" t="n"/>
      <c r="D2039" s="126" t="n"/>
      <c r="E2039" s="126" t="n"/>
      <c r="F2039" s="127" t="n"/>
      <c r="G2039" s="127" t="inlineStr"/>
      <c r="H2039" s="127" t="inlineStr"/>
      <c r="I2039" s="127" t="n"/>
      <c r="J2039" s="127" t="n"/>
      <c r="K2039" s="127" t="inlineStr"/>
      <c r="L2039" s="127" t="n"/>
      <c r="M2039" s="127" t="n"/>
      <c r="N2039" s="127" t="n"/>
      <c r="O2039" s="127" t="n"/>
      <c r="P2039" s="127" t="n"/>
      <c r="Q2039" s="127" t="n"/>
      <c r="R2039" s="127" t="n"/>
      <c r="S2039" s="127" t="n"/>
      <c r="T2039" s="127" t="n"/>
      <c r="U2039" s="127" t="n"/>
      <c r="V2039" s="127" t="n"/>
      <c r="W2039" s="127" t="n"/>
      <c r="X2039" s="127" t="n"/>
      <c r="Y2039" s="127" t="n"/>
      <c r="Z2039" s="127" t="n"/>
    </row>
    <row r="2040">
      <c r="A2040" s="217" t="n"/>
      <c r="B2040" s="126" t="n"/>
      <c r="C2040" s="126" t="n"/>
      <c r="D2040" s="126" t="n"/>
      <c r="E2040" s="126" t="n"/>
      <c r="F2040" s="127" t="n"/>
      <c r="G2040" s="127" t="inlineStr"/>
      <c r="H2040" s="127" t="inlineStr"/>
      <c r="I2040" s="127" t="n"/>
      <c r="J2040" s="127" t="n"/>
      <c r="K2040" s="127" t="inlineStr"/>
      <c r="L2040" s="127" t="n"/>
      <c r="M2040" s="127" t="n"/>
      <c r="N2040" s="127" t="n"/>
      <c r="O2040" s="127" t="n"/>
      <c r="P2040" s="127" t="n"/>
      <c r="Q2040" s="127" t="n"/>
      <c r="R2040" s="127" t="n"/>
      <c r="S2040" s="127" t="n"/>
      <c r="T2040" s="127" t="n"/>
      <c r="U2040" s="127" t="n"/>
      <c r="V2040" s="127" t="n"/>
      <c r="W2040" s="127" t="n"/>
      <c r="X2040" s="127" t="n"/>
      <c r="Y2040" s="127" t="n"/>
      <c r="Z2040" s="127" t="n"/>
    </row>
    <row r="2041">
      <c r="A2041" s="217" t="n"/>
      <c r="B2041" s="126" t="n"/>
      <c r="C2041" s="126" t="n"/>
      <c r="D2041" s="126" t="n"/>
      <c r="E2041" s="126" t="n"/>
      <c r="F2041" s="127" t="n"/>
      <c r="G2041" s="127" t="inlineStr"/>
      <c r="H2041" s="127" t="inlineStr"/>
      <c r="I2041" s="127" t="n"/>
      <c r="J2041" s="127" t="n"/>
      <c r="K2041" s="127" t="inlineStr"/>
      <c r="L2041" s="127" t="n"/>
      <c r="M2041" s="127" t="n"/>
      <c r="N2041" s="127" t="n"/>
      <c r="O2041" s="127" t="n"/>
      <c r="P2041" s="127" t="n"/>
      <c r="Q2041" s="127" t="n"/>
      <c r="R2041" s="127" t="n"/>
      <c r="S2041" s="127" t="n"/>
      <c r="T2041" s="127" t="n"/>
      <c r="U2041" s="127" t="n"/>
      <c r="V2041" s="127" t="n"/>
      <c r="W2041" s="127" t="n"/>
      <c r="X2041" s="127" t="n"/>
      <c r="Y2041" s="127" t="n"/>
      <c r="Z2041" s="127" t="n"/>
    </row>
    <row r="2042">
      <c r="A2042" s="217" t="n"/>
      <c r="B2042" s="126" t="n"/>
      <c r="C2042" s="126" t="n"/>
      <c r="D2042" s="126" t="n"/>
      <c r="E2042" s="126" t="n"/>
      <c r="F2042" s="127" t="n"/>
      <c r="G2042" s="127" t="inlineStr"/>
      <c r="H2042" s="127" t="inlineStr"/>
      <c r="I2042" s="127" t="n"/>
      <c r="J2042" s="127" t="n"/>
      <c r="K2042" s="127" t="inlineStr"/>
      <c r="L2042" s="127" t="n"/>
      <c r="M2042" s="127" t="n"/>
      <c r="N2042" s="127" t="n"/>
      <c r="O2042" s="127" t="n"/>
      <c r="P2042" s="127" t="n"/>
      <c r="Q2042" s="127" t="n"/>
      <c r="R2042" s="127" t="n"/>
      <c r="S2042" s="127" t="n"/>
      <c r="T2042" s="127" t="n"/>
      <c r="U2042" s="127" t="n"/>
      <c r="V2042" s="127" t="n"/>
      <c r="W2042" s="127" t="n"/>
      <c r="X2042" s="127" t="n"/>
      <c r="Y2042" s="127" t="n"/>
      <c r="Z2042" s="127" t="n"/>
    </row>
    <row r="2043">
      <c r="A2043" s="217" t="n"/>
      <c r="B2043" s="126" t="n"/>
      <c r="C2043" s="126" t="n"/>
      <c r="D2043" s="126" t="n"/>
      <c r="E2043" s="126" t="n"/>
      <c r="F2043" s="127" t="n"/>
      <c r="G2043" s="127" t="inlineStr"/>
      <c r="H2043" s="127" t="inlineStr"/>
      <c r="I2043" s="127" t="n"/>
      <c r="J2043" s="127" t="n"/>
      <c r="K2043" s="127" t="inlineStr"/>
      <c r="L2043" s="127" t="n"/>
      <c r="M2043" s="127" t="n"/>
      <c r="N2043" s="127" t="n"/>
      <c r="O2043" s="127" t="n"/>
      <c r="P2043" s="127" t="n"/>
      <c r="Q2043" s="127" t="n"/>
      <c r="R2043" s="127" t="n"/>
      <c r="S2043" s="127" t="n"/>
      <c r="T2043" s="127" t="n"/>
      <c r="U2043" s="127" t="n"/>
      <c r="V2043" s="127" t="n"/>
      <c r="W2043" s="127" t="n"/>
      <c r="X2043" s="127" t="n"/>
      <c r="Y2043" s="127" t="n"/>
      <c r="Z2043" s="127" t="n"/>
    </row>
    <row r="2044">
      <c r="A2044" s="217" t="n"/>
      <c r="B2044" s="126" t="n"/>
      <c r="C2044" s="126" t="n"/>
      <c r="D2044" s="126" t="n"/>
      <c r="E2044" s="126" t="n"/>
      <c r="F2044" s="127" t="n"/>
      <c r="G2044" s="127" t="inlineStr"/>
      <c r="H2044" s="127" t="inlineStr"/>
      <c r="I2044" s="127" t="n"/>
      <c r="J2044" s="127" t="n"/>
      <c r="K2044" s="127" t="inlineStr"/>
      <c r="L2044" s="127" t="n"/>
      <c r="M2044" s="127" t="n"/>
      <c r="N2044" s="127" t="n"/>
      <c r="O2044" s="127" t="n"/>
      <c r="P2044" s="127" t="n"/>
      <c r="Q2044" s="127" t="n"/>
      <c r="R2044" s="127" t="n"/>
      <c r="S2044" s="127" t="n"/>
      <c r="T2044" s="127" t="n"/>
      <c r="U2044" s="127" t="n"/>
      <c r="V2044" s="127" t="n"/>
      <c r="W2044" s="127" t="n"/>
      <c r="X2044" s="127" t="n"/>
      <c r="Y2044" s="127" t="n"/>
      <c r="Z2044" s="127" t="n"/>
    </row>
    <row r="2045">
      <c r="A2045" s="217" t="n"/>
      <c r="B2045" s="126" t="n"/>
      <c r="C2045" s="126" t="n"/>
      <c r="D2045" s="126" t="n"/>
      <c r="E2045" s="126" t="n"/>
      <c r="F2045" s="127" t="n"/>
      <c r="G2045" s="127" t="inlineStr"/>
      <c r="H2045" s="127" t="inlineStr"/>
      <c r="I2045" s="127" t="n"/>
      <c r="J2045" s="127" t="n"/>
      <c r="K2045" s="127" t="inlineStr"/>
      <c r="L2045" s="127" t="n"/>
      <c r="M2045" s="127" t="n"/>
      <c r="N2045" s="127" t="n"/>
      <c r="O2045" s="127" t="n"/>
      <c r="P2045" s="127" t="n"/>
      <c r="Q2045" s="127" t="n"/>
      <c r="R2045" s="127" t="n"/>
      <c r="S2045" s="127" t="n"/>
      <c r="T2045" s="127" t="n"/>
      <c r="U2045" s="127" t="n"/>
      <c r="V2045" s="127" t="n"/>
      <c r="W2045" s="127" t="n"/>
      <c r="X2045" s="127" t="n"/>
      <c r="Y2045" s="127" t="n"/>
      <c r="Z2045" s="127" t="n"/>
    </row>
    <row r="2046">
      <c r="A2046" s="217" t="n"/>
      <c r="B2046" s="126" t="n"/>
      <c r="C2046" s="126" t="n"/>
      <c r="D2046" s="126" t="n"/>
      <c r="E2046" s="126" t="n"/>
      <c r="F2046" s="127" t="n"/>
      <c r="G2046" s="127" t="inlineStr"/>
      <c r="H2046" s="127" t="inlineStr"/>
      <c r="I2046" s="127" t="n"/>
      <c r="J2046" s="127" t="n"/>
      <c r="K2046" s="127" t="inlineStr"/>
      <c r="L2046" s="127" t="n"/>
      <c r="M2046" s="127" t="n"/>
      <c r="N2046" s="127" t="n"/>
      <c r="O2046" s="127" t="n"/>
      <c r="P2046" s="127" t="n"/>
      <c r="Q2046" s="127" t="n"/>
      <c r="R2046" s="127" t="n"/>
      <c r="S2046" s="127" t="n"/>
      <c r="T2046" s="127" t="n"/>
      <c r="U2046" s="127" t="n"/>
      <c r="V2046" s="127" t="n"/>
      <c r="W2046" s="127" t="n"/>
      <c r="X2046" s="127" t="n"/>
      <c r="Y2046" s="127" t="n"/>
      <c r="Z2046" s="127" t="n"/>
    </row>
    <row r="2047">
      <c r="A2047" s="217" t="n"/>
      <c r="B2047" s="126" t="n"/>
      <c r="C2047" s="126" t="n"/>
      <c r="D2047" s="126" t="n"/>
      <c r="E2047" s="126" t="n"/>
      <c r="F2047" s="127" t="n"/>
      <c r="G2047" s="127" t="inlineStr"/>
      <c r="H2047" s="127" t="inlineStr"/>
      <c r="I2047" s="127" t="n"/>
      <c r="J2047" s="127" t="n"/>
      <c r="K2047" s="127" t="inlineStr"/>
      <c r="L2047" s="127" t="n"/>
      <c r="M2047" s="127" t="n"/>
      <c r="N2047" s="127" t="n"/>
      <c r="O2047" s="127" t="n"/>
      <c r="P2047" s="127" t="n"/>
      <c r="Q2047" s="127" t="n"/>
      <c r="R2047" s="127" t="n"/>
      <c r="S2047" s="127" t="n"/>
      <c r="T2047" s="127" t="n"/>
      <c r="U2047" s="127" t="n"/>
      <c r="V2047" s="127" t="n"/>
      <c r="W2047" s="127" t="n"/>
      <c r="X2047" s="127" t="n"/>
      <c r="Y2047" s="127" t="n"/>
      <c r="Z2047" s="127" t="n"/>
    </row>
    <row r="2048">
      <c r="A2048" s="217" t="n"/>
      <c r="B2048" s="126" t="n"/>
      <c r="C2048" s="126" t="n"/>
      <c r="D2048" s="126" t="n"/>
      <c r="E2048" s="126" t="n"/>
      <c r="F2048" s="127" t="n"/>
      <c r="G2048" s="127" t="inlineStr"/>
      <c r="H2048" s="127" t="inlineStr"/>
      <c r="I2048" s="127" t="n"/>
      <c r="J2048" s="127" t="n"/>
      <c r="K2048" s="127" t="inlineStr"/>
      <c r="L2048" s="127" t="n"/>
      <c r="M2048" s="127" t="n"/>
      <c r="N2048" s="127" t="n"/>
      <c r="O2048" s="127" t="n"/>
      <c r="P2048" s="127" t="n"/>
      <c r="Q2048" s="127" t="n"/>
      <c r="R2048" s="127" t="n"/>
      <c r="S2048" s="127" t="n"/>
      <c r="T2048" s="127" t="n"/>
      <c r="U2048" s="127" t="n"/>
      <c r="V2048" s="127" t="n"/>
      <c r="W2048" s="127" t="n"/>
      <c r="X2048" s="127" t="n"/>
      <c r="Y2048" s="127" t="n"/>
      <c r="Z2048" s="127" t="n"/>
    </row>
    <row r="2049">
      <c r="A2049" s="217" t="n"/>
      <c r="B2049" s="126" t="n"/>
      <c r="C2049" s="126" t="n"/>
      <c r="D2049" s="126" t="n"/>
      <c r="E2049" s="126" t="n"/>
      <c r="F2049" s="127" t="n"/>
      <c r="G2049" s="127" t="inlineStr"/>
      <c r="H2049" s="127" t="inlineStr"/>
      <c r="I2049" s="127" t="n"/>
      <c r="J2049" s="127" t="n"/>
      <c r="K2049" s="127" t="inlineStr"/>
      <c r="L2049" s="127" t="n"/>
      <c r="M2049" s="127" t="n"/>
      <c r="N2049" s="127" t="n"/>
      <c r="O2049" s="127" t="n"/>
      <c r="P2049" s="127" t="n"/>
      <c r="Q2049" s="127" t="n"/>
      <c r="R2049" s="127" t="n"/>
      <c r="S2049" s="127" t="n"/>
      <c r="T2049" s="127" t="n"/>
      <c r="U2049" s="127" t="n"/>
      <c r="V2049" s="127" t="n"/>
      <c r="W2049" s="127" t="n"/>
      <c r="X2049" s="127" t="n"/>
      <c r="Y2049" s="127" t="n"/>
      <c r="Z2049" s="127" t="n"/>
    </row>
    <row r="2050">
      <c r="A2050" s="217" t="n"/>
      <c r="B2050" s="126" t="n"/>
      <c r="C2050" s="126" t="n"/>
      <c r="D2050" s="126" t="n"/>
      <c r="E2050" s="126" t="n"/>
      <c r="F2050" s="127" t="n"/>
      <c r="G2050" s="127" t="inlineStr"/>
      <c r="H2050" s="127" t="inlineStr"/>
      <c r="I2050" s="127" t="n"/>
      <c r="J2050" s="127" t="n"/>
      <c r="K2050" s="127" t="inlineStr"/>
      <c r="L2050" s="127" t="n"/>
      <c r="M2050" s="127" t="n"/>
      <c r="N2050" s="127" t="n"/>
      <c r="O2050" s="127" t="n"/>
      <c r="P2050" s="127" t="n"/>
      <c r="Q2050" s="127" t="n"/>
      <c r="R2050" s="127" t="n"/>
      <c r="S2050" s="127" t="n"/>
      <c r="T2050" s="127" t="n"/>
      <c r="U2050" s="127" t="n"/>
      <c r="V2050" s="127" t="n"/>
      <c r="W2050" s="127" t="n"/>
      <c r="X2050" s="127" t="n"/>
      <c r="Y2050" s="127" t="n"/>
      <c r="Z2050" s="127" t="n"/>
    </row>
    <row r="2051">
      <c r="A2051" s="217" t="n"/>
      <c r="B2051" s="126" t="n"/>
      <c r="C2051" s="126" t="n"/>
      <c r="D2051" s="126" t="n"/>
      <c r="E2051" s="126" t="n"/>
      <c r="F2051" s="127" t="n"/>
      <c r="G2051" s="127" t="inlineStr"/>
      <c r="H2051" s="127" t="inlineStr"/>
      <c r="I2051" s="127" t="n"/>
      <c r="J2051" s="127" t="n"/>
      <c r="K2051" s="127" t="inlineStr"/>
      <c r="L2051" s="127" t="n"/>
      <c r="M2051" s="127" t="n"/>
      <c r="N2051" s="127" t="n"/>
      <c r="O2051" s="127" t="n"/>
      <c r="P2051" s="127" t="n"/>
      <c r="Q2051" s="127" t="n"/>
      <c r="R2051" s="127" t="n"/>
      <c r="S2051" s="127" t="n"/>
      <c r="T2051" s="127" t="n"/>
      <c r="U2051" s="127" t="n"/>
      <c r="V2051" s="127" t="n"/>
      <c r="W2051" s="127" t="n"/>
      <c r="X2051" s="127" t="n"/>
      <c r="Y2051" s="127" t="n"/>
      <c r="Z2051" s="127" t="n"/>
    </row>
    <row r="2052">
      <c r="A2052" s="217" t="n"/>
      <c r="B2052" s="126" t="n"/>
      <c r="C2052" s="126" t="n"/>
      <c r="D2052" s="126" t="n"/>
      <c r="E2052" s="126" t="n"/>
      <c r="F2052" s="127" t="n"/>
      <c r="G2052" s="127" t="inlineStr"/>
      <c r="H2052" s="127" t="inlineStr"/>
      <c r="I2052" s="127" t="n"/>
      <c r="J2052" s="127" t="n"/>
      <c r="K2052" s="127" t="inlineStr"/>
      <c r="L2052" s="127" t="n"/>
      <c r="M2052" s="127" t="n"/>
      <c r="N2052" s="127" t="n"/>
      <c r="O2052" s="127" t="n"/>
      <c r="P2052" s="127" t="n"/>
      <c r="Q2052" s="127" t="n"/>
      <c r="R2052" s="127" t="n"/>
      <c r="S2052" s="127" t="n"/>
      <c r="T2052" s="127" t="n"/>
      <c r="U2052" s="127" t="n"/>
      <c r="V2052" s="127" t="n"/>
      <c r="W2052" s="127" t="n"/>
      <c r="X2052" s="127" t="n"/>
      <c r="Y2052" s="127" t="n"/>
      <c r="Z2052" s="127" t="n"/>
    </row>
    <row r="2053">
      <c r="A2053" s="217" t="n"/>
      <c r="B2053" s="126" t="n"/>
      <c r="C2053" s="126" t="n"/>
      <c r="D2053" s="126" t="n"/>
      <c r="E2053" s="126" t="n"/>
      <c r="F2053" s="127" t="n"/>
      <c r="G2053" s="127" t="inlineStr"/>
      <c r="H2053" s="127" t="inlineStr"/>
      <c r="I2053" s="127" t="n"/>
      <c r="J2053" s="127" t="n"/>
      <c r="K2053" s="127" t="inlineStr"/>
      <c r="L2053" s="127" t="n"/>
      <c r="M2053" s="127" t="n"/>
      <c r="N2053" s="127" t="n"/>
      <c r="O2053" s="127" t="n"/>
      <c r="P2053" s="127" t="n"/>
      <c r="Q2053" s="127" t="n"/>
      <c r="R2053" s="127" t="n"/>
      <c r="S2053" s="127" t="n"/>
      <c r="T2053" s="127" t="n"/>
      <c r="U2053" s="127" t="n"/>
      <c r="V2053" s="127" t="n"/>
      <c r="W2053" s="127" t="n"/>
      <c r="X2053" s="127" t="n"/>
      <c r="Y2053" s="127" t="n"/>
      <c r="Z2053" s="127" t="n"/>
    </row>
    <row r="2054">
      <c r="A2054" s="217" t="n"/>
      <c r="B2054" s="126" t="n"/>
      <c r="C2054" s="126" t="n"/>
      <c r="D2054" s="126" t="n"/>
      <c r="E2054" s="126" t="n"/>
      <c r="F2054" s="127" t="n"/>
      <c r="G2054" s="127" t="inlineStr"/>
      <c r="H2054" s="127" t="inlineStr"/>
      <c r="I2054" s="127" t="n"/>
      <c r="J2054" s="127" t="n"/>
      <c r="K2054" s="127" t="inlineStr"/>
      <c r="L2054" s="127" t="n"/>
      <c r="M2054" s="127" t="n"/>
      <c r="N2054" s="127" t="n"/>
      <c r="O2054" s="127" t="n"/>
      <c r="P2054" s="127" t="n"/>
      <c r="Q2054" s="127" t="n"/>
      <c r="R2054" s="127" t="n"/>
      <c r="S2054" s="127" t="n"/>
      <c r="T2054" s="127" t="n"/>
      <c r="U2054" s="127" t="n"/>
      <c r="V2054" s="127" t="n"/>
      <c r="W2054" s="127" t="n"/>
      <c r="X2054" s="127" t="n"/>
      <c r="Y2054" s="127" t="n"/>
      <c r="Z2054" s="127" t="n"/>
    </row>
    <row r="2055">
      <c r="A2055" s="217" t="n"/>
      <c r="B2055" s="126" t="n"/>
      <c r="C2055" s="126" t="n"/>
      <c r="D2055" s="126" t="n"/>
      <c r="E2055" s="126" t="n"/>
      <c r="F2055" s="127" t="n"/>
      <c r="G2055" s="127" t="inlineStr"/>
      <c r="H2055" s="127" t="inlineStr"/>
      <c r="I2055" s="127" t="n"/>
      <c r="J2055" s="127" t="n"/>
      <c r="K2055" s="127" t="inlineStr"/>
      <c r="L2055" s="127" t="n"/>
      <c r="M2055" s="127" t="n"/>
      <c r="N2055" s="127" t="n"/>
      <c r="O2055" s="127" t="n"/>
      <c r="P2055" s="127" t="n"/>
      <c r="Q2055" s="127" t="n"/>
      <c r="R2055" s="127" t="n"/>
      <c r="S2055" s="127" t="n"/>
      <c r="T2055" s="127" t="n"/>
      <c r="U2055" s="127" t="n"/>
      <c r="V2055" s="127" t="n"/>
      <c r="W2055" s="127" t="n"/>
      <c r="X2055" s="127" t="n"/>
      <c r="Y2055" s="127" t="n"/>
      <c r="Z2055" s="127" t="n"/>
    </row>
    <row r="2056">
      <c r="A2056" s="217" t="n"/>
      <c r="B2056" s="126" t="n"/>
      <c r="C2056" s="126" t="n"/>
      <c r="D2056" s="126" t="n"/>
      <c r="E2056" s="126" t="n"/>
      <c r="F2056" s="127" t="n"/>
      <c r="G2056" s="127" t="inlineStr"/>
      <c r="H2056" s="127" t="inlineStr"/>
      <c r="I2056" s="127" t="n"/>
      <c r="J2056" s="127" t="n"/>
      <c r="K2056" s="127" t="inlineStr"/>
      <c r="L2056" s="127" t="n"/>
      <c r="M2056" s="127" t="n"/>
      <c r="N2056" s="127" t="n"/>
      <c r="O2056" s="127" t="n"/>
      <c r="P2056" s="127" t="n"/>
      <c r="Q2056" s="127" t="n"/>
      <c r="R2056" s="127" t="n"/>
      <c r="S2056" s="127" t="n"/>
      <c r="T2056" s="127" t="n"/>
      <c r="U2056" s="127" t="n"/>
      <c r="V2056" s="127" t="n"/>
      <c r="W2056" s="127" t="n"/>
      <c r="X2056" s="127" t="n"/>
      <c r="Y2056" s="127" t="n"/>
      <c r="Z2056" s="127" t="n"/>
    </row>
    <row r="2057">
      <c r="A2057" s="217" t="n"/>
      <c r="B2057" s="126" t="n"/>
      <c r="C2057" s="126" t="n"/>
      <c r="D2057" s="126" t="n"/>
      <c r="E2057" s="126" t="n"/>
      <c r="F2057" s="127" t="n"/>
      <c r="G2057" s="127" t="inlineStr"/>
      <c r="H2057" s="127" t="inlineStr"/>
      <c r="I2057" s="127" t="n"/>
      <c r="J2057" s="127" t="n"/>
      <c r="K2057" s="127" t="inlineStr"/>
      <c r="L2057" s="127" t="n"/>
      <c r="M2057" s="127" t="n"/>
      <c r="N2057" s="127" t="n"/>
      <c r="O2057" s="127" t="n"/>
      <c r="P2057" s="127" t="n"/>
      <c r="Q2057" s="127" t="n"/>
      <c r="R2057" s="127" t="n"/>
      <c r="S2057" s="127" t="n"/>
      <c r="T2057" s="127" t="n"/>
      <c r="U2057" s="127" t="n"/>
      <c r="V2057" s="127" t="n"/>
      <c r="W2057" s="127" t="n"/>
      <c r="X2057" s="127" t="n"/>
      <c r="Y2057" s="127" t="n"/>
      <c r="Z2057" s="127" t="n"/>
    </row>
    <row r="2058">
      <c r="A2058" s="217" t="n"/>
      <c r="B2058" s="126" t="n"/>
      <c r="C2058" s="126" t="n"/>
      <c r="D2058" s="126" t="n"/>
      <c r="E2058" s="126" t="n"/>
      <c r="F2058" s="127" t="n"/>
      <c r="G2058" s="127" t="inlineStr"/>
      <c r="H2058" s="127" t="inlineStr"/>
      <c r="I2058" s="127" t="n"/>
      <c r="J2058" s="127" t="n"/>
      <c r="K2058" s="127" t="inlineStr"/>
      <c r="L2058" s="127" t="n"/>
      <c r="M2058" s="127" t="n"/>
      <c r="N2058" s="127" t="n"/>
      <c r="O2058" s="127" t="n"/>
      <c r="P2058" s="127" t="n"/>
      <c r="Q2058" s="127" t="n"/>
      <c r="R2058" s="127" t="n"/>
      <c r="S2058" s="127" t="n"/>
      <c r="T2058" s="127" t="n"/>
      <c r="U2058" s="127" t="n"/>
      <c r="V2058" s="127" t="n"/>
      <c r="W2058" s="127" t="n"/>
      <c r="X2058" s="127" t="n"/>
      <c r="Y2058" s="127" t="n"/>
      <c r="Z2058" s="127" t="n"/>
    </row>
    <row r="2059">
      <c r="A2059" s="217" t="n"/>
      <c r="B2059" s="126" t="n"/>
      <c r="C2059" s="126" t="n"/>
      <c r="D2059" s="126" t="n"/>
      <c r="E2059" s="126" t="n"/>
      <c r="F2059" s="127" t="n"/>
      <c r="G2059" s="127" t="inlineStr"/>
      <c r="H2059" s="127" t="inlineStr"/>
      <c r="I2059" s="127" t="n"/>
      <c r="J2059" s="127" t="n"/>
      <c r="K2059" s="127" t="inlineStr"/>
      <c r="L2059" s="127" t="n"/>
      <c r="M2059" s="127" t="n"/>
      <c r="N2059" s="127" t="n"/>
      <c r="O2059" s="127" t="n"/>
      <c r="P2059" s="127" t="n"/>
      <c r="Q2059" s="127" t="n"/>
      <c r="R2059" s="127" t="n"/>
      <c r="S2059" s="127" t="n"/>
      <c r="T2059" s="127" t="n"/>
      <c r="U2059" s="127" t="n"/>
      <c r="V2059" s="127" t="n"/>
      <c r="W2059" s="127" t="n"/>
      <c r="X2059" s="127" t="n"/>
      <c r="Y2059" s="127" t="n"/>
      <c r="Z2059" s="127" t="n"/>
    </row>
    <row r="2060">
      <c r="A2060" s="217" t="n"/>
      <c r="B2060" s="126" t="n"/>
      <c r="C2060" s="126" t="n"/>
      <c r="D2060" s="126" t="n"/>
      <c r="E2060" s="126" t="n"/>
      <c r="F2060" s="127" t="n"/>
      <c r="G2060" s="127" t="inlineStr"/>
      <c r="H2060" s="127" t="inlineStr"/>
      <c r="I2060" s="127" t="n"/>
      <c r="J2060" s="127" t="n"/>
      <c r="K2060" s="127" t="inlineStr"/>
      <c r="L2060" s="127" t="n"/>
      <c r="M2060" s="127" t="n"/>
      <c r="N2060" s="127" t="n"/>
      <c r="O2060" s="127" t="n"/>
      <c r="P2060" s="127" t="n"/>
      <c r="Q2060" s="127" t="n"/>
      <c r="R2060" s="127" t="n"/>
      <c r="S2060" s="127" t="n"/>
      <c r="T2060" s="127" t="n"/>
      <c r="U2060" s="127" t="n"/>
      <c r="V2060" s="127" t="n"/>
      <c r="W2060" s="127" t="n"/>
      <c r="X2060" s="127" t="n"/>
      <c r="Y2060" s="127" t="n"/>
      <c r="Z2060" s="127" t="n"/>
    </row>
    <row r="2061">
      <c r="A2061" s="217" t="n"/>
      <c r="B2061" s="126" t="n"/>
      <c r="C2061" s="126" t="n"/>
      <c r="D2061" s="126" t="n"/>
      <c r="E2061" s="126" t="n"/>
      <c r="F2061" s="127" t="n"/>
      <c r="G2061" s="127" t="inlineStr"/>
      <c r="H2061" s="127" t="inlineStr"/>
      <c r="I2061" s="127" t="n"/>
      <c r="J2061" s="127" t="n"/>
      <c r="K2061" s="127" t="inlineStr"/>
      <c r="L2061" s="127" t="n"/>
      <c r="M2061" s="127" t="n"/>
      <c r="N2061" s="127" t="n"/>
      <c r="O2061" s="127" t="n"/>
      <c r="P2061" s="127" t="n"/>
      <c r="Q2061" s="127" t="n"/>
      <c r="R2061" s="127" t="n"/>
      <c r="S2061" s="127" t="n"/>
      <c r="T2061" s="127" t="n"/>
      <c r="U2061" s="127" t="n"/>
      <c r="V2061" s="127" t="n"/>
      <c r="W2061" s="127" t="n"/>
      <c r="X2061" s="127" t="n"/>
      <c r="Y2061" s="127" t="n"/>
      <c r="Z2061" s="127" t="n"/>
    </row>
    <row r="2062">
      <c r="A2062" s="217" t="n"/>
      <c r="B2062" s="126" t="n"/>
      <c r="C2062" s="126" t="n"/>
      <c r="D2062" s="126" t="n"/>
      <c r="E2062" s="126" t="n"/>
      <c r="F2062" s="127" t="n"/>
      <c r="G2062" s="127" t="inlineStr"/>
      <c r="H2062" s="127" t="inlineStr"/>
      <c r="I2062" s="127" t="n"/>
      <c r="J2062" s="127" t="n"/>
      <c r="K2062" s="127" t="inlineStr"/>
      <c r="L2062" s="127" t="n"/>
      <c r="M2062" s="127" t="n"/>
      <c r="N2062" s="127" t="n"/>
      <c r="O2062" s="127" t="n"/>
      <c r="P2062" s="127" t="n"/>
      <c r="Q2062" s="127" t="n"/>
      <c r="R2062" s="127" t="n"/>
      <c r="S2062" s="127" t="n"/>
      <c r="T2062" s="127" t="n"/>
      <c r="U2062" s="127" t="n"/>
      <c r="V2062" s="127" t="n"/>
      <c r="W2062" s="127" t="n"/>
      <c r="X2062" s="127" t="n"/>
      <c r="Y2062" s="127" t="n"/>
      <c r="Z2062" s="127" t="n"/>
    </row>
    <row r="2063">
      <c r="A2063" s="217" t="n"/>
      <c r="B2063" s="126" t="n"/>
      <c r="C2063" s="126" t="n"/>
      <c r="D2063" s="126" t="n"/>
      <c r="E2063" s="126" t="n"/>
      <c r="F2063" s="127" t="n"/>
      <c r="G2063" s="127" t="inlineStr"/>
      <c r="H2063" s="127" t="inlineStr"/>
      <c r="I2063" s="127" t="n"/>
      <c r="J2063" s="127" t="n"/>
      <c r="K2063" s="127" t="inlineStr"/>
      <c r="L2063" s="127" t="n"/>
      <c r="M2063" s="127" t="n"/>
      <c r="N2063" s="127" t="n"/>
      <c r="O2063" s="127" t="n"/>
      <c r="P2063" s="127" t="n"/>
      <c r="Q2063" s="127" t="n"/>
      <c r="R2063" s="127" t="n"/>
      <c r="S2063" s="127" t="n"/>
      <c r="T2063" s="127" t="n"/>
      <c r="U2063" s="127" t="n"/>
      <c r="V2063" s="127" t="n"/>
      <c r="W2063" s="127" t="n"/>
      <c r="X2063" s="127" t="n"/>
      <c r="Y2063" s="127" t="n"/>
      <c r="Z2063" s="127" t="n"/>
    </row>
    <row r="2064">
      <c r="A2064" s="217" t="n"/>
      <c r="B2064" s="126" t="n"/>
      <c r="C2064" s="126" t="n"/>
      <c r="D2064" s="126" t="n"/>
      <c r="E2064" s="126" t="n"/>
      <c r="F2064" s="127" t="n"/>
      <c r="G2064" s="127" t="inlineStr"/>
      <c r="H2064" s="127" t="inlineStr"/>
      <c r="I2064" s="127" t="n"/>
      <c r="J2064" s="127" t="n"/>
      <c r="K2064" s="127" t="inlineStr"/>
      <c r="L2064" s="127" t="n"/>
      <c r="M2064" s="127" t="n"/>
      <c r="N2064" s="127" t="n"/>
      <c r="O2064" s="127" t="n"/>
      <c r="P2064" s="127" t="n"/>
      <c r="Q2064" s="127" t="n"/>
      <c r="R2064" s="127" t="n"/>
      <c r="S2064" s="127" t="n"/>
      <c r="T2064" s="127" t="n"/>
      <c r="U2064" s="127" t="n"/>
      <c r="V2064" s="127" t="n"/>
      <c r="W2064" s="127" t="n"/>
      <c r="X2064" s="127" t="n"/>
      <c r="Y2064" s="127" t="n"/>
      <c r="Z2064" s="127" t="n"/>
    </row>
    <row r="2065">
      <c r="A2065" s="217" t="n"/>
      <c r="B2065" s="126" t="n"/>
      <c r="C2065" s="126" t="n"/>
      <c r="D2065" s="126" t="n"/>
      <c r="E2065" s="126" t="n"/>
      <c r="F2065" s="127" t="n"/>
      <c r="G2065" s="127" t="inlineStr"/>
      <c r="H2065" s="127" t="inlineStr"/>
      <c r="I2065" s="127" t="n"/>
      <c r="J2065" s="127" t="n"/>
      <c r="K2065" s="127" t="inlineStr"/>
      <c r="L2065" s="127" t="n"/>
      <c r="M2065" s="127" t="n"/>
      <c r="N2065" s="127" t="n"/>
      <c r="O2065" s="127" t="n"/>
      <c r="P2065" s="127" t="n"/>
      <c r="Q2065" s="127" t="n"/>
      <c r="R2065" s="127" t="n"/>
      <c r="S2065" s="127" t="n"/>
      <c r="T2065" s="127" t="n"/>
      <c r="U2065" s="127" t="n"/>
      <c r="V2065" s="127" t="n"/>
      <c r="W2065" s="127" t="n"/>
      <c r="X2065" s="127" t="n"/>
      <c r="Y2065" s="127" t="n"/>
      <c r="Z2065" s="127" t="n"/>
    </row>
    <row r="2066">
      <c r="A2066" s="217" t="n"/>
      <c r="B2066" s="126" t="n"/>
      <c r="C2066" s="126" t="n"/>
      <c r="D2066" s="126" t="n"/>
      <c r="E2066" s="126" t="n"/>
      <c r="F2066" s="127" t="n"/>
      <c r="G2066" s="127" t="inlineStr"/>
      <c r="H2066" s="127" t="inlineStr"/>
      <c r="I2066" s="127" t="n"/>
      <c r="J2066" s="127" t="n"/>
      <c r="K2066" s="127" t="inlineStr"/>
      <c r="L2066" s="127" t="n"/>
      <c r="M2066" s="127" t="n"/>
      <c r="N2066" s="127" t="n"/>
      <c r="O2066" s="127" t="n"/>
      <c r="P2066" s="127" t="n"/>
      <c r="Q2066" s="127" t="n"/>
      <c r="R2066" s="127" t="n"/>
      <c r="S2066" s="127" t="n"/>
      <c r="T2066" s="127" t="n"/>
      <c r="U2066" s="127" t="n"/>
      <c r="V2066" s="127" t="n"/>
      <c r="W2066" s="127" t="n"/>
      <c r="X2066" s="127" t="n"/>
      <c r="Y2066" s="127" t="n"/>
      <c r="Z2066" s="127" t="n"/>
    </row>
    <row r="2067">
      <c r="A2067" s="217" t="n"/>
      <c r="B2067" s="126" t="n"/>
      <c r="C2067" s="126" t="n"/>
      <c r="D2067" s="126" t="n"/>
      <c r="E2067" s="126" t="n"/>
      <c r="F2067" s="127" t="n"/>
      <c r="G2067" s="127" t="inlineStr"/>
      <c r="H2067" s="127" t="inlineStr"/>
      <c r="I2067" s="127" t="n"/>
      <c r="J2067" s="127" t="n"/>
      <c r="K2067" s="127" t="inlineStr"/>
      <c r="L2067" s="127" t="n"/>
      <c r="M2067" s="127" t="n"/>
      <c r="N2067" s="127" t="n"/>
      <c r="O2067" s="127" t="n"/>
      <c r="P2067" s="127" t="n"/>
      <c r="Q2067" s="127" t="n"/>
      <c r="R2067" s="127" t="n"/>
      <c r="S2067" s="127" t="n"/>
      <c r="T2067" s="127" t="n"/>
      <c r="U2067" s="127" t="n"/>
      <c r="V2067" s="127" t="n"/>
      <c r="W2067" s="127" t="n"/>
      <c r="X2067" s="127" t="n"/>
      <c r="Y2067" s="127" t="n"/>
      <c r="Z2067" s="127" t="n"/>
    </row>
    <row r="2068">
      <c r="A2068" s="217" t="n"/>
      <c r="B2068" s="126" t="n"/>
      <c r="C2068" s="126" t="n"/>
      <c r="D2068" s="126" t="n"/>
      <c r="E2068" s="126" t="n"/>
      <c r="F2068" s="127" t="n"/>
      <c r="G2068" s="127" t="inlineStr"/>
      <c r="H2068" s="127" t="inlineStr"/>
      <c r="I2068" s="127" t="n"/>
      <c r="J2068" s="127" t="n"/>
      <c r="K2068" s="127" t="inlineStr"/>
      <c r="L2068" s="127" t="n"/>
      <c r="M2068" s="127" t="n"/>
      <c r="N2068" s="127" t="n"/>
      <c r="O2068" s="127" t="n"/>
      <c r="P2068" s="127" t="n"/>
      <c r="Q2068" s="127" t="n"/>
      <c r="R2068" s="127" t="n"/>
      <c r="S2068" s="127" t="n"/>
      <c r="T2068" s="127" t="n"/>
      <c r="U2068" s="127" t="n"/>
      <c r="V2068" s="127" t="n"/>
      <c r="W2068" s="127" t="n"/>
      <c r="X2068" s="127" t="n"/>
      <c r="Y2068" s="127" t="n"/>
      <c r="Z2068" s="127" t="n"/>
    </row>
    <row r="2069">
      <c r="A2069" s="217" t="n"/>
      <c r="B2069" s="126" t="n"/>
      <c r="C2069" s="126" t="n"/>
      <c r="D2069" s="126" t="n"/>
      <c r="E2069" s="126" t="n"/>
      <c r="F2069" s="127" t="n"/>
      <c r="G2069" s="127" t="inlineStr"/>
      <c r="H2069" s="127" t="inlineStr"/>
      <c r="I2069" s="127" t="n"/>
      <c r="J2069" s="127" t="n"/>
      <c r="K2069" s="127" t="inlineStr"/>
      <c r="L2069" s="127" t="n"/>
      <c r="M2069" s="127" t="n"/>
      <c r="N2069" s="127" t="n"/>
      <c r="O2069" s="127" t="n"/>
      <c r="P2069" s="127" t="n"/>
      <c r="Q2069" s="127" t="n"/>
      <c r="R2069" s="127" t="n"/>
      <c r="S2069" s="127" t="n"/>
      <c r="T2069" s="127" t="n"/>
      <c r="U2069" s="127" t="n"/>
      <c r="V2069" s="127" t="n"/>
      <c r="W2069" s="127" t="n"/>
      <c r="X2069" s="127" t="n"/>
      <c r="Y2069" s="127" t="n"/>
      <c r="Z2069" s="127" t="n"/>
    </row>
    <row r="2070">
      <c r="A2070" s="217" t="n"/>
      <c r="B2070" s="126" t="n"/>
      <c r="C2070" s="126" t="n"/>
      <c r="D2070" s="126" t="n"/>
      <c r="E2070" s="126" t="n"/>
      <c r="F2070" s="127" t="n"/>
      <c r="G2070" s="127" t="inlineStr"/>
      <c r="H2070" s="127" t="inlineStr"/>
      <c r="I2070" s="127" t="n"/>
      <c r="J2070" s="127" t="n"/>
      <c r="K2070" s="127" t="inlineStr"/>
      <c r="L2070" s="127" t="n"/>
      <c r="M2070" s="127" t="n"/>
      <c r="N2070" s="127" t="n"/>
      <c r="O2070" s="127" t="n"/>
      <c r="P2070" s="127" t="n"/>
      <c r="Q2070" s="127" t="n"/>
      <c r="R2070" s="127" t="n"/>
      <c r="S2070" s="127" t="n"/>
      <c r="T2070" s="127" t="n"/>
      <c r="U2070" s="127" t="n"/>
      <c r="V2070" s="127" t="n"/>
      <c r="W2070" s="127" t="n"/>
      <c r="X2070" s="127" t="n"/>
      <c r="Y2070" s="127" t="n"/>
      <c r="Z2070" s="127" t="n"/>
    </row>
    <row r="2071">
      <c r="A2071" s="217" t="n"/>
      <c r="B2071" s="126" t="n"/>
      <c r="C2071" s="126" t="n"/>
      <c r="D2071" s="126" t="n"/>
      <c r="E2071" s="126" t="n"/>
      <c r="F2071" s="127" t="n"/>
      <c r="G2071" s="127" t="inlineStr"/>
      <c r="H2071" s="127" t="inlineStr"/>
      <c r="I2071" s="127" t="n"/>
      <c r="J2071" s="127" t="n"/>
      <c r="K2071" s="127" t="inlineStr"/>
      <c r="L2071" s="127" t="n"/>
      <c r="M2071" s="127" t="n"/>
      <c r="N2071" s="127" t="n"/>
      <c r="O2071" s="127" t="n"/>
      <c r="P2071" s="127" t="n"/>
      <c r="Q2071" s="127" t="n"/>
      <c r="R2071" s="127" t="n"/>
      <c r="S2071" s="127" t="n"/>
      <c r="T2071" s="127" t="n"/>
      <c r="U2071" s="127" t="n"/>
      <c r="V2071" s="127" t="n"/>
      <c r="W2071" s="127" t="n"/>
      <c r="X2071" s="127" t="n"/>
      <c r="Y2071" s="127" t="n"/>
      <c r="Z2071" s="127" t="n"/>
    </row>
    <row r="2072">
      <c r="A2072" s="217" t="n"/>
      <c r="B2072" s="126" t="n"/>
      <c r="C2072" s="126" t="n"/>
      <c r="D2072" s="126" t="n"/>
      <c r="E2072" s="126" t="n"/>
      <c r="F2072" s="127" t="n"/>
      <c r="G2072" s="127" t="inlineStr"/>
      <c r="H2072" s="127" t="inlineStr"/>
      <c r="I2072" s="127" t="n"/>
      <c r="J2072" s="127" t="n"/>
      <c r="K2072" s="127" t="inlineStr"/>
      <c r="L2072" s="127" t="n"/>
      <c r="M2072" s="127" t="n"/>
      <c r="N2072" s="127" t="n"/>
      <c r="O2072" s="127" t="n"/>
      <c r="P2072" s="127" t="n"/>
      <c r="Q2072" s="127" t="n"/>
      <c r="R2072" s="127" t="n"/>
      <c r="S2072" s="127" t="n"/>
      <c r="T2072" s="127" t="n"/>
      <c r="U2072" s="127" t="n"/>
      <c r="V2072" s="127" t="n"/>
      <c r="W2072" s="127" t="n"/>
      <c r="X2072" s="127" t="n"/>
      <c r="Y2072" s="127" t="n"/>
      <c r="Z2072" s="127" t="n"/>
    </row>
    <row r="2073">
      <c r="A2073" s="217" t="n"/>
      <c r="B2073" s="126" t="n"/>
      <c r="C2073" s="126" t="n"/>
      <c r="D2073" s="126" t="n"/>
      <c r="E2073" s="126" t="n"/>
      <c r="F2073" s="127" t="n"/>
      <c r="G2073" s="127" t="inlineStr"/>
      <c r="H2073" s="127" t="inlineStr"/>
      <c r="I2073" s="127" t="n"/>
      <c r="J2073" s="127" t="n"/>
      <c r="K2073" s="127" t="inlineStr"/>
      <c r="L2073" s="127" t="n"/>
      <c r="M2073" s="127" t="n"/>
      <c r="N2073" s="127" t="n"/>
      <c r="O2073" s="127" t="n"/>
      <c r="P2073" s="127" t="n"/>
      <c r="Q2073" s="127" t="n"/>
      <c r="R2073" s="127" t="n"/>
      <c r="S2073" s="127" t="n"/>
      <c r="T2073" s="127" t="n"/>
      <c r="U2073" s="127" t="n"/>
      <c r="V2073" s="127" t="n"/>
      <c r="W2073" s="127" t="n"/>
      <c r="X2073" s="127" t="n"/>
      <c r="Y2073" s="127" t="n"/>
      <c r="Z2073" s="127" t="n"/>
    </row>
    <row r="2074">
      <c r="A2074" s="217" t="n"/>
      <c r="B2074" s="126" t="n"/>
      <c r="C2074" s="126" t="n"/>
      <c r="D2074" s="126" t="n"/>
      <c r="E2074" s="126" t="n"/>
      <c r="F2074" s="127" t="n"/>
      <c r="G2074" s="127" t="inlineStr"/>
      <c r="H2074" s="127" t="inlineStr"/>
      <c r="I2074" s="127" t="n"/>
      <c r="J2074" s="127" t="n"/>
      <c r="K2074" s="127" t="inlineStr"/>
      <c r="L2074" s="127" t="n"/>
      <c r="M2074" s="127" t="n"/>
      <c r="N2074" s="127" t="n"/>
      <c r="O2074" s="127" t="n"/>
      <c r="P2074" s="127" t="n"/>
      <c r="Q2074" s="127" t="n"/>
      <c r="R2074" s="127" t="n"/>
      <c r="S2074" s="127" t="n"/>
      <c r="T2074" s="127" t="n"/>
      <c r="U2074" s="127" t="n"/>
      <c r="V2074" s="127" t="n"/>
      <c r="W2074" s="127" t="n"/>
      <c r="X2074" s="127" t="n"/>
      <c r="Y2074" s="127" t="n"/>
      <c r="Z2074" s="127" t="n"/>
    </row>
    <row r="2075">
      <c r="A2075" s="217" t="n"/>
      <c r="B2075" s="126" t="n"/>
      <c r="C2075" s="126" t="n"/>
      <c r="D2075" s="126" t="n"/>
      <c r="E2075" s="126" t="n"/>
      <c r="F2075" s="127" t="n"/>
      <c r="G2075" s="127" t="inlineStr"/>
      <c r="H2075" s="127" t="inlineStr"/>
      <c r="I2075" s="127" t="n"/>
      <c r="J2075" s="127" t="n"/>
      <c r="K2075" s="127" t="inlineStr"/>
      <c r="L2075" s="127" t="n"/>
      <c r="M2075" s="127" t="n"/>
      <c r="N2075" s="127" t="n"/>
      <c r="O2075" s="127" t="n"/>
      <c r="P2075" s="127" t="n"/>
      <c r="Q2075" s="127" t="n"/>
      <c r="R2075" s="127" t="n"/>
      <c r="S2075" s="127" t="n"/>
      <c r="T2075" s="127" t="n"/>
      <c r="U2075" s="127" t="n"/>
      <c r="V2075" s="127" t="n"/>
      <c r="W2075" s="127" t="n"/>
      <c r="X2075" s="127" t="n"/>
      <c r="Y2075" s="127" t="n"/>
      <c r="Z2075" s="127" t="n"/>
    </row>
    <row r="2076">
      <c r="A2076" s="217" t="n"/>
      <c r="B2076" s="126" t="n"/>
      <c r="C2076" s="126" t="n"/>
      <c r="D2076" s="126" t="n"/>
      <c r="E2076" s="126" t="n"/>
      <c r="F2076" s="127" t="n"/>
      <c r="G2076" s="127" t="inlineStr"/>
      <c r="H2076" s="127" t="inlineStr"/>
      <c r="I2076" s="127" t="n"/>
      <c r="J2076" s="127" t="n"/>
      <c r="K2076" s="127" t="inlineStr"/>
      <c r="L2076" s="127" t="n"/>
      <c r="M2076" s="127" t="n"/>
      <c r="N2076" s="127" t="n"/>
      <c r="O2076" s="127" t="n"/>
      <c r="P2076" s="127" t="n"/>
      <c r="Q2076" s="127" t="n"/>
      <c r="R2076" s="127" t="n"/>
      <c r="S2076" s="127" t="n"/>
      <c r="T2076" s="127" t="n"/>
      <c r="U2076" s="127" t="n"/>
      <c r="V2076" s="127" t="n"/>
      <c r="W2076" s="127" t="n"/>
      <c r="X2076" s="127" t="n"/>
      <c r="Y2076" s="127" t="n"/>
      <c r="Z2076" s="127" t="n"/>
    </row>
    <row r="2077">
      <c r="A2077" s="217" t="n"/>
      <c r="B2077" s="126" t="n"/>
      <c r="C2077" s="126" t="n"/>
      <c r="D2077" s="126" t="n"/>
      <c r="E2077" s="126" t="n"/>
      <c r="F2077" s="127" t="n"/>
      <c r="G2077" s="127" t="inlineStr"/>
      <c r="H2077" s="127" t="inlineStr"/>
      <c r="I2077" s="127" t="n"/>
      <c r="J2077" s="127" t="n"/>
      <c r="K2077" s="127" t="inlineStr"/>
      <c r="L2077" s="127" t="n"/>
      <c r="M2077" s="127" t="n"/>
      <c r="N2077" s="127" t="n"/>
      <c r="O2077" s="127" t="n"/>
      <c r="P2077" s="127" t="n"/>
      <c r="Q2077" s="127" t="n"/>
      <c r="R2077" s="127" t="n"/>
      <c r="S2077" s="127" t="n"/>
      <c r="T2077" s="127" t="n"/>
      <c r="U2077" s="127" t="n"/>
      <c r="V2077" s="127" t="n"/>
      <c r="W2077" s="127" t="n"/>
      <c r="X2077" s="127" t="n"/>
      <c r="Y2077" s="127" t="n"/>
      <c r="Z2077" s="127" t="n"/>
    </row>
    <row r="2078">
      <c r="A2078" s="217" t="n"/>
      <c r="B2078" s="126" t="n"/>
      <c r="C2078" s="126" t="n"/>
      <c r="D2078" s="126" t="n"/>
      <c r="E2078" s="126" t="n"/>
      <c r="F2078" s="127" t="n"/>
      <c r="G2078" s="127" t="inlineStr"/>
      <c r="H2078" s="127" t="inlineStr"/>
      <c r="I2078" s="127" t="n"/>
      <c r="J2078" s="127" t="n"/>
      <c r="K2078" s="127" t="inlineStr"/>
      <c r="L2078" s="127" t="n"/>
      <c r="M2078" s="127" t="n"/>
      <c r="N2078" s="127" t="n"/>
      <c r="O2078" s="127" t="n"/>
      <c r="P2078" s="127" t="n"/>
      <c r="Q2078" s="127" t="n"/>
      <c r="R2078" s="127" t="n"/>
      <c r="S2078" s="127" t="n"/>
      <c r="T2078" s="127" t="n"/>
      <c r="U2078" s="127" t="n"/>
      <c r="V2078" s="127" t="n"/>
      <c r="W2078" s="127" t="n"/>
      <c r="X2078" s="127" t="n"/>
      <c r="Y2078" s="127" t="n"/>
      <c r="Z2078" s="127" t="n"/>
    </row>
    <row r="2079">
      <c r="A2079" s="217" t="n"/>
      <c r="B2079" s="126" t="n"/>
      <c r="C2079" s="126" t="n"/>
      <c r="D2079" s="126" t="n"/>
      <c r="E2079" s="126" t="n"/>
      <c r="F2079" s="127" t="n"/>
      <c r="G2079" s="127" t="inlineStr"/>
      <c r="H2079" s="127" t="inlineStr"/>
      <c r="I2079" s="127" t="n"/>
      <c r="J2079" s="127" t="n"/>
      <c r="K2079" s="127" t="inlineStr"/>
      <c r="L2079" s="127" t="n"/>
      <c r="M2079" s="127" t="n"/>
      <c r="N2079" s="127" t="n"/>
      <c r="O2079" s="127" t="n"/>
      <c r="P2079" s="127" t="n"/>
      <c r="Q2079" s="127" t="n"/>
      <c r="R2079" s="127" t="n"/>
      <c r="S2079" s="127" t="n"/>
      <c r="T2079" s="127" t="n"/>
      <c r="U2079" s="127" t="n"/>
      <c r="V2079" s="127" t="n"/>
      <c r="W2079" s="127" t="n"/>
      <c r="X2079" s="127" t="n"/>
      <c r="Y2079" s="127" t="n"/>
      <c r="Z2079" s="127" t="n"/>
    </row>
    <row r="2080">
      <c r="A2080" s="217" t="n"/>
      <c r="B2080" s="126" t="n"/>
      <c r="C2080" s="126" t="n"/>
      <c r="D2080" s="126" t="n"/>
      <c r="E2080" s="126" t="n"/>
      <c r="F2080" s="127" t="n"/>
      <c r="G2080" s="127" t="inlineStr"/>
      <c r="H2080" s="127" t="inlineStr"/>
      <c r="I2080" s="127" t="n"/>
      <c r="J2080" s="127" t="n"/>
      <c r="K2080" s="127" t="inlineStr"/>
      <c r="L2080" s="127" t="n"/>
      <c r="M2080" s="127" t="n"/>
      <c r="N2080" s="127" t="n"/>
      <c r="O2080" s="127" t="n"/>
      <c r="P2080" s="127" t="n"/>
      <c r="Q2080" s="127" t="n"/>
      <c r="R2080" s="127" t="n"/>
      <c r="S2080" s="127" t="n"/>
      <c r="T2080" s="127" t="n"/>
      <c r="U2080" s="127" t="n"/>
      <c r="V2080" s="127" t="n"/>
      <c r="W2080" s="127" t="n"/>
      <c r="X2080" s="127" t="n"/>
      <c r="Y2080" s="127" t="n"/>
      <c r="Z2080" s="127" t="n"/>
    </row>
    <row r="2081">
      <c r="A2081" s="217" t="n"/>
      <c r="B2081" s="126" t="n"/>
      <c r="C2081" s="126" t="n"/>
      <c r="D2081" s="126" t="n"/>
      <c r="E2081" s="126" t="n"/>
      <c r="F2081" s="127" t="n"/>
      <c r="G2081" s="127" t="inlineStr"/>
      <c r="H2081" s="127" t="inlineStr"/>
      <c r="I2081" s="127" t="n"/>
      <c r="J2081" s="127" t="n"/>
      <c r="K2081" s="127" t="inlineStr"/>
      <c r="L2081" s="127" t="n"/>
      <c r="M2081" s="127" t="n"/>
      <c r="N2081" s="127" t="n"/>
      <c r="O2081" s="127" t="n"/>
      <c r="P2081" s="127" t="n"/>
      <c r="Q2081" s="127" t="n"/>
      <c r="R2081" s="127" t="n"/>
      <c r="S2081" s="127" t="n"/>
      <c r="T2081" s="127" t="n"/>
      <c r="U2081" s="127" t="n"/>
      <c r="V2081" s="127" t="n"/>
      <c r="W2081" s="127" t="n"/>
      <c r="X2081" s="127" t="n"/>
      <c r="Y2081" s="127" t="n"/>
      <c r="Z2081" s="127" t="n"/>
    </row>
    <row r="2082">
      <c r="A2082" s="217" t="n"/>
      <c r="B2082" s="126" t="n"/>
      <c r="C2082" s="126" t="n"/>
      <c r="D2082" s="126" t="n"/>
      <c r="E2082" s="126" t="n"/>
      <c r="F2082" s="127" t="n"/>
      <c r="G2082" s="127" t="inlineStr"/>
      <c r="H2082" s="127" t="inlineStr"/>
      <c r="I2082" s="127" t="n"/>
      <c r="J2082" s="127" t="n"/>
      <c r="K2082" s="127" t="inlineStr"/>
      <c r="L2082" s="127" t="n"/>
      <c r="M2082" s="127" t="n"/>
      <c r="N2082" s="127" t="n"/>
      <c r="O2082" s="127" t="n"/>
      <c r="P2082" s="127" t="n"/>
      <c r="Q2082" s="127" t="n"/>
      <c r="R2082" s="127" t="n"/>
      <c r="S2082" s="127" t="n"/>
      <c r="T2082" s="127" t="n"/>
      <c r="U2082" s="127" t="n"/>
      <c r="V2082" s="127" t="n"/>
      <c r="W2082" s="127" t="n"/>
      <c r="X2082" s="127" t="n"/>
      <c r="Y2082" s="127" t="n"/>
      <c r="Z2082" s="127" t="n"/>
    </row>
    <row r="2083">
      <c r="A2083" s="217" t="n"/>
      <c r="B2083" s="126" t="n"/>
      <c r="C2083" s="126" t="n"/>
      <c r="D2083" s="126" t="n"/>
      <c r="E2083" s="126" t="n"/>
      <c r="F2083" s="127" t="n"/>
      <c r="G2083" s="127" t="inlineStr"/>
      <c r="H2083" s="127" t="inlineStr"/>
      <c r="I2083" s="127" t="n"/>
      <c r="J2083" s="127" t="n"/>
      <c r="K2083" s="127" t="inlineStr"/>
      <c r="L2083" s="127" t="n"/>
      <c r="M2083" s="127" t="n"/>
      <c r="N2083" s="127" t="n"/>
      <c r="O2083" s="127" t="n"/>
      <c r="P2083" s="127" t="n"/>
      <c r="Q2083" s="127" t="n"/>
      <c r="R2083" s="127" t="n"/>
      <c r="S2083" s="127" t="n"/>
      <c r="T2083" s="127" t="n"/>
      <c r="U2083" s="127" t="n"/>
      <c r="V2083" s="127" t="n"/>
      <c r="W2083" s="127" t="n"/>
      <c r="X2083" s="127" t="n"/>
      <c r="Y2083" s="127" t="n"/>
      <c r="Z2083" s="127" t="n"/>
    </row>
    <row r="2084">
      <c r="A2084" s="217" t="n"/>
      <c r="B2084" s="126" t="n"/>
      <c r="C2084" s="126" t="n"/>
      <c r="D2084" s="126" t="n"/>
      <c r="E2084" s="126" t="n"/>
      <c r="F2084" s="127" t="n"/>
      <c r="G2084" s="127" t="inlineStr"/>
      <c r="H2084" s="127" t="inlineStr"/>
      <c r="I2084" s="127" t="n"/>
      <c r="J2084" s="127" t="n"/>
      <c r="K2084" s="127" t="inlineStr"/>
      <c r="L2084" s="127" t="n"/>
      <c r="M2084" s="127" t="n"/>
      <c r="N2084" s="127" t="n"/>
      <c r="O2084" s="127" t="n"/>
      <c r="P2084" s="127" t="n"/>
      <c r="Q2084" s="127" t="n"/>
      <c r="R2084" s="127" t="n"/>
      <c r="S2084" s="127" t="n"/>
      <c r="T2084" s="127" t="n"/>
      <c r="U2084" s="127" t="n"/>
      <c r="V2084" s="127" t="n"/>
      <c r="W2084" s="127" t="n"/>
      <c r="X2084" s="127" t="n"/>
      <c r="Y2084" s="127" t="n"/>
      <c r="Z2084" s="127" t="n"/>
    </row>
    <row r="2085">
      <c r="A2085" s="217" t="n"/>
      <c r="B2085" s="126" t="n"/>
      <c r="C2085" s="126" t="n"/>
      <c r="D2085" s="126" t="n"/>
      <c r="E2085" s="126" t="n"/>
      <c r="F2085" s="127" t="n"/>
      <c r="G2085" s="127" t="inlineStr"/>
      <c r="H2085" s="127" t="inlineStr"/>
      <c r="I2085" s="127" t="n"/>
      <c r="J2085" s="127" t="n"/>
      <c r="K2085" s="127" t="inlineStr"/>
      <c r="L2085" s="127" t="n"/>
      <c r="M2085" s="127" t="n"/>
      <c r="N2085" s="127" t="n"/>
      <c r="O2085" s="127" t="n"/>
      <c r="P2085" s="127" t="n"/>
      <c r="Q2085" s="127" t="n"/>
      <c r="R2085" s="127" t="n"/>
      <c r="S2085" s="127" t="n"/>
      <c r="T2085" s="127" t="n"/>
      <c r="U2085" s="127" t="n"/>
      <c r="V2085" s="127" t="n"/>
      <c r="W2085" s="127" t="n"/>
      <c r="X2085" s="127" t="n"/>
      <c r="Y2085" s="127" t="n"/>
      <c r="Z2085" s="127" t="n"/>
    </row>
    <row r="2086">
      <c r="A2086" s="217" t="n"/>
      <c r="B2086" s="126" t="n"/>
      <c r="C2086" s="126" t="n"/>
      <c r="D2086" s="126" t="n"/>
      <c r="E2086" s="126" t="n"/>
      <c r="F2086" s="127" t="n"/>
      <c r="G2086" s="127" t="inlineStr"/>
      <c r="H2086" s="127" t="inlineStr"/>
      <c r="I2086" s="127" t="n"/>
      <c r="J2086" s="127" t="n"/>
      <c r="K2086" s="127" t="inlineStr"/>
      <c r="L2086" s="127" t="n"/>
      <c r="M2086" s="127" t="n"/>
      <c r="N2086" s="127" t="n"/>
      <c r="O2086" s="127" t="n"/>
      <c r="P2086" s="127" t="n"/>
      <c r="Q2086" s="127" t="n"/>
      <c r="R2086" s="127" t="n"/>
      <c r="S2086" s="127" t="n"/>
      <c r="T2086" s="127" t="n"/>
      <c r="U2086" s="127" t="n"/>
      <c r="V2086" s="127" t="n"/>
      <c r="W2086" s="127" t="n"/>
      <c r="X2086" s="127" t="n"/>
      <c r="Y2086" s="127" t="n"/>
      <c r="Z2086" s="127" t="n"/>
    </row>
    <row r="2087">
      <c r="A2087" s="217" t="n"/>
      <c r="B2087" s="126" t="n"/>
      <c r="C2087" s="126" t="n"/>
      <c r="D2087" s="126" t="n"/>
      <c r="E2087" s="126" t="n"/>
      <c r="F2087" s="127" t="n"/>
      <c r="G2087" s="127" t="inlineStr"/>
      <c r="H2087" s="127" t="inlineStr"/>
      <c r="I2087" s="127" t="n"/>
      <c r="J2087" s="127" t="n"/>
      <c r="K2087" s="127" t="inlineStr"/>
      <c r="L2087" s="127" t="n"/>
      <c r="M2087" s="127" t="n"/>
      <c r="N2087" s="127" t="n"/>
      <c r="O2087" s="127" t="n"/>
      <c r="P2087" s="127" t="n"/>
      <c r="Q2087" s="127" t="n"/>
      <c r="R2087" s="127" t="n"/>
      <c r="S2087" s="127" t="n"/>
      <c r="T2087" s="127" t="n"/>
      <c r="U2087" s="127" t="n"/>
      <c r="V2087" s="127" t="n"/>
      <c r="W2087" s="127" t="n"/>
      <c r="X2087" s="127" t="n"/>
      <c r="Y2087" s="127" t="n"/>
      <c r="Z2087" s="127" t="n"/>
    </row>
    <row r="2088">
      <c r="A2088" s="217" t="n"/>
      <c r="B2088" s="126" t="n"/>
      <c r="C2088" s="126" t="n"/>
      <c r="D2088" s="126" t="n"/>
      <c r="E2088" s="126" t="n"/>
      <c r="F2088" s="127" t="n"/>
      <c r="G2088" s="127" t="inlineStr"/>
      <c r="H2088" s="127" t="inlineStr"/>
      <c r="I2088" s="127" t="n"/>
      <c r="J2088" s="127" t="n"/>
      <c r="K2088" s="127" t="inlineStr"/>
      <c r="L2088" s="127" t="n"/>
      <c r="M2088" s="127" t="n"/>
      <c r="N2088" s="127" t="n"/>
      <c r="O2088" s="127" t="n"/>
      <c r="P2088" s="127" t="n"/>
      <c r="Q2088" s="127" t="n"/>
      <c r="R2088" s="127" t="n"/>
      <c r="S2088" s="127" t="n"/>
      <c r="T2088" s="127" t="n"/>
      <c r="U2088" s="127" t="n"/>
      <c r="V2088" s="127" t="n"/>
      <c r="W2088" s="127" t="n"/>
      <c r="X2088" s="127" t="n"/>
      <c r="Y2088" s="127" t="n"/>
      <c r="Z2088" s="127" t="n"/>
    </row>
    <row r="2089">
      <c r="A2089" s="217" t="n"/>
      <c r="B2089" s="126" t="n"/>
      <c r="C2089" s="126" t="n"/>
      <c r="D2089" s="126" t="n"/>
      <c r="E2089" s="126" t="n"/>
      <c r="F2089" s="127" t="n"/>
      <c r="G2089" s="127" t="inlineStr"/>
      <c r="H2089" s="127" t="inlineStr"/>
      <c r="I2089" s="127" t="n"/>
      <c r="J2089" s="127" t="n"/>
      <c r="K2089" s="127" t="inlineStr"/>
      <c r="L2089" s="127" t="n"/>
      <c r="M2089" s="127" t="n"/>
      <c r="N2089" s="127" t="n"/>
      <c r="O2089" s="127" t="n"/>
      <c r="P2089" s="127" t="n"/>
      <c r="Q2089" s="127" t="n"/>
      <c r="R2089" s="127" t="n"/>
      <c r="S2089" s="127" t="n"/>
      <c r="T2089" s="127" t="n"/>
      <c r="U2089" s="127" t="n"/>
      <c r="V2089" s="127" t="n"/>
      <c r="W2089" s="127" t="n"/>
      <c r="X2089" s="127" t="n"/>
      <c r="Y2089" s="127" t="n"/>
      <c r="Z2089" s="127" t="n"/>
    </row>
    <row r="2090">
      <c r="A2090" s="217" t="n"/>
      <c r="B2090" s="126" t="n"/>
      <c r="C2090" s="126" t="n"/>
      <c r="D2090" s="126" t="n"/>
      <c r="E2090" s="126" t="n"/>
      <c r="F2090" s="127" t="n"/>
      <c r="G2090" s="127" t="inlineStr"/>
      <c r="H2090" s="127" t="inlineStr"/>
      <c r="I2090" s="127" t="n"/>
      <c r="J2090" s="127" t="n"/>
      <c r="K2090" s="127" t="inlineStr"/>
      <c r="L2090" s="127" t="n"/>
      <c r="M2090" s="127" t="n"/>
      <c r="N2090" s="127" t="n"/>
      <c r="O2090" s="127" t="n"/>
      <c r="P2090" s="127" t="n"/>
      <c r="Q2090" s="127" t="n"/>
      <c r="R2090" s="127" t="n"/>
      <c r="S2090" s="127" t="n"/>
      <c r="T2090" s="127" t="n"/>
      <c r="U2090" s="127" t="n"/>
      <c r="V2090" s="127" t="n"/>
      <c r="W2090" s="127" t="n"/>
      <c r="X2090" s="127" t="n"/>
      <c r="Y2090" s="127" t="n"/>
      <c r="Z2090" s="127" t="n"/>
    </row>
    <row r="2091">
      <c r="A2091" s="217" t="n"/>
      <c r="B2091" s="126" t="n"/>
      <c r="C2091" s="126" t="n"/>
      <c r="D2091" s="126" t="n"/>
      <c r="E2091" s="126" t="n"/>
      <c r="F2091" s="127" t="n"/>
      <c r="G2091" s="127" t="inlineStr"/>
      <c r="H2091" s="127" t="inlineStr"/>
      <c r="I2091" s="127" t="n"/>
      <c r="J2091" s="127" t="n"/>
      <c r="K2091" s="127" t="inlineStr"/>
      <c r="L2091" s="127" t="n"/>
      <c r="M2091" s="127" t="n"/>
      <c r="N2091" s="127" t="n"/>
      <c r="O2091" s="127" t="n"/>
      <c r="P2091" s="127" t="n"/>
      <c r="Q2091" s="127" t="n"/>
      <c r="R2091" s="127" t="n"/>
      <c r="S2091" s="127" t="n"/>
      <c r="T2091" s="127" t="n"/>
      <c r="U2091" s="127" t="n"/>
      <c r="V2091" s="127" t="n"/>
      <c r="W2091" s="127" t="n"/>
      <c r="X2091" s="127" t="n"/>
      <c r="Y2091" s="127" t="n"/>
      <c r="Z2091" s="127" t="n"/>
    </row>
    <row r="2092">
      <c r="A2092" s="217" t="n"/>
      <c r="B2092" s="126" t="n"/>
      <c r="C2092" s="126" t="n"/>
      <c r="D2092" s="126" t="n"/>
      <c r="E2092" s="126" t="n"/>
      <c r="F2092" s="127" t="n"/>
      <c r="G2092" s="127" t="inlineStr"/>
      <c r="H2092" s="127" t="inlineStr"/>
      <c r="I2092" s="127" t="n"/>
      <c r="J2092" s="127" t="n"/>
      <c r="K2092" s="127" t="inlineStr"/>
      <c r="L2092" s="127" t="n"/>
      <c r="M2092" s="127" t="n"/>
      <c r="N2092" s="127" t="n"/>
      <c r="O2092" s="127" t="n"/>
      <c r="P2092" s="127" t="n"/>
      <c r="Q2092" s="127" t="n"/>
      <c r="R2092" s="127" t="n"/>
      <c r="S2092" s="127" t="n"/>
      <c r="T2092" s="127" t="n"/>
      <c r="U2092" s="127" t="n"/>
      <c r="V2092" s="127" t="n"/>
      <c r="W2092" s="127" t="n"/>
      <c r="X2092" s="127" t="n"/>
      <c r="Y2092" s="127" t="n"/>
      <c r="Z2092" s="127" t="n"/>
    </row>
    <row r="2093">
      <c r="A2093" s="217" t="n"/>
      <c r="B2093" s="126" t="n"/>
      <c r="C2093" s="126" t="n"/>
      <c r="D2093" s="126" t="n"/>
      <c r="E2093" s="126" t="n"/>
      <c r="F2093" s="127" t="n"/>
      <c r="G2093" s="127" t="inlineStr"/>
      <c r="H2093" s="127" t="inlineStr"/>
      <c r="I2093" s="127" t="n"/>
      <c r="J2093" s="127" t="n"/>
      <c r="K2093" s="127" t="inlineStr"/>
      <c r="L2093" s="127" t="n"/>
      <c r="M2093" s="127" t="n"/>
      <c r="N2093" s="127" t="n"/>
      <c r="O2093" s="127" t="n"/>
      <c r="P2093" s="127" t="n"/>
      <c r="Q2093" s="127" t="n"/>
      <c r="R2093" s="127" t="n"/>
      <c r="S2093" s="127" t="n"/>
      <c r="T2093" s="127" t="n"/>
      <c r="U2093" s="127" t="n"/>
      <c r="V2093" s="127" t="n"/>
      <c r="W2093" s="127" t="n"/>
      <c r="X2093" s="127" t="n"/>
      <c r="Y2093" s="127" t="n"/>
      <c r="Z2093" s="127" t="n"/>
    </row>
    <row r="2094">
      <c r="A2094" s="217" t="n"/>
      <c r="B2094" s="126" t="n"/>
      <c r="C2094" s="126" t="n"/>
      <c r="D2094" s="126" t="n"/>
      <c r="E2094" s="126" t="n"/>
      <c r="F2094" s="127" t="n"/>
      <c r="G2094" s="127" t="inlineStr"/>
      <c r="H2094" s="127" t="inlineStr"/>
      <c r="I2094" s="127" t="n"/>
      <c r="J2094" s="127" t="n"/>
      <c r="K2094" s="127" t="inlineStr"/>
      <c r="L2094" s="127" t="n"/>
      <c r="M2094" s="127" t="n"/>
      <c r="N2094" s="127" t="n"/>
      <c r="O2094" s="127" t="n"/>
      <c r="P2094" s="127" t="n"/>
      <c r="Q2094" s="127" t="n"/>
      <c r="R2094" s="127" t="n"/>
      <c r="S2094" s="127" t="n"/>
      <c r="T2094" s="127" t="n"/>
      <c r="U2094" s="127" t="n"/>
      <c r="V2094" s="127" t="n"/>
      <c r="W2094" s="127" t="n"/>
      <c r="X2094" s="127" t="n"/>
      <c r="Y2094" s="127" t="n"/>
      <c r="Z2094" s="127" t="n"/>
    </row>
    <row r="2095">
      <c r="A2095" s="217" t="n"/>
      <c r="B2095" s="126" t="n"/>
      <c r="C2095" s="126" t="n"/>
      <c r="D2095" s="126" t="n"/>
      <c r="E2095" s="126" t="n"/>
      <c r="F2095" s="127" t="n"/>
      <c r="G2095" s="127" t="inlineStr"/>
      <c r="H2095" s="127" t="inlineStr"/>
      <c r="I2095" s="127" t="n"/>
      <c r="J2095" s="127" t="n"/>
      <c r="K2095" s="127" t="inlineStr"/>
      <c r="L2095" s="127" t="n"/>
      <c r="M2095" s="127" t="n"/>
      <c r="N2095" s="127" t="n"/>
      <c r="O2095" s="127" t="n"/>
      <c r="P2095" s="127" t="n"/>
      <c r="Q2095" s="127" t="n"/>
      <c r="R2095" s="127" t="n"/>
      <c r="S2095" s="127" t="n"/>
      <c r="T2095" s="127" t="n"/>
      <c r="U2095" s="127" t="n"/>
      <c r="V2095" s="127" t="n"/>
      <c r="W2095" s="127" t="n"/>
      <c r="X2095" s="127" t="n"/>
      <c r="Y2095" s="127" t="n"/>
      <c r="Z2095" s="127" t="n"/>
    </row>
    <row r="2096">
      <c r="A2096" s="217" t="n"/>
      <c r="B2096" s="126" t="n"/>
      <c r="C2096" s="126" t="n"/>
      <c r="D2096" s="126" t="n"/>
      <c r="E2096" s="126" t="n"/>
      <c r="F2096" s="127" t="n"/>
      <c r="G2096" s="127" t="inlineStr"/>
      <c r="H2096" s="127" t="inlineStr"/>
      <c r="I2096" s="127" t="n"/>
      <c r="J2096" s="127" t="n"/>
      <c r="K2096" s="127" t="inlineStr"/>
      <c r="L2096" s="127" t="n"/>
      <c r="M2096" s="127" t="n"/>
      <c r="N2096" s="127" t="n"/>
      <c r="O2096" s="127" t="n"/>
      <c r="P2096" s="127" t="n"/>
      <c r="Q2096" s="127" t="n"/>
      <c r="R2096" s="127" t="n"/>
      <c r="S2096" s="127" t="n"/>
      <c r="T2096" s="127" t="n"/>
      <c r="U2096" s="127" t="n"/>
      <c r="V2096" s="127" t="n"/>
      <c r="W2096" s="127" t="n"/>
      <c r="X2096" s="127" t="n"/>
      <c r="Y2096" s="127" t="n"/>
      <c r="Z2096" s="127" t="n"/>
    </row>
    <row r="2097">
      <c r="A2097" s="217" t="n"/>
      <c r="B2097" s="126" t="n"/>
      <c r="C2097" s="126" t="n"/>
      <c r="D2097" s="126" t="n"/>
      <c r="E2097" s="126" t="n"/>
      <c r="F2097" s="127" t="n"/>
      <c r="G2097" s="127" t="inlineStr"/>
      <c r="H2097" s="127" t="inlineStr"/>
      <c r="I2097" s="127" t="n"/>
      <c r="J2097" s="127" t="n"/>
      <c r="K2097" s="127" t="inlineStr"/>
      <c r="L2097" s="127" t="n"/>
      <c r="M2097" s="127" t="n"/>
      <c r="N2097" s="127" t="n"/>
      <c r="O2097" s="127" t="n"/>
      <c r="P2097" s="127" t="n"/>
      <c r="Q2097" s="127" t="n"/>
      <c r="R2097" s="127" t="n"/>
      <c r="S2097" s="127" t="n"/>
      <c r="T2097" s="127" t="n"/>
      <c r="U2097" s="127" t="n"/>
      <c r="V2097" s="127" t="n"/>
      <c r="W2097" s="127" t="n"/>
      <c r="X2097" s="127" t="n"/>
      <c r="Y2097" s="127" t="n"/>
      <c r="Z2097" s="127" t="n"/>
    </row>
    <row r="2098">
      <c r="A2098" s="217" t="n"/>
      <c r="B2098" s="126" t="n"/>
      <c r="C2098" s="126" t="n"/>
      <c r="D2098" s="126" t="n"/>
      <c r="E2098" s="126" t="n"/>
      <c r="F2098" s="127" t="n"/>
      <c r="G2098" s="127" t="inlineStr"/>
      <c r="H2098" s="127" t="inlineStr"/>
      <c r="I2098" s="127" t="n"/>
      <c r="J2098" s="127" t="n"/>
      <c r="K2098" s="127" t="inlineStr"/>
      <c r="L2098" s="127" t="n"/>
      <c r="M2098" s="127" t="n"/>
      <c r="N2098" s="127" t="n"/>
      <c r="O2098" s="127" t="n"/>
      <c r="P2098" s="127" t="n"/>
      <c r="Q2098" s="127" t="n"/>
      <c r="R2098" s="127" t="n"/>
      <c r="S2098" s="127" t="n"/>
      <c r="T2098" s="127" t="n"/>
      <c r="U2098" s="127" t="n"/>
      <c r="V2098" s="127" t="n"/>
      <c r="W2098" s="127" t="n"/>
      <c r="X2098" s="127" t="n"/>
      <c r="Y2098" s="127" t="n"/>
      <c r="Z2098" s="127" t="n"/>
    </row>
    <row r="2099">
      <c r="A2099" s="217" t="n"/>
      <c r="B2099" s="126" t="n"/>
      <c r="C2099" s="126" t="n"/>
      <c r="D2099" s="126" t="n"/>
      <c r="E2099" s="126" t="n"/>
      <c r="F2099" s="127" t="n"/>
      <c r="G2099" s="127" t="inlineStr"/>
      <c r="H2099" s="127" t="inlineStr"/>
      <c r="I2099" s="127" t="n"/>
      <c r="J2099" s="127" t="n"/>
      <c r="K2099" s="127" t="inlineStr"/>
      <c r="L2099" s="127" t="n"/>
      <c r="M2099" s="127" t="n"/>
      <c r="N2099" s="127" t="n"/>
      <c r="O2099" s="127" t="n"/>
      <c r="P2099" s="127" t="n"/>
      <c r="Q2099" s="127" t="n"/>
      <c r="R2099" s="127" t="n"/>
      <c r="S2099" s="127" t="n"/>
      <c r="T2099" s="127" t="n"/>
      <c r="U2099" s="127" t="n"/>
      <c r="V2099" s="127" t="n"/>
      <c r="W2099" s="127" t="n"/>
      <c r="X2099" s="127" t="n"/>
      <c r="Y2099" s="127" t="n"/>
      <c r="Z2099" s="127" t="n"/>
    </row>
    <row r="2100">
      <c r="A2100" s="217" t="n"/>
      <c r="B2100" s="126" t="n"/>
      <c r="C2100" s="126" t="n"/>
      <c r="D2100" s="126" t="n"/>
      <c r="E2100" s="126" t="n"/>
      <c r="F2100" s="127" t="n"/>
      <c r="G2100" s="127" t="inlineStr"/>
      <c r="H2100" s="127" t="inlineStr"/>
      <c r="I2100" s="127" t="n"/>
      <c r="J2100" s="127" t="n"/>
      <c r="K2100" s="127" t="inlineStr"/>
      <c r="L2100" s="127" t="n"/>
      <c r="M2100" s="127" t="n"/>
      <c r="N2100" s="127" t="n"/>
      <c r="O2100" s="127" t="n"/>
      <c r="P2100" s="127" t="n"/>
      <c r="Q2100" s="127" t="n"/>
      <c r="R2100" s="127" t="n"/>
      <c r="S2100" s="127" t="n"/>
      <c r="T2100" s="127" t="n"/>
      <c r="U2100" s="127" t="n"/>
      <c r="V2100" s="127" t="n"/>
      <c r="W2100" s="127" t="n"/>
      <c r="X2100" s="127" t="n"/>
      <c r="Y2100" s="127" t="n"/>
      <c r="Z2100" s="127" t="n"/>
    </row>
    <row r="2101">
      <c r="A2101" s="217" t="n"/>
      <c r="B2101" s="126" t="n"/>
      <c r="C2101" s="126" t="n"/>
      <c r="D2101" s="126" t="n"/>
      <c r="E2101" s="126" t="n"/>
      <c r="F2101" s="127" t="n"/>
      <c r="G2101" s="127" t="inlineStr"/>
      <c r="H2101" s="127" t="inlineStr"/>
      <c r="I2101" s="127" t="n"/>
      <c r="J2101" s="127" t="n"/>
      <c r="K2101" s="127" t="inlineStr"/>
      <c r="L2101" s="127" t="n"/>
      <c r="M2101" s="127" t="n"/>
      <c r="N2101" s="127" t="n"/>
      <c r="O2101" s="127" t="n"/>
      <c r="P2101" s="127" t="n"/>
      <c r="Q2101" s="127" t="n"/>
      <c r="R2101" s="127" t="n"/>
      <c r="S2101" s="127" t="n"/>
      <c r="T2101" s="127" t="n"/>
      <c r="U2101" s="127" t="n"/>
      <c r="V2101" s="127" t="n"/>
      <c r="W2101" s="127" t="n"/>
      <c r="X2101" s="127" t="n"/>
      <c r="Y2101" s="127" t="n"/>
      <c r="Z2101" s="127" t="n"/>
    </row>
    <row r="2102">
      <c r="A2102" s="217" t="n"/>
      <c r="B2102" s="126" t="n"/>
      <c r="C2102" s="126" t="n"/>
      <c r="D2102" s="126" t="n"/>
      <c r="E2102" s="126" t="n"/>
      <c r="F2102" s="127" t="n"/>
      <c r="G2102" s="127" t="inlineStr"/>
      <c r="H2102" s="127" t="inlineStr"/>
      <c r="I2102" s="127" t="n"/>
      <c r="J2102" s="127" t="n"/>
      <c r="K2102" s="127" t="inlineStr"/>
      <c r="L2102" s="127" t="n"/>
      <c r="M2102" s="127" t="n"/>
      <c r="N2102" s="127" t="n"/>
      <c r="O2102" s="127" t="n"/>
      <c r="P2102" s="127" t="n"/>
      <c r="Q2102" s="127" t="n"/>
      <c r="R2102" s="127" t="n"/>
      <c r="S2102" s="127" t="n"/>
      <c r="T2102" s="127" t="n"/>
      <c r="U2102" s="127" t="n"/>
      <c r="V2102" s="127" t="n"/>
      <c r="W2102" s="127" t="n"/>
      <c r="X2102" s="127" t="n"/>
      <c r="Y2102" s="127" t="n"/>
      <c r="Z2102" s="127" t="n"/>
    </row>
    <row r="2103">
      <c r="A2103" s="217" t="n"/>
      <c r="B2103" s="126" t="n"/>
      <c r="C2103" s="126" t="n"/>
      <c r="D2103" s="126" t="n"/>
      <c r="E2103" s="126" t="n"/>
      <c r="F2103" s="127" t="n"/>
      <c r="G2103" s="127" t="inlineStr"/>
      <c r="H2103" s="127" t="inlineStr"/>
      <c r="I2103" s="127" t="n"/>
      <c r="J2103" s="127" t="n"/>
      <c r="K2103" s="127" t="inlineStr"/>
      <c r="L2103" s="127" t="n"/>
      <c r="M2103" s="127" t="n"/>
      <c r="N2103" s="127" t="n"/>
      <c r="O2103" s="127" t="n"/>
      <c r="P2103" s="127" t="n"/>
      <c r="Q2103" s="127" t="n"/>
      <c r="R2103" s="127" t="n"/>
      <c r="S2103" s="127" t="n"/>
      <c r="T2103" s="127" t="n"/>
      <c r="U2103" s="127" t="n"/>
      <c r="V2103" s="127" t="n"/>
      <c r="W2103" s="127" t="n"/>
      <c r="X2103" s="127" t="n"/>
      <c r="Y2103" s="127" t="n"/>
      <c r="Z2103" s="127" t="n"/>
    </row>
    <row r="2104">
      <c r="A2104" s="217" t="n"/>
      <c r="B2104" s="126" t="n"/>
      <c r="C2104" s="126" t="n"/>
      <c r="D2104" s="126" t="n"/>
      <c r="E2104" s="126" t="n"/>
      <c r="F2104" s="127" t="n"/>
      <c r="G2104" s="127" t="inlineStr"/>
      <c r="H2104" s="127" t="inlineStr"/>
      <c r="I2104" s="127" t="n"/>
      <c r="J2104" s="127" t="n"/>
      <c r="K2104" s="127" t="inlineStr"/>
      <c r="L2104" s="127" t="n"/>
      <c r="M2104" s="127" t="n"/>
      <c r="N2104" s="127" t="n"/>
      <c r="O2104" s="127" t="n"/>
      <c r="P2104" s="127" t="n"/>
      <c r="Q2104" s="127" t="n"/>
      <c r="R2104" s="127" t="n"/>
      <c r="S2104" s="127" t="n"/>
      <c r="T2104" s="127" t="n"/>
      <c r="U2104" s="127" t="n"/>
      <c r="V2104" s="127" t="n"/>
      <c r="W2104" s="127" t="n"/>
      <c r="X2104" s="127" t="n"/>
      <c r="Y2104" s="127" t="n"/>
      <c r="Z2104" s="127" t="n"/>
    </row>
    <row r="2105">
      <c r="A2105" s="217" t="n"/>
      <c r="B2105" s="126" t="n"/>
      <c r="C2105" s="126" t="n"/>
      <c r="D2105" s="126" t="n"/>
      <c r="E2105" s="126" t="n"/>
      <c r="F2105" s="127" t="n"/>
      <c r="G2105" s="127" t="inlineStr"/>
      <c r="H2105" s="127" t="inlineStr"/>
      <c r="I2105" s="127" t="n"/>
      <c r="J2105" s="127" t="n"/>
      <c r="K2105" s="127" t="inlineStr"/>
      <c r="L2105" s="127" t="n"/>
      <c r="M2105" s="127" t="n"/>
      <c r="N2105" s="127" t="n"/>
      <c r="O2105" s="127" t="n"/>
      <c r="P2105" s="127" t="n"/>
      <c r="Q2105" s="127" t="n"/>
      <c r="R2105" s="127" t="n"/>
      <c r="S2105" s="127" t="n"/>
      <c r="T2105" s="127" t="n"/>
      <c r="U2105" s="127" t="n"/>
      <c r="V2105" s="127" t="n"/>
      <c r="W2105" s="127" t="n"/>
      <c r="X2105" s="127" t="n"/>
      <c r="Y2105" s="127" t="n"/>
      <c r="Z2105" s="127" t="n"/>
    </row>
    <row r="2106">
      <c r="A2106" s="217" t="n"/>
      <c r="B2106" s="126" t="n"/>
      <c r="C2106" s="126" t="n"/>
      <c r="D2106" s="126" t="n"/>
      <c r="E2106" s="126" t="n"/>
      <c r="F2106" s="127" t="n"/>
      <c r="G2106" s="127" t="inlineStr"/>
      <c r="H2106" s="127" t="inlineStr"/>
      <c r="I2106" s="127" t="n"/>
      <c r="J2106" s="127" t="n"/>
      <c r="K2106" s="127" t="inlineStr"/>
      <c r="L2106" s="127" t="n"/>
      <c r="M2106" s="127" t="n"/>
      <c r="N2106" s="127" t="n"/>
      <c r="O2106" s="127" t="n"/>
      <c r="P2106" s="127" t="n"/>
      <c r="Q2106" s="127" t="n"/>
      <c r="R2106" s="127" t="n"/>
      <c r="S2106" s="127" t="n"/>
      <c r="T2106" s="127" t="n"/>
      <c r="U2106" s="127" t="n"/>
      <c r="V2106" s="127" t="n"/>
      <c r="W2106" s="127" t="n"/>
      <c r="X2106" s="127" t="n"/>
      <c r="Y2106" s="127" t="n"/>
      <c r="Z2106" s="127" t="n"/>
    </row>
    <row r="2107">
      <c r="A2107" s="217" t="n"/>
      <c r="B2107" s="126" t="n"/>
      <c r="C2107" s="126" t="n"/>
      <c r="D2107" s="126" t="n"/>
      <c r="E2107" s="126" t="n"/>
      <c r="F2107" s="127" t="n"/>
      <c r="G2107" s="127" t="inlineStr"/>
      <c r="H2107" s="127" t="inlineStr"/>
      <c r="I2107" s="127" t="n"/>
      <c r="J2107" s="127" t="n"/>
      <c r="K2107" s="127" t="inlineStr"/>
      <c r="L2107" s="127" t="n"/>
      <c r="M2107" s="127" t="n"/>
      <c r="N2107" s="127" t="n"/>
      <c r="O2107" s="127" t="n"/>
      <c r="P2107" s="127" t="n"/>
      <c r="Q2107" s="127" t="n"/>
      <c r="R2107" s="127" t="n"/>
      <c r="S2107" s="127" t="n"/>
      <c r="T2107" s="127" t="n"/>
      <c r="U2107" s="127" t="n"/>
      <c r="V2107" s="127" t="n"/>
      <c r="W2107" s="127" t="n"/>
      <c r="X2107" s="127" t="n"/>
      <c r="Y2107" s="127" t="n"/>
      <c r="Z2107" s="127" t="n"/>
    </row>
    <row r="2108">
      <c r="A2108" s="217" t="n"/>
      <c r="B2108" s="126" t="n"/>
      <c r="C2108" s="126" t="n"/>
      <c r="D2108" s="126" t="n"/>
      <c r="E2108" s="126" t="n"/>
      <c r="F2108" s="127" t="n"/>
      <c r="G2108" s="127" t="inlineStr"/>
      <c r="H2108" s="127" t="inlineStr"/>
      <c r="I2108" s="127" t="n"/>
      <c r="J2108" s="127" t="n"/>
      <c r="K2108" s="127" t="inlineStr"/>
      <c r="L2108" s="127" t="n"/>
      <c r="M2108" s="127" t="n"/>
      <c r="N2108" s="127" t="n"/>
      <c r="O2108" s="127" t="n"/>
      <c r="P2108" s="127" t="n"/>
      <c r="Q2108" s="127" t="n"/>
      <c r="R2108" s="127" t="n"/>
      <c r="S2108" s="127" t="n"/>
      <c r="T2108" s="127" t="n"/>
      <c r="U2108" s="127" t="n"/>
      <c r="V2108" s="127" t="n"/>
      <c r="W2108" s="127" t="n"/>
      <c r="X2108" s="127" t="n"/>
      <c r="Y2108" s="127" t="n"/>
      <c r="Z2108" s="127" t="n"/>
    </row>
    <row r="2109">
      <c r="A2109" s="217" t="n"/>
      <c r="B2109" s="126" t="n"/>
      <c r="C2109" s="126" t="n"/>
      <c r="D2109" s="126" t="n"/>
      <c r="E2109" s="126" t="n"/>
      <c r="F2109" s="127" t="n"/>
      <c r="G2109" s="127" t="inlineStr"/>
      <c r="H2109" s="127" t="inlineStr"/>
      <c r="I2109" s="127" t="n"/>
      <c r="J2109" s="127" t="n"/>
      <c r="K2109" s="127" t="inlineStr"/>
      <c r="L2109" s="127" t="n"/>
      <c r="M2109" s="127" t="n"/>
      <c r="N2109" s="127" t="n"/>
      <c r="O2109" s="127" t="n"/>
      <c r="P2109" s="127" t="n"/>
      <c r="Q2109" s="127" t="n"/>
      <c r="R2109" s="127" t="n"/>
      <c r="S2109" s="127" t="n"/>
      <c r="T2109" s="127" t="n"/>
      <c r="U2109" s="127" t="n"/>
      <c r="V2109" s="127" t="n"/>
      <c r="W2109" s="127" t="n"/>
      <c r="X2109" s="127" t="n"/>
      <c r="Y2109" s="127" t="n"/>
      <c r="Z2109" s="127" t="n"/>
    </row>
    <row r="2110">
      <c r="A2110" s="217" t="n"/>
      <c r="B2110" s="126" t="n"/>
      <c r="C2110" s="126" t="n"/>
      <c r="D2110" s="126" t="n"/>
      <c r="E2110" s="126" t="n"/>
      <c r="F2110" s="127" t="n"/>
      <c r="G2110" s="127" t="inlineStr"/>
      <c r="H2110" s="127" t="inlineStr"/>
      <c r="I2110" s="127" t="n"/>
      <c r="J2110" s="127" t="n"/>
      <c r="K2110" s="127" t="inlineStr"/>
      <c r="L2110" s="127" t="n"/>
      <c r="M2110" s="127" t="n"/>
      <c r="N2110" s="127" t="n"/>
      <c r="O2110" s="127" t="n"/>
      <c r="P2110" s="127" t="n"/>
      <c r="Q2110" s="127" t="n"/>
      <c r="R2110" s="127" t="n"/>
      <c r="S2110" s="127" t="n"/>
      <c r="T2110" s="127" t="n"/>
      <c r="U2110" s="127" t="n"/>
      <c r="V2110" s="127" t="n"/>
      <c r="W2110" s="127" t="n"/>
      <c r="X2110" s="127" t="n"/>
      <c r="Y2110" s="127" t="n"/>
      <c r="Z2110" s="127" t="n"/>
    </row>
    <row r="2111">
      <c r="A2111" s="217" t="n"/>
      <c r="B2111" s="126" t="n"/>
      <c r="C2111" s="126" t="n"/>
      <c r="D2111" s="126" t="n"/>
      <c r="E2111" s="126" t="n"/>
      <c r="F2111" s="127" t="n"/>
      <c r="G2111" s="127" t="inlineStr"/>
      <c r="H2111" s="127" t="inlineStr"/>
      <c r="I2111" s="127" t="n"/>
      <c r="J2111" s="127" t="n"/>
      <c r="K2111" s="127" t="inlineStr"/>
      <c r="L2111" s="127" t="n"/>
      <c r="M2111" s="127" t="n"/>
      <c r="N2111" s="127" t="n"/>
      <c r="O2111" s="127" t="n"/>
      <c r="P2111" s="127" t="n"/>
      <c r="Q2111" s="127" t="n"/>
      <c r="R2111" s="127" t="n"/>
      <c r="S2111" s="127" t="n"/>
      <c r="T2111" s="127" t="n"/>
      <c r="U2111" s="127" t="n"/>
      <c r="V2111" s="127" t="n"/>
      <c r="W2111" s="127" t="n"/>
      <c r="X2111" s="127" t="n"/>
      <c r="Y2111" s="127" t="n"/>
      <c r="Z2111" s="127" t="n"/>
    </row>
    <row r="2112">
      <c r="A2112" s="217" t="n"/>
      <c r="B2112" s="126" t="n"/>
      <c r="C2112" s="126" t="n"/>
      <c r="D2112" s="126" t="n"/>
      <c r="E2112" s="126" t="n"/>
      <c r="F2112" s="127" t="n"/>
      <c r="G2112" s="127" t="inlineStr"/>
      <c r="H2112" s="127" t="inlineStr"/>
      <c r="I2112" s="127" t="n"/>
      <c r="J2112" s="127" t="n"/>
      <c r="K2112" s="127" t="inlineStr"/>
      <c r="L2112" s="127" t="n"/>
      <c r="M2112" s="127" t="n"/>
      <c r="N2112" s="127" t="n"/>
      <c r="O2112" s="127" t="n"/>
      <c r="P2112" s="127" t="n"/>
      <c r="Q2112" s="127" t="n"/>
      <c r="R2112" s="127" t="n"/>
      <c r="S2112" s="127" t="n"/>
      <c r="T2112" s="127" t="n"/>
      <c r="U2112" s="127" t="n"/>
      <c r="V2112" s="127" t="n"/>
      <c r="W2112" s="127" t="n"/>
      <c r="X2112" s="127" t="n"/>
      <c r="Y2112" s="127" t="n"/>
      <c r="Z2112" s="127" t="n"/>
    </row>
    <row r="2113">
      <c r="A2113" s="217" t="n"/>
      <c r="B2113" s="126" t="n"/>
      <c r="C2113" s="126" t="n"/>
      <c r="D2113" s="126" t="n"/>
      <c r="E2113" s="126" t="n"/>
      <c r="F2113" s="127" t="n"/>
      <c r="G2113" s="127" t="inlineStr"/>
      <c r="H2113" s="127" t="inlineStr"/>
      <c r="I2113" s="127" t="n"/>
      <c r="J2113" s="127" t="n"/>
      <c r="K2113" s="127" t="inlineStr"/>
      <c r="L2113" s="127" t="n"/>
      <c r="M2113" s="127" t="n"/>
      <c r="N2113" s="127" t="n"/>
      <c r="O2113" s="127" t="n"/>
      <c r="P2113" s="127" t="n"/>
      <c r="Q2113" s="127" t="n"/>
      <c r="R2113" s="127" t="n"/>
      <c r="S2113" s="127" t="n"/>
      <c r="T2113" s="127" t="n"/>
      <c r="U2113" s="127" t="n"/>
      <c r="V2113" s="127" t="n"/>
      <c r="W2113" s="127" t="n"/>
      <c r="X2113" s="127" t="n"/>
      <c r="Y2113" s="127" t="n"/>
      <c r="Z2113" s="127" t="n"/>
    </row>
    <row r="2114">
      <c r="A2114" s="217" t="n"/>
      <c r="B2114" s="126" t="n"/>
      <c r="C2114" s="126" t="n"/>
      <c r="D2114" s="126" t="n"/>
      <c r="E2114" s="126" t="n"/>
      <c r="F2114" s="127" t="n"/>
      <c r="G2114" s="127" t="inlineStr"/>
      <c r="H2114" s="127" t="inlineStr"/>
      <c r="I2114" s="127" t="n"/>
      <c r="J2114" s="127" t="n"/>
      <c r="K2114" s="127" t="inlineStr"/>
      <c r="L2114" s="127" t="n"/>
      <c r="M2114" s="127" t="n"/>
      <c r="N2114" s="127" t="n"/>
      <c r="O2114" s="127" t="n"/>
      <c r="P2114" s="127" t="n"/>
      <c r="Q2114" s="127" t="n"/>
      <c r="R2114" s="127" t="n"/>
      <c r="S2114" s="127" t="n"/>
      <c r="T2114" s="127" t="n"/>
      <c r="U2114" s="127" t="n"/>
      <c r="V2114" s="127" t="n"/>
      <c r="W2114" s="127" t="n"/>
      <c r="X2114" s="127" t="n"/>
      <c r="Y2114" s="127" t="n"/>
      <c r="Z2114" s="127" t="n"/>
    </row>
    <row r="2115">
      <c r="A2115" s="217" t="n"/>
      <c r="B2115" s="126" t="n"/>
      <c r="C2115" s="126" t="n"/>
      <c r="D2115" s="126" t="n"/>
      <c r="E2115" s="126" t="n"/>
      <c r="F2115" s="127" t="n"/>
      <c r="G2115" s="127" t="inlineStr"/>
      <c r="H2115" s="127" t="inlineStr"/>
      <c r="I2115" s="127" t="n"/>
      <c r="J2115" s="127" t="n"/>
      <c r="K2115" s="127" t="inlineStr"/>
      <c r="L2115" s="127" t="n"/>
      <c r="M2115" s="127" t="n"/>
      <c r="N2115" s="127" t="n"/>
      <c r="O2115" s="127" t="n"/>
      <c r="P2115" s="127" t="n"/>
      <c r="Q2115" s="127" t="n"/>
      <c r="R2115" s="127" t="n"/>
      <c r="S2115" s="127" t="n"/>
      <c r="T2115" s="127" t="n"/>
      <c r="U2115" s="127" t="n"/>
      <c r="V2115" s="127" t="n"/>
      <c r="W2115" s="127" t="n"/>
      <c r="X2115" s="127" t="n"/>
      <c r="Y2115" s="127" t="n"/>
      <c r="Z2115" s="127" t="n"/>
    </row>
    <row r="2116">
      <c r="A2116" s="217" t="n"/>
      <c r="B2116" s="126" t="n"/>
      <c r="C2116" s="126" t="n"/>
      <c r="D2116" s="126" t="n"/>
      <c r="E2116" s="126" t="n"/>
      <c r="F2116" s="127" t="n"/>
      <c r="G2116" s="127" t="inlineStr"/>
      <c r="H2116" s="127" t="inlineStr"/>
      <c r="I2116" s="127" t="n"/>
      <c r="J2116" s="127" t="n"/>
      <c r="K2116" s="127" t="inlineStr"/>
      <c r="L2116" s="127" t="n"/>
      <c r="M2116" s="127" t="n"/>
      <c r="N2116" s="127" t="n"/>
      <c r="O2116" s="127" t="n"/>
      <c r="P2116" s="127" t="n"/>
      <c r="Q2116" s="127" t="n"/>
      <c r="R2116" s="127" t="n"/>
      <c r="S2116" s="127" t="n"/>
      <c r="T2116" s="127" t="n"/>
      <c r="U2116" s="127" t="n"/>
      <c r="V2116" s="127" t="n"/>
      <c r="W2116" s="127" t="n"/>
      <c r="X2116" s="127" t="n"/>
      <c r="Y2116" s="127" t="n"/>
      <c r="Z2116" s="127" t="n"/>
    </row>
    <row r="2117">
      <c r="A2117" s="217" t="n"/>
      <c r="B2117" s="126" t="n"/>
      <c r="C2117" s="126" t="n"/>
      <c r="D2117" s="126" t="n"/>
      <c r="E2117" s="126" t="n"/>
      <c r="F2117" s="127" t="n"/>
      <c r="G2117" s="127" t="inlineStr"/>
      <c r="H2117" s="127" t="inlineStr"/>
      <c r="I2117" s="127" t="n"/>
      <c r="J2117" s="127" t="n"/>
      <c r="K2117" s="127" t="inlineStr"/>
      <c r="L2117" s="127" t="n"/>
      <c r="M2117" s="127" t="n"/>
      <c r="N2117" s="127" t="n"/>
      <c r="O2117" s="127" t="n"/>
      <c r="P2117" s="127" t="n"/>
      <c r="Q2117" s="127" t="n"/>
      <c r="R2117" s="127" t="n"/>
      <c r="S2117" s="127" t="n"/>
      <c r="T2117" s="127" t="n"/>
      <c r="U2117" s="127" t="n"/>
      <c r="V2117" s="127" t="n"/>
      <c r="W2117" s="127" t="n"/>
      <c r="X2117" s="127" t="n"/>
      <c r="Y2117" s="127" t="n"/>
      <c r="Z2117" s="127" t="n"/>
    </row>
    <row r="2118">
      <c r="A2118" s="217" t="n"/>
      <c r="B2118" s="126" t="n"/>
      <c r="C2118" s="126" t="n"/>
      <c r="D2118" s="126" t="n"/>
      <c r="E2118" s="126" t="n"/>
      <c r="F2118" s="127" t="n"/>
      <c r="G2118" s="127" t="inlineStr"/>
      <c r="H2118" s="127" t="inlineStr"/>
      <c r="I2118" s="127" t="n"/>
      <c r="J2118" s="127" t="n"/>
      <c r="K2118" s="127" t="inlineStr"/>
      <c r="L2118" s="127" t="n"/>
      <c r="M2118" s="127" t="n"/>
      <c r="N2118" s="127" t="n"/>
      <c r="O2118" s="127" t="n"/>
      <c r="P2118" s="127" t="n"/>
      <c r="Q2118" s="127" t="n"/>
      <c r="R2118" s="127" t="n"/>
      <c r="S2118" s="127" t="n"/>
      <c r="T2118" s="127" t="n"/>
      <c r="U2118" s="127" t="n"/>
      <c r="V2118" s="127" t="n"/>
      <c r="W2118" s="127" t="n"/>
      <c r="X2118" s="127" t="n"/>
      <c r="Y2118" s="127" t="n"/>
      <c r="Z2118" s="127" t="n"/>
    </row>
    <row r="2119">
      <c r="A2119" s="217" t="n"/>
      <c r="B2119" s="126" t="n"/>
      <c r="C2119" s="126" t="n"/>
      <c r="D2119" s="126" t="n"/>
      <c r="E2119" s="126" t="n"/>
      <c r="F2119" s="127" t="n"/>
      <c r="G2119" s="127" t="inlineStr"/>
      <c r="H2119" s="127" t="inlineStr"/>
      <c r="I2119" s="127" t="n"/>
      <c r="J2119" s="127" t="n"/>
      <c r="K2119" s="127" t="inlineStr"/>
      <c r="L2119" s="127" t="n"/>
      <c r="M2119" s="127" t="n"/>
      <c r="N2119" s="127" t="n"/>
      <c r="O2119" s="127" t="n"/>
      <c r="P2119" s="127" t="n"/>
      <c r="Q2119" s="127" t="n"/>
      <c r="R2119" s="127" t="n"/>
      <c r="S2119" s="127" t="n"/>
      <c r="T2119" s="127" t="n"/>
      <c r="U2119" s="127" t="n"/>
      <c r="V2119" s="127" t="n"/>
      <c r="W2119" s="127" t="n"/>
      <c r="X2119" s="127" t="n"/>
      <c r="Y2119" s="127" t="n"/>
      <c r="Z2119" s="127" t="n"/>
    </row>
    <row r="2120">
      <c r="A2120" s="217" t="n"/>
      <c r="B2120" s="126" t="n"/>
      <c r="C2120" s="126" t="n"/>
      <c r="D2120" s="126" t="n"/>
      <c r="E2120" s="126" t="n"/>
      <c r="F2120" s="127" t="n"/>
      <c r="G2120" s="127" t="inlineStr"/>
      <c r="H2120" s="127" t="inlineStr"/>
      <c r="I2120" s="127" t="n"/>
      <c r="J2120" s="127" t="n"/>
      <c r="K2120" s="127" t="inlineStr"/>
      <c r="L2120" s="127" t="n"/>
      <c r="M2120" s="127" t="n"/>
      <c r="N2120" s="127" t="n"/>
      <c r="O2120" s="127" t="n"/>
      <c r="P2120" s="127" t="n"/>
      <c r="Q2120" s="127" t="n"/>
      <c r="R2120" s="127" t="n"/>
      <c r="S2120" s="127" t="n"/>
      <c r="T2120" s="127" t="n"/>
      <c r="U2120" s="127" t="n"/>
      <c r="V2120" s="127" t="n"/>
      <c r="W2120" s="127" t="n"/>
      <c r="X2120" s="127" t="n"/>
      <c r="Y2120" s="127" t="n"/>
      <c r="Z2120" s="127" t="n"/>
    </row>
    <row r="2121">
      <c r="A2121" s="217" t="n"/>
      <c r="B2121" s="126" t="n"/>
      <c r="C2121" s="126" t="n"/>
      <c r="D2121" s="126" t="n"/>
      <c r="E2121" s="126" t="n"/>
      <c r="F2121" s="127" t="n"/>
      <c r="G2121" s="127" t="inlineStr"/>
      <c r="H2121" s="127" t="inlineStr"/>
      <c r="I2121" s="127" t="n"/>
      <c r="J2121" s="127" t="n"/>
      <c r="K2121" s="127" t="inlineStr"/>
      <c r="L2121" s="127" t="n"/>
      <c r="M2121" s="127" t="n"/>
      <c r="N2121" s="127" t="n"/>
      <c r="O2121" s="127" t="n"/>
      <c r="P2121" s="127" t="n"/>
      <c r="Q2121" s="127" t="n"/>
      <c r="R2121" s="127" t="n"/>
      <c r="S2121" s="127" t="n"/>
      <c r="T2121" s="127" t="n"/>
      <c r="U2121" s="127" t="n"/>
      <c r="V2121" s="127" t="n"/>
      <c r="W2121" s="127" t="n"/>
      <c r="X2121" s="127" t="n"/>
      <c r="Y2121" s="127" t="n"/>
      <c r="Z2121" s="127" t="n"/>
    </row>
    <row r="2122">
      <c r="A2122" s="217" t="n"/>
      <c r="B2122" s="126" t="n"/>
      <c r="C2122" s="126" t="n"/>
      <c r="D2122" s="126" t="n"/>
      <c r="E2122" s="126" t="n"/>
      <c r="F2122" s="127" t="n"/>
      <c r="G2122" s="127" t="inlineStr"/>
      <c r="H2122" s="127" t="inlineStr"/>
      <c r="I2122" s="127" t="n"/>
      <c r="J2122" s="127" t="n"/>
      <c r="K2122" s="127" t="inlineStr"/>
      <c r="L2122" s="127" t="n"/>
      <c r="M2122" s="127" t="n"/>
      <c r="N2122" s="127" t="n"/>
      <c r="O2122" s="127" t="n"/>
      <c r="P2122" s="127" t="n"/>
      <c r="Q2122" s="127" t="n"/>
      <c r="R2122" s="127" t="n"/>
      <c r="S2122" s="127" t="n"/>
      <c r="T2122" s="127" t="n"/>
      <c r="U2122" s="127" t="n"/>
      <c r="V2122" s="127" t="n"/>
      <c r="W2122" s="127" t="n"/>
      <c r="X2122" s="127" t="n"/>
      <c r="Y2122" s="127" t="n"/>
      <c r="Z2122" s="127" t="n"/>
    </row>
    <row r="2123">
      <c r="A2123" s="217" t="n"/>
      <c r="B2123" s="126" t="n"/>
      <c r="C2123" s="126" t="n"/>
      <c r="D2123" s="126" t="n"/>
      <c r="E2123" s="126" t="n"/>
      <c r="F2123" s="127" t="n"/>
      <c r="G2123" s="127" t="inlineStr"/>
      <c r="H2123" s="127" t="inlineStr"/>
      <c r="I2123" s="127" t="n"/>
      <c r="J2123" s="127" t="n"/>
      <c r="K2123" s="127" t="inlineStr"/>
      <c r="L2123" s="127" t="n"/>
      <c r="M2123" s="127" t="n"/>
      <c r="N2123" s="127" t="n"/>
      <c r="O2123" s="127" t="n"/>
      <c r="P2123" s="127" t="n"/>
      <c r="Q2123" s="127" t="n"/>
      <c r="R2123" s="127" t="n"/>
      <c r="S2123" s="127" t="n"/>
      <c r="T2123" s="127" t="n"/>
      <c r="U2123" s="127" t="n"/>
      <c r="V2123" s="127" t="n"/>
      <c r="W2123" s="127" t="n"/>
      <c r="X2123" s="127" t="n"/>
      <c r="Y2123" s="127" t="n"/>
      <c r="Z2123" s="127" t="n"/>
    </row>
    <row r="2124">
      <c r="A2124" s="217" t="n"/>
      <c r="B2124" s="126" t="n"/>
      <c r="C2124" s="126" t="n"/>
      <c r="D2124" s="126" t="n"/>
      <c r="E2124" s="126" t="n"/>
      <c r="F2124" s="127" t="n"/>
      <c r="G2124" s="127" t="inlineStr"/>
      <c r="H2124" s="127" t="inlineStr"/>
      <c r="I2124" s="127" t="n"/>
      <c r="J2124" s="127" t="n"/>
      <c r="K2124" s="127" t="inlineStr"/>
      <c r="L2124" s="127" t="n"/>
      <c r="M2124" s="127" t="n"/>
      <c r="N2124" s="127" t="n"/>
      <c r="O2124" s="127" t="n"/>
      <c r="P2124" s="127" t="n"/>
      <c r="Q2124" s="127" t="n"/>
      <c r="R2124" s="127" t="n"/>
      <c r="S2124" s="127" t="n"/>
      <c r="T2124" s="127" t="n"/>
      <c r="U2124" s="127" t="n"/>
      <c r="V2124" s="127" t="n"/>
      <c r="W2124" s="127" t="n"/>
      <c r="X2124" s="127" t="n"/>
      <c r="Y2124" s="127" t="n"/>
      <c r="Z2124" s="127" t="n"/>
    </row>
    <row r="2125">
      <c r="A2125" s="217" t="n"/>
      <c r="B2125" s="126" t="n"/>
      <c r="C2125" s="126" t="n"/>
      <c r="D2125" s="126" t="n"/>
      <c r="E2125" s="126" t="n"/>
      <c r="F2125" s="127" t="n"/>
      <c r="G2125" s="127" t="inlineStr"/>
      <c r="H2125" s="127" t="inlineStr"/>
      <c r="I2125" s="127" t="n"/>
      <c r="J2125" s="127" t="n"/>
      <c r="K2125" s="127" t="inlineStr"/>
      <c r="L2125" s="127" t="n"/>
      <c r="M2125" s="127" t="n"/>
      <c r="N2125" s="127" t="n"/>
      <c r="O2125" s="127" t="n"/>
      <c r="P2125" s="127" t="n"/>
      <c r="Q2125" s="127" t="n"/>
      <c r="R2125" s="127" t="n"/>
      <c r="S2125" s="127" t="n"/>
      <c r="T2125" s="127" t="n"/>
      <c r="U2125" s="127" t="n"/>
      <c r="V2125" s="127" t="n"/>
      <c r="W2125" s="127" t="n"/>
      <c r="X2125" s="127" t="n"/>
      <c r="Y2125" s="127" t="n"/>
      <c r="Z2125" s="127" t="n"/>
    </row>
    <row r="2126">
      <c r="A2126" s="217" t="n"/>
      <c r="B2126" s="126" t="n"/>
      <c r="C2126" s="126" t="n"/>
      <c r="D2126" s="126" t="n"/>
      <c r="E2126" s="126" t="n"/>
      <c r="F2126" s="127" t="n"/>
      <c r="G2126" s="127" t="inlineStr"/>
      <c r="H2126" s="127" t="inlineStr"/>
      <c r="I2126" s="127" t="n"/>
      <c r="J2126" s="127" t="n"/>
      <c r="K2126" s="127" t="inlineStr"/>
      <c r="L2126" s="127" t="n"/>
      <c r="M2126" s="127" t="n"/>
      <c r="N2126" s="127" t="n"/>
      <c r="O2126" s="127" t="n"/>
      <c r="P2126" s="127" t="n"/>
      <c r="Q2126" s="127" t="n"/>
      <c r="R2126" s="127" t="n"/>
      <c r="S2126" s="127" t="n"/>
      <c r="T2126" s="127" t="n"/>
      <c r="U2126" s="127" t="n"/>
      <c r="V2126" s="127" t="n"/>
      <c r="W2126" s="127" t="n"/>
      <c r="X2126" s="127" t="n"/>
      <c r="Y2126" s="127" t="n"/>
      <c r="Z2126" s="127" t="n"/>
    </row>
    <row r="2127">
      <c r="A2127" s="217" t="n"/>
      <c r="B2127" s="126" t="n"/>
      <c r="C2127" s="126" t="n"/>
      <c r="D2127" s="126" t="n"/>
      <c r="E2127" s="126" t="n"/>
      <c r="F2127" s="127" t="n"/>
      <c r="G2127" s="127" t="inlineStr"/>
      <c r="H2127" s="127" t="inlineStr"/>
      <c r="I2127" s="127" t="n"/>
      <c r="J2127" s="127" t="n"/>
      <c r="K2127" s="127" t="inlineStr"/>
      <c r="L2127" s="127" t="n"/>
      <c r="M2127" s="127" t="n"/>
      <c r="N2127" s="127" t="n"/>
      <c r="O2127" s="127" t="n"/>
      <c r="P2127" s="127" t="n"/>
      <c r="Q2127" s="127" t="n"/>
      <c r="R2127" s="127" t="n"/>
      <c r="S2127" s="127" t="n"/>
      <c r="T2127" s="127" t="n"/>
      <c r="U2127" s="127" t="n"/>
      <c r="V2127" s="127" t="n"/>
      <c r="W2127" s="127" t="n"/>
      <c r="X2127" s="127" t="n"/>
      <c r="Y2127" s="127" t="n"/>
      <c r="Z2127" s="127" t="n"/>
    </row>
    <row r="2128">
      <c r="A2128" s="217" t="n"/>
      <c r="B2128" s="126" t="n"/>
      <c r="C2128" s="126" t="n"/>
      <c r="D2128" s="126" t="n"/>
      <c r="E2128" s="126" t="n"/>
      <c r="F2128" s="127" t="n"/>
      <c r="G2128" s="127" t="inlineStr"/>
      <c r="H2128" s="127" t="inlineStr"/>
      <c r="I2128" s="127" t="n"/>
      <c r="J2128" s="127" t="n"/>
      <c r="K2128" s="127" t="inlineStr"/>
      <c r="L2128" s="127" t="n"/>
      <c r="M2128" s="127" t="n"/>
      <c r="N2128" s="127" t="n"/>
      <c r="O2128" s="127" t="n"/>
      <c r="P2128" s="127" t="n"/>
      <c r="Q2128" s="127" t="n"/>
      <c r="R2128" s="127" t="n"/>
      <c r="S2128" s="127" t="n"/>
      <c r="T2128" s="127" t="n"/>
      <c r="U2128" s="127" t="n"/>
      <c r="V2128" s="127" t="n"/>
      <c r="W2128" s="127" t="n"/>
      <c r="X2128" s="127" t="n"/>
      <c r="Y2128" s="127" t="n"/>
      <c r="Z2128" s="127" t="n"/>
    </row>
    <row r="2129">
      <c r="A2129" s="217" t="n"/>
      <c r="B2129" s="126" t="n"/>
      <c r="C2129" s="126" t="n"/>
      <c r="D2129" s="126" t="n"/>
      <c r="E2129" s="126" t="n"/>
      <c r="F2129" s="127" t="n"/>
      <c r="G2129" s="127" t="inlineStr"/>
      <c r="H2129" s="127" t="inlineStr"/>
      <c r="I2129" s="127" t="n"/>
      <c r="J2129" s="127" t="n"/>
      <c r="K2129" s="127" t="inlineStr"/>
      <c r="L2129" s="127" t="n"/>
      <c r="M2129" s="127" t="n"/>
      <c r="N2129" s="127" t="n"/>
      <c r="O2129" s="127" t="n"/>
      <c r="P2129" s="127" t="n"/>
      <c r="Q2129" s="127" t="n"/>
      <c r="R2129" s="127" t="n"/>
      <c r="S2129" s="127" t="n"/>
      <c r="T2129" s="127" t="n"/>
      <c r="U2129" s="127" t="n"/>
      <c r="V2129" s="127" t="n"/>
      <c r="W2129" s="127" t="n"/>
      <c r="X2129" s="127" t="n"/>
      <c r="Y2129" s="127" t="n"/>
      <c r="Z2129" s="127" t="n"/>
    </row>
    <row r="2130">
      <c r="A2130" s="217" t="n"/>
      <c r="B2130" s="126" t="n"/>
      <c r="C2130" s="126" t="n"/>
      <c r="D2130" s="126" t="n"/>
      <c r="E2130" s="126" t="n"/>
      <c r="F2130" s="127" t="n"/>
      <c r="G2130" s="127" t="inlineStr"/>
      <c r="H2130" s="127" t="inlineStr"/>
      <c r="I2130" s="127" t="n"/>
      <c r="J2130" s="127" t="n"/>
      <c r="K2130" s="127" t="inlineStr"/>
      <c r="L2130" s="127" t="n"/>
      <c r="M2130" s="127" t="n"/>
      <c r="N2130" s="127" t="n"/>
      <c r="O2130" s="127" t="n"/>
      <c r="P2130" s="127" t="n"/>
      <c r="Q2130" s="127" t="n"/>
      <c r="R2130" s="127" t="n"/>
      <c r="S2130" s="127" t="n"/>
      <c r="T2130" s="127" t="n"/>
      <c r="U2130" s="127" t="n"/>
      <c r="V2130" s="127" t="n"/>
      <c r="W2130" s="127" t="n"/>
      <c r="X2130" s="127" t="n"/>
      <c r="Y2130" s="127" t="n"/>
      <c r="Z2130" s="127" t="n"/>
    </row>
    <row r="2131">
      <c r="A2131" s="217" t="n"/>
      <c r="B2131" s="126" t="n"/>
      <c r="C2131" s="126" t="n"/>
      <c r="D2131" s="126" t="n"/>
      <c r="E2131" s="126" t="n"/>
      <c r="F2131" s="127" t="n"/>
      <c r="G2131" s="127" t="inlineStr"/>
      <c r="H2131" s="127" t="inlineStr"/>
      <c r="I2131" s="127" t="n"/>
      <c r="J2131" s="127" t="n"/>
      <c r="K2131" s="127" t="inlineStr"/>
      <c r="L2131" s="127" t="n"/>
      <c r="M2131" s="127" t="n"/>
      <c r="N2131" s="127" t="n"/>
      <c r="O2131" s="127" t="n"/>
      <c r="P2131" s="127" t="n"/>
      <c r="Q2131" s="127" t="n"/>
      <c r="R2131" s="127" t="n"/>
      <c r="S2131" s="127" t="n"/>
      <c r="T2131" s="127" t="n"/>
      <c r="U2131" s="127" t="n"/>
      <c r="V2131" s="127" t="n"/>
      <c r="W2131" s="127" t="n"/>
      <c r="X2131" s="127" t="n"/>
      <c r="Y2131" s="127" t="n"/>
      <c r="Z2131" s="127" t="n"/>
    </row>
    <row r="2132">
      <c r="A2132" s="217" t="n"/>
      <c r="B2132" s="126" t="n"/>
      <c r="C2132" s="126" t="n"/>
      <c r="D2132" s="126" t="n"/>
      <c r="E2132" s="126" t="n"/>
      <c r="F2132" s="127" t="n"/>
      <c r="G2132" s="127" t="inlineStr"/>
      <c r="H2132" s="127" t="inlineStr"/>
      <c r="I2132" s="127" t="n"/>
      <c r="J2132" s="127" t="n"/>
      <c r="K2132" s="127" t="inlineStr"/>
      <c r="L2132" s="127" t="n"/>
      <c r="M2132" s="127" t="n"/>
      <c r="N2132" s="127" t="n"/>
      <c r="O2132" s="127" t="n"/>
      <c r="P2132" s="127" t="n"/>
      <c r="Q2132" s="127" t="n"/>
      <c r="R2132" s="127" t="n"/>
      <c r="S2132" s="127" t="n"/>
      <c r="T2132" s="127" t="n"/>
      <c r="U2132" s="127" t="n"/>
      <c r="V2132" s="127" t="n"/>
      <c r="W2132" s="127" t="n"/>
      <c r="X2132" s="127" t="n"/>
      <c r="Y2132" s="127" t="n"/>
      <c r="Z2132" s="127" t="n"/>
    </row>
    <row r="2133">
      <c r="A2133" s="217" t="n"/>
      <c r="B2133" s="126" t="n"/>
      <c r="C2133" s="126" t="n"/>
      <c r="D2133" s="126" t="n"/>
      <c r="E2133" s="126" t="n"/>
      <c r="F2133" s="127" t="n"/>
      <c r="G2133" s="127" t="inlineStr"/>
      <c r="H2133" s="127" t="inlineStr"/>
      <c r="I2133" s="127" t="n"/>
      <c r="J2133" s="127" t="n"/>
      <c r="K2133" s="127" t="inlineStr"/>
      <c r="L2133" s="127" t="n"/>
      <c r="M2133" s="127" t="n"/>
      <c r="N2133" s="127" t="n"/>
      <c r="O2133" s="127" t="n"/>
      <c r="P2133" s="127" t="n"/>
      <c r="Q2133" s="127" t="n"/>
      <c r="R2133" s="127" t="n"/>
      <c r="S2133" s="127" t="n"/>
      <c r="T2133" s="127" t="n"/>
      <c r="U2133" s="127" t="n"/>
      <c r="V2133" s="127" t="n"/>
      <c r="W2133" s="127" t="n"/>
      <c r="X2133" s="127" t="n"/>
      <c r="Y2133" s="127" t="n"/>
      <c r="Z2133" s="127" t="n"/>
    </row>
    <row r="2134">
      <c r="A2134" s="217" t="n"/>
      <c r="B2134" s="126" t="n"/>
      <c r="C2134" s="126" t="n"/>
      <c r="D2134" s="126" t="n"/>
      <c r="E2134" s="126" t="n"/>
      <c r="F2134" s="127" t="n"/>
      <c r="G2134" s="127" t="inlineStr"/>
      <c r="H2134" s="127" t="inlineStr"/>
      <c r="I2134" s="127" t="n"/>
      <c r="J2134" s="127" t="n"/>
      <c r="K2134" s="127" t="inlineStr"/>
      <c r="L2134" s="127" t="n"/>
      <c r="M2134" s="127" t="n"/>
      <c r="N2134" s="127" t="n"/>
      <c r="O2134" s="127" t="n"/>
      <c r="P2134" s="127" t="n"/>
      <c r="Q2134" s="127" t="n"/>
      <c r="R2134" s="127" t="n"/>
      <c r="S2134" s="127" t="n"/>
      <c r="T2134" s="127" t="n"/>
      <c r="U2134" s="127" t="n"/>
      <c r="V2134" s="127" t="n"/>
      <c r="W2134" s="127" t="n"/>
      <c r="X2134" s="127" t="n"/>
      <c r="Y2134" s="127" t="n"/>
      <c r="Z2134" s="127" t="n"/>
    </row>
    <row r="2135">
      <c r="A2135" s="217" t="n"/>
      <c r="B2135" s="126" t="n"/>
      <c r="C2135" s="126" t="n"/>
      <c r="D2135" s="126" t="n"/>
      <c r="E2135" s="126" t="n"/>
      <c r="F2135" s="127" t="n"/>
      <c r="G2135" s="127" t="inlineStr"/>
      <c r="H2135" s="127" t="inlineStr"/>
      <c r="I2135" s="127" t="n"/>
      <c r="J2135" s="127" t="n"/>
      <c r="K2135" s="127" t="inlineStr"/>
      <c r="L2135" s="127" t="n"/>
      <c r="M2135" s="127" t="n"/>
      <c r="N2135" s="127" t="n"/>
      <c r="O2135" s="127" t="n"/>
      <c r="P2135" s="127" t="n"/>
      <c r="Q2135" s="127" t="n"/>
      <c r="R2135" s="127" t="n"/>
      <c r="S2135" s="127" t="n"/>
      <c r="T2135" s="127" t="n"/>
      <c r="U2135" s="127" t="n"/>
      <c r="V2135" s="127" t="n"/>
      <c r="W2135" s="127" t="n"/>
      <c r="X2135" s="127" t="n"/>
      <c r="Y2135" s="127" t="n"/>
      <c r="Z2135" s="127" t="n"/>
    </row>
    <row r="2136">
      <c r="A2136" s="217" t="n"/>
      <c r="B2136" s="126" t="n"/>
      <c r="C2136" s="126" t="n"/>
      <c r="D2136" s="126" t="n"/>
      <c r="E2136" s="126" t="n"/>
      <c r="F2136" s="127" t="n"/>
      <c r="G2136" s="127" t="inlineStr"/>
      <c r="H2136" s="127" t="inlineStr"/>
      <c r="I2136" s="127" t="n"/>
      <c r="J2136" s="127" t="n"/>
      <c r="K2136" s="127" t="inlineStr"/>
      <c r="L2136" s="127" t="n"/>
      <c r="M2136" s="127" t="n"/>
      <c r="N2136" s="127" t="n"/>
      <c r="O2136" s="127" t="n"/>
      <c r="P2136" s="127" t="n"/>
      <c r="Q2136" s="127" t="n"/>
      <c r="R2136" s="127" t="n"/>
      <c r="S2136" s="127" t="n"/>
      <c r="T2136" s="127" t="n"/>
      <c r="U2136" s="127" t="n"/>
      <c r="V2136" s="127" t="n"/>
      <c r="W2136" s="127" t="n"/>
      <c r="X2136" s="127" t="n"/>
      <c r="Y2136" s="127" t="n"/>
      <c r="Z2136" s="127" t="n"/>
    </row>
    <row r="2137">
      <c r="A2137" s="217" t="n"/>
      <c r="B2137" s="126" t="n"/>
      <c r="C2137" s="126" t="n"/>
      <c r="D2137" s="126" t="n"/>
      <c r="E2137" s="126" t="n"/>
      <c r="F2137" s="127" t="n"/>
      <c r="G2137" s="127" t="inlineStr"/>
      <c r="H2137" s="127" t="inlineStr"/>
      <c r="I2137" s="127" t="n"/>
      <c r="J2137" s="127" t="n"/>
      <c r="K2137" s="127" t="inlineStr"/>
      <c r="L2137" s="127" t="n"/>
      <c r="M2137" s="127" t="n"/>
      <c r="N2137" s="127" t="n"/>
      <c r="O2137" s="127" t="n"/>
      <c r="P2137" s="127" t="n"/>
      <c r="Q2137" s="127" t="n"/>
      <c r="R2137" s="127" t="n"/>
      <c r="S2137" s="127" t="n"/>
      <c r="T2137" s="127" t="n"/>
      <c r="U2137" s="127" t="n"/>
      <c r="V2137" s="127" t="n"/>
      <c r="W2137" s="127" t="n"/>
      <c r="X2137" s="127" t="n"/>
      <c r="Y2137" s="127" t="n"/>
      <c r="Z2137" s="127" t="n"/>
    </row>
    <row r="2138">
      <c r="A2138" s="217" t="n"/>
      <c r="B2138" s="126" t="n"/>
      <c r="C2138" s="126" t="n"/>
      <c r="D2138" s="126" t="n"/>
      <c r="E2138" s="126" t="n"/>
      <c r="F2138" s="127" t="n"/>
      <c r="G2138" s="127" t="inlineStr"/>
      <c r="H2138" s="127" t="inlineStr"/>
      <c r="I2138" s="127" t="n"/>
      <c r="J2138" s="127" t="n"/>
      <c r="K2138" s="127" t="inlineStr"/>
      <c r="L2138" s="127" t="n"/>
      <c r="M2138" s="127" t="n"/>
      <c r="N2138" s="127" t="n"/>
      <c r="O2138" s="127" t="n"/>
      <c r="P2138" s="127" t="n"/>
      <c r="Q2138" s="127" t="n"/>
      <c r="R2138" s="127" t="n"/>
      <c r="S2138" s="127" t="n"/>
      <c r="T2138" s="127" t="n"/>
      <c r="U2138" s="127" t="n"/>
      <c r="V2138" s="127" t="n"/>
      <c r="W2138" s="127" t="n"/>
      <c r="X2138" s="127" t="n"/>
      <c r="Y2138" s="127" t="n"/>
      <c r="Z2138" s="127" t="n"/>
    </row>
    <row r="2139">
      <c r="A2139" s="217" t="n"/>
      <c r="B2139" s="126" t="n"/>
      <c r="C2139" s="126" t="n"/>
      <c r="D2139" s="126" t="n"/>
      <c r="E2139" s="126" t="n"/>
      <c r="F2139" s="127" t="n"/>
      <c r="G2139" s="127" t="inlineStr"/>
      <c r="H2139" s="127" t="inlineStr"/>
      <c r="I2139" s="127" t="n"/>
      <c r="J2139" s="127" t="n"/>
      <c r="K2139" s="127" t="inlineStr"/>
      <c r="L2139" s="127" t="n"/>
      <c r="M2139" s="127" t="n"/>
      <c r="N2139" s="127" t="n"/>
      <c r="O2139" s="127" t="n"/>
      <c r="P2139" s="127" t="n"/>
      <c r="Q2139" s="127" t="n"/>
      <c r="R2139" s="127" t="n"/>
      <c r="S2139" s="127" t="n"/>
      <c r="T2139" s="127" t="n"/>
      <c r="U2139" s="127" t="n"/>
      <c r="V2139" s="127" t="n"/>
      <c r="W2139" s="127" t="n"/>
      <c r="X2139" s="127" t="n"/>
      <c r="Y2139" s="127" t="n"/>
      <c r="Z2139" s="127" t="n"/>
    </row>
    <row r="2140">
      <c r="A2140" s="217" t="n"/>
      <c r="B2140" s="126" t="n"/>
      <c r="C2140" s="126" t="n"/>
      <c r="D2140" s="126" t="n"/>
      <c r="E2140" s="126" t="n"/>
      <c r="F2140" s="127" t="n"/>
      <c r="G2140" s="127" t="inlineStr"/>
      <c r="H2140" s="127" t="inlineStr"/>
      <c r="I2140" s="127" t="n"/>
      <c r="J2140" s="127" t="n"/>
      <c r="K2140" s="127" t="inlineStr"/>
      <c r="L2140" s="127" t="n"/>
      <c r="M2140" s="127" t="n"/>
      <c r="N2140" s="127" t="n"/>
      <c r="O2140" s="127" t="n"/>
      <c r="P2140" s="127" t="n"/>
      <c r="Q2140" s="127" t="n"/>
      <c r="R2140" s="127" t="n"/>
      <c r="S2140" s="127" t="n"/>
      <c r="T2140" s="127" t="n"/>
      <c r="U2140" s="127" t="n"/>
      <c r="V2140" s="127" t="n"/>
      <c r="W2140" s="127" t="n"/>
      <c r="X2140" s="127" t="n"/>
      <c r="Y2140" s="127" t="n"/>
      <c r="Z2140" s="127" t="n"/>
    </row>
    <row r="2141">
      <c r="A2141" s="217" t="n"/>
      <c r="B2141" s="126" t="n"/>
      <c r="C2141" s="126" t="n"/>
      <c r="D2141" s="126" t="n"/>
      <c r="E2141" s="126" t="n"/>
      <c r="F2141" s="127" t="n"/>
      <c r="G2141" s="127" t="inlineStr"/>
      <c r="H2141" s="127" t="inlineStr"/>
      <c r="I2141" s="127" t="n"/>
      <c r="J2141" s="127" t="n"/>
      <c r="K2141" s="127" t="inlineStr"/>
      <c r="L2141" s="127" t="n"/>
      <c r="M2141" s="127" t="n"/>
      <c r="N2141" s="127" t="n"/>
      <c r="O2141" s="127" t="n"/>
      <c r="P2141" s="127" t="n"/>
      <c r="Q2141" s="127" t="n"/>
      <c r="R2141" s="127" t="n"/>
      <c r="S2141" s="127" t="n"/>
      <c r="T2141" s="127" t="n"/>
      <c r="U2141" s="127" t="n"/>
      <c r="V2141" s="127" t="n"/>
      <c r="W2141" s="127" t="n"/>
      <c r="X2141" s="127" t="n"/>
      <c r="Y2141" s="127" t="n"/>
      <c r="Z2141" s="127" t="n"/>
    </row>
    <row r="2142">
      <c r="A2142" s="217" t="n"/>
      <c r="B2142" s="126" t="n"/>
      <c r="C2142" s="126" t="n"/>
      <c r="D2142" s="126" t="n"/>
      <c r="E2142" s="126" t="n"/>
      <c r="F2142" s="127" t="n"/>
      <c r="G2142" s="127" t="inlineStr"/>
      <c r="H2142" s="127" t="inlineStr"/>
      <c r="I2142" s="127" t="n"/>
      <c r="J2142" s="127" t="n"/>
      <c r="K2142" s="127" t="inlineStr"/>
      <c r="L2142" s="127" t="n"/>
      <c r="M2142" s="127" t="n"/>
      <c r="N2142" s="127" t="n"/>
      <c r="O2142" s="127" t="n"/>
      <c r="P2142" s="127" t="n"/>
      <c r="Q2142" s="127" t="n"/>
      <c r="R2142" s="127" t="n"/>
      <c r="S2142" s="127" t="n"/>
      <c r="T2142" s="127" t="n"/>
      <c r="U2142" s="127" t="n"/>
      <c r="V2142" s="127" t="n"/>
      <c r="W2142" s="127" t="n"/>
      <c r="X2142" s="127" t="n"/>
      <c r="Y2142" s="127" t="n"/>
      <c r="Z2142" s="127" t="n"/>
    </row>
    <row r="2143">
      <c r="A2143" s="217" t="n"/>
      <c r="B2143" s="126" t="n"/>
      <c r="C2143" s="126" t="n"/>
      <c r="D2143" s="126" t="n"/>
      <c r="E2143" s="126" t="n"/>
      <c r="F2143" s="127" t="n"/>
      <c r="G2143" s="127" t="inlineStr"/>
      <c r="H2143" s="127" t="inlineStr"/>
      <c r="I2143" s="127" t="n"/>
      <c r="J2143" s="127" t="n"/>
      <c r="K2143" s="127" t="inlineStr"/>
      <c r="L2143" s="127" t="n"/>
      <c r="M2143" s="127" t="n"/>
      <c r="N2143" s="127" t="n"/>
      <c r="O2143" s="127" t="n"/>
      <c r="P2143" s="127" t="n"/>
      <c r="Q2143" s="127" t="n"/>
      <c r="R2143" s="127" t="n"/>
      <c r="S2143" s="127" t="n"/>
      <c r="T2143" s="127" t="n"/>
      <c r="U2143" s="127" t="n"/>
      <c r="V2143" s="127" t="n"/>
      <c r="W2143" s="127" t="n"/>
      <c r="X2143" s="127" t="n"/>
      <c r="Y2143" s="127" t="n"/>
      <c r="Z2143" s="127" t="n"/>
    </row>
    <row r="2144">
      <c r="A2144" s="217" t="n"/>
      <c r="B2144" s="126" t="n"/>
      <c r="C2144" s="126" t="n"/>
      <c r="D2144" s="126" t="n"/>
      <c r="E2144" s="126" t="n"/>
      <c r="F2144" s="127" t="n"/>
      <c r="G2144" s="127" t="inlineStr"/>
      <c r="H2144" s="127" t="inlineStr"/>
      <c r="I2144" s="127" t="n"/>
      <c r="J2144" s="127" t="n"/>
      <c r="K2144" s="127" t="inlineStr"/>
      <c r="L2144" s="127" t="n"/>
      <c r="M2144" s="127" t="n"/>
      <c r="N2144" s="127" t="n"/>
      <c r="O2144" s="127" t="n"/>
      <c r="P2144" s="127" t="n"/>
      <c r="Q2144" s="127" t="n"/>
      <c r="R2144" s="127" t="n"/>
      <c r="S2144" s="127" t="n"/>
      <c r="T2144" s="127" t="n"/>
      <c r="U2144" s="127" t="n"/>
      <c r="V2144" s="127" t="n"/>
      <c r="W2144" s="127" t="n"/>
      <c r="X2144" s="127" t="n"/>
      <c r="Y2144" s="127" t="n"/>
      <c r="Z2144" s="127" t="n"/>
    </row>
    <row r="2145">
      <c r="A2145" s="217" t="n"/>
      <c r="B2145" s="126" t="n"/>
      <c r="C2145" s="126" t="n"/>
      <c r="D2145" s="126" t="n"/>
      <c r="E2145" s="126" t="n"/>
      <c r="F2145" s="127" t="n"/>
      <c r="G2145" s="127" t="inlineStr"/>
      <c r="H2145" s="127" t="inlineStr"/>
      <c r="I2145" s="127" t="n"/>
      <c r="J2145" s="127" t="n"/>
      <c r="K2145" s="127" t="inlineStr"/>
      <c r="L2145" s="127" t="n"/>
      <c r="M2145" s="127" t="n"/>
      <c r="N2145" s="127" t="n"/>
      <c r="O2145" s="127" t="n"/>
      <c r="P2145" s="127" t="n"/>
      <c r="Q2145" s="127" t="n"/>
      <c r="R2145" s="127" t="n"/>
      <c r="S2145" s="127" t="n"/>
      <c r="T2145" s="127" t="n"/>
      <c r="U2145" s="127" t="n"/>
      <c r="V2145" s="127" t="n"/>
      <c r="W2145" s="127" t="n"/>
      <c r="X2145" s="127" t="n"/>
      <c r="Y2145" s="127" t="n"/>
      <c r="Z2145" s="127" t="n"/>
    </row>
    <row r="2146">
      <c r="A2146" s="217" t="n"/>
      <c r="B2146" s="126" t="n"/>
      <c r="C2146" s="126" t="n"/>
      <c r="D2146" s="126" t="n"/>
      <c r="E2146" s="126" t="n"/>
      <c r="F2146" s="127" t="n"/>
      <c r="G2146" s="127" t="inlineStr"/>
      <c r="H2146" s="127" t="inlineStr"/>
      <c r="I2146" s="127" t="n"/>
      <c r="J2146" s="127" t="n"/>
      <c r="K2146" s="127" t="inlineStr"/>
      <c r="L2146" s="127" t="n"/>
      <c r="M2146" s="127" t="n"/>
      <c r="N2146" s="127" t="n"/>
      <c r="O2146" s="127" t="n"/>
      <c r="P2146" s="127" t="n"/>
      <c r="Q2146" s="127" t="n"/>
      <c r="R2146" s="127" t="n"/>
      <c r="S2146" s="127" t="n"/>
      <c r="T2146" s="127" t="n"/>
      <c r="U2146" s="127" t="n"/>
      <c r="V2146" s="127" t="n"/>
      <c r="W2146" s="127" t="n"/>
      <c r="X2146" s="127" t="n"/>
      <c r="Y2146" s="127" t="n"/>
      <c r="Z2146" s="127" t="n"/>
    </row>
    <row r="2147">
      <c r="A2147" s="217" t="n"/>
      <c r="B2147" s="126" t="n"/>
      <c r="C2147" s="126" t="n"/>
      <c r="D2147" s="126" t="n"/>
      <c r="E2147" s="126" t="n"/>
      <c r="F2147" s="127" t="n"/>
      <c r="G2147" s="127" t="inlineStr"/>
      <c r="H2147" s="127" t="inlineStr"/>
      <c r="I2147" s="127" t="n"/>
      <c r="J2147" s="127" t="n"/>
      <c r="K2147" s="127" t="inlineStr"/>
      <c r="L2147" s="127" t="n"/>
      <c r="M2147" s="127" t="n"/>
      <c r="N2147" s="127" t="n"/>
      <c r="O2147" s="127" t="n"/>
      <c r="P2147" s="127" t="n"/>
      <c r="Q2147" s="127" t="n"/>
      <c r="R2147" s="127" t="n"/>
      <c r="S2147" s="127" t="n"/>
      <c r="T2147" s="127" t="n"/>
      <c r="U2147" s="127" t="n"/>
      <c r="V2147" s="127" t="n"/>
      <c r="W2147" s="127" t="n"/>
      <c r="X2147" s="127" t="n"/>
      <c r="Y2147" s="127" t="n"/>
      <c r="Z2147" s="127" t="n"/>
    </row>
    <row r="2148">
      <c r="A2148" s="217" t="n"/>
      <c r="B2148" s="126" t="n"/>
      <c r="C2148" s="126" t="n"/>
      <c r="D2148" s="126" t="n"/>
      <c r="E2148" s="126" t="n"/>
      <c r="F2148" s="127" t="n"/>
      <c r="G2148" s="127" t="inlineStr"/>
      <c r="H2148" s="127" t="inlineStr"/>
      <c r="I2148" s="127" t="n"/>
      <c r="J2148" s="127" t="n"/>
      <c r="K2148" s="127" t="inlineStr"/>
      <c r="L2148" s="127" t="n"/>
      <c r="M2148" s="127" t="n"/>
      <c r="N2148" s="127" t="n"/>
      <c r="O2148" s="127" t="n"/>
      <c r="P2148" s="127" t="n"/>
      <c r="Q2148" s="127" t="n"/>
      <c r="R2148" s="127" t="n"/>
      <c r="S2148" s="127" t="n"/>
      <c r="T2148" s="127" t="n"/>
      <c r="U2148" s="127" t="n"/>
      <c r="V2148" s="127" t="n"/>
      <c r="W2148" s="127" t="n"/>
      <c r="X2148" s="127" t="n"/>
      <c r="Y2148" s="127" t="n"/>
      <c r="Z2148" s="127" t="n"/>
    </row>
    <row r="2149">
      <c r="A2149" s="217" t="n"/>
      <c r="B2149" s="126" t="n"/>
      <c r="C2149" s="126" t="n"/>
      <c r="D2149" s="126" t="n"/>
      <c r="E2149" s="126" t="n"/>
      <c r="F2149" s="127" t="n"/>
      <c r="G2149" s="127" t="inlineStr"/>
      <c r="H2149" s="127" t="inlineStr"/>
      <c r="I2149" s="127" t="n"/>
      <c r="J2149" s="127" t="n"/>
      <c r="K2149" s="127" t="inlineStr"/>
      <c r="L2149" s="127" t="n"/>
      <c r="M2149" s="127" t="n"/>
      <c r="N2149" s="127" t="n"/>
      <c r="O2149" s="127" t="n"/>
      <c r="P2149" s="127" t="n"/>
      <c r="Q2149" s="127" t="n"/>
      <c r="R2149" s="127" t="n"/>
      <c r="S2149" s="127" t="n"/>
      <c r="T2149" s="127" t="n"/>
      <c r="U2149" s="127" t="n"/>
      <c r="V2149" s="127" t="n"/>
      <c r="W2149" s="127" t="n"/>
      <c r="X2149" s="127" t="n"/>
      <c r="Y2149" s="127" t="n"/>
      <c r="Z2149" s="127" t="n"/>
    </row>
    <row r="2150">
      <c r="A2150" s="217" t="n"/>
      <c r="B2150" s="126" t="n"/>
      <c r="C2150" s="126" t="n"/>
      <c r="D2150" s="126" t="n"/>
      <c r="E2150" s="126" t="n"/>
      <c r="F2150" s="127" t="n"/>
      <c r="G2150" s="127" t="inlineStr"/>
      <c r="H2150" s="127" t="inlineStr"/>
      <c r="I2150" s="127" t="n"/>
      <c r="J2150" s="127" t="n"/>
      <c r="K2150" s="127" t="inlineStr"/>
      <c r="L2150" s="127" t="n"/>
      <c r="M2150" s="127" t="n"/>
      <c r="N2150" s="127" t="n"/>
      <c r="O2150" s="127" t="n"/>
      <c r="P2150" s="127" t="n"/>
      <c r="Q2150" s="127" t="n"/>
      <c r="R2150" s="127" t="n"/>
      <c r="S2150" s="127" t="n"/>
      <c r="T2150" s="127" t="n"/>
      <c r="U2150" s="127" t="n"/>
      <c r="V2150" s="127" t="n"/>
      <c r="W2150" s="127" t="n"/>
      <c r="X2150" s="127" t="n"/>
      <c r="Y2150" s="127" t="n"/>
      <c r="Z2150" s="127" t="n"/>
    </row>
    <row r="2151">
      <c r="A2151" s="217" t="n"/>
      <c r="B2151" s="126" t="n"/>
      <c r="C2151" s="126" t="n"/>
      <c r="D2151" s="126" t="n"/>
      <c r="E2151" s="126" t="n"/>
      <c r="F2151" s="127" t="n"/>
      <c r="G2151" s="127" t="inlineStr"/>
      <c r="H2151" s="127" t="inlineStr"/>
      <c r="I2151" s="127" t="n"/>
      <c r="J2151" s="127" t="n"/>
      <c r="K2151" s="127" t="inlineStr"/>
      <c r="L2151" s="127" t="n"/>
      <c r="M2151" s="127" t="n"/>
      <c r="N2151" s="127" t="n"/>
      <c r="O2151" s="127" t="n"/>
      <c r="P2151" s="127" t="n"/>
      <c r="Q2151" s="127" t="n"/>
      <c r="R2151" s="127" t="n"/>
      <c r="S2151" s="127" t="n"/>
      <c r="T2151" s="127" t="n"/>
      <c r="U2151" s="127" t="n"/>
      <c r="V2151" s="127" t="n"/>
      <c r="W2151" s="127" t="n"/>
      <c r="X2151" s="127" t="n"/>
      <c r="Y2151" s="127" t="n"/>
      <c r="Z2151" s="127" t="n"/>
    </row>
    <row r="2152">
      <c r="A2152" s="217" t="n"/>
      <c r="B2152" s="126" t="n"/>
      <c r="C2152" s="126" t="n"/>
      <c r="D2152" s="126" t="n"/>
      <c r="E2152" s="126" t="n"/>
      <c r="F2152" s="127" t="n"/>
      <c r="G2152" s="127" t="inlineStr"/>
      <c r="H2152" s="127" t="inlineStr"/>
      <c r="I2152" s="127" t="n"/>
      <c r="J2152" s="127" t="n"/>
      <c r="K2152" s="127" t="inlineStr"/>
      <c r="L2152" s="127" t="n"/>
      <c r="M2152" s="127" t="n"/>
      <c r="N2152" s="127" t="n"/>
      <c r="O2152" s="127" t="n"/>
      <c r="P2152" s="127" t="n"/>
      <c r="Q2152" s="127" t="n"/>
      <c r="R2152" s="127" t="n"/>
      <c r="S2152" s="127" t="n"/>
      <c r="T2152" s="127" t="n"/>
      <c r="U2152" s="127" t="n"/>
      <c r="V2152" s="127" t="n"/>
      <c r="W2152" s="127" t="n"/>
      <c r="X2152" s="127" t="n"/>
      <c r="Y2152" s="127" t="n"/>
      <c r="Z2152" s="127" t="n"/>
    </row>
    <row r="2153">
      <c r="A2153" s="217" t="n"/>
      <c r="B2153" s="126" t="n"/>
      <c r="C2153" s="126" t="n"/>
      <c r="D2153" s="126" t="n"/>
      <c r="E2153" s="126" t="n"/>
      <c r="F2153" s="127" t="n"/>
      <c r="G2153" s="127" t="inlineStr"/>
      <c r="H2153" s="127" t="inlineStr"/>
      <c r="I2153" s="127" t="n"/>
      <c r="J2153" s="127" t="n"/>
      <c r="K2153" s="127" t="inlineStr"/>
      <c r="L2153" s="127" t="n"/>
      <c r="M2153" s="127" t="n"/>
      <c r="N2153" s="127" t="n"/>
      <c r="O2153" s="127" t="n"/>
      <c r="P2153" s="127" t="n"/>
      <c r="Q2153" s="127" t="n"/>
      <c r="R2153" s="127" t="n"/>
      <c r="S2153" s="127" t="n"/>
      <c r="T2153" s="127" t="n"/>
      <c r="U2153" s="127" t="n"/>
      <c r="V2153" s="127" t="n"/>
      <c r="W2153" s="127" t="n"/>
      <c r="X2153" s="127" t="n"/>
      <c r="Y2153" s="127" t="n"/>
      <c r="Z2153" s="127" t="n"/>
    </row>
    <row r="2154">
      <c r="A2154" s="217" t="n"/>
      <c r="B2154" s="126" t="n"/>
      <c r="C2154" s="126" t="n"/>
      <c r="D2154" s="126" t="n"/>
      <c r="E2154" s="126" t="n"/>
      <c r="F2154" s="127" t="n"/>
      <c r="G2154" s="127" t="inlineStr"/>
      <c r="H2154" s="127" t="inlineStr"/>
      <c r="I2154" s="127" t="n"/>
      <c r="J2154" s="127" t="n"/>
      <c r="K2154" s="127" t="inlineStr"/>
      <c r="L2154" s="127" t="n"/>
      <c r="M2154" s="127" t="n"/>
      <c r="N2154" s="127" t="n"/>
      <c r="O2154" s="127" t="n"/>
      <c r="P2154" s="127" t="n"/>
      <c r="Q2154" s="127" t="n"/>
      <c r="R2154" s="127" t="n"/>
      <c r="S2154" s="127" t="n"/>
      <c r="T2154" s="127" t="n"/>
      <c r="U2154" s="127" t="n"/>
      <c r="V2154" s="127" t="n"/>
      <c r="W2154" s="127" t="n"/>
      <c r="X2154" s="127" t="n"/>
      <c r="Y2154" s="127" t="n"/>
      <c r="Z2154" s="127" t="n"/>
    </row>
    <row r="2155">
      <c r="A2155" s="217" t="n"/>
      <c r="B2155" s="126" t="n"/>
      <c r="C2155" s="126" t="n"/>
      <c r="D2155" s="126" t="n"/>
      <c r="E2155" s="126" t="n"/>
      <c r="F2155" s="127" t="n"/>
      <c r="G2155" s="127" t="inlineStr"/>
      <c r="H2155" s="127" t="inlineStr"/>
      <c r="I2155" s="127" t="n"/>
      <c r="J2155" s="127" t="n"/>
      <c r="K2155" s="127" t="inlineStr"/>
      <c r="L2155" s="127" t="n"/>
      <c r="M2155" s="127" t="n"/>
      <c r="N2155" s="127" t="n"/>
      <c r="O2155" s="127" t="n"/>
      <c r="P2155" s="127" t="n"/>
      <c r="Q2155" s="127" t="n"/>
      <c r="R2155" s="127" t="n"/>
      <c r="S2155" s="127" t="n"/>
      <c r="T2155" s="127" t="n"/>
      <c r="U2155" s="127" t="n"/>
      <c r="V2155" s="127" t="n"/>
      <c r="W2155" s="127" t="n"/>
      <c r="X2155" s="127" t="n"/>
      <c r="Y2155" s="127" t="n"/>
      <c r="Z2155" s="127" t="n"/>
    </row>
    <row r="2156">
      <c r="A2156" s="217" t="n"/>
      <c r="B2156" s="126" t="n"/>
      <c r="C2156" s="126" t="n"/>
      <c r="D2156" s="126" t="n"/>
      <c r="E2156" s="126" t="n"/>
      <c r="F2156" s="127" t="n"/>
      <c r="G2156" s="127" t="inlineStr"/>
      <c r="H2156" s="127" t="inlineStr"/>
      <c r="I2156" s="127" t="n"/>
      <c r="J2156" s="127" t="n"/>
      <c r="K2156" s="127" t="inlineStr"/>
      <c r="L2156" s="127" t="n"/>
      <c r="M2156" s="127" t="n"/>
      <c r="N2156" s="127" t="n"/>
      <c r="O2156" s="127" t="n"/>
      <c r="P2156" s="127" t="n"/>
      <c r="Q2156" s="127" t="n"/>
      <c r="R2156" s="127" t="n"/>
      <c r="S2156" s="127" t="n"/>
      <c r="T2156" s="127" t="n"/>
      <c r="U2156" s="127" t="n"/>
      <c r="V2156" s="127" t="n"/>
      <c r="W2156" s="127" t="n"/>
      <c r="X2156" s="127" t="n"/>
      <c r="Y2156" s="127" t="n"/>
      <c r="Z2156" s="127" t="n"/>
    </row>
    <row r="2157">
      <c r="A2157" s="217" t="n"/>
      <c r="B2157" s="126" t="n"/>
      <c r="C2157" s="126" t="n"/>
      <c r="D2157" s="126" t="n"/>
      <c r="E2157" s="126" t="n"/>
      <c r="F2157" s="127" t="n"/>
      <c r="G2157" s="127" t="inlineStr"/>
      <c r="H2157" s="127" t="inlineStr"/>
      <c r="I2157" s="127" t="n"/>
      <c r="J2157" s="127" t="n"/>
      <c r="K2157" s="127" t="inlineStr"/>
      <c r="L2157" s="127" t="n"/>
      <c r="M2157" s="127" t="n"/>
      <c r="N2157" s="127" t="n"/>
      <c r="O2157" s="127" t="n"/>
      <c r="P2157" s="127" t="n"/>
      <c r="Q2157" s="127" t="n"/>
      <c r="R2157" s="127" t="n"/>
      <c r="S2157" s="127" t="n"/>
      <c r="T2157" s="127" t="n"/>
      <c r="U2157" s="127" t="n"/>
      <c r="V2157" s="127" t="n"/>
      <c r="W2157" s="127" t="n"/>
      <c r="X2157" s="127" t="n"/>
      <c r="Y2157" s="127" t="n"/>
      <c r="Z2157" s="127" t="n"/>
    </row>
    <row r="2158">
      <c r="A2158" s="217" t="n"/>
      <c r="B2158" s="126" t="n"/>
      <c r="C2158" s="126" t="n"/>
      <c r="D2158" s="126" t="n"/>
      <c r="E2158" s="126" t="n"/>
      <c r="F2158" s="127" t="n"/>
      <c r="G2158" s="127" t="inlineStr"/>
      <c r="H2158" s="127" t="inlineStr"/>
      <c r="I2158" s="127" t="n"/>
      <c r="J2158" s="127" t="n"/>
      <c r="K2158" s="127" t="inlineStr"/>
      <c r="L2158" s="127" t="n"/>
      <c r="M2158" s="127" t="n"/>
      <c r="N2158" s="127" t="n"/>
      <c r="O2158" s="127" t="n"/>
      <c r="P2158" s="127" t="n"/>
      <c r="Q2158" s="127" t="n"/>
      <c r="R2158" s="127" t="n"/>
      <c r="S2158" s="127" t="n"/>
      <c r="T2158" s="127" t="n"/>
      <c r="U2158" s="127" t="n"/>
      <c r="V2158" s="127" t="n"/>
      <c r="W2158" s="127" t="n"/>
      <c r="X2158" s="127" t="n"/>
      <c r="Y2158" s="127" t="n"/>
      <c r="Z2158" s="127" t="n"/>
    </row>
    <row r="2159">
      <c r="A2159" s="217" t="n"/>
      <c r="B2159" s="126" t="n"/>
      <c r="C2159" s="126" t="n"/>
      <c r="D2159" s="126" t="n"/>
      <c r="E2159" s="126" t="n"/>
      <c r="F2159" s="127" t="n"/>
      <c r="G2159" s="127" t="inlineStr"/>
      <c r="H2159" s="127" t="inlineStr"/>
      <c r="I2159" s="127" t="n"/>
      <c r="J2159" s="127" t="n"/>
      <c r="K2159" s="127" t="inlineStr"/>
      <c r="L2159" s="127" t="n"/>
      <c r="M2159" s="127" t="n"/>
      <c r="N2159" s="127" t="n"/>
      <c r="O2159" s="127" t="n"/>
      <c r="P2159" s="127" t="n"/>
      <c r="Q2159" s="127" t="n"/>
      <c r="R2159" s="127" t="n"/>
      <c r="S2159" s="127" t="n"/>
      <c r="T2159" s="127" t="n"/>
      <c r="U2159" s="127" t="n"/>
      <c r="V2159" s="127" t="n"/>
      <c r="W2159" s="127" t="n"/>
      <c r="X2159" s="127" t="n"/>
      <c r="Y2159" s="127" t="n"/>
      <c r="Z2159" s="127" t="n"/>
    </row>
    <row r="2160">
      <c r="A2160" s="217" t="n"/>
      <c r="B2160" s="126" t="n"/>
      <c r="C2160" s="126" t="n"/>
      <c r="D2160" s="126" t="n"/>
      <c r="E2160" s="126" t="n"/>
      <c r="F2160" s="127" t="n"/>
      <c r="G2160" s="127" t="inlineStr"/>
      <c r="H2160" s="127" t="inlineStr"/>
      <c r="I2160" s="127" t="n"/>
      <c r="J2160" s="127" t="n"/>
      <c r="K2160" s="127" t="inlineStr"/>
      <c r="L2160" s="127" t="n"/>
      <c r="M2160" s="127" t="n"/>
      <c r="N2160" s="127" t="n"/>
      <c r="O2160" s="127" t="n"/>
      <c r="P2160" s="127" t="n"/>
      <c r="Q2160" s="127" t="n"/>
      <c r="R2160" s="127" t="n"/>
      <c r="S2160" s="127" t="n"/>
      <c r="T2160" s="127" t="n"/>
      <c r="U2160" s="127" t="n"/>
      <c r="V2160" s="127" t="n"/>
      <c r="W2160" s="127" t="n"/>
      <c r="X2160" s="127" t="n"/>
      <c r="Y2160" s="127" t="n"/>
      <c r="Z2160" s="127" t="n"/>
    </row>
    <row r="2161">
      <c r="A2161" s="217" t="n"/>
      <c r="B2161" s="126" t="n"/>
      <c r="C2161" s="126" t="n"/>
      <c r="D2161" s="126" t="n"/>
      <c r="E2161" s="126" t="n"/>
      <c r="F2161" s="127" t="n"/>
      <c r="G2161" s="127" t="inlineStr"/>
      <c r="H2161" s="127" t="inlineStr"/>
      <c r="I2161" s="127" t="n"/>
      <c r="J2161" s="127" t="n"/>
      <c r="K2161" s="127" t="inlineStr"/>
      <c r="L2161" s="127" t="n"/>
      <c r="M2161" s="127" t="n"/>
      <c r="N2161" s="127" t="n"/>
      <c r="O2161" s="127" t="n"/>
      <c r="P2161" s="127" t="n"/>
      <c r="Q2161" s="127" t="n"/>
      <c r="R2161" s="127" t="n"/>
      <c r="S2161" s="127" t="n"/>
      <c r="T2161" s="127" t="n"/>
      <c r="U2161" s="127" t="n"/>
      <c r="V2161" s="127" t="n"/>
      <c r="W2161" s="127" t="n"/>
      <c r="X2161" s="127" t="n"/>
      <c r="Y2161" s="127" t="n"/>
      <c r="Z2161" s="127" t="n"/>
    </row>
    <row r="2162">
      <c r="A2162" s="217" t="n"/>
      <c r="B2162" s="126" t="n"/>
      <c r="C2162" s="126" t="n"/>
      <c r="D2162" s="126" t="n"/>
      <c r="E2162" s="126" t="n"/>
      <c r="F2162" s="127" t="n"/>
      <c r="G2162" s="127" t="inlineStr"/>
      <c r="H2162" s="127" t="inlineStr"/>
      <c r="I2162" s="127" t="n"/>
      <c r="J2162" s="127" t="n"/>
      <c r="K2162" s="127" t="inlineStr"/>
      <c r="L2162" s="127" t="n"/>
      <c r="M2162" s="127" t="n"/>
      <c r="N2162" s="127" t="n"/>
      <c r="O2162" s="127" t="n"/>
      <c r="P2162" s="127" t="n"/>
      <c r="Q2162" s="127" t="n"/>
      <c r="R2162" s="127" t="n"/>
      <c r="S2162" s="127" t="n"/>
      <c r="T2162" s="127" t="n"/>
      <c r="U2162" s="127" t="n"/>
      <c r="V2162" s="127" t="n"/>
      <c r="W2162" s="127" t="n"/>
      <c r="X2162" s="127" t="n"/>
      <c r="Y2162" s="127" t="n"/>
      <c r="Z2162" s="127" t="n"/>
    </row>
    <row r="2163">
      <c r="A2163" s="217" t="n"/>
      <c r="B2163" s="126" t="n"/>
      <c r="C2163" s="126" t="n"/>
      <c r="D2163" s="126" t="n"/>
      <c r="E2163" s="126" t="n"/>
      <c r="F2163" s="127" t="n"/>
      <c r="G2163" s="127" t="inlineStr"/>
      <c r="H2163" s="127" t="inlineStr"/>
      <c r="I2163" s="127" t="n"/>
      <c r="J2163" s="127" t="n"/>
      <c r="K2163" s="127" t="inlineStr"/>
      <c r="L2163" s="127" t="n"/>
      <c r="M2163" s="127" t="n"/>
      <c r="N2163" s="127" t="n"/>
      <c r="O2163" s="127" t="n"/>
      <c r="P2163" s="127" t="n"/>
      <c r="Q2163" s="127" t="n"/>
      <c r="R2163" s="127" t="n"/>
      <c r="S2163" s="127" t="n"/>
      <c r="T2163" s="127" t="n"/>
      <c r="U2163" s="127" t="n"/>
      <c r="V2163" s="127" t="n"/>
      <c r="W2163" s="127" t="n"/>
      <c r="X2163" s="127" t="n"/>
      <c r="Y2163" s="127" t="n"/>
      <c r="Z2163" s="127" t="n"/>
    </row>
    <row r="2164">
      <c r="A2164" s="217" t="n"/>
      <c r="B2164" s="126" t="n"/>
      <c r="C2164" s="126" t="n"/>
      <c r="D2164" s="126" t="n"/>
      <c r="E2164" s="126" t="n"/>
      <c r="F2164" s="127" t="n"/>
      <c r="G2164" s="127" t="inlineStr"/>
      <c r="H2164" s="127" t="inlineStr"/>
      <c r="I2164" s="127" t="n"/>
      <c r="J2164" s="127" t="n"/>
      <c r="K2164" s="127" t="inlineStr"/>
      <c r="L2164" s="127" t="n"/>
      <c r="M2164" s="127" t="n"/>
      <c r="N2164" s="127" t="n"/>
      <c r="O2164" s="127" t="n"/>
      <c r="P2164" s="127" t="n"/>
      <c r="Q2164" s="127" t="n"/>
      <c r="R2164" s="127" t="n"/>
      <c r="S2164" s="127" t="n"/>
      <c r="T2164" s="127" t="n"/>
      <c r="U2164" s="127" t="n"/>
      <c r="V2164" s="127" t="n"/>
      <c r="W2164" s="127" t="n"/>
      <c r="X2164" s="127" t="n"/>
      <c r="Y2164" s="127" t="n"/>
      <c r="Z2164" s="127" t="n"/>
    </row>
    <row r="2165">
      <c r="A2165" s="217" t="n"/>
      <c r="B2165" s="126" t="n"/>
      <c r="C2165" s="126" t="n"/>
      <c r="D2165" s="126" t="n"/>
      <c r="E2165" s="126" t="n"/>
      <c r="F2165" s="127" t="n"/>
      <c r="G2165" s="127" t="inlineStr"/>
      <c r="H2165" s="127" t="inlineStr"/>
      <c r="I2165" s="127" t="n"/>
      <c r="J2165" s="127" t="n"/>
      <c r="K2165" s="127" t="inlineStr"/>
      <c r="L2165" s="127" t="n"/>
      <c r="M2165" s="127" t="n"/>
      <c r="N2165" s="127" t="n"/>
      <c r="O2165" s="127" t="n"/>
      <c r="P2165" s="127" t="n"/>
      <c r="Q2165" s="127" t="n"/>
      <c r="R2165" s="127" t="n"/>
      <c r="S2165" s="127" t="n"/>
      <c r="T2165" s="127" t="n"/>
      <c r="U2165" s="127" t="n"/>
      <c r="V2165" s="127" t="n"/>
      <c r="W2165" s="127" t="n"/>
      <c r="X2165" s="127" t="n"/>
      <c r="Y2165" s="127" t="n"/>
      <c r="Z2165" s="127" t="n"/>
    </row>
    <row r="2166">
      <c r="A2166" s="217" t="n"/>
      <c r="B2166" s="126" t="n"/>
      <c r="C2166" s="126" t="n"/>
      <c r="D2166" s="126" t="n"/>
      <c r="E2166" s="126" t="n"/>
      <c r="F2166" s="127" t="n"/>
      <c r="G2166" s="127" t="inlineStr"/>
      <c r="H2166" s="127" t="inlineStr"/>
      <c r="I2166" s="127" t="n"/>
      <c r="J2166" s="127" t="n"/>
      <c r="K2166" s="127" t="inlineStr"/>
      <c r="L2166" s="127" t="n"/>
      <c r="M2166" s="127" t="n"/>
      <c r="N2166" s="127" t="n"/>
      <c r="O2166" s="127" t="n"/>
      <c r="P2166" s="127" t="n"/>
      <c r="Q2166" s="127" t="n"/>
      <c r="R2166" s="127" t="n"/>
      <c r="S2166" s="127" t="n"/>
      <c r="T2166" s="127" t="n"/>
      <c r="U2166" s="127" t="n"/>
      <c r="V2166" s="127" t="n"/>
      <c r="W2166" s="127" t="n"/>
      <c r="X2166" s="127" t="n"/>
      <c r="Y2166" s="127" t="n"/>
      <c r="Z2166" s="127" t="n"/>
    </row>
    <row r="2167">
      <c r="A2167" s="217" t="n"/>
      <c r="B2167" s="126" t="n"/>
      <c r="C2167" s="126" t="n"/>
      <c r="D2167" s="126" t="n"/>
      <c r="E2167" s="126" t="n"/>
      <c r="F2167" s="127" t="n"/>
      <c r="G2167" s="127" t="inlineStr"/>
      <c r="H2167" s="127" t="inlineStr"/>
      <c r="I2167" s="127" t="n"/>
      <c r="J2167" s="127" t="n"/>
      <c r="K2167" s="127" t="inlineStr"/>
      <c r="L2167" s="127" t="n"/>
      <c r="M2167" s="127" t="n"/>
      <c r="N2167" s="127" t="n"/>
      <c r="O2167" s="127" t="n"/>
      <c r="P2167" s="127" t="n"/>
      <c r="Q2167" s="127" t="n"/>
      <c r="R2167" s="127" t="n"/>
      <c r="S2167" s="127" t="n"/>
      <c r="T2167" s="127" t="n"/>
      <c r="U2167" s="127" t="n"/>
      <c r="V2167" s="127" t="n"/>
      <c r="W2167" s="127" t="n"/>
      <c r="X2167" s="127" t="n"/>
      <c r="Y2167" s="127" t="n"/>
      <c r="Z2167" s="127" t="n"/>
    </row>
    <row r="2168">
      <c r="A2168" s="217" t="n"/>
      <c r="B2168" s="126" t="n"/>
      <c r="C2168" s="126" t="n"/>
      <c r="D2168" s="126" t="n"/>
      <c r="E2168" s="126" t="n"/>
      <c r="F2168" s="127" t="n"/>
      <c r="G2168" s="127" t="inlineStr"/>
      <c r="H2168" s="127" t="inlineStr"/>
      <c r="I2168" s="127" t="n"/>
      <c r="J2168" s="127" t="n"/>
      <c r="K2168" s="127" t="inlineStr"/>
      <c r="L2168" s="127" t="n"/>
      <c r="M2168" s="127" t="n"/>
      <c r="N2168" s="127" t="n"/>
      <c r="O2168" s="127" t="n"/>
      <c r="P2168" s="127" t="n"/>
      <c r="Q2168" s="127" t="n"/>
      <c r="R2168" s="127" t="n"/>
      <c r="S2168" s="127" t="n"/>
      <c r="T2168" s="127" t="n"/>
      <c r="U2168" s="127" t="n"/>
      <c r="V2168" s="127" t="n"/>
      <c r="W2168" s="127" t="n"/>
      <c r="X2168" s="127" t="n"/>
      <c r="Y2168" s="127" t="n"/>
      <c r="Z2168" s="127" t="n"/>
    </row>
    <row r="2169">
      <c r="A2169" s="217" t="n"/>
      <c r="B2169" s="126" t="n"/>
      <c r="C2169" s="126" t="n"/>
      <c r="D2169" s="126" t="n"/>
      <c r="E2169" s="126" t="n"/>
      <c r="F2169" s="127" t="n"/>
      <c r="G2169" s="127" t="inlineStr"/>
      <c r="H2169" s="127" t="inlineStr"/>
      <c r="I2169" s="127" t="n"/>
      <c r="J2169" s="127" t="n"/>
      <c r="K2169" s="127" t="inlineStr"/>
      <c r="L2169" s="127" t="n"/>
      <c r="M2169" s="127" t="n"/>
      <c r="N2169" s="127" t="n"/>
      <c r="O2169" s="127" t="n"/>
      <c r="P2169" s="127" t="n"/>
      <c r="Q2169" s="127" t="n"/>
      <c r="R2169" s="127" t="n"/>
      <c r="S2169" s="127" t="n"/>
      <c r="T2169" s="127" t="n"/>
      <c r="U2169" s="127" t="n"/>
      <c r="V2169" s="127" t="n"/>
      <c r="W2169" s="127" t="n"/>
      <c r="X2169" s="127" t="n"/>
      <c r="Y2169" s="127" t="n"/>
      <c r="Z2169" s="127" t="n"/>
    </row>
    <row r="2170">
      <c r="A2170" s="217" t="n"/>
      <c r="B2170" s="126" t="n"/>
      <c r="C2170" s="126" t="n"/>
      <c r="D2170" s="126" t="n"/>
      <c r="E2170" s="126" t="n"/>
      <c r="F2170" s="127" t="n"/>
      <c r="G2170" s="127" t="inlineStr"/>
      <c r="H2170" s="127" t="inlineStr"/>
      <c r="I2170" s="127" t="n"/>
      <c r="J2170" s="127" t="n"/>
      <c r="K2170" s="127" t="inlineStr"/>
      <c r="L2170" s="127" t="n"/>
      <c r="M2170" s="127" t="n"/>
      <c r="N2170" s="127" t="n"/>
      <c r="O2170" s="127" t="n"/>
      <c r="P2170" s="127" t="n"/>
      <c r="Q2170" s="127" t="n"/>
      <c r="R2170" s="127" t="n"/>
      <c r="S2170" s="127" t="n"/>
      <c r="T2170" s="127" t="n"/>
      <c r="U2170" s="127" t="n"/>
      <c r="V2170" s="127" t="n"/>
      <c r="W2170" s="127" t="n"/>
      <c r="X2170" s="127" t="n"/>
      <c r="Y2170" s="127" t="n"/>
      <c r="Z2170" s="127" t="n"/>
    </row>
    <row r="2171">
      <c r="A2171" s="217" t="n"/>
      <c r="B2171" s="126" t="n"/>
      <c r="C2171" s="126" t="n"/>
      <c r="D2171" s="126" t="n"/>
      <c r="E2171" s="126" t="n"/>
      <c r="F2171" s="127" t="n"/>
      <c r="G2171" s="127" t="inlineStr"/>
      <c r="H2171" s="127" t="inlineStr"/>
      <c r="I2171" s="127" t="n"/>
      <c r="J2171" s="127" t="n"/>
      <c r="K2171" s="127" t="inlineStr"/>
      <c r="L2171" s="127" t="n"/>
      <c r="M2171" s="127" t="n"/>
      <c r="N2171" s="127" t="n"/>
      <c r="O2171" s="127" t="n"/>
      <c r="P2171" s="127" t="n"/>
      <c r="Q2171" s="127" t="n"/>
      <c r="R2171" s="127" t="n"/>
      <c r="S2171" s="127" t="n"/>
      <c r="T2171" s="127" t="n"/>
      <c r="U2171" s="127" t="n"/>
      <c r="V2171" s="127" t="n"/>
      <c r="W2171" s="127" t="n"/>
      <c r="X2171" s="127" t="n"/>
      <c r="Y2171" s="127" t="n"/>
      <c r="Z2171" s="127" t="n"/>
    </row>
    <row r="2172">
      <c r="A2172" s="217" t="n"/>
      <c r="B2172" s="126" t="n"/>
      <c r="C2172" s="126" t="n"/>
      <c r="D2172" s="126" t="n"/>
      <c r="E2172" s="126" t="n"/>
      <c r="F2172" s="127" t="n"/>
      <c r="G2172" s="127" t="inlineStr"/>
      <c r="H2172" s="127" t="inlineStr"/>
      <c r="I2172" s="127" t="n"/>
      <c r="J2172" s="127" t="n"/>
      <c r="K2172" s="127" t="inlineStr"/>
      <c r="L2172" s="127" t="n"/>
      <c r="M2172" s="127" t="n"/>
      <c r="N2172" s="127" t="n"/>
      <c r="O2172" s="127" t="n"/>
      <c r="P2172" s="127" t="n"/>
      <c r="Q2172" s="127" t="n"/>
      <c r="R2172" s="127" t="n"/>
      <c r="S2172" s="127" t="n"/>
      <c r="T2172" s="127" t="n"/>
      <c r="U2172" s="127" t="n"/>
      <c r="V2172" s="127" t="n"/>
      <c r="W2172" s="127" t="n"/>
      <c r="X2172" s="127" t="n"/>
      <c r="Y2172" s="127" t="n"/>
      <c r="Z2172" s="127" t="n"/>
    </row>
    <row r="2173">
      <c r="A2173" s="217" t="n"/>
      <c r="B2173" s="126" t="n"/>
      <c r="C2173" s="126" t="n"/>
      <c r="D2173" s="126" t="n"/>
      <c r="E2173" s="126" t="n"/>
      <c r="F2173" s="127" t="n"/>
      <c r="G2173" s="127" t="inlineStr"/>
      <c r="H2173" s="127" t="inlineStr"/>
      <c r="I2173" s="127" t="n"/>
      <c r="J2173" s="127" t="n"/>
      <c r="K2173" s="127" t="inlineStr"/>
      <c r="L2173" s="127" t="n"/>
      <c r="M2173" s="127" t="n"/>
      <c r="N2173" s="127" t="n"/>
      <c r="O2173" s="127" t="n"/>
      <c r="P2173" s="127" t="n"/>
      <c r="Q2173" s="127" t="n"/>
      <c r="R2173" s="127" t="n"/>
      <c r="S2173" s="127" t="n"/>
      <c r="T2173" s="127" t="n"/>
      <c r="U2173" s="127" t="n"/>
      <c r="V2173" s="127" t="n"/>
      <c r="W2173" s="127" t="n"/>
      <c r="X2173" s="127" t="n"/>
      <c r="Y2173" s="127" t="n"/>
      <c r="Z2173" s="127" t="n"/>
    </row>
    <row r="2174">
      <c r="A2174" s="217" t="n"/>
      <c r="B2174" s="126" t="n"/>
      <c r="C2174" s="126" t="n"/>
      <c r="D2174" s="126" t="n"/>
      <c r="E2174" s="126" t="n"/>
      <c r="F2174" s="127" t="n"/>
      <c r="G2174" s="127" t="inlineStr"/>
      <c r="H2174" s="127" t="inlineStr"/>
      <c r="I2174" s="127" t="n"/>
      <c r="J2174" s="127" t="n"/>
      <c r="K2174" s="127" t="inlineStr"/>
      <c r="L2174" s="127" t="n"/>
      <c r="M2174" s="127" t="n"/>
      <c r="N2174" s="127" t="n"/>
      <c r="O2174" s="127" t="n"/>
      <c r="P2174" s="127" t="n"/>
      <c r="Q2174" s="127" t="n"/>
      <c r="R2174" s="127" t="n"/>
      <c r="S2174" s="127" t="n"/>
      <c r="T2174" s="127" t="n"/>
      <c r="U2174" s="127" t="n"/>
      <c r="V2174" s="127" t="n"/>
      <c r="W2174" s="127" t="n"/>
      <c r="X2174" s="127" t="n"/>
      <c r="Y2174" s="127" t="n"/>
      <c r="Z2174" s="127" t="n"/>
    </row>
    <row r="2175">
      <c r="A2175" s="217" t="n"/>
      <c r="B2175" s="126" t="n"/>
      <c r="C2175" s="126" t="n"/>
      <c r="D2175" s="126" t="n"/>
      <c r="E2175" s="126" t="n"/>
      <c r="F2175" s="127" t="n"/>
      <c r="G2175" s="127" t="inlineStr"/>
      <c r="H2175" s="127" t="inlineStr"/>
      <c r="I2175" s="127" t="n"/>
      <c r="J2175" s="127" t="n"/>
      <c r="K2175" s="127" t="inlineStr"/>
      <c r="L2175" s="127" t="n"/>
      <c r="M2175" s="127" t="n"/>
      <c r="N2175" s="127" t="n"/>
      <c r="O2175" s="127" t="n"/>
      <c r="P2175" s="127" t="n"/>
      <c r="Q2175" s="127" t="n"/>
      <c r="R2175" s="127" t="n"/>
      <c r="S2175" s="127" t="n"/>
      <c r="T2175" s="127" t="n"/>
      <c r="U2175" s="127" t="n"/>
      <c r="V2175" s="127" t="n"/>
      <c r="W2175" s="127" t="n"/>
      <c r="X2175" s="127" t="n"/>
      <c r="Y2175" s="127" t="n"/>
      <c r="Z2175" s="127" t="n"/>
    </row>
    <row r="2176">
      <c r="A2176" s="217" t="n"/>
      <c r="B2176" s="126" t="n"/>
      <c r="C2176" s="126" t="n"/>
      <c r="D2176" s="126" t="n"/>
      <c r="E2176" s="126" t="n"/>
      <c r="F2176" s="127" t="n"/>
      <c r="G2176" s="127" t="inlineStr"/>
      <c r="H2176" s="127" t="inlineStr"/>
      <c r="I2176" s="127" t="n"/>
      <c r="J2176" s="127" t="n"/>
      <c r="K2176" s="127" t="inlineStr"/>
      <c r="L2176" s="127" t="n"/>
      <c r="M2176" s="127" t="n"/>
      <c r="N2176" s="127" t="n"/>
      <c r="O2176" s="127" t="n"/>
      <c r="P2176" s="127" t="n"/>
      <c r="Q2176" s="127" t="n"/>
      <c r="R2176" s="127" t="n"/>
      <c r="S2176" s="127" t="n"/>
      <c r="T2176" s="127" t="n"/>
      <c r="U2176" s="127" t="n"/>
      <c r="V2176" s="127" t="n"/>
      <c r="W2176" s="127" t="n"/>
      <c r="X2176" s="127" t="n"/>
      <c r="Y2176" s="127" t="n"/>
      <c r="Z2176" s="127" t="n"/>
    </row>
    <row r="2177">
      <c r="A2177" s="217" t="n"/>
      <c r="B2177" s="126" t="n"/>
      <c r="C2177" s="126" t="n"/>
      <c r="D2177" s="126" t="n"/>
      <c r="E2177" s="126" t="n"/>
      <c r="F2177" s="127" t="n"/>
      <c r="G2177" s="127" t="inlineStr"/>
      <c r="H2177" s="127" t="inlineStr"/>
      <c r="I2177" s="127" t="n"/>
      <c r="J2177" s="127" t="n"/>
      <c r="K2177" s="127" t="inlineStr"/>
      <c r="L2177" s="127" t="n"/>
      <c r="M2177" s="127" t="n"/>
      <c r="N2177" s="127" t="n"/>
      <c r="O2177" s="127" t="n"/>
      <c r="P2177" s="127" t="n"/>
      <c r="Q2177" s="127" t="n"/>
      <c r="R2177" s="127" t="n"/>
      <c r="S2177" s="127" t="n"/>
      <c r="T2177" s="127" t="n"/>
      <c r="U2177" s="127" t="n"/>
      <c r="V2177" s="127" t="n"/>
      <c r="W2177" s="127" t="n"/>
      <c r="X2177" s="127" t="n"/>
      <c r="Y2177" s="127" t="n"/>
      <c r="Z2177" s="127" t="n"/>
    </row>
    <row r="2178">
      <c r="A2178" s="217" t="n"/>
      <c r="B2178" s="126" t="n"/>
      <c r="C2178" s="126" t="n"/>
      <c r="D2178" s="126" t="n"/>
      <c r="E2178" s="126" t="n"/>
      <c r="F2178" s="127" t="n"/>
      <c r="G2178" s="127" t="inlineStr"/>
      <c r="H2178" s="127" t="inlineStr"/>
      <c r="I2178" s="127" t="n"/>
      <c r="J2178" s="127" t="n"/>
      <c r="K2178" s="127" t="inlineStr"/>
      <c r="L2178" s="127" t="n"/>
      <c r="M2178" s="127" t="n"/>
      <c r="N2178" s="127" t="n"/>
      <c r="O2178" s="127" t="n"/>
      <c r="P2178" s="127" t="n"/>
      <c r="Q2178" s="127" t="n"/>
      <c r="R2178" s="127" t="n"/>
      <c r="S2178" s="127" t="n"/>
      <c r="T2178" s="127" t="n"/>
      <c r="U2178" s="127" t="n"/>
      <c r="V2178" s="127" t="n"/>
      <c r="W2178" s="127" t="n"/>
      <c r="X2178" s="127" t="n"/>
      <c r="Y2178" s="127" t="n"/>
      <c r="Z2178" s="127" t="n"/>
    </row>
    <row r="2179">
      <c r="A2179" s="217" t="n"/>
      <c r="B2179" s="126" t="n"/>
      <c r="C2179" s="126" t="n"/>
      <c r="D2179" s="126" t="n"/>
      <c r="E2179" s="126" t="n"/>
      <c r="F2179" s="127" t="n"/>
      <c r="G2179" s="127" t="inlineStr"/>
      <c r="H2179" s="127" t="inlineStr"/>
      <c r="I2179" s="127" t="n"/>
      <c r="J2179" s="127" t="n"/>
      <c r="K2179" s="127" t="inlineStr"/>
      <c r="L2179" s="127" t="n"/>
      <c r="M2179" s="127" t="n"/>
      <c r="N2179" s="127" t="n"/>
      <c r="O2179" s="127" t="n"/>
      <c r="P2179" s="127" t="n"/>
      <c r="Q2179" s="127" t="n"/>
      <c r="R2179" s="127" t="n"/>
      <c r="S2179" s="127" t="n"/>
      <c r="T2179" s="127" t="n"/>
      <c r="U2179" s="127" t="n"/>
      <c r="V2179" s="127" t="n"/>
      <c r="W2179" s="127" t="n"/>
      <c r="X2179" s="127" t="n"/>
      <c r="Y2179" s="127" t="n"/>
      <c r="Z2179" s="127" t="n"/>
    </row>
    <row r="2180">
      <c r="A2180" s="217" t="n"/>
      <c r="B2180" s="126" t="n"/>
      <c r="C2180" s="126" t="n"/>
      <c r="D2180" s="126" t="n"/>
      <c r="E2180" s="126" t="n"/>
      <c r="F2180" s="127" t="n"/>
      <c r="G2180" s="127" t="inlineStr"/>
      <c r="H2180" s="127" t="inlineStr"/>
      <c r="I2180" s="127" t="n"/>
      <c r="J2180" s="127" t="n"/>
      <c r="K2180" s="127" t="inlineStr"/>
      <c r="L2180" s="127" t="n"/>
      <c r="M2180" s="127" t="n"/>
      <c r="N2180" s="127" t="n"/>
      <c r="O2180" s="127" t="n"/>
      <c r="P2180" s="127" t="n"/>
      <c r="Q2180" s="127" t="n"/>
      <c r="R2180" s="127" t="n"/>
      <c r="S2180" s="127" t="n"/>
      <c r="T2180" s="127" t="n"/>
      <c r="U2180" s="127" t="n"/>
      <c r="V2180" s="127" t="n"/>
      <c r="W2180" s="127" t="n"/>
      <c r="X2180" s="127" t="n"/>
      <c r="Y2180" s="127" t="n"/>
      <c r="Z2180" s="127" t="n"/>
    </row>
    <row r="2181">
      <c r="A2181" s="217" t="n"/>
      <c r="B2181" s="126" t="n"/>
      <c r="C2181" s="126" t="n"/>
      <c r="D2181" s="126" t="n"/>
      <c r="E2181" s="126" t="n"/>
      <c r="F2181" s="127" t="n"/>
      <c r="G2181" s="127" t="inlineStr"/>
      <c r="H2181" s="127" t="inlineStr"/>
      <c r="I2181" s="127" t="n"/>
      <c r="J2181" s="127" t="n"/>
      <c r="K2181" s="127" t="inlineStr"/>
      <c r="L2181" s="127" t="n"/>
      <c r="M2181" s="127" t="n"/>
      <c r="N2181" s="127" t="n"/>
      <c r="O2181" s="127" t="n"/>
      <c r="P2181" s="127" t="n"/>
      <c r="Q2181" s="127" t="n"/>
      <c r="R2181" s="127" t="n"/>
      <c r="S2181" s="127" t="n"/>
      <c r="T2181" s="127" t="n"/>
      <c r="U2181" s="127" t="n"/>
      <c r="V2181" s="127" t="n"/>
      <c r="W2181" s="127" t="n"/>
      <c r="X2181" s="127" t="n"/>
      <c r="Y2181" s="127" t="n"/>
      <c r="Z2181" s="127" t="n"/>
    </row>
    <row r="2182">
      <c r="A2182" s="217" t="n"/>
      <c r="B2182" s="126" t="n"/>
      <c r="C2182" s="126" t="n"/>
      <c r="D2182" s="126" t="n"/>
      <c r="E2182" s="126" t="n"/>
      <c r="F2182" s="127" t="n"/>
      <c r="G2182" s="127" t="inlineStr"/>
      <c r="H2182" s="127" t="inlineStr"/>
      <c r="I2182" s="127" t="n"/>
      <c r="J2182" s="127" t="n"/>
      <c r="K2182" s="127" t="inlineStr"/>
      <c r="L2182" s="127" t="n"/>
      <c r="M2182" s="127" t="n"/>
      <c r="N2182" s="127" t="n"/>
      <c r="O2182" s="127" t="n"/>
      <c r="P2182" s="127" t="n"/>
      <c r="Q2182" s="127" t="n"/>
      <c r="R2182" s="127" t="n"/>
      <c r="S2182" s="127" t="n"/>
      <c r="T2182" s="127" t="n"/>
      <c r="U2182" s="127" t="n"/>
      <c r="V2182" s="127" t="n"/>
      <c r="W2182" s="127" t="n"/>
      <c r="X2182" s="127" t="n"/>
      <c r="Y2182" s="127" t="n"/>
      <c r="Z2182" s="127" t="n"/>
    </row>
    <row r="2183">
      <c r="A2183" s="217" t="n"/>
      <c r="B2183" s="126" t="n"/>
      <c r="C2183" s="126" t="n"/>
      <c r="D2183" s="126" t="n"/>
      <c r="E2183" s="126" t="n"/>
      <c r="F2183" s="127" t="n"/>
      <c r="G2183" s="127" t="inlineStr"/>
      <c r="H2183" s="127" t="inlineStr"/>
      <c r="I2183" s="127" t="n"/>
      <c r="J2183" s="127" t="n"/>
      <c r="K2183" s="127" t="inlineStr"/>
      <c r="L2183" s="127" t="n"/>
      <c r="M2183" s="127" t="n"/>
      <c r="N2183" s="127" t="n"/>
      <c r="O2183" s="127" t="n"/>
      <c r="P2183" s="127" t="n"/>
      <c r="Q2183" s="127" t="n"/>
      <c r="R2183" s="127" t="n"/>
      <c r="S2183" s="127" t="n"/>
      <c r="T2183" s="127" t="n"/>
      <c r="U2183" s="127" t="n"/>
      <c r="V2183" s="127" t="n"/>
      <c r="W2183" s="127" t="n"/>
      <c r="X2183" s="127" t="n"/>
      <c r="Y2183" s="127" t="n"/>
      <c r="Z2183" s="127" t="n"/>
    </row>
    <row r="2184">
      <c r="A2184" s="217" t="n"/>
      <c r="B2184" s="126" t="n"/>
      <c r="C2184" s="126" t="n"/>
      <c r="D2184" s="126" t="n"/>
      <c r="E2184" s="126" t="n"/>
      <c r="F2184" s="127" t="n"/>
      <c r="G2184" s="127" t="inlineStr"/>
      <c r="H2184" s="127" t="inlineStr"/>
      <c r="I2184" s="127" t="n"/>
      <c r="J2184" s="127" t="n"/>
      <c r="K2184" s="127" t="inlineStr"/>
      <c r="L2184" s="127" t="n"/>
      <c r="M2184" s="127" t="n"/>
      <c r="N2184" s="127" t="n"/>
      <c r="O2184" s="127" t="n"/>
      <c r="P2184" s="127" t="n"/>
      <c r="Q2184" s="127" t="n"/>
      <c r="R2184" s="127" t="n"/>
      <c r="S2184" s="127" t="n"/>
      <c r="T2184" s="127" t="n"/>
      <c r="U2184" s="127" t="n"/>
      <c r="V2184" s="127" t="n"/>
      <c r="W2184" s="127" t="n"/>
      <c r="X2184" s="127" t="n"/>
      <c r="Y2184" s="127" t="n"/>
      <c r="Z2184" s="127" t="n"/>
    </row>
    <row r="2185">
      <c r="A2185" s="217" t="n"/>
      <c r="B2185" s="126" t="n"/>
      <c r="C2185" s="126" t="n"/>
      <c r="D2185" s="126" t="n"/>
      <c r="E2185" s="126" t="n"/>
      <c r="F2185" s="127" t="n"/>
      <c r="G2185" s="127" t="inlineStr"/>
      <c r="H2185" s="127" t="inlineStr"/>
      <c r="I2185" s="127" t="n"/>
      <c r="J2185" s="127" t="n"/>
      <c r="K2185" s="127" t="inlineStr"/>
      <c r="L2185" s="127" t="n"/>
      <c r="M2185" s="127" t="n"/>
      <c r="N2185" s="127" t="n"/>
      <c r="O2185" s="127" t="n"/>
      <c r="P2185" s="127" t="n"/>
      <c r="Q2185" s="127" t="n"/>
      <c r="R2185" s="127" t="n"/>
      <c r="S2185" s="127" t="n"/>
      <c r="T2185" s="127" t="n"/>
      <c r="U2185" s="127" t="n"/>
      <c r="V2185" s="127" t="n"/>
      <c r="W2185" s="127" t="n"/>
      <c r="X2185" s="127" t="n"/>
      <c r="Y2185" s="127" t="n"/>
      <c r="Z2185" s="127" t="n"/>
    </row>
    <row r="2186">
      <c r="A2186" s="217" t="n"/>
      <c r="B2186" s="126" t="n"/>
      <c r="C2186" s="126" t="n"/>
      <c r="D2186" s="126" t="n"/>
      <c r="E2186" s="126" t="n"/>
      <c r="F2186" s="127" t="n"/>
      <c r="G2186" s="127" t="inlineStr"/>
      <c r="H2186" s="127" t="inlineStr"/>
      <c r="I2186" s="127" t="n"/>
      <c r="J2186" s="127" t="n"/>
      <c r="K2186" s="127" t="inlineStr"/>
      <c r="L2186" s="127" t="n"/>
      <c r="M2186" s="127" t="n"/>
      <c r="N2186" s="127" t="n"/>
      <c r="O2186" s="127" t="n"/>
      <c r="P2186" s="127" t="n"/>
      <c r="Q2186" s="127" t="n"/>
      <c r="R2186" s="127" t="n"/>
      <c r="S2186" s="127" t="n"/>
      <c r="T2186" s="127" t="n"/>
      <c r="U2186" s="127" t="n"/>
      <c r="V2186" s="127" t="n"/>
      <c r="W2186" s="127" t="n"/>
      <c r="X2186" s="127" t="n"/>
      <c r="Y2186" s="127" t="n"/>
      <c r="Z2186" s="127" t="n"/>
    </row>
    <row r="2187">
      <c r="A2187" s="217" t="n"/>
      <c r="B2187" s="126" t="n"/>
      <c r="C2187" s="126" t="n"/>
      <c r="D2187" s="126" t="n"/>
      <c r="E2187" s="126" t="n"/>
      <c r="F2187" s="127" t="n"/>
      <c r="G2187" s="127" t="inlineStr"/>
      <c r="H2187" s="127" t="inlineStr"/>
      <c r="I2187" s="127" t="n"/>
      <c r="J2187" s="127" t="n"/>
      <c r="K2187" s="127" t="inlineStr"/>
      <c r="L2187" s="127" t="n"/>
      <c r="M2187" s="127" t="n"/>
      <c r="N2187" s="127" t="n"/>
      <c r="O2187" s="127" t="n"/>
      <c r="P2187" s="127" t="n"/>
      <c r="Q2187" s="127" t="n"/>
      <c r="R2187" s="127" t="n"/>
      <c r="S2187" s="127" t="n"/>
      <c r="T2187" s="127" t="n"/>
      <c r="U2187" s="127" t="n"/>
      <c r="V2187" s="127" t="n"/>
      <c r="W2187" s="127" t="n"/>
      <c r="X2187" s="127" t="n"/>
      <c r="Y2187" s="127" t="n"/>
      <c r="Z2187" s="127" t="n"/>
    </row>
    <row r="2188">
      <c r="A2188" s="217" t="n"/>
      <c r="B2188" s="126" t="n"/>
      <c r="C2188" s="126" t="n"/>
      <c r="D2188" s="126" t="n"/>
      <c r="E2188" s="126" t="n"/>
      <c r="F2188" s="127" t="n"/>
      <c r="G2188" s="127" t="inlineStr"/>
      <c r="H2188" s="127" t="inlineStr"/>
      <c r="I2188" s="127" t="n"/>
      <c r="J2188" s="127" t="n"/>
      <c r="K2188" s="127" t="inlineStr"/>
      <c r="L2188" s="127" t="n"/>
      <c r="M2188" s="127" t="n"/>
      <c r="N2188" s="127" t="n"/>
      <c r="O2188" s="127" t="n"/>
      <c r="P2188" s="127" t="n"/>
      <c r="Q2188" s="127" t="n"/>
      <c r="R2188" s="127" t="n"/>
      <c r="S2188" s="127" t="n"/>
      <c r="T2188" s="127" t="n"/>
      <c r="U2188" s="127" t="n"/>
      <c r="V2188" s="127" t="n"/>
      <c r="W2188" s="127" t="n"/>
      <c r="X2188" s="127" t="n"/>
      <c r="Y2188" s="127" t="n"/>
      <c r="Z2188" s="127" t="n"/>
    </row>
    <row r="2189">
      <c r="A2189" s="217" t="n"/>
      <c r="B2189" s="126" t="n"/>
      <c r="C2189" s="126" t="n"/>
      <c r="D2189" s="126" t="n"/>
      <c r="E2189" s="126" t="n"/>
      <c r="F2189" s="127" t="n"/>
      <c r="G2189" s="127" t="inlineStr"/>
      <c r="H2189" s="127" t="inlineStr"/>
      <c r="I2189" s="127" t="n"/>
      <c r="J2189" s="127" t="n"/>
      <c r="K2189" s="127" t="inlineStr"/>
      <c r="L2189" s="127" t="n"/>
      <c r="M2189" s="127" t="n"/>
      <c r="N2189" s="127" t="n"/>
      <c r="O2189" s="127" t="n"/>
      <c r="P2189" s="127" t="n"/>
      <c r="Q2189" s="127" t="n"/>
      <c r="R2189" s="127" t="n"/>
      <c r="S2189" s="127" t="n"/>
      <c r="T2189" s="127" t="n"/>
      <c r="U2189" s="127" t="n"/>
      <c r="V2189" s="127" t="n"/>
      <c r="W2189" s="127" t="n"/>
      <c r="X2189" s="127" t="n"/>
      <c r="Y2189" s="127" t="n"/>
      <c r="Z2189" s="127" t="n"/>
    </row>
    <row r="2190">
      <c r="A2190" s="217" t="n"/>
      <c r="B2190" s="126" t="n"/>
      <c r="C2190" s="126" t="n"/>
      <c r="D2190" s="126" t="n"/>
      <c r="E2190" s="126" t="n"/>
      <c r="F2190" s="127" t="n"/>
      <c r="G2190" s="127" t="inlineStr"/>
      <c r="H2190" s="127" t="inlineStr"/>
      <c r="I2190" s="127" t="n"/>
      <c r="J2190" s="127" t="n"/>
      <c r="K2190" s="127" t="inlineStr"/>
      <c r="L2190" s="127" t="n"/>
      <c r="M2190" s="127" t="n"/>
      <c r="N2190" s="127" t="n"/>
      <c r="O2190" s="127" t="n"/>
      <c r="P2190" s="127" t="n"/>
      <c r="Q2190" s="127" t="n"/>
      <c r="R2190" s="127" t="n"/>
      <c r="S2190" s="127" t="n"/>
      <c r="T2190" s="127" t="n"/>
      <c r="U2190" s="127" t="n"/>
      <c r="V2190" s="127" t="n"/>
      <c r="W2190" s="127" t="n"/>
      <c r="X2190" s="127" t="n"/>
      <c r="Y2190" s="127" t="n"/>
      <c r="Z2190" s="127" t="n"/>
    </row>
    <row r="2191">
      <c r="A2191" s="217" t="n"/>
      <c r="B2191" s="126" t="n"/>
      <c r="C2191" s="126" t="n"/>
      <c r="D2191" s="126" t="n"/>
      <c r="E2191" s="126" t="n"/>
      <c r="F2191" s="127" t="n"/>
      <c r="G2191" s="127" t="inlineStr"/>
      <c r="H2191" s="127" t="inlineStr"/>
      <c r="I2191" s="127" t="n"/>
      <c r="J2191" s="127" t="n"/>
      <c r="K2191" s="127" t="inlineStr"/>
      <c r="L2191" s="127" t="n"/>
      <c r="M2191" s="127" t="n"/>
      <c r="N2191" s="127" t="n"/>
      <c r="O2191" s="127" t="n"/>
      <c r="P2191" s="127" t="n"/>
      <c r="Q2191" s="127" t="n"/>
      <c r="R2191" s="127" t="n"/>
      <c r="S2191" s="127" t="n"/>
      <c r="T2191" s="127" t="n"/>
      <c r="U2191" s="127" t="n"/>
      <c r="V2191" s="127" t="n"/>
      <c r="W2191" s="127" t="n"/>
      <c r="X2191" s="127" t="n"/>
      <c r="Y2191" s="127" t="n"/>
      <c r="Z2191" s="127" t="n"/>
    </row>
    <row r="2192">
      <c r="A2192" s="217" t="n"/>
      <c r="B2192" s="126" t="n"/>
      <c r="C2192" s="126" t="n"/>
      <c r="D2192" s="126" t="n"/>
      <c r="E2192" s="126" t="n"/>
      <c r="F2192" s="127" t="n"/>
      <c r="G2192" s="127" t="inlineStr"/>
      <c r="H2192" s="127" t="inlineStr"/>
      <c r="I2192" s="127" t="n"/>
      <c r="J2192" s="127" t="n"/>
      <c r="K2192" s="127" t="inlineStr"/>
      <c r="L2192" s="127" t="n"/>
      <c r="M2192" s="127" t="n"/>
      <c r="N2192" s="127" t="n"/>
      <c r="O2192" s="127" t="n"/>
      <c r="P2192" s="127" t="n"/>
      <c r="Q2192" s="127" t="n"/>
      <c r="R2192" s="127" t="n"/>
      <c r="S2192" s="127" t="n"/>
      <c r="T2192" s="127" t="n"/>
      <c r="U2192" s="127" t="n"/>
      <c r="V2192" s="127" t="n"/>
      <c r="W2192" s="127" t="n"/>
      <c r="X2192" s="127" t="n"/>
      <c r="Y2192" s="127" t="n"/>
      <c r="Z2192" s="127" t="n"/>
    </row>
    <row r="2193">
      <c r="A2193" s="217" t="n"/>
      <c r="B2193" s="126" t="n"/>
      <c r="C2193" s="126" t="n"/>
      <c r="D2193" s="126" t="n"/>
      <c r="E2193" s="126" t="n"/>
      <c r="F2193" s="127" t="n"/>
      <c r="G2193" s="127" t="inlineStr"/>
      <c r="H2193" s="127" t="inlineStr"/>
      <c r="I2193" s="127" t="n"/>
      <c r="J2193" s="127" t="n"/>
      <c r="K2193" s="127" t="inlineStr"/>
      <c r="L2193" s="127" t="n"/>
      <c r="M2193" s="127" t="n"/>
      <c r="N2193" s="127" t="n"/>
      <c r="O2193" s="127" t="n"/>
      <c r="P2193" s="127" t="n"/>
      <c r="Q2193" s="127" t="n"/>
      <c r="R2193" s="127" t="n"/>
      <c r="S2193" s="127" t="n"/>
      <c r="T2193" s="127" t="n"/>
      <c r="U2193" s="127" t="n"/>
      <c r="V2193" s="127" t="n"/>
      <c r="W2193" s="127" t="n"/>
      <c r="X2193" s="127" t="n"/>
      <c r="Y2193" s="127" t="n"/>
      <c r="Z2193" s="127" t="n"/>
    </row>
    <row r="2194">
      <c r="A2194" s="217" t="n"/>
      <c r="B2194" s="126" t="n"/>
      <c r="C2194" s="126" t="n"/>
      <c r="D2194" s="126" t="n"/>
      <c r="E2194" s="126" t="n"/>
      <c r="F2194" s="127" t="n"/>
      <c r="G2194" s="127" t="inlineStr"/>
      <c r="H2194" s="127" t="inlineStr"/>
      <c r="I2194" s="127" t="n"/>
      <c r="J2194" s="127" t="n"/>
      <c r="K2194" s="127" t="inlineStr"/>
      <c r="L2194" s="127" t="n"/>
      <c r="M2194" s="127" t="n"/>
      <c r="N2194" s="127" t="n"/>
      <c r="O2194" s="127" t="n"/>
      <c r="P2194" s="127" t="n"/>
      <c r="Q2194" s="127" t="n"/>
      <c r="R2194" s="127" t="n"/>
      <c r="S2194" s="127" t="n"/>
      <c r="T2194" s="127" t="n"/>
      <c r="U2194" s="127" t="n"/>
      <c r="V2194" s="127" t="n"/>
      <c r="W2194" s="127" t="n"/>
      <c r="X2194" s="127" t="n"/>
      <c r="Y2194" s="127" t="n"/>
      <c r="Z2194" s="127" t="n"/>
    </row>
    <row r="2195">
      <c r="A2195" s="217" t="n"/>
      <c r="B2195" s="126" t="n"/>
      <c r="C2195" s="126" t="n"/>
      <c r="D2195" s="126" t="n"/>
      <c r="E2195" s="126" t="n"/>
      <c r="F2195" s="127" t="n"/>
      <c r="G2195" s="127" t="inlineStr"/>
      <c r="H2195" s="127" t="inlineStr"/>
      <c r="I2195" s="127" t="n"/>
      <c r="J2195" s="127" t="n"/>
      <c r="K2195" s="127" t="inlineStr"/>
      <c r="L2195" s="127" t="n"/>
      <c r="M2195" s="127" t="n"/>
      <c r="N2195" s="127" t="n"/>
      <c r="O2195" s="127" t="n"/>
      <c r="P2195" s="127" t="n"/>
      <c r="Q2195" s="127" t="n"/>
      <c r="R2195" s="127" t="n"/>
      <c r="S2195" s="127" t="n"/>
      <c r="T2195" s="127" t="n"/>
      <c r="U2195" s="127" t="n"/>
      <c r="V2195" s="127" t="n"/>
      <c r="W2195" s="127" t="n"/>
      <c r="X2195" s="127" t="n"/>
      <c r="Y2195" s="127" t="n"/>
      <c r="Z2195" s="127" t="n"/>
    </row>
    <row r="2196">
      <c r="A2196" s="217" t="n"/>
      <c r="B2196" s="126" t="n"/>
      <c r="C2196" s="126" t="n"/>
      <c r="D2196" s="126" t="n"/>
      <c r="E2196" s="126" t="n"/>
      <c r="F2196" s="127" t="n"/>
      <c r="G2196" s="127" t="inlineStr"/>
      <c r="H2196" s="127" t="inlineStr"/>
      <c r="I2196" s="127" t="n"/>
      <c r="J2196" s="127" t="n"/>
      <c r="K2196" s="127" t="inlineStr"/>
      <c r="L2196" s="127" t="n"/>
      <c r="M2196" s="127" t="n"/>
      <c r="N2196" s="127" t="n"/>
      <c r="O2196" s="127" t="n"/>
      <c r="P2196" s="127" t="n"/>
      <c r="Q2196" s="127" t="n"/>
      <c r="R2196" s="127" t="n"/>
      <c r="S2196" s="127" t="n"/>
      <c r="T2196" s="127" t="n"/>
      <c r="U2196" s="127" t="n"/>
      <c r="V2196" s="127" t="n"/>
      <c r="W2196" s="127" t="n"/>
      <c r="X2196" s="127" t="n"/>
      <c r="Y2196" s="127" t="n"/>
      <c r="Z2196" s="127" t="n"/>
    </row>
    <row r="2197">
      <c r="A2197" s="217" t="n"/>
      <c r="B2197" s="126" t="n"/>
      <c r="C2197" s="126" t="n"/>
      <c r="D2197" s="126" t="n"/>
      <c r="E2197" s="126" t="n"/>
      <c r="F2197" s="127" t="n"/>
      <c r="G2197" s="127" t="inlineStr"/>
      <c r="H2197" s="127" t="inlineStr"/>
      <c r="I2197" s="127" t="n"/>
      <c r="J2197" s="127" t="n"/>
      <c r="K2197" s="127" t="inlineStr"/>
      <c r="L2197" s="127" t="n"/>
      <c r="M2197" s="127" t="n"/>
      <c r="N2197" s="127" t="n"/>
      <c r="O2197" s="127" t="n"/>
      <c r="P2197" s="127" t="n"/>
      <c r="Q2197" s="127" t="n"/>
      <c r="R2197" s="127" t="n"/>
      <c r="S2197" s="127" t="n"/>
      <c r="T2197" s="127" t="n"/>
      <c r="U2197" s="127" t="n"/>
      <c r="V2197" s="127" t="n"/>
      <c r="W2197" s="127" t="n"/>
      <c r="X2197" s="127" t="n"/>
      <c r="Y2197" s="127" t="n"/>
      <c r="Z2197" s="127" t="n"/>
    </row>
    <row r="2198">
      <c r="A2198" s="217" t="n"/>
      <c r="B2198" s="126" t="n"/>
      <c r="C2198" s="126" t="n"/>
      <c r="D2198" s="126" t="n"/>
      <c r="E2198" s="126" t="n"/>
      <c r="F2198" s="127" t="n"/>
      <c r="G2198" s="127" t="inlineStr"/>
      <c r="H2198" s="127" t="inlineStr"/>
      <c r="I2198" s="127" t="n"/>
      <c r="J2198" s="127" t="n"/>
      <c r="K2198" s="127" t="inlineStr"/>
      <c r="L2198" s="127" t="n"/>
      <c r="M2198" s="127" t="n"/>
      <c r="N2198" s="127" t="n"/>
      <c r="O2198" s="127" t="n"/>
      <c r="P2198" s="127" t="n"/>
      <c r="Q2198" s="127" t="n"/>
      <c r="R2198" s="127" t="n"/>
      <c r="S2198" s="127" t="n"/>
      <c r="T2198" s="127" t="n"/>
      <c r="U2198" s="127" t="n"/>
      <c r="V2198" s="127" t="n"/>
      <c r="W2198" s="127" t="n"/>
      <c r="X2198" s="127" t="n"/>
      <c r="Y2198" s="127" t="n"/>
      <c r="Z2198" s="127" t="n"/>
    </row>
    <row r="2199">
      <c r="A2199" s="217" t="n"/>
      <c r="B2199" s="126" t="n"/>
      <c r="C2199" s="126" t="n"/>
      <c r="D2199" s="126" t="n"/>
      <c r="E2199" s="126" t="n"/>
      <c r="F2199" s="127" t="n"/>
      <c r="G2199" s="127" t="inlineStr"/>
      <c r="H2199" s="127" t="inlineStr"/>
      <c r="I2199" s="127" t="n"/>
      <c r="J2199" s="127" t="n"/>
      <c r="K2199" s="127" t="inlineStr"/>
      <c r="L2199" s="127" t="n"/>
      <c r="M2199" s="127" t="n"/>
      <c r="N2199" s="127" t="n"/>
      <c r="O2199" s="127" t="n"/>
      <c r="P2199" s="127" t="n"/>
      <c r="Q2199" s="127" t="n"/>
      <c r="R2199" s="127" t="n"/>
      <c r="S2199" s="127" t="n"/>
      <c r="T2199" s="127" t="n"/>
      <c r="U2199" s="127" t="n"/>
      <c r="V2199" s="127" t="n"/>
      <c r="W2199" s="127" t="n"/>
      <c r="X2199" s="127" t="n"/>
      <c r="Y2199" s="127" t="n"/>
      <c r="Z2199" s="127" t="n"/>
    </row>
    <row r="2200">
      <c r="A2200" s="217" t="n"/>
      <c r="B2200" s="126" t="n"/>
      <c r="C2200" s="126" t="n"/>
      <c r="D2200" s="126" t="n"/>
      <c r="E2200" s="126" t="n"/>
      <c r="F2200" s="127" t="n"/>
      <c r="G2200" s="127" t="inlineStr"/>
      <c r="H2200" s="127" t="inlineStr"/>
      <c r="I2200" s="127" t="n"/>
      <c r="J2200" s="127" t="n"/>
      <c r="K2200" s="127" t="inlineStr"/>
      <c r="L2200" s="127" t="n"/>
      <c r="M2200" s="127" t="n"/>
      <c r="N2200" s="127" t="n"/>
      <c r="O2200" s="127" t="n"/>
      <c r="P2200" s="127" t="n"/>
      <c r="Q2200" s="127" t="n"/>
      <c r="R2200" s="127" t="n"/>
      <c r="S2200" s="127" t="n"/>
      <c r="T2200" s="127" t="n"/>
      <c r="U2200" s="127" t="n"/>
      <c r="V2200" s="127" t="n"/>
      <c r="W2200" s="127" t="n"/>
      <c r="X2200" s="127" t="n"/>
      <c r="Y2200" s="127" t="n"/>
      <c r="Z2200" s="127" t="n"/>
    </row>
    <row r="2201">
      <c r="A2201" s="217" t="n"/>
      <c r="B2201" s="126" t="n"/>
      <c r="C2201" s="126" t="n"/>
      <c r="D2201" s="126" t="n"/>
      <c r="E2201" s="126" t="n"/>
      <c r="F2201" s="127" t="n"/>
      <c r="G2201" s="127" t="inlineStr"/>
      <c r="H2201" s="127" t="inlineStr"/>
      <c r="I2201" s="127" t="n"/>
      <c r="J2201" s="127" t="n"/>
      <c r="K2201" s="127" t="inlineStr"/>
      <c r="L2201" s="127" t="n"/>
      <c r="M2201" s="127" t="n"/>
      <c r="N2201" s="127" t="n"/>
      <c r="O2201" s="127" t="n"/>
      <c r="P2201" s="127" t="n"/>
      <c r="Q2201" s="127" t="n"/>
      <c r="R2201" s="127" t="n"/>
      <c r="S2201" s="127" t="n"/>
      <c r="T2201" s="127" t="n"/>
      <c r="U2201" s="127" t="n"/>
      <c r="V2201" s="127" t="n"/>
      <c r="W2201" s="127" t="n"/>
      <c r="X2201" s="127" t="n"/>
      <c r="Y2201" s="127" t="n"/>
      <c r="Z2201" s="127" t="n"/>
    </row>
    <row r="2202">
      <c r="A2202" s="217" t="n"/>
      <c r="B2202" s="126" t="n"/>
      <c r="C2202" s="126" t="n"/>
      <c r="D2202" s="126" t="n"/>
      <c r="E2202" s="126" t="n"/>
      <c r="F2202" s="127" t="n"/>
      <c r="G2202" s="127" t="inlineStr"/>
      <c r="H2202" s="127" t="inlineStr"/>
      <c r="I2202" s="127" t="n"/>
      <c r="J2202" s="127" t="n"/>
      <c r="K2202" s="127" t="inlineStr"/>
      <c r="L2202" s="127" t="n"/>
      <c r="M2202" s="127" t="n"/>
      <c r="N2202" s="127" t="n"/>
      <c r="O2202" s="127" t="n"/>
      <c r="P2202" s="127" t="n"/>
      <c r="Q2202" s="127" t="n"/>
      <c r="R2202" s="127" t="n"/>
      <c r="S2202" s="127" t="n"/>
      <c r="T2202" s="127" t="n"/>
      <c r="U2202" s="127" t="n"/>
      <c r="V2202" s="127" t="n"/>
      <c r="W2202" s="127" t="n"/>
      <c r="X2202" s="127" t="n"/>
      <c r="Y2202" s="127" t="n"/>
      <c r="Z2202" s="127" t="n"/>
    </row>
    <row r="2203">
      <c r="A2203" s="217" t="n"/>
      <c r="B2203" s="126" t="n"/>
      <c r="C2203" s="126" t="n"/>
      <c r="D2203" s="126" t="n"/>
      <c r="E2203" s="126" t="n"/>
      <c r="F2203" s="127" t="n"/>
      <c r="G2203" s="127" t="inlineStr"/>
      <c r="H2203" s="127" t="inlineStr"/>
      <c r="I2203" s="127" t="n"/>
      <c r="J2203" s="127" t="n"/>
      <c r="K2203" s="127" t="inlineStr"/>
      <c r="L2203" s="127" t="n"/>
      <c r="M2203" s="127" t="n"/>
      <c r="N2203" s="127" t="n"/>
      <c r="O2203" s="127" t="n"/>
      <c r="P2203" s="127" t="n"/>
      <c r="Q2203" s="127" t="n"/>
      <c r="R2203" s="127" t="n"/>
      <c r="S2203" s="127" t="n"/>
      <c r="T2203" s="127" t="n"/>
      <c r="U2203" s="127" t="n"/>
      <c r="V2203" s="127" t="n"/>
      <c r="W2203" s="127" t="n"/>
      <c r="X2203" s="127" t="n"/>
      <c r="Y2203" s="127" t="n"/>
      <c r="Z2203" s="127" t="n"/>
    </row>
    <row r="2204">
      <c r="A2204" s="217" t="n"/>
      <c r="B2204" s="126" t="n"/>
      <c r="C2204" s="126" t="n"/>
      <c r="D2204" s="126" t="n"/>
      <c r="E2204" s="126" t="n"/>
      <c r="F2204" s="127" t="n"/>
      <c r="G2204" s="127" t="inlineStr"/>
      <c r="H2204" s="127" t="inlineStr"/>
      <c r="I2204" s="127" t="n"/>
      <c r="J2204" s="127" t="n"/>
      <c r="K2204" s="127" t="inlineStr"/>
      <c r="L2204" s="127" t="n"/>
      <c r="M2204" s="127" t="n"/>
      <c r="N2204" s="127" t="n"/>
      <c r="O2204" s="127" t="n"/>
      <c r="P2204" s="127" t="n"/>
      <c r="Q2204" s="127" t="n"/>
      <c r="R2204" s="127" t="n"/>
      <c r="S2204" s="127" t="n"/>
      <c r="T2204" s="127" t="n"/>
      <c r="U2204" s="127" t="n"/>
      <c r="V2204" s="127" t="n"/>
      <c r="W2204" s="127" t="n"/>
      <c r="X2204" s="127" t="n"/>
      <c r="Y2204" s="127" t="n"/>
      <c r="Z2204" s="127" t="n"/>
    </row>
    <row r="2205">
      <c r="A2205" s="217" t="n"/>
      <c r="B2205" s="126" t="n"/>
      <c r="C2205" s="126" t="n"/>
      <c r="D2205" s="126" t="n"/>
      <c r="E2205" s="126" t="n"/>
      <c r="F2205" s="127" t="n"/>
      <c r="G2205" s="127" t="inlineStr"/>
      <c r="H2205" s="127" t="inlineStr"/>
      <c r="I2205" s="127" t="n"/>
      <c r="J2205" s="127" t="n"/>
      <c r="K2205" s="127" t="inlineStr"/>
      <c r="L2205" s="127" t="n"/>
      <c r="M2205" s="127" t="n"/>
      <c r="N2205" s="127" t="n"/>
      <c r="O2205" s="127" t="n"/>
      <c r="P2205" s="127" t="n"/>
      <c r="Q2205" s="127" t="n"/>
      <c r="R2205" s="127" t="n"/>
      <c r="S2205" s="127" t="n"/>
      <c r="T2205" s="127" t="n"/>
      <c r="U2205" s="127" t="n"/>
      <c r="V2205" s="127" t="n"/>
      <c r="W2205" s="127" t="n"/>
      <c r="X2205" s="127" t="n"/>
      <c r="Y2205" s="127" t="n"/>
      <c r="Z2205" s="127" t="n"/>
    </row>
    <row r="2206">
      <c r="A2206" s="217" t="n"/>
      <c r="B2206" s="126" t="n"/>
      <c r="C2206" s="126" t="n"/>
      <c r="D2206" s="126" t="n"/>
      <c r="E2206" s="126" t="n"/>
      <c r="F2206" s="127" t="n"/>
      <c r="G2206" s="127" t="inlineStr"/>
      <c r="H2206" s="127" t="inlineStr"/>
      <c r="I2206" s="127" t="n"/>
      <c r="J2206" s="127" t="n"/>
      <c r="K2206" s="127" t="inlineStr"/>
      <c r="L2206" s="127" t="n"/>
      <c r="M2206" s="127" t="n"/>
      <c r="N2206" s="127" t="n"/>
      <c r="O2206" s="127" t="n"/>
      <c r="P2206" s="127" t="n"/>
      <c r="Q2206" s="127" t="n"/>
      <c r="R2206" s="127" t="n"/>
      <c r="S2206" s="127" t="n"/>
      <c r="T2206" s="127" t="n"/>
      <c r="U2206" s="127" t="n"/>
      <c r="V2206" s="127" t="n"/>
      <c r="W2206" s="127" t="n"/>
      <c r="X2206" s="127" t="n"/>
      <c r="Y2206" s="127" t="n"/>
      <c r="Z2206" s="127" t="n"/>
    </row>
    <row r="2207">
      <c r="A2207" s="217" t="n"/>
      <c r="B2207" s="126" t="n"/>
      <c r="C2207" s="126" t="n"/>
      <c r="D2207" s="126" t="n"/>
      <c r="E2207" s="126" t="n"/>
      <c r="F2207" s="127" t="n"/>
      <c r="G2207" s="127" t="inlineStr"/>
      <c r="H2207" s="127" t="inlineStr"/>
      <c r="I2207" s="127" t="n"/>
      <c r="J2207" s="127" t="n"/>
      <c r="K2207" s="127" t="inlineStr"/>
      <c r="L2207" s="127" t="n"/>
      <c r="M2207" s="127" t="n"/>
      <c r="N2207" s="127" t="n"/>
      <c r="O2207" s="127" t="n"/>
      <c r="P2207" s="127" t="n"/>
      <c r="Q2207" s="127" t="n"/>
      <c r="R2207" s="127" t="n"/>
      <c r="S2207" s="127" t="n"/>
      <c r="T2207" s="127" t="n"/>
      <c r="U2207" s="127" t="n"/>
      <c r="V2207" s="127" t="n"/>
      <c r="W2207" s="127" t="n"/>
      <c r="X2207" s="127" t="n"/>
      <c r="Y2207" s="127" t="n"/>
      <c r="Z2207" s="127" t="n"/>
    </row>
    <row r="2208">
      <c r="A2208" s="217" t="n"/>
      <c r="B2208" s="126" t="n"/>
      <c r="C2208" s="126" t="n"/>
      <c r="D2208" s="126" t="n"/>
      <c r="E2208" s="126" t="n"/>
      <c r="F2208" s="127" t="n"/>
      <c r="G2208" s="127" t="inlineStr"/>
      <c r="H2208" s="127" t="inlineStr"/>
      <c r="I2208" s="127" t="n"/>
      <c r="J2208" s="127" t="n"/>
      <c r="K2208" s="127" t="inlineStr"/>
      <c r="L2208" s="127" t="n"/>
      <c r="M2208" s="127" t="n"/>
      <c r="N2208" s="127" t="n"/>
      <c r="O2208" s="127" t="n"/>
      <c r="P2208" s="127" t="n"/>
      <c r="Q2208" s="127" t="n"/>
      <c r="R2208" s="127" t="n"/>
      <c r="S2208" s="127" t="n"/>
      <c r="T2208" s="127" t="n"/>
      <c r="U2208" s="127" t="n"/>
      <c r="V2208" s="127" t="n"/>
      <c r="W2208" s="127" t="n"/>
      <c r="X2208" s="127" t="n"/>
      <c r="Y2208" s="127" t="n"/>
      <c r="Z2208" s="127" t="n"/>
    </row>
    <row r="2209">
      <c r="A2209" s="217" t="n"/>
      <c r="B2209" s="126" t="n"/>
      <c r="C2209" s="126" t="n"/>
      <c r="D2209" s="126" t="n"/>
      <c r="E2209" s="126" t="n"/>
      <c r="F2209" s="127" t="n"/>
      <c r="G2209" s="127" t="inlineStr"/>
      <c r="H2209" s="127" t="inlineStr"/>
      <c r="I2209" s="127" t="n"/>
      <c r="J2209" s="127" t="n"/>
      <c r="K2209" s="127" t="inlineStr"/>
      <c r="L2209" s="127" t="n"/>
      <c r="M2209" s="127" t="n"/>
      <c r="N2209" s="127" t="n"/>
      <c r="O2209" s="127" t="n"/>
      <c r="P2209" s="127" t="n"/>
      <c r="Q2209" s="127" t="n"/>
      <c r="R2209" s="127" t="n"/>
      <c r="S2209" s="127" t="n"/>
      <c r="T2209" s="127" t="n"/>
      <c r="U2209" s="127" t="n"/>
      <c r="V2209" s="127" t="n"/>
      <c r="W2209" s="127" t="n"/>
      <c r="X2209" s="127" t="n"/>
      <c r="Y2209" s="127" t="n"/>
      <c r="Z2209" s="127" t="n"/>
    </row>
    <row r="2210">
      <c r="A2210" s="217" t="n"/>
      <c r="B2210" s="126" t="n"/>
      <c r="C2210" s="126" t="n"/>
      <c r="D2210" s="126" t="n"/>
      <c r="E2210" s="126" t="n"/>
      <c r="F2210" s="127" t="n"/>
      <c r="G2210" s="127" t="inlineStr"/>
      <c r="H2210" s="127" t="inlineStr"/>
      <c r="I2210" s="127" t="n"/>
      <c r="J2210" s="127" t="n"/>
      <c r="K2210" s="127" t="inlineStr"/>
      <c r="L2210" s="127" t="n"/>
      <c r="M2210" s="127" t="n"/>
      <c r="N2210" s="127" t="n"/>
      <c r="O2210" s="127" t="n"/>
      <c r="P2210" s="127" t="n"/>
      <c r="Q2210" s="127" t="n"/>
      <c r="R2210" s="127" t="n"/>
      <c r="S2210" s="127" t="n"/>
      <c r="T2210" s="127" t="n"/>
      <c r="U2210" s="127" t="n"/>
      <c r="V2210" s="127" t="n"/>
      <c r="W2210" s="127" t="n"/>
      <c r="X2210" s="127" t="n"/>
      <c r="Y2210" s="127" t="n"/>
      <c r="Z2210" s="127" t="n"/>
    </row>
    <row r="2211">
      <c r="A2211" s="217" t="n"/>
      <c r="B2211" s="126" t="n"/>
      <c r="C2211" s="126" t="n"/>
      <c r="D2211" s="126" t="n"/>
      <c r="E2211" s="126" t="n"/>
      <c r="F2211" s="127" t="n"/>
      <c r="G2211" s="127" t="inlineStr"/>
      <c r="H2211" s="127" t="inlineStr"/>
      <c r="I2211" s="127" t="n"/>
      <c r="J2211" s="127" t="n"/>
      <c r="K2211" s="127" t="inlineStr"/>
      <c r="L2211" s="127" t="n"/>
      <c r="M2211" s="127" t="n"/>
      <c r="N2211" s="127" t="n"/>
      <c r="O2211" s="127" t="n"/>
      <c r="P2211" s="127" t="n"/>
      <c r="Q2211" s="127" t="n"/>
      <c r="R2211" s="127" t="n"/>
      <c r="S2211" s="127" t="n"/>
      <c r="T2211" s="127" t="n"/>
      <c r="U2211" s="127" t="n"/>
      <c r="V2211" s="127" t="n"/>
      <c r="W2211" s="127" t="n"/>
      <c r="X2211" s="127" t="n"/>
      <c r="Y2211" s="127" t="n"/>
      <c r="Z2211" s="127" t="n"/>
    </row>
    <row r="2212">
      <c r="A2212" s="217" t="n"/>
      <c r="B2212" s="126" t="n"/>
      <c r="C2212" s="126" t="n"/>
      <c r="D2212" s="126" t="n"/>
      <c r="E2212" s="126" t="n"/>
      <c r="F2212" s="127" t="n"/>
      <c r="G2212" s="127" t="inlineStr"/>
      <c r="H2212" s="127" t="inlineStr"/>
      <c r="I2212" s="127" t="n"/>
      <c r="J2212" s="127" t="n"/>
      <c r="K2212" s="127" t="inlineStr"/>
      <c r="L2212" s="127" t="n"/>
      <c r="M2212" s="127" t="n"/>
      <c r="N2212" s="127" t="n"/>
      <c r="O2212" s="127" t="n"/>
      <c r="P2212" s="127" t="n"/>
      <c r="Q2212" s="127" t="n"/>
      <c r="R2212" s="127" t="n"/>
      <c r="S2212" s="127" t="n"/>
      <c r="T2212" s="127" t="n"/>
      <c r="U2212" s="127" t="n"/>
      <c r="V2212" s="127" t="n"/>
      <c r="W2212" s="127" t="n"/>
      <c r="X2212" s="127" t="n"/>
      <c r="Y2212" s="127" t="n"/>
      <c r="Z2212" s="127" t="n"/>
    </row>
    <row r="2213">
      <c r="A2213" s="217" t="n"/>
      <c r="B2213" s="126" t="n"/>
      <c r="C2213" s="126" t="n"/>
      <c r="D2213" s="126" t="n"/>
      <c r="E2213" s="126" t="n"/>
      <c r="F2213" s="127" t="n"/>
      <c r="G2213" s="127" t="inlineStr"/>
      <c r="H2213" s="127" t="inlineStr"/>
      <c r="I2213" s="127" t="n"/>
      <c r="J2213" s="127" t="n"/>
      <c r="K2213" s="127" t="inlineStr"/>
      <c r="L2213" s="127" t="n"/>
      <c r="M2213" s="127" t="n"/>
      <c r="N2213" s="127" t="n"/>
      <c r="O2213" s="127" t="n"/>
      <c r="P2213" s="127" t="n"/>
      <c r="Q2213" s="127" t="n"/>
      <c r="R2213" s="127" t="n"/>
      <c r="S2213" s="127" t="n"/>
      <c r="T2213" s="127" t="n"/>
      <c r="U2213" s="127" t="n"/>
      <c r="V2213" s="127" t="n"/>
      <c r="W2213" s="127" t="n"/>
      <c r="X2213" s="127" t="n"/>
      <c r="Y2213" s="127" t="n"/>
      <c r="Z2213" s="127" t="n"/>
    </row>
    <row r="2214">
      <c r="A2214" s="217" t="n"/>
      <c r="B2214" s="126" t="n"/>
      <c r="C2214" s="126" t="n"/>
      <c r="D2214" s="126" t="n"/>
      <c r="E2214" s="126" t="n"/>
      <c r="F2214" s="127" t="n"/>
      <c r="G2214" s="127" t="inlineStr"/>
      <c r="H2214" s="127" t="inlineStr"/>
      <c r="I2214" s="127" t="n"/>
      <c r="J2214" s="127" t="n"/>
      <c r="K2214" s="127" t="inlineStr"/>
      <c r="L2214" s="127" t="n"/>
      <c r="M2214" s="127" t="n"/>
      <c r="N2214" s="127" t="n"/>
      <c r="O2214" s="127" t="n"/>
      <c r="P2214" s="127" t="n"/>
      <c r="Q2214" s="127" t="n"/>
      <c r="R2214" s="127" t="n"/>
      <c r="S2214" s="127" t="n"/>
      <c r="T2214" s="127" t="n"/>
      <c r="U2214" s="127" t="n"/>
      <c r="V2214" s="127" t="n"/>
      <c r="W2214" s="127" t="n"/>
      <c r="X2214" s="127" t="n"/>
      <c r="Y2214" s="127" t="n"/>
      <c r="Z2214" s="127" t="n"/>
    </row>
    <row r="2215">
      <c r="A2215" s="217" t="n"/>
      <c r="B2215" s="126" t="n"/>
      <c r="C2215" s="126" t="n"/>
      <c r="D2215" s="126" t="n"/>
      <c r="E2215" s="126" t="n"/>
      <c r="F2215" s="127" t="n"/>
      <c r="G2215" s="127" t="inlineStr"/>
      <c r="H2215" s="127" t="inlineStr"/>
      <c r="I2215" s="127" t="n"/>
      <c r="J2215" s="127" t="n"/>
      <c r="K2215" s="127" t="inlineStr"/>
      <c r="L2215" s="127" t="n"/>
      <c r="M2215" s="127" t="n"/>
      <c r="N2215" s="127" t="n"/>
      <c r="O2215" s="127" t="n"/>
      <c r="P2215" s="127" t="n"/>
      <c r="Q2215" s="127" t="n"/>
      <c r="R2215" s="127" t="n"/>
      <c r="S2215" s="127" t="n"/>
      <c r="T2215" s="127" t="n"/>
      <c r="U2215" s="127" t="n"/>
      <c r="V2215" s="127" t="n"/>
      <c r="W2215" s="127" t="n"/>
      <c r="X2215" s="127" t="n"/>
      <c r="Y2215" s="127" t="n"/>
      <c r="Z2215" s="127" t="n"/>
    </row>
    <row r="2216">
      <c r="A2216" s="217" t="n"/>
      <c r="B2216" s="126" t="n"/>
      <c r="C2216" s="126" t="n"/>
      <c r="D2216" s="126" t="n"/>
      <c r="E2216" s="126" t="n"/>
      <c r="F2216" s="127" t="n"/>
      <c r="G2216" s="127" t="inlineStr"/>
      <c r="H2216" s="127" t="inlineStr"/>
      <c r="I2216" s="127" t="n"/>
      <c r="J2216" s="127" t="n"/>
      <c r="K2216" s="127" t="inlineStr"/>
      <c r="L2216" s="127" t="n"/>
      <c r="M2216" s="127" t="n"/>
      <c r="N2216" s="127" t="n"/>
      <c r="O2216" s="127" t="n"/>
      <c r="P2216" s="127" t="n"/>
      <c r="Q2216" s="127" t="n"/>
      <c r="R2216" s="127" t="n"/>
      <c r="S2216" s="127" t="n"/>
      <c r="T2216" s="127" t="n"/>
      <c r="U2216" s="127" t="n"/>
      <c r="V2216" s="127" t="n"/>
      <c r="W2216" s="127" t="n"/>
      <c r="X2216" s="127" t="n"/>
      <c r="Y2216" s="127" t="n"/>
      <c r="Z2216" s="127" t="n"/>
    </row>
    <row r="2217">
      <c r="A2217" s="217" t="n"/>
      <c r="B2217" s="126" t="n"/>
      <c r="C2217" s="126" t="n"/>
      <c r="D2217" s="126" t="n"/>
      <c r="E2217" s="126" t="n"/>
      <c r="F2217" s="127" t="n"/>
      <c r="G2217" s="127" t="inlineStr"/>
      <c r="H2217" s="127" t="inlineStr"/>
      <c r="I2217" s="127" t="n"/>
      <c r="J2217" s="127" t="n"/>
      <c r="K2217" s="127" t="inlineStr"/>
      <c r="L2217" s="127" t="n"/>
      <c r="M2217" s="127" t="n"/>
      <c r="N2217" s="127" t="n"/>
      <c r="O2217" s="127" t="n"/>
      <c r="P2217" s="127" t="n"/>
      <c r="Q2217" s="127" t="n"/>
      <c r="R2217" s="127" t="n"/>
      <c r="S2217" s="127" t="n"/>
      <c r="T2217" s="127" t="n"/>
      <c r="U2217" s="127" t="n"/>
      <c r="V2217" s="127" t="n"/>
      <c r="W2217" s="127" t="n"/>
      <c r="X2217" s="127" t="n"/>
      <c r="Y2217" s="127" t="n"/>
      <c r="Z2217" s="127" t="n"/>
    </row>
    <row r="2218">
      <c r="A2218" s="217" t="n"/>
      <c r="B2218" s="126" t="n"/>
      <c r="C2218" s="126" t="n"/>
      <c r="D2218" s="126" t="n"/>
      <c r="E2218" s="126" t="n"/>
      <c r="F2218" s="127" t="n"/>
      <c r="G2218" s="127" t="inlineStr"/>
      <c r="H2218" s="127" t="inlineStr"/>
      <c r="I2218" s="127" t="n"/>
      <c r="J2218" s="127" t="n"/>
      <c r="K2218" s="127" t="inlineStr"/>
      <c r="L2218" s="127" t="n"/>
      <c r="M2218" s="127" t="n"/>
      <c r="N2218" s="127" t="n"/>
      <c r="O2218" s="127" t="n"/>
      <c r="P2218" s="127" t="n"/>
      <c r="Q2218" s="127" t="n"/>
      <c r="R2218" s="127" t="n"/>
      <c r="S2218" s="127" t="n"/>
      <c r="T2218" s="127" t="n"/>
      <c r="U2218" s="127" t="n"/>
      <c r="V2218" s="127" t="n"/>
      <c r="W2218" s="127" t="n"/>
      <c r="X2218" s="127" t="n"/>
      <c r="Y2218" s="127" t="n"/>
      <c r="Z2218" s="127" t="n"/>
    </row>
    <row r="2219">
      <c r="A2219" s="217" t="n"/>
      <c r="B2219" s="126" t="n"/>
      <c r="C2219" s="126" t="n"/>
      <c r="D2219" s="126" t="n"/>
      <c r="E2219" s="126" t="n"/>
      <c r="F2219" s="127" t="n"/>
      <c r="G2219" s="127" t="inlineStr"/>
      <c r="H2219" s="127" t="inlineStr"/>
      <c r="I2219" s="127" t="n"/>
      <c r="J2219" s="127" t="n"/>
      <c r="K2219" s="127" t="inlineStr"/>
      <c r="L2219" s="127" t="n"/>
      <c r="M2219" s="127" t="n"/>
      <c r="N2219" s="127" t="n"/>
      <c r="O2219" s="127" t="n"/>
      <c r="P2219" s="127" t="n"/>
      <c r="Q2219" s="127" t="n"/>
      <c r="R2219" s="127" t="n"/>
      <c r="S2219" s="127" t="n"/>
      <c r="T2219" s="127" t="n"/>
      <c r="U2219" s="127" t="n"/>
      <c r="V2219" s="127" t="n"/>
      <c r="W2219" s="127" t="n"/>
      <c r="X2219" s="127" t="n"/>
      <c r="Y2219" s="127" t="n"/>
      <c r="Z2219" s="127" t="n"/>
    </row>
    <row r="2220">
      <c r="A2220" s="217" t="n"/>
      <c r="B2220" s="126" t="n"/>
      <c r="C2220" s="126" t="n"/>
      <c r="D2220" s="126" t="n"/>
      <c r="E2220" s="126" t="n"/>
      <c r="F2220" s="127" t="n"/>
      <c r="G2220" s="127" t="inlineStr"/>
      <c r="H2220" s="127" t="inlineStr"/>
      <c r="I2220" s="127" t="n"/>
      <c r="J2220" s="127" t="n"/>
      <c r="K2220" s="127" t="inlineStr"/>
      <c r="L2220" s="127" t="n"/>
      <c r="M2220" s="127" t="n"/>
      <c r="N2220" s="127" t="n"/>
      <c r="O2220" s="127" t="n"/>
      <c r="P2220" s="127" t="n"/>
      <c r="Q2220" s="127" t="n"/>
      <c r="R2220" s="127" t="n"/>
      <c r="S2220" s="127" t="n"/>
      <c r="T2220" s="127" t="n"/>
      <c r="U2220" s="127" t="n"/>
      <c r="V2220" s="127" t="n"/>
      <c r="W2220" s="127" t="n"/>
      <c r="X2220" s="127" t="n"/>
      <c r="Y2220" s="127" t="n"/>
      <c r="Z2220" s="127" t="n"/>
    </row>
    <row r="2221">
      <c r="A2221" s="217" t="n"/>
      <c r="B2221" s="126" t="n"/>
      <c r="C2221" s="126" t="n"/>
      <c r="D2221" s="126" t="n"/>
      <c r="E2221" s="126" t="n"/>
      <c r="F2221" s="127" t="n"/>
      <c r="G2221" s="127" t="inlineStr"/>
      <c r="H2221" s="127" t="inlineStr"/>
      <c r="I2221" s="127" t="n"/>
      <c r="J2221" s="127" t="n"/>
      <c r="K2221" s="127" t="inlineStr"/>
      <c r="L2221" s="127" t="n"/>
      <c r="M2221" s="127" t="n"/>
      <c r="N2221" s="127" t="n"/>
      <c r="O2221" s="127" t="n"/>
      <c r="P2221" s="127" t="n"/>
      <c r="Q2221" s="127" t="n"/>
      <c r="R2221" s="127" t="n"/>
      <c r="S2221" s="127" t="n"/>
      <c r="T2221" s="127" t="n"/>
      <c r="U2221" s="127" t="n"/>
      <c r="V2221" s="127" t="n"/>
      <c r="W2221" s="127" t="n"/>
      <c r="X2221" s="127" t="n"/>
      <c r="Y2221" s="127" t="n"/>
      <c r="Z2221" s="127" t="n"/>
    </row>
    <row r="2222">
      <c r="A2222" s="217" t="n"/>
      <c r="B2222" s="126" t="n"/>
      <c r="C2222" s="126" t="n"/>
      <c r="D2222" s="126" t="n"/>
      <c r="E2222" s="126" t="n"/>
      <c r="F2222" s="127" t="n"/>
      <c r="G2222" s="127" t="inlineStr"/>
      <c r="H2222" s="127" t="inlineStr"/>
      <c r="I2222" s="127" t="n"/>
      <c r="J2222" s="127" t="n"/>
      <c r="K2222" s="127" t="inlineStr"/>
      <c r="L2222" s="127" t="n"/>
      <c r="M2222" s="127" t="n"/>
      <c r="N2222" s="127" t="n"/>
      <c r="O2222" s="127" t="n"/>
      <c r="P2222" s="127" t="n"/>
      <c r="Q2222" s="127" t="n"/>
      <c r="R2222" s="127" t="n"/>
      <c r="S2222" s="127" t="n"/>
      <c r="T2222" s="127" t="n"/>
      <c r="U2222" s="127" t="n"/>
      <c r="V2222" s="127" t="n"/>
      <c r="W2222" s="127" t="n"/>
      <c r="X2222" s="127" t="n"/>
      <c r="Y2222" s="127" t="n"/>
      <c r="Z2222" s="127" t="n"/>
    </row>
    <row r="2223">
      <c r="A2223" s="217" t="n"/>
      <c r="B2223" s="126" t="n"/>
      <c r="C2223" s="126" t="n"/>
      <c r="D2223" s="126" t="n"/>
      <c r="E2223" s="126" t="n"/>
      <c r="F2223" s="127" t="n"/>
      <c r="G2223" s="127" t="inlineStr"/>
      <c r="H2223" s="127" t="inlineStr"/>
      <c r="I2223" s="127" t="n"/>
      <c r="J2223" s="127" t="n"/>
      <c r="K2223" s="127" t="inlineStr"/>
      <c r="L2223" s="127" t="n"/>
      <c r="M2223" s="127" t="n"/>
      <c r="N2223" s="127" t="n"/>
      <c r="O2223" s="127" t="n"/>
      <c r="P2223" s="127" t="n"/>
      <c r="Q2223" s="127" t="n"/>
      <c r="R2223" s="127" t="n"/>
      <c r="S2223" s="127" t="n"/>
      <c r="T2223" s="127" t="n"/>
      <c r="U2223" s="127" t="n"/>
      <c r="V2223" s="127" t="n"/>
      <c r="W2223" s="127" t="n"/>
      <c r="X2223" s="127" t="n"/>
      <c r="Y2223" s="127" t="n"/>
      <c r="Z2223" s="127" t="n"/>
    </row>
    <row r="2224">
      <c r="A2224" s="217" t="n"/>
      <c r="B2224" s="126" t="n"/>
      <c r="C2224" s="126" t="n"/>
      <c r="D2224" s="126" t="n"/>
      <c r="E2224" s="126" t="n"/>
      <c r="F2224" s="127" t="n"/>
      <c r="G2224" s="127" t="inlineStr"/>
      <c r="H2224" s="127" t="inlineStr"/>
      <c r="I2224" s="127" t="n"/>
      <c r="J2224" s="127" t="n"/>
      <c r="K2224" s="127" t="inlineStr"/>
      <c r="L2224" s="127" t="n"/>
      <c r="M2224" s="127" t="n"/>
      <c r="N2224" s="127" t="n"/>
      <c r="O2224" s="127" t="n"/>
      <c r="P2224" s="127" t="n"/>
      <c r="Q2224" s="127" t="n"/>
      <c r="R2224" s="127" t="n"/>
      <c r="S2224" s="127" t="n"/>
      <c r="T2224" s="127" t="n"/>
      <c r="U2224" s="127" t="n"/>
      <c r="V2224" s="127" t="n"/>
      <c r="W2224" s="127" t="n"/>
      <c r="X2224" s="127" t="n"/>
      <c r="Y2224" s="127" t="n"/>
      <c r="Z2224" s="127" t="n"/>
    </row>
    <row r="2225">
      <c r="A2225" s="217" t="n"/>
      <c r="B2225" s="126" t="n"/>
      <c r="C2225" s="126" t="n"/>
      <c r="D2225" s="126" t="n"/>
      <c r="E2225" s="126" t="n"/>
      <c r="F2225" s="127" t="n"/>
      <c r="G2225" s="127" t="inlineStr"/>
      <c r="H2225" s="127" t="inlineStr"/>
      <c r="I2225" s="127" t="n"/>
      <c r="J2225" s="127" t="n"/>
      <c r="K2225" s="127" t="inlineStr"/>
      <c r="L2225" s="127" t="n"/>
      <c r="M2225" s="127" t="n"/>
      <c r="N2225" s="127" t="n"/>
      <c r="O2225" s="127" t="n"/>
      <c r="P2225" s="127" t="n"/>
      <c r="Q2225" s="127" t="n"/>
      <c r="R2225" s="127" t="n"/>
      <c r="S2225" s="127" t="n"/>
      <c r="T2225" s="127" t="n"/>
      <c r="U2225" s="127" t="n"/>
      <c r="V2225" s="127" t="n"/>
      <c r="W2225" s="127" t="n"/>
      <c r="X2225" s="127" t="n"/>
      <c r="Y2225" s="127" t="n"/>
      <c r="Z2225" s="127" t="n"/>
    </row>
    <row r="2226">
      <c r="A2226" s="217" t="n"/>
      <c r="B2226" s="126" t="n"/>
      <c r="C2226" s="126" t="n"/>
      <c r="D2226" s="126" t="n"/>
      <c r="E2226" s="126" t="n"/>
      <c r="F2226" s="127" t="n"/>
      <c r="G2226" s="127" t="inlineStr"/>
      <c r="H2226" s="127" t="inlineStr"/>
      <c r="I2226" s="127" t="n"/>
      <c r="J2226" s="127" t="n"/>
      <c r="K2226" s="127" t="inlineStr"/>
      <c r="L2226" s="127" t="n"/>
      <c r="M2226" s="127" t="n"/>
      <c r="N2226" s="127" t="n"/>
      <c r="O2226" s="127" t="n"/>
      <c r="P2226" s="127" t="n"/>
      <c r="Q2226" s="127" t="n"/>
      <c r="R2226" s="127" t="n"/>
      <c r="S2226" s="127" t="n"/>
      <c r="T2226" s="127" t="n"/>
      <c r="U2226" s="127" t="n"/>
      <c r="V2226" s="127" t="n"/>
      <c r="W2226" s="127" t="n"/>
      <c r="X2226" s="127" t="n"/>
      <c r="Y2226" s="127" t="n"/>
      <c r="Z2226" s="127" t="n"/>
    </row>
    <row r="2227">
      <c r="A2227" s="217" t="n"/>
      <c r="B2227" s="126" t="n"/>
      <c r="C2227" s="126" t="n"/>
      <c r="D2227" s="126" t="n"/>
      <c r="E2227" s="126" t="n"/>
      <c r="F2227" s="127" t="n"/>
      <c r="G2227" s="127" t="inlineStr"/>
      <c r="H2227" s="127" t="inlineStr"/>
      <c r="I2227" s="127" t="n"/>
      <c r="J2227" s="127" t="n"/>
      <c r="K2227" s="127" t="inlineStr"/>
      <c r="L2227" s="127" t="n"/>
      <c r="M2227" s="127" t="n"/>
      <c r="N2227" s="127" t="n"/>
      <c r="O2227" s="127" t="n"/>
      <c r="P2227" s="127" t="n"/>
      <c r="Q2227" s="127" t="n"/>
      <c r="R2227" s="127" t="n"/>
      <c r="S2227" s="127" t="n"/>
      <c r="T2227" s="127" t="n"/>
      <c r="U2227" s="127" t="n"/>
      <c r="V2227" s="127" t="n"/>
      <c r="W2227" s="127" t="n"/>
      <c r="X2227" s="127" t="n"/>
      <c r="Y2227" s="127" t="n"/>
      <c r="Z2227" s="127" t="n"/>
    </row>
    <row r="2228">
      <c r="A2228" s="217" t="n"/>
      <c r="B2228" s="126" t="n"/>
      <c r="C2228" s="126" t="n"/>
      <c r="D2228" s="126" t="n"/>
      <c r="E2228" s="126" t="n"/>
      <c r="F2228" s="127" t="n"/>
      <c r="G2228" s="127" t="inlineStr"/>
      <c r="H2228" s="127" t="inlineStr"/>
      <c r="I2228" s="127" t="n"/>
      <c r="J2228" s="127" t="n"/>
      <c r="K2228" s="127" t="inlineStr"/>
      <c r="L2228" s="127" t="n"/>
      <c r="M2228" s="127" t="n"/>
      <c r="N2228" s="127" t="n"/>
      <c r="O2228" s="127" t="n"/>
      <c r="P2228" s="127" t="n"/>
      <c r="Q2228" s="127" t="n"/>
      <c r="R2228" s="127" t="n"/>
      <c r="S2228" s="127" t="n"/>
      <c r="T2228" s="127" t="n"/>
      <c r="U2228" s="127" t="n"/>
      <c r="V2228" s="127" t="n"/>
      <c r="W2228" s="127" t="n"/>
      <c r="X2228" s="127" t="n"/>
      <c r="Y2228" s="127" t="n"/>
      <c r="Z2228" s="127" t="n"/>
    </row>
    <row r="2229">
      <c r="A2229" s="217" t="n"/>
      <c r="B2229" s="126" t="n"/>
      <c r="C2229" s="126" t="n"/>
      <c r="D2229" s="126" t="n"/>
      <c r="E2229" s="126" t="n"/>
      <c r="F2229" s="127" t="n"/>
      <c r="G2229" s="127" t="inlineStr"/>
      <c r="H2229" s="127" t="inlineStr"/>
      <c r="I2229" s="127" t="n"/>
      <c r="J2229" s="127" t="n"/>
      <c r="K2229" s="127" t="inlineStr"/>
      <c r="L2229" s="127" t="n"/>
      <c r="M2229" s="127" t="n"/>
      <c r="N2229" s="127" t="n"/>
      <c r="O2229" s="127" t="n"/>
      <c r="P2229" s="127" t="n"/>
      <c r="Q2229" s="127" t="n"/>
      <c r="R2229" s="127" t="n"/>
      <c r="S2229" s="127" t="n"/>
      <c r="T2229" s="127" t="n"/>
      <c r="U2229" s="127" t="n"/>
      <c r="V2229" s="127" t="n"/>
      <c r="W2229" s="127" t="n"/>
      <c r="X2229" s="127" t="n"/>
      <c r="Y2229" s="127" t="n"/>
      <c r="Z2229" s="127" t="n"/>
    </row>
    <row r="2230">
      <c r="A2230" s="217" t="n"/>
      <c r="B2230" s="126" t="n"/>
      <c r="C2230" s="126" t="n"/>
      <c r="D2230" s="126" t="n"/>
      <c r="E2230" s="126" t="n"/>
      <c r="F2230" s="127" t="n"/>
      <c r="G2230" s="127" t="inlineStr"/>
      <c r="H2230" s="127" t="inlineStr"/>
      <c r="I2230" s="127" t="n"/>
      <c r="J2230" s="127" t="n"/>
      <c r="K2230" s="127" t="inlineStr"/>
      <c r="L2230" s="127" t="n"/>
      <c r="M2230" s="127" t="n"/>
      <c r="N2230" s="127" t="n"/>
      <c r="O2230" s="127" t="n"/>
      <c r="P2230" s="127" t="n"/>
      <c r="Q2230" s="127" t="n"/>
      <c r="R2230" s="127" t="n"/>
      <c r="S2230" s="127" t="n"/>
      <c r="T2230" s="127" t="n"/>
      <c r="U2230" s="127" t="n"/>
      <c r="V2230" s="127" t="n"/>
      <c r="W2230" s="127" t="n"/>
      <c r="X2230" s="127" t="n"/>
      <c r="Y2230" s="127" t="n"/>
      <c r="Z2230" s="127" t="n"/>
    </row>
    <row r="2231">
      <c r="A2231" s="217" t="n"/>
      <c r="B2231" s="126" t="n"/>
      <c r="C2231" s="126" t="n"/>
      <c r="D2231" s="126" t="n"/>
      <c r="E2231" s="126" t="n"/>
      <c r="F2231" s="127" t="n"/>
      <c r="G2231" s="127" t="inlineStr"/>
      <c r="H2231" s="127" t="inlineStr"/>
      <c r="I2231" s="127" t="n"/>
      <c r="J2231" s="127" t="n"/>
      <c r="K2231" s="127" t="inlineStr"/>
      <c r="L2231" s="127" t="n"/>
      <c r="M2231" s="127" t="n"/>
      <c r="N2231" s="127" t="n"/>
      <c r="O2231" s="127" t="n"/>
      <c r="P2231" s="127" t="n"/>
      <c r="Q2231" s="127" t="n"/>
      <c r="R2231" s="127" t="n"/>
      <c r="S2231" s="127" t="n"/>
      <c r="T2231" s="127" t="n"/>
      <c r="U2231" s="127" t="n"/>
      <c r="V2231" s="127" t="n"/>
      <c r="W2231" s="127" t="n"/>
      <c r="X2231" s="127" t="n"/>
      <c r="Y2231" s="127" t="n"/>
      <c r="Z2231" s="127" t="n"/>
    </row>
    <row r="2232">
      <c r="A2232" s="217" t="n"/>
      <c r="B2232" s="126" t="n"/>
      <c r="C2232" s="126" t="n"/>
      <c r="D2232" s="126" t="n"/>
      <c r="E2232" s="126" t="n"/>
      <c r="F2232" s="127" t="n"/>
      <c r="G2232" s="127" t="inlineStr"/>
      <c r="H2232" s="127" t="inlineStr"/>
      <c r="I2232" s="127" t="n"/>
      <c r="J2232" s="127" t="n"/>
      <c r="K2232" s="127" t="inlineStr"/>
      <c r="L2232" s="127" t="n"/>
      <c r="M2232" s="127" t="n"/>
      <c r="N2232" s="127" t="n"/>
      <c r="O2232" s="127" t="n"/>
      <c r="P2232" s="127" t="n"/>
      <c r="Q2232" s="127" t="n"/>
      <c r="R2232" s="127" t="n"/>
      <c r="S2232" s="127" t="n"/>
      <c r="T2232" s="127" t="n"/>
      <c r="U2232" s="127" t="n"/>
      <c r="V2232" s="127" t="n"/>
      <c r="W2232" s="127" t="n"/>
      <c r="X2232" s="127" t="n"/>
      <c r="Y2232" s="127" t="n"/>
      <c r="Z2232" s="127" t="n"/>
    </row>
    <row r="2233">
      <c r="A2233" s="217" t="n"/>
      <c r="B2233" s="126" t="n"/>
      <c r="C2233" s="126" t="n"/>
      <c r="D2233" s="126" t="n"/>
      <c r="E2233" s="126" t="n"/>
      <c r="F2233" s="127" t="n"/>
      <c r="G2233" s="127" t="inlineStr"/>
      <c r="H2233" s="127" t="inlineStr"/>
      <c r="I2233" s="127" t="n"/>
      <c r="J2233" s="127" t="n"/>
      <c r="K2233" s="127" t="inlineStr"/>
      <c r="L2233" s="127" t="n"/>
      <c r="M2233" s="127" t="n"/>
      <c r="N2233" s="127" t="n"/>
      <c r="O2233" s="127" t="n"/>
      <c r="P2233" s="127" t="n"/>
      <c r="Q2233" s="127" t="n"/>
      <c r="R2233" s="127" t="n"/>
      <c r="S2233" s="127" t="n"/>
      <c r="T2233" s="127" t="n"/>
      <c r="U2233" s="127" t="n"/>
      <c r="V2233" s="127" t="n"/>
      <c r="W2233" s="127" t="n"/>
      <c r="X2233" s="127" t="n"/>
      <c r="Y2233" s="127" t="n"/>
      <c r="Z2233" s="127" t="n"/>
    </row>
    <row r="2234">
      <c r="A2234" s="217" t="n"/>
      <c r="B2234" s="126" t="n"/>
      <c r="C2234" s="126" t="n"/>
      <c r="D2234" s="126" t="n"/>
      <c r="E2234" s="126" t="n"/>
      <c r="F2234" s="127" t="n"/>
      <c r="G2234" s="127" t="inlineStr"/>
      <c r="H2234" s="127" t="inlineStr"/>
      <c r="I2234" s="127" t="n"/>
      <c r="J2234" s="127" t="n"/>
      <c r="K2234" s="127" t="inlineStr"/>
      <c r="L2234" s="127" t="n"/>
      <c r="M2234" s="127" t="n"/>
      <c r="N2234" s="127" t="n"/>
      <c r="O2234" s="127" t="n"/>
      <c r="P2234" s="127" t="n"/>
      <c r="Q2234" s="127" t="n"/>
      <c r="R2234" s="127" t="n"/>
      <c r="S2234" s="127" t="n"/>
      <c r="T2234" s="127" t="n"/>
      <c r="U2234" s="127" t="n"/>
      <c r="V2234" s="127" t="n"/>
      <c r="W2234" s="127" t="n"/>
      <c r="X2234" s="127" t="n"/>
      <c r="Y2234" s="127" t="n"/>
      <c r="Z2234" s="127" t="n"/>
    </row>
    <row r="2235">
      <c r="A2235" s="217" t="n"/>
      <c r="B2235" s="126" t="n"/>
      <c r="C2235" s="126" t="n"/>
      <c r="D2235" s="126" t="n"/>
      <c r="E2235" s="126" t="n"/>
      <c r="F2235" s="127" t="n"/>
      <c r="G2235" s="127" t="inlineStr"/>
      <c r="H2235" s="127" t="inlineStr"/>
      <c r="I2235" s="127" t="n"/>
      <c r="J2235" s="127" t="n"/>
      <c r="K2235" s="127" t="inlineStr"/>
      <c r="L2235" s="127" t="n"/>
      <c r="M2235" s="127" t="n"/>
      <c r="N2235" s="127" t="n"/>
      <c r="O2235" s="127" t="n"/>
      <c r="P2235" s="127" t="n"/>
      <c r="Q2235" s="127" t="n"/>
      <c r="R2235" s="127" t="n"/>
      <c r="S2235" s="127" t="n"/>
      <c r="T2235" s="127" t="n"/>
      <c r="U2235" s="127" t="n"/>
      <c r="V2235" s="127" t="n"/>
      <c r="W2235" s="127" t="n"/>
      <c r="X2235" s="127" t="n"/>
      <c r="Y2235" s="127" t="n"/>
      <c r="Z2235" s="127" t="n"/>
    </row>
    <row r="2236">
      <c r="A2236" s="217" t="n"/>
      <c r="B2236" s="126" t="n"/>
      <c r="C2236" s="126" t="n"/>
      <c r="D2236" s="126" t="n"/>
      <c r="E2236" s="126" t="n"/>
      <c r="F2236" s="127" t="n"/>
      <c r="G2236" s="127" t="inlineStr"/>
      <c r="H2236" s="127" t="inlineStr"/>
      <c r="I2236" s="127" t="n"/>
      <c r="J2236" s="127" t="n"/>
      <c r="K2236" s="127" t="inlineStr"/>
      <c r="L2236" s="127" t="n"/>
      <c r="M2236" s="127" t="n"/>
      <c r="N2236" s="127" t="n"/>
      <c r="O2236" s="127" t="n"/>
      <c r="P2236" s="127" t="n"/>
      <c r="Q2236" s="127" t="n"/>
      <c r="R2236" s="127" t="n"/>
      <c r="S2236" s="127" t="n"/>
      <c r="T2236" s="127" t="n"/>
      <c r="U2236" s="127" t="n"/>
      <c r="V2236" s="127" t="n"/>
      <c r="W2236" s="127" t="n"/>
      <c r="X2236" s="127" t="n"/>
      <c r="Y2236" s="127" t="n"/>
      <c r="Z2236" s="127" t="n"/>
    </row>
    <row r="2237">
      <c r="A2237" s="217" t="n"/>
      <c r="B2237" s="126" t="n"/>
      <c r="C2237" s="126" t="n"/>
      <c r="D2237" s="126" t="n"/>
      <c r="E2237" s="126" t="n"/>
      <c r="F2237" s="127" t="n"/>
      <c r="G2237" s="127" t="inlineStr"/>
      <c r="H2237" s="127" t="inlineStr"/>
      <c r="I2237" s="127" t="n"/>
      <c r="J2237" s="127" t="n"/>
      <c r="K2237" s="127" t="inlineStr"/>
      <c r="L2237" s="127" t="n"/>
      <c r="M2237" s="127" t="n"/>
      <c r="N2237" s="127" t="n"/>
      <c r="O2237" s="127" t="n"/>
      <c r="P2237" s="127" t="n"/>
      <c r="Q2237" s="127" t="n"/>
      <c r="R2237" s="127" t="n"/>
      <c r="S2237" s="127" t="n"/>
      <c r="T2237" s="127" t="n"/>
      <c r="U2237" s="127" t="n"/>
      <c r="V2237" s="127" t="n"/>
      <c r="W2237" s="127" t="n"/>
      <c r="X2237" s="127" t="n"/>
      <c r="Y2237" s="127" t="n"/>
      <c r="Z2237" s="127" t="n"/>
    </row>
    <row r="2238">
      <c r="A2238" s="217" t="n"/>
      <c r="B2238" s="126" t="n"/>
      <c r="C2238" s="126" t="n"/>
      <c r="D2238" s="126" t="n"/>
      <c r="E2238" s="126" t="n"/>
      <c r="F2238" s="127" t="n"/>
      <c r="G2238" s="127" t="inlineStr"/>
      <c r="H2238" s="127" t="inlineStr"/>
      <c r="I2238" s="127" t="n"/>
      <c r="J2238" s="127" t="n"/>
      <c r="K2238" s="127" t="inlineStr"/>
      <c r="L2238" s="127" t="n"/>
      <c r="M2238" s="127" t="n"/>
      <c r="N2238" s="127" t="n"/>
      <c r="O2238" s="127" t="n"/>
      <c r="P2238" s="127" t="n"/>
      <c r="Q2238" s="127" t="n"/>
      <c r="R2238" s="127" t="n"/>
      <c r="S2238" s="127" t="n"/>
      <c r="T2238" s="127" t="n"/>
      <c r="U2238" s="127" t="n"/>
      <c r="V2238" s="127" t="n"/>
      <c r="W2238" s="127" t="n"/>
      <c r="X2238" s="127" t="n"/>
      <c r="Y2238" s="127" t="n"/>
      <c r="Z2238" s="127" t="n"/>
    </row>
    <row r="2239">
      <c r="A2239" s="217" t="n"/>
      <c r="B2239" s="126" t="n"/>
      <c r="C2239" s="126" t="n"/>
      <c r="D2239" s="126" t="n"/>
      <c r="E2239" s="126" t="n"/>
      <c r="F2239" s="127" t="n"/>
      <c r="G2239" s="127" t="inlineStr"/>
      <c r="H2239" s="127" t="inlineStr"/>
      <c r="I2239" s="127" t="n"/>
      <c r="J2239" s="127" t="n"/>
      <c r="K2239" s="127" t="inlineStr"/>
      <c r="L2239" s="127" t="n"/>
      <c r="M2239" s="127" t="n"/>
      <c r="N2239" s="127" t="n"/>
      <c r="O2239" s="127" t="n"/>
      <c r="P2239" s="127" t="n"/>
      <c r="Q2239" s="127" t="n"/>
      <c r="R2239" s="127" t="n"/>
      <c r="S2239" s="127" t="n"/>
      <c r="T2239" s="127" t="n"/>
      <c r="U2239" s="127" t="n"/>
      <c r="V2239" s="127" t="n"/>
      <c r="W2239" s="127" t="n"/>
      <c r="X2239" s="127" t="n"/>
      <c r="Y2239" s="127" t="n"/>
      <c r="Z2239" s="127" t="n"/>
    </row>
    <row r="2240">
      <c r="A2240" s="217" t="n"/>
      <c r="B2240" s="126" t="n"/>
      <c r="C2240" s="126" t="n"/>
      <c r="D2240" s="126" t="n"/>
      <c r="E2240" s="126" t="n"/>
      <c r="F2240" s="127" t="n"/>
      <c r="G2240" s="127" t="inlineStr"/>
      <c r="H2240" s="127" t="inlineStr"/>
      <c r="I2240" s="127" t="n"/>
      <c r="J2240" s="127" t="n"/>
      <c r="K2240" s="127" t="inlineStr"/>
      <c r="L2240" s="127" t="n"/>
      <c r="M2240" s="127" t="n"/>
      <c r="N2240" s="127" t="n"/>
      <c r="O2240" s="127" t="n"/>
      <c r="P2240" s="127" t="n"/>
      <c r="Q2240" s="127" t="n"/>
      <c r="R2240" s="127" t="n"/>
      <c r="S2240" s="127" t="n"/>
      <c r="T2240" s="127" t="n"/>
      <c r="U2240" s="127" t="n"/>
      <c r="V2240" s="127" t="n"/>
      <c r="W2240" s="127" t="n"/>
      <c r="X2240" s="127" t="n"/>
      <c r="Y2240" s="127" t="n"/>
      <c r="Z2240" s="127" t="n"/>
    </row>
    <row r="2241">
      <c r="A2241" s="217" t="n"/>
      <c r="B2241" s="126" t="n"/>
      <c r="C2241" s="126" t="n"/>
      <c r="D2241" s="126" t="n"/>
      <c r="E2241" s="126" t="n"/>
      <c r="F2241" s="127" t="n"/>
      <c r="G2241" s="127" t="inlineStr"/>
      <c r="H2241" s="127" t="inlineStr"/>
      <c r="I2241" s="127" t="n"/>
      <c r="J2241" s="127" t="n"/>
      <c r="K2241" s="127" t="inlineStr"/>
      <c r="L2241" s="127" t="n"/>
      <c r="M2241" s="127" t="n"/>
      <c r="N2241" s="127" t="n"/>
      <c r="O2241" s="127" t="n"/>
      <c r="P2241" s="127" t="n"/>
      <c r="Q2241" s="127" t="n"/>
      <c r="R2241" s="127" t="n"/>
      <c r="S2241" s="127" t="n"/>
      <c r="T2241" s="127" t="n"/>
      <c r="U2241" s="127" t="n"/>
      <c r="V2241" s="127" t="n"/>
      <c r="W2241" s="127" t="n"/>
      <c r="X2241" s="127" t="n"/>
      <c r="Y2241" s="127" t="n"/>
      <c r="Z2241" s="127" t="n"/>
    </row>
    <row r="2242">
      <c r="A2242" s="217" t="n"/>
      <c r="B2242" s="126" t="n"/>
      <c r="C2242" s="126" t="n"/>
      <c r="D2242" s="126" t="n"/>
      <c r="E2242" s="126" t="n"/>
      <c r="F2242" s="127" t="n"/>
      <c r="G2242" s="127" t="inlineStr"/>
      <c r="H2242" s="127" t="inlineStr"/>
      <c r="I2242" s="127" t="n"/>
      <c r="J2242" s="127" t="n"/>
      <c r="K2242" s="127" t="inlineStr"/>
      <c r="L2242" s="127" t="n"/>
      <c r="M2242" s="127" t="n"/>
      <c r="N2242" s="127" t="n"/>
      <c r="O2242" s="127" t="n"/>
      <c r="P2242" s="127" t="n"/>
      <c r="Q2242" s="127" t="n"/>
      <c r="R2242" s="127" t="n"/>
      <c r="S2242" s="127" t="n"/>
      <c r="T2242" s="127" t="n"/>
      <c r="U2242" s="127" t="n"/>
      <c r="V2242" s="127" t="n"/>
      <c r="W2242" s="127" t="n"/>
      <c r="X2242" s="127" t="n"/>
      <c r="Y2242" s="127" t="n"/>
      <c r="Z2242" s="127" t="n"/>
    </row>
    <row r="2243">
      <c r="A2243" s="217" t="n"/>
      <c r="B2243" s="126" t="n"/>
      <c r="C2243" s="126" t="n"/>
      <c r="D2243" s="126" t="n"/>
      <c r="E2243" s="126" t="n"/>
      <c r="F2243" s="127" t="n"/>
      <c r="G2243" s="127" t="inlineStr"/>
      <c r="H2243" s="127" t="inlineStr"/>
      <c r="I2243" s="127" t="n"/>
      <c r="J2243" s="127" t="n"/>
      <c r="K2243" s="127" t="inlineStr"/>
      <c r="L2243" s="127" t="n"/>
      <c r="M2243" s="127" t="n"/>
      <c r="N2243" s="127" t="n"/>
      <c r="O2243" s="127" t="n"/>
      <c r="P2243" s="127" t="n"/>
      <c r="Q2243" s="127" t="n"/>
      <c r="R2243" s="127" t="n"/>
      <c r="S2243" s="127" t="n"/>
      <c r="T2243" s="127" t="n"/>
      <c r="U2243" s="127" t="n"/>
      <c r="V2243" s="127" t="n"/>
      <c r="W2243" s="127" t="n"/>
      <c r="X2243" s="127" t="n"/>
      <c r="Y2243" s="127" t="n"/>
      <c r="Z2243" s="127" t="n"/>
    </row>
    <row r="2244">
      <c r="A2244" s="217" t="n"/>
      <c r="B2244" s="126" t="n"/>
      <c r="C2244" s="126" t="n"/>
      <c r="D2244" s="126" t="n"/>
      <c r="E2244" s="126" t="n"/>
      <c r="F2244" s="127" t="n"/>
      <c r="G2244" s="127" t="inlineStr"/>
      <c r="H2244" s="127" t="inlineStr"/>
      <c r="I2244" s="127" t="n"/>
      <c r="J2244" s="127" t="n"/>
      <c r="K2244" s="127" t="inlineStr"/>
      <c r="L2244" s="127" t="n"/>
      <c r="M2244" s="127" t="n"/>
      <c r="N2244" s="127" t="n"/>
      <c r="O2244" s="127" t="n"/>
      <c r="P2244" s="127" t="n"/>
      <c r="Q2244" s="127" t="n"/>
      <c r="R2244" s="127" t="n"/>
      <c r="S2244" s="127" t="n"/>
      <c r="T2244" s="127" t="n"/>
      <c r="U2244" s="127" t="n"/>
      <c r="V2244" s="127" t="n"/>
      <c r="W2244" s="127" t="n"/>
      <c r="X2244" s="127" t="n"/>
      <c r="Y2244" s="127" t="n"/>
      <c r="Z2244" s="127" t="n"/>
    </row>
    <row r="2245">
      <c r="A2245" s="217" t="n"/>
      <c r="B2245" s="126" t="n"/>
      <c r="C2245" s="126" t="n"/>
      <c r="D2245" s="126" t="n"/>
      <c r="E2245" s="126" t="n"/>
      <c r="F2245" s="127" t="n"/>
      <c r="G2245" s="127" t="inlineStr"/>
      <c r="H2245" s="127" t="inlineStr"/>
      <c r="I2245" s="127" t="n"/>
      <c r="J2245" s="127" t="n"/>
      <c r="K2245" s="127" t="inlineStr"/>
      <c r="L2245" s="127" t="n"/>
      <c r="M2245" s="127" t="n"/>
      <c r="N2245" s="127" t="n"/>
      <c r="O2245" s="127" t="n"/>
      <c r="P2245" s="127" t="n"/>
      <c r="Q2245" s="127" t="n"/>
      <c r="R2245" s="127" t="n"/>
      <c r="S2245" s="127" t="n"/>
      <c r="T2245" s="127" t="n"/>
      <c r="U2245" s="127" t="n"/>
      <c r="V2245" s="127" t="n"/>
      <c r="W2245" s="127" t="n"/>
      <c r="X2245" s="127" t="n"/>
      <c r="Y2245" s="127" t="n"/>
      <c r="Z2245" s="127" t="n"/>
    </row>
    <row r="2246">
      <c r="A2246" s="217" t="n"/>
      <c r="B2246" s="126" t="n"/>
      <c r="C2246" s="126" t="n"/>
      <c r="D2246" s="126" t="n"/>
      <c r="E2246" s="126" t="n"/>
      <c r="F2246" s="127" t="n"/>
      <c r="G2246" s="127" t="inlineStr"/>
      <c r="H2246" s="127" t="inlineStr"/>
      <c r="I2246" s="127" t="n"/>
      <c r="J2246" s="127" t="n"/>
      <c r="K2246" s="127" t="inlineStr"/>
      <c r="L2246" s="127" t="n"/>
      <c r="M2246" s="127" t="n"/>
      <c r="N2246" s="127" t="n"/>
      <c r="O2246" s="127" t="n"/>
      <c r="P2246" s="127" t="n"/>
      <c r="Q2246" s="127" t="n"/>
      <c r="R2246" s="127" t="n"/>
      <c r="S2246" s="127" t="n"/>
      <c r="T2246" s="127" t="n"/>
      <c r="U2246" s="127" t="n"/>
      <c r="V2246" s="127" t="n"/>
      <c r="W2246" s="127" t="n"/>
      <c r="X2246" s="127" t="n"/>
      <c r="Y2246" s="127" t="n"/>
      <c r="Z2246" s="127" t="n"/>
    </row>
    <row r="2247">
      <c r="A2247" s="217" t="n"/>
      <c r="B2247" s="126" t="n"/>
      <c r="C2247" s="126" t="n"/>
      <c r="D2247" s="126" t="n"/>
      <c r="E2247" s="126" t="n"/>
      <c r="F2247" s="127" t="n"/>
      <c r="G2247" s="127" t="inlineStr"/>
      <c r="H2247" s="127" t="inlineStr"/>
      <c r="I2247" s="127" t="n"/>
      <c r="J2247" s="127" t="n"/>
      <c r="K2247" s="127" t="inlineStr"/>
      <c r="L2247" s="127" t="n"/>
      <c r="M2247" s="127" t="n"/>
      <c r="N2247" s="127" t="n"/>
      <c r="O2247" s="127" t="n"/>
      <c r="P2247" s="127" t="n"/>
      <c r="Q2247" s="127" t="n"/>
      <c r="R2247" s="127" t="n"/>
      <c r="S2247" s="127" t="n"/>
      <c r="T2247" s="127" t="n"/>
      <c r="U2247" s="127" t="n"/>
      <c r="V2247" s="127" t="n"/>
      <c r="W2247" s="127" t="n"/>
      <c r="X2247" s="127" t="n"/>
      <c r="Y2247" s="127" t="n"/>
      <c r="Z2247" s="127" t="n"/>
    </row>
    <row r="2248">
      <c r="A2248" s="217" t="n"/>
      <c r="B2248" s="126" t="n"/>
      <c r="C2248" s="126" t="n"/>
      <c r="D2248" s="126" t="n"/>
      <c r="E2248" s="126" t="n"/>
      <c r="F2248" s="127" t="n"/>
      <c r="G2248" s="127" t="inlineStr"/>
      <c r="H2248" s="127" t="inlineStr"/>
      <c r="I2248" s="127" t="n"/>
      <c r="J2248" s="127" t="n"/>
      <c r="K2248" s="127" t="inlineStr"/>
      <c r="L2248" s="127" t="n"/>
      <c r="M2248" s="127" t="n"/>
      <c r="N2248" s="127" t="n"/>
      <c r="O2248" s="127" t="n"/>
      <c r="P2248" s="127" t="n"/>
      <c r="Q2248" s="127" t="n"/>
      <c r="R2248" s="127" t="n"/>
      <c r="S2248" s="127" t="n"/>
      <c r="T2248" s="127" t="n"/>
      <c r="U2248" s="127" t="n"/>
      <c r="V2248" s="127" t="n"/>
      <c r="W2248" s="127" t="n"/>
      <c r="X2248" s="127" t="n"/>
      <c r="Y2248" s="127" t="n"/>
      <c r="Z2248" s="127" t="n"/>
    </row>
    <row r="2249">
      <c r="A2249" s="217" t="n"/>
      <c r="B2249" s="126" t="n"/>
      <c r="C2249" s="126" t="n"/>
      <c r="D2249" s="126" t="n"/>
      <c r="E2249" s="126" t="n"/>
      <c r="F2249" s="127" t="n"/>
      <c r="G2249" s="127" t="inlineStr"/>
      <c r="H2249" s="127" t="inlineStr"/>
      <c r="I2249" s="127" t="n"/>
      <c r="J2249" s="127" t="n"/>
      <c r="K2249" s="127" t="inlineStr"/>
      <c r="L2249" s="127" t="n"/>
      <c r="M2249" s="127" t="n"/>
      <c r="N2249" s="127" t="n"/>
      <c r="O2249" s="127" t="n"/>
      <c r="P2249" s="127" t="n"/>
      <c r="Q2249" s="127" t="n"/>
      <c r="R2249" s="127" t="n"/>
      <c r="S2249" s="127" t="n"/>
      <c r="T2249" s="127" t="n"/>
      <c r="U2249" s="127" t="n"/>
      <c r="V2249" s="127" t="n"/>
      <c r="W2249" s="127" t="n"/>
      <c r="X2249" s="127" t="n"/>
      <c r="Y2249" s="127" t="n"/>
      <c r="Z2249" s="127" t="n"/>
    </row>
    <row r="2250">
      <c r="A2250" s="217" t="n"/>
      <c r="B2250" s="126" t="n"/>
      <c r="C2250" s="126" t="n"/>
      <c r="D2250" s="126" t="n"/>
      <c r="E2250" s="126" t="n"/>
      <c r="F2250" s="127" t="n"/>
      <c r="G2250" s="127" t="inlineStr"/>
      <c r="H2250" s="127" t="inlineStr"/>
      <c r="I2250" s="127" t="n"/>
      <c r="J2250" s="127" t="n"/>
      <c r="K2250" s="127" t="inlineStr"/>
      <c r="L2250" s="127" t="n"/>
      <c r="M2250" s="127" t="n"/>
      <c r="N2250" s="127" t="n"/>
      <c r="O2250" s="127" t="n"/>
      <c r="P2250" s="127" t="n"/>
      <c r="Q2250" s="127" t="n"/>
      <c r="R2250" s="127" t="n"/>
      <c r="S2250" s="127" t="n"/>
      <c r="T2250" s="127" t="n"/>
      <c r="U2250" s="127" t="n"/>
      <c r="V2250" s="127" t="n"/>
      <c r="W2250" s="127" t="n"/>
      <c r="X2250" s="127" t="n"/>
      <c r="Y2250" s="127" t="n"/>
      <c r="Z2250" s="127" t="n"/>
    </row>
    <row r="2251">
      <c r="A2251" s="217" t="n"/>
      <c r="B2251" s="126" t="n"/>
      <c r="C2251" s="126" t="n"/>
      <c r="D2251" s="126" t="n"/>
      <c r="E2251" s="126" t="n"/>
      <c r="F2251" s="127" t="n"/>
      <c r="G2251" s="127" t="inlineStr"/>
      <c r="H2251" s="127" t="inlineStr"/>
      <c r="I2251" s="127" t="n"/>
      <c r="J2251" s="127" t="n"/>
      <c r="K2251" s="127" t="inlineStr"/>
      <c r="L2251" s="127" t="n"/>
      <c r="M2251" s="127" t="n"/>
      <c r="N2251" s="127" t="n"/>
      <c r="O2251" s="127" t="n"/>
      <c r="P2251" s="127" t="n"/>
      <c r="Q2251" s="127" t="n"/>
      <c r="R2251" s="127" t="n"/>
      <c r="S2251" s="127" t="n"/>
      <c r="T2251" s="127" t="n"/>
      <c r="U2251" s="127" t="n"/>
      <c r="V2251" s="127" t="n"/>
      <c r="W2251" s="127" t="n"/>
      <c r="X2251" s="127" t="n"/>
      <c r="Y2251" s="127" t="n"/>
      <c r="Z2251" s="127" t="n"/>
    </row>
    <row r="2252">
      <c r="A2252" s="217" t="n"/>
      <c r="B2252" s="126" t="n"/>
      <c r="C2252" s="126" t="n"/>
      <c r="D2252" s="126" t="n"/>
      <c r="E2252" s="126" t="n"/>
      <c r="F2252" s="127" t="n"/>
      <c r="G2252" s="127" t="inlineStr"/>
      <c r="H2252" s="127" t="inlineStr"/>
      <c r="I2252" s="127" t="n"/>
      <c r="J2252" s="127" t="n"/>
      <c r="K2252" s="127" t="inlineStr"/>
      <c r="L2252" s="127" t="n"/>
      <c r="M2252" s="127" t="n"/>
      <c r="N2252" s="127" t="n"/>
      <c r="O2252" s="127" t="n"/>
      <c r="P2252" s="127" t="n"/>
      <c r="Q2252" s="127" t="n"/>
      <c r="R2252" s="127" t="n"/>
      <c r="S2252" s="127" t="n"/>
      <c r="T2252" s="127" t="n"/>
      <c r="U2252" s="127" t="n"/>
      <c r="V2252" s="127" t="n"/>
      <c r="W2252" s="127" t="n"/>
      <c r="X2252" s="127" t="n"/>
      <c r="Y2252" s="127" t="n"/>
      <c r="Z2252" s="127" t="n"/>
    </row>
    <row r="2253">
      <c r="A2253" s="217" t="n"/>
      <c r="B2253" s="126" t="n"/>
      <c r="C2253" s="126" t="n"/>
      <c r="D2253" s="126" t="n"/>
      <c r="E2253" s="126" t="n"/>
      <c r="F2253" s="127" t="n"/>
      <c r="G2253" s="127" t="inlineStr"/>
      <c r="H2253" s="127" t="inlineStr"/>
      <c r="I2253" s="127" t="n"/>
      <c r="J2253" s="127" t="n"/>
      <c r="K2253" s="127" t="inlineStr"/>
      <c r="L2253" s="127" t="n"/>
      <c r="M2253" s="127" t="n"/>
      <c r="N2253" s="127" t="n"/>
      <c r="O2253" s="127" t="n"/>
      <c r="P2253" s="127" t="n"/>
      <c r="Q2253" s="127" t="n"/>
      <c r="R2253" s="127" t="n"/>
      <c r="S2253" s="127" t="n"/>
      <c r="T2253" s="127" t="n"/>
      <c r="U2253" s="127" t="n"/>
      <c r="V2253" s="127" t="n"/>
      <c r="W2253" s="127" t="n"/>
      <c r="X2253" s="127" t="n"/>
      <c r="Y2253" s="127" t="n"/>
      <c r="Z2253" s="127" t="n"/>
    </row>
    <row r="2254">
      <c r="A2254" s="217" t="n"/>
      <c r="B2254" s="126" t="n"/>
      <c r="C2254" s="126" t="n"/>
      <c r="D2254" s="126" t="n"/>
      <c r="E2254" s="126" t="n"/>
      <c r="F2254" s="127" t="n"/>
      <c r="G2254" s="127" t="inlineStr"/>
      <c r="H2254" s="127" t="inlineStr"/>
      <c r="I2254" s="127" t="n"/>
      <c r="J2254" s="127" t="n"/>
      <c r="K2254" s="127" t="inlineStr"/>
      <c r="L2254" s="127" t="n"/>
      <c r="M2254" s="127" t="n"/>
      <c r="N2254" s="127" t="n"/>
      <c r="O2254" s="127" t="n"/>
      <c r="P2254" s="127" t="n"/>
      <c r="Q2254" s="127" t="n"/>
      <c r="R2254" s="127" t="n"/>
      <c r="S2254" s="127" t="n"/>
      <c r="T2254" s="127" t="n"/>
      <c r="U2254" s="127" t="n"/>
      <c r="V2254" s="127" t="n"/>
      <c r="W2254" s="127" t="n"/>
      <c r="X2254" s="127" t="n"/>
      <c r="Y2254" s="127" t="n"/>
      <c r="Z2254" s="127" t="n"/>
    </row>
    <row r="2255">
      <c r="A2255" s="217" t="n"/>
      <c r="B2255" s="126" t="n"/>
      <c r="C2255" s="126" t="n"/>
      <c r="D2255" s="126" t="n"/>
      <c r="E2255" s="126" t="n"/>
      <c r="F2255" s="127" t="n"/>
      <c r="G2255" s="127" t="inlineStr"/>
      <c r="H2255" s="127" t="inlineStr"/>
      <c r="I2255" s="127" t="n"/>
      <c r="J2255" s="127" t="n"/>
      <c r="K2255" s="127" t="inlineStr"/>
      <c r="L2255" s="127" t="n"/>
      <c r="M2255" s="127" t="n"/>
      <c r="N2255" s="127" t="n"/>
      <c r="O2255" s="127" t="n"/>
      <c r="P2255" s="127" t="n"/>
      <c r="Q2255" s="127" t="n"/>
      <c r="R2255" s="127" t="n"/>
      <c r="S2255" s="127" t="n"/>
      <c r="T2255" s="127" t="n"/>
      <c r="U2255" s="127" t="n"/>
      <c r="V2255" s="127" t="n"/>
      <c r="W2255" s="127" t="n"/>
      <c r="X2255" s="127" t="n"/>
      <c r="Y2255" s="127" t="n"/>
      <c r="Z2255" s="127" t="n"/>
    </row>
    <row r="2256">
      <c r="A2256" s="217" t="n"/>
      <c r="B2256" s="126" t="n"/>
      <c r="C2256" s="126" t="n"/>
      <c r="D2256" s="126" t="n"/>
      <c r="E2256" s="126" t="n"/>
      <c r="F2256" s="127" t="n"/>
      <c r="G2256" s="127" t="inlineStr"/>
      <c r="H2256" s="127" t="inlineStr"/>
      <c r="I2256" s="127" t="n"/>
      <c r="J2256" s="127" t="n"/>
      <c r="K2256" s="127" t="inlineStr"/>
      <c r="L2256" s="127" t="n"/>
      <c r="M2256" s="127" t="n"/>
      <c r="N2256" s="127" t="n"/>
      <c r="O2256" s="127" t="n"/>
      <c r="P2256" s="127" t="n"/>
      <c r="Q2256" s="127" t="n"/>
      <c r="R2256" s="127" t="n"/>
      <c r="S2256" s="127" t="n"/>
      <c r="T2256" s="127" t="n"/>
      <c r="U2256" s="127" t="n"/>
      <c r="V2256" s="127" t="n"/>
      <c r="W2256" s="127" t="n"/>
      <c r="X2256" s="127" t="n"/>
      <c r="Y2256" s="127" t="n"/>
      <c r="Z2256" s="127" t="n"/>
    </row>
    <row r="2257">
      <c r="A2257" s="217" t="n"/>
      <c r="B2257" s="126" t="n"/>
      <c r="C2257" s="126" t="n"/>
      <c r="D2257" s="126" t="n"/>
      <c r="E2257" s="126" t="n"/>
      <c r="F2257" s="127" t="n"/>
      <c r="G2257" s="127" t="inlineStr"/>
      <c r="H2257" s="127" t="inlineStr"/>
      <c r="I2257" s="127" t="n"/>
      <c r="J2257" s="127" t="n"/>
      <c r="K2257" s="127" t="inlineStr"/>
      <c r="L2257" s="127" t="n"/>
      <c r="M2257" s="127" t="n"/>
      <c r="N2257" s="127" t="n"/>
      <c r="O2257" s="127" t="n"/>
      <c r="P2257" s="127" t="n"/>
      <c r="Q2257" s="127" t="n"/>
      <c r="R2257" s="127" t="n"/>
      <c r="S2257" s="127" t="n"/>
      <c r="T2257" s="127" t="n"/>
      <c r="U2257" s="127" t="n"/>
      <c r="V2257" s="127" t="n"/>
      <c r="W2257" s="127" t="n"/>
      <c r="X2257" s="127" t="n"/>
      <c r="Y2257" s="127" t="n"/>
      <c r="Z2257" s="127" t="n"/>
    </row>
    <row r="2258">
      <c r="A2258" s="217" t="n"/>
      <c r="B2258" s="126" t="n"/>
      <c r="C2258" s="126" t="n"/>
      <c r="D2258" s="126" t="n"/>
      <c r="E2258" s="126" t="n"/>
      <c r="F2258" s="127" t="n"/>
      <c r="G2258" s="127" t="inlineStr"/>
      <c r="H2258" s="127" t="inlineStr"/>
      <c r="I2258" s="127" t="n"/>
      <c r="J2258" s="127" t="n"/>
      <c r="K2258" s="127" t="inlineStr"/>
      <c r="L2258" s="127" t="n"/>
      <c r="M2258" s="127" t="n"/>
      <c r="N2258" s="127" t="n"/>
      <c r="O2258" s="127" t="n"/>
      <c r="P2258" s="127" t="n"/>
      <c r="Q2258" s="127" t="n"/>
      <c r="R2258" s="127" t="n"/>
      <c r="S2258" s="127" t="n"/>
      <c r="T2258" s="127" t="n"/>
      <c r="U2258" s="127" t="n"/>
      <c r="V2258" s="127" t="n"/>
      <c r="W2258" s="127" t="n"/>
      <c r="X2258" s="127" t="n"/>
      <c r="Y2258" s="127" t="n"/>
      <c r="Z2258" s="127" t="n"/>
    </row>
    <row r="2259">
      <c r="A2259" s="217" t="n"/>
      <c r="B2259" s="126" t="n"/>
      <c r="C2259" s="126" t="n"/>
      <c r="D2259" s="126" t="n"/>
      <c r="E2259" s="126" t="n"/>
      <c r="F2259" s="127" t="n"/>
      <c r="G2259" s="127" t="inlineStr"/>
      <c r="H2259" s="127" t="inlineStr"/>
      <c r="I2259" s="127" t="n"/>
      <c r="J2259" s="127" t="n"/>
      <c r="K2259" s="127" t="inlineStr"/>
      <c r="L2259" s="127" t="n"/>
      <c r="M2259" s="127" t="n"/>
      <c r="N2259" s="127" t="n"/>
      <c r="O2259" s="127" t="n"/>
      <c r="P2259" s="127" t="n"/>
      <c r="Q2259" s="127" t="n"/>
      <c r="R2259" s="127" t="n"/>
      <c r="S2259" s="127" t="n"/>
      <c r="T2259" s="127" t="n"/>
      <c r="U2259" s="127" t="n"/>
      <c r="V2259" s="127" t="n"/>
      <c r="W2259" s="127" t="n"/>
      <c r="X2259" s="127" t="n"/>
      <c r="Y2259" s="127" t="n"/>
      <c r="Z2259" s="127" t="n"/>
    </row>
    <row r="2260">
      <c r="A2260" s="217" t="n"/>
      <c r="B2260" s="126" t="n"/>
      <c r="C2260" s="126" t="n"/>
      <c r="D2260" s="126" t="n"/>
      <c r="E2260" s="126" t="n"/>
      <c r="F2260" s="127" t="n"/>
      <c r="G2260" s="127" t="inlineStr"/>
      <c r="H2260" s="127" t="inlineStr"/>
      <c r="I2260" s="127" t="n"/>
      <c r="J2260" s="127" t="n"/>
      <c r="K2260" s="127" t="inlineStr"/>
      <c r="L2260" s="127" t="n"/>
      <c r="M2260" s="127" t="n"/>
      <c r="N2260" s="127" t="n"/>
      <c r="O2260" s="127" t="n"/>
      <c r="P2260" s="127" t="n"/>
      <c r="Q2260" s="127" t="n"/>
      <c r="R2260" s="127" t="n"/>
      <c r="S2260" s="127" t="n"/>
      <c r="T2260" s="127" t="n"/>
      <c r="U2260" s="127" t="n"/>
      <c r="V2260" s="127" t="n"/>
      <c r="W2260" s="127" t="n"/>
      <c r="X2260" s="127" t="n"/>
      <c r="Y2260" s="127" t="n"/>
      <c r="Z2260" s="127" t="n"/>
    </row>
    <row r="2261">
      <c r="A2261" s="217" t="n"/>
      <c r="B2261" s="126" t="n"/>
      <c r="C2261" s="126" t="n"/>
      <c r="D2261" s="126" t="n"/>
      <c r="E2261" s="126" t="n"/>
      <c r="F2261" s="127" t="n"/>
      <c r="G2261" s="127" t="inlineStr"/>
      <c r="H2261" s="127" t="inlineStr"/>
      <c r="I2261" s="127" t="n"/>
      <c r="J2261" s="127" t="n"/>
      <c r="K2261" s="127" t="inlineStr"/>
      <c r="L2261" s="127" t="n"/>
      <c r="M2261" s="127" t="n"/>
      <c r="N2261" s="127" t="n"/>
      <c r="O2261" s="127" t="n"/>
      <c r="P2261" s="127" t="n"/>
      <c r="Q2261" s="127" t="n"/>
      <c r="R2261" s="127" t="n"/>
      <c r="S2261" s="127" t="n"/>
      <c r="T2261" s="127" t="n"/>
      <c r="U2261" s="127" t="n"/>
      <c r="V2261" s="127" t="n"/>
      <c r="W2261" s="127" t="n"/>
      <c r="X2261" s="127" t="n"/>
      <c r="Y2261" s="127" t="n"/>
      <c r="Z2261" s="127" t="n"/>
    </row>
    <row r="2262">
      <c r="A2262" s="217" t="n"/>
      <c r="B2262" s="126" t="n"/>
      <c r="C2262" s="126" t="n"/>
      <c r="D2262" s="126" t="n"/>
      <c r="E2262" s="126" t="n"/>
      <c r="F2262" s="127" t="n"/>
      <c r="G2262" s="127" t="inlineStr"/>
      <c r="H2262" s="127" t="inlineStr"/>
      <c r="I2262" s="127" t="n"/>
      <c r="J2262" s="127" t="n"/>
      <c r="K2262" s="127" t="inlineStr"/>
      <c r="L2262" s="127" t="n"/>
      <c r="M2262" s="127" t="n"/>
      <c r="N2262" s="127" t="n"/>
      <c r="O2262" s="127" t="n"/>
      <c r="P2262" s="127" t="n"/>
      <c r="Q2262" s="127" t="n"/>
      <c r="R2262" s="127" t="n"/>
      <c r="S2262" s="127" t="n"/>
      <c r="T2262" s="127" t="n"/>
      <c r="U2262" s="127" t="n"/>
      <c r="V2262" s="127" t="n"/>
      <c r="W2262" s="127" t="n"/>
      <c r="X2262" s="127" t="n"/>
      <c r="Y2262" s="127" t="n"/>
      <c r="Z2262" s="127" t="n"/>
    </row>
    <row r="2263">
      <c r="A2263" s="217" t="n"/>
      <c r="B2263" s="126" t="n"/>
      <c r="C2263" s="126" t="n"/>
      <c r="D2263" s="126" t="n"/>
      <c r="E2263" s="126" t="n"/>
      <c r="F2263" s="127" t="n"/>
      <c r="G2263" s="127" t="inlineStr"/>
      <c r="H2263" s="127" t="inlineStr"/>
      <c r="I2263" s="127" t="n"/>
      <c r="J2263" s="127" t="n"/>
      <c r="K2263" s="127" t="inlineStr"/>
      <c r="L2263" s="127" t="n"/>
      <c r="M2263" s="127" t="n"/>
      <c r="N2263" s="127" t="n"/>
      <c r="O2263" s="127" t="n"/>
      <c r="P2263" s="127" t="n"/>
      <c r="Q2263" s="127" t="n"/>
      <c r="R2263" s="127" t="n"/>
      <c r="S2263" s="127" t="n"/>
      <c r="T2263" s="127" t="n"/>
      <c r="U2263" s="127" t="n"/>
      <c r="V2263" s="127" t="n"/>
      <c r="W2263" s="127" t="n"/>
      <c r="X2263" s="127" t="n"/>
      <c r="Y2263" s="127" t="n"/>
      <c r="Z2263" s="127" t="n"/>
    </row>
    <row r="2264">
      <c r="A2264" s="217" t="n"/>
      <c r="B2264" s="126" t="n"/>
      <c r="C2264" s="126" t="n"/>
      <c r="D2264" s="126" t="n"/>
      <c r="E2264" s="126" t="n"/>
      <c r="F2264" s="127" t="n"/>
      <c r="G2264" s="127" t="inlineStr"/>
      <c r="H2264" s="127" t="inlineStr"/>
      <c r="I2264" s="127" t="n"/>
      <c r="J2264" s="127" t="n"/>
      <c r="K2264" s="127" t="inlineStr"/>
      <c r="L2264" s="127" t="n"/>
      <c r="M2264" s="127" t="n"/>
      <c r="N2264" s="127" t="n"/>
      <c r="O2264" s="127" t="n"/>
      <c r="P2264" s="127" t="n"/>
      <c r="Q2264" s="127" t="n"/>
      <c r="R2264" s="127" t="n"/>
      <c r="S2264" s="127" t="n"/>
      <c r="T2264" s="127" t="n"/>
      <c r="U2264" s="127" t="n"/>
      <c r="V2264" s="127" t="n"/>
      <c r="W2264" s="127" t="n"/>
      <c r="X2264" s="127" t="n"/>
      <c r="Y2264" s="127" t="n"/>
      <c r="Z2264" s="127" t="n"/>
    </row>
    <row r="2265">
      <c r="A2265" s="217" t="n"/>
      <c r="B2265" s="126" t="n"/>
      <c r="C2265" s="126" t="n"/>
      <c r="D2265" s="126" t="n"/>
      <c r="E2265" s="126" t="n"/>
      <c r="F2265" s="127" t="n"/>
      <c r="G2265" s="127" t="inlineStr"/>
      <c r="H2265" s="127" t="inlineStr"/>
      <c r="I2265" s="127" t="n"/>
      <c r="J2265" s="127" t="n"/>
      <c r="K2265" s="127" t="inlineStr"/>
      <c r="L2265" s="127" t="n"/>
      <c r="M2265" s="127" t="n"/>
      <c r="N2265" s="127" t="n"/>
      <c r="O2265" s="127" t="n"/>
      <c r="P2265" s="127" t="n"/>
      <c r="Q2265" s="127" t="n"/>
      <c r="R2265" s="127" t="n"/>
      <c r="S2265" s="127" t="n"/>
      <c r="T2265" s="127" t="n"/>
      <c r="U2265" s="127" t="n"/>
      <c r="V2265" s="127" t="n"/>
      <c r="W2265" s="127" t="n"/>
      <c r="X2265" s="127" t="n"/>
      <c r="Y2265" s="127" t="n"/>
      <c r="Z2265" s="127" t="n"/>
    </row>
    <row r="2266">
      <c r="A2266" s="217" t="n"/>
      <c r="B2266" s="126" t="n"/>
      <c r="C2266" s="126" t="n"/>
      <c r="D2266" s="126" t="n"/>
      <c r="E2266" s="126" t="n"/>
      <c r="F2266" s="127" t="n"/>
      <c r="G2266" s="127" t="inlineStr"/>
      <c r="H2266" s="127" t="inlineStr"/>
      <c r="I2266" s="127" t="n"/>
      <c r="J2266" s="127" t="n"/>
      <c r="K2266" s="127" t="inlineStr"/>
      <c r="L2266" s="127" t="n"/>
      <c r="M2266" s="127" t="n"/>
      <c r="N2266" s="127" t="n"/>
      <c r="O2266" s="127" t="n"/>
      <c r="P2266" s="127" t="n"/>
      <c r="Q2266" s="127" t="n"/>
      <c r="R2266" s="127" t="n"/>
      <c r="S2266" s="127" t="n"/>
      <c r="T2266" s="127" t="n"/>
      <c r="U2266" s="127" t="n"/>
      <c r="V2266" s="127" t="n"/>
      <c r="W2266" s="127" t="n"/>
      <c r="X2266" s="127" t="n"/>
      <c r="Y2266" s="127" t="n"/>
      <c r="Z2266" s="127" t="n"/>
    </row>
    <row r="2267">
      <c r="A2267" s="217" t="n"/>
      <c r="B2267" s="126" t="n"/>
      <c r="C2267" s="126" t="n"/>
      <c r="D2267" s="126" t="n"/>
      <c r="E2267" s="126" t="n"/>
      <c r="F2267" s="127" t="n"/>
      <c r="G2267" s="127" t="inlineStr"/>
      <c r="H2267" s="127" t="inlineStr"/>
      <c r="I2267" s="127" t="n"/>
      <c r="J2267" s="127" t="n"/>
      <c r="K2267" s="127" t="inlineStr"/>
      <c r="L2267" s="127" t="n"/>
      <c r="M2267" s="127" t="n"/>
      <c r="N2267" s="127" t="n"/>
      <c r="O2267" s="127" t="n"/>
      <c r="P2267" s="127" t="n"/>
      <c r="Q2267" s="127" t="n"/>
      <c r="R2267" s="127" t="n"/>
      <c r="S2267" s="127" t="n"/>
      <c r="T2267" s="127" t="n"/>
      <c r="U2267" s="127" t="n"/>
      <c r="V2267" s="127" t="n"/>
      <c r="W2267" s="127" t="n"/>
      <c r="X2267" s="127" t="n"/>
      <c r="Y2267" s="127" t="n"/>
      <c r="Z2267" s="127" t="n"/>
    </row>
    <row r="2268">
      <c r="A2268" s="217" t="n"/>
      <c r="B2268" s="126" t="n"/>
      <c r="C2268" s="126" t="n"/>
      <c r="D2268" s="126" t="n"/>
      <c r="E2268" s="126" t="n"/>
      <c r="F2268" s="127" t="n"/>
      <c r="G2268" s="127" t="inlineStr"/>
      <c r="H2268" s="127" t="inlineStr"/>
      <c r="I2268" s="127" t="n"/>
      <c r="J2268" s="127" t="n"/>
      <c r="K2268" s="127" t="inlineStr"/>
      <c r="L2268" s="127" t="n"/>
      <c r="M2268" s="127" t="n"/>
      <c r="N2268" s="127" t="n"/>
      <c r="O2268" s="127" t="n"/>
      <c r="P2268" s="127" t="n"/>
      <c r="Q2268" s="127" t="n"/>
      <c r="R2268" s="127" t="n"/>
      <c r="S2268" s="127" t="n"/>
      <c r="T2268" s="127" t="n"/>
      <c r="U2268" s="127" t="n"/>
      <c r="V2268" s="127" t="n"/>
      <c r="W2268" s="127" t="n"/>
      <c r="X2268" s="127" t="n"/>
      <c r="Y2268" s="127" t="n"/>
      <c r="Z2268" s="127" t="n"/>
    </row>
    <row r="2269">
      <c r="A2269" s="217" t="n"/>
      <c r="B2269" s="126" t="n"/>
      <c r="C2269" s="126" t="n"/>
      <c r="D2269" s="126" t="n"/>
      <c r="E2269" s="126" t="n"/>
      <c r="F2269" s="127" t="n"/>
      <c r="G2269" s="127" t="inlineStr"/>
      <c r="H2269" s="127" t="inlineStr"/>
      <c r="I2269" s="127" t="n"/>
      <c r="J2269" s="127" t="n"/>
      <c r="K2269" s="127" t="inlineStr"/>
      <c r="L2269" s="127" t="n"/>
      <c r="M2269" s="127" t="n"/>
      <c r="N2269" s="127" t="n"/>
      <c r="O2269" s="127" t="n"/>
      <c r="P2269" s="127" t="n"/>
      <c r="Q2269" s="127" t="n"/>
      <c r="R2269" s="127" t="n"/>
      <c r="S2269" s="127" t="n"/>
      <c r="T2269" s="127" t="n"/>
      <c r="U2269" s="127" t="n"/>
      <c r="V2269" s="127" t="n"/>
      <c r="W2269" s="127" t="n"/>
      <c r="X2269" s="127" t="n"/>
      <c r="Y2269" s="127" t="n"/>
      <c r="Z2269" s="127" t="n"/>
    </row>
    <row r="2270">
      <c r="A2270" s="217" t="n"/>
      <c r="B2270" s="126" t="n"/>
      <c r="C2270" s="126" t="n"/>
      <c r="D2270" s="126" t="n"/>
      <c r="E2270" s="126" t="n"/>
      <c r="F2270" s="127" t="n"/>
      <c r="G2270" s="127" t="inlineStr"/>
      <c r="H2270" s="127" t="inlineStr"/>
      <c r="I2270" s="127" t="n"/>
      <c r="J2270" s="127" t="n"/>
      <c r="K2270" s="127" t="inlineStr"/>
      <c r="L2270" s="127" t="n"/>
      <c r="M2270" s="127" t="n"/>
      <c r="N2270" s="127" t="n"/>
      <c r="O2270" s="127" t="n"/>
      <c r="P2270" s="127" t="n"/>
      <c r="Q2270" s="127" t="n"/>
      <c r="R2270" s="127" t="n"/>
      <c r="S2270" s="127" t="n"/>
      <c r="T2270" s="127" t="n"/>
      <c r="U2270" s="127" t="n"/>
      <c r="V2270" s="127" t="n"/>
      <c r="W2270" s="127" t="n"/>
      <c r="X2270" s="127" t="n"/>
      <c r="Y2270" s="127" t="n"/>
      <c r="Z2270" s="127" t="n"/>
    </row>
    <row r="2271">
      <c r="A2271" s="217" t="n"/>
      <c r="B2271" s="126" t="n"/>
      <c r="C2271" s="126" t="n"/>
      <c r="D2271" s="126" t="n"/>
      <c r="E2271" s="126" t="n"/>
      <c r="F2271" s="127" t="n"/>
      <c r="G2271" s="127" t="inlineStr"/>
      <c r="H2271" s="127" t="inlineStr"/>
      <c r="I2271" s="127" t="n"/>
      <c r="J2271" s="127" t="n"/>
      <c r="K2271" s="127" t="inlineStr"/>
      <c r="L2271" s="127" t="n"/>
      <c r="M2271" s="127" t="n"/>
      <c r="N2271" s="127" t="n"/>
      <c r="O2271" s="127" t="n"/>
      <c r="P2271" s="127" t="n"/>
      <c r="Q2271" s="127" t="n"/>
      <c r="R2271" s="127" t="n"/>
      <c r="S2271" s="127" t="n"/>
      <c r="T2271" s="127" t="n"/>
      <c r="U2271" s="127" t="n"/>
      <c r="V2271" s="127" t="n"/>
      <c r="W2271" s="127" t="n"/>
      <c r="X2271" s="127" t="n"/>
      <c r="Y2271" s="127" t="n"/>
      <c r="Z2271" s="127" t="n"/>
    </row>
    <row r="2272">
      <c r="A2272" s="217" t="n"/>
      <c r="B2272" s="126" t="n"/>
      <c r="C2272" s="126" t="n"/>
      <c r="D2272" s="126" t="n"/>
      <c r="E2272" s="126" t="n"/>
      <c r="F2272" s="127" t="n"/>
      <c r="G2272" s="127" t="inlineStr"/>
      <c r="H2272" s="127" t="inlineStr"/>
      <c r="I2272" s="127" t="n"/>
      <c r="J2272" s="127" t="n"/>
      <c r="K2272" s="127" t="inlineStr"/>
      <c r="L2272" s="127" t="n"/>
      <c r="M2272" s="127" t="n"/>
      <c r="N2272" s="127" t="n"/>
      <c r="O2272" s="127" t="n"/>
      <c r="P2272" s="127" t="n"/>
      <c r="Q2272" s="127" t="n"/>
      <c r="R2272" s="127" t="n"/>
      <c r="S2272" s="127" t="n"/>
      <c r="T2272" s="127" t="n"/>
      <c r="U2272" s="127" t="n"/>
      <c r="V2272" s="127" t="n"/>
      <c r="W2272" s="127" t="n"/>
      <c r="X2272" s="127" t="n"/>
      <c r="Y2272" s="127" t="n"/>
      <c r="Z2272" s="127" t="n"/>
    </row>
    <row r="2273">
      <c r="A2273" s="217" t="n"/>
      <c r="B2273" s="126" t="n"/>
      <c r="C2273" s="126" t="n"/>
      <c r="D2273" s="126" t="n"/>
      <c r="E2273" s="126" t="n"/>
      <c r="F2273" s="127" t="n"/>
      <c r="G2273" s="127" t="inlineStr"/>
      <c r="H2273" s="127" t="inlineStr"/>
      <c r="I2273" s="127" t="n"/>
      <c r="J2273" s="127" t="n"/>
      <c r="K2273" s="127" t="inlineStr"/>
      <c r="L2273" s="127" t="n"/>
      <c r="M2273" s="127" t="n"/>
      <c r="N2273" s="127" t="n"/>
      <c r="O2273" s="127" t="n"/>
      <c r="P2273" s="127" t="n"/>
      <c r="Q2273" s="127" t="n"/>
      <c r="R2273" s="127" t="n"/>
      <c r="S2273" s="127" t="n"/>
      <c r="T2273" s="127" t="n"/>
      <c r="U2273" s="127" t="n"/>
      <c r="V2273" s="127" t="n"/>
      <c r="W2273" s="127" t="n"/>
      <c r="X2273" s="127" t="n"/>
      <c r="Y2273" s="127" t="n"/>
      <c r="Z2273" s="127" t="n"/>
    </row>
    <row r="2274">
      <c r="A2274" s="217" t="n"/>
      <c r="B2274" s="126" t="n"/>
      <c r="C2274" s="126" t="n"/>
      <c r="D2274" s="126" t="n"/>
      <c r="E2274" s="126" t="n"/>
      <c r="F2274" s="127" t="n"/>
      <c r="G2274" s="127" t="inlineStr"/>
      <c r="H2274" s="127" t="inlineStr"/>
      <c r="I2274" s="127" t="n"/>
      <c r="J2274" s="127" t="n"/>
      <c r="K2274" s="127" t="inlineStr"/>
      <c r="L2274" s="127" t="n"/>
      <c r="M2274" s="127" t="n"/>
      <c r="N2274" s="127" t="n"/>
      <c r="O2274" s="127" t="n"/>
      <c r="P2274" s="127" t="n"/>
      <c r="Q2274" s="127" t="n"/>
      <c r="R2274" s="127" t="n"/>
      <c r="S2274" s="127" t="n"/>
      <c r="T2274" s="127" t="n"/>
      <c r="U2274" s="127" t="n"/>
      <c r="V2274" s="127" t="n"/>
      <c r="W2274" s="127" t="n"/>
      <c r="X2274" s="127" t="n"/>
      <c r="Y2274" s="127" t="n"/>
      <c r="Z2274" s="127" t="n"/>
    </row>
    <row r="2275">
      <c r="A2275" s="217" t="n"/>
      <c r="B2275" s="126" t="n"/>
      <c r="C2275" s="126" t="n"/>
      <c r="D2275" s="126" t="n"/>
      <c r="E2275" s="126" t="n"/>
      <c r="F2275" s="127" t="n"/>
      <c r="G2275" s="127" t="inlineStr"/>
      <c r="H2275" s="127" t="inlineStr"/>
      <c r="I2275" s="127" t="n"/>
      <c r="J2275" s="127" t="n"/>
      <c r="K2275" s="127" t="inlineStr"/>
      <c r="L2275" s="127" t="n"/>
      <c r="M2275" s="127" t="n"/>
      <c r="N2275" s="127" t="n"/>
      <c r="O2275" s="127" t="n"/>
      <c r="P2275" s="127" t="n"/>
      <c r="Q2275" s="127" t="n"/>
      <c r="R2275" s="127" t="n"/>
      <c r="S2275" s="127" t="n"/>
      <c r="T2275" s="127" t="n"/>
      <c r="U2275" s="127" t="n"/>
      <c r="V2275" s="127" t="n"/>
      <c r="W2275" s="127" t="n"/>
      <c r="X2275" s="127" t="n"/>
      <c r="Y2275" s="127" t="n"/>
      <c r="Z2275" s="127" t="n"/>
    </row>
    <row r="2276">
      <c r="A2276" s="217" t="n"/>
      <c r="B2276" s="126" t="n"/>
      <c r="C2276" s="126" t="n"/>
      <c r="D2276" s="126" t="n"/>
      <c r="E2276" s="126" t="n"/>
      <c r="F2276" s="127" t="n"/>
      <c r="G2276" s="127" t="inlineStr"/>
      <c r="H2276" s="127" t="inlineStr"/>
      <c r="I2276" s="127" t="n"/>
      <c r="J2276" s="127" t="n"/>
      <c r="K2276" s="127" t="inlineStr"/>
      <c r="L2276" s="127" t="n"/>
      <c r="M2276" s="127" t="n"/>
      <c r="N2276" s="127" t="n"/>
      <c r="O2276" s="127" t="n"/>
      <c r="P2276" s="127" t="n"/>
      <c r="Q2276" s="127" t="n"/>
      <c r="R2276" s="127" t="n"/>
      <c r="S2276" s="127" t="n"/>
      <c r="T2276" s="127" t="n"/>
      <c r="U2276" s="127" t="n"/>
      <c r="V2276" s="127" t="n"/>
      <c r="W2276" s="127" t="n"/>
      <c r="X2276" s="127" t="n"/>
      <c r="Y2276" s="127" t="n"/>
      <c r="Z2276" s="127" t="n"/>
    </row>
    <row r="2277">
      <c r="A2277" s="217" t="n"/>
      <c r="B2277" s="126" t="n"/>
      <c r="C2277" s="126" t="n"/>
      <c r="D2277" s="126" t="n"/>
      <c r="E2277" s="126" t="n"/>
      <c r="F2277" s="127" t="n"/>
      <c r="G2277" s="127" t="inlineStr"/>
      <c r="H2277" s="127" t="inlineStr"/>
      <c r="I2277" s="127" t="n"/>
      <c r="J2277" s="127" t="n"/>
      <c r="K2277" s="127" t="inlineStr"/>
      <c r="L2277" s="127" t="n"/>
      <c r="M2277" s="127" t="n"/>
      <c r="N2277" s="127" t="n"/>
      <c r="O2277" s="127" t="n"/>
      <c r="P2277" s="127" t="n"/>
      <c r="Q2277" s="127" t="n"/>
      <c r="R2277" s="127" t="n"/>
      <c r="S2277" s="127" t="n"/>
      <c r="T2277" s="127" t="n"/>
      <c r="U2277" s="127" t="n"/>
      <c r="V2277" s="127" t="n"/>
      <c r="W2277" s="127" t="n"/>
      <c r="X2277" s="127" t="n"/>
      <c r="Y2277" s="127" t="n"/>
      <c r="Z2277" s="127" t="n"/>
    </row>
    <row r="2278">
      <c r="A2278" s="217" t="n"/>
      <c r="B2278" s="126" t="n"/>
      <c r="C2278" s="126" t="n"/>
      <c r="D2278" s="126" t="n"/>
      <c r="E2278" s="126" t="n"/>
      <c r="F2278" s="127" t="n"/>
      <c r="G2278" s="127" t="inlineStr"/>
      <c r="H2278" s="127" t="inlineStr"/>
      <c r="I2278" s="127" t="n"/>
      <c r="J2278" s="127" t="n"/>
      <c r="K2278" s="127" t="inlineStr"/>
      <c r="L2278" s="127" t="n"/>
      <c r="M2278" s="127" t="n"/>
      <c r="N2278" s="127" t="n"/>
      <c r="O2278" s="127" t="n"/>
      <c r="P2278" s="127" t="n"/>
      <c r="Q2278" s="127" t="n"/>
      <c r="R2278" s="127" t="n"/>
      <c r="S2278" s="127" t="n"/>
      <c r="T2278" s="127" t="n"/>
      <c r="U2278" s="127" t="n"/>
      <c r="V2278" s="127" t="n"/>
      <c r="W2278" s="127" t="n"/>
      <c r="X2278" s="127" t="n"/>
      <c r="Y2278" s="127" t="n"/>
      <c r="Z2278" s="127" t="n"/>
    </row>
    <row r="2279">
      <c r="A2279" s="217" t="n"/>
      <c r="B2279" s="126" t="n"/>
      <c r="C2279" s="126" t="n"/>
      <c r="D2279" s="126" t="n"/>
      <c r="E2279" s="126" t="n"/>
      <c r="F2279" s="127" t="n"/>
      <c r="G2279" s="127" t="inlineStr"/>
      <c r="H2279" s="127" t="inlineStr"/>
      <c r="I2279" s="127" t="n"/>
      <c r="J2279" s="127" t="n"/>
      <c r="K2279" s="127" t="inlineStr"/>
      <c r="L2279" s="127" t="n"/>
      <c r="M2279" s="127" t="n"/>
      <c r="N2279" s="127" t="n"/>
      <c r="O2279" s="127" t="n"/>
      <c r="P2279" s="127" t="n"/>
      <c r="Q2279" s="127" t="n"/>
      <c r="R2279" s="127" t="n"/>
      <c r="S2279" s="127" t="n"/>
      <c r="T2279" s="127" t="n"/>
      <c r="U2279" s="127" t="n"/>
      <c r="V2279" s="127" t="n"/>
      <c r="W2279" s="127" t="n"/>
      <c r="X2279" s="127" t="n"/>
      <c r="Y2279" s="127" t="n"/>
      <c r="Z2279" s="127" t="n"/>
    </row>
    <row r="2280">
      <c r="A2280" s="217" t="n"/>
      <c r="B2280" s="126" t="n"/>
      <c r="C2280" s="126" t="n"/>
      <c r="D2280" s="126" t="n"/>
      <c r="E2280" s="126" t="n"/>
      <c r="F2280" s="127" t="n"/>
      <c r="G2280" s="127" t="inlineStr"/>
      <c r="H2280" s="127" t="inlineStr"/>
      <c r="I2280" s="127" t="n"/>
      <c r="J2280" s="127" t="n"/>
      <c r="K2280" s="127" t="inlineStr"/>
      <c r="L2280" s="127" t="n"/>
      <c r="M2280" s="127" t="n"/>
      <c r="N2280" s="127" t="n"/>
      <c r="O2280" s="127" t="n"/>
      <c r="P2280" s="127" t="n"/>
      <c r="Q2280" s="127" t="n"/>
      <c r="R2280" s="127" t="n"/>
      <c r="S2280" s="127" t="n"/>
      <c r="T2280" s="127" t="n"/>
      <c r="U2280" s="127" t="n"/>
      <c r="V2280" s="127" t="n"/>
      <c r="W2280" s="127" t="n"/>
      <c r="X2280" s="127" t="n"/>
      <c r="Y2280" s="127" t="n"/>
      <c r="Z2280" s="127" t="n"/>
    </row>
    <row r="2281">
      <c r="A2281" s="217" t="n"/>
      <c r="B2281" s="126" t="n"/>
      <c r="C2281" s="126" t="n"/>
      <c r="D2281" s="126" t="n"/>
      <c r="E2281" s="126" t="n"/>
      <c r="F2281" s="127" t="n"/>
      <c r="G2281" s="127" t="inlineStr"/>
      <c r="H2281" s="127" t="inlineStr"/>
      <c r="I2281" s="127" t="n"/>
      <c r="J2281" s="127" t="n"/>
      <c r="K2281" s="127" t="inlineStr"/>
      <c r="L2281" s="127" t="n"/>
      <c r="M2281" s="127" t="n"/>
      <c r="N2281" s="127" t="n"/>
      <c r="O2281" s="127" t="n"/>
      <c r="P2281" s="127" t="n"/>
      <c r="Q2281" s="127" t="n"/>
      <c r="R2281" s="127" t="n"/>
      <c r="S2281" s="127" t="n"/>
      <c r="T2281" s="127" t="n"/>
      <c r="U2281" s="127" t="n"/>
      <c r="V2281" s="127" t="n"/>
      <c r="W2281" s="127" t="n"/>
      <c r="X2281" s="127" t="n"/>
      <c r="Y2281" s="127" t="n"/>
      <c r="Z2281" s="127" t="n"/>
    </row>
    <row r="2282">
      <c r="A2282" s="217" t="n"/>
      <c r="B2282" s="126" t="n"/>
      <c r="C2282" s="126" t="n"/>
      <c r="D2282" s="126" t="n"/>
      <c r="E2282" s="126" t="n"/>
      <c r="F2282" s="127" t="n"/>
      <c r="G2282" s="127" t="inlineStr"/>
      <c r="H2282" s="127" t="inlineStr"/>
      <c r="I2282" s="127" t="n"/>
      <c r="J2282" s="127" t="n"/>
      <c r="K2282" s="127" t="inlineStr"/>
      <c r="L2282" s="127" t="n"/>
      <c r="M2282" s="127" t="n"/>
      <c r="N2282" s="127" t="n"/>
      <c r="O2282" s="127" t="n"/>
      <c r="P2282" s="127" t="n"/>
      <c r="Q2282" s="127" t="n"/>
      <c r="R2282" s="127" t="n"/>
      <c r="S2282" s="127" t="n"/>
      <c r="T2282" s="127" t="n"/>
      <c r="U2282" s="127" t="n"/>
      <c r="V2282" s="127" t="n"/>
      <c r="W2282" s="127" t="n"/>
      <c r="X2282" s="127" t="n"/>
      <c r="Y2282" s="127" t="n"/>
      <c r="Z2282" s="127" t="n"/>
    </row>
    <row r="2283">
      <c r="A2283" s="217" t="n"/>
      <c r="B2283" s="126" t="n"/>
      <c r="C2283" s="126" t="n"/>
      <c r="D2283" s="126" t="n"/>
      <c r="E2283" s="126" t="n"/>
      <c r="F2283" s="127" t="n"/>
      <c r="G2283" s="127" t="inlineStr"/>
      <c r="H2283" s="127" t="inlineStr"/>
      <c r="I2283" s="127" t="n"/>
      <c r="J2283" s="127" t="n"/>
      <c r="K2283" s="127" t="inlineStr"/>
      <c r="L2283" s="127" t="n"/>
      <c r="M2283" s="127" t="n"/>
      <c r="N2283" s="127" t="n"/>
      <c r="O2283" s="127" t="n"/>
      <c r="P2283" s="127" t="n"/>
      <c r="Q2283" s="127" t="n"/>
      <c r="R2283" s="127" t="n"/>
      <c r="S2283" s="127" t="n"/>
      <c r="T2283" s="127" t="n"/>
      <c r="U2283" s="127" t="n"/>
      <c r="V2283" s="127" t="n"/>
      <c r="W2283" s="127" t="n"/>
      <c r="X2283" s="127" t="n"/>
      <c r="Y2283" s="127" t="n"/>
      <c r="Z2283" s="127" t="n"/>
    </row>
    <row r="2284">
      <c r="A2284" s="217" t="n"/>
      <c r="B2284" s="126" t="n"/>
      <c r="C2284" s="126" t="n"/>
      <c r="D2284" s="126" t="n"/>
      <c r="E2284" s="126" t="n"/>
      <c r="F2284" s="127" t="n"/>
      <c r="G2284" s="127" t="inlineStr"/>
      <c r="H2284" s="127" t="inlineStr"/>
      <c r="I2284" s="127" t="n"/>
      <c r="J2284" s="127" t="n"/>
      <c r="K2284" s="127" t="inlineStr"/>
      <c r="L2284" s="127" t="n"/>
      <c r="M2284" s="127" t="n"/>
      <c r="N2284" s="127" t="n"/>
      <c r="O2284" s="127" t="n"/>
      <c r="P2284" s="127" t="n"/>
      <c r="Q2284" s="127" t="n"/>
      <c r="R2284" s="127" t="n"/>
      <c r="S2284" s="127" t="n"/>
      <c r="T2284" s="127" t="n"/>
      <c r="U2284" s="127" t="n"/>
      <c r="V2284" s="127" t="n"/>
      <c r="W2284" s="127" t="n"/>
      <c r="X2284" s="127" t="n"/>
      <c r="Y2284" s="127" t="n"/>
      <c r="Z2284" s="127" t="n"/>
    </row>
    <row r="2285">
      <c r="A2285" s="217" t="n"/>
      <c r="B2285" s="126" t="n"/>
      <c r="C2285" s="126" t="n"/>
      <c r="D2285" s="126" t="n"/>
      <c r="E2285" s="126" t="n"/>
      <c r="F2285" s="127" t="n"/>
      <c r="G2285" s="127" t="inlineStr"/>
      <c r="H2285" s="127" t="inlineStr"/>
      <c r="I2285" s="127" t="n"/>
      <c r="J2285" s="127" t="n"/>
      <c r="K2285" s="127" t="inlineStr"/>
      <c r="L2285" s="127" t="n"/>
      <c r="M2285" s="127" t="n"/>
      <c r="N2285" s="127" t="n"/>
      <c r="O2285" s="127" t="n"/>
      <c r="P2285" s="127" t="n"/>
      <c r="Q2285" s="127" t="n"/>
      <c r="R2285" s="127" t="n"/>
      <c r="S2285" s="127" t="n"/>
      <c r="T2285" s="127" t="n"/>
      <c r="U2285" s="127" t="n"/>
      <c r="V2285" s="127" t="n"/>
      <c r="W2285" s="127" t="n"/>
      <c r="X2285" s="127" t="n"/>
      <c r="Y2285" s="127" t="n"/>
      <c r="Z2285" s="127" t="n"/>
    </row>
    <row r="2286">
      <c r="A2286" s="217" t="n"/>
      <c r="B2286" s="126" t="n"/>
      <c r="C2286" s="126" t="n"/>
      <c r="D2286" s="126" t="n"/>
      <c r="E2286" s="126" t="n"/>
      <c r="F2286" s="127" t="n"/>
      <c r="G2286" s="127" t="inlineStr"/>
      <c r="H2286" s="127" t="inlineStr"/>
      <c r="I2286" s="127" t="n"/>
      <c r="J2286" s="127" t="n"/>
      <c r="K2286" s="127" t="inlineStr"/>
      <c r="L2286" s="127" t="n"/>
      <c r="M2286" s="127" t="n"/>
      <c r="N2286" s="127" t="n"/>
      <c r="O2286" s="127" t="n"/>
      <c r="P2286" s="127" t="n"/>
      <c r="Q2286" s="127" t="n"/>
      <c r="R2286" s="127" t="n"/>
      <c r="S2286" s="127" t="n"/>
      <c r="T2286" s="127" t="n"/>
      <c r="U2286" s="127" t="n"/>
      <c r="V2286" s="127" t="n"/>
      <c r="W2286" s="127" t="n"/>
      <c r="X2286" s="127" t="n"/>
      <c r="Y2286" s="127" t="n"/>
      <c r="Z2286" s="127" t="n"/>
    </row>
    <row r="2287">
      <c r="A2287" s="217" t="n"/>
      <c r="B2287" s="126" t="n"/>
      <c r="C2287" s="126" t="n"/>
      <c r="D2287" s="126" t="n"/>
      <c r="E2287" s="126" t="n"/>
      <c r="F2287" s="127" t="n"/>
      <c r="G2287" s="127" t="inlineStr"/>
      <c r="H2287" s="127" t="inlineStr"/>
      <c r="I2287" s="127" t="n"/>
      <c r="J2287" s="127" t="n"/>
      <c r="K2287" s="127" t="inlineStr"/>
      <c r="L2287" s="127" t="n"/>
      <c r="M2287" s="127" t="n"/>
      <c r="N2287" s="127" t="n"/>
      <c r="O2287" s="127" t="n"/>
      <c r="P2287" s="127" t="n"/>
      <c r="Q2287" s="127" t="n"/>
      <c r="R2287" s="127" t="n"/>
      <c r="S2287" s="127" t="n"/>
      <c r="T2287" s="127" t="n"/>
      <c r="U2287" s="127" t="n"/>
      <c r="V2287" s="127" t="n"/>
      <c r="W2287" s="127" t="n"/>
      <c r="X2287" s="127" t="n"/>
      <c r="Y2287" s="127" t="n"/>
      <c r="Z2287" s="127" t="n"/>
    </row>
    <row r="2288">
      <c r="A2288" s="217" t="n"/>
      <c r="B2288" s="126" t="n"/>
      <c r="C2288" s="126" t="n"/>
      <c r="D2288" s="126" t="n"/>
      <c r="E2288" s="126" t="n"/>
      <c r="F2288" s="127" t="n"/>
      <c r="G2288" s="127" t="inlineStr"/>
      <c r="H2288" s="127" t="inlineStr"/>
      <c r="I2288" s="127" t="n"/>
      <c r="J2288" s="127" t="n"/>
      <c r="K2288" s="127" t="inlineStr"/>
      <c r="L2288" s="127" t="n"/>
      <c r="M2288" s="127" t="n"/>
      <c r="N2288" s="127" t="n"/>
      <c r="O2288" s="127" t="n"/>
      <c r="P2288" s="127" t="n"/>
      <c r="Q2288" s="127" t="n"/>
      <c r="R2288" s="127" t="n"/>
      <c r="S2288" s="127" t="n"/>
      <c r="T2288" s="127" t="n"/>
      <c r="U2288" s="127" t="n"/>
      <c r="V2288" s="127" t="n"/>
      <c r="W2288" s="127" t="n"/>
      <c r="X2288" s="127" t="n"/>
      <c r="Y2288" s="127" t="n"/>
      <c r="Z2288" s="127" t="n"/>
    </row>
    <row r="2289">
      <c r="A2289" s="217" t="n"/>
      <c r="B2289" s="126" t="n"/>
      <c r="C2289" s="126" t="n"/>
      <c r="D2289" s="126" t="n"/>
      <c r="E2289" s="126" t="n"/>
      <c r="F2289" s="127" t="n"/>
      <c r="G2289" s="127" t="inlineStr"/>
      <c r="H2289" s="127" t="inlineStr"/>
      <c r="I2289" s="127" t="n"/>
      <c r="J2289" s="127" t="n"/>
      <c r="K2289" s="127" t="inlineStr"/>
      <c r="L2289" s="127" t="n"/>
      <c r="M2289" s="127" t="n"/>
      <c r="N2289" s="127" t="n"/>
      <c r="O2289" s="127" t="n"/>
      <c r="P2289" s="127" t="n"/>
      <c r="Q2289" s="127" t="n"/>
      <c r="R2289" s="127" t="n"/>
      <c r="S2289" s="127" t="n"/>
      <c r="T2289" s="127" t="n"/>
      <c r="U2289" s="127" t="n"/>
      <c r="V2289" s="127" t="n"/>
      <c r="W2289" s="127" t="n"/>
      <c r="X2289" s="127" t="n"/>
      <c r="Y2289" s="127" t="n"/>
      <c r="Z2289" s="127" t="n"/>
    </row>
    <row r="2290">
      <c r="A2290" s="217" t="n"/>
      <c r="B2290" s="126" t="n"/>
      <c r="C2290" s="126" t="n"/>
      <c r="D2290" s="126" t="n"/>
      <c r="E2290" s="126" t="n"/>
      <c r="F2290" s="127" t="n"/>
      <c r="G2290" s="127" t="inlineStr"/>
      <c r="H2290" s="127" t="inlineStr"/>
      <c r="I2290" s="127" t="n"/>
      <c r="J2290" s="127" t="n"/>
      <c r="K2290" s="127" t="inlineStr"/>
      <c r="L2290" s="127" t="n"/>
      <c r="M2290" s="127" t="n"/>
      <c r="N2290" s="127" t="n"/>
      <c r="O2290" s="127" t="n"/>
      <c r="P2290" s="127" t="n"/>
      <c r="Q2290" s="127" t="n"/>
      <c r="R2290" s="127" t="n"/>
      <c r="S2290" s="127" t="n"/>
      <c r="T2290" s="127" t="n"/>
      <c r="U2290" s="127" t="n"/>
      <c r="V2290" s="127" t="n"/>
      <c r="W2290" s="127" t="n"/>
      <c r="X2290" s="127" t="n"/>
      <c r="Y2290" s="127" t="n"/>
      <c r="Z2290" s="127" t="n"/>
    </row>
    <row r="2291">
      <c r="A2291" s="217" t="n"/>
      <c r="B2291" s="126" t="n"/>
      <c r="C2291" s="126" t="n"/>
      <c r="D2291" s="126" t="n"/>
      <c r="E2291" s="126" t="n"/>
      <c r="F2291" s="127" t="n"/>
      <c r="G2291" s="127" t="inlineStr"/>
      <c r="H2291" s="127" t="inlineStr"/>
      <c r="I2291" s="127" t="n"/>
      <c r="J2291" s="127" t="n"/>
      <c r="K2291" s="127" t="inlineStr"/>
      <c r="L2291" s="127" t="n"/>
      <c r="M2291" s="127" t="n"/>
      <c r="N2291" s="127" t="n"/>
      <c r="O2291" s="127" t="n"/>
      <c r="P2291" s="127" t="n"/>
      <c r="Q2291" s="127" t="n"/>
      <c r="R2291" s="127" t="n"/>
      <c r="S2291" s="127" t="n"/>
      <c r="T2291" s="127" t="n"/>
      <c r="U2291" s="127" t="n"/>
      <c r="V2291" s="127" t="n"/>
      <c r="W2291" s="127" t="n"/>
      <c r="X2291" s="127" t="n"/>
      <c r="Y2291" s="127" t="n"/>
      <c r="Z2291" s="127" t="n"/>
    </row>
    <row r="2292">
      <c r="A2292" s="217" t="n"/>
      <c r="B2292" s="126" t="n"/>
      <c r="C2292" s="126" t="n"/>
      <c r="D2292" s="126" t="n"/>
      <c r="E2292" s="126" t="n"/>
      <c r="F2292" s="127" t="n"/>
      <c r="G2292" s="127" t="inlineStr"/>
      <c r="H2292" s="127" t="inlineStr"/>
      <c r="I2292" s="127" t="n"/>
      <c r="J2292" s="127" t="n"/>
      <c r="K2292" s="127" t="inlineStr"/>
      <c r="L2292" s="127" t="n"/>
      <c r="M2292" s="127" t="n"/>
      <c r="N2292" s="127" t="n"/>
      <c r="O2292" s="127" t="n"/>
      <c r="P2292" s="127" t="n"/>
      <c r="Q2292" s="127" t="n"/>
      <c r="R2292" s="127" t="n"/>
      <c r="S2292" s="127" t="n"/>
      <c r="T2292" s="127" t="n"/>
      <c r="U2292" s="127" t="n"/>
      <c r="V2292" s="127" t="n"/>
      <c r="W2292" s="127" t="n"/>
      <c r="X2292" s="127" t="n"/>
      <c r="Y2292" s="127" t="n"/>
      <c r="Z2292" s="127" t="n"/>
    </row>
    <row r="2293">
      <c r="A2293" s="217" t="n"/>
      <c r="B2293" s="126" t="n"/>
      <c r="C2293" s="126" t="n"/>
      <c r="D2293" s="126" t="n"/>
      <c r="E2293" s="126" t="n"/>
      <c r="F2293" s="127" t="n"/>
      <c r="G2293" s="127" t="inlineStr"/>
      <c r="H2293" s="127" t="inlineStr"/>
      <c r="I2293" s="127" t="n"/>
      <c r="J2293" s="127" t="n"/>
      <c r="K2293" s="127" t="inlineStr"/>
      <c r="L2293" s="127" t="n"/>
      <c r="M2293" s="127" t="n"/>
      <c r="N2293" s="127" t="n"/>
      <c r="O2293" s="127" t="n"/>
      <c r="P2293" s="127" t="n"/>
      <c r="Q2293" s="127" t="n"/>
      <c r="R2293" s="127" t="n"/>
      <c r="S2293" s="127" t="n"/>
      <c r="T2293" s="127" t="n"/>
      <c r="U2293" s="127" t="n"/>
      <c r="V2293" s="127" t="n"/>
      <c r="W2293" s="127" t="n"/>
      <c r="X2293" s="127" t="n"/>
      <c r="Y2293" s="127" t="n"/>
      <c r="Z2293" s="127" t="n"/>
    </row>
    <row r="2294">
      <c r="A2294" s="217" t="n"/>
      <c r="B2294" s="126" t="n"/>
      <c r="C2294" s="126" t="n"/>
      <c r="D2294" s="126" t="n"/>
      <c r="E2294" s="126" t="n"/>
      <c r="F2294" s="127" t="n"/>
      <c r="G2294" s="127" t="inlineStr"/>
      <c r="H2294" s="127" t="inlineStr"/>
      <c r="I2294" s="127" t="n"/>
      <c r="J2294" s="127" t="n"/>
      <c r="K2294" s="127" t="inlineStr"/>
      <c r="L2294" s="127" t="n"/>
      <c r="M2294" s="127" t="n"/>
      <c r="N2294" s="127" t="n"/>
      <c r="O2294" s="127" t="n"/>
      <c r="P2294" s="127" t="n"/>
      <c r="Q2294" s="127" t="n"/>
      <c r="R2294" s="127" t="n"/>
      <c r="S2294" s="127" t="n"/>
      <c r="T2294" s="127" t="n"/>
      <c r="U2294" s="127" t="n"/>
      <c r="V2294" s="127" t="n"/>
      <c r="W2294" s="127" t="n"/>
      <c r="X2294" s="127" t="n"/>
      <c r="Y2294" s="127" t="n"/>
      <c r="Z2294" s="127" t="n"/>
    </row>
    <row r="2295">
      <c r="A2295" s="217" t="n"/>
      <c r="B2295" s="126" t="n"/>
      <c r="C2295" s="126" t="n"/>
      <c r="D2295" s="126" t="n"/>
      <c r="E2295" s="126" t="n"/>
      <c r="F2295" s="127" t="n"/>
      <c r="G2295" s="127" t="inlineStr"/>
      <c r="H2295" s="127" t="inlineStr"/>
      <c r="I2295" s="127" t="n"/>
      <c r="J2295" s="127" t="n"/>
      <c r="K2295" s="127" t="inlineStr"/>
      <c r="L2295" s="127" t="n"/>
      <c r="M2295" s="127" t="n"/>
      <c r="N2295" s="127" t="n"/>
      <c r="O2295" s="127" t="n"/>
      <c r="P2295" s="127" t="n"/>
      <c r="Q2295" s="127" t="n"/>
      <c r="R2295" s="127" t="n"/>
      <c r="S2295" s="127" t="n"/>
      <c r="T2295" s="127" t="n"/>
      <c r="U2295" s="127" t="n"/>
      <c r="V2295" s="127" t="n"/>
      <c r="W2295" s="127" t="n"/>
      <c r="X2295" s="127" t="n"/>
      <c r="Y2295" s="127" t="n"/>
      <c r="Z2295" s="127" t="n"/>
    </row>
    <row r="2296">
      <c r="A2296" s="217" t="n"/>
      <c r="B2296" s="126" t="n"/>
      <c r="C2296" s="126" t="n"/>
      <c r="D2296" s="126" t="n"/>
      <c r="E2296" s="126" t="n"/>
      <c r="F2296" s="127" t="n"/>
      <c r="G2296" s="127" t="inlineStr"/>
      <c r="H2296" s="127" t="inlineStr"/>
      <c r="I2296" s="127" t="n"/>
      <c r="J2296" s="127" t="n"/>
      <c r="K2296" s="127" t="inlineStr"/>
      <c r="L2296" s="127" t="n"/>
      <c r="M2296" s="127" t="n"/>
      <c r="N2296" s="127" t="n"/>
      <c r="O2296" s="127" t="n"/>
      <c r="P2296" s="127" t="n"/>
      <c r="Q2296" s="127" t="n"/>
      <c r="R2296" s="127" t="n"/>
      <c r="S2296" s="127" t="n"/>
      <c r="T2296" s="127" t="n"/>
      <c r="U2296" s="127" t="n"/>
      <c r="V2296" s="127" t="n"/>
      <c r="W2296" s="127" t="n"/>
      <c r="X2296" s="127" t="n"/>
      <c r="Y2296" s="127" t="n"/>
      <c r="Z2296" s="127" t="n"/>
    </row>
    <row r="2297">
      <c r="A2297" s="217" t="n"/>
      <c r="B2297" s="126" t="n"/>
      <c r="C2297" s="126" t="n"/>
      <c r="D2297" s="126" t="n"/>
      <c r="E2297" s="126" t="n"/>
      <c r="F2297" s="127" t="n"/>
      <c r="G2297" s="127" t="inlineStr"/>
      <c r="H2297" s="127" t="inlineStr"/>
      <c r="I2297" s="127" t="n"/>
      <c r="J2297" s="127" t="n"/>
      <c r="K2297" s="127" t="inlineStr"/>
      <c r="L2297" s="127" t="n"/>
      <c r="M2297" s="127" t="n"/>
      <c r="N2297" s="127" t="n"/>
      <c r="O2297" s="127" t="n"/>
      <c r="P2297" s="127" t="n"/>
      <c r="Q2297" s="127" t="n"/>
      <c r="R2297" s="127" t="n"/>
      <c r="S2297" s="127" t="n"/>
      <c r="T2297" s="127" t="n"/>
      <c r="U2297" s="127" t="n"/>
      <c r="V2297" s="127" t="n"/>
      <c r="W2297" s="127" t="n"/>
      <c r="X2297" s="127" t="n"/>
      <c r="Y2297" s="127" t="n"/>
      <c r="Z2297" s="127" t="n"/>
    </row>
    <row r="2298">
      <c r="A2298" s="217" t="n"/>
      <c r="B2298" s="126" t="n"/>
      <c r="C2298" s="126" t="n"/>
      <c r="D2298" s="126" t="n"/>
      <c r="E2298" s="126" t="n"/>
      <c r="F2298" s="127" t="n"/>
      <c r="G2298" s="127" t="inlineStr"/>
      <c r="H2298" s="127" t="inlineStr"/>
      <c r="I2298" s="127" t="n"/>
      <c r="J2298" s="127" t="n"/>
      <c r="K2298" s="127" t="inlineStr"/>
      <c r="L2298" s="127" t="n"/>
      <c r="M2298" s="127" t="n"/>
      <c r="N2298" s="127" t="n"/>
      <c r="O2298" s="127" t="n"/>
      <c r="P2298" s="127" t="n"/>
      <c r="Q2298" s="127" t="n"/>
      <c r="R2298" s="127" t="n"/>
      <c r="S2298" s="127" t="n"/>
      <c r="T2298" s="127" t="n"/>
      <c r="U2298" s="127" t="n"/>
      <c r="V2298" s="127" t="n"/>
      <c r="W2298" s="127" t="n"/>
      <c r="X2298" s="127" t="n"/>
      <c r="Y2298" s="127" t="n"/>
      <c r="Z2298" s="127" t="n"/>
    </row>
    <row r="2299">
      <c r="A2299" s="217" t="n"/>
      <c r="B2299" s="126" t="n"/>
      <c r="C2299" s="126" t="n"/>
      <c r="D2299" s="126" t="n"/>
      <c r="E2299" s="126" t="n"/>
      <c r="F2299" s="127" t="n"/>
      <c r="G2299" s="127" t="inlineStr"/>
      <c r="H2299" s="127" t="inlineStr"/>
      <c r="I2299" s="127" t="n"/>
      <c r="J2299" s="127" t="n"/>
      <c r="K2299" s="127" t="inlineStr"/>
      <c r="L2299" s="127" t="n"/>
      <c r="M2299" s="127" t="n"/>
      <c r="N2299" s="127" t="n"/>
      <c r="O2299" s="127" t="n"/>
      <c r="P2299" s="127" t="n"/>
      <c r="Q2299" s="127" t="n"/>
      <c r="R2299" s="127" t="n"/>
      <c r="S2299" s="127" t="n"/>
      <c r="T2299" s="127" t="n"/>
      <c r="U2299" s="127" t="n"/>
      <c r="V2299" s="127" t="n"/>
      <c r="W2299" s="127" t="n"/>
      <c r="X2299" s="127" t="n"/>
      <c r="Y2299" s="127" t="n"/>
      <c r="Z2299" s="127" t="n"/>
    </row>
    <row r="2300">
      <c r="A2300" s="217" t="n"/>
      <c r="B2300" s="126" t="n"/>
      <c r="C2300" s="126" t="n"/>
      <c r="D2300" s="126" t="n"/>
      <c r="E2300" s="126" t="n"/>
      <c r="F2300" s="127" t="n"/>
      <c r="G2300" s="127" t="inlineStr"/>
      <c r="H2300" s="127" t="inlineStr"/>
      <c r="I2300" s="127" t="n"/>
      <c r="J2300" s="127" t="n"/>
      <c r="K2300" s="127" t="inlineStr"/>
      <c r="L2300" s="127" t="n"/>
      <c r="M2300" s="127" t="n"/>
      <c r="N2300" s="127" t="n"/>
      <c r="O2300" s="127" t="n"/>
      <c r="P2300" s="127" t="n"/>
      <c r="Q2300" s="127" t="n"/>
      <c r="R2300" s="127" t="n"/>
      <c r="S2300" s="127" t="n"/>
      <c r="T2300" s="127" t="n"/>
      <c r="U2300" s="127" t="n"/>
      <c r="V2300" s="127" t="n"/>
      <c r="W2300" s="127" t="n"/>
      <c r="X2300" s="127" t="n"/>
      <c r="Y2300" s="127" t="n"/>
      <c r="Z2300" s="127" t="n"/>
    </row>
    <row r="2301">
      <c r="A2301" s="217" t="n"/>
      <c r="B2301" s="126" t="n"/>
      <c r="C2301" s="126" t="n"/>
      <c r="D2301" s="126" t="n"/>
      <c r="E2301" s="126" t="n"/>
      <c r="F2301" s="127" t="n"/>
      <c r="G2301" s="127" t="inlineStr"/>
      <c r="H2301" s="127" t="inlineStr"/>
      <c r="I2301" s="127" t="n"/>
      <c r="J2301" s="127" t="n"/>
      <c r="K2301" s="127" t="inlineStr"/>
      <c r="L2301" s="127" t="n"/>
      <c r="M2301" s="127" t="n"/>
      <c r="N2301" s="127" t="n"/>
      <c r="O2301" s="127" t="n"/>
      <c r="P2301" s="127" t="n"/>
      <c r="Q2301" s="127" t="n"/>
      <c r="R2301" s="127" t="n"/>
      <c r="S2301" s="127" t="n"/>
      <c r="T2301" s="127" t="n"/>
      <c r="U2301" s="127" t="n"/>
      <c r="V2301" s="127" t="n"/>
      <c r="W2301" s="127" t="n"/>
      <c r="X2301" s="127" t="n"/>
      <c r="Y2301" s="127" t="n"/>
      <c r="Z2301" s="127" t="n"/>
    </row>
    <row r="2302">
      <c r="A2302" s="217" t="n"/>
      <c r="B2302" s="126" t="n"/>
      <c r="C2302" s="126" t="n"/>
      <c r="D2302" s="126" t="n"/>
      <c r="E2302" s="126" t="n"/>
      <c r="F2302" s="127" t="n"/>
      <c r="G2302" s="127" t="inlineStr"/>
      <c r="H2302" s="127" t="inlineStr"/>
      <c r="I2302" s="127" t="n"/>
      <c r="J2302" s="127" t="n"/>
      <c r="K2302" s="127" t="inlineStr"/>
      <c r="L2302" s="127" t="n"/>
      <c r="M2302" s="127" t="n"/>
      <c r="N2302" s="127" t="n"/>
      <c r="O2302" s="127" t="n"/>
      <c r="P2302" s="127" t="n"/>
      <c r="Q2302" s="127" t="n"/>
      <c r="R2302" s="127" t="n"/>
      <c r="S2302" s="127" t="n"/>
      <c r="T2302" s="127" t="n"/>
      <c r="U2302" s="127" t="n"/>
      <c r="V2302" s="127" t="n"/>
      <c r="W2302" s="127" t="n"/>
      <c r="X2302" s="127" t="n"/>
      <c r="Y2302" s="127" t="n"/>
      <c r="Z2302" s="127" t="n"/>
    </row>
    <row r="2303">
      <c r="A2303" s="217" t="n"/>
      <c r="B2303" s="126" t="n"/>
      <c r="C2303" s="126" t="n"/>
      <c r="D2303" s="126" t="n"/>
      <c r="E2303" s="126" t="n"/>
      <c r="F2303" s="127" t="n"/>
      <c r="G2303" s="127" t="inlineStr"/>
      <c r="H2303" s="127" t="inlineStr"/>
      <c r="I2303" s="127" t="n"/>
      <c r="J2303" s="127" t="n"/>
      <c r="K2303" s="127" t="inlineStr"/>
      <c r="L2303" s="127" t="n"/>
      <c r="M2303" s="127" t="n"/>
      <c r="N2303" s="127" t="n"/>
      <c r="O2303" s="127" t="n"/>
      <c r="P2303" s="127" t="n"/>
      <c r="Q2303" s="127" t="n"/>
      <c r="R2303" s="127" t="n"/>
      <c r="S2303" s="127" t="n"/>
      <c r="T2303" s="127" t="n"/>
      <c r="U2303" s="127" t="n"/>
      <c r="V2303" s="127" t="n"/>
      <c r="W2303" s="127" t="n"/>
      <c r="X2303" s="127" t="n"/>
      <c r="Y2303" s="127" t="n"/>
      <c r="Z2303" s="127" t="n"/>
    </row>
    <row r="2304">
      <c r="A2304" s="217" t="n"/>
      <c r="B2304" s="126" t="n"/>
      <c r="C2304" s="126" t="n"/>
      <c r="D2304" s="126" t="n"/>
      <c r="E2304" s="126" t="n"/>
      <c r="F2304" s="127" t="n"/>
      <c r="G2304" s="127" t="inlineStr"/>
      <c r="H2304" s="127" t="inlineStr"/>
      <c r="I2304" s="127" t="n"/>
      <c r="J2304" s="127" t="n"/>
      <c r="K2304" s="127" t="inlineStr"/>
      <c r="L2304" s="127" t="n"/>
      <c r="M2304" s="127" t="n"/>
      <c r="N2304" s="127" t="n"/>
      <c r="O2304" s="127" t="n"/>
      <c r="P2304" s="127" t="n"/>
      <c r="Q2304" s="127" t="n"/>
      <c r="R2304" s="127" t="n"/>
      <c r="S2304" s="127" t="n"/>
      <c r="T2304" s="127" t="n"/>
      <c r="U2304" s="127" t="n"/>
      <c r="V2304" s="127" t="n"/>
      <c r="W2304" s="127" t="n"/>
      <c r="X2304" s="127" t="n"/>
      <c r="Y2304" s="127" t="n"/>
      <c r="Z2304" s="127" t="n"/>
    </row>
    <row r="2305">
      <c r="A2305" s="217" t="n"/>
      <c r="B2305" s="126" t="n"/>
      <c r="C2305" s="126" t="n"/>
      <c r="D2305" s="126" t="n"/>
      <c r="E2305" s="126" t="n"/>
      <c r="F2305" s="127" t="n"/>
      <c r="G2305" s="127" t="inlineStr"/>
      <c r="H2305" s="127" t="inlineStr"/>
      <c r="I2305" s="127" t="n"/>
      <c r="J2305" s="127" t="n"/>
      <c r="K2305" s="127" t="inlineStr"/>
      <c r="L2305" s="127" t="n"/>
      <c r="M2305" s="127" t="n"/>
      <c r="N2305" s="127" t="n"/>
      <c r="O2305" s="127" t="n"/>
      <c r="P2305" s="127" t="n"/>
      <c r="Q2305" s="127" t="n"/>
      <c r="R2305" s="127" t="n"/>
      <c r="S2305" s="127" t="n"/>
      <c r="T2305" s="127" t="n"/>
      <c r="U2305" s="127" t="n"/>
      <c r="V2305" s="127" t="n"/>
      <c r="W2305" s="127" t="n"/>
      <c r="X2305" s="127" t="n"/>
      <c r="Y2305" s="127" t="n"/>
      <c r="Z2305" s="127" t="n"/>
    </row>
    <row r="2306">
      <c r="A2306" s="217" t="n"/>
      <c r="B2306" s="126" t="n"/>
      <c r="C2306" s="126" t="n"/>
      <c r="D2306" s="126" t="n"/>
      <c r="E2306" s="126" t="n"/>
      <c r="F2306" s="127" t="n"/>
      <c r="G2306" s="127" t="inlineStr"/>
      <c r="H2306" s="127" t="inlineStr"/>
      <c r="I2306" s="127" t="n"/>
      <c r="J2306" s="127" t="n"/>
      <c r="K2306" s="127" t="inlineStr"/>
      <c r="L2306" s="127" t="n"/>
      <c r="M2306" s="127" t="n"/>
      <c r="N2306" s="127" t="n"/>
      <c r="O2306" s="127" t="n"/>
      <c r="P2306" s="127" t="n"/>
      <c r="Q2306" s="127" t="n"/>
      <c r="R2306" s="127" t="n"/>
      <c r="S2306" s="127" t="n"/>
      <c r="T2306" s="127" t="n"/>
      <c r="U2306" s="127" t="n"/>
      <c r="V2306" s="127" t="n"/>
      <c r="W2306" s="127" t="n"/>
      <c r="X2306" s="127" t="n"/>
      <c r="Y2306" s="127" t="n"/>
      <c r="Z2306" s="127" t="n"/>
    </row>
    <row r="2307">
      <c r="A2307" s="217" t="n"/>
      <c r="B2307" s="126" t="n"/>
      <c r="C2307" s="126" t="n"/>
      <c r="D2307" s="126" t="n"/>
      <c r="E2307" s="126" t="n"/>
      <c r="F2307" s="127" t="n"/>
      <c r="G2307" s="127" t="inlineStr"/>
      <c r="H2307" s="127" t="inlineStr"/>
      <c r="I2307" s="127" t="n"/>
      <c r="J2307" s="127" t="n"/>
      <c r="K2307" s="127" t="inlineStr"/>
      <c r="L2307" s="127" t="n"/>
      <c r="M2307" s="127" t="n"/>
      <c r="N2307" s="127" t="n"/>
      <c r="O2307" s="127" t="n"/>
      <c r="P2307" s="127" t="n"/>
      <c r="Q2307" s="127" t="n"/>
      <c r="R2307" s="127" t="n"/>
      <c r="S2307" s="127" t="n"/>
      <c r="T2307" s="127" t="n"/>
      <c r="U2307" s="127" t="n"/>
      <c r="V2307" s="127" t="n"/>
      <c r="W2307" s="127" t="n"/>
      <c r="X2307" s="127" t="n"/>
      <c r="Y2307" s="127" t="n"/>
      <c r="Z2307" s="127" t="n"/>
    </row>
    <row r="2308">
      <c r="A2308" s="217" t="n"/>
      <c r="B2308" s="126" t="n"/>
      <c r="C2308" s="126" t="n"/>
      <c r="D2308" s="126" t="n"/>
      <c r="E2308" s="126" t="n"/>
      <c r="F2308" s="127" t="n"/>
      <c r="G2308" s="127" t="inlineStr"/>
      <c r="H2308" s="127" t="inlineStr"/>
      <c r="I2308" s="127" t="n"/>
      <c r="J2308" s="127" t="n"/>
      <c r="K2308" s="127" t="inlineStr"/>
      <c r="L2308" s="127" t="n"/>
      <c r="M2308" s="127" t="n"/>
      <c r="N2308" s="127" t="n"/>
      <c r="O2308" s="127" t="n"/>
      <c r="P2308" s="127" t="n"/>
      <c r="Q2308" s="127" t="n"/>
      <c r="R2308" s="127" t="n"/>
      <c r="S2308" s="127" t="n"/>
      <c r="T2308" s="127" t="n"/>
      <c r="U2308" s="127" t="n"/>
      <c r="V2308" s="127" t="n"/>
      <c r="W2308" s="127" t="n"/>
      <c r="X2308" s="127" t="n"/>
      <c r="Y2308" s="127" t="n"/>
      <c r="Z2308" s="127" t="n"/>
    </row>
    <row r="2309">
      <c r="A2309" s="217" t="n"/>
      <c r="B2309" s="126" t="n"/>
      <c r="C2309" s="126" t="n"/>
      <c r="D2309" s="126" t="n"/>
      <c r="E2309" s="126" t="n"/>
      <c r="F2309" s="127" t="n"/>
      <c r="G2309" s="127" t="inlineStr"/>
      <c r="H2309" s="127" t="inlineStr"/>
      <c r="I2309" s="127" t="n"/>
      <c r="J2309" s="127" t="n"/>
      <c r="K2309" s="127" t="inlineStr"/>
      <c r="L2309" s="127" t="n"/>
      <c r="M2309" s="127" t="n"/>
      <c r="N2309" s="127" t="n"/>
      <c r="O2309" s="127" t="n"/>
      <c r="P2309" s="127" t="n"/>
      <c r="Q2309" s="127" t="n"/>
      <c r="R2309" s="127" t="n"/>
      <c r="S2309" s="127" t="n"/>
      <c r="T2309" s="127" t="n"/>
      <c r="U2309" s="127" t="n"/>
      <c r="V2309" s="127" t="n"/>
      <c r="W2309" s="127" t="n"/>
      <c r="X2309" s="127" t="n"/>
      <c r="Y2309" s="127" t="n"/>
      <c r="Z2309" s="127" t="n"/>
    </row>
    <row r="2310">
      <c r="A2310" s="217" t="n"/>
      <c r="B2310" s="126" t="n"/>
      <c r="C2310" s="126" t="n"/>
      <c r="D2310" s="126" t="n"/>
      <c r="E2310" s="126" t="n"/>
      <c r="F2310" s="127" t="n"/>
      <c r="G2310" s="127" t="inlineStr"/>
      <c r="H2310" s="127" t="inlineStr"/>
      <c r="I2310" s="127" t="n"/>
      <c r="J2310" s="127" t="n"/>
      <c r="K2310" s="127" t="inlineStr"/>
      <c r="L2310" s="127" t="n"/>
      <c r="M2310" s="127" t="n"/>
      <c r="N2310" s="127" t="n"/>
      <c r="O2310" s="127" t="n"/>
      <c r="P2310" s="127" t="n"/>
      <c r="Q2310" s="127" t="n"/>
      <c r="R2310" s="127" t="n"/>
      <c r="S2310" s="127" t="n"/>
      <c r="T2310" s="127" t="n"/>
      <c r="U2310" s="127" t="n"/>
      <c r="V2310" s="127" t="n"/>
      <c r="W2310" s="127" t="n"/>
      <c r="X2310" s="127" t="n"/>
      <c r="Y2310" s="127" t="n"/>
      <c r="Z2310" s="127" t="n"/>
    </row>
    <row r="2311">
      <c r="A2311" s="217" t="n"/>
      <c r="B2311" s="126" t="n"/>
      <c r="C2311" s="126" t="n"/>
      <c r="D2311" s="126" t="n"/>
      <c r="E2311" s="126" t="n"/>
      <c r="F2311" s="127" t="n"/>
      <c r="G2311" s="127" t="inlineStr"/>
      <c r="H2311" s="127" t="inlineStr"/>
      <c r="I2311" s="127" t="n"/>
      <c r="J2311" s="127" t="n"/>
      <c r="K2311" s="127" t="inlineStr"/>
      <c r="L2311" s="127" t="n"/>
      <c r="M2311" s="127" t="n"/>
      <c r="N2311" s="127" t="n"/>
      <c r="O2311" s="127" t="n"/>
      <c r="P2311" s="127" t="n"/>
      <c r="Q2311" s="127" t="n"/>
      <c r="R2311" s="127" t="n"/>
      <c r="S2311" s="127" t="n"/>
      <c r="T2311" s="127" t="n"/>
      <c r="U2311" s="127" t="n"/>
      <c r="V2311" s="127" t="n"/>
      <c r="W2311" s="127" t="n"/>
      <c r="X2311" s="127" t="n"/>
      <c r="Y2311" s="127" t="n"/>
      <c r="Z2311" s="127" t="n"/>
    </row>
    <row r="2312">
      <c r="A2312" s="217" t="n"/>
      <c r="B2312" s="126" t="n"/>
      <c r="C2312" s="126" t="n"/>
      <c r="D2312" s="126" t="n"/>
      <c r="E2312" s="126" t="n"/>
      <c r="F2312" s="127" t="n"/>
      <c r="G2312" s="127" t="inlineStr"/>
      <c r="H2312" s="127" t="inlineStr"/>
      <c r="I2312" s="127" t="n"/>
      <c r="J2312" s="127" t="n"/>
      <c r="K2312" s="127" t="inlineStr"/>
      <c r="L2312" s="127" t="n"/>
      <c r="M2312" s="127" t="n"/>
      <c r="N2312" s="127" t="n"/>
      <c r="O2312" s="127" t="n"/>
      <c r="P2312" s="127" t="n"/>
      <c r="Q2312" s="127" t="n"/>
      <c r="R2312" s="127" t="n"/>
      <c r="S2312" s="127" t="n"/>
      <c r="T2312" s="127" t="n"/>
      <c r="U2312" s="127" t="n"/>
      <c r="V2312" s="127" t="n"/>
      <c r="W2312" s="127" t="n"/>
      <c r="X2312" s="127" t="n"/>
      <c r="Y2312" s="127" t="n"/>
      <c r="Z2312" s="127" t="n"/>
    </row>
    <row r="2313">
      <c r="A2313" s="217" t="n"/>
      <c r="B2313" s="126" t="n"/>
      <c r="C2313" s="126" t="n"/>
      <c r="D2313" s="126" t="n"/>
      <c r="E2313" s="126" t="n"/>
      <c r="F2313" s="127" t="n"/>
      <c r="G2313" s="127" t="inlineStr"/>
      <c r="H2313" s="127" t="inlineStr"/>
      <c r="I2313" s="127" t="n"/>
      <c r="J2313" s="127" t="n"/>
      <c r="K2313" s="127" t="inlineStr"/>
      <c r="L2313" s="127" t="n"/>
      <c r="M2313" s="127" t="n"/>
      <c r="N2313" s="127" t="n"/>
      <c r="O2313" s="127" t="n"/>
      <c r="P2313" s="127" t="n"/>
      <c r="Q2313" s="127" t="n"/>
      <c r="R2313" s="127" t="n"/>
      <c r="S2313" s="127" t="n"/>
      <c r="T2313" s="127" t="n"/>
      <c r="U2313" s="127" t="n"/>
      <c r="V2313" s="127" t="n"/>
      <c r="W2313" s="127" t="n"/>
      <c r="X2313" s="127" t="n"/>
      <c r="Y2313" s="127" t="n"/>
      <c r="Z2313" s="127" t="n"/>
    </row>
    <row r="2314">
      <c r="A2314" s="217" t="n"/>
      <c r="B2314" s="126" t="n"/>
      <c r="C2314" s="126" t="n"/>
      <c r="D2314" s="126" t="n"/>
      <c r="E2314" s="126" t="n"/>
      <c r="F2314" s="127" t="n"/>
      <c r="G2314" s="127" t="inlineStr"/>
      <c r="H2314" s="127" t="inlineStr"/>
      <c r="I2314" s="127" t="n"/>
      <c r="J2314" s="127" t="n"/>
      <c r="K2314" s="127" t="inlineStr"/>
      <c r="L2314" s="127" t="n"/>
      <c r="M2314" s="127" t="n"/>
      <c r="N2314" s="127" t="n"/>
      <c r="O2314" s="127" t="n"/>
      <c r="P2314" s="127" t="n"/>
      <c r="Q2314" s="127" t="n"/>
      <c r="R2314" s="127" t="n"/>
      <c r="S2314" s="127" t="n"/>
      <c r="T2314" s="127" t="n"/>
      <c r="U2314" s="127" t="n"/>
      <c r="V2314" s="127" t="n"/>
      <c r="W2314" s="127" t="n"/>
      <c r="X2314" s="127" t="n"/>
      <c r="Y2314" s="127" t="n"/>
      <c r="Z2314" s="127" t="n"/>
    </row>
    <row r="2315">
      <c r="A2315" s="217" t="n"/>
      <c r="B2315" s="126" t="n"/>
      <c r="C2315" s="126" t="n"/>
      <c r="D2315" s="126" t="n"/>
      <c r="E2315" s="126" t="n"/>
      <c r="F2315" s="127" t="n"/>
      <c r="G2315" s="127" t="inlineStr"/>
      <c r="H2315" s="127" t="inlineStr"/>
      <c r="I2315" s="127" t="n"/>
      <c r="J2315" s="127" t="n"/>
      <c r="K2315" s="127" t="inlineStr"/>
      <c r="L2315" s="127" t="n"/>
      <c r="M2315" s="127" t="n"/>
      <c r="N2315" s="127" t="n"/>
      <c r="O2315" s="127" t="n"/>
      <c r="P2315" s="127" t="n"/>
      <c r="Q2315" s="127" t="n"/>
      <c r="R2315" s="127" t="n"/>
      <c r="S2315" s="127" t="n"/>
      <c r="T2315" s="127" t="n"/>
      <c r="U2315" s="127" t="n"/>
      <c r="V2315" s="127" t="n"/>
      <c r="W2315" s="127" t="n"/>
      <c r="X2315" s="127" t="n"/>
      <c r="Y2315" s="127" t="n"/>
      <c r="Z2315" s="127" t="n"/>
    </row>
    <row r="2316">
      <c r="A2316" s="217" t="n"/>
      <c r="B2316" s="126" t="n"/>
      <c r="C2316" s="126" t="n"/>
      <c r="D2316" s="126" t="n"/>
      <c r="E2316" s="126" t="n"/>
      <c r="F2316" s="127" t="n"/>
      <c r="G2316" s="127" t="inlineStr"/>
      <c r="H2316" s="127" t="inlineStr"/>
      <c r="I2316" s="127" t="n"/>
      <c r="J2316" s="127" t="n"/>
      <c r="K2316" s="127" t="inlineStr"/>
      <c r="L2316" s="127" t="n"/>
      <c r="M2316" s="127" t="n"/>
      <c r="N2316" s="127" t="n"/>
      <c r="O2316" s="127" t="n"/>
      <c r="P2316" s="127" t="n"/>
      <c r="Q2316" s="127" t="n"/>
      <c r="R2316" s="127" t="n"/>
      <c r="S2316" s="127" t="n"/>
      <c r="T2316" s="127" t="n"/>
      <c r="U2316" s="127" t="n"/>
      <c r="V2316" s="127" t="n"/>
      <c r="W2316" s="127" t="n"/>
      <c r="X2316" s="127" t="n"/>
      <c r="Y2316" s="127" t="n"/>
      <c r="Z2316" s="127" t="n"/>
    </row>
    <row r="2317">
      <c r="A2317" s="217" t="n"/>
      <c r="B2317" s="126" t="n"/>
      <c r="C2317" s="126" t="n"/>
      <c r="D2317" s="126" t="n"/>
      <c r="E2317" s="126" t="n"/>
      <c r="F2317" s="127" t="n"/>
      <c r="G2317" s="127" t="inlineStr"/>
      <c r="H2317" s="127" t="inlineStr"/>
      <c r="I2317" s="127" t="n"/>
      <c r="J2317" s="127" t="n"/>
      <c r="K2317" s="127" t="inlineStr"/>
      <c r="L2317" s="127" t="n"/>
      <c r="M2317" s="127" t="n"/>
      <c r="N2317" s="127" t="n"/>
      <c r="O2317" s="127" t="n"/>
      <c r="P2317" s="127" t="n"/>
      <c r="Q2317" s="127" t="n"/>
      <c r="R2317" s="127" t="n"/>
      <c r="S2317" s="127" t="n"/>
      <c r="T2317" s="127" t="n"/>
      <c r="U2317" s="127" t="n"/>
      <c r="V2317" s="127" t="n"/>
      <c r="W2317" s="127" t="n"/>
      <c r="X2317" s="127" t="n"/>
      <c r="Y2317" s="127" t="n"/>
      <c r="Z2317" s="127" t="n"/>
    </row>
    <row r="2318">
      <c r="A2318" s="217" t="n"/>
      <c r="B2318" s="126" t="n"/>
      <c r="C2318" s="126" t="n"/>
      <c r="D2318" s="126" t="n"/>
      <c r="E2318" s="126" t="n"/>
      <c r="F2318" s="127" t="n"/>
      <c r="G2318" s="127" t="inlineStr"/>
      <c r="H2318" s="127" t="inlineStr"/>
      <c r="I2318" s="127" t="n"/>
      <c r="J2318" s="127" t="n"/>
      <c r="K2318" s="127" t="inlineStr"/>
      <c r="L2318" s="127" t="n"/>
      <c r="M2318" s="127" t="n"/>
      <c r="N2318" s="127" t="n"/>
      <c r="O2318" s="127" t="n"/>
      <c r="P2318" s="127" t="n"/>
      <c r="Q2318" s="127" t="n"/>
      <c r="R2318" s="127" t="n"/>
      <c r="S2318" s="127" t="n"/>
      <c r="T2318" s="127" t="n"/>
      <c r="U2318" s="127" t="n"/>
      <c r="V2318" s="127" t="n"/>
      <c r="W2318" s="127" t="n"/>
      <c r="X2318" s="127" t="n"/>
      <c r="Y2318" s="127" t="n"/>
      <c r="Z2318" s="127" t="n"/>
    </row>
    <row r="2319">
      <c r="A2319" s="217" t="n"/>
      <c r="B2319" s="126" t="n"/>
      <c r="C2319" s="126" t="n"/>
      <c r="D2319" s="126" t="n"/>
      <c r="E2319" s="126" t="n"/>
      <c r="F2319" s="127" t="n"/>
      <c r="G2319" s="127" t="inlineStr"/>
      <c r="H2319" s="127" t="inlineStr"/>
      <c r="I2319" s="127" t="n"/>
      <c r="J2319" s="127" t="n"/>
      <c r="K2319" s="127" t="inlineStr"/>
      <c r="L2319" s="127" t="n"/>
      <c r="M2319" s="127" t="n"/>
      <c r="N2319" s="127" t="n"/>
      <c r="O2319" s="127" t="n"/>
      <c r="P2319" s="127" t="n"/>
      <c r="Q2319" s="127" t="n"/>
      <c r="R2319" s="127" t="n"/>
      <c r="S2319" s="127" t="n"/>
      <c r="T2319" s="127" t="n"/>
      <c r="U2319" s="127" t="n"/>
      <c r="V2319" s="127" t="n"/>
      <c r="W2319" s="127" t="n"/>
      <c r="X2319" s="127" t="n"/>
      <c r="Y2319" s="127" t="n"/>
      <c r="Z2319" s="127" t="n"/>
    </row>
    <row r="2320">
      <c r="A2320" s="217" t="n"/>
      <c r="B2320" s="126" t="n"/>
      <c r="C2320" s="126" t="n"/>
      <c r="D2320" s="126" t="n"/>
      <c r="E2320" s="126" t="n"/>
      <c r="F2320" s="127" t="n"/>
      <c r="G2320" s="127" t="inlineStr"/>
      <c r="H2320" s="127" t="inlineStr"/>
      <c r="I2320" s="127" t="n"/>
      <c r="J2320" s="127" t="n"/>
      <c r="K2320" s="127" t="inlineStr"/>
      <c r="L2320" s="127" t="n"/>
      <c r="M2320" s="127" t="n"/>
      <c r="N2320" s="127" t="n"/>
      <c r="O2320" s="127" t="n"/>
      <c r="P2320" s="127" t="n"/>
      <c r="Q2320" s="127" t="n"/>
      <c r="R2320" s="127" t="n"/>
      <c r="S2320" s="127" t="n"/>
      <c r="T2320" s="127" t="n"/>
      <c r="U2320" s="127" t="n"/>
      <c r="V2320" s="127" t="n"/>
      <c r="W2320" s="127" t="n"/>
      <c r="X2320" s="127" t="n"/>
      <c r="Y2320" s="127" t="n"/>
      <c r="Z2320" s="127" t="n"/>
    </row>
    <row r="2321">
      <c r="A2321" s="217" t="n"/>
      <c r="B2321" s="126" t="n"/>
      <c r="C2321" s="126" t="n"/>
      <c r="D2321" s="126" t="n"/>
      <c r="E2321" s="126" t="n"/>
      <c r="F2321" s="127" t="n"/>
      <c r="G2321" s="127" t="inlineStr"/>
      <c r="H2321" s="127" t="inlineStr"/>
      <c r="I2321" s="127" t="n"/>
      <c r="J2321" s="127" t="n"/>
      <c r="K2321" s="127" t="inlineStr"/>
      <c r="L2321" s="127" t="n"/>
      <c r="M2321" s="127" t="n"/>
      <c r="N2321" s="127" t="n"/>
      <c r="O2321" s="127" t="n"/>
      <c r="P2321" s="127" t="n"/>
      <c r="Q2321" s="127" t="n"/>
      <c r="R2321" s="127" t="n"/>
      <c r="S2321" s="127" t="n"/>
      <c r="T2321" s="127" t="n"/>
      <c r="U2321" s="127" t="n"/>
      <c r="V2321" s="127" t="n"/>
      <c r="W2321" s="127" t="n"/>
      <c r="X2321" s="127" t="n"/>
      <c r="Y2321" s="127" t="n"/>
      <c r="Z2321" s="127" t="n"/>
    </row>
    <row r="2322">
      <c r="A2322" s="217" t="n"/>
      <c r="B2322" s="126" t="n"/>
      <c r="C2322" s="126" t="n"/>
      <c r="D2322" s="126" t="n"/>
      <c r="E2322" s="126" t="n"/>
      <c r="F2322" s="127" t="n"/>
      <c r="G2322" s="127" t="inlineStr"/>
      <c r="H2322" s="127" t="inlineStr"/>
      <c r="I2322" s="127" t="n"/>
      <c r="J2322" s="127" t="n"/>
      <c r="K2322" s="127" t="inlineStr"/>
      <c r="L2322" s="127" t="n"/>
      <c r="M2322" s="127" t="n"/>
      <c r="N2322" s="127" t="n"/>
      <c r="O2322" s="127" t="n"/>
      <c r="P2322" s="127" t="n"/>
      <c r="Q2322" s="127" t="n"/>
      <c r="R2322" s="127" t="n"/>
      <c r="S2322" s="127" t="n"/>
      <c r="T2322" s="127" t="n"/>
      <c r="U2322" s="127" t="n"/>
      <c r="V2322" s="127" t="n"/>
      <c r="W2322" s="127" t="n"/>
      <c r="X2322" s="127" t="n"/>
      <c r="Y2322" s="127" t="n"/>
      <c r="Z2322" s="127" t="n"/>
    </row>
    <row r="2323">
      <c r="A2323" s="217" t="n"/>
      <c r="B2323" s="126" t="n"/>
      <c r="C2323" s="126" t="n"/>
      <c r="D2323" s="126" t="n"/>
      <c r="E2323" s="126" t="n"/>
      <c r="F2323" s="127" t="n"/>
      <c r="G2323" s="127" t="inlineStr"/>
      <c r="H2323" s="127" t="inlineStr"/>
      <c r="I2323" s="127" t="n"/>
      <c r="J2323" s="127" t="n"/>
      <c r="K2323" s="127" t="inlineStr"/>
      <c r="L2323" s="127" t="n"/>
      <c r="M2323" s="127" t="n"/>
      <c r="N2323" s="127" t="n"/>
      <c r="O2323" s="127" t="n"/>
      <c r="P2323" s="127" t="n"/>
      <c r="Q2323" s="127" t="n"/>
      <c r="R2323" s="127" t="n"/>
      <c r="S2323" s="127" t="n"/>
      <c r="T2323" s="127" t="n"/>
      <c r="U2323" s="127" t="n"/>
      <c r="V2323" s="127" t="n"/>
      <c r="W2323" s="127" t="n"/>
      <c r="X2323" s="127" t="n"/>
      <c r="Y2323" s="127" t="n"/>
      <c r="Z2323" s="127" t="n"/>
    </row>
    <row r="2324">
      <c r="A2324" s="217" t="n"/>
      <c r="B2324" s="126" t="n"/>
      <c r="C2324" s="126" t="n"/>
      <c r="D2324" s="126" t="n"/>
      <c r="E2324" s="126" t="n"/>
      <c r="F2324" s="127" t="n"/>
      <c r="G2324" s="127" t="inlineStr"/>
      <c r="H2324" s="127" t="inlineStr"/>
      <c r="I2324" s="127" t="n"/>
      <c r="J2324" s="127" t="n"/>
      <c r="K2324" s="127" t="inlineStr"/>
      <c r="L2324" s="127" t="n"/>
      <c r="M2324" s="127" t="n"/>
      <c r="N2324" s="127" t="n"/>
      <c r="O2324" s="127" t="n"/>
      <c r="P2324" s="127" t="n"/>
      <c r="Q2324" s="127" t="n"/>
      <c r="R2324" s="127" t="n"/>
      <c r="S2324" s="127" t="n"/>
      <c r="T2324" s="127" t="n"/>
      <c r="U2324" s="127" t="n"/>
      <c r="V2324" s="127" t="n"/>
      <c r="W2324" s="127" t="n"/>
      <c r="X2324" s="127" t="n"/>
      <c r="Y2324" s="127" t="n"/>
      <c r="Z2324" s="127" t="n"/>
    </row>
    <row r="2325">
      <c r="A2325" s="217" t="n"/>
      <c r="B2325" s="126" t="n"/>
      <c r="C2325" s="126" t="n"/>
      <c r="D2325" s="126" t="n"/>
      <c r="E2325" s="126" t="n"/>
      <c r="F2325" s="127" t="n"/>
      <c r="G2325" s="127" t="inlineStr"/>
      <c r="H2325" s="127" t="inlineStr"/>
      <c r="I2325" s="127" t="n"/>
      <c r="J2325" s="127" t="n"/>
      <c r="K2325" s="127" t="inlineStr"/>
      <c r="L2325" s="127" t="n"/>
      <c r="M2325" s="127" t="n"/>
      <c r="N2325" s="127" t="n"/>
      <c r="O2325" s="127" t="n"/>
      <c r="P2325" s="127" t="n"/>
      <c r="Q2325" s="127" t="n"/>
      <c r="R2325" s="127" t="n"/>
      <c r="S2325" s="127" t="n"/>
      <c r="T2325" s="127" t="n"/>
      <c r="U2325" s="127" t="n"/>
      <c r="V2325" s="127" t="n"/>
      <c r="W2325" s="127" t="n"/>
      <c r="X2325" s="127" t="n"/>
      <c r="Y2325" s="127" t="n"/>
      <c r="Z2325" s="127" t="n"/>
    </row>
    <row r="2326">
      <c r="A2326" s="217" t="n"/>
      <c r="B2326" s="126" t="n"/>
      <c r="C2326" s="126" t="n"/>
      <c r="D2326" s="126" t="n"/>
      <c r="E2326" s="126" t="n"/>
      <c r="F2326" s="127" t="n"/>
      <c r="G2326" s="127" t="inlineStr"/>
      <c r="H2326" s="127" t="inlineStr"/>
      <c r="I2326" s="127" t="n"/>
      <c r="J2326" s="127" t="n"/>
      <c r="K2326" s="127" t="inlineStr"/>
      <c r="L2326" s="127" t="n"/>
      <c r="M2326" s="127" t="n"/>
      <c r="N2326" s="127" t="n"/>
      <c r="O2326" s="127" t="n"/>
      <c r="P2326" s="127" t="n"/>
      <c r="Q2326" s="127" t="n"/>
      <c r="R2326" s="127" t="n"/>
      <c r="S2326" s="127" t="n"/>
      <c r="T2326" s="127" t="n"/>
      <c r="U2326" s="127" t="n"/>
      <c r="V2326" s="127" t="n"/>
      <c r="W2326" s="127" t="n"/>
      <c r="X2326" s="127" t="n"/>
      <c r="Y2326" s="127" t="n"/>
      <c r="Z2326" s="127" t="n"/>
    </row>
    <row r="2327">
      <c r="A2327" s="217" t="n"/>
      <c r="B2327" s="126" t="n"/>
      <c r="C2327" s="126" t="n"/>
      <c r="D2327" s="126" t="n"/>
      <c r="E2327" s="126" t="n"/>
      <c r="F2327" s="127" t="n"/>
      <c r="G2327" s="127" t="inlineStr"/>
      <c r="H2327" s="127" t="inlineStr"/>
      <c r="I2327" s="127" t="n"/>
      <c r="J2327" s="127" t="n"/>
      <c r="K2327" s="127" t="inlineStr"/>
      <c r="L2327" s="127" t="n"/>
      <c r="M2327" s="127" t="n"/>
      <c r="N2327" s="127" t="n"/>
      <c r="O2327" s="127" t="n"/>
      <c r="P2327" s="127" t="n"/>
      <c r="Q2327" s="127" t="n"/>
      <c r="R2327" s="127" t="n"/>
      <c r="S2327" s="127" t="n"/>
      <c r="T2327" s="127" t="n"/>
      <c r="U2327" s="127" t="n"/>
      <c r="V2327" s="127" t="n"/>
      <c r="W2327" s="127" t="n"/>
      <c r="X2327" s="127" t="n"/>
      <c r="Y2327" s="127" t="n"/>
      <c r="Z2327" s="127" t="n"/>
    </row>
    <row r="2328">
      <c r="A2328" s="217" t="n"/>
      <c r="B2328" s="126" t="n"/>
      <c r="C2328" s="126" t="n"/>
      <c r="D2328" s="126" t="n"/>
      <c r="E2328" s="126" t="n"/>
      <c r="F2328" s="127" t="n"/>
      <c r="G2328" s="127" t="inlineStr"/>
      <c r="H2328" s="127" t="inlineStr"/>
      <c r="I2328" s="127" t="n"/>
      <c r="J2328" s="127" t="n"/>
      <c r="K2328" s="127" t="inlineStr"/>
      <c r="L2328" s="127" t="n"/>
      <c r="M2328" s="127" t="n"/>
      <c r="N2328" s="127" t="n"/>
      <c r="O2328" s="127" t="n"/>
      <c r="P2328" s="127" t="n"/>
      <c r="Q2328" s="127" t="n"/>
      <c r="R2328" s="127" t="n"/>
      <c r="S2328" s="127" t="n"/>
      <c r="T2328" s="127" t="n"/>
      <c r="U2328" s="127" t="n"/>
      <c r="V2328" s="127" t="n"/>
      <c r="W2328" s="127" t="n"/>
      <c r="X2328" s="127" t="n"/>
      <c r="Y2328" s="127" t="n"/>
      <c r="Z2328" s="127" t="n"/>
    </row>
    <row r="2329">
      <c r="A2329" s="217" t="n"/>
      <c r="B2329" s="126" t="n"/>
      <c r="C2329" s="126" t="n"/>
      <c r="D2329" s="126" t="n"/>
      <c r="E2329" s="126" t="n"/>
      <c r="F2329" s="127" t="n"/>
      <c r="G2329" s="127" t="inlineStr"/>
      <c r="H2329" s="127" t="inlineStr"/>
      <c r="I2329" s="127" t="n"/>
      <c r="J2329" s="127" t="n"/>
      <c r="K2329" s="127" t="inlineStr"/>
      <c r="L2329" s="127" t="n"/>
      <c r="M2329" s="127" t="n"/>
      <c r="N2329" s="127" t="n"/>
      <c r="O2329" s="127" t="n"/>
      <c r="P2329" s="127" t="n"/>
      <c r="Q2329" s="127" t="n"/>
      <c r="R2329" s="127" t="n"/>
      <c r="S2329" s="127" t="n"/>
      <c r="T2329" s="127" t="n"/>
      <c r="U2329" s="127" t="n"/>
      <c r="V2329" s="127" t="n"/>
      <c r="W2329" s="127" t="n"/>
      <c r="X2329" s="127" t="n"/>
      <c r="Y2329" s="127" t="n"/>
      <c r="Z2329" s="127" t="n"/>
    </row>
    <row r="2330">
      <c r="A2330" s="217" t="n"/>
      <c r="B2330" s="126" t="n"/>
      <c r="C2330" s="126" t="n"/>
      <c r="D2330" s="126" t="n"/>
      <c r="E2330" s="126" t="n"/>
      <c r="F2330" s="127" t="n"/>
      <c r="G2330" s="127" t="inlineStr"/>
      <c r="H2330" s="127" t="inlineStr"/>
      <c r="I2330" s="127" t="n"/>
      <c r="J2330" s="127" t="n"/>
      <c r="K2330" s="127" t="inlineStr"/>
      <c r="L2330" s="127" t="n"/>
      <c r="M2330" s="127" t="n"/>
      <c r="N2330" s="127" t="n"/>
      <c r="O2330" s="127" t="n"/>
      <c r="P2330" s="127" t="n"/>
      <c r="Q2330" s="127" t="n"/>
      <c r="R2330" s="127" t="n"/>
      <c r="S2330" s="127" t="n"/>
      <c r="T2330" s="127" t="n"/>
      <c r="U2330" s="127" t="n"/>
      <c r="V2330" s="127" t="n"/>
      <c r="W2330" s="127" t="n"/>
      <c r="X2330" s="127" t="n"/>
      <c r="Y2330" s="127" t="n"/>
      <c r="Z2330" s="127" t="n"/>
    </row>
    <row r="2331">
      <c r="A2331" s="217" t="n"/>
      <c r="B2331" s="126" t="n"/>
      <c r="C2331" s="126" t="n"/>
      <c r="D2331" s="126" t="n"/>
      <c r="E2331" s="126" t="n"/>
      <c r="F2331" s="127" t="n"/>
      <c r="G2331" s="127" t="inlineStr"/>
      <c r="H2331" s="127" t="inlineStr"/>
      <c r="I2331" s="127" t="n"/>
      <c r="J2331" s="127" t="n"/>
      <c r="K2331" s="127" t="inlineStr"/>
      <c r="L2331" s="127" t="n"/>
      <c r="M2331" s="127" t="n"/>
      <c r="N2331" s="127" t="n"/>
      <c r="O2331" s="127" t="n"/>
      <c r="P2331" s="127" t="n"/>
      <c r="Q2331" s="127" t="n"/>
      <c r="R2331" s="127" t="n"/>
      <c r="S2331" s="127" t="n"/>
      <c r="T2331" s="127" t="n"/>
      <c r="U2331" s="127" t="n"/>
      <c r="V2331" s="127" t="n"/>
      <c r="W2331" s="127" t="n"/>
      <c r="X2331" s="127" t="n"/>
      <c r="Y2331" s="127" t="n"/>
      <c r="Z2331" s="127" t="n"/>
    </row>
    <row r="2332">
      <c r="A2332" s="217" t="n"/>
      <c r="B2332" s="126" t="n"/>
      <c r="C2332" s="126" t="n"/>
      <c r="D2332" s="126" t="n"/>
      <c r="E2332" s="126" t="n"/>
      <c r="F2332" s="127" t="n"/>
      <c r="G2332" s="127" t="inlineStr"/>
      <c r="H2332" s="127" t="inlineStr"/>
      <c r="I2332" s="127" t="n"/>
      <c r="J2332" s="127" t="n"/>
      <c r="K2332" s="127" t="inlineStr"/>
      <c r="L2332" s="127" t="n"/>
      <c r="M2332" s="127" t="n"/>
      <c r="N2332" s="127" t="n"/>
      <c r="O2332" s="127" t="n"/>
      <c r="P2332" s="127" t="n"/>
      <c r="Q2332" s="127" t="n"/>
      <c r="R2332" s="127" t="n"/>
      <c r="S2332" s="127" t="n"/>
      <c r="T2332" s="127" t="n"/>
      <c r="U2332" s="127" t="n"/>
      <c r="V2332" s="127" t="n"/>
      <c r="W2332" s="127" t="n"/>
      <c r="X2332" s="127" t="n"/>
      <c r="Y2332" s="127" t="n"/>
      <c r="Z2332" s="127" t="n"/>
    </row>
    <row r="2333">
      <c r="A2333" s="217" t="n"/>
      <c r="B2333" s="126" t="n"/>
      <c r="C2333" s="126" t="n"/>
      <c r="D2333" s="126" t="n"/>
      <c r="E2333" s="126" t="n"/>
      <c r="F2333" s="127" t="n"/>
      <c r="G2333" s="127" t="inlineStr"/>
      <c r="H2333" s="127" t="inlineStr"/>
      <c r="I2333" s="127" t="n"/>
      <c r="J2333" s="127" t="n"/>
      <c r="K2333" s="127" t="inlineStr"/>
      <c r="L2333" s="127" t="n"/>
      <c r="M2333" s="127" t="n"/>
      <c r="N2333" s="127" t="n"/>
      <c r="O2333" s="127" t="n"/>
      <c r="P2333" s="127" t="n"/>
      <c r="Q2333" s="127" t="n"/>
      <c r="R2333" s="127" t="n"/>
      <c r="S2333" s="127" t="n"/>
      <c r="T2333" s="127" t="n"/>
      <c r="U2333" s="127" t="n"/>
      <c r="V2333" s="127" t="n"/>
      <c r="W2333" s="127" t="n"/>
      <c r="X2333" s="127" t="n"/>
      <c r="Y2333" s="127" t="n"/>
      <c r="Z2333" s="127" t="n"/>
    </row>
    <row r="2334">
      <c r="A2334" s="217" t="n"/>
      <c r="B2334" s="126" t="n"/>
      <c r="C2334" s="126" t="n"/>
      <c r="D2334" s="126" t="n"/>
      <c r="E2334" s="126" t="n"/>
      <c r="F2334" s="127" t="n"/>
      <c r="G2334" s="127" t="inlineStr"/>
      <c r="H2334" s="127" t="inlineStr"/>
      <c r="I2334" s="127" t="n"/>
      <c r="J2334" s="127" t="n"/>
      <c r="K2334" s="127" t="inlineStr"/>
      <c r="L2334" s="127" t="n"/>
      <c r="M2334" s="127" t="n"/>
      <c r="N2334" s="127" t="n"/>
      <c r="O2334" s="127" t="n"/>
      <c r="P2334" s="127" t="n"/>
      <c r="Q2334" s="127" t="n"/>
      <c r="R2334" s="127" t="n"/>
      <c r="S2334" s="127" t="n"/>
      <c r="T2334" s="127" t="n"/>
      <c r="U2334" s="127" t="n"/>
      <c r="V2334" s="127" t="n"/>
      <c r="W2334" s="127" t="n"/>
      <c r="X2334" s="127" t="n"/>
      <c r="Y2334" s="127" t="n"/>
      <c r="Z2334" s="127" t="n"/>
    </row>
    <row r="2335">
      <c r="A2335" s="217" t="n"/>
      <c r="B2335" s="126" t="n"/>
      <c r="C2335" s="126" t="n"/>
      <c r="D2335" s="126" t="n"/>
      <c r="E2335" s="126" t="n"/>
      <c r="F2335" s="127" t="n"/>
      <c r="G2335" s="127" t="inlineStr"/>
      <c r="H2335" s="127" t="inlineStr"/>
      <c r="I2335" s="127" t="n"/>
      <c r="J2335" s="127" t="n"/>
      <c r="K2335" s="127" t="inlineStr"/>
      <c r="L2335" s="127" t="n"/>
      <c r="M2335" s="127" t="n"/>
      <c r="N2335" s="127" t="n"/>
      <c r="O2335" s="127" t="n"/>
      <c r="P2335" s="127" t="n"/>
      <c r="Q2335" s="127" t="n"/>
      <c r="R2335" s="127" t="n"/>
      <c r="S2335" s="127" t="n"/>
      <c r="T2335" s="127" t="n"/>
      <c r="U2335" s="127" t="n"/>
      <c r="V2335" s="127" t="n"/>
      <c r="W2335" s="127" t="n"/>
      <c r="X2335" s="127" t="n"/>
      <c r="Y2335" s="127" t="n"/>
      <c r="Z2335" s="127" t="n"/>
    </row>
    <row r="2336">
      <c r="A2336" s="217" t="n"/>
      <c r="B2336" s="126" t="n"/>
      <c r="C2336" s="126" t="n"/>
      <c r="D2336" s="126" t="n"/>
      <c r="E2336" s="126" t="n"/>
      <c r="F2336" s="127" t="n"/>
      <c r="G2336" s="127" t="inlineStr"/>
      <c r="H2336" s="127" t="inlineStr"/>
      <c r="I2336" s="127" t="n"/>
      <c r="J2336" s="127" t="n"/>
      <c r="K2336" s="127" t="inlineStr"/>
      <c r="L2336" s="127" t="n"/>
      <c r="M2336" s="127" t="n"/>
      <c r="N2336" s="127" t="n"/>
      <c r="O2336" s="127" t="n"/>
      <c r="P2336" s="127" t="n"/>
      <c r="Q2336" s="127" t="n"/>
      <c r="R2336" s="127" t="n"/>
      <c r="S2336" s="127" t="n"/>
      <c r="T2336" s="127" t="n"/>
      <c r="U2336" s="127" t="n"/>
      <c r="V2336" s="127" t="n"/>
      <c r="W2336" s="127" t="n"/>
      <c r="X2336" s="127" t="n"/>
      <c r="Y2336" s="127" t="n"/>
      <c r="Z2336" s="127" t="n"/>
    </row>
    <row r="2337">
      <c r="A2337" s="217" t="n"/>
      <c r="B2337" s="126" t="n"/>
      <c r="C2337" s="126" t="n"/>
      <c r="D2337" s="126" t="n"/>
      <c r="E2337" s="126" t="n"/>
      <c r="F2337" s="127" t="n"/>
      <c r="G2337" s="127" t="inlineStr"/>
      <c r="H2337" s="127" t="inlineStr"/>
      <c r="I2337" s="127" t="n"/>
      <c r="J2337" s="127" t="n"/>
      <c r="K2337" s="127" t="inlineStr"/>
      <c r="L2337" s="127" t="n"/>
      <c r="M2337" s="127" t="n"/>
      <c r="N2337" s="127" t="n"/>
      <c r="O2337" s="127" t="n"/>
      <c r="P2337" s="127" t="n"/>
      <c r="Q2337" s="127" t="n"/>
      <c r="R2337" s="127" t="n"/>
      <c r="S2337" s="127" t="n"/>
      <c r="T2337" s="127" t="n"/>
      <c r="U2337" s="127" t="n"/>
      <c r="V2337" s="127" t="n"/>
      <c r="W2337" s="127" t="n"/>
      <c r="X2337" s="127" t="n"/>
      <c r="Y2337" s="127" t="n"/>
      <c r="Z2337" s="127" t="n"/>
    </row>
    <row r="2338">
      <c r="A2338" s="217" t="n"/>
      <c r="B2338" s="126" t="n"/>
      <c r="C2338" s="126" t="n"/>
      <c r="D2338" s="126" t="n"/>
      <c r="E2338" s="126" t="n"/>
      <c r="F2338" s="127" t="n"/>
      <c r="G2338" s="127" t="inlineStr"/>
      <c r="H2338" s="127" t="inlineStr"/>
      <c r="I2338" s="127" t="n"/>
      <c r="J2338" s="127" t="n"/>
      <c r="K2338" s="127" t="inlineStr"/>
      <c r="L2338" s="127" t="n"/>
      <c r="M2338" s="127" t="n"/>
      <c r="N2338" s="127" t="n"/>
      <c r="O2338" s="127" t="n"/>
      <c r="P2338" s="127" t="n"/>
      <c r="Q2338" s="127" t="n"/>
      <c r="R2338" s="127" t="n"/>
      <c r="S2338" s="127" t="n"/>
      <c r="T2338" s="127" t="n"/>
      <c r="U2338" s="127" t="n"/>
      <c r="V2338" s="127" t="n"/>
      <c r="W2338" s="127" t="n"/>
      <c r="X2338" s="127" t="n"/>
      <c r="Y2338" s="127" t="n"/>
      <c r="Z2338" s="127" t="n"/>
    </row>
    <row r="2339">
      <c r="A2339" s="217" t="n"/>
      <c r="B2339" s="126" t="n"/>
      <c r="C2339" s="126" t="n"/>
      <c r="D2339" s="126" t="n"/>
      <c r="E2339" s="126" t="n"/>
      <c r="F2339" s="127" t="n"/>
      <c r="G2339" s="127" t="inlineStr"/>
      <c r="H2339" s="127" t="inlineStr"/>
      <c r="I2339" s="127" t="n"/>
      <c r="J2339" s="127" t="n"/>
      <c r="K2339" s="127" t="inlineStr"/>
      <c r="L2339" s="127" t="n"/>
      <c r="M2339" s="127" t="n"/>
      <c r="N2339" s="127" t="n"/>
      <c r="O2339" s="127" t="n"/>
      <c r="P2339" s="127" t="n"/>
      <c r="Q2339" s="127" t="n"/>
      <c r="R2339" s="127" t="n"/>
      <c r="S2339" s="127" t="n"/>
      <c r="T2339" s="127" t="n"/>
      <c r="U2339" s="127" t="n"/>
      <c r="V2339" s="127" t="n"/>
      <c r="W2339" s="127" t="n"/>
      <c r="X2339" s="127" t="n"/>
      <c r="Y2339" s="127" t="n"/>
      <c r="Z2339" s="127" t="n"/>
    </row>
    <row r="2340">
      <c r="A2340" s="217" t="n"/>
      <c r="B2340" s="126" t="n"/>
      <c r="C2340" s="126" t="n"/>
      <c r="D2340" s="126" t="n"/>
      <c r="E2340" s="126" t="n"/>
      <c r="F2340" s="127" t="n"/>
      <c r="G2340" s="127" t="inlineStr"/>
      <c r="H2340" s="127" t="inlineStr"/>
      <c r="I2340" s="127" t="n"/>
      <c r="J2340" s="127" t="n"/>
      <c r="K2340" s="127" t="inlineStr"/>
      <c r="L2340" s="127" t="n"/>
      <c r="M2340" s="127" t="n"/>
      <c r="N2340" s="127" t="n"/>
      <c r="O2340" s="127" t="n"/>
      <c r="P2340" s="127" t="n"/>
      <c r="Q2340" s="127" t="n"/>
      <c r="R2340" s="127" t="n"/>
      <c r="S2340" s="127" t="n"/>
      <c r="T2340" s="127" t="n"/>
      <c r="U2340" s="127" t="n"/>
      <c r="V2340" s="127" t="n"/>
      <c r="W2340" s="127" t="n"/>
      <c r="X2340" s="127" t="n"/>
      <c r="Y2340" s="127" t="n"/>
      <c r="Z2340" s="127" t="n"/>
    </row>
    <row r="2341">
      <c r="A2341" s="217" t="n"/>
      <c r="B2341" s="126" t="n"/>
      <c r="C2341" s="126" t="n"/>
      <c r="D2341" s="126" t="n"/>
      <c r="E2341" s="126" t="n"/>
      <c r="F2341" s="127" t="n"/>
      <c r="G2341" s="127" t="inlineStr"/>
      <c r="H2341" s="127" t="inlineStr"/>
      <c r="I2341" s="127" t="n"/>
      <c r="J2341" s="127" t="n"/>
      <c r="K2341" s="127" t="inlineStr"/>
      <c r="L2341" s="127" t="n"/>
      <c r="M2341" s="127" t="n"/>
      <c r="N2341" s="127" t="n"/>
      <c r="O2341" s="127" t="n"/>
      <c r="P2341" s="127" t="n"/>
      <c r="Q2341" s="127" t="n"/>
      <c r="R2341" s="127" t="n"/>
      <c r="S2341" s="127" t="n"/>
      <c r="T2341" s="127" t="n"/>
      <c r="U2341" s="127" t="n"/>
      <c r="V2341" s="127" t="n"/>
      <c r="W2341" s="127" t="n"/>
      <c r="X2341" s="127" t="n"/>
      <c r="Y2341" s="127" t="n"/>
      <c r="Z2341" s="127" t="n"/>
    </row>
    <row r="2342">
      <c r="A2342" s="217" t="n"/>
      <c r="B2342" s="126" t="n"/>
      <c r="C2342" s="126" t="n"/>
      <c r="D2342" s="126" t="n"/>
      <c r="E2342" s="126" t="n"/>
      <c r="F2342" s="127" t="n"/>
      <c r="G2342" s="127" t="inlineStr"/>
      <c r="H2342" s="127" t="inlineStr"/>
      <c r="I2342" s="127" t="n"/>
      <c r="J2342" s="127" t="n"/>
      <c r="K2342" s="127" t="inlineStr"/>
      <c r="L2342" s="127" t="n"/>
      <c r="M2342" s="127" t="n"/>
      <c r="N2342" s="127" t="n"/>
      <c r="O2342" s="127" t="n"/>
      <c r="P2342" s="127" t="n"/>
      <c r="Q2342" s="127" t="n"/>
      <c r="R2342" s="127" t="n"/>
      <c r="S2342" s="127" t="n"/>
      <c r="T2342" s="127" t="n"/>
      <c r="U2342" s="127" t="n"/>
      <c r="V2342" s="127" t="n"/>
      <c r="W2342" s="127" t="n"/>
      <c r="X2342" s="127" t="n"/>
      <c r="Y2342" s="127" t="n"/>
      <c r="Z2342" s="127" t="n"/>
    </row>
    <row r="2343">
      <c r="A2343" s="217" t="n"/>
      <c r="B2343" s="126" t="n"/>
      <c r="C2343" s="126" t="n"/>
      <c r="D2343" s="126" t="n"/>
      <c r="E2343" s="126" t="n"/>
      <c r="F2343" s="127" t="n"/>
      <c r="G2343" s="127" t="inlineStr"/>
      <c r="H2343" s="127" t="inlineStr"/>
      <c r="I2343" s="127" t="n"/>
      <c r="J2343" s="127" t="n"/>
      <c r="K2343" s="127" t="inlineStr"/>
      <c r="L2343" s="127" t="n"/>
      <c r="M2343" s="127" t="n"/>
      <c r="N2343" s="127" t="n"/>
      <c r="O2343" s="127" t="n"/>
      <c r="P2343" s="127" t="n"/>
      <c r="Q2343" s="127" t="n"/>
      <c r="R2343" s="127" t="n"/>
      <c r="S2343" s="127" t="n"/>
      <c r="T2343" s="127" t="n"/>
      <c r="U2343" s="127" t="n"/>
      <c r="V2343" s="127" t="n"/>
      <c r="W2343" s="127" t="n"/>
      <c r="X2343" s="127" t="n"/>
      <c r="Y2343" s="127" t="n"/>
      <c r="Z2343" s="127" t="n"/>
    </row>
    <row r="2344">
      <c r="A2344" s="217" t="n"/>
      <c r="B2344" s="126" t="n"/>
      <c r="C2344" s="126" t="n"/>
      <c r="D2344" s="126" t="n"/>
      <c r="E2344" s="126" t="n"/>
      <c r="F2344" s="127" t="n"/>
      <c r="G2344" s="127" t="inlineStr"/>
      <c r="H2344" s="127" t="inlineStr"/>
      <c r="I2344" s="127" t="n"/>
      <c r="J2344" s="127" t="n"/>
      <c r="K2344" s="127" t="inlineStr"/>
      <c r="L2344" s="127" t="n"/>
      <c r="M2344" s="127" t="n"/>
      <c r="N2344" s="127" t="n"/>
      <c r="O2344" s="127" t="n"/>
      <c r="P2344" s="127" t="n"/>
      <c r="Q2344" s="127" t="n"/>
      <c r="R2344" s="127" t="n"/>
      <c r="S2344" s="127" t="n"/>
      <c r="T2344" s="127" t="n"/>
      <c r="U2344" s="127" t="n"/>
      <c r="V2344" s="127" t="n"/>
      <c r="W2344" s="127" t="n"/>
      <c r="X2344" s="127" t="n"/>
      <c r="Y2344" s="127" t="n"/>
      <c r="Z2344" s="127" t="n"/>
    </row>
    <row r="2345">
      <c r="A2345" s="217" t="n"/>
      <c r="B2345" s="126" t="n"/>
      <c r="C2345" s="126" t="n"/>
      <c r="D2345" s="126" t="n"/>
      <c r="E2345" s="126" t="n"/>
      <c r="F2345" s="127" t="n"/>
      <c r="G2345" s="127" t="inlineStr"/>
      <c r="H2345" s="127" t="inlineStr"/>
      <c r="I2345" s="127" t="n"/>
      <c r="J2345" s="127" t="n"/>
      <c r="K2345" s="127" t="inlineStr"/>
      <c r="L2345" s="127" t="n"/>
      <c r="M2345" s="127" t="n"/>
      <c r="N2345" s="127" t="n"/>
      <c r="O2345" s="127" t="n"/>
      <c r="P2345" s="127" t="n"/>
      <c r="Q2345" s="127" t="n"/>
      <c r="R2345" s="127" t="n"/>
      <c r="S2345" s="127" t="n"/>
      <c r="T2345" s="127" t="n"/>
      <c r="U2345" s="127" t="n"/>
      <c r="V2345" s="127" t="n"/>
      <c r="W2345" s="127" t="n"/>
      <c r="X2345" s="127" t="n"/>
      <c r="Y2345" s="127" t="n"/>
      <c r="Z2345" s="127" t="n"/>
    </row>
    <row r="2346">
      <c r="A2346" s="217" t="n"/>
      <c r="B2346" s="126" t="n"/>
      <c r="C2346" s="126" t="n"/>
      <c r="D2346" s="126" t="n"/>
      <c r="E2346" s="126" t="n"/>
      <c r="F2346" s="127" t="n"/>
      <c r="G2346" s="127" t="inlineStr"/>
      <c r="H2346" s="127" t="inlineStr"/>
      <c r="I2346" s="127" t="n"/>
      <c r="J2346" s="127" t="n"/>
      <c r="K2346" s="127" t="inlineStr"/>
      <c r="L2346" s="127" t="n"/>
      <c r="M2346" s="127" t="n"/>
      <c r="N2346" s="127" t="n"/>
      <c r="O2346" s="127" t="n"/>
      <c r="P2346" s="127" t="n"/>
      <c r="Q2346" s="127" t="n"/>
      <c r="R2346" s="127" t="n"/>
      <c r="S2346" s="127" t="n"/>
      <c r="T2346" s="127" t="n"/>
      <c r="U2346" s="127" t="n"/>
      <c r="V2346" s="127" t="n"/>
      <c r="W2346" s="127" t="n"/>
      <c r="X2346" s="127" t="n"/>
      <c r="Y2346" s="127" t="n"/>
      <c r="Z2346" s="127" t="n"/>
    </row>
    <row r="2347">
      <c r="A2347" s="217" t="n"/>
      <c r="B2347" s="126" t="n"/>
      <c r="C2347" s="126" t="n"/>
      <c r="D2347" s="126" t="n"/>
      <c r="E2347" s="126" t="n"/>
      <c r="F2347" s="127" t="n"/>
      <c r="G2347" s="127" t="inlineStr"/>
      <c r="H2347" s="127" t="inlineStr"/>
      <c r="I2347" s="127" t="n"/>
      <c r="J2347" s="127" t="n"/>
      <c r="K2347" s="127" t="inlineStr"/>
      <c r="L2347" s="127" t="n"/>
      <c r="M2347" s="127" t="n"/>
      <c r="N2347" s="127" t="n"/>
      <c r="O2347" s="127" t="n"/>
      <c r="P2347" s="127" t="n"/>
      <c r="Q2347" s="127" t="n"/>
      <c r="R2347" s="127" t="n"/>
      <c r="S2347" s="127" t="n"/>
      <c r="T2347" s="127" t="n"/>
      <c r="U2347" s="127" t="n"/>
      <c r="V2347" s="127" t="n"/>
      <c r="W2347" s="127" t="n"/>
      <c r="X2347" s="127" t="n"/>
      <c r="Y2347" s="127" t="n"/>
      <c r="Z2347" s="127" t="n"/>
    </row>
    <row r="2348">
      <c r="A2348" s="217" t="n"/>
      <c r="B2348" s="126" t="n"/>
      <c r="C2348" s="126" t="n"/>
      <c r="D2348" s="126" t="n"/>
      <c r="E2348" s="126" t="n"/>
      <c r="F2348" s="127" t="n"/>
      <c r="G2348" s="127" t="inlineStr"/>
      <c r="H2348" s="127" t="inlineStr"/>
      <c r="I2348" s="127" t="n"/>
      <c r="J2348" s="127" t="n"/>
      <c r="K2348" s="127" t="inlineStr"/>
      <c r="L2348" s="127" t="n"/>
      <c r="M2348" s="127" t="n"/>
      <c r="N2348" s="127" t="n"/>
      <c r="O2348" s="127" t="n"/>
      <c r="P2348" s="127" t="n"/>
      <c r="Q2348" s="127" t="n"/>
      <c r="R2348" s="127" t="n"/>
      <c r="S2348" s="127" t="n"/>
      <c r="T2348" s="127" t="n"/>
      <c r="U2348" s="127" t="n"/>
      <c r="V2348" s="127" t="n"/>
      <c r="W2348" s="127" t="n"/>
      <c r="X2348" s="127" t="n"/>
      <c r="Y2348" s="127" t="n"/>
      <c r="Z2348" s="127" t="n"/>
    </row>
    <row r="2349">
      <c r="A2349" s="217" t="n"/>
      <c r="B2349" s="126" t="n"/>
      <c r="C2349" s="126" t="n"/>
      <c r="D2349" s="126" t="n"/>
      <c r="E2349" s="126" t="n"/>
      <c r="F2349" s="127" t="n"/>
      <c r="G2349" s="127" t="inlineStr"/>
      <c r="H2349" s="127" t="inlineStr"/>
      <c r="I2349" s="127" t="n"/>
      <c r="J2349" s="127" t="n"/>
      <c r="K2349" s="127" t="inlineStr"/>
      <c r="L2349" s="127" t="n"/>
      <c r="M2349" s="127" t="n"/>
      <c r="N2349" s="127" t="n"/>
      <c r="O2349" s="127" t="n"/>
      <c r="P2349" s="127" t="n"/>
      <c r="Q2349" s="127" t="n"/>
      <c r="R2349" s="127" t="n"/>
      <c r="S2349" s="127" t="n"/>
      <c r="T2349" s="127" t="n"/>
      <c r="U2349" s="127" t="n"/>
      <c r="V2349" s="127" t="n"/>
      <c r="W2349" s="127" t="n"/>
      <c r="X2349" s="127" t="n"/>
      <c r="Y2349" s="127" t="n"/>
      <c r="Z2349" s="127" t="n"/>
    </row>
    <row r="2350">
      <c r="A2350" s="217" t="n"/>
      <c r="B2350" s="126" t="n"/>
      <c r="C2350" s="126" t="n"/>
      <c r="D2350" s="126" t="n"/>
      <c r="E2350" s="126" t="n"/>
      <c r="F2350" s="127" t="n"/>
      <c r="G2350" s="127" t="inlineStr"/>
      <c r="H2350" s="127" t="inlineStr"/>
      <c r="I2350" s="127" t="n"/>
      <c r="J2350" s="127" t="n"/>
      <c r="K2350" s="127" t="inlineStr"/>
      <c r="L2350" s="127" t="n"/>
      <c r="M2350" s="127" t="n"/>
      <c r="N2350" s="127" t="n"/>
      <c r="O2350" s="127" t="n"/>
      <c r="P2350" s="127" t="n"/>
      <c r="Q2350" s="127" t="n"/>
      <c r="R2350" s="127" t="n"/>
      <c r="S2350" s="127" t="n"/>
      <c r="T2350" s="127" t="n"/>
      <c r="U2350" s="127" t="n"/>
      <c r="V2350" s="127" t="n"/>
      <c r="W2350" s="127" t="n"/>
      <c r="X2350" s="127" t="n"/>
      <c r="Y2350" s="127" t="n"/>
      <c r="Z2350" s="127" t="n"/>
    </row>
    <row r="2351">
      <c r="A2351" s="217" t="n"/>
      <c r="B2351" s="126" t="n"/>
      <c r="C2351" s="126" t="n"/>
      <c r="D2351" s="126" t="n"/>
      <c r="E2351" s="126" t="n"/>
      <c r="F2351" s="127" t="n"/>
      <c r="G2351" s="127" t="inlineStr"/>
      <c r="H2351" s="127" t="inlineStr"/>
      <c r="I2351" s="127" t="n"/>
      <c r="J2351" s="127" t="n"/>
      <c r="K2351" s="127" t="inlineStr"/>
      <c r="L2351" s="127" t="n"/>
      <c r="M2351" s="127" t="n"/>
      <c r="N2351" s="127" t="n"/>
      <c r="O2351" s="127" t="n"/>
      <c r="P2351" s="127" t="n"/>
      <c r="Q2351" s="127" t="n"/>
      <c r="R2351" s="127" t="n"/>
      <c r="S2351" s="127" t="n"/>
      <c r="T2351" s="127" t="n"/>
      <c r="U2351" s="127" t="n"/>
      <c r="V2351" s="127" t="n"/>
      <c r="W2351" s="127" t="n"/>
      <c r="X2351" s="127" t="n"/>
      <c r="Y2351" s="127" t="n"/>
      <c r="Z2351" s="127" t="n"/>
    </row>
    <row r="2352">
      <c r="A2352" s="217" t="n"/>
      <c r="B2352" s="126" t="n"/>
      <c r="C2352" s="126" t="n"/>
      <c r="D2352" s="126" t="n"/>
      <c r="E2352" s="126" t="n"/>
      <c r="F2352" s="127" t="n"/>
      <c r="G2352" s="127" t="inlineStr"/>
      <c r="H2352" s="127" t="inlineStr"/>
      <c r="I2352" s="127" t="n"/>
      <c r="J2352" s="127" t="n"/>
      <c r="K2352" s="127" t="inlineStr"/>
      <c r="L2352" s="127" t="n"/>
      <c r="M2352" s="127" t="n"/>
      <c r="N2352" s="127" t="n"/>
      <c r="O2352" s="127" t="n"/>
      <c r="P2352" s="127" t="n"/>
      <c r="Q2352" s="127" t="n"/>
      <c r="R2352" s="127" t="n"/>
      <c r="S2352" s="127" t="n"/>
      <c r="T2352" s="127" t="n"/>
      <c r="U2352" s="127" t="n"/>
      <c r="V2352" s="127" t="n"/>
      <c r="W2352" s="127" t="n"/>
      <c r="X2352" s="127" t="n"/>
      <c r="Y2352" s="127" t="n"/>
      <c r="Z2352" s="127" t="n"/>
    </row>
    <row r="2353">
      <c r="A2353" s="217" t="n"/>
      <c r="B2353" s="126" t="n"/>
      <c r="C2353" s="126" t="n"/>
      <c r="D2353" s="126" t="n"/>
      <c r="E2353" s="126" t="n"/>
      <c r="F2353" s="127" t="n"/>
      <c r="G2353" s="127" t="inlineStr"/>
      <c r="H2353" s="127" t="inlineStr"/>
      <c r="I2353" s="127" t="n"/>
      <c r="J2353" s="127" t="n"/>
      <c r="K2353" s="127" t="inlineStr"/>
      <c r="L2353" s="127" t="n"/>
      <c r="M2353" s="127" t="n"/>
      <c r="N2353" s="127" t="n"/>
      <c r="O2353" s="127" t="n"/>
      <c r="P2353" s="127" t="n"/>
      <c r="Q2353" s="127" t="n"/>
      <c r="R2353" s="127" t="n"/>
      <c r="S2353" s="127" t="n"/>
      <c r="T2353" s="127" t="n"/>
      <c r="U2353" s="127" t="n"/>
      <c r="V2353" s="127" t="n"/>
      <c r="W2353" s="127" t="n"/>
      <c r="X2353" s="127" t="n"/>
      <c r="Y2353" s="127" t="n"/>
      <c r="Z2353" s="127" t="n"/>
    </row>
    <row r="2354">
      <c r="A2354" s="217" t="n"/>
      <c r="B2354" s="126" t="n"/>
      <c r="C2354" s="126" t="n"/>
      <c r="D2354" s="126" t="n"/>
      <c r="E2354" s="126" t="n"/>
      <c r="F2354" s="127" t="n"/>
      <c r="G2354" s="127" t="inlineStr"/>
      <c r="H2354" s="127" t="inlineStr"/>
      <c r="I2354" s="127" t="n"/>
      <c r="J2354" s="127" t="n"/>
      <c r="K2354" s="127" t="inlineStr"/>
      <c r="L2354" s="127" t="n"/>
      <c r="M2354" s="127" t="n"/>
      <c r="N2354" s="127" t="n"/>
      <c r="O2354" s="127" t="n"/>
      <c r="P2354" s="127" t="n"/>
      <c r="Q2354" s="127" t="n"/>
      <c r="R2354" s="127" t="n"/>
      <c r="S2354" s="127" t="n"/>
      <c r="T2354" s="127" t="n"/>
      <c r="U2354" s="127" t="n"/>
      <c r="V2354" s="127" t="n"/>
      <c r="W2354" s="127" t="n"/>
      <c r="X2354" s="127" t="n"/>
      <c r="Y2354" s="127" t="n"/>
      <c r="Z2354" s="127" t="n"/>
    </row>
    <row r="2355">
      <c r="A2355" s="217" t="n"/>
      <c r="B2355" s="126" t="n"/>
      <c r="C2355" s="126" t="n"/>
      <c r="D2355" s="126" t="n"/>
      <c r="E2355" s="126" t="n"/>
      <c r="F2355" s="127" t="n"/>
      <c r="G2355" s="127" t="inlineStr"/>
      <c r="H2355" s="127" t="inlineStr"/>
      <c r="I2355" s="127" t="n"/>
      <c r="J2355" s="127" t="n"/>
      <c r="K2355" s="127" t="inlineStr"/>
      <c r="L2355" s="127" t="n"/>
      <c r="M2355" s="127" t="n"/>
      <c r="N2355" s="127" t="n"/>
      <c r="O2355" s="127" t="n"/>
      <c r="P2355" s="127" t="n"/>
      <c r="Q2355" s="127" t="n"/>
      <c r="R2355" s="127" t="n"/>
      <c r="S2355" s="127" t="n"/>
      <c r="T2355" s="127" t="n"/>
      <c r="U2355" s="127" t="n"/>
      <c r="V2355" s="127" t="n"/>
      <c r="W2355" s="127" t="n"/>
      <c r="X2355" s="127" t="n"/>
      <c r="Y2355" s="127" t="n"/>
      <c r="Z2355" s="127" t="n"/>
    </row>
    <row r="2356">
      <c r="A2356" s="217" t="n"/>
      <c r="B2356" s="126" t="n"/>
      <c r="C2356" s="126" t="n"/>
      <c r="D2356" s="126" t="n"/>
      <c r="E2356" s="126" t="n"/>
      <c r="F2356" s="127" t="n"/>
      <c r="G2356" s="127" t="inlineStr"/>
      <c r="H2356" s="127" t="inlineStr"/>
      <c r="I2356" s="127" t="n"/>
      <c r="J2356" s="127" t="n"/>
      <c r="K2356" s="127" t="inlineStr"/>
      <c r="L2356" s="127" t="n"/>
      <c r="M2356" s="127" t="n"/>
      <c r="N2356" s="127" t="n"/>
      <c r="O2356" s="127" t="n"/>
      <c r="P2356" s="127" t="n"/>
      <c r="Q2356" s="127" t="n"/>
      <c r="R2356" s="127" t="n"/>
      <c r="S2356" s="127" t="n"/>
      <c r="T2356" s="127" t="n"/>
      <c r="U2356" s="127" t="n"/>
      <c r="V2356" s="127" t="n"/>
      <c r="W2356" s="127" t="n"/>
      <c r="X2356" s="127" t="n"/>
      <c r="Y2356" s="127" t="n"/>
      <c r="Z2356" s="127" t="n"/>
    </row>
    <row r="2357">
      <c r="A2357" s="217" t="n"/>
      <c r="B2357" s="126" t="n"/>
      <c r="C2357" s="126" t="n"/>
      <c r="D2357" s="126" t="n"/>
      <c r="E2357" s="126" t="n"/>
      <c r="F2357" s="127" t="n"/>
      <c r="G2357" s="127" t="inlineStr"/>
      <c r="H2357" s="127" t="inlineStr"/>
      <c r="I2357" s="127" t="n"/>
      <c r="J2357" s="127" t="n"/>
      <c r="K2357" s="127" t="inlineStr"/>
      <c r="L2357" s="127" t="n"/>
      <c r="M2357" s="127" t="n"/>
      <c r="N2357" s="127" t="n"/>
      <c r="O2357" s="127" t="n"/>
      <c r="P2357" s="127" t="n"/>
      <c r="Q2357" s="127" t="n"/>
      <c r="R2357" s="127" t="n"/>
      <c r="S2357" s="127" t="n"/>
      <c r="T2357" s="127" t="n"/>
      <c r="U2357" s="127" t="n"/>
      <c r="V2357" s="127" t="n"/>
      <c r="W2357" s="127" t="n"/>
      <c r="X2357" s="127" t="n"/>
      <c r="Y2357" s="127" t="n"/>
      <c r="Z2357" s="127" t="n"/>
    </row>
    <row r="2358">
      <c r="A2358" s="217" t="n"/>
      <c r="B2358" s="126" t="n"/>
      <c r="C2358" s="126" t="n"/>
      <c r="D2358" s="126" t="n"/>
      <c r="E2358" s="126" t="n"/>
      <c r="F2358" s="127" t="n"/>
      <c r="G2358" s="127" t="inlineStr"/>
      <c r="H2358" s="127" t="inlineStr"/>
      <c r="I2358" s="127" t="n"/>
      <c r="J2358" s="127" t="n"/>
      <c r="K2358" s="127" t="inlineStr"/>
      <c r="L2358" s="127" t="n"/>
      <c r="M2358" s="127" t="n"/>
      <c r="N2358" s="127" t="n"/>
      <c r="O2358" s="127" t="n"/>
      <c r="P2358" s="127" t="n"/>
      <c r="Q2358" s="127" t="n"/>
      <c r="R2358" s="127" t="n"/>
      <c r="S2358" s="127" t="n"/>
      <c r="T2358" s="127" t="n"/>
      <c r="U2358" s="127" t="n"/>
      <c r="V2358" s="127" t="n"/>
      <c r="W2358" s="127" t="n"/>
      <c r="X2358" s="127" t="n"/>
      <c r="Y2358" s="127" t="n"/>
      <c r="Z2358" s="127" t="n"/>
    </row>
    <row r="2359">
      <c r="A2359" s="217" t="n"/>
      <c r="B2359" s="126" t="n"/>
      <c r="C2359" s="126" t="n"/>
      <c r="D2359" s="126" t="n"/>
      <c r="E2359" s="126" t="n"/>
      <c r="F2359" s="127" t="n"/>
      <c r="G2359" s="127" t="inlineStr"/>
      <c r="H2359" s="127" t="inlineStr"/>
      <c r="I2359" s="127" t="n"/>
      <c r="J2359" s="127" t="n"/>
      <c r="K2359" s="127" t="inlineStr"/>
      <c r="L2359" s="127" t="n"/>
      <c r="M2359" s="127" t="n"/>
      <c r="N2359" s="127" t="n"/>
      <c r="O2359" s="127" t="n"/>
      <c r="P2359" s="127" t="n"/>
      <c r="Q2359" s="127" t="n"/>
      <c r="R2359" s="127" t="n"/>
      <c r="S2359" s="127" t="n"/>
      <c r="T2359" s="127" t="n"/>
      <c r="U2359" s="127" t="n"/>
      <c r="V2359" s="127" t="n"/>
      <c r="W2359" s="127" t="n"/>
      <c r="X2359" s="127" t="n"/>
      <c r="Y2359" s="127" t="n"/>
      <c r="Z2359" s="127" t="n"/>
    </row>
    <row r="2360">
      <c r="A2360" s="217" t="n"/>
      <c r="B2360" s="126" t="n"/>
      <c r="C2360" s="126" t="n"/>
      <c r="D2360" s="126" t="n"/>
      <c r="E2360" s="126" t="n"/>
      <c r="F2360" s="127" t="n"/>
      <c r="G2360" s="127" t="inlineStr"/>
      <c r="H2360" s="127" t="inlineStr"/>
      <c r="I2360" s="127" t="n"/>
      <c r="J2360" s="127" t="n"/>
      <c r="K2360" s="127" t="inlineStr"/>
      <c r="L2360" s="127" t="n"/>
      <c r="M2360" s="127" t="n"/>
      <c r="N2360" s="127" t="n"/>
      <c r="O2360" s="127" t="n"/>
      <c r="P2360" s="127" t="n"/>
      <c r="Q2360" s="127" t="n"/>
      <c r="R2360" s="127" t="n"/>
      <c r="S2360" s="127" t="n"/>
      <c r="T2360" s="127" t="n"/>
      <c r="U2360" s="127" t="n"/>
      <c r="V2360" s="127" t="n"/>
      <c r="W2360" s="127" t="n"/>
      <c r="X2360" s="127" t="n"/>
      <c r="Y2360" s="127" t="n"/>
      <c r="Z2360" s="127" t="n"/>
    </row>
    <row r="2361">
      <c r="A2361" s="217" t="n"/>
      <c r="B2361" s="126" t="n"/>
      <c r="C2361" s="126" t="n"/>
      <c r="D2361" s="126" t="n"/>
      <c r="E2361" s="126" t="n"/>
      <c r="F2361" s="127" t="n"/>
      <c r="G2361" s="127" t="inlineStr"/>
      <c r="H2361" s="127" t="inlineStr"/>
      <c r="I2361" s="127" t="n"/>
      <c r="J2361" s="127" t="n"/>
      <c r="K2361" s="127" t="inlineStr"/>
      <c r="L2361" s="127" t="n"/>
      <c r="M2361" s="127" t="n"/>
      <c r="N2361" s="127" t="n"/>
      <c r="O2361" s="127" t="n"/>
      <c r="P2361" s="127" t="n"/>
      <c r="Q2361" s="127" t="n"/>
      <c r="R2361" s="127" t="n"/>
      <c r="S2361" s="127" t="n"/>
      <c r="T2361" s="127" t="n"/>
      <c r="U2361" s="127" t="n"/>
      <c r="V2361" s="127" t="n"/>
      <c r="W2361" s="127" t="n"/>
      <c r="X2361" s="127" t="n"/>
      <c r="Y2361" s="127" t="n"/>
      <c r="Z2361" s="127" t="n"/>
    </row>
    <row r="2362">
      <c r="A2362" s="217" t="n"/>
      <c r="B2362" s="126" t="n"/>
      <c r="C2362" s="126" t="n"/>
      <c r="D2362" s="126" t="n"/>
      <c r="E2362" s="126" t="n"/>
      <c r="F2362" s="127" t="n"/>
      <c r="G2362" s="127" t="inlineStr"/>
      <c r="H2362" s="127" t="inlineStr"/>
      <c r="I2362" s="127" t="n"/>
      <c r="J2362" s="127" t="n"/>
      <c r="K2362" s="127" t="inlineStr"/>
      <c r="L2362" s="127" t="n"/>
      <c r="M2362" s="127" t="n"/>
      <c r="N2362" s="127" t="n"/>
      <c r="O2362" s="127" t="n"/>
      <c r="P2362" s="127" t="n"/>
      <c r="Q2362" s="127" t="n"/>
      <c r="R2362" s="127" t="n"/>
      <c r="S2362" s="127" t="n"/>
      <c r="T2362" s="127" t="n"/>
      <c r="U2362" s="127" t="n"/>
      <c r="V2362" s="127" t="n"/>
      <c r="W2362" s="127" t="n"/>
      <c r="X2362" s="127" t="n"/>
      <c r="Y2362" s="127" t="n"/>
      <c r="Z2362" s="127" t="n"/>
    </row>
    <row r="2363">
      <c r="A2363" s="217" t="n"/>
      <c r="B2363" s="126" t="n"/>
      <c r="C2363" s="126" t="n"/>
      <c r="D2363" s="126" t="n"/>
      <c r="E2363" s="126" t="n"/>
      <c r="F2363" s="127" t="n"/>
      <c r="G2363" s="127" t="inlineStr"/>
      <c r="H2363" s="127" t="inlineStr"/>
      <c r="I2363" s="127" t="n"/>
      <c r="J2363" s="127" t="n"/>
      <c r="K2363" s="127" t="inlineStr"/>
      <c r="L2363" s="127" t="n"/>
      <c r="M2363" s="127" t="n"/>
      <c r="N2363" s="127" t="n"/>
      <c r="O2363" s="127" t="n"/>
      <c r="P2363" s="127" t="n"/>
      <c r="Q2363" s="127" t="n"/>
      <c r="R2363" s="127" t="n"/>
      <c r="S2363" s="127" t="n"/>
      <c r="T2363" s="127" t="n"/>
      <c r="U2363" s="127" t="n"/>
      <c r="V2363" s="127" t="n"/>
      <c r="W2363" s="127" t="n"/>
      <c r="X2363" s="127" t="n"/>
      <c r="Y2363" s="127" t="n"/>
      <c r="Z2363" s="127" t="n"/>
    </row>
    <row r="2364">
      <c r="A2364" s="217" t="n"/>
      <c r="B2364" s="126" t="n"/>
      <c r="C2364" s="126" t="n"/>
      <c r="D2364" s="126" t="n"/>
      <c r="E2364" s="126" t="n"/>
      <c r="F2364" s="127" t="n"/>
      <c r="G2364" s="127" t="inlineStr"/>
      <c r="H2364" s="127" t="inlineStr"/>
      <c r="I2364" s="127" t="n"/>
      <c r="J2364" s="127" t="n"/>
      <c r="K2364" s="127" t="inlineStr"/>
      <c r="L2364" s="127" t="n"/>
      <c r="M2364" s="127" t="n"/>
      <c r="N2364" s="127" t="n"/>
      <c r="O2364" s="127" t="n"/>
      <c r="P2364" s="127" t="n"/>
      <c r="Q2364" s="127" t="n"/>
      <c r="R2364" s="127" t="n"/>
      <c r="S2364" s="127" t="n"/>
      <c r="T2364" s="127" t="n"/>
      <c r="U2364" s="127" t="n"/>
      <c r="V2364" s="127" t="n"/>
      <c r="W2364" s="127" t="n"/>
      <c r="X2364" s="127" t="n"/>
      <c r="Y2364" s="127" t="n"/>
      <c r="Z2364" s="127" t="n"/>
    </row>
    <row r="2365">
      <c r="A2365" s="217" t="n"/>
      <c r="B2365" s="126" t="n"/>
      <c r="C2365" s="126" t="n"/>
      <c r="D2365" s="126" t="n"/>
      <c r="E2365" s="126" t="n"/>
      <c r="F2365" s="127" t="n"/>
      <c r="G2365" s="127" t="inlineStr"/>
      <c r="H2365" s="127" t="inlineStr"/>
      <c r="I2365" s="127" t="n"/>
      <c r="J2365" s="127" t="n"/>
      <c r="K2365" s="127" t="inlineStr"/>
      <c r="L2365" s="127" t="n"/>
      <c r="M2365" s="127" t="n"/>
      <c r="N2365" s="127" t="n"/>
      <c r="O2365" s="127" t="n"/>
      <c r="P2365" s="127" t="n"/>
      <c r="Q2365" s="127" t="n"/>
      <c r="R2365" s="127" t="n"/>
      <c r="S2365" s="127" t="n"/>
      <c r="T2365" s="127" t="n"/>
      <c r="U2365" s="127" t="n"/>
      <c r="V2365" s="127" t="n"/>
      <c r="W2365" s="127" t="n"/>
      <c r="X2365" s="127" t="n"/>
      <c r="Y2365" s="127" t="n"/>
      <c r="Z2365" s="127" t="n"/>
    </row>
    <row r="2366">
      <c r="A2366" s="217" t="n"/>
      <c r="B2366" s="126" t="n"/>
      <c r="C2366" s="126" t="n"/>
      <c r="D2366" s="126" t="n"/>
      <c r="E2366" s="126" t="n"/>
      <c r="F2366" s="127" t="n"/>
      <c r="G2366" s="127" t="inlineStr"/>
      <c r="H2366" s="127" t="inlineStr"/>
      <c r="I2366" s="127" t="n"/>
      <c r="J2366" s="127" t="n"/>
      <c r="K2366" s="127" t="inlineStr"/>
      <c r="L2366" s="127" t="n"/>
      <c r="M2366" s="127" t="n"/>
      <c r="N2366" s="127" t="n"/>
      <c r="O2366" s="127" t="n"/>
      <c r="P2366" s="127" t="n"/>
      <c r="Q2366" s="127" t="n"/>
      <c r="R2366" s="127" t="n"/>
      <c r="S2366" s="127" t="n"/>
      <c r="T2366" s="127" t="n"/>
      <c r="U2366" s="127" t="n"/>
      <c r="V2366" s="127" t="n"/>
      <c r="W2366" s="127" t="n"/>
      <c r="X2366" s="127" t="n"/>
      <c r="Y2366" s="127" t="n"/>
      <c r="Z2366" s="127" t="n"/>
    </row>
    <row r="2367">
      <c r="A2367" s="217" t="n"/>
      <c r="B2367" s="126" t="n"/>
      <c r="C2367" s="126" t="n"/>
      <c r="D2367" s="126" t="n"/>
      <c r="E2367" s="126" t="n"/>
      <c r="F2367" s="127" t="n"/>
      <c r="G2367" s="127" t="inlineStr"/>
      <c r="H2367" s="127" t="inlineStr"/>
      <c r="I2367" s="127" t="n"/>
      <c r="J2367" s="127" t="n"/>
      <c r="K2367" s="127" t="inlineStr"/>
      <c r="L2367" s="127" t="n"/>
      <c r="M2367" s="127" t="n"/>
      <c r="N2367" s="127" t="n"/>
      <c r="O2367" s="127" t="n"/>
      <c r="P2367" s="127" t="n"/>
      <c r="Q2367" s="127" t="n"/>
      <c r="R2367" s="127" t="n"/>
      <c r="S2367" s="127" t="n"/>
      <c r="T2367" s="127" t="n"/>
      <c r="U2367" s="127" t="n"/>
      <c r="V2367" s="127" t="n"/>
      <c r="W2367" s="127" t="n"/>
      <c r="X2367" s="127" t="n"/>
      <c r="Y2367" s="127" t="n"/>
      <c r="Z2367" s="127" t="n"/>
    </row>
    <row r="2368">
      <c r="A2368" s="217" t="n"/>
      <c r="B2368" s="126" t="n"/>
      <c r="C2368" s="126" t="n"/>
      <c r="D2368" s="126" t="n"/>
      <c r="E2368" s="126" t="n"/>
      <c r="F2368" s="127" t="n"/>
      <c r="G2368" s="127" t="inlineStr"/>
      <c r="H2368" s="127" t="inlineStr"/>
      <c r="I2368" s="127" t="n"/>
      <c r="J2368" s="127" t="n"/>
      <c r="K2368" s="127" t="inlineStr"/>
      <c r="L2368" s="127" t="n"/>
      <c r="M2368" s="127" t="n"/>
      <c r="N2368" s="127" t="n"/>
      <c r="O2368" s="127" t="n"/>
      <c r="P2368" s="127" t="n"/>
      <c r="Q2368" s="127" t="n"/>
      <c r="R2368" s="127" t="n"/>
      <c r="S2368" s="127" t="n"/>
      <c r="T2368" s="127" t="n"/>
      <c r="U2368" s="127" t="n"/>
      <c r="V2368" s="127" t="n"/>
      <c r="W2368" s="127" t="n"/>
      <c r="X2368" s="127" t="n"/>
      <c r="Y2368" s="127" t="n"/>
      <c r="Z2368" s="127" t="n"/>
    </row>
    <row r="2369">
      <c r="A2369" s="217" t="n"/>
      <c r="B2369" s="126" t="n"/>
      <c r="C2369" s="126" t="n"/>
      <c r="D2369" s="126" t="n"/>
      <c r="E2369" s="126" t="n"/>
      <c r="F2369" s="127" t="n"/>
      <c r="G2369" s="127" t="inlineStr"/>
      <c r="H2369" s="127" t="inlineStr"/>
      <c r="I2369" s="127" t="n"/>
      <c r="J2369" s="127" t="n"/>
      <c r="K2369" s="127" t="inlineStr"/>
      <c r="L2369" s="127" t="n"/>
      <c r="M2369" s="127" t="n"/>
      <c r="N2369" s="127" t="n"/>
      <c r="O2369" s="127" t="n"/>
      <c r="P2369" s="127" t="n"/>
      <c r="Q2369" s="127" t="n"/>
      <c r="R2369" s="127" t="n"/>
      <c r="S2369" s="127" t="n"/>
      <c r="T2369" s="127" t="n"/>
      <c r="U2369" s="127" t="n"/>
      <c r="V2369" s="127" t="n"/>
      <c r="W2369" s="127" t="n"/>
      <c r="X2369" s="127" t="n"/>
      <c r="Y2369" s="127" t="n"/>
      <c r="Z2369" s="127" t="n"/>
    </row>
    <row r="2370">
      <c r="A2370" s="217" t="n"/>
      <c r="B2370" s="126" t="n"/>
      <c r="C2370" s="126" t="n"/>
      <c r="D2370" s="126" t="n"/>
      <c r="E2370" s="126" t="n"/>
      <c r="F2370" s="127" t="n"/>
      <c r="G2370" s="127" t="inlineStr"/>
      <c r="H2370" s="127" t="inlineStr"/>
      <c r="I2370" s="127" t="n"/>
      <c r="J2370" s="127" t="n"/>
      <c r="K2370" s="127" t="inlineStr"/>
      <c r="L2370" s="127" t="n"/>
      <c r="M2370" s="127" t="n"/>
      <c r="N2370" s="127" t="n"/>
      <c r="O2370" s="127" t="n"/>
      <c r="P2370" s="127" t="n"/>
      <c r="Q2370" s="127" t="n"/>
      <c r="R2370" s="127" t="n"/>
      <c r="S2370" s="127" t="n"/>
      <c r="T2370" s="127" t="n"/>
      <c r="U2370" s="127" t="n"/>
      <c r="V2370" s="127" t="n"/>
      <c r="W2370" s="127" t="n"/>
      <c r="X2370" s="127" t="n"/>
      <c r="Y2370" s="127" t="n"/>
      <c r="Z2370" s="127" t="n"/>
    </row>
    <row r="2371">
      <c r="A2371" s="217" t="n"/>
      <c r="B2371" s="126" t="n"/>
      <c r="C2371" s="126" t="n"/>
      <c r="D2371" s="126" t="n"/>
      <c r="E2371" s="126" t="n"/>
      <c r="F2371" s="127" t="n"/>
      <c r="G2371" s="127" t="inlineStr"/>
      <c r="H2371" s="127" t="inlineStr"/>
      <c r="I2371" s="127" t="n"/>
      <c r="J2371" s="127" t="n"/>
      <c r="K2371" s="127" t="inlineStr"/>
      <c r="L2371" s="127" t="n"/>
      <c r="M2371" s="127" t="n"/>
      <c r="N2371" s="127" t="n"/>
      <c r="O2371" s="127" t="n"/>
      <c r="P2371" s="127" t="n"/>
      <c r="Q2371" s="127" t="n"/>
      <c r="R2371" s="127" t="n"/>
      <c r="S2371" s="127" t="n"/>
      <c r="T2371" s="127" t="n"/>
      <c r="U2371" s="127" t="n"/>
      <c r="V2371" s="127" t="n"/>
      <c r="W2371" s="127" t="n"/>
      <c r="X2371" s="127" t="n"/>
      <c r="Y2371" s="127" t="n"/>
      <c r="Z2371" s="127" t="n"/>
    </row>
    <row r="2372">
      <c r="A2372" s="217" t="n"/>
      <c r="B2372" s="126" t="n"/>
      <c r="C2372" s="126" t="n"/>
      <c r="D2372" s="126" t="n"/>
      <c r="E2372" s="126" t="n"/>
      <c r="F2372" s="127" t="n"/>
      <c r="G2372" s="127" t="inlineStr"/>
      <c r="H2372" s="127" t="inlineStr"/>
      <c r="I2372" s="127" t="n"/>
      <c r="J2372" s="127" t="n"/>
      <c r="K2372" s="127" t="inlineStr"/>
      <c r="L2372" s="127" t="n"/>
      <c r="M2372" s="127" t="n"/>
      <c r="N2372" s="127" t="n"/>
      <c r="O2372" s="127" t="n"/>
      <c r="P2372" s="127" t="n"/>
      <c r="Q2372" s="127" t="n"/>
      <c r="R2372" s="127" t="n"/>
      <c r="S2372" s="127" t="n"/>
      <c r="T2372" s="127" t="n"/>
      <c r="U2372" s="127" t="n"/>
      <c r="V2372" s="127" t="n"/>
      <c r="W2372" s="127" t="n"/>
      <c r="X2372" s="127" t="n"/>
      <c r="Y2372" s="127" t="n"/>
      <c r="Z2372" s="127" t="n"/>
    </row>
    <row r="2373">
      <c r="A2373" s="217" t="n"/>
      <c r="B2373" s="126" t="n"/>
      <c r="C2373" s="126" t="n"/>
      <c r="D2373" s="126" t="n"/>
      <c r="E2373" s="126" t="n"/>
      <c r="F2373" s="127" t="n"/>
      <c r="G2373" s="127" t="inlineStr"/>
      <c r="H2373" s="127" t="inlineStr"/>
      <c r="I2373" s="127" t="n"/>
      <c r="J2373" s="127" t="n"/>
      <c r="K2373" s="127" t="inlineStr"/>
      <c r="L2373" s="127" t="n"/>
      <c r="M2373" s="127" t="n"/>
      <c r="N2373" s="127" t="n"/>
      <c r="O2373" s="127" t="n"/>
      <c r="P2373" s="127" t="n"/>
      <c r="Q2373" s="127" t="n"/>
      <c r="R2373" s="127" t="n"/>
      <c r="S2373" s="127" t="n"/>
      <c r="T2373" s="127" t="n"/>
      <c r="U2373" s="127" t="n"/>
      <c r="V2373" s="127" t="n"/>
      <c r="W2373" s="127" t="n"/>
      <c r="X2373" s="127" t="n"/>
      <c r="Y2373" s="127" t="n"/>
      <c r="Z2373" s="127" t="n"/>
    </row>
    <row r="2374">
      <c r="A2374" s="217" t="n"/>
      <c r="B2374" s="126" t="n"/>
      <c r="C2374" s="126" t="n"/>
      <c r="D2374" s="126" t="n"/>
      <c r="E2374" s="126" t="n"/>
      <c r="F2374" s="127" t="n"/>
      <c r="G2374" s="127" t="inlineStr"/>
      <c r="H2374" s="127" t="inlineStr"/>
      <c r="I2374" s="127" t="n"/>
      <c r="J2374" s="127" t="n"/>
      <c r="K2374" s="127" t="inlineStr"/>
      <c r="L2374" s="127" t="n"/>
      <c r="M2374" s="127" t="n"/>
      <c r="N2374" s="127" t="n"/>
      <c r="O2374" s="127" t="n"/>
      <c r="P2374" s="127" t="n"/>
      <c r="Q2374" s="127" t="n"/>
      <c r="R2374" s="127" t="n"/>
      <c r="S2374" s="127" t="n"/>
      <c r="T2374" s="127" t="n"/>
      <c r="U2374" s="127" t="n"/>
      <c r="V2374" s="127" t="n"/>
      <c r="W2374" s="127" t="n"/>
      <c r="X2374" s="127" t="n"/>
      <c r="Y2374" s="127" t="n"/>
      <c r="Z2374" s="127" t="n"/>
    </row>
    <row r="2375">
      <c r="A2375" s="217" t="n"/>
      <c r="B2375" s="126" t="n"/>
      <c r="C2375" s="126" t="n"/>
      <c r="D2375" s="126" t="n"/>
      <c r="E2375" s="126" t="n"/>
      <c r="F2375" s="127" t="n"/>
      <c r="G2375" s="127" t="inlineStr"/>
      <c r="H2375" s="127" t="inlineStr"/>
      <c r="I2375" s="127" t="n"/>
      <c r="J2375" s="127" t="n"/>
      <c r="K2375" s="127" t="inlineStr"/>
      <c r="L2375" s="127" t="n"/>
      <c r="M2375" s="127" t="n"/>
      <c r="N2375" s="127" t="n"/>
      <c r="O2375" s="127" t="n"/>
      <c r="P2375" s="127" t="n"/>
      <c r="Q2375" s="127" t="n"/>
      <c r="R2375" s="127" t="n"/>
      <c r="S2375" s="127" t="n"/>
      <c r="T2375" s="127" t="n"/>
      <c r="U2375" s="127" t="n"/>
      <c r="V2375" s="127" t="n"/>
      <c r="W2375" s="127" t="n"/>
      <c r="X2375" s="127" t="n"/>
      <c r="Y2375" s="127" t="n"/>
      <c r="Z2375" s="127" t="n"/>
    </row>
    <row r="2376">
      <c r="A2376" s="217" t="n"/>
      <c r="B2376" s="126" t="n"/>
      <c r="C2376" s="126" t="n"/>
      <c r="D2376" s="126" t="n"/>
      <c r="E2376" s="126" t="n"/>
      <c r="F2376" s="127" t="n"/>
      <c r="G2376" s="127" t="inlineStr"/>
      <c r="H2376" s="127" t="inlineStr"/>
      <c r="I2376" s="127" t="n"/>
      <c r="J2376" s="127" t="n"/>
      <c r="K2376" s="127" t="inlineStr"/>
      <c r="L2376" s="127" t="n"/>
      <c r="M2376" s="127" t="n"/>
      <c r="N2376" s="127" t="n"/>
      <c r="O2376" s="127" t="n"/>
      <c r="P2376" s="127" t="n"/>
      <c r="Q2376" s="127" t="n"/>
      <c r="R2376" s="127" t="n"/>
      <c r="S2376" s="127" t="n"/>
      <c r="T2376" s="127" t="n"/>
      <c r="U2376" s="127" t="n"/>
      <c r="V2376" s="127" t="n"/>
      <c r="W2376" s="127" t="n"/>
      <c r="X2376" s="127" t="n"/>
      <c r="Y2376" s="127" t="n"/>
      <c r="Z2376" s="127" t="n"/>
    </row>
    <row r="2377">
      <c r="A2377" s="217" t="n"/>
      <c r="B2377" s="126" t="n"/>
      <c r="C2377" s="126" t="n"/>
      <c r="D2377" s="126" t="n"/>
      <c r="E2377" s="126" t="n"/>
      <c r="F2377" s="127" t="n"/>
      <c r="G2377" s="127" t="inlineStr"/>
      <c r="H2377" s="127" t="inlineStr"/>
      <c r="I2377" s="127" t="n"/>
      <c r="J2377" s="127" t="n"/>
      <c r="K2377" s="127" t="inlineStr"/>
      <c r="L2377" s="127" t="n"/>
      <c r="M2377" s="127" t="n"/>
      <c r="N2377" s="127" t="n"/>
      <c r="O2377" s="127" t="n"/>
      <c r="P2377" s="127" t="n"/>
      <c r="Q2377" s="127" t="n"/>
      <c r="R2377" s="127" t="n"/>
      <c r="S2377" s="127" t="n"/>
      <c r="T2377" s="127" t="n"/>
      <c r="U2377" s="127" t="n"/>
      <c r="V2377" s="127" t="n"/>
      <c r="W2377" s="127" t="n"/>
      <c r="X2377" s="127" t="n"/>
      <c r="Y2377" s="127" t="n"/>
      <c r="Z2377" s="127" t="n"/>
    </row>
    <row r="2378">
      <c r="A2378" s="217" t="n"/>
      <c r="B2378" s="126" t="n"/>
      <c r="C2378" s="126" t="n"/>
      <c r="D2378" s="126" t="n"/>
      <c r="E2378" s="126" t="n"/>
      <c r="F2378" s="127" t="n"/>
      <c r="G2378" s="127" t="inlineStr"/>
      <c r="H2378" s="127" t="inlineStr"/>
      <c r="I2378" s="127" t="n"/>
      <c r="J2378" s="127" t="n"/>
      <c r="K2378" s="127" t="inlineStr"/>
      <c r="L2378" s="127" t="n"/>
      <c r="M2378" s="127" t="n"/>
      <c r="N2378" s="127" t="n"/>
      <c r="O2378" s="127" t="n"/>
      <c r="P2378" s="127" t="n"/>
      <c r="Q2378" s="127" t="n"/>
      <c r="R2378" s="127" t="n"/>
      <c r="S2378" s="127" t="n"/>
      <c r="T2378" s="127" t="n"/>
      <c r="U2378" s="127" t="n"/>
      <c r="V2378" s="127" t="n"/>
      <c r="W2378" s="127" t="n"/>
      <c r="X2378" s="127" t="n"/>
      <c r="Y2378" s="127" t="n"/>
      <c r="Z2378" s="127" t="n"/>
    </row>
    <row r="2379">
      <c r="A2379" s="217" t="n"/>
      <c r="B2379" s="126" t="n"/>
      <c r="C2379" s="126" t="n"/>
      <c r="D2379" s="126" t="n"/>
      <c r="E2379" s="126" t="n"/>
      <c r="F2379" s="127" t="n"/>
      <c r="G2379" s="127" t="inlineStr"/>
      <c r="H2379" s="127" t="inlineStr"/>
      <c r="I2379" s="127" t="n"/>
      <c r="J2379" s="127" t="n"/>
      <c r="K2379" s="127" t="inlineStr"/>
      <c r="L2379" s="127" t="n"/>
      <c r="M2379" s="127" t="n"/>
      <c r="N2379" s="127" t="n"/>
      <c r="O2379" s="127" t="n"/>
      <c r="P2379" s="127" t="n"/>
      <c r="Q2379" s="127" t="n"/>
      <c r="R2379" s="127" t="n"/>
      <c r="S2379" s="127" t="n"/>
      <c r="T2379" s="127" t="n"/>
      <c r="U2379" s="127" t="n"/>
      <c r="V2379" s="127" t="n"/>
      <c r="W2379" s="127" t="n"/>
      <c r="X2379" s="127" t="n"/>
      <c r="Y2379" s="127" t="n"/>
      <c r="Z2379" s="127" t="n"/>
    </row>
    <row r="2380">
      <c r="A2380" s="217" t="n"/>
      <c r="B2380" s="126" t="n"/>
      <c r="C2380" s="126" t="n"/>
      <c r="D2380" s="126" t="n"/>
      <c r="E2380" s="126" t="n"/>
      <c r="F2380" s="127" t="n"/>
      <c r="G2380" s="127" t="inlineStr"/>
      <c r="H2380" s="127" t="inlineStr"/>
      <c r="I2380" s="127" t="n"/>
      <c r="J2380" s="127" t="n"/>
      <c r="K2380" s="127" t="inlineStr"/>
      <c r="L2380" s="127" t="n"/>
      <c r="M2380" s="127" t="n"/>
      <c r="N2380" s="127" t="n"/>
      <c r="O2380" s="127" t="n"/>
      <c r="P2380" s="127" t="n"/>
      <c r="Q2380" s="127" t="n"/>
      <c r="R2380" s="127" t="n"/>
      <c r="S2380" s="127" t="n"/>
      <c r="T2380" s="127" t="n"/>
      <c r="U2380" s="127" t="n"/>
      <c r="V2380" s="127" t="n"/>
      <c r="W2380" s="127" t="n"/>
      <c r="X2380" s="127" t="n"/>
      <c r="Y2380" s="127" t="n"/>
      <c r="Z2380" s="127" t="n"/>
    </row>
    <row r="2381">
      <c r="A2381" s="217" t="n"/>
      <c r="B2381" s="126" t="n"/>
      <c r="C2381" s="126" t="n"/>
      <c r="D2381" s="126" t="n"/>
      <c r="E2381" s="126" t="n"/>
      <c r="F2381" s="127" t="n"/>
      <c r="G2381" s="127" t="inlineStr"/>
      <c r="H2381" s="127" t="inlineStr"/>
      <c r="I2381" s="127" t="n"/>
      <c r="J2381" s="127" t="n"/>
      <c r="K2381" s="127" t="inlineStr"/>
      <c r="L2381" s="127" t="n"/>
      <c r="M2381" s="127" t="n"/>
      <c r="N2381" s="127" t="n"/>
      <c r="O2381" s="127" t="n"/>
      <c r="P2381" s="127" t="n"/>
      <c r="Q2381" s="127" t="n"/>
      <c r="R2381" s="127" t="n"/>
      <c r="S2381" s="127" t="n"/>
      <c r="T2381" s="127" t="n"/>
      <c r="U2381" s="127" t="n"/>
      <c r="V2381" s="127" t="n"/>
      <c r="W2381" s="127" t="n"/>
      <c r="X2381" s="127" t="n"/>
      <c r="Y2381" s="127" t="n"/>
      <c r="Z2381" s="127" t="n"/>
    </row>
    <row r="2382">
      <c r="A2382" s="217" t="n"/>
      <c r="B2382" s="126" t="n"/>
      <c r="C2382" s="126" t="n"/>
      <c r="D2382" s="126" t="n"/>
      <c r="E2382" s="126" t="n"/>
      <c r="F2382" s="127" t="n"/>
      <c r="G2382" s="127" t="inlineStr"/>
      <c r="H2382" s="127" t="inlineStr"/>
      <c r="I2382" s="127" t="n"/>
      <c r="J2382" s="127" t="n"/>
      <c r="K2382" s="127" t="inlineStr"/>
      <c r="L2382" s="127" t="n"/>
      <c r="M2382" s="127" t="n"/>
      <c r="N2382" s="127" t="n"/>
      <c r="O2382" s="127" t="n"/>
      <c r="P2382" s="127" t="n"/>
      <c r="Q2382" s="127" t="n"/>
      <c r="R2382" s="127" t="n"/>
      <c r="S2382" s="127" t="n"/>
      <c r="T2382" s="127" t="n"/>
      <c r="U2382" s="127" t="n"/>
      <c r="V2382" s="127" t="n"/>
      <c r="W2382" s="127" t="n"/>
      <c r="X2382" s="127" t="n"/>
      <c r="Y2382" s="127" t="n"/>
      <c r="Z2382" s="127" t="n"/>
    </row>
    <row r="2383">
      <c r="A2383" s="217" t="n"/>
      <c r="B2383" s="126" t="n"/>
      <c r="C2383" s="126" t="n"/>
      <c r="D2383" s="126" t="n"/>
      <c r="E2383" s="126" t="n"/>
      <c r="F2383" s="127" t="n"/>
      <c r="G2383" s="127" t="inlineStr"/>
      <c r="H2383" s="127" t="inlineStr"/>
      <c r="I2383" s="127" t="n"/>
      <c r="J2383" s="127" t="n"/>
      <c r="K2383" s="127" t="inlineStr"/>
      <c r="L2383" s="127" t="n"/>
      <c r="M2383" s="127" t="n"/>
      <c r="N2383" s="127" t="n"/>
      <c r="O2383" s="127" t="n"/>
      <c r="P2383" s="127" t="n"/>
      <c r="Q2383" s="127" t="n"/>
      <c r="R2383" s="127" t="n"/>
      <c r="S2383" s="127" t="n"/>
      <c r="T2383" s="127" t="n"/>
      <c r="U2383" s="127" t="n"/>
      <c r="V2383" s="127" t="n"/>
      <c r="W2383" s="127" t="n"/>
      <c r="X2383" s="127" t="n"/>
      <c r="Y2383" s="127" t="n"/>
      <c r="Z2383" s="127" t="n"/>
    </row>
    <row r="2384">
      <c r="A2384" s="217" t="n"/>
      <c r="B2384" s="126" t="n"/>
      <c r="C2384" s="126" t="n"/>
      <c r="D2384" s="126" t="n"/>
      <c r="E2384" s="126" t="n"/>
      <c r="F2384" s="127" t="n"/>
      <c r="G2384" s="127" t="inlineStr"/>
      <c r="H2384" s="127" t="inlineStr"/>
      <c r="I2384" s="127" t="n"/>
      <c r="J2384" s="127" t="n"/>
      <c r="K2384" s="127" t="inlineStr"/>
      <c r="L2384" s="127" t="n"/>
      <c r="M2384" s="127" t="n"/>
      <c r="N2384" s="127" t="n"/>
      <c r="O2384" s="127" t="n"/>
      <c r="P2384" s="127" t="n"/>
      <c r="Q2384" s="127" t="n"/>
      <c r="R2384" s="127" t="n"/>
      <c r="S2384" s="127" t="n"/>
      <c r="T2384" s="127" t="n"/>
      <c r="U2384" s="127" t="n"/>
      <c r="V2384" s="127" t="n"/>
      <c r="W2384" s="127" t="n"/>
      <c r="X2384" s="127" t="n"/>
      <c r="Y2384" s="127" t="n"/>
      <c r="Z2384" s="127" t="n"/>
    </row>
    <row r="2385">
      <c r="A2385" s="217" t="n"/>
      <c r="B2385" s="126" t="n"/>
      <c r="C2385" s="126" t="n"/>
      <c r="D2385" s="126" t="n"/>
      <c r="E2385" s="126" t="n"/>
      <c r="F2385" s="127" t="n"/>
      <c r="G2385" s="127" t="inlineStr"/>
      <c r="H2385" s="127" t="inlineStr"/>
      <c r="I2385" s="127" t="n"/>
      <c r="J2385" s="127" t="n"/>
      <c r="K2385" s="127" t="inlineStr"/>
      <c r="L2385" s="127" t="n"/>
      <c r="M2385" s="127" t="n"/>
      <c r="N2385" s="127" t="n"/>
      <c r="O2385" s="127" t="n"/>
      <c r="P2385" s="127" t="n"/>
      <c r="Q2385" s="127" t="n"/>
      <c r="R2385" s="127" t="n"/>
      <c r="S2385" s="127" t="n"/>
      <c r="T2385" s="127" t="n"/>
      <c r="U2385" s="127" t="n"/>
      <c r="V2385" s="127" t="n"/>
      <c r="W2385" s="127" t="n"/>
      <c r="X2385" s="127" t="n"/>
      <c r="Y2385" s="127" t="n"/>
      <c r="Z2385" s="127" t="n"/>
    </row>
    <row r="2386">
      <c r="A2386" s="217" t="n"/>
      <c r="B2386" s="126" t="n"/>
      <c r="C2386" s="126" t="n"/>
      <c r="D2386" s="126" t="n"/>
      <c r="E2386" s="126" t="n"/>
      <c r="F2386" s="127" t="n"/>
      <c r="G2386" s="127" t="inlineStr"/>
      <c r="H2386" s="127" t="inlineStr"/>
      <c r="I2386" s="127" t="n"/>
      <c r="J2386" s="127" t="n"/>
      <c r="K2386" s="127" t="inlineStr"/>
      <c r="L2386" s="127" t="n"/>
      <c r="M2386" s="127" t="n"/>
      <c r="N2386" s="127" t="n"/>
      <c r="O2386" s="127" t="n"/>
      <c r="P2386" s="127" t="n"/>
      <c r="Q2386" s="127" t="n"/>
      <c r="R2386" s="127" t="n"/>
      <c r="S2386" s="127" t="n"/>
      <c r="T2386" s="127" t="n"/>
      <c r="U2386" s="127" t="n"/>
      <c r="V2386" s="127" t="n"/>
      <c r="W2386" s="127" t="n"/>
      <c r="X2386" s="127" t="n"/>
      <c r="Y2386" s="127" t="n"/>
      <c r="Z2386" s="127" t="n"/>
    </row>
    <row r="2387">
      <c r="A2387" s="217" t="n"/>
      <c r="B2387" s="126" t="n"/>
      <c r="C2387" s="126" t="n"/>
      <c r="D2387" s="126" t="n"/>
      <c r="E2387" s="126" t="n"/>
      <c r="F2387" s="127" t="n"/>
      <c r="G2387" s="127" t="inlineStr"/>
      <c r="H2387" s="127" t="inlineStr"/>
      <c r="I2387" s="127" t="n"/>
      <c r="J2387" s="127" t="n"/>
      <c r="K2387" s="127" t="inlineStr"/>
      <c r="L2387" s="127" t="n"/>
      <c r="M2387" s="127" t="n"/>
      <c r="N2387" s="127" t="n"/>
      <c r="O2387" s="127" t="n"/>
      <c r="P2387" s="127" t="n"/>
      <c r="Q2387" s="127" t="n"/>
      <c r="R2387" s="127" t="n"/>
      <c r="S2387" s="127" t="n"/>
      <c r="T2387" s="127" t="n"/>
      <c r="U2387" s="127" t="n"/>
      <c r="V2387" s="127" t="n"/>
      <c r="W2387" s="127" t="n"/>
      <c r="X2387" s="127" t="n"/>
      <c r="Y2387" s="127" t="n"/>
      <c r="Z2387" s="127" t="n"/>
    </row>
    <row r="2388">
      <c r="A2388" s="217" t="n"/>
      <c r="B2388" s="126" t="n"/>
      <c r="C2388" s="126" t="n"/>
      <c r="D2388" s="126" t="n"/>
      <c r="E2388" s="126" t="n"/>
      <c r="F2388" s="127" t="n"/>
      <c r="G2388" s="127" t="inlineStr"/>
      <c r="H2388" s="127" t="inlineStr"/>
      <c r="I2388" s="127" t="n"/>
      <c r="J2388" s="127" t="n"/>
      <c r="K2388" s="127" t="inlineStr"/>
      <c r="L2388" s="127" t="n"/>
      <c r="M2388" s="127" t="n"/>
      <c r="N2388" s="127" t="n"/>
      <c r="O2388" s="127" t="n"/>
      <c r="P2388" s="127" t="n"/>
      <c r="Q2388" s="127" t="n"/>
      <c r="R2388" s="127" t="n"/>
      <c r="S2388" s="127" t="n"/>
      <c r="T2388" s="127" t="n"/>
      <c r="U2388" s="127" t="n"/>
      <c r="V2388" s="127" t="n"/>
      <c r="W2388" s="127" t="n"/>
      <c r="X2388" s="127" t="n"/>
      <c r="Y2388" s="127" t="n"/>
      <c r="Z2388" s="127" t="n"/>
    </row>
    <row r="2389">
      <c r="A2389" s="217" t="n"/>
      <c r="B2389" s="126" t="n"/>
      <c r="C2389" s="126" t="n"/>
      <c r="D2389" s="126" t="n"/>
      <c r="E2389" s="126" t="n"/>
      <c r="F2389" s="127" t="n"/>
      <c r="G2389" s="127" t="inlineStr"/>
      <c r="H2389" s="127" t="inlineStr"/>
      <c r="I2389" s="127" t="n"/>
      <c r="J2389" s="127" t="n"/>
      <c r="K2389" s="127" t="inlineStr"/>
      <c r="L2389" s="127" t="n"/>
      <c r="M2389" s="127" t="n"/>
      <c r="N2389" s="127" t="n"/>
      <c r="O2389" s="127" t="n"/>
      <c r="P2389" s="127" t="n"/>
      <c r="Q2389" s="127" t="n"/>
      <c r="R2389" s="127" t="n"/>
      <c r="S2389" s="127" t="n"/>
      <c r="T2389" s="127" t="n"/>
      <c r="U2389" s="127" t="n"/>
      <c r="V2389" s="127" t="n"/>
      <c r="W2389" s="127" t="n"/>
      <c r="X2389" s="127" t="n"/>
      <c r="Y2389" s="127" t="n"/>
      <c r="Z2389" s="127" t="n"/>
    </row>
    <row r="2390">
      <c r="A2390" s="217" t="n"/>
      <c r="B2390" s="126" t="n"/>
      <c r="C2390" s="126" t="n"/>
      <c r="D2390" s="126" t="n"/>
      <c r="E2390" s="126" t="n"/>
      <c r="F2390" s="127" t="n"/>
      <c r="G2390" s="127" t="inlineStr"/>
      <c r="H2390" s="127" t="inlineStr"/>
      <c r="I2390" s="127" t="n"/>
      <c r="J2390" s="127" t="n"/>
      <c r="K2390" s="127" t="inlineStr"/>
      <c r="L2390" s="127" t="n"/>
      <c r="M2390" s="127" t="n"/>
      <c r="N2390" s="127" t="n"/>
      <c r="O2390" s="127" t="n"/>
      <c r="P2390" s="127" t="n"/>
      <c r="Q2390" s="127" t="n"/>
      <c r="R2390" s="127" t="n"/>
      <c r="S2390" s="127" t="n"/>
      <c r="T2390" s="127" t="n"/>
      <c r="U2390" s="127" t="n"/>
      <c r="V2390" s="127" t="n"/>
      <c r="W2390" s="127" t="n"/>
      <c r="X2390" s="127" t="n"/>
      <c r="Y2390" s="127" t="n"/>
      <c r="Z2390" s="127" t="n"/>
    </row>
    <row r="2391">
      <c r="A2391" s="217" t="n"/>
      <c r="B2391" s="126" t="n"/>
      <c r="C2391" s="126" t="n"/>
      <c r="D2391" s="126" t="n"/>
      <c r="E2391" s="126" t="n"/>
      <c r="F2391" s="127" t="n"/>
      <c r="G2391" s="127" t="inlineStr"/>
      <c r="H2391" s="127" t="inlineStr"/>
      <c r="I2391" s="127" t="n"/>
      <c r="J2391" s="127" t="n"/>
      <c r="K2391" s="127" t="inlineStr"/>
      <c r="L2391" s="127" t="n"/>
      <c r="M2391" s="127" t="n"/>
      <c r="N2391" s="127" t="n"/>
      <c r="O2391" s="127" t="n"/>
      <c r="P2391" s="127" t="n"/>
      <c r="Q2391" s="127" t="n"/>
      <c r="R2391" s="127" t="n"/>
      <c r="S2391" s="127" t="n"/>
      <c r="T2391" s="127" t="n"/>
      <c r="U2391" s="127" t="n"/>
      <c r="V2391" s="127" t="n"/>
      <c r="W2391" s="127" t="n"/>
      <c r="X2391" s="127" t="n"/>
      <c r="Y2391" s="127" t="n"/>
      <c r="Z2391" s="127" t="n"/>
    </row>
    <row r="2392">
      <c r="A2392" s="217" t="n"/>
      <c r="B2392" s="126" t="n"/>
      <c r="C2392" s="126" t="n"/>
      <c r="D2392" s="126" t="n"/>
      <c r="E2392" s="126" t="n"/>
      <c r="F2392" s="127" t="n"/>
      <c r="G2392" s="127" t="inlineStr"/>
      <c r="H2392" s="127" t="inlineStr"/>
      <c r="I2392" s="127" t="n"/>
      <c r="J2392" s="127" t="n"/>
      <c r="K2392" s="127" t="inlineStr"/>
      <c r="L2392" s="127" t="n"/>
      <c r="M2392" s="127" t="n"/>
      <c r="N2392" s="127" t="n"/>
      <c r="O2392" s="127" t="n"/>
      <c r="P2392" s="127" t="n"/>
      <c r="Q2392" s="127" t="n"/>
      <c r="R2392" s="127" t="n"/>
      <c r="S2392" s="127" t="n"/>
      <c r="T2392" s="127" t="n"/>
      <c r="U2392" s="127" t="n"/>
      <c r="V2392" s="127" t="n"/>
      <c r="W2392" s="127" t="n"/>
      <c r="X2392" s="127" t="n"/>
      <c r="Y2392" s="127" t="n"/>
      <c r="Z2392" s="127" t="n"/>
    </row>
    <row r="2393">
      <c r="A2393" s="217" t="n"/>
      <c r="B2393" s="126" t="n"/>
      <c r="C2393" s="126" t="n"/>
      <c r="D2393" s="126" t="n"/>
      <c r="E2393" s="126" t="n"/>
      <c r="F2393" s="127" t="n"/>
      <c r="G2393" s="127" t="inlineStr"/>
      <c r="H2393" s="127" t="inlineStr"/>
      <c r="I2393" s="127" t="n"/>
      <c r="J2393" s="127" t="n"/>
      <c r="K2393" s="127" t="inlineStr"/>
      <c r="L2393" s="127" t="n"/>
      <c r="M2393" s="127" t="n"/>
      <c r="N2393" s="127" t="n"/>
      <c r="O2393" s="127" t="n"/>
      <c r="P2393" s="127" t="n"/>
      <c r="Q2393" s="127" t="n"/>
      <c r="R2393" s="127" t="n"/>
      <c r="S2393" s="127" t="n"/>
      <c r="T2393" s="127" t="n"/>
      <c r="U2393" s="127" t="n"/>
      <c r="V2393" s="127" t="n"/>
      <c r="W2393" s="127" t="n"/>
      <c r="X2393" s="127" t="n"/>
      <c r="Y2393" s="127" t="n"/>
      <c r="Z2393" s="127" t="n"/>
    </row>
    <row r="2394">
      <c r="A2394" s="217" t="n"/>
      <c r="B2394" s="126" t="n"/>
      <c r="C2394" s="126" t="n"/>
      <c r="D2394" s="126" t="n"/>
      <c r="E2394" s="126" t="n"/>
      <c r="F2394" s="127" t="n"/>
      <c r="G2394" s="127" t="inlineStr"/>
      <c r="H2394" s="127" t="inlineStr"/>
      <c r="I2394" s="127" t="n"/>
      <c r="J2394" s="127" t="n"/>
      <c r="K2394" s="127" t="inlineStr"/>
      <c r="L2394" s="127" t="n"/>
      <c r="M2394" s="127" t="n"/>
      <c r="N2394" s="127" t="n"/>
      <c r="O2394" s="127" t="n"/>
      <c r="P2394" s="127" t="n"/>
      <c r="Q2394" s="127" t="n"/>
      <c r="R2394" s="127" t="n"/>
      <c r="S2394" s="127" t="n"/>
      <c r="T2394" s="127" t="n"/>
      <c r="U2394" s="127" t="n"/>
      <c r="V2394" s="127" t="n"/>
      <c r="W2394" s="127" t="n"/>
      <c r="X2394" s="127" t="n"/>
      <c r="Y2394" s="127" t="n"/>
      <c r="Z2394" s="127" t="n"/>
    </row>
    <row r="2395">
      <c r="A2395" s="217" t="n"/>
      <c r="B2395" s="126" t="n"/>
      <c r="C2395" s="126" t="n"/>
      <c r="D2395" s="126" t="n"/>
      <c r="E2395" s="126" t="n"/>
      <c r="F2395" s="127" t="n"/>
      <c r="G2395" s="127" t="inlineStr"/>
      <c r="H2395" s="127" t="inlineStr"/>
      <c r="I2395" s="127" t="n"/>
      <c r="J2395" s="127" t="n"/>
      <c r="K2395" s="127" t="inlineStr"/>
      <c r="L2395" s="127" t="n"/>
      <c r="M2395" s="127" t="n"/>
      <c r="N2395" s="127" t="n"/>
      <c r="O2395" s="127" t="n"/>
      <c r="P2395" s="127" t="n"/>
      <c r="Q2395" s="127" t="n"/>
      <c r="R2395" s="127" t="n"/>
      <c r="S2395" s="127" t="n"/>
      <c r="T2395" s="127" t="n"/>
      <c r="U2395" s="127" t="n"/>
      <c r="V2395" s="127" t="n"/>
      <c r="W2395" s="127" t="n"/>
      <c r="X2395" s="127" t="n"/>
      <c r="Y2395" s="127" t="n"/>
      <c r="Z2395" s="127" t="n"/>
    </row>
    <row r="2396">
      <c r="A2396" s="217" t="n"/>
      <c r="B2396" s="126" t="n"/>
      <c r="C2396" s="126" t="n"/>
      <c r="D2396" s="126" t="n"/>
      <c r="E2396" s="126" t="n"/>
      <c r="F2396" s="127" t="n"/>
      <c r="G2396" s="127" t="inlineStr"/>
      <c r="H2396" s="127" t="inlineStr"/>
      <c r="I2396" s="127" t="n"/>
      <c r="J2396" s="127" t="n"/>
      <c r="K2396" s="127" t="inlineStr"/>
      <c r="L2396" s="127" t="n"/>
      <c r="M2396" s="127" t="n"/>
      <c r="N2396" s="127" t="n"/>
      <c r="O2396" s="127" t="n"/>
      <c r="P2396" s="127" t="n"/>
      <c r="Q2396" s="127" t="n"/>
      <c r="R2396" s="127" t="n"/>
      <c r="S2396" s="127" t="n"/>
      <c r="T2396" s="127" t="n"/>
      <c r="U2396" s="127" t="n"/>
      <c r="V2396" s="127" t="n"/>
      <c r="W2396" s="127" t="n"/>
      <c r="X2396" s="127" t="n"/>
      <c r="Y2396" s="127" t="n"/>
      <c r="Z2396" s="127" t="n"/>
    </row>
    <row r="2397">
      <c r="A2397" s="217" t="n"/>
      <c r="B2397" s="126" t="n"/>
      <c r="C2397" s="126" t="n"/>
      <c r="D2397" s="126" t="n"/>
      <c r="E2397" s="126" t="n"/>
      <c r="F2397" s="127" t="n"/>
      <c r="G2397" s="127" t="inlineStr"/>
      <c r="H2397" s="127" t="inlineStr"/>
      <c r="I2397" s="127" t="n"/>
      <c r="J2397" s="127" t="n"/>
      <c r="K2397" s="127" t="inlineStr"/>
      <c r="L2397" s="127" t="n"/>
      <c r="M2397" s="127" t="n"/>
      <c r="N2397" s="127" t="n"/>
      <c r="O2397" s="127" t="n"/>
      <c r="P2397" s="127" t="n"/>
      <c r="Q2397" s="127" t="n"/>
      <c r="R2397" s="127" t="n"/>
      <c r="S2397" s="127" t="n"/>
      <c r="T2397" s="127" t="n"/>
      <c r="U2397" s="127" t="n"/>
      <c r="V2397" s="127" t="n"/>
      <c r="W2397" s="127" t="n"/>
      <c r="X2397" s="127" t="n"/>
      <c r="Y2397" s="127" t="n"/>
      <c r="Z2397" s="127" t="n"/>
    </row>
    <row r="2398">
      <c r="A2398" s="217" t="n"/>
      <c r="B2398" s="126" t="n"/>
      <c r="C2398" s="126" t="n"/>
      <c r="D2398" s="126" t="n"/>
      <c r="E2398" s="126" t="n"/>
      <c r="F2398" s="127" t="n"/>
      <c r="G2398" s="127" t="inlineStr"/>
      <c r="H2398" s="127" t="inlineStr"/>
      <c r="I2398" s="127" t="n"/>
      <c r="J2398" s="127" t="n"/>
      <c r="K2398" s="127" t="inlineStr"/>
      <c r="L2398" s="127" t="n"/>
      <c r="M2398" s="127" t="n"/>
      <c r="N2398" s="127" t="n"/>
      <c r="O2398" s="127" t="n"/>
      <c r="P2398" s="127" t="n"/>
      <c r="Q2398" s="127" t="n"/>
      <c r="R2398" s="127" t="n"/>
      <c r="S2398" s="127" t="n"/>
      <c r="T2398" s="127" t="n"/>
      <c r="U2398" s="127" t="n"/>
      <c r="V2398" s="127" t="n"/>
      <c r="W2398" s="127" t="n"/>
      <c r="X2398" s="127" t="n"/>
      <c r="Y2398" s="127" t="n"/>
      <c r="Z2398" s="127" t="n"/>
    </row>
    <row r="2399">
      <c r="A2399" s="217" t="n"/>
      <c r="B2399" s="126" t="n"/>
      <c r="C2399" s="126" t="n"/>
      <c r="D2399" s="126" t="n"/>
      <c r="E2399" s="126" t="n"/>
      <c r="F2399" s="127" t="n"/>
      <c r="G2399" s="127" t="inlineStr"/>
      <c r="H2399" s="127" t="inlineStr"/>
      <c r="I2399" s="127" t="n"/>
      <c r="J2399" s="127" t="n"/>
      <c r="K2399" s="127" t="inlineStr"/>
      <c r="L2399" s="127" t="n"/>
      <c r="M2399" s="127" t="n"/>
      <c r="N2399" s="127" t="n"/>
      <c r="O2399" s="127" t="n"/>
      <c r="P2399" s="127" t="n"/>
      <c r="Q2399" s="127" t="n"/>
      <c r="R2399" s="127" t="n"/>
      <c r="S2399" s="127" t="n"/>
      <c r="T2399" s="127" t="n"/>
      <c r="U2399" s="127" t="n"/>
      <c r="V2399" s="127" t="n"/>
      <c r="W2399" s="127" t="n"/>
      <c r="X2399" s="127" t="n"/>
      <c r="Y2399" s="127" t="n"/>
      <c r="Z2399" s="127" t="n"/>
    </row>
    <row r="2400">
      <c r="A2400" s="217" t="n"/>
      <c r="B2400" s="126" t="n"/>
      <c r="C2400" s="126" t="n"/>
      <c r="D2400" s="126" t="n"/>
      <c r="E2400" s="126" t="n"/>
      <c r="F2400" s="127" t="n"/>
      <c r="G2400" s="127" t="inlineStr"/>
      <c r="H2400" s="127" t="inlineStr"/>
      <c r="I2400" s="127" t="n"/>
      <c r="J2400" s="127" t="n"/>
      <c r="K2400" s="127" t="inlineStr"/>
      <c r="L2400" s="127" t="n"/>
      <c r="M2400" s="127" t="n"/>
      <c r="N2400" s="127" t="n"/>
      <c r="O2400" s="127" t="n"/>
      <c r="P2400" s="127" t="n"/>
      <c r="Q2400" s="127" t="n"/>
      <c r="R2400" s="127" t="n"/>
      <c r="S2400" s="127" t="n"/>
      <c r="T2400" s="127" t="n"/>
      <c r="U2400" s="127" t="n"/>
      <c r="V2400" s="127" t="n"/>
      <c r="W2400" s="127" t="n"/>
      <c r="X2400" s="127" t="n"/>
      <c r="Y2400" s="127" t="n"/>
      <c r="Z2400" s="127" t="n"/>
    </row>
    <row r="2401">
      <c r="A2401" s="217" t="n"/>
      <c r="B2401" s="126" t="n"/>
      <c r="C2401" s="126" t="n"/>
      <c r="D2401" s="126" t="n"/>
      <c r="E2401" s="126" t="n"/>
      <c r="F2401" s="127" t="n"/>
      <c r="G2401" s="127" t="inlineStr"/>
      <c r="H2401" s="127" t="inlineStr"/>
      <c r="I2401" s="127" t="n"/>
      <c r="J2401" s="127" t="n"/>
      <c r="K2401" s="127" t="inlineStr"/>
      <c r="L2401" s="127" t="n"/>
      <c r="M2401" s="127" t="n"/>
      <c r="N2401" s="127" t="n"/>
      <c r="O2401" s="127" t="n"/>
      <c r="P2401" s="127" t="n"/>
      <c r="Q2401" s="127" t="n"/>
      <c r="R2401" s="127" t="n"/>
      <c r="S2401" s="127" t="n"/>
      <c r="T2401" s="127" t="n"/>
      <c r="U2401" s="127" t="n"/>
      <c r="V2401" s="127" t="n"/>
      <c r="W2401" s="127" t="n"/>
      <c r="X2401" s="127" t="n"/>
      <c r="Y2401" s="127" t="n"/>
      <c r="Z2401" s="127" t="n"/>
    </row>
    <row r="2402">
      <c r="A2402" s="217" t="n"/>
      <c r="B2402" s="126" t="n"/>
      <c r="C2402" s="126" t="n"/>
      <c r="D2402" s="126" t="n"/>
      <c r="E2402" s="126" t="n"/>
      <c r="F2402" s="127" t="n"/>
      <c r="G2402" s="127" t="inlineStr"/>
      <c r="H2402" s="127" t="inlineStr"/>
      <c r="I2402" s="127" t="n"/>
      <c r="J2402" s="127" t="n"/>
      <c r="K2402" s="127" t="inlineStr"/>
      <c r="L2402" s="127" t="n"/>
      <c r="M2402" s="127" t="n"/>
      <c r="N2402" s="127" t="n"/>
      <c r="O2402" s="127" t="n"/>
      <c r="P2402" s="127" t="n"/>
      <c r="Q2402" s="127" t="n"/>
      <c r="R2402" s="127" t="n"/>
      <c r="S2402" s="127" t="n"/>
      <c r="T2402" s="127" t="n"/>
      <c r="U2402" s="127" t="n"/>
      <c r="V2402" s="127" t="n"/>
      <c r="W2402" s="127" t="n"/>
      <c r="X2402" s="127" t="n"/>
      <c r="Y2402" s="127" t="n"/>
      <c r="Z2402" s="127" t="n"/>
    </row>
    <row r="2403">
      <c r="A2403" s="217" t="n"/>
      <c r="B2403" s="126" t="n"/>
      <c r="C2403" s="126" t="n"/>
      <c r="D2403" s="126" t="n"/>
      <c r="E2403" s="126" t="n"/>
      <c r="F2403" s="127" t="n"/>
      <c r="G2403" s="127" t="inlineStr"/>
      <c r="H2403" s="127" t="inlineStr"/>
      <c r="I2403" s="127" t="n"/>
      <c r="J2403" s="127" t="n"/>
      <c r="K2403" s="127" t="inlineStr"/>
      <c r="L2403" s="127" t="n"/>
      <c r="M2403" s="127" t="n"/>
      <c r="N2403" s="127" t="n"/>
      <c r="O2403" s="127" t="n"/>
      <c r="P2403" s="127" t="n"/>
      <c r="Q2403" s="127" t="n"/>
      <c r="R2403" s="127" t="n"/>
      <c r="S2403" s="127" t="n"/>
      <c r="T2403" s="127" t="n"/>
      <c r="U2403" s="127" t="n"/>
      <c r="V2403" s="127" t="n"/>
      <c r="W2403" s="127" t="n"/>
      <c r="X2403" s="127" t="n"/>
      <c r="Y2403" s="127" t="n"/>
      <c r="Z2403" s="127" t="n"/>
    </row>
    <row r="2404">
      <c r="A2404" s="217" t="n"/>
      <c r="B2404" s="126" t="n"/>
      <c r="C2404" s="126" t="n"/>
      <c r="D2404" s="126" t="n"/>
      <c r="E2404" s="126" t="n"/>
      <c r="F2404" s="127" t="n"/>
      <c r="G2404" s="127" t="inlineStr"/>
      <c r="H2404" s="127" t="inlineStr"/>
      <c r="I2404" s="127" t="n"/>
      <c r="J2404" s="127" t="n"/>
      <c r="K2404" s="127" t="inlineStr"/>
      <c r="L2404" s="127" t="n"/>
      <c r="M2404" s="127" t="n"/>
      <c r="N2404" s="127" t="n"/>
      <c r="O2404" s="127" t="n"/>
      <c r="P2404" s="127" t="n"/>
      <c r="Q2404" s="127" t="n"/>
      <c r="R2404" s="127" t="n"/>
      <c r="S2404" s="127" t="n"/>
      <c r="T2404" s="127" t="n"/>
      <c r="U2404" s="127" t="n"/>
      <c r="V2404" s="127" t="n"/>
      <c r="W2404" s="127" t="n"/>
      <c r="X2404" s="127" t="n"/>
      <c r="Y2404" s="127" t="n"/>
      <c r="Z2404" s="127" t="n"/>
    </row>
    <row r="2405">
      <c r="A2405" s="217" t="n"/>
      <c r="B2405" s="126" t="n"/>
      <c r="C2405" s="126" t="n"/>
      <c r="D2405" s="126" t="n"/>
      <c r="E2405" s="126" t="n"/>
      <c r="F2405" s="127" t="n"/>
      <c r="G2405" s="127" t="inlineStr"/>
      <c r="H2405" s="127" t="inlineStr"/>
      <c r="I2405" s="127" t="n"/>
      <c r="J2405" s="127" t="n"/>
      <c r="K2405" s="127" t="inlineStr"/>
      <c r="L2405" s="127" t="n"/>
      <c r="M2405" s="127" t="n"/>
      <c r="N2405" s="127" t="n"/>
      <c r="O2405" s="127" t="n"/>
      <c r="P2405" s="127" t="n"/>
      <c r="Q2405" s="127" t="n"/>
      <c r="R2405" s="127" t="n"/>
      <c r="S2405" s="127" t="n"/>
      <c r="T2405" s="127" t="n"/>
      <c r="U2405" s="127" t="n"/>
      <c r="V2405" s="127" t="n"/>
      <c r="W2405" s="127" t="n"/>
      <c r="X2405" s="127" t="n"/>
      <c r="Y2405" s="127" t="n"/>
      <c r="Z2405" s="127" t="n"/>
    </row>
    <row r="2406">
      <c r="A2406" s="217" t="n"/>
      <c r="B2406" s="126" t="n"/>
      <c r="C2406" s="126" t="n"/>
      <c r="D2406" s="126" t="n"/>
      <c r="E2406" s="126" t="n"/>
      <c r="F2406" s="127" t="n"/>
      <c r="G2406" s="127" t="inlineStr"/>
      <c r="H2406" s="127" t="inlineStr"/>
      <c r="I2406" s="127" t="n"/>
      <c r="J2406" s="127" t="n"/>
      <c r="K2406" s="127" t="inlineStr"/>
      <c r="L2406" s="127" t="n"/>
      <c r="M2406" s="127" t="n"/>
      <c r="N2406" s="127" t="n"/>
      <c r="O2406" s="127" t="n"/>
      <c r="P2406" s="127" t="n"/>
      <c r="Q2406" s="127" t="n"/>
      <c r="R2406" s="127" t="n"/>
      <c r="S2406" s="127" t="n"/>
      <c r="T2406" s="127" t="n"/>
      <c r="U2406" s="127" t="n"/>
      <c r="V2406" s="127" t="n"/>
      <c r="W2406" s="127" t="n"/>
      <c r="X2406" s="127" t="n"/>
      <c r="Y2406" s="127" t="n"/>
      <c r="Z2406" s="127" t="n"/>
    </row>
    <row r="2407">
      <c r="A2407" s="217" t="n"/>
      <c r="B2407" s="126" t="n"/>
      <c r="C2407" s="126" t="n"/>
      <c r="D2407" s="126" t="n"/>
      <c r="E2407" s="126" t="n"/>
      <c r="F2407" s="127" t="n"/>
      <c r="G2407" s="127" t="inlineStr"/>
      <c r="H2407" s="127" t="inlineStr"/>
      <c r="I2407" s="127" t="n"/>
      <c r="J2407" s="127" t="n"/>
      <c r="K2407" s="127" t="inlineStr"/>
      <c r="L2407" s="127" t="n"/>
      <c r="M2407" s="127" t="n"/>
      <c r="N2407" s="127" t="n"/>
      <c r="O2407" s="127" t="n"/>
      <c r="P2407" s="127" t="n"/>
      <c r="Q2407" s="127" t="n"/>
      <c r="R2407" s="127" t="n"/>
      <c r="S2407" s="127" t="n"/>
      <c r="T2407" s="127" t="n"/>
      <c r="U2407" s="127" t="n"/>
      <c r="V2407" s="127" t="n"/>
      <c r="W2407" s="127" t="n"/>
      <c r="X2407" s="127" t="n"/>
      <c r="Y2407" s="127" t="n"/>
      <c r="Z2407" s="127" t="n"/>
    </row>
    <row r="2408">
      <c r="A2408" s="217" t="n"/>
      <c r="B2408" s="126" t="n"/>
      <c r="C2408" s="126" t="n"/>
      <c r="D2408" s="126" t="n"/>
      <c r="E2408" s="126" t="n"/>
      <c r="F2408" s="127" t="n"/>
      <c r="G2408" s="127" t="inlineStr"/>
      <c r="H2408" s="127" t="inlineStr"/>
      <c r="I2408" s="127" t="n"/>
      <c r="J2408" s="127" t="n"/>
      <c r="K2408" s="127" t="inlineStr"/>
      <c r="L2408" s="127" t="n"/>
      <c r="M2408" s="127" t="n"/>
      <c r="N2408" s="127" t="n"/>
      <c r="O2408" s="127" t="n"/>
      <c r="P2408" s="127" t="n"/>
      <c r="Q2408" s="127" t="n"/>
      <c r="R2408" s="127" t="n"/>
      <c r="S2408" s="127" t="n"/>
      <c r="T2408" s="127" t="n"/>
      <c r="U2408" s="127" t="n"/>
      <c r="V2408" s="127" t="n"/>
      <c r="W2408" s="127" t="n"/>
      <c r="X2408" s="127" t="n"/>
      <c r="Y2408" s="127" t="n"/>
      <c r="Z2408" s="127" t="n"/>
    </row>
    <row r="2409">
      <c r="A2409" s="217" t="n"/>
      <c r="B2409" s="126" t="n"/>
      <c r="C2409" s="126" t="n"/>
      <c r="D2409" s="126" t="n"/>
      <c r="E2409" s="126" t="n"/>
      <c r="F2409" s="127" t="n"/>
      <c r="G2409" s="127" t="inlineStr"/>
      <c r="H2409" s="127" t="inlineStr"/>
      <c r="I2409" s="127" t="n"/>
      <c r="J2409" s="127" t="n"/>
      <c r="K2409" s="127" t="inlineStr"/>
      <c r="L2409" s="127" t="n"/>
      <c r="M2409" s="127" t="n"/>
      <c r="N2409" s="127" t="n"/>
      <c r="O2409" s="127" t="n"/>
      <c r="P2409" s="127" t="n"/>
      <c r="Q2409" s="127" t="n"/>
      <c r="R2409" s="127" t="n"/>
      <c r="S2409" s="127" t="n"/>
      <c r="T2409" s="127" t="n"/>
      <c r="U2409" s="127" t="n"/>
      <c r="V2409" s="127" t="n"/>
      <c r="W2409" s="127" t="n"/>
      <c r="X2409" s="127" t="n"/>
      <c r="Y2409" s="127" t="n"/>
      <c r="Z2409" s="127" t="n"/>
    </row>
    <row r="2410">
      <c r="A2410" s="217" t="n"/>
      <c r="B2410" s="126" t="n"/>
      <c r="C2410" s="126" t="n"/>
      <c r="D2410" s="126" t="n"/>
      <c r="E2410" s="126" t="n"/>
      <c r="F2410" s="127" t="n"/>
      <c r="G2410" s="127" t="inlineStr"/>
      <c r="H2410" s="127" t="inlineStr"/>
      <c r="I2410" s="127" t="n"/>
      <c r="J2410" s="127" t="n"/>
      <c r="K2410" s="127" t="inlineStr"/>
      <c r="L2410" s="127" t="n"/>
      <c r="M2410" s="127" t="n"/>
      <c r="N2410" s="127" t="n"/>
      <c r="O2410" s="127" t="n"/>
      <c r="P2410" s="127" t="n"/>
      <c r="Q2410" s="127" t="n"/>
      <c r="R2410" s="127" t="n"/>
      <c r="S2410" s="127" t="n"/>
      <c r="T2410" s="127" t="n"/>
      <c r="U2410" s="127" t="n"/>
      <c r="V2410" s="127" t="n"/>
      <c r="W2410" s="127" t="n"/>
      <c r="X2410" s="127" t="n"/>
      <c r="Y2410" s="127" t="n"/>
      <c r="Z2410" s="127" t="n"/>
    </row>
    <row r="2411">
      <c r="A2411" s="217" t="n"/>
      <c r="B2411" s="126" t="n"/>
      <c r="C2411" s="126" t="n"/>
      <c r="D2411" s="126" t="n"/>
      <c r="E2411" s="126" t="n"/>
      <c r="F2411" s="127" t="n"/>
      <c r="G2411" s="127" t="inlineStr"/>
      <c r="H2411" s="127" t="inlineStr"/>
      <c r="I2411" s="127" t="n"/>
      <c r="J2411" s="127" t="n"/>
      <c r="K2411" s="127" t="inlineStr"/>
      <c r="L2411" s="127" t="n"/>
      <c r="M2411" s="127" t="n"/>
      <c r="N2411" s="127" t="n"/>
      <c r="O2411" s="127" t="n"/>
      <c r="P2411" s="127" t="n"/>
      <c r="Q2411" s="127" t="n"/>
      <c r="R2411" s="127" t="n"/>
      <c r="S2411" s="127" t="n"/>
      <c r="T2411" s="127" t="n"/>
      <c r="U2411" s="127" t="n"/>
      <c r="V2411" s="127" t="n"/>
      <c r="W2411" s="127" t="n"/>
      <c r="X2411" s="127" t="n"/>
      <c r="Y2411" s="127" t="n"/>
      <c r="Z2411" s="127" t="n"/>
    </row>
    <row r="2412">
      <c r="A2412" s="217" t="n"/>
      <c r="B2412" s="126" t="n"/>
      <c r="C2412" s="126" t="n"/>
      <c r="D2412" s="126" t="n"/>
      <c r="E2412" s="126" t="n"/>
      <c r="F2412" s="127" t="n"/>
      <c r="G2412" s="127" t="inlineStr"/>
      <c r="H2412" s="127" t="inlineStr"/>
      <c r="I2412" s="127" t="n"/>
      <c r="J2412" s="127" t="n"/>
      <c r="K2412" s="127" t="inlineStr"/>
      <c r="L2412" s="127" t="n"/>
      <c r="M2412" s="127" t="n"/>
      <c r="N2412" s="127" t="n"/>
      <c r="O2412" s="127" t="n"/>
      <c r="P2412" s="127" t="n"/>
      <c r="Q2412" s="127" t="n"/>
      <c r="R2412" s="127" t="n"/>
      <c r="S2412" s="127" t="n"/>
      <c r="T2412" s="127" t="n"/>
      <c r="U2412" s="127" t="n"/>
      <c r="V2412" s="127" t="n"/>
      <c r="W2412" s="127" t="n"/>
      <c r="X2412" s="127" t="n"/>
      <c r="Y2412" s="127" t="n"/>
      <c r="Z2412" s="127" t="n"/>
    </row>
    <row r="2413">
      <c r="A2413" s="217" t="n"/>
      <c r="B2413" s="126" t="n"/>
      <c r="C2413" s="126" t="n"/>
      <c r="D2413" s="126" t="n"/>
      <c r="E2413" s="126" t="n"/>
      <c r="F2413" s="127" t="n"/>
      <c r="G2413" s="127" t="inlineStr"/>
      <c r="H2413" s="127" t="inlineStr"/>
      <c r="I2413" s="127" t="n"/>
      <c r="J2413" s="127" t="n"/>
      <c r="K2413" s="127" t="inlineStr"/>
      <c r="L2413" s="127" t="n"/>
      <c r="M2413" s="127" t="n"/>
      <c r="N2413" s="127" t="n"/>
      <c r="O2413" s="127" t="n"/>
      <c r="P2413" s="127" t="n"/>
      <c r="Q2413" s="127" t="n"/>
      <c r="R2413" s="127" t="n"/>
      <c r="S2413" s="127" t="n"/>
      <c r="T2413" s="127" t="n"/>
      <c r="U2413" s="127" t="n"/>
      <c r="V2413" s="127" t="n"/>
      <c r="W2413" s="127" t="n"/>
      <c r="X2413" s="127" t="n"/>
      <c r="Y2413" s="127" t="n"/>
      <c r="Z2413" s="127" t="n"/>
    </row>
    <row r="2414">
      <c r="A2414" s="217" t="n"/>
      <c r="B2414" s="126" t="n"/>
      <c r="C2414" s="126" t="n"/>
      <c r="D2414" s="126" t="n"/>
      <c r="E2414" s="126" t="n"/>
      <c r="F2414" s="127" t="n"/>
      <c r="G2414" s="127" t="inlineStr"/>
      <c r="H2414" s="127" t="inlineStr"/>
      <c r="I2414" s="127" t="n"/>
      <c r="J2414" s="127" t="n"/>
      <c r="K2414" s="127" t="inlineStr"/>
      <c r="L2414" s="127" t="n"/>
      <c r="M2414" s="127" t="n"/>
      <c r="N2414" s="127" t="n"/>
      <c r="O2414" s="127" t="n"/>
      <c r="P2414" s="127" t="n"/>
      <c r="Q2414" s="127" t="n"/>
      <c r="R2414" s="127" t="n"/>
      <c r="S2414" s="127" t="n"/>
      <c r="T2414" s="127" t="n"/>
      <c r="U2414" s="127" t="n"/>
      <c r="V2414" s="127" t="n"/>
      <c r="W2414" s="127" t="n"/>
      <c r="X2414" s="127" t="n"/>
      <c r="Y2414" s="127" t="n"/>
      <c r="Z2414" s="127" t="n"/>
    </row>
    <row r="2415">
      <c r="A2415" s="217" t="n"/>
      <c r="B2415" s="126" t="n"/>
      <c r="C2415" s="126" t="n"/>
      <c r="D2415" s="126" t="n"/>
      <c r="E2415" s="126" t="n"/>
      <c r="F2415" s="127" t="n"/>
      <c r="G2415" s="127" t="inlineStr"/>
      <c r="H2415" s="127" t="inlineStr"/>
      <c r="I2415" s="127" t="n"/>
      <c r="J2415" s="127" t="n"/>
      <c r="K2415" s="127" t="inlineStr"/>
      <c r="L2415" s="127" t="n"/>
      <c r="M2415" s="127" t="n"/>
      <c r="N2415" s="127" t="n"/>
      <c r="O2415" s="127" t="n"/>
      <c r="P2415" s="127" t="n"/>
      <c r="Q2415" s="127" t="n"/>
      <c r="R2415" s="127" t="n"/>
      <c r="S2415" s="127" t="n"/>
      <c r="T2415" s="127" t="n"/>
      <c r="U2415" s="127" t="n"/>
      <c r="V2415" s="127" t="n"/>
      <c r="W2415" s="127" t="n"/>
      <c r="X2415" s="127" t="n"/>
      <c r="Y2415" s="127" t="n"/>
      <c r="Z2415" s="127" t="n"/>
    </row>
    <row r="2416">
      <c r="A2416" s="217" t="n"/>
      <c r="B2416" s="126" t="n"/>
      <c r="C2416" s="126" t="n"/>
      <c r="D2416" s="126" t="n"/>
      <c r="E2416" s="126" t="n"/>
      <c r="F2416" s="127" t="n"/>
      <c r="G2416" s="127" t="inlineStr"/>
      <c r="H2416" s="127" t="inlineStr"/>
      <c r="I2416" s="127" t="n"/>
      <c r="J2416" s="127" t="n"/>
      <c r="K2416" s="127" t="inlineStr"/>
      <c r="L2416" s="127" t="n"/>
      <c r="M2416" s="127" t="n"/>
      <c r="N2416" s="127" t="n"/>
      <c r="O2416" s="127" t="n"/>
      <c r="P2416" s="127" t="n"/>
      <c r="Q2416" s="127" t="n"/>
      <c r="R2416" s="127" t="n"/>
      <c r="S2416" s="127" t="n"/>
      <c r="T2416" s="127" t="n"/>
      <c r="U2416" s="127" t="n"/>
      <c r="V2416" s="127" t="n"/>
      <c r="W2416" s="127" t="n"/>
      <c r="X2416" s="127" t="n"/>
      <c r="Y2416" s="127" t="n"/>
      <c r="Z2416" s="127" t="n"/>
    </row>
    <row r="2417">
      <c r="A2417" s="217" t="n"/>
      <c r="B2417" s="126" t="n"/>
      <c r="C2417" s="126" t="n"/>
      <c r="D2417" s="126" t="n"/>
      <c r="E2417" s="126" t="n"/>
      <c r="F2417" s="127" t="n"/>
      <c r="G2417" s="127" t="inlineStr"/>
      <c r="H2417" s="127" t="inlineStr"/>
      <c r="I2417" s="127" t="n"/>
      <c r="J2417" s="127" t="n"/>
      <c r="K2417" s="127" t="inlineStr"/>
      <c r="L2417" s="127" t="n"/>
      <c r="M2417" s="127" t="n"/>
      <c r="N2417" s="127" t="n"/>
      <c r="O2417" s="127" t="n"/>
      <c r="P2417" s="127" t="n"/>
      <c r="Q2417" s="127" t="n"/>
      <c r="R2417" s="127" t="n"/>
      <c r="S2417" s="127" t="n"/>
      <c r="T2417" s="127" t="n"/>
      <c r="U2417" s="127" t="n"/>
      <c r="V2417" s="127" t="n"/>
      <c r="W2417" s="127" t="n"/>
      <c r="X2417" s="127" t="n"/>
      <c r="Y2417" s="127" t="n"/>
      <c r="Z2417" s="127" t="n"/>
    </row>
    <row r="2418">
      <c r="A2418" s="217" t="n"/>
      <c r="B2418" s="126" t="n"/>
      <c r="C2418" s="126" t="n"/>
      <c r="D2418" s="126" t="n"/>
      <c r="E2418" s="126" t="n"/>
      <c r="F2418" s="127" t="n"/>
      <c r="G2418" s="127" t="inlineStr"/>
      <c r="H2418" s="127" t="inlineStr"/>
      <c r="I2418" s="127" t="n"/>
      <c r="J2418" s="127" t="n"/>
      <c r="K2418" s="127" t="inlineStr"/>
      <c r="L2418" s="127" t="n"/>
      <c r="M2418" s="127" t="n"/>
      <c r="N2418" s="127" t="n"/>
      <c r="O2418" s="127" t="n"/>
      <c r="P2418" s="127" t="n"/>
      <c r="Q2418" s="127" t="n"/>
      <c r="R2418" s="127" t="n"/>
      <c r="S2418" s="127" t="n"/>
      <c r="T2418" s="127" t="n"/>
      <c r="U2418" s="127" t="n"/>
      <c r="V2418" s="127" t="n"/>
      <c r="W2418" s="127" t="n"/>
      <c r="X2418" s="127" t="n"/>
      <c r="Y2418" s="127" t="n"/>
      <c r="Z2418" s="127" t="n"/>
    </row>
    <row r="2419">
      <c r="A2419" s="217" t="n"/>
      <c r="B2419" s="126" t="n"/>
      <c r="C2419" s="126" t="n"/>
      <c r="D2419" s="126" t="n"/>
      <c r="E2419" s="126" t="n"/>
      <c r="F2419" s="127" t="n"/>
      <c r="G2419" s="127" t="inlineStr"/>
      <c r="H2419" s="127" t="inlineStr"/>
      <c r="I2419" s="127" t="n"/>
      <c r="J2419" s="127" t="n"/>
      <c r="K2419" s="127" t="inlineStr"/>
      <c r="L2419" s="127" t="n"/>
      <c r="M2419" s="127" t="n"/>
      <c r="N2419" s="127" t="n"/>
      <c r="O2419" s="127" t="n"/>
      <c r="P2419" s="127" t="n"/>
      <c r="Q2419" s="127" t="n"/>
      <c r="R2419" s="127" t="n"/>
      <c r="S2419" s="127" t="n"/>
      <c r="T2419" s="127" t="n"/>
      <c r="U2419" s="127" t="n"/>
      <c r="V2419" s="127" t="n"/>
      <c r="W2419" s="127" t="n"/>
      <c r="X2419" s="127" t="n"/>
      <c r="Y2419" s="127" t="n"/>
      <c r="Z2419" s="127" t="n"/>
    </row>
    <row r="2420">
      <c r="A2420" s="217" t="n"/>
      <c r="B2420" s="126" t="n"/>
      <c r="C2420" s="126" t="n"/>
      <c r="D2420" s="126" t="n"/>
      <c r="E2420" s="126" t="n"/>
      <c r="F2420" s="127" t="n"/>
      <c r="G2420" s="127" t="inlineStr"/>
      <c r="H2420" s="127" t="inlineStr"/>
      <c r="I2420" s="127" t="n"/>
      <c r="J2420" s="127" t="n"/>
      <c r="K2420" s="127" t="inlineStr"/>
      <c r="L2420" s="127" t="n"/>
      <c r="M2420" s="127" t="n"/>
      <c r="N2420" s="127" t="n"/>
      <c r="O2420" s="127" t="n"/>
      <c r="P2420" s="127" t="n"/>
      <c r="Q2420" s="127" t="n"/>
      <c r="R2420" s="127" t="n"/>
      <c r="S2420" s="127" t="n"/>
      <c r="T2420" s="127" t="n"/>
      <c r="U2420" s="127" t="n"/>
      <c r="V2420" s="127" t="n"/>
      <c r="W2420" s="127" t="n"/>
      <c r="X2420" s="127" t="n"/>
      <c r="Y2420" s="127" t="n"/>
      <c r="Z2420" s="127" t="n"/>
    </row>
    <row r="2421">
      <c r="A2421" s="217" t="n"/>
      <c r="B2421" s="126" t="n"/>
      <c r="C2421" s="126" t="n"/>
      <c r="D2421" s="126" t="n"/>
      <c r="E2421" s="126" t="n"/>
      <c r="F2421" s="127" t="n"/>
      <c r="G2421" s="127" t="inlineStr"/>
      <c r="H2421" s="127" t="inlineStr"/>
      <c r="I2421" s="127" t="n"/>
      <c r="J2421" s="127" t="n"/>
      <c r="K2421" s="127" t="inlineStr"/>
      <c r="L2421" s="127" t="n"/>
      <c r="M2421" s="127" t="n"/>
      <c r="N2421" s="127" t="n"/>
      <c r="O2421" s="127" t="n"/>
      <c r="P2421" s="127" t="n"/>
      <c r="Q2421" s="127" t="n"/>
      <c r="R2421" s="127" t="n"/>
      <c r="S2421" s="127" t="n"/>
      <c r="T2421" s="127" t="n"/>
      <c r="U2421" s="127" t="n"/>
      <c r="V2421" s="127" t="n"/>
      <c r="W2421" s="127" t="n"/>
      <c r="X2421" s="127" t="n"/>
      <c r="Y2421" s="127" t="n"/>
      <c r="Z2421" s="127" t="n"/>
    </row>
    <row r="2422">
      <c r="A2422" s="217" t="n"/>
      <c r="B2422" s="126" t="n"/>
      <c r="C2422" s="126" t="n"/>
      <c r="D2422" s="126" t="n"/>
      <c r="E2422" s="126" t="n"/>
      <c r="F2422" s="127" t="n"/>
      <c r="G2422" s="127" t="inlineStr"/>
      <c r="H2422" s="127" t="inlineStr"/>
      <c r="I2422" s="127" t="n"/>
      <c r="J2422" s="127" t="n"/>
      <c r="K2422" s="127" t="inlineStr"/>
      <c r="L2422" s="127" t="n"/>
      <c r="M2422" s="127" t="n"/>
      <c r="N2422" s="127" t="n"/>
      <c r="O2422" s="127" t="n"/>
      <c r="P2422" s="127" t="n"/>
      <c r="Q2422" s="127" t="n"/>
      <c r="R2422" s="127" t="n"/>
      <c r="S2422" s="127" t="n"/>
      <c r="T2422" s="127" t="n"/>
      <c r="U2422" s="127" t="n"/>
      <c r="V2422" s="127" t="n"/>
      <c r="W2422" s="127" t="n"/>
      <c r="X2422" s="127" t="n"/>
      <c r="Y2422" s="127" t="n"/>
      <c r="Z2422" s="127" t="n"/>
    </row>
    <row r="2423">
      <c r="A2423" s="217" t="n"/>
      <c r="B2423" s="126" t="n"/>
      <c r="C2423" s="126" t="n"/>
      <c r="D2423" s="126" t="n"/>
      <c r="E2423" s="126" t="n"/>
      <c r="F2423" s="127" t="n"/>
      <c r="G2423" s="127" t="inlineStr"/>
      <c r="H2423" s="127" t="inlineStr"/>
      <c r="I2423" s="127" t="n"/>
      <c r="J2423" s="127" t="n"/>
      <c r="K2423" s="127" t="inlineStr"/>
      <c r="L2423" s="127" t="n"/>
      <c r="M2423" s="127" t="n"/>
      <c r="N2423" s="127" t="n"/>
      <c r="O2423" s="127" t="n"/>
      <c r="P2423" s="127" t="n"/>
      <c r="Q2423" s="127" t="n"/>
      <c r="R2423" s="127" t="n"/>
      <c r="S2423" s="127" t="n"/>
      <c r="T2423" s="127" t="n"/>
      <c r="U2423" s="127" t="n"/>
      <c r="V2423" s="127" t="n"/>
      <c r="W2423" s="127" t="n"/>
      <c r="X2423" s="127" t="n"/>
      <c r="Y2423" s="127" t="n"/>
      <c r="Z2423" s="127" t="n"/>
    </row>
    <row r="2424">
      <c r="A2424" s="217" t="n"/>
      <c r="B2424" s="126" t="n"/>
      <c r="C2424" s="126" t="n"/>
      <c r="D2424" s="126" t="n"/>
      <c r="E2424" s="126" t="n"/>
      <c r="F2424" s="127" t="n"/>
      <c r="G2424" s="127" t="inlineStr"/>
      <c r="H2424" s="127" t="inlineStr"/>
      <c r="I2424" s="127" t="n"/>
      <c r="J2424" s="127" t="n"/>
      <c r="K2424" s="127" t="inlineStr"/>
      <c r="L2424" s="127" t="n"/>
      <c r="M2424" s="127" t="n"/>
      <c r="N2424" s="127" t="n"/>
      <c r="O2424" s="127" t="n"/>
      <c r="P2424" s="127" t="n"/>
      <c r="Q2424" s="127" t="n"/>
      <c r="R2424" s="127" t="n"/>
      <c r="S2424" s="127" t="n"/>
      <c r="T2424" s="127" t="n"/>
      <c r="U2424" s="127" t="n"/>
      <c r="V2424" s="127" t="n"/>
      <c r="W2424" s="127" t="n"/>
      <c r="X2424" s="127" t="n"/>
      <c r="Y2424" s="127" t="n"/>
      <c r="Z2424" s="127" t="n"/>
    </row>
    <row r="2425">
      <c r="A2425" s="217" t="n"/>
      <c r="B2425" s="126" t="n"/>
      <c r="C2425" s="126" t="n"/>
      <c r="D2425" s="126" t="n"/>
      <c r="E2425" s="126" t="n"/>
      <c r="F2425" s="127" t="n"/>
      <c r="G2425" s="127" t="inlineStr"/>
      <c r="H2425" s="127" t="inlineStr"/>
      <c r="I2425" s="127" t="n"/>
      <c r="J2425" s="127" t="n"/>
      <c r="K2425" s="127" t="inlineStr"/>
      <c r="L2425" s="127" t="n"/>
      <c r="M2425" s="127" t="n"/>
      <c r="N2425" s="127" t="n"/>
      <c r="O2425" s="127" t="n"/>
      <c r="P2425" s="127" t="n"/>
      <c r="Q2425" s="127" t="n"/>
      <c r="R2425" s="127" t="n"/>
      <c r="S2425" s="127" t="n"/>
      <c r="T2425" s="127" t="n"/>
      <c r="U2425" s="127" t="n"/>
      <c r="V2425" s="127" t="n"/>
      <c r="W2425" s="127" t="n"/>
      <c r="X2425" s="127" t="n"/>
      <c r="Y2425" s="127" t="n"/>
      <c r="Z2425" s="127" t="n"/>
    </row>
    <row r="2426">
      <c r="A2426" s="217" t="n"/>
      <c r="B2426" s="126" t="n"/>
      <c r="C2426" s="126" t="n"/>
      <c r="D2426" s="126" t="n"/>
      <c r="E2426" s="126" t="n"/>
      <c r="F2426" s="127" t="n"/>
      <c r="G2426" s="127" t="inlineStr"/>
      <c r="H2426" s="127" t="inlineStr"/>
      <c r="I2426" s="127" t="n"/>
      <c r="J2426" s="127" t="n"/>
      <c r="K2426" s="127" t="inlineStr"/>
      <c r="L2426" s="127" t="n"/>
      <c r="M2426" s="127" t="n"/>
      <c r="N2426" s="127" t="n"/>
      <c r="O2426" s="127" t="n"/>
      <c r="P2426" s="127" t="n"/>
      <c r="Q2426" s="127" t="n"/>
      <c r="R2426" s="127" t="n"/>
      <c r="S2426" s="127" t="n"/>
      <c r="T2426" s="127" t="n"/>
      <c r="U2426" s="127" t="n"/>
      <c r="V2426" s="127" t="n"/>
      <c r="W2426" s="127" t="n"/>
      <c r="X2426" s="127" t="n"/>
      <c r="Y2426" s="127" t="n"/>
      <c r="Z2426" s="127" t="n"/>
    </row>
    <row r="2427">
      <c r="A2427" s="217" t="n"/>
      <c r="B2427" s="126" t="n"/>
      <c r="C2427" s="126" t="n"/>
      <c r="D2427" s="126" t="n"/>
      <c r="E2427" s="126" t="n"/>
      <c r="F2427" s="127" t="n"/>
      <c r="G2427" s="127" t="inlineStr"/>
      <c r="H2427" s="127" t="inlineStr"/>
      <c r="I2427" s="127" t="n"/>
      <c r="J2427" s="127" t="n"/>
      <c r="K2427" s="127" t="inlineStr"/>
      <c r="L2427" s="127" t="n"/>
      <c r="M2427" s="127" t="n"/>
      <c r="N2427" s="127" t="n"/>
      <c r="O2427" s="127" t="n"/>
      <c r="P2427" s="127" t="n"/>
      <c r="Q2427" s="127" t="n"/>
      <c r="R2427" s="127" t="n"/>
      <c r="S2427" s="127" t="n"/>
      <c r="T2427" s="127" t="n"/>
      <c r="U2427" s="127" t="n"/>
      <c r="V2427" s="127" t="n"/>
      <c r="W2427" s="127" t="n"/>
      <c r="X2427" s="127" t="n"/>
      <c r="Y2427" s="127" t="n"/>
      <c r="Z2427" s="127" t="n"/>
    </row>
    <row r="2428">
      <c r="A2428" s="217" t="n"/>
      <c r="B2428" s="126" t="n"/>
      <c r="C2428" s="126" t="n"/>
      <c r="D2428" s="126" t="n"/>
      <c r="E2428" s="126" t="n"/>
      <c r="F2428" s="127" t="n"/>
      <c r="G2428" s="127" t="inlineStr"/>
      <c r="H2428" s="127" t="inlineStr"/>
      <c r="I2428" s="127" t="n"/>
      <c r="J2428" s="127" t="n"/>
      <c r="K2428" s="127" t="inlineStr"/>
      <c r="L2428" s="127" t="n"/>
      <c r="M2428" s="127" t="n"/>
      <c r="N2428" s="127" t="n"/>
      <c r="O2428" s="127" t="n"/>
      <c r="P2428" s="127" t="n"/>
      <c r="Q2428" s="127" t="n"/>
      <c r="R2428" s="127" t="n"/>
      <c r="S2428" s="127" t="n"/>
      <c r="T2428" s="127" t="n"/>
      <c r="U2428" s="127" t="n"/>
      <c r="V2428" s="127" t="n"/>
      <c r="W2428" s="127" t="n"/>
      <c r="X2428" s="127" t="n"/>
      <c r="Y2428" s="127" t="n"/>
      <c r="Z2428" s="127" t="n"/>
    </row>
    <row r="2429">
      <c r="A2429" s="217" t="n"/>
      <c r="B2429" s="126" t="n"/>
      <c r="C2429" s="126" t="n"/>
      <c r="D2429" s="126" t="n"/>
      <c r="E2429" s="126" t="n"/>
      <c r="F2429" s="127" t="n"/>
      <c r="G2429" s="127" t="inlineStr"/>
      <c r="H2429" s="127" t="inlineStr"/>
      <c r="I2429" s="127" t="n"/>
      <c r="J2429" s="127" t="n"/>
      <c r="K2429" s="127" t="inlineStr"/>
      <c r="L2429" s="127" t="n"/>
      <c r="M2429" s="127" t="n"/>
      <c r="N2429" s="127" t="n"/>
      <c r="O2429" s="127" t="n"/>
      <c r="P2429" s="127" t="n"/>
      <c r="Q2429" s="127" t="n"/>
      <c r="R2429" s="127" t="n"/>
      <c r="S2429" s="127" t="n"/>
      <c r="T2429" s="127" t="n"/>
      <c r="U2429" s="127" t="n"/>
      <c r="V2429" s="127" t="n"/>
      <c r="W2429" s="127" t="n"/>
      <c r="X2429" s="127" t="n"/>
      <c r="Y2429" s="127" t="n"/>
      <c r="Z2429" s="127" t="n"/>
    </row>
    <row r="2430">
      <c r="A2430" s="217" t="n"/>
      <c r="B2430" s="126" t="n"/>
      <c r="C2430" s="126" t="n"/>
      <c r="D2430" s="126" t="n"/>
      <c r="E2430" s="126" t="n"/>
      <c r="F2430" s="127" t="n"/>
      <c r="G2430" s="127" t="inlineStr"/>
      <c r="H2430" s="127" t="inlineStr"/>
      <c r="I2430" s="127" t="n"/>
      <c r="J2430" s="127" t="n"/>
      <c r="K2430" s="127" t="inlineStr"/>
      <c r="L2430" s="127" t="n"/>
      <c r="M2430" s="127" t="n"/>
      <c r="N2430" s="127" t="n"/>
      <c r="O2430" s="127" t="n"/>
      <c r="P2430" s="127" t="n"/>
      <c r="Q2430" s="127" t="n"/>
      <c r="R2430" s="127" t="n"/>
      <c r="S2430" s="127" t="n"/>
      <c r="T2430" s="127" t="n"/>
      <c r="U2430" s="127" t="n"/>
      <c r="V2430" s="127" t="n"/>
      <c r="W2430" s="127" t="n"/>
      <c r="X2430" s="127" t="n"/>
      <c r="Y2430" s="127" t="n"/>
      <c r="Z2430" s="127" t="n"/>
    </row>
    <row r="2431">
      <c r="A2431" s="217" t="n"/>
      <c r="B2431" s="126" t="n"/>
      <c r="C2431" s="126" t="n"/>
      <c r="D2431" s="126" t="n"/>
      <c r="E2431" s="126" t="n"/>
      <c r="F2431" s="127" t="n"/>
      <c r="G2431" s="127" t="inlineStr"/>
      <c r="H2431" s="127" t="inlineStr"/>
      <c r="I2431" s="127" t="n"/>
      <c r="J2431" s="127" t="n"/>
      <c r="K2431" s="127" t="inlineStr"/>
      <c r="L2431" s="127" t="n"/>
      <c r="M2431" s="127" t="n"/>
      <c r="N2431" s="127" t="n"/>
      <c r="O2431" s="127" t="n"/>
      <c r="P2431" s="127" t="n"/>
      <c r="Q2431" s="127" t="n"/>
      <c r="R2431" s="127" t="n"/>
      <c r="S2431" s="127" t="n"/>
      <c r="T2431" s="127" t="n"/>
      <c r="U2431" s="127" t="n"/>
      <c r="V2431" s="127" t="n"/>
      <c r="W2431" s="127" t="n"/>
      <c r="X2431" s="127" t="n"/>
      <c r="Y2431" s="127" t="n"/>
      <c r="Z2431" s="127" t="n"/>
    </row>
    <row r="2432">
      <c r="A2432" s="217" t="n"/>
      <c r="B2432" s="126" t="n"/>
      <c r="C2432" s="126" t="n"/>
      <c r="D2432" s="126" t="n"/>
      <c r="E2432" s="126" t="n"/>
      <c r="F2432" s="127" t="n"/>
      <c r="G2432" s="127" t="inlineStr"/>
      <c r="H2432" s="127" t="inlineStr"/>
      <c r="I2432" s="127" t="n"/>
      <c r="J2432" s="127" t="n"/>
      <c r="K2432" s="127" t="inlineStr"/>
      <c r="L2432" s="127" t="n"/>
      <c r="M2432" s="127" t="n"/>
      <c r="N2432" s="127" t="n"/>
      <c r="O2432" s="127" t="n"/>
      <c r="P2432" s="127" t="n"/>
      <c r="Q2432" s="127" t="n"/>
      <c r="R2432" s="127" t="n"/>
      <c r="S2432" s="127" t="n"/>
      <c r="T2432" s="127" t="n"/>
      <c r="U2432" s="127" t="n"/>
      <c r="V2432" s="127" t="n"/>
      <c r="W2432" s="127" t="n"/>
      <c r="X2432" s="127" t="n"/>
      <c r="Y2432" s="127" t="n"/>
      <c r="Z2432" s="127" t="n"/>
    </row>
    <row r="2433">
      <c r="A2433" s="217" t="n"/>
      <c r="B2433" s="126" t="n"/>
      <c r="C2433" s="126" t="n"/>
      <c r="D2433" s="126" t="n"/>
      <c r="E2433" s="126" t="n"/>
      <c r="F2433" s="127" t="n"/>
      <c r="G2433" s="127" t="inlineStr"/>
      <c r="H2433" s="127" t="inlineStr"/>
      <c r="I2433" s="127" t="n"/>
      <c r="J2433" s="127" t="n"/>
      <c r="K2433" s="127" t="inlineStr"/>
      <c r="L2433" s="127" t="n"/>
      <c r="M2433" s="127" t="n"/>
      <c r="N2433" s="127" t="n"/>
      <c r="O2433" s="127" t="n"/>
      <c r="P2433" s="127" t="n"/>
      <c r="Q2433" s="127" t="n"/>
      <c r="R2433" s="127" t="n"/>
      <c r="S2433" s="127" t="n"/>
      <c r="T2433" s="127" t="n"/>
      <c r="U2433" s="127" t="n"/>
      <c r="V2433" s="127" t="n"/>
      <c r="W2433" s="127" t="n"/>
      <c r="X2433" s="127" t="n"/>
      <c r="Y2433" s="127" t="n"/>
      <c r="Z2433" s="127" t="n"/>
    </row>
    <row r="2434">
      <c r="A2434" s="217" t="n"/>
      <c r="B2434" s="126" t="n"/>
      <c r="C2434" s="126" t="n"/>
      <c r="D2434" s="126" t="n"/>
      <c r="E2434" s="126" t="n"/>
      <c r="F2434" s="127" t="n"/>
      <c r="G2434" s="127" t="inlineStr"/>
      <c r="H2434" s="127" t="inlineStr"/>
      <c r="I2434" s="127" t="n"/>
      <c r="J2434" s="127" t="n"/>
      <c r="K2434" s="127" t="inlineStr"/>
      <c r="L2434" s="127" t="n"/>
      <c r="M2434" s="127" t="n"/>
      <c r="N2434" s="127" t="n"/>
      <c r="O2434" s="127" t="n"/>
      <c r="P2434" s="127" t="n"/>
      <c r="Q2434" s="127" t="n"/>
      <c r="R2434" s="127" t="n"/>
      <c r="S2434" s="127" t="n"/>
      <c r="T2434" s="127" t="n"/>
      <c r="U2434" s="127" t="n"/>
      <c r="V2434" s="127" t="n"/>
      <c r="W2434" s="127" t="n"/>
      <c r="X2434" s="127" t="n"/>
      <c r="Y2434" s="127" t="n"/>
      <c r="Z2434" s="127" t="n"/>
    </row>
    <row r="2435">
      <c r="A2435" s="217" t="n"/>
      <c r="B2435" s="126" t="n"/>
      <c r="C2435" s="126" t="n"/>
      <c r="D2435" s="126" t="n"/>
      <c r="E2435" s="126" t="n"/>
      <c r="F2435" s="127" t="n"/>
      <c r="G2435" s="127" t="inlineStr"/>
      <c r="H2435" s="127" t="inlineStr"/>
      <c r="I2435" s="127" t="n"/>
      <c r="J2435" s="127" t="n"/>
      <c r="K2435" s="127" t="inlineStr"/>
      <c r="L2435" s="127" t="n"/>
      <c r="M2435" s="127" t="n"/>
      <c r="N2435" s="127" t="n"/>
      <c r="O2435" s="127" t="n"/>
      <c r="P2435" s="127" t="n"/>
      <c r="Q2435" s="127" t="n"/>
      <c r="R2435" s="127" t="n"/>
      <c r="S2435" s="127" t="n"/>
      <c r="T2435" s="127" t="n"/>
      <c r="U2435" s="127" t="n"/>
      <c r="V2435" s="127" t="n"/>
      <c r="W2435" s="127" t="n"/>
      <c r="X2435" s="127" t="n"/>
      <c r="Y2435" s="127" t="n"/>
      <c r="Z2435" s="127" t="n"/>
    </row>
    <row r="2436">
      <c r="A2436" s="217" t="n"/>
      <c r="B2436" s="126" t="n"/>
      <c r="C2436" s="126" t="n"/>
      <c r="D2436" s="126" t="n"/>
      <c r="E2436" s="126" t="n"/>
      <c r="F2436" s="127" t="n"/>
      <c r="G2436" s="127" t="inlineStr"/>
      <c r="H2436" s="127" t="inlineStr"/>
      <c r="I2436" s="127" t="n"/>
      <c r="J2436" s="127" t="n"/>
      <c r="K2436" s="127" t="inlineStr"/>
      <c r="L2436" s="127" t="n"/>
      <c r="M2436" s="127" t="n"/>
      <c r="N2436" s="127" t="n"/>
      <c r="O2436" s="127" t="n"/>
      <c r="P2436" s="127" t="n"/>
      <c r="Q2436" s="127" t="n"/>
      <c r="R2436" s="127" t="n"/>
      <c r="S2436" s="127" t="n"/>
      <c r="T2436" s="127" t="n"/>
      <c r="U2436" s="127" t="n"/>
      <c r="V2436" s="127" t="n"/>
      <c r="W2436" s="127" t="n"/>
      <c r="X2436" s="127" t="n"/>
      <c r="Y2436" s="127" t="n"/>
      <c r="Z2436" s="127" t="n"/>
    </row>
    <row r="2437">
      <c r="A2437" s="217" t="n"/>
      <c r="B2437" s="126" t="n"/>
      <c r="C2437" s="126" t="n"/>
      <c r="D2437" s="126" t="n"/>
      <c r="E2437" s="126" t="n"/>
      <c r="F2437" s="127" t="n"/>
      <c r="G2437" s="127" t="inlineStr"/>
      <c r="H2437" s="127" t="inlineStr"/>
      <c r="I2437" s="127" t="n"/>
      <c r="J2437" s="127" t="n"/>
      <c r="K2437" s="127" t="inlineStr"/>
      <c r="L2437" s="127" t="n"/>
      <c r="M2437" s="127" t="n"/>
      <c r="N2437" s="127" t="n"/>
      <c r="O2437" s="127" t="n"/>
      <c r="P2437" s="127" t="n"/>
      <c r="Q2437" s="127" t="n"/>
      <c r="R2437" s="127" t="n"/>
      <c r="S2437" s="127" t="n"/>
      <c r="T2437" s="127" t="n"/>
      <c r="U2437" s="127" t="n"/>
      <c r="V2437" s="127" t="n"/>
      <c r="W2437" s="127" t="n"/>
      <c r="X2437" s="127" t="n"/>
      <c r="Y2437" s="127" t="n"/>
      <c r="Z2437" s="127" t="n"/>
    </row>
    <row r="2438">
      <c r="A2438" s="217" t="n"/>
      <c r="B2438" s="126" t="n"/>
      <c r="C2438" s="126" t="n"/>
      <c r="D2438" s="126" t="n"/>
      <c r="E2438" s="126" t="n"/>
      <c r="F2438" s="127" t="n"/>
      <c r="G2438" s="127" t="inlineStr"/>
      <c r="H2438" s="127" t="inlineStr"/>
      <c r="I2438" s="127" t="n"/>
      <c r="J2438" s="127" t="n"/>
      <c r="K2438" s="127" t="inlineStr"/>
      <c r="L2438" s="127" t="n"/>
      <c r="M2438" s="127" t="n"/>
      <c r="N2438" s="127" t="n"/>
      <c r="O2438" s="127" t="n"/>
      <c r="P2438" s="127" t="n"/>
      <c r="Q2438" s="127" t="n"/>
      <c r="R2438" s="127" t="n"/>
      <c r="S2438" s="127" t="n"/>
      <c r="T2438" s="127" t="n"/>
      <c r="U2438" s="127" t="n"/>
      <c r="V2438" s="127" t="n"/>
      <c r="W2438" s="127" t="n"/>
      <c r="X2438" s="127" t="n"/>
      <c r="Y2438" s="127" t="n"/>
      <c r="Z2438" s="127" t="n"/>
    </row>
    <row r="2439">
      <c r="A2439" s="217" t="n"/>
      <c r="B2439" s="126" t="n"/>
      <c r="C2439" s="126" t="n"/>
      <c r="D2439" s="126" t="n"/>
      <c r="E2439" s="126" t="n"/>
      <c r="F2439" s="127" t="n"/>
      <c r="G2439" s="127" t="inlineStr"/>
      <c r="H2439" s="127" t="inlineStr"/>
      <c r="I2439" s="127" t="n"/>
      <c r="J2439" s="127" t="n"/>
      <c r="K2439" s="127" t="inlineStr"/>
      <c r="L2439" s="127" t="n"/>
      <c r="M2439" s="127" t="n"/>
      <c r="N2439" s="127" t="n"/>
      <c r="O2439" s="127" t="n"/>
      <c r="P2439" s="127" t="n"/>
      <c r="Q2439" s="127" t="n"/>
      <c r="R2439" s="127" t="n"/>
      <c r="S2439" s="127" t="n"/>
      <c r="T2439" s="127" t="n"/>
      <c r="U2439" s="127" t="n"/>
      <c r="V2439" s="127" t="n"/>
      <c r="W2439" s="127" t="n"/>
      <c r="X2439" s="127" t="n"/>
      <c r="Y2439" s="127" t="n"/>
      <c r="Z2439" s="127" t="n"/>
    </row>
    <row r="2440">
      <c r="A2440" s="217" t="n"/>
      <c r="B2440" s="126" t="n"/>
      <c r="C2440" s="126" t="n"/>
      <c r="D2440" s="126" t="n"/>
      <c r="E2440" s="126" t="n"/>
      <c r="F2440" s="127" t="n"/>
      <c r="G2440" s="127" t="inlineStr"/>
      <c r="H2440" s="127" t="inlineStr"/>
      <c r="I2440" s="127" t="n"/>
      <c r="J2440" s="127" t="n"/>
      <c r="K2440" s="127" t="inlineStr"/>
      <c r="L2440" s="127" t="n"/>
      <c r="M2440" s="127" t="n"/>
      <c r="N2440" s="127" t="n"/>
      <c r="O2440" s="127" t="n"/>
      <c r="P2440" s="127" t="n"/>
      <c r="Q2440" s="127" t="n"/>
      <c r="R2440" s="127" t="n"/>
      <c r="S2440" s="127" t="n"/>
      <c r="T2440" s="127" t="n"/>
      <c r="U2440" s="127" t="n"/>
      <c r="V2440" s="127" t="n"/>
      <c r="W2440" s="127" t="n"/>
      <c r="X2440" s="127" t="n"/>
      <c r="Y2440" s="127" t="n"/>
      <c r="Z2440" s="127" t="n"/>
    </row>
    <row r="2441">
      <c r="A2441" s="217" t="n"/>
      <c r="B2441" s="126" t="n"/>
      <c r="C2441" s="126" t="n"/>
      <c r="D2441" s="126" t="n"/>
      <c r="E2441" s="126" t="n"/>
      <c r="F2441" s="127" t="n"/>
      <c r="G2441" s="127" t="inlineStr"/>
      <c r="H2441" s="127" t="inlineStr"/>
      <c r="I2441" s="127" t="n"/>
      <c r="J2441" s="127" t="n"/>
      <c r="K2441" s="127" t="inlineStr"/>
      <c r="L2441" s="127" t="n"/>
      <c r="M2441" s="127" t="n"/>
      <c r="N2441" s="127" t="n"/>
      <c r="O2441" s="127" t="n"/>
      <c r="P2441" s="127" t="n"/>
      <c r="Q2441" s="127" t="n"/>
      <c r="R2441" s="127" t="n"/>
      <c r="S2441" s="127" t="n"/>
      <c r="T2441" s="127" t="n"/>
      <c r="U2441" s="127" t="n"/>
      <c r="V2441" s="127" t="n"/>
      <c r="W2441" s="127" t="n"/>
      <c r="X2441" s="127" t="n"/>
      <c r="Y2441" s="127" t="n"/>
      <c r="Z2441" s="127" t="n"/>
    </row>
    <row r="2442">
      <c r="A2442" s="217" t="n"/>
      <c r="B2442" s="126" t="n"/>
      <c r="C2442" s="126" t="n"/>
      <c r="D2442" s="126" t="n"/>
      <c r="E2442" s="126" t="n"/>
      <c r="F2442" s="127" t="n"/>
      <c r="G2442" s="127" t="inlineStr"/>
      <c r="H2442" s="127" t="inlineStr"/>
      <c r="I2442" s="127" t="n"/>
      <c r="J2442" s="127" t="n"/>
      <c r="K2442" s="127" t="inlineStr"/>
      <c r="L2442" s="127" t="n"/>
      <c r="M2442" s="127" t="n"/>
      <c r="N2442" s="127" t="n"/>
      <c r="O2442" s="127" t="n"/>
      <c r="P2442" s="127" t="n"/>
      <c r="Q2442" s="127" t="n"/>
      <c r="R2442" s="127" t="n"/>
      <c r="S2442" s="127" t="n"/>
      <c r="T2442" s="127" t="n"/>
      <c r="U2442" s="127" t="n"/>
      <c r="V2442" s="127" t="n"/>
      <c r="W2442" s="127" t="n"/>
      <c r="X2442" s="127" t="n"/>
      <c r="Y2442" s="127" t="n"/>
      <c r="Z2442" s="127" t="n"/>
    </row>
    <row r="2443">
      <c r="A2443" s="217" t="n"/>
      <c r="B2443" s="126" t="n"/>
      <c r="C2443" s="126" t="n"/>
      <c r="D2443" s="126" t="n"/>
      <c r="E2443" s="126" t="n"/>
      <c r="F2443" s="127" t="n"/>
      <c r="G2443" s="127" t="inlineStr"/>
      <c r="H2443" s="127" t="inlineStr"/>
      <c r="I2443" s="127" t="n"/>
      <c r="J2443" s="127" t="n"/>
      <c r="K2443" s="127" t="inlineStr"/>
      <c r="L2443" s="127" t="n"/>
      <c r="M2443" s="127" t="n"/>
      <c r="N2443" s="127" t="n"/>
      <c r="O2443" s="127" t="n"/>
      <c r="P2443" s="127" t="n"/>
      <c r="Q2443" s="127" t="n"/>
      <c r="R2443" s="127" t="n"/>
      <c r="S2443" s="127" t="n"/>
      <c r="T2443" s="127" t="n"/>
      <c r="U2443" s="127" t="n"/>
      <c r="V2443" s="127" t="n"/>
      <c r="W2443" s="127" t="n"/>
      <c r="X2443" s="127" t="n"/>
      <c r="Y2443" s="127" t="n"/>
      <c r="Z2443" s="127" t="n"/>
    </row>
    <row r="2444">
      <c r="A2444" s="217" t="n"/>
      <c r="B2444" s="126" t="n"/>
      <c r="C2444" s="126" t="n"/>
      <c r="D2444" s="126" t="n"/>
      <c r="E2444" s="126" t="n"/>
      <c r="F2444" s="127" t="n"/>
      <c r="G2444" s="127" t="inlineStr"/>
      <c r="H2444" s="127" t="inlineStr"/>
      <c r="I2444" s="127" t="n"/>
      <c r="J2444" s="127" t="n"/>
      <c r="K2444" s="127" t="inlineStr"/>
      <c r="L2444" s="127" t="n"/>
      <c r="M2444" s="127" t="n"/>
      <c r="N2444" s="127" t="n"/>
      <c r="O2444" s="127" t="n"/>
      <c r="P2444" s="127" t="n"/>
      <c r="Q2444" s="127" t="n"/>
      <c r="R2444" s="127" t="n"/>
      <c r="S2444" s="127" t="n"/>
      <c r="T2444" s="127" t="n"/>
      <c r="U2444" s="127" t="n"/>
      <c r="V2444" s="127" t="n"/>
      <c r="W2444" s="127" t="n"/>
      <c r="X2444" s="127" t="n"/>
      <c r="Y2444" s="127" t="n"/>
      <c r="Z2444" s="127" t="n"/>
    </row>
    <row r="2445">
      <c r="A2445" s="217" t="n"/>
      <c r="B2445" s="126" t="n"/>
      <c r="C2445" s="126" t="n"/>
      <c r="D2445" s="126" t="n"/>
      <c r="E2445" s="126" t="n"/>
      <c r="F2445" s="127" t="n"/>
      <c r="G2445" s="127" t="inlineStr"/>
      <c r="H2445" s="127" t="inlineStr"/>
      <c r="I2445" s="127" t="n"/>
      <c r="J2445" s="127" t="n"/>
      <c r="K2445" s="127" t="inlineStr"/>
      <c r="L2445" s="127" t="n"/>
      <c r="M2445" s="127" t="n"/>
      <c r="N2445" s="127" t="n"/>
      <c r="O2445" s="127" t="n"/>
      <c r="P2445" s="127" t="n"/>
      <c r="Q2445" s="127" t="n"/>
      <c r="R2445" s="127" t="n"/>
      <c r="S2445" s="127" t="n"/>
      <c r="T2445" s="127" t="n"/>
      <c r="U2445" s="127" t="n"/>
      <c r="V2445" s="127" t="n"/>
      <c r="W2445" s="127" t="n"/>
      <c r="X2445" s="127" t="n"/>
      <c r="Y2445" s="127" t="n"/>
      <c r="Z2445" s="127" t="n"/>
    </row>
    <row r="2446">
      <c r="A2446" s="217" t="n"/>
      <c r="B2446" s="126" t="n"/>
      <c r="C2446" s="126" t="n"/>
      <c r="D2446" s="126" t="n"/>
      <c r="E2446" s="126" t="n"/>
      <c r="F2446" s="127" t="n"/>
      <c r="G2446" s="127" t="inlineStr"/>
      <c r="H2446" s="127" t="inlineStr"/>
      <c r="I2446" s="127" t="n"/>
      <c r="J2446" s="127" t="n"/>
      <c r="K2446" s="127" t="inlineStr"/>
      <c r="L2446" s="127" t="n"/>
      <c r="M2446" s="127" t="n"/>
      <c r="N2446" s="127" t="n"/>
      <c r="O2446" s="127" t="n"/>
      <c r="P2446" s="127" t="n"/>
      <c r="Q2446" s="127" t="n"/>
      <c r="R2446" s="127" t="n"/>
      <c r="S2446" s="127" t="n"/>
      <c r="T2446" s="127" t="n"/>
      <c r="U2446" s="127" t="n"/>
      <c r="V2446" s="127" t="n"/>
      <c r="W2446" s="127" t="n"/>
      <c r="X2446" s="127" t="n"/>
      <c r="Y2446" s="127" t="n"/>
      <c r="Z2446" s="127" t="n"/>
    </row>
    <row r="2447">
      <c r="A2447" s="217" t="n"/>
      <c r="B2447" s="126" t="n"/>
      <c r="C2447" s="126" t="n"/>
      <c r="D2447" s="126" t="n"/>
      <c r="E2447" s="126" t="n"/>
      <c r="F2447" s="127" t="n"/>
      <c r="G2447" s="127" t="inlineStr"/>
      <c r="H2447" s="127" t="inlineStr"/>
      <c r="I2447" s="127" t="n"/>
      <c r="J2447" s="127" t="n"/>
      <c r="K2447" s="127" t="inlineStr"/>
      <c r="L2447" s="127" t="n"/>
      <c r="M2447" s="127" t="n"/>
      <c r="N2447" s="127" t="n"/>
      <c r="O2447" s="127" t="n"/>
      <c r="P2447" s="127" t="n"/>
      <c r="Q2447" s="127" t="n"/>
      <c r="R2447" s="127" t="n"/>
      <c r="S2447" s="127" t="n"/>
      <c r="T2447" s="127" t="n"/>
      <c r="U2447" s="127" t="n"/>
      <c r="V2447" s="127" t="n"/>
      <c r="W2447" s="127" t="n"/>
      <c r="X2447" s="127" t="n"/>
      <c r="Y2447" s="127" t="n"/>
      <c r="Z2447" s="127" t="n"/>
    </row>
    <row r="2448">
      <c r="A2448" s="217" t="n"/>
      <c r="B2448" s="126" t="n"/>
      <c r="C2448" s="126" t="n"/>
      <c r="D2448" s="126" t="n"/>
      <c r="E2448" s="126" t="n"/>
      <c r="F2448" s="127" t="n"/>
      <c r="G2448" s="127" t="inlineStr"/>
      <c r="H2448" s="127" t="inlineStr"/>
      <c r="I2448" s="127" t="n"/>
      <c r="J2448" s="127" t="n"/>
      <c r="K2448" s="127" t="inlineStr"/>
      <c r="L2448" s="127" t="n"/>
      <c r="M2448" s="127" t="n"/>
      <c r="N2448" s="127" t="n"/>
      <c r="O2448" s="127" t="n"/>
      <c r="P2448" s="127" t="n"/>
      <c r="Q2448" s="127" t="n"/>
      <c r="R2448" s="127" t="n"/>
      <c r="S2448" s="127" t="n"/>
      <c r="T2448" s="127" t="n"/>
      <c r="U2448" s="127" t="n"/>
      <c r="V2448" s="127" t="n"/>
      <c r="W2448" s="127" t="n"/>
      <c r="X2448" s="127" t="n"/>
      <c r="Y2448" s="127" t="n"/>
      <c r="Z2448" s="127" t="n"/>
    </row>
    <row r="2449">
      <c r="A2449" s="217" t="n"/>
      <c r="B2449" s="126" t="n"/>
      <c r="C2449" s="126" t="n"/>
      <c r="D2449" s="126" t="n"/>
      <c r="E2449" s="126" t="n"/>
      <c r="F2449" s="127" t="n"/>
      <c r="G2449" s="127" t="inlineStr"/>
      <c r="H2449" s="127" t="inlineStr"/>
      <c r="I2449" s="127" t="n"/>
      <c r="J2449" s="127" t="n"/>
      <c r="K2449" s="127" t="inlineStr"/>
      <c r="L2449" s="127" t="n"/>
      <c r="M2449" s="127" t="n"/>
      <c r="N2449" s="127" t="n"/>
      <c r="O2449" s="127" t="n"/>
      <c r="P2449" s="127" t="n"/>
      <c r="Q2449" s="127" t="n"/>
      <c r="R2449" s="127" t="n"/>
      <c r="S2449" s="127" t="n"/>
      <c r="T2449" s="127" t="n"/>
      <c r="U2449" s="127" t="n"/>
      <c r="V2449" s="127" t="n"/>
      <c r="W2449" s="127" t="n"/>
      <c r="X2449" s="127" t="n"/>
      <c r="Y2449" s="127" t="n"/>
      <c r="Z2449" s="127" t="n"/>
    </row>
    <row r="2450">
      <c r="A2450" s="217" t="n"/>
      <c r="B2450" s="126" t="n"/>
      <c r="C2450" s="126" t="n"/>
      <c r="D2450" s="126" t="n"/>
      <c r="E2450" s="126" t="n"/>
      <c r="F2450" s="127" t="n"/>
      <c r="G2450" s="127" t="inlineStr"/>
      <c r="H2450" s="127" t="inlineStr"/>
      <c r="I2450" s="127" t="n"/>
      <c r="J2450" s="127" t="n"/>
      <c r="K2450" s="127" t="inlineStr"/>
      <c r="L2450" s="127" t="n"/>
      <c r="M2450" s="127" t="n"/>
      <c r="N2450" s="127" t="n"/>
      <c r="O2450" s="127" t="n"/>
      <c r="P2450" s="127" t="n"/>
      <c r="Q2450" s="127" t="n"/>
      <c r="R2450" s="127" t="n"/>
      <c r="S2450" s="127" t="n"/>
      <c r="T2450" s="127" t="n"/>
      <c r="U2450" s="127" t="n"/>
      <c r="V2450" s="127" t="n"/>
      <c r="W2450" s="127" t="n"/>
      <c r="X2450" s="127" t="n"/>
      <c r="Y2450" s="127" t="n"/>
      <c r="Z2450" s="127" t="n"/>
    </row>
    <row r="2451">
      <c r="A2451" s="217" t="n"/>
      <c r="B2451" s="126" t="n"/>
      <c r="C2451" s="126" t="n"/>
      <c r="D2451" s="126" t="n"/>
      <c r="E2451" s="126" t="n"/>
      <c r="F2451" s="127" t="n"/>
      <c r="G2451" s="127" t="inlineStr"/>
      <c r="H2451" s="127" t="inlineStr"/>
      <c r="I2451" s="127" t="n"/>
      <c r="J2451" s="127" t="n"/>
      <c r="K2451" s="127" t="inlineStr"/>
      <c r="L2451" s="127" t="n"/>
      <c r="M2451" s="127" t="n"/>
      <c r="N2451" s="127" t="n"/>
      <c r="O2451" s="127" t="n"/>
      <c r="P2451" s="127" t="n"/>
      <c r="Q2451" s="127" t="n"/>
      <c r="R2451" s="127" t="n"/>
      <c r="S2451" s="127" t="n"/>
      <c r="T2451" s="127" t="n"/>
      <c r="U2451" s="127" t="n"/>
      <c r="V2451" s="127" t="n"/>
      <c r="W2451" s="127" t="n"/>
      <c r="X2451" s="127" t="n"/>
      <c r="Y2451" s="127" t="n"/>
      <c r="Z2451" s="127" t="n"/>
    </row>
    <row r="2452">
      <c r="A2452" s="217" t="n"/>
      <c r="B2452" s="126" t="n"/>
      <c r="C2452" s="126" t="n"/>
      <c r="D2452" s="126" t="n"/>
      <c r="E2452" s="126" t="n"/>
      <c r="F2452" s="127" t="n"/>
      <c r="G2452" s="127" t="inlineStr"/>
      <c r="H2452" s="127" t="inlineStr"/>
      <c r="I2452" s="127" t="n"/>
      <c r="J2452" s="127" t="n"/>
      <c r="K2452" s="127" t="inlineStr"/>
      <c r="L2452" s="127" t="n"/>
      <c r="M2452" s="127" t="n"/>
      <c r="N2452" s="127" t="n"/>
      <c r="O2452" s="127" t="n"/>
      <c r="P2452" s="127" t="n"/>
      <c r="Q2452" s="127" t="n"/>
      <c r="R2452" s="127" t="n"/>
      <c r="S2452" s="127" t="n"/>
      <c r="T2452" s="127" t="n"/>
      <c r="U2452" s="127" t="n"/>
      <c r="V2452" s="127" t="n"/>
      <c r="W2452" s="127" t="n"/>
      <c r="X2452" s="127" t="n"/>
      <c r="Y2452" s="127" t="n"/>
      <c r="Z2452" s="127" t="n"/>
    </row>
    <row r="2453">
      <c r="A2453" s="217" t="n"/>
      <c r="B2453" s="126" t="n"/>
      <c r="C2453" s="126" t="n"/>
      <c r="D2453" s="126" t="n"/>
      <c r="E2453" s="126" t="n"/>
      <c r="F2453" s="127" t="n"/>
      <c r="G2453" s="127" t="inlineStr"/>
      <c r="H2453" s="127" t="inlineStr"/>
      <c r="I2453" s="127" t="n"/>
      <c r="J2453" s="127" t="n"/>
      <c r="K2453" s="127" t="inlineStr"/>
      <c r="L2453" s="127" t="n"/>
      <c r="M2453" s="127" t="n"/>
      <c r="N2453" s="127" t="n"/>
      <c r="O2453" s="127" t="n"/>
      <c r="P2453" s="127" t="n"/>
      <c r="Q2453" s="127" t="n"/>
      <c r="R2453" s="127" t="n"/>
      <c r="S2453" s="127" t="n"/>
      <c r="T2453" s="127" t="n"/>
      <c r="U2453" s="127" t="n"/>
      <c r="V2453" s="127" t="n"/>
      <c r="W2453" s="127" t="n"/>
      <c r="X2453" s="127" t="n"/>
      <c r="Y2453" s="127" t="n"/>
      <c r="Z2453" s="127" t="n"/>
    </row>
    <row r="2454">
      <c r="A2454" s="217" t="n"/>
      <c r="B2454" s="126" t="n"/>
      <c r="C2454" s="126" t="n"/>
      <c r="D2454" s="126" t="n"/>
      <c r="E2454" s="126" t="n"/>
      <c r="F2454" s="127" t="n"/>
      <c r="G2454" s="127" t="inlineStr"/>
      <c r="H2454" s="127" t="inlineStr"/>
      <c r="I2454" s="127" t="n"/>
      <c r="J2454" s="127" t="n"/>
      <c r="K2454" s="127" t="inlineStr"/>
      <c r="L2454" s="127" t="n"/>
      <c r="M2454" s="127" t="n"/>
      <c r="N2454" s="127" t="n"/>
      <c r="O2454" s="127" t="n"/>
      <c r="P2454" s="127" t="n"/>
      <c r="Q2454" s="127" t="n"/>
      <c r="R2454" s="127" t="n"/>
      <c r="S2454" s="127" t="n"/>
      <c r="T2454" s="127" t="n"/>
      <c r="U2454" s="127" t="n"/>
      <c r="V2454" s="127" t="n"/>
      <c r="W2454" s="127" t="n"/>
      <c r="X2454" s="127" t="n"/>
      <c r="Y2454" s="127" t="n"/>
      <c r="Z2454" s="127" t="n"/>
    </row>
    <row r="2455">
      <c r="A2455" s="217" t="n"/>
      <c r="B2455" s="126" t="n"/>
      <c r="C2455" s="126" t="n"/>
      <c r="D2455" s="126" t="n"/>
      <c r="E2455" s="126" t="n"/>
      <c r="F2455" s="127" t="n"/>
      <c r="G2455" s="127" t="inlineStr"/>
      <c r="H2455" s="127" t="inlineStr"/>
      <c r="I2455" s="127" t="n"/>
      <c r="J2455" s="127" t="n"/>
      <c r="K2455" s="127" t="inlineStr"/>
      <c r="L2455" s="127" t="n"/>
      <c r="M2455" s="127" t="n"/>
      <c r="N2455" s="127" t="n"/>
      <c r="O2455" s="127" t="n"/>
      <c r="P2455" s="127" t="n"/>
      <c r="Q2455" s="127" t="n"/>
      <c r="R2455" s="127" t="n"/>
      <c r="S2455" s="127" t="n"/>
      <c r="T2455" s="127" t="n"/>
      <c r="U2455" s="127" t="n"/>
      <c r="V2455" s="127" t="n"/>
      <c r="W2455" s="127" t="n"/>
      <c r="X2455" s="127" t="n"/>
      <c r="Y2455" s="127" t="n"/>
      <c r="Z2455" s="127" t="n"/>
    </row>
    <row r="2456">
      <c r="A2456" s="217" t="n"/>
      <c r="B2456" s="126" t="n"/>
      <c r="C2456" s="126" t="n"/>
      <c r="D2456" s="126" t="n"/>
      <c r="E2456" s="126" t="n"/>
      <c r="F2456" s="127" t="n"/>
      <c r="G2456" s="127" t="inlineStr"/>
      <c r="H2456" s="127" t="inlineStr"/>
      <c r="I2456" s="127" t="n"/>
      <c r="J2456" s="127" t="n"/>
      <c r="K2456" s="127" t="inlineStr"/>
      <c r="L2456" s="127" t="n"/>
      <c r="M2456" s="127" t="n"/>
      <c r="N2456" s="127" t="n"/>
      <c r="O2456" s="127" t="n"/>
      <c r="P2456" s="127" t="n"/>
      <c r="Q2456" s="127" t="n"/>
      <c r="R2456" s="127" t="n"/>
      <c r="S2456" s="127" t="n"/>
      <c r="T2456" s="127" t="n"/>
      <c r="U2456" s="127" t="n"/>
      <c r="V2456" s="127" t="n"/>
      <c r="W2456" s="127" t="n"/>
      <c r="X2456" s="127" t="n"/>
      <c r="Y2456" s="127" t="n"/>
      <c r="Z2456" s="127" t="n"/>
    </row>
    <row r="2457">
      <c r="A2457" s="217" t="n"/>
      <c r="B2457" s="126" t="n"/>
      <c r="C2457" s="126" t="n"/>
      <c r="D2457" s="126" t="n"/>
      <c r="E2457" s="126" t="n"/>
      <c r="F2457" s="127" t="n"/>
      <c r="G2457" s="127" t="inlineStr"/>
      <c r="H2457" s="127" t="inlineStr"/>
      <c r="I2457" s="127" t="n"/>
      <c r="J2457" s="127" t="n"/>
      <c r="K2457" s="127" t="inlineStr"/>
      <c r="L2457" s="127" t="n"/>
      <c r="M2457" s="127" t="n"/>
      <c r="N2457" s="127" t="n"/>
      <c r="O2457" s="127" t="n"/>
      <c r="P2457" s="127" t="n"/>
      <c r="Q2457" s="127" t="n"/>
      <c r="R2457" s="127" t="n"/>
      <c r="S2457" s="127" t="n"/>
      <c r="T2457" s="127" t="n"/>
      <c r="U2457" s="127" t="n"/>
      <c r="V2457" s="127" t="n"/>
      <c r="W2457" s="127" t="n"/>
      <c r="X2457" s="127" t="n"/>
      <c r="Y2457" s="127" t="n"/>
      <c r="Z2457" s="127" t="n"/>
    </row>
    <row r="2458">
      <c r="A2458" s="217" t="n"/>
      <c r="B2458" s="126" t="n"/>
      <c r="C2458" s="126" t="n"/>
      <c r="D2458" s="126" t="n"/>
      <c r="E2458" s="126" t="n"/>
      <c r="F2458" s="127" t="n"/>
      <c r="G2458" s="127" t="inlineStr"/>
      <c r="H2458" s="127" t="inlineStr"/>
      <c r="I2458" s="127" t="n"/>
      <c r="J2458" s="127" t="n"/>
      <c r="K2458" s="127" t="inlineStr"/>
      <c r="L2458" s="127" t="n"/>
      <c r="M2458" s="127" t="n"/>
      <c r="N2458" s="127" t="n"/>
      <c r="O2458" s="127" t="n"/>
      <c r="P2458" s="127" t="n"/>
      <c r="Q2458" s="127" t="n"/>
      <c r="R2458" s="127" t="n"/>
      <c r="S2458" s="127" t="n"/>
      <c r="T2458" s="127" t="n"/>
      <c r="U2458" s="127" t="n"/>
      <c r="V2458" s="127" t="n"/>
      <c r="W2458" s="127" t="n"/>
      <c r="X2458" s="127" t="n"/>
      <c r="Y2458" s="127" t="n"/>
      <c r="Z2458" s="127" t="n"/>
    </row>
    <row r="2459">
      <c r="A2459" s="217" t="n"/>
      <c r="B2459" s="126" t="n"/>
      <c r="C2459" s="126" t="n"/>
      <c r="D2459" s="126" t="n"/>
      <c r="E2459" s="126" t="n"/>
      <c r="F2459" s="127" t="n"/>
      <c r="G2459" s="127" t="inlineStr"/>
      <c r="H2459" s="127" t="inlineStr"/>
      <c r="I2459" s="127" t="n"/>
      <c r="J2459" s="127" t="n"/>
      <c r="K2459" s="127" t="inlineStr"/>
      <c r="L2459" s="127" t="n"/>
      <c r="M2459" s="127" t="n"/>
      <c r="N2459" s="127" t="n"/>
      <c r="O2459" s="127" t="n"/>
      <c r="P2459" s="127" t="n"/>
      <c r="Q2459" s="127" t="n"/>
      <c r="R2459" s="127" t="n"/>
      <c r="S2459" s="127" t="n"/>
      <c r="T2459" s="127" t="n"/>
      <c r="U2459" s="127" t="n"/>
      <c r="V2459" s="127" t="n"/>
      <c r="W2459" s="127" t="n"/>
      <c r="X2459" s="127" t="n"/>
      <c r="Y2459" s="127" t="n"/>
      <c r="Z2459" s="127" t="n"/>
    </row>
    <row r="2460">
      <c r="A2460" s="217" t="n"/>
      <c r="B2460" s="126" t="n"/>
      <c r="C2460" s="126" t="n"/>
      <c r="D2460" s="126" t="n"/>
      <c r="E2460" s="126" t="n"/>
      <c r="F2460" s="127" t="n"/>
      <c r="G2460" s="127" t="inlineStr"/>
      <c r="H2460" s="127" t="inlineStr"/>
      <c r="I2460" s="127" t="n"/>
      <c r="J2460" s="127" t="n"/>
      <c r="K2460" s="127" t="inlineStr"/>
      <c r="L2460" s="127" t="n"/>
      <c r="M2460" s="127" t="n"/>
      <c r="N2460" s="127" t="n"/>
      <c r="O2460" s="127" t="n"/>
      <c r="P2460" s="127" t="n"/>
      <c r="Q2460" s="127" t="n"/>
      <c r="R2460" s="127" t="n"/>
      <c r="S2460" s="127" t="n"/>
      <c r="T2460" s="127" t="n"/>
      <c r="U2460" s="127" t="n"/>
      <c r="V2460" s="127" t="n"/>
      <c r="W2460" s="127" t="n"/>
      <c r="X2460" s="127" t="n"/>
      <c r="Y2460" s="127" t="n"/>
      <c r="Z2460" s="127" t="n"/>
    </row>
    <row r="2461">
      <c r="A2461" s="217" t="n"/>
      <c r="B2461" s="126" t="n"/>
      <c r="C2461" s="126" t="n"/>
      <c r="D2461" s="126" t="n"/>
      <c r="E2461" s="126" t="n"/>
      <c r="F2461" s="127" t="n"/>
      <c r="G2461" s="127" t="inlineStr"/>
      <c r="H2461" s="127" t="inlineStr"/>
      <c r="I2461" s="127" t="n"/>
      <c r="J2461" s="127" t="n"/>
      <c r="K2461" s="127" t="inlineStr"/>
      <c r="L2461" s="127" t="n"/>
      <c r="M2461" s="127" t="n"/>
      <c r="N2461" s="127" t="n"/>
      <c r="O2461" s="127" t="n"/>
      <c r="P2461" s="127" t="n"/>
      <c r="Q2461" s="127" t="n"/>
      <c r="R2461" s="127" t="n"/>
      <c r="S2461" s="127" t="n"/>
      <c r="T2461" s="127" t="n"/>
      <c r="U2461" s="127" t="n"/>
      <c r="V2461" s="127" t="n"/>
      <c r="W2461" s="127" t="n"/>
      <c r="X2461" s="127" t="n"/>
      <c r="Y2461" s="127" t="n"/>
      <c r="Z2461" s="127" t="n"/>
    </row>
    <row r="2462">
      <c r="A2462" s="217" t="n"/>
      <c r="B2462" s="126" t="n"/>
      <c r="C2462" s="126" t="n"/>
      <c r="D2462" s="126" t="n"/>
      <c r="E2462" s="126" t="n"/>
      <c r="F2462" s="127" t="n"/>
      <c r="G2462" s="127" t="inlineStr"/>
      <c r="H2462" s="127" t="inlineStr"/>
      <c r="I2462" s="127" t="n"/>
      <c r="J2462" s="127" t="n"/>
      <c r="K2462" s="127" t="inlineStr"/>
      <c r="L2462" s="127" t="n"/>
      <c r="M2462" s="127" t="n"/>
      <c r="N2462" s="127" t="n"/>
      <c r="O2462" s="127" t="n"/>
      <c r="P2462" s="127" t="n"/>
      <c r="Q2462" s="127" t="n"/>
      <c r="R2462" s="127" t="n"/>
      <c r="S2462" s="127" t="n"/>
      <c r="T2462" s="127" t="n"/>
      <c r="U2462" s="127" t="n"/>
      <c r="V2462" s="127" t="n"/>
      <c r="W2462" s="127" t="n"/>
      <c r="X2462" s="127" t="n"/>
      <c r="Y2462" s="127" t="n"/>
      <c r="Z2462" s="127" t="n"/>
    </row>
    <row r="2463">
      <c r="A2463" s="217" t="n"/>
      <c r="B2463" s="126" t="n"/>
      <c r="C2463" s="126" t="n"/>
      <c r="D2463" s="126" t="n"/>
      <c r="E2463" s="126" t="n"/>
      <c r="F2463" s="127" t="n"/>
      <c r="G2463" s="127" t="inlineStr"/>
      <c r="H2463" s="127" t="inlineStr"/>
      <c r="I2463" s="127" t="n"/>
      <c r="J2463" s="127" t="n"/>
      <c r="K2463" s="127" t="inlineStr"/>
      <c r="L2463" s="127" t="n"/>
      <c r="M2463" s="127" t="n"/>
      <c r="N2463" s="127" t="n"/>
      <c r="O2463" s="127" t="n"/>
      <c r="P2463" s="127" t="n"/>
      <c r="Q2463" s="127" t="n"/>
      <c r="R2463" s="127" t="n"/>
      <c r="S2463" s="127" t="n"/>
      <c r="T2463" s="127" t="n"/>
      <c r="U2463" s="127" t="n"/>
      <c r="V2463" s="127" t="n"/>
      <c r="W2463" s="127" t="n"/>
      <c r="X2463" s="127" t="n"/>
      <c r="Y2463" s="127" t="n"/>
      <c r="Z2463" s="127" t="n"/>
    </row>
    <row r="2464">
      <c r="A2464" s="217" t="n"/>
      <c r="B2464" s="126" t="n"/>
      <c r="C2464" s="126" t="n"/>
      <c r="D2464" s="126" t="n"/>
      <c r="E2464" s="126" t="n"/>
      <c r="F2464" s="127" t="n"/>
      <c r="G2464" s="127" t="inlineStr"/>
      <c r="H2464" s="127" t="inlineStr"/>
      <c r="I2464" s="127" t="n"/>
      <c r="J2464" s="127" t="n"/>
      <c r="K2464" s="127" t="inlineStr"/>
      <c r="L2464" s="127" t="n"/>
      <c r="M2464" s="127" t="n"/>
      <c r="N2464" s="127" t="n"/>
      <c r="O2464" s="127" t="n"/>
      <c r="P2464" s="127" t="n"/>
      <c r="Q2464" s="127" t="n"/>
      <c r="R2464" s="127" t="n"/>
      <c r="S2464" s="127" t="n"/>
      <c r="T2464" s="127" t="n"/>
      <c r="U2464" s="127" t="n"/>
      <c r="V2464" s="127" t="n"/>
      <c r="W2464" s="127" t="n"/>
      <c r="X2464" s="127" t="n"/>
      <c r="Y2464" s="127" t="n"/>
      <c r="Z2464" s="127" t="n"/>
    </row>
    <row r="2465">
      <c r="A2465" s="217" t="n"/>
      <c r="B2465" s="126" t="n"/>
      <c r="C2465" s="126" t="n"/>
      <c r="D2465" s="126" t="n"/>
      <c r="E2465" s="126" t="n"/>
      <c r="F2465" s="127" t="n"/>
      <c r="G2465" s="127" t="inlineStr"/>
      <c r="H2465" s="127" t="inlineStr"/>
      <c r="I2465" s="127" t="n"/>
      <c r="J2465" s="127" t="n"/>
      <c r="K2465" s="127" t="inlineStr"/>
      <c r="L2465" s="127" t="n"/>
      <c r="M2465" s="127" t="n"/>
      <c r="N2465" s="127" t="n"/>
      <c r="O2465" s="127" t="n"/>
      <c r="P2465" s="127" t="n"/>
      <c r="Q2465" s="127" t="n"/>
      <c r="R2465" s="127" t="n"/>
      <c r="S2465" s="127" t="n"/>
      <c r="T2465" s="127" t="n"/>
      <c r="U2465" s="127" t="n"/>
      <c r="V2465" s="127" t="n"/>
      <c r="W2465" s="127" t="n"/>
      <c r="X2465" s="127" t="n"/>
      <c r="Y2465" s="127" t="n"/>
      <c r="Z2465" s="127" t="n"/>
    </row>
    <row r="2466">
      <c r="A2466" s="217" t="n"/>
      <c r="B2466" s="126" t="n"/>
      <c r="C2466" s="126" t="n"/>
      <c r="D2466" s="126" t="n"/>
      <c r="E2466" s="126" t="n"/>
      <c r="F2466" s="127" t="n"/>
      <c r="G2466" s="127" t="inlineStr"/>
      <c r="H2466" s="127" t="inlineStr"/>
      <c r="I2466" s="127" t="n"/>
      <c r="J2466" s="127" t="n"/>
      <c r="K2466" s="127" t="inlineStr"/>
      <c r="L2466" s="127" t="n"/>
      <c r="M2466" s="127" t="n"/>
      <c r="N2466" s="127" t="n"/>
      <c r="O2466" s="127" t="n"/>
      <c r="P2466" s="127" t="n"/>
      <c r="Q2466" s="127" t="n"/>
      <c r="R2466" s="127" t="n"/>
      <c r="S2466" s="127" t="n"/>
      <c r="T2466" s="127" t="n"/>
      <c r="U2466" s="127" t="n"/>
      <c r="V2466" s="127" t="n"/>
      <c r="W2466" s="127" t="n"/>
      <c r="X2466" s="127" t="n"/>
      <c r="Y2466" s="127" t="n"/>
      <c r="Z2466" s="127" t="n"/>
    </row>
    <row r="2467">
      <c r="A2467" s="217" t="n"/>
      <c r="B2467" s="126" t="n"/>
      <c r="C2467" s="126" t="n"/>
      <c r="D2467" s="126" t="n"/>
      <c r="E2467" s="126" t="n"/>
      <c r="F2467" s="127" t="n"/>
      <c r="G2467" s="127" t="inlineStr"/>
      <c r="H2467" s="127" t="inlineStr"/>
      <c r="I2467" s="127" t="n"/>
      <c r="J2467" s="127" t="n"/>
      <c r="K2467" s="127" t="inlineStr"/>
      <c r="L2467" s="127" t="n"/>
      <c r="M2467" s="127" t="n"/>
      <c r="N2467" s="127" t="n"/>
      <c r="O2467" s="127" t="n"/>
      <c r="P2467" s="127" t="n"/>
      <c r="Q2467" s="127" t="n"/>
      <c r="R2467" s="127" t="n"/>
      <c r="S2467" s="127" t="n"/>
      <c r="T2467" s="127" t="n"/>
      <c r="U2467" s="127" t="n"/>
      <c r="V2467" s="127" t="n"/>
      <c r="W2467" s="127" t="n"/>
      <c r="X2467" s="127" t="n"/>
      <c r="Y2467" s="127" t="n"/>
      <c r="Z2467" s="127" t="n"/>
    </row>
    <row r="2468">
      <c r="A2468" s="217" t="n"/>
      <c r="B2468" s="126" t="n"/>
      <c r="C2468" s="126" t="n"/>
      <c r="D2468" s="126" t="n"/>
      <c r="E2468" s="126" t="n"/>
      <c r="F2468" s="127" t="n"/>
      <c r="G2468" s="127" t="inlineStr"/>
      <c r="H2468" s="127" t="inlineStr"/>
      <c r="I2468" s="127" t="n"/>
      <c r="J2468" s="127" t="n"/>
      <c r="K2468" s="127" t="inlineStr"/>
      <c r="L2468" s="127" t="n"/>
      <c r="M2468" s="127" t="n"/>
      <c r="N2468" s="127" t="n"/>
      <c r="O2468" s="127" t="n"/>
      <c r="P2468" s="127" t="n"/>
      <c r="Q2468" s="127" t="n"/>
      <c r="R2468" s="127" t="n"/>
      <c r="S2468" s="127" t="n"/>
      <c r="T2468" s="127" t="n"/>
      <c r="U2468" s="127" t="n"/>
      <c r="V2468" s="127" t="n"/>
      <c r="W2468" s="127" t="n"/>
      <c r="X2468" s="127" t="n"/>
      <c r="Y2468" s="127" t="n"/>
      <c r="Z2468" s="127" t="n"/>
    </row>
    <row r="2469">
      <c r="A2469" s="217" t="n"/>
      <c r="B2469" s="126" t="n"/>
      <c r="C2469" s="126" t="n"/>
      <c r="D2469" s="126" t="n"/>
      <c r="E2469" s="126" t="n"/>
      <c r="F2469" s="127" t="n"/>
      <c r="G2469" s="127" t="inlineStr"/>
      <c r="H2469" s="127" t="inlineStr"/>
      <c r="I2469" s="127" t="n"/>
      <c r="J2469" s="127" t="n"/>
      <c r="K2469" s="127" t="inlineStr"/>
      <c r="L2469" s="127" t="n"/>
      <c r="M2469" s="127" t="n"/>
      <c r="N2469" s="127" t="n"/>
      <c r="O2469" s="127" t="n"/>
      <c r="P2469" s="127" t="n"/>
      <c r="Q2469" s="127" t="n"/>
      <c r="R2469" s="127" t="n"/>
      <c r="S2469" s="127" t="n"/>
      <c r="T2469" s="127" t="n"/>
      <c r="U2469" s="127" t="n"/>
      <c r="V2469" s="127" t="n"/>
      <c r="W2469" s="127" t="n"/>
      <c r="X2469" s="127" t="n"/>
      <c r="Y2469" s="127" t="n"/>
      <c r="Z2469" s="127" t="n"/>
    </row>
    <row r="2470">
      <c r="A2470" s="217" t="n"/>
      <c r="B2470" s="126" t="n"/>
      <c r="C2470" s="126" t="n"/>
      <c r="D2470" s="126" t="n"/>
      <c r="E2470" s="126" t="n"/>
      <c r="F2470" s="127" t="n"/>
      <c r="G2470" s="127" t="inlineStr"/>
      <c r="H2470" s="127" t="inlineStr"/>
      <c r="I2470" s="127" t="n"/>
      <c r="J2470" s="127" t="n"/>
      <c r="K2470" s="127" t="inlineStr"/>
      <c r="L2470" s="127" t="n"/>
      <c r="M2470" s="127" t="n"/>
      <c r="N2470" s="127" t="n"/>
      <c r="O2470" s="127" t="n"/>
      <c r="P2470" s="127" t="n"/>
      <c r="Q2470" s="127" t="n"/>
      <c r="R2470" s="127" t="n"/>
      <c r="S2470" s="127" t="n"/>
      <c r="T2470" s="127" t="n"/>
      <c r="U2470" s="127" t="n"/>
      <c r="V2470" s="127" t="n"/>
      <c r="W2470" s="127" t="n"/>
      <c r="X2470" s="127" t="n"/>
      <c r="Y2470" s="127" t="n"/>
      <c r="Z2470" s="127" t="n"/>
    </row>
    <row r="2471">
      <c r="A2471" s="217" t="n"/>
      <c r="B2471" s="126" t="n"/>
      <c r="C2471" s="126" t="n"/>
      <c r="D2471" s="126" t="n"/>
      <c r="E2471" s="126" t="n"/>
      <c r="F2471" s="127" t="n"/>
      <c r="G2471" s="127" t="inlineStr"/>
      <c r="H2471" s="127" t="inlineStr"/>
      <c r="I2471" s="127" t="n"/>
      <c r="J2471" s="127" t="n"/>
      <c r="K2471" s="127" t="inlineStr"/>
      <c r="L2471" s="127" t="n"/>
      <c r="M2471" s="127" t="n"/>
      <c r="N2471" s="127" t="n"/>
      <c r="O2471" s="127" t="n"/>
      <c r="P2471" s="127" t="n"/>
      <c r="Q2471" s="127" t="n"/>
      <c r="R2471" s="127" t="n"/>
      <c r="S2471" s="127" t="n"/>
      <c r="T2471" s="127" t="n"/>
      <c r="U2471" s="127" t="n"/>
      <c r="V2471" s="127" t="n"/>
      <c r="W2471" s="127" t="n"/>
      <c r="X2471" s="127" t="n"/>
      <c r="Y2471" s="127" t="n"/>
      <c r="Z2471" s="127" t="n"/>
    </row>
    <row r="2472">
      <c r="A2472" s="217" t="n"/>
      <c r="B2472" s="126" t="n"/>
      <c r="C2472" s="126" t="n"/>
      <c r="D2472" s="126" t="n"/>
      <c r="E2472" s="126" t="n"/>
      <c r="F2472" s="127" t="n"/>
      <c r="G2472" s="127" t="inlineStr"/>
      <c r="H2472" s="127" t="inlineStr"/>
      <c r="I2472" s="127" t="n"/>
      <c r="J2472" s="127" t="n"/>
      <c r="K2472" s="127" t="inlineStr"/>
      <c r="L2472" s="127" t="n"/>
      <c r="M2472" s="127" t="n"/>
      <c r="N2472" s="127" t="n"/>
      <c r="O2472" s="127" t="n"/>
      <c r="P2472" s="127" t="n"/>
      <c r="Q2472" s="127" t="n"/>
      <c r="R2472" s="127" t="n"/>
      <c r="S2472" s="127" t="n"/>
      <c r="T2472" s="127" t="n"/>
      <c r="U2472" s="127" t="n"/>
      <c r="V2472" s="127" t="n"/>
      <c r="W2472" s="127" t="n"/>
      <c r="X2472" s="127" t="n"/>
      <c r="Y2472" s="127" t="n"/>
      <c r="Z2472" s="127" t="n"/>
    </row>
    <row r="2473">
      <c r="A2473" s="217" t="n"/>
      <c r="B2473" s="126" t="n"/>
      <c r="C2473" s="126" t="n"/>
      <c r="D2473" s="126" t="n"/>
      <c r="E2473" s="126" t="n"/>
      <c r="F2473" s="127" t="n"/>
      <c r="G2473" s="127" t="inlineStr"/>
      <c r="H2473" s="127" t="inlineStr"/>
      <c r="I2473" s="127" t="n"/>
      <c r="J2473" s="127" t="n"/>
      <c r="K2473" s="127" t="inlineStr"/>
      <c r="L2473" s="127" t="n"/>
      <c r="M2473" s="127" t="n"/>
      <c r="N2473" s="127" t="n"/>
      <c r="O2473" s="127" t="n"/>
      <c r="P2473" s="127" t="n"/>
      <c r="Q2473" s="127" t="n"/>
      <c r="R2473" s="127" t="n"/>
      <c r="S2473" s="127" t="n"/>
      <c r="T2473" s="127" t="n"/>
      <c r="U2473" s="127" t="n"/>
      <c r="V2473" s="127" t="n"/>
      <c r="W2473" s="127" t="n"/>
      <c r="X2473" s="127" t="n"/>
      <c r="Y2473" s="127" t="n"/>
      <c r="Z2473" s="127" t="n"/>
    </row>
    <row r="2474">
      <c r="A2474" s="217" t="n"/>
      <c r="B2474" s="126" t="n"/>
      <c r="C2474" s="126" t="n"/>
      <c r="D2474" s="126" t="n"/>
      <c r="E2474" s="126" t="n"/>
      <c r="F2474" s="127" t="n"/>
      <c r="G2474" s="127" t="inlineStr"/>
      <c r="H2474" s="127" t="inlineStr"/>
      <c r="I2474" s="127" t="n"/>
      <c r="J2474" s="127" t="n"/>
      <c r="K2474" s="127" t="inlineStr"/>
      <c r="L2474" s="127" t="n"/>
      <c r="M2474" s="127" t="n"/>
      <c r="N2474" s="127" t="n"/>
      <c r="O2474" s="127" t="n"/>
      <c r="P2474" s="127" t="n"/>
      <c r="Q2474" s="127" t="n"/>
      <c r="R2474" s="127" t="n"/>
      <c r="S2474" s="127" t="n"/>
      <c r="T2474" s="127" t="n"/>
      <c r="U2474" s="127" t="n"/>
      <c r="V2474" s="127" t="n"/>
      <c r="W2474" s="127" t="n"/>
      <c r="X2474" s="127" t="n"/>
      <c r="Y2474" s="127" t="n"/>
      <c r="Z2474" s="127" t="n"/>
    </row>
    <row r="2475">
      <c r="A2475" s="217" t="n"/>
      <c r="B2475" s="126" t="n"/>
      <c r="C2475" s="126" t="n"/>
      <c r="D2475" s="126" t="n"/>
      <c r="E2475" s="126" t="n"/>
      <c r="F2475" s="127" t="n"/>
      <c r="G2475" s="127" t="inlineStr"/>
      <c r="H2475" s="127" t="inlineStr"/>
      <c r="I2475" s="127" t="n"/>
      <c r="J2475" s="127" t="n"/>
      <c r="K2475" s="127" t="inlineStr"/>
      <c r="L2475" s="127" t="n"/>
      <c r="M2475" s="127" t="n"/>
      <c r="N2475" s="127" t="n"/>
      <c r="O2475" s="127" t="n"/>
      <c r="P2475" s="127" t="n"/>
      <c r="Q2475" s="127" t="n"/>
      <c r="R2475" s="127" t="n"/>
      <c r="S2475" s="127" t="n"/>
      <c r="T2475" s="127" t="n"/>
      <c r="U2475" s="127" t="n"/>
      <c r="V2475" s="127" t="n"/>
      <c r="W2475" s="127" t="n"/>
      <c r="X2475" s="127" t="n"/>
      <c r="Y2475" s="127" t="n"/>
      <c r="Z2475" s="127" t="n"/>
    </row>
    <row r="2476">
      <c r="A2476" s="217" t="n"/>
      <c r="B2476" s="126" t="n"/>
      <c r="C2476" s="126" t="n"/>
      <c r="D2476" s="126" t="n"/>
      <c r="E2476" s="126" t="n"/>
      <c r="F2476" s="127" t="n"/>
      <c r="G2476" s="127" t="inlineStr"/>
      <c r="H2476" s="127" t="inlineStr"/>
      <c r="I2476" s="127" t="n"/>
      <c r="J2476" s="127" t="n"/>
      <c r="K2476" s="127" t="inlineStr"/>
      <c r="L2476" s="127" t="n"/>
      <c r="M2476" s="127" t="n"/>
      <c r="N2476" s="127" t="n"/>
      <c r="O2476" s="127" t="n"/>
      <c r="P2476" s="127" t="n"/>
      <c r="Q2476" s="127" t="n"/>
      <c r="R2476" s="127" t="n"/>
      <c r="S2476" s="127" t="n"/>
      <c r="T2476" s="127" t="n"/>
      <c r="U2476" s="127" t="n"/>
      <c r="V2476" s="127" t="n"/>
      <c r="W2476" s="127" t="n"/>
      <c r="X2476" s="127" t="n"/>
      <c r="Y2476" s="127" t="n"/>
      <c r="Z2476" s="127" t="n"/>
    </row>
    <row r="2477">
      <c r="A2477" s="217" t="n"/>
      <c r="B2477" s="126" t="n"/>
      <c r="C2477" s="126" t="n"/>
      <c r="D2477" s="126" t="n"/>
      <c r="E2477" s="126" t="n"/>
      <c r="F2477" s="127" t="n"/>
      <c r="G2477" s="127" t="inlineStr"/>
      <c r="H2477" s="127" t="inlineStr"/>
      <c r="I2477" s="127" t="n"/>
      <c r="J2477" s="127" t="n"/>
      <c r="K2477" s="127" t="inlineStr"/>
      <c r="L2477" s="127" t="n"/>
      <c r="M2477" s="127" t="n"/>
      <c r="N2477" s="127" t="n"/>
      <c r="O2477" s="127" t="n"/>
      <c r="P2477" s="127" t="n"/>
      <c r="Q2477" s="127" t="n"/>
      <c r="R2477" s="127" t="n"/>
      <c r="S2477" s="127" t="n"/>
      <c r="T2477" s="127" t="n"/>
      <c r="U2477" s="127" t="n"/>
      <c r="V2477" s="127" t="n"/>
      <c r="W2477" s="127" t="n"/>
      <c r="X2477" s="127" t="n"/>
      <c r="Y2477" s="127" t="n"/>
      <c r="Z2477" s="127" t="n"/>
    </row>
    <row r="2478">
      <c r="A2478" s="217" t="n"/>
      <c r="B2478" s="126" t="n"/>
      <c r="C2478" s="126" t="n"/>
      <c r="D2478" s="126" t="n"/>
      <c r="E2478" s="126" t="n"/>
      <c r="F2478" s="127" t="n"/>
      <c r="G2478" s="127" t="inlineStr"/>
      <c r="H2478" s="127" t="inlineStr"/>
      <c r="I2478" s="127" t="n"/>
      <c r="J2478" s="127" t="n"/>
      <c r="K2478" s="127" t="inlineStr"/>
      <c r="L2478" s="127" t="n"/>
      <c r="M2478" s="127" t="n"/>
      <c r="N2478" s="127" t="n"/>
      <c r="O2478" s="127" t="n"/>
      <c r="P2478" s="127" t="n"/>
      <c r="Q2478" s="127" t="n"/>
      <c r="R2478" s="127" t="n"/>
      <c r="S2478" s="127" t="n"/>
      <c r="T2478" s="127" t="n"/>
      <c r="U2478" s="127" t="n"/>
      <c r="V2478" s="127" t="n"/>
      <c r="W2478" s="127" t="n"/>
      <c r="X2478" s="127" t="n"/>
      <c r="Y2478" s="127" t="n"/>
      <c r="Z2478" s="127" t="n"/>
    </row>
    <row r="2479">
      <c r="A2479" s="217" t="n"/>
      <c r="B2479" s="126" t="n"/>
      <c r="C2479" s="126" t="n"/>
      <c r="D2479" s="126" t="n"/>
      <c r="E2479" s="126" t="n"/>
      <c r="F2479" s="127" t="n"/>
      <c r="G2479" s="127" t="inlineStr"/>
      <c r="H2479" s="127" t="inlineStr"/>
      <c r="I2479" s="127" t="n"/>
      <c r="J2479" s="127" t="n"/>
      <c r="K2479" s="127" t="inlineStr"/>
      <c r="L2479" s="127" t="n"/>
      <c r="M2479" s="127" t="n"/>
      <c r="N2479" s="127" t="n"/>
      <c r="O2479" s="127" t="n"/>
      <c r="P2479" s="127" t="n"/>
      <c r="Q2479" s="127" t="n"/>
      <c r="R2479" s="127" t="n"/>
      <c r="S2479" s="127" t="n"/>
      <c r="T2479" s="127" t="n"/>
      <c r="U2479" s="127" t="n"/>
      <c r="V2479" s="127" t="n"/>
      <c r="W2479" s="127" t="n"/>
      <c r="X2479" s="127" t="n"/>
      <c r="Y2479" s="127" t="n"/>
      <c r="Z2479" s="127" t="n"/>
    </row>
    <row r="2480">
      <c r="A2480" s="217" t="n"/>
      <c r="B2480" s="126" t="n"/>
      <c r="C2480" s="126" t="n"/>
      <c r="D2480" s="126" t="n"/>
      <c r="E2480" s="126" t="n"/>
      <c r="F2480" s="127" t="n"/>
      <c r="G2480" s="127" t="inlineStr"/>
      <c r="H2480" s="127" t="inlineStr"/>
      <c r="I2480" s="127" t="n"/>
      <c r="J2480" s="127" t="n"/>
      <c r="K2480" s="127" t="inlineStr"/>
      <c r="L2480" s="127" t="n"/>
      <c r="M2480" s="127" t="n"/>
      <c r="N2480" s="127" t="n"/>
      <c r="O2480" s="127" t="n"/>
      <c r="P2480" s="127" t="n"/>
      <c r="Q2480" s="127" t="n"/>
      <c r="R2480" s="127" t="n"/>
      <c r="S2480" s="127" t="n"/>
      <c r="T2480" s="127" t="n"/>
      <c r="U2480" s="127" t="n"/>
      <c r="V2480" s="127" t="n"/>
      <c r="W2480" s="127" t="n"/>
      <c r="X2480" s="127" t="n"/>
      <c r="Y2480" s="127" t="n"/>
      <c r="Z2480" s="127" t="n"/>
    </row>
    <row r="2481">
      <c r="A2481" s="217" t="n"/>
      <c r="B2481" s="126" t="n"/>
      <c r="C2481" s="126" t="n"/>
      <c r="D2481" s="126" t="n"/>
      <c r="E2481" s="126" t="n"/>
      <c r="F2481" s="127" t="n"/>
      <c r="G2481" s="127" t="inlineStr"/>
      <c r="H2481" s="127" t="inlineStr"/>
      <c r="I2481" s="127" t="n"/>
      <c r="J2481" s="127" t="n"/>
      <c r="K2481" s="127" t="inlineStr"/>
      <c r="L2481" s="127" t="n"/>
      <c r="M2481" s="127" t="n"/>
      <c r="N2481" s="127" t="n"/>
      <c r="O2481" s="127" t="n"/>
      <c r="P2481" s="127" t="n"/>
      <c r="Q2481" s="127" t="n"/>
      <c r="R2481" s="127" t="n"/>
      <c r="S2481" s="127" t="n"/>
      <c r="T2481" s="127" t="n"/>
      <c r="U2481" s="127" t="n"/>
      <c r="V2481" s="127" t="n"/>
      <c r="W2481" s="127" t="n"/>
      <c r="X2481" s="127" t="n"/>
      <c r="Y2481" s="127" t="n"/>
      <c r="Z2481" s="127" t="n"/>
    </row>
    <row r="2482">
      <c r="A2482" s="217" t="n"/>
      <c r="B2482" s="126" t="n"/>
      <c r="C2482" s="126" t="n"/>
      <c r="D2482" s="126" t="n"/>
      <c r="E2482" s="126" t="n"/>
      <c r="F2482" s="127" t="n"/>
      <c r="G2482" s="127" t="inlineStr"/>
      <c r="H2482" s="127" t="inlineStr"/>
      <c r="I2482" s="127" t="n"/>
      <c r="J2482" s="127" t="n"/>
      <c r="K2482" s="127" t="inlineStr"/>
      <c r="L2482" s="127" t="n"/>
      <c r="M2482" s="127" t="n"/>
      <c r="N2482" s="127" t="n"/>
      <c r="O2482" s="127" t="n"/>
      <c r="P2482" s="127" t="n"/>
      <c r="Q2482" s="127" t="n"/>
      <c r="R2482" s="127" t="n"/>
      <c r="S2482" s="127" t="n"/>
      <c r="T2482" s="127" t="n"/>
      <c r="U2482" s="127" t="n"/>
      <c r="V2482" s="127" t="n"/>
      <c r="W2482" s="127" t="n"/>
      <c r="X2482" s="127" t="n"/>
      <c r="Y2482" s="127" t="n"/>
      <c r="Z2482" s="127" t="n"/>
    </row>
    <row r="2483">
      <c r="A2483" s="217" t="n"/>
      <c r="B2483" s="126" t="n"/>
      <c r="C2483" s="126" t="n"/>
      <c r="D2483" s="126" t="n"/>
      <c r="E2483" s="126" t="n"/>
      <c r="F2483" s="127" t="n"/>
      <c r="G2483" s="127" t="inlineStr"/>
      <c r="H2483" s="127" t="inlineStr"/>
      <c r="I2483" s="127" t="n"/>
      <c r="J2483" s="127" t="n"/>
      <c r="K2483" s="127" t="inlineStr"/>
      <c r="L2483" s="127" t="n"/>
      <c r="M2483" s="127" t="n"/>
      <c r="N2483" s="127" t="n"/>
      <c r="O2483" s="127" t="n"/>
      <c r="P2483" s="127" t="n"/>
      <c r="Q2483" s="127" t="n"/>
      <c r="R2483" s="127" t="n"/>
      <c r="S2483" s="127" t="n"/>
      <c r="T2483" s="127" t="n"/>
      <c r="U2483" s="127" t="n"/>
      <c r="V2483" s="127" t="n"/>
      <c r="W2483" s="127" t="n"/>
      <c r="X2483" s="127" t="n"/>
      <c r="Y2483" s="127" t="n"/>
      <c r="Z2483" s="127" t="n"/>
    </row>
    <row r="2484">
      <c r="A2484" s="217" t="n"/>
      <c r="B2484" s="126" t="n"/>
      <c r="C2484" s="126" t="n"/>
      <c r="D2484" s="126" t="n"/>
      <c r="E2484" s="126" t="n"/>
      <c r="F2484" s="127" t="n"/>
      <c r="G2484" s="127" t="inlineStr"/>
      <c r="H2484" s="127" t="inlineStr"/>
      <c r="I2484" s="127" t="n"/>
      <c r="J2484" s="127" t="n"/>
      <c r="K2484" s="127" t="inlineStr"/>
      <c r="L2484" s="127" t="n"/>
      <c r="M2484" s="127" t="n"/>
      <c r="N2484" s="127" t="n"/>
      <c r="O2484" s="127" t="n"/>
      <c r="P2484" s="127" t="n"/>
      <c r="Q2484" s="127" t="n"/>
      <c r="R2484" s="127" t="n"/>
      <c r="S2484" s="127" t="n"/>
      <c r="T2484" s="127" t="n"/>
      <c r="U2484" s="127" t="n"/>
      <c r="V2484" s="127" t="n"/>
      <c r="W2484" s="127" t="n"/>
      <c r="X2484" s="127" t="n"/>
      <c r="Y2484" s="127" t="n"/>
      <c r="Z2484" s="127" t="n"/>
    </row>
    <row r="2485">
      <c r="A2485" s="217" t="n"/>
      <c r="B2485" s="126" t="n"/>
      <c r="C2485" s="126" t="n"/>
      <c r="D2485" s="126" t="n"/>
      <c r="E2485" s="126" t="n"/>
      <c r="F2485" s="127" t="n"/>
      <c r="G2485" s="127" t="inlineStr"/>
      <c r="H2485" s="127" t="inlineStr"/>
      <c r="I2485" s="127" t="n"/>
      <c r="J2485" s="127" t="n"/>
      <c r="K2485" s="127" t="inlineStr"/>
      <c r="L2485" s="127" t="n"/>
      <c r="M2485" s="127" t="n"/>
      <c r="N2485" s="127" t="n"/>
      <c r="O2485" s="127" t="n"/>
      <c r="P2485" s="127" t="n"/>
      <c r="Q2485" s="127" t="n"/>
      <c r="R2485" s="127" t="n"/>
      <c r="S2485" s="127" t="n"/>
      <c r="T2485" s="127" t="n"/>
      <c r="U2485" s="127" t="n"/>
      <c r="V2485" s="127" t="n"/>
      <c r="W2485" s="127" t="n"/>
      <c r="X2485" s="127" t="n"/>
      <c r="Y2485" s="127" t="n"/>
      <c r="Z2485" s="127" t="n"/>
    </row>
    <row r="2486">
      <c r="A2486" s="217" t="n"/>
      <c r="B2486" s="126" t="n"/>
      <c r="C2486" s="126" t="n"/>
      <c r="D2486" s="126" t="n"/>
      <c r="E2486" s="126" t="n"/>
      <c r="F2486" s="127" t="n"/>
      <c r="G2486" s="127" t="inlineStr"/>
      <c r="H2486" s="127" t="inlineStr"/>
      <c r="I2486" s="127" t="n"/>
      <c r="J2486" s="127" t="n"/>
      <c r="K2486" s="127" t="inlineStr"/>
      <c r="L2486" s="127" t="n"/>
      <c r="M2486" s="127" t="n"/>
      <c r="N2486" s="127" t="n"/>
      <c r="O2486" s="127" t="n"/>
      <c r="P2486" s="127" t="n"/>
      <c r="Q2486" s="127" t="n"/>
      <c r="R2486" s="127" t="n"/>
      <c r="S2486" s="127" t="n"/>
      <c r="T2486" s="127" t="n"/>
      <c r="U2486" s="127" t="n"/>
      <c r="V2486" s="127" t="n"/>
      <c r="W2486" s="127" t="n"/>
      <c r="X2486" s="127" t="n"/>
      <c r="Y2486" s="127" t="n"/>
      <c r="Z2486" s="127" t="n"/>
    </row>
    <row r="2487">
      <c r="A2487" s="217" t="n"/>
      <c r="B2487" s="126" t="n"/>
      <c r="C2487" s="126" t="n"/>
      <c r="D2487" s="126" t="n"/>
      <c r="E2487" s="126" t="n"/>
      <c r="F2487" s="127" t="n"/>
      <c r="G2487" s="127" t="inlineStr"/>
      <c r="H2487" s="127" t="inlineStr"/>
      <c r="I2487" s="127" t="n"/>
      <c r="J2487" s="127" t="n"/>
      <c r="K2487" s="127" t="inlineStr"/>
      <c r="L2487" s="127" t="n"/>
      <c r="M2487" s="127" t="n"/>
      <c r="N2487" s="127" t="n"/>
      <c r="O2487" s="127" t="n"/>
      <c r="P2487" s="127" t="n"/>
      <c r="Q2487" s="127" t="n"/>
      <c r="R2487" s="127" t="n"/>
      <c r="S2487" s="127" t="n"/>
      <c r="T2487" s="127" t="n"/>
      <c r="U2487" s="127" t="n"/>
      <c r="V2487" s="127" t="n"/>
      <c r="W2487" s="127" t="n"/>
      <c r="X2487" s="127" t="n"/>
      <c r="Y2487" s="127" t="n"/>
      <c r="Z2487" s="127" t="n"/>
    </row>
    <row r="2488">
      <c r="A2488" s="217" t="n"/>
      <c r="B2488" s="126" t="n"/>
      <c r="C2488" s="126" t="n"/>
      <c r="D2488" s="126" t="n"/>
      <c r="E2488" s="126" t="n"/>
      <c r="F2488" s="127" t="n"/>
      <c r="G2488" s="127" t="inlineStr"/>
      <c r="H2488" s="127" t="inlineStr"/>
      <c r="I2488" s="127" t="n"/>
      <c r="J2488" s="127" t="n"/>
      <c r="K2488" s="127" t="inlineStr"/>
      <c r="L2488" s="127" t="n"/>
      <c r="M2488" s="127" t="n"/>
      <c r="N2488" s="127" t="n"/>
      <c r="O2488" s="127" t="n"/>
      <c r="P2488" s="127" t="n"/>
      <c r="Q2488" s="127" t="n"/>
      <c r="R2488" s="127" t="n"/>
      <c r="S2488" s="127" t="n"/>
      <c r="T2488" s="127" t="n"/>
      <c r="U2488" s="127" t="n"/>
      <c r="V2488" s="127" t="n"/>
      <c r="W2488" s="127" t="n"/>
      <c r="X2488" s="127" t="n"/>
      <c r="Y2488" s="127" t="n"/>
      <c r="Z2488" s="127" t="n"/>
    </row>
    <row r="2489">
      <c r="A2489" s="217" t="n"/>
      <c r="B2489" s="126" t="n"/>
      <c r="C2489" s="126" t="n"/>
      <c r="D2489" s="126" t="n"/>
      <c r="E2489" s="126" t="n"/>
      <c r="F2489" s="127" t="n"/>
      <c r="G2489" s="127" t="inlineStr"/>
      <c r="H2489" s="127" t="inlineStr"/>
      <c r="I2489" s="127" t="n"/>
      <c r="J2489" s="127" t="n"/>
      <c r="K2489" s="127" t="inlineStr"/>
      <c r="L2489" s="127" t="n"/>
      <c r="M2489" s="127" t="n"/>
      <c r="N2489" s="127" t="n"/>
      <c r="O2489" s="127" t="n"/>
      <c r="P2489" s="127" t="n"/>
      <c r="Q2489" s="127" t="n"/>
      <c r="R2489" s="127" t="n"/>
      <c r="S2489" s="127" t="n"/>
      <c r="T2489" s="127" t="n"/>
      <c r="U2489" s="127" t="n"/>
      <c r="V2489" s="127" t="n"/>
      <c r="W2489" s="127" t="n"/>
      <c r="X2489" s="127" t="n"/>
      <c r="Y2489" s="127" t="n"/>
      <c r="Z2489" s="127" t="n"/>
    </row>
    <row r="2490">
      <c r="A2490" s="217" t="n"/>
      <c r="B2490" s="126" t="n"/>
      <c r="C2490" s="126" t="n"/>
      <c r="D2490" s="126" t="n"/>
      <c r="E2490" s="126" t="n"/>
      <c r="F2490" s="127" t="n"/>
      <c r="G2490" s="127" t="inlineStr"/>
      <c r="H2490" s="127" t="inlineStr"/>
      <c r="I2490" s="127" t="n"/>
      <c r="J2490" s="127" t="n"/>
      <c r="K2490" s="127" t="inlineStr"/>
      <c r="L2490" s="127" t="n"/>
      <c r="M2490" s="127" t="n"/>
      <c r="N2490" s="127" t="n"/>
      <c r="O2490" s="127" t="n"/>
      <c r="P2490" s="127" t="n"/>
      <c r="Q2490" s="127" t="n"/>
      <c r="R2490" s="127" t="n"/>
      <c r="S2490" s="127" t="n"/>
      <c r="T2490" s="127" t="n"/>
      <c r="U2490" s="127" t="n"/>
      <c r="V2490" s="127" t="n"/>
      <c r="W2490" s="127" t="n"/>
      <c r="X2490" s="127" t="n"/>
      <c r="Y2490" s="127" t="n"/>
      <c r="Z2490" s="127" t="n"/>
    </row>
    <row r="2491">
      <c r="A2491" s="217" t="n"/>
      <c r="B2491" s="126" t="n"/>
      <c r="C2491" s="126" t="n"/>
      <c r="D2491" s="126" t="n"/>
      <c r="E2491" s="126" t="n"/>
      <c r="F2491" s="127" t="n"/>
      <c r="G2491" s="127" t="inlineStr"/>
      <c r="H2491" s="127" t="inlineStr"/>
      <c r="I2491" s="127" t="n"/>
      <c r="J2491" s="127" t="n"/>
      <c r="K2491" s="127" t="inlineStr"/>
      <c r="L2491" s="127" t="n"/>
      <c r="M2491" s="127" t="n"/>
      <c r="N2491" s="127" t="n"/>
      <c r="O2491" s="127" t="n"/>
      <c r="P2491" s="127" t="n"/>
      <c r="Q2491" s="127" t="n"/>
      <c r="R2491" s="127" t="n"/>
      <c r="S2491" s="127" t="n"/>
      <c r="T2491" s="127" t="n"/>
      <c r="U2491" s="127" t="n"/>
      <c r="V2491" s="127" t="n"/>
      <c r="W2491" s="127" t="n"/>
      <c r="X2491" s="127" t="n"/>
      <c r="Y2491" s="127" t="n"/>
      <c r="Z2491" s="127" t="n"/>
    </row>
    <row r="2492">
      <c r="A2492" s="217" t="n"/>
      <c r="B2492" s="126" t="n"/>
      <c r="C2492" s="126" t="n"/>
      <c r="D2492" s="126" t="n"/>
      <c r="E2492" s="126" t="n"/>
      <c r="F2492" s="127" t="n"/>
      <c r="G2492" s="127" t="inlineStr"/>
      <c r="H2492" s="127" t="inlineStr"/>
      <c r="I2492" s="127" t="n"/>
      <c r="J2492" s="127" t="n"/>
      <c r="K2492" s="127" t="inlineStr"/>
      <c r="L2492" s="127" t="n"/>
      <c r="M2492" s="127" t="n"/>
      <c r="N2492" s="127" t="n"/>
      <c r="O2492" s="127" t="n"/>
      <c r="P2492" s="127" t="n"/>
      <c r="Q2492" s="127" t="n"/>
      <c r="R2492" s="127" t="n"/>
      <c r="S2492" s="127" t="n"/>
      <c r="T2492" s="127" t="n"/>
      <c r="U2492" s="127" t="n"/>
      <c r="V2492" s="127" t="n"/>
      <c r="W2492" s="127" t="n"/>
      <c r="X2492" s="127" t="n"/>
      <c r="Y2492" s="127" t="n"/>
      <c r="Z2492" s="127" t="n"/>
    </row>
    <row r="2493">
      <c r="A2493" s="217" t="n"/>
      <c r="B2493" s="126" t="n"/>
      <c r="C2493" s="126" t="n"/>
      <c r="D2493" s="126" t="n"/>
      <c r="E2493" s="126" t="n"/>
      <c r="F2493" s="127" t="n"/>
      <c r="G2493" s="127" t="inlineStr"/>
      <c r="H2493" s="127" t="inlineStr"/>
      <c r="I2493" s="127" t="n"/>
      <c r="J2493" s="127" t="n"/>
      <c r="K2493" s="127" t="inlineStr"/>
      <c r="L2493" s="127" t="n"/>
      <c r="M2493" s="127" t="n"/>
      <c r="N2493" s="127" t="n"/>
      <c r="O2493" s="127" t="n"/>
      <c r="P2493" s="127" t="n"/>
      <c r="Q2493" s="127" t="n"/>
      <c r="R2493" s="127" t="n"/>
      <c r="S2493" s="127" t="n"/>
      <c r="T2493" s="127" t="n"/>
      <c r="U2493" s="127" t="n"/>
      <c r="V2493" s="127" t="n"/>
      <c r="W2493" s="127" t="n"/>
      <c r="X2493" s="127" t="n"/>
      <c r="Y2493" s="127" t="n"/>
      <c r="Z2493" s="127" t="n"/>
    </row>
    <row r="2494">
      <c r="A2494" s="217" t="n"/>
      <c r="B2494" s="126" t="n"/>
      <c r="C2494" s="126" t="n"/>
      <c r="D2494" s="126" t="n"/>
      <c r="E2494" s="126" t="n"/>
      <c r="F2494" s="127" t="n"/>
      <c r="G2494" s="127" t="inlineStr"/>
      <c r="H2494" s="127" t="inlineStr"/>
      <c r="I2494" s="127" t="n"/>
      <c r="J2494" s="127" t="n"/>
      <c r="K2494" s="127" t="inlineStr"/>
      <c r="L2494" s="127" t="n"/>
      <c r="M2494" s="127" t="n"/>
      <c r="N2494" s="127" t="n"/>
      <c r="O2494" s="127" t="n"/>
      <c r="P2494" s="127" t="n"/>
      <c r="Q2494" s="127" t="n"/>
      <c r="R2494" s="127" t="n"/>
      <c r="S2494" s="127" t="n"/>
      <c r="T2494" s="127" t="n"/>
      <c r="U2494" s="127" t="n"/>
      <c r="V2494" s="127" t="n"/>
      <c r="W2494" s="127" t="n"/>
      <c r="X2494" s="127" t="n"/>
      <c r="Y2494" s="127" t="n"/>
      <c r="Z2494" s="127" t="n"/>
    </row>
    <row r="2495">
      <c r="A2495" s="217" t="n"/>
      <c r="B2495" s="126" t="n"/>
      <c r="C2495" s="126" t="n"/>
      <c r="D2495" s="126" t="n"/>
      <c r="E2495" s="126" t="n"/>
      <c r="F2495" s="127" t="n"/>
      <c r="G2495" s="127" t="inlineStr"/>
      <c r="H2495" s="127" t="inlineStr"/>
      <c r="I2495" s="127" t="n"/>
      <c r="J2495" s="127" t="n"/>
      <c r="K2495" s="127" t="inlineStr"/>
      <c r="L2495" s="127" t="n"/>
      <c r="M2495" s="127" t="n"/>
      <c r="N2495" s="127" t="n"/>
      <c r="O2495" s="127" t="n"/>
      <c r="P2495" s="127" t="n"/>
      <c r="Q2495" s="127" t="n"/>
      <c r="R2495" s="127" t="n"/>
      <c r="S2495" s="127" t="n"/>
      <c r="T2495" s="127" t="n"/>
      <c r="U2495" s="127" t="n"/>
      <c r="V2495" s="127" t="n"/>
      <c r="W2495" s="127" t="n"/>
      <c r="X2495" s="127" t="n"/>
      <c r="Y2495" s="127" t="n"/>
      <c r="Z2495" s="127" t="n"/>
    </row>
    <row r="2496">
      <c r="A2496" s="217" t="n"/>
      <c r="B2496" s="126" t="n"/>
      <c r="C2496" s="126" t="n"/>
      <c r="D2496" s="126" t="n"/>
      <c r="E2496" s="126" t="n"/>
      <c r="F2496" s="127" t="n"/>
      <c r="G2496" s="127" t="inlineStr"/>
      <c r="H2496" s="127" t="inlineStr"/>
      <c r="I2496" s="127" t="n"/>
      <c r="J2496" s="127" t="n"/>
      <c r="K2496" s="127" t="inlineStr"/>
      <c r="L2496" s="127" t="n"/>
      <c r="M2496" s="127" t="n"/>
      <c r="N2496" s="127" t="n"/>
      <c r="O2496" s="127" t="n"/>
      <c r="P2496" s="127" t="n"/>
      <c r="Q2496" s="127" t="n"/>
      <c r="R2496" s="127" t="n"/>
      <c r="S2496" s="127" t="n"/>
      <c r="T2496" s="127" t="n"/>
      <c r="U2496" s="127" t="n"/>
      <c r="V2496" s="127" t="n"/>
      <c r="W2496" s="127" t="n"/>
      <c r="X2496" s="127" t="n"/>
      <c r="Y2496" s="127" t="n"/>
      <c r="Z2496" s="127" t="n"/>
    </row>
    <row r="2497">
      <c r="A2497" s="217" t="n"/>
      <c r="B2497" s="126" t="n"/>
      <c r="C2497" s="126" t="n"/>
      <c r="D2497" s="126" t="n"/>
      <c r="E2497" s="126" t="n"/>
      <c r="F2497" s="127" t="n"/>
      <c r="G2497" s="127" t="inlineStr"/>
      <c r="H2497" s="127" t="inlineStr"/>
      <c r="I2497" s="127" t="n"/>
      <c r="J2497" s="127" t="n"/>
      <c r="K2497" s="127" t="inlineStr"/>
      <c r="L2497" s="127" t="n"/>
      <c r="M2497" s="127" t="n"/>
      <c r="N2497" s="127" t="n"/>
      <c r="O2497" s="127" t="n"/>
      <c r="P2497" s="127" t="n"/>
      <c r="Q2497" s="127" t="n"/>
      <c r="R2497" s="127" t="n"/>
      <c r="S2497" s="127" t="n"/>
      <c r="T2497" s="127" t="n"/>
      <c r="U2497" s="127" t="n"/>
      <c r="V2497" s="127" t="n"/>
      <c r="W2497" s="127" t="n"/>
      <c r="X2497" s="127" t="n"/>
      <c r="Y2497" s="127" t="n"/>
      <c r="Z2497" s="127" t="n"/>
    </row>
    <row r="2498">
      <c r="A2498" s="217" t="n"/>
      <c r="B2498" s="126" t="n"/>
      <c r="C2498" s="126" t="n"/>
      <c r="D2498" s="126" t="n"/>
      <c r="E2498" s="126" t="n"/>
      <c r="F2498" s="127" t="n"/>
      <c r="G2498" s="127" t="inlineStr"/>
      <c r="H2498" s="127" t="inlineStr"/>
      <c r="I2498" s="127" t="n"/>
      <c r="J2498" s="127" t="n"/>
      <c r="K2498" s="127" t="inlineStr"/>
      <c r="L2498" s="127" t="n"/>
      <c r="M2498" s="127" t="n"/>
      <c r="N2498" s="127" t="n"/>
      <c r="O2498" s="127" t="n"/>
      <c r="P2498" s="127" t="n"/>
      <c r="Q2498" s="127" t="n"/>
      <c r="R2498" s="127" t="n"/>
      <c r="S2498" s="127" t="n"/>
      <c r="T2498" s="127" t="n"/>
      <c r="U2498" s="127" t="n"/>
      <c r="V2498" s="127" t="n"/>
      <c r="W2498" s="127" t="n"/>
      <c r="X2498" s="127" t="n"/>
      <c r="Y2498" s="127" t="n"/>
      <c r="Z2498" s="127" t="n"/>
    </row>
    <row r="2499">
      <c r="A2499" s="217" t="n"/>
      <c r="B2499" s="126" t="n"/>
      <c r="C2499" s="126" t="n"/>
      <c r="D2499" s="126" t="n"/>
      <c r="E2499" s="126" t="n"/>
      <c r="F2499" s="127" t="n"/>
      <c r="G2499" s="127" t="inlineStr"/>
      <c r="H2499" s="127" t="inlineStr"/>
      <c r="I2499" s="127" t="n"/>
      <c r="J2499" s="127" t="n"/>
      <c r="K2499" s="127" t="inlineStr"/>
      <c r="L2499" s="127" t="n"/>
      <c r="M2499" s="127" t="n"/>
      <c r="N2499" s="127" t="n"/>
      <c r="O2499" s="127" t="n"/>
      <c r="P2499" s="127" t="n"/>
      <c r="Q2499" s="127" t="n"/>
      <c r="R2499" s="127" t="n"/>
      <c r="S2499" s="127" t="n"/>
      <c r="T2499" s="127" t="n"/>
      <c r="U2499" s="127" t="n"/>
      <c r="V2499" s="127" t="n"/>
      <c r="W2499" s="127" t="n"/>
      <c r="X2499" s="127" t="n"/>
      <c r="Y2499" s="127" t="n"/>
      <c r="Z2499" s="127" t="n"/>
    </row>
    <row r="2500">
      <c r="A2500" s="217" t="n"/>
      <c r="B2500" s="126" t="n"/>
      <c r="C2500" s="126" t="n"/>
      <c r="D2500" s="126" t="n"/>
      <c r="E2500" s="126" t="n"/>
      <c r="F2500" s="127" t="n"/>
      <c r="G2500" s="127" t="inlineStr"/>
      <c r="H2500" s="127" t="inlineStr"/>
      <c r="I2500" s="127" t="n"/>
      <c r="J2500" s="127" t="n"/>
      <c r="K2500" s="127" t="inlineStr"/>
      <c r="L2500" s="127" t="n"/>
      <c r="M2500" s="127" t="n"/>
      <c r="N2500" s="127" t="n"/>
      <c r="O2500" s="127" t="n"/>
      <c r="P2500" s="127" t="n"/>
      <c r="Q2500" s="127" t="n"/>
      <c r="R2500" s="127" t="n"/>
      <c r="S2500" s="127" t="n"/>
      <c r="T2500" s="127" t="n"/>
      <c r="U2500" s="127" t="n"/>
      <c r="V2500" s="127" t="n"/>
      <c r="W2500" s="127" t="n"/>
      <c r="X2500" s="127" t="n"/>
      <c r="Y2500" s="127" t="n"/>
      <c r="Z2500" s="127" t="n"/>
    </row>
    <row r="2501">
      <c r="A2501" s="217" t="n"/>
      <c r="B2501" s="126" t="n"/>
      <c r="C2501" s="126" t="n"/>
      <c r="D2501" s="126" t="n"/>
      <c r="E2501" s="126" t="n"/>
      <c r="F2501" s="127" t="n"/>
      <c r="G2501" s="127" t="inlineStr"/>
      <c r="H2501" s="127" t="inlineStr"/>
      <c r="I2501" s="127" t="n"/>
      <c r="J2501" s="127" t="n"/>
      <c r="K2501" s="127" t="inlineStr"/>
      <c r="L2501" s="127" t="n"/>
      <c r="M2501" s="127" t="n"/>
      <c r="N2501" s="127" t="n"/>
      <c r="O2501" s="127" t="n"/>
      <c r="P2501" s="127" t="n"/>
      <c r="Q2501" s="127" t="n"/>
      <c r="R2501" s="127" t="n"/>
      <c r="S2501" s="127" t="n"/>
      <c r="T2501" s="127" t="n"/>
      <c r="U2501" s="127" t="n"/>
      <c r="V2501" s="127" t="n"/>
      <c r="W2501" s="127" t="n"/>
      <c r="X2501" s="127" t="n"/>
      <c r="Y2501" s="127" t="n"/>
      <c r="Z2501" s="127" t="n"/>
    </row>
    <row r="2502">
      <c r="A2502" s="217" t="n"/>
      <c r="B2502" s="126" t="n"/>
      <c r="C2502" s="126" t="n"/>
      <c r="D2502" s="126" t="n"/>
      <c r="E2502" s="126" t="n"/>
      <c r="F2502" s="127" t="n"/>
      <c r="G2502" s="127" t="inlineStr"/>
      <c r="H2502" s="127" t="inlineStr"/>
      <c r="I2502" s="127" t="n"/>
      <c r="J2502" s="127" t="n"/>
      <c r="K2502" s="127" t="inlineStr"/>
      <c r="L2502" s="127" t="n"/>
      <c r="M2502" s="127" t="n"/>
      <c r="N2502" s="127" t="n"/>
      <c r="O2502" s="127" t="n"/>
      <c r="P2502" s="127" t="n"/>
      <c r="Q2502" s="127" t="n"/>
      <c r="R2502" s="127" t="n"/>
      <c r="S2502" s="127" t="n"/>
      <c r="T2502" s="127" t="n"/>
      <c r="U2502" s="127" t="n"/>
      <c r="V2502" s="127" t="n"/>
      <c r="W2502" s="127" t="n"/>
      <c r="X2502" s="127" t="n"/>
      <c r="Y2502" s="127" t="n"/>
      <c r="Z2502" s="127" t="n"/>
    </row>
    <row r="2503">
      <c r="A2503" s="217" t="n"/>
      <c r="B2503" s="126" t="n"/>
      <c r="C2503" s="126" t="n"/>
      <c r="D2503" s="126" t="n"/>
      <c r="E2503" s="126" t="n"/>
      <c r="F2503" s="127" t="n"/>
      <c r="G2503" s="127" t="inlineStr"/>
      <c r="H2503" s="127" t="inlineStr"/>
      <c r="I2503" s="127" t="n"/>
      <c r="J2503" s="127" t="n"/>
      <c r="K2503" s="127" t="inlineStr"/>
      <c r="L2503" s="127" t="n"/>
      <c r="M2503" s="127" t="n"/>
      <c r="N2503" s="127" t="n"/>
      <c r="O2503" s="127" t="n"/>
      <c r="P2503" s="127" t="n"/>
      <c r="Q2503" s="127" t="n"/>
      <c r="R2503" s="127" t="n"/>
      <c r="S2503" s="127" t="n"/>
      <c r="T2503" s="127" t="n"/>
      <c r="U2503" s="127" t="n"/>
      <c r="V2503" s="127" t="n"/>
      <c r="W2503" s="127" t="n"/>
      <c r="X2503" s="127" t="n"/>
      <c r="Y2503" s="127" t="n"/>
      <c r="Z2503" s="127" t="n"/>
    </row>
    <row r="2504">
      <c r="A2504" s="217" t="n"/>
      <c r="B2504" s="126" t="n"/>
      <c r="C2504" s="126" t="n"/>
      <c r="D2504" s="126" t="n"/>
      <c r="E2504" s="126" t="n"/>
      <c r="F2504" s="127" t="n"/>
      <c r="G2504" s="127" t="inlineStr"/>
      <c r="H2504" s="127" t="inlineStr"/>
      <c r="I2504" s="127" t="n"/>
      <c r="J2504" s="127" t="n"/>
      <c r="K2504" s="127" t="inlineStr"/>
      <c r="L2504" s="127" t="n"/>
      <c r="M2504" s="127" t="n"/>
      <c r="N2504" s="127" t="n"/>
      <c r="O2504" s="127" t="n"/>
      <c r="P2504" s="127" t="n"/>
      <c r="Q2504" s="127" t="n"/>
      <c r="R2504" s="127" t="n"/>
      <c r="S2504" s="127" t="n"/>
      <c r="T2504" s="127" t="n"/>
      <c r="U2504" s="127" t="n"/>
      <c r="V2504" s="127" t="n"/>
      <c r="W2504" s="127" t="n"/>
      <c r="X2504" s="127" t="n"/>
      <c r="Y2504" s="127" t="n"/>
      <c r="Z2504" s="127" t="n"/>
    </row>
    <row r="2505">
      <c r="A2505" s="217" t="n"/>
      <c r="B2505" s="126" t="n"/>
      <c r="C2505" s="126" t="n"/>
      <c r="D2505" s="126" t="n"/>
      <c r="E2505" s="126" t="n"/>
      <c r="F2505" s="127" t="n"/>
      <c r="G2505" s="127" t="inlineStr"/>
      <c r="H2505" s="127" t="inlineStr"/>
      <c r="I2505" s="127" t="n"/>
      <c r="J2505" s="127" t="n"/>
      <c r="K2505" s="127" t="inlineStr"/>
      <c r="L2505" s="127" t="n"/>
      <c r="M2505" s="127" t="n"/>
      <c r="N2505" s="127" t="n"/>
      <c r="O2505" s="127" t="n"/>
      <c r="P2505" s="127" t="n"/>
      <c r="Q2505" s="127" t="n"/>
      <c r="R2505" s="127" t="n"/>
      <c r="S2505" s="127" t="n"/>
      <c r="T2505" s="127" t="n"/>
      <c r="U2505" s="127" t="n"/>
      <c r="V2505" s="127" t="n"/>
      <c r="W2505" s="127" t="n"/>
      <c r="X2505" s="127" t="n"/>
      <c r="Y2505" s="127" t="n"/>
      <c r="Z2505" s="127" t="n"/>
    </row>
    <row r="2506">
      <c r="A2506" s="217" t="n"/>
      <c r="B2506" s="126" t="n"/>
      <c r="C2506" s="126" t="n"/>
      <c r="D2506" s="126" t="n"/>
      <c r="E2506" s="126" t="n"/>
      <c r="F2506" s="127" t="n"/>
      <c r="G2506" s="127" t="inlineStr"/>
      <c r="H2506" s="127" t="inlineStr"/>
      <c r="I2506" s="127" t="n"/>
      <c r="J2506" s="127" t="n"/>
      <c r="K2506" s="127" t="inlineStr"/>
      <c r="L2506" s="127" t="n"/>
      <c r="M2506" s="127" t="n"/>
      <c r="N2506" s="127" t="n"/>
      <c r="O2506" s="127" t="n"/>
      <c r="P2506" s="127" t="n"/>
      <c r="Q2506" s="127" t="n"/>
      <c r="R2506" s="127" t="n"/>
      <c r="S2506" s="127" t="n"/>
      <c r="T2506" s="127" t="n"/>
      <c r="U2506" s="127" t="n"/>
      <c r="V2506" s="127" t="n"/>
      <c r="W2506" s="127" t="n"/>
      <c r="X2506" s="127" t="n"/>
      <c r="Y2506" s="127" t="n"/>
      <c r="Z2506" s="127" t="n"/>
    </row>
    <row r="2507">
      <c r="A2507" s="217" t="n"/>
      <c r="B2507" s="126" t="n"/>
      <c r="C2507" s="126" t="n"/>
      <c r="D2507" s="126" t="n"/>
      <c r="E2507" s="126" t="n"/>
      <c r="F2507" s="127" t="n"/>
      <c r="G2507" s="127" t="inlineStr"/>
      <c r="H2507" s="127" t="inlineStr"/>
      <c r="I2507" s="127" t="n"/>
      <c r="J2507" s="127" t="n"/>
      <c r="K2507" s="127" t="inlineStr"/>
      <c r="L2507" s="127" t="n"/>
      <c r="M2507" s="127" t="n"/>
      <c r="N2507" s="127" t="n"/>
      <c r="O2507" s="127" t="n"/>
      <c r="P2507" s="127" t="n"/>
      <c r="Q2507" s="127" t="n"/>
      <c r="R2507" s="127" t="n"/>
      <c r="S2507" s="127" t="n"/>
      <c r="T2507" s="127" t="n"/>
      <c r="U2507" s="127" t="n"/>
      <c r="V2507" s="127" t="n"/>
      <c r="W2507" s="127" t="n"/>
      <c r="X2507" s="127" t="n"/>
      <c r="Y2507" s="127" t="n"/>
      <c r="Z2507" s="127" t="n"/>
    </row>
    <row r="2508">
      <c r="A2508" s="217" t="n"/>
      <c r="B2508" s="126" t="n"/>
      <c r="C2508" s="126" t="n"/>
      <c r="D2508" s="126" t="n"/>
      <c r="E2508" s="126" t="n"/>
      <c r="F2508" s="127" t="n"/>
      <c r="G2508" s="127" t="inlineStr"/>
      <c r="H2508" s="127" t="inlineStr"/>
      <c r="I2508" s="127" t="n"/>
      <c r="J2508" s="127" t="n"/>
      <c r="K2508" s="127" t="inlineStr"/>
      <c r="L2508" s="127" t="n"/>
      <c r="M2508" s="127" t="n"/>
      <c r="N2508" s="127" t="n"/>
      <c r="O2508" s="127" t="n"/>
      <c r="P2508" s="127" t="n"/>
      <c r="Q2508" s="127" t="n"/>
      <c r="R2508" s="127" t="n"/>
      <c r="S2508" s="127" t="n"/>
      <c r="T2508" s="127" t="n"/>
      <c r="U2508" s="127" t="n"/>
      <c r="V2508" s="127" t="n"/>
      <c r="W2508" s="127" t="n"/>
      <c r="X2508" s="127" t="n"/>
      <c r="Y2508" s="127" t="n"/>
      <c r="Z2508" s="127" t="n"/>
    </row>
    <row r="2509">
      <c r="A2509" s="217" t="n"/>
      <c r="B2509" s="126" t="n"/>
      <c r="C2509" s="126" t="n"/>
      <c r="D2509" s="126" t="n"/>
      <c r="E2509" s="126" t="n"/>
      <c r="F2509" s="127" t="n"/>
      <c r="G2509" s="127" t="inlineStr"/>
      <c r="H2509" s="127" t="inlineStr"/>
      <c r="I2509" s="127" t="n"/>
      <c r="J2509" s="127" t="n"/>
      <c r="K2509" s="127" t="inlineStr"/>
      <c r="L2509" s="127" t="n"/>
      <c r="M2509" s="127" t="n"/>
      <c r="N2509" s="127" t="n"/>
      <c r="O2509" s="127" t="n"/>
      <c r="P2509" s="127" t="n"/>
      <c r="Q2509" s="127" t="n"/>
      <c r="R2509" s="127" t="n"/>
      <c r="S2509" s="127" t="n"/>
      <c r="T2509" s="127" t="n"/>
      <c r="U2509" s="127" t="n"/>
      <c r="V2509" s="127" t="n"/>
      <c r="W2509" s="127" t="n"/>
      <c r="X2509" s="127" t="n"/>
      <c r="Y2509" s="127" t="n"/>
      <c r="Z2509" s="127" t="n"/>
    </row>
    <row r="2510">
      <c r="A2510" s="217" t="n"/>
      <c r="B2510" s="126" t="n"/>
      <c r="C2510" s="126" t="n"/>
      <c r="D2510" s="126" t="n"/>
      <c r="E2510" s="126" t="n"/>
      <c r="F2510" s="127" t="n"/>
      <c r="G2510" s="127" t="inlineStr"/>
      <c r="H2510" s="127" t="inlineStr"/>
      <c r="I2510" s="127" t="n"/>
      <c r="J2510" s="127" t="n"/>
      <c r="K2510" s="127" t="inlineStr"/>
      <c r="L2510" s="127" t="n"/>
      <c r="M2510" s="127" t="n"/>
      <c r="N2510" s="127" t="n"/>
      <c r="O2510" s="127" t="n"/>
      <c r="P2510" s="127" t="n"/>
      <c r="Q2510" s="127" t="n"/>
      <c r="R2510" s="127" t="n"/>
      <c r="S2510" s="127" t="n"/>
      <c r="T2510" s="127" t="n"/>
      <c r="U2510" s="127" t="n"/>
      <c r="V2510" s="127" t="n"/>
      <c r="W2510" s="127" t="n"/>
      <c r="X2510" s="127" t="n"/>
      <c r="Y2510" s="127" t="n"/>
      <c r="Z2510" s="127" t="n"/>
    </row>
    <row r="2511">
      <c r="A2511" s="217" t="n"/>
      <c r="B2511" s="126" t="n"/>
      <c r="C2511" s="126" t="n"/>
      <c r="D2511" s="126" t="n"/>
      <c r="E2511" s="126" t="n"/>
      <c r="F2511" s="127" t="n"/>
      <c r="G2511" s="127" t="inlineStr"/>
      <c r="H2511" s="127" t="inlineStr"/>
      <c r="I2511" s="127" t="n"/>
      <c r="J2511" s="127" t="n"/>
      <c r="K2511" s="127" t="inlineStr"/>
      <c r="L2511" s="127" t="n"/>
      <c r="M2511" s="127" t="n"/>
      <c r="N2511" s="127" t="n"/>
      <c r="O2511" s="127" t="n"/>
      <c r="P2511" s="127" t="n"/>
      <c r="Q2511" s="127" t="n"/>
      <c r="R2511" s="127" t="n"/>
      <c r="S2511" s="127" t="n"/>
      <c r="T2511" s="127" t="n"/>
      <c r="U2511" s="127" t="n"/>
      <c r="V2511" s="127" t="n"/>
      <c r="W2511" s="127" t="n"/>
      <c r="X2511" s="127" t="n"/>
      <c r="Y2511" s="127" t="n"/>
      <c r="Z2511" s="127" t="n"/>
    </row>
    <row r="2512">
      <c r="A2512" s="217" t="n"/>
      <c r="B2512" s="126" t="n"/>
      <c r="C2512" s="126" t="n"/>
      <c r="D2512" s="126" t="n"/>
      <c r="E2512" s="126" t="n"/>
      <c r="F2512" s="127" t="n"/>
      <c r="G2512" s="127" t="inlineStr"/>
      <c r="H2512" s="127" t="inlineStr"/>
      <c r="I2512" s="127" t="n"/>
      <c r="J2512" s="127" t="n"/>
      <c r="K2512" s="127" t="inlineStr"/>
      <c r="L2512" s="127" t="n"/>
      <c r="M2512" s="127" t="n"/>
      <c r="N2512" s="127" t="n"/>
      <c r="O2512" s="127" t="n"/>
      <c r="P2512" s="127" t="n"/>
      <c r="Q2512" s="127" t="n"/>
      <c r="R2512" s="127" t="n"/>
      <c r="S2512" s="127" t="n"/>
      <c r="T2512" s="127" t="n"/>
      <c r="U2512" s="127" t="n"/>
      <c r="V2512" s="127" t="n"/>
      <c r="W2512" s="127" t="n"/>
      <c r="X2512" s="127" t="n"/>
      <c r="Y2512" s="127" t="n"/>
      <c r="Z2512" s="127" t="n"/>
    </row>
    <row r="2513">
      <c r="A2513" s="217" t="n"/>
      <c r="B2513" s="126" t="n"/>
      <c r="C2513" s="126" t="n"/>
      <c r="D2513" s="126" t="n"/>
      <c r="E2513" s="126" t="n"/>
      <c r="F2513" s="127" t="n"/>
      <c r="G2513" s="127" t="inlineStr"/>
      <c r="H2513" s="127" t="inlineStr"/>
      <c r="I2513" s="127" t="n"/>
      <c r="J2513" s="127" t="n"/>
      <c r="K2513" s="127" t="inlineStr"/>
      <c r="L2513" s="127" t="n"/>
      <c r="M2513" s="127" t="n"/>
      <c r="N2513" s="127" t="n"/>
      <c r="O2513" s="127" t="n"/>
      <c r="P2513" s="127" t="n"/>
      <c r="Q2513" s="127" t="n"/>
      <c r="R2513" s="127" t="n"/>
      <c r="S2513" s="127" t="n"/>
      <c r="T2513" s="127" t="n"/>
      <c r="U2513" s="127" t="n"/>
      <c r="V2513" s="127" t="n"/>
      <c r="W2513" s="127" t="n"/>
      <c r="X2513" s="127" t="n"/>
      <c r="Y2513" s="127" t="n"/>
      <c r="Z2513" s="127" t="n"/>
    </row>
    <row r="2514">
      <c r="A2514" s="217" t="n"/>
      <c r="B2514" s="126" t="n"/>
      <c r="C2514" s="126" t="n"/>
      <c r="D2514" s="126" t="n"/>
      <c r="E2514" s="126" t="n"/>
      <c r="F2514" s="127" t="n"/>
      <c r="G2514" s="127" t="inlineStr"/>
      <c r="H2514" s="127" t="inlineStr"/>
      <c r="I2514" s="127" t="n"/>
      <c r="J2514" s="127" t="n"/>
      <c r="K2514" s="127" t="inlineStr"/>
      <c r="L2514" s="127" t="n"/>
      <c r="M2514" s="127" t="n"/>
      <c r="N2514" s="127" t="n"/>
      <c r="O2514" s="127" t="n"/>
      <c r="P2514" s="127" t="n"/>
      <c r="Q2514" s="127" t="n"/>
      <c r="R2514" s="127" t="n"/>
      <c r="S2514" s="127" t="n"/>
      <c r="T2514" s="127" t="n"/>
      <c r="U2514" s="127" t="n"/>
      <c r="V2514" s="127" t="n"/>
      <c r="W2514" s="127" t="n"/>
      <c r="X2514" s="127" t="n"/>
      <c r="Y2514" s="127" t="n"/>
      <c r="Z2514" s="127" t="n"/>
    </row>
    <row r="2515">
      <c r="A2515" s="217" t="n"/>
      <c r="B2515" s="126" t="n"/>
      <c r="C2515" s="126" t="n"/>
      <c r="D2515" s="126" t="n"/>
      <c r="E2515" s="126" t="n"/>
      <c r="F2515" s="127" t="n"/>
      <c r="G2515" s="127" t="inlineStr"/>
      <c r="H2515" s="127" t="inlineStr"/>
      <c r="I2515" s="127" t="n"/>
      <c r="J2515" s="127" t="n"/>
      <c r="K2515" s="127" t="inlineStr"/>
      <c r="L2515" s="127" t="n"/>
      <c r="M2515" s="127" t="n"/>
      <c r="N2515" s="127" t="n"/>
      <c r="O2515" s="127" t="n"/>
      <c r="P2515" s="127" t="n"/>
      <c r="Q2515" s="127" t="n"/>
      <c r="R2515" s="127" t="n"/>
      <c r="S2515" s="127" t="n"/>
      <c r="T2515" s="127" t="n"/>
      <c r="U2515" s="127" t="n"/>
      <c r="V2515" s="127" t="n"/>
      <c r="W2515" s="127" t="n"/>
      <c r="X2515" s="127" t="n"/>
      <c r="Y2515" s="127" t="n"/>
      <c r="Z2515" s="127" t="n"/>
    </row>
    <row r="2516">
      <c r="A2516" s="217" t="n"/>
      <c r="B2516" s="126" t="n"/>
      <c r="C2516" s="126" t="n"/>
      <c r="D2516" s="126" t="n"/>
      <c r="E2516" s="126" t="n"/>
      <c r="F2516" s="127" t="n"/>
      <c r="G2516" s="127" t="inlineStr"/>
      <c r="H2516" s="127" t="inlineStr"/>
      <c r="I2516" s="127" t="n"/>
      <c r="J2516" s="127" t="n"/>
      <c r="K2516" s="127" t="inlineStr"/>
      <c r="L2516" s="127" t="n"/>
      <c r="M2516" s="127" t="n"/>
      <c r="N2516" s="127" t="n"/>
      <c r="O2516" s="127" t="n"/>
      <c r="P2516" s="127" t="n"/>
      <c r="Q2516" s="127" t="n"/>
      <c r="R2516" s="127" t="n"/>
      <c r="S2516" s="127" t="n"/>
      <c r="T2516" s="127" t="n"/>
      <c r="U2516" s="127" t="n"/>
      <c r="V2516" s="127" t="n"/>
      <c r="W2516" s="127" t="n"/>
      <c r="X2516" s="127" t="n"/>
      <c r="Y2516" s="127" t="n"/>
      <c r="Z2516" s="127" t="n"/>
    </row>
    <row r="2517">
      <c r="A2517" s="217" t="n"/>
      <c r="B2517" s="126" t="n"/>
      <c r="C2517" s="126" t="n"/>
      <c r="D2517" s="126" t="n"/>
      <c r="E2517" s="126" t="n"/>
      <c r="F2517" s="127" t="n"/>
      <c r="G2517" s="127" t="inlineStr"/>
      <c r="H2517" s="127" t="inlineStr"/>
      <c r="I2517" s="127" t="n"/>
      <c r="J2517" s="127" t="n"/>
      <c r="K2517" s="127" t="inlineStr"/>
      <c r="L2517" s="127" t="n"/>
      <c r="M2517" s="127" t="n"/>
      <c r="N2517" s="127" t="n"/>
      <c r="O2517" s="127" t="n"/>
      <c r="P2517" s="127" t="n"/>
      <c r="Q2517" s="127" t="n"/>
      <c r="R2517" s="127" t="n"/>
      <c r="S2517" s="127" t="n"/>
      <c r="T2517" s="127" t="n"/>
      <c r="U2517" s="127" t="n"/>
      <c r="V2517" s="127" t="n"/>
      <c r="W2517" s="127" t="n"/>
      <c r="X2517" s="127" t="n"/>
      <c r="Y2517" s="127" t="n"/>
      <c r="Z2517" s="127" t="n"/>
    </row>
    <row r="2518">
      <c r="A2518" s="217" t="n"/>
      <c r="B2518" s="126" t="n"/>
      <c r="C2518" s="126" t="n"/>
      <c r="D2518" s="126" t="n"/>
      <c r="E2518" s="126" t="n"/>
      <c r="F2518" s="127" t="n"/>
      <c r="G2518" s="127" t="inlineStr"/>
      <c r="H2518" s="127" t="inlineStr"/>
      <c r="I2518" s="127" t="n"/>
      <c r="J2518" s="127" t="n"/>
      <c r="K2518" s="127" t="inlineStr"/>
      <c r="L2518" s="127" t="n"/>
      <c r="M2518" s="127" t="n"/>
      <c r="N2518" s="127" t="n"/>
      <c r="O2518" s="127" t="n"/>
      <c r="P2518" s="127" t="n"/>
      <c r="Q2518" s="127" t="n"/>
      <c r="R2518" s="127" t="n"/>
      <c r="S2518" s="127" t="n"/>
      <c r="T2518" s="127" t="n"/>
      <c r="U2518" s="127" t="n"/>
      <c r="V2518" s="127" t="n"/>
      <c r="W2518" s="127" t="n"/>
      <c r="X2518" s="127" t="n"/>
      <c r="Y2518" s="127" t="n"/>
      <c r="Z2518" s="127" t="n"/>
    </row>
    <row r="2519">
      <c r="A2519" s="217" t="n"/>
      <c r="B2519" s="126" t="n"/>
      <c r="C2519" s="126" t="n"/>
      <c r="D2519" s="126" t="n"/>
      <c r="E2519" s="126" t="n"/>
      <c r="F2519" s="127" t="n"/>
      <c r="G2519" s="127" t="inlineStr"/>
      <c r="H2519" s="127" t="inlineStr"/>
      <c r="I2519" s="127" t="n"/>
      <c r="J2519" s="127" t="n"/>
      <c r="K2519" s="127" t="inlineStr"/>
      <c r="L2519" s="127" t="n"/>
      <c r="M2519" s="127" t="n"/>
      <c r="N2519" s="127" t="n"/>
      <c r="O2519" s="127" t="n"/>
      <c r="P2519" s="127" t="n"/>
      <c r="Q2519" s="127" t="n"/>
      <c r="R2519" s="127" t="n"/>
      <c r="S2519" s="127" t="n"/>
      <c r="T2519" s="127" t="n"/>
      <c r="U2519" s="127" t="n"/>
      <c r="V2519" s="127" t="n"/>
      <c r="W2519" s="127" t="n"/>
      <c r="X2519" s="127" t="n"/>
      <c r="Y2519" s="127" t="n"/>
      <c r="Z2519" s="127" t="n"/>
    </row>
    <row r="2520">
      <c r="A2520" s="217" t="n"/>
      <c r="B2520" s="126" t="n"/>
      <c r="C2520" s="126" t="n"/>
      <c r="D2520" s="126" t="n"/>
      <c r="E2520" s="126" t="n"/>
      <c r="F2520" s="127" t="n"/>
      <c r="G2520" s="127" t="inlineStr"/>
      <c r="H2520" s="127" t="inlineStr"/>
      <c r="I2520" s="127" t="n"/>
      <c r="J2520" s="127" t="n"/>
      <c r="K2520" s="127" t="inlineStr"/>
      <c r="L2520" s="127" t="n"/>
      <c r="M2520" s="127" t="n"/>
      <c r="N2520" s="127" t="n"/>
      <c r="O2520" s="127" t="n"/>
      <c r="P2520" s="127" t="n"/>
      <c r="Q2520" s="127" t="n"/>
      <c r="R2520" s="127" t="n"/>
      <c r="S2520" s="127" t="n"/>
      <c r="T2520" s="127" t="n"/>
      <c r="U2520" s="127" t="n"/>
      <c r="V2520" s="127" t="n"/>
      <c r="W2520" s="127" t="n"/>
      <c r="X2520" s="127" t="n"/>
      <c r="Y2520" s="127" t="n"/>
      <c r="Z2520" s="127" t="n"/>
    </row>
    <row r="2521">
      <c r="A2521" s="217" t="n"/>
      <c r="B2521" s="126" t="n"/>
      <c r="C2521" s="126" t="n"/>
      <c r="D2521" s="126" t="n"/>
      <c r="E2521" s="126" t="n"/>
      <c r="F2521" s="127" t="n"/>
      <c r="G2521" s="127" t="inlineStr"/>
      <c r="H2521" s="127" t="inlineStr"/>
      <c r="I2521" s="127" t="n"/>
      <c r="J2521" s="127" t="n"/>
      <c r="K2521" s="127" t="inlineStr"/>
      <c r="L2521" s="127" t="n"/>
      <c r="M2521" s="127" t="n"/>
      <c r="N2521" s="127" t="n"/>
      <c r="O2521" s="127" t="n"/>
      <c r="P2521" s="127" t="n"/>
      <c r="Q2521" s="127" t="n"/>
      <c r="R2521" s="127" t="n"/>
      <c r="S2521" s="127" t="n"/>
      <c r="T2521" s="127" t="n"/>
      <c r="U2521" s="127" t="n"/>
      <c r="V2521" s="127" t="n"/>
      <c r="W2521" s="127" t="n"/>
      <c r="X2521" s="127" t="n"/>
      <c r="Y2521" s="127" t="n"/>
      <c r="Z2521" s="127" t="n"/>
    </row>
    <row r="2522">
      <c r="A2522" s="217" t="n"/>
      <c r="B2522" s="126" t="n"/>
      <c r="C2522" s="126" t="n"/>
      <c r="D2522" s="126" t="n"/>
      <c r="E2522" s="126" t="n"/>
      <c r="F2522" s="127" t="n"/>
      <c r="G2522" s="127" t="inlineStr"/>
      <c r="H2522" s="127" t="inlineStr"/>
      <c r="I2522" s="127" t="n"/>
      <c r="J2522" s="127" t="n"/>
      <c r="K2522" s="127" t="inlineStr"/>
      <c r="L2522" s="127" t="n"/>
      <c r="M2522" s="127" t="n"/>
      <c r="N2522" s="127" t="n"/>
      <c r="O2522" s="127" t="n"/>
      <c r="P2522" s="127" t="n"/>
      <c r="Q2522" s="127" t="n"/>
      <c r="R2522" s="127" t="n"/>
      <c r="S2522" s="127" t="n"/>
      <c r="T2522" s="127" t="n"/>
      <c r="U2522" s="127" t="n"/>
      <c r="V2522" s="127" t="n"/>
      <c r="W2522" s="127" t="n"/>
      <c r="X2522" s="127" t="n"/>
      <c r="Y2522" s="127" t="n"/>
      <c r="Z2522" s="127" t="n"/>
    </row>
    <row r="2523">
      <c r="A2523" s="217" t="n"/>
      <c r="B2523" s="126" t="n"/>
      <c r="C2523" s="126" t="n"/>
      <c r="D2523" s="126" t="n"/>
      <c r="E2523" s="126" t="n"/>
      <c r="F2523" s="127" t="n"/>
      <c r="G2523" s="127" t="inlineStr"/>
      <c r="H2523" s="127" t="inlineStr"/>
      <c r="I2523" s="127" t="n"/>
      <c r="J2523" s="127" t="n"/>
      <c r="K2523" s="127" t="inlineStr"/>
      <c r="L2523" s="127" t="n"/>
      <c r="M2523" s="127" t="n"/>
      <c r="N2523" s="127" t="n"/>
      <c r="O2523" s="127" t="n"/>
      <c r="P2523" s="127" t="n"/>
      <c r="Q2523" s="127" t="n"/>
      <c r="R2523" s="127" t="n"/>
      <c r="S2523" s="127" t="n"/>
      <c r="T2523" s="127" t="n"/>
      <c r="U2523" s="127" t="n"/>
      <c r="V2523" s="127" t="n"/>
      <c r="W2523" s="127" t="n"/>
      <c r="X2523" s="127" t="n"/>
      <c r="Y2523" s="127" t="n"/>
      <c r="Z2523" s="127" t="n"/>
    </row>
    <row r="2524">
      <c r="A2524" s="217" t="n"/>
      <c r="B2524" s="126" t="n"/>
      <c r="C2524" s="126" t="n"/>
      <c r="D2524" s="126" t="n"/>
      <c r="E2524" s="126" t="n"/>
      <c r="F2524" s="127" t="n"/>
      <c r="G2524" s="127" t="inlineStr"/>
      <c r="H2524" s="127" t="inlineStr"/>
      <c r="I2524" s="127" t="n"/>
      <c r="J2524" s="127" t="n"/>
      <c r="K2524" s="127" t="inlineStr"/>
      <c r="L2524" s="127" t="n"/>
      <c r="M2524" s="127" t="n"/>
      <c r="N2524" s="127" t="n"/>
      <c r="O2524" s="127" t="n"/>
      <c r="P2524" s="127" t="n"/>
      <c r="Q2524" s="127" t="n"/>
      <c r="R2524" s="127" t="n"/>
      <c r="S2524" s="127" t="n"/>
      <c r="T2524" s="127" t="n"/>
      <c r="U2524" s="127" t="n"/>
      <c r="V2524" s="127" t="n"/>
      <c r="W2524" s="127" t="n"/>
      <c r="X2524" s="127" t="n"/>
      <c r="Y2524" s="127" t="n"/>
      <c r="Z2524" s="127" t="n"/>
    </row>
    <row r="2525">
      <c r="A2525" s="217" t="n"/>
      <c r="B2525" s="126" t="n"/>
      <c r="C2525" s="126" t="n"/>
      <c r="D2525" s="126" t="n"/>
      <c r="E2525" s="126" t="n"/>
      <c r="F2525" s="127" t="n"/>
      <c r="G2525" s="127" t="inlineStr"/>
      <c r="H2525" s="127" t="inlineStr"/>
      <c r="I2525" s="127" t="n"/>
      <c r="J2525" s="127" t="n"/>
      <c r="K2525" s="127" t="inlineStr"/>
      <c r="L2525" s="127" t="n"/>
      <c r="M2525" s="127" t="n"/>
      <c r="N2525" s="127" t="n"/>
      <c r="O2525" s="127" t="n"/>
      <c r="P2525" s="127" t="n"/>
      <c r="Q2525" s="127" t="n"/>
      <c r="R2525" s="127" t="n"/>
      <c r="S2525" s="127" t="n"/>
      <c r="T2525" s="127" t="n"/>
      <c r="U2525" s="127" t="n"/>
      <c r="V2525" s="127" t="n"/>
      <c r="W2525" s="127" t="n"/>
      <c r="X2525" s="127" t="n"/>
      <c r="Y2525" s="127" t="n"/>
      <c r="Z2525" s="127" t="n"/>
    </row>
    <row r="2526">
      <c r="A2526" s="217" t="n"/>
      <c r="B2526" s="126" t="n"/>
      <c r="C2526" s="126" t="n"/>
      <c r="D2526" s="126" t="n"/>
      <c r="E2526" s="126" t="n"/>
      <c r="F2526" s="127" t="n"/>
      <c r="G2526" s="127" t="inlineStr"/>
      <c r="H2526" s="127" t="inlineStr"/>
      <c r="I2526" s="127" t="n"/>
      <c r="J2526" s="127" t="n"/>
      <c r="K2526" s="127" t="inlineStr"/>
      <c r="L2526" s="127" t="n"/>
      <c r="M2526" s="127" t="n"/>
      <c r="N2526" s="127" t="n"/>
      <c r="O2526" s="127" t="n"/>
      <c r="P2526" s="127" t="n"/>
      <c r="Q2526" s="127" t="n"/>
      <c r="R2526" s="127" t="n"/>
      <c r="S2526" s="127" t="n"/>
      <c r="T2526" s="127" t="n"/>
      <c r="U2526" s="127" t="n"/>
      <c r="V2526" s="127" t="n"/>
      <c r="W2526" s="127" t="n"/>
      <c r="X2526" s="127" t="n"/>
      <c r="Y2526" s="127" t="n"/>
      <c r="Z2526" s="127" t="n"/>
    </row>
    <row r="2527">
      <c r="A2527" s="217" t="n"/>
      <c r="B2527" s="126" t="n"/>
      <c r="C2527" s="126" t="n"/>
      <c r="D2527" s="126" t="n"/>
      <c r="E2527" s="126" t="n"/>
      <c r="F2527" s="127" t="n"/>
      <c r="G2527" s="127" t="inlineStr"/>
      <c r="H2527" s="127" t="inlineStr"/>
      <c r="I2527" s="127" t="n"/>
      <c r="J2527" s="127" t="n"/>
      <c r="K2527" s="127" t="inlineStr"/>
      <c r="L2527" s="127" t="n"/>
      <c r="M2527" s="127" t="n"/>
      <c r="N2527" s="127" t="n"/>
      <c r="O2527" s="127" t="n"/>
      <c r="P2527" s="127" t="n"/>
      <c r="Q2527" s="127" t="n"/>
      <c r="R2527" s="127" t="n"/>
      <c r="S2527" s="127" t="n"/>
      <c r="T2527" s="127" t="n"/>
      <c r="U2527" s="127" t="n"/>
      <c r="V2527" s="127" t="n"/>
      <c r="W2527" s="127" t="n"/>
      <c r="X2527" s="127" t="n"/>
      <c r="Y2527" s="127" t="n"/>
      <c r="Z2527" s="127" t="n"/>
    </row>
    <row r="2528">
      <c r="A2528" s="217" t="n"/>
      <c r="B2528" s="126" t="n"/>
      <c r="C2528" s="126" t="n"/>
      <c r="D2528" s="126" t="n"/>
      <c r="E2528" s="126" t="n"/>
      <c r="F2528" s="127" t="n"/>
      <c r="G2528" s="127" t="inlineStr"/>
      <c r="H2528" s="127" t="inlineStr"/>
      <c r="I2528" s="127" t="n"/>
      <c r="J2528" s="127" t="n"/>
      <c r="K2528" s="127" t="inlineStr"/>
      <c r="L2528" s="127" t="n"/>
      <c r="M2528" s="127" t="n"/>
      <c r="N2528" s="127" t="n"/>
      <c r="O2528" s="127" t="n"/>
      <c r="P2528" s="127" t="n"/>
      <c r="Q2528" s="127" t="n"/>
      <c r="R2528" s="127" t="n"/>
      <c r="S2528" s="127" t="n"/>
      <c r="T2528" s="127" t="n"/>
      <c r="U2528" s="127" t="n"/>
      <c r="V2528" s="127" t="n"/>
      <c r="W2528" s="127" t="n"/>
      <c r="X2528" s="127" t="n"/>
      <c r="Y2528" s="127" t="n"/>
      <c r="Z2528" s="127" t="n"/>
    </row>
    <row r="2529">
      <c r="A2529" s="217" t="n"/>
      <c r="B2529" s="126" t="n"/>
      <c r="C2529" s="126" t="n"/>
      <c r="D2529" s="126" t="n"/>
      <c r="E2529" s="126" t="n"/>
      <c r="F2529" s="127" t="n"/>
      <c r="G2529" s="127" t="inlineStr"/>
      <c r="H2529" s="127" t="inlineStr"/>
      <c r="I2529" s="127" t="n"/>
      <c r="J2529" s="127" t="n"/>
      <c r="K2529" s="127" t="inlineStr"/>
      <c r="L2529" s="127" t="n"/>
      <c r="M2529" s="127" t="n"/>
      <c r="N2529" s="127" t="n"/>
      <c r="O2529" s="127" t="n"/>
      <c r="P2529" s="127" t="n"/>
      <c r="Q2529" s="127" t="n"/>
      <c r="R2529" s="127" t="n"/>
      <c r="S2529" s="127" t="n"/>
      <c r="T2529" s="127" t="n"/>
      <c r="U2529" s="127" t="n"/>
      <c r="V2529" s="127" t="n"/>
      <c r="W2529" s="127" t="n"/>
      <c r="X2529" s="127" t="n"/>
      <c r="Y2529" s="127" t="n"/>
      <c r="Z2529" s="127" t="n"/>
    </row>
    <row r="2530">
      <c r="A2530" s="217" t="n"/>
      <c r="B2530" s="126" t="n"/>
      <c r="C2530" s="126" t="n"/>
      <c r="D2530" s="126" t="n"/>
      <c r="E2530" s="126" t="n"/>
      <c r="F2530" s="127" t="n"/>
      <c r="G2530" s="127" t="inlineStr"/>
      <c r="H2530" s="127" t="inlineStr"/>
      <c r="I2530" s="127" t="n"/>
      <c r="J2530" s="127" t="n"/>
      <c r="K2530" s="127" t="inlineStr"/>
      <c r="L2530" s="127" t="n"/>
      <c r="M2530" s="127" t="n"/>
      <c r="N2530" s="127" t="n"/>
      <c r="O2530" s="127" t="n"/>
      <c r="P2530" s="127" t="n"/>
      <c r="Q2530" s="127" t="n"/>
      <c r="R2530" s="127" t="n"/>
      <c r="S2530" s="127" t="n"/>
      <c r="T2530" s="127" t="n"/>
      <c r="U2530" s="127" t="n"/>
      <c r="V2530" s="127" t="n"/>
      <c r="W2530" s="127" t="n"/>
      <c r="X2530" s="127" t="n"/>
      <c r="Y2530" s="127" t="n"/>
      <c r="Z2530" s="127" t="n"/>
    </row>
    <row r="2531">
      <c r="A2531" s="217" t="n"/>
      <c r="B2531" s="126" t="n"/>
      <c r="C2531" s="126" t="n"/>
      <c r="D2531" s="126" t="n"/>
      <c r="E2531" s="126" t="n"/>
      <c r="F2531" s="127" t="n"/>
      <c r="G2531" s="127" t="inlineStr"/>
      <c r="H2531" s="127" t="inlineStr"/>
      <c r="I2531" s="127" t="n"/>
      <c r="J2531" s="127" t="n"/>
      <c r="K2531" s="127" t="inlineStr"/>
      <c r="L2531" s="127" t="n"/>
      <c r="M2531" s="127" t="n"/>
      <c r="N2531" s="127" t="n"/>
      <c r="O2531" s="127" t="n"/>
      <c r="P2531" s="127" t="n"/>
      <c r="Q2531" s="127" t="n"/>
      <c r="R2531" s="127" t="n"/>
      <c r="S2531" s="127" t="n"/>
      <c r="T2531" s="127" t="n"/>
      <c r="U2531" s="127" t="n"/>
      <c r="V2531" s="127" t="n"/>
      <c r="W2531" s="127" t="n"/>
      <c r="X2531" s="127" t="n"/>
      <c r="Y2531" s="127" t="n"/>
      <c r="Z2531" s="127" t="n"/>
    </row>
    <row r="2532">
      <c r="A2532" s="217" t="n"/>
      <c r="B2532" s="126" t="n"/>
      <c r="C2532" s="126" t="n"/>
      <c r="D2532" s="126" t="n"/>
      <c r="E2532" s="126" t="n"/>
      <c r="F2532" s="127" t="n"/>
      <c r="G2532" s="127" t="inlineStr"/>
      <c r="H2532" s="127" t="inlineStr"/>
      <c r="I2532" s="127" t="n"/>
      <c r="J2532" s="127" t="n"/>
      <c r="K2532" s="127" t="inlineStr"/>
      <c r="L2532" s="127" t="n"/>
      <c r="M2532" s="127" t="n"/>
      <c r="N2532" s="127" t="n"/>
      <c r="O2532" s="127" t="n"/>
      <c r="P2532" s="127" t="n"/>
      <c r="Q2532" s="127" t="n"/>
      <c r="R2532" s="127" t="n"/>
      <c r="S2532" s="127" t="n"/>
      <c r="T2532" s="127" t="n"/>
      <c r="U2532" s="127" t="n"/>
      <c r="V2532" s="127" t="n"/>
      <c r="W2532" s="127" t="n"/>
      <c r="X2532" s="127" t="n"/>
      <c r="Y2532" s="127" t="n"/>
      <c r="Z2532" s="127" t="n"/>
    </row>
    <row r="2533">
      <c r="A2533" s="217" t="n"/>
      <c r="B2533" s="126" t="n"/>
      <c r="C2533" s="126" t="n"/>
      <c r="D2533" s="126" t="n"/>
      <c r="E2533" s="126" t="n"/>
      <c r="F2533" s="127" t="n"/>
      <c r="G2533" s="127" t="inlineStr"/>
      <c r="H2533" s="127" t="inlineStr"/>
      <c r="I2533" s="127" t="n"/>
      <c r="J2533" s="127" t="n"/>
      <c r="K2533" s="127" t="inlineStr"/>
      <c r="L2533" s="127" t="n"/>
      <c r="M2533" s="127" t="n"/>
      <c r="N2533" s="127" t="n"/>
      <c r="O2533" s="127" t="n"/>
      <c r="P2533" s="127" t="n"/>
      <c r="Q2533" s="127" t="n"/>
      <c r="R2533" s="127" t="n"/>
      <c r="S2533" s="127" t="n"/>
      <c r="T2533" s="127" t="n"/>
      <c r="U2533" s="127" t="n"/>
      <c r="V2533" s="127" t="n"/>
      <c r="W2533" s="127" t="n"/>
      <c r="X2533" s="127" t="n"/>
      <c r="Y2533" s="127" t="n"/>
      <c r="Z2533" s="127" t="n"/>
    </row>
    <row r="2534">
      <c r="A2534" s="217" t="n"/>
      <c r="B2534" s="126" t="n"/>
      <c r="C2534" s="126" t="n"/>
      <c r="D2534" s="126" t="n"/>
      <c r="E2534" s="126" t="n"/>
      <c r="F2534" s="127" t="n"/>
      <c r="G2534" s="127" t="inlineStr"/>
      <c r="H2534" s="127" t="inlineStr"/>
      <c r="I2534" s="127" t="n"/>
      <c r="J2534" s="127" t="n"/>
      <c r="K2534" s="127" t="inlineStr"/>
      <c r="L2534" s="127" t="n"/>
      <c r="M2534" s="127" t="n"/>
      <c r="N2534" s="127" t="n"/>
      <c r="O2534" s="127" t="n"/>
      <c r="P2534" s="127" t="n"/>
      <c r="Q2534" s="127" t="n"/>
      <c r="R2534" s="127" t="n"/>
      <c r="S2534" s="127" t="n"/>
      <c r="T2534" s="127" t="n"/>
      <c r="U2534" s="127" t="n"/>
      <c r="V2534" s="127" t="n"/>
      <c r="W2534" s="127" t="n"/>
      <c r="X2534" s="127" t="n"/>
      <c r="Y2534" s="127" t="n"/>
      <c r="Z2534" s="127" t="n"/>
    </row>
    <row r="2535">
      <c r="A2535" s="217" t="n"/>
      <c r="B2535" s="126" t="n"/>
      <c r="C2535" s="126" t="n"/>
      <c r="D2535" s="126" t="n"/>
      <c r="E2535" s="126" t="n"/>
      <c r="F2535" s="127" t="n"/>
      <c r="G2535" s="127" t="inlineStr"/>
      <c r="H2535" s="127" t="inlineStr"/>
      <c r="I2535" s="127" t="n"/>
      <c r="J2535" s="127" t="n"/>
      <c r="K2535" s="127" t="inlineStr"/>
      <c r="L2535" s="127" t="n"/>
      <c r="M2535" s="127" t="n"/>
      <c r="N2535" s="127" t="n"/>
      <c r="O2535" s="127" t="n"/>
      <c r="P2535" s="127" t="n"/>
      <c r="Q2535" s="127" t="n"/>
      <c r="R2535" s="127" t="n"/>
      <c r="S2535" s="127" t="n"/>
      <c r="T2535" s="127" t="n"/>
      <c r="U2535" s="127" t="n"/>
      <c r="V2535" s="127" t="n"/>
      <c r="W2535" s="127" t="n"/>
      <c r="X2535" s="127" t="n"/>
      <c r="Y2535" s="127" t="n"/>
      <c r="Z2535" s="127" t="n"/>
    </row>
    <row r="2536">
      <c r="A2536" s="217" t="n"/>
      <c r="B2536" s="126" t="n"/>
      <c r="C2536" s="126" t="n"/>
      <c r="D2536" s="126" t="n"/>
      <c r="E2536" s="126" t="n"/>
      <c r="F2536" s="127" t="n"/>
      <c r="G2536" s="127" t="inlineStr"/>
      <c r="H2536" s="127" t="inlineStr"/>
      <c r="I2536" s="127" t="n"/>
      <c r="J2536" s="127" t="n"/>
      <c r="K2536" s="127" t="inlineStr"/>
      <c r="L2536" s="127" t="n"/>
      <c r="M2536" s="127" t="n"/>
      <c r="N2536" s="127" t="n"/>
      <c r="O2536" s="127" t="n"/>
      <c r="P2536" s="127" t="n"/>
      <c r="Q2536" s="127" t="n"/>
      <c r="R2536" s="127" t="n"/>
      <c r="S2536" s="127" t="n"/>
      <c r="T2536" s="127" t="n"/>
      <c r="U2536" s="127" t="n"/>
      <c r="V2536" s="127" t="n"/>
      <c r="W2536" s="127" t="n"/>
      <c r="X2536" s="127" t="n"/>
      <c r="Y2536" s="127" t="n"/>
      <c r="Z2536" s="127" t="n"/>
    </row>
    <row r="2537">
      <c r="A2537" s="217" t="n"/>
      <c r="B2537" s="126" t="n"/>
      <c r="C2537" s="126" t="n"/>
      <c r="D2537" s="126" t="n"/>
      <c r="E2537" s="126" t="n"/>
      <c r="F2537" s="127" t="n"/>
      <c r="G2537" s="127" t="inlineStr"/>
      <c r="H2537" s="127" t="inlineStr"/>
      <c r="I2537" s="127" t="n"/>
      <c r="J2537" s="127" t="n"/>
      <c r="K2537" s="127" t="inlineStr"/>
      <c r="L2537" s="127" t="n"/>
      <c r="M2537" s="127" t="n"/>
      <c r="N2537" s="127" t="n"/>
      <c r="O2537" s="127" t="n"/>
      <c r="P2537" s="127" t="n"/>
      <c r="Q2537" s="127" t="n"/>
      <c r="R2537" s="127" t="n"/>
      <c r="S2537" s="127" t="n"/>
      <c r="T2537" s="127" t="n"/>
      <c r="U2537" s="127" t="n"/>
      <c r="V2537" s="127" t="n"/>
      <c r="W2537" s="127" t="n"/>
      <c r="X2537" s="127" t="n"/>
      <c r="Y2537" s="127" t="n"/>
      <c r="Z2537" s="127" t="n"/>
    </row>
    <row r="2538">
      <c r="A2538" s="217" t="n"/>
      <c r="B2538" s="126" t="n"/>
      <c r="C2538" s="126" t="n"/>
      <c r="D2538" s="126" t="n"/>
      <c r="E2538" s="126" t="n"/>
      <c r="F2538" s="127" t="n"/>
      <c r="G2538" s="127" t="inlineStr"/>
      <c r="H2538" s="127" t="inlineStr"/>
      <c r="I2538" s="127" t="n"/>
      <c r="J2538" s="127" t="n"/>
      <c r="K2538" s="127" t="inlineStr"/>
      <c r="L2538" s="127" t="n"/>
      <c r="M2538" s="127" t="n"/>
      <c r="N2538" s="127" t="n"/>
      <c r="O2538" s="127" t="n"/>
      <c r="P2538" s="127" t="n"/>
      <c r="Q2538" s="127" t="n"/>
      <c r="R2538" s="127" t="n"/>
      <c r="S2538" s="127" t="n"/>
      <c r="T2538" s="127" t="n"/>
      <c r="U2538" s="127" t="n"/>
      <c r="V2538" s="127" t="n"/>
      <c r="W2538" s="127" t="n"/>
      <c r="X2538" s="127" t="n"/>
      <c r="Y2538" s="127" t="n"/>
      <c r="Z2538" s="127" t="n"/>
    </row>
    <row r="2539">
      <c r="A2539" s="217" t="n"/>
      <c r="B2539" s="126" t="n"/>
      <c r="C2539" s="126" t="n"/>
      <c r="D2539" s="126" t="n"/>
      <c r="E2539" s="126" t="n"/>
      <c r="F2539" s="127" t="n"/>
      <c r="G2539" s="127" t="inlineStr"/>
      <c r="H2539" s="127" t="inlineStr"/>
      <c r="I2539" s="127" t="n"/>
      <c r="J2539" s="127" t="n"/>
      <c r="K2539" s="127" t="inlineStr"/>
      <c r="L2539" s="127" t="n"/>
      <c r="M2539" s="127" t="n"/>
      <c r="N2539" s="127" t="n"/>
      <c r="O2539" s="127" t="n"/>
      <c r="P2539" s="127" t="n"/>
      <c r="Q2539" s="127" t="n"/>
      <c r="R2539" s="127" t="n"/>
      <c r="S2539" s="127" t="n"/>
      <c r="T2539" s="127" t="n"/>
      <c r="U2539" s="127" t="n"/>
      <c r="V2539" s="127" t="n"/>
      <c r="W2539" s="127" t="n"/>
      <c r="X2539" s="127" t="n"/>
      <c r="Y2539" s="127" t="n"/>
      <c r="Z2539" s="127" t="n"/>
    </row>
    <row r="2540">
      <c r="A2540" s="217" t="n"/>
      <c r="B2540" s="126" t="n"/>
      <c r="C2540" s="126" t="n"/>
      <c r="D2540" s="126" t="n"/>
      <c r="E2540" s="126" t="n"/>
      <c r="F2540" s="127" t="n"/>
      <c r="G2540" s="127" t="inlineStr"/>
      <c r="H2540" s="127" t="inlineStr"/>
      <c r="I2540" s="127" t="n"/>
      <c r="J2540" s="127" t="n"/>
      <c r="K2540" s="127" t="inlineStr"/>
      <c r="L2540" s="127" t="n"/>
      <c r="M2540" s="127" t="n"/>
      <c r="N2540" s="127" t="n"/>
      <c r="O2540" s="127" t="n"/>
      <c r="P2540" s="127" t="n"/>
      <c r="Q2540" s="127" t="n"/>
      <c r="R2540" s="127" t="n"/>
      <c r="S2540" s="127" t="n"/>
      <c r="T2540" s="127" t="n"/>
      <c r="U2540" s="127" t="n"/>
      <c r="V2540" s="127" t="n"/>
      <c r="W2540" s="127" t="n"/>
      <c r="X2540" s="127" t="n"/>
      <c r="Y2540" s="127" t="n"/>
      <c r="Z2540" s="127" t="n"/>
    </row>
    <row r="2541">
      <c r="A2541" s="217" t="n"/>
      <c r="B2541" s="126" t="n"/>
      <c r="C2541" s="126" t="n"/>
      <c r="D2541" s="126" t="n"/>
      <c r="E2541" s="126" t="n"/>
      <c r="F2541" s="127" t="n"/>
      <c r="G2541" s="127" t="inlineStr"/>
      <c r="H2541" s="127" t="inlineStr"/>
      <c r="I2541" s="127" t="n"/>
      <c r="J2541" s="127" t="n"/>
      <c r="K2541" s="127" t="inlineStr"/>
      <c r="L2541" s="127" t="n"/>
      <c r="M2541" s="127" t="n"/>
      <c r="N2541" s="127" t="n"/>
      <c r="O2541" s="127" t="n"/>
      <c r="P2541" s="127" t="n"/>
      <c r="Q2541" s="127" t="n"/>
      <c r="R2541" s="127" t="n"/>
      <c r="S2541" s="127" t="n"/>
      <c r="T2541" s="127" t="n"/>
      <c r="U2541" s="127" t="n"/>
      <c r="V2541" s="127" t="n"/>
      <c r="W2541" s="127" t="n"/>
      <c r="X2541" s="127" t="n"/>
      <c r="Y2541" s="127" t="n"/>
      <c r="Z2541" s="127" t="n"/>
    </row>
    <row r="2542">
      <c r="A2542" s="217" t="n"/>
      <c r="B2542" s="126" t="n"/>
      <c r="C2542" s="126" t="n"/>
      <c r="D2542" s="126" t="n"/>
      <c r="E2542" s="126" t="n"/>
      <c r="F2542" s="127" t="n"/>
      <c r="G2542" s="127" t="inlineStr"/>
      <c r="H2542" s="127" t="inlineStr"/>
      <c r="I2542" s="127" t="n"/>
      <c r="J2542" s="127" t="n"/>
      <c r="K2542" s="127" t="inlineStr"/>
      <c r="L2542" s="127" t="n"/>
      <c r="M2542" s="127" t="n"/>
      <c r="N2542" s="127" t="n"/>
      <c r="O2542" s="127" t="n"/>
      <c r="P2542" s="127" t="n"/>
      <c r="Q2542" s="127" t="n"/>
      <c r="R2542" s="127" t="n"/>
      <c r="S2542" s="127" t="n"/>
      <c r="T2542" s="127" t="n"/>
      <c r="U2542" s="127" t="n"/>
      <c r="V2542" s="127" t="n"/>
      <c r="W2542" s="127" t="n"/>
      <c r="X2542" s="127" t="n"/>
      <c r="Y2542" s="127" t="n"/>
      <c r="Z2542" s="127" t="n"/>
    </row>
    <row r="2543">
      <c r="A2543" s="217" t="n"/>
      <c r="B2543" s="126" t="n"/>
      <c r="C2543" s="126" t="n"/>
      <c r="D2543" s="126" t="n"/>
      <c r="E2543" s="126" t="n"/>
      <c r="F2543" s="127" t="n"/>
      <c r="G2543" s="127" t="inlineStr"/>
      <c r="H2543" s="127" t="inlineStr"/>
      <c r="I2543" s="127" t="n"/>
      <c r="J2543" s="127" t="n"/>
      <c r="K2543" s="127" t="inlineStr"/>
      <c r="L2543" s="127" t="n"/>
      <c r="M2543" s="127" t="n"/>
      <c r="N2543" s="127" t="n"/>
      <c r="O2543" s="127" t="n"/>
      <c r="P2543" s="127" t="n"/>
      <c r="Q2543" s="127" t="n"/>
      <c r="R2543" s="127" t="n"/>
      <c r="S2543" s="127" t="n"/>
      <c r="T2543" s="127" t="n"/>
      <c r="U2543" s="127" t="n"/>
      <c r="V2543" s="127" t="n"/>
      <c r="W2543" s="127" t="n"/>
      <c r="X2543" s="127" t="n"/>
      <c r="Y2543" s="127" t="n"/>
      <c r="Z2543" s="127" t="n"/>
    </row>
    <row r="2544">
      <c r="A2544" s="217" t="n"/>
      <c r="B2544" s="126" t="n"/>
      <c r="C2544" s="126" t="n"/>
      <c r="D2544" s="126" t="n"/>
      <c r="E2544" s="126" t="n"/>
      <c r="F2544" s="127" t="n"/>
      <c r="G2544" s="127" t="inlineStr"/>
      <c r="H2544" s="127" t="inlineStr"/>
      <c r="I2544" s="127" t="n"/>
      <c r="J2544" s="127" t="n"/>
      <c r="K2544" s="127" t="inlineStr"/>
      <c r="L2544" s="127" t="n"/>
      <c r="M2544" s="127" t="n"/>
      <c r="N2544" s="127" t="n"/>
      <c r="O2544" s="127" t="n"/>
      <c r="P2544" s="127" t="n"/>
      <c r="Q2544" s="127" t="n"/>
      <c r="R2544" s="127" t="n"/>
      <c r="S2544" s="127" t="n"/>
      <c r="T2544" s="127" t="n"/>
      <c r="U2544" s="127" t="n"/>
      <c r="V2544" s="127" t="n"/>
      <c r="W2544" s="127" t="n"/>
      <c r="X2544" s="127" t="n"/>
      <c r="Y2544" s="127" t="n"/>
      <c r="Z2544" s="127" t="n"/>
    </row>
    <row r="2545">
      <c r="A2545" s="217" t="n"/>
      <c r="B2545" s="126" t="n"/>
      <c r="C2545" s="126" t="n"/>
      <c r="D2545" s="126" t="n"/>
      <c r="E2545" s="126" t="n"/>
      <c r="F2545" s="127" t="n"/>
      <c r="G2545" s="127" t="inlineStr"/>
      <c r="H2545" s="127" t="inlineStr"/>
      <c r="I2545" s="127" t="n"/>
      <c r="J2545" s="127" t="n"/>
      <c r="K2545" s="127" t="inlineStr"/>
      <c r="L2545" s="127" t="n"/>
      <c r="M2545" s="127" t="n"/>
      <c r="N2545" s="127" t="n"/>
      <c r="O2545" s="127" t="n"/>
      <c r="P2545" s="127" t="n"/>
      <c r="Q2545" s="127" t="n"/>
      <c r="R2545" s="127" t="n"/>
      <c r="S2545" s="127" t="n"/>
      <c r="T2545" s="127" t="n"/>
      <c r="U2545" s="127" t="n"/>
      <c r="V2545" s="127" t="n"/>
      <c r="W2545" s="127" t="n"/>
      <c r="X2545" s="127" t="n"/>
      <c r="Y2545" s="127" t="n"/>
      <c r="Z2545" s="127" t="n"/>
    </row>
    <row r="2546">
      <c r="A2546" s="217" t="n"/>
      <c r="B2546" s="126" t="n"/>
      <c r="C2546" s="126" t="n"/>
      <c r="D2546" s="126" t="n"/>
      <c r="E2546" s="126" t="n"/>
      <c r="F2546" s="127" t="n"/>
      <c r="G2546" s="127" t="inlineStr"/>
      <c r="H2546" s="127" t="inlineStr"/>
      <c r="I2546" s="127" t="n"/>
      <c r="J2546" s="127" t="n"/>
      <c r="K2546" s="127" t="inlineStr"/>
      <c r="L2546" s="127" t="n"/>
      <c r="M2546" s="127" t="n"/>
      <c r="N2546" s="127" t="n"/>
      <c r="O2546" s="127" t="n"/>
      <c r="P2546" s="127" t="n"/>
      <c r="Q2546" s="127" t="n"/>
      <c r="R2546" s="127" t="n"/>
      <c r="S2546" s="127" t="n"/>
      <c r="T2546" s="127" t="n"/>
      <c r="U2546" s="127" t="n"/>
      <c r="V2546" s="127" t="n"/>
      <c r="W2546" s="127" t="n"/>
      <c r="X2546" s="127" t="n"/>
      <c r="Y2546" s="127" t="n"/>
      <c r="Z2546" s="127" t="n"/>
    </row>
    <row r="2547">
      <c r="A2547" s="217" t="n"/>
      <c r="B2547" s="126" t="n"/>
      <c r="C2547" s="126" t="n"/>
      <c r="D2547" s="126" t="n"/>
      <c r="E2547" s="126" t="n"/>
      <c r="F2547" s="127" t="n"/>
      <c r="G2547" s="127" t="inlineStr"/>
      <c r="H2547" s="127" t="inlineStr"/>
      <c r="I2547" s="127" t="n"/>
      <c r="J2547" s="127" t="n"/>
      <c r="K2547" s="127" t="inlineStr"/>
      <c r="L2547" s="127" t="n"/>
      <c r="M2547" s="127" t="n"/>
      <c r="N2547" s="127" t="n"/>
      <c r="O2547" s="127" t="n"/>
      <c r="P2547" s="127" t="n"/>
      <c r="Q2547" s="127" t="n"/>
      <c r="R2547" s="127" t="n"/>
      <c r="S2547" s="127" t="n"/>
      <c r="T2547" s="127" t="n"/>
      <c r="U2547" s="127" t="n"/>
      <c r="V2547" s="127" t="n"/>
      <c r="W2547" s="127" t="n"/>
      <c r="X2547" s="127" t="n"/>
      <c r="Y2547" s="127" t="n"/>
      <c r="Z2547" s="127" t="n"/>
    </row>
    <row r="2548">
      <c r="A2548" s="217" t="n"/>
      <c r="B2548" s="126" t="n"/>
      <c r="C2548" s="126" t="n"/>
      <c r="D2548" s="126" t="n"/>
      <c r="E2548" s="126" t="n"/>
      <c r="F2548" s="127" t="n"/>
      <c r="G2548" s="127" t="inlineStr"/>
      <c r="H2548" s="127" t="inlineStr"/>
      <c r="I2548" s="127" t="n"/>
      <c r="J2548" s="127" t="n"/>
      <c r="K2548" s="127" t="inlineStr"/>
      <c r="L2548" s="127" t="n"/>
      <c r="M2548" s="127" t="n"/>
      <c r="N2548" s="127" t="n"/>
      <c r="O2548" s="127" t="n"/>
      <c r="P2548" s="127" t="n"/>
      <c r="Q2548" s="127" t="n"/>
      <c r="R2548" s="127" t="n"/>
      <c r="S2548" s="127" t="n"/>
      <c r="T2548" s="127" t="n"/>
      <c r="U2548" s="127" t="n"/>
      <c r="V2548" s="127" t="n"/>
      <c r="W2548" s="127" t="n"/>
      <c r="X2548" s="127" t="n"/>
      <c r="Y2548" s="127" t="n"/>
      <c r="Z2548" s="127" t="n"/>
    </row>
    <row r="2549">
      <c r="A2549" s="217" t="n"/>
      <c r="B2549" s="126" t="n"/>
      <c r="C2549" s="126" t="n"/>
      <c r="D2549" s="126" t="n"/>
      <c r="E2549" s="126" t="n"/>
      <c r="F2549" s="127" t="n"/>
      <c r="G2549" s="127" t="inlineStr"/>
      <c r="H2549" s="127" t="inlineStr"/>
      <c r="I2549" s="127" t="n"/>
      <c r="J2549" s="127" t="n"/>
      <c r="K2549" s="127" t="inlineStr"/>
      <c r="L2549" s="127" t="n"/>
      <c r="M2549" s="127" t="n"/>
      <c r="N2549" s="127" t="n"/>
      <c r="O2549" s="127" t="n"/>
      <c r="P2549" s="127" t="n"/>
      <c r="Q2549" s="127" t="n"/>
      <c r="R2549" s="127" t="n"/>
      <c r="S2549" s="127" t="n"/>
      <c r="T2549" s="127" t="n"/>
      <c r="U2549" s="127" t="n"/>
      <c r="V2549" s="127" t="n"/>
      <c r="W2549" s="127" t="n"/>
      <c r="X2549" s="127" t="n"/>
      <c r="Y2549" s="127" t="n"/>
      <c r="Z2549" s="127" t="n"/>
    </row>
    <row r="2550">
      <c r="A2550" s="217" t="n"/>
      <c r="B2550" s="126" t="n"/>
      <c r="C2550" s="126" t="n"/>
      <c r="D2550" s="126" t="n"/>
      <c r="E2550" s="126" t="n"/>
      <c r="F2550" s="127" t="n"/>
      <c r="G2550" s="127" t="inlineStr"/>
      <c r="H2550" s="127" t="inlineStr"/>
      <c r="I2550" s="127" t="n"/>
      <c r="J2550" s="127" t="n"/>
      <c r="K2550" s="127" t="inlineStr"/>
      <c r="L2550" s="127" t="n"/>
      <c r="M2550" s="127" t="n"/>
      <c r="N2550" s="127" t="n"/>
      <c r="O2550" s="127" t="n"/>
      <c r="P2550" s="127" t="n"/>
      <c r="Q2550" s="127" t="n"/>
      <c r="R2550" s="127" t="n"/>
      <c r="S2550" s="127" t="n"/>
      <c r="T2550" s="127" t="n"/>
      <c r="U2550" s="127" t="n"/>
      <c r="V2550" s="127" t="n"/>
      <c r="W2550" s="127" t="n"/>
      <c r="X2550" s="127" t="n"/>
      <c r="Y2550" s="127" t="n"/>
      <c r="Z2550" s="127" t="n"/>
    </row>
    <row r="2551">
      <c r="A2551" s="217" t="n"/>
      <c r="B2551" s="126" t="n"/>
      <c r="C2551" s="126" t="n"/>
      <c r="D2551" s="126" t="n"/>
      <c r="E2551" s="126" t="n"/>
      <c r="F2551" s="127" t="n"/>
      <c r="G2551" s="127" t="inlineStr"/>
      <c r="H2551" s="127" t="inlineStr"/>
      <c r="I2551" s="127" t="n"/>
      <c r="J2551" s="127" t="n"/>
      <c r="K2551" s="127" t="inlineStr"/>
      <c r="L2551" s="127" t="n"/>
      <c r="M2551" s="127" t="n"/>
      <c r="N2551" s="127" t="n"/>
      <c r="O2551" s="127" t="n"/>
      <c r="P2551" s="127" t="n"/>
      <c r="Q2551" s="127" t="n"/>
      <c r="R2551" s="127" t="n"/>
      <c r="S2551" s="127" t="n"/>
      <c r="T2551" s="127" t="n"/>
      <c r="U2551" s="127" t="n"/>
      <c r="V2551" s="127" t="n"/>
      <c r="W2551" s="127" t="n"/>
      <c r="X2551" s="127" t="n"/>
      <c r="Y2551" s="127" t="n"/>
      <c r="Z2551" s="127" t="n"/>
    </row>
    <row r="2552">
      <c r="A2552" s="217" t="n"/>
      <c r="B2552" s="126" t="n"/>
      <c r="C2552" s="126" t="n"/>
      <c r="D2552" s="126" t="n"/>
      <c r="E2552" s="126" t="n"/>
      <c r="F2552" s="127" t="n"/>
      <c r="G2552" s="127" t="inlineStr"/>
      <c r="H2552" s="127" t="inlineStr"/>
      <c r="I2552" s="127" t="n"/>
      <c r="J2552" s="127" t="n"/>
      <c r="K2552" s="127" t="inlineStr"/>
      <c r="L2552" s="127" t="n"/>
      <c r="M2552" s="127" t="n"/>
      <c r="N2552" s="127" t="n"/>
      <c r="O2552" s="127" t="n"/>
      <c r="P2552" s="127" t="n"/>
      <c r="Q2552" s="127" t="n"/>
      <c r="R2552" s="127" t="n"/>
      <c r="S2552" s="127" t="n"/>
      <c r="T2552" s="127" t="n"/>
      <c r="U2552" s="127" t="n"/>
      <c r="V2552" s="127" t="n"/>
      <c r="W2552" s="127" t="n"/>
      <c r="X2552" s="127" t="n"/>
      <c r="Y2552" s="127" t="n"/>
      <c r="Z2552" s="127" t="n"/>
    </row>
    <row r="2553">
      <c r="A2553" s="217" t="n"/>
      <c r="B2553" s="126" t="n"/>
      <c r="C2553" s="126" t="n"/>
      <c r="D2553" s="126" t="n"/>
      <c r="E2553" s="126" t="n"/>
      <c r="F2553" s="127" t="n"/>
      <c r="G2553" s="127" t="inlineStr"/>
      <c r="H2553" s="127" t="inlineStr"/>
      <c r="I2553" s="127" t="n"/>
      <c r="J2553" s="127" t="n"/>
      <c r="K2553" s="127" t="inlineStr"/>
      <c r="L2553" s="127" t="n"/>
      <c r="M2553" s="127" t="n"/>
      <c r="N2553" s="127" t="n"/>
      <c r="O2553" s="127" t="n"/>
      <c r="P2553" s="127" t="n"/>
      <c r="Q2553" s="127" t="n"/>
      <c r="R2553" s="127" t="n"/>
      <c r="S2553" s="127" t="n"/>
      <c r="T2553" s="127" t="n"/>
      <c r="U2553" s="127" t="n"/>
      <c r="V2553" s="127" t="n"/>
      <c r="W2553" s="127" t="n"/>
      <c r="X2553" s="127" t="n"/>
      <c r="Y2553" s="127" t="n"/>
      <c r="Z2553" s="127" t="n"/>
    </row>
    <row r="2554">
      <c r="A2554" s="217" t="n"/>
      <c r="B2554" s="126" t="n"/>
      <c r="C2554" s="126" t="n"/>
      <c r="D2554" s="126" t="n"/>
      <c r="E2554" s="126" t="n"/>
      <c r="F2554" s="127" t="n"/>
      <c r="G2554" s="127" t="inlineStr"/>
      <c r="H2554" s="127" t="inlineStr"/>
      <c r="I2554" s="127" t="n"/>
      <c r="J2554" s="127" t="n"/>
      <c r="K2554" s="127" t="inlineStr"/>
      <c r="L2554" s="127" t="n"/>
      <c r="M2554" s="127" t="n"/>
      <c r="N2554" s="127" t="n"/>
      <c r="O2554" s="127" t="n"/>
      <c r="P2554" s="127" t="n"/>
      <c r="Q2554" s="127" t="n"/>
      <c r="R2554" s="127" t="n"/>
      <c r="S2554" s="127" t="n"/>
      <c r="T2554" s="127" t="n"/>
      <c r="U2554" s="127" t="n"/>
      <c r="V2554" s="127" t="n"/>
      <c r="W2554" s="127" t="n"/>
      <c r="X2554" s="127" t="n"/>
      <c r="Y2554" s="127" t="n"/>
      <c r="Z2554" s="127" t="n"/>
    </row>
    <row r="2555">
      <c r="A2555" s="217" t="n"/>
      <c r="B2555" s="126" t="n"/>
      <c r="C2555" s="126" t="n"/>
      <c r="D2555" s="126" t="n"/>
      <c r="E2555" s="126" t="n"/>
      <c r="F2555" s="127" t="n"/>
      <c r="G2555" s="127" t="inlineStr"/>
      <c r="H2555" s="127" t="inlineStr"/>
      <c r="I2555" s="127" t="n"/>
      <c r="J2555" s="127" t="n"/>
      <c r="K2555" s="127" t="inlineStr"/>
      <c r="L2555" s="127" t="n"/>
      <c r="M2555" s="127" t="n"/>
      <c r="N2555" s="127" t="n"/>
      <c r="O2555" s="127" t="n"/>
      <c r="P2555" s="127" t="n"/>
      <c r="Q2555" s="127" t="n"/>
      <c r="R2555" s="127" t="n"/>
      <c r="S2555" s="127" t="n"/>
      <c r="T2555" s="127" t="n"/>
      <c r="U2555" s="127" t="n"/>
      <c r="V2555" s="127" t="n"/>
      <c r="W2555" s="127" t="n"/>
      <c r="X2555" s="127" t="n"/>
      <c r="Y2555" s="127" t="n"/>
      <c r="Z2555" s="127" t="n"/>
    </row>
    <row r="2556">
      <c r="A2556" s="217" t="n"/>
      <c r="B2556" s="126" t="n"/>
      <c r="C2556" s="126" t="n"/>
      <c r="D2556" s="126" t="n"/>
      <c r="E2556" s="126" t="n"/>
      <c r="F2556" s="127" t="n"/>
      <c r="G2556" s="127" t="inlineStr"/>
      <c r="H2556" s="127" t="inlineStr"/>
      <c r="I2556" s="127" t="n"/>
      <c r="J2556" s="127" t="n"/>
      <c r="K2556" s="127" t="inlineStr"/>
      <c r="L2556" s="127" t="n"/>
      <c r="M2556" s="127" t="n"/>
      <c r="N2556" s="127" t="n"/>
      <c r="O2556" s="127" t="n"/>
      <c r="P2556" s="127" t="n"/>
      <c r="Q2556" s="127" t="n"/>
      <c r="R2556" s="127" t="n"/>
      <c r="S2556" s="127" t="n"/>
      <c r="T2556" s="127" t="n"/>
      <c r="U2556" s="127" t="n"/>
      <c r="V2556" s="127" t="n"/>
      <c r="W2556" s="127" t="n"/>
      <c r="X2556" s="127" t="n"/>
      <c r="Y2556" s="127" t="n"/>
      <c r="Z2556" s="127" t="n"/>
    </row>
    <row r="2557">
      <c r="A2557" s="217" t="n"/>
      <c r="B2557" s="126" t="n"/>
      <c r="C2557" s="126" t="n"/>
      <c r="D2557" s="126" t="n"/>
      <c r="E2557" s="126" t="n"/>
      <c r="F2557" s="127" t="n"/>
      <c r="G2557" s="127" t="inlineStr"/>
      <c r="H2557" s="127" t="inlineStr"/>
      <c r="I2557" s="127" t="n"/>
      <c r="J2557" s="127" t="n"/>
      <c r="K2557" s="127" t="inlineStr"/>
      <c r="L2557" s="127" t="n"/>
      <c r="M2557" s="127" t="n"/>
      <c r="N2557" s="127" t="n"/>
      <c r="O2557" s="127" t="n"/>
      <c r="P2557" s="127" t="n"/>
      <c r="Q2557" s="127" t="n"/>
      <c r="R2557" s="127" t="n"/>
      <c r="S2557" s="127" t="n"/>
      <c r="T2557" s="127" t="n"/>
      <c r="U2557" s="127" t="n"/>
      <c r="V2557" s="127" t="n"/>
      <c r="W2557" s="127" t="n"/>
      <c r="X2557" s="127" t="n"/>
      <c r="Y2557" s="127" t="n"/>
      <c r="Z2557" s="127" t="n"/>
    </row>
    <row r="2558">
      <c r="A2558" s="217" t="n"/>
      <c r="B2558" s="126" t="n"/>
      <c r="C2558" s="126" t="n"/>
      <c r="D2558" s="126" t="n"/>
      <c r="E2558" s="126" t="n"/>
      <c r="F2558" s="127" t="n"/>
      <c r="G2558" s="127" t="inlineStr"/>
      <c r="H2558" s="127" t="inlineStr"/>
      <c r="I2558" s="127" t="n"/>
      <c r="J2558" s="127" t="n"/>
      <c r="K2558" s="127" t="inlineStr"/>
      <c r="L2558" s="127" t="n"/>
      <c r="M2558" s="127" t="n"/>
      <c r="N2558" s="127" t="n"/>
      <c r="O2558" s="127" t="n"/>
      <c r="P2558" s="127" t="n"/>
      <c r="Q2558" s="127" t="n"/>
      <c r="R2558" s="127" t="n"/>
      <c r="S2558" s="127" t="n"/>
      <c r="T2558" s="127" t="n"/>
      <c r="U2558" s="127" t="n"/>
      <c r="V2558" s="127" t="n"/>
      <c r="W2558" s="127" t="n"/>
      <c r="X2558" s="127" t="n"/>
      <c r="Y2558" s="127" t="n"/>
      <c r="Z2558" s="127" t="n"/>
    </row>
    <row r="2559">
      <c r="A2559" s="217" t="n"/>
      <c r="B2559" s="126" t="n"/>
      <c r="C2559" s="126" t="n"/>
      <c r="D2559" s="126" t="n"/>
      <c r="E2559" s="126" t="n"/>
      <c r="F2559" s="127" t="n"/>
      <c r="G2559" s="127" t="inlineStr"/>
      <c r="H2559" s="127" t="inlineStr"/>
      <c r="I2559" s="127" t="n"/>
      <c r="J2559" s="127" t="n"/>
      <c r="K2559" s="127" t="inlineStr"/>
      <c r="L2559" s="127" t="n"/>
      <c r="M2559" s="127" t="n"/>
      <c r="N2559" s="127" t="n"/>
      <c r="O2559" s="127" t="n"/>
      <c r="P2559" s="127" t="n"/>
      <c r="Q2559" s="127" t="n"/>
      <c r="R2559" s="127" t="n"/>
      <c r="S2559" s="127" t="n"/>
      <c r="T2559" s="127" t="n"/>
      <c r="U2559" s="127" t="n"/>
      <c r="V2559" s="127" t="n"/>
      <c r="W2559" s="127" t="n"/>
      <c r="X2559" s="127" t="n"/>
      <c r="Y2559" s="127" t="n"/>
      <c r="Z2559" s="127" t="n"/>
    </row>
    <row r="2560">
      <c r="A2560" s="217" t="n"/>
      <c r="B2560" s="126" t="n"/>
      <c r="C2560" s="126" t="n"/>
      <c r="D2560" s="126" t="n"/>
      <c r="E2560" s="126" t="n"/>
      <c r="F2560" s="127" t="n"/>
      <c r="G2560" s="127" t="inlineStr"/>
      <c r="H2560" s="127" t="inlineStr"/>
      <c r="I2560" s="127" t="n"/>
      <c r="J2560" s="127" t="n"/>
      <c r="K2560" s="127" t="inlineStr"/>
      <c r="L2560" s="127" t="n"/>
      <c r="M2560" s="127" t="n"/>
      <c r="N2560" s="127" t="n"/>
      <c r="O2560" s="127" t="n"/>
      <c r="P2560" s="127" t="n"/>
      <c r="Q2560" s="127" t="n"/>
      <c r="R2560" s="127" t="n"/>
      <c r="S2560" s="127" t="n"/>
      <c r="T2560" s="127" t="n"/>
      <c r="U2560" s="127" t="n"/>
      <c r="V2560" s="127" t="n"/>
      <c r="W2560" s="127" t="n"/>
      <c r="X2560" s="127" t="n"/>
      <c r="Y2560" s="127" t="n"/>
      <c r="Z2560" s="127" t="n"/>
    </row>
    <row r="2561">
      <c r="A2561" s="217" t="n"/>
      <c r="B2561" s="126" t="n"/>
      <c r="C2561" s="126" t="n"/>
      <c r="D2561" s="126" t="n"/>
      <c r="E2561" s="126" t="n"/>
      <c r="F2561" s="127" t="n"/>
      <c r="G2561" s="127" t="inlineStr"/>
      <c r="H2561" s="127" t="inlineStr"/>
      <c r="I2561" s="127" t="n"/>
      <c r="J2561" s="127" t="n"/>
      <c r="K2561" s="127" t="inlineStr"/>
      <c r="L2561" s="127" t="n"/>
      <c r="M2561" s="127" t="n"/>
      <c r="N2561" s="127" t="n"/>
      <c r="O2561" s="127" t="n"/>
      <c r="P2561" s="127" t="n"/>
      <c r="Q2561" s="127" t="n"/>
      <c r="R2561" s="127" t="n"/>
      <c r="S2561" s="127" t="n"/>
      <c r="T2561" s="127" t="n"/>
      <c r="U2561" s="127" t="n"/>
      <c r="V2561" s="127" t="n"/>
      <c r="W2561" s="127" t="n"/>
      <c r="X2561" s="127" t="n"/>
      <c r="Y2561" s="127" t="n"/>
      <c r="Z2561" s="127" t="n"/>
    </row>
    <row r="2562">
      <c r="A2562" s="217" t="n"/>
      <c r="B2562" s="126" t="n"/>
      <c r="C2562" s="126" t="n"/>
      <c r="D2562" s="126" t="n"/>
      <c r="E2562" s="126" t="n"/>
      <c r="F2562" s="127" t="n"/>
      <c r="G2562" s="127" t="inlineStr"/>
      <c r="H2562" s="127" t="inlineStr"/>
      <c r="I2562" s="127" t="n"/>
      <c r="J2562" s="127" t="n"/>
      <c r="K2562" s="127" t="inlineStr"/>
      <c r="L2562" s="127" t="n"/>
      <c r="M2562" s="127" t="n"/>
      <c r="N2562" s="127" t="n"/>
      <c r="O2562" s="127" t="n"/>
      <c r="P2562" s="127" t="n"/>
      <c r="Q2562" s="127" t="n"/>
      <c r="R2562" s="127" t="n"/>
      <c r="S2562" s="127" t="n"/>
      <c r="T2562" s="127" t="n"/>
      <c r="U2562" s="127" t="n"/>
      <c r="V2562" s="127" t="n"/>
      <c r="W2562" s="127" t="n"/>
      <c r="X2562" s="127" t="n"/>
      <c r="Y2562" s="127" t="n"/>
      <c r="Z2562" s="127" t="n"/>
    </row>
    <row r="2563">
      <c r="A2563" s="217" t="n"/>
      <c r="B2563" s="126" t="n"/>
      <c r="C2563" s="126" t="n"/>
      <c r="D2563" s="126" t="n"/>
      <c r="E2563" s="126" t="n"/>
      <c r="F2563" s="127" t="n"/>
      <c r="G2563" s="127" t="inlineStr"/>
      <c r="H2563" s="127" t="inlineStr"/>
      <c r="I2563" s="127" t="n"/>
      <c r="J2563" s="127" t="n"/>
      <c r="K2563" s="127" t="inlineStr"/>
      <c r="L2563" s="127" t="n"/>
      <c r="M2563" s="127" t="n"/>
      <c r="N2563" s="127" t="n"/>
      <c r="O2563" s="127" t="n"/>
      <c r="P2563" s="127" t="n"/>
      <c r="Q2563" s="127" t="n"/>
      <c r="R2563" s="127" t="n"/>
      <c r="S2563" s="127" t="n"/>
      <c r="T2563" s="127" t="n"/>
      <c r="U2563" s="127" t="n"/>
      <c r="V2563" s="127" t="n"/>
      <c r="W2563" s="127" t="n"/>
      <c r="X2563" s="127" t="n"/>
      <c r="Y2563" s="127" t="n"/>
      <c r="Z2563" s="127" t="n"/>
    </row>
    <row r="2564">
      <c r="A2564" s="217" t="n"/>
      <c r="B2564" s="126" t="n"/>
      <c r="C2564" s="126" t="n"/>
      <c r="D2564" s="126" t="n"/>
      <c r="E2564" s="126" t="n"/>
      <c r="F2564" s="127" t="n"/>
      <c r="G2564" s="127" t="inlineStr"/>
      <c r="H2564" s="127" t="inlineStr"/>
      <c r="I2564" s="127" t="n"/>
      <c r="J2564" s="127" t="n"/>
      <c r="K2564" s="127" t="inlineStr"/>
      <c r="L2564" s="127" t="n"/>
      <c r="M2564" s="127" t="n"/>
      <c r="N2564" s="127" t="n"/>
      <c r="O2564" s="127" t="n"/>
      <c r="P2564" s="127" t="n"/>
      <c r="Q2564" s="127" t="n"/>
      <c r="R2564" s="127" t="n"/>
      <c r="S2564" s="127" t="n"/>
      <c r="T2564" s="127" t="n"/>
      <c r="U2564" s="127" t="n"/>
      <c r="V2564" s="127" t="n"/>
      <c r="W2564" s="127" t="n"/>
      <c r="X2564" s="127" t="n"/>
      <c r="Y2564" s="127" t="n"/>
      <c r="Z2564" s="127" t="n"/>
    </row>
    <row r="2565">
      <c r="A2565" s="217" t="n"/>
      <c r="B2565" s="126" t="n"/>
      <c r="C2565" s="126" t="n"/>
      <c r="D2565" s="126" t="n"/>
      <c r="E2565" s="126" t="n"/>
      <c r="F2565" s="127" t="n"/>
      <c r="G2565" s="127" t="inlineStr"/>
      <c r="H2565" s="127" t="inlineStr"/>
      <c r="I2565" s="127" t="n"/>
      <c r="J2565" s="127" t="n"/>
      <c r="K2565" s="127" t="inlineStr"/>
      <c r="L2565" s="127" t="n"/>
      <c r="M2565" s="127" t="n"/>
      <c r="N2565" s="127" t="n"/>
      <c r="O2565" s="127" t="n"/>
      <c r="P2565" s="127" t="n"/>
      <c r="Q2565" s="127" t="n"/>
      <c r="R2565" s="127" t="n"/>
      <c r="S2565" s="127" t="n"/>
      <c r="T2565" s="127" t="n"/>
      <c r="U2565" s="127" t="n"/>
      <c r="V2565" s="127" t="n"/>
      <c r="W2565" s="127" t="n"/>
      <c r="X2565" s="127" t="n"/>
      <c r="Y2565" s="127" t="n"/>
      <c r="Z2565" s="127" t="n"/>
    </row>
    <row r="2566">
      <c r="A2566" s="217" t="n"/>
      <c r="B2566" s="126" t="n"/>
      <c r="C2566" s="126" t="n"/>
      <c r="D2566" s="126" t="n"/>
      <c r="E2566" s="126" t="n"/>
      <c r="F2566" s="127" t="n"/>
      <c r="G2566" s="127" t="inlineStr"/>
      <c r="H2566" s="127" t="inlineStr"/>
      <c r="I2566" s="127" t="n"/>
      <c r="J2566" s="127" t="n"/>
      <c r="K2566" s="127" t="inlineStr"/>
      <c r="L2566" s="127" t="n"/>
      <c r="M2566" s="127" t="n"/>
      <c r="N2566" s="127" t="n"/>
      <c r="O2566" s="127" t="n"/>
      <c r="P2566" s="127" t="n"/>
      <c r="Q2566" s="127" t="n"/>
      <c r="R2566" s="127" t="n"/>
      <c r="S2566" s="127" t="n"/>
      <c r="T2566" s="127" t="n"/>
      <c r="U2566" s="127" t="n"/>
      <c r="V2566" s="127" t="n"/>
      <c r="W2566" s="127" t="n"/>
      <c r="X2566" s="127" t="n"/>
      <c r="Y2566" s="127" t="n"/>
      <c r="Z2566" s="127" t="n"/>
    </row>
    <row r="2567">
      <c r="A2567" s="217" t="n"/>
      <c r="B2567" s="126" t="n"/>
      <c r="C2567" s="126" t="n"/>
      <c r="D2567" s="126" t="n"/>
      <c r="E2567" s="126" t="n"/>
      <c r="F2567" s="127" t="n"/>
      <c r="G2567" s="127" t="inlineStr"/>
      <c r="H2567" s="127" t="inlineStr"/>
      <c r="I2567" s="127" t="n"/>
      <c r="J2567" s="127" t="n"/>
      <c r="K2567" s="127" t="inlineStr"/>
      <c r="L2567" s="127" t="n"/>
      <c r="M2567" s="127" t="n"/>
      <c r="N2567" s="127" t="n"/>
      <c r="O2567" s="127" t="n"/>
      <c r="P2567" s="127" t="n"/>
      <c r="Q2567" s="127" t="n"/>
      <c r="R2567" s="127" t="n"/>
      <c r="S2567" s="127" t="n"/>
      <c r="T2567" s="127" t="n"/>
      <c r="U2567" s="127" t="n"/>
      <c r="V2567" s="127" t="n"/>
      <c r="W2567" s="127" t="n"/>
      <c r="X2567" s="127" t="n"/>
      <c r="Y2567" s="127" t="n"/>
      <c r="Z2567" s="127" t="n"/>
    </row>
    <row r="2568">
      <c r="A2568" s="217" t="n"/>
      <c r="B2568" s="126" t="n"/>
      <c r="C2568" s="126" t="n"/>
      <c r="D2568" s="126" t="n"/>
      <c r="E2568" s="126" t="n"/>
      <c r="F2568" s="127" t="n"/>
      <c r="G2568" s="127" t="inlineStr"/>
      <c r="H2568" s="127" t="inlineStr"/>
      <c r="I2568" s="127" t="n"/>
      <c r="J2568" s="127" t="n"/>
      <c r="K2568" s="127" t="inlineStr"/>
      <c r="L2568" s="127" t="n"/>
      <c r="M2568" s="127" t="n"/>
      <c r="N2568" s="127" t="n"/>
      <c r="O2568" s="127" t="n"/>
      <c r="P2568" s="127" t="n"/>
      <c r="Q2568" s="127" t="n"/>
      <c r="R2568" s="127" t="n"/>
      <c r="S2568" s="127" t="n"/>
      <c r="T2568" s="127" t="n"/>
      <c r="U2568" s="127" t="n"/>
      <c r="V2568" s="127" t="n"/>
      <c r="W2568" s="127" t="n"/>
      <c r="X2568" s="127" t="n"/>
      <c r="Y2568" s="127" t="n"/>
      <c r="Z2568" s="127" t="n"/>
    </row>
    <row r="2569">
      <c r="A2569" s="217" t="n"/>
      <c r="B2569" s="126" t="n"/>
      <c r="C2569" s="126" t="n"/>
      <c r="D2569" s="126" t="n"/>
      <c r="E2569" s="126" t="n"/>
      <c r="F2569" s="127" t="n"/>
      <c r="G2569" s="127" t="inlineStr"/>
      <c r="H2569" s="127" t="inlineStr"/>
      <c r="I2569" s="127" t="n"/>
      <c r="J2569" s="127" t="n"/>
      <c r="K2569" s="127" t="inlineStr"/>
      <c r="L2569" s="127" t="n"/>
      <c r="M2569" s="127" t="n"/>
      <c r="N2569" s="127" t="n"/>
      <c r="O2569" s="127" t="n"/>
      <c r="P2569" s="127" t="n"/>
      <c r="Q2569" s="127" t="n"/>
      <c r="R2569" s="127" t="n"/>
      <c r="S2569" s="127" t="n"/>
      <c r="T2569" s="127" t="n"/>
      <c r="U2569" s="127" t="n"/>
      <c r="V2569" s="127" t="n"/>
      <c r="W2569" s="127" t="n"/>
      <c r="X2569" s="127" t="n"/>
      <c r="Y2569" s="127" t="n"/>
      <c r="Z2569" s="127" t="n"/>
    </row>
    <row r="2570">
      <c r="A2570" s="217" t="n"/>
      <c r="B2570" s="126" t="n"/>
      <c r="C2570" s="126" t="n"/>
      <c r="D2570" s="126" t="n"/>
      <c r="E2570" s="126" t="n"/>
      <c r="F2570" s="127" t="n"/>
      <c r="G2570" s="127" t="inlineStr"/>
      <c r="H2570" s="127" t="inlineStr"/>
      <c r="I2570" s="127" t="n"/>
      <c r="J2570" s="127" t="n"/>
      <c r="K2570" s="127" t="inlineStr"/>
      <c r="L2570" s="127" t="n"/>
      <c r="M2570" s="127" t="n"/>
      <c r="N2570" s="127" t="n"/>
      <c r="O2570" s="127" t="n"/>
      <c r="P2570" s="127" t="n"/>
      <c r="Q2570" s="127" t="n"/>
      <c r="R2570" s="127" t="n"/>
      <c r="S2570" s="127" t="n"/>
      <c r="T2570" s="127" t="n"/>
      <c r="U2570" s="127" t="n"/>
      <c r="V2570" s="127" t="n"/>
      <c r="W2570" s="127" t="n"/>
      <c r="X2570" s="127" t="n"/>
      <c r="Y2570" s="127" t="n"/>
      <c r="Z2570" s="127" t="n"/>
    </row>
    <row r="2571">
      <c r="A2571" s="217" t="n"/>
      <c r="B2571" s="126" t="n"/>
      <c r="C2571" s="126" t="n"/>
      <c r="D2571" s="126" t="n"/>
      <c r="E2571" s="126" t="n"/>
      <c r="F2571" s="127" t="n"/>
      <c r="G2571" s="127" t="inlineStr"/>
      <c r="H2571" s="127" t="inlineStr"/>
      <c r="I2571" s="127" t="n"/>
      <c r="J2571" s="127" t="n"/>
      <c r="K2571" s="127" t="inlineStr"/>
      <c r="L2571" s="127" t="n"/>
      <c r="M2571" s="127" t="n"/>
      <c r="N2571" s="127" t="n"/>
      <c r="O2571" s="127" t="n"/>
      <c r="P2571" s="127" t="n"/>
      <c r="Q2571" s="127" t="n"/>
      <c r="R2571" s="127" t="n"/>
      <c r="S2571" s="127" t="n"/>
      <c r="T2571" s="127" t="n"/>
      <c r="U2571" s="127" t="n"/>
      <c r="V2571" s="127" t="n"/>
      <c r="W2571" s="127" t="n"/>
      <c r="X2571" s="127" t="n"/>
      <c r="Y2571" s="127" t="n"/>
      <c r="Z2571" s="127" t="n"/>
    </row>
    <row r="2572">
      <c r="A2572" s="217" t="n"/>
      <c r="B2572" s="126" t="n"/>
      <c r="C2572" s="126" t="n"/>
      <c r="D2572" s="126" t="n"/>
      <c r="E2572" s="126" t="n"/>
      <c r="F2572" s="127" t="n"/>
      <c r="G2572" s="127" t="inlineStr"/>
      <c r="H2572" s="127" t="inlineStr"/>
      <c r="I2572" s="127" t="n"/>
      <c r="J2572" s="127" t="n"/>
      <c r="K2572" s="127" t="inlineStr"/>
      <c r="L2572" s="127" t="n"/>
      <c r="M2572" s="127" t="n"/>
      <c r="N2572" s="127" t="n"/>
      <c r="O2572" s="127" t="n"/>
      <c r="P2572" s="127" t="n"/>
      <c r="Q2572" s="127" t="n"/>
      <c r="R2572" s="127" t="n"/>
      <c r="S2572" s="127" t="n"/>
      <c r="T2572" s="127" t="n"/>
      <c r="U2572" s="127" t="n"/>
      <c r="V2572" s="127" t="n"/>
      <c r="W2572" s="127" t="n"/>
      <c r="X2572" s="127" t="n"/>
      <c r="Y2572" s="127" t="n"/>
      <c r="Z2572" s="127" t="n"/>
    </row>
    <row r="2573">
      <c r="A2573" s="217" t="n"/>
      <c r="B2573" s="126" t="n"/>
      <c r="C2573" s="126" t="n"/>
      <c r="D2573" s="126" t="n"/>
      <c r="E2573" s="126" t="n"/>
      <c r="F2573" s="127" t="n"/>
      <c r="G2573" s="127" t="inlineStr"/>
      <c r="H2573" s="127" t="inlineStr"/>
      <c r="I2573" s="127" t="n"/>
      <c r="J2573" s="127" t="n"/>
      <c r="K2573" s="127" t="inlineStr"/>
      <c r="L2573" s="127" t="n"/>
      <c r="M2573" s="127" t="n"/>
      <c r="N2573" s="127" t="n"/>
      <c r="O2573" s="127" t="n"/>
      <c r="P2573" s="127" t="n"/>
      <c r="Q2573" s="127" t="n"/>
      <c r="R2573" s="127" t="n"/>
      <c r="S2573" s="127" t="n"/>
      <c r="T2573" s="127" t="n"/>
      <c r="U2573" s="127" t="n"/>
      <c r="V2573" s="127" t="n"/>
      <c r="W2573" s="127" t="n"/>
      <c r="X2573" s="127" t="n"/>
      <c r="Y2573" s="127" t="n"/>
      <c r="Z2573" s="127" t="n"/>
    </row>
    <row r="2574">
      <c r="A2574" s="217" t="n"/>
      <c r="B2574" s="126" t="n"/>
      <c r="C2574" s="126" t="n"/>
      <c r="D2574" s="126" t="n"/>
      <c r="E2574" s="126" t="n"/>
      <c r="F2574" s="127" t="n"/>
      <c r="G2574" s="127" t="inlineStr"/>
      <c r="H2574" s="127" t="inlineStr"/>
      <c r="I2574" s="127" t="n"/>
      <c r="J2574" s="127" t="n"/>
      <c r="K2574" s="127" t="inlineStr"/>
      <c r="L2574" s="127" t="n"/>
      <c r="M2574" s="127" t="n"/>
      <c r="N2574" s="127" t="n"/>
      <c r="O2574" s="127" t="n"/>
      <c r="P2574" s="127" t="n"/>
      <c r="Q2574" s="127" t="n"/>
      <c r="R2574" s="127" t="n"/>
      <c r="S2574" s="127" t="n"/>
      <c r="T2574" s="127" t="n"/>
      <c r="U2574" s="127" t="n"/>
      <c r="V2574" s="127" t="n"/>
      <c r="W2574" s="127" t="n"/>
      <c r="X2574" s="127" t="n"/>
      <c r="Y2574" s="127" t="n"/>
      <c r="Z2574" s="127" t="n"/>
    </row>
    <row r="2575">
      <c r="A2575" s="217" t="n"/>
      <c r="B2575" s="126" t="n"/>
      <c r="C2575" s="126" t="n"/>
      <c r="D2575" s="126" t="n"/>
      <c r="E2575" s="126" t="n"/>
      <c r="F2575" s="127" t="n"/>
      <c r="G2575" s="127" t="inlineStr"/>
      <c r="H2575" s="127" t="inlineStr"/>
      <c r="I2575" s="127" t="n"/>
      <c r="J2575" s="127" t="n"/>
      <c r="K2575" s="127" t="inlineStr"/>
      <c r="L2575" s="127" t="n"/>
      <c r="M2575" s="127" t="n"/>
      <c r="N2575" s="127" t="n"/>
      <c r="O2575" s="127" t="n"/>
      <c r="P2575" s="127" t="n"/>
      <c r="Q2575" s="127" t="n"/>
      <c r="R2575" s="127" t="n"/>
      <c r="S2575" s="127" t="n"/>
      <c r="T2575" s="127" t="n"/>
      <c r="U2575" s="127" t="n"/>
      <c r="V2575" s="127" t="n"/>
      <c r="W2575" s="127" t="n"/>
      <c r="X2575" s="127" t="n"/>
      <c r="Y2575" s="127" t="n"/>
      <c r="Z2575" s="127" t="n"/>
    </row>
    <row r="2576">
      <c r="A2576" s="217" t="n"/>
      <c r="B2576" s="126" t="n"/>
      <c r="C2576" s="126" t="n"/>
      <c r="D2576" s="126" t="n"/>
      <c r="E2576" s="126" t="n"/>
      <c r="F2576" s="127" t="n"/>
      <c r="G2576" s="127" t="inlineStr"/>
      <c r="H2576" s="127" t="inlineStr"/>
      <c r="I2576" s="127" t="n"/>
      <c r="J2576" s="127" t="n"/>
      <c r="K2576" s="127" t="inlineStr"/>
      <c r="L2576" s="127" t="n"/>
      <c r="M2576" s="127" t="n"/>
      <c r="N2576" s="127" t="n"/>
      <c r="O2576" s="127" t="n"/>
      <c r="P2576" s="127" t="n"/>
      <c r="Q2576" s="127" t="n"/>
      <c r="R2576" s="127" t="n"/>
      <c r="S2576" s="127" t="n"/>
      <c r="T2576" s="127" t="n"/>
      <c r="U2576" s="127" t="n"/>
      <c r="V2576" s="127" t="n"/>
      <c r="W2576" s="127" t="n"/>
      <c r="X2576" s="127" t="n"/>
      <c r="Y2576" s="127" t="n"/>
      <c r="Z2576" s="127" t="n"/>
    </row>
    <row r="2577">
      <c r="A2577" s="217" t="n"/>
      <c r="B2577" s="126" t="n"/>
      <c r="C2577" s="126" t="n"/>
      <c r="D2577" s="126" t="n"/>
      <c r="E2577" s="126" t="n"/>
      <c r="F2577" s="127" t="n"/>
      <c r="G2577" s="127" t="inlineStr"/>
      <c r="H2577" s="127" t="inlineStr"/>
      <c r="I2577" s="127" t="n"/>
      <c r="J2577" s="127" t="n"/>
      <c r="K2577" s="127" t="inlineStr"/>
      <c r="L2577" s="127" t="n"/>
      <c r="M2577" s="127" t="n"/>
      <c r="N2577" s="127" t="n"/>
      <c r="O2577" s="127" t="n"/>
      <c r="P2577" s="127" t="n"/>
      <c r="Q2577" s="127" t="n"/>
      <c r="R2577" s="127" t="n"/>
      <c r="S2577" s="127" t="n"/>
      <c r="T2577" s="127" t="n"/>
      <c r="U2577" s="127" t="n"/>
      <c r="V2577" s="127" t="n"/>
      <c r="W2577" s="127" t="n"/>
      <c r="X2577" s="127" t="n"/>
      <c r="Y2577" s="127" t="n"/>
      <c r="Z2577" s="127" t="n"/>
    </row>
    <row r="2578">
      <c r="A2578" s="217" t="n"/>
      <c r="B2578" s="126" t="n"/>
      <c r="C2578" s="126" t="n"/>
      <c r="D2578" s="126" t="n"/>
      <c r="E2578" s="126" t="n"/>
      <c r="F2578" s="127" t="n"/>
      <c r="G2578" s="127" t="inlineStr"/>
      <c r="H2578" s="127" t="inlineStr"/>
      <c r="I2578" s="127" t="n"/>
      <c r="J2578" s="127" t="n"/>
      <c r="K2578" s="127" t="inlineStr"/>
      <c r="L2578" s="127" t="n"/>
      <c r="M2578" s="127" t="n"/>
      <c r="N2578" s="127" t="n"/>
      <c r="O2578" s="127" t="n"/>
      <c r="P2578" s="127" t="n"/>
      <c r="Q2578" s="127" t="n"/>
      <c r="R2578" s="127" t="n"/>
      <c r="S2578" s="127" t="n"/>
      <c r="T2578" s="127" t="n"/>
      <c r="U2578" s="127" t="n"/>
      <c r="V2578" s="127" t="n"/>
      <c r="W2578" s="127" t="n"/>
      <c r="X2578" s="127" t="n"/>
      <c r="Y2578" s="127" t="n"/>
      <c r="Z2578" s="127" t="n"/>
    </row>
    <row r="2579">
      <c r="A2579" s="217" t="n"/>
      <c r="B2579" s="126" t="n"/>
      <c r="C2579" s="126" t="n"/>
      <c r="D2579" s="126" t="n"/>
      <c r="E2579" s="126" t="n"/>
      <c r="F2579" s="127" t="n"/>
      <c r="G2579" s="127" t="inlineStr"/>
      <c r="H2579" s="127" t="inlineStr"/>
      <c r="I2579" s="127" t="n"/>
      <c r="J2579" s="127" t="n"/>
      <c r="K2579" s="127" t="inlineStr"/>
      <c r="L2579" s="127" t="n"/>
      <c r="M2579" s="127" t="n"/>
      <c r="N2579" s="127" t="n"/>
      <c r="O2579" s="127" t="n"/>
      <c r="P2579" s="127" t="n"/>
      <c r="Q2579" s="127" t="n"/>
      <c r="R2579" s="127" t="n"/>
      <c r="S2579" s="127" t="n"/>
      <c r="T2579" s="127" t="n"/>
      <c r="U2579" s="127" t="n"/>
      <c r="V2579" s="127" t="n"/>
      <c r="W2579" s="127" t="n"/>
      <c r="X2579" s="127" t="n"/>
      <c r="Y2579" s="127" t="n"/>
      <c r="Z2579" s="127" t="n"/>
    </row>
    <row r="2580">
      <c r="A2580" s="217" t="n"/>
      <c r="B2580" s="126" t="n"/>
      <c r="C2580" s="126" t="n"/>
      <c r="D2580" s="126" t="n"/>
      <c r="E2580" s="126" t="n"/>
      <c r="F2580" s="127" t="n"/>
      <c r="G2580" s="127" t="inlineStr"/>
      <c r="H2580" s="127" t="inlineStr"/>
      <c r="I2580" s="127" t="n"/>
      <c r="J2580" s="127" t="n"/>
      <c r="K2580" s="127" t="inlineStr"/>
      <c r="L2580" s="127" t="n"/>
      <c r="M2580" s="127" t="n"/>
      <c r="N2580" s="127" t="n"/>
      <c r="O2580" s="127" t="n"/>
      <c r="P2580" s="127" t="n"/>
      <c r="Q2580" s="127" t="n"/>
      <c r="R2580" s="127" t="n"/>
      <c r="S2580" s="127" t="n"/>
      <c r="T2580" s="127" t="n"/>
      <c r="U2580" s="127" t="n"/>
      <c r="V2580" s="127" t="n"/>
      <c r="W2580" s="127" t="n"/>
      <c r="X2580" s="127" t="n"/>
      <c r="Y2580" s="127" t="n"/>
      <c r="Z2580" s="127" t="n"/>
    </row>
    <row r="2581">
      <c r="A2581" s="217" t="n"/>
      <c r="B2581" s="126" t="n"/>
      <c r="C2581" s="126" t="n"/>
      <c r="D2581" s="126" t="n"/>
      <c r="E2581" s="126" t="n"/>
      <c r="F2581" s="127" t="n"/>
      <c r="G2581" s="127" t="inlineStr"/>
      <c r="H2581" s="127" t="inlineStr"/>
      <c r="I2581" s="127" t="n"/>
      <c r="J2581" s="127" t="n"/>
      <c r="K2581" s="127" t="inlineStr"/>
      <c r="L2581" s="127" t="n"/>
      <c r="M2581" s="127" t="n"/>
      <c r="N2581" s="127" t="n"/>
      <c r="O2581" s="127" t="n"/>
      <c r="P2581" s="127" t="n"/>
      <c r="Q2581" s="127" t="n"/>
      <c r="R2581" s="127" t="n"/>
      <c r="S2581" s="127" t="n"/>
      <c r="T2581" s="127" t="n"/>
      <c r="U2581" s="127" t="n"/>
      <c r="V2581" s="127" t="n"/>
      <c r="W2581" s="127" t="n"/>
      <c r="X2581" s="127" t="n"/>
      <c r="Y2581" s="127" t="n"/>
      <c r="Z2581" s="127" t="n"/>
    </row>
    <row r="2582">
      <c r="A2582" s="217" t="n"/>
      <c r="B2582" s="126" t="n"/>
      <c r="C2582" s="126" t="n"/>
      <c r="D2582" s="126" t="n"/>
      <c r="E2582" s="126" t="n"/>
      <c r="F2582" s="127" t="n"/>
      <c r="G2582" s="127" t="inlineStr"/>
      <c r="H2582" s="127" t="inlineStr"/>
      <c r="I2582" s="127" t="n"/>
      <c r="J2582" s="127" t="n"/>
      <c r="K2582" s="127" t="inlineStr"/>
      <c r="L2582" s="127" t="n"/>
      <c r="M2582" s="127" t="n"/>
      <c r="N2582" s="127" t="n"/>
      <c r="O2582" s="127" t="n"/>
      <c r="P2582" s="127" t="n"/>
      <c r="Q2582" s="127" t="n"/>
      <c r="R2582" s="127" t="n"/>
      <c r="S2582" s="127" t="n"/>
      <c r="T2582" s="127" t="n"/>
      <c r="U2582" s="127" t="n"/>
      <c r="V2582" s="127" t="n"/>
      <c r="W2582" s="127" t="n"/>
      <c r="X2582" s="127" t="n"/>
      <c r="Y2582" s="127" t="n"/>
      <c r="Z2582" s="127" t="n"/>
    </row>
    <row r="2583">
      <c r="A2583" s="217" t="n"/>
      <c r="B2583" s="126" t="n"/>
      <c r="C2583" s="126" t="n"/>
      <c r="D2583" s="126" t="n"/>
      <c r="E2583" s="126" t="n"/>
      <c r="F2583" s="127" t="n"/>
      <c r="G2583" s="127" t="inlineStr"/>
      <c r="H2583" s="127" t="inlineStr"/>
      <c r="I2583" s="127" t="n"/>
      <c r="J2583" s="127" t="n"/>
      <c r="K2583" s="127" t="inlineStr"/>
      <c r="L2583" s="127" t="n"/>
      <c r="M2583" s="127" t="n"/>
      <c r="N2583" s="127" t="n"/>
      <c r="O2583" s="127" t="n"/>
      <c r="P2583" s="127" t="n"/>
      <c r="Q2583" s="127" t="n"/>
      <c r="R2583" s="127" t="n"/>
      <c r="S2583" s="127" t="n"/>
      <c r="T2583" s="127" t="n"/>
      <c r="U2583" s="127" t="n"/>
      <c r="V2583" s="127" t="n"/>
      <c r="W2583" s="127" t="n"/>
      <c r="X2583" s="127" t="n"/>
      <c r="Y2583" s="127" t="n"/>
      <c r="Z2583" s="127" t="n"/>
    </row>
    <row r="2584">
      <c r="A2584" s="217" t="n"/>
      <c r="B2584" s="126" t="n"/>
      <c r="C2584" s="126" t="n"/>
      <c r="D2584" s="126" t="n"/>
      <c r="E2584" s="126" t="n"/>
      <c r="F2584" s="127" t="n"/>
      <c r="G2584" s="127" t="inlineStr"/>
      <c r="H2584" s="127" t="inlineStr"/>
      <c r="I2584" s="127" t="n"/>
      <c r="J2584" s="127" t="n"/>
      <c r="K2584" s="127" t="inlineStr"/>
      <c r="L2584" s="127" t="n"/>
      <c r="M2584" s="127" t="n"/>
      <c r="N2584" s="127" t="n"/>
      <c r="O2584" s="127" t="n"/>
      <c r="P2584" s="127" t="n"/>
      <c r="Q2584" s="127" t="n"/>
      <c r="R2584" s="127" t="n"/>
      <c r="S2584" s="127" t="n"/>
      <c r="T2584" s="127" t="n"/>
      <c r="U2584" s="127" t="n"/>
      <c r="V2584" s="127" t="n"/>
      <c r="W2584" s="127" t="n"/>
      <c r="X2584" s="127" t="n"/>
      <c r="Y2584" s="127" t="n"/>
      <c r="Z2584" s="127" t="n"/>
    </row>
    <row r="2585">
      <c r="A2585" s="217" t="n"/>
      <c r="B2585" s="126" t="n"/>
      <c r="C2585" s="126" t="n"/>
      <c r="D2585" s="126" t="n"/>
      <c r="E2585" s="126" t="n"/>
      <c r="F2585" s="127" t="n"/>
      <c r="G2585" s="127" t="inlineStr"/>
      <c r="H2585" s="127" t="inlineStr"/>
      <c r="I2585" s="127" t="n"/>
      <c r="J2585" s="127" t="n"/>
      <c r="K2585" s="127" t="inlineStr"/>
      <c r="L2585" s="127" t="n"/>
      <c r="M2585" s="127" t="n"/>
      <c r="N2585" s="127" t="n"/>
      <c r="O2585" s="127" t="n"/>
      <c r="P2585" s="127" t="n"/>
      <c r="Q2585" s="127" t="n"/>
      <c r="R2585" s="127" t="n"/>
      <c r="S2585" s="127" t="n"/>
      <c r="T2585" s="127" t="n"/>
      <c r="U2585" s="127" t="n"/>
      <c r="V2585" s="127" t="n"/>
      <c r="W2585" s="127" t="n"/>
      <c r="X2585" s="127" t="n"/>
      <c r="Y2585" s="127" t="n"/>
      <c r="Z2585" s="127" t="n"/>
    </row>
    <row r="2586">
      <c r="A2586" s="217" t="n"/>
      <c r="B2586" s="126" t="n"/>
      <c r="C2586" s="126" t="n"/>
      <c r="D2586" s="126" t="n"/>
      <c r="E2586" s="126" t="n"/>
      <c r="F2586" s="127" t="n"/>
      <c r="G2586" s="127" t="inlineStr"/>
      <c r="H2586" s="127" t="inlineStr"/>
      <c r="I2586" s="127" t="n"/>
      <c r="J2586" s="127" t="n"/>
      <c r="K2586" s="127" t="inlineStr"/>
      <c r="L2586" s="127" t="n"/>
      <c r="M2586" s="127" t="n"/>
      <c r="N2586" s="127" t="n"/>
      <c r="O2586" s="127" t="n"/>
      <c r="P2586" s="127" t="n"/>
      <c r="Q2586" s="127" t="n"/>
      <c r="R2586" s="127" t="n"/>
      <c r="S2586" s="127" t="n"/>
      <c r="T2586" s="127" t="n"/>
      <c r="U2586" s="127" t="n"/>
      <c r="V2586" s="127" t="n"/>
      <c r="W2586" s="127" t="n"/>
      <c r="X2586" s="127" t="n"/>
      <c r="Y2586" s="127" t="n"/>
      <c r="Z2586" s="127" t="n"/>
    </row>
    <row r="2587">
      <c r="A2587" s="217" t="n"/>
      <c r="B2587" s="126" t="n"/>
      <c r="C2587" s="126" t="n"/>
      <c r="D2587" s="126" t="n"/>
      <c r="E2587" s="126" t="n"/>
      <c r="F2587" s="127" t="n"/>
      <c r="G2587" s="127" t="inlineStr"/>
      <c r="H2587" s="127" t="inlineStr"/>
      <c r="I2587" s="127" t="n"/>
      <c r="J2587" s="127" t="n"/>
      <c r="K2587" s="127" t="inlineStr"/>
      <c r="L2587" s="127" t="n"/>
      <c r="M2587" s="127" t="n"/>
      <c r="N2587" s="127" t="n"/>
      <c r="O2587" s="127" t="n"/>
      <c r="P2587" s="127" t="n"/>
      <c r="Q2587" s="127" t="n"/>
      <c r="R2587" s="127" t="n"/>
      <c r="S2587" s="127" t="n"/>
      <c r="T2587" s="127" t="n"/>
      <c r="U2587" s="127" t="n"/>
      <c r="V2587" s="127" t="n"/>
      <c r="W2587" s="127" t="n"/>
      <c r="X2587" s="127" t="n"/>
      <c r="Y2587" s="127" t="n"/>
      <c r="Z2587" s="127" t="n"/>
    </row>
    <row r="2588">
      <c r="A2588" s="217" t="n"/>
      <c r="B2588" s="126" t="n"/>
      <c r="C2588" s="126" t="n"/>
      <c r="D2588" s="126" t="n"/>
      <c r="E2588" s="126" t="n"/>
      <c r="F2588" s="127" t="n"/>
      <c r="G2588" s="127" t="inlineStr"/>
      <c r="H2588" s="127" t="inlineStr"/>
      <c r="I2588" s="127" t="n"/>
      <c r="J2588" s="127" t="n"/>
      <c r="K2588" s="127" t="inlineStr"/>
      <c r="L2588" s="127" t="n"/>
      <c r="M2588" s="127" t="n"/>
      <c r="N2588" s="127" t="n"/>
      <c r="O2588" s="127" t="n"/>
      <c r="P2588" s="127" t="n"/>
      <c r="Q2588" s="127" t="n"/>
      <c r="R2588" s="127" t="n"/>
      <c r="S2588" s="127" t="n"/>
      <c r="T2588" s="127" t="n"/>
      <c r="U2588" s="127" t="n"/>
      <c r="V2588" s="127" t="n"/>
      <c r="W2588" s="127" t="n"/>
      <c r="X2588" s="127" t="n"/>
      <c r="Y2588" s="127" t="n"/>
      <c r="Z2588" s="127" t="n"/>
    </row>
    <row r="2589">
      <c r="A2589" s="217" t="n"/>
      <c r="B2589" s="126" t="n"/>
      <c r="C2589" s="126" t="n"/>
      <c r="D2589" s="126" t="n"/>
      <c r="E2589" s="126" t="n"/>
      <c r="F2589" s="127" t="n"/>
      <c r="G2589" s="127" t="inlineStr"/>
      <c r="H2589" s="127" t="inlineStr"/>
      <c r="I2589" s="127" t="n"/>
      <c r="J2589" s="127" t="n"/>
      <c r="K2589" s="127" t="inlineStr"/>
      <c r="L2589" s="127" t="n"/>
      <c r="M2589" s="127" t="n"/>
      <c r="N2589" s="127" t="n"/>
      <c r="O2589" s="127" t="n"/>
      <c r="P2589" s="127" t="n"/>
      <c r="Q2589" s="127" t="n"/>
      <c r="R2589" s="127" t="n"/>
      <c r="S2589" s="127" t="n"/>
      <c r="T2589" s="127" t="n"/>
      <c r="U2589" s="127" t="n"/>
      <c r="V2589" s="127" t="n"/>
      <c r="W2589" s="127" t="n"/>
      <c r="X2589" s="127" t="n"/>
      <c r="Y2589" s="127" t="n"/>
      <c r="Z2589" s="127" t="n"/>
    </row>
    <row r="2590">
      <c r="A2590" s="217" t="n"/>
      <c r="B2590" s="126" t="n"/>
      <c r="C2590" s="126" t="n"/>
      <c r="D2590" s="126" t="n"/>
      <c r="E2590" s="126" t="n"/>
      <c r="F2590" s="127" t="n"/>
      <c r="G2590" s="127" t="inlineStr"/>
      <c r="H2590" s="127" t="inlineStr"/>
      <c r="I2590" s="127" t="n"/>
      <c r="J2590" s="127" t="n"/>
      <c r="K2590" s="127" t="inlineStr"/>
      <c r="L2590" s="127" t="n"/>
      <c r="M2590" s="127" t="n"/>
      <c r="N2590" s="127" t="n"/>
      <c r="O2590" s="127" t="n"/>
      <c r="P2590" s="127" t="n"/>
      <c r="Q2590" s="127" t="n"/>
      <c r="R2590" s="127" t="n"/>
      <c r="S2590" s="127" t="n"/>
      <c r="T2590" s="127" t="n"/>
      <c r="U2590" s="127" t="n"/>
      <c r="V2590" s="127" t="n"/>
      <c r="W2590" s="127" t="n"/>
      <c r="X2590" s="127" t="n"/>
      <c r="Y2590" s="127" t="n"/>
      <c r="Z2590" s="127" t="n"/>
    </row>
    <row r="2591">
      <c r="A2591" s="217" t="n"/>
      <c r="B2591" s="126" t="n"/>
      <c r="C2591" s="126" t="n"/>
      <c r="D2591" s="126" t="n"/>
      <c r="E2591" s="126" t="n"/>
      <c r="F2591" s="127" t="n"/>
      <c r="G2591" s="127" t="inlineStr"/>
      <c r="H2591" s="127" t="inlineStr"/>
      <c r="I2591" s="127" t="n"/>
      <c r="J2591" s="127" t="n"/>
      <c r="K2591" s="127" t="inlineStr"/>
      <c r="L2591" s="127" t="n"/>
      <c r="M2591" s="127" t="n"/>
      <c r="N2591" s="127" t="n"/>
      <c r="O2591" s="127" t="n"/>
      <c r="P2591" s="127" t="n"/>
      <c r="Q2591" s="127" t="n"/>
      <c r="R2591" s="127" t="n"/>
      <c r="S2591" s="127" t="n"/>
      <c r="T2591" s="127" t="n"/>
      <c r="U2591" s="127" t="n"/>
      <c r="V2591" s="127" t="n"/>
      <c r="W2591" s="127" t="n"/>
      <c r="X2591" s="127" t="n"/>
      <c r="Y2591" s="127" t="n"/>
      <c r="Z2591" s="127" t="n"/>
    </row>
    <row r="2592">
      <c r="A2592" s="217" t="n"/>
      <c r="B2592" s="126" t="n"/>
      <c r="C2592" s="126" t="n"/>
      <c r="D2592" s="126" t="n"/>
      <c r="E2592" s="126" t="n"/>
      <c r="F2592" s="127" t="n"/>
      <c r="G2592" s="127" t="inlineStr"/>
      <c r="H2592" s="127" t="inlineStr"/>
      <c r="I2592" s="127" t="n"/>
      <c r="J2592" s="127" t="n"/>
      <c r="K2592" s="127" t="inlineStr"/>
      <c r="L2592" s="127" t="n"/>
      <c r="M2592" s="127" t="n"/>
      <c r="N2592" s="127" t="n"/>
      <c r="O2592" s="127" t="n"/>
      <c r="P2592" s="127" t="n"/>
      <c r="Q2592" s="127" t="n"/>
      <c r="R2592" s="127" t="n"/>
      <c r="S2592" s="127" t="n"/>
      <c r="T2592" s="127" t="n"/>
      <c r="U2592" s="127" t="n"/>
      <c r="V2592" s="127" t="n"/>
      <c r="W2592" s="127" t="n"/>
      <c r="X2592" s="127" t="n"/>
      <c r="Y2592" s="127" t="n"/>
      <c r="Z2592" s="127" t="n"/>
    </row>
    <row r="2593">
      <c r="A2593" s="217" t="n"/>
      <c r="B2593" s="126" t="n"/>
      <c r="C2593" s="126" t="n"/>
      <c r="D2593" s="126" t="n"/>
      <c r="E2593" s="126" t="n"/>
      <c r="F2593" s="127" t="n"/>
      <c r="G2593" s="127" t="inlineStr"/>
      <c r="H2593" s="127" t="inlineStr"/>
      <c r="I2593" s="127" t="n"/>
      <c r="J2593" s="127" t="n"/>
      <c r="K2593" s="127" t="inlineStr"/>
      <c r="L2593" s="127" t="n"/>
      <c r="M2593" s="127" t="n"/>
      <c r="N2593" s="127" t="n"/>
      <c r="O2593" s="127" t="n"/>
      <c r="P2593" s="127" t="n"/>
      <c r="Q2593" s="127" t="n"/>
      <c r="R2593" s="127" t="n"/>
      <c r="S2593" s="127" t="n"/>
      <c r="T2593" s="127" t="n"/>
      <c r="U2593" s="127" t="n"/>
      <c r="V2593" s="127" t="n"/>
      <c r="W2593" s="127" t="n"/>
      <c r="X2593" s="127" t="n"/>
      <c r="Y2593" s="127" t="n"/>
      <c r="Z2593" s="127" t="n"/>
    </row>
    <row r="2594">
      <c r="A2594" s="217" t="n"/>
      <c r="B2594" s="126" t="n"/>
      <c r="C2594" s="126" t="n"/>
      <c r="D2594" s="126" t="n"/>
      <c r="E2594" s="126" t="n"/>
      <c r="F2594" s="127" t="n"/>
      <c r="G2594" s="127" t="inlineStr"/>
      <c r="H2594" s="127" t="inlineStr"/>
      <c r="I2594" s="127" t="n"/>
      <c r="J2594" s="127" t="n"/>
      <c r="K2594" s="127" t="inlineStr"/>
      <c r="L2594" s="127" t="n"/>
      <c r="M2594" s="127" t="n"/>
      <c r="N2594" s="127" t="n"/>
      <c r="O2594" s="127" t="n"/>
      <c r="P2594" s="127" t="n"/>
      <c r="Q2594" s="127" t="n"/>
      <c r="R2594" s="127" t="n"/>
      <c r="S2594" s="127" t="n"/>
      <c r="T2594" s="127" t="n"/>
      <c r="U2594" s="127" t="n"/>
      <c r="V2594" s="127" t="n"/>
      <c r="W2594" s="127" t="n"/>
      <c r="X2594" s="127" t="n"/>
      <c r="Y2594" s="127" t="n"/>
      <c r="Z2594" s="127" t="n"/>
    </row>
    <row r="2595">
      <c r="A2595" s="217" t="n"/>
      <c r="B2595" s="126" t="n"/>
      <c r="C2595" s="126" t="n"/>
      <c r="D2595" s="126" t="n"/>
      <c r="E2595" s="126" t="n"/>
      <c r="F2595" s="127" t="n"/>
      <c r="G2595" s="127" t="inlineStr"/>
      <c r="H2595" s="127" t="inlineStr"/>
      <c r="I2595" s="127" t="n"/>
      <c r="J2595" s="127" t="n"/>
      <c r="K2595" s="127" t="inlineStr"/>
      <c r="L2595" s="127" t="n"/>
      <c r="M2595" s="127" t="n"/>
      <c r="N2595" s="127" t="n"/>
      <c r="O2595" s="127" t="n"/>
      <c r="P2595" s="127" t="n"/>
      <c r="Q2595" s="127" t="n"/>
      <c r="R2595" s="127" t="n"/>
      <c r="S2595" s="127" t="n"/>
      <c r="T2595" s="127" t="n"/>
      <c r="U2595" s="127" t="n"/>
      <c r="V2595" s="127" t="n"/>
      <c r="W2595" s="127" t="n"/>
      <c r="X2595" s="127" t="n"/>
      <c r="Y2595" s="127" t="n"/>
      <c r="Z2595" s="127" t="n"/>
    </row>
    <row r="2596">
      <c r="A2596" s="217" t="n"/>
      <c r="B2596" s="126" t="n"/>
      <c r="C2596" s="126" t="n"/>
      <c r="D2596" s="126" t="n"/>
      <c r="E2596" s="126" t="n"/>
      <c r="F2596" s="127" t="n"/>
      <c r="G2596" s="127" t="inlineStr"/>
      <c r="H2596" s="127" t="inlineStr"/>
      <c r="I2596" s="127" t="n"/>
      <c r="J2596" s="127" t="n"/>
      <c r="K2596" s="127" t="inlineStr"/>
      <c r="L2596" s="127" t="n"/>
      <c r="M2596" s="127" t="n"/>
      <c r="N2596" s="127" t="n"/>
      <c r="O2596" s="127" t="n"/>
      <c r="P2596" s="127" t="n"/>
      <c r="Q2596" s="127" t="n"/>
      <c r="R2596" s="127" t="n"/>
      <c r="S2596" s="127" t="n"/>
      <c r="T2596" s="127" t="n"/>
      <c r="U2596" s="127" t="n"/>
      <c r="V2596" s="127" t="n"/>
      <c r="W2596" s="127" t="n"/>
      <c r="X2596" s="127" t="n"/>
      <c r="Y2596" s="127" t="n"/>
      <c r="Z2596" s="127" t="n"/>
    </row>
    <row r="2597">
      <c r="A2597" s="217" t="n"/>
      <c r="B2597" s="126" t="n"/>
      <c r="C2597" s="126" t="n"/>
      <c r="D2597" s="126" t="n"/>
      <c r="E2597" s="126" t="n"/>
      <c r="F2597" s="127" t="n"/>
      <c r="G2597" s="127" t="inlineStr"/>
      <c r="H2597" s="127" t="inlineStr"/>
      <c r="I2597" s="127" t="n"/>
      <c r="J2597" s="127" t="n"/>
      <c r="K2597" s="127" t="inlineStr"/>
      <c r="L2597" s="127" t="n"/>
      <c r="M2597" s="127" t="n"/>
      <c r="N2597" s="127" t="n"/>
      <c r="O2597" s="127" t="n"/>
      <c r="P2597" s="127" t="n"/>
      <c r="Q2597" s="127" t="n"/>
      <c r="R2597" s="127" t="n"/>
      <c r="S2597" s="127" t="n"/>
      <c r="T2597" s="127" t="n"/>
      <c r="U2597" s="127" t="n"/>
      <c r="V2597" s="127" t="n"/>
      <c r="W2597" s="127" t="n"/>
      <c r="X2597" s="127" t="n"/>
      <c r="Y2597" s="127" t="n"/>
      <c r="Z2597" s="127" t="n"/>
    </row>
    <row r="2598">
      <c r="A2598" s="217" t="n"/>
      <c r="B2598" s="126" t="n"/>
      <c r="C2598" s="126" t="n"/>
      <c r="D2598" s="126" t="n"/>
      <c r="E2598" s="126" t="n"/>
      <c r="F2598" s="127" t="n"/>
      <c r="G2598" s="127" t="inlineStr"/>
      <c r="H2598" s="127" t="inlineStr"/>
      <c r="I2598" s="127" t="n"/>
      <c r="J2598" s="127" t="n"/>
      <c r="K2598" s="127" t="inlineStr"/>
      <c r="L2598" s="127" t="n"/>
      <c r="M2598" s="127" t="n"/>
      <c r="N2598" s="127" t="n"/>
      <c r="O2598" s="127" t="n"/>
      <c r="P2598" s="127" t="n"/>
      <c r="Q2598" s="127" t="n"/>
      <c r="R2598" s="127" t="n"/>
      <c r="S2598" s="127" t="n"/>
      <c r="T2598" s="127" t="n"/>
      <c r="U2598" s="127" t="n"/>
      <c r="V2598" s="127" t="n"/>
      <c r="W2598" s="127" t="n"/>
      <c r="X2598" s="127" t="n"/>
      <c r="Y2598" s="127" t="n"/>
      <c r="Z2598" s="127" t="n"/>
    </row>
    <row r="2599">
      <c r="A2599" s="217" t="n"/>
      <c r="B2599" s="126" t="n"/>
      <c r="C2599" s="126" t="n"/>
      <c r="D2599" s="126" t="n"/>
      <c r="E2599" s="126" t="n"/>
      <c r="F2599" s="127" t="n"/>
      <c r="G2599" s="127" t="inlineStr"/>
      <c r="H2599" s="127" t="inlineStr"/>
      <c r="I2599" s="127" t="n"/>
      <c r="J2599" s="127" t="n"/>
      <c r="K2599" s="127" t="inlineStr"/>
      <c r="L2599" s="127" t="n"/>
      <c r="M2599" s="127" t="n"/>
      <c r="N2599" s="127" t="n"/>
      <c r="O2599" s="127" t="n"/>
      <c r="P2599" s="127" t="n"/>
      <c r="Q2599" s="127" t="n"/>
      <c r="R2599" s="127" t="n"/>
      <c r="S2599" s="127" t="n"/>
      <c r="T2599" s="127" t="n"/>
      <c r="U2599" s="127" t="n"/>
      <c r="V2599" s="127" t="n"/>
      <c r="W2599" s="127" t="n"/>
      <c r="X2599" s="127" t="n"/>
      <c r="Y2599" s="127" t="n"/>
      <c r="Z2599" s="127" t="n"/>
    </row>
    <row r="2600">
      <c r="A2600" s="217" t="n"/>
      <c r="B2600" s="126" t="n"/>
      <c r="C2600" s="126" t="n"/>
      <c r="D2600" s="126" t="n"/>
      <c r="E2600" s="126" t="n"/>
      <c r="F2600" s="127" t="n"/>
      <c r="G2600" s="127" t="inlineStr"/>
      <c r="H2600" s="127" t="inlineStr"/>
      <c r="I2600" s="127" t="n"/>
      <c r="J2600" s="127" t="n"/>
      <c r="K2600" s="127" t="inlineStr"/>
      <c r="L2600" s="127" t="n"/>
      <c r="M2600" s="127" t="n"/>
      <c r="N2600" s="127" t="n"/>
      <c r="O2600" s="127" t="n"/>
      <c r="P2600" s="127" t="n"/>
      <c r="Q2600" s="127" t="n"/>
      <c r="R2600" s="127" t="n"/>
      <c r="S2600" s="127" t="n"/>
      <c r="T2600" s="127" t="n"/>
      <c r="U2600" s="127" t="n"/>
      <c r="V2600" s="127" t="n"/>
      <c r="W2600" s="127" t="n"/>
      <c r="X2600" s="127" t="n"/>
      <c r="Y2600" s="127" t="n"/>
      <c r="Z2600" s="127" t="n"/>
    </row>
    <row r="2601">
      <c r="A2601" s="217" t="n"/>
      <c r="B2601" s="126" t="n"/>
      <c r="C2601" s="126" t="n"/>
      <c r="D2601" s="126" t="n"/>
      <c r="E2601" s="126" t="n"/>
      <c r="F2601" s="127" t="n"/>
      <c r="G2601" s="127" t="inlineStr"/>
      <c r="H2601" s="127" t="inlineStr"/>
      <c r="I2601" s="127" t="n"/>
      <c r="J2601" s="127" t="n"/>
      <c r="K2601" s="127" t="inlineStr"/>
      <c r="L2601" s="127" t="n"/>
      <c r="M2601" s="127" t="n"/>
      <c r="N2601" s="127" t="n"/>
      <c r="O2601" s="127" t="n"/>
      <c r="P2601" s="127" t="n"/>
      <c r="Q2601" s="127" t="n"/>
      <c r="R2601" s="127" t="n"/>
      <c r="S2601" s="127" t="n"/>
      <c r="T2601" s="127" t="n"/>
      <c r="U2601" s="127" t="n"/>
      <c r="V2601" s="127" t="n"/>
      <c r="W2601" s="127" t="n"/>
      <c r="X2601" s="127" t="n"/>
      <c r="Y2601" s="127" t="n"/>
      <c r="Z2601" s="127" t="n"/>
    </row>
    <row r="2602">
      <c r="A2602" s="217" t="n"/>
      <c r="B2602" s="126" t="n"/>
      <c r="C2602" s="126" t="n"/>
      <c r="D2602" s="126" t="n"/>
      <c r="E2602" s="126" t="n"/>
      <c r="F2602" s="127" t="n"/>
      <c r="G2602" s="127" t="inlineStr"/>
      <c r="H2602" s="127" t="inlineStr"/>
      <c r="I2602" s="127" t="n"/>
      <c r="J2602" s="127" t="n"/>
      <c r="K2602" s="127" t="inlineStr"/>
      <c r="L2602" s="127" t="n"/>
      <c r="M2602" s="127" t="n"/>
      <c r="N2602" s="127" t="n"/>
      <c r="O2602" s="127" t="n"/>
      <c r="P2602" s="127" t="n"/>
      <c r="Q2602" s="127" t="n"/>
      <c r="R2602" s="127" t="n"/>
      <c r="S2602" s="127" t="n"/>
      <c r="T2602" s="127" t="n"/>
      <c r="U2602" s="127" t="n"/>
      <c r="V2602" s="127" t="n"/>
      <c r="W2602" s="127" t="n"/>
      <c r="X2602" s="127" t="n"/>
      <c r="Y2602" s="127" t="n"/>
      <c r="Z2602" s="127" t="n"/>
    </row>
    <row r="2603">
      <c r="A2603" s="217" t="n"/>
      <c r="B2603" s="126" t="n"/>
      <c r="C2603" s="126" t="n"/>
      <c r="D2603" s="126" t="n"/>
      <c r="E2603" s="126" t="n"/>
      <c r="F2603" s="127" t="n"/>
      <c r="G2603" s="127" t="inlineStr"/>
      <c r="H2603" s="127" t="inlineStr"/>
      <c r="I2603" s="127" t="n"/>
      <c r="J2603" s="127" t="n"/>
      <c r="K2603" s="127" t="inlineStr"/>
      <c r="L2603" s="127" t="n"/>
      <c r="M2603" s="127" t="n"/>
      <c r="N2603" s="127" t="n"/>
      <c r="O2603" s="127" t="n"/>
      <c r="P2603" s="127" t="n"/>
      <c r="Q2603" s="127" t="n"/>
      <c r="R2603" s="127" t="n"/>
      <c r="S2603" s="127" t="n"/>
      <c r="T2603" s="127" t="n"/>
      <c r="U2603" s="127" t="n"/>
      <c r="V2603" s="127" t="n"/>
      <c r="W2603" s="127" t="n"/>
      <c r="X2603" s="127" t="n"/>
      <c r="Y2603" s="127" t="n"/>
      <c r="Z2603" s="127" t="n"/>
    </row>
    <row r="2604">
      <c r="A2604" s="217" t="n"/>
      <c r="B2604" s="126" t="n"/>
      <c r="C2604" s="126" t="n"/>
      <c r="D2604" s="126" t="n"/>
      <c r="E2604" s="126" t="n"/>
      <c r="F2604" s="127" t="n"/>
      <c r="G2604" s="127" t="inlineStr"/>
      <c r="H2604" s="127" t="inlineStr"/>
      <c r="I2604" s="127" t="n"/>
      <c r="J2604" s="127" t="n"/>
      <c r="K2604" s="127" t="inlineStr"/>
      <c r="L2604" s="127" t="n"/>
      <c r="M2604" s="127" t="n"/>
      <c r="N2604" s="127" t="n"/>
      <c r="O2604" s="127" t="n"/>
      <c r="P2604" s="127" t="n"/>
      <c r="Q2604" s="127" t="n"/>
      <c r="R2604" s="127" t="n"/>
      <c r="S2604" s="127" t="n"/>
      <c r="T2604" s="127" t="n"/>
      <c r="U2604" s="127" t="n"/>
      <c r="V2604" s="127" t="n"/>
      <c r="W2604" s="127" t="n"/>
      <c r="X2604" s="127" t="n"/>
      <c r="Y2604" s="127" t="n"/>
      <c r="Z2604" s="127" t="n"/>
    </row>
    <row r="2605">
      <c r="A2605" s="217" t="n"/>
      <c r="B2605" s="126" t="n"/>
      <c r="C2605" s="126" t="n"/>
      <c r="D2605" s="126" t="n"/>
      <c r="E2605" s="126" t="n"/>
      <c r="F2605" s="127" t="n"/>
      <c r="G2605" s="127" t="inlineStr"/>
      <c r="H2605" s="127" t="inlineStr"/>
      <c r="I2605" s="127" t="n"/>
      <c r="J2605" s="127" t="n"/>
      <c r="K2605" s="127" t="inlineStr"/>
      <c r="L2605" s="127" t="n"/>
      <c r="M2605" s="127" t="n"/>
      <c r="N2605" s="127" t="n"/>
      <c r="O2605" s="127" t="n"/>
      <c r="P2605" s="127" t="n"/>
      <c r="Q2605" s="127" t="n"/>
      <c r="R2605" s="127" t="n"/>
      <c r="S2605" s="127" t="n"/>
      <c r="T2605" s="127" t="n"/>
      <c r="U2605" s="127" t="n"/>
      <c r="V2605" s="127" t="n"/>
      <c r="W2605" s="127" t="n"/>
      <c r="X2605" s="127" t="n"/>
      <c r="Y2605" s="127" t="n"/>
      <c r="Z2605" s="127" t="n"/>
    </row>
    <row r="2606">
      <c r="A2606" s="217" t="n"/>
      <c r="B2606" s="126" t="n"/>
      <c r="C2606" s="126" t="n"/>
      <c r="D2606" s="126" t="n"/>
      <c r="E2606" s="126" t="n"/>
      <c r="F2606" s="127" t="n"/>
      <c r="G2606" s="127" t="inlineStr"/>
      <c r="H2606" s="127" t="inlineStr"/>
      <c r="I2606" s="127" t="n"/>
      <c r="J2606" s="127" t="n"/>
      <c r="K2606" s="127" t="inlineStr"/>
      <c r="L2606" s="127" t="n"/>
      <c r="M2606" s="127" t="n"/>
      <c r="N2606" s="127" t="n"/>
      <c r="O2606" s="127" t="n"/>
      <c r="P2606" s="127" t="n"/>
      <c r="Q2606" s="127" t="n"/>
      <c r="R2606" s="127" t="n"/>
      <c r="S2606" s="127" t="n"/>
      <c r="T2606" s="127" t="n"/>
      <c r="U2606" s="127" t="n"/>
      <c r="V2606" s="127" t="n"/>
      <c r="W2606" s="127" t="n"/>
      <c r="X2606" s="127" t="n"/>
      <c r="Y2606" s="127" t="n"/>
      <c r="Z2606" s="127" t="n"/>
    </row>
    <row r="2607">
      <c r="A2607" s="217" t="n"/>
      <c r="B2607" s="126" t="n"/>
      <c r="C2607" s="126" t="n"/>
      <c r="D2607" s="126" t="n"/>
      <c r="E2607" s="126" t="n"/>
      <c r="F2607" s="127" t="n"/>
      <c r="G2607" s="127" t="inlineStr"/>
      <c r="H2607" s="127" t="inlineStr"/>
      <c r="I2607" s="127" t="n"/>
      <c r="J2607" s="127" t="n"/>
      <c r="K2607" s="127" t="inlineStr"/>
      <c r="L2607" s="127" t="n"/>
      <c r="M2607" s="127" t="n"/>
      <c r="N2607" s="127" t="n"/>
      <c r="O2607" s="127" t="n"/>
      <c r="P2607" s="127" t="n"/>
      <c r="Q2607" s="127" t="n"/>
      <c r="R2607" s="127" t="n"/>
      <c r="S2607" s="127" t="n"/>
      <c r="T2607" s="127" t="n"/>
      <c r="U2607" s="127" t="n"/>
      <c r="V2607" s="127" t="n"/>
      <c r="W2607" s="127" t="n"/>
      <c r="X2607" s="127" t="n"/>
      <c r="Y2607" s="127" t="n"/>
      <c r="Z2607" s="127" t="n"/>
    </row>
    <row r="2608">
      <c r="A2608" s="217" t="n"/>
      <c r="B2608" s="126" t="n"/>
      <c r="C2608" s="126" t="n"/>
      <c r="D2608" s="126" t="n"/>
      <c r="E2608" s="126" t="n"/>
      <c r="F2608" s="127" t="n"/>
      <c r="G2608" s="127" t="inlineStr"/>
      <c r="H2608" s="127" t="inlineStr"/>
      <c r="I2608" s="127" t="n"/>
      <c r="J2608" s="127" t="n"/>
      <c r="K2608" s="127" t="inlineStr"/>
      <c r="L2608" s="127" t="n"/>
      <c r="M2608" s="127" t="n"/>
      <c r="N2608" s="127" t="n"/>
      <c r="O2608" s="127" t="n"/>
      <c r="P2608" s="127" t="n"/>
      <c r="Q2608" s="127" t="n"/>
      <c r="R2608" s="127" t="n"/>
      <c r="S2608" s="127" t="n"/>
      <c r="T2608" s="127" t="n"/>
      <c r="U2608" s="127" t="n"/>
      <c r="V2608" s="127" t="n"/>
      <c r="W2608" s="127" t="n"/>
      <c r="X2608" s="127" t="n"/>
      <c r="Y2608" s="127" t="n"/>
      <c r="Z2608" s="127" t="n"/>
    </row>
    <row r="2609">
      <c r="A2609" s="217" t="n"/>
      <c r="B2609" s="126" t="n"/>
      <c r="C2609" s="126" t="n"/>
      <c r="D2609" s="126" t="n"/>
      <c r="E2609" s="126" t="n"/>
      <c r="F2609" s="127" t="n"/>
      <c r="G2609" s="127" t="inlineStr"/>
      <c r="H2609" s="127" t="inlineStr"/>
      <c r="I2609" s="127" t="n"/>
      <c r="J2609" s="127" t="n"/>
      <c r="K2609" s="127" t="inlineStr"/>
      <c r="L2609" s="127" t="n"/>
      <c r="M2609" s="127" t="n"/>
      <c r="N2609" s="127" t="n"/>
      <c r="O2609" s="127" t="n"/>
      <c r="P2609" s="127" t="n"/>
      <c r="Q2609" s="127" t="n"/>
      <c r="R2609" s="127" t="n"/>
      <c r="S2609" s="127" t="n"/>
      <c r="T2609" s="127" t="n"/>
      <c r="U2609" s="127" t="n"/>
      <c r="V2609" s="127" t="n"/>
      <c r="W2609" s="127" t="n"/>
      <c r="X2609" s="127" t="n"/>
      <c r="Y2609" s="127" t="n"/>
      <c r="Z2609" s="127" t="n"/>
    </row>
    <row r="2610">
      <c r="A2610" s="217" t="n"/>
      <c r="B2610" s="126" t="n"/>
      <c r="C2610" s="126" t="n"/>
      <c r="D2610" s="126" t="n"/>
      <c r="E2610" s="126" t="n"/>
      <c r="F2610" s="127" t="n"/>
      <c r="G2610" s="127" t="inlineStr"/>
      <c r="H2610" s="127" t="inlineStr"/>
      <c r="I2610" s="127" t="n"/>
      <c r="J2610" s="127" t="n"/>
      <c r="K2610" s="127" t="inlineStr"/>
      <c r="L2610" s="127" t="n"/>
      <c r="M2610" s="127" t="n"/>
      <c r="N2610" s="127" t="n"/>
      <c r="O2610" s="127" t="n"/>
      <c r="P2610" s="127" t="n"/>
      <c r="Q2610" s="127" t="n"/>
      <c r="R2610" s="127" t="n"/>
      <c r="S2610" s="127" t="n"/>
      <c r="T2610" s="127" t="n"/>
      <c r="U2610" s="127" t="n"/>
      <c r="V2610" s="127" t="n"/>
      <c r="W2610" s="127" t="n"/>
      <c r="X2610" s="127" t="n"/>
      <c r="Y2610" s="127" t="n"/>
      <c r="Z2610" s="127" t="n"/>
    </row>
    <row r="2611">
      <c r="A2611" s="217" t="n"/>
      <c r="B2611" s="126" t="n"/>
      <c r="C2611" s="126" t="n"/>
      <c r="D2611" s="126" t="n"/>
      <c r="E2611" s="126" t="n"/>
      <c r="F2611" s="127" t="n"/>
      <c r="G2611" s="127" t="inlineStr"/>
      <c r="H2611" s="127" t="inlineStr"/>
      <c r="I2611" s="127" t="n"/>
      <c r="J2611" s="127" t="n"/>
      <c r="K2611" s="127" t="inlineStr"/>
      <c r="L2611" s="127" t="n"/>
      <c r="M2611" s="127" t="n"/>
      <c r="N2611" s="127" t="n"/>
      <c r="O2611" s="127" t="n"/>
      <c r="P2611" s="127" t="n"/>
      <c r="Q2611" s="127" t="n"/>
      <c r="R2611" s="127" t="n"/>
      <c r="S2611" s="127" t="n"/>
      <c r="T2611" s="127" t="n"/>
      <c r="U2611" s="127" t="n"/>
      <c r="V2611" s="127" t="n"/>
      <c r="W2611" s="127" t="n"/>
      <c r="X2611" s="127" t="n"/>
      <c r="Y2611" s="127" t="n"/>
      <c r="Z2611" s="127" t="n"/>
    </row>
    <row r="2612">
      <c r="A2612" s="217" t="n"/>
      <c r="B2612" s="126" t="n"/>
      <c r="C2612" s="126" t="n"/>
      <c r="D2612" s="126" t="n"/>
      <c r="E2612" s="126" t="n"/>
      <c r="F2612" s="127" t="n"/>
      <c r="G2612" s="127" t="inlineStr"/>
      <c r="H2612" s="127" t="inlineStr"/>
      <c r="I2612" s="127" t="n"/>
      <c r="J2612" s="127" t="n"/>
      <c r="K2612" s="127" t="inlineStr"/>
      <c r="L2612" s="127" t="n"/>
      <c r="M2612" s="127" t="n"/>
      <c r="N2612" s="127" t="n"/>
      <c r="O2612" s="127" t="n"/>
      <c r="P2612" s="127" t="n"/>
      <c r="Q2612" s="127" t="n"/>
      <c r="R2612" s="127" t="n"/>
      <c r="S2612" s="127" t="n"/>
      <c r="T2612" s="127" t="n"/>
      <c r="U2612" s="127" t="n"/>
      <c r="V2612" s="127" t="n"/>
      <c r="W2612" s="127" t="n"/>
      <c r="X2612" s="127" t="n"/>
      <c r="Y2612" s="127" t="n"/>
      <c r="Z2612" s="127" t="n"/>
    </row>
    <row r="2613">
      <c r="A2613" s="217" t="n"/>
      <c r="B2613" s="126" t="n"/>
      <c r="C2613" s="126" t="n"/>
      <c r="D2613" s="126" t="n"/>
      <c r="E2613" s="126" t="n"/>
      <c r="F2613" s="127" t="n"/>
      <c r="G2613" s="127" t="inlineStr"/>
      <c r="H2613" s="127" t="inlineStr"/>
      <c r="I2613" s="127" t="n"/>
      <c r="J2613" s="127" t="n"/>
      <c r="K2613" s="127" t="inlineStr"/>
      <c r="L2613" s="127" t="n"/>
      <c r="M2613" s="127" t="n"/>
      <c r="N2613" s="127" t="n"/>
      <c r="O2613" s="127" t="n"/>
      <c r="P2613" s="127" t="n"/>
      <c r="Q2613" s="127" t="n"/>
      <c r="R2613" s="127" t="n"/>
      <c r="S2613" s="127" t="n"/>
      <c r="T2613" s="127" t="n"/>
      <c r="U2613" s="127" t="n"/>
      <c r="V2613" s="127" t="n"/>
      <c r="W2613" s="127" t="n"/>
      <c r="X2613" s="127" t="n"/>
      <c r="Y2613" s="127" t="n"/>
      <c r="Z2613" s="127" t="n"/>
    </row>
    <row r="2614">
      <c r="A2614" s="217" t="n"/>
      <c r="B2614" s="126" t="n"/>
      <c r="C2614" s="126" t="n"/>
      <c r="D2614" s="126" t="n"/>
      <c r="E2614" s="126" t="n"/>
      <c r="F2614" s="127" t="n"/>
      <c r="G2614" s="127" t="inlineStr"/>
      <c r="H2614" s="127" t="inlineStr"/>
      <c r="I2614" s="127" t="n"/>
      <c r="J2614" s="127" t="n"/>
      <c r="K2614" s="127" t="inlineStr"/>
      <c r="L2614" s="127" t="n"/>
      <c r="M2614" s="127" t="n"/>
      <c r="N2614" s="127" t="n"/>
      <c r="O2614" s="127" t="n"/>
      <c r="P2614" s="127" t="n"/>
      <c r="Q2614" s="127" t="n"/>
      <c r="R2614" s="127" t="n"/>
      <c r="S2614" s="127" t="n"/>
      <c r="T2614" s="127" t="n"/>
      <c r="U2614" s="127" t="n"/>
      <c r="V2614" s="127" t="n"/>
      <c r="W2614" s="127" t="n"/>
      <c r="X2614" s="127" t="n"/>
      <c r="Y2614" s="127" t="n"/>
      <c r="Z2614" s="127" t="n"/>
    </row>
    <row r="2615">
      <c r="A2615" s="217" t="n"/>
      <c r="B2615" s="126" t="n"/>
      <c r="C2615" s="126" t="n"/>
      <c r="D2615" s="126" t="n"/>
      <c r="E2615" s="126" t="n"/>
      <c r="F2615" s="127" t="n"/>
      <c r="G2615" s="127" t="inlineStr"/>
      <c r="H2615" s="127" t="inlineStr"/>
      <c r="I2615" s="127" t="n"/>
      <c r="J2615" s="127" t="n"/>
      <c r="K2615" s="127" t="inlineStr"/>
      <c r="L2615" s="127" t="n"/>
      <c r="M2615" s="127" t="n"/>
      <c r="N2615" s="127" t="n"/>
      <c r="O2615" s="127" t="n"/>
      <c r="P2615" s="127" t="n"/>
      <c r="Q2615" s="127" t="n"/>
      <c r="R2615" s="127" t="n"/>
      <c r="S2615" s="127" t="n"/>
      <c r="T2615" s="127" t="n"/>
      <c r="U2615" s="127" t="n"/>
      <c r="V2615" s="127" t="n"/>
      <c r="W2615" s="127" t="n"/>
      <c r="X2615" s="127" t="n"/>
      <c r="Y2615" s="127" t="n"/>
      <c r="Z2615" s="127" t="n"/>
    </row>
    <row r="2616">
      <c r="A2616" s="217" t="n"/>
      <c r="B2616" s="126" t="n"/>
      <c r="C2616" s="126" t="n"/>
      <c r="D2616" s="126" t="n"/>
      <c r="E2616" s="126" t="n"/>
      <c r="F2616" s="127" t="n"/>
      <c r="G2616" s="127" t="inlineStr"/>
      <c r="H2616" s="127" t="inlineStr"/>
      <c r="I2616" s="127" t="n"/>
      <c r="J2616" s="127" t="n"/>
      <c r="K2616" s="127" t="inlineStr"/>
      <c r="L2616" s="127" t="n"/>
      <c r="M2616" s="127" t="n"/>
      <c r="N2616" s="127" t="n"/>
      <c r="O2616" s="127" t="n"/>
      <c r="P2616" s="127" t="n"/>
      <c r="Q2616" s="127" t="n"/>
      <c r="R2616" s="127" t="n"/>
      <c r="S2616" s="127" t="n"/>
      <c r="T2616" s="127" t="n"/>
      <c r="U2616" s="127" t="n"/>
      <c r="V2616" s="127" t="n"/>
      <c r="W2616" s="127" t="n"/>
      <c r="X2616" s="127" t="n"/>
      <c r="Y2616" s="127" t="n"/>
      <c r="Z2616" s="127" t="n"/>
    </row>
    <row r="2617">
      <c r="A2617" s="217" t="n"/>
      <c r="B2617" s="126" t="n"/>
      <c r="C2617" s="126" t="n"/>
      <c r="D2617" s="126" t="n"/>
      <c r="E2617" s="126" t="n"/>
      <c r="F2617" s="127" t="n"/>
      <c r="G2617" s="127" t="inlineStr"/>
      <c r="H2617" s="127" t="inlineStr"/>
      <c r="I2617" s="127" t="n"/>
      <c r="J2617" s="127" t="n"/>
      <c r="K2617" s="127" t="inlineStr"/>
      <c r="L2617" s="127" t="n"/>
      <c r="M2617" s="127" t="n"/>
      <c r="N2617" s="127" t="n"/>
      <c r="O2617" s="127" t="n"/>
      <c r="P2617" s="127" t="n"/>
      <c r="Q2617" s="127" t="n"/>
      <c r="R2617" s="127" t="n"/>
      <c r="S2617" s="127" t="n"/>
      <c r="T2617" s="127" t="n"/>
      <c r="U2617" s="127" t="n"/>
      <c r="V2617" s="127" t="n"/>
      <c r="W2617" s="127" t="n"/>
      <c r="X2617" s="127" t="n"/>
      <c r="Y2617" s="127" t="n"/>
      <c r="Z2617" s="127" t="n"/>
    </row>
    <row r="2618">
      <c r="A2618" s="217" t="n"/>
      <c r="B2618" s="126" t="n"/>
      <c r="C2618" s="126" t="n"/>
      <c r="D2618" s="126" t="n"/>
      <c r="E2618" s="126" t="n"/>
      <c r="F2618" s="127" t="n"/>
      <c r="G2618" s="127" t="inlineStr"/>
      <c r="H2618" s="127" t="inlineStr"/>
      <c r="I2618" s="127" t="n"/>
      <c r="J2618" s="127" t="n"/>
      <c r="K2618" s="127" t="inlineStr"/>
      <c r="L2618" s="127" t="n"/>
      <c r="M2618" s="127" t="n"/>
      <c r="N2618" s="127" t="n"/>
      <c r="O2618" s="127" t="n"/>
      <c r="P2618" s="127" t="n"/>
      <c r="Q2618" s="127" t="n"/>
      <c r="R2618" s="127" t="n"/>
      <c r="S2618" s="127" t="n"/>
      <c r="T2618" s="127" t="n"/>
      <c r="U2618" s="127" t="n"/>
      <c r="V2618" s="127" t="n"/>
      <c r="W2618" s="127" t="n"/>
      <c r="X2618" s="127" t="n"/>
      <c r="Y2618" s="127" t="n"/>
      <c r="Z2618" s="127" t="n"/>
    </row>
    <row r="2619">
      <c r="A2619" s="217" t="n"/>
      <c r="B2619" s="126" t="n"/>
      <c r="C2619" s="126" t="n"/>
      <c r="D2619" s="126" t="n"/>
      <c r="E2619" s="126" t="n"/>
      <c r="F2619" s="127" t="n"/>
      <c r="G2619" s="127" t="inlineStr"/>
      <c r="H2619" s="127" t="inlineStr"/>
      <c r="I2619" s="127" t="n"/>
      <c r="J2619" s="127" t="n"/>
      <c r="K2619" s="127" t="inlineStr"/>
      <c r="L2619" s="127" t="n"/>
      <c r="M2619" s="127" t="n"/>
      <c r="N2619" s="127" t="n"/>
      <c r="O2619" s="127" t="n"/>
      <c r="P2619" s="127" t="n"/>
      <c r="Q2619" s="127" t="n"/>
      <c r="R2619" s="127" t="n"/>
      <c r="S2619" s="127" t="n"/>
      <c r="T2619" s="127" t="n"/>
      <c r="U2619" s="127" t="n"/>
      <c r="V2619" s="127" t="n"/>
      <c r="W2619" s="127" t="n"/>
      <c r="X2619" s="127" t="n"/>
      <c r="Y2619" s="127" t="n"/>
      <c r="Z2619" s="127" t="n"/>
    </row>
    <row r="2620">
      <c r="A2620" s="217" t="n"/>
      <c r="B2620" s="126" t="n"/>
      <c r="C2620" s="126" t="n"/>
      <c r="D2620" s="126" t="n"/>
      <c r="E2620" s="126" t="n"/>
      <c r="F2620" s="127" t="n"/>
      <c r="G2620" s="127" t="inlineStr"/>
      <c r="H2620" s="127" t="inlineStr"/>
      <c r="I2620" s="127" t="n"/>
      <c r="J2620" s="127" t="n"/>
      <c r="K2620" s="127" t="inlineStr"/>
      <c r="L2620" s="127" t="n"/>
      <c r="M2620" s="127" t="n"/>
      <c r="N2620" s="127" t="n"/>
      <c r="O2620" s="127" t="n"/>
      <c r="P2620" s="127" t="n"/>
      <c r="Q2620" s="127" t="n"/>
      <c r="R2620" s="127" t="n"/>
      <c r="S2620" s="127" t="n"/>
      <c r="T2620" s="127" t="n"/>
      <c r="U2620" s="127" t="n"/>
      <c r="V2620" s="127" t="n"/>
      <c r="W2620" s="127" t="n"/>
      <c r="X2620" s="127" t="n"/>
      <c r="Y2620" s="127" t="n"/>
      <c r="Z2620" s="127" t="n"/>
    </row>
    <row r="2621">
      <c r="A2621" s="217" t="n"/>
      <c r="B2621" s="126" t="n"/>
      <c r="C2621" s="126" t="n"/>
      <c r="D2621" s="126" t="n"/>
      <c r="E2621" s="126" t="n"/>
      <c r="F2621" s="127" t="n"/>
      <c r="G2621" s="127" t="inlineStr"/>
      <c r="H2621" s="127" t="inlineStr"/>
      <c r="I2621" s="127" t="n"/>
      <c r="J2621" s="127" t="n"/>
      <c r="K2621" s="127" t="inlineStr"/>
      <c r="L2621" s="127" t="n"/>
      <c r="M2621" s="127" t="n"/>
      <c r="N2621" s="127" t="n"/>
      <c r="O2621" s="127" t="n"/>
      <c r="P2621" s="127" t="n"/>
      <c r="Q2621" s="127" t="n"/>
      <c r="R2621" s="127" t="n"/>
      <c r="S2621" s="127" t="n"/>
      <c r="T2621" s="127" t="n"/>
      <c r="U2621" s="127" t="n"/>
      <c r="V2621" s="127" t="n"/>
      <c r="W2621" s="127" t="n"/>
      <c r="X2621" s="127" t="n"/>
      <c r="Y2621" s="127" t="n"/>
      <c r="Z2621" s="127" t="n"/>
    </row>
    <row r="2622">
      <c r="A2622" s="217" t="n"/>
      <c r="B2622" s="126" t="n"/>
      <c r="C2622" s="126" t="n"/>
      <c r="D2622" s="126" t="n"/>
      <c r="E2622" s="126" t="n"/>
      <c r="F2622" s="127" t="n"/>
      <c r="G2622" s="127" t="inlineStr"/>
      <c r="H2622" s="127" t="inlineStr"/>
      <c r="I2622" s="127" t="n"/>
      <c r="J2622" s="127" t="n"/>
      <c r="K2622" s="127" t="inlineStr"/>
      <c r="L2622" s="127" t="n"/>
      <c r="M2622" s="127" t="n"/>
      <c r="N2622" s="127" t="n"/>
      <c r="O2622" s="127" t="n"/>
      <c r="P2622" s="127" t="n"/>
      <c r="Q2622" s="127" t="n"/>
      <c r="R2622" s="127" t="n"/>
      <c r="S2622" s="127" t="n"/>
      <c r="T2622" s="127" t="n"/>
      <c r="U2622" s="127" t="n"/>
      <c r="V2622" s="127" t="n"/>
      <c r="W2622" s="127" t="n"/>
      <c r="X2622" s="127" t="n"/>
      <c r="Y2622" s="127" t="n"/>
      <c r="Z2622" s="127" t="n"/>
    </row>
    <row r="2623">
      <c r="A2623" s="217" t="n"/>
      <c r="B2623" s="126" t="n"/>
      <c r="C2623" s="126" t="n"/>
      <c r="D2623" s="126" t="n"/>
      <c r="E2623" s="126" t="n"/>
      <c r="F2623" s="127" t="n"/>
      <c r="G2623" s="127" t="inlineStr"/>
      <c r="H2623" s="127" t="inlineStr"/>
      <c r="I2623" s="127" t="n"/>
      <c r="J2623" s="127" t="n"/>
      <c r="K2623" s="127" t="inlineStr"/>
      <c r="L2623" s="127" t="n"/>
      <c r="M2623" s="127" t="n"/>
      <c r="N2623" s="127" t="n"/>
      <c r="O2623" s="127" t="n"/>
      <c r="P2623" s="127" t="n"/>
      <c r="Q2623" s="127" t="n"/>
      <c r="R2623" s="127" t="n"/>
      <c r="S2623" s="127" t="n"/>
      <c r="T2623" s="127" t="n"/>
      <c r="U2623" s="127" t="n"/>
      <c r="V2623" s="127" t="n"/>
      <c r="W2623" s="127" t="n"/>
      <c r="X2623" s="127" t="n"/>
      <c r="Y2623" s="127" t="n"/>
      <c r="Z2623" s="127" t="n"/>
    </row>
    <row r="2624">
      <c r="A2624" s="217" t="n"/>
      <c r="B2624" s="126" t="n"/>
      <c r="C2624" s="126" t="n"/>
      <c r="D2624" s="126" t="n"/>
      <c r="E2624" s="126" t="n"/>
      <c r="F2624" s="127" t="n"/>
      <c r="G2624" s="127" t="inlineStr"/>
      <c r="H2624" s="127" t="inlineStr"/>
      <c r="I2624" s="127" t="n"/>
      <c r="J2624" s="127" t="n"/>
      <c r="K2624" s="127" t="inlineStr"/>
      <c r="L2624" s="127" t="n"/>
      <c r="M2624" s="127" t="n"/>
      <c r="N2624" s="127" t="n"/>
      <c r="O2624" s="127" t="n"/>
      <c r="P2624" s="127" t="n"/>
      <c r="Q2624" s="127" t="n"/>
      <c r="R2624" s="127" t="n"/>
      <c r="S2624" s="127" t="n"/>
      <c r="T2624" s="127" t="n"/>
      <c r="U2624" s="127" t="n"/>
      <c r="V2624" s="127" t="n"/>
      <c r="W2624" s="127" t="n"/>
      <c r="X2624" s="127" t="n"/>
      <c r="Y2624" s="127" t="n"/>
      <c r="Z2624" s="127" t="n"/>
    </row>
    <row r="2625">
      <c r="A2625" s="217" t="n"/>
      <c r="B2625" s="126" t="n"/>
      <c r="C2625" s="126" t="n"/>
      <c r="D2625" s="126" t="n"/>
      <c r="E2625" s="126" t="n"/>
      <c r="F2625" s="127" t="n"/>
      <c r="G2625" s="127" t="inlineStr"/>
      <c r="H2625" s="127" t="inlineStr"/>
      <c r="I2625" s="127" t="n"/>
      <c r="J2625" s="127" t="n"/>
      <c r="K2625" s="127" t="inlineStr"/>
      <c r="L2625" s="127" t="n"/>
      <c r="M2625" s="127" t="n"/>
      <c r="N2625" s="127" t="n"/>
      <c r="O2625" s="127" t="n"/>
      <c r="P2625" s="127" t="n"/>
      <c r="Q2625" s="127" t="n"/>
      <c r="R2625" s="127" t="n"/>
      <c r="S2625" s="127" t="n"/>
      <c r="T2625" s="127" t="n"/>
      <c r="U2625" s="127" t="n"/>
      <c r="V2625" s="127" t="n"/>
      <c r="W2625" s="127" t="n"/>
      <c r="X2625" s="127" t="n"/>
      <c r="Y2625" s="127" t="n"/>
      <c r="Z2625" s="127" t="n"/>
    </row>
    <row r="2626">
      <c r="A2626" s="217" t="n"/>
      <c r="B2626" s="126" t="n"/>
      <c r="C2626" s="126" t="n"/>
      <c r="D2626" s="126" t="n"/>
      <c r="E2626" s="126" t="n"/>
      <c r="F2626" s="127" t="n"/>
      <c r="G2626" s="127" t="inlineStr"/>
      <c r="H2626" s="127" t="inlineStr"/>
      <c r="I2626" s="127" t="n"/>
      <c r="J2626" s="127" t="n"/>
      <c r="K2626" s="127" t="inlineStr"/>
      <c r="L2626" s="127" t="n"/>
      <c r="M2626" s="127" t="n"/>
      <c r="N2626" s="127" t="n"/>
      <c r="O2626" s="127" t="n"/>
      <c r="P2626" s="127" t="n"/>
      <c r="Q2626" s="127" t="n"/>
      <c r="R2626" s="127" t="n"/>
      <c r="S2626" s="127" t="n"/>
      <c r="T2626" s="127" t="n"/>
      <c r="U2626" s="127" t="n"/>
      <c r="V2626" s="127" t="n"/>
      <c r="W2626" s="127" t="n"/>
      <c r="X2626" s="127" t="n"/>
      <c r="Y2626" s="127" t="n"/>
      <c r="Z2626" s="127" t="n"/>
    </row>
    <row r="2627">
      <c r="A2627" s="217" t="n"/>
      <c r="B2627" s="126" t="n"/>
      <c r="C2627" s="126" t="n"/>
      <c r="D2627" s="126" t="n"/>
      <c r="E2627" s="126" t="n"/>
      <c r="F2627" s="127" t="n"/>
      <c r="G2627" s="127" t="inlineStr"/>
      <c r="H2627" s="127" t="inlineStr"/>
      <c r="I2627" s="127" t="n"/>
      <c r="J2627" s="127" t="n"/>
      <c r="K2627" s="127" t="inlineStr"/>
      <c r="L2627" s="127" t="n"/>
      <c r="M2627" s="127" t="n"/>
      <c r="N2627" s="127" t="n"/>
      <c r="O2627" s="127" t="n"/>
      <c r="P2627" s="127" t="n"/>
      <c r="Q2627" s="127" t="n"/>
      <c r="R2627" s="127" t="n"/>
      <c r="S2627" s="127" t="n"/>
      <c r="T2627" s="127" t="n"/>
      <c r="U2627" s="127" t="n"/>
      <c r="V2627" s="127" t="n"/>
      <c r="W2627" s="127" t="n"/>
      <c r="X2627" s="127" t="n"/>
      <c r="Y2627" s="127" t="n"/>
      <c r="Z2627" s="127" t="n"/>
    </row>
    <row r="2628">
      <c r="A2628" s="217" t="n"/>
      <c r="B2628" s="126" t="n"/>
      <c r="C2628" s="126" t="n"/>
      <c r="D2628" s="126" t="n"/>
      <c r="E2628" s="126" t="n"/>
      <c r="F2628" s="127" t="n"/>
      <c r="G2628" s="127" t="inlineStr"/>
      <c r="H2628" s="127" t="inlineStr"/>
      <c r="I2628" s="127" t="n"/>
      <c r="J2628" s="127" t="n"/>
      <c r="K2628" s="127" t="inlineStr"/>
      <c r="L2628" s="127" t="n"/>
      <c r="M2628" s="127" t="n"/>
      <c r="N2628" s="127" t="n"/>
      <c r="O2628" s="127" t="n"/>
      <c r="P2628" s="127" t="n"/>
      <c r="Q2628" s="127" t="n"/>
      <c r="R2628" s="127" t="n"/>
      <c r="S2628" s="127" t="n"/>
      <c r="T2628" s="127" t="n"/>
      <c r="U2628" s="127" t="n"/>
      <c r="V2628" s="127" t="n"/>
      <c r="W2628" s="127" t="n"/>
      <c r="X2628" s="127" t="n"/>
      <c r="Y2628" s="127" t="n"/>
      <c r="Z2628" s="127" t="n"/>
    </row>
    <row r="2629">
      <c r="A2629" s="217" t="n"/>
      <c r="B2629" s="126" t="n"/>
      <c r="C2629" s="126" t="n"/>
      <c r="D2629" s="126" t="n"/>
      <c r="E2629" s="126" t="n"/>
      <c r="F2629" s="127" t="n"/>
      <c r="G2629" s="127" t="inlineStr"/>
      <c r="H2629" s="127" t="inlineStr"/>
      <c r="I2629" s="127" t="n"/>
      <c r="J2629" s="127" t="n"/>
      <c r="K2629" s="127" t="inlineStr"/>
      <c r="L2629" s="127" t="n"/>
      <c r="M2629" s="127" t="n"/>
      <c r="N2629" s="127" t="n"/>
      <c r="O2629" s="127" t="n"/>
      <c r="P2629" s="127" t="n"/>
      <c r="Q2629" s="127" t="n"/>
      <c r="R2629" s="127" t="n"/>
      <c r="S2629" s="127" t="n"/>
      <c r="T2629" s="127" t="n"/>
      <c r="U2629" s="127" t="n"/>
      <c r="V2629" s="127" t="n"/>
      <c r="W2629" s="127" t="n"/>
      <c r="X2629" s="127" t="n"/>
      <c r="Y2629" s="127" t="n"/>
      <c r="Z2629" s="127" t="n"/>
    </row>
    <row r="2630">
      <c r="A2630" s="217" t="n"/>
      <c r="B2630" s="126" t="n"/>
      <c r="C2630" s="126" t="n"/>
      <c r="D2630" s="126" t="n"/>
      <c r="E2630" s="126" t="n"/>
      <c r="F2630" s="127" t="n"/>
      <c r="G2630" s="127" t="inlineStr"/>
      <c r="H2630" s="127" t="inlineStr"/>
      <c r="I2630" s="127" t="n"/>
      <c r="J2630" s="127" t="n"/>
      <c r="K2630" s="127" t="inlineStr"/>
      <c r="L2630" s="127" t="n"/>
      <c r="M2630" s="127" t="n"/>
      <c r="N2630" s="127" t="n"/>
      <c r="O2630" s="127" t="n"/>
      <c r="P2630" s="127" t="n"/>
      <c r="Q2630" s="127" t="n"/>
      <c r="R2630" s="127" t="n"/>
      <c r="S2630" s="127" t="n"/>
      <c r="T2630" s="127" t="n"/>
      <c r="U2630" s="127" t="n"/>
      <c r="V2630" s="127" t="n"/>
      <c r="W2630" s="127" t="n"/>
      <c r="X2630" s="127" t="n"/>
      <c r="Y2630" s="127" t="n"/>
      <c r="Z2630" s="127" t="n"/>
    </row>
    <row r="2631">
      <c r="A2631" s="217" t="n"/>
      <c r="B2631" s="126" t="n"/>
      <c r="C2631" s="126" t="n"/>
      <c r="D2631" s="126" t="n"/>
      <c r="E2631" s="126" t="n"/>
      <c r="F2631" s="127" t="n"/>
      <c r="G2631" s="127" t="inlineStr"/>
      <c r="H2631" s="127" t="inlineStr"/>
      <c r="I2631" s="127" t="n"/>
      <c r="J2631" s="127" t="n"/>
      <c r="K2631" s="127" t="inlineStr"/>
      <c r="L2631" s="127" t="n"/>
      <c r="M2631" s="127" t="n"/>
      <c r="N2631" s="127" t="n"/>
      <c r="O2631" s="127" t="n"/>
      <c r="P2631" s="127" t="n"/>
      <c r="Q2631" s="127" t="n"/>
      <c r="R2631" s="127" t="n"/>
      <c r="S2631" s="127" t="n"/>
      <c r="T2631" s="127" t="n"/>
      <c r="U2631" s="127" t="n"/>
      <c r="V2631" s="127" t="n"/>
      <c r="W2631" s="127" t="n"/>
      <c r="X2631" s="127" t="n"/>
      <c r="Y2631" s="127" t="n"/>
      <c r="Z2631" s="127" t="n"/>
    </row>
    <row r="2632">
      <c r="A2632" s="217" t="n"/>
      <c r="B2632" s="126" t="n"/>
      <c r="C2632" s="126" t="n"/>
      <c r="D2632" s="126" t="n"/>
      <c r="E2632" s="126" t="n"/>
      <c r="F2632" s="127" t="n"/>
      <c r="G2632" s="127" t="inlineStr"/>
      <c r="H2632" s="127" t="inlineStr"/>
      <c r="I2632" s="127" t="n"/>
      <c r="J2632" s="127" t="n"/>
      <c r="K2632" s="127" t="inlineStr"/>
      <c r="L2632" s="127" t="n"/>
      <c r="M2632" s="127" t="n"/>
      <c r="N2632" s="127" t="n"/>
      <c r="O2632" s="127" t="n"/>
      <c r="P2632" s="127" t="n"/>
      <c r="Q2632" s="127" t="n"/>
      <c r="R2632" s="127" t="n"/>
      <c r="S2632" s="127" t="n"/>
      <c r="T2632" s="127" t="n"/>
      <c r="U2632" s="127" t="n"/>
      <c r="V2632" s="127" t="n"/>
      <c r="W2632" s="127" t="n"/>
      <c r="X2632" s="127" t="n"/>
      <c r="Y2632" s="127" t="n"/>
      <c r="Z2632" s="127" t="n"/>
    </row>
    <row r="2633">
      <c r="A2633" s="217" t="n"/>
      <c r="B2633" s="126" t="n"/>
      <c r="C2633" s="126" t="n"/>
      <c r="D2633" s="126" t="n"/>
      <c r="E2633" s="126" t="n"/>
      <c r="F2633" s="127" t="n"/>
      <c r="G2633" s="127" t="inlineStr"/>
      <c r="H2633" s="127" t="inlineStr"/>
      <c r="I2633" s="127" t="n"/>
      <c r="J2633" s="127" t="n"/>
      <c r="K2633" s="127" t="inlineStr"/>
      <c r="L2633" s="127" t="n"/>
      <c r="M2633" s="127" t="n"/>
      <c r="N2633" s="127" t="n"/>
      <c r="O2633" s="127" t="n"/>
      <c r="P2633" s="127" t="n"/>
      <c r="Q2633" s="127" t="n"/>
      <c r="R2633" s="127" t="n"/>
      <c r="S2633" s="127" t="n"/>
      <c r="T2633" s="127" t="n"/>
      <c r="U2633" s="127" t="n"/>
      <c r="V2633" s="127" t="n"/>
      <c r="W2633" s="127" t="n"/>
      <c r="X2633" s="127" t="n"/>
      <c r="Y2633" s="127" t="n"/>
      <c r="Z2633" s="127" t="n"/>
    </row>
    <row r="2634">
      <c r="A2634" s="217" t="n"/>
      <c r="B2634" s="126" t="n"/>
      <c r="C2634" s="126" t="n"/>
      <c r="D2634" s="126" t="n"/>
      <c r="E2634" s="126" t="n"/>
      <c r="F2634" s="127" t="n"/>
      <c r="G2634" s="127" t="inlineStr"/>
      <c r="H2634" s="127" t="inlineStr"/>
      <c r="I2634" s="127" t="n"/>
      <c r="J2634" s="127" t="n"/>
      <c r="K2634" s="127" t="inlineStr"/>
      <c r="L2634" s="127" t="n"/>
      <c r="M2634" s="127" t="n"/>
      <c r="N2634" s="127" t="n"/>
      <c r="O2634" s="127" t="n"/>
      <c r="P2634" s="127" t="n"/>
      <c r="Q2634" s="127" t="n"/>
      <c r="R2634" s="127" t="n"/>
      <c r="S2634" s="127" t="n"/>
      <c r="T2634" s="127" t="n"/>
      <c r="U2634" s="127" t="n"/>
      <c r="V2634" s="127" t="n"/>
      <c r="W2634" s="127" t="n"/>
      <c r="X2634" s="127" t="n"/>
      <c r="Y2634" s="127" t="n"/>
      <c r="Z2634" s="127" t="n"/>
    </row>
    <row r="2635">
      <c r="A2635" s="217" t="n"/>
      <c r="B2635" s="126" t="n"/>
      <c r="C2635" s="126" t="n"/>
      <c r="D2635" s="126" t="n"/>
      <c r="E2635" s="126" t="n"/>
      <c r="F2635" s="127" t="n"/>
      <c r="G2635" s="127" t="inlineStr"/>
      <c r="H2635" s="127" t="inlineStr"/>
      <c r="I2635" s="127" t="n"/>
      <c r="J2635" s="127" t="n"/>
      <c r="K2635" s="127" t="inlineStr"/>
      <c r="L2635" s="127" t="n"/>
      <c r="M2635" s="127" t="n"/>
      <c r="N2635" s="127" t="n"/>
      <c r="O2635" s="127" t="n"/>
      <c r="P2635" s="127" t="n"/>
      <c r="Q2635" s="127" t="n"/>
      <c r="R2635" s="127" t="n"/>
      <c r="S2635" s="127" t="n"/>
      <c r="T2635" s="127" t="n"/>
      <c r="U2635" s="127" t="n"/>
      <c r="V2635" s="127" t="n"/>
      <c r="W2635" s="127" t="n"/>
      <c r="X2635" s="127" t="n"/>
      <c r="Y2635" s="127" t="n"/>
      <c r="Z2635" s="127" t="n"/>
    </row>
    <row r="2636">
      <c r="A2636" s="217" t="n"/>
      <c r="B2636" s="126" t="n"/>
      <c r="C2636" s="126" t="n"/>
      <c r="D2636" s="126" t="n"/>
      <c r="E2636" s="126" t="n"/>
      <c r="F2636" s="127" t="n"/>
      <c r="G2636" s="127" t="inlineStr"/>
      <c r="H2636" s="127" t="inlineStr"/>
      <c r="I2636" s="127" t="n"/>
      <c r="J2636" s="127" t="n"/>
      <c r="K2636" s="127" t="inlineStr"/>
      <c r="L2636" s="127" t="n"/>
      <c r="M2636" s="127" t="n"/>
      <c r="N2636" s="127" t="n"/>
      <c r="O2636" s="127" t="n"/>
      <c r="P2636" s="127" t="n"/>
      <c r="Q2636" s="127" t="n"/>
      <c r="R2636" s="127" t="n"/>
      <c r="S2636" s="127" t="n"/>
      <c r="T2636" s="127" t="n"/>
      <c r="U2636" s="127" t="n"/>
      <c r="V2636" s="127" t="n"/>
      <c r="W2636" s="127" t="n"/>
      <c r="X2636" s="127" t="n"/>
      <c r="Y2636" s="127" t="n"/>
      <c r="Z2636" s="127" t="n"/>
    </row>
    <row r="2637">
      <c r="A2637" s="217" t="n"/>
      <c r="B2637" s="126" t="n"/>
      <c r="C2637" s="126" t="n"/>
      <c r="D2637" s="126" t="n"/>
      <c r="E2637" s="126" t="n"/>
      <c r="F2637" s="127" t="n"/>
      <c r="G2637" s="127" t="inlineStr"/>
      <c r="H2637" s="127" t="inlineStr"/>
      <c r="I2637" s="127" t="n"/>
      <c r="J2637" s="127" t="n"/>
      <c r="K2637" s="127" t="inlineStr"/>
      <c r="L2637" s="127" t="n"/>
      <c r="M2637" s="127" t="n"/>
      <c r="N2637" s="127" t="n"/>
      <c r="O2637" s="127" t="n"/>
      <c r="P2637" s="127" t="n"/>
      <c r="Q2637" s="127" t="n"/>
      <c r="R2637" s="127" t="n"/>
      <c r="S2637" s="127" t="n"/>
      <c r="T2637" s="127" t="n"/>
      <c r="U2637" s="127" t="n"/>
      <c r="V2637" s="127" t="n"/>
      <c r="W2637" s="127" t="n"/>
      <c r="X2637" s="127" t="n"/>
      <c r="Y2637" s="127" t="n"/>
      <c r="Z2637" s="127" t="n"/>
    </row>
    <row r="2638">
      <c r="A2638" s="217" t="n"/>
      <c r="B2638" s="126" t="n"/>
      <c r="C2638" s="126" t="n"/>
      <c r="D2638" s="126" t="n"/>
      <c r="E2638" s="126" t="n"/>
      <c r="F2638" s="127" t="n"/>
      <c r="G2638" s="127" t="inlineStr"/>
      <c r="H2638" s="127" t="inlineStr"/>
      <c r="I2638" s="127" t="n"/>
      <c r="J2638" s="127" t="n"/>
      <c r="K2638" s="127" t="inlineStr"/>
      <c r="L2638" s="127" t="n"/>
      <c r="M2638" s="127" t="n"/>
      <c r="N2638" s="127" t="n"/>
      <c r="O2638" s="127" t="n"/>
      <c r="P2638" s="127" t="n"/>
      <c r="Q2638" s="127" t="n"/>
      <c r="R2638" s="127" t="n"/>
      <c r="S2638" s="127" t="n"/>
      <c r="T2638" s="127" t="n"/>
      <c r="U2638" s="127" t="n"/>
      <c r="V2638" s="127" t="n"/>
      <c r="W2638" s="127" t="n"/>
      <c r="X2638" s="127" t="n"/>
      <c r="Y2638" s="127" t="n"/>
      <c r="Z2638" s="127" t="n"/>
    </row>
    <row r="2639">
      <c r="A2639" s="217" t="n"/>
      <c r="B2639" s="126" t="n"/>
      <c r="C2639" s="126" t="n"/>
      <c r="D2639" s="126" t="n"/>
      <c r="E2639" s="126" t="n"/>
      <c r="F2639" s="127" t="n"/>
      <c r="G2639" s="127" t="inlineStr"/>
      <c r="H2639" s="127" t="inlineStr"/>
      <c r="I2639" s="127" t="n"/>
      <c r="J2639" s="127" t="n"/>
      <c r="K2639" s="127" t="inlineStr"/>
      <c r="L2639" s="127" t="n"/>
      <c r="M2639" s="127" t="n"/>
      <c r="N2639" s="127" t="n"/>
      <c r="O2639" s="127" t="n"/>
      <c r="P2639" s="127" t="n"/>
      <c r="Q2639" s="127" t="n"/>
      <c r="R2639" s="127" t="n"/>
      <c r="S2639" s="127" t="n"/>
      <c r="T2639" s="127" t="n"/>
      <c r="U2639" s="127" t="n"/>
      <c r="V2639" s="127" t="n"/>
      <c r="W2639" s="127" t="n"/>
      <c r="X2639" s="127" t="n"/>
      <c r="Y2639" s="127" t="n"/>
      <c r="Z2639" s="127" t="n"/>
    </row>
    <row r="2640">
      <c r="A2640" s="217" t="n"/>
      <c r="B2640" s="126" t="n"/>
      <c r="C2640" s="126" t="n"/>
      <c r="D2640" s="126" t="n"/>
      <c r="E2640" s="126" t="n"/>
      <c r="F2640" s="127" t="n"/>
      <c r="G2640" s="127" t="inlineStr"/>
      <c r="H2640" s="127" t="inlineStr"/>
      <c r="I2640" s="127" t="n"/>
      <c r="J2640" s="127" t="n"/>
      <c r="K2640" s="127" t="inlineStr"/>
      <c r="L2640" s="127" t="n"/>
      <c r="M2640" s="127" t="n"/>
      <c r="N2640" s="127" t="n"/>
      <c r="O2640" s="127" t="n"/>
      <c r="P2640" s="127" t="n"/>
      <c r="Q2640" s="127" t="n"/>
      <c r="R2640" s="127" t="n"/>
      <c r="S2640" s="127" t="n"/>
      <c r="T2640" s="127" t="n"/>
      <c r="U2640" s="127" t="n"/>
      <c r="V2640" s="127" t="n"/>
      <c r="W2640" s="127" t="n"/>
      <c r="X2640" s="127" t="n"/>
      <c r="Y2640" s="127" t="n"/>
      <c r="Z2640" s="127" t="n"/>
    </row>
    <row r="2641">
      <c r="A2641" s="217" t="n"/>
      <c r="B2641" s="126" t="n"/>
      <c r="C2641" s="126" t="n"/>
      <c r="D2641" s="126" t="n"/>
      <c r="E2641" s="126" t="n"/>
      <c r="F2641" s="127" t="n"/>
      <c r="G2641" s="127" t="inlineStr"/>
      <c r="H2641" s="127" t="inlineStr"/>
      <c r="I2641" s="127" t="n"/>
      <c r="J2641" s="127" t="n"/>
      <c r="K2641" s="127" t="inlineStr"/>
      <c r="L2641" s="127" t="n"/>
      <c r="M2641" s="127" t="n"/>
      <c r="N2641" s="127" t="n"/>
      <c r="O2641" s="127" t="n"/>
      <c r="P2641" s="127" t="n"/>
      <c r="Q2641" s="127" t="n"/>
      <c r="R2641" s="127" t="n"/>
      <c r="S2641" s="127" t="n"/>
      <c r="T2641" s="127" t="n"/>
      <c r="U2641" s="127" t="n"/>
      <c r="V2641" s="127" t="n"/>
      <c r="W2641" s="127" t="n"/>
      <c r="X2641" s="127" t="n"/>
      <c r="Y2641" s="127" t="n"/>
      <c r="Z2641" s="127" t="n"/>
    </row>
    <row r="2642">
      <c r="A2642" s="217" t="n"/>
      <c r="B2642" s="126" t="n"/>
      <c r="C2642" s="126" t="n"/>
      <c r="D2642" s="126" t="n"/>
      <c r="E2642" s="126" t="n"/>
      <c r="F2642" s="127" t="n"/>
      <c r="G2642" s="127" t="inlineStr"/>
      <c r="H2642" s="127" t="inlineStr"/>
      <c r="I2642" s="127" t="n"/>
      <c r="J2642" s="127" t="n"/>
      <c r="K2642" s="127" t="inlineStr"/>
      <c r="L2642" s="127" t="n"/>
      <c r="M2642" s="127" t="n"/>
      <c r="N2642" s="127" t="n"/>
      <c r="O2642" s="127" t="n"/>
      <c r="P2642" s="127" t="n"/>
      <c r="Q2642" s="127" t="n"/>
      <c r="R2642" s="127" t="n"/>
      <c r="S2642" s="127" t="n"/>
      <c r="T2642" s="127" t="n"/>
      <c r="U2642" s="127" t="n"/>
      <c r="V2642" s="127" t="n"/>
      <c r="W2642" s="127" t="n"/>
      <c r="X2642" s="127" t="n"/>
      <c r="Y2642" s="127" t="n"/>
      <c r="Z2642" s="127" t="n"/>
    </row>
    <row r="2643">
      <c r="A2643" s="217" t="n"/>
      <c r="B2643" s="126" t="n"/>
      <c r="C2643" s="126" t="n"/>
      <c r="D2643" s="126" t="n"/>
      <c r="E2643" s="126" t="n"/>
      <c r="F2643" s="127" t="n"/>
      <c r="G2643" s="127" t="inlineStr"/>
      <c r="H2643" s="127" t="inlineStr"/>
      <c r="I2643" s="127" t="n"/>
      <c r="J2643" s="127" t="n"/>
      <c r="K2643" s="127" t="inlineStr"/>
      <c r="L2643" s="127" t="n"/>
      <c r="M2643" s="127" t="n"/>
      <c r="N2643" s="127" t="n"/>
      <c r="O2643" s="127" t="n"/>
      <c r="P2643" s="127" t="n"/>
      <c r="Q2643" s="127" t="n"/>
      <c r="R2643" s="127" t="n"/>
      <c r="S2643" s="127" t="n"/>
      <c r="T2643" s="127" t="n"/>
      <c r="U2643" s="127" t="n"/>
      <c r="V2643" s="127" t="n"/>
      <c r="W2643" s="127" t="n"/>
      <c r="X2643" s="127" t="n"/>
      <c r="Y2643" s="127" t="n"/>
      <c r="Z2643" s="127" t="n"/>
    </row>
    <row r="2644">
      <c r="A2644" s="217" t="n"/>
      <c r="B2644" s="126" t="n"/>
      <c r="C2644" s="126" t="n"/>
      <c r="D2644" s="126" t="n"/>
      <c r="E2644" s="126" t="n"/>
      <c r="F2644" s="127" t="n"/>
      <c r="G2644" s="127" t="inlineStr"/>
      <c r="H2644" s="127" t="inlineStr"/>
      <c r="I2644" s="127" t="n"/>
      <c r="J2644" s="127" t="n"/>
      <c r="K2644" s="127" t="inlineStr"/>
      <c r="L2644" s="127" t="n"/>
      <c r="M2644" s="127" t="n"/>
      <c r="N2644" s="127" t="n"/>
      <c r="O2644" s="127" t="n"/>
      <c r="P2644" s="127" t="n"/>
      <c r="Q2644" s="127" t="n"/>
      <c r="R2644" s="127" t="n"/>
      <c r="S2644" s="127" t="n"/>
      <c r="T2644" s="127" t="n"/>
      <c r="U2644" s="127" t="n"/>
      <c r="V2644" s="127" t="n"/>
      <c r="W2644" s="127" t="n"/>
      <c r="X2644" s="127" t="n"/>
      <c r="Y2644" s="127" t="n"/>
      <c r="Z2644" s="127" t="n"/>
    </row>
    <row r="2645">
      <c r="A2645" s="217" t="n"/>
      <c r="B2645" s="126" t="n"/>
      <c r="C2645" s="126" t="n"/>
      <c r="D2645" s="126" t="n"/>
      <c r="E2645" s="126" t="n"/>
      <c r="F2645" s="127" t="n"/>
      <c r="G2645" s="127" t="inlineStr"/>
      <c r="H2645" s="127" t="inlineStr"/>
      <c r="I2645" s="127" t="n"/>
      <c r="J2645" s="127" t="n"/>
      <c r="K2645" s="127" t="inlineStr"/>
      <c r="L2645" s="127" t="n"/>
      <c r="M2645" s="127" t="n"/>
      <c r="N2645" s="127" t="n"/>
      <c r="O2645" s="127" t="n"/>
      <c r="P2645" s="127" t="n"/>
      <c r="Q2645" s="127" t="n"/>
      <c r="R2645" s="127" t="n"/>
      <c r="S2645" s="127" t="n"/>
      <c r="T2645" s="127" t="n"/>
      <c r="U2645" s="127" t="n"/>
      <c r="V2645" s="127" t="n"/>
      <c r="W2645" s="127" t="n"/>
      <c r="X2645" s="127" t="n"/>
      <c r="Y2645" s="127" t="n"/>
      <c r="Z2645" s="127" t="n"/>
    </row>
    <row r="2646">
      <c r="A2646" s="217" t="n"/>
      <c r="B2646" s="126" t="n"/>
      <c r="C2646" s="126" t="n"/>
      <c r="D2646" s="126" t="n"/>
      <c r="E2646" s="126" t="n"/>
      <c r="F2646" s="127" t="n"/>
      <c r="G2646" s="127" t="inlineStr"/>
      <c r="H2646" s="127" t="inlineStr"/>
      <c r="I2646" s="127" t="n"/>
      <c r="J2646" s="127" t="n"/>
      <c r="K2646" s="127" t="inlineStr"/>
      <c r="L2646" s="127" t="n"/>
      <c r="M2646" s="127" t="n"/>
      <c r="N2646" s="127" t="n"/>
      <c r="O2646" s="127" t="n"/>
      <c r="P2646" s="127" t="n"/>
      <c r="Q2646" s="127" t="n"/>
      <c r="R2646" s="127" t="n"/>
      <c r="S2646" s="127" t="n"/>
      <c r="T2646" s="127" t="n"/>
      <c r="U2646" s="127" t="n"/>
      <c r="V2646" s="127" t="n"/>
      <c r="W2646" s="127" t="n"/>
      <c r="X2646" s="127" t="n"/>
      <c r="Y2646" s="127" t="n"/>
      <c r="Z2646" s="127" t="n"/>
    </row>
    <row r="2647">
      <c r="A2647" s="217" t="n"/>
      <c r="B2647" s="126" t="n"/>
      <c r="C2647" s="126" t="n"/>
      <c r="D2647" s="126" t="n"/>
      <c r="E2647" s="126" t="n"/>
      <c r="F2647" s="127" t="n"/>
      <c r="G2647" s="127" t="inlineStr"/>
      <c r="H2647" s="127" t="inlineStr"/>
      <c r="I2647" s="127" t="n"/>
      <c r="J2647" s="127" t="n"/>
      <c r="K2647" s="127" t="inlineStr"/>
      <c r="L2647" s="127" t="n"/>
      <c r="M2647" s="127" t="n"/>
      <c r="N2647" s="127" t="n"/>
      <c r="O2647" s="127" t="n"/>
      <c r="P2647" s="127" t="n"/>
      <c r="Q2647" s="127" t="n"/>
      <c r="R2647" s="127" t="n"/>
      <c r="S2647" s="127" t="n"/>
      <c r="T2647" s="127" t="n"/>
      <c r="U2647" s="127" t="n"/>
      <c r="V2647" s="127" t="n"/>
      <c r="W2647" s="127" t="n"/>
      <c r="X2647" s="127" t="n"/>
      <c r="Y2647" s="127" t="n"/>
      <c r="Z2647" s="127" t="n"/>
    </row>
    <row r="2648">
      <c r="A2648" s="217" t="n"/>
      <c r="B2648" s="126" t="n"/>
      <c r="C2648" s="126" t="n"/>
      <c r="D2648" s="126" t="n"/>
      <c r="E2648" s="126" t="n"/>
      <c r="F2648" s="127" t="n"/>
      <c r="G2648" s="127" t="inlineStr"/>
      <c r="H2648" s="127" t="inlineStr"/>
      <c r="I2648" s="127" t="n"/>
      <c r="J2648" s="127" t="n"/>
      <c r="K2648" s="127" t="inlineStr"/>
      <c r="L2648" s="127" t="n"/>
      <c r="M2648" s="127" t="n"/>
      <c r="N2648" s="127" t="n"/>
      <c r="O2648" s="127" t="n"/>
      <c r="P2648" s="127" t="n"/>
      <c r="Q2648" s="127" t="n"/>
      <c r="R2648" s="127" t="n"/>
      <c r="S2648" s="127" t="n"/>
      <c r="T2648" s="127" t="n"/>
      <c r="U2648" s="127" t="n"/>
      <c r="V2648" s="127" t="n"/>
      <c r="W2648" s="127" t="n"/>
      <c r="X2648" s="127" t="n"/>
      <c r="Y2648" s="127" t="n"/>
      <c r="Z2648" s="127" t="n"/>
    </row>
    <row r="2649">
      <c r="A2649" s="217" t="n"/>
      <c r="B2649" s="126" t="n"/>
      <c r="C2649" s="126" t="n"/>
      <c r="D2649" s="126" t="n"/>
      <c r="E2649" s="126" t="n"/>
      <c r="F2649" s="127" t="n"/>
      <c r="G2649" s="127" t="inlineStr"/>
      <c r="H2649" s="127" t="inlineStr"/>
      <c r="I2649" s="127" t="n"/>
      <c r="J2649" s="127" t="n"/>
      <c r="K2649" s="127" t="inlineStr"/>
      <c r="L2649" s="127" t="n"/>
      <c r="M2649" s="127" t="n"/>
      <c r="N2649" s="127" t="n"/>
      <c r="O2649" s="127" t="n"/>
      <c r="P2649" s="127" t="n"/>
      <c r="Q2649" s="127" t="n"/>
      <c r="R2649" s="127" t="n"/>
      <c r="S2649" s="127" t="n"/>
      <c r="T2649" s="127" t="n"/>
      <c r="U2649" s="127" t="n"/>
      <c r="V2649" s="127" t="n"/>
      <c r="W2649" s="127" t="n"/>
      <c r="X2649" s="127" t="n"/>
      <c r="Y2649" s="127" t="n"/>
      <c r="Z2649" s="127" t="n"/>
    </row>
    <row r="2650">
      <c r="A2650" s="217" t="n"/>
      <c r="B2650" s="126" t="n"/>
      <c r="C2650" s="126" t="n"/>
      <c r="D2650" s="126" t="n"/>
      <c r="E2650" s="126" t="n"/>
      <c r="F2650" s="127" t="n"/>
      <c r="G2650" s="127" t="inlineStr"/>
      <c r="H2650" s="127" t="inlineStr"/>
      <c r="I2650" s="127" t="n"/>
      <c r="J2650" s="127" t="n"/>
      <c r="K2650" s="127" t="inlineStr"/>
      <c r="L2650" s="127" t="n"/>
      <c r="M2650" s="127" t="n"/>
      <c r="N2650" s="127" t="n"/>
      <c r="O2650" s="127" t="n"/>
      <c r="P2650" s="127" t="n"/>
      <c r="Q2650" s="127" t="n"/>
      <c r="R2650" s="127" t="n"/>
      <c r="S2650" s="127" t="n"/>
      <c r="T2650" s="127" t="n"/>
      <c r="U2650" s="127" t="n"/>
      <c r="V2650" s="127" t="n"/>
      <c r="W2650" s="127" t="n"/>
      <c r="X2650" s="127" t="n"/>
      <c r="Y2650" s="127" t="n"/>
      <c r="Z2650" s="127" t="n"/>
    </row>
    <row r="2651">
      <c r="A2651" s="217" t="n"/>
      <c r="B2651" s="126" t="n"/>
      <c r="C2651" s="126" t="n"/>
      <c r="D2651" s="126" t="n"/>
      <c r="E2651" s="126" t="n"/>
      <c r="F2651" s="127" t="n"/>
      <c r="G2651" s="127" t="inlineStr"/>
      <c r="H2651" s="127" t="inlineStr"/>
      <c r="I2651" s="127" t="n"/>
      <c r="J2651" s="127" t="n"/>
      <c r="K2651" s="127" t="inlineStr"/>
      <c r="L2651" s="127" t="n"/>
      <c r="M2651" s="127" t="n"/>
      <c r="N2651" s="127" t="n"/>
      <c r="O2651" s="127" t="n"/>
      <c r="P2651" s="127" t="n"/>
      <c r="Q2651" s="127" t="n"/>
      <c r="R2651" s="127" t="n"/>
      <c r="S2651" s="127" t="n"/>
      <c r="T2651" s="127" t="n"/>
      <c r="U2651" s="127" t="n"/>
      <c r="V2651" s="127" t="n"/>
      <c r="W2651" s="127" t="n"/>
      <c r="X2651" s="127" t="n"/>
      <c r="Y2651" s="127" t="n"/>
      <c r="Z2651" s="127" t="n"/>
    </row>
    <row r="2652">
      <c r="A2652" s="217" t="n"/>
      <c r="B2652" s="126" t="n"/>
      <c r="C2652" s="126" t="n"/>
      <c r="D2652" s="126" t="n"/>
      <c r="E2652" s="126" t="n"/>
      <c r="F2652" s="127" t="n"/>
      <c r="G2652" s="127" t="inlineStr"/>
      <c r="H2652" s="127" t="inlineStr"/>
      <c r="I2652" s="127" t="n"/>
      <c r="J2652" s="127" t="n"/>
      <c r="K2652" s="127" t="inlineStr"/>
      <c r="L2652" s="127" t="n"/>
      <c r="M2652" s="127" t="n"/>
      <c r="N2652" s="127" t="n"/>
      <c r="O2652" s="127" t="n"/>
      <c r="P2652" s="127" t="n"/>
      <c r="Q2652" s="127" t="n"/>
      <c r="R2652" s="127" t="n"/>
      <c r="S2652" s="127" t="n"/>
      <c r="T2652" s="127" t="n"/>
      <c r="U2652" s="127" t="n"/>
      <c r="V2652" s="127" t="n"/>
      <c r="W2652" s="127" t="n"/>
      <c r="X2652" s="127" t="n"/>
      <c r="Y2652" s="127" t="n"/>
      <c r="Z2652" s="127" t="n"/>
    </row>
    <row r="2653">
      <c r="A2653" s="217" t="n"/>
      <c r="B2653" s="126" t="n"/>
      <c r="C2653" s="126" t="n"/>
      <c r="D2653" s="126" t="n"/>
      <c r="E2653" s="126" t="n"/>
      <c r="F2653" s="127" t="n"/>
      <c r="G2653" s="127" t="inlineStr"/>
      <c r="H2653" s="127" t="inlineStr"/>
      <c r="I2653" s="127" t="n"/>
      <c r="J2653" s="127" t="n"/>
      <c r="K2653" s="127" t="inlineStr"/>
      <c r="L2653" s="127" t="n"/>
      <c r="M2653" s="127" t="n"/>
      <c r="N2653" s="127" t="n"/>
      <c r="O2653" s="127" t="n"/>
      <c r="P2653" s="127" t="n"/>
      <c r="Q2653" s="127" t="n"/>
      <c r="R2653" s="127" t="n"/>
      <c r="S2653" s="127" t="n"/>
      <c r="T2653" s="127" t="n"/>
      <c r="U2653" s="127" t="n"/>
      <c r="V2653" s="127" t="n"/>
      <c r="W2653" s="127" t="n"/>
      <c r="X2653" s="127" t="n"/>
      <c r="Y2653" s="127" t="n"/>
      <c r="Z2653" s="127" t="n"/>
    </row>
    <row r="2654">
      <c r="A2654" s="217" t="n"/>
      <c r="B2654" s="126" t="n"/>
      <c r="C2654" s="126" t="n"/>
      <c r="D2654" s="126" t="n"/>
      <c r="E2654" s="126" t="n"/>
      <c r="F2654" s="127" t="n"/>
      <c r="G2654" s="127" t="inlineStr"/>
      <c r="H2654" s="127" t="inlineStr"/>
      <c r="I2654" s="127" t="n"/>
      <c r="J2654" s="127" t="n"/>
      <c r="K2654" s="127" t="inlineStr"/>
      <c r="L2654" s="127" t="n"/>
      <c r="M2654" s="127" t="n"/>
      <c r="N2654" s="127" t="n"/>
      <c r="O2654" s="127" t="n"/>
      <c r="P2654" s="127" t="n"/>
      <c r="Q2654" s="127" t="n"/>
      <c r="R2654" s="127" t="n"/>
      <c r="S2654" s="127" t="n"/>
      <c r="T2654" s="127" t="n"/>
      <c r="U2654" s="127" t="n"/>
      <c r="V2654" s="127" t="n"/>
      <c r="W2654" s="127" t="n"/>
      <c r="X2654" s="127" t="n"/>
      <c r="Y2654" s="127" t="n"/>
      <c r="Z2654" s="127" t="n"/>
    </row>
    <row r="2655">
      <c r="A2655" s="217" t="n"/>
      <c r="B2655" s="126" t="n"/>
      <c r="C2655" s="126" t="n"/>
      <c r="D2655" s="126" t="n"/>
      <c r="E2655" s="126" t="n"/>
      <c r="F2655" s="127" t="n"/>
      <c r="G2655" s="127" t="inlineStr"/>
      <c r="H2655" s="127" t="inlineStr"/>
      <c r="I2655" s="127" t="n"/>
      <c r="J2655" s="127" t="n"/>
      <c r="K2655" s="127" t="inlineStr"/>
      <c r="L2655" s="127" t="n"/>
      <c r="M2655" s="127" t="n"/>
      <c r="N2655" s="127" t="n"/>
      <c r="O2655" s="127" t="n"/>
      <c r="P2655" s="127" t="n"/>
      <c r="Q2655" s="127" t="n"/>
      <c r="R2655" s="127" t="n"/>
      <c r="S2655" s="127" t="n"/>
      <c r="T2655" s="127" t="n"/>
      <c r="U2655" s="127" t="n"/>
      <c r="V2655" s="127" t="n"/>
      <c r="W2655" s="127" t="n"/>
      <c r="X2655" s="127" t="n"/>
      <c r="Y2655" s="127" t="n"/>
      <c r="Z2655" s="127" t="n"/>
    </row>
    <row r="2656">
      <c r="A2656" s="217" t="n"/>
      <c r="B2656" s="126" t="n"/>
      <c r="C2656" s="126" t="n"/>
      <c r="D2656" s="126" t="n"/>
      <c r="E2656" s="126" t="n"/>
      <c r="F2656" s="127" t="n"/>
      <c r="G2656" s="127" t="inlineStr"/>
      <c r="H2656" s="127" t="inlineStr"/>
      <c r="I2656" s="127" t="n"/>
      <c r="J2656" s="127" t="n"/>
      <c r="K2656" s="127" t="inlineStr"/>
      <c r="L2656" s="127" t="n"/>
      <c r="M2656" s="127" t="n"/>
      <c r="N2656" s="127" t="n"/>
      <c r="O2656" s="127" t="n"/>
      <c r="P2656" s="127" t="n"/>
      <c r="Q2656" s="127" t="n"/>
      <c r="R2656" s="127" t="n"/>
      <c r="S2656" s="127" t="n"/>
      <c r="T2656" s="127" t="n"/>
      <c r="U2656" s="127" t="n"/>
      <c r="V2656" s="127" t="n"/>
      <c r="W2656" s="127" t="n"/>
      <c r="X2656" s="127" t="n"/>
      <c r="Y2656" s="127" t="n"/>
      <c r="Z2656" s="127" t="n"/>
    </row>
    <row r="2657">
      <c r="A2657" s="217" t="n"/>
      <c r="B2657" s="126" t="n"/>
      <c r="C2657" s="126" t="n"/>
      <c r="D2657" s="126" t="n"/>
      <c r="E2657" s="126" t="n"/>
      <c r="F2657" s="127" t="n"/>
      <c r="G2657" s="127" t="inlineStr"/>
      <c r="H2657" s="127" t="inlineStr"/>
      <c r="I2657" s="127" t="n"/>
      <c r="J2657" s="127" t="n"/>
      <c r="K2657" s="127" t="inlineStr"/>
      <c r="L2657" s="127" t="n"/>
      <c r="M2657" s="127" t="n"/>
      <c r="N2657" s="127" t="n"/>
      <c r="O2657" s="127" t="n"/>
      <c r="P2657" s="127" t="n"/>
      <c r="Q2657" s="127" t="n"/>
      <c r="R2657" s="127" t="n"/>
      <c r="S2657" s="127" t="n"/>
      <c r="T2657" s="127" t="n"/>
      <c r="U2657" s="127" t="n"/>
      <c r="V2657" s="127" t="n"/>
      <c r="W2657" s="127" t="n"/>
      <c r="X2657" s="127" t="n"/>
      <c r="Y2657" s="127" t="n"/>
      <c r="Z2657" s="127" t="n"/>
    </row>
    <row r="2658">
      <c r="A2658" s="217" t="n"/>
      <c r="B2658" s="126" t="n"/>
      <c r="C2658" s="126" t="n"/>
      <c r="D2658" s="126" t="n"/>
      <c r="E2658" s="126" t="n"/>
      <c r="F2658" s="127" t="n"/>
      <c r="G2658" s="127" t="inlineStr"/>
      <c r="H2658" s="127" t="inlineStr"/>
      <c r="I2658" s="127" t="n"/>
      <c r="J2658" s="127" t="n"/>
      <c r="K2658" s="127" t="inlineStr"/>
      <c r="L2658" s="127" t="n"/>
      <c r="M2658" s="127" t="n"/>
      <c r="N2658" s="127" t="n"/>
      <c r="O2658" s="127" t="n"/>
      <c r="P2658" s="127" t="n"/>
      <c r="Q2658" s="127" t="n"/>
      <c r="R2658" s="127" t="n"/>
      <c r="S2658" s="127" t="n"/>
      <c r="T2658" s="127" t="n"/>
      <c r="U2658" s="127" t="n"/>
      <c r="V2658" s="127" t="n"/>
      <c r="W2658" s="127" t="n"/>
      <c r="X2658" s="127" t="n"/>
      <c r="Y2658" s="127" t="n"/>
      <c r="Z2658" s="127" t="n"/>
    </row>
    <row r="2659">
      <c r="A2659" s="217" t="n"/>
      <c r="B2659" s="126" t="n"/>
      <c r="C2659" s="126" t="n"/>
      <c r="D2659" s="126" t="n"/>
      <c r="E2659" s="126" t="n"/>
      <c r="F2659" s="127" t="n"/>
      <c r="G2659" s="127" t="inlineStr"/>
      <c r="H2659" s="127" t="inlineStr"/>
      <c r="I2659" s="127" t="n"/>
      <c r="J2659" s="127" t="n"/>
      <c r="K2659" s="127" t="inlineStr"/>
      <c r="L2659" s="127" t="n"/>
      <c r="M2659" s="127" t="n"/>
      <c r="N2659" s="127" t="n"/>
      <c r="O2659" s="127" t="n"/>
      <c r="P2659" s="127" t="n"/>
      <c r="Q2659" s="127" t="n"/>
      <c r="R2659" s="127" t="n"/>
      <c r="S2659" s="127" t="n"/>
      <c r="T2659" s="127" t="n"/>
      <c r="U2659" s="127" t="n"/>
      <c r="V2659" s="127" t="n"/>
      <c r="W2659" s="127" t="n"/>
      <c r="X2659" s="127" t="n"/>
      <c r="Y2659" s="127" t="n"/>
      <c r="Z2659" s="127" t="n"/>
    </row>
    <row r="2660">
      <c r="A2660" s="217" t="n"/>
      <c r="B2660" s="126" t="n"/>
      <c r="C2660" s="126" t="n"/>
      <c r="D2660" s="126" t="n"/>
      <c r="E2660" s="126" t="n"/>
      <c r="F2660" s="127" t="n"/>
      <c r="G2660" s="127" t="inlineStr"/>
      <c r="H2660" s="127" t="inlineStr"/>
      <c r="I2660" s="127" t="n"/>
      <c r="J2660" s="127" t="n"/>
      <c r="K2660" s="127" t="inlineStr"/>
      <c r="L2660" s="127" t="n"/>
      <c r="M2660" s="127" t="n"/>
      <c r="N2660" s="127" t="n"/>
      <c r="O2660" s="127" t="n"/>
      <c r="P2660" s="127" t="n"/>
      <c r="Q2660" s="127" t="n"/>
      <c r="R2660" s="127" t="n"/>
      <c r="S2660" s="127" t="n"/>
      <c r="T2660" s="127" t="n"/>
      <c r="U2660" s="127" t="n"/>
      <c r="V2660" s="127" t="n"/>
      <c r="W2660" s="127" t="n"/>
      <c r="X2660" s="127" t="n"/>
      <c r="Y2660" s="127" t="n"/>
      <c r="Z2660" s="127" t="n"/>
    </row>
    <row r="2661">
      <c r="A2661" s="217" t="n"/>
      <c r="B2661" s="126" t="n"/>
      <c r="C2661" s="126" t="n"/>
      <c r="D2661" s="126" t="n"/>
      <c r="E2661" s="126" t="n"/>
      <c r="F2661" s="127" t="n"/>
      <c r="G2661" s="127" t="inlineStr"/>
      <c r="H2661" s="127" t="inlineStr"/>
      <c r="I2661" s="127" t="n"/>
      <c r="J2661" s="127" t="n"/>
      <c r="K2661" s="127" t="inlineStr"/>
      <c r="L2661" s="127" t="n"/>
      <c r="M2661" s="127" t="n"/>
      <c r="N2661" s="127" t="n"/>
      <c r="O2661" s="127" t="n"/>
      <c r="P2661" s="127" t="n"/>
      <c r="Q2661" s="127" t="n"/>
      <c r="R2661" s="127" t="n"/>
      <c r="S2661" s="127" t="n"/>
      <c r="T2661" s="127" t="n"/>
      <c r="U2661" s="127" t="n"/>
      <c r="V2661" s="127" t="n"/>
      <c r="W2661" s="127" t="n"/>
      <c r="X2661" s="127" t="n"/>
      <c r="Y2661" s="127" t="n"/>
      <c r="Z2661" s="127" t="n"/>
    </row>
    <row r="2662">
      <c r="A2662" s="217" t="n"/>
      <c r="B2662" s="126" t="n"/>
      <c r="C2662" s="126" t="n"/>
      <c r="D2662" s="126" t="n"/>
      <c r="E2662" s="126" t="n"/>
      <c r="F2662" s="127" t="n"/>
      <c r="G2662" s="127" t="inlineStr"/>
      <c r="H2662" s="127" t="inlineStr"/>
      <c r="I2662" s="127" t="n"/>
      <c r="J2662" s="127" t="n"/>
      <c r="K2662" s="127" t="inlineStr"/>
      <c r="L2662" s="127" t="n"/>
      <c r="M2662" s="127" t="n"/>
      <c r="N2662" s="127" t="n"/>
      <c r="O2662" s="127" t="n"/>
      <c r="P2662" s="127" t="n"/>
      <c r="Q2662" s="127" t="n"/>
      <c r="R2662" s="127" t="n"/>
      <c r="S2662" s="127" t="n"/>
      <c r="T2662" s="127" t="n"/>
      <c r="U2662" s="127" t="n"/>
      <c r="V2662" s="127" t="n"/>
      <c r="W2662" s="127" t="n"/>
      <c r="X2662" s="127" t="n"/>
      <c r="Y2662" s="127" t="n"/>
      <c r="Z2662" s="127" t="n"/>
    </row>
    <row r="2663">
      <c r="A2663" s="217" t="n"/>
      <c r="B2663" s="126" t="n"/>
      <c r="C2663" s="126" t="n"/>
      <c r="D2663" s="126" t="n"/>
      <c r="E2663" s="126" t="n"/>
      <c r="F2663" s="127" t="n"/>
      <c r="G2663" s="127" t="inlineStr"/>
      <c r="H2663" s="127" t="inlineStr"/>
      <c r="I2663" s="127" t="n"/>
      <c r="J2663" s="127" t="n"/>
      <c r="K2663" s="127" t="inlineStr"/>
      <c r="L2663" s="127" t="n"/>
      <c r="M2663" s="127" t="n"/>
      <c r="N2663" s="127" t="n"/>
      <c r="O2663" s="127" t="n"/>
      <c r="P2663" s="127" t="n"/>
      <c r="Q2663" s="127" t="n"/>
      <c r="R2663" s="127" t="n"/>
      <c r="S2663" s="127" t="n"/>
      <c r="T2663" s="127" t="n"/>
      <c r="U2663" s="127" t="n"/>
      <c r="V2663" s="127" t="n"/>
      <c r="W2663" s="127" t="n"/>
      <c r="X2663" s="127" t="n"/>
      <c r="Y2663" s="127" t="n"/>
      <c r="Z2663" s="127" t="n"/>
    </row>
    <row r="2664">
      <c r="A2664" s="217" t="n"/>
      <c r="B2664" s="126" t="n"/>
      <c r="C2664" s="126" t="n"/>
      <c r="D2664" s="126" t="n"/>
      <c r="E2664" s="126" t="n"/>
      <c r="F2664" s="127" t="n"/>
      <c r="G2664" s="127" t="inlineStr"/>
      <c r="H2664" s="127" t="inlineStr"/>
      <c r="I2664" s="127" t="n"/>
      <c r="J2664" s="127" t="n"/>
      <c r="K2664" s="127" t="inlineStr"/>
      <c r="L2664" s="127" t="n"/>
      <c r="M2664" s="127" t="n"/>
      <c r="N2664" s="127" t="n"/>
      <c r="O2664" s="127" t="n"/>
      <c r="P2664" s="127" t="n"/>
      <c r="Q2664" s="127" t="n"/>
      <c r="R2664" s="127" t="n"/>
      <c r="S2664" s="127" t="n"/>
      <c r="T2664" s="127" t="n"/>
      <c r="U2664" s="127" t="n"/>
      <c r="V2664" s="127" t="n"/>
      <c r="W2664" s="127" t="n"/>
      <c r="X2664" s="127" t="n"/>
      <c r="Y2664" s="127" t="n"/>
      <c r="Z2664" s="127" t="n"/>
    </row>
    <row r="2665">
      <c r="A2665" s="217" t="n"/>
      <c r="B2665" s="126" t="n"/>
      <c r="C2665" s="126" t="n"/>
      <c r="D2665" s="126" t="n"/>
      <c r="E2665" s="126" t="n"/>
      <c r="F2665" s="127" t="n"/>
      <c r="G2665" s="127" t="inlineStr"/>
      <c r="H2665" s="127" t="inlineStr"/>
      <c r="I2665" s="127" t="n"/>
      <c r="J2665" s="127" t="n"/>
      <c r="K2665" s="127" t="inlineStr"/>
      <c r="L2665" s="127" t="n"/>
      <c r="M2665" s="127" t="n"/>
      <c r="N2665" s="127" t="n"/>
      <c r="O2665" s="127" t="n"/>
      <c r="P2665" s="127" t="n"/>
      <c r="Q2665" s="127" t="n"/>
      <c r="R2665" s="127" t="n"/>
      <c r="S2665" s="127" t="n"/>
      <c r="T2665" s="127" t="n"/>
      <c r="U2665" s="127" t="n"/>
      <c r="V2665" s="127" t="n"/>
      <c r="W2665" s="127" t="n"/>
      <c r="X2665" s="127" t="n"/>
      <c r="Y2665" s="127" t="n"/>
      <c r="Z2665" s="127" t="n"/>
    </row>
    <row r="2666">
      <c r="A2666" s="217" t="n"/>
      <c r="B2666" s="126" t="n"/>
      <c r="C2666" s="126" t="n"/>
      <c r="D2666" s="126" t="n"/>
      <c r="E2666" s="126" t="n"/>
      <c r="F2666" s="127" t="n"/>
      <c r="G2666" s="127" t="inlineStr"/>
      <c r="H2666" s="127" t="inlineStr"/>
      <c r="I2666" s="127" t="n"/>
      <c r="J2666" s="127" t="n"/>
      <c r="K2666" s="127" t="inlineStr"/>
      <c r="L2666" s="127" t="n"/>
      <c r="M2666" s="127" t="n"/>
      <c r="N2666" s="127" t="n"/>
      <c r="O2666" s="127" t="n"/>
      <c r="P2666" s="127" t="n"/>
      <c r="Q2666" s="127" t="n"/>
      <c r="R2666" s="127" t="n"/>
      <c r="S2666" s="127" t="n"/>
      <c r="T2666" s="127" t="n"/>
      <c r="U2666" s="127" t="n"/>
      <c r="V2666" s="127" t="n"/>
      <c r="W2666" s="127" t="n"/>
      <c r="X2666" s="127" t="n"/>
      <c r="Y2666" s="127" t="n"/>
      <c r="Z2666" s="127" t="n"/>
    </row>
    <row r="2667">
      <c r="A2667" s="217" t="n"/>
      <c r="B2667" s="126" t="n"/>
      <c r="C2667" s="126" t="n"/>
      <c r="D2667" s="126" t="n"/>
      <c r="E2667" s="126" t="n"/>
      <c r="F2667" s="127" t="n"/>
      <c r="G2667" s="127" t="inlineStr"/>
      <c r="H2667" s="127" t="inlineStr"/>
      <c r="I2667" s="127" t="n"/>
      <c r="J2667" s="127" t="n"/>
      <c r="K2667" s="127" t="inlineStr"/>
      <c r="L2667" s="127" t="n"/>
      <c r="M2667" s="127" t="n"/>
      <c r="N2667" s="127" t="n"/>
      <c r="O2667" s="127" t="n"/>
      <c r="P2667" s="127" t="n"/>
      <c r="Q2667" s="127" t="n"/>
      <c r="R2667" s="127" t="n"/>
      <c r="S2667" s="127" t="n"/>
      <c r="T2667" s="127" t="n"/>
      <c r="U2667" s="127" t="n"/>
      <c r="V2667" s="127" t="n"/>
      <c r="W2667" s="127" t="n"/>
      <c r="X2667" s="127" t="n"/>
      <c r="Y2667" s="127" t="n"/>
      <c r="Z2667" s="127" t="n"/>
    </row>
    <row r="2668">
      <c r="A2668" s="217" t="n"/>
      <c r="B2668" s="126" t="n"/>
      <c r="C2668" s="126" t="n"/>
      <c r="D2668" s="126" t="n"/>
      <c r="E2668" s="126" t="n"/>
      <c r="F2668" s="127" t="n"/>
      <c r="G2668" s="127" t="inlineStr"/>
      <c r="H2668" s="127" t="inlineStr"/>
      <c r="I2668" s="127" t="n"/>
      <c r="J2668" s="127" t="n"/>
      <c r="K2668" s="127" t="inlineStr"/>
      <c r="L2668" s="127" t="n"/>
      <c r="M2668" s="127" t="n"/>
      <c r="N2668" s="127" t="n"/>
      <c r="O2668" s="127" t="n"/>
      <c r="P2668" s="127" t="n"/>
      <c r="Q2668" s="127" t="n"/>
      <c r="R2668" s="127" t="n"/>
      <c r="S2668" s="127" t="n"/>
      <c r="T2668" s="127" t="n"/>
      <c r="U2668" s="127" t="n"/>
      <c r="V2668" s="127" t="n"/>
      <c r="W2668" s="127" t="n"/>
      <c r="X2668" s="127" t="n"/>
      <c r="Y2668" s="127" t="n"/>
      <c r="Z2668" s="127" t="n"/>
    </row>
    <row r="2669">
      <c r="A2669" s="217" t="n"/>
      <c r="B2669" s="126" t="n"/>
      <c r="C2669" s="126" t="n"/>
      <c r="D2669" s="126" t="n"/>
      <c r="E2669" s="126" t="n"/>
      <c r="F2669" s="127" t="n"/>
      <c r="G2669" s="127" t="inlineStr"/>
      <c r="H2669" s="127" t="inlineStr"/>
      <c r="I2669" s="127" t="n"/>
      <c r="J2669" s="127" t="n"/>
      <c r="K2669" s="127" t="inlineStr"/>
      <c r="L2669" s="127" t="n"/>
      <c r="M2669" s="127" t="n"/>
      <c r="N2669" s="127" t="n"/>
      <c r="O2669" s="127" t="n"/>
      <c r="P2669" s="127" t="n"/>
      <c r="Q2669" s="127" t="n"/>
      <c r="R2669" s="127" t="n"/>
      <c r="S2669" s="127" t="n"/>
      <c r="T2669" s="127" t="n"/>
      <c r="U2669" s="127" t="n"/>
      <c r="V2669" s="127" t="n"/>
      <c r="W2669" s="127" t="n"/>
      <c r="X2669" s="127" t="n"/>
      <c r="Y2669" s="127" t="n"/>
      <c r="Z2669" s="127" t="n"/>
    </row>
    <row r="2670">
      <c r="A2670" s="217" t="n"/>
      <c r="B2670" s="126" t="n"/>
      <c r="C2670" s="126" t="n"/>
      <c r="D2670" s="126" t="n"/>
      <c r="E2670" s="126" t="n"/>
      <c r="F2670" s="127" t="n"/>
      <c r="G2670" s="127" t="inlineStr"/>
      <c r="H2670" s="127" t="inlineStr"/>
      <c r="I2670" s="127" t="n"/>
      <c r="J2670" s="127" t="n"/>
      <c r="K2670" s="127" t="inlineStr"/>
      <c r="L2670" s="127" t="n"/>
      <c r="M2670" s="127" t="n"/>
      <c r="N2670" s="127" t="n"/>
      <c r="O2670" s="127" t="n"/>
      <c r="P2670" s="127" t="n"/>
      <c r="Q2670" s="127" t="n"/>
      <c r="R2670" s="127" t="n"/>
      <c r="S2670" s="127" t="n"/>
      <c r="T2670" s="127" t="n"/>
      <c r="U2670" s="127" t="n"/>
      <c r="V2670" s="127" t="n"/>
      <c r="W2670" s="127" t="n"/>
      <c r="X2670" s="127" t="n"/>
      <c r="Y2670" s="127" t="n"/>
      <c r="Z2670" s="127" t="n"/>
    </row>
    <row r="2671">
      <c r="A2671" s="217" t="n"/>
      <c r="B2671" s="126" t="n"/>
      <c r="C2671" s="126" t="n"/>
      <c r="D2671" s="126" t="n"/>
      <c r="E2671" s="126" t="n"/>
      <c r="F2671" s="127" t="n"/>
      <c r="G2671" s="127" t="inlineStr"/>
      <c r="H2671" s="127" t="inlineStr"/>
      <c r="I2671" s="127" t="n"/>
      <c r="J2671" s="127" t="n"/>
      <c r="K2671" s="127" t="inlineStr"/>
      <c r="L2671" s="127" t="n"/>
      <c r="M2671" s="127" t="n"/>
      <c r="N2671" s="127" t="n"/>
      <c r="O2671" s="127" t="n"/>
      <c r="P2671" s="127" t="n"/>
      <c r="Q2671" s="127" t="n"/>
      <c r="R2671" s="127" t="n"/>
      <c r="S2671" s="127" t="n"/>
      <c r="T2671" s="127" t="n"/>
      <c r="U2671" s="127" t="n"/>
      <c r="V2671" s="127" t="n"/>
      <c r="W2671" s="127" t="n"/>
      <c r="X2671" s="127" t="n"/>
      <c r="Y2671" s="127" t="n"/>
      <c r="Z2671" s="127" t="n"/>
    </row>
    <row r="2672">
      <c r="A2672" s="217" t="n"/>
      <c r="B2672" s="126" t="n"/>
      <c r="C2672" s="126" t="n"/>
      <c r="D2672" s="126" t="n"/>
      <c r="E2672" s="126" t="n"/>
      <c r="F2672" s="127" t="n"/>
      <c r="G2672" s="127" t="inlineStr"/>
      <c r="H2672" s="127" t="inlineStr"/>
      <c r="I2672" s="127" t="n"/>
      <c r="J2672" s="127" t="n"/>
      <c r="K2672" s="127" t="inlineStr"/>
      <c r="L2672" s="127" t="n"/>
      <c r="M2672" s="127" t="n"/>
      <c r="N2672" s="127" t="n"/>
      <c r="O2672" s="127" t="n"/>
      <c r="P2672" s="127" t="n"/>
      <c r="Q2672" s="127" t="n"/>
      <c r="R2672" s="127" t="n"/>
      <c r="S2672" s="127" t="n"/>
      <c r="T2672" s="127" t="n"/>
      <c r="U2672" s="127" t="n"/>
      <c r="V2672" s="127" t="n"/>
      <c r="W2672" s="127" t="n"/>
      <c r="X2672" s="127" t="n"/>
      <c r="Y2672" s="127" t="n"/>
      <c r="Z2672" s="127" t="n"/>
    </row>
    <row r="2673">
      <c r="A2673" s="217" t="n"/>
      <c r="B2673" s="126" t="n"/>
      <c r="C2673" s="126" t="n"/>
      <c r="D2673" s="126" t="n"/>
      <c r="E2673" s="126" t="n"/>
      <c r="F2673" s="127" t="n"/>
      <c r="G2673" s="127" t="inlineStr"/>
      <c r="H2673" s="127" t="inlineStr"/>
      <c r="I2673" s="127" t="n"/>
      <c r="J2673" s="127" t="n"/>
      <c r="K2673" s="127" t="inlineStr"/>
      <c r="L2673" s="127" t="n"/>
      <c r="M2673" s="127" t="n"/>
      <c r="N2673" s="127" t="n"/>
      <c r="O2673" s="127" t="n"/>
      <c r="P2673" s="127" t="n"/>
      <c r="Q2673" s="127" t="n"/>
      <c r="R2673" s="127" t="n"/>
      <c r="S2673" s="127" t="n"/>
      <c r="T2673" s="127" t="n"/>
      <c r="U2673" s="127" t="n"/>
      <c r="V2673" s="127" t="n"/>
      <c r="W2673" s="127" t="n"/>
      <c r="X2673" s="127" t="n"/>
      <c r="Y2673" s="127" t="n"/>
      <c r="Z2673" s="127" t="n"/>
    </row>
    <row r="2674">
      <c r="A2674" s="217" t="n"/>
      <c r="B2674" s="126" t="n"/>
      <c r="C2674" s="126" t="n"/>
      <c r="D2674" s="126" t="n"/>
      <c r="E2674" s="126" t="n"/>
      <c r="F2674" s="127" t="n"/>
      <c r="G2674" s="127" t="inlineStr"/>
      <c r="H2674" s="127" t="inlineStr"/>
      <c r="I2674" s="127" t="n"/>
      <c r="J2674" s="127" t="n"/>
      <c r="K2674" s="127" t="inlineStr"/>
      <c r="L2674" s="127" t="n"/>
      <c r="M2674" s="127" t="n"/>
      <c r="N2674" s="127" t="n"/>
      <c r="O2674" s="127" t="n"/>
      <c r="P2674" s="127" t="n"/>
      <c r="Q2674" s="127" t="n"/>
      <c r="R2674" s="127" t="n"/>
      <c r="S2674" s="127" t="n"/>
      <c r="T2674" s="127" t="n"/>
      <c r="U2674" s="127" t="n"/>
      <c r="V2674" s="127" t="n"/>
      <c r="W2674" s="127" t="n"/>
      <c r="X2674" s="127" t="n"/>
      <c r="Y2674" s="127" t="n"/>
      <c r="Z2674" s="127" t="n"/>
    </row>
    <row r="2675">
      <c r="A2675" s="217" t="n"/>
      <c r="B2675" s="126" t="n"/>
      <c r="C2675" s="126" t="n"/>
      <c r="D2675" s="126" t="n"/>
      <c r="E2675" s="126" t="n"/>
      <c r="F2675" s="127" t="n"/>
      <c r="G2675" s="127" t="inlineStr"/>
      <c r="H2675" s="127" t="inlineStr"/>
      <c r="I2675" s="127" t="n"/>
      <c r="J2675" s="127" t="n"/>
      <c r="K2675" s="127" t="inlineStr"/>
      <c r="L2675" s="127" t="n"/>
      <c r="M2675" s="127" t="n"/>
      <c r="N2675" s="127" t="n"/>
      <c r="O2675" s="127" t="n"/>
      <c r="P2675" s="127" t="n"/>
      <c r="Q2675" s="127" t="n"/>
      <c r="R2675" s="127" t="n"/>
      <c r="S2675" s="127" t="n"/>
      <c r="T2675" s="127" t="n"/>
      <c r="U2675" s="127" t="n"/>
      <c r="V2675" s="127" t="n"/>
      <c r="W2675" s="127" t="n"/>
      <c r="X2675" s="127" t="n"/>
      <c r="Y2675" s="127" t="n"/>
      <c r="Z2675" s="127" t="n"/>
    </row>
    <row r="2676">
      <c r="A2676" s="217" t="n"/>
      <c r="B2676" s="126" t="n"/>
      <c r="C2676" s="126" t="n"/>
      <c r="D2676" s="126" t="n"/>
      <c r="E2676" s="126" t="n"/>
      <c r="F2676" s="127" t="n"/>
      <c r="G2676" s="127" t="inlineStr"/>
      <c r="H2676" s="127" t="inlineStr"/>
      <c r="I2676" s="127" t="n"/>
      <c r="J2676" s="127" t="n"/>
      <c r="K2676" s="127" t="inlineStr"/>
      <c r="L2676" s="127" t="n"/>
      <c r="M2676" s="127" t="n"/>
      <c r="N2676" s="127" t="n"/>
      <c r="O2676" s="127" t="n"/>
      <c r="P2676" s="127" t="n"/>
      <c r="Q2676" s="127" t="n"/>
      <c r="R2676" s="127" t="n"/>
      <c r="S2676" s="127" t="n"/>
      <c r="T2676" s="127" t="n"/>
      <c r="U2676" s="127" t="n"/>
      <c r="V2676" s="127" t="n"/>
      <c r="W2676" s="127" t="n"/>
      <c r="X2676" s="127" t="n"/>
      <c r="Y2676" s="127" t="n"/>
      <c r="Z2676" s="127" t="n"/>
    </row>
    <row r="2677">
      <c r="A2677" s="217" t="n"/>
      <c r="B2677" s="126" t="n"/>
      <c r="C2677" s="126" t="n"/>
      <c r="D2677" s="126" t="n"/>
      <c r="E2677" s="126" t="n"/>
      <c r="F2677" s="127" t="n"/>
      <c r="G2677" s="127" t="inlineStr"/>
      <c r="H2677" s="127" t="inlineStr"/>
      <c r="I2677" s="127" t="n"/>
      <c r="J2677" s="127" t="n"/>
      <c r="K2677" s="127" t="inlineStr"/>
      <c r="L2677" s="127" t="n"/>
      <c r="M2677" s="127" t="n"/>
      <c r="N2677" s="127" t="n"/>
      <c r="O2677" s="127" t="n"/>
      <c r="P2677" s="127" t="n"/>
      <c r="Q2677" s="127" t="n"/>
      <c r="R2677" s="127" t="n"/>
      <c r="S2677" s="127" t="n"/>
      <c r="T2677" s="127" t="n"/>
      <c r="U2677" s="127" t="n"/>
      <c r="V2677" s="127" t="n"/>
      <c r="W2677" s="127" t="n"/>
      <c r="X2677" s="127" t="n"/>
      <c r="Y2677" s="127" t="n"/>
      <c r="Z2677" s="127" t="n"/>
    </row>
    <row r="2678">
      <c r="A2678" s="217" t="n"/>
      <c r="B2678" s="126" t="n"/>
      <c r="C2678" s="126" t="n"/>
      <c r="D2678" s="126" t="n"/>
      <c r="E2678" s="126" t="n"/>
      <c r="F2678" s="127" t="n"/>
      <c r="G2678" s="127" t="inlineStr"/>
      <c r="H2678" s="127" t="inlineStr"/>
      <c r="I2678" s="127" t="n"/>
      <c r="J2678" s="127" t="n"/>
      <c r="K2678" s="127" t="inlineStr"/>
      <c r="L2678" s="127" t="n"/>
      <c r="M2678" s="127" t="n"/>
      <c r="N2678" s="127" t="n"/>
      <c r="O2678" s="127" t="n"/>
      <c r="P2678" s="127" t="n"/>
      <c r="Q2678" s="127" t="n"/>
      <c r="R2678" s="127" t="n"/>
      <c r="S2678" s="127" t="n"/>
      <c r="T2678" s="127" t="n"/>
      <c r="U2678" s="127" t="n"/>
      <c r="V2678" s="127" t="n"/>
      <c r="W2678" s="127" t="n"/>
      <c r="X2678" s="127" t="n"/>
      <c r="Y2678" s="127" t="n"/>
      <c r="Z2678" s="127" t="n"/>
    </row>
    <row r="2679">
      <c r="A2679" s="217" t="n"/>
      <c r="B2679" s="126" t="n"/>
      <c r="C2679" s="126" t="n"/>
      <c r="D2679" s="126" t="n"/>
      <c r="E2679" s="126" t="n"/>
      <c r="F2679" s="127" t="n"/>
      <c r="G2679" s="127" t="inlineStr"/>
      <c r="H2679" s="127" t="inlineStr"/>
      <c r="I2679" s="127" t="n"/>
      <c r="J2679" s="127" t="n"/>
      <c r="K2679" s="127" t="inlineStr"/>
      <c r="L2679" s="127" t="n"/>
      <c r="M2679" s="127" t="n"/>
      <c r="N2679" s="127" t="n"/>
      <c r="O2679" s="127" t="n"/>
      <c r="P2679" s="127" t="n"/>
      <c r="Q2679" s="127" t="n"/>
      <c r="R2679" s="127" t="n"/>
      <c r="S2679" s="127" t="n"/>
      <c r="T2679" s="127" t="n"/>
      <c r="U2679" s="127" t="n"/>
      <c r="V2679" s="127" t="n"/>
      <c r="W2679" s="127" t="n"/>
      <c r="X2679" s="127" t="n"/>
      <c r="Y2679" s="127" t="n"/>
      <c r="Z2679" s="127" t="n"/>
    </row>
    <row r="2680">
      <c r="A2680" s="217" t="n"/>
      <c r="B2680" s="126" t="n"/>
      <c r="C2680" s="126" t="n"/>
      <c r="D2680" s="126" t="n"/>
      <c r="E2680" s="126" t="n"/>
      <c r="F2680" s="127" t="n"/>
      <c r="G2680" s="127" t="inlineStr"/>
      <c r="H2680" s="127" t="inlineStr"/>
      <c r="I2680" s="127" t="n"/>
      <c r="J2680" s="127" t="n"/>
      <c r="K2680" s="127" t="inlineStr"/>
      <c r="L2680" s="127" t="n"/>
      <c r="M2680" s="127" t="n"/>
      <c r="N2680" s="127" t="n"/>
      <c r="O2680" s="127" t="n"/>
      <c r="P2680" s="127" t="n"/>
      <c r="Q2680" s="127" t="n"/>
      <c r="R2680" s="127" t="n"/>
      <c r="S2680" s="127" t="n"/>
      <c r="T2680" s="127" t="n"/>
      <c r="U2680" s="127" t="n"/>
      <c r="V2680" s="127" t="n"/>
      <c r="W2680" s="127" t="n"/>
      <c r="X2680" s="127" t="n"/>
      <c r="Y2680" s="127" t="n"/>
      <c r="Z2680" s="127" t="n"/>
    </row>
    <row r="2681">
      <c r="A2681" s="217" t="n"/>
      <c r="B2681" s="126" t="n"/>
      <c r="C2681" s="126" t="n"/>
      <c r="D2681" s="126" t="n"/>
      <c r="E2681" s="126" t="n"/>
      <c r="F2681" s="127" t="n"/>
      <c r="G2681" s="127" t="inlineStr"/>
      <c r="H2681" s="127" t="inlineStr"/>
      <c r="I2681" s="127" t="n"/>
      <c r="J2681" s="127" t="n"/>
      <c r="K2681" s="127" t="inlineStr"/>
      <c r="L2681" s="127" t="n"/>
      <c r="M2681" s="127" t="n"/>
      <c r="N2681" s="127" t="n"/>
      <c r="O2681" s="127" t="n"/>
      <c r="P2681" s="127" t="n"/>
      <c r="Q2681" s="127" t="n"/>
      <c r="R2681" s="127" t="n"/>
      <c r="S2681" s="127" t="n"/>
      <c r="T2681" s="127" t="n"/>
      <c r="U2681" s="127" t="n"/>
      <c r="V2681" s="127" t="n"/>
      <c r="W2681" s="127" t="n"/>
      <c r="X2681" s="127" t="n"/>
      <c r="Y2681" s="127" t="n"/>
      <c r="Z2681" s="127" t="n"/>
    </row>
    <row r="2682">
      <c r="A2682" s="217" t="n"/>
      <c r="B2682" s="126" t="n"/>
      <c r="C2682" s="126" t="n"/>
      <c r="D2682" s="126" t="n"/>
      <c r="E2682" s="126" t="n"/>
      <c r="F2682" s="127" t="n"/>
      <c r="G2682" s="127" t="inlineStr"/>
      <c r="H2682" s="127" t="inlineStr"/>
      <c r="I2682" s="127" t="n"/>
      <c r="J2682" s="127" t="n"/>
      <c r="K2682" s="127" t="inlineStr"/>
      <c r="L2682" s="127" t="n"/>
      <c r="M2682" s="127" t="n"/>
      <c r="N2682" s="127" t="n"/>
      <c r="O2682" s="127" t="n"/>
      <c r="P2682" s="127" t="n"/>
      <c r="Q2682" s="127" t="n"/>
      <c r="R2682" s="127" t="n"/>
      <c r="S2682" s="127" t="n"/>
      <c r="T2682" s="127" t="n"/>
      <c r="U2682" s="127" t="n"/>
      <c r="V2682" s="127" t="n"/>
      <c r="W2682" s="127" t="n"/>
      <c r="X2682" s="127" t="n"/>
      <c r="Y2682" s="127" t="n"/>
      <c r="Z2682" s="127" t="n"/>
    </row>
    <row r="2683">
      <c r="A2683" s="217" t="n"/>
      <c r="B2683" s="126" t="n"/>
      <c r="C2683" s="126" t="n"/>
      <c r="D2683" s="126" t="n"/>
      <c r="E2683" s="126" t="n"/>
      <c r="F2683" s="127" t="n"/>
      <c r="G2683" s="127" t="inlineStr"/>
      <c r="H2683" s="127" t="inlineStr"/>
      <c r="I2683" s="127" t="n"/>
      <c r="J2683" s="127" t="n"/>
      <c r="K2683" s="127" t="inlineStr"/>
      <c r="L2683" s="127" t="n"/>
      <c r="M2683" s="127" t="n"/>
      <c r="N2683" s="127" t="n"/>
      <c r="O2683" s="127" t="n"/>
      <c r="P2683" s="127" t="n"/>
      <c r="Q2683" s="127" t="n"/>
      <c r="R2683" s="127" t="n"/>
      <c r="S2683" s="127" t="n"/>
      <c r="T2683" s="127" t="n"/>
      <c r="U2683" s="127" t="n"/>
      <c r="V2683" s="127" t="n"/>
      <c r="W2683" s="127" t="n"/>
      <c r="X2683" s="127" t="n"/>
      <c r="Y2683" s="127" t="n"/>
      <c r="Z2683" s="127" t="n"/>
    </row>
    <row r="2684">
      <c r="A2684" s="217" t="n"/>
      <c r="B2684" s="126" t="n"/>
      <c r="C2684" s="126" t="n"/>
      <c r="D2684" s="126" t="n"/>
      <c r="E2684" s="126" t="n"/>
      <c r="F2684" s="127" t="n"/>
      <c r="G2684" s="127" t="inlineStr"/>
      <c r="H2684" s="127" t="inlineStr"/>
      <c r="I2684" s="127" t="n"/>
      <c r="J2684" s="127" t="n"/>
      <c r="K2684" s="127" t="inlineStr"/>
      <c r="L2684" s="127" t="n"/>
      <c r="M2684" s="127" t="n"/>
      <c r="N2684" s="127" t="n"/>
      <c r="O2684" s="127" t="n"/>
      <c r="P2684" s="127" t="n"/>
      <c r="Q2684" s="127" t="n"/>
      <c r="R2684" s="127" t="n"/>
      <c r="S2684" s="127" t="n"/>
      <c r="T2684" s="127" t="n"/>
      <c r="U2684" s="127" t="n"/>
      <c r="V2684" s="127" t="n"/>
      <c r="W2684" s="127" t="n"/>
      <c r="X2684" s="127" t="n"/>
      <c r="Y2684" s="127" t="n"/>
      <c r="Z2684" s="127" t="n"/>
    </row>
    <row r="2685">
      <c r="A2685" s="217" t="n"/>
      <c r="B2685" s="126" t="n"/>
      <c r="C2685" s="126" t="n"/>
      <c r="D2685" s="126" t="n"/>
      <c r="E2685" s="126" t="n"/>
      <c r="F2685" s="127" t="n"/>
      <c r="G2685" s="127" t="inlineStr"/>
      <c r="H2685" s="127" t="inlineStr"/>
      <c r="I2685" s="127" t="n"/>
      <c r="J2685" s="127" t="n"/>
      <c r="K2685" s="127" t="inlineStr"/>
      <c r="L2685" s="127" t="n"/>
      <c r="M2685" s="127" t="n"/>
      <c r="N2685" s="127" t="n"/>
      <c r="O2685" s="127" t="n"/>
      <c r="P2685" s="127" t="n"/>
      <c r="Q2685" s="127" t="n"/>
      <c r="R2685" s="127" t="n"/>
      <c r="S2685" s="127" t="n"/>
      <c r="T2685" s="127" t="n"/>
      <c r="U2685" s="127" t="n"/>
      <c r="V2685" s="127" t="n"/>
      <c r="W2685" s="127" t="n"/>
      <c r="X2685" s="127" t="n"/>
      <c r="Y2685" s="127" t="n"/>
      <c r="Z2685" s="127" t="n"/>
    </row>
    <row r="2686">
      <c r="A2686" s="217" t="n"/>
      <c r="B2686" s="126" t="n"/>
      <c r="C2686" s="126" t="n"/>
      <c r="D2686" s="126" t="n"/>
      <c r="E2686" s="126" t="n"/>
      <c r="F2686" s="127" t="n"/>
      <c r="G2686" s="127" t="inlineStr"/>
      <c r="H2686" s="127" t="inlineStr"/>
      <c r="I2686" s="127" t="n"/>
      <c r="J2686" s="127" t="n"/>
      <c r="K2686" s="127" t="inlineStr"/>
      <c r="L2686" s="127" t="n"/>
      <c r="M2686" s="127" t="n"/>
      <c r="N2686" s="127" t="n"/>
      <c r="O2686" s="127" t="n"/>
      <c r="P2686" s="127" t="n"/>
      <c r="Q2686" s="127" t="n"/>
      <c r="R2686" s="127" t="n"/>
      <c r="S2686" s="127" t="n"/>
      <c r="T2686" s="127" t="n"/>
      <c r="U2686" s="127" t="n"/>
      <c r="V2686" s="127" t="n"/>
      <c r="W2686" s="127" t="n"/>
      <c r="X2686" s="127" t="n"/>
      <c r="Y2686" s="127" t="n"/>
      <c r="Z2686" s="127" t="n"/>
    </row>
    <row r="2687">
      <c r="A2687" s="217" t="n"/>
      <c r="B2687" s="126" t="n"/>
      <c r="C2687" s="126" t="n"/>
      <c r="D2687" s="126" t="n"/>
      <c r="E2687" s="126" t="n"/>
      <c r="F2687" s="127" t="n"/>
      <c r="G2687" s="127" t="inlineStr"/>
      <c r="H2687" s="127" t="inlineStr"/>
      <c r="I2687" s="127" t="n"/>
      <c r="J2687" s="127" t="n"/>
      <c r="K2687" s="127" t="inlineStr"/>
      <c r="L2687" s="127" t="n"/>
      <c r="M2687" s="127" t="n"/>
      <c r="N2687" s="127" t="n"/>
      <c r="O2687" s="127" t="n"/>
      <c r="P2687" s="127" t="n"/>
      <c r="Q2687" s="127" t="n"/>
      <c r="R2687" s="127" t="n"/>
      <c r="S2687" s="127" t="n"/>
      <c r="T2687" s="127" t="n"/>
      <c r="U2687" s="127" t="n"/>
      <c r="V2687" s="127" t="n"/>
      <c r="W2687" s="127" t="n"/>
      <c r="X2687" s="127" t="n"/>
      <c r="Y2687" s="127" t="n"/>
      <c r="Z2687" s="127" t="n"/>
    </row>
    <row r="2688">
      <c r="A2688" s="217" t="n"/>
      <c r="B2688" s="126" t="n"/>
      <c r="C2688" s="126" t="n"/>
      <c r="D2688" s="126" t="n"/>
      <c r="E2688" s="126" t="n"/>
      <c r="F2688" s="127" t="n"/>
      <c r="G2688" s="127" t="inlineStr"/>
      <c r="H2688" s="127" t="inlineStr"/>
      <c r="I2688" s="127" t="n"/>
      <c r="J2688" s="127" t="n"/>
      <c r="K2688" s="127" t="inlineStr"/>
      <c r="L2688" s="127" t="n"/>
      <c r="M2688" s="127" t="n"/>
      <c r="N2688" s="127" t="n"/>
      <c r="O2688" s="127" t="n"/>
      <c r="P2688" s="127" t="n"/>
      <c r="Q2688" s="127" t="n"/>
      <c r="R2688" s="127" t="n"/>
      <c r="S2688" s="127" t="n"/>
      <c r="T2688" s="127" t="n"/>
      <c r="U2688" s="127" t="n"/>
      <c r="V2688" s="127" t="n"/>
      <c r="W2688" s="127" t="n"/>
      <c r="X2688" s="127" t="n"/>
      <c r="Y2688" s="127" t="n"/>
      <c r="Z2688" s="127" t="n"/>
    </row>
    <row r="2689">
      <c r="A2689" s="217" t="n"/>
      <c r="B2689" s="126" t="n"/>
      <c r="C2689" s="126" t="n"/>
      <c r="D2689" s="126" t="n"/>
      <c r="E2689" s="126" t="n"/>
      <c r="F2689" s="127" t="n"/>
      <c r="G2689" s="127" t="inlineStr"/>
      <c r="H2689" s="127" t="inlineStr"/>
      <c r="I2689" s="127" t="n"/>
      <c r="J2689" s="127" t="n"/>
      <c r="K2689" s="127" t="inlineStr"/>
      <c r="L2689" s="127" t="n"/>
      <c r="M2689" s="127" t="n"/>
      <c r="N2689" s="127" t="n"/>
      <c r="O2689" s="127" t="n"/>
      <c r="P2689" s="127" t="n"/>
      <c r="Q2689" s="127" t="n"/>
      <c r="R2689" s="127" t="n"/>
      <c r="S2689" s="127" t="n"/>
      <c r="T2689" s="127" t="n"/>
      <c r="U2689" s="127" t="n"/>
      <c r="V2689" s="127" t="n"/>
      <c r="W2689" s="127" t="n"/>
      <c r="X2689" s="127" t="n"/>
      <c r="Y2689" s="127" t="n"/>
      <c r="Z2689" s="127" t="n"/>
    </row>
    <row r="2690">
      <c r="A2690" s="217" t="n"/>
      <c r="B2690" s="126" t="n"/>
      <c r="C2690" s="126" t="n"/>
      <c r="D2690" s="126" t="n"/>
      <c r="E2690" s="126" t="n"/>
      <c r="F2690" s="127" t="n"/>
      <c r="G2690" s="127" t="inlineStr"/>
      <c r="H2690" s="127" t="inlineStr"/>
      <c r="I2690" s="127" t="n"/>
      <c r="J2690" s="127" t="n"/>
      <c r="K2690" s="127" t="inlineStr"/>
      <c r="L2690" s="127" t="n"/>
      <c r="M2690" s="127" t="n"/>
      <c r="N2690" s="127" t="n"/>
      <c r="O2690" s="127" t="n"/>
      <c r="P2690" s="127" t="n"/>
      <c r="Q2690" s="127" t="n"/>
      <c r="R2690" s="127" t="n"/>
      <c r="S2690" s="127" t="n"/>
      <c r="T2690" s="127" t="n"/>
      <c r="U2690" s="127" t="n"/>
      <c r="V2690" s="127" t="n"/>
      <c r="W2690" s="127" t="n"/>
      <c r="X2690" s="127" t="n"/>
      <c r="Y2690" s="127" t="n"/>
      <c r="Z2690" s="127" t="n"/>
    </row>
    <row r="2691">
      <c r="A2691" s="217" t="n"/>
      <c r="B2691" s="126" t="n"/>
      <c r="C2691" s="126" t="n"/>
      <c r="D2691" s="126" t="n"/>
      <c r="E2691" s="126" t="n"/>
      <c r="F2691" s="127" t="n"/>
      <c r="G2691" s="127" t="inlineStr"/>
      <c r="H2691" s="127" t="inlineStr"/>
      <c r="I2691" s="127" t="n"/>
      <c r="J2691" s="127" t="n"/>
      <c r="K2691" s="127" t="inlineStr"/>
      <c r="L2691" s="127" t="n"/>
      <c r="M2691" s="127" t="n"/>
      <c r="N2691" s="127" t="n"/>
      <c r="O2691" s="127" t="n"/>
      <c r="P2691" s="127" t="n"/>
      <c r="Q2691" s="127" t="n"/>
      <c r="R2691" s="127" t="n"/>
      <c r="S2691" s="127" t="n"/>
      <c r="T2691" s="127" t="n"/>
      <c r="U2691" s="127" t="n"/>
      <c r="V2691" s="127" t="n"/>
      <c r="W2691" s="127" t="n"/>
      <c r="X2691" s="127" t="n"/>
      <c r="Y2691" s="127" t="n"/>
      <c r="Z2691" s="127" t="n"/>
    </row>
    <row r="2692">
      <c r="A2692" s="217" t="n"/>
      <c r="B2692" s="126" t="n"/>
      <c r="C2692" s="126" t="n"/>
      <c r="D2692" s="126" t="n"/>
      <c r="E2692" s="126" t="n"/>
      <c r="F2692" s="127" t="n"/>
      <c r="G2692" s="127" t="inlineStr"/>
      <c r="H2692" s="127" t="inlineStr"/>
      <c r="I2692" s="127" t="n"/>
      <c r="J2692" s="127" t="n"/>
      <c r="K2692" s="127" t="inlineStr"/>
      <c r="L2692" s="127" t="n"/>
      <c r="M2692" s="127" t="n"/>
      <c r="N2692" s="127" t="n"/>
      <c r="O2692" s="127" t="n"/>
      <c r="P2692" s="127" t="n"/>
      <c r="Q2692" s="127" t="n"/>
      <c r="R2692" s="127" t="n"/>
      <c r="S2692" s="127" t="n"/>
      <c r="T2692" s="127" t="n"/>
      <c r="U2692" s="127" t="n"/>
      <c r="V2692" s="127" t="n"/>
      <c r="W2692" s="127" t="n"/>
      <c r="X2692" s="127" t="n"/>
      <c r="Y2692" s="127" t="n"/>
      <c r="Z2692" s="127" t="n"/>
    </row>
    <row r="2693">
      <c r="A2693" s="217" t="n"/>
      <c r="B2693" s="126" t="n"/>
      <c r="C2693" s="126" t="n"/>
      <c r="D2693" s="126" t="n"/>
      <c r="E2693" s="126" t="n"/>
      <c r="F2693" s="127" t="n"/>
      <c r="G2693" s="127" t="inlineStr"/>
      <c r="H2693" s="127" t="inlineStr"/>
      <c r="I2693" s="127" t="n"/>
      <c r="J2693" s="127" t="n"/>
      <c r="K2693" s="127" t="inlineStr"/>
      <c r="L2693" s="127" t="n"/>
      <c r="M2693" s="127" t="n"/>
      <c r="N2693" s="127" t="n"/>
      <c r="O2693" s="127" t="n"/>
      <c r="P2693" s="127" t="n"/>
      <c r="Q2693" s="127" t="n"/>
      <c r="R2693" s="127" t="n"/>
      <c r="S2693" s="127" t="n"/>
      <c r="T2693" s="127" t="n"/>
      <c r="U2693" s="127" t="n"/>
      <c r="V2693" s="127" t="n"/>
      <c r="W2693" s="127" t="n"/>
      <c r="X2693" s="127" t="n"/>
      <c r="Y2693" s="127" t="n"/>
      <c r="Z2693" s="127" t="n"/>
    </row>
    <row r="2694">
      <c r="A2694" s="217" t="n"/>
      <c r="B2694" s="126" t="n"/>
      <c r="C2694" s="126" t="n"/>
      <c r="D2694" s="126" t="n"/>
      <c r="E2694" s="126" t="n"/>
      <c r="F2694" s="127" t="n"/>
      <c r="G2694" s="127" t="inlineStr"/>
      <c r="H2694" s="127" t="inlineStr"/>
      <c r="I2694" s="127" t="n"/>
      <c r="J2694" s="127" t="n"/>
      <c r="K2694" s="127" t="inlineStr"/>
      <c r="L2694" s="127" t="n"/>
      <c r="M2694" s="127" t="n"/>
      <c r="N2694" s="127" t="n"/>
      <c r="O2694" s="127" t="n"/>
      <c r="P2694" s="127" t="n"/>
      <c r="Q2694" s="127" t="n"/>
      <c r="R2694" s="127" t="n"/>
      <c r="S2694" s="127" t="n"/>
      <c r="T2694" s="127" t="n"/>
      <c r="U2694" s="127" t="n"/>
      <c r="V2694" s="127" t="n"/>
      <c r="W2694" s="127" t="n"/>
      <c r="X2694" s="127" t="n"/>
      <c r="Y2694" s="127" t="n"/>
      <c r="Z2694" s="127" t="n"/>
    </row>
    <row r="2695">
      <c r="A2695" s="217" t="n"/>
      <c r="B2695" s="126" t="n"/>
      <c r="C2695" s="126" t="n"/>
      <c r="D2695" s="126" t="n"/>
      <c r="E2695" s="126" t="n"/>
      <c r="F2695" s="127" t="n"/>
      <c r="G2695" s="127" t="inlineStr"/>
      <c r="H2695" s="127" t="inlineStr"/>
      <c r="I2695" s="127" t="n"/>
      <c r="J2695" s="127" t="n"/>
      <c r="K2695" s="127" t="inlineStr"/>
      <c r="L2695" s="127" t="n"/>
      <c r="M2695" s="127" t="n"/>
      <c r="N2695" s="127" t="n"/>
      <c r="O2695" s="127" t="n"/>
      <c r="P2695" s="127" t="n"/>
      <c r="Q2695" s="127" t="n"/>
      <c r="R2695" s="127" t="n"/>
      <c r="S2695" s="127" t="n"/>
      <c r="T2695" s="127" t="n"/>
      <c r="U2695" s="127" t="n"/>
      <c r="V2695" s="127" t="n"/>
      <c r="W2695" s="127" t="n"/>
      <c r="X2695" s="127" t="n"/>
      <c r="Y2695" s="127" t="n"/>
      <c r="Z2695" s="127" t="n"/>
    </row>
    <row r="2696">
      <c r="A2696" s="217" t="n"/>
      <c r="B2696" s="126" t="n"/>
      <c r="C2696" s="126" t="n"/>
      <c r="D2696" s="126" t="n"/>
      <c r="E2696" s="126" t="n"/>
      <c r="F2696" s="127" t="n"/>
      <c r="G2696" s="127" t="inlineStr"/>
      <c r="H2696" s="127" t="inlineStr"/>
      <c r="I2696" s="127" t="n"/>
      <c r="J2696" s="127" t="n"/>
      <c r="K2696" s="127" t="inlineStr"/>
      <c r="L2696" s="127" t="n"/>
      <c r="M2696" s="127" t="n"/>
      <c r="N2696" s="127" t="n"/>
      <c r="O2696" s="127" t="n"/>
      <c r="P2696" s="127" t="n"/>
      <c r="Q2696" s="127" t="n"/>
      <c r="R2696" s="127" t="n"/>
      <c r="S2696" s="127" t="n"/>
      <c r="T2696" s="127" t="n"/>
      <c r="U2696" s="127" t="n"/>
      <c r="V2696" s="127" t="n"/>
      <c r="W2696" s="127" t="n"/>
      <c r="X2696" s="127" t="n"/>
      <c r="Y2696" s="127" t="n"/>
      <c r="Z2696" s="127" t="n"/>
    </row>
    <row r="2697">
      <c r="A2697" s="217" t="n"/>
      <c r="B2697" s="126" t="n"/>
      <c r="C2697" s="126" t="n"/>
      <c r="D2697" s="126" t="n"/>
      <c r="E2697" s="126" t="n"/>
      <c r="F2697" s="127" t="n"/>
      <c r="G2697" s="127" t="inlineStr"/>
      <c r="H2697" s="127" t="inlineStr"/>
      <c r="I2697" s="127" t="n"/>
      <c r="J2697" s="127" t="n"/>
      <c r="K2697" s="127" t="inlineStr"/>
      <c r="L2697" s="127" t="n"/>
      <c r="M2697" s="127" t="n"/>
      <c r="N2697" s="127" t="n"/>
      <c r="O2697" s="127" t="n"/>
      <c r="P2697" s="127" t="n"/>
      <c r="Q2697" s="127" t="n"/>
      <c r="R2697" s="127" t="n"/>
      <c r="S2697" s="127" t="n"/>
      <c r="T2697" s="127" t="n"/>
      <c r="U2697" s="127" t="n"/>
      <c r="V2697" s="127" t="n"/>
      <c r="W2697" s="127" t="n"/>
      <c r="X2697" s="127" t="n"/>
      <c r="Y2697" s="127" t="n"/>
      <c r="Z2697" s="127" t="n"/>
    </row>
    <row r="2698">
      <c r="A2698" s="217" t="n"/>
      <c r="B2698" s="126" t="n"/>
      <c r="C2698" s="126" t="n"/>
      <c r="D2698" s="126" t="n"/>
      <c r="E2698" s="126" t="n"/>
      <c r="F2698" s="127" t="n"/>
      <c r="G2698" s="127" t="inlineStr"/>
      <c r="H2698" s="127" t="inlineStr"/>
      <c r="I2698" s="127" t="n"/>
      <c r="J2698" s="127" t="n"/>
      <c r="K2698" s="127" t="inlineStr"/>
      <c r="L2698" s="127" t="n"/>
      <c r="M2698" s="127" t="n"/>
      <c r="N2698" s="127" t="n"/>
      <c r="O2698" s="127" t="n"/>
      <c r="P2698" s="127" t="n"/>
      <c r="Q2698" s="127" t="n"/>
      <c r="R2698" s="127" t="n"/>
      <c r="S2698" s="127" t="n"/>
      <c r="T2698" s="127" t="n"/>
      <c r="U2698" s="127" t="n"/>
      <c r="V2698" s="127" t="n"/>
      <c r="W2698" s="127" t="n"/>
      <c r="X2698" s="127" t="n"/>
      <c r="Y2698" s="127" t="n"/>
      <c r="Z2698" s="127" t="n"/>
    </row>
    <row r="2699">
      <c r="A2699" s="217" t="n"/>
      <c r="B2699" s="126" t="n"/>
      <c r="C2699" s="126" t="n"/>
      <c r="D2699" s="126" t="n"/>
      <c r="E2699" s="126" t="n"/>
      <c r="F2699" s="127" t="n"/>
      <c r="G2699" s="127" t="inlineStr"/>
      <c r="H2699" s="127" t="inlineStr"/>
      <c r="I2699" s="127" t="n"/>
      <c r="J2699" s="127" t="n"/>
      <c r="K2699" s="127" t="inlineStr"/>
      <c r="L2699" s="127" t="n"/>
      <c r="M2699" s="127" t="n"/>
      <c r="N2699" s="127" t="n"/>
      <c r="O2699" s="127" t="n"/>
      <c r="P2699" s="127" t="n"/>
      <c r="Q2699" s="127" t="n"/>
      <c r="R2699" s="127" t="n"/>
      <c r="S2699" s="127" t="n"/>
      <c r="T2699" s="127" t="n"/>
      <c r="U2699" s="127" t="n"/>
      <c r="V2699" s="127" t="n"/>
      <c r="W2699" s="127" t="n"/>
      <c r="X2699" s="127" t="n"/>
      <c r="Y2699" s="127" t="n"/>
      <c r="Z2699" s="127" t="n"/>
    </row>
    <row r="2700">
      <c r="A2700" s="217" t="n"/>
      <c r="B2700" s="126" t="n"/>
      <c r="C2700" s="126" t="n"/>
      <c r="D2700" s="126" t="n"/>
      <c r="E2700" s="126" t="n"/>
      <c r="F2700" s="127" t="n"/>
      <c r="G2700" s="127" t="inlineStr"/>
      <c r="H2700" s="127" t="inlineStr"/>
      <c r="I2700" s="127" t="n"/>
      <c r="J2700" s="127" t="n"/>
      <c r="K2700" s="127" t="inlineStr"/>
      <c r="L2700" s="127" t="n"/>
      <c r="M2700" s="127" t="n"/>
      <c r="N2700" s="127" t="n"/>
      <c r="O2700" s="127" t="n"/>
      <c r="P2700" s="127" t="n"/>
      <c r="Q2700" s="127" t="n"/>
      <c r="R2700" s="127" t="n"/>
      <c r="S2700" s="127" t="n"/>
      <c r="T2700" s="127" t="n"/>
      <c r="U2700" s="127" t="n"/>
      <c r="V2700" s="127" t="n"/>
      <c r="W2700" s="127" t="n"/>
      <c r="X2700" s="127" t="n"/>
      <c r="Y2700" s="127" t="n"/>
      <c r="Z2700" s="127" t="n"/>
    </row>
    <row r="2701">
      <c r="A2701" s="217" t="n"/>
      <c r="B2701" s="126" t="n"/>
      <c r="C2701" s="126" t="n"/>
      <c r="D2701" s="126" t="n"/>
      <c r="E2701" s="126" t="n"/>
      <c r="F2701" s="127" t="n"/>
      <c r="G2701" s="127" t="inlineStr"/>
      <c r="H2701" s="127" t="inlineStr"/>
      <c r="I2701" s="127" t="n"/>
      <c r="J2701" s="127" t="n"/>
      <c r="K2701" s="127" t="inlineStr"/>
      <c r="L2701" s="127" t="n"/>
      <c r="M2701" s="127" t="n"/>
      <c r="N2701" s="127" t="n"/>
      <c r="O2701" s="127" t="n"/>
      <c r="P2701" s="127" t="n"/>
      <c r="Q2701" s="127" t="n"/>
      <c r="R2701" s="127" t="n"/>
      <c r="S2701" s="127" t="n"/>
      <c r="T2701" s="127" t="n"/>
      <c r="U2701" s="127" t="n"/>
      <c r="V2701" s="127" t="n"/>
      <c r="W2701" s="127" t="n"/>
      <c r="X2701" s="127" t="n"/>
      <c r="Y2701" s="127" t="n"/>
      <c r="Z2701" s="127" t="n"/>
    </row>
    <row r="2702">
      <c r="A2702" s="217" t="n"/>
      <c r="B2702" s="126" t="n"/>
      <c r="C2702" s="126" t="n"/>
      <c r="D2702" s="126" t="n"/>
      <c r="E2702" s="126" t="n"/>
      <c r="F2702" s="127" t="n"/>
      <c r="G2702" s="127" t="inlineStr"/>
      <c r="H2702" s="127" t="inlineStr"/>
      <c r="I2702" s="127" t="n"/>
      <c r="J2702" s="127" t="n"/>
      <c r="K2702" s="127" t="inlineStr"/>
      <c r="L2702" s="127" t="n"/>
      <c r="M2702" s="127" t="n"/>
      <c r="N2702" s="127" t="n"/>
      <c r="O2702" s="127" t="n"/>
      <c r="P2702" s="127" t="n"/>
      <c r="Q2702" s="127" t="n"/>
      <c r="R2702" s="127" t="n"/>
      <c r="S2702" s="127" t="n"/>
      <c r="T2702" s="127" t="n"/>
      <c r="U2702" s="127" t="n"/>
      <c r="V2702" s="127" t="n"/>
      <c r="W2702" s="127" t="n"/>
      <c r="X2702" s="127" t="n"/>
      <c r="Y2702" s="127" t="n"/>
      <c r="Z2702" s="127" t="n"/>
    </row>
    <row r="2703">
      <c r="A2703" s="217" t="n"/>
      <c r="B2703" s="126" t="n"/>
      <c r="C2703" s="126" t="n"/>
      <c r="D2703" s="126" t="n"/>
      <c r="E2703" s="126" t="n"/>
      <c r="F2703" s="127" t="n"/>
      <c r="G2703" s="127" t="inlineStr"/>
      <c r="H2703" s="127" t="inlineStr"/>
      <c r="I2703" s="127" t="n"/>
      <c r="J2703" s="127" t="n"/>
      <c r="K2703" s="127" t="inlineStr"/>
      <c r="L2703" s="127" t="n"/>
      <c r="M2703" s="127" t="n"/>
      <c r="N2703" s="127" t="n"/>
      <c r="O2703" s="127" t="n"/>
      <c r="P2703" s="127" t="n"/>
      <c r="Q2703" s="127" t="n"/>
      <c r="R2703" s="127" t="n"/>
      <c r="S2703" s="127" t="n"/>
      <c r="T2703" s="127" t="n"/>
      <c r="U2703" s="127" t="n"/>
      <c r="V2703" s="127" t="n"/>
      <c r="W2703" s="127" t="n"/>
      <c r="X2703" s="127" t="n"/>
      <c r="Y2703" s="127" t="n"/>
      <c r="Z2703" s="127" t="n"/>
    </row>
    <row r="2704">
      <c r="A2704" s="217" t="n"/>
      <c r="B2704" s="126" t="n"/>
      <c r="C2704" s="126" t="n"/>
      <c r="D2704" s="126" t="n"/>
      <c r="E2704" s="126" t="n"/>
      <c r="F2704" s="127" t="n"/>
      <c r="G2704" s="127" t="inlineStr"/>
      <c r="H2704" s="127" t="inlineStr"/>
      <c r="I2704" s="127" t="n"/>
      <c r="J2704" s="127" t="n"/>
      <c r="K2704" s="127" t="inlineStr"/>
      <c r="L2704" s="127" t="n"/>
      <c r="M2704" s="127" t="n"/>
      <c r="N2704" s="127" t="n"/>
      <c r="O2704" s="127" t="n"/>
      <c r="P2704" s="127" t="n"/>
      <c r="Q2704" s="127" t="n"/>
      <c r="R2704" s="127" t="n"/>
      <c r="S2704" s="127" t="n"/>
      <c r="T2704" s="127" t="n"/>
      <c r="U2704" s="127" t="n"/>
      <c r="V2704" s="127" t="n"/>
      <c r="W2704" s="127" t="n"/>
      <c r="X2704" s="127" t="n"/>
      <c r="Y2704" s="127" t="n"/>
      <c r="Z2704" s="127" t="n"/>
    </row>
    <row r="2705">
      <c r="A2705" s="217" t="n"/>
      <c r="B2705" s="126" t="n"/>
      <c r="C2705" s="126" t="n"/>
      <c r="D2705" s="126" t="n"/>
      <c r="E2705" s="126" t="n"/>
      <c r="F2705" s="127" t="n"/>
      <c r="G2705" s="127" t="inlineStr"/>
      <c r="H2705" s="127" t="inlineStr"/>
      <c r="I2705" s="127" t="n"/>
      <c r="J2705" s="127" t="n"/>
      <c r="K2705" s="127" t="inlineStr"/>
      <c r="L2705" s="127" t="n"/>
      <c r="M2705" s="127" t="n"/>
      <c r="N2705" s="127" t="n"/>
      <c r="O2705" s="127" t="n"/>
      <c r="P2705" s="127" t="n"/>
      <c r="Q2705" s="127" t="n"/>
      <c r="R2705" s="127" t="n"/>
      <c r="S2705" s="127" t="n"/>
      <c r="T2705" s="127" t="n"/>
      <c r="U2705" s="127" t="n"/>
      <c r="V2705" s="127" t="n"/>
      <c r="W2705" s="127" t="n"/>
      <c r="X2705" s="127" t="n"/>
      <c r="Y2705" s="127" t="n"/>
      <c r="Z2705" s="127" t="n"/>
    </row>
    <row r="2706">
      <c r="A2706" s="217" t="n"/>
      <c r="B2706" s="126" t="n"/>
      <c r="C2706" s="126" t="n"/>
      <c r="D2706" s="126" t="n"/>
      <c r="E2706" s="126" t="n"/>
      <c r="F2706" s="127" t="n"/>
      <c r="G2706" s="127" t="inlineStr"/>
      <c r="H2706" s="127" t="inlineStr"/>
      <c r="I2706" s="127" t="n"/>
      <c r="J2706" s="127" t="n"/>
      <c r="K2706" s="127" t="inlineStr"/>
      <c r="L2706" s="127" t="n"/>
      <c r="M2706" s="127" t="n"/>
      <c r="N2706" s="127" t="n"/>
      <c r="O2706" s="127" t="n"/>
      <c r="P2706" s="127" t="n"/>
      <c r="Q2706" s="127" t="n"/>
      <c r="R2706" s="127" t="n"/>
      <c r="S2706" s="127" t="n"/>
      <c r="T2706" s="127" t="n"/>
      <c r="U2706" s="127" t="n"/>
      <c r="V2706" s="127" t="n"/>
      <c r="W2706" s="127" t="n"/>
      <c r="X2706" s="127" t="n"/>
      <c r="Y2706" s="127" t="n"/>
      <c r="Z2706" s="127" t="n"/>
    </row>
    <row r="2707">
      <c r="A2707" s="217" t="n"/>
      <c r="B2707" s="126" t="n"/>
      <c r="C2707" s="126" t="n"/>
      <c r="D2707" s="126" t="n"/>
      <c r="E2707" s="126" t="n"/>
      <c r="F2707" s="127" t="n"/>
      <c r="G2707" s="127" t="inlineStr"/>
      <c r="H2707" s="127" t="inlineStr"/>
      <c r="I2707" s="127" t="n"/>
      <c r="J2707" s="127" t="n"/>
      <c r="K2707" s="127" t="inlineStr"/>
      <c r="L2707" s="127" t="n"/>
      <c r="M2707" s="127" t="n"/>
      <c r="N2707" s="127" t="n"/>
      <c r="O2707" s="127" t="n"/>
      <c r="P2707" s="127" t="n"/>
      <c r="Q2707" s="127" t="n"/>
      <c r="R2707" s="127" t="n"/>
      <c r="S2707" s="127" t="n"/>
      <c r="T2707" s="127" t="n"/>
      <c r="U2707" s="127" t="n"/>
      <c r="V2707" s="127" t="n"/>
      <c r="W2707" s="127" t="n"/>
      <c r="X2707" s="127" t="n"/>
      <c r="Y2707" s="127" t="n"/>
      <c r="Z2707" s="127" t="n"/>
    </row>
    <row r="2708">
      <c r="A2708" s="217" t="n"/>
      <c r="B2708" s="126" t="n"/>
      <c r="C2708" s="126" t="n"/>
      <c r="D2708" s="126" t="n"/>
      <c r="E2708" s="126" t="n"/>
      <c r="F2708" s="127" t="n"/>
      <c r="G2708" s="127" t="inlineStr"/>
      <c r="H2708" s="127" t="inlineStr"/>
      <c r="I2708" s="127" t="n"/>
      <c r="J2708" s="127" t="n"/>
      <c r="K2708" s="127" t="inlineStr"/>
      <c r="L2708" s="127" t="n"/>
      <c r="M2708" s="127" t="n"/>
      <c r="N2708" s="127" t="n"/>
      <c r="O2708" s="127" t="n"/>
      <c r="P2708" s="127" t="n"/>
      <c r="Q2708" s="127" t="n"/>
      <c r="R2708" s="127" t="n"/>
      <c r="S2708" s="127" t="n"/>
      <c r="T2708" s="127" t="n"/>
      <c r="U2708" s="127" t="n"/>
      <c r="V2708" s="127" t="n"/>
      <c r="W2708" s="127" t="n"/>
      <c r="X2708" s="127" t="n"/>
      <c r="Y2708" s="127" t="n"/>
      <c r="Z2708" s="127" t="n"/>
    </row>
    <row r="2709">
      <c r="A2709" s="217" t="n"/>
      <c r="B2709" s="126" t="n"/>
      <c r="C2709" s="126" t="n"/>
      <c r="D2709" s="126" t="n"/>
      <c r="E2709" s="126" t="n"/>
      <c r="F2709" s="127" t="n"/>
      <c r="G2709" s="127" t="inlineStr"/>
      <c r="H2709" s="127" t="inlineStr"/>
      <c r="I2709" s="127" t="n"/>
      <c r="J2709" s="127" t="n"/>
      <c r="K2709" s="127" t="inlineStr"/>
      <c r="L2709" s="127" t="n"/>
      <c r="M2709" s="127" t="n"/>
      <c r="N2709" s="127" t="n"/>
      <c r="O2709" s="127" t="n"/>
      <c r="P2709" s="127" t="n"/>
      <c r="Q2709" s="127" t="n"/>
      <c r="R2709" s="127" t="n"/>
      <c r="S2709" s="127" t="n"/>
      <c r="T2709" s="127" t="n"/>
      <c r="U2709" s="127" t="n"/>
      <c r="V2709" s="127" t="n"/>
      <c r="W2709" s="127" t="n"/>
      <c r="X2709" s="127" t="n"/>
      <c r="Y2709" s="127" t="n"/>
      <c r="Z2709" s="127" t="n"/>
    </row>
    <row r="2710">
      <c r="A2710" s="217" t="n"/>
      <c r="B2710" s="126" t="n"/>
      <c r="C2710" s="126" t="n"/>
      <c r="D2710" s="126" t="n"/>
      <c r="E2710" s="126" t="n"/>
      <c r="F2710" s="127" t="n"/>
      <c r="G2710" s="127" t="inlineStr"/>
      <c r="H2710" s="127" t="inlineStr"/>
      <c r="I2710" s="127" t="n"/>
      <c r="J2710" s="127" t="n"/>
      <c r="K2710" s="127" t="inlineStr"/>
      <c r="L2710" s="127" t="n"/>
      <c r="M2710" s="127" t="n"/>
      <c r="N2710" s="127" t="n"/>
      <c r="O2710" s="127" t="n"/>
      <c r="P2710" s="127" t="n"/>
      <c r="Q2710" s="127" t="n"/>
      <c r="R2710" s="127" t="n"/>
      <c r="S2710" s="127" t="n"/>
      <c r="T2710" s="127" t="n"/>
      <c r="U2710" s="127" t="n"/>
      <c r="V2710" s="127" t="n"/>
      <c r="W2710" s="127" t="n"/>
      <c r="X2710" s="127" t="n"/>
      <c r="Y2710" s="127" t="n"/>
      <c r="Z2710" s="127" t="n"/>
    </row>
    <row r="2711">
      <c r="A2711" s="217" t="n"/>
      <c r="B2711" s="126" t="n"/>
      <c r="C2711" s="126" t="n"/>
      <c r="D2711" s="126" t="n"/>
      <c r="E2711" s="126" t="n"/>
      <c r="F2711" s="127" t="n"/>
      <c r="G2711" s="127" t="inlineStr"/>
      <c r="H2711" s="127" t="inlineStr"/>
      <c r="I2711" s="127" t="n"/>
      <c r="J2711" s="127" t="n"/>
      <c r="K2711" s="127" t="inlineStr"/>
      <c r="L2711" s="127" t="n"/>
      <c r="M2711" s="127" t="n"/>
      <c r="N2711" s="127" t="n"/>
      <c r="O2711" s="127" t="n"/>
      <c r="P2711" s="127" t="n"/>
      <c r="Q2711" s="127" t="n"/>
      <c r="R2711" s="127" t="n"/>
      <c r="S2711" s="127" t="n"/>
      <c r="T2711" s="127" t="n"/>
      <c r="U2711" s="127" t="n"/>
      <c r="V2711" s="127" t="n"/>
      <c r="W2711" s="127" t="n"/>
      <c r="X2711" s="127" t="n"/>
      <c r="Y2711" s="127" t="n"/>
      <c r="Z2711" s="127" t="n"/>
    </row>
    <row r="2712">
      <c r="A2712" s="217" t="n"/>
      <c r="B2712" s="126" t="n"/>
      <c r="C2712" s="126" t="n"/>
      <c r="D2712" s="126" t="n"/>
      <c r="E2712" s="126" t="n"/>
      <c r="F2712" s="127" t="n"/>
      <c r="G2712" s="127" t="inlineStr"/>
      <c r="H2712" s="127" t="inlineStr"/>
      <c r="I2712" s="127" t="n"/>
      <c r="J2712" s="127" t="n"/>
      <c r="K2712" s="127" t="inlineStr"/>
      <c r="L2712" s="127" t="n"/>
      <c r="M2712" s="127" t="n"/>
      <c r="N2712" s="127" t="n"/>
      <c r="O2712" s="127" t="n"/>
      <c r="P2712" s="127" t="n"/>
      <c r="Q2712" s="127" t="n"/>
      <c r="R2712" s="127" t="n"/>
      <c r="S2712" s="127" t="n"/>
      <c r="T2712" s="127" t="n"/>
      <c r="U2712" s="127" t="n"/>
      <c r="V2712" s="127" t="n"/>
      <c r="W2712" s="127" t="n"/>
      <c r="X2712" s="127" t="n"/>
      <c r="Y2712" s="127" t="n"/>
      <c r="Z2712" s="127" t="n"/>
    </row>
    <row r="2713">
      <c r="A2713" s="217" t="n"/>
      <c r="B2713" s="126" t="n"/>
      <c r="C2713" s="126" t="n"/>
      <c r="D2713" s="126" t="n"/>
      <c r="E2713" s="126" t="n"/>
      <c r="F2713" s="127" t="n"/>
      <c r="G2713" s="127" t="inlineStr"/>
      <c r="H2713" s="127" t="inlineStr"/>
      <c r="I2713" s="127" t="n"/>
      <c r="J2713" s="127" t="n"/>
      <c r="K2713" s="127" t="inlineStr"/>
      <c r="L2713" s="127" t="n"/>
      <c r="M2713" s="127" t="n"/>
      <c r="N2713" s="127" t="n"/>
      <c r="O2713" s="127" t="n"/>
      <c r="P2713" s="127" t="n"/>
      <c r="Q2713" s="127" t="n"/>
      <c r="R2713" s="127" t="n"/>
      <c r="S2713" s="127" t="n"/>
      <c r="T2713" s="127" t="n"/>
      <c r="U2713" s="127" t="n"/>
      <c r="V2713" s="127" t="n"/>
      <c r="W2713" s="127" t="n"/>
      <c r="X2713" s="127" t="n"/>
      <c r="Y2713" s="127" t="n"/>
      <c r="Z2713" s="127" t="n"/>
    </row>
    <row r="2714">
      <c r="A2714" s="217" t="n"/>
      <c r="B2714" s="126" t="n"/>
      <c r="C2714" s="126" t="n"/>
      <c r="D2714" s="126" t="n"/>
      <c r="E2714" s="126" t="n"/>
      <c r="F2714" s="127" t="n"/>
      <c r="G2714" s="127" t="inlineStr"/>
      <c r="H2714" s="127" t="inlineStr"/>
      <c r="I2714" s="127" t="n"/>
      <c r="J2714" s="127" t="n"/>
      <c r="K2714" s="127" t="inlineStr"/>
      <c r="L2714" s="127" t="n"/>
      <c r="M2714" s="127" t="n"/>
      <c r="N2714" s="127" t="n"/>
      <c r="O2714" s="127" t="n"/>
      <c r="P2714" s="127" t="n"/>
      <c r="Q2714" s="127" t="n"/>
      <c r="R2714" s="127" t="n"/>
      <c r="S2714" s="127" t="n"/>
      <c r="T2714" s="127" t="n"/>
      <c r="U2714" s="127" t="n"/>
      <c r="V2714" s="127" t="n"/>
      <c r="W2714" s="127" t="n"/>
      <c r="X2714" s="127" t="n"/>
      <c r="Y2714" s="127" t="n"/>
      <c r="Z2714" s="127" t="n"/>
    </row>
    <row r="2715">
      <c r="A2715" s="217" t="n"/>
      <c r="B2715" s="126" t="n"/>
      <c r="C2715" s="126" t="n"/>
      <c r="D2715" s="126" t="n"/>
      <c r="E2715" s="126" t="n"/>
      <c r="F2715" s="127" t="n"/>
      <c r="G2715" s="127" t="inlineStr"/>
      <c r="H2715" s="127" t="inlineStr"/>
      <c r="I2715" s="127" t="n"/>
      <c r="J2715" s="127" t="n"/>
      <c r="K2715" s="127" t="inlineStr"/>
      <c r="L2715" s="127" t="n"/>
      <c r="M2715" s="127" t="n"/>
      <c r="N2715" s="127" t="n"/>
      <c r="O2715" s="127" t="n"/>
      <c r="P2715" s="127" t="n"/>
      <c r="Q2715" s="127" t="n"/>
      <c r="R2715" s="127" t="n"/>
      <c r="S2715" s="127" t="n"/>
      <c r="T2715" s="127" t="n"/>
      <c r="U2715" s="127" t="n"/>
      <c r="V2715" s="127" t="n"/>
      <c r="W2715" s="127" t="n"/>
      <c r="X2715" s="127" t="n"/>
      <c r="Y2715" s="127" t="n"/>
      <c r="Z2715" s="127" t="n"/>
    </row>
    <row r="2716">
      <c r="A2716" s="217" t="n"/>
      <c r="B2716" s="126" t="n"/>
      <c r="C2716" s="126" t="n"/>
      <c r="D2716" s="126" t="n"/>
      <c r="E2716" s="126" t="n"/>
      <c r="F2716" s="127" t="n"/>
      <c r="G2716" s="127" t="inlineStr"/>
      <c r="H2716" s="127" t="inlineStr"/>
      <c r="I2716" s="127" t="n"/>
      <c r="J2716" s="127" t="n"/>
      <c r="K2716" s="127" t="inlineStr"/>
      <c r="L2716" s="127" t="n"/>
      <c r="M2716" s="127" t="n"/>
      <c r="N2716" s="127" t="n"/>
      <c r="O2716" s="127" t="n"/>
      <c r="P2716" s="127" t="n"/>
      <c r="Q2716" s="127" t="n"/>
      <c r="R2716" s="127" t="n"/>
      <c r="S2716" s="127" t="n"/>
      <c r="T2716" s="127" t="n"/>
      <c r="U2716" s="127" t="n"/>
      <c r="V2716" s="127" t="n"/>
      <c r="W2716" s="127" t="n"/>
      <c r="X2716" s="127" t="n"/>
      <c r="Y2716" s="127" t="n"/>
      <c r="Z2716" s="127" t="n"/>
    </row>
    <row r="2717">
      <c r="A2717" s="217" t="n"/>
      <c r="B2717" s="126" t="n"/>
      <c r="C2717" s="126" t="n"/>
      <c r="D2717" s="126" t="n"/>
      <c r="E2717" s="126" t="n"/>
      <c r="F2717" s="127" t="n"/>
      <c r="G2717" s="127" t="inlineStr"/>
      <c r="H2717" s="127" t="inlineStr"/>
      <c r="I2717" s="127" t="n"/>
      <c r="J2717" s="127" t="n"/>
      <c r="K2717" s="127" t="inlineStr"/>
      <c r="L2717" s="127" t="n"/>
      <c r="M2717" s="127" t="n"/>
      <c r="N2717" s="127" t="n"/>
      <c r="O2717" s="127" t="n"/>
      <c r="P2717" s="127" t="n"/>
      <c r="Q2717" s="127" t="n"/>
      <c r="R2717" s="127" t="n"/>
      <c r="S2717" s="127" t="n"/>
      <c r="T2717" s="127" t="n"/>
      <c r="U2717" s="127" t="n"/>
      <c r="V2717" s="127" t="n"/>
      <c r="W2717" s="127" t="n"/>
      <c r="X2717" s="127" t="n"/>
      <c r="Y2717" s="127" t="n"/>
      <c r="Z2717" s="127" t="n"/>
    </row>
    <row r="2718">
      <c r="A2718" s="217" t="n"/>
      <c r="B2718" s="126" t="n"/>
      <c r="C2718" s="126" t="n"/>
      <c r="D2718" s="126" t="n"/>
      <c r="E2718" s="126" t="n"/>
      <c r="F2718" s="127" t="n"/>
      <c r="G2718" s="127" t="inlineStr"/>
      <c r="H2718" s="127" t="inlineStr"/>
      <c r="I2718" s="127" t="n"/>
      <c r="J2718" s="127" t="n"/>
      <c r="K2718" s="127" t="inlineStr"/>
      <c r="L2718" s="127" t="n"/>
      <c r="M2718" s="127" t="n"/>
      <c r="N2718" s="127" t="n"/>
      <c r="O2718" s="127" t="n"/>
      <c r="P2718" s="127" t="n"/>
      <c r="Q2718" s="127" t="n"/>
      <c r="R2718" s="127" t="n"/>
      <c r="S2718" s="127" t="n"/>
      <c r="T2718" s="127" t="n"/>
      <c r="U2718" s="127" t="n"/>
      <c r="V2718" s="127" t="n"/>
      <c r="W2718" s="127" t="n"/>
      <c r="X2718" s="127" t="n"/>
      <c r="Y2718" s="127" t="n"/>
      <c r="Z2718" s="127" t="n"/>
    </row>
    <row r="2719">
      <c r="A2719" s="217" t="n"/>
      <c r="B2719" s="126" t="n"/>
      <c r="C2719" s="126" t="n"/>
      <c r="D2719" s="126" t="n"/>
      <c r="E2719" s="126" t="n"/>
      <c r="F2719" s="127" t="n"/>
      <c r="G2719" s="127" t="inlineStr"/>
      <c r="H2719" s="127" t="inlineStr"/>
      <c r="I2719" s="127" t="n"/>
      <c r="J2719" s="127" t="n"/>
      <c r="K2719" s="127" t="inlineStr"/>
      <c r="L2719" s="127" t="n"/>
      <c r="M2719" s="127" t="n"/>
      <c r="N2719" s="127" t="n"/>
      <c r="O2719" s="127" t="n"/>
      <c r="P2719" s="127" t="n"/>
      <c r="Q2719" s="127" t="n"/>
      <c r="R2719" s="127" t="n"/>
      <c r="S2719" s="127" t="n"/>
      <c r="T2719" s="127" t="n"/>
      <c r="U2719" s="127" t="n"/>
      <c r="V2719" s="127" t="n"/>
      <c r="W2719" s="127" t="n"/>
      <c r="X2719" s="127" t="n"/>
      <c r="Y2719" s="127" t="n"/>
      <c r="Z2719" s="127" t="n"/>
    </row>
    <row r="2720">
      <c r="A2720" s="217" t="n"/>
      <c r="B2720" s="126" t="n"/>
      <c r="C2720" s="126" t="n"/>
      <c r="D2720" s="126" t="n"/>
      <c r="E2720" s="126" t="n"/>
      <c r="F2720" s="127" t="n"/>
      <c r="G2720" s="127" t="inlineStr"/>
      <c r="H2720" s="127" t="inlineStr"/>
      <c r="I2720" s="127" t="n"/>
      <c r="J2720" s="127" t="n"/>
      <c r="K2720" s="127" t="inlineStr"/>
      <c r="L2720" s="127" t="n"/>
      <c r="M2720" s="127" t="n"/>
      <c r="N2720" s="127" t="n"/>
      <c r="O2720" s="127" t="n"/>
      <c r="P2720" s="127" t="n"/>
      <c r="Q2720" s="127" t="n"/>
      <c r="R2720" s="127" t="n"/>
      <c r="S2720" s="127" t="n"/>
      <c r="T2720" s="127" t="n"/>
      <c r="U2720" s="127" t="n"/>
      <c r="V2720" s="127" t="n"/>
      <c r="W2720" s="127" t="n"/>
      <c r="X2720" s="127" t="n"/>
      <c r="Y2720" s="127" t="n"/>
      <c r="Z2720" s="127" t="n"/>
    </row>
    <row r="2721">
      <c r="A2721" s="217" t="n"/>
      <c r="B2721" s="126" t="n"/>
      <c r="C2721" s="126" t="n"/>
      <c r="D2721" s="126" t="n"/>
      <c r="E2721" s="126" t="n"/>
      <c r="F2721" s="127" t="n"/>
      <c r="G2721" s="127" t="inlineStr"/>
      <c r="H2721" s="127" t="inlineStr"/>
      <c r="I2721" s="127" t="n"/>
      <c r="J2721" s="127" t="n"/>
      <c r="K2721" s="127" t="inlineStr"/>
      <c r="L2721" s="127" t="n"/>
      <c r="M2721" s="127" t="n"/>
      <c r="N2721" s="127" t="n"/>
      <c r="O2721" s="127" t="n"/>
      <c r="P2721" s="127" t="n"/>
      <c r="Q2721" s="127" t="n"/>
      <c r="R2721" s="127" t="n"/>
      <c r="S2721" s="127" t="n"/>
      <c r="T2721" s="127" t="n"/>
      <c r="U2721" s="127" t="n"/>
      <c r="V2721" s="127" t="n"/>
      <c r="W2721" s="127" t="n"/>
      <c r="X2721" s="127" t="n"/>
      <c r="Y2721" s="127" t="n"/>
      <c r="Z2721" s="127" t="n"/>
    </row>
    <row r="2722">
      <c r="A2722" s="217" t="n"/>
      <c r="B2722" s="126" t="n"/>
      <c r="C2722" s="126" t="n"/>
      <c r="D2722" s="126" t="n"/>
      <c r="E2722" s="126" t="n"/>
      <c r="F2722" s="127" t="n"/>
      <c r="G2722" s="127" t="inlineStr"/>
      <c r="H2722" s="127" t="inlineStr"/>
      <c r="I2722" s="127" t="n"/>
      <c r="J2722" s="127" t="n"/>
      <c r="K2722" s="127" t="inlineStr"/>
      <c r="L2722" s="127" t="n"/>
      <c r="M2722" s="127" t="n"/>
      <c r="N2722" s="127" t="n"/>
      <c r="O2722" s="127" t="n"/>
      <c r="P2722" s="127" t="n"/>
      <c r="Q2722" s="127" t="n"/>
      <c r="R2722" s="127" t="n"/>
      <c r="S2722" s="127" t="n"/>
      <c r="T2722" s="127" t="n"/>
      <c r="U2722" s="127" t="n"/>
      <c r="V2722" s="127" t="n"/>
      <c r="W2722" s="127" t="n"/>
      <c r="X2722" s="127" t="n"/>
      <c r="Y2722" s="127" t="n"/>
      <c r="Z2722" s="127" t="n"/>
    </row>
    <row r="2723">
      <c r="A2723" s="217" t="n"/>
      <c r="B2723" s="126" t="n"/>
      <c r="C2723" s="126" t="n"/>
      <c r="D2723" s="126" t="n"/>
      <c r="E2723" s="126" t="n"/>
      <c r="F2723" s="127" t="n"/>
      <c r="G2723" s="127" t="inlineStr"/>
      <c r="H2723" s="127" t="inlineStr"/>
      <c r="I2723" s="127" t="n"/>
      <c r="J2723" s="127" t="n"/>
      <c r="K2723" s="127" t="inlineStr"/>
      <c r="L2723" s="127" t="n"/>
      <c r="M2723" s="127" t="n"/>
      <c r="N2723" s="127" t="n"/>
      <c r="O2723" s="127" t="n"/>
      <c r="P2723" s="127" t="n"/>
      <c r="Q2723" s="127" t="n"/>
      <c r="R2723" s="127" t="n"/>
      <c r="S2723" s="127" t="n"/>
      <c r="T2723" s="127" t="n"/>
      <c r="U2723" s="127" t="n"/>
      <c r="V2723" s="127" t="n"/>
      <c r="W2723" s="127" t="n"/>
      <c r="X2723" s="127" t="n"/>
      <c r="Y2723" s="127" t="n"/>
      <c r="Z2723" s="127" t="n"/>
    </row>
    <row r="2724">
      <c r="A2724" s="217" t="n"/>
      <c r="B2724" s="126" t="n"/>
      <c r="C2724" s="126" t="n"/>
      <c r="D2724" s="126" t="n"/>
      <c r="E2724" s="126" t="n"/>
      <c r="F2724" s="127" t="n"/>
      <c r="G2724" s="127" t="inlineStr"/>
      <c r="H2724" s="127" t="inlineStr"/>
      <c r="I2724" s="127" t="n"/>
      <c r="J2724" s="127" t="n"/>
      <c r="K2724" s="127" t="inlineStr"/>
      <c r="L2724" s="127" t="n"/>
      <c r="M2724" s="127" t="n"/>
      <c r="N2724" s="127" t="n"/>
      <c r="O2724" s="127" t="n"/>
      <c r="P2724" s="127" t="n"/>
      <c r="Q2724" s="127" t="n"/>
      <c r="R2724" s="127" t="n"/>
      <c r="S2724" s="127" t="n"/>
      <c r="T2724" s="127" t="n"/>
      <c r="U2724" s="127" t="n"/>
      <c r="V2724" s="127" t="n"/>
      <c r="W2724" s="127" t="n"/>
      <c r="X2724" s="127" t="n"/>
      <c r="Y2724" s="127" t="n"/>
      <c r="Z2724" s="127" t="n"/>
    </row>
    <row r="2725">
      <c r="A2725" s="217" t="n"/>
      <c r="B2725" s="126" t="n"/>
      <c r="C2725" s="126" t="n"/>
      <c r="D2725" s="126" t="n"/>
      <c r="E2725" s="126" t="n"/>
      <c r="F2725" s="127" t="n"/>
      <c r="G2725" s="127" t="inlineStr"/>
      <c r="H2725" s="127" t="inlineStr"/>
      <c r="I2725" s="127" t="n"/>
      <c r="J2725" s="127" t="n"/>
      <c r="K2725" s="127" t="inlineStr"/>
      <c r="L2725" s="127" t="n"/>
      <c r="M2725" s="127" t="n"/>
      <c r="N2725" s="127" t="n"/>
      <c r="O2725" s="127" t="n"/>
      <c r="P2725" s="127" t="n"/>
      <c r="Q2725" s="127" t="n"/>
      <c r="R2725" s="127" t="n"/>
      <c r="S2725" s="127" t="n"/>
      <c r="T2725" s="127" t="n"/>
      <c r="U2725" s="127" t="n"/>
      <c r="V2725" s="127" t="n"/>
      <c r="W2725" s="127" t="n"/>
      <c r="X2725" s="127" t="n"/>
      <c r="Y2725" s="127" t="n"/>
      <c r="Z2725" s="127" t="n"/>
    </row>
    <row r="2726">
      <c r="A2726" s="217" t="n"/>
      <c r="B2726" s="126" t="n"/>
      <c r="C2726" s="126" t="n"/>
      <c r="D2726" s="126" t="n"/>
      <c r="E2726" s="126" t="n"/>
      <c r="F2726" s="127" t="n"/>
      <c r="G2726" s="127" t="inlineStr"/>
      <c r="H2726" s="127" t="inlineStr"/>
      <c r="I2726" s="127" t="n"/>
      <c r="J2726" s="127" t="n"/>
      <c r="K2726" s="127" t="inlineStr"/>
      <c r="L2726" s="127" t="n"/>
      <c r="M2726" s="127" t="n"/>
      <c r="N2726" s="127" t="n"/>
      <c r="O2726" s="127" t="n"/>
      <c r="P2726" s="127" t="n"/>
      <c r="Q2726" s="127" t="n"/>
      <c r="R2726" s="127" t="n"/>
      <c r="S2726" s="127" t="n"/>
      <c r="T2726" s="127" t="n"/>
      <c r="U2726" s="127" t="n"/>
      <c r="V2726" s="127" t="n"/>
      <c r="W2726" s="127" t="n"/>
      <c r="X2726" s="127" t="n"/>
      <c r="Y2726" s="127" t="n"/>
      <c r="Z2726" s="127" t="n"/>
    </row>
    <row r="2727">
      <c r="A2727" s="217" t="n"/>
      <c r="B2727" s="126" t="n"/>
      <c r="C2727" s="126" t="n"/>
      <c r="D2727" s="126" t="n"/>
      <c r="E2727" s="126" t="n"/>
      <c r="F2727" s="127" t="n"/>
      <c r="G2727" s="127" t="inlineStr"/>
      <c r="H2727" s="127" t="inlineStr"/>
      <c r="I2727" s="127" t="n"/>
      <c r="J2727" s="127" t="n"/>
      <c r="K2727" s="127" t="inlineStr"/>
      <c r="L2727" s="127" t="n"/>
      <c r="M2727" s="127" t="n"/>
      <c r="N2727" s="127" t="n"/>
      <c r="O2727" s="127" t="n"/>
      <c r="P2727" s="127" t="n"/>
      <c r="Q2727" s="127" t="n"/>
      <c r="R2727" s="127" t="n"/>
      <c r="S2727" s="127" t="n"/>
      <c r="T2727" s="127" t="n"/>
      <c r="U2727" s="127" t="n"/>
      <c r="V2727" s="127" t="n"/>
      <c r="W2727" s="127" t="n"/>
      <c r="X2727" s="127" t="n"/>
      <c r="Y2727" s="127" t="n"/>
      <c r="Z2727" s="127" t="n"/>
    </row>
    <row r="2728">
      <c r="A2728" s="217" t="n"/>
      <c r="B2728" s="126" t="n"/>
      <c r="C2728" s="126" t="n"/>
      <c r="D2728" s="126" t="n"/>
      <c r="E2728" s="126" t="n"/>
      <c r="F2728" s="127" t="n"/>
      <c r="G2728" s="127" t="inlineStr"/>
      <c r="H2728" s="127" t="inlineStr"/>
      <c r="I2728" s="127" t="n"/>
      <c r="J2728" s="127" t="n"/>
      <c r="K2728" s="127" t="inlineStr"/>
      <c r="L2728" s="127" t="n"/>
      <c r="M2728" s="127" t="n"/>
      <c r="N2728" s="127" t="n"/>
      <c r="O2728" s="127" t="n"/>
      <c r="P2728" s="127" t="n"/>
      <c r="Q2728" s="127" t="n"/>
      <c r="R2728" s="127" t="n"/>
      <c r="S2728" s="127" t="n"/>
      <c r="T2728" s="127" t="n"/>
      <c r="U2728" s="127" t="n"/>
      <c r="V2728" s="127" t="n"/>
      <c r="W2728" s="127" t="n"/>
      <c r="X2728" s="127" t="n"/>
      <c r="Y2728" s="127" t="n"/>
      <c r="Z2728" s="127" t="n"/>
    </row>
    <row r="2729">
      <c r="A2729" s="217" t="n"/>
      <c r="B2729" s="126" t="n"/>
      <c r="C2729" s="126" t="n"/>
      <c r="D2729" s="126" t="n"/>
      <c r="E2729" s="126" t="n"/>
      <c r="F2729" s="127" t="n"/>
      <c r="G2729" s="127" t="inlineStr"/>
      <c r="H2729" s="127" t="inlineStr"/>
      <c r="I2729" s="127" t="n"/>
      <c r="J2729" s="127" t="n"/>
      <c r="K2729" s="127" t="inlineStr"/>
      <c r="L2729" s="127" t="n"/>
      <c r="M2729" s="127" t="n"/>
      <c r="N2729" s="127" t="n"/>
      <c r="O2729" s="127" t="n"/>
      <c r="P2729" s="127" t="n"/>
      <c r="Q2729" s="127" t="n"/>
      <c r="R2729" s="127" t="n"/>
      <c r="S2729" s="127" t="n"/>
      <c r="T2729" s="127" t="n"/>
      <c r="U2729" s="127" t="n"/>
      <c r="V2729" s="127" t="n"/>
      <c r="W2729" s="127" t="n"/>
      <c r="X2729" s="127" t="n"/>
      <c r="Y2729" s="127" t="n"/>
      <c r="Z2729" s="127" t="n"/>
    </row>
    <row r="2730">
      <c r="A2730" s="217" t="n"/>
      <c r="B2730" s="126" t="n"/>
      <c r="C2730" s="126" t="n"/>
      <c r="D2730" s="126" t="n"/>
      <c r="E2730" s="126" t="n"/>
      <c r="F2730" s="127" t="n"/>
      <c r="G2730" s="127" t="inlineStr"/>
      <c r="H2730" s="127" t="inlineStr"/>
      <c r="I2730" s="127" t="n"/>
      <c r="J2730" s="127" t="n"/>
      <c r="K2730" s="127" t="inlineStr"/>
      <c r="L2730" s="127" t="n"/>
      <c r="M2730" s="127" t="n"/>
      <c r="N2730" s="127" t="n"/>
      <c r="O2730" s="127" t="n"/>
      <c r="P2730" s="127" t="n"/>
      <c r="Q2730" s="127" t="n"/>
      <c r="R2730" s="127" t="n"/>
      <c r="S2730" s="127" t="n"/>
      <c r="T2730" s="127" t="n"/>
      <c r="U2730" s="127" t="n"/>
      <c r="V2730" s="127" t="n"/>
      <c r="W2730" s="127" t="n"/>
      <c r="X2730" s="127" t="n"/>
      <c r="Y2730" s="127" t="n"/>
      <c r="Z2730" s="127" t="n"/>
    </row>
    <row r="2731">
      <c r="A2731" s="217" t="n"/>
      <c r="B2731" s="126" t="n"/>
      <c r="C2731" s="126" t="n"/>
      <c r="D2731" s="126" t="n"/>
      <c r="E2731" s="126" t="n"/>
      <c r="F2731" s="127" t="n"/>
      <c r="G2731" s="127" t="inlineStr"/>
      <c r="H2731" s="127" t="inlineStr"/>
      <c r="I2731" s="127" t="n"/>
      <c r="J2731" s="127" t="n"/>
      <c r="K2731" s="127" t="inlineStr"/>
      <c r="L2731" s="127" t="n"/>
      <c r="M2731" s="127" t="n"/>
      <c r="N2731" s="127" t="n"/>
      <c r="O2731" s="127" t="n"/>
      <c r="P2731" s="127" t="n"/>
      <c r="Q2731" s="127" t="n"/>
      <c r="R2731" s="127" t="n"/>
      <c r="S2731" s="127" t="n"/>
      <c r="T2731" s="127" t="n"/>
      <c r="U2731" s="127" t="n"/>
      <c r="V2731" s="127" t="n"/>
      <c r="W2731" s="127" t="n"/>
      <c r="X2731" s="127" t="n"/>
      <c r="Y2731" s="127" t="n"/>
      <c r="Z2731" s="127" t="n"/>
    </row>
    <row r="2732">
      <c r="A2732" s="217" t="n"/>
      <c r="B2732" s="126" t="n"/>
      <c r="C2732" s="126" t="n"/>
      <c r="D2732" s="126" t="n"/>
      <c r="E2732" s="126" t="n"/>
      <c r="F2732" s="127" t="n"/>
      <c r="G2732" s="127" t="inlineStr"/>
      <c r="H2732" s="127" t="inlineStr"/>
      <c r="I2732" s="127" t="n"/>
      <c r="J2732" s="127" t="n"/>
      <c r="K2732" s="127" t="inlineStr"/>
      <c r="L2732" s="127" t="n"/>
      <c r="M2732" s="127" t="n"/>
      <c r="N2732" s="127" t="n"/>
      <c r="O2732" s="127" t="n"/>
      <c r="P2732" s="127" t="n"/>
      <c r="Q2732" s="127" t="n"/>
      <c r="R2732" s="127" t="n"/>
      <c r="S2732" s="127" t="n"/>
      <c r="T2732" s="127" t="n"/>
      <c r="U2732" s="127" t="n"/>
      <c r="V2732" s="127" t="n"/>
      <c r="W2732" s="127" t="n"/>
      <c r="X2732" s="127" t="n"/>
      <c r="Y2732" s="127" t="n"/>
      <c r="Z2732" s="127" t="n"/>
    </row>
    <row r="2733">
      <c r="A2733" s="217" t="n"/>
      <c r="B2733" s="126" t="n"/>
      <c r="C2733" s="126" t="n"/>
      <c r="D2733" s="126" t="n"/>
      <c r="E2733" s="126" t="n"/>
      <c r="F2733" s="127" t="n"/>
      <c r="G2733" s="127" t="inlineStr"/>
      <c r="H2733" s="127" t="inlineStr"/>
      <c r="I2733" s="127" t="n"/>
      <c r="J2733" s="127" t="n"/>
      <c r="K2733" s="127" t="inlineStr"/>
      <c r="L2733" s="127" t="n"/>
      <c r="M2733" s="127" t="n"/>
      <c r="N2733" s="127" t="n"/>
      <c r="O2733" s="127" t="n"/>
      <c r="P2733" s="127" t="n"/>
      <c r="Q2733" s="127" t="n"/>
      <c r="R2733" s="127" t="n"/>
      <c r="S2733" s="127" t="n"/>
      <c r="T2733" s="127" t="n"/>
      <c r="U2733" s="127" t="n"/>
      <c r="V2733" s="127" t="n"/>
      <c r="W2733" s="127" t="n"/>
      <c r="X2733" s="127" t="n"/>
      <c r="Y2733" s="127" t="n"/>
      <c r="Z2733" s="127" t="n"/>
    </row>
    <row r="2734">
      <c r="A2734" s="217" t="n"/>
      <c r="B2734" s="126" t="n"/>
      <c r="C2734" s="126" t="n"/>
      <c r="D2734" s="126" t="n"/>
      <c r="E2734" s="126" t="n"/>
      <c r="F2734" s="127" t="n"/>
      <c r="G2734" s="127" t="inlineStr"/>
      <c r="H2734" s="127" t="inlineStr"/>
      <c r="I2734" s="127" t="n"/>
      <c r="J2734" s="127" t="n"/>
      <c r="K2734" s="127" t="inlineStr"/>
      <c r="L2734" s="127" t="n"/>
      <c r="M2734" s="127" t="n"/>
      <c r="N2734" s="127" t="n"/>
      <c r="O2734" s="127" t="n"/>
      <c r="P2734" s="127" t="n"/>
      <c r="Q2734" s="127" t="n"/>
      <c r="R2734" s="127" t="n"/>
      <c r="S2734" s="127" t="n"/>
      <c r="T2734" s="127" t="n"/>
      <c r="U2734" s="127" t="n"/>
      <c r="V2734" s="127" t="n"/>
      <c r="W2734" s="127" t="n"/>
      <c r="X2734" s="127" t="n"/>
      <c r="Y2734" s="127" t="n"/>
      <c r="Z2734" s="127" t="n"/>
    </row>
    <row r="2735">
      <c r="A2735" s="217" t="n"/>
      <c r="B2735" s="126" t="n"/>
      <c r="C2735" s="126" t="n"/>
      <c r="D2735" s="126" t="n"/>
      <c r="E2735" s="126" t="n"/>
      <c r="F2735" s="127" t="n"/>
      <c r="G2735" s="127" t="inlineStr"/>
      <c r="H2735" s="127" t="inlineStr"/>
      <c r="I2735" s="127" t="n"/>
      <c r="J2735" s="127" t="n"/>
      <c r="K2735" s="127" t="inlineStr"/>
      <c r="L2735" s="127" t="n"/>
      <c r="M2735" s="127" t="n"/>
      <c r="N2735" s="127" t="n"/>
      <c r="O2735" s="127" t="n"/>
      <c r="P2735" s="127" t="n"/>
      <c r="Q2735" s="127" t="n"/>
      <c r="R2735" s="127" t="n"/>
      <c r="S2735" s="127" t="n"/>
      <c r="T2735" s="127" t="n"/>
      <c r="U2735" s="127" t="n"/>
      <c r="V2735" s="127" t="n"/>
      <c r="W2735" s="127" t="n"/>
      <c r="X2735" s="127" t="n"/>
      <c r="Y2735" s="127" t="n"/>
      <c r="Z2735" s="127" t="n"/>
    </row>
    <row r="2736">
      <c r="A2736" s="217" t="n"/>
      <c r="B2736" s="126" t="n"/>
      <c r="C2736" s="126" t="n"/>
      <c r="D2736" s="126" t="n"/>
      <c r="E2736" s="126" t="n"/>
      <c r="F2736" s="127" t="n"/>
      <c r="G2736" s="127" t="inlineStr"/>
      <c r="H2736" s="127" t="inlineStr"/>
      <c r="I2736" s="127" t="n"/>
      <c r="J2736" s="127" t="n"/>
      <c r="K2736" s="127" t="inlineStr"/>
      <c r="L2736" s="127" t="n"/>
      <c r="M2736" s="127" t="n"/>
      <c r="N2736" s="127" t="n"/>
      <c r="O2736" s="127" t="n"/>
      <c r="P2736" s="127" t="n"/>
      <c r="Q2736" s="127" t="n"/>
      <c r="R2736" s="127" t="n"/>
      <c r="S2736" s="127" t="n"/>
      <c r="T2736" s="127" t="n"/>
      <c r="U2736" s="127" t="n"/>
      <c r="V2736" s="127" t="n"/>
      <c r="W2736" s="127" t="n"/>
      <c r="X2736" s="127" t="n"/>
      <c r="Y2736" s="127" t="n"/>
      <c r="Z2736" s="127" t="n"/>
    </row>
    <row r="2737">
      <c r="A2737" s="217" t="n"/>
      <c r="B2737" s="126" t="n"/>
      <c r="C2737" s="126" t="n"/>
      <c r="D2737" s="126" t="n"/>
      <c r="E2737" s="126" t="n"/>
      <c r="F2737" s="127" t="n"/>
      <c r="G2737" s="127" t="inlineStr"/>
      <c r="H2737" s="127" t="inlineStr"/>
      <c r="I2737" s="127" t="n"/>
      <c r="J2737" s="127" t="n"/>
      <c r="K2737" s="127" t="inlineStr"/>
      <c r="L2737" s="127" t="n"/>
      <c r="M2737" s="127" t="n"/>
      <c r="N2737" s="127" t="n"/>
      <c r="O2737" s="127" t="n"/>
      <c r="P2737" s="127" t="n"/>
      <c r="Q2737" s="127" t="n"/>
      <c r="R2737" s="127" t="n"/>
      <c r="S2737" s="127" t="n"/>
      <c r="T2737" s="127" t="n"/>
      <c r="U2737" s="127" t="n"/>
      <c r="V2737" s="127" t="n"/>
      <c r="W2737" s="127" t="n"/>
      <c r="X2737" s="127" t="n"/>
      <c r="Y2737" s="127" t="n"/>
      <c r="Z2737" s="127" t="n"/>
    </row>
    <row r="2738">
      <c r="A2738" s="217" t="n"/>
      <c r="B2738" s="126" t="n"/>
      <c r="C2738" s="126" t="n"/>
      <c r="D2738" s="126" t="n"/>
      <c r="E2738" s="126" t="n"/>
      <c r="F2738" s="127" t="n"/>
      <c r="G2738" s="127" t="inlineStr"/>
      <c r="H2738" s="127" t="inlineStr"/>
      <c r="I2738" s="127" t="n"/>
      <c r="J2738" s="127" t="n"/>
      <c r="K2738" s="127" t="inlineStr"/>
      <c r="L2738" s="127" t="n"/>
      <c r="M2738" s="127" t="n"/>
      <c r="N2738" s="127" t="n"/>
      <c r="O2738" s="127" t="n"/>
      <c r="P2738" s="127" t="n"/>
      <c r="Q2738" s="127" t="n"/>
      <c r="R2738" s="127" t="n"/>
      <c r="S2738" s="127" t="n"/>
      <c r="T2738" s="127" t="n"/>
      <c r="U2738" s="127" t="n"/>
      <c r="V2738" s="127" t="n"/>
      <c r="W2738" s="127" t="n"/>
      <c r="X2738" s="127" t="n"/>
      <c r="Y2738" s="127" t="n"/>
      <c r="Z2738" s="127" t="n"/>
    </row>
    <row r="2739">
      <c r="A2739" s="217" t="n"/>
      <c r="B2739" s="126" t="n"/>
      <c r="C2739" s="126" t="n"/>
      <c r="D2739" s="126" t="n"/>
      <c r="E2739" s="126" t="n"/>
      <c r="F2739" s="127" t="n"/>
      <c r="G2739" s="127" t="inlineStr"/>
      <c r="H2739" s="127" t="inlineStr"/>
      <c r="I2739" s="127" t="n"/>
      <c r="J2739" s="127" t="n"/>
      <c r="K2739" s="127" t="inlineStr"/>
      <c r="L2739" s="127" t="n"/>
      <c r="M2739" s="127" t="n"/>
      <c r="N2739" s="127" t="n"/>
      <c r="O2739" s="127" t="n"/>
      <c r="P2739" s="127" t="n"/>
      <c r="Q2739" s="127" t="n"/>
      <c r="R2739" s="127" t="n"/>
      <c r="S2739" s="127" t="n"/>
      <c r="T2739" s="127" t="n"/>
      <c r="U2739" s="127" t="n"/>
      <c r="V2739" s="127" t="n"/>
      <c r="W2739" s="127" t="n"/>
      <c r="X2739" s="127" t="n"/>
      <c r="Y2739" s="127" t="n"/>
      <c r="Z2739" s="127" t="n"/>
    </row>
    <row r="2740">
      <c r="A2740" s="217" t="n"/>
      <c r="B2740" s="126" t="n"/>
      <c r="C2740" s="126" t="n"/>
      <c r="D2740" s="126" t="n"/>
      <c r="E2740" s="126" t="n"/>
      <c r="F2740" s="127" t="n"/>
      <c r="G2740" s="127" t="inlineStr"/>
      <c r="H2740" s="127" t="inlineStr"/>
      <c r="I2740" s="127" t="n"/>
      <c r="J2740" s="127" t="n"/>
      <c r="K2740" s="127" t="inlineStr"/>
      <c r="L2740" s="127" t="n"/>
      <c r="M2740" s="127" t="n"/>
      <c r="N2740" s="127" t="n"/>
      <c r="O2740" s="127" t="n"/>
      <c r="P2740" s="127" t="n"/>
      <c r="Q2740" s="127" t="n"/>
      <c r="R2740" s="127" t="n"/>
      <c r="S2740" s="127" t="n"/>
      <c r="T2740" s="127" t="n"/>
      <c r="U2740" s="127" t="n"/>
      <c r="V2740" s="127" t="n"/>
      <c r="W2740" s="127" t="n"/>
      <c r="X2740" s="127" t="n"/>
      <c r="Y2740" s="127" t="n"/>
      <c r="Z2740" s="127" t="n"/>
    </row>
    <row r="2741">
      <c r="A2741" s="217" t="n"/>
      <c r="B2741" s="126" t="n"/>
      <c r="C2741" s="126" t="n"/>
      <c r="D2741" s="126" t="n"/>
      <c r="E2741" s="126" t="n"/>
      <c r="F2741" s="127" t="n"/>
      <c r="G2741" s="127" t="inlineStr"/>
      <c r="H2741" s="127" t="inlineStr"/>
      <c r="I2741" s="127" t="n"/>
      <c r="J2741" s="127" t="n"/>
      <c r="K2741" s="127" t="inlineStr"/>
      <c r="L2741" s="127" t="n"/>
      <c r="M2741" s="127" t="n"/>
      <c r="N2741" s="127" t="n"/>
      <c r="O2741" s="127" t="n"/>
      <c r="P2741" s="127" t="n"/>
      <c r="Q2741" s="127" t="n"/>
      <c r="R2741" s="127" t="n"/>
      <c r="S2741" s="127" t="n"/>
      <c r="T2741" s="127" t="n"/>
      <c r="U2741" s="127" t="n"/>
      <c r="V2741" s="127" t="n"/>
      <c r="W2741" s="127" t="n"/>
      <c r="X2741" s="127" t="n"/>
      <c r="Y2741" s="127" t="n"/>
      <c r="Z2741" s="127" t="n"/>
    </row>
    <row r="2742">
      <c r="A2742" s="217" t="n"/>
      <c r="B2742" s="126" t="n"/>
      <c r="C2742" s="126" t="n"/>
      <c r="D2742" s="126" t="n"/>
      <c r="E2742" s="126" t="n"/>
      <c r="F2742" s="127" t="n"/>
      <c r="G2742" s="127" t="inlineStr"/>
      <c r="H2742" s="127" t="inlineStr"/>
      <c r="I2742" s="127" t="n"/>
      <c r="J2742" s="127" t="n"/>
      <c r="K2742" s="127" t="inlineStr"/>
      <c r="L2742" s="127" t="n"/>
      <c r="M2742" s="127" t="n"/>
      <c r="N2742" s="127" t="n"/>
      <c r="O2742" s="127" t="n"/>
      <c r="P2742" s="127" t="n"/>
      <c r="Q2742" s="127" t="n"/>
      <c r="R2742" s="127" t="n"/>
      <c r="S2742" s="127" t="n"/>
      <c r="T2742" s="127" t="n"/>
      <c r="U2742" s="127" t="n"/>
      <c r="V2742" s="127" t="n"/>
      <c r="W2742" s="127" t="n"/>
      <c r="X2742" s="127" t="n"/>
      <c r="Y2742" s="127" t="n"/>
      <c r="Z2742" s="127" t="n"/>
    </row>
    <row r="2743">
      <c r="A2743" s="217" t="n"/>
      <c r="B2743" s="126" t="n"/>
      <c r="C2743" s="126" t="n"/>
      <c r="D2743" s="126" t="n"/>
      <c r="E2743" s="126" t="n"/>
      <c r="F2743" s="127" t="n"/>
      <c r="G2743" s="127" t="inlineStr"/>
      <c r="H2743" s="127" t="inlineStr"/>
      <c r="I2743" s="127" t="n"/>
      <c r="J2743" s="127" t="n"/>
      <c r="K2743" s="127" t="inlineStr"/>
      <c r="L2743" s="127" t="n"/>
      <c r="M2743" s="127" t="n"/>
      <c r="N2743" s="127" t="n"/>
      <c r="O2743" s="127" t="n"/>
      <c r="P2743" s="127" t="n"/>
      <c r="Q2743" s="127" t="n"/>
      <c r="R2743" s="127" t="n"/>
      <c r="S2743" s="127" t="n"/>
      <c r="T2743" s="127" t="n"/>
      <c r="U2743" s="127" t="n"/>
      <c r="V2743" s="127" t="n"/>
      <c r="W2743" s="127" t="n"/>
      <c r="X2743" s="127" t="n"/>
      <c r="Y2743" s="127" t="n"/>
      <c r="Z2743" s="127" t="n"/>
    </row>
    <row r="2744">
      <c r="A2744" s="217" t="n"/>
      <c r="B2744" s="126" t="n"/>
      <c r="C2744" s="126" t="n"/>
      <c r="D2744" s="126" t="n"/>
      <c r="E2744" s="126" t="n"/>
      <c r="F2744" s="127" t="n"/>
      <c r="G2744" s="127" t="inlineStr"/>
      <c r="H2744" s="127" t="inlineStr"/>
      <c r="I2744" s="127" t="n"/>
      <c r="J2744" s="127" t="n"/>
      <c r="K2744" s="127" t="inlineStr"/>
      <c r="L2744" s="127" t="n"/>
      <c r="M2744" s="127" t="n"/>
      <c r="N2744" s="127" t="n"/>
      <c r="O2744" s="127" t="n"/>
      <c r="P2744" s="127" t="n"/>
      <c r="Q2744" s="127" t="n"/>
      <c r="R2744" s="127" t="n"/>
      <c r="S2744" s="127" t="n"/>
      <c r="T2744" s="127" t="n"/>
      <c r="U2744" s="127" t="n"/>
      <c r="V2744" s="127" t="n"/>
      <c r="W2744" s="127" t="n"/>
      <c r="X2744" s="127" t="n"/>
      <c r="Y2744" s="127" t="n"/>
      <c r="Z2744" s="127" t="n"/>
    </row>
    <row r="2745">
      <c r="A2745" s="217" t="n"/>
      <c r="B2745" s="126" t="n"/>
      <c r="C2745" s="126" t="n"/>
      <c r="D2745" s="126" t="n"/>
      <c r="E2745" s="126" t="n"/>
      <c r="F2745" s="127" t="n"/>
      <c r="G2745" s="127" t="inlineStr"/>
      <c r="H2745" s="127" t="inlineStr"/>
      <c r="I2745" s="127" t="n"/>
      <c r="J2745" s="127" t="n"/>
      <c r="K2745" s="127" t="inlineStr"/>
      <c r="L2745" s="127" t="n"/>
      <c r="M2745" s="127" t="n"/>
      <c r="N2745" s="127" t="n"/>
      <c r="O2745" s="127" t="n"/>
      <c r="P2745" s="127" t="n"/>
      <c r="Q2745" s="127" t="n"/>
      <c r="R2745" s="127" t="n"/>
      <c r="S2745" s="127" t="n"/>
      <c r="T2745" s="127" t="n"/>
      <c r="U2745" s="127" t="n"/>
      <c r="V2745" s="127" t="n"/>
      <c r="W2745" s="127" t="n"/>
      <c r="X2745" s="127" t="n"/>
      <c r="Y2745" s="127" t="n"/>
      <c r="Z2745" s="127" t="n"/>
    </row>
    <row r="2746">
      <c r="A2746" s="217" t="n"/>
      <c r="B2746" s="126" t="n"/>
      <c r="C2746" s="126" t="n"/>
      <c r="D2746" s="126" t="n"/>
      <c r="E2746" s="126" t="n"/>
      <c r="F2746" s="127" t="n"/>
      <c r="G2746" s="127" t="inlineStr"/>
      <c r="H2746" s="127" t="inlineStr"/>
      <c r="I2746" s="127" t="n"/>
      <c r="J2746" s="127" t="n"/>
      <c r="K2746" s="127" t="inlineStr"/>
      <c r="L2746" s="127" t="n"/>
      <c r="M2746" s="127" t="n"/>
      <c r="N2746" s="127" t="n"/>
      <c r="O2746" s="127" t="n"/>
      <c r="P2746" s="127" t="n"/>
      <c r="Q2746" s="127" t="n"/>
      <c r="R2746" s="127" t="n"/>
      <c r="S2746" s="127" t="n"/>
      <c r="T2746" s="127" t="n"/>
      <c r="U2746" s="127" t="n"/>
      <c r="V2746" s="127" t="n"/>
      <c r="W2746" s="127" t="n"/>
      <c r="X2746" s="127" t="n"/>
      <c r="Y2746" s="127" t="n"/>
      <c r="Z2746" s="127" t="n"/>
    </row>
    <row r="2747">
      <c r="A2747" s="217" t="n"/>
      <c r="B2747" s="126" t="n"/>
      <c r="C2747" s="126" t="n"/>
      <c r="D2747" s="126" t="n"/>
      <c r="E2747" s="126" t="n"/>
      <c r="F2747" s="127" t="n"/>
      <c r="G2747" s="127" t="inlineStr"/>
      <c r="H2747" s="127" t="inlineStr"/>
      <c r="I2747" s="127" t="n"/>
      <c r="J2747" s="127" t="n"/>
      <c r="K2747" s="127" t="inlineStr"/>
      <c r="L2747" s="127" t="n"/>
      <c r="M2747" s="127" t="n"/>
      <c r="N2747" s="127" t="n"/>
      <c r="O2747" s="127" t="n"/>
      <c r="P2747" s="127" t="n"/>
      <c r="Q2747" s="127" t="n"/>
      <c r="R2747" s="127" t="n"/>
      <c r="S2747" s="127" t="n"/>
      <c r="T2747" s="127" t="n"/>
      <c r="U2747" s="127" t="n"/>
      <c r="V2747" s="127" t="n"/>
      <c r="W2747" s="127" t="n"/>
      <c r="X2747" s="127" t="n"/>
      <c r="Y2747" s="127" t="n"/>
      <c r="Z2747" s="127" t="n"/>
    </row>
    <row r="2748">
      <c r="A2748" s="217" t="n"/>
      <c r="B2748" s="126" t="n"/>
      <c r="C2748" s="126" t="n"/>
      <c r="D2748" s="126" t="n"/>
      <c r="E2748" s="126" t="n"/>
      <c r="F2748" s="127" t="n"/>
      <c r="G2748" s="127" t="inlineStr"/>
      <c r="H2748" s="127" t="inlineStr"/>
      <c r="I2748" s="127" t="n"/>
      <c r="J2748" s="127" t="n"/>
      <c r="K2748" s="127" t="inlineStr"/>
      <c r="L2748" s="127" t="n"/>
      <c r="M2748" s="127" t="n"/>
      <c r="N2748" s="127" t="n"/>
      <c r="O2748" s="127" t="n"/>
      <c r="P2748" s="127" t="n"/>
      <c r="Q2748" s="127" t="n"/>
      <c r="R2748" s="127" t="n"/>
      <c r="S2748" s="127" t="n"/>
      <c r="T2748" s="127" t="n"/>
      <c r="U2748" s="127" t="n"/>
      <c r="V2748" s="127" t="n"/>
      <c r="W2748" s="127" t="n"/>
      <c r="X2748" s="127" t="n"/>
      <c r="Y2748" s="127" t="n"/>
      <c r="Z2748" s="127" t="n"/>
    </row>
    <row r="2749">
      <c r="A2749" s="217" t="n"/>
      <c r="B2749" s="126" t="n"/>
      <c r="C2749" s="126" t="n"/>
      <c r="D2749" s="126" t="n"/>
      <c r="E2749" s="126" t="n"/>
      <c r="F2749" s="127" t="n"/>
      <c r="G2749" s="127" t="inlineStr"/>
      <c r="H2749" s="127" t="inlineStr"/>
      <c r="I2749" s="127" t="n"/>
      <c r="J2749" s="127" t="n"/>
      <c r="K2749" s="127" t="inlineStr"/>
      <c r="L2749" s="127" t="n"/>
      <c r="M2749" s="127" t="n"/>
      <c r="N2749" s="127" t="n"/>
      <c r="O2749" s="127" t="n"/>
      <c r="P2749" s="127" t="n"/>
      <c r="Q2749" s="127" t="n"/>
      <c r="R2749" s="127" t="n"/>
      <c r="S2749" s="127" t="n"/>
      <c r="T2749" s="127" t="n"/>
      <c r="U2749" s="127" t="n"/>
      <c r="V2749" s="127" t="n"/>
      <c r="W2749" s="127" t="n"/>
      <c r="X2749" s="127" t="n"/>
      <c r="Y2749" s="127" t="n"/>
      <c r="Z2749" s="127" t="n"/>
    </row>
    <row r="2750">
      <c r="A2750" s="217" t="n"/>
      <c r="B2750" s="126" t="n"/>
      <c r="C2750" s="126" t="n"/>
      <c r="D2750" s="126" t="n"/>
      <c r="E2750" s="126" t="n"/>
      <c r="F2750" s="127" t="n"/>
      <c r="G2750" s="127" t="inlineStr"/>
      <c r="H2750" s="127" t="inlineStr"/>
      <c r="I2750" s="127" t="n"/>
      <c r="J2750" s="127" t="n"/>
      <c r="K2750" s="127" t="inlineStr"/>
      <c r="L2750" s="127" t="n"/>
      <c r="M2750" s="127" t="n"/>
      <c r="N2750" s="127" t="n"/>
      <c r="O2750" s="127" t="n"/>
      <c r="P2750" s="127" t="n"/>
      <c r="Q2750" s="127" t="n"/>
      <c r="R2750" s="127" t="n"/>
      <c r="S2750" s="127" t="n"/>
      <c r="T2750" s="127" t="n"/>
      <c r="U2750" s="127" t="n"/>
      <c r="V2750" s="127" t="n"/>
      <c r="W2750" s="127" t="n"/>
      <c r="X2750" s="127" t="n"/>
      <c r="Y2750" s="127" t="n"/>
      <c r="Z2750" s="127" t="n"/>
    </row>
    <row r="2751">
      <c r="A2751" s="217" t="n"/>
      <c r="B2751" s="126" t="n"/>
      <c r="C2751" s="126" t="n"/>
      <c r="D2751" s="126" t="n"/>
      <c r="E2751" s="126" t="n"/>
      <c r="F2751" s="127" t="n"/>
      <c r="G2751" s="127" t="inlineStr"/>
      <c r="H2751" s="127" t="inlineStr"/>
      <c r="I2751" s="127" t="n"/>
      <c r="J2751" s="127" t="n"/>
      <c r="K2751" s="127" t="inlineStr"/>
      <c r="L2751" s="127" t="n"/>
      <c r="M2751" s="127" t="n"/>
      <c r="N2751" s="127" t="n"/>
      <c r="O2751" s="127" t="n"/>
      <c r="P2751" s="127" t="n"/>
      <c r="Q2751" s="127" t="n"/>
      <c r="R2751" s="127" t="n"/>
      <c r="S2751" s="127" t="n"/>
      <c r="T2751" s="127" t="n"/>
      <c r="U2751" s="127" t="n"/>
      <c r="V2751" s="127" t="n"/>
      <c r="W2751" s="127" t="n"/>
      <c r="X2751" s="127" t="n"/>
      <c r="Y2751" s="127" t="n"/>
      <c r="Z2751" s="127" t="n"/>
    </row>
    <row r="2752">
      <c r="A2752" s="217" t="n"/>
      <c r="B2752" s="126" t="n"/>
      <c r="C2752" s="126" t="n"/>
      <c r="D2752" s="126" t="n"/>
      <c r="E2752" s="126" t="n"/>
      <c r="F2752" s="127" t="n"/>
      <c r="G2752" s="127" t="inlineStr"/>
      <c r="H2752" s="127" t="inlineStr"/>
      <c r="I2752" s="127" t="n"/>
      <c r="J2752" s="127" t="n"/>
      <c r="K2752" s="127" t="inlineStr"/>
      <c r="L2752" s="127" t="n"/>
      <c r="M2752" s="127" t="n"/>
      <c r="N2752" s="127" t="n"/>
      <c r="O2752" s="127" t="n"/>
      <c r="P2752" s="127" t="n"/>
      <c r="Q2752" s="127" t="n"/>
      <c r="R2752" s="127" t="n"/>
      <c r="S2752" s="127" t="n"/>
      <c r="T2752" s="127" t="n"/>
      <c r="U2752" s="127" t="n"/>
      <c r="V2752" s="127" t="n"/>
      <c r="W2752" s="127" t="n"/>
      <c r="X2752" s="127" t="n"/>
      <c r="Y2752" s="127" t="n"/>
      <c r="Z2752" s="127" t="n"/>
    </row>
    <row r="2753">
      <c r="A2753" s="217" t="n"/>
      <c r="B2753" s="126" t="n"/>
      <c r="C2753" s="126" t="n"/>
      <c r="D2753" s="126" t="n"/>
      <c r="E2753" s="126" t="n"/>
      <c r="F2753" s="127" t="n"/>
      <c r="G2753" s="127" t="inlineStr"/>
      <c r="H2753" s="127" t="inlineStr"/>
      <c r="I2753" s="127" t="n"/>
      <c r="J2753" s="127" t="n"/>
      <c r="K2753" s="127" t="inlineStr"/>
      <c r="L2753" s="127" t="n"/>
      <c r="M2753" s="127" t="n"/>
      <c r="N2753" s="127" t="n"/>
      <c r="O2753" s="127" t="n"/>
      <c r="P2753" s="127" t="n"/>
      <c r="Q2753" s="127" t="n"/>
      <c r="R2753" s="127" t="n"/>
      <c r="S2753" s="127" t="n"/>
      <c r="T2753" s="127" t="n"/>
      <c r="U2753" s="127" t="n"/>
      <c r="V2753" s="127" t="n"/>
      <c r="W2753" s="127" t="n"/>
      <c r="X2753" s="127" t="n"/>
      <c r="Y2753" s="127" t="n"/>
      <c r="Z2753" s="127" t="n"/>
    </row>
    <row r="2754">
      <c r="A2754" s="217" t="n"/>
      <c r="B2754" s="126" t="n"/>
      <c r="C2754" s="126" t="n"/>
      <c r="D2754" s="126" t="n"/>
      <c r="E2754" s="126" t="n"/>
      <c r="F2754" s="127" t="n"/>
      <c r="G2754" s="127" t="inlineStr"/>
      <c r="H2754" s="127" t="inlineStr"/>
      <c r="I2754" s="127" t="n"/>
      <c r="J2754" s="127" t="n"/>
      <c r="K2754" s="127" t="inlineStr"/>
      <c r="L2754" s="127" t="n"/>
      <c r="M2754" s="127" t="n"/>
      <c r="N2754" s="127" t="n"/>
      <c r="O2754" s="127" t="n"/>
      <c r="P2754" s="127" t="n"/>
      <c r="Q2754" s="127" t="n"/>
      <c r="R2754" s="127" t="n"/>
      <c r="S2754" s="127" t="n"/>
      <c r="T2754" s="127" t="n"/>
      <c r="U2754" s="127" t="n"/>
      <c r="V2754" s="127" t="n"/>
      <c r="W2754" s="127" t="n"/>
      <c r="X2754" s="127" t="n"/>
      <c r="Y2754" s="127" t="n"/>
      <c r="Z2754" s="127" t="n"/>
    </row>
    <row r="2755">
      <c r="A2755" s="217" t="n"/>
      <c r="B2755" s="126" t="n"/>
      <c r="C2755" s="126" t="n"/>
      <c r="D2755" s="126" t="n"/>
      <c r="E2755" s="126" t="n"/>
      <c r="F2755" s="127" t="n"/>
      <c r="G2755" s="127" t="inlineStr"/>
      <c r="H2755" s="127" t="inlineStr"/>
      <c r="I2755" s="127" t="n"/>
      <c r="J2755" s="127" t="n"/>
      <c r="K2755" s="127" t="inlineStr"/>
      <c r="L2755" s="127" t="n"/>
      <c r="M2755" s="127" t="n"/>
      <c r="N2755" s="127" t="n"/>
      <c r="O2755" s="127" t="n"/>
      <c r="P2755" s="127" t="n"/>
      <c r="Q2755" s="127" t="n"/>
      <c r="R2755" s="127" t="n"/>
      <c r="S2755" s="127" t="n"/>
      <c r="T2755" s="127" t="n"/>
      <c r="U2755" s="127" t="n"/>
      <c r="V2755" s="127" t="n"/>
      <c r="W2755" s="127" t="n"/>
      <c r="X2755" s="127" t="n"/>
      <c r="Y2755" s="127" t="n"/>
      <c r="Z2755" s="127" t="n"/>
    </row>
    <row r="2756">
      <c r="A2756" s="217" t="n"/>
      <c r="B2756" s="126" t="n"/>
      <c r="C2756" s="126" t="n"/>
      <c r="D2756" s="126" t="n"/>
      <c r="E2756" s="126" t="n"/>
      <c r="F2756" s="127" t="n"/>
      <c r="G2756" s="127" t="inlineStr"/>
      <c r="H2756" s="127" t="inlineStr"/>
      <c r="I2756" s="127" t="n"/>
      <c r="J2756" s="127" t="n"/>
      <c r="K2756" s="127" t="inlineStr"/>
      <c r="L2756" s="127" t="n"/>
      <c r="M2756" s="127" t="n"/>
      <c r="N2756" s="127" t="n"/>
      <c r="O2756" s="127" t="n"/>
      <c r="P2756" s="127" t="n"/>
      <c r="Q2756" s="127" t="n"/>
      <c r="R2756" s="127" t="n"/>
      <c r="S2756" s="127" t="n"/>
      <c r="T2756" s="127" t="n"/>
      <c r="U2756" s="127" t="n"/>
      <c r="V2756" s="127" t="n"/>
      <c r="W2756" s="127" t="n"/>
      <c r="X2756" s="127" t="n"/>
      <c r="Y2756" s="127" t="n"/>
      <c r="Z2756" s="127" t="n"/>
    </row>
  </sheetData>
  <hyperlinks>
    <hyperlink xmlns:r="http://schemas.openxmlformats.org/officeDocument/2006/relationships" ref="A202" r:id="rId1"/>
    <hyperlink xmlns:r="http://schemas.openxmlformats.org/officeDocument/2006/relationships" ref="A208" r:id="rId2"/>
    <hyperlink xmlns:r="http://schemas.openxmlformats.org/officeDocument/2006/relationships" ref="A209" r:id="rId3"/>
    <hyperlink xmlns:r="http://schemas.openxmlformats.org/officeDocument/2006/relationships" ref="A764" r:id="rId4"/>
    <hyperlink xmlns:r="http://schemas.openxmlformats.org/officeDocument/2006/relationships" ref="A1336" r:id="rId5"/>
    <hyperlink xmlns:r="http://schemas.openxmlformats.org/officeDocument/2006/relationships" ref="A1337" r:id="rId6"/>
    <hyperlink xmlns:r="http://schemas.openxmlformats.org/officeDocument/2006/relationships" ref="A1675" r:id="rId7"/>
  </hyperlinks>
  <pageMargins left="0.75" right="0.75" top="1" bottom="1" header="0.5" footer="0.5"/>
</worksheet>
</file>

<file path=xl/worksheets/sheet3.xml><?xml version="1.0" encoding="utf-8"?>
<worksheet xmlns="http://schemas.openxmlformats.org/spreadsheetml/2006/main">
  <sheetPr>
    <outlinePr summaryBelow="0" summaryRight="0"/>
    <pageSetUpPr/>
  </sheetPr>
  <dimension ref="A1:Z4232"/>
  <sheetViews>
    <sheetView workbookViewId="0">
      <pane ySplit="1" topLeftCell="A2" activePane="bottomLeft" state="frozen"/>
      <selection pane="bottomLeft" activeCell="B3" sqref="B3"/>
    </sheetView>
  </sheetViews>
  <sheetFormatPr baseColWidth="8" defaultColWidth="14.43" defaultRowHeight="15" customHeight="1"/>
  <cols>
    <col width="32.43" customWidth="1" style="305" min="1" max="1"/>
    <col width="34" customWidth="1" style="305" min="2" max="2"/>
    <col width="30.57" customWidth="1" style="305" min="3" max="3"/>
    <col width="34.57" customWidth="1" style="305" min="4" max="4"/>
    <col width="32.57" customWidth="1" style="305" min="5" max="5"/>
    <col width="38.14" customWidth="1" style="305" min="6" max="6"/>
    <col width="32.43" customWidth="1" style="305" min="8" max="8"/>
  </cols>
  <sheetData>
    <row r="1">
      <c r="A1" s="193" t="inlineStr">
        <is>
          <t>key</t>
        </is>
      </c>
      <c r="B1" s="193" t="inlineStr">
        <is>
          <t>vi</t>
        </is>
      </c>
      <c r="C1" s="193" t="inlineStr">
        <is>
          <t>en</t>
        </is>
      </c>
      <c r="D1" s="150" t="inlineStr">
        <is>
          <t>GG Dịch</t>
        </is>
      </c>
      <c r="E1" s="13" t="inlineStr">
        <is>
          <t>cam - Sonita</t>
        </is>
      </c>
      <c r="F1" s="13" t="inlineStr">
        <is>
          <t>cam - final</t>
        </is>
      </c>
      <c r="G1" s="13" t="inlineStr">
        <is>
          <t>note</t>
        </is>
      </c>
      <c r="H1" s="30" t="n"/>
      <c r="I1" s="308" t="inlineStr">
        <is>
          <t>cam Thean</t>
        </is>
      </c>
      <c r="J1" s="30" t="n"/>
      <c r="K1" s="30" t="n"/>
      <c r="L1" s="30" t="n"/>
      <c r="M1" s="30" t="n"/>
      <c r="N1" s="30" t="n"/>
      <c r="O1" s="30" t="n"/>
      <c r="P1" s="30" t="n"/>
      <c r="Q1" s="30" t="n"/>
      <c r="R1" s="30" t="n"/>
      <c r="S1" s="30" t="n"/>
      <c r="T1" s="30" t="n"/>
      <c r="U1" s="30" t="n"/>
      <c r="V1" s="30" t="n"/>
      <c r="W1" s="30" t="n"/>
      <c r="X1" s="30" t="n"/>
      <c r="Y1" s="30" t="n"/>
      <c r="Z1" s="30" t="n"/>
    </row>
    <row r="2">
      <c r="A2" s="3" t="inlineStr">
        <is>
          <t>OTP.resend</t>
        </is>
      </c>
      <c r="B2" s="3" t="inlineStr">
        <is>
          <t>Gửi lại</t>
        </is>
      </c>
      <c r="C2" s="3" t="inlineStr">
        <is>
          <t>Resend</t>
        </is>
      </c>
      <c r="D2" s="217">
        <f>IFERROR(__xludf.DUMMYFUNCTION("GOOGLETRANSLATE(C2,""vi"",""km"")"),"ការប្រោសលោះ")</f>
        <v/>
      </c>
      <c r="E2" s="3" t="n"/>
      <c r="F2" s="3" t="inlineStr">
        <is>
          <t>ផ្ញើម្តងទៀត</t>
        </is>
      </c>
      <c r="G2" s="3" t="n"/>
      <c r="H2" s="217" t="inlineStr">
        <is>
          <t>"OTP.resend": "ផ្ញើម្តងទៀត",</t>
        </is>
      </c>
      <c r="I2" t="inlineStr">
        <is>
          <t>ផ្ញើម្តងទៀត</t>
        </is>
      </c>
    </row>
    <row r="3">
      <c r="A3" s="3" t="inlineStr">
        <is>
          <t>OTP.send</t>
        </is>
      </c>
      <c r="B3" s="3" t="inlineStr">
        <is>
          <t>Gửi</t>
        </is>
      </c>
      <c r="C3" s="3" t="inlineStr">
        <is>
          <t>Send</t>
        </is>
      </c>
      <c r="D3" s="217">
        <f>IFERROR(__xludf.DUMMYFUNCTION("GOOGLETRANSLATE(C3,""vi"",""km"")"),"កាត")</f>
        <v/>
      </c>
      <c r="E3" s="3" t="n"/>
      <c r="F3" s="3" t="inlineStr">
        <is>
          <t>ផ្ញើ</t>
        </is>
      </c>
      <c r="G3" s="3" t="n"/>
      <c r="H3" s="217" t="inlineStr">
        <is>
          <t>"OTP.send": "ផ្ញើ",</t>
        </is>
      </c>
      <c r="I3" t="inlineStr">
        <is>
          <t>ផ្ញើ</t>
        </is>
      </c>
    </row>
    <row r="4">
      <c r="A4" s="3" t="inlineStr">
        <is>
          <t>OTP.sendOtpToEmail</t>
        </is>
      </c>
      <c r="B4" s="3" t="inlineStr">
        <is>
          <t>Nhập OTP vừa được gửi tới email</t>
        </is>
      </c>
      <c r="C4" s="3" t="inlineStr">
        <is>
          <t>Enter the received OTP code from email</t>
        </is>
      </c>
      <c r="D4" s="217">
        <f>IFERROR(__xludf.DUMMYFUNCTION("GOOGLETRANSLATE(C4,""vi"",""km"")"),"បញ្ចូលលេខកូដ OTP ដែលបានទទួលពីអ៊ីមែល")</f>
        <v/>
      </c>
      <c r="E4" s="3" t="n"/>
      <c r="F4" s="3" t="inlineStr">
        <is>
          <t>បញ្ចូលលេខកូដ OTP ដែលបានទទួលពីអ៊ីមែល</t>
        </is>
      </c>
      <c r="G4" s="3" t="n"/>
      <c r="H4" s="217" t="inlineStr">
        <is>
          <t>"OTP.sendOtpToEmail": "បញ្ចូលលេខកូដ OTP ដែលបានទទួលពីអ៊ីមែល",</t>
        </is>
      </c>
      <c r="I4" t="inlineStr">
        <is>
          <t>បញ្ចូលលេខកូដ OTP ដែលបានទទួលពីអ៊ីមែល</t>
        </is>
      </c>
    </row>
    <row r="5">
      <c r="A5" s="3" t="inlineStr">
        <is>
          <t>OTP.supportOtp</t>
        </is>
      </c>
      <c r="B5" s="3" t="inlineStr">
        <is>
          <t>Quý khách chưa nhận được OTP?</t>
        </is>
      </c>
      <c r="C5" s="3" t="inlineStr">
        <is>
          <t>Can't recceive OTP code?</t>
        </is>
      </c>
      <c r="D5" s="217">
        <f>IFERROR(__xludf.DUMMYFUNCTION("GOOGLETRANSLATE(C5,""vi"",""km"")"),"មិនអាចទទួលបានលេខកូដ OTP មែនទេ?")</f>
        <v/>
      </c>
      <c r="E5" s="3" t="n"/>
      <c r="F5" s="3" t="inlineStr">
        <is>
          <t>មិនអាចទទួលបានលេខកូដ OTP មែនទេ?</t>
        </is>
      </c>
      <c r="G5" s="3" t="n"/>
      <c r="H5" s="217" t="inlineStr">
        <is>
          <t>"OTP.supportOtp": "មិនអាចទទួលបានលេខកូដ OTP មែនទេ?",</t>
        </is>
      </c>
      <c r="I5" t="inlineStr">
        <is>
          <t>មិនអាចទទួលបានលេខកូដ OTP មែនទេ?</t>
        </is>
      </c>
    </row>
    <row r="6">
      <c r="A6" s="3" t="inlineStr">
        <is>
          <t>OTP.title</t>
        </is>
      </c>
      <c r="B6" s="3" t="inlineStr">
        <is>
          <t>Xác thực OTP</t>
        </is>
      </c>
      <c r="C6" s="3" t="inlineStr">
        <is>
          <t>OTP verification</t>
        </is>
      </c>
      <c r="D6" s="217">
        <f>IFERROR(__xludf.DUMMYFUNCTION("GOOGLETRANSLATE(C6,""vi"",""km"")"),"អ្នកពិនិត្យការងារ O")</f>
        <v/>
      </c>
      <c r="E6" s="3" t="n"/>
      <c r="F6" s="3" t="inlineStr">
        <is>
          <t>អ្នកពិនិត្យការងារ O</t>
        </is>
      </c>
      <c r="G6" s="3" t="n"/>
      <c r="H6" s="217" t="inlineStr">
        <is>
          <t>"OTP.title": "អ្នកពិនិត្យការងារ O",</t>
        </is>
      </c>
      <c r="I6" t="inlineStr">
        <is>
          <t>អ្នកពិនិត្យការងារ O</t>
        </is>
      </c>
    </row>
    <row r="7">
      <c r="A7" s="3" t="inlineStr">
        <is>
          <t>address.districtKH</t>
        </is>
      </c>
      <c r="B7" s="3" t="inlineStr">
        <is>
          <t>Huyện</t>
        </is>
      </c>
      <c r="C7" s="3" t="inlineStr">
        <is>
          <t>District</t>
        </is>
      </c>
      <c r="D7" s="217">
        <f>IFERROR(__xludf.DUMMYFUNCTION("GOOGLETRANSLATE(C7,""vi"",""km"")"),"ស្រុក")</f>
        <v/>
      </c>
      <c r="E7" s="3" t="n"/>
      <c r="F7" s="3" t="inlineStr">
        <is>
          <t>ស្រុក</t>
        </is>
      </c>
      <c r="G7" s="3" t="n"/>
      <c r="H7" s="217" t="inlineStr">
        <is>
          <t>"address.districtKH": "ស្រុក",</t>
        </is>
      </c>
      <c r="I7" t="inlineStr">
        <is>
          <t>ស្រុក</t>
        </is>
      </c>
    </row>
    <row r="8">
      <c r="A8" s="3" t="inlineStr">
        <is>
          <t>address.districtLA</t>
        </is>
      </c>
      <c r="B8" s="3" t="inlineStr">
        <is>
          <t>Mường</t>
        </is>
      </c>
      <c r="C8" s="3" t="inlineStr">
        <is>
          <t>District</t>
        </is>
      </c>
      <c r="D8" s="217">
        <f>IFERROR(__xludf.DUMMYFUNCTION("GOOGLETRANSLATE(C8,""vi"",""km"")"),"ស្រុក")</f>
        <v/>
      </c>
      <c r="E8" s="3" t="n"/>
      <c r="F8" s="3" t="inlineStr">
        <is>
          <t>ស្រុក</t>
        </is>
      </c>
      <c r="G8" s="3" t="n"/>
      <c r="H8" s="217" t="inlineStr">
        <is>
          <t>"address.districtLA": "ស្រុក",</t>
        </is>
      </c>
      <c r="I8" t="inlineStr">
        <is>
          <t>ស្រុក</t>
        </is>
      </c>
    </row>
    <row r="9">
      <c r="A9" s="3" t="inlineStr">
        <is>
          <t>address.districtMM</t>
        </is>
      </c>
      <c r="B9" s="3" t="inlineStr">
        <is>
          <t>Huyện</t>
        </is>
      </c>
      <c r="C9" s="3" t="inlineStr">
        <is>
          <t>District</t>
        </is>
      </c>
      <c r="D9" s="217">
        <f>IFERROR(__xludf.DUMMYFUNCTION("GOOGLETRANSLATE(C9,""vi"",""km"")"),"ស្រុក")</f>
        <v/>
      </c>
      <c r="E9" s="3" t="n"/>
      <c r="F9" s="3" t="inlineStr">
        <is>
          <t>ស្រុក</t>
        </is>
      </c>
      <c r="G9" s="3" t="n"/>
      <c r="H9" s="217" t="inlineStr">
        <is>
          <t>"address.districtMM": "ស្រុក",</t>
        </is>
      </c>
      <c r="I9" t="inlineStr">
        <is>
          <t>ស្រុក</t>
        </is>
      </c>
    </row>
    <row r="10">
      <c r="A10" s="3" t="inlineStr">
        <is>
          <t>address.districtPlaceholderKH</t>
        </is>
      </c>
      <c r="B10" s="3" t="inlineStr">
        <is>
          <t>Chọn huyện</t>
        </is>
      </c>
      <c r="C10" s="3" t="inlineStr">
        <is>
          <t>Select district</t>
        </is>
      </c>
      <c r="D10" s="217">
        <f>IFERROR(__xludf.DUMMYFUNCTION("GOOGLETRANSLATE(C10,""vi"",""km"")"),"ជ្រើសរើសស្រុក")</f>
        <v/>
      </c>
      <c r="E10" s="3" t="n"/>
      <c r="F10" s="3" t="inlineStr">
        <is>
          <t>ជ្រើសរើសស្រុក</t>
        </is>
      </c>
      <c r="G10" s="3" t="n"/>
      <c r="H10" s="217" t="inlineStr">
        <is>
          <t>"address.districtPlaceholderKH": "ជ្រើសរើសស្រុក",</t>
        </is>
      </c>
      <c r="I10" t="inlineStr">
        <is>
          <t>ជ្រើសរើសស្រុក</t>
        </is>
      </c>
    </row>
    <row r="11">
      <c r="A11" s="3" t="inlineStr">
        <is>
          <t>address.districtPlaceholderLA</t>
        </is>
      </c>
      <c r="B11" s="3" t="inlineStr">
        <is>
          <t>Chọn Mường</t>
        </is>
      </c>
      <c r="C11" s="3" t="inlineStr">
        <is>
          <t>Select district</t>
        </is>
      </c>
      <c r="D11" s="217">
        <f>IFERROR(__xludf.DUMMYFUNCTION("GOOGLETRANSLATE(C11,""vi"",""km"")"),"ជ្រើសរើសស្រុក")</f>
        <v/>
      </c>
      <c r="E11" s="3" t="n"/>
      <c r="F11" s="3" t="inlineStr">
        <is>
          <t>ជ្រើសរើសស្រុក</t>
        </is>
      </c>
      <c r="G11" s="3" t="n"/>
      <c r="H11" s="217" t="inlineStr">
        <is>
          <t>"address.districtPlaceholderLA": "ជ្រើសរើសស្រុក",</t>
        </is>
      </c>
      <c r="I11" t="inlineStr">
        <is>
          <t>ជ្រើសរើសស្រុក</t>
        </is>
      </c>
    </row>
    <row r="12">
      <c r="A12" s="3" t="inlineStr">
        <is>
          <t>address.districtPlaceholderMM</t>
        </is>
      </c>
      <c r="B12" s="3" t="inlineStr">
        <is>
          <t>Chọn huyện</t>
        </is>
      </c>
      <c r="C12" s="3" t="inlineStr">
        <is>
          <t>Select district</t>
        </is>
      </c>
      <c r="D12" s="217">
        <f>IFERROR(__xludf.DUMMYFUNCTION("GOOGLETRANSLATE(C12,""vi"",""km"")"),"ជ្រើសរើសស្រុក")</f>
        <v/>
      </c>
      <c r="E12" s="3" t="n"/>
      <c r="F12" s="3" t="inlineStr">
        <is>
          <t>ជ្រើសរើសស្រុក</t>
        </is>
      </c>
      <c r="G12" s="3" t="n"/>
      <c r="H12" s="217" t="inlineStr">
        <is>
          <t>"address.districtPlaceholderMM": "ជ្រើសរើសស្រុក",</t>
        </is>
      </c>
      <c r="I12" t="inlineStr">
        <is>
          <t>ជ្រើសរើសស្រុក</t>
        </is>
      </c>
    </row>
    <row r="13">
      <c r="A13" s="3" t="inlineStr">
        <is>
          <t>address.postOffice</t>
        </is>
      </c>
      <c r="B13" s="3" t="inlineStr">
        <is>
          <t>Bưu cục</t>
        </is>
      </c>
      <c r="C13" s="3" t="inlineStr">
        <is>
          <t>Post office</t>
        </is>
      </c>
      <c r="D13" s="217">
        <f>IFERROR(__xludf.DUMMYFUNCTION("GOOGLETRANSLATE(C13,""vi"",""km"")"),"ការិយាល័យប្រៃសណីយ៍")</f>
        <v/>
      </c>
      <c r="E13" s="3" t="n"/>
      <c r="F13" s="3" t="inlineStr">
        <is>
          <t>ការិយាល័យប្រៃសណីយ៍</t>
        </is>
      </c>
      <c r="G13" s="3" t="n"/>
      <c r="H13" s="217" t="inlineStr">
        <is>
          <t>"address.postOffice": "ការិយាល័យប្រៃសណីយ៍",</t>
        </is>
      </c>
      <c r="I13" t="inlineStr">
        <is>
          <t>ការិយាល័យប្រៃសណីយ៍</t>
        </is>
      </c>
    </row>
    <row r="14">
      <c r="A14" s="3" t="inlineStr">
        <is>
          <t>address.provinceKH</t>
        </is>
      </c>
      <c r="B14" s="3" t="inlineStr">
        <is>
          <t>Tỉnh</t>
        </is>
      </c>
      <c r="C14" s="3" t="inlineStr">
        <is>
          <t>Province</t>
        </is>
      </c>
      <c r="D14" s="217">
        <f>IFERROR(__xludf.DUMMYFUNCTION("GOOGLETRANSLATE(C14,""vi"",""km"")"),"ខេត្ត")</f>
        <v/>
      </c>
      <c r="E14" s="3" t="n"/>
      <c r="F14" s="3" t="inlineStr">
        <is>
          <t>ខេត្ត</t>
        </is>
      </c>
      <c r="G14" s="3" t="n"/>
      <c r="H14" s="217" t="inlineStr">
        <is>
          <t>"address.provinceKH": "ខេត្ត",</t>
        </is>
      </c>
      <c r="I14" t="inlineStr">
        <is>
          <t>ខេត្ត</t>
        </is>
      </c>
    </row>
    <row r="15">
      <c r="A15" s="3" t="inlineStr">
        <is>
          <t>address.provinceLA</t>
        </is>
      </c>
      <c r="B15" s="3" t="inlineStr">
        <is>
          <t>Tỉnh</t>
        </is>
      </c>
      <c r="C15" s="3" t="inlineStr">
        <is>
          <t>Province</t>
        </is>
      </c>
      <c r="D15" s="217">
        <f>IFERROR(__xludf.DUMMYFUNCTION("GOOGLETRANSLATE(C15,""vi"",""km"")"),"ខេត្ត")</f>
        <v/>
      </c>
      <c r="E15" s="3" t="n"/>
      <c r="F15" s="3" t="inlineStr">
        <is>
          <t>ខេត្ត</t>
        </is>
      </c>
      <c r="G15" s="3" t="n"/>
      <c r="H15" s="217" t="inlineStr">
        <is>
          <t>"address.provinceLA": "ខេត្ត",</t>
        </is>
      </c>
      <c r="I15" t="inlineStr">
        <is>
          <t>ខេត្ត</t>
        </is>
      </c>
    </row>
    <row r="16">
      <c r="A16" s="3" t="inlineStr">
        <is>
          <t>address.provinceMM</t>
        </is>
      </c>
      <c r="B16" s="3" t="inlineStr">
        <is>
          <t>Liên bang/Vùng</t>
        </is>
      </c>
      <c r="C16" s="3" t="inlineStr">
        <is>
          <t>Region</t>
        </is>
      </c>
      <c r="D16" s="217">
        <f>IFERROR(__xludf.DUMMYFUNCTION("GOOGLETRANSLATE(C16,""vi"",""km"")"),"តំបន់")</f>
        <v/>
      </c>
      <c r="E16" s="3" t="n"/>
      <c r="F16" s="3" t="inlineStr">
        <is>
          <t>តំបន់</t>
        </is>
      </c>
      <c r="G16" s="3" t="n"/>
      <c r="H16" s="217" t="inlineStr">
        <is>
          <t>"address.provinceMM": "តំបន់",</t>
        </is>
      </c>
      <c r="I16" t="inlineStr">
        <is>
          <t>តំបន់</t>
        </is>
      </c>
    </row>
    <row r="17">
      <c r="A17" s="3" t="inlineStr">
        <is>
          <t>address.provincePlaceholderKH</t>
        </is>
      </c>
      <c r="B17" s="3" t="inlineStr">
        <is>
          <t>Chọn tỉnh</t>
        </is>
      </c>
      <c r="C17" s="3" t="inlineStr">
        <is>
          <t>Select province</t>
        </is>
      </c>
      <c r="D17" s="217">
        <f>IFERROR(__xludf.DUMMYFUNCTION("GOOGLETRANSLATE(C17,""vi"",""km"")"),"ជ្រើសរើសខេត្ត")</f>
        <v/>
      </c>
      <c r="E17" s="3" t="n"/>
      <c r="F17" s="3" t="inlineStr">
        <is>
          <t>ជ្រើសរើសខេត្ត</t>
        </is>
      </c>
      <c r="G17" s="3" t="n"/>
      <c r="H17" s="217" t="inlineStr">
        <is>
          <t>"address.provincePlaceholderKH": "ជ្រើសរើសខេត្ត",</t>
        </is>
      </c>
      <c r="I17" t="inlineStr">
        <is>
          <t>ជ្រើសរើសខេត្ត</t>
        </is>
      </c>
    </row>
    <row r="18">
      <c r="A18" s="3" t="inlineStr">
        <is>
          <t>address.provincePlaceholderLA</t>
        </is>
      </c>
      <c r="B18" s="3" t="inlineStr">
        <is>
          <t>Chọn tỉnh</t>
        </is>
      </c>
      <c r="C18" s="3" t="inlineStr">
        <is>
          <t>Select province</t>
        </is>
      </c>
      <c r="D18" s="217">
        <f>IFERROR(__xludf.DUMMYFUNCTION("GOOGLETRANSLATE(C18,""vi"",""km"")"),"ជ្រើសរើសខេត្ត")</f>
        <v/>
      </c>
      <c r="E18" s="3" t="n"/>
      <c r="F18" s="3" t="inlineStr">
        <is>
          <t>ជ្រើសរើសខេត្ត</t>
        </is>
      </c>
      <c r="G18" s="3" t="n"/>
      <c r="H18" s="217" t="inlineStr">
        <is>
          <t>"address.provincePlaceholderLA": "ជ្រើសរើសខេត្ត",</t>
        </is>
      </c>
      <c r="I18" t="inlineStr">
        <is>
          <t>ជ្រើសរើសខេត្ត</t>
        </is>
      </c>
    </row>
    <row r="19">
      <c r="A19" s="3" t="inlineStr">
        <is>
          <t>address.provincePlaceholderMM</t>
        </is>
      </c>
      <c r="B19" s="3" t="inlineStr">
        <is>
          <t>Chọn liên bang/Vùng</t>
        </is>
      </c>
      <c r="C19" s="3" t="inlineStr">
        <is>
          <t>Select region</t>
        </is>
      </c>
      <c r="D19" s="217">
        <f>IFERROR(__xludf.DUMMYFUNCTION("GOOGLETRANSLATE(C19,""vi"",""km"")"),"ជ្រើសរើសតំបន់")</f>
        <v/>
      </c>
      <c r="E19" s="3" t="n"/>
      <c r="F19" s="3" t="inlineStr">
        <is>
          <t>ជ្រើសរើសតំបន់</t>
        </is>
      </c>
      <c r="G19" s="3" t="n"/>
      <c r="H19" s="217" t="inlineStr">
        <is>
          <t>"address.provincePlaceholderMM": "ជ្រើសរើសតំបន់",</t>
        </is>
      </c>
      <c r="I19" t="inlineStr">
        <is>
          <t>ជ្រើសរើសតំបន់</t>
        </is>
      </c>
    </row>
    <row r="20">
      <c r="A20" s="3" t="inlineStr">
        <is>
          <t>address.wardKH</t>
        </is>
      </c>
      <c r="B20" s="3" t="inlineStr">
        <is>
          <t>Xã</t>
        </is>
      </c>
      <c r="C20" s="3" t="inlineStr">
        <is>
          <t>Commune</t>
        </is>
      </c>
      <c r="D20" s="217">
        <f>IFERROR(__xludf.DUMMYFUNCTION("GOOGLETRANSLATE(C20,""vi"",""km"")"),"ឃុំ")</f>
        <v/>
      </c>
      <c r="E20" s="3" t="n"/>
      <c r="F20" s="3" t="inlineStr">
        <is>
          <t>ឃុំ</t>
        </is>
      </c>
      <c r="G20" s="3" t="n"/>
      <c r="H20" s="217" t="inlineStr">
        <is>
          <t>"address.wardKH": "ឃុំ",</t>
        </is>
      </c>
      <c r="I20" t="inlineStr">
        <is>
          <t>ឃុំ</t>
        </is>
      </c>
    </row>
    <row r="21">
      <c r="A21" s="3" t="inlineStr">
        <is>
          <t>address.wardLA</t>
        </is>
      </c>
      <c r="B21" s="3" t="inlineStr">
        <is>
          <t>Bản</t>
        </is>
      </c>
      <c r="C21" s="3" t="inlineStr">
        <is>
          <t>Village</t>
        </is>
      </c>
      <c r="D21" s="217">
        <f>IFERROR(__xludf.DUMMYFUNCTION("GOOGLETRANSLATE(C21,""vi"",""km"")"),"ភូមិ")</f>
        <v/>
      </c>
      <c r="E21" s="3" t="n"/>
      <c r="F21" s="3" t="inlineStr">
        <is>
          <t>ភូមិ</t>
        </is>
      </c>
      <c r="G21" s="3" t="n"/>
      <c r="H21" s="217" t="inlineStr">
        <is>
          <t>"address.wardLA": "ភូមិ",</t>
        </is>
      </c>
      <c r="I21" t="inlineStr">
        <is>
          <t>ភូមិ</t>
        </is>
      </c>
    </row>
    <row r="22">
      <c r="A22" s="3" t="inlineStr">
        <is>
          <t>address.wardMM</t>
        </is>
      </c>
      <c r="B22" s="3" t="inlineStr">
        <is>
          <t>Thị trấn</t>
        </is>
      </c>
      <c r="C22" s="3" t="inlineStr">
        <is>
          <t>Ward</t>
        </is>
      </c>
      <c r="D22" s="217">
        <f>IFERROR(__xludf.DUMMYFUNCTION("GOOGLETRANSLATE(C22,""vi"",""km"")"),"ធនធានមនុស្ស")</f>
        <v/>
      </c>
      <c r="E22" s="3" t="n"/>
      <c r="F22" s="3" t="inlineStr">
        <is>
          <t>ធនធានមនុស្ស</t>
        </is>
      </c>
      <c r="G22" s="3" t="n"/>
      <c r="H22" s="217" t="inlineStr">
        <is>
          <t>"address.wardMM": "ធនធានមនុស្ស",</t>
        </is>
      </c>
      <c r="I22" t="inlineStr">
        <is>
          <t>ធនធានមនុស្ស</t>
        </is>
      </c>
    </row>
    <row r="23">
      <c r="A23" s="3" t="inlineStr">
        <is>
          <t>address.wardPlaceholderKH</t>
        </is>
      </c>
      <c r="B23" s="3" t="inlineStr">
        <is>
          <t>Chọn xã</t>
        </is>
      </c>
      <c r="C23" s="3" t="inlineStr">
        <is>
          <t>Select commune</t>
        </is>
      </c>
      <c r="D23" s="217">
        <f>IFERROR(__xludf.DUMMYFUNCTION("GOOGLETRANSLATE(C23,""vi"",""km"")"),"ជ្រើសរើសឃុំ")</f>
        <v/>
      </c>
      <c r="E23" s="3" t="n"/>
      <c r="F23" s="3" t="inlineStr">
        <is>
          <t>ជ្រើសរើសឃុំ</t>
        </is>
      </c>
      <c r="G23" s="3" t="n"/>
      <c r="H23" s="217" t="inlineStr">
        <is>
          <t>"address.wardPlaceholderKH": "ជ្រើសរើសឃុំ",</t>
        </is>
      </c>
      <c r="I23" t="inlineStr">
        <is>
          <t>ជ្រើសរើសឃុំ</t>
        </is>
      </c>
    </row>
    <row r="24">
      <c r="A24" s="3" t="inlineStr">
        <is>
          <t>address.wardPlaceholderLA</t>
        </is>
      </c>
      <c r="B24" s="3" t="inlineStr">
        <is>
          <t>Chọn bản</t>
        </is>
      </c>
      <c r="C24" s="3" t="inlineStr">
        <is>
          <t>Select village</t>
        </is>
      </c>
      <c r="D24" s="217">
        <f>IFERROR(__xludf.DUMMYFUNCTION("GOOGLETRANSLATE(C24,""vi"",""km"")"),"ជ្រើសរើសភូមិ")</f>
        <v/>
      </c>
      <c r="E24" s="3" t="n"/>
      <c r="F24" s="3" t="inlineStr">
        <is>
          <t>ជ្រើសរើសភូមិ</t>
        </is>
      </c>
      <c r="G24" s="3" t="n"/>
      <c r="H24" s="217" t="inlineStr">
        <is>
          <t>"address.wardPlaceholderLA": "ជ្រើសរើសភូមិ",</t>
        </is>
      </c>
      <c r="I24" t="inlineStr">
        <is>
          <t>ជ្រើសរើសភូមិ</t>
        </is>
      </c>
    </row>
    <row r="25">
      <c r="A25" s="3" t="inlineStr">
        <is>
          <t>address.wardPlaceholderMM</t>
        </is>
      </c>
      <c r="B25" s="3" t="inlineStr">
        <is>
          <t>Chọn thị trấn</t>
        </is>
      </c>
      <c r="C25" s="3" t="inlineStr">
        <is>
          <t>Select ward</t>
        </is>
      </c>
      <c r="D25" s="217">
        <f>IFERROR(__xludf.DUMMYFUNCTION("GOOGLETRANSLATE(C25,""vi"",""km"")"),"ជ្រើសរើសវួដ")</f>
        <v/>
      </c>
      <c r="E25" s="3" t="n"/>
      <c r="F25" s="3" t="inlineStr">
        <is>
          <t>ជ្រើសរើសវួដ</t>
        </is>
      </c>
      <c r="G25" s="3" t="n"/>
      <c r="H25" s="217" t="inlineStr">
        <is>
          <t>"address.wardPlaceholderMM": "ជ្រើសរើសវួដ",</t>
        </is>
      </c>
      <c r="I25" t="inlineStr">
        <is>
          <t>ជ្រើសរើសវួដ</t>
        </is>
      </c>
    </row>
    <row r="26">
      <c r="A26" s="3" t="inlineStr">
        <is>
          <t>areaConfig.selectDistrict</t>
        </is>
      </c>
      <c r="B26" s="3" t="inlineStr">
        <is>
          <t>Chọn quận/huyện</t>
        </is>
      </c>
      <c r="C26" s="3" t="inlineStr">
        <is>
          <t>Select district</t>
        </is>
      </c>
      <c r="D26" s="217">
        <f>IFERROR(__xludf.DUMMYFUNCTION("GOOGLETRANSLATE(C26,""vi"",""km"")"),"ជ្រើសរើសស្រុក")</f>
        <v/>
      </c>
      <c r="E26" s="3" t="n"/>
      <c r="F26" s="3" t="inlineStr">
        <is>
          <t>ជ្រើសរើសស្រុក</t>
        </is>
      </c>
      <c r="G26" s="3" t="n"/>
      <c r="H26" s="217" t="inlineStr">
        <is>
          <t>"areaConfig.selectDistrict": "ជ្រើសរើសស្រុក",</t>
        </is>
      </c>
      <c r="I26" t="inlineStr">
        <is>
          <t>ជ្រើសរើសស្រុក</t>
        </is>
      </c>
    </row>
    <row r="27">
      <c r="A27" s="3" t="inlineStr">
        <is>
          <t>areaConfig.selectDistrictPlaceholder</t>
        </is>
      </c>
      <c r="B27" s="3" t="inlineStr">
        <is>
          <t>Quận/huyện</t>
        </is>
      </c>
      <c r="C27" s="3" t="inlineStr">
        <is>
          <t>Enter district</t>
        </is>
      </c>
      <c r="D27" s="217">
        <f>IFERROR(__xludf.DUMMYFUNCTION("GOOGLETRANSLATE(C27,""vi"",""km"")"),"បញ្ចូលស្រុក")</f>
        <v/>
      </c>
      <c r="E27" s="3" t="n"/>
      <c r="F27" s="3" t="inlineStr">
        <is>
          <t>បញ្ចូលស្រុក</t>
        </is>
      </c>
      <c r="G27" s="3" t="n"/>
      <c r="H27" s="217" t="inlineStr">
        <is>
          <t>"areaConfig.selectDistrictPlaceholder": "បញ្ចូលស្រុក",</t>
        </is>
      </c>
      <c r="I27" t="inlineStr">
        <is>
          <t>បញ្ចូលស្រុក</t>
        </is>
      </c>
    </row>
    <row r="28">
      <c r="A28" s="3" t="inlineStr">
        <is>
          <t>areaConfig.selectTownship</t>
        </is>
      </c>
      <c r="B28" s="3" t="inlineStr">
        <is>
          <t>Chọn phường/xã</t>
        </is>
      </c>
      <c r="C28" s="3" t="inlineStr">
        <is>
          <t>Select ward/ commune</t>
        </is>
      </c>
      <c r="D28" s="217">
        <f>IFERROR(__xludf.DUMMYFUNCTION("GOOGLETRANSLATE(C28,""vi"",""km"")"),"ជ្រើសរើស​សង្កាត់/ឃុំ")</f>
        <v/>
      </c>
      <c r="E28" s="3" t="n"/>
      <c r="F28" s="3" t="inlineStr">
        <is>
          <t>ជ្រើសរើសសង្កាត់/ឃុំ</t>
        </is>
      </c>
      <c r="G28" s="3" t="n"/>
      <c r="H28" s="217" t="inlineStr">
        <is>
          <t>"areaConfig.selectTownship": "ជ្រើសរើសសង្កាត់/ឃុំ",</t>
        </is>
      </c>
      <c r="I28" t="inlineStr">
        <is>
          <t>ជ្រើសរើសសង្កាត់/ឃុំ</t>
        </is>
      </c>
    </row>
    <row r="29">
      <c r="A29" s="3" t="inlineStr">
        <is>
          <t>areaConfig.selectTownshipPlaceholder</t>
        </is>
      </c>
      <c r="B29" s="3" t="inlineStr">
        <is>
          <t>Xã/phường</t>
        </is>
      </c>
      <c r="C29" s="3" t="inlineStr">
        <is>
          <t>Enter ward/ commune</t>
        </is>
      </c>
      <c r="D29" s="217">
        <f>IFERROR(__xludf.DUMMYFUNCTION("GOOGLETRANSLATE(C29,""vi"",""km"")"),"បញ្ចូល​វួដ/ឃុំ")</f>
        <v/>
      </c>
      <c r="E29" s="3" t="n"/>
      <c r="F29" s="3" t="inlineStr">
        <is>
          <t>បញ្ចូលវួដ/ឃុំ</t>
        </is>
      </c>
      <c r="G29" s="3" t="n"/>
      <c r="H29" s="217" t="inlineStr">
        <is>
          <t>"areaConfig.selectTownshipPlaceholder": "បញ្ចូលវួដ/ឃុំ",</t>
        </is>
      </c>
      <c r="I29" t="inlineStr">
        <is>
          <t>បញ្ចូលវួដ/ឃុំ</t>
        </is>
      </c>
    </row>
    <row r="30">
      <c r="A30" s="3" t="inlineStr">
        <is>
          <t>areaConfig.total</t>
        </is>
      </c>
      <c r="B30" s="3" t="inlineStr">
        <is>
          <t>Tổng địa danh</t>
        </is>
      </c>
      <c r="C30" s="3" t="inlineStr">
        <is>
          <t>Total area</t>
        </is>
      </c>
      <c r="D30" s="217">
        <f>IFERROR(__xludf.DUMMYFUNCTION("GOOGLETRANSLATE(C30,""vi"",""km"")"),"ផ្ទៃដីសរុប")</f>
        <v/>
      </c>
      <c r="E30" s="3" t="n"/>
      <c r="F30" s="3" t="inlineStr">
        <is>
          <t>ផ្ទៃដីសរុប</t>
        </is>
      </c>
      <c r="G30" s="3" t="n"/>
      <c r="H30" s="217" t="inlineStr">
        <is>
          <t>"areaConfig.total": "ផ្ទៃដីសរុប",</t>
        </is>
      </c>
      <c r="I30" t="inlineStr">
        <is>
          <t>ផ្ទៃដីសរុប</t>
        </is>
      </c>
    </row>
    <row r="31">
      <c r="A31" s="3" t="inlineStr">
        <is>
          <t>areaDelivery.deleteSuccess</t>
        </is>
      </c>
      <c r="B31" s="3" t="inlineStr">
        <is>
          <t>Xóa địa danh thành công</t>
        </is>
      </c>
      <c r="C31" s="3" t="inlineStr">
        <is>
          <t>Deleted address successfully</t>
        </is>
      </c>
      <c r="D31" s="217">
        <f>IFERROR(__xludf.DUMMYFUNCTION("GOOGLETRANSLATE(C31,""vi"",""km"")"),"បានលុបអាសយដ្ឋានដោយជោគជ័យ")</f>
        <v/>
      </c>
      <c r="E31" s="3" t="n"/>
      <c r="F31" s="3" t="inlineStr">
        <is>
          <t>បានលុបអាសយដ្ឋានដោយជោគជ័យ</t>
        </is>
      </c>
      <c r="G31" s="3" t="n"/>
      <c r="H31" s="217" t="inlineStr">
        <is>
          <t>"areaDelivery.deleteSuccess": "បានលុបអាសយដ្ឋានដោយជោគជ័យ",</t>
        </is>
      </c>
      <c r="I31" t="inlineStr">
        <is>
          <t>បានលុបអាសយដ្ឋានដោយជោគជ័យ</t>
        </is>
      </c>
    </row>
    <row r="32">
      <c r="A32" s="3" t="inlineStr">
        <is>
          <t>areaDelivery.district</t>
        </is>
      </c>
      <c r="B32" s="3" t="inlineStr">
        <is>
          <t>Quận/Huyện</t>
        </is>
      </c>
      <c r="C32" s="3" t="inlineStr">
        <is>
          <t>District</t>
        </is>
      </c>
      <c r="D32" s="217">
        <f>IFERROR(__xludf.DUMMYFUNCTION("GOOGLETRANSLATE(C32,""vi"",""km"")"),"ស្រុក")</f>
        <v/>
      </c>
      <c r="E32" s="3" t="n"/>
      <c r="F32" s="3" t="inlineStr">
        <is>
          <t>ស្រុក/ខណ្ឌ</t>
        </is>
      </c>
      <c r="G32" s="3" t="n"/>
      <c r="H32" s="217" t="inlineStr">
        <is>
          <t>"areaDelivery.district": "ស្រុក/ខណ្ឌ",</t>
        </is>
      </c>
      <c r="I32" t="inlineStr">
        <is>
          <t>ស្រុក/ខណ្ឌ</t>
        </is>
      </c>
    </row>
    <row r="33">
      <c r="A33" s="3" t="inlineStr">
        <is>
          <t>areaDelivery.notiChangeStatus</t>
        </is>
      </c>
      <c r="B33" s="3" t="inlineStr">
        <is>
          <t>Bạn có chác chắn muốn xóa địa danh giao của tuyến hay không</t>
        </is>
      </c>
      <c r="C33" s="3" t="inlineStr">
        <is>
          <t>Are you sure you want to delete the delivery address?</t>
        </is>
      </c>
      <c r="D33" s="217">
        <f>IFERROR(__xludf.DUMMYFUNCTION("GOOGLETRANSLATE(C33,""vi"",""km"")"),"តើអ្នកពិតជាចង់លុបអាសយដ្ឋានដឹកជញ្ជូនមែនទេ?")</f>
        <v/>
      </c>
      <c r="E33" s="3" t="n"/>
      <c r="F33" s="3" t="inlineStr">
        <is>
          <t>តើអ្នកពិតជាចង់លុបអាសយដ្ឋានដឹកជញ្ជូនមែនទេ?</t>
        </is>
      </c>
      <c r="G33" s="3" t="n"/>
      <c r="H33" s="217" t="inlineStr">
        <is>
          <t>"areaDelivery.notiChangeStatus": "តើអ្នកពិតជាចង់លុបអាសយដ្ឋានដឹកជញ្ជូនមែនទេ?",</t>
        </is>
      </c>
      <c r="I33" t="inlineStr">
        <is>
          <t>តើអ្នកពិតជាចង់លុបអាសយដ្ឋានដឹកជញ្ជូនមែនទេ?</t>
        </is>
      </c>
    </row>
    <row r="34">
      <c r="A34" s="3" t="inlineStr">
        <is>
          <t>areaDelivery.selectDistrict</t>
        </is>
      </c>
      <c r="B34" s="3" t="inlineStr">
        <is>
          <t>Chọn quận/huyện</t>
        </is>
      </c>
      <c r="C34" s="3" t="inlineStr">
        <is>
          <t>Select district</t>
        </is>
      </c>
      <c r="D34" s="217">
        <f>IFERROR(__xludf.DUMMYFUNCTION("GOOGLETRANSLATE(C34,""vi"",""km"")"),"ជ្រើសរើសស្រុក")</f>
        <v/>
      </c>
      <c r="E34" s="3" t="n"/>
      <c r="F34" s="3" t="inlineStr">
        <is>
          <t>ជ្រើសរើសស្រុក</t>
        </is>
      </c>
      <c r="G34" s="3" t="n"/>
      <c r="H34" s="217" t="inlineStr">
        <is>
          <t>"areaDelivery.selectDistrict": "ជ្រើសរើសស្រុក",</t>
        </is>
      </c>
      <c r="I34" t="inlineStr">
        <is>
          <t>ជ្រើសរើសស្រុក</t>
        </is>
      </c>
    </row>
    <row r="35">
      <c r="A35" s="3" t="inlineStr">
        <is>
          <t>areaDelivery.selectWard</t>
        </is>
      </c>
      <c r="B35" s="3" t="inlineStr">
        <is>
          <t>Chọn phường/Xã</t>
        </is>
      </c>
      <c r="C35" s="3" t="inlineStr">
        <is>
          <t>Select commune</t>
        </is>
      </c>
      <c r="D35" s="217">
        <f>IFERROR(__xludf.DUMMYFUNCTION("GOOGLETRANSLATE(C35,""vi"",""km"")"),"ជ្រើសរើសឃុំ")</f>
        <v/>
      </c>
      <c r="E35" s="3" t="n"/>
      <c r="F35" s="3" t="inlineStr">
        <is>
          <t>ជ្រើសរើសឃុំ</t>
        </is>
      </c>
      <c r="G35" s="3" t="n"/>
      <c r="H35" s="217" t="inlineStr">
        <is>
          <t>"areaDelivery.selectWard": "ជ្រើសរើសឃុំ",</t>
        </is>
      </c>
      <c r="I35" t="inlineStr">
        <is>
          <t>ជ្រើសរើសឃុំ</t>
        </is>
      </c>
    </row>
    <row r="36">
      <c r="A36" s="3" t="inlineStr">
        <is>
          <t>areaDelivery.ward</t>
        </is>
      </c>
      <c r="B36" s="3" t="inlineStr">
        <is>
          <t>Phường/Xã</t>
        </is>
      </c>
      <c r="C36" s="3" t="inlineStr">
        <is>
          <t>Commune</t>
        </is>
      </c>
      <c r="D36" s="217">
        <f>IFERROR(__xludf.DUMMYFUNCTION("GOOGLETRANSLATE(C36,""vi"",""km"")"),"ឃុំ")</f>
        <v/>
      </c>
      <c r="E36" s="3" t="n"/>
      <c r="F36" s="3" t="inlineStr">
        <is>
          <t>ឃុំ/សង្កាត់</t>
        </is>
      </c>
      <c r="G36" s="3" t="n"/>
      <c r="H36" s="217" t="inlineStr">
        <is>
          <t>"areaDelivery.ward": "ឃុំ/សង្កាត់",</t>
        </is>
      </c>
      <c r="I36" t="inlineStr">
        <is>
          <t>ឃុំ/សង្កាត់</t>
        </is>
      </c>
    </row>
    <row r="37">
      <c r="A37" s="3" t="inlineStr">
        <is>
          <t>auditPrint.NVBH</t>
        </is>
      </c>
      <c r="B37" s="3" t="inlineStr">
        <is>
          <t>NVBH</t>
        </is>
      </c>
      <c r="C37" s="3" t="inlineStr">
        <is>
          <t>Delivery-man</t>
        </is>
      </c>
      <c r="D37" s="217">
        <f>IFERROR(__xludf.DUMMYFUNCTION("GOOGLETRANSLATE(C37,""vi"",""km"")"),"អ្នកដឹកជញ្ជូន")</f>
        <v/>
      </c>
      <c r="E37" s="3" t="n"/>
      <c r="F37" s="3" t="inlineStr">
        <is>
          <t>បុគ្គលិកដឹកជញ្ជូន/លក់</t>
        </is>
      </c>
      <c r="G37" s="3" t="n"/>
      <c r="H37" s="217" t="inlineStr">
        <is>
          <t>"auditPrint.NVBH": "បុគ្គលិកដឹកជញ្ជូន/លក់",</t>
        </is>
      </c>
      <c r="I37" t="inlineStr">
        <is>
          <t>បុគ្គលិកដឹកជញ្ជូន/លក់</t>
        </is>
      </c>
    </row>
    <row r="38">
      <c r="A38" s="3" t="inlineStr">
        <is>
          <t>auditPrint.assignedPostmanAt</t>
        </is>
      </c>
      <c r="B38" s="3" t="inlineStr">
        <is>
          <t>Ngày PC</t>
        </is>
      </c>
      <c r="C38" s="3" t="inlineStr">
        <is>
          <t>Date Assign</t>
        </is>
      </c>
      <c r="D38" s="217">
        <f>IFERROR(__xludf.DUMMYFUNCTION("GOOGLETRANSLATE(C38,""vi"",""km"")"),"កាលបរិច្ឆេទកំណត់")</f>
        <v/>
      </c>
      <c r="E38" s="3" t="n"/>
      <c r="F38" s="3" t="inlineStr">
        <is>
          <t>កាលបរិច្ឆេទកំណត់</t>
        </is>
      </c>
      <c r="G38" s="3" t="n"/>
      <c r="H38" s="217" t="inlineStr">
        <is>
          <t>"auditPrint.assignedPostmanAt": "កាលបរិច្ឆេទកំណត់",</t>
        </is>
      </c>
      <c r="I38" t="inlineStr">
        <is>
          <t>កាលបរិច្ឆេទកំណត់</t>
        </is>
      </c>
    </row>
    <row r="39">
      <c r="A39" s="3" t="inlineStr">
        <is>
          <t>auditPrint.auditDate</t>
        </is>
      </c>
      <c r="B39" s="3" t="inlineStr">
        <is>
          <t>Ngày kiểm kê</t>
        </is>
      </c>
      <c r="C39" s="3" t="inlineStr">
        <is>
          <t>Create Inventory</t>
        </is>
      </c>
      <c r="D39" s="217">
        <f>IFERROR(__xludf.DUMMYFUNCTION("GOOGLETRANSLATE(C39,""vi"",""km"")"),"បង្កើត​សារពើភ័ណ្ឌ")</f>
        <v/>
      </c>
      <c r="E39" s="3" t="n"/>
      <c r="F39" s="3" t="inlineStr">
        <is>
          <t>បង្កើតសារពើភ័ណ្ឌ</t>
        </is>
      </c>
      <c r="G39" s="3" t="n"/>
      <c r="H39" s="217" t="inlineStr">
        <is>
          <t>"auditPrint.auditDate": "បង្កើតសារពើភ័ណ្ឌ",</t>
        </is>
      </c>
      <c r="I39" t="inlineStr">
        <is>
          <t>បង្កើតសារពើភ័ណ្ឌ</t>
        </is>
      </c>
    </row>
    <row r="40">
      <c r="A40" s="3" t="inlineStr">
        <is>
          <t>auditPrint.auditFailedReason</t>
        </is>
      </c>
      <c r="B40" s="3" t="inlineStr">
        <is>
          <t>Giải trình</t>
        </is>
      </c>
      <c r="C40" s="3" t="inlineStr">
        <is>
          <t>Reason</t>
        </is>
      </c>
      <c r="D40" s="217">
        <f>IFERROR(__xludf.DUMMYFUNCTION("GOOGLETRANSLATE(C40,""vi"",""km"")"),"ហេតុផល")</f>
        <v/>
      </c>
      <c r="E40" s="3" t="n"/>
      <c r="F40" s="3" t="inlineStr">
        <is>
          <t>ការបំភ្លឺ/បកស្រាយ</t>
        </is>
      </c>
      <c r="G40" s="3" t="n"/>
      <c r="H40" s="217" t="inlineStr">
        <is>
          <t>"auditPrint.auditFailedReason": "ការបំភ្លឺ/បកស្រាយ",</t>
        </is>
      </c>
      <c r="I40" t="inlineStr">
        <is>
          <t>ការបំភ្លឺ/បកស្រាយ</t>
        </is>
      </c>
    </row>
    <row r="41">
      <c r="A41" s="3" t="inlineStr">
        <is>
          <t>auditPrint.auditTag</t>
        </is>
      </c>
      <c r="B41" s="3" t="inlineStr">
        <is>
          <t>So sánh</t>
        </is>
      </c>
      <c r="C41" s="3" t="inlineStr">
        <is>
          <t>Compare</t>
        </is>
      </c>
      <c r="D41" s="217">
        <f>IFERROR(__xludf.DUMMYFUNCTION("GOOGLETRANSLATE(C41,""vi"",""km"")"),"ប្រៀបធៀប")</f>
        <v/>
      </c>
      <c r="E41" s="3" t="n"/>
      <c r="F41" s="3" t="inlineStr">
        <is>
          <t>ប្រៀបធៀប</t>
        </is>
      </c>
      <c r="G41" s="3" t="n"/>
      <c r="H41" s="217" t="inlineStr">
        <is>
          <t>"auditPrint.auditTag": "ប្រៀបធៀប",</t>
        </is>
      </c>
      <c r="I41" t="inlineStr">
        <is>
          <t>ប្រៀបធៀប</t>
        </is>
      </c>
    </row>
    <row r="42">
      <c r="A42" s="3" t="inlineStr">
        <is>
          <t>auditPrint.auditUser</t>
        </is>
      </c>
      <c r="B42" s="3" t="inlineStr">
        <is>
          <t>Người kiểm kê</t>
        </is>
      </c>
      <c r="C42" s="3" t="inlineStr">
        <is>
          <t>User Inventory</t>
        </is>
      </c>
      <c r="D42" s="217">
        <f>IFERROR(__xludf.DUMMYFUNCTION("GOOGLETRANSLATE(C42,""vi"",""km"")"),"ការចុះឈ្មោះអ្នកប្រើប្រាស់")</f>
        <v/>
      </c>
      <c r="E42" s="3" t="n"/>
      <c r="F42" s="3" t="inlineStr">
        <is>
          <t>ការចុះឈ្មោះអ្នកប្រើប្រាស់</t>
        </is>
      </c>
      <c r="G42" s="3" t="n"/>
      <c r="H42" s="217" t="inlineStr">
        <is>
          <t>"auditPrint.auditUser": "ការចុះឈ្មោះអ្នកប្រើប្រាស់",</t>
        </is>
      </c>
      <c r="I42" t="inlineStr">
        <is>
          <t>ការចុះឈ្មោះអ្នកប្រើប្រាស់</t>
        </is>
      </c>
    </row>
    <row r="43">
      <c r="A43" s="3" t="inlineStr">
        <is>
          <t>auditPrint.department</t>
        </is>
      </c>
      <c r="B43" s="3" t="inlineStr">
        <is>
          <t>Bưu cục</t>
        </is>
      </c>
      <c r="C43" s="3" t="inlineStr">
        <is>
          <t>Post-office</t>
        </is>
      </c>
      <c r="D43" s="217">
        <f>IFERROR(__xludf.DUMMYFUNCTION("GOOGLETRANSLATE(C43,""vi"",""km"")"),"ការិយាល័យប្រៃសណីយ៍")</f>
        <v/>
      </c>
      <c r="E43" s="3" t="n"/>
      <c r="F43" s="3" t="inlineStr">
        <is>
          <t>ការិយាល័យប្រៃសណីយ៍</t>
        </is>
      </c>
      <c r="G43" s="3" t="n"/>
      <c r="H43" s="217" t="inlineStr">
        <is>
          <t>"auditPrint.department": "ការិយាល័យប្រៃសណីយ៍",</t>
        </is>
      </c>
      <c r="I43" t="inlineStr">
        <is>
          <t>ការិយាល័យប្រៃសណីយ៍</t>
        </is>
      </c>
    </row>
    <row r="44">
      <c r="A44" s="3" t="inlineStr">
        <is>
          <t>auditPrint.departmentLeader</t>
        </is>
      </c>
      <c r="B44" s="3" t="inlineStr">
        <is>
          <t>Trưởng bưu cục</t>
        </is>
      </c>
      <c r="C44" s="3" t="inlineStr">
        <is>
          <t>Head of Post-Office</t>
        </is>
      </c>
      <c r="D44" s="217">
        <f>IFERROR(__xludf.DUMMYFUNCTION("GOOGLETRANSLATE(C44,""vi"",""km"")"),"ប្រធានការិយាល័យប្រៃសណីយ៍")</f>
        <v/>
      </c>
      <c r="E44" s="3" t="n"/>
      <c r="F44" s="3" t="inlineStr">
        <is>
          <t>ប្រធានការិយាល័យប្រៃសណីយ៍</t>
        </is>
      </c>
      <c r="G44" s="3" t="n"/>
      <c r="H44" s="217" t="inlineStr">
        <is>
          <t>"auditPrint.departmentLeader": "ប្រធានការិយាល័យប្រៃសណីយ៍",</t>
        </is>
      </c>
      <c r="I44" t="inlineStr">
        <is>
          <t>ប្រធានការិយាល័យប្រៃសណីយ៍</t>
        </is>
      </c>
    </row>
    <row r="45">
      <c r="A45" s="3" t="inlineStr">
        <is>
          <t>auditPrint.finalFee</t>
        </is>
      </c>
      <c r="B45" s="3" t="inlineStr">
        <is>
          <t>Tiền phải thu</t>
        </is>
      </c>
      <c r="C45" s="3" t="inlineStr">
        <is>
          <t>Total amount</t>
        </is>
      </c>
      <c r="D45" s="217">
        <f>IFERROR(__xludf.DUMMYFUNCTION("GOOGLETRANSLATE(C45,""vi"",""km"")"),"ចំនួនទឹកប្រាក់សរុប")</f>
        <v/>
      </c>
      <c r="E45" s="3" t="n"/>
      <c r="F45" s="3" t="inlineStr">
        <is>
          <t>ចំនួនទឹកប្រាក់សរុប</t>
        </is>
      </c>
      <c r="G45" s="3" t="n"/>
      <c r="H45" s="217" t="inlineStr">
        <is>
          <t>"auditPrint.finalFee": "ចំនួនទឹកប្រាក់សរុប",</t>
        </is>
      </c>
      <c r="I45" t="inlineStr">
        <is>
          <t>ចំនួនទឹកប្រាក់សរុប</t>
        </is>
      </c>
    </row>
    <row r="46">
      <c r="A46" s="3" t="inlineStr">
        <is>
          <t>auditPrint.orderId</t>
        </is>
      </c>
      <c r="B46" s="3" t="inlineStr">
        <is>
          <t>Mã phiếu gửi</t>
        </is>
      </c>
      <c r="C46" s="3" t="inlineStr">
        <is>
          <t>Billcode</t>
        </is>
      </c>
      <c r="D46" s="217">
        <f>IFERROR(__xludf.DUMMYFUNCTION("GOOGLETRANSLATE(C46,""vi"",""km"")"),"លេខកូដវិក្កយបត្រ")</f>
        <v/>
      </c>
      <c r="E46" s="3" t="n"/>
      <c r="F46" s="3" t="inlineStr">
        <is>
          <t>លេខកូដបុងបញ្ញើ</t>
        </is>
      </c>
      <c r="G46" s="3" t="n"/>
      <c r="H46" s="217" t="inlineStr">
        <is>
          <t>"auditPrint.orderId": "លេខកូដបុងបញ្ញើ",</t>
        </is>
      </c>
      <c r="I46" t="inlineStr">
        <is>
          <t>លេខកូដបុងបញ្ញើ</t>
        </is>
      </c>
    </row>
    <row r="47">
      <c r="A47" s="3" t="inlineStr">
        <is>
          <t>auditPrint.print</t>
        </is>
      </c>
      <c r="B47" s="3" t="inlineStr">
        <is>
          <t>In biên bản</t>
        </is>
      </c>
      <c r="C47" s="3" t="inlineStr">
        <is>
          <t>Print</t>
        </is>
      </c>
      <c r="D47" s="217">
        <f>IFERROR(__xludf.DUMMYFUNCTION("GOOGLETRANSLATE(C47,""vi"",""km"")"),"ជើងហោះហើរ")</f>
        <v/>
      </c>
      <c r="E47" s="3" t="n"/>
      <c r="F47" s="3" t="inlineStr">
        <is>
          <t>ជើងហោះហើរ</t>
        </is>
      </c>
      <c r="G47" s="3" t="n"/>
      <c r="H47" s="217" t="inlineStr">
        <is>
          <t>"auditPrint.print": "ជើងហោះហើរ",</t>
        </is>
      </c>
      <c r="I47" t="inlineStr">
        <is>
          <t>ជើងហោះហើរ</t>
        </is>
      </c>
    </row>
    <row r="48">
      <c r="A48" s="3" t="inlineStr">
        <is>
          <t>auditPrint.title</t>
        </is>
      </c>
      <c r="B48" s="3" t="inlineStr">
        <is>
          <t>BIÊN BẢN KIỂM KÊ CHI TIẾT</t>
        </is>
      </c>
      <c r="C48" s="3" t="inlineStr">
        <is>
          <t>List Inventory</t>
        </is>
      </c>
      <c r="D48" s="217">
        <f>IFERROR(__xludf.DUMMYFUNCTION("GOOGLETRANSLATE(C48,""vi"",""km"")"),"ស្តុក AC")</f>
        <v/>
      </c>
      <c r="E48" s="3" t="n"/>
      <c r="F48" s="3" t="inlineStr">
        <is>
          <t>ស្តុក AC</t>
        </is>
      </c>
      <c r="G48" s="3" t="n"/>
      <c r="H48" s="217" t="inlineStr">
        <is>
          <t>"auditPrint.title": "ស្តុក AC",</t>
        </is>
      </c>
      <c r="I48" t="inlineStr">
        <is>
          <t>ស្តុក AC</t>
        </is>
      </c>
    </row>
    <row r="49">
      <c r="A49" s="3" t="inlineStr">
        <is>
          <t>auditPrint.titleHeader</t>
        </is>
      </c>
      <c r="B49" s="3" t="inlineStr">
        <is>
          <t>CHUYÊN NGHIỆP - NHANH CHÓNG - HIỆU QUẢ</t>
        </is>
      </c>
      <c r="C49" s="3" t="inlineStr">
        <is>
          <t>PROFESSIONAL - FAST - EFFECTIVE</t>
        </is>
      </c>
      <c r="D49" s="217">
        <f>IFERROR(__xludf.DUMMYFUNCTION("GOOGLETRANSLATE(C49,""vi"",""km"")"),"វិជ្ជាជីវៈ - រហ័ស - មានប្រសិទ្ធភាព")</f>
        <v/>
      </c>
      <c r="E49" s="3" t="n"/>
      <c r="F49" s="3" t="inlineStr">
        <is>
          <t>វិជ្ជាជីវៈ - រហ័ស - មានប្រសិទ្ធភាព</t>
        </is>
      </c>
      <c r="G49" s="3" t="n"/>
      <c r="H49" s="217" t="inlineStr">
        <is>
          <t>"auditPrint.titleHeader": "វិជ្ជាជីវៈ - រហ័ស - មានប្រសិទ្ធភាព",</t>
        </is>
      </c>
      <c r="I49" t="inlineStr">
        <is>
          <t>វិជ្ជាជីវៈ - រហ័ស - មានប្រសិទ្ធភាព</t>
        </is>
      </c>
    </row>
    <row r="50">
      <c r="A50" s="3" t="inlineStr">
        <is>
          <t>auditPrint.user</t>
        </is>
      </c>
      <c r="B50" s="3" t="inlineStr">
        <is>
          <t>Nhân viên phát</t>
        </is>
      </c>
      <c r="C50" s="3" t="inlineStr">
        <is>
          <t>Delivery-man</t>
        </is>
      </c>
      <c r="D50" s="217">
        <f>IFERROR(__xludf.DUMMYFUNCTION("GOOGLETRANSLATE(C50,""vi"",""km"")"),"អ្នកដឹកជញ្ជូន")</f>
        <v/>
      </c>
      <c r="E50" s="3" t="n"/>
      <c r="F50" s="3" t="inlineStr">
        <is>
          <t>អ្នកដឹកជញ្ជូន</t>
        </is>
      </c>
      <c r="G50" s="3" t="n"/>
      <c r="H50" s="217" t="inlineStr">
        <is>
          <t>"auditPrint.user": "អ្នកដឹកជញ្ជូន",</t>
        </is>
      </c>
      <c r="I50" t="inlineStr">
        <is>
          <t>អ្នកដឹកជញ្ជូន</t>
        </is>
      </c>
    </row>
    <row r="51">
      <c r="A51" s="3" t="inlineStr">
        <is>
          <t>backlog.DOCUMENT</t>
        </is>
      </c>
      <c r="B51" s="3" t="inlineStr">
        <is>
          <t>Thư</t>
        </is>
      </c>
      <c r="C51" s="3" t="inlineStr">
        <is>
          <t>Document</t>
        </is>
      </c>
      <c r="D51" s="217">
        <f>IFERROR(__xludf.DUMMYFUNCTION("GOOGLETRANSLATE(C51,""vi"",""km"")"),"ឯកសារ")</f>
        <v/>
      </c>
      <c r="E51" s="3" t="n"/>
      <c r="F51" s="3" t="inlineStr">
        <is>
          <t>ឯកសារ</t>
        </is>
      </c>
      <c r="G51" s="3" t="n"/>
      <c r="H51" s="217" t="inlineStr">
        <is>
          <t>"backlog.DOCUMENT": "ឯកសារ",</t>
        </is>
      </c>
      <c r="I51" t="inlineStr">
        <is>
          <t>ឯកសារ</t>
        </is>
      </c>
    </row>
    <row r="52">
      <c r="A52" s="3" t="inlineStr">
        <is>
          <t>backlog.GOODS</t>
        </is>
      </c>
      <c r="B52" s="3" t="inlineStr">
        <is>
          <t>Hàng</t>
        </is>
      </c>
      <c r="C52" s="3" t="inlineStr">
        <is>
          <t>Goods</t>
        </is>
      </c>
      <c r="D52" s="217">
        <f>IFERROR(__xludf.DUMMYFUNCTION("GOOGLETRANSLATE(C52,""vi"",""km"")"),"ទំនិញ")</f>
        <v/>
      </c>
      <c r="E52" s="3" t="n"/>
      <c r="F52" s="3" t="inlineStr">
        <is>
          <t>ទំនិញ</t>
        </is>
      </c>
      <c r="G52" s="3" t="n"/>
      <c r="H52" s="217" t="inlineStr">
        <is>
          <t>"backlog.GOODS": "ទំនិញ",</t>
        </is>
      </c>
      <c r="I52" t="inlineStr">
        <is>
          <t>ទំនិញ</t>
        </is>
      </c>
    </row>
    <row r="53">
      <c r="A53" s="3" t="inlineStr">
        <is>
          <t>backlog.branch</t>
        </is>
      </c>
      <c r="B53" s="3" t="inlineStr">
        <is>
          <t>Chi nhánh</t>
        </is>
      </c>
      <c r="C53" s="3" t="inlineStr">
        <is>
          <t>Delivery branch</t>
        </is>
      </c>
      <c r="D53" s="217">
        <f>IFERROR(__xludf.DUMMYFUNCTION("GOOGLETRANSLATE(C53,""vi"",""km"")"),"សាខាដឹកជញ្ជូន")</f>
        <v/>
      </c>
      <c r="E53" s="3" t="n"/>
      <c r="F53" s="3" t="inlineStr">
        <is>
          <t>សាខា</t>
        </is>
      </c>
      <c r="G53" s="3" t="n"/>
      <c r="H53" s="217" t="inlineStr">
        <is>
          <t>"backlog.branch": "សាខា",</t>
        </is>
      </c>
      <c r="I53" t="inlineStr">
        <is>
          <t>សាខា</t>
        </is>
      </c>
    </row>
    <row r="54">
      <c r="A54" s="3" t="inlineStr">
        <is>
          <t>backlog.deliveryBranch</t>
        </is>
      </c>
      <c r="B54" s="3" t="inlineStr">
        <is>
          <t>Chi nhánh phát</t>
        </is>
      </c>
      <c r="C54" s="3" t="inlineStr">
        <is>
          <t>Delivery branch</t>
        </is>
      </c>
      <c r="D54" s="217">
        <f>IFERROR(__xludf.DUMMYFUNCTION("GOOGLETRANSLATE(C54,""vi"",""km"")"),"សាខាដឹកជញ្ជូន")</f>
        <v/>
      </c>
      <c r="E54" s="3" t="n"/>
      <c r="F54" s="3" t="inlineStr">
        <is>
          <t>សាខាដឹកជញ្ជូន</t>
        </is>
      </c>
      <c r="G54" s="3" t="n"/>
      <c r="H54" s="217" t="inlineStr">
        <is>
          <t>"backlog.deliveryBranch": "សាខាដឹកជញ្ជូន",</t>
        </is>
      </c>
      <c r="I54" t="inlineStr">
        <is>
          <t>សាខាដឹកជញ្ជូន</t>
        </is>
      </c>
    </row>
    <row r="55">
      <c r="A55" s="3" t="inlineStr">
        <is>
          <t>backlog.deliveryPostcode</t>
        </is>
      </c>
      <c r="B55" s="3" t="inlineStr">
        <is>
          <t>Bưu cục phát</t>
        </is>
      </c>
      <c r="C55" s="3" t="inlineStr">
        <is>
          <t>Delivery postcode</t>
        </is>
      </c>
      <c r="D55" s="217">
        <f>IFERROR(__xludf.DUMMYFUNCTION("GOOGLETRANSLATE(C55,""vi"",""km"")"),"លេខកូដប្រៃសណីយ៍ដឹកជញ្ជូន")</f>
        <v/>
      </c>
      <c r="E55" s="3" t="n"/>
      <c r="F55" s="3" t="inlineStr">
        <is>
          <t>ការិយាល័យប្រៃសណីយ៍ដឹកចែក</t>
        </is>
      </c>
      <c r="G55" s="3" t="n"/>
      <c r="H55" s="217" t="inlineStr">
        <is>
          <t>"backlog.deliveryPostcode": "ការិយាល័យប្រៃសណីយ៍ដឹកចែក",</t>
        </is>
      </c>
      <c r="I55" t="inlineStr">
        <is>
          <t>ការិយាល័យប្រៃសណីយ៍ដឹកចែក</t>
        </is>
      </c>
    </row>
    <row r="56">
      <c r="A56" s="3" t="inlineStr">
        <is>
          <t>backlog.deliveryRoute</t>
        </is>
      </c>
      <c r="B56" s="3" t="inlineStr">
        <is>
          <t>Tuyến bưu tá phát</t>
        </is>
      </c>
      <c r="C56" s="3" t="inlineStr">
        <is>
          <t>Delivery route</t>
        </is>
      </c>
      <c r="D56" s="217">
        <f>IFERROR(__xludf.DUMMYFUNCTION("GOOGLETRANSLATE(C56,""vi"",""km"")"),"ផ្លូវដឹកជញ្ជូន")</f>
        <v/>
      </c>
      <c r="E56" s="3" t="n"/>
      <c r="F56" s="3" t="inlineStr">
        <is>
          <t>ផ្លូវដឹកជញ្ជូន</t>
        </is>
      </c>
      <c r="G56" s="3" t="n"/>
      <c r="H56" s="217" t="inlineStr">
        <is>
          <t>"backlog.deliveryRoute": "ផ្លូវដឹកជញ្ជូន",</t>
        </is>
      </c>
      <c r="I56" t="inlineStr">
        <is>
          <t>ផ្លូវដឹកជញ្ជូន</t>
        </is>
      </c>
    </row>
    <row r="57">
      <c r="A57" s="3" t="inlineStr">
        <is>
          <t>backlog.fileName</t>
        </is>
      </c>
      <c r="B57" s="3" t="inlineStr">
        <is>
          <t>Baocaotongiao</t>
        </is>
      </c>
      <c r="C57" s="3" t="inlineStr">
        <is>
          <t>DeliveryInventoryReport</t>
        </is>
      </c>
      <c r="D57" s="217">
        <f>IFERROR(__xludf.DUMMYFUNCTION("GOOGLETRANSLATE(C57,""vi"",""km"")"),"របាយការណ៍ស្តុកទំនិញដឹកជញ្ជូន")</f>
        <v/>
      </c>
      <c r="E57" s="3" t="n"/>
      <c r="F57" s="3" t="inlineStr">
        <is>
          <t>របាយការណ៍បញ្ញើសេសសល់ត្រូវដឹកចែក</t>
        </is>
      </c>
      <c r="G57" s="3" t="n"/>
      <c r="H57" s="217" t="inlineStr">
        <is>
          <t>"backlog.fileName": "របាយការណ៍បញ្ញើសេសសល់ត្រូវដឹកចែក",</t>
        </is>
      </c>
      <c r="I57" t="inlineStr">
        <is>
          <t>របាយការណ៍បញ្ញើសេសសល់ត្រូវដឹកចែក</t>
        </is>
      </c>
    </row>
    <row r="58">
      <c r="A58" s="3" t="inlineStr">
        <is>
          <t>backlog.fileNameDetail</t>
        </is>
      </c>
      <c r="B58" s="3" t="inlineStr">
        <is>
          <t>Chitietongiao</t>
        </is>
      </c>
      <c r="C58" s="3" t="inlineStr">
        <is>
          <t>DetailDeliveryInventory</t>
        </is>
      </c>
      <c r="D58" s="217">
        <f>IFERROR(__xludf.DUMMYFUNCTION("GOOGLETRANSLATE(C58,""vi"",""km"")"),"ព័ត៌មានលម្អិតអំពីការដឹកជញ្ជូន")</f>
        <v/>
      </c>
      <c r="E58" s="3" t="n"/>
      <c r="F58" s="3" t="inlineStr">
        <is>
          <t>ព័ត៌មានលម្អិតបញ្ញើសេសសល់ត្រូវដឹកចែក</t>
        </is>
      </c>
      <c r="G58" s="3" t="n"/>
      <c r="H58" s="217" t="inlineStr">
        <is>
          <t>"backlog.fileNameDetail": "ព័ត៌មានលម្អិតបញ្ញើសេសសល់ត្រូវដឹកចែក",</t>
        </is>
      </c>
      <c r="I58" t="inlineStr">
        <is>
          <t>ព័ត៌មានលម្អិតបញ្ញើសេសសល់ត្រូវដឹកចែក</t>
        </is>
      </c>
    </row>
    <row r="59">
      <c r="A59" s="3" t="inlineStr">
        <is>
          <t>backlog.ngayN</t>
        </is>
      </c>
      <c r="B59" s="3" t="inlineStr">
        <is>
          <t>Ngày n</t>
        </is>
      </c>
      <c r="C59" s="3" t="inlineStr">
        <is>
          <t>Day n</t>
        </is>
      </c>
      <c r="D59" s="217">
        <f>IFERROR(__xludf.DUMMYFUNCTION("GOOGLETRANSLATE(C59,""vi"",""km"")"),"ថ្ងៃ n")</f>
        <v/>
      </c>
      <c r="E59" s="3" t="n"/>
      <c r="F59" s="3" t="inlineStr">
        <is>
          <t>ថ្ងៃ n</t>
        </is>
      </c>
      <c r="G59" s="3" t="n"/>
      <c r="H59" s="217" t="inlineStr">
        <is>
          <t>"backlog.ngayN": "ថ្ងៃ n",</t>
        </is>
      </c>
      <c r="I59" t="inlineStr">
        <is>
          <t>ថ្ងៃ n</t>
        </is>
      </c>
    </row>
    <row r="60">
      <c r="A60" s="3" t="inlineStr">
        <is>
          <t>backlog.ngayN1</t>
        </is>
      </c>
      <c r="B60" s="3" t="inlineStr">
        <is>
          <t>Ngày n - 1</t>
        </is>
      </c>
      <c r="C60" s="3" t="inlineStr">
        <is>
          <t>Day n - 1</t>
        </is>
      </c>
      <c r="D60" s="217">
        <f>IFERROR(__xludf.DUMMYFUNCTION("GOOGLETRANSLATE(C60,""vi"",""km"")"),"ថ្ងៃទី n - 1")</f>
        <v/>
      </c>
      <c r="E60" s="3" t="n"/>
      <c r="F60" s="3" t="inlineStr">
        <is>
          <t>ថ្ងៃទី n - 1</t>
        </is>
      </c>
      <c r="G60" s="3" t="n"/>
      <c r="H60" s="217" t="inlineStr">
        <is>
          <t>"backlog.ngayN1": "ថ្ងៃទី n - 1",</t>
        </is>
      </c>
      <c r="I60" t="inlineStr">
        <is>
          <t>ថ្ងៃទី n - 1</t>
        </is>
      </c>
    </row>
    <row r="61">
      <c r="A61" s="3" t="inlineStr">
        <is>
          <t>backlog.ngayN2</t>
        </is>
      </c>
      <c r="B61" s="3" t="inlineStr">
        <is>
          <t>Ngày n - 2</t>
        </is>
      </c>
      <c r="C61" s="3" t="inlineStr">
        <is>
          <t>Day n - 2</t>
        </is>
      </c>
      <c r="D61" s="217">
        <f>IFERROR(__xludf.DUMMYFUNCTION("GOOGLETRANSLATE(C61,""vi"",""km"")"),"ថ្ងៃទី n - 2")</f>
        <v/>
      </c>
      <c r="E61" s="3" t="n"/>
      <c r="F61" s="3" t="inlineStr">
        <is>
          <t>ថ្ងៃទី n - 2</t>
        </is>
      </c>
      <c r="G61" s="3" t="n"/>
      <c r="H61" s="217" t="inlineStr">
        <is>
          <t>"backlog.ngayN2": "ថ្ងៃទី n - 2",</t>
        </is>
      </c>
      <c r="I61" t="inlineStr">
        <is>
          <t>ថ្ងៃទី n - 2</t>
        </is>
      </c>
    </row>
    <row r="62">
      <c r="A62" s="3" t="inlineStr">
        <is>
          <t>backlog.ngayN3</t>
        </is>
      </c>
      <c r="B62" s="3" t="inlineStr">
        <is>
          <t>Ngày n - 3</t>
        </is>
      </c>
      <c r="C62" s="3" t="inlineStr">
        <is>
          <t>Day n - 3</t>
        </is>
      </c>
      <c r="D62" s="217">
        <f>IFERROR(__xludf.DUMMYFUNCTION("GOOGLETRANSLATE(C62,""vi"",""km"")"),"ថ្ងៃទី n - 3")</f>
        <v/>
      </c>
      <c r="E62" s="3" t="n"/>
      <c r="F62" s="3" t="inlineStr">
        <is>
          <t>ថ្ងៃទី n - 3</t>
        </is>
      </c>
      <c r="G62" s="3" t="n"/>
      <c r="H62" s="217" t="inlineStr">
        <is>
          <t>"backlog.ngayN3": "ថ្ងៃទី n - 3",</t>
        </is>
      </c>
      <c r="I62" t="inlineStr">
        <is>
          <t>ថ្ងៃទី n - 3</t>
        </is>
      </c>
    </row>
    <row r="63">
      <c r="A63" s="3" t="inlineStr">
        <is>
          <t>backlog.ngayN4</t>
        </is>
      </c>
      <c r="B63" s="3" t="inlineStr">
        <is>
          <t>Ngày n - 4</t>
        </is>
      </c>
      <c r="C63" s="3" t="inlineStr">
        <is>
          <t>Day n - 4</t>
        </is>
      </c>
      <c r="D63" s="217">
        <f>IFERROR(__xludf.DUMMYFUNCTION("GOOGLETRANSLATE(C63,""vi"",""km"")"),"ថ្ងៃទី n - ៤")</f>
        <v/>
      </c>
      <c r="E63" s="3" t="n"/>
      <c r="F63" s="3" t="inlineStr">
        <is>
          <t>ថ្ងៃទី n - ៤</t>
        </is>
      </c>
      <c r="G63" s="3" t="n"/>
      <c r="H63" s="217" t="inlineStr">
        <is>
          <t>"backlog.ngayN4": "ថ្ងៃទី n - ៤",</t>
        </is>
      </c>
      <c r="I63" t="inlineStr">
        <is>
          <t>ថ្ងៃទី n - ៤</t>
        </is>
      </c>
    </row>
    <row r="64">
      <c r="A64" s="3" t="inlineStr">
        <is>
          <t>backlog.ngayN5</t>
        </is>
      </c>
      <c r="B64" s="3" t="inlineStr">
        <is>
          <t>Ngày n - 5</t>
        </is>
      </c>
      <c r="C64" s="3" t="inlineStr">
        <is>
          <t>Day n - 5</t>
        </is>
      </c>
      <c r="D64" s="217">
        <f>IFERROR(__xludf.DUMMYFUNCTION("GOOGLETRANSLATE(C64,""vi"",""km"")"),"ថ្ងៃទី n - 5")</f>
        <v/>
      </c>
      <c r="E64" s="3" t="n"/>
      <c r="F64" s="3" t="inlineStr">
        <is>
          <t>ថ្ងៃទី n - 5</t>
        </is>
      </c>
      <c r="G64" s="3" t="n"/>
      <c r="H64" s="217" t="inlineStr">
        <is>
          <t>"backlog.ngayN5": "ថ្ងៃទី n - 5",</t>
        </is>
      </c>
      <c r="I64" t="inlineStr">
        <is>
          <t>ថ្ងៃទី n - 5</t>
        </is>
      </c>
    </row>
    <row r="65">
      <c r="A65" s="3" t="inlineStr">
        <is>
          <t>backlog.ngayN6</t>
        </is>
      </c>
      <c r="B65" s="3" t="inlineStr">
        <is>
          <t>Ngày n - 6</t>
        </is>
      </c>
      <c r="C65" s="3" t="inlineStr">
        <is>
          <t>Day n - 6</t>
        </is>
      </c>
      <c r="D65" s="217">
        <f>IFERROR(__xludf.DUMMYFUNCTION("GOOGLETRANSLATE(C65,""vi"",""km"")"),"ថ្ងៃទី n - 6")</f>
        <v/>
      </c>
      <c r="E65" s="3" t="n"/>
      <c r="F65" s="3" t="inlineStr">
        <is>
          <t>ថ្ងៃទី n - 6</t>
        </is>
      </c>
      <c r="G65" s="3" t="n"/>
      <c r="H65" s="217" t="inlineStr">
        <is>
          <t>"backlog.ngayN6": "ថ្ងៃទី n - 6",</t>
        </is>
      </c>
      <c r="I65" t="inlineStr">
        <is>
          <t>ថ្ងៃទី n - 6</t>
        </is>
      </c>
    </row>
    <row r="66">
      <c r="A66" s="3" t="inlineStr">
        <is>
          <t>backlog.ngayN7</t>
        </is>
      </c>
      <c r="B66" s="3" t="inlineStr">
        <is>
          <t>Ngày n - 7</t>
        </is>
      </c>
      <c r="C66" s="3" t="inlineStr">
        <is>
          <t>Day n - 7</t>
        </is>
      </c>
      <c r="D66" s="217">
        <f>IFERROR(__xludf.DUMMYFUNCTION("GOOGLETRANSLATE(C66,""vi"",""km"")"),"ថ្ងៃទី n - 7")</f>
        <v/>
      </c>
      <c r="E66" s="3" t="n"/>
      <c r="F66" s="3" t="inlineStr">
        <is>
          <t>ថ្ងៃទី n - 7</t>
        </is>
      </c>
      <c r="G66" s="3" t="n"/>
      <c r="H66" s="217" t="inlineStr">
        <is>
          <t>"backlog.ngayN7": "ថ្ងៃទី n - 7",</t>
        </is>
      </c>
      <c r="I66" t="inlineStr">
        <is>
          <t>ថ្ងៃទី n - 7</t>
        </is>
      </c>
    </row>
    <row r="67">
      <c r="A67" s="3" t="inlineStr">
        <is>
          <t>backlog.ngayN8</t>
        </is>
      </c>
      <c r="B67" s="3" t="inlineStr">
        <is>
          <t>Ngày n - 8</t>
        </is>
      </c>
      <c r="C67" s="3" t="inlineStr">
        <is>
          <t>Day n - 8</t>
        </is>
      </c>
      <c r="D67" s="217">
        <f>IFERROR(__xludf.DUMMYFUNCTION("GOOGLETRANSLATE(C67,""vi"",""km"")"),"ថ្ងៃទី n - 8")</f>
        <v/>
      </c>
      <c r="E67" s="3" t="n"/>
      <c r="F67" s="3" t="inlineStr">
        <is>
          <t>ថ្ងៃទី n - 8</t>
        </is>
      </c>
      <c r="G67" s="3" t="n"/>
      <c r="H67" s="217" t="inlineStr">
        <is>
          <t>"backlog.ngayN8": "ថ្ងៃទី n - 8",</t>
        </is>
      </c>
      <c r="I67" t="inlineStr">
        <is>
          <t>ថ្ងៃទី n - 8</t>
        </is>
      </c>
    </row>
    <row r="68">
      <c r="A68" s="3" t="inlineStr">
        <is>
          <t>backlog.ngayN9</t>
        </is>
      </c>
      <c r="B68" s="3" t="inlineStr">
        <is>
          <t>Ngày n - 9</t>
        </is>
      </c>
      <c r="C68" s="3" t="inlineStr">
        <is>
          <t>Day n - 9</t>
        </is>
      </c>
      <c r="D68" s="217">
        <f>IFERROR(__xludf.DUMMYFUNCTION("GOOGLETRANSLATE(C68,""vi"",""km"")"),"ថ្ងៃទី ៩")</f>
        <v/>
      </c>
      <c r="E68" s="3" t="n"/>
      <c r="F68" s="3" t="inlineStr">
        <is>
          <t>ថ្ងៃទី ៩</t>
        </is>
      </c>
      <c r="G68" s="3" t="n"/>
      <c r="H68" s="217" t="inlineStr">
        <is>
          <t>"backlog.ngayN9": "ថ្ងៃទី ៩",</t>
        </is>
      </c>
      <c r="I68" t="inlineStr">
        <is>
          <t>ថ្ងៃទី ៩</t>
        </is>
      </c>
    </row>
    <row r="69">
      <c r="A69" s="3" t="inlineStr">
        <is>
          <t>backlog.orderId</t>
        </is>
      </c>
      <c r="B69" s="3" t="inlineStr">
        <is>
          <t>Mã phiếu gửi</t>
        </is>
      </c>
      <c r="C69" s="3" t="inlineStr">
        <is>
          <t>Billcode</t>
        </is>
      </c>
      <c r="D69" s="217">
        <f>IFERROR(__xludf.DUMMYFUNCTION("GOOGLETRANSLATE(C69,""vi"",""km"")"),"លេខកូដវិក្កយបត្រ")</f>
        <v/>
      </c>
      <c r="E69" s="3" t="n"/>
      <c r="F69" s="3" t="inlineStr">
        <is>
          <t>លេខកូដបុងបញ្ញើ</t>
        </is>
      </c>
      <c r="G69" s="3" t="n"/>
      <c r="H69" s="217" t="inlineStr">
        <is>
          <t>"backlog.orderId": "លេខកូដបុងបញ្ញើ",</t>
        </is>
      </c>
      <c r="I69" t="inlineStr">
        <is>
          <t>លេខកូដបុងបញ្ញើ</t>
        </is>
      </c>
    </row>
    <row r="70">
      <c r="A70" s="3" t="inlineStr">
        <is>
          <t>backlog.popupTitle</t>
        </is>
      </c>
      <c r="B70" s="3" t="inlineStr">
        <is>
          <t>Chi tiết bưu gửi tồn giao</t>
        </is>
      </c>
      <c r="C70" s="3" t="inlineStr">
        <is>
          <t>Detail delivery backlog order</t>
        </is>
      </c>
      <c r="D70" s="217">
        <f>IFERROR(__xludf.DUMMYFUNCTION("GOOGLETRANSLATE(C70,""vi"",""km"")"),"ព័ត៌មានលម្អិតនៃការបញ្ជាទិញដឹកជញ្ជូន")</f>
        <v/>
      </c>
      <c r="E70" s="3" t="n"/>
      <c r="F70" s="3" t="inlineStr">
        <is>
          <t>ព័ត៌មានលម្អិតនៃការបញ្ជាទិញដឹកជញ្ជូន</t>
        </is>
      </c>
      <c r="G70" s="3" t="n"/>
      <c r="H70" s="217" t="inlineStr">
        <is>
          <t>"backlog.popupTitle": "ព័ត៌មានលម្អិតនៃការបញ្ជាទិញដឹកជញ្ជូន",</t>
        </is>
      </c>
      <c r="I70" t="inlineStr">
        <is>
          <t>ព័ត៌មានលម្អិតនៃការបញ្ជាទិញដឹកជញ្ជូន</t>
        </is>
      </c>
    </row>
    <row r="71">
      <c r="A71" s="3" t="inlineStr">
        <is>
          <t>backlog.postOffice</t>
        </is>
      </c>
      <c r="B71" s="3" t="inlineStr">
        <is>
          <t>Bưu cục</t>
        </is>
      </c>
      <c r="C71" s="3" t="inlineStr">
        <is>
          <t>Delivery post office</t>
        </is>
      </c>
      <c r="D71" s="217">
        <f>IFERROR(__xludf.DUMMYFUNCTION("GOOGLETRANSLATE(C71,""vi"",""km"")"),"ការិយាល័យប្រៃសណីយ៍ដឹកជញ្ជូន")</f>
        <v/>
      </c>
      <c r="E71" s="3" t="n"/>
      <c r="F71" s="3" t="inlineStr">
        <is>
          <t>ការិយាល័យប្រៃសណីយ៍</t>
        </is>
      </c>
      <c r="G71" s="3" t="n"/>
      <c r="H71" s="217" t="inlineStr">
        <is>
          <t>"backlog.postOffice": "ការិយាល័យប្រៃសណីយ៍",</t>
        </is>
      </c>
      <c r="I71" t="inlineStr">
        <is>
          <t>ការិយាល័យប្រៃសណីយ៍</t>
        </is>
      </c>
    </row>
    <row r="72">
      <c r="A72" s="3" t="inlineStr">
        <is>
          <t>backlog.route</t>
        </is>
      </c>
      <c r="B72" s="3" t="inlineStr">
        <is>
          <t>Tuyến</t>
        </is>
      </c>
      <c r="C72" s="3" t="inlineStr">
        <is>
          <t>Route</t>
        </is>
      </c>
      <c r="D72" s="217">
        <f>IFERROR(__xludf.DUMMYFUNCTION("GOOGLETRANSLATE(C72,""vi"",""km"")"),"ផ្លូវ")</f>
        <v/>
      </c>
      <c r="E72" s="3" t="n"/>
      <c r="F72" s="3" t="inlineStr">
        <is>
          <t>ផ្លូវ</t>
        </is>
      </c>
      <c r="G72" s="3" t="n"/>
      <c r="H72" s="217" t="inlineStr">
        <is>
          <t>"backlog.route": "ផ្លូវ",</t>
        </is>
      </c>
      <c r="I72" t="inlineStr">
        <is>
          <t>ផ្លូវ</t>
        </is>
      </c>
    </row>
    <row r="73">
      <c r="A73" s="3" t="inlineStr">
        <is>
          <t>backlog.routePostman</t>
        </is>
      </c>
      <c r="B73" s="3" t="inlineStr">
        <is>
          <t>Tuyến bưu tá</t>
        </is>
      </c>
      <c r="C73" s="3" t="inlineStr">
        <is>
          <t>Postman routes</t>
        </is>
      </c>
      <c r="D73" s="217">
        <f>IFERROR(__xludf.DUMMYFUNCTION("GOOGLETRANSLATE(C73,""vi"",""km"")"),"ផ្លូវប្រៃសណីយ៍")</f>
        <v/>
      </c>
      <c r="E73" s="3" t="n"/>
      <c r="F73" s="3" t="inlineStr">
        <is>
          <t>ផ្លូវប្រៃសណីយ៍</t>
        </is>
      </c>
      <c r="G73" s="3" t="n"/>
      <c r="H73" s="217" t="inlineStr">
        <is>
          <t>"backlog.routePostman": "ផ្លូវប្រៃសណីយ៍",</t>
        </is>
      </c>
      <c r="I73" t="inlineStr">
        <is>
          <t>ផ្លូវប្រៃសណីយ៍</t>
        </is>
      </c>
    </row>
    <row r="74">
      <c r="A74" s="3" t="inlineStr">
        <is>
          <t>backlog.status</t>
        </is>
      </c>
      <c r="B74" s="3" t="inlineStr">
        <is>
          <t>Trạng thái</t>
        </is>
      </c>
      <c r="C74" s="3" t="inlineStr">
        <is>
          <t>Status</t>
        </is>
      </c>
      <c r="D74" s="217">
        <f>IFERROR(__xludf.DUMMYFUNCTION("GOOGLETRANSLATE(C74,""vi"",""km"")"),"ស្ថានភាព")</f>
        <v/>
      </c>
      <c r="E74" s="3" t="n"/>
      <c r="F74" s="3" t="inlineStr">
        <is>
          <t>ស្ថានភាព</t>
        </is>
      </c>
      <c r="G74" s="3" t="n"/>
      <c r="H74" s="217" t="inlineStr">
        <is>
          <t>"backlog.status": "ស្ថានភាព",</t>
        </is>
      </c>
      <c r="I74" t="inlineStr">
        <is>
          <t>ស្ថានភាព</t>
        </is>
      </c>
    </row>
    <row r="75">
      <c r="A75" s="3" t="inlineStr">
        <is>
          <t>backlog.totalInventory</t>
        </is>
      </c>
      <c r="B75" s="3" t="inlineStr">
        <is>
          <t>Tổng tồn</t>
        </is>
      </c>
      <c r="C75" s="3" t="inlineStr">
        <is>
          <t>Total inventory</t>
        </is>
      </c>
      <c r="D75" s="217">
        <f>IFERROR(__xludf.DUMMYFUNCTION("GOOGLETRANSLATE(C75,""vi"",""km"")"),"ស្តុកសរុប")</f>
        <v/>
      </c>
      <c r="E75" s="3" t="n"/>
      <c r="F75" s="3" t="inlineStr">
        <is>
          <t>ស្តុកសរុប</t>
        </is>
      </c>
      <c r="G75" s="3" t="n"/>
      <c r="H75" s="217" t="inlineStr">
        <is>
          <t>"backlog.totalInventory": "ស្តុកសរុប",</t>
        </is>
      </c>
      <c r="I75" t="inlineStr">
        <is>
          <t>ស្តុកសរុប</t>
        </is>
      </c>
    </row>
    <row r="76">
      <c r="A76" s="3" t="inlineStr">
        <is>
          <t>backlog.type</t>
        </is>
      </c>
      <c r="B76" s="3" t="inlineStr">
        <is>
          <t>Loại cảnh báo</t>
        </is>
      </c>
      <c r="C76" s="3" t="inlineStr">
        <is>
          <t>Warning type</t>
        </is>
      </c>
      <c r="D76" s="217">
        <f>IFERROR(__xludf.DUMMYFUNCTION("GOOGLETRANSLATE(C76,""vi"",""km"")"),"ស្នាមជើង")</f>
        <v/>
      </c>
      <c r="E76" s="3" t="n"/>
      <c r="F76" s="3" t="inlineStr">
        <is>
          <t>ស្នាមជើង</t>
        </is>
      </c>
      <c r="G76" s="3" t="n"/>
      <c r="H76" s="217" t="inlineStr">
        <is>
          <t>"backlog.type": "ស្នាមជើង",</t>
        </is>
      </c>
      <c r="I76" t="inlineStr">
        <is>
          <t>ស្នាមជើង</t>
        </is>
      </c>
    </row>
    <row r="77">
      <c r="A77" s="3" t="inlineStr">
        <is>
          <t>branchManager.area</t>
        </is>
      </c>
      <c r="B77" s="3" t="inlineStr">
        <is>
          <t>Khu vực</t>
        </is>
      </c>
      <c r="C77" s="3" t="inlineStr">
        <is>
          <t>Area</t>
        </is>
      </c>
      <c r="D77" s="217">
        <f>IFERROR(__xludf.DUMMYFUNCTION("GOOGLETRANSLATE(C77,""vi"",""km"")"),"បង្ហូរ")</f>
        <v/>
      </c>
      <c r="E77" s="3" t="n"/>
      <c r="F77" s="3" t="inlineStr">
        <is>
          <t>បង្ហូរ</t>
        </is>
      </c>
      <c r="G77" s="3" t="n"/>
      <c r="H77" s="217" t="inlineStr">
        <is>
          <t>"branchManager.area": "បង្ហូរ",</t>
        </is>
      </c>
      <c r="I77" t="inlineStr">
        <is>
          <t>បង្ហូរ</t>
        </is>
      </c>
    </row>
    <row r="78">
      <c r="A78" s="3" t="inlineStr">
        <is>
          <t>branchManager.branchCode</t>
        </is>
      </c>
      <c r="B78" s="3" t="inlineStr">
        <is>
          <t>Mã chi nhánh</t>
        </is>
      </c>
      <c r="C78" s="3" t="inlineStr">
        <is>
          <t>Branch code</t>
        </is>
      </c>
      <c r="D78" s="217">
        <f>IFERROR(__xludf.DUMMYFUNCTION("GOOGLETRANSLATE(C78,""vi"",""km"")"),"លេខកូដសាខា")</f>
        <v/>
      </c>
      <c r="E78" s="3" t="n"/>
      <c r="F78" s="3" t="inlineStr">
        <is>
          <t>លេខកូដសាខា</t>
        </is>
      </c>
      <c r="G78" s="3" t="n"/>
      <c r="H78" s="217" t="inlineStr">
        <is>
          <t>"branchManager.branchCode": "លេខកូដសាខា",</t>
        </is>
      </c>
      <c r="I78" t="inlineStr">
        <is>
          <t>លេខកូដសាខា</t>
        </is>
      </c>
    </row>
    <row r="79">
      <c r="A79" s="3" t="inlineStr">
        <is>
          <t>branchManager.branchName</t>
        </is>
      </c>
      <c r="B79" s="3" t="inlineStr">
        <is>
          <t>Tên chi nhánh</t>
        </is>
      </c>
      <c r="C79" s="3" t="inlineStr">
        <is>
          <t>Branch name</t>
        </is>
      </c>
      <c r="D79" s="217">
        <f>IFERROR(__xludf.DUMMYFUNCTION("GOOGLETRANSLATE(C79,""vi"",""km"")"),"ឈ្មោះសាខា")</f>
        <v/>
      </c>
      <c r="E79" s="3" t="n"/>
      <c r="F79" s="3" t="inlineStr">
        <is>
          <t>ឈ្មោះសាខា</t>
        </is>
      </c>
      <c r="G79" s="3" t="n"/>
      <c r="H79" s="217" t="inlineStr">
        <is>
          <t>"branchManager.branchName": "ឈ្មោះសាខា",</t>
        </is>
      </c>
      <c r="I79" t="inlineStr">
        <is>
          <t>ឈ្មោះសាខា</t>
        </is>
      </c>
    </row>
    <row r="80">
      <c r="A80" s="3" t="inlineStr">
        <is>
          <t>branchManager.createBranch</t>
        </is>
      </c>
      <c r="B80" s="3" t="inlineStr">
        <is>
          <t>Thêm mới chi nhánh</t>
        </is>
      </c>
      <c r="C80" s="3" t="inlineStr">
        <is>
          <t>Create branch</t>
        </is>
      </c>
      <c r="D80" s="217">
        <f>IFERROR(__xludf.DUMMYFUNCTION("GOOGLETRANSLATE(C80,""vi"",""km"")"),"បង្កើតសាខា")</f>
        <v/>
      </c>
      <c r="E80" s="3" t="n"/>
      <c r="F80" s="3" t="inlineStr">
        <is>
          <t>បង្កើតសាខា</t>
        </is>
      </c>
      <c r="G80" s="3" t="n"/>
      <c r="H80" s="217" t="inlineStr">
        <is>
          <t>"branchManager.createBranch": "បង្កើតសាខា",</t>
        </is>
      </c>
      <c r="I80" t="inlineStr">
        <is>
          <t>បង្កើតសាខា</t>
        </is>
      </c>
    </row>
    <row r="81">
      <c r="A81" s="3" t="inlineStr">
        <is>
          <t>branchManager.detailBranch</t>
        </is>
      </c>
      <c r="B81" s="3" t="inlineStr">
        <is>
          <t>Thông tin chi nhánh</t>
        </is>
      </c>
      <c r="C81" s="3" t="inlineStr">
        <is>
          <t>Branch information</t>
        </is>
      </c>
      <c r="D81" s="217">
        <f>IFERROR(__xludf.DUMMYFUNCTION("GOOGLETRANSLATE(C81,""vi"",""km"")"),"ស្ថានីយ៍ TP")</f>
        <v/>
      </c>
      <c r="E81" s="3" t="n"/>
      <c r="F81" s="3" t="inlineStr">
        <is>
          <t>ស្ថានីយ៍ TP</t>
        </is>
      </c>
      <c r="G81" s="3" t="n"/>
      <c r="H81" s="217" t="inlineStr">
        <is>
          <t>"branchManager.detailBranch": "ស្ថានីយ៍ TP",</t>
        </is>
      </c>
      <c r="I81" t="inlineStr">
        <is>
          <t>ស្ថានីយ៍ TP</t>
        </is>
      </c>
    </row>
    <row r="82">
      <c r="A82" s="3" t="inlineStr">
        <is>
          <t>branchManager.listBranch</t>
        </is>
      </c>
      <c r="B82" s="3" t="inlineStr">
        <is>
          <t>Quản lý chi nhánh</t>
        </is>
      </c>
      <c r="C82" s="3" t="inlineStr">
        <is>
          <t>Branch management</t>
        </is>
      </c>
      <c r="D82" s="217">
        <f>IFERROR(__xludf.DUMMYFUNCTION("GOOGLETRANSLATE(C82,""vi"",""km"")"),"ការគ្រប់គ្រងសាខា")</f>
        <v/>
      </c>
      <c r="E82" s="3" t="n"/>
      <c r="F82" s="3" t="inlineStr">
        <is>
          <t>ការគ្រប់គ្រងសាខា</t>
        </is>
      </c>
      <c r="G82" s="3" t="n"/>
      <c r="H82" s="217" t="inlineStr">
        <is>
          <t>"branchManager.listBranch": "ការគ្រប់គ្រងសាខា",</t>
        </is>
      </c>
      <c r="I82" t="inlineStr">
        <is>
          <t>ការគ្រប់គ្រងសាខា</t>
        </is>
      </c>
    </row>
    <row r="83">
      <c r="A83" s="3" t="inlineStr">
        <is>
          <t>branchManager.placeholderArea</t>
        </is>
      </c>
      <c r="B83" s="3" t="inlineStr">
        <is>
          <t>Chọn khu vực</t>
        </is>
      </c>
      <c r="C83" s="3" t="inlineStr">
        <is>
          <t>Select area</t>
        </is>
      </c>
      <c r="D83" s="217">
        <f>IFERROR(__xludf.DUMMYFUNCTION("GOOGLETRANSLATE(C83,""vi"",""km"")"),"តំបន់ជាតិ")</f>
        <v/>
      </c>
      <c r="E83" s="3" t="n"/>
      <c r="F83" s="3" t="inlineStr">
        <is>
          <t>តំបន់ជាតិ</t>
        </is>
      </c>
      <c r="G83" s="3" t="n"/>
      <c r="H83" s="217" t="inlineStr">
        <is>
          <t>"branchManager.placeholderArea": "តំបន់ជាតិ",</t>
        </is>
      </c>
      <c r="I83" t="inlineStr">
        <is>
          <t>តំបន់ជាតិ</t>
        </is>
      </c>
    </row>
    <row r="84">
      <c r="A84" s="3" t="inlineStr">
        <is>
          <t>branchManager.placeholderBranchCode</t>
        </is>
      </c>
      <c r="B84" s="3" t="inlineStr">
        <is>
          <t>Nhập mã chi nhánh</t>
        </is>
      </c>
      <c r="C84" s="3" t="inlineStr">
        <is>
          <t>Enter branch code</t>
        </is>
      </c>
      <c r="D84" s="217">
        <f>IFERROR(__xludf.DUMMYFUNCTION("GOOGLETRANSLATE(C84,""vi"",""km"")"),"បញ្ចូលលេខកូដសាខា")</f>
        <v/>
      </c>
      <c r="E84" s="3" t="n"/>
      <c r="F84" s="3" t="inlineStr">
        <is>
          <t>បញ្ចូលលេខកូដសាខា</t>
        </is>
      </c>
      <c r="G84" s="3" t="n"/>
      <c r="H84" s="217" t="inlineStr">
        <is>
          <t>"branchManager.placeholderBranchCode": "បញ្ចូលលេខកូដសាខា",</t>
        </is>
      </c>
      <c r="I84" t="inlineStr">
        <is>
          <t>បញ្ចូលលេខកូដសាខា</t>
        </is>
      </c>
    </row>
    <row r="85">
      <c r="A85" s="3" t="inlineStr">
        <is>
          <t>branchManager.placeholderBranchName</t>
        </is>
      </c>
      <c r="B85" s="3" t="inlineStr">
        <is>
          <t>Nhập tên chi nhánh</t>
        </is>
      </c>
      <c r="C85" s="3" t="inlineStr">
        <is>
          <t>Enter branch name</t>
        </is>
      </c>
      <c r="D85" s="217">
        <f>IFERROR(__xludf.DUMMYFUNCTION("GOOGLETRANSLATE(C85,""vi"",""km"")"),"បញ្ចូលឈ្មោះសាខា")</f>
        <v/>
      </c>
      <c r="E85" s="3" t="n"/>
      <c r="F85" s="3" t="inlineStr">
        <is>
          <t>បញ្ចូលឈ្មោះសាខា</t>
        </is>
      </c>
      <c r="G85" s="3" t="n"/>
      <c r="H85" s="217" t="inlineStr">
        <is>
          <t>"branchManager.placeholderBranchName": "បញ្ចូលឈ្មោះសាខា",</t>
        </is>
      </c>
      <c r="I85" t="inlineStr">
        <is>
          <t>បញ្ចូលឈ្មោះសាខា</t>
        </is>
      </c>
    </row>
    <row r="86">
      <c r="A86" s="3" t="inlineStr">
        <is>
          <t>branchManager.searchPlaceholder</t>
        </is>
      </c>
      <c r="B86" s="3" t="inlineStr">
        <is>
          <t>Nhập mã hoặc tên chi nhánh để tìm kiếm</t>
        </is>
      </c>
      <c r="C86" s="3" t="inlineStr">
        <is>
          <t>Enter branch name or ID to search</t>
        </is>
      </c>
      <c r="D86" s="217">
        <f>IFERROR(__xludf.DUMMYFUNCTION("GOOGLETRANSLATE(C86,""vi"",""km"")"),"បញ្ចូលឈ្មោះសាខា ឬលេខសម្គាល់ដើម្បីស្វែងរក")</f>
        <v/>
      </c>
      <c r="E86" s="3" t="n"/>
      <c r="F86" s="3" t="inlineStr">
        <is>
          <t>បញ្ចូលឈ្មោះសាខា ឬលេខសម្គាល់ដើម្បីស្វែងរក</t>
        </is>
      </c>
      <c r="G86" s="3" t="n"/>
      <c r="H86" s="217" t="inlineStr">
        <is>
          <t>"branchManager.searchPlaceholder": "បញ្ចូលឈ្មោះសាខា ឬលេខសម្គាល់ដើម្បីស្វែងរក",</t>
        </is>
      </c>
      <c r="I86" t="inlineStr">
        <is>
          <t>បញ្ចូលឈ្មោះសាខា ឬលេខសម្គាល់ដើម្បីស្វែងរក</t>
        </is>
      </c>
    </row>
    <row r="87">
      <c r="A87" s="3" t="inlineStr">
        <is>
          <t>branchManager.updateAt</t>
        </is>
      </c>
      <c r="B87" s="3" t="inlineStr">
        <is>
          <t>Ngày cập nhật</t>
        </is>
      </c>
      <c r="C87" s="3" t="inlineStr">
        <is>
          <t>Updated date</t>
        </is>
      </c>
      <c r="D87" s="217">
        <f>IFERROR(__xludf.DUMMYFUNCTION("GOOGLETRANSLATE(C87,""vi"",""km"")"),"កាលបរិច្ឆេទដែលបានធ្វើបច្ចុប្បន្នភាព")</f>
        <v/>
      </c>
      <c r="E87" s="3" t="n"/>
      <c r="F87" s="3" t="inlineStr">
        <is>
          <t>កាលបរិច្ឆេទដែលបានធ្វើបច្ចុប្បន្នភាព</t>
        </is>
      </c>
      <c r="G87" s="3" t="n"/>
      <c r="H87" s="217" t="inlineStr">
        <is>
          <t>"branchManager.updateAt": "កាលបរិច្ឆេទដែលបានធ្វើបច្ចុប្បន្នភាព",</t>
        </is>
      </c>
      <c r="I87" t="inlineStr">
        <is>
          <t>កាលបរិច្ឆេទដែលបានធ្វើបច្ចុប្បន្នភាព</t>
        </is>
      </c>
    </row>
    <row r="88">
      <c r="A88" s="3" t="inlineStr">
        <is>
          <t>branchManager.updateBy</t>
        </is>
      </c>
      <c r="B88" s="3" t="inlineStr">
        <is>
          <t>Người cập nhật</t>
        </is>
      </c>
      <c r="C88" s="3" t="inlineStr">
        <is>
          <t>Updater</t>
        </is>
      </c>
      <c r="D88" s="217">
        <f>IFERROR(__xludf.DUMMYFUNCTION("GOOGLETRANSLATE(C88,""vi"",""km"")"),"កម្មវិធីធ្វើបច្ចុប្បន្នភាព")</f>
        <v/>
      </c>
      <c r="E88" s="3" t="n"/>
      <c r="F88" s="3" t="inlineStr">
        <is>
          <t>កម្មវិធីធ្វើបច្ចុប្បន្នភាព</t>
        </is>
      </c>
      <c r="G88" s="3" t="n"/>
      <c r="H88" s="217" t="inlineStr">
        <is>
          <t>"branchManager.updateBy": "កម្មវិធីធ្វើបច្ចុប្បន្នភាព",</t>
        </is>
      </c>
      <c r="I88" t="inlineStr">
        <is>
          <t>កម្មវិធីធ្វើបច្ចុប្បន្នភាព</t>
        </is>
      </c>
    </row>
    <row r="89">
      <c r="A89" s="3" t="inlineStr">
        <is>
          <t>branchOperating.NotReceived</t>
        </is>
      </c>
      <c r="B89" s="3" t="inlineStr">
        <is>
          <t>Chưa tiếp nhận</t>
        </is>
      </c>
      <c r="C89" s="3" t="inlineStr">
        <is>
          <t>Not received</t>
        </is>
      </c>
      <c r="D89" s="217">
        <f>IFERROR(__xludf.DUMMYFUNCTION("GOOGLETRANSLATE(C89,""vi"",""km"")"),"មិនបានទទួលទេ")</f>
        <v/>
      </c>
      <c r="E89" s="3" t="n"/>
      <c r="F89" s="3" t="inlineStr">
        <is>
          <t>មិនទាន់ទទួល</t>
        </is>
      </c>
      <c r="G89" s="3" t="n"/>
      <c r="H89" s="217" t="inlineStr">
        <is>
          <t>"branchOperating.NotReceived": "មិនទាន់ទទួល",</t>
        </is>
      </c>
      <c r="I89" t="inlineStr">
        <is>
          <t>មិនទាន់ទទួល</t>
        </is>
      </c>
    </row>
    <row r="90">
      <c r="A90" s="3" t="inlineStr">
        <is>
          <t>branchOperating.Received</t>
        </is>
      </c>
      <c r="B90" s="3" t="inlineStr">
        <is>
          <t>Đã tiếp nhận</t>
        </is>
      </c>
      <c r="C90" s="3" t="inlineStr">
        <is>
          <t>Received</t>
        </is>
      </c>
      <c r="D90" s="217">
        <f>IFERROR(__xludf.DUMMYFUNCTION("GOOGLETRANSLATE(C90,""vi"",""km"")"),"បានទទួល")</f>
        <v/>
      </c>
      <c r="E90" s="3" t="n"/>
      <c r="F90" s="3" t="inlineStr">
        <is>
          <t>បានទទួល</t>
        </is>
      </c>
      <c r="G90" s="3" t="n"/>
      <c r="H90" s="217" t="inlineStr">
        <is>
          <t>"branchOperating.Received": "បានទទួល",</t>
        </is>
      </c>
      <c r="I90" t="inlineStr">
        <is>
          <t>បានទទួល</t>
        </is>
      </c>
    </row>
    <row r="91">
      <c r="A91" s="3" t="inlineStr">
        <is>
          <t>branchOperating.amount</t>
        </is>
      </c>
      <c r="B91" s="3" t="inlineStr">
        <is>
          <t>Số lượng</t>
        </is>
      </c>
      <c r="C91" s="3" t="inlineStr">
        <is>
          <t>Quantity</t>
        </is>
      </c>
      <c r="D91" s="217">
        <f>IFERROR(__xludf.DUMMYFUNCTION("GOOGLETRANSLATE(C91,""vi"",""km"")"),"វត្ថុ")</f>
        <v/>
      </c>
      <c r="E91" s="3" t="n"/>
      <c r="F91" s="3" t="inlineStr">
        <is>
          <t>វត្ថុ</t>
        </is>
      </c>
      <c r="G91" s="3" t="n"/>
      <c r="H91" s="217" t="inlineStr">
        <is>
          <t>"branchOperating.amount": "វត្ថុ",</t>
        </is>
      </c>
      <c r="I91" t="inlineStr">
        <is>
          <t>វត្ថុ</t>
        </is>
      </c>
    </row>
    <row r="92">
      <c r="A92" s="3" t="inlineStr">
        <is>
          <t>branchOperating.assignDefault</t>
        </is>
      </c>
      <c r="B92" s="3" t="inlineStr">
        <is>
          <t>Gán mặc định</t>
        </is>
      </c>
      <c r="C92" s="3" t="inlineStr">
        <is>
          <t>Assign by default</t>
        </is>
      </c>
      <c r="D92" s="217">
        <f>IFERROR(__xludf.DUMMYFUNCTION("GOOGLETRANSLATE(C92,""vi"",""km"")"),"កំណត់តាមលំនាំដើម")</f>
        <v/>
      </c>
      <c r="E92" s="3" t="n"/>
      <c r="F92" s="3" t="inlineStr">
        <is>
          <t>កំណត់ជាលំនាំដើម</t>
        </is>
      </c>
      <c r="G92" s="3" t="n"/>
      <c r="H92" s="217" t="inlineStr">
        <is>
          <t>"branchOperating.assignDefault": "កំណត់ជាលំនាំដើម",</t>
        </is>
      </c>
      <c r="I92" t="inlineStr">
        <is>
          <t>កំណត់ជាលំនាំដើម</t>
        </is>
      </c>
    </row>
    <row r="93">
      <c r="A93" s="3" t="inlineStr">
        <is>
          <t>branchOperating.assignRouteSuccess</t>
        </is>
      </c>
      <c r="B93" s="3" t="inlineStr">
        <is>
          <t>Gán tuyến thành công</t>
        </is>
      </c>
      <c r="C93" s="3" t="inlineStr">
        <is>
          <t>Assign route success</t>
        </is>
      </c>
      <c r="D93" s="217">
        <f>IFERROR(__xludf.DUMMYFUNCTION("GOOGLETRANSLATE(C93,""vi"",""km"")"),"កំណត់ភាពជោគជ័យរបស់ម៉ាស៊ីនបម្រើ")</f>
        <v/>
      </c>
      <c r="E93" s="3" t="n"/>
      <c r="F93" s="3" t="inlineStr">
        <is>
          <t>ចាត់តាំងខ្សែផ្លូវជោគជ័យ</t>
        </is>
      </c>
      <c r="G93" s="3" t="n"/>
      <c r="H93" s="217" t="inlineStr">
        <is>
          <t>"branchOperating.assignRouteSuccess": "ចាត់តាំងខ្សែផ្លូវជោគជ័យ",</t>
        </is>
      </c>
      <c r="I93" t="inlineStr">
        <is>
          <t>ចាត់តាំងខ្សែផ្លូវជោគជ័យ</t>
        </is>
      </c>
    </row>
    <row r="94">
      <c r="A94" s="3" t="inlineStr">
        <is>
          <t>branchOperating.assignSuccess</t>
        </is>
      </c>
      <c r="B94" s="3" t="inlineStr">
        <is>
          <t>Gán bưu cục thành công</t>
        </is>
      </c>
      <c r="C94" s="3" t="inlineStr">
        <is>
          <t>Assign Post office success</t>
        </is>
      </c>
      <c r="D94" s="217">
        <f>IFERROR(__xludf.DUMMYFUNCTION("GOOGLETRANSLATE(C94,""vi"",""km"")"),"ចាត់តាំង​ចារកម្ម​ការិយាល័យ​ប្រៃសណីយ៍")</f>
        <v/>
      </c>
      <c r="E94" s="3" t="n"/>
      <c r="F94" s="3" t="inlineStr">
        <is>
          <t>ចាត់តាំងការិយាល័យប្រៃសណីយ៍ជោគជ័យ</t>
        </is>
      </c>
      <c r="G94" s="3" t="n"/>
      <c r="H94" s="217" t="inlineStr">
        <is>
          <t>"branchOperating.assignSuccess": "ចាត់តាំងការិយាល័យប្រៃសណីយ៍ជោគជ័យ",</t>
        </is>
      </c>
      <c r="I94" t="inlineStr">
        <is>
          <t>ចាត់តាំងការិយាល័យប្រៃសណីយ៍ជោគជ័យ</t>
        </is>
      </c>
    </row>
    <row r="95">
      <c r="A95" s="3" t="inlineStr">
        <is>
          <t>branchOperating.assignWarehouseFail</t>
        </is>
      </c>
      <c r="B95" s="3" t="inlineStr">
        <is>
          <t>Gán tuyến tất cả đơn thuộc kho thất bại</t>
        </is>
      </c>
      <c r="C95" s="3" t="inlineStr">
        <is>
          <t>Assigning routes to all orders belonging to the warehouse failed</t>
        </is>
      </c>
      <c r="D95" s="217">
        <f>IFERROR(__xludf.DUMMYFUNCTION("GOOGLETRANSLATE(C95,""vi"",""km"")"),"ការកំណត់ផ្លូវទៅកាន់ការបញ្ជាទិញទាំងអស់ដែលជាកម្មសិទ្ធិរបស់ឃ្លាំងបានបរាជ័យ")</f>
        <v/>
      </c>
      <c r="E95" s="3" t="n"/>
      <c r="F95" s="3" t="inlineStr">
        <is>
          <t>ចាត់តាំងខ្សែផ្លូវសម្រាប់បញ្ញើទាំងអស់ក្នុងឃ្លាំងមិនបានសម្រេច</t>
        </is>
      </c>
      <c r="G95" s="3" t="n"/>
      <c r="H95" s="217" t="inlineStr">
        <is>
          <t>"branchOperating.assignWarehouseFail": "ចាត់តាំងខ្សែផ្លូវសម្រាប់បញ្ញើទាំងអស់ក្នុងឃ្លាំងមិនបានសម្រេច",</t>
        </is>
      </c>
      <c r="I95" t="inlineStr">
        <is>
          <t>ចាត់តាំងខ្សែផ្លូវសម្រាប់បញ្ញើទាំងអស់ក្នុងឃ្លាំងមិនបានសម្រេច</t>
        </is>
      </c>
    </row>
    <row r="96">
      <c r="A96" s="3" t="inlineStr">
        <is>
          <t>branchOperating.assignWarehouseFailAll</t>
        </is>
      </c>
      <c r="B96" s="3" t="inlineStr">
        <is>
          <t>Gán tuyến kho thất bại</t>
        </is>
      </c>
      <c r="C96" s="3" t="inlineStr">
        <is>
          <t>Assign route failed</t>
        </is>
      </c>
      <c r="D96" s="217">
        <f>IFERROR(__xludf.DUMMYFUNCTION("GOOGLETRANSLATE(C96,""vi"",""km"")"),"ការចាត់តាំងបរាជ័យ")</f>
        <v/>
      </c>
      <c r="E96" s="3" t="n"/>
      <c r="F96" s="3" t="inlineStr">
        <is>
          <t>ចាត់តាំងខ្សែផ្លូវឃ្លាំងមិនបានសម្រេច</t>
        </is>
      </c>
      <c r="G96" s="3" t="n"/>
      <c r="H96" s="217" t="inlineStr">
        <is>
          <t>"branchOperating.assignWarehouseFailAll": "ចាត់តាំងខ្សែផ្លូវឃ្លាំងមិនបានសម្រេច",</t>
        </is>
      </c>
      <c r="I96" t="inlineStr">
        <is>
          <t>ចាត់តាំងខ្សែផ្លូវឃ្លាំងមិនបានសម្រេច</t>
        </is>
      </c>
    </row>
    <row r="97">
      <c r="A97" s="3" t="inlineStr">
        <is>
          <t>branchOperating.detail</t>
        </is>
      </c>
      <c r="B97" s="3" t="inlineStr">
        <is>
          <t>Chi tiết</t>
        </is>
      </c>
      <c r="C97" s="3" t="inlineStr">
        <is>
          <t>Details</t>
        </is>
      </c>
      <c r="D97" s="217">
        <f>IFERROR(__xludf.DUMMYFUNCTION("GOOGLETRANSLATE(C97,""vi"",""km"")"),"ទិន្នន័យ")</f>
        <v/>
      </c>
      <c r="E97" s="3" t="n"/>
      <c r="F97" s="3" t="inlineStr">
        <is>
          <t>ព័ត៌មានលម្អិត</t>
        </is>
      </c>
      <c r="G97" s="3" t="n"/>
      <c r="H97" s="217" t="inlineStr">
        <is>
          <t>"branchOperating.detail": "ព័ត៌មានលម្អិត",</t>
        </is>
      </c>
      <c r="I97" t="inlineStr">
        <is>
          <t>ព័ត៌មានលម្អិត</t>
        </is>
      </c>
    </row>
    <row r="98">
      <c r="A98" s="3" t="inlineStr">
        <is>
          <t>branchOperating.employee</t>
        </is>
      </c>
      <c r="B98" s="3" t="inlineStr">
        <is>
          <t>Tuyến nhận</t>
        </is>
      </c>
      <c r="C98" s="3" t="inlineStr">
        <is>
          <t>Pickup route</t>
        </is>
      </c>
      <c r="D98" s="217">
        <f>IFERROR(__xludf.DUMMYFUNCTION("GOOGLETRANSLATE(C98,""vi"",""km"")"),"ផ្លូវទៅយក")</f>
        <v/>
      </c>
      <c r="E98" s="3" t="n"/>
      <c r="F98" s="3" t="inlineStr">
        <is>
          <t>ផ្លូវទៅយក</t>
        </is>
      </c>
      <c r="G98" s="3" t="n"/>
      <c r="H98" s="217" t="inlineStr">
        <is>
          <t>"branchOperating.employee": "ផ្លូវទៅយក",</t>
        </is>
      </c>
      <c r="I98" t="inlineStr">
        <is>
          <t>ផ្លូវទៅយក</t>
        </is>
      </c>
    </row>
    <row r="99">
      <c r="A99" s="3" t="inlineStr">
        <is>
          <t>branchOperating.endDate</t>
        </is>
      </c>
      <c r="B99" s="3" t="inlineStr">
        <is>
          <t>Đến ngày</t>
        </is>
      </c>
      <c r="C99" s="3" t="inlineStr">
        <is>
          <t>Select end date</t>
        </is>
      </c>
      <c r="D99" s="217">
        <f>IFERROR(__xludf.DUMMYFUNCTION("GOOGLETRANSLATE(C99,""vi"",""km"")"),"ជ្រើសរើសកាលបរិច្ឆេទបញ្ចប់")</f>
        <v/>
      </c>
      <c r="E99" s="3" t="n"/>
      <c r="F99" s="3" t="inlineStr">
        <is>
          <t>ជ្រើសរើសកាលបរិច្ឆេទបញ្ចប់</t>
        </is>
      </c>
      <c r="G99" s="3" t="n"/>
      <c r="H99" s="217" t="inlineStr">
        <is>
          <t>"branchOperating.endDate": "ជ្រើសរើសកាលបរិច្ឆេទបញ្ចប់",</t>
        </is>
      </c>
      <c r="I99" t="inlineStr">
        <is>
          <t>ជ្រើសរើសកាលបរិច្ឆេទបញ្ចប់</t>
        </is>
      </c>
    </row>
    <row r="100">
      <c r="A100" s="3" t="inlineStr">
        <is>
          <t>branchOperating.listOrderAssignRoute</t>
        </is>
      </c>
      <c r="B100" s="3" t="inlineStr">
        <is>
          <t>Danh sách đơn gán tuyến thành công</t>
        </is>
      </c>
      <c r="C100" s="3" t="inlineStr">
        <is>
          <t>List of assigned route orders</t>
        </is>
      </c>
      <c r="D100" s="217">
        <f>IFERROR(__xludf.DUMMYFUNCTION("GOOGLETRANSLATE(C100,""vi"",""km"")"),"បញ្ជីនៃការបញ្ជាទិញផ្លូវដែលបានកំណត់")</f>
        <v/>
      </c>
      <c r="E100" s="3" t="n"/>
      <c r="F100" s="3" t="inlineStr">
        <is>
          <t>បញ្ជីបញ្ញើដែលបានចាត់តាំងខ្សែផ្លូវជោគជ័យ</t>
        </is>
      </c>
      <c r="G100" s="3" t="n"/>
      <c r="H100" s="217" t="inlineStr">
        <is>
          <t>"branchOperating.listOrderAssignRoute": "បញ្ជីបញ្ញើដែលបានចាត់តាំងខ្សែផ្លូវជោគជ័យ",</t>
        </is>
      </c>
      <c r="I100" t="inlineStr">
        <is>
          <t>បញ្ជីបញ្ញើដែលបានចាត់តាំងខ្សែផ្លូវជោគជ័យ</t>
        </is>
      </c>
    </row>
    <row r="101">
      <c r="A101" s="3" t="inlineStr">
        <is>
          <t>branchOperating.listOrderSuccess</t>
        </is>
      </c>
      <c r="B101" s="3" t="inlineStr">
        <is>
          <t>Gán bưu cục thành công đơn</t>
        </is>
      </c>
      <c r="C101" s="3" t="inlineStr">
        <is>
          <t>List of assigned postal orders</t>
        </is>
      </c>
      <c r="D101" s="217">
        <f>IFERROR(__xludf.DUMMYFUNCTION("GOOGLETRANSLATE(C101,""vi"",""km"")"),"បញ្ជីនៃការបញ្ជាទិញប្រៃសណីយ៍ដែលបានកំណត់")</f>
        <v/>
      </c>
      <c r="E101" s="3" t="n"/>
      <c r="F101" s="3" t="inlineStr">
        <is>
          <t>ចាត់តាំងការិយាល័យប្រៃសណីយ៍សម្រាប់បញ្ញើជោគជ័យ</t>
        </is>
      </c>
      <c r="G101" s="3" t="n"/>
      <c r="H101" s="217" t="inlineStr">
        <is>
          <t>"branchOperating.listOrderSuccess": "ចាត់តាំងការិយាល័យប្រៃសណីយ៍សម្រាប់បញ្ញើជោគជ័យ",</t>
        </is>
      </c>
      <c r="I101" t="inlineStr">
        <is>
          <t>ចាត់តាំងការិយាល័យប្រៃសណីយ៍សម្រាប់បញ្ញើជោគជ័យ</t>
        </is>
      </c>
    </row>
    <row r="102">
      <c r="A102" s="3" t="inlineStr">
        <is>
          <t>branchOperating.personalInfor</t>
        </is>
      </c>
      <c r="B102" s="3" t="inlineStr">
        <is>
          <t>Thông tin người gửi</t>
        </is>
      </c>
      <c r="C102" s="3" t="inlineStr">
        <is>
          <t>Sender information</t>
        </is>
      </c>
      <c r="D102" s="217">
        <f>IFERROR(__xludf.DUMMYFUNCTION("GOOGLETRANSLATE(C102,""vi"",""km"")"),"ព័ត៌មានអ្នកផ្ញើ")</f>
        <v/>
      </c>
      <c r="E102" s="3" t="n"/>
      <c r="F102" s="3" t="inlineStr">
        <is>
          <t>ព័ត៌មានអ្នកផ្ញើ</t>
        </is>
      </c>
      <c r="G102" s="3" t="n"/>
      <c r="H102" s="217" t="inlineStr">
        <is>
          <t>"branchOperating.personalInfor": "ព័ត៌មានអ្នកផ្ញើ",</t>
        </is>
      </c>
      <c r="I102" t="inlineStr">
        <is>
          <t>ព័ត៌មានអ្នកផ្ញើ</t>
        </is>
      </c>
    </row>
    <row r="103">
      <c r="A103" s="3" t="inlineStr">
        <is>
          <t>branchOperating.pleaseChooseBranch</t>
        </is>
      </c>
      <c r="B103" s="3" t="inlineStr">
        <is>
          <t>Vui lòng chọn bưu cục</t>
        </is>
      </c>
      <c r="C103" s="3" t="inlineStr">
        <is>
          <t>Please select a post office</t>
        </is>
      </c>
      <c r="D103" s="217">
        <f>IFERROR(__xludf.DUMMYFUNCTION("GOOGLETRANSLATE(C103,""vi"",""km"")"),"សូមជ្រើសរើសការិយាល័យប្រៃសណីយ៍")</f>
        <v/>
      </c>
      <c r="E103" s="3" t="n"/>
      <c r="F103" s="3" t="inlineStr">
        <is>
          <t>សូមជ្រើសរើសការិយាល័យប្រៃសណីយ៍</t>
        </is>
      </c>
      <c r="G103" s="3" t="n"/>
      <c r="H103" s="217" t="inlineStr">
        <is>
          <t>"branchOperating.pleaseChooseBranch": "សូមជ្រើសរើសការិយាល័យប្រៃសណីយ៍",</t>
        </is>
      </c>
      <c r="I103" t="inlineStr">
        <is>
          <t>សូមជ្រើសរើសការិយាល័យប្រៃសណីយ៍</t>
        </is>
      </c>
    </row>
    <row r="104">
      <c r="A104" s="3" t="inlineStr">
        <is>
          <t>branchOperating.pleaseChooseRoute</t>
        </is>
      </c>
      <c r="B104" s="3" t="inlineStr">
        <is>
          <t>Vui lòng chọn tuyến</t>
        </is>
      </c>
      <c r="C104" s="3" t="inlineStr">
        <is>
          <t>Please select a route</t>
        </is>
      </c>
      <c r="D104" s="217">
        <f>IFERROR(__xludf.DUMMYFUNCTION("GOOGLETRANSLATE(C104,""vi"",""km"")"),"សូមជ្រើសរើសផ្លូវមួយ")</f>
        <v/>
      </c>
      <c r="E104" s="3" t="n"/>
      <c r="F104" s="3" t="inlineStr">
        <is>
          <t>សូមជ្រើសរើសផ្លូវមួយ</t>
        </is>
      </c>
      <c r="G104" s="3" t="n"/>
      <c r="H104" s="217" t="inlineStr">
        <is>
          <t>"branchOperating.pleaseChooseRoute": "សូមជ្រើសរើសផ្លូវមួយ",</t>
        </is>
      </c>
      <c r="I104" t="inlineStr">
        <is>
          <t>សូមជ្រើសរើសផ្លូវមួយ</t>
        </is>
      </c>
    </row>
    <row r="105">
      <c r="A105" s="3" t="inlineStr">
        <is>
          <t>branchOperating.postOffice</t>
        </is>
      </c>
      <c r="B105" s="3" t="inlineStr">
        <is>
          <t>Bưu cục nhận</t>
        </is>
      </c>
      <c r="C105" s="3" t="inlineStr">
        <is>
          <t>Pickup station</t>
        </is>
      </c>
      <c r="D105" s="217">
        <f>IFERROR(__xludf.DUMMYFUNCTION("GOOGLETRANSLATE(C105,""vi"",""km"")"),"ស្ថានីយ​ទទួល")</f>
        <v/>
      </c>
      <c r="E105" s="3" t="n"/>
      <c r="F105" s="3" t="inlineStr">
        <is>
          <t>ស្ថានីយទទួល</t>
        </is>
      </c>
      <c r="G105" s="3" t="n"/>
      <c r="H105" s="217" t="inlineStr">
        <is>
          <t>"branchOperating.postOffice": "ស្ថានីយទទួល",</t>
        </is>
      </c>
      <c r="I105" t="inlineStr">
        <is>
          <t>ស្ថានីយទទួល</t>
        </is>
      </c>
    </row>
    <row r="106">
      <c r="A106" s="3" t="inlineStr">
        <is>
          <t>branchOperating.searchKeyword</t>
        </is>
      </c>
      <c r="B106" s="3" t="inlineStr">
        <is>
          <t>Nhập từ khóa tìm kiếm</t>
        </is>
      </c>
      <c r="C106" s="3" t="inlineStr">
        <is>
          <t>Enter keywords</t>
        </is>
      </c>
      <c r="D106" s="217">
        <f>IFERROR(__xludf.DUMMYFUNCTION("GOOGLETRANSLATE(C106,""vi"",""km"")"),"គ្រាប់ចុចបញ្ចូល")</f>
        <v/>
      </c>
      <c r="E106" s="3" t="n"/>
      <c r="F106" s="3" t="inlineStr">
        <is>
          <t>គ្រាប់ចុចបញ្ចូល</t>
        </is>
      </c>
      <c r="G106" s="3" t="n"/>
      <c r="H106" s="217" t="inlineStr">
        <is>
          <t>"branchOperating.searchKeyword": "គ្រាប់ចុចបញ្ចូល",</t>
        </is>
      </c>
      <c r="I106" t="inlineStr">
        <is>
          <t>គ្រាប់ចុចបញ្ចូល</t>
        </is>
      </c>
    </row>
    <row r="107">
      <c r="A107" s="3" t="inlineStr">
        <is>
          <t>branchOperating.searchPlaceholder</t>
        </is>
      </c>
      <c r="B107" s="3" t="inlineStr">
        <is>
          <t>Nhập số điện thoại hoặc mã vận đơn</t>
        </is>
      </c>
      <c r="C107" s="3" t="inlineStr">
        <is>
          <t>Enter waybill code or mobile number</t>
        </is>
      </c>
      <c r="D107" s="217">
        <f>IFERROR(__xludf.DUMMYFUNCTION("GOOGLETRANSLATE(C107,""vi"",""km"")"),"បញ្ចូលលេខកូដ Waybill ឬលេខទូរស័ព្ទដៃ")</f>
        <v/>
      </c>
      <c r="E107" s="3" t="n"/>
      <c r="F107" s="3" t="inlineStr">
        <is>
          <t>បញ្ចូលលេខកូដ Waybill ឬលេខទូរស័ព្ទដៃ</t>
        </is>
      </c>
      <c r="G107" s="3" t="n"/>
      <c r="H107" s="217" t="inlineStr">
        <is>
          <t>"branchOperating.searchPlaceholder": "បញ្ចូលលេខកូដ Waybill ឬលេខទូរស័ព្ទដៃ",</t>
        </is>
      </c>
      <c r="I107" t="inlineStr">
        <is>
          <t>បញ្ចូលលេខកូដ Waybill ឬលេខទូរស័ព្ទដៃ</t>
        </is>
      </c>
    </row>
    <row r="108">
      <c r="A108" s="3" t="inlineStr">
        <is>
          <t>branchOperating.selectDate</t>
        </is>
      </c>
      <c r="B108" s="3" t="inlineStr">
        <is>
          <t>Từ ngày - Đến ngày</t>
        </is>
      </c>
      <c r="C108" s="3" t="inlineStr">
        <is>
          <t>Select Date</t>
        </is>
      </c>
      <c r="D108" s="217">
        <f>IFERROR(__xludf.DUMMYFUNCTION("GOOGLETRANSLATE(C108,""vi"",""km"")"),"ជ្រើសរើសកាលបរិច្ឆេទ")</f>
        <v/>
      </c>
      <c r="E108" s="3" t="n"/>
      <c r="F108" s="3" t="inlineStr">
        <is>
          <t>ជ្រើសរើសកាលបរិច្ឆេទ</t>
        </is>
      </c>
      <c r="G108" s="3" t="n"/>
      <c r="H108" s="217" t="inlineStr">
        <is>
          <t>"branchOperating.selectDate": "ជ្រើសរើសកាលបរិច្ឆេទ",</t>
        </is>
      </c>
      <c r="I108" t="inlineStr">
        <is>
          <t>ជ្រើសរើសកាលបរិច្ឆេទ</t>
        </is>
      </c>
    </row>
    <row r="109">
      <c r="A109" s="3" t="inlineStr">
        <is>
          <t>branchOperating.selectPartnerId</t>
        </is>
      </c>
      <c r="B109" s="3" t="inlineStr">
        <is>
          <t>Chọn mã đối tác</t>
        </is>
      </c>
      <c r="C109" s="3" t="inlineStr">
        <is>
          <t>Select Partner</t>
        </is>
      </c>
      <c r="D109" s="217">
        <f>IFERROR(__xludf.DUMMYFUNCTION("GOOGLETRANSLATE(C109,""vi"",""km"")"),"ជ្រើសរើសដៃគូ")</f>
        <v/>
      </c>
      <c r="E109" s="3" t="n"/>
      <c r="F109" s="3" t="inlineStr">
        <is>
          <t>ជ្រើសរើសដៃគូ</t>
        </is>
      </c>
      <c r="G109" s="3" t="n"/>
      <c r="H109" s="217" t="inlineStr">
        <is>
          <t>"branchOperating.selectPartnerId": "ជ្រើសរើសដៃគូ",</t>
        </is>
      </c>
      <c r="I109" t="inlineStr">
        <is>
          <t>ជ្រើសរើសដៃគូ</t>
        </is>
      </c>
    </row>
    <row r="110">
      <c r="A110" s="3" t="inlineStr">
        <is>
          <t>branchOperating.selectRoute</t>
        </is>
      </c>
      <c r="B110" s="3" t="inlineStr">
        <is>
          <t>Chọn tuyến</t>
        </is>
      </c>
      <c r="C110" s="3" t="inlineStr">
        <is>
          <t>Select route</t>
        </is>
      </c>
      <c r="D110" s="217">
        <f>IFERROR(__xludf.DUMMYFUNCTION("GOOGLETRANSLATE(C110,""vi"",""km"")"),"ជ្រើសរើសផ្លូវ")</f>
        <v/>
      </c>
      <c r="E110" s="3" t="n"/>
      <c r="F110" s="3" t="inlineStr">
        <is>
          <t>ជ្រើសរើសផ្លូវ</t>
        </is>
      </c>
      <c r="G110" s="3" t="n"/>
      <c r="H110" s="217" t="inlineStr">
        <is>
          <t>"branchOperating.selectRoute": "ជ្រើសរើសផ្លូវ",</t>
        </is>
      </c>
      <c r="I110" t="inlineStr">
        <is>
          <t>ជ្រើសរើសផ្លូវ</t>
        </is>
      </c>
    </row>
    <row r="111">
      <c r="A111" s="3" t="inlineStr">
        <is>
          <t>branchOperating.selectRoutes</t>
        </is>
      </c>
      <c r="B111" s="3" t="inlineStr">
        <is>
          <t>Chọn tuyến</t>
        </is>
      </c>
      <c r="C111" s="3" t="inlineStr">
        <is>
          <t>Select route</t>
        </is>
      </c>
      <c r="D111" s="217">
        <f>IFERROR(__xludf.DUMMYFUNCTION("GOOGLETRANSLATE(C111,""vi"",""km"")"),"ជ្រើសរើសផ្លូវ")</f>
        <v/>
      </c>
      <c r="E111" s="3" t="n"/>
      <c r="F111" s="3" t="inlineStr">
        <is>
          <t>ជ្រើសរើសផ្លូវ</t>
        </is>
      </c>
      <c r="G111" s="3" t="n"/>
      <c r="H111" s="217" t="inlineStr">
        <is>
          <t>"branchOperating.selectRoutes": "ជ្រើសរើសផ្លូវ",</t>
        </is>
      </c>
      <c r="I111" t="inlineStr">
        <is>
          <t>ជ្រើសរើសផ្លូវ</t>
        </is>
      </c>
    </row>
    <row r="112">
      <c r="A112" s="3" t="inlineStr">
        <is>
          <t>branchOperating.startDate</t>
        </is>
      </c>
      <c r="B112" s="3" t="inlineStr">
        <is>
          <t>Từ ngày</t>
        </is>
      </c>
      <c r="C112" s="3" t="inlineStr">
        <is>
          <t>Select start date</t>
        </is>
      </c>
      <c r="D112" s="217">
        <f>IFERROR(__xludf.DUMMYFUNCTION("GOOGLETRANSLATE(C112,""vi"",""km"")"),"កាលបរិច្ឆេទចាប់ផ្តើមដែលបានជ្រើសរើស")</f>
        <v/>
      </c>
      <c r="E112" s="3" t="n"/>
      <c r="F112" s="3" t="inlineStr">
        <is>
          <t>កាលបរិច្ឆេទចាប់ផ្តើមដែលបានជ្រើសរើស</t>
        </is>
      </c>
      <c r="G112" s="3" t="n"/>
      <c r="H112" s="217" t="inlineStr">
        <is>
          <t>"branchOperating.startDate": "កាលបរិច្ឆេទចាប់ផ្តើមដែលបានជ្រើសរើស",</t>
        </is>
      </c>
      <c r="I112" t="inlineStr">
        <is>
          <t>កាលបរិច្ឆេទចាប់ផ្តើមដែលបានជ្រើសរើស</t>
        </is>
      </c>
    </row>
    <row r="113">
      <c r="A113" s="3" t="inlineStr">
        <is>
          <t>changePass.5timesOtp</t>
        </is>
      </c>
      <c r="B113" s="3" t="inlineStr">
        <is>
          <t>5 lần,</t>
        </is>
      </c>
      <c r="C113" s="3" t="inlineStr">
        <is>
          <t>5 failed OTP attempts</t>
        </is>
      </c>
      <c r="D113" s="217">
        <f>IFERROR(__xludf.DUMMYFUNCTION("GOOGLETRANSLATE(C113,""vi"",""km"")"),"ការប៉ុនប៉ង OTP ចំនួន 5 លើកបានបរាជ័យ")</f>
        <v/>
      </c>
      <c r="E113" s="3" t="n"/>
      <c r="F113" s="3" t="inlineStr">
        <is>
          <t>ការប៉ុនប៉ង OTP ចំនួន 5 លើកបានបរាជ័យ</t>
        </is>
      </c>
      <c r="G113" s="3" t="n"/>
      <c r="H113" s="217" t="inlineStr">
        <is>
          <t>"changePass.5timesOtp": "ការប៉ុនប៉ង OTP ចំនួន 5 លើកបានបរាជ័យ",</t>
        </is>
      </c>
      <c r="I113" t="inlineStr">
        <is>
          <t>ការប៉ុនប៉ង OTP ចំនួន 5 លើកបានបរាជ័យ</t>
        </is>
      </c>
    </row>
    <row r="114">
      <c r="A114" s="3" t="inlineStr">
        <is>
          <t>changePass.5timesPass</t>
        </is>
      </c>
      <c r="B114" s="3" t="inlineStr">
        <is>
          <t>5 lần,</t>
        </is>
      </c>
      <c r="C114" s="3" t="inlineStr">
        <is>
          <t>5 failed password attempts</t>
        </is>
      </c>
      <c r="D114" s="217">
        <f>IFERROR(__xludf.DUMMYFUNCTION("GOOGLETRANSLATE(C114,""vi"",""km"")"),"ការប៉ុនប៉ងពាក្យសម្ងាត់បរាជ័យចំនួន ៥ ដង")</f>
        <v/>
      </c>
      <c r="E114" s="3" t="n"/>
      <c r="F114" s="3" t="inlineStr">
        <is>
          <t>ការប៉ុនប៉ងពាក្យសម្ងាត់បរាជ័យចំនួន ៥ ដង</t>
        </is>
      </c>
      <c r="G114" s="3" t="n"/>
      <c r="H114" s="217" t="inlineStr">
        <is>
          <t>"changePass.5timesPass": "ការប៉ុនប៉ងពាក្យសម្ងាត់បរាជ័យចំនួន ៥ ដង",</t>
        </is>
      </c>
      <c r="I114" t="inlineStr">
        <is>
          <t>ការប៉ុនប៉ងពាក្យសម្ងាត់បរាជ័យចំនួន ៥ ដង</t>
        </is>
      </c>
    </row>
    <row r="115">
      <c r="A115" s="3" t="inlineStr">
        <is>
          <t>changePass.FIXED_DATE</t>
        </is>
      </c>
      <c r="B115" s="3" t="inlineStr">
        <is>
          <t>Ngày trong tháng</t>
        </is>
      </c>
      <c r="C115" s="3" t="inlineStr">
        <is>
          <t>Day of the month</t>
        </is>
      </c>
      <c r="D115" s="217">
        <f>IFERROR(__xludf.DUMMYFUNCTION("GOOGLETRANSLATE(C115,""vi"",""km"")"),"ថ្ងៃនៃខែ")</f>
        <v/>
      </c>
      <c r="E115" s="3" t="n"/>
      <c r="F115" s="3" t="inlineStr">
        <is>
          <t>ថ្ងៃនៃខែ</t>
        </is>
      </c>
      <c r="G115" s="3" t="n"/>
      <c r="H115" s="217" t="inlineStr">
        <is>
          <t>"changePass.FIXED_DATE": "ថ្ងៃនៃខែ",</t>
        </is>
      </c>
      <c r="I115" t="inlineStr">
        <is>
          <t>ថ្ងៃនៃខែ</t>
        </is>
      </c>
    </row>
    <row r="116">
      <c r="A116" s="3" t="inlineStr">
        <is>
          <t>changePass.MON_WED_FRI</t>
        </is>
      </c>
      <c r="B116" s="3" t="inlineStr">
        <is>
          <t>Thứ 2,4,6 hàng tuần</t>
        </is>
      </c>
      <c r="C116" s="3" t="inlineStr">
        <is>
          <t>Every Monday, Wednesday, and Friday</t>
        </is>
      </c>
      <c r="D116" s="217">
        <f>IFERROR(__xludf.DUMMYFUNCTION("GOOGLETRANSLATE(C116,""vi"",""km"")"),"រៀងរាល់ថ្ងៃច័ន្ទ ថ្ងៃពុធ និងថ្ងៃសុក្រ")</f>
        <v/>
      </c>
      <c r="E116" s="3" t="n"/>
      <c r="F116" s="3" t="inlineStr">
        <is>
          <t>រៀងរាល់ថ្ងៃច័ន្ទ ថ្ងៃពុធ និងថ្ងៃសុក្រ</t>
        </is>
      </c>
      <c r="G116" s="3" t="n"/>
      <c r="H116" s="217" t="inlineStr">
        <is>
          <t>"changePass.MON_WED_FRI": "រៀងរាល់ថ្ងៃច័ន្ទ ថ្ងៃពុធ និងថ្ងៃសុក្រ",</t>
        </is>
      </c>
      <c r="I116" t="inlineStr">
        <is>
          <t>រៀងរាល់ថ្ងៃច័ន្ទ ថ្ងៃពុធ និងថ្ងៃសុក្រ</t>
        </is>
      </c>
    </row>
    <row r="117">
      <c r="A117" s="3" t="inlineStr">
        <is>
          <t>changePass.TUE_THU</t>
        </is>
      </c>
      <c r="B117" s="3" t="inlineStr">
        <is>
          <t>Thứ 3,5 hàng tuần</t>
        </is>
      </c>
      <c r="C117" s="3" t="inlineStr">
        <is>
          <t>Every Tuesday and Thursday</t>
        </is>
      </c>
      <c r="D117" s="217">
        <f>IFERROR(__xludf.DUMMYFUNCTION("GOOGLETRANSLATE(C117,""vi"",""km"")"),"រៀងរាល់ថ្ងៃអង្គារ និងថ្ងៃព្រហស្បតិ៍")</f>
        <v/>
      </c>
      <c r="E117" s="3" t="n"/>
      <c r="F117" s="3" t="inlineStr">
        <is>
          <t>រៀងរាល់ថ្ងៃអង្គារ និងថ្ងៃព្រហស្បតិ៍</t>
        </is>
      </c>
      <c r="G117" s="3" t="n"/>
      <c r="H117" s="217" t="inlineStr">
        <is>
          <t>"changePass.TUE_THU": "រៀងរាល់ថ្ងៃអង្គារ និងថ្ងៃព្រហស្បតិ៍",</t>
        </is>
      </c>
      <c r="I117" t="inlineStr">
        <is>
          <t>រៀងរាល់ថ្ងៃអង្គារ និងថ្ងៃព្រហស្បតិ៍</t>
        </is>
      </c>
    </row>
    <row r="118">
      <c r="A118" s="3" t="inlineStr">
        <is>
          <t>changePass.accountInformation</t>
        </is>
      </c>
      <c r="B118" s="3" t="inlineStr">
        <is>
          <t>Thông tin tài khoản</t>
        </is>
      </c>
      <c r="C118" s="3" t="inlineStr">
        <is>
          <t>Account information</t>
        </is>
      </c>
      <c r="D118" s="217">
        <f>IFERROR(__xludf.DUMMYFUNCTION("GOOGLETRANSLATE(C118,""vi"",""km"")"),"ព័ត៌មានគណនី")</f>
        <v/>
      </c>
      <c r="E118" s="3" t="n"/>
      <c r="F118" s="3" t="inlineStr">
        <is>
          <t>ព័ត៌មានគណនី</t>
        </is>
      </c>
      <c r="G118" s="3" t="n"/>
      <c r="H118" s="217" t="inlineStr">
        <is>
          <t>"changePass.accountInformation": "ព័ត៌មានគណនី",</t>
        </is>
      </c>
      <c r="I118" t="inlineStr">
        <is>
          <t>ព័ត៌មានគណនី</t>
        </is>
      </c>
    </row>
    <row r="119">
      <c r="A119" s="3" t="inlineStr">
        <is>
          <t>changePass.accountNumber</t>
        </is>
      </c>
      <c r="B119" s="3" t="inlineStr">
        <is>
          <t>Số tài khoản</t>
        </is>
      </c>
      <c r="C119" s="3" t="inlineStr">
        <is>
          <t>Account number</t>
        </is>
      </c>
      <c r="D119" s="217">
        <f>IFERROR(__xludf.DUMMYFUNCTION("GOOGLETRANSLATE(C119,""vi"",""km"")"),"លេខគណនី")</f>
        <v/>
      </c>
      <c r="E119" s="3" t="n"/>
      <c r="F119" s="3" t="inlineStr">
        <is>
          <t>លេខគណនីធនាគារ</t>
        </is>
      </c>
      <c r="G119" s="3" t="n"/>
      <c r="H119" s="217" t="inlineStr">
        <is>
          <t>"changePass.accountNumber": "លេខគណនីធនាគារ",</t>
        </is>
      </c>
      <c r="I119" t="inlineStr">
        <is>
          <t>លេខគណនីធនាគារ</t>
        </is>
      </c>
    </row>
    <row r="120">
      <c r="A120" s="3" t="inlineStr">
        <is>
          <t>changePass.accountOwner</t>
        </is>
      </c>
      <c r="B120" s="3" t="inlineStr">
        <is>
          <t>Chủ tài khoản</t>
        </is>
      </c>
      <c r="C120" s="3" t="inlineStr">
        <is>
          <t>Account holder</t>
        </is>
      </c>
      <c r="D120" s="217">
        <f>IFERROR(__xludf.DUMMYFUNCTION("GOOGLETRANSLATE(C120,""vi"",""km"")"),"ម្ចាស់គណនី")</f>
        <v/>
      </c>
      <c r="E120" s="3" t="n"/>
      <c r="F120" s="3" t="inlineStr">
        <is>
          <t>ម្ចាស់គណនី</t>
        </is>
      </c>
      <c r="G120" s="3" t="n"/>
      <c r="H120" s="217" t="inlineStr">
        <is>
          <t>"changePass.accountOwner": "ម្ចាស់គណនី",</t>
        </is>
      </c>
      <c r="I120" t="inlineStr">
        <is>
          <t>ម្ចាស់គណនី</t>
        </is>
      </c>
    </row>
    <row r="121">
      <c r="A121" s="3" t="inlineStr">
        <is>
          <t>changePass.address</t>
        </is>
      </c>
      <c r="B121" s="3" t="inlineStr">
        <is>
          <t>Địa chỉ chi tiết</t>
        </is>
      </c>
      <c r="C121" s="3" t="inlineStr">
        <is>
          <t>Detailed address</t>
        </is>
      </c>
      <c r="D121" s="217">
        <f>IFERROR(__xludf.DUMMYFUNCTION("GOOGLETRANSLATE(C121,""vi"",""km"")"),"អាសយដ្ឋានរដ្ឋបាល")</f>
        <v/>
      </c>
      <c r="E121" s="3" t="n"/>
      <c r="F121" s="3" t="inlineStr">
        <is>
          <t>អាសយដ្ឋានរដ្ឋបាល</t>
        </is>
      </c>
      <c r="G121" s="3" t="n"/>
      <c r="H121" s="217" t="inlineStr">
        <is>
          <t>"changePass.address": "អាសយដ្ឋានរដ្ឋបាល",</t>
        </is>
      </c>
      <c r="I121" t="inlineStr">
        <is>
          <t>អាសយដ្ឋានរដ្ឋបាល</t>
        </is>
      </c>
    </row>
    <row r="122">
      <c r="A122" s="3" t="inlineStr">
        <is>
          <t>changePass.bank</t>
        </is>
      </c>
      <c r="B122" s="3" t="inlineStr">
        <is>
          <t>Ngân hàng</t>
        </is>
      </c>
      <c r="C122" s="3" t="inlineStr">
        <is>
          <t>Bank</t>
        </is>
      </c>
      <c r="D122" s="217">
        <f>IFERROR(__xludf.DUMMYFUNCTION("GOOGLETRANSLATE(C122,""vi"",""km"")"),"ធនាគារ")</f>
        <v/>
      </c>
      <c r="E122" s="3" t="n"/>
      <c r="F122" s="3" t="inlineStr">
        <is>
          <t>ធនាគារ</t>
        </is>
      </c>
      <c r="G122" s="3" t="n"/>
      <c r="H122" s="217" t="inlineStr">
        <is>
          <t>"changePass.bank": "ធនាគារ",</t>
        </is>
      </c>
      <c r="I122" t="inlineStr">
        <is>
          <t>ធនាគារ</t>
        </is>
      </c>
    </row>
    <row r="123">
      <c r="A123" s="3" t="inlineStr">
        <is>
          <t>changePass.billingInformation</t>
        </is>
      </c>
      <c r="B123" s="3" t="inlineStr">
        <is>
          <t>Thông tin thanh toán</t>
        </is>
      </c>
      <c r="C123" s="3" t="inlineStr">
        <is>
          <t>Billing information</t>
        </is>
      </c>
      <c r="D123" s="217">
        <f>IFERROR(__xludf.DUMMYFUNCTION("GOOGLETRANSLATE(C123,""vi"",""km"")"),"ព័ត៌មាន​អំពី​វិក្កយបត្រ")</f>
        <v/>
      </c>
      <c r="E123" s="3" t="n"/>
      <c r="F123" s="3" t="inlineStr">
        <is>
          <t>ព័ត៌មានអំពីវិក្កយបត្រ</t>
        </is>
      </c>
      <c r="G123" s="3" t="n"/>
      <c r="H123" s="217" t="inlineStr">
        <is>
          <t>"changePass.billingInformation": "ព័ត៌មានអំពីវិក្កយបត្រ",</t>
        </is>
      </c>
      <c r="I123" t="inlineStr">
        <is>
          <t>ព័ត៌មានអំពីវិក្កយបត្រ</t>
        </is>
      </c>
    </row>
    <row r="124">
      <c r="A124" s="3" t="inlineStr">
        <is>
          <t>changePass.change</t>
        </is>
      </c>
      <c r="B124" s="3" t="inlineStr">
        <is>
          <t>Thay đổi</t>
        </is>
      </c>
      <c r="C124" s="3" t="inlineStr">
        <is>
          <t>Change</t>
        </is>
      </c>
      <c r="D124" s="217">
        <f>IFERROR(__xludf.DUMMYFUNCTION("GOOGLETRANSLATE(C124,""vi"",""km"")"),"កែសម្រួល")</f>
        <v/>
      </c>
      <c r="E124" s="3" t="n"/>
      <c r="F124" s="3" t="inlineStr">
        <is>
          <t>កែសម្រួល</t>
        </is>
      </c>
      <c r="G124" s="3" t="n"/>
      <c r="H124" s="217" t="inlineStr">
        <is>
          <t>"changePass.change": "កែសម្រួល",</t>
        </is>
      </c>
      <c r="I124" t="inlineStr">
        <is>
          <t>កែសម្រួល</t>
        </is>
      </c>
    </row>
    <row r="125">
      <c r="A125" s="3" t="inlineStr">
        <is>
          <t>changePass.changePassSuccess</t>
        </is>
      </c>
      <c r="B125" s="3" t="inlineStr">
        <is>
          <t>Đổi mật khẩu thành công</t>
        </is>
      </c>
      <c r="C125" s="3" t="inlineStr">
        <is>
          <t>Password changed successfully</t>
        </is>
      </c>
      <c r="D125" s="217">
        <f>IFERROR(__xludf.DUMMYFUNCTION("GOOGLETRANSLATE(C125,""vi"",""km"")"),"ពាក្យសម្ងាត់ត្រូវបានផ្លាស់ប្តូរឥឡូវនេះ")</f>
        <v/>
      </c>
      <c r="E125" s="3" t="n"/>
      <c r="F125" s="3" t="inlineStr">
        <is>
          <t>ពាក្យសម្ងាត់ត្រូវបានផ្លាស់ប្តូរឥឡូវនេះ</t>
        </is>
      </c>
      <c r="G125" s="3" t="n"/>
      <c r="H125" s="217" t="inlineStr">
        <is>
          <t>"changePass.changePassSuccess": "ពាក្យសម្ងាត់ត្រូវបានផ្លាស់ប្តូរឥឡូវនេះ",</t>
        </is>
      </c>
      <c r="I125" t="inlineStr">
        <is>
          <t>ពាក្យសម្ងាត់ត្រូវបានផ្លាស់ប្តូរឥឡូវនេះ</t>
        </is>
      </c>
    </row>
    <row r="126">
      <c r="A126" s="3" t="inlineStr">
        <is>
          <t>changePass.changePassword</t>
        </is>
      </c>
      <c r="B126" s="3" t="inlineStr">
        <is>
          <t>Đổi mật khẩu</t>
        </is>
      </c>
      <c r="C126" s="3" t="inlineStr">
        <is>
          <t>Change password</t>
        </is>
      </c>
      <c r="D126" s="217">
        <f>IFERROR(__xludf.DUMMYFUNCTION("GOOGLETRANSLATE(C126,""vi"",""km"")"),"ប្តូរពាក្យសម្ងាត់")</f>
        <v/>
      </c>
      <c r="E126" s="3" t="n"/>
      <c r="F126" s="3" t="inlineStr">
        <is>
          <t>ប្តូរពាក្យសម្ងាត់</t>
        </is>
      </c>
      <c r="G126" s="3" t="n"/>
      <c r="H126" s="217" t="inlineStr">
        <is>
          <t>"changePass.changePassword": "ប្តូរពាក្យសម្ងាត់",</t>
        </is>
      </c>
      <c r="I126" t="inlineStr">
        <is>
          <t>ប្តូរពាក្យសម្ងាត់</t>
        </is>
      </c>
    </row>
    <row r="127">
      <c r="A127" s="3" t="inlineStr">
        <is>
          <t>changePass.codPaymentInfo</t>
        </is>
      </c>
      <c r="B127" s="3" t="inlineStr">
        <is>
          <t>Hình thức thanh toán</t>
        </is>
      </c>
      <c r="C127" s="3" t="inlineStr">
        <is>
          <t>Payment form</t>
        </is>
      </c>
      <c r="D127" s="217">
        <f>IFERROR(__xludf.DUMMYFUNCTION("GOOGLETRANSLATE(C127,""vi"",""km"")"),"ទម្រង់បែបបទទូទាត់")</f>
        <v/>
      </c>
      <c r="E127" s="3" t="n"/>
      <c r="F127" s="3" t="inlineStr">
        <is>
          <t>ទម្រង់បែបបទទូទាត់</t>
        </is>
      </c>
      <c r="G127" s="3" t="n"/>
      <c r="H127" s="217" t="inlineStr">
        <is>
          <t>"changePass.codPaymentInfo": "ទម្រង់បែបបទទូទាត់",</t>
        </is>
      </c>
      <c r="I127" t="inlineStr">
        <is>
          <t>ទម្រង់បែបបទទូទាត់</t>
        </is>
      </c>
    </row>
    <row r="128">
      <c r="A128" s="3" t="inlineStr">
        <is>
          <t>changePass.codPaymentInformation</t>
        </is>
      </c>
      <c r="B128" s="3" t="inlineStr">
        <is>
          <t>Thông tin thanh toán COD</t>
        </is>
      </c>
      <c r="C128" s="3" t="inlineStr">
        <is>
          <t>COD payment information</t>
        </is>
      </c>
      <c r="D128" s="217">
        <f>IFERROR(__xludf.DUMMYFUNCTION("GOOGLETRANSLATE(C128,""vi"",""km"")"),"ព័ត៌មានអំពីការទូទាត់ប្រាក់ពេលទទួលទំនិញ (COD)")</f>
        <v/>
      </c>
      <c r="E128" s="3" t="n"/>
      <c r="F128" s="3" t="inlineStr">
        <is>
          <t>ព័ត៌មានអំពីការទូទាត់ប្រាក់ពេលទទួលទំនិញ (COD)</t>
        </is>
      </c>
      <c r="G128" s="3" t="n"/>
      <c r="H128" s="217" t="inlineStr">
        <is>
          <t>"changePass.codPaymentInformation": "ព័ត៌មានអំពីការទូទាត់ប្រាក់ពេលទទួលទំនិញ (COD)",</t>
        </is>
      </c>
      <c r="I128" t="inlineStr">
        <is>
          <t>ព័ត៌មានអំពីការទូទាត់ប្រាក់ពេលទទួលទំនិញ (COD)</t>
        </is>
      </c>
    </row>
    <row r="129">
      <c r="A129" s="3" t="inlineStr">
        <is>
          <t>changePass.confirmOtp</t>
        </is>
      </c>
      <c r="B129" s="3" t="inlineStr">
        <is>
          <t>Xác nhận OTP</t>
        </is>
      </c>
      <c r="C129" s="3" t="inlineStr">
        <is>
          <t>OTP Confirmation</t>
        </is>
      </c>
      <c r="D129" s="217">
        <f>IFERROR(__xludf.DUMMYFUNCTION("GOOGLETRANSLATE(C129,""vi"",""km"")"),"ការបញ្ជាក់ OTP")</f>
        <v/>
      </c>
      <c r="E129" s="3" t="n"/>
      <c r="F129" s="3" t="inlineStr">
        <is>
          <t>ការបញ្ជាក់ OTP</t>
        </is>
      </c>
      <c r="G129" s="3" t="n"/>
      <c r="H129" s="217" t="inlineStr">
        <is>
          <t>"changePass.confirmOtp": "ការបញ្ជាក់ OTP",</t>
        </is>
      </c>
      <c r="I129" t="inlineStr">
        <is>
          <t>ការបញ្ជាក់ OTP</t>
        </is>
      </c>
    </row>
    <row r="130">
      <c r="A130" s="3" t="inlineStr">
        <is>
          <t>changePass.confirmPassword</t>
        </is>
      </c>
      <c r="B130" s="3" t="inlineStr">
        <is>
          <t>Xác nhận mật khẩu</t>
        </is>
      </c>
      <c r="C130" s="3" t="inlineStr">
        <is>
          <t>Confirm Password</t>
        </is>
      </c>
      <c r="D130" s="217">
        <f>IFERROR(__xludf.DUMMYFUNCTION("GOOGLETRANSLATE(C130,""vi"",""km"")"),"បញ្ជាក់ពាក្យសម្ងាត់")</f>
        <v/>
      </c>
      <c r="E130" s="3" t="n"/>
      <c r="F130" s="3" t="inlineStr">
        <is>
          <t>បញ្ជាក់ពាក្យសម្ងាត់</t>
        </is>
      </c>
      <c r="G130" s="3" t="n"/>
      <c r="H130" s="217" t="inlineStr">
        <is>
          <t>"changePass.confirmPassword": "បញ្ជាក់ពាក្យសម្ងាត់",</t>
        </is>
      </c>
      <c r="I130" t="inlineStr">
        <is>
          <t>បញ្ជាក់ពាក្យសម្ងាត់</t>
        </is>
      </c>
    </row>
    <row r="131">
      <c r="A131" s="3" t="inlineStr">
        <is>
          <t>changePass.confirmPasswordPlaceholder</t>
        </is>
      </c>
      <c r="B131" s="3" t="inlineStr">
        <is>
          <t>Nhập lại mật khẩu mới</t>
        </is>
      </c>
      <c r="C131" s="3" t="inlineStr">
        <is>
          <t>Re-enter new password</t>
        </is>
      </c>
      <c r="D131" s="217">
        <f>IFERROR(__xludf.DUMMYFUNCTION("GOOGLETRANSLATE(C131,""vi"",""km"")"),"បញ្ចូលពាក្យសម្ងាត់ថ្មីម្តងទៀត")</f>
        <v/>
      </c>
      <c r="E131" s="3" t="n"/>
      <c r="F131" s="3" t="inlineStr">
        <is>
          <t>បញ្ចូលពាក្យសម្ងាត់ថ្មីម្តងទៀត</t>
        </is>
      </c>
      <c r="G131" s="3" t="n"/>
      <c r="H131" s="217" t="inlineStr">
        <is>
          <t>"changePass.confirmPasswordPlaceholder": "បញ្ចូលពាក្យសម្ងាត់ថ្មីម្តងទៀត",</t>
        </is>
      </c>
      <c r="I131" t="inlineStr">
        <is>
          <t>បញ្ចូលពាក្យសម្ងាត់ថ្មីម្តងទៀត</t>
        </is>
      </c>
    </row>
    <row r="132">
      <c r="A132" s="3" t="inlineStr">
        <is>
          <t>changePass.confirmPasswordWrong</t>
        </is>
      </c>
      <c r="B132" s="3" t="inlineStr">
        <is>
          <t>Xác nhận mật khẩu không chính xác</t>
        </is>
      </c>
      <c r="C132" s="3" t="inlineStr">
        <is>
          <t>Password does not match</t>
        </is>
      </c>
      <c r="D132" s="217">
        <f>IFERROR(__xludf.DUMMYFUNCTION("GOOGLETRANSLATE(C132,""vi"",""km"")"),"ពាក្យសម្ងាត់មិនត្រូវគ្នាទេ")</f>
        <v/>
      </c>
      <c r="E132" s="3" t="n"/>
      <c r="F132" s="3" t="inlineStr">
        <is>
          <t>ពាក្យសម្ងាត់មិនត្រូវគ្នាទេ</t>
        </is>
      </c>
      <c r="G132" s="3" t="n"/>
      <c r="H132" s="217" t="inlineStr">
        <is>
          <t>"changePass.confirmPasswordWrong": "ពាក្យសម្ងាត់មិនត្រូវគ្នាទេ",</t>
        </is>
      </c>
      <c r="I132" t="inlineStr">
        <is>
          <t>ពាក្យសម្ងាត់មិនត្រូវគ្នាទេ</t>
        </is>
      </c>
    </row>
    <row r="133">
      <c r="A133" s="3" t="inlineStr">
        <is>
          <t>changePass.constPayment.BANK_TRANSFER</t>
        </is>
      </c>
      <c r="B133" s="3" t="inlineStr">
        <is>
          <t>Chuyển khoản</t>
        </is>
      </c>
      <c r="C133" s="3" t="inlineStr">
        <is>
          <t>Bank transfer</t>
        </is>
      </c>
      <c r="D133" s="217">
        <f>IFERROR(__xludf.DUMMYFUNCTION("GOOGLETRANSLATE(C133,""vi"",""km"")"),"ការផ្ទេរប្រាក់តាមធនាគារ")</f>
        <v/>
      </c>
      <c r="E133" s="3" t="n"/>
      <c r="F133" s="3" t="inlineStr">
        <is>
          <t>ផ្ទេរប្រាក់</t>
        </is>
      </c>
      <c r="G133" s="3" t="n"/>
      <c r="H133" s="217" t="inlineStr">
        <is>
          <t>"changePass.constPayment.BANK_TRANSFER": "ផ្ទេរប្រាក់",</t>
        </is>
      </c>
      <c r="I133" t="inlineStr">
        <is>
          <t>ផ្ទេរប្រាក់</t>
        </is>
      </c>
    </row>
    <row r="134">
      <c r="A134" s="3" t="inlineStr">
        <is>
          <t>changePass.constPayment.DEDUCTED_FROM_COD</t>
        </is>
      </c>
      <c r="B134" s="3" t="inlineStr">
        <is>
          <t>Cấn trừ tiền cước phí dịch vụ với tiền COD</t>
        </is>
      </c>
      <c r="C134" s="3" t="inlineStr">
        <is>
          <t>Deduct service fees from COD amount</t>
        </is>
      </c>
      <c r="D134" s="217">
        <f>IFERROR(__xludf.DUMMYFUNCTION("GOOGLETRANSLATE(C134,""vi"",""km"")"),"កាត់ថ្លៃសេវាកម្មចេញពីចំនួនទឹកប្រាក់ COD")</f>
        <v/>
      </c>
      <c r="E134" s="3" t="n"/>
      <c r="F134" s="3" t="inlineStr">
        <is>
          <t>កាត់ថ្លៃសេវាកម្មចេញពីចំនួនទឹកប្រាក់ COD</t>
        </is>
      </c>
      <c r="G134" s="3" t="n"/>
      <c r="H134" s="217" t="inlineStr">
        <is>
          <t>"changePass.constPayment.DEDUCTED_FROM_COD": "កាត់ថ្លៃសេវាកម្មចេញពីចំនួនទឹកប្រាក់ COD",</t>
        </is>
      </c>
      <c r="I134" t="inlineStr">
        <is>
          <t>កាត់ថ្លៃសេវាកម្មចេញពីចំនួនទឹកប្រាក់ COD</t>
        </is>
      </c>
    </row>
    <row r="135">
      <c r="A135" s="3" t="inlineStr">
        <is>
          <t>changePass.currentPassword</t>
        </is>
      </c>
      <c r="B135" s="3" t="inlineStr">
        <is>
          <t>Mật khẩu hiện tại</t>
        </is>
      </c>
      <c r="C135" s="3" t="inlineStr">
        <is>
          <t>Current Password</t>
        </is>
      </c>
      <c r="D135" s="217">
        <f>IFERROR(__xludf.DUMMYFUNCTION("GOOGLETRANSLATE(C135,""vi"",""km"")"),"ពាក្យសម្ងាត់បច្ចុប្បន្ន")</f>
        <v/>
      </c>
      <c r="E135" s="3" t="n"/>
      <c r="F135" s="3" t="inlineStr">
        <is>
          <t>ពាក្យសម្ងាត់បច្ចុប្បន្ន</t>
        </is>
      </c>
      <c r="G135" s="3" t="n"/>
      <c r="H135" s="217" t="inlineStr">
        <is>
          <t>"changePass.currentPassword": "ពាក្យសម្ងាត់បច្ចុប្បន្ន",</t>
        </is>
      </c>
      <c r="I135" t="inlineStr">
        <is>
          <t>ពាក្យសម្ងាត់បច្ចុប្បន្ន</t>
        </is>
      </c>
    </row>
    <row r="136">
      <c r="A136" s="3" t="inlineStr">
        <is>
          <t>changePass.currentPasswordPlaceholder</t>
        </is>
      </c>
      <c r="B136" s="3" t="inlineStr">
        <is>
          <t>Nhập mật khẩu hiện tại</t>
        </is>
      </c>
      <c r="C136" s="3" t="inlineStr">
        <is>
          <t>Enter current password</t>
        </is>
      </c>
      <c r="D136" s="217">
        <f>IFERROR(__xludf.DUMMYFUNCTION("GOOGLETRANSLATE(C136,""vi"",""km"")"),"បញ្ចូលពាក្យសម្ងាត់បច្ចុប្បន្ន")</f>
        <v/>
      </c>
      <c r="E136" s="3" t="n"/>
      <c r="F136" s="3" t="inlineStr">
        <is>
          <t>បញ្ចូលពាក្យសម្ងាត់បច្ចុប្បន្ន</t>
        </is>
      </c>
      <c r="G136" s="3" t="n"/>
      <c r="H136" s="217" t="inlineStr">
        <is>
          <t>"changePass.currentPasswordPlaceholder": "បញ្ចូលពាក្យសម្ងាត់បច្ចុប្បន្ន",</t>
        </is>
      </c>
      <c r="I136" t="inlineStr">
        <is>
          <t>បញ្ចូលពាក្យសម្ងាត់បច្ចុប្បន្ន</t>
        </is>
      </c>
    </row>
    <row r="137">
      <c r="A137" s="3" t="inlineStr">
        <is>
          <t>changePass.dateOfBirth</t>
        </is>
      </c>
      <c r="B137" s="3" t="inlineStr">
        <is>
          <t>Sinh nhật</t>
        </is>
      </c>
      <c r="C137" s="3" t="inlineStr">
        <is>
          <t>Date of birth</t>
        </is>
      </c>
      <c r="D137" s="217">
        <f>IFERROR(__xludf.DUMMYFUNCTION("GOOGLETRANSLATE(C137,""vi"",""km"")"),"ថ្ងៃខែឆ្នាំកំណើត")</f>
        <v/>
      </c>
      <c r="E137" s="3" t="n"/>
      <c r="F137" s="3" t="inlineStr">
        <is>
          <t>ថ្ងៃខែឆ្នាំកំណើត</t>
        </is>
      </c>
      <c r="G137" s="3" t="n"/>
      <c r="H137" s="217" t="inlineStr">
        <is>
          <t>"changePass.dateOfBirth": "ថ្ងៃខែឆ្នាំកំណើត",</t>
        </is>
      </c>
      <c r="I137" t="inlineStr">
        <is>
          <t>ថ្ងៃខែឆ្នាំកំណើត</t>
        </is>
      </c>
    </row>
    <row r="138">
      <c r="A138" s="3" t="inlineStr">
        <is>
          <t>changePass.dateOfBirthPlaceholder</t>
        </is>
      </c>
      <c r="B138" s="3" t="inlineStr">
        <is>
          <t>Chọn ngày</t>
        </is>
      </c>
      <c r="C138" s="3" t="inlineStr">
        <is>
          <t>Select date</t>
        </is>
      </c>
      <c r="D138" s="217">
        <f>IFERROR(__xludf.DUMMYFUNCTION("GOOGLETRANSLATE(C138,""vi"",""km"")"),"កាលបរិច្ឆេទដែលបានជ្រើសរើស")</f>
        <v/>
      </c>
      <c r="E138" s="3" t="n"/>
      <c r="F138" s="3" t="inlineStr">
        <is>
          <t>កាលបរិច្ឆេទដែលបានជ្រើសរើស</t>
        </is>
      </c>
      <c r="G138" s="3" t="n"/>
      <c r="H138" s="217" t="inlineStr">
        <is>
          <t>"changePass.dateOfBirthPlaceholder": "កាលបរិច្ឆេទដែលបានជ្រើសរើស",</t>
        </is>
      </c>
      <c r="I138" t="inlineStr">
        <is>
          <t>កាលបរិច្ឆេទដែលបានជ្រើសរើស</t>
        </is>
      </c>
    </row>
    <row r="139">
      <c r="A139" s="3" t="inlineStr">
        <is>
          <t>changePass.days</t>
        </is>
      </c>
      <c r="B139" s="3" t="inlineStr">
        <is>
          <t>Các ngày</t>
        </is>
      </c>
      <c r="C139" s="3" t="inlineStr">
        <is>
          <t>Days</t>
        </is>
      </c>
      <c r="D139" s="217">
        <f>IFERROR(__xludf.DUMMYFUNCTION("GOOGLETRANSLATE(C139,""vi"",""km"")"),"ទិន្នន័យ")</f>
        <v/>
      </c>
      <c r="E139" s="3" t="n"/>
      <c r="F139" s="3" t="inlineStr">
        <is>
          <t>ទិន្នន័យ</t>
        </is>
      </c>
      <c r="G139" s="3" t="n"/>
      <c r="H139" s="217" t="inlineStr">
        <is>
          <t>"changePass.days": "ទិន្នន័យ",</t>
        </is>
      </c>
      <c r="I139" t="inlineStr">
        <is>
          <t>ទិន្នន័យ</t>
        </is>
      </c>
    </row>
    <row r="140">
      <c r="A140" s="3" t="inlineStr">
        <is>
          <t>changePass.descriptionSelectDate</t>
        </is>
      </c>
      <c r="B140" s="3" t="inlineStr">
        <is>
          <t>Quý khách có thể chọn nhiều ngày trong tháng:</t>
        </is>
      </c>
      <c r="C140" s="3" t="inlineStr">
        <is>
          <t>You can select multiple days in the month:</t>
        </is>
      </c>
      <c r="D140" s="217">
        <f>IFERROR(__xludf.DUMMYFUNCTION("GOOGLETRANSLATE(C140,""vi"",""km"")"),"អ្នកអាចជ្រើសរើសថ្ងៃច្រើនក្នុងមួយខែ៖")</f>
        <v/>
      </c>
      <c r="E140" s="3" t="n"/>
      <c r="F140" s="3" t="inlineStr">
        <is>
          <t>អ្នកអាចជ្រើសរើសថ្ងៃច្រើនក្នុងមួយខែ៖</t>
        </is>
      </c>
      <c r="G140" s="3" t="n"/>
      <c r="H140" s="217" t="inlineStr">
        <is>
          <t>"changePass.descriptionSelectDate": "អ្នកអាចជ្រើសរើសថ្ងៃច្រើនក្នុងមួយខែ៖",</t>
        </is>
      </c>
      <c r="I140" t="inlineStr">
        <is>
          <t>អ្នកអាចជ្រើសរើសថ្ងៃច្រើនក្នុងមួយខែ៖</t>
        </is>
      </c>
    </row>
    <row r="141">
      <c r="A141" s="3" t="inlineStr">
        <is>
          <t>changePass.email</t>
        </is>
      </c>
      <c r="B141" s="3" t="inlineStr">
        <is>
          <t>Email</t>
        </is>
      </c>
      <c r="C141" s="3" t="inlineStr">
        <is>
          <t>Email</t>
        </is>
      </c>
      <c r="D141" s="217">
        <f>IFERROR(__xludf.DUMMYFUNCTION("GOOGLETRANSLATE(C141,""vi"",""km"")"),"អ៊ីមែល")</f>
        <v/>
      </c>
      <c r="E141" s="3" t="n"/>
      <c r="F141" s="3" t="inlineStr">
        <is>
          <t>អ៊ីមែល</t>
        </is>
      </c>
      <c r="G141" s="3" t="n"/>
      <c r="H141" s="217" t="inlineStr">
        <is>
          <t>"changePass.email": "អ៊ីមែល",</t>
        </is>
      </c>
      <c r="I141" t="inlineStr">
        <is>
          <t>អ៊ីមែល</t>
        </is>
      </c>
    </row>
    <row r="142">
      <c r="A142" s="3" t="inlineStr">
        <is>
          <t>changePass.emailPlaceholder</t>
        </is>
      </c>
      <c r="B142" s="3" t="inlineStr">
        <is>
          <t>Nhập email</t>
        </is>
      </c>
      <c r="C142" s="3" t="inlineStr">
        <is>
          <t>Enter email</t>
        </is>
      </c>
      <c r="D142" s="217">
        <f>IFERROR(__xludf.DUMMYFUNCTION("GOOGLETRANSLATE(C142,""vi"",""km"")"),"បញ្ចូលអ៊ីមែល")</f>
        <v/>
      </c>
      <c r="E142" s="3" t="n"/>
      <c r="F142" s="3" t="inlineStr">
        <is>
          <t>បញ្ចូលអ៊ីមែល</t>
        </is>
      </c>
      <c r="G142" s="3" t="n"/>
      <c r="H142" s="217" t="inlineStr">
        <is>
          <t>"changePass.emailPlaceholder": "បញ្ចូលអ៊ីមែល",</t>
        </is>
      </c>
      <c r="I142" t="inlineStr">
        <is>
          <t>បញ្ចូលអ៊ីមែល</t>
        </is>
      </c>
    </row>
    <row r="143">
      <c r="A143" s="3" t="inlineStr">
        <is>
          <t>changePass.enterNewPassword</t>
        </is>
      </c>
      <c r="B143" s="3" t="inlineStr">
        <is>
          <t>Vui lòng nhập mật khẩu mới</t>
        </is>
      </c>
      <c r="C143" s="3" t="inlineStr">
        <is>
          <t>Enter new password</t>
        </is>
      </c>
      <c r="D143" s="217">
        <f>IFERROR(__xludf.DUMMYFUNCTION("GOOGLETRANSLATE(C143,""vi"",""km"")"),"បញ្ចូលពាក្យសម្ងាត់ថ្មី")</f>
        <v/>
      </c>
      <c r="E143" s="3" t="n"/>
      <c r="F143" s="3" t="inlineStr">
        <is>
          <t>បញ្ចូលពាក្យសម្ងាត់ថ្មី</t>
        </is>
      </c>
      <c r="G143" s="3" t="n"/>
      <c r="H143" s="217" t="inlineStr">
        <is>
          <t>"changePass.enterNewPassword": "បញ្ចូលពាក្យសម្ងាត់ថ្មី",</t>
        </is>
      </c>
      <c r="I143" t="inlineStr">
        <is>
          <t>បញ្ចូលពាក្យសម្ងាត់ថ្មី</t>
        </is>
      </c>
    </row>
    <row r="144">
      <c r="A144" s="3" t="inlineStr">
        <is>
          <t>changePass.feePaymentInfo</t>
        </is>
      </c>
      <c r="B144" s="3" t="inlineStr">
        <is>
          <t>Phương thức thanh toán</t>
        </is>
      </c>
      <c r="C144" s="3" t="inlineStr">
        <is>
          <t>Payment method</t>
        </is>
      </c>
      <c r="D144" s="217">
        <f>IFERROR(__xludf.DUMMYFUNCTION("GOOGLETRANSLATE(C144,""vi"",""km"")"),"វិធីបង់ប្រាក់")</f>
        <v/>
      </c>
      <c r="E144" s="3" t="n"/>
      <c r="F144" s="3" t="inlineStr">
        <is>
          <t>វិធីបង់ប្រាក់</t>
        </is>
      </c>
      <c r="G144" s="3" t="n"/>
      <c r="H144" s="217" t="inlineStr">
        <is>
          <t>"changePass.feePaymentInfo": "វិធីបង់ប្រាក់",</t>
        </is>
      </c>
      <c r="I144" t="inlineStr">
        <is>
          <t>វិធីបង់ប្រាក់</t>
        </is>
      </c>
    </row>
    <row r="145">
      <c r="A145" s="3" t="inlineStr">
        <is>
          <t>changePass.feePaymentInformation</t>
        </is>
      </c>
      <c r="B145" s="3" t="inlineStr">
        <is>
          <t>Thông tin thanh toán cước</t>
        </is>
      </c>
      <c r="C145" s="3" t="inlineStr">
        <is>
          <t>Shipping fee payment information</t>
        </is>
      </c>
      <c r="D145" s="217">
        <f>IFERROR(__xludf.DUMMYFUNCTION("GOOGLETRANSLATE(C145,""vi"",""km"")"),"ព័ត៌មានអំពីការទូទាត់ថ្លៃដឹកជញ្ជូន")</f>
        <v/>
      </c>
      <c r="E145" s="3" t="n"/>
      <c r="F145" s="3" t="inlineStr">
        <is>
          <t>ព័ត៌មានអំពីការទូទាត់ថ្លៃដឹកជញ្ជូន</t>
        </is>
      </c>
      <c r="G145" s="3" t="n"/>
      <c r="H145" s="217" t="inlineStr">
        <is>
          <t>"changePass.feePaymentInformation": "ព័ត៌មានអំពីការទូទាត់ថ្លៃដឹកជញ្ជូន",</t>
        </is>
      </c>
      <c r="I145" t="inlineStr">
        <is>
          <t>ព័ត៌មានអំពីការទូទាត់ថ្លៃដឹកជញ្ជូន</t>
        </is>
      </c>
    </row>
    <row r="146">
      <c r="A146" s="3" t="inlineStr">
        <is>
          <t>changePass.forgetPassword</t>
        </is>
      </c>
      <c r="B146" s="3" t="inlineStr">
        <is>
          <t>Quên mật khẩu hiện tại</t>
        </is>
      </c>
      <c r="C146" s="3" t="inlineStr">
        <is>
          <t>Forgot your current password</t>
        </is>
      </c>
      <c r="D146" s="217">
        <f>IFERROR(__xludf.DUMMYFUNCTION("GOOGLETRANSLATE(C146,""vi"",""km"")"),"ភ្លេចពាក្យសម្ងាត់បច្ចុប្បន្នរបស់អ្នក")</f>
        <v/>
      </c>
      <c r="E146" s="3" t="n"/>
      <c r="F146" s="3" t="inlineStr">
        <is>
          <t>ភ្លេចពាក្យសម្ងាត់បច្ចុប្បន្នរបស់អ្នក</t>
        </is>
      </c>
      <c r="G146" s="3" t="n"/>
      <c r="H146" s="217" t="inlineStr">
        <is>
          <t>"changePass.forgetPassword": "ភ្លេចពាក្យសម្ងាត់បច្ចុប្បន្នរបស់អ្នក",</t>
        </is>
      </c>
      <c r="I146" t="inlineStr">
        <is>
          <t>ភ្លេចពាក្យសម្ងាត់បច្ចុប្បន្នរបស់អ្នក</t>
        </is>
      </c>
    </row>
    <row r="147">
      <c r="A147" s="3" t="inlineStr">
        <is>
          <t>changePass.forgotPassDesc</t>
        </is>
      </c>
      <c r="B147" s="3" t="inlineStr">
        <is>
          <t>Để khôi phục mật khẩu, bạn vui lòng nhập SĐT đã dùng để đăng ký trên hệ thống</t>
        </is>
      </c>
      <c r="C147" s="3" t="inlineStr">
        <is>
          <t>To recover your password, please enter the phone number used to register on the system.</t>
        </is>
      </c>
      <c r="D147" s="217">
        <f>IFERROR(__xludf.DUMMYFUNCTION("GOOGLETRANSLATE(C147,""vi"",""km"")"),"ដើម្បី​សង្គ្រោះ​ពាក្យសម្ងាត់​របស់​អ្នក សូម​បញ្ចូល​លេខ​ទូរស័ព្ទ​ដែល​បាន​ប្រើ​ដើម្បី​ចុះឈ្មោះ​លើ​ប្រព័ន្ធ។")</f>
        <v/>
      </c>
      <c r="E147" s="3" t="n"/>
      <c r="F147" s="3" t="inlineStr">
        <is>
          <t>ដើម្បីសង្គ្រោះពាក្យសម្ងាត់របស់អ្នក សូមបញ្ចូលលេខទូរស័ព្ទដែលបានប្រើដើម្បីចុះឈ្មោះលើប្រព័ន្ធ។</t>
        </is>
      </c>
      <c r="G147" s="3" t="n"/>
      <c r="H147" s="217" t="inlineStr">
        <is>
          <t>"changePass.forgotPassDesc": "ដើម្បីសង្គ្រោះពាក្យសម្ងាត់របស់អ្នក សូមបញ្ចូលលេខទូរស័ព្ទដែលបានប្រើដើម្បីចុះឈ្មោះលើប្រព័ន្ធ។",</t>
        </is>
      </c>
      <c r="I147" t="inlineStr">
        <is>
          <t>ដើម្បីសង្គ្រោះពាក្យសម្ងាត់របស់អ្នក សូមបញ្ចូលលេខទូរស័ព្ទដែលបានប្រើដើម្បីចុះឈ្មោះលើប្រព័ន្ធ។</t>
        </is>
      </c>
    </row>
    <row r="148">
      <c r="A148" s="3" t="inlineStr">
        <is>
          <t>changePass.forgotPassword</t>
        </is>
      </c>
      <c r="B148" s="3" t="inlineStr">
        <is>
          <t>Quên mật khẩu</t>
        </is>
      </c>
      <c r="C148" s="3" t="inlineStr">
        <is>
          <t>Forgot password</t>
        </is>
      </c>
      <c r="D148" s="217">
        <f>IFERROR(__xludf.DUMMYFUNCTION("GOOGLETRANSLATE(C148,""vi"",""km"")"),"ភ្លេចពាក្យសម្ងាត់")</f>
        <v/>
      </c>
      <c r="E148" s="3" t="n"/>
      <c r="F148" s="3" t="inlineStr">
        <is>
          <t>ភ្លេចពាក្យសម្ងាត់</t>
        </is>
      </c>
      <c r="G148" s="3" t="n"/>
      <c r="H148" s="217" t="inlineStr">
        <is>
          <t>"changePass.forgotPassword": "ភ្លេចពាក្យសម្ងាត់",</t>
        </is>
      </c>
      <c r="I148" t="inlineStr">
        <is>
          <t>ភ្លេចពាក្យសម្ងាត់</t>
        </is>
      </c>
    </row>
    <row r="149">
      <c r="A149" s="3" t="inlineStr">
        <is>
          <t>changePass.fullName</t>
        </is>
      </c>
      <c r="B149" s="3" t="inlineStr">
        <is>
          <t>Họ và tên</t>
        </is>
      </c>
      <c r="C149" s="3" t="inlineStr">
        <is>
          <t>Full name</t>
        </is>
      </c>
      <c r="D149" s="217">
        <f>IFERROR(__xludf.DUMMYFUNCTION("GOOGLETRANSLATE(C149,""vi"",""km"")"),"ឈ្មោះពេញ")</f>
        <v/>
      </c>
      <c r="E149" s="3" t="n"/>
      <c r="F149" s="3" t="inlineStr">
        <is>
          <t>ឈ្មោះពេញ</t>
        </is>
      </c>
      <c r="G149" s="3" t="n"/>
      <c r="H149" s="217" t="inlineStr">
        <is>
          <t>"changePass.fullName": "ឈ្មោះពេញ",</t>
        </is>
      </c>
      <c r="I149" t="inlineStr">
        <is>
          <t>ឈ្មោះពេញ</t>
        </is>
      </c>
    </row>
    <row r="150">
      <c r="A150" s="3" t="inlineStr">
        <is>
          <t>changePass.fullNamePlaceholder</t>
        </is>
      </c>
      <c r="B150" s="3" t="inlineStr">
        <is>
          <t>Nhập họ tên</t>
        </is>
      </c>
      <c r="C150" s="3" t="inlineStr">
        <is>
          <t>Enter full name</t>
        </is>
      </c>
      <c r="D150" s="217">
        <f>IFERROR(__xludf.DUMMYFUNCTION("GOOGLETRANSLATE(C150,""vi"",""km"")"),"បញ្ចូលឈ្មោះពេញ")</f>
        <v/>
      </c>
      <c r="E150" s="3" t="n"/>
      <c r="F150" s="3" t="inlineStr">
        <is>
          <t>បញ្ចូលឈ្មោះពេញ</t>
        </is>
      </c>
      <c r="G150" s="3" t="n"/>
      <c r="H150" s="217" t="inlineStr">
        <is>
          <t>"changePass.fullNamePlaceholder": "បញ្ចូលឈ្មោះពេញ",</t>
        </is>
      </c>
      <c r="I150" t="inlineStr">
        <is>
          <t>បញ្ចូលឈ្មោះពេញ</t>
        </is>
      </c>
    </row>
    <row r="151">
      <c r="A151" s="3" t="inlineStr">
        <is>
          <t>changePass.idCard</t>
        </is>
      </c>
      <c r="B151" s="3" t="inlineStr">
        <is>
          <t>Căn cước công dân/CMT</t>
        </is>
      </c>
      <c r="C151" s="3" t="inlineStr">
        <is>
          <t>Citizen ID / ID card</t>
        </is>
      </c>
      <c r="D151" s="217">
        <f>IFERROR(__xludf.DUMMYFUNCTION("GOOGLETRANSLATE(C151,""vi"",""km"")"),"អត្តសញ្ញាណប័ណ្ណពលរដ្ឋ/អត្តសញ្ញាណប័ណ្ណ")</f>
        <v/>
      </c>
      <c r="E151" s="3" t="n"/>
      <c r="F151" s="3" t="inlineStr">
        <is>
          <t>អត្តសញ្ញាណប័ណ្ណពលរដ្ឋ/អត្តសញ្ញាណប័ណ្ណ</t>
        </is>
      </c>
      <c r="G151" s="3" t="n"/>
      <c r="H151" s="217" t="inlineStr">
        <is>
          <t>"changePass.idCard": "អត្តសញ្ញាណប័ណ្ណពលរដ្ឋ/អត្តសញ្ញាណប័ណ្ណ",</t>
        </is>
      </c>
      <c r="I151" t="inlineStr">
        <is>
          <t>អត្តសញ្ញាណប័ណ្ណពលរដ្ឋ/អត្តសញ្ញាណប័ណ្ណ</t>
        </is>
      </c>
    </row>
    <row r="152">
      <c r="A152" s="3" t="inlineStr">
        <is>
          <t>changePass.lockAccount</t>
        </is>
      </c>
      <c r="B152" s="3" t="inlineStr">
        <is>
          <t>Tài khoản bị khoá</t>
        </is>
      </c>
      <c r="C152" s="3" t="inlineStr">
        <is>
          <t>Account has been locked!</t>
        </is>
      </c>
      <c r="D152" s="217">
        <f>IFERROR(__xludf.DUMMYFUNCTION("GOOGLETRANSLATE(C152,""vi"",""km"")"),"គណនីត្រូវបានចាក់សោ!")</f>
        <v/>
      </c>
      <c r="E152" s="3" t="n"/>
      <c r="F152" s="3" t="inlineStr">
        <is>
          <t>គណនីត្រូវបានចាក់សោ!</t>
        </is>
      </c>
      <c r="G152" s="3" t="n"/>
      <c r="H152" s="217" t="inlineStr">
        <is>
          <t>"changePass.lockAccount": "គណនីត្រូវបានចាក់សោ!",</t>
        </is>
      </c>
      <c r="I152" t="inlineStr">
        <is>
          <t>គណនីត្រូវបានចាក់សោ!</t>
        </is>
      </c>
    </row>
    <row r="153">
      <c r="A153" s="3" t="inlineStr">
        <is>
          <t>changePass.lockAccountInline</t>
        </is>
      </c>
      <c r="B153" s="3" t="inlineStr">
        <is>
          <t>Mã OTP không chính xác, tài khoản của bạn đã bị khóa</t>
        </is>
      </c>
      <c r="C153" s="3" t="inlineStr">
        <is>
          <t>Your account has been locked due to 5 failed OTP attempts. Please contact customer support to reset your password.</t>
        </is>
      </c>
      <c r="D153" s="217">
        <f>IFERROR(__xludf.DUMMYFUNCTION("GOOGLETRANSLATE(C153,""vi"",""km"")"),"គណនីរបស់អ្នកត្រូវបានចាក់សោដោយសារតែការប៉ុនប៉ង OTP ចំនួន 5 ដងបរាជ័យ។ សូមទាក់ទងផ្នែកជំនួយអតិថិជនដើម្បីកំណត់ពាក្យសម្ងាត់របស់អ្នកឡើងវិញ។")</f>
        <v/>
      </c>
      <c r="E153" s="3" t="n"/>
      <c r="F153" s="3" t="inlineStr">
        <is>
          <t>គណនីរបស់អ្នកត្រូវបានចាក់សោដោយសារតែការប៉ុនប៉ង OTP ចំនួន 5 ដងបរាជ័យ។ សូមទាក់ទងផ្នែកជំនួយអតិថិជនដើម្បីកំណត់ពាក្យសម្ងាត់របស់អ្នកឡើងវិញ។</t>
        </is>
      </c>
      <c r="G153" s="3" t="n"/>
      <c r="H153" s="217" t="inlineStr">
        <is>
          <t>"changePass.lockAccountInline": "គណនីរបស់អ្នកត្រូវបានចាក់សោដោយសារតែការប៉ុនប៉ង OTP ចំនួន 5 ដងបរាជ័យ។ សូមទាក់ទងផ្នែកជំនួយអតិថិជនដើម្បីកំណត់ពាក្យសម្ងាត់របស់អ្នកឡើងវិញ។",</t>
        </is>
      </c>
      <c r="I153" t="inlineStr">
        <is>
          <t>គណនីរបស់អ្នកត្រូវបានចាក់សោដោយសារតែការប៉ុនប៉ង OTP ចំនួន 5 ដងបរាជ័យ។ សូមទាក់ទងផ្នែកជំនួយអតិថិជនដើម្បីកំណត់ពាក្យសម្ងាត់របស់អ្នកឡើងវិញ។</t>
        </is>
      </c>
    </row>
    <row r="154">
      <c r="A154" s="3" t="inlineStr">
        <is>
          <t>changePass.lockAccountMesssage</t>
        </is>
      </c>
      <c r="B154" s="3" t="inlineStr">
        <is>
          <t>Vượt quá số lần nhập OTP cho phép. Tài khoản của bạn đã bị khóa</t>
        </is>
      </c>
      <c r="C154" s="3" t="inlineStr">
        <is>
          <t>Your account has been locked due to 5 failed OTP attempts. Please contact customer support to reset your password.</t>
        </is>
      </c>
      <c r="D154" s="217">
        <f>IFERROR(__xludf.DUMMYFUNCTION("GOOGLETRANSLATE(C154,""vi"",""km"")"),"គណនីរបស់អ្នកត្រូវបានចាក់សោដោយសារតែការប៉ុនប៉ង OTP ចំនួន 5 ដងបរាជ័យ។ សូមទាក់ទងផ្នែកជំនួយអតិថិជនដើម្បីកំណត់ពាក្យសម្ងាត់របស់អ្នកឡើងវិញ។")</f>
        <v/>
      </c>
      <c r="E154" s="3" t="n"/>
      <c r="F154" s="3" t="inlineStr">
        <is>
          <t>គណនីរបស់អ្នកត្រូវបានចាក់សោដោយសារតែការប៉ុនប៉ង OTP ចំនួន 5 ដងបរាជ័យ។ សូមទាក់ទងផ្នែកជំនួយអតិថិជនដើម្បីកំណត់ពាក្យសម្ងាត់របស់អ្នកឡើងវិញ។</t>
        </is>
      </c>
      <c r="G154" s="3" t="n"/>
      <c r="H154" s="217" t="inlineStr">
        <is>
          <t>"changePass.lockAccountMesssage": "គណនីរបស់អ្នកត្រូវបានចាក់សោដោយសារតែការប៉ុនប៉ង OTP ចំនួន 5 ដងបរាជ័យ។ សូមទាក់ទងផ្នែកជំនួយអតិថិជនដើម្បីកំណត់ពាក្យសម្ងាត់របស់អ្នកឡើងវិញ។",</t>
        </is>
      </c>
      <c r="I154" t="inlineStr">
        <is>
          <t>គណនីរបស់អ្នកត្រូវបានចាក់សោដោយសារតែការប៉ុនប៉ង OTP ចំនួន 5 ដងបរាជ័យ។ សូមទាក់ទងផ្នែកជំនួយអតិថិជនដើម្បីកំណត់ពាក្យសម្ងាត់របស់អ្នកឡើងវិញ។</t>
        </is>
      </c>
    </row>
    <row r="155">
      <c r="A155" s="3" t="inlineStr">
        <is>
          <t>changePass.lockDes2</t>
        </is>
      </c>
      <c r="B155" s="3" t="inlineStr">
        <is>
          <t>tài khoản của bạn đã bị khoá. Vui lòng liên hệ vận hành để hỗ trợ cấp lại mật khẩu!</t>
        </is>
      </c>
      <c r="C155" s="3" t="inlineStr">
        <is>
          <t>Please contact customer support to reset your password.</t>
        </is>
      </c>
      <c r="D155" s="217">
        <f>IFERROR(__xludf.DUMMYFUNCTION("GOOGLETRANSLATE(C155,""vi"",""km"")"),"សូមទាក់ទងផ្នែកជំនួយអតិថិជនដើម្បីកំណត់ពាក្យសម្ងាត់របស់អ្នកឡើងវិញ។")</f>
        <v/>
      </c>
      <c r="E155" s="3" t="n"/>
      <c r="F155" s="3" t="inlineStr">
        <is>
          <t>សូមទាក់ទងផ្នែកជំនួយអតិថិជនដើម្បីកំណត់ពាក្យសម្ងាត់របស់អ្នកឡើងវិញ។</t>
        </is>
      </c>
      <c r="G155" s="3" t="n"/>
      <c r="H155" s="217" t="inlineStr">
        <is>
          <t>"changePass.lockDes2": "សូមទាក់ទងផ្នែកជំនួយអតិថិជនដើម្បីកំណត់ពាក្យសម្ងាត់របស់អ្នកឡើងវិញ។",</t>
        </is>
      </c>
      <c r="I155" t="inlineStr">
        <is>
          <t>សូមទាក់ទងផ្នែកជំនួយអតិថិជនដើម្បីកំណត់ពាក្យសម្ងាត់របស់អ្នកឡើងវិញ។</t>
        </is>
      </c>
    </row>
    <row r="156">
      <c r="A156" s="3" t="inlineStr">
        <is>
          <t>changePass.lockDesOtp</t>
        </is>
      </c>
      <c r="B156" s="3" t="inlineStr">
        <is>
          <t>Nhập sai OTP quá</t>
        </is>
      </c>
      <c r="C156" s="3" t="inlineStr">
        <is>
          <t>Your account has been locked due to</t>
        </is>
      </c>
      <c r="D156" s="217">
        <f>IFERROR(__xludf.DUMMYFUNCTION("GOOGLETRANSLATE(C156,""vi"",""km"")"),"គណនីរបស់អ្នកត្រូវបានចាក់សោដោយសារតែ")</f>
        <v/>
      </c>
      <c r="E156" s="3" t="n"/>
      <c r="F156" s="3" t="inlineStr">
        <is>
          <t>គណនីរបស់អ្នកត្រូវបានចាក់សោដោយសារតែ</t>
        </is>
      </c>
      <c r="G156" s="3" t="n"/>
      <c r="H156" s="217" t="inlineStr">
        <is>
          <t>"changePass.lockDesOtp": "គណនីរបស់អ្នកត្រូវបានចាក់សោដោយសារតែ",</t>
        </is>
      </c>
      <c r="I156" t="inlineStr">
        <is>
          <t>គណនីរបស់អ្នកត្រូវបានចាក់សោដោយសារតែ</t>
        </is>
      </c>
    </row>
    <row r="157">
      <c r="A157" s="3" t="inlineStr">
        <is>
          <t>changePass.lockDesPass</t>
        </is>
      </c>
      <c r="B157" s="3" t="inlineStr">
        <is>
          <t>Nhập sai mật khẩu quá</t>
        </is>
      </c>
      <c r="C157" s="3" t="inlineStr">
        <is>
          <t>Your account has been locked due to</t>
        </is>
      </c>
      <c r="D157" s="217">
        <f>IFERROR(__xludf.DUMMYFUNCTION("GOOGLETRANSLATE(C157,""vi"",""km"")"),"គណនីរបស់អ្នកត្រូវបានចាក់សោដោយសារតែ")</f>
        <v/>
      </c>
      <c r="E157" s="3" t="n"/>
      <c r="F157" s="3" t="inlineStr">
        <is>
          <t>គណនីរបស់អ្នកត្រូវបានចាក់សោដោយសារតែ</t>
        </is>
      </c>
      <c r="G157" s="3" t="n"/>
      <c r="H157" s="217" t="inlineStr">
        <is>
          <t>"changePass.lockDesPass": "គណនីរបស់អ្នកត្រូវបានចាក់សោដោយសារតែ",</t>
        </is>
      </c>
      <c r="I157" t="inlineStr">
        <is>
          <t>គណនីរបស់អ្នកត្រូវបានចាក់សោដោយសារតែ</t>
        </is>
      </c>
    </row>
    <row r="158">
      <c r="A158" s="3" t="inlineStr">
        <is>
          <t>changePass.manageWebhooks</t>
        </is>
      </c>
      <c r="B158" s="3" t="inlineStr">
        <is>
          <t>Quản lý webhook</t>
        </is>
      </c>
      <c r="C158" s="3" t="inlineStr">
        <is>
          <t>Webhook management</t>
        </is>
      </c>
      <c r="D158" s="217">
        <f>IFERROR(__xludf.DUMMYFUNCTION("GOOGLETRANSLATE(C158,""vi"",""km"")"),"ការគ្រប់គ្រង Webhook")</f>
        <v/>
      </c>
      <c r="E158" s="3" t="n"/>
      <c r="F158" s="3" t="inlineStr">
        <is>
          <t>ការគ្រប់គ្រង Webhook</t>
        </is>
      </c>
      <c r="G158" s="3" t="n"/>
      <c r="H158" s="217" t="inlineStr">
        <is>
          <t>"changePass.manageWebhooks": "ការគ្រប់គ្រង Webhook",</t>
        </is>
      </c>
      <c r="I158" t="inlineStr">
        <is>
          <t>ការគ្រប់គ្រង Webhook</t>
        </is>
      </c>
    </row>
    <row r="159">
      <c r="A159" s="3" t="inlineStr">
        <is>
          <t>changePass.monthly</t>
        </is>
      </c>
      <c r="B159" s="3" t="inlineStr">
        <is>
          <t>hàng tháng</t>
        </is>
      </c>
      <c r="C159" s="3" t="inlineStr">
        <is>
          <t>monthly</t>
        </is>
      </c>
      <c r="D159" s="217">
        <f>IFERROR(__xludf.DUMMYFUNCTION("GOOGLETRANSLATE(C159,""vi"",""km"")"),"ថ្ងៃច័ន្ទ")</f>
        <v/>
      </c>
      <c r="E159" s="3" t="n"/>
      <c r="F159" s="3" t="inlineStr">
        <is>
          <t>ថ្ងៃច័ន្ទ</t>
        </is>
      </c>
      <c r="G159" s="3" t="n"/>
      <c r="H159" s="217" t="inlineStr">
        <is>
          <t>"changePass.monthly": "ថ្ងៃច័ន្ទ",</t>
        </is>
      </c>
      <c r="I159" t="inlineStr">
        <is>
          <t>ថ្ងៃច័ន្ទ</t>
        </is>
      </c>
    </row>
    <row r="160">
      <c r="A160" s="3" t="inlineStr">
        <is>
          <t>changePass.newPassSuccess</t>
        </is>
      </c>
      <c r="B160" s="3" t="inlineStr">
        <is>
          <t>Đặt lại mật khẩu thành công</t>
        </is>
      </c>
      <c r="C160" s="3" t="inlineStr">
        <is>
          <t>Password changed successfully</t>
        </is>
      </c>
      <c r="D160" s="217">
        <f>IFERROR(__xludf.DUMMYFUNCTION("GOOGLETRANSLATE(C160,""vi"",""km"")"),"ពាក្យសម្ងាត់ត្រូវបានផ្លាស់ប្តូរឥឡូវនេះ")</f>
        <v/>
      </c>
      <c r="E160" s="3" t="n"/>
      <c r="F160" s="3" t="inlineStr">
        <is>
          <t>ពាក្យសម្ងាត់ត្រូវបានផ្លាស់ប្តូរឥឡូវនេះ</t>
        </is>
      </c>
      <c r="G160" s="3" t="n"/>
      <c r="H160" s="217" t="inlineStr">
        <is>
          <t>"changePass.newPassSuccess": "ពាក្យសម្ងាត់ត្រូវបានផ្លាស់ប្តូរឥឡូវនេះ",</t>
        </is>
      </c>
      <c r="I160" t="inlineStr">
        <is>
          <t>ពាក្យសម្ងាត់ត្រូវបានផ្លាស់ប្តូរឥឡូវនេះ</t>
        </is>
      </c>
    </row>
    <row r="161">
      <c r="A161" s="3" t="inlineStr">
        <is>
          <t>changePass.newPassword</t>
        </is>
      </c>
      <c r="B161" s="3" t="inlineStr">
        <is>
          <t>Mật khẩu mới</t>
        </is>
      </c>
      <c r="C161" s="3" t="inlineStr">
        <is>
          <t>New Password</t>
        </is>
      </c>
      <c r="D161" s="217">
        <f>IFERROR(__xludf.DUMMYFUNCTION("GOOGLETRANSLATE(C161,""vi"",""km"")"),"ពាក្យសម្ងាត់ថ្មី")</f>
        <v/>
      </c>
      <c r="E161" s="3" t="n"/>
      <c r="F161" s="3" t="inlineStr">
        <is>
          <t>ពាក្យសម្ងាត់ថ្មី</t>
        </is>
      </c>
      <c r="G161" s="3" t="n"/>
      <c r="H161" s="217" t="inlineStr">
        <is>
          <t>"changePass.newPassword": "ពាក្យសម្ងាត់ថ្មី",</t>
        </is>
      </c>
      <c r="I161" t="inlineStr">
        <is>
          <t>ពាក្យសម្ងាត់ថ្មី</t>
        </is>
      </c>
    </row>
    <row r="162">
      <c r="A162" s="3" t="inlineStr">
        <is>
          <t>changePass.newPasswordPlaceholder</t>
        </is>
      </c>
      <c r="B162" s="3" t="inlineStr">
        <is>
          <t>Nhập mật khẩu mới</t>
        </is>
      </c>
      <c r="C162" s="3" t="inlineStr">
        <is>
          <t>Enter new password</t>
        </is>
      </c>
      <c r="D162" s="217">
        <f>IFERROR(__xludf.DUMMYFUNCTION("GOOGLETRANSLATE(C162,""vi"",""km"")"),"បញ្ចូលពាក្យសម្ងាត់ថ្មី")</f>
        <v/>
      </c>
      <c r="E162" s="3" t="n"/>
      <c r="F162" s="3" t="inlineStr">
        <is>
          <t>បញ្ចូលពាក្យសម្ងាត់ថ្មី</t>
        </is>
      </c>
      <c r="G162" s="3" t="n"/>
      <c r="H162" s="217" t="inlineStr">
        <is>
          <t>"changePass.newPasswordPlaceholder": "បញ្ចូលពាក្យសម្ងាត់ថ្មី",</t>
        </is>
      </c>
      <c r="I162" t="inlineStr">
        <is>
          <t>បញ្ចូលពាក្យសម្ងាត់ថ្មី</t>
        </is>
      </c>
    </row>
    <row r="163">
      <c r="A163" s="3" t="inlineStr">
        <is>
          <t>changePass.newPasswordTitle</t>
        </is>
      </c>
      <c r="B163" s="3" t="inlineStr">
        <is>
          <t>Đặt lại mật khẩu</t>
        </is>
      </c>
      <c r="C163" s="3" t="inlineStr">
        <is>
          <t>New Password</t>
        </is>
      </c>
      <c r="D163" s="217">
        <f>IFERROR(__xludf.DUMMYFUNCTION("GOOGLETRANSLATE(C163,""vi"",""km"")"),"ពាក្យសម្ងាត់ថ្មី")</f>
        <v/>
      </c>
      <c r="E163" s="3" t="n"/>
      <c r="F163" s="3" t="inlineStr">
        <is>
          <t>ពាក្យសម្ងាត់ថ្មី</t>
        </is>
      </c>
      <c r="G163" s="3" t="n"/>
      <c r="H163" s="217" t="inlineStr">
        <is>
          <t>"changePass.newPasswordTitle": "ពាក្យសម្ងាត់ថ្មី",</t>
        </is>
      </c>
      <c r="I163" t="inlineStr">
        <is>
          <t>ពាក្យសម្ងាត់ថ្មី</t>
        </is>
      </c>
    </row>
    <row r="164">
      <c r="A164" s="3" t="inlineStr">
        <is>
          <t>changePass.note</t>
        </is>
      </c>
      <c r="B164" s="3" t="inlineStr">
        <is>
          <t>Lưu ý</t>
        </is>
      </c>
      <c r="C164" s="3" t="inlineStr">
        <is>
          <t>Note</t>
        </is>
      </c>
      <c r="D164" s="217">
        <f>IFERROR(__xludf.DUMMYFUNCTION("GOOGLETRANSLATE(C164,""vi"",""km"")"),"កំណត់ចំណាំ")</f>
        <v/>
      </c>
      <c r="E164" s="3" t="n"/>
      <c r="F164" s="3" t="inlineStr">
        <is>
          <t>ចំណាំ</t>
        </is>
      </c>
      <c r="G164" s="3" t="n"/>
      <c r="H164" s="217" t="inlineStr">
        <is>
          <t>"changePass.note": "ចំណាំ",</t>
        </is>
      </c>
      <c r="I164" t="inlineStr">
        <is>
          <t>ចំណាំ</t>
        </is>
      </c>
    </row>
    <row r="165">
      <c r="A165" s="3" t="inlineStr">
        <is>
          <t>changePass.noteDate</t>
        </is>
      </c>
      <c r="B165" s="3" t="inlineStr">
        <is>
          <t>Khi quý khách chọn ngày 31, đối với những tháng 28, 29 hoặc 30 ngày, hoá đơn sẽ xuất vào cuối mỗi tháng</t>
        </is>
      </c>
      <c r="C165" s="3" t="inlineStr">
        <is>
          <t>If you select day 31, then for months with 28, 29, or 30 days, the invoice will be issued on the last day of the month</t>
        </is>
      </c>
      <c r="D165" s="217">
        <f>IFERROR(__xludf.DUMMYFUNCTION("GOOGLETRANSLATE(C165,""vi"",""km"")"),"ប្រសិនបើអ្នកជ្រើសរើសថ្ងៃទី 31 នោះសម្រាប់ខែដែលមាន 28, 29 ឬ 30 ថ្ងៃ វិក្កយបត្រនឹងត្រូវបានចេញនៅថ្ងៃចុងក្រោយនៃខែ។")</f>
        <v/>
      </c>
      <c r="E165" s="3" t="n"/>
      <c r="F165" s="3" t="inlineStr">
        <is>
          <t>ប្រសិនបើអ្នកជ្រើសរើសថ្ងៃទី 31 នោះសម្រាប់ខែដែលមាន 28, 29 ឬ 30 ថ្ងៃ វិក្កយបត្រនឹងត្រូវបានចេញនៅថ្ងៃចុងក្រោយនៃខែ។</t>
        </is>
      </c>
      <c r="G165" s="3" t="n"/>
      <c r="H165" s="217" t="inlineStr">
        <is>
          <t>"changePass.noteDate": "ប្រសិនបើអ្នកជ្រើសរើសថ្ងៃទី 31 នោះសម្រាប់ខែដែលមាន 28, 29 ឬ 30 ថ្ងៃ វិក្កយបត្រនឹងត្រូវបានចេញនៅថ្ងៃចុងក្រោយនៃខែ។",</t>
        </is>
      </c>
      <c r="I165" t="inlineStr">
        <is>
          <t>ប្រសិនបើអ្នកជ្រើសរើសថ្ងៃទី 31 នោះសម្រាប់ខែដែលមាន 28, 29 ឬ 30 ថ្ងៃ វិក្កយបត្រនឹងត្រូវបានចេញនៅថ្ងៃចុងក្រោយនៃខែ។</t>
        </is>
      </c>
    </row>
    <row r="166">
      <c r="A166" s="3" t="inlineStr">
        <is>
          <t>changePass.noteSms</t>
        </is>
      </c>
      <c r="B166" s="3" t="inlineStr">
        <is>
          <t>Lưu ý: Bạn chỉ có thể nhận tối đa 5 SMS/giờ</t>
        </is>
      </c>
      <c r="C166" s="3" t="inlineStr">
        <is>
          <t>Note: You can only receive up to 5 SMS/hour</t>
        </is>
      </c>
      <c r="D166" s="217">
        <f>IFERROR(__xludf.DUMMYFUNCTION("GOOGLETRANSLATE(C166,""vi"",""km"")"),"ចំណាំ៖ អ្នកអាចទទួលបានសារ SMS ត្រឹមតែ 5 សារក្នុងមួយម៉ោងប៉ុណ្ណោះ")</f>
        <v/>
      </c>
      <c r="E166" s="3" t="n"/>
      <c r="F166" s="3" t="inlineStr">
        <is>
          <t>ចំណាំ៖ អ្នកអាចទទួលបានសារ SMS ត្រឹមតែ 5 សារក្នុងមួយម៉ោងប៉ុណ្ណោះ</t>
        </is>
      </c>
      <c r="G166" s="3" t="n"/>
      <c r="H166" s="217" t="inlineStr">
        <is>
          <t>"changePass.noteSms": "ចំណាំ៖ អ្នកអាចទទួលបានសារ SMS ត្រឹមតែ 5 សារក្នុងមួយម៉ោងប៉ុណ្ណោះ",</t>
        </is>
      </c>
      <c r="I166" t="inlineStr">
        <is>
          <t>ចំណាំ៖ អ្នកអាចទទួលបានសារ SMS ត្រឹមតែ 5 សារក្នុងមួយម៉ោងប៉ុណ្ណោះ</t>
        </is>
      </c>
    </row>
    <row r="167">
      <c r="A167" s="3" t="inlineStr">
        <is>
          <t>changePass.otpExpired</t>
        </is>
      </c>
      <c r="B167" s="3" t="inlineStr">
        <is>
          <t>Mã OTP đã hết hạn</t>
        </is>
      </c>
      <c r="C167" s="3" t="inlineStr">
        <is>
          <t>OTP has expired</t>
        </is>
      </c>
      <c r="D167" s="217">
        <f>IFERROR(__xludf.DUMMYFUNCTION("GOOGLETRANSLATE(C167,""vi"",""km"")"),"លេខសម្ងាត់ OTP ផុតកំណត់ហើយ")</f>
        <v/>
      </c>
      <c r="E167" s="3" t="n"/>
      <c r="F167" s="3" t="inlineStr">
        <is>
          <t>លេខសម្ងាត់ OTP ផុតកំណត់ហើយ</t>
        </is>
      </c>
      <c r="G167" s="3" t="n"/>
      <c r="H167" s="217" t="inlineStr">
        <is>
          <t>"changePass.otpExpired": "លេខសម្ងាត់ OTP ផុតកំណត់ហើយ",</t>
        </is>
      </c>
      <c r="I167" t="inlineStr">
        <is>
          <t>លេខសម្ងាត់ OTP ផុតកំណត់ហើយ</t>
        </is>
      </c>
    </row>
    <row r="168">
      <c r="A168" s="3" t="inlineStr">
        <is>
          <t>changePass.overlap</t>
        </is>
      </c>
      <c r="B168" s="3" t="inlineStr">
        <is>
          <t>Mật khẩu mới không được trùng với mật khẩu cũ</t>
        </is>
      </c>
      <c r="C168" s="3" t="inlineStr">
        <is>
          <t>The new password cannot be the same as the old password.</t>
        </is>
      </c>
      <c r="D168" s="217">
        <f>IFERROR(__xludf.DUMMYFUNCTION("GOOGLETRANSLATE(C168,""vi"",""km"")"),"ពាក្យសម្ងាត់ថ្មីមិនអាចដូចគ្នានឹងពាក្យសម្ងាត់ចាស់បានទេ។")</f>
        <v/>
      </c>
      <c r="E168" s="3" t="n"/>
      <c r="F168" s="3" t="inlineStr">
        <is>
          <t>ពាក្យសម្ងាត់ថ្មីមិនអាចដូចគ្នានឹងពាក្យសម្ងាត់ចាស់បានទេ។</t>
        </is>
      </c>
      <c r="G168" s="3" t="n"/>
      <c r="H168" s="217" t="inlineStr">
        <is>
          <t>"changePass.overlap": "ពាក្យសម្ងាត់ថ្មីមិនអាចដូចគ្នានឹងពាក្យសម្ងាត់ចាស់បានទេ។",</t>
        </is>
      </c>
      <c r="I168" t="inlineStr">
        <is>
          <t>ពាក្យសម្ងាត់ថ្មីមិនអាចដូចគ្នានឹងពាក្យសម្ងាត់ចាស់បានទេ។</t>
        </is>
      </c>
    </row>
    <row r="169">
      <c r="A169" s="3" t="inlineStr">
        <is>
          <t>changePass.passwordAccept</t>
        </is>
      </c>
      <c r="B169" s="3" t="inlineStr">
        <is>
          <t>Gồm ký tự số và chữ</t>
        </is>
      </c>
      <c r="C169" s="3" t="inlineStr">
        <is>
          <t>Password must include both letters and numbers.</t>
        </is>
      </c>
      <c r="D169" s="217">
        <f>IFERROR(__xludf.DUMMYFUNCTION("GOOGLETRANSLATE(C169,""vi"",""km"")"),"ពាក្យសម្ងាត់ត្រូវតែមានទាំងអក្សរ និងលេខ។")</f>
        <v/>
      </c>
      <c r="E169" s="3" t="n"/>
      <c r="F169" s="3" t="inlineStr">
        <is>
          <t>ពាក្យសម្ងាត់ត្រូវតែមានទាំងអក្សរ និងលេខ។</t>
        </is>
      </c>
      <c r="G169" s="3" t="n"/>
      <c r="H169" s="217" t="inlineStr">
        <is>
          <t>"changePass.passwordAccept": "ពាក្យសម្ងាត់ត្រូវតែមានទាំងអក្សរ និងលេខ។",</t>
        </is>
      </c>
      <c r="I169" t="inlineStr">
        <is>
          <t>ពាក្យសម្ងាត់ត្រូវតែមានទាំងអក្សរ និងលេខ។</t>
        </is>
      </c>
    </row>
    <row r="170">
      <c r="A170" s="3" t="inlineStr">
        <is>
          <t>changePass.passwordExceed</t>
        </is>
      </c>
      <c r="B170" s="3" t="inlineStr">
        <is>
          <t>Vượt quá số lần cho phép, tài khoản đã bị khóa</t>
        </is>
      </c>
      <c r="C170" s="3" t="inlineStr">
        <is>
          <t>Your account has been locked due to 5 failed password attempts. Please contact customer support to reset your password!</t>
        </is>
      </c>
      <c r="D170" s="217">
        <f>IFERROR(__xludf.DUMMYFUNCTION("GOOGLETRANSLATE(C170,""vi"",""km"")"),"គណនីរបស់អ្នកត្រូវបានចាក់សោដោយសារតែការប៉ុនប៉ងពាក្យសម្ងាត់ចំនួន 5 ដងបរាជ័យ។ សូមទាក់ទងផ្នែកជំនួយអតិថិជនដើម្បីកំណត់ពាក្យសម្ងាត់របស់អ្នកឡើងវិញ!")</f>
        <v/>
      </c>
      <c r="E170" s="3" t="n"/>
      <c r="F170" s="3" t="inlineStr">
        <is>
          <t>គណនីរបស់អ្នកត្រូវបានចាក់សោដោយសារតែការប៉ុនប៉ងពាក្យសម្ងាត់ចំនួន 5 ដងបរាជ័យ។ សូមទាក់ទងផ្នែកជំនួយអតិថិជនដើម្បីកំណត់ពាក្យសម្ងាត់របស់អ្នកឡើងវិញ!</t>
        </is>
      </c>
      <c r="G170" s="3" t="n"/>
      <c r="H170" s="217" t="inlineStr">
        <is>
          <t>"changePass.passwordExceed": "គណនីរបស់អ្នកត្រូវបានចាក់សោដោយសារតែការប៉ុនប៉ងពាក្យសម្ងាត់ចំនួន 5 ដងបរាជ័យ។ សូមទាក់ទងផ្នែកជំនួយអតិថិជនដើម្បីកំណត់ពាក្យសម្ងាត់របស់អ្នកឡើងវិញ!",</t>
        </is>
      </c>
      <c r="I170" t="inlineStr">
        <is>
          <t>គណនីរបស់អ្នកត្រូវបានចាក់សោដោយសារតែការប៉ុនប៉ងពាក្យសម្ងាត់ចំនួន 5 ដងបរាជ័យ។ សូមទាក់ទងផ្នែកជំនួយអតិថិជនដើម្បីកំណត់ពាក្យសម្ងាត់របស់អ្នកឡើងវិញ!</t>
        </is>
      </c>
    </row>
    <row r="171">
      <c r="A171" s="3" t="inlineStr">
        <is>
          <t>changePass.passwordInvalid</t>
        </is>
      </c>
      <c r="B171" s="3" t="inlineStr">
        <is>
          <t>Mật khẩu không chính xác</t>
        </is>
      </c>
      <c r="C171" s="3" t="inlineStr">
        <is>
          <t>Password is incorrect</t>
        </is>
      </c>
      <c r="D171" s="217">
        <f>IFERROR(__xludf.DUMMYFUNCTION("GOOGLETRANSLATE(C171,""vi"",""km"")"),"ពាក្យសម្ងាត់មិនត្រឹមត្រូវ")</f>
        <v/>
      </c>
      <c r="E171" s="3" t="n"/>
      <c r="F171" s="3" t="inlineStr">
        <is>
          <t>ពាក្យសម្ងាត់មិនត្រឹមត្រូវ</t>
        </is>
      </c>
      <c r="G171" s="3" t="n"/>
      <c r="H171" s="217" t="inlineStr">
        <is>
          <t>"changePass.passwordInvalid": "ពាក្យសម្ងាត់មិនត្រឹមត្រូវ",</t>
        </is>
      </c>
      <c r="I171" t="inlineStr">
        <is>
          <t>ពាក្យសម្ងាត់មិនត្រឹមត្រូវ</t>
        </is>
      </c>
    </row>
    <row r="172">
      <c r="A172" s="3" t="inlineStr">
        <is>
          <t>changePass.passwordLength</t>
        </is>
      </c>
      <c r="B172" s="3" t="inlineStr">
        <is>
          <t>Độ dài tối thiếu 8 ký tự và tối đa 20 ký tự</t>
        </is>
      </c>
      <c r="C172" s="3" t="inlineStr">
        <is>
          <t>Password must be between 8 and 20 characters long.</t>
        </is>
      </c>
      <c r="D172" s="217">
        <f>IFERROR(__xludf.DUMMYFUNCTION("GOOGLETRANSLATE(C172,""vi"",""km"")"),"ពាក្យសម្ងាត់ត្រូវតែមានប្រវែងចន្លោះពី ៨ ទៅ ២០ តួអក្សរ។")</f>
        <v/>
      </c>
      <c r="E172" s="3" t="n"/>
      <c r="F172" s="3" t="inlineStr">
        <is>
          <t>ពាក្យសម្ងាត់ត្រូវតែមានប្រវែងចន្លោះពី ៨ ទៅ ២០ តួអក្សរ។</t>
        </is>
      </c>
      <c r="G172" s="3" t="n"/>
      <c r="H172" s="217" t="inlineStr">
        <is>
          <t>"changePass.passwordLength": "ពាក្យសម្ងាត់ត្រូវតែមានប្រវែងចន្លោះពី ៨ ទៅ ២០ តួអក្សរ។",</t>
        </is>
      </c>
      <c r="I172" t="inlineStr">
        <is>
          <t>ពាក្យសម្ងាត់ត្រូវតែមានប្រវែងចន្លោះពី ៨ ទៅ ២០ តួអក្សរ។</t>
        </is>
      </c>
    </row>
    <row r="173">
      <c r="A173" s="3" t="inlineStr">
        <is>
          <t>changePass.passwordWrong</t>
        </is>
      </c>
      <c r="B173" s="3" t="inlineStr">
        <is>
          <t>Mật khẩu không đúng quy tắc</t>
        </is>
      </c>
      <c r="C173" s="3" t="inlineStr">
        <is>
          <t>Invalid password</t>
        </is>
      </c>
      <c r="D173" s="217">
        <f>IFERROR(__xludf.DUMMYFUNCTION("GOOGLETRANSLATE(C173,""vi"",""km"")"),"ពាក្យសម្ងាត់មិនត្រឹមត្រូវ")</f>
        <v/>
      </c>
      <c r="E173" s="3" t="n"/>
      <c r="F173" s="3" t="inlineStr">
        <is>
          <t>ពាក្យសម្ងាត់មិនត្រឹមត្រូវ</t>
        </is>
      </c>
      <c r="G173" s="3" t="n"/>
      <c r="H173" s="217" t="inlineStr">
        <is>
          <t>"changePass.passwordWrong": "ពាក្យសម្ងាត់មិនត្រឹមត្រូវ",</t>
        </is>
      </c>
      <c r="I173" t="inlineStr">
        <is>
          <t>ពាក្យសម្ងាត់មិនត្រឹមត្រូវ</t>
        </is>
      </c>
    </row>
    <row r="174">
      <c r="A174" s="3" t="inlineStr">
        <is>
          <t>changePass.phone</t>
        </is>
      </c>
      <c r="B174" s="3" t="inlineStr">
        <is>
          <t>Số điện thoại</t>
        </is>
      </c>
      <c r="C174" s="3" t="inlineStr">
        <is>
          <t>Phone number</t>
        </is>
      </c>
      <c r="D174" s="217">
        <f>IFERROR(__xludf.DUMMYFUNCTION("GOOGLETRANSLATE(C174,""vi"",""km"")"),"លេខទូរស័ព្ទ")</f>
        <v/>
      </c>
      <c r="E174" s="3" t="n"/>
      <c r="F174" s="3" t="inlineStr">
        <is>
          <t>លេខទូរស័ព្ទ</t>
        </is>
      </c>
      <c r="G174" s="3" t="n"/>
      <c r="H174" s="217" t="inlineStr">
        <is>
          <t>"changePass.phone": "លេខទូរស័ព្ទ",</t>
        </is>
      </c>
      <c r="I174" t="inlineStr">
        <is>
          <t>លេខទូរស័ព្ទ</t>
        </is>
      </c>
    </row>
    <row r="175">
      <c r="A175" s="3" t="inlineStr">
        <is>
          <t>changePass.phonePlaceholder</t>
        </is>
      </c>
      <c r="B175" s="3" t="inlineStr">
        <is>
          <t>Nhập số điện thoại</t>
        </is>
      </c>
      <c r="C175" s="3" t="inlineStr">
        <is>
          <t>Enter phone number</t>
        </is>
      </c>
      <c r="D175" s="217">
        <f>IFERROR(__xludf.DUMMYFUNCTION("GOOGLETRANSLATE(C175,""vi"",""km"")"),"បញ្ចូលលេខទូរស័ព្ទ")</f>
        <v/>
      </c>
      <c r="E175" s="3" t="n"/>
      <c r="F175" s="3" t="inlineStr">
        <is>
          <t>បញ្ចូលលេខទូរស័ព្ទ</t>
        </is>
      </c>
      <c r="G175" s="3" t="n"/>
      <c r="H175" s="217" t="inlineStr">
        <is>
          <t>"changePass.phonePlaceholder": "បញ្ចូលលេខទូរស័ព្ទ",</t>
        </is>
      </c>
      <c r="I175" t="inlineStr">
        <is>
          <t>បញ្ចូលលេខទូរស័ព្ទ</t>
        </is>
      </c>
    </row>
    <row r="176">
      <c r="A176" s="3" t="inlineStr">
        <is>
          <t>changePass.questionOtp</t>
        </is>
      </c>
      <c r="B176" s="3" t="inlineStr">
        <is>
          <t>Bạn chưa nhận được OTP?</t>
        </is>
      </c>
      <c r="C176" s="3" t="inlineStr">
        <is>
          <t>Haven't received OTP yet?</t>
        </is>
      </c>
      <c r="D176" s="217">
        <f>IFERROR(__xludf.DUMMYFUNCTION("GOOGLETRANSLATE(C176,""vi"",""km"")"),"មិនទាន់ទទួលបាន OTP នៅឡើយទេ?")</f>
        <v/>
      </c>
      <c r="E176" s="3" t="n"/>
      <c r="F176" s="3" t="inlineStr">
        <is>
          <t>មិនទាន់ទទួលបាន OTP នៅឡើយទេ?</t>
        </is>
      </c>
      <c r="G176" s="3" t="n"/>
      <c r="H176" s="217" t="inlineStr">
        <is>
          <t>"changePass.questionOtp": "មិនទាន់ទទួលបាន OTP នៅឡើយទេ?",</t>
        </is>
      </c>
      <c r="I176" t="inlineStr">
        <is>
          <t>មិនទាន់ទទួលបាន OTP នៅឡើយទេ?</t>
        </is>
      </c>
    </row>
    <row r="177">
      <c r="A177" s="3" t="inlineStr">
        <is>
          <t>changePass.resend</t>
        </is>
      </c>
      <c r="B177" s="3" t="inlineStr">
        <is>
          <t>Gửi lại</t>
        </is>
      </c>
      <c r="C177" s="3" t="inlineStr">
        <is>
          <t>Resend</t>
        </is>
      </c>
      <c r="D177" s="217">
        <f>IFERROR(__xludf.DUMMYFUNCTION("GOOGLETRANSLATE(C177,""vi"",""km"")"),"ការប្រោសលោះ")</f>
        <v/>
      </c>
      <c r="E177" s="3" t="n"/>
      <c r="F177" s="3" t="inlineStr">
        <is>
          <t>ផ្ញើម្តងទៀត</t>
        </is>
      </c>
      <c r="G177" s="3" t="n"/>
      <c r="H177" s="217" t="inlineStr">
        <is>
          <t>"changePass.resend": "ផ្ញើម្តងទៀត",</t>
        </is>
      </c>
      <c r="I177" t="inlineStr">
        <is>
          <t>ផ្ញើម្តងទៀត</t>
        </is>
      </c>
    </row>
    <row r="178">
      <c r="A178" s="3" t="inlineStr">
        <is>
          <t>changePass.resendIn</t>
        </is>
      </c>
      <c r="B178" s="3" t="inlineStr">
        <is>
          <t>Gửi lại sau ({{time}}s)</t>
        </is>
      </c>
      <c r="C178" s="3" t="inlineStr">
        <is>
          <t>Resend in ({{time}}s)</t>
        </is>
      </c>
      <c r="D178" s="217">
        <f>IFERROR(__xludf.DUMMYFUNCTION("GOOGLETRANSLATE(C178,""vi"",""km"")"),"ផ្ញើឡើងវិញ (ដង)")</f>
        <v/>
      </c>
      <c r="E178" s="3" t="n"/>
      <c r="F178" s="3" t="inlineStr">
        <is>
          <t>ផ្ញើឡើងវិញ (ដង)</t>
        </is>
      </c>
      <c r="G178" s="3" t="n"/>
      <c r="H178" s="217" t="inlineStr">
        <is>
          <t>"changePass.resendIn": "ផ្ញើឡើងវិញ (ដង)",</t>
        </is>
      </c>
      <c r="I178" t="inlineStr">
        <is>
          <t>ផ្ញើឡើងវិញ (ដង)</t>
        </is>
      </c>
    </row>
    <row r="179">
      <c r="A179" s="3" t="inlineStr">
        <is>
          <t>changePass.save</t>
        </is>
      </c>
      <c r="B179" s="3" t="inlineStr">
        <is>
          <t>Lưu thay đổi</t>
        </is>
      </c>
      <c r="C179" s="3" t="inlineStr">
        <is>
          <t>Save changes</t>
        </is>
      </c>
      <c r="D179" s="217">
        <f>IFERROR(__xludf.DUMMYFUNCTION("GOOGLETRANSLATE(C179,""vi"",""km"")"),"រក្សាទុកការផ្លាស់ប្តូរ")</f>
        <v/>
      </c>
      <c r="E179" s="3" t="n"/>
      <c r="F179" s="3" t="inlineStr">
        <is>
          <t>រក្សាទុកការផ្លាស់ប្តូរ</t>
        </is>
      </c>
      <c r="G179" s="3" t="n"/>
      <c r="H179" s="217" t="inlineStr">
        <is>
          <t>"changePass.save": "រក្សាទុកការផ្លាស់ប្តូរ",</t>
        </is>
      </c>
      <c r="I179" t="inlineStr">
        <is>
          <t>រក្សាទុកការផ្លាស់ប្តូរ</t>
        </is>
      </c>
    </row>
    <row r="180">
      <c r="A180" s="3" t="inlineStr">
        <is>
          <t>changePass.saveSelect</t>
        </is>
      </c>
      <c r="B180" s="3" t="inlineStr">
        <is>
          <t>Lưu tùy chọn</t>
        </is>
      </c>
      <c r="C180" s="3" t="inlineStr">
        <is>
          <t>Save selection</t>
        </is>
      </c>
      <c r="D180" s="217">
        <f>IFERROR(__xludf.DUMMYFUNCTION("GOOGLETRANSLATE(C180,""vi"",""km"")"),"រក្សាទុកការជ្រើសរើស")</f>
        <v/>
      </c>
      <c r="E180" s="3" t="n"/>
      <c r="F180" s="3" t="inlineStr">
        <is>
          <t>រក្សាទុកការជ្រើសរើស</t>
        </is>
      </c>
      <c r="G180" s="3" t="n"/>
      <c r="H180" s="217" t="inlineStr">
        <is>
          <t>"changePass.saveSelect": "រក្សាទុកការជ្រើសរើស",</t>
        </is>
      </c>
      <c r="I180" t="inlineStr">
        <is>
          <t>រក្សាទុកការជ្រើសរើស</t>
        </is>
      </c>
    </row>
    <row r="181">
      <c r="A181" s="3" t="inlineStr">
        <is>
          <t>changePass.selectDate</t>
        </is>
      </c>
      <c r="B181" s="3" t="inlineStr">
        <is>
          <t>Chọn ngày</t>
        </is>
      </c>
      <c r="C181" s="3" t="inlineStr">
        <is>
          <t>Select date</t>
        </is>
      </c>
      <c r="D181" s="217">
        <f>IFERROR(__xludf.DUMMYFUNCTION("GOOGLETRANSLATE(C181,""vi"",""km"")"),"កាលបរិច្ឆេទដែលបានជ្រើសរើស")</f>
        <v/>
      </c>
      <c r="E181" s="3" t="n"/>
      <c r="F181" s="3" t="inlineStr">
        <is>
          <t>កាលបរិច្ឆេទដែលបានជ្រើសរើស</t>
        </is>
      </c>
      <c r="G181" s="3" t="n"/>
      <c r="H181" s="217" t="inlineStr">
        <is>
          <t>"changePass.selectDate": "កាលបរិច្ឆេទដែលបានជ្រើសរើស",</t>
        </is>
      </c>
      <c r="I181" t="inlineStr">
        <is>
          <t>កាលបរិច្ឆេទដែលបានជ្រើសរើស</t>
        </is>
      </c>
    </row>
    <row r="182">
      <c r="A182" s="3" t="inlineStr">
        <is>
          <t>changePass.selectedAll</t>
        </is>
      </c>
      <c r="B182" s="3" t="inlineStr">
        <is>
          <t>Chọn tất cả</t>
        </is>
      </c>
      <c r="C182" s="3" t="inlineStr">
        <is>
          <t>Select all</t>
        </is>
      </c>
      <c r="D182" s="217">
        <f>IFERROR(__xludf.DUMMYFUNCTION("GOOGLETRANSLATE(C182,""vi"",""km"")"),"ជ្រើសរើសទាំងអស់")</f>
        <v/>
      </c>
      <c r="E182" s="3" t="n"/>
      <c r="F182" s="3" t="inlineStr">
        <is>
          <t>ជ្រើសរើសទាំងអស់</t>
        </is>
      </c>
      <c r="G182" s="3" t="n"/>
      <c r="H182" s="217" t="inlineStr">
        <is>
          <t>"changePass.selectedAll": "ជ្រើសរើសទាំងអស់",</t>
        </is>
      </c>
      <c r="I182" t="inlineStr">
        <is>
          <t>ជ្រើសរើសទាំងអស់</t>
        </is>
      </c>
    </row>
    <row r="183">
      <c r="A183" s="3" t="inlineStr">
        <is>
          <t>changePass.selectedAllDay</t>
        </is>
      </c>
      <c r="B183" s="3" t="inlineStr">
        <is>
          <t>Chọn tất cả các ngày trong tháng</t>
        </is>
      </c>
      <c r="C183" s="3" t="inlineStr">
        <is>
          <t>Select all days in the month</t>
        </is>
      </c>
      <c r="D183" s="217">
        <f>IFERROR(__xludf.DUMMYFUNCTION("GOOGLETRANSLATE(C183,""vi"",""km"")"),"ជ្រើសរើសថ្ងៃទាំងអស់ក្នុងខែ")</f>
        <v/>
      </c>
      <c r="E183" s="3" t="n"/>
      <c r="F183" s="3" t="inlineStr">
        <is>
          <t>ជ្រើសរើសថ្ងៃទាំងអស់ក្នុងខែ</t>
        </is>
      </c>
      <c r="G183" s="3" t="n"/>
      <c r="H183" s="217" t="inlineStr">
        <is>
          <t>"changePass.selectedAllDay": "ជ្រើសរើសថ្ងៃទាំងអស់ក្នុងខែ",</t>
        </is>
      </c>
      <c r="I183" t="inlineStr">
        <is>
          <t>ជ្រើសរើសថ្ងៃទាំងអស់ក្នុងខែ</t>
        </is>
      </c>
    </row>
    <row r="184">
      <c r="A184" s="3" t="inlineStr">
        <is>
          <t>changePass.titleOtp</t>
        </is>
      </c>
      <c r="B184" s="3" t="inlineStr">
        <is>
          <t>Nhập OTP vừa được gửi tới số điện thoại</t>
        </is>
      </c>
      <c r="C184" s="3" t="inlineStr">
        <is>
          <t>OTP has been sent to phone number</t>
        </is>
      </c>
      <c r="D184" s="217">
        <f>IFERROR(__xludf.DUMMYFUNCTION("GOOGLETRANSLATE(C184,""vi"",""km"")"),"លេខ OTP ត្រូវបានផ្ញើទៅកាន់លេខទូរស័ព្ទ")</f>
        <v/>
      </c>
      <c r="E184" s="3" t="n"/>
      <c r="F184" s="3" t="inlineStr">
        <is>
          <t>លេខ OTP ត្រូវបានផ្ញើទៅកាន់លេខទូរស័ព្ទ</t>
        </is>
      </c>
      <c r="G184" s="3" t="n"/>
      <c r="H184" s="217" t="inlineStr">
        <is>
          <t>"changePass.titleOtp": "លេខ OTP ត្រូវបានផ្ញើទៅកាន់លេខទូរស័ព្ទ",</t>
        </is>
      </c>
      <c r="I184" t="inlineStr">
        <is>
          <t>លេខ OTP ត្រូវបានផ្ញើទៅកាន់លេខទូរស័ព្ទ</t>
        </is>
      </c>
    </row>
    <row r="185">
      <c r="A185" s="3" t="inlineStr">
        <is>
          <t>changePass.titlePage</t>
        </is>
      </c>
      <c r="B185" s="3" t="inlineStr">
        <is>
          <t>Cài đặt tài khoản</t>
        </is>
      </c>
      <c r="C185" s="3" t="inlineStr">
        <is>
          <t>Account settings</t>
        </is>
      </c>
      <c r="D185" s="217">
        <f>IFERROR(__xludf.DUMMYFUNCTION("GOOGLETRANSLATE(C185,""vi"",""km"")"),"ការកំណត់គណនី")</f>
        <v/>
      </c>
      <c r="E185" s="3" t="n"/>
      <c r="F185" s="3" t="inlineStr">
        <is>
          <t>ការកំណត់គណនី</t>
        </is>
      </c>
      <c r="G185" s="3" t="n"/>
      <c r="H185" s="217" t="inlineStr">
        <is>
          <t>"changePass.titlePage": "ការកំណត់គណនី",</t>
        </is>
      </c>
      <c r="I185" t="inlineStr">
        <is>
          <t>ការកំណត់គណនី</t>
        </is>
      </c>
    </row>
    <row r="186">
      <c r="A186" s="3" t="inlineStr">
        <is>
          <t>changePass.tokenManagement</t>
        </is>
      </c>
      <c r="B186" s="3" t="inlineStr">
        <is>
          <t>Quản lý token</t>
        </is>
      </c>
      <c r="C186" s="3" t="inlineStr">
        <is>
          <t>Token management</t>
        </is>
      </c>
      <c r="D186" s="217">
        <f>IFERROR(__xludf.DUMMYFUNCTION("GOOGLETRANSLATE(C186,""vi"",""km"")"),"ការគ្រប់គ្រងសញ្ញាសម្ងាត់")</f>
        <v/>
      </c>
      <c r="E186" s="3" t="n"/>
      <c r="F186" s="3" t="inlineStr">
        <is>
          <t>ការគ្រប់គ្រងសញ្ញាសម្ងាត់</t>
        </is>
      </c>
      <c r="G186" s="3" t="n"/>
      <c r="H186" s="217" t="inlineStr">
        <is>
          <t>"changePass.tokenManagement": "ការគ្រប់គ្រងសញ្ញាសម្ងាត់",</t>
        </is>
      </c>
      <c r="I186" t="inlineStr">
        <is>
          <t>ការគ្រប់គ្រងសញ្ញាសម្ងាត់</t>
        </is>
      </c>
    </row>
    <row r="187">
      <c r="A187" s="3" t="inlineStr">
        <is>
          <t>changePass.updatePassFail</t>
        </is>
      </c>
      <c r="B187" s="3" t="inlineStr">
        <is>
          <t>Cập nhật mật khẩu thất bại</t>
        </is>
      </c>
      <c r="C187" s="3" t="inlineStr">
        <is>
          <t>Password changed fail</t>
        </is>
      </c>
      <c r="D187" s="217">
        <f>IFERROR(__xludf.DUMMYFUNCTION("GOOGLETRANSLATE(C187,""vi"",""km"")"),"ពាក្យសម្ងាត់ត្រូវបានផ្លាស់ប្តូរបរាជ័យ")</f>
        <v/>
      </c>
      <c r="E187" s="3" t="n"/>
      <c r="F187" s="3" t="inlineStr">
        <is>
          <t>ពាក្យសម្ងាត់ត្រូវបានផ្លាស់ប្តូរបរាជ័យ</t>
        </is>
      </c>
      <c r="G187" s="3" t="n"/>
      <c r="H187" s="217" t="inlineStr">
        <is>
          <t>"changePass.updatePassFail": "ពាក្យសម្ងាត់ត្រូវបានផ្លាស់ប្តូរបរាជ័យ",</t>
        </is>
      </c>
      <c r="I187" t="inlineStr">
        <is>
          <t>ពាក្យសម្ងាត់ត្រូវបានផ្លាស់ប្តូរបរាជ័យ</t>
        </is>
      </c>
    </row>
    <row r="188">
      <c r="A188" s="3" t="inlineStr">
        <is>
          <t>changePass.updatePassSuccess</t>
        </is>
      </c>
      <c r="B188" s="3" t="inlineStr">
        <is>
          <t>Cập nhật mật khẩu thành công</t>
        </is>
      </c>
      <c r="C188" s="3" t="inlineStr">
        <is>
          <t>Password changed successfully</t>
        </is>
      </c>
      <c r="D188" s="217">
        <f>IFERROR(__xludf.DUMMYFUNCTION("GOOGLETRANSLATE(C188,""vi"",""km"")"),"ពាក្យសម្ងាត់ត្រូវបានផ្លាស់ប្តូរឥឡូវនេះ")</f>
        <v/>
      </c>
      <c r="E188" s="3" t="n"/>
      <c r="F188" s="3" t="inlineStr">
        <is>
          <t>ពាក្យសម្ងាត់ត្រូវបានផ្លាស់ប្តូរឥឡូវនេះ</t>
        </is>
      </c>
      <c r="G188" s="3" t="n"/>
      <c r="H188" s="217" t="inlineStr">
        <is>
          <t>"changePass.updatePassSuccess": "ពាក្យសម្ងាត់ត្រូវបានផ្លាស់ប្តូរឥឡូវនេះ",</t>
        </is>
      </c>
      <c r="I188" t="inlineStr">
        <is>
          <t>ពាក្យសម្ងាត់ត្រូវបានផ្លាស់ប្តូរឥឡូវនេះ</t>
        </is>
      </c>
    </row>
    <row r="189">
      <c r="A189" s="3" t="inlineStr">
        <is>
          <t>changePass.validateBillingCycleDayOfMonth</t>
        </is>
      </c>
      <c r="B189" s="3" t="inlineStr">
        <is>
          <t>Vui lòng chọn ít nhất 1 ngày trong tháng</t>
        </is>
      </c>
      <c r="C189" s="3" t="inlineStr">
        <is>
          <t>Please select at least 1 day in the month</t>
        </is>
      </c>
      <c r="D189" s="217">
        <f>IFERROR(__xludf.DUMMYFUNCTION("GOOGLETRANSLATE(C189,""vi"",""km"")"),"សូមជ្រើសរើសយ៉ាងហោចណាស់ 1 ថ្ងៃក្នុងមួយខែ")</f>
        <v/>
      </c>
      <c r="E189" s="3" t="n"/>
      <c r="F189" s="3" t="inlineStr">
        <is>
          <t>សូមជ្រើសរើសយ៉ាងហោចណាស់ 1 ថ្ងៃក្នុងមួយខែ</t>
        </is>
      </c>
      <c r="G189" s="3" t="n"/>
      <c r="H189" s="217" t="inlineStr">
        <is>
          <t>"changePass.validateBillingCycleDayOfMonth": "សូមជ្រើសរើសយ៉ាងហោចណាស់ 1 ថ្ងៃក្នុងមួយខែ",</t>
        </is>
      </c>
      <c r="I189" t="inlineStr">
        <is>
          <t>សូមជ្រើសរើសយ៉ាងហោចណាស់ 1 ថ្ងៃក្នុងមួយខែ</t>
        </is>
      </c>
    </row>
    <row r="190">
      <c r="A190" s="3" t="inlineStr">
        <is>
          <t>changePass.warehouseSettings</t>
        </is>
      </c>
      <c r="B190" s="3" t="inlineStr">
        <is>
          <t>Cài đặt kho hàng</t>
        </is>
      </c>
      <c r="C190" s="3" t="inlineStr">
        <is>
          <t>Warehouse settings</t>
        </is>
      </c>
      <c r="D190" s="217">
        <f>IFERROR(__xludf.DUMMYFUNCTION("GOOGLETRANSLATE(C190,""vi"",""km"")"),"ការកំណត់ឃ្លាំង")</f>
        <v/>
      </c>
      <c r="E190" s="3" t="n"/>
      <c r="F190" s="3" t="inlineStr">
        <is>
          <t>ការកំណត់ឃ្លាំង</t>
        </is>
      </c>
      <c r="G190" s="3" t="n"/>
      <c r="H190" s="217" t="inlineStr">
        <is>
          <t>"changePass.warehouseSettings": "ការកំណត់ឃ្លាំង",</t>
        </is>
      </c>
      <c r="I190" t="inlineStr">
        <is>
          <t>ការកំណត់ឃ្លាំង</t>
        </is>
      </c>
    </row>
    <row r="191">
      <c r="A191" s="3" t="inlineStr">
        <is>
          <t>changeStatusConfig.fail</t>
        </is>
      </c>
      <c r="B191" s="3" t="inlineStr">
        <is>
          <t>Thay đổi trạng thái thất bại</t>
        </is>
      </c>
      <c r="C191" s="3" t="inlineStr">
        <is>
          <t>Updated status failed</t>
        </is>
      </c>
      <c r="D191" s="217">
        <f>IFERROR(__xludf.DUMMYFUNCTION("GOOGLETRANSLATE(C191,""vi"",""km"")"),"ស្ថានភាពដែលបានធ្វើបច្ចុប្បន្នភាពបរាជ័យ")</f>
        <v/>
      </c>
      <c r="E191" s="3" t="n"/>
      <c r="F191" s="3" t="inlineStr">
        <is>
          <t>ស្ថានភាពដែលបានធ្វើបច្ចុប្បន្នភាពបរាជ័យ</t>
        </is>
      </c>
      <c r="G191" s="3" t="n"/>
      <c r="H191" s="217" t="inlineStr">
        <is>
          <t>"changeStatusConfig.fail": "ស្ថានភាពដែលបានធ្វើបច្ចុប្បន្នភាពបរាជ័យ",</t>
        </is>
      </c>
      <c r="I191" t="inlineStr">
        <is>
          <t>ស្ថានភាពដែលបានធ្វើបច្ចុប្បន្នភាពបរាជ័យ</t>
        </is>
      </c>
    </row>
    <row r="192">
      <c r="A192" s="3" t="inlineStr">
        <is>
          <t>changeStatusConfig.notification</t>
        </is>
      </c>
      <c r="B192" s="3" t="inlineStr">
        <is>
          <t>Thay đổi trạng thái thành công</t>
        </is>
      </c>
      <c r="C192" s="3" t="inlineStr">
        <is>
          <t>Updated status successfully</t>
        </is>
      </c>
      <c r="D192" s="217">
        <f>IFERROR(__xludf.DUMMYFUNCTION("GOOGLETRANSLATE(C192,""vi"",""km"")"),"ស្ថានភាពដែលបានធ្វើបច្ចុប្បន្នភាពបន្ទាប់ពី")</f>
        <v/>
      </c>
      <c r="E192" s="3" t="n"/>
      <c r="F192" s="3" t="inlineStr">
        <is>
          <t>ស្ថានភាពដែលបានធ្វើបច្ចុប្បន្នភាពបន្ទាប់ពី</t>
        </is>
      </c>
      <c r="G192" s="3" t="n"/>
      <c r="H192" s="217" t="inlineStr">
        <is>
          <t>"changeStatusConfig.notification": "ស្ថានភាពដែលបានធ្វើបច្ចុប្បន្នភាពបន្ទាប់ពី",</t>
        </is>
      </c>
      <c r="I192" t="inlineStr">
        <is>
          <t>ស្ថានភាពដែលបានធ្វើបច្ចុប្បន្នភាពបន្ទាប់ពី</t>
        </is>
      </c>
    </row>
    <row r="193">
      <c r="A193" s="3" t="inlineStr">
        <is>
          <t>changeStatusConfig.title</t>
        </is>
      </c>
      <c r="B193" s="3" t="inlineStr">
        <is>
          <t>Bạn có chắc chắn muốn thay đổi trạng thái tuyến bưu tá hay không</t>
        </is>
      </c>
      <c r="C193" s="3" t="inlineStr">
        <is>
          <t>Change status</t>
        </is>
      </c>
      <c r="D193" s="217">
        <f>IFERROR(__xludf.DUMMYFUNCTION("GOOGLETRANSLATE(C193,""vi"",""km"")"),"ផ្លាស់ប្តូរស្ថានភាព")</f>
        <v/>
      </c>
      <c r="E193" s="3" t="n"/>
      <c r="F193" s="3" t="inlineStr">
        <is>
          <t>ផ្លាស់ប្តូរស្ថានភាព</t>
        </is>
      </c>
      <c r="G193" s="3" t="n"/>
      <c r="H193" s="217" t="inlineStr">
        <is>
          <t>"changeStatusConfig.title": "ផ្លាស់ប្តូរស្ថានភាព",</t>
        </is>
      </c>
      <c r="I193" t="inlineStr">
        <is>
          <t>ផ្លាស់ប្តូរស្ថានភាព</t>
        </is>
      </c>
    </row>
    <row r="194">
      <c r="A194" s="3" t="inlineStr">
        <is>
          <t>changeStatusUser.notification</t>
        </is>
      </c>
      <c r="B194" s="3" t="inlineStr">
        <is>
          <t>Cập nhật tình trạng sử dụng thành công!</t>
        </is>
      </c>
      <c r="C194" s="3" t="inlineStr">
        <is>
          <t>Update user status sucessfully!</t>
        </is>
      </c>
      <c r="D194" s="217">
        <f>IFERROR(__xludf.DUMMYFUNCTION("GOOGLETRANSLATE(C194,""vi"",""km"")"),"ធ្វើបច្ចុប្បន្នភាពស្ថានភាពអ្នកប្រើប្រាស់ដោយជោគជ័យ!")</f>
        <v/>
      </c>
      <c r="E194" s="3" t="n"/>
      <c r="F194" s="3" t="inlineStr">
        <is>
          <t>ធ្វើបច្ចុប្បន្នភាពស្ថានភាពអ្នកប្រើប្រាស់ដោយជោគជ័យ!</t>
        </is>
      </c>
      <c r="G194" s="3" t="n"/>
      <c r="H194" s="217" t="inlineStr">
        <is>
          <t>"changeStatusUser.notification": "ធ្វើបច្ចុប្បន្នភាពស្ថានភាពអ្នកប្រើប្រាស់ដោយជោគជ័យ!",</t>
        </is>
      </c>
      <c r="I194" t="inlineStr">
        <is>
          <t>ធ្វើបច្ចុប្បន្នភាពស្ថានភាពអ្នកប្រើប្រាស់ដោយជោគជ័យ!</t>
        </is>
      </c>
    </row>
    <row r="195">
      <c r="A195" s="3" t="inlineStr">
        <is>
          <t>changeStatusUser.title</t>
        </is>
      </c>
      <c r="B195" s="3" t="inlineStr">
        <is>
          <t>Bạn có chắc chắn muốn thay đổi tình trạng sử dụng của "{{name}}" thành "{{status}}" không?</t>
        </is>
      </c>
      <c r="C195" s="3" t="inlineStr">
        <is>
          <t>Do you want to switch user status to {{status}} for {{name}}</t>
        </is>
      </c>
      <c r="D195" s="217">
        <f>IFERROR(__xludf.DUMMYFUNCTION("GOOGLETRANSLATE(C195,""vi"",""km"")"),"តើអ្នកចង់ប្តូរស្ថានភាពអ្នកប្រើប្រាស់ទៅ {{status}} សម្រាប់ {{name}} ដែរឬទេ?")</f>
        <v/>
      </c>
      <c r="E195" s="3" t="n"/>
      <c r="F195" s="3" t="inlineStr">
        <is>
          <t>តើអ្នកចង់ប្តូរស្ថានភាពអ្នកប្រើប្រាស់ទៅ {{status}} សម្រាប់ {{name}} ដែរឬទេ?</t>
        </is>
      </c>
      <c r="G195" s="3" t="n"/>
      <c r="H195" s="217" t="inlineStr">
        <is>
          <t>"changeStatusUser.title": "តើអ្នកចង់ប្តូរស្ថានភាពអ្នកប្រើប្រាស់ទៅ {{status}} សម្រាប់ {{name}} ដែរឬទេ?",</t>
        </is>
      </c>
      <c r="I195" t="inlineStr">
        <is>
          <t>តើអ្នកចង់ប្តូរស្ថានភាពអ្នកប្រើប្រាស់ទៅ {{status}} សម្រាប់ {{name}} ដែរឬទេ?</t>
        </is>
      </c>
    </row>
    <row r="196">
      <c r="A196" s="3" t="inlineStr">
        <is>
          <t>codEmployee.ALL</t>
        </is>
      </c>
      <c r="B196" s="3" t="inlineStr">
        <is>
          <t>Tất cả</t>
        </is>
      </c>
      <c r="C196" s="3" t="inlineStr">
        <is>
          <t>All</t>
        </is>
      </c>
      <c r="D196" s="217">
        <f>IFERROR(__xludf.DUMMYFUNCTION("GOOGLETRANSLATE(C196,""vi"",""km"")"),"ទាំងអស់")</f>
        <v/>
      </c>
      <c r="E196" s="3" t="n"/>
      <c r="F196" s="3" t="inlineStr">
        <is>
          <t>ទាំងអស់</t>
        </is>
      </c>
      <c r="G196" s="3" t="n"/>
      <c r="H196" s="217" t="inlineStr">
        <is>
          <t>"codEmployee.ALL": "ទាំងអស់",</t>
        </is>
      </c>
      <c r="I196" t="inlineStr">
        <is>
          <t>ទាំងអស់</t>
        </is>
      </c>
    </row>
    <row r="197">
      <c r="A197" s="3" t="inlineStr">
        <is>
          <t>codEmployee.DONE</t>
        </is>
      </c>
      <c r="B197" s="3" t="inlineStr">
        <is>
          <t>Chốt thu</t>
        </is>
      </c>
      <c r="C197" s="3" t="inlineStr">
        <is>
          <t>Completed</t>
        </is>
      </c>
      <c r="D197" s="217">
        <f>IFERROR(__xludf.DUMMYFUNCTION("GOOGLETRANSLATE(C197,""vi"",""km"")"),"បានគ្រោងទុក")</f>
        <v/>
      </c>
      <c r="E197" s="3" t="n"/>
      <c r="F197" s="3" t="inlineStr">
        <is>
          <t>បានគ្រោងទុក</t>
        </is>
      </c>
      <c r="G197" s="3" t="n"/>
      <c r="H197" s="217" t="inlineStr">
        <is>
          <t>"codEmployee.DONE": "បានគ្រោងទុក",</t>
        </is>
      </c>
      <c r="I197" t="inlineStr">
        <is>
          <t>បានគ្រោងទុក</t>
        </is>
      </c>
    </row>
    <row r="198">
      <c r="A198" s="3" t="inlineStr">
        <is>
          <t>codEmployee.NEW</t>
        </is>
      </c>
      <c r="B198" s="3" t="inlineStr">
        <is>
          <t>Tạo mới</t>
        </is>
      </c>
      <c r="C198" s="3" t="inlineStr">
        <is>
          <t>New</t>
        </is>
      </c>
      <c r="D198" s="217">
        <f>IFERROR(__xludf.DUMMYFUNCTION("GOOGLETRANSLATE(C198,""vi"",""km"")"),"ថ្មី")</f>
        <v/>
      </c>
      <c r="E198" s="3" t="n"/>
      <c r="F198" s="3" t="inlineStr">
        <is>
          <t>បង្កើតថ្មី</t>
        </is>
      </c>
      <c r="G198" s="3" t="n"/>
      <c r="H198" s="217" t="inlineStr">
        <is>
          <t>"codEmployee.NEW": "បង្កើតថ្មី",</t>
        </is>
      </c>
      <c r="I198" t="inlineStr">
        <is>
          <t>បង្កើតថ្មី</t>
        </is>
      </c>
    </row>
    <row r="199">
      <c r="A199" s="3" t="inlineStr">
        <is>
          <t>codEmployee.addBill</t>
        </is>
      </c>
      <c r="B199" s="3" t="inlineStr">
        <is>
          <t>Thêm đơn vào bảng kê thành công</t>
        </is>
      </c>
      <c r="C199" s="3" t="inlineStr">
        <is>
          <t>Added order to statement successfully</t>
        </is>
      </c>
      <c r="D199" s="217">
        <f>IFERROR(__xludf.DUMMYFUNCTION("GOOGLETRANSLATE(C199,""vi"",""km"")"),"បានបន្ថែមលំដាប់ទៅសេចក្តីថ្លែងការណ៍ដោយជោគជ័យ")</f>
        <v/>
      </c>
      <c r="E199" s="3" t="n"/>
      <c r="F199" s="3" t="inlineStr">
        <is>
          <t>បានបន្ថែមលំដាប់ទៅសេចក្តីថ្លែងការណ៍ដោយជោគជ័យ</t>
        </is>
      </c>
      <c r="G199" s="3" t="n"/>
      <c r="H199" s="217" t="inlineStr">
        <is>
          <t>"codEmployee.addBill": "បានបន្ថែមលំដាប់ទៅសេចក្តីថ្លែងការណ៍ដោយជោគជ័យ",</t>
        </is>
      </c>
      <c r="I199" t="inlineStr">
        <is>
          <t>បានបន្ថែមលំដាប់ទៅសេចក្តីថ្លែងការណ៍ដោយជោគជ័យ</t>
        </is>
      </c>
    </row>
    <row r="200">
      <c r="A200" s="3" t="inlineStr">
        <is>
          <t>codEmployee.addOrderCode</t>
        </is>
      </c>
      <c r="B200" s="3" t="inlineStr">
        <is>
          <t>Thêm vận đơn</t>
        </is>
      </c>
      <c r="C200" s="3" t="inlineStr">
        <is>
          <t>Add waybill</t>
        </is>
      </c>
      <c r="D200" s="217">
        <f>IFERROR(__xludf.DUMMYFUNCTION("GOOGLETRANSLATE(C200,""vi"",""km"")"),"បន្ថែមវិក្កយបត្រដឹកជញ្ជូន")</f>
        <v/>
      </c>
      <c r="E200" s="3" t="n"/>
      <c r="F200" s="3" t="inlineStr">
        <is>
          <t>បន្ថែមបុងបញ្ញើ</t>
        </is>
      </c>
      <c r="G200" s="3" t="n"/>
      <c r="H200" s="217" t="inlineStr">
        <is>
          <t>"codEmployee.addOrderCode": "បន្ថែមបុងបញ្ញើ",</t>
        </is>
      </c>
      <c r="I200" t="inlineStr">
        <is>
          <t>បន្ថែមបុងបញ្ញើ</t>
        </is>
      </c>
    </row>
    <row r="201">
      <c r="A201" s="3" t="inlineStr">
        <is>
          <t>codEmployee.branch</t>
        </is>
      </c>
      <c r="B201" s="3" t="inlineStr">
        <is>
          <t>Chi nhánh</t>
        </is>
      </c>
      <c r="C201" s="3" t="inlineStr">
        <is>
          <t>Branch</t>
        </is>
      </c>
      <c r="D201" s="217">
        <f>IFERROR(__xludf.DUMMYFUNCTION("GOOGLETRANSLATE(C201,""vi"",""km"")"),"គ្រួសារ")</f>
        <v/>
      </c>
      <c r="E201" s="3" t="n"/>
      <c r="F201" s="3" t="inlineStr">
        <is>
          <t>សាខា</t>
        </is>
      </c>
      <c r="G201" s="3" t="n"/>
      <c r="H201" s="217" t="inlineStr">
        <is>
          <t>"codEmployee.branch": "សាខា",</t>
        </is>
      </c>
      <c r="I201" t="inlineStr">
        <is>
          <t>សាខា</t>
        </is>
      </c>
    </row>
    <row r="202">
      <c r="A202" s="3" t="inlineStr">
        <is>
          <t>codEmployee.cod</t>
        </is>
      </c>
      <c r="B202" s="3" t="inlineStr">
        <is>
          <t>Phải thu</t>
        </is>
      </c>
      <c r="C202" s="3" t="inlineStr">
        <is>
          <t>Receivable</t>
        </is>
      </c>
      <c r="D202" s="217">
        <f>IFERROR(__xludf.DUMMYFUNCTION("GOOGLETRANSLATE(C202,""vi"",""km"")"),"អាចទទួលប្រាក់បាន")</f>
        <v/>
      </c>
      <c r="E202" s="3" t="n"/>
      <c r="F202" s="3" t="inlineStr">
        <is>
          <t>អាចទទួលប្រាក់បាន</t>
        </is>
      </c>
      <c r="G202" s="3" t="n"/>
      <c r="H202" s="217" t="inlineStr">
        <is>
          <t>"codEmployee.cod": "អាចទទួលប្រាក់បាន",</t>
        </is>
      </c>
      <c r="I202" t="inlineStr">
        <is>
          <t>អាចទទួលប្រាក់បាន</t>
        </is>
      </c>
    </row>
    <row r="203">
      <c r="A203" s="3" t="inlineStr">
        <is>
          <t>codEmployee.codEmptyBill</t>
        </is>
      </c>
      <c r="B203" s="3" t="inlineStr">
        <is>
          <t>Bảng kê không còn mã vận đơn nào</t>
        </is>
      </c>
      <c r="C203" s="3" t="inlineStr">
        <is>
          <t>The statement no longer contains any waybill codes</t>
        </is>
      </c>
      <c r="D203" s="217">
        <f>IFERROR(__xludf.DUMMYFUNCTION("GOOGLETRANSLATE(C203,""vi"",""km"")"),"សេចក្តីថ្លែងការណ៍លែងមានលេខកូដវិក្កយបត្រទៀតហើយ")</f>
        <v/>
      </c>
      <c r="E203" s="3" t="n"/>
      <c r="F203" s="3" t="inlineStr">
        <is>
          <t>សេចក្តីថ្លែងការណ៍លែងមានលេខកូដវិក្កយបត្រទៀតហើយ</t>
        </is>
      </c>
      <c r="G203" s="3" t="n"/>
      <c r="H203" s="217" t="inlineStr">
        <is>
          <t>"codEmployee.codEmptyBill": "សេចក្តីថ្លែងការណ៍លែងមានលេខកូដវិក្កយបត្រទៀតហើយ",</t>
        </is>
      </c>
      <c r="I203" t="inlineStr">
        <is>
          <t>សេចក្តីថ្លែងការណ៍លែងមានលេខកូដវិក្កយបត្រទៀតហើយ</t>
        </is>
      </c>
    </row>
    <row r="204">
      <c r="A204" s="3" t="inlineStr">
        <is>
          <t>codEmployee.codId</t>
        </is>
      </c>
      <c r="B204" s="3" t="inlineStr">
        <is>
          <t>Mã bảng kê</t>
        </is>
      </c>
      <c r="C204" s="3" t="inlineStr">
        <is>
          <t>Statement ID</t>
        </is>
      </c>
      <c r="D204" s="217">
        <f>IFERROR(__xludf.DUMMYFUNCTION("GOOGLETRANSLATE(C204,""vi"",""km"")"),"លេខសម្គាល់សេចក្តីថ្លែងការណ៍")</f>
        <v/>
      </c>
      <c r="E204" s="3" t="n"/>
      <c r="F204" s="3" t="inlineStr">
        <is>
          <t>លេខសម្គាល់សេចក្តីថ្លែងការណ៍</t>
        </is>
      </c>
      <c r="G204" s="3" t="n"/>
      <c r="H204" s="217" t="inlineStr">
        <is>
          <t>"codEmployee.codId": "លេខសម្គាល់សេចក្តីថ្លែងការណ៍",</t>
        </is>
      </c>
      <c r="I204" t="inlineStr">
        <is>
          <t>លេខសម្គាល់សេចក្តីថ្លែងការណ៍</t>
        </is>
      </c>
    </row>
    <row r="205">
      <c r="A205" s="3" t="inlineStr">
        <is>
          <t>codEmployee.codIdLevel2</t>
        </is>
      </c>
      <c r="B205" s="3" t="inlineStr">
        <is>
          <t>Mã bảng kê cấp 2</t>
        </is>
      </c>
      <c r="C205" s="3" t="inlineStr">
        <is>
          <t>Level 2 statement ID</t>
        </is>
      </c>
      <c r="D205" s="217">
        <f>IFERROR(__xludf.DUMMYFUNCTION("GOOGLETRANSLATE(C205,""vi"",""km"")"),"លេខសម្គាល់សេចក្តីថ្លែងការណ៍កម្រិត 2")</f>
        <v/>
      </c>
      <c r="E205" s="3" t="n"/>
      <c r="F205" s="3" t="inlineStr">
        <is>
          <t>លេខសម្គាល់សេចក្តីថ្លែងការណ៍កម្រិត 2</t>
        </is>
      </c>
      <c r="G205" s="3" t="n"/>
      <c r="H205" s="217" t="inlineStr">
        <is>
          <t>"codEmployee.codIdLevel2": "លេខសម្គាល់សេចក្តីថ្លែងការណ៍កម្រិត 2",</t>
        </is>
      </c>
      <c r="I205" t="inlineStr">
        <is>
          <t>លេខសម្គាល់សេចក្តីថ្លែងការណ៍កម្រិត 2</t>
        </is>
      </c>
    </row>
    <row r="206">
      <c r="A206" s="3" t="inlineStr">
        <is>
          <t>codEmployee.confirm</t>
        </is>
      </c>
      <c r="B206" s="3" t="inlineStr">
        <is>
          <t>Chốt thu</t>
        </is>
      </c>
      <c r="C206" s="3" t="inlineStr">
        <is>
          <t>Finalize collection</t>
        </is>
      </c>
      <c r="D206" s="217">
        <f>IFERROR(__xludf.DUMMYFUNCTION("GOOGLETRANSLATE(C206,""vi"",""km"")"),"បញ្ចប់ការប្រមូល")</f>
        <v/>
      </c>
      <c r="E206" s="3" t="n"/>
      <c r="F206" s="3" t="inlineStr">
        <is>
          <t>បញ្ចប់ការប្រមូល</t>
        </is>
      </c>
      <c r="G206" s="3" t="n"/>
      <c r="H206" s="217" t="inlineStr">
        <is>
          <t>"codEmployee.confirm": "បញ្ចប់ការប្រមូល",</t>
        </is>
      </c>
      <c r="I206" t="inlineStr">
        <is>
          <t>បញ្ចប់ការប្រមូល</t>
        </is>
      </c>
    </row>
    <row r="207">
      <c r="A207" s="3" t="inlineStr">
        <is>
          <t>codEmployee.confirmBank</t>
        </is>
      </c>
      <c r="B207" s="3" t="inlineStr">
        <is>
          <t>Xác nhận tiền về</t>
        </is>
      </c>
      <c r="C207" s="3" t="inlineStr">
        <is>
          <t>Confirm funds received</t>
        </is>
      </c>
      <c r="D207" s="217">
        <f>IFERROR(__xludf.DUMMYFUNCTION("GOOGLETRANSLATE(C207,""vi"",""km"")"),"បញ្ជាក់ឯកសារដែលបានទទួល")</f>
        <v/>
      </c>
      <c r="E207" s="3" t="n"/>
      <c r="F207" s="3" t="inlineStr">
        <is>
          <t>បញ្ជាក់ឯកសារដែលបានទទួល</t>
        </is>
      </c>
      <c r="G207" s="3" t="n"/>
      <c r="H207" s="217" t="inlineStr">
        <is>
          <t>"codEmployee.confirmBank": "បញ្ជាក់ឯកសារដែលបានទទួល",</t>
        </is>
      </c>
      <c r="I207" t="inlineStr">
        <is>
          <t>បញ្ជាក់ឯកសារដែលបានទទួល</t>
        </is>
      </c>
    </row>
    <row r="208">
      <c r="A208" s="3" t="inlineStr">
        <is>
          <t>codEmployee.confirmCod</t>
        </is>
      </c>
      <c r="B208" s="3" t="inlineStr">
        <is>
          <t>Xác nhận nộp số tiền</t>
        </is>
      </c>
      <c r="C208" s="3" t="inlineStr">
        <is>
          <t>Confirm submitted amount</t>
        </is>
      </c>
      <c r="D208" s="217">
        <f>IFERROR(__xludf.DUMMYFUNCTION("GOOGLETRANSLATE(C208,""vi"",""km"")"),"បញ្ជាក់ចំនួនទឹកប្រាក់ដែលបានបង់")</f>
        <v/>
      </c>
      <c r="E208" s="3" t="n"/>
      <c r="F208" s="3" t="inlineStr">
        <is>
          <t>បញ្ជាក់ចំនួនទឹកប្រាក់ដែលបានបង់</t>
        </is>
      </c>
      <c r="G208" s="3" t="n"/>
      <c r="H208" s="217" t="inlineStr">
        <is>
          <t>"codEmployee.confirmCod": "បញ្ជាក់ចំនួនទឹកប្រាក់ដែលបានបង់",</t>
        </is>
      </c>
      <c r="I208" t="inlineStr">
        <is>
          <t>បញ្ជាក់ចំនួនទឹកប្រាក់ដែលបានបង់</t>
        </is>
      </c>
    </row>
    <row r="209">
      <c r="A209" s="3" t="inlineStr">
        <is>
          <t>codEmployee.confirmCodSuccess</t>
        </is>
      </c>
      <c r="B209" s="3" t="inlineStr">
        <is>
          <t>Xác nhận tiền về thành công</t>
        </is>
      </c>
      <c r="C209" s="3" t="inlineStr">
        <is>
          <t>Funds receipt confirmed successfully</t>
        </is>
      </c>
      <c r="D209" s="217">
        <f>IFERROR(__xludf.DUMMYFUNCTION("GOOGLETRANSLATE(C209,""vi"",""km"")"),"ការទទួលប្រាក់ត្រូវបានបញ្ជាក់ដោយជោគជ័យ")</f>
        <v/>
      </c>
      <c r="E209" s="3" t="n"/>
      <c r="F209" s="3" t="inlineStr">
        <is>
          <t>ការទទួលប្រាក់ត្រូវបានបញ្ជាក់ដោយជោគជ័យ</t>
        </is>
      </c>
      <c r="G209" s="3" t="n"/>
      <c r="H209" s="217" t="inlineStr">
        <is>
          <t>"codEmployee.confirmCodSuccess": "ការទទួលប្រាក់ត្រូវបានបញ្ជាក់ដោយជោគជ័យ",</t>
        </is>
      </c>
      <c r="I209" t="inlineStr">
        <is>
          <t>ការទទួលប្រាក់ត្រូវបានបញ្ជាក់ដោយជោគជ័យ</t>
        </is>
      </c>
    </row>
    <row r="210">
      <c r="A210" s="3" t="inlineStr">
        <is>
          <t>codEmployee.confirmDoneCod</t>
        </is>
      </c>
      <c r="B210" s="3" t="inlineStr">
        <is>
          <t>Xác nhận thu tiền</t>
        </is>
      </c>
      <c r="C210" s="3" t="inlineStr">
        <is>
          <t>Confirm cash collection</t>
        </is>
      </c>
      <c r="D210" s="217">
        <f>IFERROR(__xludf.DUMMYFUNCTION("GOOGLETRANSLATE(C210,""vi"",""km"")"),"បញ្ជាក់ការប្រមូលប្រាក់")</f>
        <v/>
      </c>
      <c r="E210" s="3" t="n"/>
      <c r="F210" s="3" t="inlineStr">
        <is>
          <t>បញ្ជាក់ការប្រមូលប្រាក់</t>
        </is>
      </c>
      <c r="G210" s="3" t="n"/>
      <c r="H210" s="217" t="inlineStr">
        <is>
          <t>"codEmployee.confirmDoneCod": "បញ្ជាក់ការប្រមូលប្រាក់",</t>
        </is>
      </c>
      <c r="I210" t="inlineStr">
        <is>
          <t>បញ្ជាក់ការប្រមូលប្រាក់</t>
        </is>
      </c>
    </row>
    <row r="211">
      <c r="A211" s="3" t="inlineStr">
        <is>
          <t>codEmployee.confirmError</t>
        </is>
      </c>
      <c r="B211" s="3" t="inlineStr">
        <is>
          <t>Chỉ user tạo bảng kê mới có quyền thực hiện thao tác này</t>
        </is>
      </c>
      <c r="C211" s="3" t="inlineStr">
        <is>
          <t>Only the user who created the statement can perform this action</t>
        </is>
      </c>
      <c r="D211" s="217">
        <f>IFERROR(__xludf.DUMMYFUNCTION("GOOGLETRANSLATE(C211,""vi"",""km"")"),"មានតែអ្នកប្រើប្រាស់ដែលបានបង្កើតសេចក្តីថ្លែងការណ៍ប៉ុណ្ណោះដែលអាចអនុវត្តសកម្មភាពនេះបាន")</f>
        <v/>
      </c>
      <c r="E211" s="3" t="n"/>
      <c r="F211" s="3" t="inlineStr">
        <is>
          <t>មានតែអ្នកប្រើប្រាស់ដែលបានបង្កើតសេចក្តីថ្លែងការណ៍ប៉ុណ្ណោះដែលអាចអនុវត្តសកម្មភាពនេះបាន</t>
        </is>
      </c>
      <c r="G211" s="3" t="n"/>
      <c r="H211" s="217" t="inlineStr">
        <is>
          <t>"codEmployee.confirmError": "មានតែអ្នកប្រើប្រាស់ដែលបានបង្កើតសេចក្តីថ្លែងការណ៍ប៉ុណ្ណោះដែលអាចអនុវត្តសកម្មភាពនេះបាន",</t>
        </is>
      </c>
      <c r="I211" t="inlineStr">
        <is>
          <t>មានតែអ្នកប្រើប្រាស់ដែលបានបង្កើតសេចក្តីថ្លែងការណ៍ប៉ុណ្ណោះដែលអាចអនុវត្តសកម្មភាពនេះបាន</t>
        </is>
      </c>
    </row>
    <row r="212">
      <c r="A212" s="3" t="inlineStr">
        <is>
          <t>codEmployee.confirmLevel2</t>
        </is>
      </c>
      <c r="B212" s="3" t="inlineStr">
        <is>
          <t>Nộp tiền</t>
        </is>
      </c>
      <c r="C212" s="3" t="inlineStr">
        <is>
          <t>Submit funds</t>
        </is>
      </c>
      <c r="D212" s="217">
        <f>IFERROR(__xludf.DUMMYFUNCTION("GOOGLETRANSLATE(C212,""vi"",""km"")"),"ដាក់ប្រាក់")</f>
        <v/>
      </c>
      <c r="E212" s="3" t="n"/>
      <c r="F212" s="3" t="inlineStr">
        <is>
          <t>ដាក់ប្រាក់</t>
        </is>
      </c>
      <c r="G212" s="3" t="n"/>
      <c r="H212" s="217" t="inlineStr">
        <is>
          <t>"codEmployee.confirmLevel2": "ដាក់ប្រាក់",</t>
        </is>
      </c>
      <c r="I212" t="inlineStr">
        <is>
          <t>ដាក់ប្រាក់</t>
        </is>
      </c>
    </row>
    <row r="213">
      <c r="A213" s="3" t="inlineStr">
        <is>
          <t>codEmployee.confirmSuccess</t>
        </is>
      </c>
      <c r="B213" s="3" t="inlineStr">
        <is>
          <t>Chốt thu bảng kê thành công</t>
        </is>
      </c>
      <c r="C213" s="3" t="inlineStr">
        <is>
          <t>Statement finalized successfully</t>
        </is>
      </c>
      <c r="D213" s="217">
        <f>IFERROR(__xludf.DUMMYFUNCTION("GOOGLETRANSLATE(C213,""vi"",""km"")"),"សេចក្តីថ្លែងការណ៍បានបញ្ចប់ដោយជោគជ័យ")</f>
        <v/>
      </c>
      <c r="E213" s="3" t="n"/>
      <c r="F213" s="3" t="inlineStr">
        <is>
          <t>សេចក្តីថ្លែងការណ៍បានបញ្ចប់ដោយជោគជ័យ</t>
        </is>
      </c>
      <c r="G213" s="3" t="n"/>
      <c r="H213" s="217" t="inlineStr">
        <is>
          <t>"codEmployee.confirmSuccess": "សេចក្តីថ្លែងការណ៍បានបញ្ចប់ដោយជោគជ័យ",</t>
        </is>
      </c>
      <c r="I213" t="inlineStr">
        <is>
          <t>សេចក្តីថ្លែងការណ៍បានបញ្ចប់ដោយជោគជ័យ</t>
        </is>
      </c>
    </row>
    <row r="214">
      <c r="A214" s="3" t="inlineStr">
        <is>
          <t>codEmployee.copy</t>
        </is>
      </c>
      <c r="B214" s="3" t="inlineStr">
        <is>
          <t>Sao chép mã bảng kê thành công</t>
        </is>
      </c>
      <c r="C214" s="3" t="inlineStr">
        <is>
          <t>Statement ID copied successfully</t>
        </is>
      </c>
      <c r="D214" s="217">
        <f>IFERROR(__xludf.DUMMYFUNCTION("GOOGLETRANSLATE(C214,""vi"",""km"")"),"បានចម្លងលេខសម្គាល់សេចក្តីថ្លែងការណ៍ដោយជោគជ័យ")</f>
        <v/>
      </c>
      <c r="E214" s="3" t="n"/>
      <c r="F214" s="3" t="inlineStr">
        <is>
          <t>បានចម្លងលេខសម្គាល់សេចក្តីថ្លែងការណ៍ដោយជោគជ័យ</t>
        </is>
      </c>
      <c r="G214" s="3" t="n"/>
      <c r="H214" s="217" t="inlineStr">
        <is>
          <t>"codEmployee.copy": "បានចម្លងលេខសម្គាល់សេចក្តីថ្លែងការណ៍ដោយជោគជ័យ",</t>
        </is>
      </c>
      <c r="I214" t="inlineStr">
        <is>
          <t>បានចម្លងលេខសម្គាល់សេចក្តីថ្លែងការណ៍ដោយជោគជ័យ</t>
        </is>
      </c>
    </row>
    <row r="215">
      <c r="A215" s="3" t="inlineStr">
        <is>
          <t>codEmployee.createCod</t>
        </is>
      </c>
      <c r="B215" s="3" t="inlineStr">
        <is>
          <t>Tạo bảng kê</t>
        </is>
      </c>
      <c r="C215" s="3" t="inlineStr">
        <is>
          <t>Create statement</t>
        </is>
      </c>
      <c r="D215" s="217">
        <f>IFERROR(__xludf.DUMMYFUNCTION("GOOGLETRANSLATE(C215,""vi"",""km"")"),"បង្កើតសេចក្តីថ្លែងការណ៍")</f>
        <v/>
      </c>
      <c r="E215" s="3" t="n"/>
      <c r="F215" s="3" t="inlineStr">
        <is>
          <t>បង្កើតសេចក្តីថ្លែងការណ៍</t>
        </is>
      </c>
      <c r="G215" s="3" t="n"/>
      <c r="H215" s="217" t="inlineStr">
        <is>
          <t>"codEmployee.createCod": "បង្កើតសេចក្តីថ្លែងការណ៍",</t>
        </is>
      </c>
      <c r="I215" t="inlineStr">
        <is>
          <t>បង្កើតសេចក្តីថ្លែងការណ៍</t>
        </is>
      </c>
    </row>
    <row r="216">
      <c r="A216" s="3" t="inlineStr">
        <is>
          <t>codEmployee.createDate</t>
        </is>
      </c>
      <c r="B216" s="3" t="inlineStr">
        <is>
          <t>Ngày tạo</t>
        </is>
      </c>
      <c r="C216" s="3" t="inlineStr">
        <is>
          <t>Created date</t>
        </is>
      </c>
      <c r="D216" s="217">
        <f>IFERROR(__xludf.DUMMYFUNCTION("GOOGLETRANSLATE(C216,""vi"",""km"")"),"កាលបរិច្ឆេទបង្កើត")</f>
        <v/>
      </c>
      <c r="E216" s="3" t="n"/>
      <c r="F216" s="3" t="inlineStr">
        <is>
          <t>កាលបរិច្ឆេទបង្កើត</t>
        </is>
      </c>
      <c r="G216" s="3" t="n"/>
      <c r="H216" s="217" t="inlineStr">
        <is>
          <t>"codEmployee.createDate": "កាលបរិច្ឆេទបង្កើត",</t>
        </is>
      </c>
      <c r="I216" t="inlineStr">
        <is>
          <t>កាលបរិច្ឆេទបង្កើត</t>
        </is>
      </c>
    </row>
    <row r="217">
      <c r="A217" s="3" t="inlineStr">
        <is>
          <t>codEmployee.createSameEmployee</t>
        </is>
      </c>
      <c r="B217" s="3" t="inlineStr">
        <is>
          <t>Vui lòng chỉ chọn 1 bưu tá để tạo bảng kê</t>
        </is>
      </c>
      <c r="C217" s="3" t="inlineStr">
        <is>
          <t>Please select only one postman to create a statement</t>
        </is>
      </c>
      <c r="D217" s="217">
        <f>IFERROR(__xludf.DUMMYFUNCTION("GOOGLETRANSLATE(C217,""vi"",""km"")"),"សូមជ្រើសរើសអ្នកប្រៃសណីយ៍តែម្នាក់គត់ដើម្បីបង្កើតសេចក្តីថ្លែងការណ៍")</f>
        <v/>
      </c>
      <c r="E217" s="3" t="n"/>
      <c r="F217" s="3" t="inlineStr">
        <is>
          <t>សូមជ្រើសរើសអ្នកប្រៃសណីយ៍តែម្នាក់គត់ដើម្បីបង្កើតសេចក្តីថ្លែងការណ៍</t>
        </is>
      </c>
      <c r="G217" s="3" t="n"/>
      <c r="H217" s="217" t="inlineStr">
        <is>
          <t>"codEmployee.createSameEmployee": "សូមជ្រើសរើសអ្នកប្រៃសណីយ៍តែម្នាក់គត់ដើម្បីបង្កើតសេចក្តីថ្លែងការណ៍",</t>
        </is>
      </c>
      <c r="I217" t="inlineStr">
        <is>
          <t>សូមជ្រើសរើសអ្នកប្រៃសណីយ៍តែម្នាក់គត់ដើម្បីបង្កើតសេចក្តីថ្លែងការណ៍</t>
        </is>
      </c>
    </row>
    <row r="218">
      <c r="A218" s="3" t="inlineStr">
        <is>
          <t>codEmployee.createdAt</t>
        </is>
      </c>
      <c r="B218" s="3" t="inlineStr">
        <is>
          <t>Ngày tạo</t>
        </is>
      </c>
      <c r="C218" s="3" t="inlineStr">
        <is>
          <t>Created date</t>
        </is>
      </c>
      <c r="D218" s="217">
        <f>IFERROR(__xludf.DUMMYFUNCTION("GOOGLETRANSLATE(C218,""vi"",""km"")"),"កាលបរិច្ឆេទបង្កើត")</f>
        <v/>
      </c>
      <c r="E218" s="3" t="n"/>
      <c r="F218" s="3" t="inlineStr">
        <is>
          <t>កាលបរិច្ឆេទបង្កើត</t>
        </is>
      </c>
      <c r="G218" s="3" t="n"/>
      <c r="H218" s="217" t="inlineStr">
        <is>
          <t>"codEmployee.createdAt": "កាលបរិច្ឆេទបង្កើត",</t>
        </is>
      </c>
      <c r="I218" t="inlineStr">
        <is>
          <t>កាលបរិច្ឆេទបង្កើត</t>
        </is>
      </c>
    </row>
    <row r="219">
      <c r="A219" s="3" t="inlineStr">
        <is>
          <t>codEmployee.createdBy</t>
        </is>
      </c>
      <c r="B219" s="3" t="inlineStr">
        <is>
          <t>Người tạo</t>
        </is>
      </c>
      <c r="C219" s="3" t="inlineStr">
        <is>
          <t>Created by</t>
        </is>
      </c>
      <c r="D219" s="217">
        <f>IFERROR(__xludf.DUMMYFUNCTION("GOOGLETRANSLATE(C219,""vi"",""km"")"),"បង្កើតឡើងដោយ")</f>
        <v/>
      </c>
      <c r="F219" s="3" t="inlineStr">
        <is>
          <t>អ្នកបង្កើត</t>
        </is>
      </c>
      <c r="H219" s="217" t="inlineStr">
        <is>
          <t>"codEmployee.createdBy": "អ្នកបង្កើត",</t>
        </is>
      </c>
      <c r="I219" t="inlineStr">
        <is>
          <t>អ្នកបង្កើត</t>
        </is>
      </c>
    </row>
    <row r="220">
      <c r="A220" s="3" t="inlineStr">
        <is>
          <t>codEmployee.dateBill</t>
        </is>
      </c>
      <c r="B220" s="3" t="inlineStr">
        <is>
          <t>Ngày nhập máy</t>
        </is>
      </c>
      <c r="C220" s="3" t="inlineStr">
        <is>
          <t>System entry date</t>
        </is>
      </c>
      <c r="D220" s="217">
        <f>IFERROR(__xludf.DUMMYFUNCTION("GOOGLETRANSLATE(C220,""vi"",""km"")"),"កាលបរិច្ឆេទចូលប្រព័ន្ធ")</f>
        <v/>
      </c>
      <c r="E220" s="3" t="n"/>
      <c r="F220" s="3" t="inlineStr">
        <is>
          <t>កាលបរិច្ឆេទបញ្ចូលប្រព័ន្ធ</t>
        </is>
      </c>
      <c r="G220" s="3" t="n"/>
      <c r="H220" s="217" t="inlineStr">
        <is>
          <t>"codEmployee.dateBill": "កាលបរិច្ឆេទបញ្ចូលប្រព័ន្ធ",</t>
        </is>
      </c>
      <c r="I220" t="inlineStr">
        <is>
          <t>កាលបរិច្ឆេទបញ្ចូលប្រព័ន្ធ</t>
        </is>
      </c>
    </row>
    <row r="221">
      <c r="A221" s="3" t="inlineStr">
        <is>
          <t>codEmployee.dateDelivery</t>
        </is>
      </c>
      <c r="B221" s="3" t="inlineStr">
        <is>
          <t>Ngày PTC</t>
        </is>
      </c>
      <c r="C221" s="3" t="inlineStr">
        <is>
          <t>PTC date</t>
        </is>
      </c>
      <c r="D221" s="217">
        <f>IFERROR(__xludf.DUMMYFUNCTION("GOOGLETRANSLATE(C221,""vi"",""km"")"),"កាលបរិច្ឆេទ PTC")</f>
        <v/>
      </c>
      <c r="E221" s="3" t="n"/>
      <c r="F221" s="3" t="inlineStr">
        <is>
          <t>កាលបរិច្ឆេទដឹកជញ្ជូនជោគជ័យ</t>
        </is>
      </c>
      <c r="G221" s="3" t="n"/>
      <c r="H221" s="217" t="inlineStr">
        <is>
          <t>"codEmployee.dateDelivery": "កាលបរិច្ឆេទដឹកជញ្ជូនជោគជ័យ",</t>
        </is>
      </c>
      <c r="I221" t="inlineStr">
        <is>
          <t>កាលបរិច្ឆេទដឹកជញ្ជូនជោគជ័យ</t>
        </is>
      </c>
    </row>
    <row r="222">
      <c r="A222" s="3" t="inlineStr">
        <is>
          <t>codEmployee.dateDeliveryBill</t>
        </is>
      </c>
      <c r="B222" s="3" t="inlineStr">
        <is>
          <t>Ngày phát thành công</t>
        </is>
      </c>
      <c r="C222" s="3" t="inlineStr">
        <is>
          <t>Successful delivery date</t>
        </is>
      </c>
      <c r="D222" s="217">
        <f>IFERROR(__xludf.DUMMYFUNCTION("GOOGLETRANSLATE(C222,""vi"",""km"")"),"កាលបរិច្ឆេទដឹកជញ្ជូនជោគជ័យ")</f>
        <v/>
      </c>
      <c r="E222" s="3" t="n"/>
      <c r="F222" s="3" t="inlineStr">
        <is>
          <t>កាលបរិច្ឆេទដឹកជញ្ជូនជោគជ័យ</t>
        </is>
      </c>
      <c r="G222" s="3" t="n"/>
      <c r="H222" s="217" t="inlineStr">
        <is>
          <t>"codEmployee.dateDeliveryBill": "កាលបរិច្ឆេទដឹកជញ្ជូនជោគជ័យ",</t>
        </is>
      </c>
      <c r="I222" t="inlineStr">
        <is>
          <t>កាលបរិច្ឆេទដឹកជញ្ជូនជោគជ័យ</t>
        </is>
      </c>
    </row>
    <row r="223">
      <c r="A223" s="3" t="inlineStr">
        <is>
          <t>codEmployee.deleteBill</t>
        </is>
      </c>
      <c r="B223" s="3" t="inlineStr">
        <is>
          <t>Xoá đơn khỏi bảng kê thành công</t>
        </is>
      </c>
      <c r="C223" s="3" t="inlineStr">
        <is>
          <t>Removed order from statement successfully</t>
        </is>
      </c>
      <c r="D223" s="217">
        <f>IFERROR(__xludf.DUMMYFUNCTION("GOOGLETRANSLATE(C223,""vi"",""km"")"),"បានលុបលំដាប់ចេញពីសេចក្តីថ្លែងការណ៍ដោយជោគជ័យ")</f>
        <v/>
      </c>
      <c r="E223" s="3" t="n"/>
      <c r="F223" s="3" t="inlineStr">
        <is>
          <t>បានលុបលំដាប់ចេញពីសេចក្តីថ្លែងការណ៍ដោយជោគជ័យ</t>
        </is>
      </c>
      <c r="G223" s="3" t="n"/>
      <c r="H223" s="217" t="inlineStr">
        <is>
          <t>"codEmployee.deleteBill": "បានលុបលំដាប់ចេញពីសេចក្តីថ្លែងការណ៍ដោយជោគជ័យ",</t>
        </is>
      </c>
      <c r="I223" t="inlineStr">
        <is>
          <t>បានលុបលំដាប់ចេញពីសេចក្តីថ្លែងការណ៍ដោយជោគជ័យ</t>
        </is>
      </c>
    </row>
    <row r="224">
      <c r="A224" s="3" t="inlineStr">
        <is>
          <t>codEmployee.deleteCod</t>
        </is>
      </c>
      <c r="B224" s="3" t="inlineStr">
        <is>
          <t>Xoá bảng kê</t>
        </is>
      </c>
      <c r="C224" s="3" t="inlineStr">
        <is>
          <t>Delete statement</t>
        </is>
      </c>
      <c r="D224" s="217">
        <f>IFERROR(__xludf.DUMMYFUNCTION("GOOGLETRANSLATE(C224,""vi"",""km"")"),"លុបសេចក្តីថ្លែងការណ៍")</f>
        <v/>
      </c>
      <c r="E224" s="3" t="n"/>
      <c r="F224" s="3" t="inlineStr">
        <is>
          <t>លុបសេចក្តីថ្លែងការណ៍</t>
        </is>
      </c>
      <c r="G224" s="3" t="n"/>
      <c r="H224" s="217" t="inlineStr">
        <is>
          <t>"codEmployee.deleteCod": "លុបសេចក្តីថ្លែងការណ៍",</t>
        </is>
      </c>
      <c r="I224" t="inlineStr">
        <is>
          <t>លុបសេចក្តីថ្លែងការណ៍</t>
        </is>
      </c>
    </row>
    <row r="225">
      <c r="A225" s="3" t="inlineStr">
        <is>
          <t>codEmployee.deleteOrder</t>
        </is>
      </c>
      <c r="B225" s="3" t="inlineStr">
        <is>
          <t>Loại vận đơn</t>
        </is>
      </c>
      <c r="C225" s="3" t="inlineStr">
        <is>
          <t>Remove waybill</t>
        </is>
      </c>
      <c r="D225" s="217">
        <f>IFERROR(__xludf.DUMMYFUNCTION("GOOGLETRANSLATE(C225,""vi"",""km"")"),"លុបវិក្កយបត្រចេញ")</f>
        <v/>
      </c>
      <c r="E225" s="3" t="n"/>
      <c r="F225" s="3" t="inlineStr">
        <is>
          <t>លុបវិក្កយបត្រចេញ</t>
        </is>
      </c>
      <c r="G225" s="3" t="n"/>
      <c r="H225" s="217" t="inlineStr">
        <is>
          <t>"codEmployee.deleteOrder": "លុបវិក្កយបត្រចេញ",</t>
        </is>
      </c>
      <c r="I225" t="inlineStr">
        <is>
          <t>លុបវិក្កយបត្រចេញ</t>
        </is>
      </c>
    </row>
    <row r="226">
      <c r="A226" s="3" t="inlineStr">
        <is>
          <t>codEmployee.deleteSuccess</t>
        </is>
      </c>
      <c r="B226" s="3" t="inlineStr">
        <is>
          <t>Xoá bảng kê thành công</t>
        </is>
      </c>
      <c r="C226" s="3" t="inlineStr">
        <is>
          <t>Statement deleted successfully</t>
        </is>
      </c>
      <c r="D226" s="217">
        <f>IFERROR(__xludf.DUMMYFUNCTION("GOOGLETRANSLATE(C226,""vi"",""km"")"),"បានលុបសេចក្តីថ្លែងការណ៍ដោយជោគជ័យ")</f>
        <v/>
      </c>
      <c r="E226" s="3" t="n"/>
      <c r="F226" s="3" t="inlineStr">
        <is>
          <t>បានលុបសេចក្តីថ្លែងការណ៍ដោយជោគជ័យ</t>
        </is>
      </c>
      <c r="G226" s="3" t="n"/>
      <c r="H226" s="217" t="inlineStr">
        <is>
          <t>"codEmployee.deleteSuccess": "បានលុបសេចក្តីថ្លែងការណ៍ដោយជោគជ័យ",</t>
        </is>
      </c>
      <c r="I226" t="inlineStr">
        <is>
          <t>បានលុបសេចក្តីថ្លែងការណ៍ដោយជោគជ័យ</t>
        </is>
      </c>
    </row>
    <row r="227">
      <c r="A227" s="3" t="inlineStr">
        <is>
          <t>codEmployee.deliveredAt</t>
        </is>
      </c>
      <c r="B227" s="3" t="inlineStr">
        <is>
          <t>Ngày phát thành công</t>
        </is>
      </c>
      <c r="C227" s="3" t="inlineStr">
        <is>
          <t>Successful delivery date</t>
        </is>
      </c>
      <c r="D227" s="217">
        <f>IFERROR(__xludf.DUMMYFUNCTION("GOOGLETRANSLATE(C227,""vi"",""km"")"),"កាលបរិច្ឆេទដឹកជញ្ជូនជោគជ័យ")</f>
        <v/>
      </c>
      <c r="E227" s="3" t="n"/>
      <c r="F227" s="3" t="inlineStr">
        <is>
          <t>កាលបរិច្ឆេទដឹកជញ្ជូនជោគជ័យ</t>
        </is>
      </c>
      <c r="G227" s="3" t="n"/>
      <c r="H227" s="217" t="inlineStr">
        <is>
          <t>"codEmployee.deliveredAt": "កាលបរិច្ឆេទដឹកជញ្ជូនជោគជ័យ",</t>
        </is>
      </c>
      <c r="I227" t="inlineStr">
        <is>
          <t>កាលបរិច្ឆេទដឹកជញ្ជូនជោគជ័យ</t>
        </is>
      </c>
    </row>
    <row r="228">
      <c r="A228" s="3" t="inlineStr">
        <is>
          <t>codEmployee.detailCod</t>
        </is>
      </c>
      <c r="B228" s="3" t="inlineStr">
        <is>
          <t>Chi tiết bảng kê</t>
        </is>
      </c>
      <c r="C228" s="3" t="inlineStr">
        <is>
          <t>Statement details</t>
        </is>
      </c>
      <c r="D228" s="217">
        <f>IFERROR(__xludf.DUMMYFUNCTION("GOOGLETRANSLATE(C228,""vi"",""km"")"),"សេចក្តីប្រកាស")</f>
        <v/>
      </c>
      <c r="E228" s="3" t="n"/>
      <c r="F228" s="3" t="inlineStr">
        <is>
          <t>សេចក្តីប្រកាស</t>
        </is>
      </c>
      <c r="G228" s="3" t="n"/>
      <c r="H228" s="217" t="inlineStr">
        <is>
          <t>"codEmployee.detailCod": "សេចក្តីប្រកាស",</t>
        </is>
      </c>
      <c r="I228" t="inlineStr">
        <is>
          <t>សេចក្តីប្រកាស</t>
        </is>
      </c>
    </row>
    <row r="229">
      <c r="A229" s="3" t="inlineStr">
        <is>
          <t>codEmployee.detailDebt</t>
        </is>
      </c>
      <c r="B229" s="3" t="inlineStr">
        <is>
          <t>Chi tiết bưu tá</t>
        </is>
      </c>
      <c r="C229" s="3" t="inlineStr">
        <is>
          <t>Postman details</t>
        </is>
      </c>
      <c r="D229" s="217">
        <f>IFERROR(__xludf.DUMMYFUNCTION("GOOGLETRANSLATE(C229,""vi"",""km"")"),"ព័ត៌មានលម្អិតអំពីអ្នករត់សំបុត្រ")</f>
        <v/>
      </c>
      <c r="E229" s="3" t="n"/>
      <c r="F229" s="3" t="inlineStr">
        <is>
          <t>ព័ត៌មានលម្អិតអំពីអ្នកដឹកជញ្ជូន</t>
        </is>
      </c>
      <c r="G229" s="3" t="n"/>
      <c r="H229" s="217" t="inlineStr">
        <is>
          <t>"codEmployee.detailDebt": "ព័ត៌មានលម្អិតអំពីអ្នកដឹកជញ្ជូន",</t>
        </is>
      </c>
      <c r="I229" t="inlineStr">
        <is>
          <t>ព័ត៌មានលម្អិតអំពីអ្នកដឹកជញ្ជូន</t>
        </is>
      </c>
    </row>
    <row r="230">
      <c r="A230" s="3" t="inlineStr">
        <is>
          <t>codEmployee.employeeCod</t>
        </is>
      </c>
      <c r="B230" s="3" t="inlineStr">
        <is>
          <t>Xác nhận bảng kê thu COD</t>
        </is>
      </c>
      <c r="C230" s="3" t="inlineStr">
        <is>
          <t>Confirm COD collection statement</t>
        </is>
      </c>
      <c r="D230" s="217">
        <f>IFERROR(__xludf.DUMMYFUNCTION("GOOGLETRANSLATE(C230,""vi"",""km"")"),"បញ្ជាក់សេចក្តីថ្លែងការណ៍ប្រមូល COD")</f>
        <v/>
      </c>
      <c r="E230" s="3" t="n"/>
      <c r="F230" s="3" t="inlineStr">
        <is>
          <t>បញ្ជាក់សេចក្តីថ្លែងការណ៍ប្រមូល COD</t>
        </is>
      </c>
      <c r="G230" s="3" t="n"/>
      <c r="H230" s="217" t="inlineStr">
        <is>
          <t>"codEmployee.employeeCod": "បញ្ជាក់សេចក្តីថ្លែងការណ៍ប្រមូល COD",</t>
        </is>
      </c>
      <c r="I230" t="inlineStr">
        <is>
          <t>បញ្ជាក់សេចក្តីថ្លែងការណ៍ប្រមូល COD</t>
        </is>
      </c>
    </row>
    <row r="231">
      <c r="A231" s="3" t="inlineStr">
        <is>
          <t>codEmployee.employeeDebt</t>
        </is>
      </c>
      <c r="B231" s="3" t="inlineStr">
        <is>
          <t>Bưu tá chưa tạo bảng kê</t>
        </is>
      </c>
      <c r="C231" s="3" t="inlineStr">
        <is>
          <t>Postmen without created statements</t>
        </is>
      </c>
      <c r="D231" s="217">
        <f>IFERROR(__xludf.DUMMYFUNCTION("GOOGLETRANSLATE(C231,""vi"",""km"")"),"អ្នករត់សំបុត្រដោយមិនបង្កើតសេចក្តីថ្លែងការណ៍")</f>
        <v/>
      </c>
      <c r="E231" s="3" t="n"/>
      <c r="F231" s="3" t="inlineStr">
        <is>
          <t>អ្នកដឹកជញ្ជូនមិនទាន់បង្កើតបញ្ជីផ្ទៀងផ្ទាត់</t>
        </is>
      </c>
      <c r="G231" s="3" t="n"/>
      <c r="H231" s="217" t="inlineStr">
        <is>
          <t>"codEmployee.employeeDebt": "អ្នកដឹកជញ្ជូនមិនទាន់បង្កើតបញ្ជីផ្ទៀងផ្ទាត់",</t>
        </is>
      </c>
      <c r="I231" t="inlineStr">
        <is>
          <t>អ្នកដឹកជញ្ជូនមិនទាន់បង្កើតបញ្ជីផ្ទៀងផ្ទាត់</t>
        </is>
      </c>
    </row>
    <row r="232">
      <c r="A232" s="3" t="inlineStr">
        <is>
          <t>codEmployee.emptyBill</t>
        </is>
      </c>
      <c r="B232" s="3" t="inlineStr">
        <is>
          <t>Không tìm thấy mã vận đơn phù hợp</t>
        </is>
      </c>
      <c r="C232" s="3" t="inlineStr">
        <is>
          <t>No matching waybill code found</t>
        </is>
      </c>
      <c r="D232" s="217">
        <f>IFERROR(__xludf.DUMMYFUNCTION("GOOGLETRANSLATE(C232,""vi"",""km"")"),"រកមិនឃើញលេខកូដវិក្កយបត្រដែលត្រូវគ្នាទេ")</f>
        <v/>
      </c>
      <c r="E232" s="3" t="n"/>
      <c r="F232" s="3" t="inlineStr">
        <is>
          <t>រកមិនឃើញលេខកូដវិក្កយបត្រដែលត្រូវគ្នាទេ</t>
        </is>
      </c>
      <c r="G232" s="3" t="n"/>
      <c r="H232" s="217" t="inlineStr">
        <is>
          <t>"codEmployee.emptyBill": "រកមិនឃើញលេខកូដវិក្កយបត្រដែលត្រូវគ្នាទេ",</t>
        </is>
      </c>
      <c r="I232" t="inlineStr">
        <is>
          <t>រកមិនឃើញលេខកូដវិក្កយបត្រដែលត្រូវគ្នាទេ</t>
        </is>
      </c>
    </row>
    <row r="233">
      <c r="A233" s="3" t="inlineStr">
        <is>
          <t>codEmployee.emptyOrderCode</t>
        </is>
      </c>
      <c r="B233" s="3" t="inlineStr">
        <is>
          <t>Vui lòng nhập mã vận đơn</t>
        </is>
      </c>
      <c r="C233" s="3" t="inlineStr">
        <is>
          <t>Please enter a waybill code</t>
        </is>
      </c>
      <c r="D233" s="217">
        <f>IFERROR(__xludf.DUMMYFUNCTION("GOOGLETRANSLATE(C233,""vi"",""km"")"),"សូមបញ្ចូលលេខកូដវិក្កយបត្រ")</f>
        <v/>
      </c>
      <c r="E233" s="3" t="n"/>
      <c r="F233" s="3" t="inlineStr">
        <is>
          <t>សូមបញ្ចូលលេខកូដវិក្កយបត្រ</t>
        </is>
      </c>
      <c r="G233" s="3" t="n"/>
      <c r="H233" s="217" t="inlineStr">
        <is>
          <t>"codEmployee.emptyOrderCode": "សូមបញ្ចូលលេខកូដវិក្កយបត្រ",</t>
        </is>
      </c>
      <c r="I233" t="inlineStr">
        <is>
          <t>សូមបញ្ចូលលេខកូដវិក្កយបត្រ</t>
        </is>
      </c>
    </row>
    <row r="234">
      <c r="A234" s="3" t="inlineStr">
        <is>
          <t>codEmployee.emptySelectOrderCode</t>
        </is>
      </c>
      <c r="B234" s="3" t="inlineStr">
        <is>
          <t>Vui lòng chọn đơn để loại bỏ</t>
        </is>
      </c>
      <c r="C234" s="3" t="inlineStr">
        <is>
          <t>Please select an order to remove</t>
        </is>
      </c>
      <c r="D234" s="217">
        <f>IFERROR(__xludf.DUMMYFUNCTION("GOOGLETRANSLATE(C234,""vi"",""km"")"),"សូមជ្រើសរើសការបញ្ជាទិញដើម្បីដកចេញ")</f>
        <v/>
      </c>
      <c r="E234" s="3" t="n"/>
      <c r="F234" s="3" t="inlineStr">
        <is>
          <t>សូមជ្រើសរើសការបញ្ជាទិញដើម្បីដកចេញ</t>
        </is>
      </c>
      <c r="G234" s="3" t="n"/>
      <c r="H234" s="217" t="inlineStr">
        <is>
          <t>"codEmployee.emptySelectOrderCode": "សូមជ្រើសរើសការបញ្ជាទិញដើម្បីដកចេញ",</t>
        </is>
      </c>
      <c r="I234" t="inlineStr">
        <is>
          <t>សូមជ្រើសរើសការបញ្ជាទិញដើម្បីដកចេញ</t>
        </is>
      </c>
    </row>
    <row r="235">
      <c r="A235" s="3" t="inlineStr">
        <is>
          <t>codEmployee.endDate</t>
        </is>
      </c>
      <c r="B235" s="3" t="inlineStr">
        <is>
          <t>Đến ngày</t>
        </is>
      </c>
      <c r="C235" s="3" t="inlineStr">
        <is>
          <t>To date</t>
        </is>
      </c>
      <c r="D235" s="217">
        <f>IFERROR(__xludf.DUMMYFUNCTION("GOOGLETRANSLATE(C235,""vi"",""km"")"),"រហូតមកដល់បច្ចុប្បន្ន")</f>
        <v/>
      </c>
      <c r="E235" s="3" t="n"/>
      <c r="F235" s="3" t="inlineStr">
        <is>
          <t>រហូតមកដល់បច្ចុប្បន្ន</t>
        </is>
      </c>
      <c r="G235" s="3" t="n"/>
      <c r="H235" s="217" t="inlineStr">
        <is>
          <t>"codEmployee.endDate": "រហូតមកដល់បច្ចុប្បន្ន",</t>
        </is>
      </c>
      <c r="I235" t="inlineStr">
        <is>
          <t>រហូតមកដល់បច្ចុប្បន្ន</t>
        </is>
      </c>
    </row>
    <row r="236">
      <c r="A236" s="3" t="inlineStr">
        <is>
          <t>codEmployee.enterOrderCode</t>
        </is>
      </c>
      <c r="B236" s="3" t="inlineStr">
        <is>
          <t>Nhập mã vận đơn</t>
        </is>
      </c>
      <c r="C236" s="3" t="inlineStr">
        <is>
          <t>Enter waybill code</t>
        </is>
      </c>
      <c r="D236" s="217">
        <f>IFERROR(__xludf.DUMMYFUNCTION("GOOGLETRANSLATE(C236,""vi"",""km"")"),"បញ្ចូលលេខកូដវិក្កយបត្រ")</f>
        <v/>
      </c>
      <c r="E236" s="3" t="n"/>
      <c r="F236" s="3" t="inlineStr">
        <is>
          <t>បញ្ចូលលេខកូដវិក្កយបត្រ</t>
        </is>
      </c>
      <c r="G236" s="3" t="n"/>
      <c r="H236" s="217" t="inlineStr">
        <is>
          <t>"codEmployee.enterOrderCode": "បញ្ចូលលេខកូដវិក្កយបត្រ",</t>
        </is>
      </c>
      <c r="I236" t="inlineStr">
        <is>
          <t>បញ្ចូលលេខកូដវិក្កយបត្រ</t>
        </is>
      </c>
    </row>
    <row r="237">
      <c r="A237" s="3" t="inlineStr">
        <is>
          <t>codEmployee.excel</t>
        </is>
      </c>
      <c r="B237" s="3" t="inlineStr">
        <is>
          <t>Xuất Excel</t>
        </is>
      </c>
      <c r="C237" s="3" t="inlineStr">
        <is>
          <t>Export Excel</t>
        </is>
      </c>
      <c r="D237" s="217">
        <f>IFERROR(__xludf.DUMMYFUNCTION("GOOGLETRANSLATE(C237,""vi"",""km"")"),"រីករាលដាល Excel")</f>
        <v/>
      </c>
      <c r="E237" s="3" t="n"/>
      <c r="F237" s="3" t="inlineStr">
        <is>
          <t>រីករាលដាល Excel</t>
        </is>
      </c>
      <c r="G237" s="3" t="n"/>
      <c r="H237" s="217" t="inlineStr">
        <is>
          <t>"codEmployee.excel": "រីករាលដាល Excel",</t>
        </is>
      </c>
      <c r="I237" t="inlineStr">
        <is>
          <t>រីករាលដាល Excel</t>
        </is>
      </c>
    </row>
    <row r="238">
      <c r="A238" s="3" t="inlineStr">
        <is>
          <t>codEmployee.excelSuccess</t>
        </is>
      </c>
      <c r="B238" s="3" t="inlineStr">
        <is>
          <t>Xuất Excel thành công</t>
        </is>
      </c>
      <c r="C238" s="3" t="inlineStr">
        <is>
          <t>Excel exported successfully</t>
        </is>
      </c>
      <c r="D238" s="217">
        <f>IFERROR(__xludf.DUMMYFUNCTION("GOOGLETRANSLATE(C238,""vi"",""km"")"),"Excel បានដំណើរការដោយជោគជ័យ")</f>
        <v/>
      </c>
      <c r="E238" s="3" t="n"/>
      <c r="F238" s="3" t="inlineStr">
        <is>
          <t>Excel បានដំណើរការដោយជោគជ័យ</t>
        </is>
      </c>
      <c r="G238" s="3" t="n"/>
      <c r="H238" s="217" t="inlineStr">
        <is>
          <t>"codEmployee.excelSuccess": "Excel បានដំណើរការដោយជោគជ័យ",</t>
        </is>
      </c>
      <c r="I238" t="inlineStr">
        <is>
          <t>Excel បានដំណើរការដោយជោគជ័យ</t>
        </is>
      </c>
    </row>
    <row r="239">
      <c r="A239" s="3" t="inlineStr">
        <is>
          <t>codEmployee.filterBranch</t>
        </is>
      </c>
      <c r="B239" s="3" t="inlineStr">
        <is>
          <t>Chọn chi nhánh</t>
        </is>
      </c>
      <c r="C239" s="3" t="inlineStr">
        <is>
          <t>Select branch</t>
        </is>
      </c>
      <c r="D239" s="217">
        <f>IFERROR(__xludf.DUMMYFUNCTION("GOOGLETRANSLATE(C239,""vi"",""km"")"),"ជ្រើសរើសទ្រូង")</f>
        <v/>
      </c>
      <c r="E239" s="3" t="n"/>
      <c r="F239" s="3" t="inlineStr">
        <is>
          <t>ជ្រើសរើសទ្រូង</t>
        </is>
      </c>
      <c r="G239" s="3" t="n"/>
      <c r="H239" s="217" t="inlineStr">
        <is>
          <t>"codEmployee.filterBranch": "ជ្រើសរើសទ្រូង",</t>
        </is>
      </c>
      <c r="I239" t="inlineStr">
        <is>
          <t>ជ្រើសរើសទ្រូង</t>
        </is>
      </c>
    </row>
    <row r="240">
      <c r="A240" s="3" t="inlineStr">
        <is>
          <t>codEmployee.filterPost</t>
        </is>
      </c>
      <c r="B240" s="3" t="inlineStr">
        <is>
          <t>Chọn bưu cục</t>
        </is>
      </c>
      <c r="C240" s="3" t="inlineStr">
        <is>
          <t>Select post office</t>
        </is>
      </c>
      <c r="D240" s="217">
        <f>IFERROR(__xludf.DUMMYFUNCTION("GOOGLETRANSLATE(C240,""vi"",""km"")"),"ជ្រើសរើសការិយាល័យប្រៃសណីយ៍")</f>
        <v/>
      </c>
      <c r="E240" s="3" t="n"/>
      <c r="F240" s="3" t="inlineStr">
        <is>
          <t>ជ្រើសរើសការិយាល័យប្រៃសណីយ៍</t>
        </is>
      </c>
      <c r="G240" s="3" t="n"/>
      <c r="H240" s="217" t="inlineStr">
        <is>
          <t>"codEmployee.filterPost": "ជ្រើសរើសការិយាល័យប្រៃសណីយ៍",</t>
        </is>
      </c>
      <c r="I240" t="inlineStr">
        <is>
          <t>ជ្រើសរើសការិយាល័យប្រៃសណីយ៍</t>
        </is>
      </c>
    </row>
    <row r="241">
      <c r="A241" s="3" t="inlineStr">
        <is>
          <t>codEmployee.filterStatus</t>
        </is>
      </c>
      <c r="B241" s="3" t="inlineStr">
        <is>
          <t>Chọn trạng thái</t>
        </is>
      </c>
      <c r="C241" s="3" t="inlineStr">
        <is>
          <t>Select status</t>
        </is>
      </c>
      <c r="D241" s="217">
        <f>IFERROR(__xludf.DUMMYFUNCTION("GOOGLETRANSLATE(C241,""vi"",""km"")"),"ជ្រើសរើសស្ថានភាព")</f>
        <v/>
      </c>
      <c r="E241" s="3" t="n"/>
      <c r="F241" s="3" t="inlineStr">
        <is>
          <t>ជ្រើសរើសស្ថានភាព</t>
        </is>
      </c>
      <c r="G241" s="3" t="n"/>
      <c r="H241" s="217" t="inlineStr">
        <is>
          <t>"codEmployee.filterStatus": "ជ្រើសរើសស្ថានភាព",</t>
        </is>
      </c>
      <c r="I241" t="inlineStr">
        <is>
          <t>ជ្រើសរើសស្ថានភាព</t>
        </is>
      </c>
    </row>
    <row r="242">
      <c r="A242" s="3" t="inlineStr">
        <is>
          <t>codEmployee.filterUser</t>
        </is>
      </c>
      <c r="B242" s="3" t="inlineStr">
        <is>
          <t>Chọn nhân viên</t>
        </is>
      </c>
      <c r="C242" s="3" t="inlineStr">
        <is>
          <t>Select employee</t>
        </is>
      </c>
      <c r="D242" s="217">
        <f>IFERROR(__xludf.DUMMYFUNCTION("GOOGLETRANSLATE(C242,""vi"",""km"")"),"ជ្រើសរើសការចេញផ្សាយ")</f>
        <v/>
      </c>
      <c r="E242" s="3" t="n"/>
      <c r="F242" s="3" t="inlineStr">
        <is>
          <t>ជ្រើសរើសការចេញផ្សាយ</t>
        </is>
      </c>
      <c r="G242" s="3" t="n"/>
      <c r="H242" s="217" t="inlineStr">
        <is>
          <t>"codEmployee.filterUser": "ជ្រើសរើសការចេញផ្សាយ",</t>
        </is>
      </c>
      <c r="I242" t="inlineStr">
        <is>
          <t>ជ្រើសរើសការចេញផ្សាយ</t>
        </is>
      </c>
    </row>
    <row r="243">
      <c r="A243" s="3" t="inlineStr">
        <is>
          <t>codEmployee.forCod</t>
        </is>
      </c>
      <c r="B243" s="3" t="inlineStr">
        <is>
          <t>cho bảng kê</t>
        </is>
      </c>
      <c r="C243" s="3" t="inlineStr">
        <is>
          <t>for statement</t>
        </is>
      </c>
      <c r="D243" s="217">
        <f>IFERROR(__xludf.DUMMYFUNCTION("GOOGLETRANSLATE(C243,""vi"",""km"")"),"សម្រាប់សេចក្តីថ្លែងការណ៍")</f>
        <v/>
      </c>
      <c r="E243" s="3" t="n"/>
      <c r="F243" s="3" t="inlineStr">
        <is>
          <t>សម្រាប់សេចក្តីថ្លែងការណ៍</t>
        </is>
      </c>
      <c r="G243" s="3" t="n"/>
      <c r="H243" s="217" t="inlineStr">
        <is>
          <t>"codEmployee.forCod": "សម្រាប់សេចក្តីថ្លែងការណ៍",</t>
        </is>
      </c>
      <c r="I243" t="inlineStr">
        <is>
          <t>សម្រាប់សេចក្តីថ្លែងការណ៍</t>
        </is>
      </c>
    </row>
    <row r="244">
      <c r="A244" s="3" t="inlineStr">
        <is>
          <t>codEmployee.orderCode</t>
        </is>
      </c>
      <c r="B244" s="3" t="inlineStr">
        <is>
          <t>Mã vận đơn</t>
        </is>
      </c>
      <c r="C244" s="3" t="inlineStr">
        <is>
          <t>Waybill code</t>
        </is>
      </c>
      <c r="D244" s="217">
        <f>IFERROR(__xludf.DUMMYFUNCTION("GOOGLETRANSLATE(C244,""vi"",""km"")"),"លេខកូដ Waybill")</f>
        <v/>
      </c>
      <c r="E244" s="3" t="n"/>
      <c r="F244" s="3" t="inlineStr">
        <is>
          <t>លេខកូដបុងបញ្ញើ</t>
        </is>
      </c>
      <c r="G244" s="3" t="n"/>
      <c r="H244" s="217" t="inlineStr">
        <is>
          <t>"codEmployee.orderCode": "លេខកូដបុងបញ្ញើ",</t>
        </is>
      </c>
      <c r="I244" t="inlineStr">
        <is>
          <t>លេខកូដបុងបញ្ញើ</t>
        </is>
      </c>
    </row>
    <row r="245">
      <c r="A245" s="3" t="inlineStr">
        <is>
          <t>codEmployee.payCod</t>
        </is>
      </c>
      <c r="B245" s="3" t="inlineStr">
        <is>
          <t>Tiền phải thu</t>
        </is>
      </c>
      <c r="C245" s="3" t="inlineStr">
        <is>
          <t>Amount receivable</t>
        </is>
      </c>
      <c r="D245" s="217">
        <f>IFERROR(__xludf.DUMMYFUNCTION("GOOGLETRANSLATE(C245,""vi"",""km"")"),"ចំនួនទឹកប្រាក់ដែលត្រូវទទួល")</f>
        <v/>
      </c>
      <c r="E245" s="3" t="n"/>
      <c r="F245" s="3" t="inlineStr">
        <is>
          <t>ចំនួនទឹកប្រាក់ដែលត្រូវទទួល</t>
        </is>
      </c>
      <c r="G245" s="3" t="n"/>
      <c r="H245" s="217" t="inlineStr">
        <is>
          <t>"codEmployee.payCod": "ចំនួនទឹកប្រាក់ដែលត្រូវទទួល",</t>
        </is>
      </c>
      <c r="I245" t="inlineStr">
        <is>
          <t>ចំនួនទឹកប្រាក់ដែលត្រូវទទួល</t>
        </is>
      </c>
    </row>
    <row r="246">
      <c r="A246" s="23" t="inlineStr">
        <is>
          <t>codEmployee.post</t>
        </is>
      </c>
      <c r="B246" s="3" t="inlineStr">
        <is>
          <t>Bưu cục</t>
        </is>
      </c>
      <c r="C246" s="3" t="inlineStr">
        <is>
          <t>Post office</t>
        </is>
      </c>
      <c r="D246" s="217">
        <f>IFERROR(__xludf.DUMMYFUNCTION("GOOGLETRANSLATE(C246,""vi"",""km"")"),"ការិយាល័យប្រៃសណីយ៍")</f>
        <v/>
      </c>
      <c r="E246" s="3" t="n"/>
      <c r="F246" s="3" t="inlineStr">
        <is>
          <t>ការិយាល័យប្រៃសណីយ៍</t>
        </is>
      </c>
      <c r="G246" s="3" t="n"/>
      <c r="H246" s="217" t="inlineStr">
        <is>
          <t>"codEmployee.post": "ការិយាល័យប្រៃសណីយ៍",</t>
        </is>
      </c>
      <c r="I246" t="inlineStr">
        <is>
          <t>ការិយាល័យប្រៃសណីយ៍</t>
        </is>
      </c>
    </row>
    <row r="247">
      <c r="A247" s="3" t="inlineStr">
        <is>
          <t>codEmployee.postman</t>
        </is>
      </c>
      <c r="B247" s="3" t="inlineStr">
        <is>
          <t>Bưu tá</t>
        </is>
      </c>
      <c r="C247" s="3" t="inlineStr">
        <is>
          <t>Postman</t>
        </is>
      </c>
      <c r="D247" s="217">
        <f>IFERROR(__xludf.DUMMYFUNCTION("GOOGLETRANSLATE(C247,""vi"",""km"")"),"អ្នករត់សំបុត្រ")</f>
        <v/>
      </c>
      <c r="E247" s="3" t="n"/>
      <c r="F247" s="3" t="inlineStr">
        <is>
          <t>បុគ្គលិកដឹកជញ្ជូន</t>
        </is>
      </c>
      <c r="G247" s="3" t="n"/>
      <c r="H247" s="217" t="inlineStr">
        <is>
          <t>"codEmployee.postman": "បុគ្គលិកដឹកជញ្ជូន",</t>
        </is>
      </c>
      <c r="I247" t="inlineStr">
        <is>
          <t>បុគ្គលិកដឹកជញ្ជូន</t>
        </is>
      </c>
    </row>
    <row r="248">
      <c r="A248" s="3" t="inlineStr">
        <is>
          <t>codEmployee.print</t>
        </is>
      </c>
      <c r="B248" s="3" t="inlineStr">
        <is>
          <t>In</t>
        </is>
      </c>
      <c r="C248" s="3" t="inlineStr">
        <is>
          <t>Print</t>
        </is>
      </c>
      <c r="D248" s="217">
        <f>IFERROR(__xludf.DUMMYFUNCTION("GOOGLETRANSLATE(C248,""vi"",""km"")"),"ជើងហោះហើរ")</f>
        <v/>
      </c>
      <c r="E248" s="3" t="n"/>
      <c r="F248" s="3" t="inlineStr">
        <is>
          <t>ព្រីន</t>
        </is>
      </c>
      <c r="G248" s="3" t="n"/>
      <c r="H248" s="217" t="inlineStr">
        <is>
          <t>"codEmployee.print": "ព្រីន",</t>
        </is>
      </c>
      <c r="I248" t="inlineStr">
        <is>
          <t>ព្រីន</t>
        </is>
      </c>
    </row>
    <row r="249">
      <c r="A249" s="3" t="inlineStr">
        <is>
          <t>codEmployee.route</t>
        </is>
      </c>
      <c r="B249" s="3" t="inlineStr">
        <is>
          <t>Tên tuyến</t>
        </is>
      </c>
      <c r="C249" s="3" t="inlineStr">
        <is>
          <t>Route name</t>
        </is>
      </c>
      <c r="D249" s="217">
        <f>IFERROR(__xludf.DUMMYFUNCTION("GOOGLETRANSLATE(C249,""vi"",""km"")"),"ឈ្មោះផ្លូវ")</f>
        <v/>
      </c>
      <c r="E249" s="3" t="n"/>
      <c r="F249" s="3" t="inlineStr">
        <is>
          <t>ឈ្មោះផ្លូវ</t>
        </is>
      </c>
      <c r="G249" s="3" t="n"/>
      <c r="H249" s="217" t="inlineStr">
        <is>
          <t>"codEmployee.route": "ឈ្មោះផ្លូវ",</t>
        </is>
      </c>
      <c r="I249" t="inlineStr">
        <is>
          <t>ឈ្មោះផ្លូវ</t>
        </is>
      </c>
    </row>
    <row r="250">
      <c r="A250" s="3" t="inlineStr">
        <is>
          <t>codEmployee.service</t>
        </is>
      </c>
      <c r="B250" s="3" t="inlineStr">
        <is>
          <t>Dịch vụ</t>
        </is>
      </c>
      <c r="C250" s="3" t="inlineStr">
        <is>
          <t>Service</t>
        </is>
      </c>
      <c r="D250" s="217">
        <f>IFERROR(__xludf.DUMMYFUNCTION("GOOGLETRANSLATE(C250,""vi"",""km"")"),"សេវាកម្ម")</f>
        <v/>
      </c>
      <c r="E250" s="3" t="n"/>
      <c r="F250" s="3" t="inlineStr">
        <is>
          <t>សេវាកម្ម</t>
        </is>
      </c>
      <c r="G250" s="3" t="n"/>
      <c r="H250" s="217" t="inlineStr">
        <is>
          <t>"codEmployee.service": "សេវាកម្ម",</t>
        </is>
      </c>
      <c r="I250" t="inlineStr">
        <is>
          <t>សេវាកម្ម</t>
        </is>
      </c>
    </row>
    <row r="251">
      <c r="A251" s="3" t="inlineStr">
        <is>
          <t>codEmployee.staff</t>
        </is>
      </c>
      <c r="B251" s="3" t="inlineStr">
        <is>
          <t>Nhân viên</t>
        </is>
      </c>
      <c r="C251" s="3" t="inlineStr">
        <is>
          <t>Employee</t>
        </is>
      </c>
      <c r="D251" s="217">
        <f>IFERROR(__xludf.DUMMYFUNCTION("GOOGLETRANSLATE(C251,""vi"",""km"")"),"បុគ្គលិក")</f>
        <v/>
      </c>
      <c r="E251" s="3" t="n"/>
      <c r="F251" s="3" t="inlineStr">
        <is>
          <t>បុគ្គលិក</t>
        </is>
      </c>
      <c r="G251" s="3" t="n"/>
      <c r="H251" s="217" t="inlineStr">
        <is>
          <t>"codEmployee.staff": "បុគ្គលិក",</t>
        </is>
      </c>
      <c r="I251" t="inlineStr">
        <is>
          <t>បុគ្គលិក</t>
        </is>
      </c>
    </row>
    <row r="252">
      <c r="A252" s="3" t="inlineStr">
        <is>
          <t>codEmployee.staffCod</t>
        </is>
      </c>
      <c r="B252" s="3" t="inlineStr">
        <is>
          <t>Xác nhận tiền về</t>
        </is>
      </c>
      <c r="C252" s="3" t="inlineStr">
        <is>
          <t>Confirm funds received</t>
        </is>
      </c>
      <c r="D252" s="217">
        <f>IFERROR(__xludf.DUMMYFUNCTION("GOOGLETRANSLATE(C252,""vi"",""km"")"),"បញ្ជាក់ឯកសារដែលបានទទួល")</f>
        <v/>
      </c>
      <c r="E252" s="3" t="n"/>
      <c r="F252" s="3" t="inlineStr">
        <is>
          <t>បញ្ជាក់ឯកសារដែលបានទទួល</t>
        </is>
      </c>
      <c r="G252" s="3" t="n"/>
      <c r="H252" s="217" t="inlineStr">
        <is>
          <t>"codEmployee.staffCod": "បញ្ជាក់ឯកសារដែលបានទទួល",</t>
        </is>
      </c>
      <c r="I252" t="inlineStr">
        <is>
          <t>បញ្ជាក់ឯកសារដែលបានទទួល</t>
        </is>
      </c>
    </row>
    <row r="253">
      <c r="A253" s="3" t="inlineStr">
        <is>
          <t>codEmployee.staffDebt</t>
        </is>
      </c>
      <c r="B253" s="3" t="inlineStr">
        <is>
          <t>Danh sách chưa nộp tiền</t>
        </is>
      </c>
      <c r="C253" s="3" t="inlineStr">
        <is>
          <t>List of unpaid staff</t>
        </is>
      </c>
      <c r="D253" s="217">
        <f>IFERROR(__xludf.DUMMYFUNCTION("GOOGLETRANSLATE(C253,""vi"",""km"")"),"បញ្ជីឈ្មោះបុគ្គលិកព្យាបាលមុន")</f>
        <v/>
      </c>
      <c r="E253" s="3" t="n"/>
      <c r="F253" s="3" t="inlineStr">
        <is>
          <t>បញ្ជីឈ្មោះបុគ្គលិកព្យាបាលមុន</t>
        </is>
      </c>
      <c r="G253" s="3" t="n"/>
      <c r="H253" s="217" t="inlineStr">
        <is>
          <t>"codEmployee.staffDebt": "បញ្ជីឈ្មោះបុគ្គលិកព្យាបាលមុន",</t>
        </is>
      </c>
      <c r="I253" t="inlineStr">
        <is>
          <t>បញ្ជីឈ្មោះបុគ្គលិកព្យាបាលមុន</t>
        </is>
      </c>
    </row>
    <row r="254">
      <c r="A254" s="3" t="inlineStr">
        <is>
          <t>codEmployee.startDate</t>
        </is>
      </c>
      <c r="B254" s="3" t="inlineStr">
        <is>
          <t>Từ ngày</t>
        </is>
      </c>
      <c r="C254" s="3" t="inlineStr">
        <is>
          <t>From date</t>
        </is>
      </c>
      <c r="D254" s="217">
        <f>IFERROR(__xludf.DUMMYFUNCTION("GOOGLETRANSLATE(C254,""vi"",""km"")"),"ចាប់ពីកាលបរិច្ឆេទ")</f>
        <v/>
      </c>
      <c r="E254" s="3" t="n"/>
      <c r="F254" s="3" t="inlineStr">
        <is>
          <t>ចាប់ពីកាលបរិច្ឆេទ</t>
        </is>
      </c>
      <c r="G254" s="3" t="n"/>
      <c r="H254" s="217" t="inlineStr">
        <is>
          <t>"codEmployee.startDate": "ចាប់ពីកាលបរិច្ឆេទ",</t>
        </is>
      </c>
      <c r="I254" t="inlineStr">
        <is>
          <t>ចាប់ពីកាលបរិច្ឆេទ</t>
        </is>
      </c>
    </row>
    <row r="255">
      <c r="A255" s="3" t="inlineStr">
        <is>
          <t>codEmployee.status</t>
        </is>
      </c>
      <c r="B255" s="3" t="inlineStr">
        <is>
          <t>Trạng thái</t>
        </is>
      </c>
      <c r="C255" s="3" t="inlineStr">
        <is>
          <t>Status</t>
        </is>
      </c>
      <c r="D255" s="217">
        <f>IFERROR(__xludf.DUMMYFUNCTION("GOOGLETRANSLATE(C255,""vi"",""km"")"),"ស្ថានភាព")</f>
        <v/>
      </c>
      <c r="E255" s="3" t="n"/>
      <c r="F255" s="3" t="inlineStr">
        <is>
          <t>ស្ថានភាព</t>
        </is>
      </c>
      <c r="G255" s="3" t="n"/>
      <c r="H255" s="217" t="inlineStr">
        <is>
          <t>"codEmployee.status": "ស្ថានភាព",</t>
        </is>
      </c>
      <c r="I255" t="inlineStr">
        <is>
          <t>ស្ថានភាព</t>
        </is>
      </c>
    </row>
    <row r="256">
      <c r="A256" s="3" t="inlineStr">
        <is>
          <t>codEmployee.success</t>
        </is>
      </c>
      <c r="B256" s="3" t="inlineStr">
        <is>
          <t>thành công</t>
        </is>
      </c>
      <c r="C256" s="3" t="inlineStr">
        <is>
          <t>successful</t>
        </is>
      </c>
      <c r="D256" s="217">
        <f>IFERROR(__xludf.DUMMYFUNCTION("GOOGLETRANSLATE(C256,""vi"",""km"")"),"ជោគជ័យ")</f>
        <v/>
      </c>
      <c r="E256" s="3" t="n"/>
      <c r="F256" s="3" t="inlineStr">
        <is>
          <t>ជោគជ័យ</t>
        </is>
      </c>
      <c r="G256" s="3" t="n"/>
      <c r="H256" s="217" t="inlineStr">
        <is>
          <t>"codEmployee.success": "ជោគជ័យ",</t>
        </is>
      </c>
      <c r="I256" t="inlineStr">
        <is>
          <t>ជោគជ័យ</t>
        </is>
      </c>
    </row>
    <row r="257">
      <c r="A257" s="3" t="inlineStr">
        <is>
          <t>codEmployee.totalCod</t>
        </is>
      </c>
      <c r="B257" s="3" t="inlineStr">
        <is>
          <t>Tiền nộp</t>
        </is>
      </c>
      <c r="C257" s="3" t="inlineStr">
        <is>
          <t>Amount to submit</t>
        </is>
      </c>
      <c r="D257" s="217">
        <f>IFERROR(__xludf.DUMMYFUNCTION("GOOGLETRANSLATE(C257,""vi"",""km"")"),"ចំនួនទឹកប្រាក់ដែលត្រូវដាក់ស្នើ")</f>
        <v/>
      </c>
      <c r="E257" s="3" t="n"/>
      <c r="F257" s="3" t="inlineStr">
        <is>
          <t>ចំនួនទឹកប្រាក់ដែលត្រូវដាក់ស្នើ</t>
        </is>
      </c>
      <c r="G257" s="3" t="n"/>
      <c r="H257" s="217" t="inlineStr">
        <is>
          <t>"codEmployee.totalCod": "ចំនួនទឹកប្រាក់ដែលត្រូវដាក់ស្នើ",</t>
        </is>
      </c>
      <c r="I257" t="inlineStr">
        <is>
          <t>ចំនួនទឹកប្រាក់ដែលត្រូវដាក់ស្នើ</t>
        </is>
      </c>
    </row>
    <row r="258">
      <c r="A258" s="3" t="inlineStr">
        <is>
          <t>codEmployee.totalMoney</t>
        </is>
      </c>
      <c r="B258" s="3" t="inlineStr">
        <is>
          <t>Tổng tiền</t>
        </is>
      </c>
      <c r="C258" s="3" t="inlineStr">
        <is>
          <t>Total amount</t>
        </is>
      </c>
      <c r="D258" s="217">
        <f>IFERROR(__xludf.DUMMYFUNCTION("GOOGLETRANSLATE(C258,""vi"",""km"")"),"ចំនួនទឹកប្រាក់សរុប")</f>
        <v/>
      </c>
      <c r="E258" s="3" t="n"/>
      <c r="F258" s="3" t="inlineStr">
        <is>
          <t>ចំនួនទឹកប្រាក់សរុប</t>
        </is>
      </c>
      <c r="G258" s="3" t="n"/>
      <c r="H258" s="217" t="inlineStr">
        <is>
          <t>"codEmployee.totalMoney": "ចំនួនទឹកប្រាក់សរុប",</t>
        </is>
      </c>
      <c r="I258" t="inlineStr">
        <is>
          <t>ចំនួនទឹកប្រាក់សរុប</t>
        </is>
      </c>
    </row>
    <row r="259">
      <c r="A259" s="3" t="inlineStr">
        <is>
          <t>codEmployee.totalOrder</t>
        </is>
      </c>
      <c r="B259" s="3" t="inlineStr">
        <is>
          <t>Tổng đơn</t>
        </is>
      </c>
      <c r="C259" s="3" t="inlineStr">
        <is>
          <t>Total orders</t>
        </is>
      </c>
      <c r="D259" s="217">
        <f>IFERROR(__xludf.DUMMYFUNCTION("GOOGLETRANSLATE(C259,""vi"",""km"")"),"ការបញ្ជាទិញសរុប")</f>
        <v/>
      </c>
      <c r="E259" s="3" t="n"/>
      <c r="F259" s="3" t="inlineStr">
        <is>
          <t>ការបញ្ជាទិញសរុប</t>
        </is>
      </c>
      <c r="G259" s="3" t="n"/>
      <c r="H259" s="217" t="inlineStr">
        <is>
          <t>"codEmployee.totalOrder": "ការបញ្ជាទិញសរុប",</t>
        </is>
      </c>
      <c r="I259" t="inlineStr">
        <is>
          <t>ការបញ្ជាទិញសរុប</t>
        </is>
      </c>
    </row>
    <row r="260">
      <c r="A260" s="3" t="inlineStr">
        <is>
          <t>codEmployee.updatedAt</t>
        </is>
      </c>
      <c r="B260" s="3" t="inlineStr">
        <is>
          <t>Ngày cập nhật</t>
        </is>
      </c>
      <c r="C260" s="3" t="inlineStr">
        <is>
          <t>Updated date</t>
        </is>
      </c>
      <c r="D260" s="217">
        <f>IFERROR(__xludf.DUMMYFUNCTION("GOOGLETRANSLATE(C260,""vi"",""km"")"),"កាលបរិច្ឆេទដែលបានធ្វើបច្ចុប្បន្នភាព")</f>
        <v/>
      </c>
      <c r="E260" s="3" t="n"/>
      <c r="F260" s="3" t="inlineStr">
        <is>
          <t>កាលបរិច្ឆេទដែលបានធ្វើបច្ចុប្បន្នភាព</t>
        </is>
      </c>
      <c r="G260" s="3" t="n"/>
      <c r="H260" s="217" t="inlineStr">
        <is>
          <t>"codEmployee.updatedAt": "កាលបរិច្ឆេទដែលបានធ្វើបច្ចុប្បន្នភាព",</t>
        </is>
      </c>
      <c r="I260" t="inlineStr">
        <is>
          <t>កាលបរិច្ឆេទដែលបានធ្វើបច្ចុប្បន្នភាព</t>
        </is>
      </c>
    </row>
    <row r="261">
      <c r="A261" s="3" t="inlineStr">
        <is>
          <t>codEmployee.updatedBy</t>
        </is>
      </c>
      <c r="B261" s="3" t="inlineStr">
        <is>
          <t>Người cập nhật</t>
        </is>
      </c>
      <c r="C261" s="3" t="inlineStr">
        <is>
          <t>Updated by</t>
        </is>
      </c>
      <c r="D261" s="217">
        <f>IFERROR(__xludf.DUMMYFUNCTION("GOOGLETRANSLATE(C261,""vi"",""km"")"),"ទំព័រដើមដែលបានធ្វើបច្ចុប្បន្នភាព")</f>
        <v/>
      </c>
      <c r="E261" s="3" t="n"/>
      <c r="F261" s="3" t="inlineStr">
        <is>
          <t>ទំព័រដើមដែលបានធ្វើបច្ចុប្បន្នភាព</t>
        </is>
      </c>
      <c r="G261" s="3" t="n"/>
      <c r="H261" s="217" t="inlineStr">
        <is>
          <t>"codEmployee.updatedBy": "ទំព័រដើមដែលបានធ្វើបច្ចុប្បន្នភាព",</t>
        </is>
      </c>
      <c r="I261" t="inlineStr">
        <is>
          <t>ទំព័រដើមដែលបានធ្វើបច្ចុប្បន្នភាព</t>
        </is>
      </c>
    </row>
    <row r="262">
      <c r="A262" s="3" t="inlineStr">
        <is>
          <t>codEmployee.user</t>
        </is>
      </c>
      <c r="B262" s="3" t="inlineStr">
        <is>
          <t>Nhân viên</t>
        </is>
      </c>
      <c r="C262" s="3" t="inlineStr">
        <is>
          <t>Employee</t>
        </is>
      </c>
      <c r="D262" s="217">
        <f>IFERROR(__xludf.DUMMYFUNCTION("GOOGLETRANSLATE(C262,""vi"",""km"")"),"បុគ្គលិក")</f>
        <v/>
      </c>
      <c r="E262" s="3" t="n"/>
      <c r="F262" s="3" t="inlineStr">
        <is>
          <t>បុគ្គលិក</t>
        </is>
      </c>
      <c r="G262" s="3" t="n"/>
      <c r="H262" s="217" t="inlineStr">
        <is>
          <t>"codEmployee.user": "បុគ្គលិក",</t>
        </is>
      </c>
      <c r="I262" t="inlineStr">
        <is>
          <t>បុគ្គលិក</t>
        </is>
      </c>
    </row>
    <row r="263">
      <c r="A263" s="3" t="inlineStr">
        <is>
          <t>codPrint.cancel</t>
        </is>
      </c>
      <c r="B263" s="3" t="inlineStr">
        <is>
          <t>Huỷ bỏ</t>
        </is>
      </c>
      <c r="C263" s="3" t="inlineStr">
        <is>
          <t>Cancel</t>
        </is>
      </c>
      <c r="D263" s="217">
        <f>IFERROR(__xludf.DUMMYFUNCTION("GOOGLETRANSLATE(C263,""vi"",""km"")"),"បោះបង់")</f>
        <v/>
      </c>
      <c r="E263" s="3" t="n"/>
      <c r="F263" s="3" t="inlineStr">
        <is>
          <t>បោះបង់</t>
        </is>
      </c>
      <c r="G263" s="3" t="n"/>
      <c r="H263" s="217" t="inlineStr">
        <is>
          <t>"codPrint.cancel": "បោះបង់",</t>
        </is>
      </c>
      <c r="I263" t="inlineStr">
        <is>
          <t>បោះបង់</t>
        </is>
      </c>
    </row>
    <row r="264">
      <c r="A264" s="3" t="inlineStr">
        <is>
          <t>codPrint.codTotal</t>
        </is>
      </c>
      <c r="B264" s="3" t="inlineStr">
        <is>
          <t>Tiền phải nộp</t>
        </is>
      </c>
      <c r="C264" s="3" t="inlineStr">
        <is>
          <t>Amount due</t>
        </is>
      </c>
      <c r="D264" s="217">
        <f>IFERROR(__xludf.DUMMYFUNCTION("GOOGLETRANSLATE(C264,""vi"",""km"")"),"ចំនួនទឹកប្រាក់ដែលត្រូវបង់")</f>
        <v/>
      </c>
      <c r="E264" s="3" t="n"/>
      <c r="F264" s="3" t="inlineStr">
        <is>
          <t>ចំនួនទឹកប្រាក់ដែលត្រូវបង់</t>
        </is>
      </c>
      <c r="G264" s="3" t="n"/>
      <c r="H264" s="217" t="inlineStr">
        <is>
          <t>"codPrint.codTotal": "ចំនួនទឹកប្រាក់ដែលត្រូវបង់",</t>
        </is>
      </c>
      <c r="I264" t="inlineStr">
        <is>
          <t>ចំនួនទឹកប្រាក់ដែលត្រូវបង់</t>
        </is>
      </c>
    </row>
    <row r="265">
      <c r="A265" s="3" t="inlineStr">
        <is>
          <t>codPrint.collector</t>
        </is>
      </c>
      <c r="B265" s="3" t="inlineStr">
        <is>
          <t>Người thu tiền</t>
        </is>
      </c>
      <c r="C265" s="3" t="inlineStr">
        <is>
          <t>Collector</t>
        </is>
      </c>
      <c r="D265" s="217">
        <f>IFERROR(__xludf.DUMMYFUNCTION("GOOGLETRANSLATE(C265,""vi"",""km"")"),"អ្នកប្រមូល")</f>
        <v/>
      </c>
      <c r="E265" s="3" t="n"/>
      <c r="F265" s="3" t="inlineStr">
        <is>
          <t>អ្នកប្រមូល</t>
        </is>
      </c>
      <c r="G265" s="3" t="n"/>
      <c r="H265" s="217" t="inlineStr">
        <is>
          <t>"codPrint.collector": "អ្នកប្រមូល",</t>
        </is>
      </c>
      <c r="I265" t="inlineStr">
        <is>
          <t>អ្នកប្រមូល</t>
        </is>
      </c>
    </row>
    <row r="266">
      <c r="A266" s="3" t="inlineStr">
        <is>
          <t>codPrint.dateDelivery</t>
        </is>
      </c>
      <c r="B266" s="3" t="inlineStr">
        <is>
          <t>Ngày PTC</t>
        </is>
      </c>
      <c r="C266" s="3" t="inlineStr">
        <is>
          <t>PTC date</t>
        </is>
      </c>
      <c r="D266" s="217">
        <f>IFERROR(__xludf.DUMMYFUNCTION("GOOGLETRANSLATE(C266,""vi"",""km"")"),"កាលបរិច្ឆេទ PTC")</f>
        <v/>
      </c>
      <c r="E266" s="3" t="n"/>
      <c r="F266" s="3" t="inlineStr">
        <is>
          <t>កាលបរិច្ឆេទដឹកជញ្ជូនជោគជ័យ</t>
        </is>
      </c>
      <c r="G266" s="3" t="n"/>
      <c r="H266" s="217" t="inlineStr">
        <is>
          <t>"codPrint.dateDelivery": "កាលបរិច្ឆេទដឹកជញ្ជូនជោគជ័យ",</t>
        </is>
      </c>
      <c r="I266" t="inlineStr">
        <is>
          <t>កាលបរិច្ឆេទដឹកជញ្ជូនជោគជ័យ</t>
        </is>
      </c>
    </row>
    <row r="267">
      <c r="A267" s="3" t="inlineStr">
        <is>
          <t>codPrint.datetime</t>
        </is>
      </c>
      <c r="B267" s="3" t="inlineStr">
        <is>
          <t>Ngày {{date}} tháng {{month}} năm {{year}}</t>
        </is>
      </c>
      <c r="C267" s="3" t="inlineStr">
        <is>
          <t>Date {{date}} month {{month}} year {{year}}</t>
        </is>
      </c>
      <c r="D267" s="217">
        <f>IFERROR(__xludf.DUMMYFUNCTION("GOOGLETRANSLATE(C267,""vi"",""km"")"),"កាលបរិច្ឆេទ {{date}} ខែ {{month}} ឆ្នាំ {{year}}")</f>
        <v/>
      </c>
      <c r="E267" s="3" t="n"/>
      <c r="F267" s="3" t="inlineStr">
        <is>
          <t>កាលបរិច្ឆេទ {{date}} ខែ {{month}} ឆ្នាំ {{year}}</t>
        </is>
      </c>
      <c r="G267" s="3" t="n"/>
      <c r="H267" s="217" t="inlineStr">
        <is>
          <t>"codPrint.datetime": "កាលបរិច្ឆេទ {{date}} ខែ {{month}} ឆ្នាំ {{year}}",</t>
        </is>
      </c>
      <c r="I267" t="inlineStr">
        <is>
          <t>កាលបរិច្ឆេទ {{date}} ខែ {{month}} ឆ្នាំ {{year}}</t>
        </is>
      </c>
    </row>
    <row r="268">
      <c r="A268" s="3" t="inlineStr">
        <is>
          <t>codPrint.hours</t>
        </is>
      </c>
      <c r="B268" s="3" t="inlineStr">
        <is>
          <t>Giờ {{hours}}</t>
        </is>
      </c>
      <c r="C268" s="3" t="inlineStr">
        <is>
          <t>Time {{hours}}</t>
        </is>
      </c>
      <c r="D268" s="217">
        <f>IFERROR(__xludf.DUMMYFUNCTION("GOOGLETRANSLATE(C268,""vi"",""km"")"),"ពេលវេលា {{ម៉ោង}}")</f>
        <v/>
      </c>
      <c r="E268" s="3" t="n"/>
      <c r="F268" s="3" t="inlineStr">
        <is>
          <t>ពេលវេលា {{ម៉ោង}}</t>
        </is>
      </c>
      <c r="G268" s="3" t="n"/>
      <c r="H268" s="217" t="inlineStr">
        <is>
          <t>"codPrint.hours": "ពេលវេលា {{ម៉ោង}}",</t>
        </is>
      </c>
      <c r="I268" t="inlineStr">
        <is>
          <t>ពេលវេលា {{ម៉ោង}}</t>
        </is>
      </c>
    </row>
    <row r="269">
      <c r="A269" s="3" t="inlineStr">
        <is>
          <t>codPrint.leader</t>
        </is>
      </c>
      <c r="B269" s="3" t="inlineStr">
        <is>
          <t>Trưởng bưu cục</t>
        </is>
      </c>
      <c r="C269" s="3" t="inlineStr">
        <is>
          <t>Post office manager</t>
        </is>
      </c>
      <c r="D269" s="217">
        <f>IFERROR(__xludf.DUMMYFUNCTION("GOOGLETRANSLATE(C269,""vi"",""km"")"),"អ្នកគ្រប់គ្រងការិយាល័យប្រៃសណីយ៍")</f>
        <v/>
      </c>
      <c r="E269" s="3" t="n"/>
      <c r="F269" s="3" t="inlineStr">
        <is>
          <t>អ្នកគ្រប់គ្រងការិយាល័យប្រៃសណីយ៍</t>
        </is>
      </c>
      <c r="G269" s="3" t="n"/>
      <c r="H269" s="217" t="inlineStr">
        <is>
          <t>"codPrint.leader": "អ្នកគ្រប់គ្រងការិយាល័យប្រៃសណីយ៍",</t>
        </is>
      </c>
      <c r="I269" t="inlineStr">
        <is>
          <t>អ្នកគ្រប់គ្រងការិយាល័យប្រៃសណីយ៍</t>
        </is>
      </c>
    </row>
    <row r="270">
      <c r="A270" s="3" t="inlineStr">
        <is>
          <t>codPrint.note</t>
        </is>
      </c>
      <c r="B270" s="3" t="inlineStr">
        <is>
          <t>Ghi chú</t>
        </is>
      </c>
      <c r="C270" s="3" t="inlineStr">
        <is>
          <t>Note</t>
        </is>
      </c>
      <c r="D270" s="217">
        <f>IFERROR(__xludf.DUMMYFUNCTION("GOOGLETRANSLATE(C270,""vi"",""km"")"),"កំណត់ចំណាំ")</f>
        <v/>
      </c>
      <c r="E270" s="3" t="n"/>
      <c r="F270" s="3" t="inlineStr">
        <is>
          <t>ចំណាំ</t>
        </is>
      </c>
      <c r="G270" s="3" t="n"/>
      <c r="H270" s="217" t="inlineStr">
        <is>
          <t>"codPrint.note": "ចំណាំ",</t>
        </is>
      </c>
      <c r="I270" t="inlineStr">
        <is>
          <t>ចំណាំ</t>
        </is>
      </c>
    </row>
    <row r="271">
      <c r="A271" s="3" t="inlineStr">
        <is>
          <t>codPrint.orderCode</t>
        </is>
      </c>
      <c r="B271" s="3" t="inlineStr">
        <is>
          <t>Mã vận đơn</t>
        </is>
      </c>
      <c r="C271" s="3" t="inlineStr">
        <is>
          <t>Waybill code</t>
        </is>
      </c>
      <c r="D271" s="217">
        <f>IFERROR(__xludf.DUMMYFUNCTION("GOOGLETRANSLATE(C271,""vi"",""km"")"),"លេខកូដ Waybill")</f>
        <v/>
      </c>
      <c r="E271" s="3" t="n"/>
      <c r="F271" s="3" t="inlineStr">
        <is>
          <t>លេខកូដបុងបញ្ញើ</t>
        </is>
      </c>
      <c r="G271" s="3" t="n"/>
      <c r="H271" s="217" t="inlineStr">
        <is>
          <t>"codPrint.orderCode": "លេខកូដបុងបញ្ញើ",</t>
        </is>
      </c>
      <c r="I271" t="inlineStr">
        <is>
          <t>លេខកូដបុងបញ្ញើ</t>
        </is>
      </c>
    </row>
    <row r="272">
      <c r="A272" s="3" t="inlineStr">
        <is>
          <t>codPrint.payer</t>
        </is>
      </c>
      <c r="B272" s="3" t="inlineStr">
        <is>
          <t>Người nộp tiền</t>
        </is>
      </c>
      <c r="C272" s="3" t="inlineStr">
        <is>
          <t>Payer</t>
        </is>
      </c>
      <c r="D272" s="217">
        <f>IFERROR(__xludf.DUMMYFUNCTION("GOOGLETRANSLATE(C272,""vi"",""km"")"),"អ្នកបង់ប្រាក់")</f>
        <v/>
      </c>
      <c r="E272" s="3" t="n"/>
      <c r="F272" s="3" t="inlineStr">
        <is>
          <t>អ្នកបង់ប្រាក់</t>
        </is>
      </c>
      <c r="G272" s="3" t="n"/>
      <c r="H272" s="217" t="inlineStr">
        <is>
          <t>"codPrint.payer": "អ្នកបង់ប្រាក់",</t>
        </is>
      </c>
      <c r="I272" t="inlineStr">
        <is>
          <t>អ្នកបង់ប្រាក់</t>
        </is>
      </c>
    </row>
    <row r="273">
      <c r="A273" s="3" t="inlineStr">
        <is>
          <t>codPrint.postmanId</t>
        </is>
      </c>
      <c r="B273" s="3" t="inlineStr">
        <is>
          <t>Mã bưu tá</t>
        </is>
      </c>
      <c r="C273" s="3" t="inlineStr">
        <is>
          <t>Postman ID</t>
        </is>
      </c>
      <c r="D273" s="217">
        <f>IFERROR(__xludf.DUMMYFUNCTION("GOOGLETRANSLATE(C273,""vi"",""km"")"),"អត្តសញ្ញាណអ្នកប្រៃសណីយ៍")</f>
        <v/>
      </c>
      <c r="E273" s="3" t="n"/>
      <c r="F273" s="3" t="inlineStr">
        <is>
          <t>អត្តសញ្ញាណអ្នកប្រៃសណីយ៍</t>
        </is>
      </c>
      <c r="G273" s="3" t="n"/>
      <c r="H273" s="217" t="inlineStr">
        <is>
          <t>"codPrint.postmanId": "អត្តសញ្ញាណអ្នកប្រៃសណីយ៍",</t>
        </is>
      </c>
      <c r="I273" t="inlineStr">
        <is>
          <t>អត្តសញ្ញាណអ្នកប្រៃសណីយ៍</t>
        </is>
      </c>
    </row>
    <row r="274">
      <c r="A274" s="3" t="inlineStr">
        <is>
          <t>codPrint.postnameName</t>
        </is>
      </c>
      <c r="B274" s="3" t="inlineStr">
        <is>
          <t>Tên bưu tá</t>
        </is>
      </c>
      <c r="C274" s="3" t="inlineStr">
        <is>
          <t>Postman name</t>
        </is>
      </c>
      <c r="D274" s="217">
        <f>IFERROR(__xludf.DUMMYFUNCTION("GOOGLETRANSLATE(C274,""vi"",""km"")"),"ឈ្មោះអ្នកប្រៃសណីយ៍")</f>
        <v/>
      </c>
      <c r="E274" s="3" t="n"/>
      <c r="F274" s="3" t="inlineStr">
        <is>
          <t>ឈ្មោះអ្នកប្រៃសណីយ៍</t>
        </is>
      </c>
      <c r="G274" s="3" t="n"/>
      <c r="H274" s="217" t="inlineStr">
        <is>
          <t>"codPrint.postnameName": "ឈ្មោះអ្នកប្រៃសណីយ៍",</t>
        </is>
      </c>
      <c r="I274" t="inlineStr">
        <is>
          <t>ឈ្មោះអ្នកប្រៃសណីយ៍</t>
        </is>
      </c>
    </row>
    <row r="275">
      <c r="A275" s="3" t="inlineStr">
        <is>
          <t>codPrint.print</t>
        </is>
      </c>
      <c r="B275" s="3" t="inlineStr">
        <is>
          <t>In phiếu</t>
        </is>
      </c>
      <c r="C275" s="3" t="inlineStr">
        <is>
          <t>Print statement</t>
        </is>
      </c>
      <c r="D275" s="217">
        <f>IFERROR(__xludf.DUMMYFUNCTION("GOOGLETRANSLATE(C275,""vi"",""km"")"),"បោះពុម្ពសេចក្តីថ្លែងការណ៍")</f>
        <v/>
      </c>
      <c r="E275" s="3" t="n"/>
      <c r="F275" s="3" t="inlineStr">
        <is>
          <t>ព្រីនបុងបញ្ញើ</t>
        </is>
      </c>
      <c r="G275" s="3" t="n"/>
      <c r="H275" s="217" t="inlineStr">
        <is>
          <t>"codPrint.print": "ព្រីនបុងបញ្ញើ",</t>
        </is>
      </c>
      <c r="I275" t="inlineStr">
        <is>
          <t>ព្រីនបុងបញ្ញើ</t>
        </is>
      </c>
    </row>
    <row r="276">
      <c r="A276" s="3" t="inlineStr">
        <is>
          <t>codPrint.title</t>
        </is>
      </c>
      <c r="B276" s="3" t="inlineStr">
        <is>
          <t>BẢNG KÊ THU TIỀN</t>
        </is>
      </c>
      <c r="C276" s="3" t="inlineStr">
        <is>
          <t>CASH COLLECTION STATEMENT</t>
        </is>
      </c>
      <c r="D276" s="217">
        <f>IFERROR(__xludf.DUMMYFUNCTION("GOOGLETRANSLATE(C276,""vi"",""km"")"),"របាយការណ៍ប្រមូលប្រាក់សុទ្ធ")</f>
        <v/>
      </c>
      <c r="E276" s="3" t="n"/>
      <c r="F276" s="3" t="inlineStr">
        <is>
          <t>របាយការណ៍ប្រមូលប្រាក់សុទ្ធ</t>
        </is>
      </c>
      <c r="G276" s="3" t="n"/>
      <c r="H276" s="217" t="inlineStr">
        <is>
          <t>"codPrint.title": "របាយការណ៍ប្រមូលប្រាក់សុទ្ធ",</t>
        </is>
      </c>
      <c r="I276" t="inlineStr">
        <is>
          <t>របាយការណ៍ប្រមូលប្រាក់សុទ្ធ</t>
        </is>
      </c>
    </row>
    <row r="277">
      <c r="A277" s="3" t="inlineStr">
        <is>
          <t>common.add</t>
        </is>
      </c>
      <c r="B277" s="3" t="inlineStr">
        <is>
          <t>Thêm</t>
        </is>
      </c>
      <c r="C277" s="3" t="inlineStr">
        <is>
          <t>Add</t>
        </is>
      </c>
      <c r="D277" s="217">
        <f>IFERROR(__xludf.DUMMYFUNCTION("GOOGLETRANSLATE(C277,""vi"",""km"")"),"បន្ថែម")</f>
        <v/>
      </c>
      <c r="E277" s="3" t="n"/>
      <c r="F277" s="3" t="inlineStr">
        <is>
          <t>បន្ថែម</t>
        </is>
      </c>
      <c r="G277" s="3" t="n"/>
      <c r="H277" s="217" t="inlineStr">
        <is>
          <t>"common.add": "បន្ថែម",</t>
        </is>
      </c>
      <c r="I277" t="inlineStr">
        <is>
          <t>បន្ថែម</t>
        </is>
      </c>
    </row>
    <row r="278">
      <c r="A278" s="3" t="inlineStr">
        <is>
          <t>common.address</t>
        </is>
      </c>
      <c r="B278" s="3" t="inlineStr">
        <is>
          <t>Địa chỉ</t>
        </is>
      </c>
      <c r="C278" s="3" t="inlineStr">
        <is>
          <t>Address</t>
        </is>
      </c>
      <c r="D278" s="217">
        <f>IFERROR(__xludf.DUMMYFUNCTION("GOOGLETRANSLATE(C278,""vi"",""km"")"),"មិនត្រឹមត្រូវ")</f>
        <v/>
      </c>
      <c r="E278" s="3" t="n"/>
      <c r="F278" s="3" t="inlineStr">
        <is>
          <t>អាសយដ្ឋាន</t>
        </is>
      </c>
      <c r="G278" s="3" t="n"/>
      <c r="H278" s="217" t="inlineStr">
        <is>
          <t>"common.address": "អាសយដ្ឋាន",</t>
        </is>
      </c>
      <c r="I278" t="inlineStr">
        <is>
          <t>អាសយដ្ឋាន</t>
        </is>
      </c>
    </row>
    <row r="279">
      <c r="A279" s="3" t="inlineStr">
        <is>
          <t>common.all</t>
        </is>
      </c>
      <c r="B279" s="3" t="inlineStr">
        <is>
          <t>Tất cả</t>
        </is>
      </c>
      <c r="C279" s="3" t="inlineStr">
        <is>
          <t>All</t>
        </is>
      </c>
      <c r="D279" s="217">
        <f>IFERROR(__xludf.DUMMYFUNCTION("GOOGLETRANSLATE(C279,""vi"",""km"")"),"ទាំងអស់")</f>
        <v/>
      </c>
      <c r="E279" s="3" t="n"/>
      <c r="F279" s="3" t="inlineStr">
        <is>
          <t>ទាំងអស់</t>
        </is>
      </c>
      <c r="G279" s="3" t="n"/>
      <c r="H279" s="217" t="inlineStr">
        <is>
          <t>"common.all": "ទាំងអស់",</t>
        </is>
      </c>
      <c r="I279" t="inlineStr">
        <is>
          <t>ទាំងអស់</t>
        </is>
      </c>
    </row>
    <row r="280">
      <c r="A280" s="3" t="inlineStr">
        <is>
          <t>common.apply</t>
        </is>
      </c>
      <c r="B280" s="3" t="inlineStr">
        <is>
          <t>Áp dụng</t>
        </is>
      </c>
      <c r="C280" s="3" t="inlineStr">
        <is>
          <t>Apply</t>
        </is>
      </c>
      <c r="D280" s="217">
        <f>IFERROR(__xludf.DUMMYFUNCTION("GOOGLETRANSLATE(C280,""vi"",""km"")"),"ដាក់ពាក្យ")</f>
        <v/>
      </c>
      <c r="E280" s="3" t="n"/>
      <c r="F280" s="3" t="inlineStr">
        <is>
          <t>អនុវត្ត</t>
        </is>
      </c>
      <c r="G280" s="3" t="n"/>
      <c r="H280" s="217" t="inlineStr">
        <is>
          <t>"common.apply": "អនុវត្ត",</t>
        </is>
      </c>
      <c r="I280" t="inlineStr">
        <is>
          <t>អនុវត្ត</t>
        </is>
      </c>
    </row>
    <row r="281">
      <c r="A281" s="3" t="inlineStr">
        <is>
          <t>common.back</t>
        </is>
      </c>
      <c r="B281" s="3" t="inlineStr">
        <is>
          <t>Quay lại</t>
        </is>
      </c>
      <c r="C281" s="3" t="inlineStr">
        <is>
          <t>Back</t>
        </is>
      </c>
      <c r="D281" s="217">
        <f>IFERROR(__xludf.DUMMYFUNCTION("GOOGLETRANSLATE(C281,""vi"",""km"")"),"ថយក្រោយ")</f>
        <v/>
      </c>
      <c r="E281" s="3" t="n"/>
      <c r="F281" s="3" t="inlineStr">
        <is>
          <t>ថយក្រោយ</t>
        </is>
      </c>
      <c r="G281" s="3" t="n"/>
      <c r="H281" s="217" t="inlineStr">
        <is>
          <t>"common.back": "ថយក្រោយ",</t>
        </is>
      </c>
      <c r="I281" t="inlineStr">
        <is>
          <t>ថយក្រោយ</t>
        </is>
      </c>
    </row>
    <row r="282">
      <c r="A282" s="3" t="inlineStr">
        <is>
          <t>common.branch</t>
        </is>
      </c>
      <c r="B282" s="3" t="inlineStr">
        <is>
          <t>Chi nhánh</t>
        </is>
      </c>
      <c r="C282" s="3" t="inlineStr">
        <is>
          <t>Branch</t>
        </is>
      </c>
      <c r="D282" s="217">
        <f>IFERROR(__xludf.DUMMYFUNCTION("GOOGLETRANSLATE(C282,""vi"",""km"")"),"គ្រួសារ")</f>
        <v/>
      </c>
      <c r="E282" s="3" t="n"/>
      <c r="F282" s="3" t="inlineStr">
        <is>
          <t>សាខា</t>
        </is>
      </c>
      <c r="G282" s="3" t="n"/>
      <c r="H282" s="217" t="inlineStr">
        <is>
          <t>"common.branch": "សាខា",</t>
        </is>
      </c>
      <c r="I282" t="inlineStr">
        <is>
          <t>សាខា</t>
        </is>
      </c>
    </row>
    <row r="283">
      <c r="A283" s="3" t="inlineStr">
        <is>
          <t>common.cancel</t>
        </is>
      </c>
      <c r="B283" s="3" t="inlineStr">
        <is>
          <t>Hủy</t>
        </is>
      </c>
      <c r="C283" s="3" t="inlineStr">
        <is>
          <t>Cancel</t>
        </is>
      </c>
      <c r="D283" s="217">
        <f>IFERROR(__xludf.DUMMYFUNCTION("GOOGLETRANSLATE(C283,""vi"",""km"")"),"បោះបង់")</f>
        <v/>
      </c>
      <c r="E283" s="3" t="n"/>
      <c r="F283" s="3" t="inlineStr">
        <is>
          <t>លុបចោល</t>
        </is>
      </c>
      <c r="G283" s="3" t="n"/>
      <c r="H283" s="217" t="inlineStr">
        <is>
          <t>"common.cancel": "លុបចោល",</t>
        </is>
      </c>
      <c r="I283" t="inlineStr">
        <is>
          <t>លុបចោល</t>
        </is>
      </c>
    </row>
    <row r="284">
      <c r="A284" s="3" t="inlineStr">
        <is>
          <t>common.close</t>
        </is>
      </c>
      <c r="B284" s="3" t="inlineStr">
        <is>
          <t>Đóng</t>
        </is>
      </c>
      <c r="C284" s="3" t="inlineStr">
        <is>
          <t>Close</t>
        </is>
      </c>
      <c r="D284" s="217">
        <f>IFERROR(__xludf.DUMMYFUNCTION("GOOGLETRANSLATE(C284,""vi"",""km"")"),"បិទ")</f>
        <v/>
      </c>
      <c r="E284" s="3" t="n"/>
      <c r="F284" s="3" t="inlineStr">
        <is>
          <t>បិទ</t>
        </is>
      </c>
      <c r="G284" s="3" t="n"/>
      <c r="H284" s="217" t="inlineStr">
        <is>
          <t>"common.close": "បិទ",</t>
        </is>
      </c>
      <c r="I284" t="inlineStr">
        <is>
          <t>បិទ</t>
        </is>
      </c>
    </row>
    <row r="285">
      <c r="A285" s="3" t="inlineStr">
        <is>
          <t>common.complete</t>
        </is>
      </c>
      <c r="B285" s="3" t="inlineStr">
        <is>
          <t>Hoàn thành</t>
        </is>
      </c>
      <c r="C285" s="3" t="inlineStr">
        <is>
          <t>Complete</t>
        </is>
      </c>
      <c r="D285" s="217">
        <f>IFERROR(__xludf.DUMMYFUNCTION("GOOGLETRANSLATE(C285,""vi"",""km"")"),"ឯកសារ")</f>
        <v/>
      </c>
      <c r="E285" s="3" t="n"/>
      <c r="F285" s="3" t="inlineStr">
        <is>
          <t>បានបញ្ចប់</t>
        </is>
      </c>
      <c r="G285" s="3" t="n"/>
      <c r="H285" s="217" t="inlineStr">
        <is>
          <t>"common.complete": "បានបញ្ចប់",</t>
        </is>
      </c>
      <c r="I285" t="inlineStr">
        <is>
          <t>បានបញ្ចប់</t>
        </is>
      </c>
    </row>
    <row r="286">
      <c r="A286" s="3" t="inlineStr">
        <is>
          <t>common.confirm</t>
        </is>
      </c>
      <c r="B286" s="3" t="inlineStr">
        <is>
          <t>Xác nhận</t>
        </is>
      </c>
      <c r="C286" s="3" t="inlineStr">
        <is>
          <t>Confirm</t>
        </is>
      </c>
      <c r="D286" s="217">
        <f>IFERROR(__xludf.DUMMYFUNCTION("GOOGLETRANSLATE(C286,""vi"",""km"")"),"បញ្ជាក់")</f>
        <v/>
      </c>
      <c r="E286" s="3" t="n"/>
      <c r="F286" s="3" t="inlineStr">
        <is>
          <t>បញ្ជាក់</t>
        </is>
      </c>
      <c r="G286" s="3" t="n"/>
      <c r="H286" s="217" t="inlineStr">
        <is>
          <t>"common.confirm": "បញ្ជាក់",</t>
        </is>
      </c>
      <c r="I286" t="inlineStr">
        <is>
          <t>បញ្ជាក់</t>
        </is>
      </c>
    </row>
    <row r="287">
      <c r="A287" s="3" t="inlineStr">
        <is>
          <t>common.confirmTitle</t>
        </is>
      </c>
      <c r="B287" s="3" t="inlineStr">
        <is>
          <t>Thông báo</t>
        </is>
      </c>
      <c r="C287" s="3" t="inlineStr">
        <is>
          <t>Notification</t>
        </is>
      </c>
      <c r="D287" s="217">
        <f>IFERROR(__xludf.DUMMYFUNCTION("GOOGLETRANSLATE(C287,""vi"",""km"")"),"ការជូនដំណឹង")</f>
        <v/>
      </c>
      <c r="E287" s="3" t="n"/>
      <c r="F287" s="3" t="inlineStr">
        <is>
          <t>ការជូនដំណឹង</t>
        </is>
      </c>
      <c r="G287" s="3" t="n"/>
      <c r="H287" s="217" t="inlineStr">
        <is>
          <t>"common.confirmTitle": "ការជូនដំណឹង",</t>
        </is>
      </c>
      <c r="I287" t="inlineStr">
        <is>
          <t>ការជូនដំណឹង</t>
        </is>
      </c>
    </row>
    <row r="288">
      <c r="A288" s="3" t="inlineStr">
        <is>
          <t>common.copyError</t>
        </is>
      </c>
      <c r="B288" s="3" t="inlineStr">
        <is>
          <t>Sao chép thất bại</t>
        </is>
      </c>
      <c r="C288" s="3" t="inlineStr">
        <is>
          <t>Copy failed</t>
        </is>
      </c>
      <c r="D288" s="217">
        <f>IFERROR(__xludf.DUMMYFUNCTION("GOOGLETRANSLATE(C288,""vi"",""km"")"),"ចម្លងលេខកូដ")</f>
        <v/>
      </c>
      <c r="E288" s="3" t="n"/>
      <c r="F288" s="3" t="inlineStr">
        <is>
          <t>ចម្លងលេខកូដ</t>
        </is>
      </c>
      <c r="G288" s="3" t="n"/>
      <c r="H288" s="217" t="inlineStr">
        <is>
          <t>"common.copyError": "ចម្លងលេខកូដ",</t>
        </is>
      </c>
      <c r="I288" t="inlineStr">
        <is>
          <t>ចម្លងលេខកូដ</t>
        </is>
      </c>
    </row>
    <row r="289">
      <c r="A289" s="3" t="inlineStr">
        <is>
          <t>common.copySuccess</t>
        </is>
      </c>
      <c r="B289" s="3" t="inlineStr">
        <is>
          <t>Sao chép thành công</t>
        </is>
      </c>
      <c r="C289" s="3" t="inlineStr">
        <is>
          <t>Copied successfully</t>
        </is>
      </c>
      <c r="D289" s="217">
        <f>IFERROR(__xludf.DUMMYFUNCTION("GOOGLETRANSLATE(C289,""vi"",""km"")"),"បានចម្លងដោយជោគជ័យ")</f>
        <v/>
      </c>
      <c r="E289" s="3" t="n"/>
      <c r="F289" s="3" t="inlineStr">
        <is>
          <t>បានចម្លងដោយជោគជ័យ</t>
        </is>
      </c>
      <c r="G289" s="3" t="n"/>
      <c r="H289" s="217" t="inlineStr">
        <is>
          <t>"common.copySuccess": "បានចម្លងដោយជោគជ័យ",</t>
        </is>
      </c>
      <c r="I289" t="inlineStr">
        <is>
          <t>បានចម្លងដោយជោគជ័យ</t>
        </is>
      </c>
    </row>
    <row r="290">
      <c r="A290" s="3" t="inlineStr">
        <is>
          <t>common.create</t>
        </is>
      </c>
      <c r="B290" s="3" t="inlineStr">
        <is>
          <t>Thêm mới</t>
        </is>
      </c>
      <c r="C290" s="3" t="inlineStr">
        <is>
          <t>Create</t>
        </is>
      </c>
      <c r="D290" s="217">
        <f>IFERROR(__xludf.DUMMYFUNCTION("GOOGLETRANSLATE(C290,""vi"",""km"")"),"បង្កើត")</f>
        <v/>
      </c>
      <c r="E290" s="3" t="n"/>
      <c r="F290" s="3" t="inlineStr">
        <is>
          <t>បន្ថែមថ្មី</t>
        </is>
      </c>
      <c r="G290" s="3" t="n"/>
      <c r="H290" s="217" t="inlineStr">
        <is>
          <t>"common.create": "បន្ថែមថ្មី",</t>
        </is>
      </c>
      <c r="I290" t="inlineStr">
        <is>
          <t>បន្ថែមថ្មី</t>
        </is>
      </c>
    </row>
    <row r="291">
      <c r="A291" s="3" t="inlineStr">
        <is>
          <t>common.createFail</t>
        </is>
      </c>
      <c r="B291" s="3" t="inlineStr">
        <is>
          <t>Thêm mới thất bại</t>
        </is>
      </c>
      <c r="C291" s="3" t="inlineStr">
        <is>
          <t>Failed to create</t>
        </is>
      </c>
      <c r="D291" s="217">
        <f>IFERROR(__xludf.DUMMYFUNCTION("GOOGLETRANSLATE(C291,""vi"",""km"")"),"បរាជ័យក្នុងការបង្កើត")</f>
        <v/>
      </c>
      <c r="E291" s="3" t="n"/>
      <c r="F291" s="3" t="inlineStr">
        <is>
          <t>បរាជ័យក្នុងការបង្កើត</t>
        </is>
      </c>
      <c r="G291" s="3" t="n"/>
      <c r="H291" s="217" t="inlineStr">
        <is>
          <t>"common.createFail": "បរាជ័យក្នុងការបង្កើត",</t>
        </is>
      </c>
      <c r="I291" t="inlineStr">
        <is>
          <t>បរាជ័យក្នុងការបង្កើត</t>
        </is>
      </c>
    </row>
    <row r="292">
      <c r="A292" s="3" t="inlineStr">
        <is>
          <t>common.createNew</t>
        </is>
      </c>
      <c r="B292" s="3" t="inlineStr">
        <is>
          <t>Tạo mới</t>
        </is>
      </c>
      <c r="C292" s="3" t="inlineStr">
        <is>
          <t>Create</t>
        </is>
      </c>
      <c r="D292" s="217">
        <f>IFERROR(__xludf.DUMMYFUNCTION("GOOGLETRANSLATE(C292,""vi"",""km"")"),"បង្កើត")</f>
        <v/>
      </c>
      <c r="E292" s="3" t="n"/>
      <c r="F292" s="3" t="inlineStr">
        <is>
          <t>បង្កើតថ្មី</t>
        </is>
      </c>
      <c r="G292" s="3" t="n"/>
      <c r="H292" s="217" t="inlineStr">
        <is>
          <t>"common.createNew": "បង្កើតថ្មី",</t>
        </is>
      </c>
      <c r="I292" t="inlineStr">
        <is>
          <t>បង្កើតថ្មី</t>
        </is>
      </c>
    </row>
    <row r="293">
      <c r="A293" s="3" t="inlineStr">
        <is>
          <t>common.createSuccess</t>
        </is>
      </c>
      <c r="B293" s="3" t="inlineStr">
        <is>
          <t>Thêm mới thành công</t>
        </is>
      </c>
      <c r="C293" s="3" t="inlineStr">
        <is>
          <t>Successfully created</t>
        </is>
      </c>
      <c r="D293" s="217">
        <f>IFERROR(__xludf.DUMMYFUNCTION("GOOGLETRANSLATE(C293,""vi"",""km"")"),"បានបង្កើតដោយជោគជ័យ")</f>
        <v/>
      </c>
      <c r="E293" s="3" t="n"/>
      <c r="F293" s="3" t="inlineStr">
        <is>
          <t>បានបង្កើតដោយជោគជ័យ</t>
        </is>
      </c>
      <c r="G293" s="3" t="n"/>
      <c r="H293" s="217" t="inlineStr">
        <is>
          <t>"common.createSuccess": "បានបង្កើតដោយជោគជ័យ",</t>
        </is>
      </c>
      <c r="I293" t="inlineStr">
        <is>
          <t>បានបង្កើតដោយជោគជ័យ</t>
        </is>
      </c>
    </row>
    <row r="294">
      <c r="A294" s="3" t="inlineStr">
        <is>
          <t>common.delete</t>
        </is>
      </c>
      <c r="B294" s="3" t="inlineStr">
        <is>
          <t>Xoá</t>
        </is>
      </c>
      <c r="C294" s="3" t="inlineStr">
        <is>
          <t>Delete</t>
        </is>
      </c>
      <c r="D294" s="217">
        <f>IFERROR(__xludf.DUMMYFUNCTION("GOOGLETRANSLATE(C294,""vi"",""km"")"),"ម")</f>
        <v/>
      </c>
      <c r="E294" s="3" t="n"/>
      <c r="F294" s="3" t="inlineStr">
        <is>
          <t>លុប</t>
        </is>
      </c>
      <c r="G294" s="3" t="n"/>
      <c r="H294" s="217" t="inlineStr">
        <is>
          <t>"common.delete": "លុប",</t>
        </is>
      </c>
      <c r="I294" t="inlineStr">
        <is>
          <t>លុប</t>
        </is>
      </c>
    </row>
    <row r="295">
      <c r="A295" s="3" t="inlineStr">
        <is>
          <t>common.destroy</t>
        </is>
      </c>
      <c r="B295" s="3" t="inlineStr">
        <is>
          <t>Huỷ</t>
        </is>
      </c>
      <c r="C295" s="3" t="inlineStr">
        <is>
          <t>Destroy</t>
        </is>
      </c>
      <c r="D295" s="217">
        <f>IFERROR(__xludf.DUMMYFUNCTION("GOOGLETRANSLATE(C295,""vi"",""km"")"),"បំផ្លាញ")</f>
        <v/>
      </c>
      <c r="E295" s="3" t="n"/>
      <c r="F295" s="3" t="inlineStr">
        <is>
          <t>បំផ្លាញ</t>
        </is>
      </c>
      <c r="G295" s="3" t="n"/>
      <c r="H295" s="217" t="inlineStr">
        <is>
          <t>"common.destroy": "បំផ្លាញ",</t>
        </is>
      </c>
      <c r="I295" t="inlineStr">
        <is>
          <t>បំផ្លាញ</t>
        </is>
      </c>
    </row>
    <row r="296">
      <c r="A296" s="3" t="inlineStr">
        <is>
          <t>common.detail</t>
        </is>
      </c>
      <c r="B296" s="3" t="inlineStr">
        <is>
          <t>Chi tiết</t>
        </is>
      </c>
      <c r="C296" s="3" t="inlineStr">
        <is>
          <t>Detail</t>
        </is>
      </c>
      <c r="D296" s="217">
        <f>IFERROR(__xludf.DUMMYFUNCTION("GOOGLETRANSLATE(C296,""vi"",""km"")"),"ព័ត៌មានលម្អិត")</f>
        <v/>
      </c>
      <c r="E296" s="3" t="n"/>
      <c r="F296" s="3" t="inlineStr">
        <is>
          <t>ព័ត៌មានលម្អិត</t>
        </is>
      </c>
      <c r="G296" s="3" t="n"/>
      <c r="H296" s="217" t="inlineStr">
        <is>
          <t>"common.detail": "ព័ត៌មានលម្អិត",</t>
        </is>
      </c>
      <c r="I296" t="inlineStr">
        <is>
          <t>ព័ត៌មានលម្អិត</t>
        </is>
      </c>
    </row>
    <row r="297">
      <c r="A297" s="3" t="inlineStr">
        <is>
          <t>common.email</t>
        </is>
      </c>
      <c r="B297" s="3" t="inlineStr">
        <is>
          <t>Email</t>
        </is>
      </c>
      <c r="C297" s="3" t="inlineStr">
        <is>
          <t>Email</t>
        </is>
      </c>
      <c r="D297" s="217">
        <f>IFERROR(__xludf.DUMMYFUNCTION("GOOGLETRANSLATE(C297,""vi"",""km"")"),"អ៊ីមែល")</f>
        <v/>
      </c>
      <c r="E297" s="3" t="n"/>
      <c r="F297" s="3" t="inlineStr">
        <is>
          <t>អ៊ីមែល</t>
        </is>
      </c>
      <c r="G297" s="3" t="n"/>
      <c r="H297" s="217" t="inlineStr">
        <is>
          <t>"common.email": "អ៊ីមែល",</t>
        </is>
      </c>
      <c r="I297" t="inlineStr">
        <is>
          <t>អ៊ីមែល</t>
        </is>
      </c>
    </row>
    <row r="298">
      <c r="A298" s="3" t="inlineStr">
        <is>
          <t>common.empty</t>
        </is>
      </c>
      <c r="B298" s="3" t="inlineStr">
        <is>
          <t>Không thấy dữ liệu phù hợp</t>
        </is>
      </c>
      <c r="C298" s="3" t="inlineStr">
        <is>
          <t>No matching data found</t>
        </is>
      </c>
      <c r="D298" s="217">
        <f>IFERROR(__xludf.DUMMYFUNCTION("GOOGLETRANSLATE(C298,""vi"",""km"")"),"រកមិនឃើញទិន្នន័យដែលត្រូវគ្នាទេ")</f>
        <v/>
      </c>
      <c r="E298" s="3" t="n"/>
      <c r="F298" s="3" t="inlineStr">
        <is>
          <t>រកមិនឃើញទិន្នន័យដែលត្រូវគ្នាទេ</t>
        </is>
      </c>
      <c r="G298" s="3" t="n"/>
      <c r="H298" s="217" t="inlineStr">
        <is>
          <t>"common.empty": "រកមិនឃើញទិន្នន័យដែលត្រូវគ្នាទេ",</t>
        </is>
      </c>
      <c r="I298" t="inlineStr">
        <is>
          <t>រកមិនឃើញទិន្នន័យដែលត្រូវគ្នាទេ</t>
        </is>
      </c>
    </row>
    <row r="299">
      <c r="A299" s="3" t="inlineStr">
        <is>
          <t>common.emptyOrder</t>
        </is>
      </c>
      <c r="B299" s="3" t="inlineStr">
        <is>
          <t>Vui lòng nhập phiếu gửi để tìm kiếm</t>
        </is>
      </c>
      <c r="C299" s="3" t="inlineStr">
        <is>
          <t>Please enter the order code to search</t>
        </is>
      </c>
      <c r="D299" s="217">
        <f>IFERROR(__xludf.DUMMYFUNCTION("GOOGLETRANSLATE(C299,""vi"",""km"")"),"សូមបញ្ចូលលេខកូដបញ្ជាទិញដើម្បីស្វែងរក")</f>
        <v/>
      </c>
      <c r="E299" s="3" t="n"/>
      <c r="F299" s="3" t="inlineStr">
        <is>
          <t>សូមបញ្ចូលលេខកូដបញ្ជាទិញដើម្បីស្វែងរក</t>
        </is>
      </c>
      <c r="G299" s="3" t="n"/>
      <c r="H299" s="217" t="inlineStr">
        <is>
          <t>"common.emptyOrder": "សូមបញ្ចូលលេខកូដបញ្ជាទិញដើម្បីស្វែងរក",</t>
        </is>
      </c>
      <c r="I299" t="inlineStr">
        <is>
          <t>សូមបញ្ចូលលេខកូដបញ្ជាទិញដើម្បីស្វែងរក</t>
        </is>
      </c>
    </row>
    <row r="300">
      <c r="A300" s="3" t="inlineStr">
        <is>
          <t>common.errorBoundary</t>
        </is>
      </c>
      <c r="B300" s="3" t="inlineStr">
        <is>
          <t>Lỗi tải trang</t>
        </is>
      </c>
      <c r="C300" s="3" t="inlineStr">
        <is>
          <t>Page loading error</t>
        </is>
      </c>
      <c r="D300" s="217">
        <f>IFERROR(__xludf.DUMMYFUNCTION("GOOGLETRANSLATE(C300,""vi"",""km"")"),"កំហុសក្នុងការផ្ទុកទំព័រ")</f>
        <v/>
      </c>
      <c r="E300" s="3" t="n"/>
      <c r="F300" s="3" t="inlineStr">
        <is>
          <t>កំហុសក្នុងការដំណើរការទំព័រ</t>
        </is>
      </c>
      <c r="G300" s="3" t="n"/>
      <c r="H300" s="217" t="inlineStr">
        <is>
          <t>"common.errorBoundary": "កំហុសក្នុងការដំណើរការទំព័រ",</t>
        </is>
      </c>
      <c r="I300" t="inlineStr">
        <is>
          <t>កំហុសក្នុងការដំណើរការទំព័រ</t>
        </is>
      </c>
    </row>
    <row r="301">
      <c r="A301" s="3" t="inlineStr">
        <is>
          <t>common.fail</t>
        </is>
      </c>
      <c r="B301" s="3" t="inlineStr">
        <is>
          <t>Thất bại</t>
        </is>
      </c>
      <c r="C301" s="3" t="inlineStr">
        <is>
          <t>Failed</t>
        </is>
      </c>
      <c r="D301" s="217">
        <f>IFERROR(__xludf.DUMMYFUNCTION("GOOGLETRANSLATE(C301,""vi"",""km"")"),"បរាជ័យ")</f>
        <v/>
      </c>
      <c r="E301" s="3" t="n"/>
      <c r="F301" s="3" t="inlineStr">
        <is>
          <t>បរាជ័យ</t>
        </is>
      </c>
      <c r="G301" s="3" t="n"/>
      <c r="H301" s="217" t="inlineStr">
        <is>
          <t>"common.fail": "បរាជ័យ",</t>
        </is>
      </c>
      <c r="I301" t="inlineStr">
        <is>
          <t>បរាជ័យ</t>
        </is>
      </c>
    </row>
    <row r="302">
      <c r="A302" s="3" t="inlineStr">
        <is>
          <t>common.featureDevelopment</t>
        </is>
      </c>
      <c r="B302" s="3" t="inlineStr">
        <is>
          <t>Tính năng đang phát triển</t>
        </is>
      </c>
      <c r="C302" s="3" t="inlineStr">
        <is>
          <t>Feature in development</t>
        </is>
      </c>
      <c r="D302" s="217">
        <f>IFERROR(__xludf.DUMMYFUNCTION("GOOGLETRANSLATE(C302,""vi"",""km"")"),"លក្ខណៈពិសេសកំពុងស្ថិតក្នុងការអភិវឌ្ឍន៍")</f>
        <v/>
      </c>
      <c r="E302" s="3" t="n"/>
      <c r="F302" s="3" t="inlineStr">
        <is>
          <t>លក្ខណៈពិសេសកំពុងស្ថិតក្នុងការអភិវឌ្ឍន៍</t>
        </is>
      </c>
      <c r="G302" s="3" t="n"/>
      <c r="H302" s="217" t="inlineStr">
        <is>
          <t>"common.featureDevelopment": "លក្ខណៈពិសេសកំពុងស្ថិតក្នុងការអភិវឌ្ឍន៍",</t>
        </is>
      </c>
      <c r="I302" t="inlineStr">
        <is>
          <t>លក្ខណៈពិសេសកំពុងស្ថិតក្នុងការអភិវឌ្ឍន៍</t>
        </is>
      </c>
    </row>
    <row r="303">
      <c r="A303" s="3" t="inlineStr">
        <is>
          <t>common.filterBranch</t>
        </is>
      </c>
      <c r="B303" s="3" t="inlineStr">
        <is>
          <t>Chọn chi nhánh</t>
        </is>
      </c>
      <c r="C303" s="3" t="inlineStr">
        <is>
          <t>Select branch</t>
        </is>
      </c>
      <c r="D303" s="217">
        <f>IFERROR(__xludf.DUMMYFUNCTION("GOOGLETRANSLATE(C303,""vi"",""km"")"),"ជ្រើសរើសទ្រូង")</f>
        <v/>
      </c>
      <c r="E303" s="3" t="n"/>
      <c r="F303" s="3" t="inlineStr">
        <is>
          <t>ជ្រើសរើសទ្រូង</t>
        </is>
      </c>
      <c r="G303" s="3" t="n"/>
      <c r="H303" s="217" t="inlineStr">
        <is>
          <t>"common.filterBranch": "ជ្រើសរើសទ្រូង",</t>
        </is>
      </c>
      <c r="I303" t="inlineStr">
        <is>
          <t>ជ្រើសរើសទ្រូង</t>
        </is>
      </c>
    </row>
    <row r="304">
      <c r="A304" s="3" t="inlineStr">
        <is>
          <t>common.filterPost</t>
        </is>
      </c>
      <c r="B304" s="3" t="inlineStr">
        <is>
          <t>Chọn bưu cục</t>
        </is>
      </c>
      <c r="C304" s="3" t="inlineStr">
        <is>
          <t>Select post office</t>
        </is>
      </c>
      <c r="D304" s="217">
        <f>IFERROR(__xludf.DUMMYFUNCTION("GOOGLETRANSLATE(C304,""vi"",""km"")"),"ជ្រើសរើសការិយាល័យប្រៃសណីយ៍")</f>
        <v/>
      </c>
      <c r="E304" s="3" t="n"/>
      <c r="F304" s="3" t="inlineStr">
        <is>
          <t>ជ្រើសរើសការិយាល័យប្រៃសណីយ៍</t>
        </is>
      </c>
      <c r="G304" s="3" t="n"/>
      <c r="H304" s="217" t="inlineStr">
        <is>
          <t>"common.filterPost": "ជ្រើសរើសការិយាល័យប្រៃសណីយ៍",</t>
        </is>
      </c>
      <c r="I304" t="inlineStr">
        <is>
          <t>ជ្រើសរើសការិយាល័យប្រៃសណីយ៍</t>
        </is>
      </c>
    </row>
    <row r="305">
      <c r="A305" s="3" t="inlineStr">
        <is>
          <t>common.filterUser</t>
        </is>
      </c>
      <c r="B305" s="3" t="inlineStr">
        <is>
          <t>Chọn nhân viên</t>
        </is>
      </c>
      <c r="C305" s="3" t="inlineStr">
        <is>
          <t>Select employee</t>
        </is>
      </c>
      <c r="D305" s="217">
        <f>IFERROR(__xludf.DUMMYFUNCTION("GOOGLETRANSLATE(C305,""vi"",""km"")"),"ជ្រើសរើសការចេញផ្សាយ")</f>
        <v/>
      </c>
      <c r="E305" s="3" t="n"/>
      <c r="F305" s="3" t="inlineStr">
        <is>
          <t>ជ្រើសរើសការចេញផ្សាយ</t>
        </is>
      </c>
      <c r="G305" s="3" t="n"/>
      <c r="H305" s="217" t="inlineStr">
        <is>
          <t>"common.filterUser": "ជ្រើសរើសការចេញផ្សាយ",</t>
        </is>
      </c>
      <c r="I305" t="inlineStr">
        <is>
          <t>ជ្រើសរើសការចេញផ្សាយ</t>
        </is>
      </c>
    </row>
    <row r="306">
      <c r="A306" s="3" t="inlineStr">
        <is>
          <t>common.fullname</t>
        </is>
      </c>
      <c r="B306" s="3" t="inlineStr">
        <is>
          <t>Họ và tên</t>
        </is>
      </c>
      <c r="C306" s="3" t="inlineStr">
        <is>
          <t>Full name</t>
        </is>
      </c>
      <c r="D306" s="217">
        <f>IFERROR(__xludf.DUMMYFUNCTION("GOOGLETRANSLATE(C306,""vi"",""km"")"),"ឈ្មោះពេញ")</f>
        <v/>
      </c>
      <c r="E306" s="3" t="n"/>
      <c r="F306" s="3" t="inlineStr">
        <is>
          <t>ឈ្មោះពេញ</t>
        </is>
      </c>
      <c r="G306" s="3" t="n"/>
      <c r="H306" s="217" t="inlineStr">
        <is>
          <t>"common.fullname": "ឈ្មោះពេញ",</t>
        </is>
      </c>
      <c r="I306" t="inlineStr">
        <is>
          <t>ឈ្មោះពេញ</t>
        </is>
      </c>
    </row>
    <row r="307">
      <c r="A307" s="3" t="inlineStr">
        <is>
          <t>common.handle</t>
        </is>
      </c>
      <c r="B307" s="3" t="inlineStr">
        <is>
          <t>Thao tác</t>
        </is>
      </c>
      <c r="C307" s="3" t="inlineStr">
        <is>
          <t>Action</t>
        </is>
      </c>
      <c r="D307" s="217">
        <f>IFERROR(__xludf.DUMMYFUNCTION("GOOGLETRANSLATE(C307,""vi"",""km"")"),"សកម្មភាព")</f>
        <v/>
      </c>
      <c r="E307" s="3" t="n"/>
      <c r="F307" s="3" t="inlineStr">
        <is>
          <t>ប្រតិបត្តិការ</t>
        </is>
      </c>
      <c r="G307" s="3" t="n"/>
      <c r="H307" s="217" t="inlineStr">
        <is>
          <t>"common.handle": "ប្រតិបត្តិការ",</t>
        </is>
      </c>
      <c r="I307" t="inlineStr">
        <is>
          <t>ប្រតិបត្តិការ</t>
        </is>
      </c>
    </row>
    <row r="308">
      <c r="A308" s="3" t="inlineStr">
        <is>
          <t>common.lockedOrder</t>
        </is>
      </c>
      <c r="B308" s="3" t="inlineStr">
        <is>
          <t>Bưu phẩm đang trong quá trình khai thác, điều hành nội bộ. Vui lòng thử lại sau</t>
        </is>
      </c>
      <c r="C308" s="3" t="inlineStr">
        <is>
          <t>The order is currently being processed internally. Please try again later</t>
        </is>
      </c>
      <c r="D308" s="217">
        <f>IFERROR(__xludf.DUMMYFUNCTION("GOOGLETRANSLATE(C308,""vi"",""km"")"),"ការបញ្ជាទិញកំពុងត្រូវបានដំណើរការផ្ទៃក្នុង។ សូមព្យាយាមម្តងទៀតនៅពេលក្រោយ")</f>
        <v/>
      </c>
      <c r="E308" s="3" t="n"/>
      <c r="F308" s="3" t="inlineStr">
        <is>
          <t>ការបញ្ជាទិញកំពុងត្រូវបានដំណើរការផ្ទៃក្នុង។ សូមព្យាយាមម្តងទៀតនៅពេលក្រោយ</t>
        </is>
      </c>
      <c r="G308" s="3" t="n"/>
      <c r="H308" s="217" t="inlineStr">
        <is>
          <t>"common.lockedOrder": "ការបញ្ជាទិញកំពុងត្រូវបានដំណើរការផ្ទៃក្នុង។ សូមព្យាយាមម្តងទៀតនៅពេលក្រោយ",</t>
        </is>
      </c>
      <c r="I308" t="inlineStr">
        <is>
          <t>ការបញ្ជាទិញកំពុងត្រូវបានដំណើរការផ្ទៃក្នុង។ សូមព្យាយាមម្តងទៀតនៅពេលក្រោយ</t>
        </is>
      </c>
    </row>
    <row r="309">
      <c r="A309" s="3" t="inlineStr">
        <is>
          <t>common.noneEmpty</t>
        </is>
      </c>
      <c r="B309" s="3" t="inlineStr">
        <is>
          <t>không được để trống</t>
        </is>
      </c>
      <c r="C309" s="3" t="inlineStr">
        <is>
          <t>cannot be blank</t>
        </is>
      </c>
      <c r="D309" s="217">
        <f>IFERROR(__xludf.DUMMYFUNCTION("GOOGLETRANSLATE(C309,""vi"",""km"")"),"មិនអាចទទេបានទេ")</f>
        <v/>
      </c>
      <c r="E309" s="3" t="n"/>
      <c r="F309" s="3" t="inlineStr">
        <is>
          <t>មិនអាចទទេបានទេ</t>
        </is>
      </c>
      <c r="G309" s="3" t="n"/>
      <c r="H309" s="217" t="inlineStr">
        <is>
          <t>"common.noneEmpty": "មិនអាចទទេបានទេ",</t>
        </is>
      </c>
      <c r="I309" t="inlineStr">
        <is>
          <t>មិនអាចទទេបានទេ</t>
        </is>
      </c>
    </row>
    <row r="310">
      <c r="A310" s="3" t="inlineStr">
        <is>
          <t>common.notPermission</t>
        </is>
      </c>
      <c r="B310" s="3" t="inlineStr">
        <is>
          <t>Bạn không có quyền sử dụng chức năng này</t>
        </is>
      </c>
      <c r="C310" s="3" t="inlineStr">
        <is>
          <t>You do not have permission to use this function</t>
        </is>
      </c>
      <c r="D310" s="217">
        <f>IFERROR(__xludf.DUMMYFUNCTION("GOOGLETRANSLATE(C310,""vi"",""km"")"),"អ្នកមិនមានការអនុញ្ញាតឱ្យប្រើប្រាស់មុខងារនេះទេ")</f>
        <v/>
      </c>
      <c r="E310" s="3" t="n"/>
      <c r="F310" s="3" t="inlineStr">
        <is>
          <t>អ្នកមិនមានការអនុញ្ញាតឱ្យប្រើប្រាស់មុខងារនេះទេ</t>
        </is>
      </c>
      <c r="G310" s="3" t="n"/>
      <c r="H310" s="217" t="inlineStr">
        <is>
          <t>"common.notPermission": "អ្នកមិនមានការអនុញ្ញាតឱ្យប្រើប្រាស់មុខងារនេះទេ",</t>
        </is>
      </c>
      <c r="I310" t="inlineStr">
        <is>
          <t>អ្នកមិនមានការអនុញ្ញាតឱ្យប្រើប្រាស់មុខងារនេះទេ</t>
        </is>
      </c>
    </row>
    <row r="311">
      <c r="A311" s="3" t="inlineStr">
        <is>
          <t>common.notification</t>
        </is>
      </c>
      <c r="B311" s="3" t="inlineStr">
        <is>
          <t>Thông báo</t>
        </is>
      </c>
      <c r="C311" s="3" t="inlineStr">
        <is>
          <t>Notification</t>
        </is>
      </c>
      <c r="D311" s="217">
        <f>IFERROR(__xludf.DUMMYFUNCTION("GOOGLETRANSLATE(C311,""vi"",""km"")"),"ការជូនដំណឹង")</f>
        <v/>
      </c>
      <c r="E311" s="3" t="n"/>
      <c r="F311" s="3" t="inlineStr">
        <is>
          <t>ការជូនដំណឹង</t>
        </is>
      </c>
      <c r="G311" s="3" t="n"/>
      <c r="H311" s="217" t="inlineStr">
        <is>
          <t>"common.notification": "ការជូនដំណឹង",</t>
        </is>
      </c>
      <c r="I311" t="inlineStr">
        <is>
          <t>ការជូនដំណឹង</t>
        </is>
      </c>
    </row>
    <row r="312">
      <c r="A312" s="3" t="inlineStr">
        <is>
          <t>common.ok</t>
        </is>
      </c>
      <c r="B312" s="3" t="inlineStr">
        <is>
          <t>Ok</t>
        </is>
      </c>
      <c r="C312" s="3" t="inlineStr">
        <is>
          <t>Ok</t>
        </is>
      </c>
      <c r="D312" s="217">
        <f>IFERROR(__xludf.DUMMYFUNCTION("GOOGLETRANSLATE(C312,""vi"",""km"")"),"យល់ព្រម")</f>
        <v/>
      </c>
      <c r="E312" s="3" t="n"/>
      <c r="F312" s="3" t="inlineStr">
        <is>
          <t>យល់ព្រម</t>
        </is>
      </c>
      <c r="G312" s="3" t="n"/>
      <c r="H312" s="217" t="inlineStr">
        <is>
          <t>"common.ok": "យល់ព្រម",</t>
        </is>
      </c>
      <c r="I312" t="inlineStr">
        <is>
          <t>យល់ព្រម</t>
        </is>
      </c>
    </row>
    <row r="313">
      <c r="A313" s="3" t="inlineStr">
        <is>
          <t>common.page</t>
        </is>
      </c>
      <c r="B313" s="3" t="inlineStr">
        <is>
          <t>Trang</t>
        </is>
      </c>
      <c r="C313" s="3" t="inlineStr">
        <is>
          <t>page</t>
        </is>
      </c>
      <c r="D313" s="217">
        <f>IFERROR(__xludf.DUMMYFUNCTION("GOOGLETRANSLATE(C313,""vi"",""km"")"),"ទំព័រ")</f>
        <v/>
      </c>
      <c r="E313" s="3" t="n"/>
      <c r="F313" s="3" t="inlineStr">
        <is>
          <t>ទំព័រ</t>
        </is>
      </c>
      <c r="G313" s="3" t="n"/>
      <c r="H313" s="217" t="inlineStr">
        <is>
          <t>"common.page": "ទំព័រ",</t>
        </is>
      </c>
      <c r="I313" t="inlineStr">
        <is>
          <t>ទំព័រ</t>
        </is>
      </c>
    </row>
    <row r="314">
      <c r="A314" s="3" t="inlineStr">
        <is>
          <t>common.phone</t>
        </is>
      </c>
      <c r="B314" s="3" t="inlineStr">
        <is>
          <t>Số điện thoại</t>
        </is>
      </c>
      <c r="C314" s="3" t="inlineStr">
        <is>
          <t>Mobile number</t>
        </is>
      </c>
      <c r="D314" s="217">
        <f>IFERROR(__xludf.DUMMYFUNCTION("GOOGLETRANSLATE(C314,""vi"",""km"")"),"លេខទូរស័ព្ទចល័ត")</f>
        <v/>
      </c>
      <c r="E314" s="3" t="n"/>
      <c r="F314" s="3" t="inlineStr">
        <is>
          <t>លេខទូរស័ព្ទ</t>
        </is>
      </c>
      <c r="G314" s="3" t="n"/>
      <c r="H314" s="217" t="inlineStr">
        <is>
          <t>"common.phone": "លេខទូរស័ព្ទ",</t>
        </is>
      </c>
      <c r="I314" t="inlineStr">
        <is>
          <t>លេខទូរស័ព្ទ</t>
        </is>
      </c>
    </row>
    <row r="315">
      <c r="A315" s="23" t="inlineStr">
        <is>
          <t>common.post</t>
        </is>
      </c>
      <c r="B315" s="3" t="inlineStr">
        <is>
          <t>Bưu cục</t>
        </is>
      </c>
      <c r="C315" s="3" t="inlineStr">
        <is>
          <t>Post office</t>
        </is>
      </c>
      <c r="D315" s="217">
        <f>IFERROR(__xludf.DUMMYFUNCTION("GOOGLETRANSLATE(C315,""vi"",""km"")"),"ការិយាល័យប្រៃសណីយ៍")</f>
        <v/>
      </c>
      <c r="E315" s="3" t="n"/>
      <c r="F315" s="3" t="inlineStr">
        <is>
          <t>ការិយាល័យប្រៃសណីយ៍</t>
        </is>
      </c>
      <c r="G315" s="3" t="n"/>
      <c r="H315" s="217" t="inlineStr">
        <is>
          <t>"common.post": "ការិយាល័យប្រៃសណីយ៍",</t>
        </is>
      </c>
      <c r="I315" t="inlineStr">
        <is>
          <t>ការិយាល័យប្រៃសណីយ៍</t>
        </is>
      </c>
    </row>
    <row r="316">
      <c r="A316" s="3" t="inlineStr">
        <is>
          <t>common.printCode</t>
        </is>
      </c>
      <c r="B316" s="3" t="inlineStr">
        <is>
          <t>In nhãn</t>
        </is>
      </c>
      <c r="C316" s="3" t="inlineStr">
        <is>
          <t>Print</t>
        </is>
      </c>
      <c r="D316" s="217">
        <f>IFERROR(__xludf.DUMMYFUNCTION("GOOGLETRANSLATE(C316,""vi"",""km"")"),"ជើងហោះហើរ")</f>
        <v/>
      </c>
      <c r="E316" s="3" t="n"/>
      <c r="F316" s="3" t="inlineStr">
        <is>
          <t>ព្រីនផ្លាកបុង</t>
        </is>
      </c>
      <c r="G316" s="3" t="n"/>
      <c r="H316" s="217" t="inlineStr">
        <is>
          <t>"common.printCode": "ព្រីនផ្លាកបុង",</t>
        </is>
      </c>
      <c r="I316" t="inlineStr">
        <is>
          <t>ព្រីនផ្លាកបុង</t>
        </is>
      </c>
    </row>
    <row r="317">
      <c r="A317" s="3" t="inlineStr">
        <is>
          <t>common.record</t>
        </is>
      </c>
      <c r="B317" s="3" t="inlineStr">
        <is>
          <t>Tổng bản ghi</t>
        </is>
      </c>
      <c r="C317" s="3" t="inlineStr">
        <is>
          <t>Record</t>
        </is>
      </c>
      <c r="D317" s="217">
        <f>IFERROR(__xludf.DUMMYFUNCTION("GOOGLETRANSLATE(C317,""vi"",""km"")"),"កំណត់ត្រា")</f>
        <v/>
      </c>
      <c r="E317" s="3" t="n"/>
      <c r="F317" s="3" t="inlineStr">
        <is>
          <t>កំណត់ត្រា</t>
        </is>
      </c>
      <c r="G317" s="3" t="n"/>
      <c r="H317" s="217" t="inlineStr">
        <is>
          <t>"common.record": "កំណត់ត្រា",</t>
        </is>
      </c>
      <c r="I317" t="inlineStr">
        <is>
          <t>កំណត់ត្រា</t>
        </is>
      </c>
    </row>
    <row r="318">
      <c r="A318" s="3" t="inlineStr">
        <is>
          <t>common.refresh</t>
        </is>
      </c>
      <c r="B318" s="3" t="inlineStr">
        <is>
          <t>Làm mới</t>
        </is>
      </c>
      <c r="C318" s="3" t="inlineStr">
        <is>
          <t>Refresh</t>
        </is>
      </c>
      <c r="D318" s="217">
        <f>IFERROR(__xludf.DUMMYFUNCTION("GOOGLETRANSLATE(C318,""vi"",""km"")"),"ធ្វើឱ្យស្រស់ឡើងវិញ")</f>
        <v/>
      </c>
      <c r="E318" s="3" t="n"/>
      <c r="F318" s="3" t="inlineStr">
        <is>
          <t>ផ្ទុកឡើងវិញ</t>
        </is>
      </c>
      <c r="G318" s="3" t="n"/>
      <c r="H318" s="217" t="inlineStr">
        <is>
          <t>"common.refresh": "ផ្ទុកឡើងវិញ",</t>
        </is>
      </c>
      <c r="I318" t="inlineStr">
        <is>
          <t>ផ្ទុកឡើងវិញ</t>
        </is>
      </c>
    </row>
    <row r="319">
      <c r="A319" s="3" t="inlineStr">
        <is>
          <t>common.save</t>
        </is>
      </c>
      <c r="B319" s="3" t="inlineStr">
        <is>
          <t>Lưu lại</t>
        </is>
      </c>
      <c r="C319" s="3" t="inlineStr">
        <is>
          <t>Save</t>
        </is>
      </c>
      <c r="D319" s="217">
        <f>IFERROR(__xludf.DUMMYFUNCTION("GOOGLETRANSLATE(C319,""vi"",""km"")"),"រក្សាទុក")</f>
        <v/>
      </c>
      <c r="E319" s="3" t="n"/>
      <c r="F319" s="3" t="inlineStr">
        <is>
          <t>រក្សាទុក</t>
        </is>
      </c>
      <c r="G319" s="3" t="n"/>
      <c r="H319" s="217" t="inlineStr">
        <is>
          <t>"common.save": "រក្សាទុក",</t>
        </is>
      </c>
      <c r="I319" t="inlineStr">
        <is>
          <t>រក្សាទុក</t>
        </is>
      </c>
    </row>
    <row r="320">
      <c r="A320" s="3" t="inlineStr">
        <is>
          <t>common.search</t>
        </is>
      </c>
      <c r="B320" s="3" t="inlineStr">
        <is>
          <t>Tìm kiếm</t>
        </is>
      </c>
      <c r="C320" s="3" t="inlineStr">
        <is>
          <t>Search</t>
        </is>
      </c>
      <c r="D320" s="217">
        <f>IFERROR(__xludf.DUMMYFUNCTION("GOOGLETRANSLATE(C320,""vi"",""km"")"),"ស្វែងរក")</f>
        <v/>
      </c>
      <c r="E320" s="3" t="n"/>
      <c r="F320" s="3" t="inlineStr">
        <is>
          <t>ស្វែងរក</t>
        </is>
      </c>
      <c r="G320" s="3" t="n"/>
      <c r="H320" s="217" t="inlineStr">
        <is>
          <t>"common.search": "ស្វែងរក",</t>
        </is>
      </c>
      <c r="I320" t="inlineStr">
        <is>
          <t>ស្វែងរក</t>
        </is>
      </c>
    </row>
    <row r="321">
      <c r="A321" s="3" t="inlineStr">
        <is>
          <t>common.select</t>
        </is>
      </c>
      <c r="B321" s="3" t="inlineStr">
        <is>
          <t>Chọn</t>
        </is>
      </c>
      <c r="C321" s="3" t="inlineStr">
        <is>
          <t>Select</t>
        </is>
      </c>
      <c r="D321" s="217">
        <f>IFERROR(__xludf.DUMMYFUNCTION("GOOGLETRANSLATE(C321,""vi"",""km"")"),"តម្រៀប")</f>
        <v/>
      </c>
      <c r="E321" s="3" t="n"/>
      <c r="F321" s="3" t="inlineStr">
        <is>
          <t>ជ្រើសរើស</t>
        </is>
      </c>
      <c r="G321" s="3" t="n"/>
      <c r="H321" s="217" t="inlineStr">
        <is>
          <t>"common.select": "ជ្រើសរើស",</t>
        </is>
      </c>
      <c r="I321" t="inlineStr">
        <is>
          <t>ជ្រើសរើស</t>
        </is>
      </c>
    </row>
    <row r="322">
      <c r="A322" s="3" t="inlineStr">
        <is>
          <t>common.selectPostOffice</t>
        </is>
      </c>
      <c r="B322" s="3" t="inlineStr">
        <is>
          <t>Bưu cục</t>
        </is>
      </c>
      <c r="C322" s="3" t="inlineStr">
        <is>
          <t>Select Post Office</t>
        </is>
      </c>
      <c r="D322" s="217">
        <f>IFERROR(__xludf.DUMMYFUNCTION("GOOGLETRANSLATE(C322,""vi"",""km"")"),"ជ្រើសរើសការិយាល័យប្រៃសណីយ៍")</f>
        <v/>
      </c>
      <c r="E322" s="3" t="n"/>
      <c r="F322" s="3" t="inlineStr">
        <is>
          <t>ការិយាល័យប្រៃសណីយ៍</t>
        </is>
      </c>
      <c r="G322" s="3" t="n"/>
      <c r="H322" s="217" t="inlineStr">
        <is>
          <t>"common.selectPostOffice": "ការិយាល័យប្រៃសណីយ៍",</t>
        </is>
      </c>
      <c r="I322" t="inlineStr">
        <is>
          <t>ការិយាល័យប្រៃសណីយ៍</t>
        </is>
      </c>
    </row>
    <row r="323">
      <c r="A323" s="3" t="inlineStr">
        <is>
          <t>common.sessionExpired</t>
        </is>
      </c>
      <c r="B323" s="3" t="inlineStr">
        <is>
          <t>Hết phiên đăng nhập</t>
        </is>
      </c>
      <c r="C323" s="3" t="inlineStr">
        <is>
          <t>Session Expired</t>
        </is>
      </c>
      <c r="D323" s="217">
        <f>IFERROR(__xludf.DUMMYFUNCTION("GOOGLETRANSLATE(C323,""vi"",""km"")"),"វគ្គផុតកំណត់ហើយ")</f>
        <v/>
      </c>
      <c r="E323" s="3" t="n"/>
      <c r="F323" s="3" t="inlineStr">
        <is>
          <t>វគ្គផុតកំណត់ហើយ</t>
        </is>
      </c>
      <c r="G323" s="3" t="n"/>
      <c r="H323" s="217" t="inlineStr">
        <is>
          <t>"common.sessionExpired": "វគ្គផុតកំណត់ហើយ",</t>
        </is>
      </c>
      <c r="I323" t="inlineStr">
        <is>
          <t>វគ្គផុតកំណត់ហើយ</t>
        </is>
      </c>
    </row>
    <row r="324">
      <c r="A324" s="3" t="inlineStr">
        <is>
          <t>common.skip</t>
        </is>
      </c>
      <c r="B324" s="3" t="inlineStr">
        <is>
          <t>Bỏ qua</t>
        </is>
      </c>
      <c r="C324" s="3" t="inlineStr">
        <is>
          <t>Cancel</t>
        </is>
      </c>
      <c r="D324" s="217">
        <f>IFERROR(__xludf.DUMMYFUNCTION("GOOGLETRANSLATE(C324,""vi"",""km"")"),"បោះបង់")</f>
        <v/>
      </c>
      <c r="E324" s="3" t="n"/>
      <c r="F324" s="3" t="inlineStr">
        <is>
          <t>បោះបង់</t>
        </is>
      </c>
      <c r="G324" s="3" t="n"/>
      <c r="H324" s="217" t="inlineStr">
        <is>
          <t>"common.skip": "បោះបង់",</t>
        </is>
      </c>
      <c r="I324" t="inlineStr">
        <is>
          <t>បោះបង់</t>
        </is>
      </c>
    </row>
    <row r="325">
      <c r="A325" s="3" t="inlineStr">
        <is>
          <t>common.stt</t>
        </is>
      </c>
      <c r="B325" s="3" t="inlineStr">
        <is>
          <t>STT</t>
        </is>
      </c>
      <c r="C325" s="3" t="inlineStr">
        <is>
          <t>No.</t>
        </is>
      </c>
      <c r="D325" s="217">
        <f>IFERROR(__xludf.DUMMYFUNCTION("GOOGLETRANSLATE(C325,""vi"",""km"")"),"ទេ។")</f>
        <v/>
      </c>
      <c r="E325" s="3" t="n"/>
      <c r="F325" s="3" t="inlineStr">
        <is>
          <t>ទេ។</t>
        </is>
      </c>
      <c r="G325" s="3" t="n"/>
      <c r="H325" s="217" t="inlineStr">
        <is>
          <t>"common.stt": "ទេ។",</t>
        </is>
      </c>
      <c r="I325" t="inlineStr">
        <is>
          <t>ទេ។</t>
        </is>
      </c>
    </row>
    <row r="326">
      <c r="A326" s="3" t="inlineStr">
        <is>
          <t>common.systemError</t>
        </is>
      </c>
      <c r="B326" s="3" t="inlineStr">
        <is>
          <t>Lỗi hệ thống!</t>
        </is>
      </c>
      <c r="C326" s="3" t="inlineStr">
        <is>
          <t>There is a system error.!</t>
        </is>
      </c>
      <c r="D326" s="217">
        <f>IFERROR(__xludf.DUMMYFUNCTION("GOOGLETRANSLATE(C326,""vi"",""km"")"),"មានកំហុសប្រព័ន្ធ!")</f>
        <v/>
      </c>
      <c r="E326" s="3" t="n"/>
      <c r="F326" s="3" t="inlineStr">
        <is>
          <t>មានកំហុសប្រព័ន្ធ!</t>
        </is>
      </c>
      <c r="G326" s="3" t="n"/>
      <c r="H326" s="217" t="inlineStr">
        <is>
          <t>"common.systemError": "មានកំហុសប្រព័ន្ធ!",</t>
        </is>
      </c>
      <c r="I326" t="inlineStr">
        <is>
          <t>មានកំហុសប្រព័ន្ធ!</t>
        </is>
      </c>
    </row>
    <row r="327">
      <c r="A327" s="3" t="inlineStr">
        <is>
          <t>common.systemErrorRetry</t>
        </is>
      </c>
      <c r="B327" s="3" t="inlineStr">
        <is>
          <t>Hệ thống có lỗi, bạn vui lòng thực hiện lại sau.</t>
        </is>
      </c>
      <c r="C327" s="3" t="inlineStr">
        <is>
          <t>A system error occurred. Please try again later.</t>
        </is>
      </c>
      <c r="D327" s="217">
        <f>IFERROR(__xludf.DUMMYFUNCTION("GOOGLETRANSLATE(C327,""vi"",""km"")"),"កំហុសប្រព័ន្ធមួយបានកើតឡើង។ សូមព្យាយាមម្តងទៀតនៅពេលក្រោយ។")</f>
        <v/>
      </c>
      <c r="E327" s="3" t="n"/>
      <c r="F327" s="3" t="inlineStr">
        <is>
          <t>កំហុសប្រព័ន្ធមួយបានកើតឡើង។ សូមព្យាយាមម្តងទៀតនៅពេលក្រោយ។</t>
        </is>
      </c>
      <c r="G327" s="3" t="n"/>
      <c r="H327" s="217" t="inlineStr">
        <is>
          <t>"common.systemErrorRetry": "កំហុសប្រព័ន្ធមួយបានកើតឡើង។ សូមព្យាយាមម្តងទៀតនៅពេលក្រោយ។",</t>
        </is>
      </c>
      <c r="I327" t="inlineStr">
        <is>
          <t>កំហុសប្រព័ន្ធមួយបានកើតឡើង។ សូមព្យាយាមម្តងទៀតនៅពេលក្រោយ។</t>
        </is>
      </c>
    </row>
    <row r="328">
      <c r="A328" s="3" t="inlineStr">
        <is>
          <t>common.titleSearch</t>
        </is>
      </c>
      <c r="B328" s="3" t="inlineStr">
        <is>
          <t>Nhập từ khóa tìm kiếm</t>
        </is>
      </c>
      <c r="C328" s="3" t="inlineStr">
        <is>
          <t>Enter search keywords</t>
        </is>
      </c>
      <c r="D328" s="217">
        <f>IFERROR(__xludf.DUMMYFUNCTION("GOOGLETRANSLATE(C328,""vi"",""km"")"),"បញ្ចូលពាក្យគន្លឹះស្វែងរក")</f>
        <v/>
      </c>
      <c r="E328" s="3" t="n"/>
      <c r="F328" s="3" t="inlineStr">
        <is>
          <t>បញ្ចូលពាក្យគន្លឹះស្វែងរក</t>
        </is>
      </c>
      <c r="G328" s="3" t="n"/>
      <c r="H328" s="217" t="inlineStr">
        <is>
          <t>"common.titleSearch": "បញ្ចូលពាក្យគន្លឹះស្វែងរក",</t>
        </is>
      </c>
      <c r="I328" t="inlineStr">
        <is>
          <t>បញ្ចូលពាក្យគន្លឹះស្វែងរក</t>
        </is>
      </c>
    </row>
    <row r="329">
      <c r="A329" s="3" t="inlineStr">
        <is>
          <t>common.tool</t>
        </is>
      </c>
      <c r="B329" s="3" t="inlineStr">
        <is>
          <t>Công cụ</t>
        </is>
      </c>
      <c r="C329" s="3" t="inlineStr">
        <is>
          <t>Tool</t>
        </is>
      </c>
      <c r="D329" s="217">
        <f>IFERROR(__xludf.DUMMYFUNCTION("GOOGLETRANSLATE(C329,""vi"",""km"")"),"ឧបករណ៍")</f>
        <v/>
      </c>
      <c r="E329" s="3" t="n"/>
      <c r="F329" s="3" t="inlineStr">
        <is>
          <t>ឧបករណ៍</t>
        </is>
      </c>
      <c r="G329" s="3" t="n"/>
      <c r="H329" s="217" t="inlineStr">
        <is>
          <t>"common.tool": "ឧបករណ៍",</t>
        </is>
      </c>
      <c r="I329" t="inlineStr">
        <is>
          <t>ឧបករណ៍</t>
        </is>
      </c>
    </row>
    <row r="330">
      <c r="A330" s="3" t="inlineStr">
        <is>
          <t>common.total</t>
        </is>
      </c>
      <c r="B330" s="3" t="inlineStr">
        <is>
          <t>Tổng</t>
        </is>
      </c>
      <c r="C330" s="3" t="inlineStr">
        <is>
          <t>Total</t>
        </is>
      </c>
      <c r="D330" s="217">
        <f>IFERROR(__xludf.DUMMYFUNCTION("GOOGLETRANSLATE(C330,""vi"",""km"")"),"សរុប")</f>
        <v/>
      </c>
      <c r="E330" s="3" t="n"/>
      <c r="F330" s="3" t="inlineStr">
        <is>
          <t>សរុប</t>
        </is>
      </c>
      <c r="G330" s="3" t="n"/>
      <c r="H330" s="217" t="inlineStr">
        <is>
          <t>"common.total": "សរុប",</t>
        </is>
      </c>
      <c r="I330" t="inlineStr">
        <is>
          <t>សរុប</t>
        </is>
      </c>
    </row>
    <row r="331">
      <c r="A331" s="3" t="inlineStr">
        <is>
          <t>common.unknown</t>
        </is>
      </c>
      <c r="B331" s="3" t="inlineStr">
        <is>
          <t>Chưa xác định</t>
        </is>
      </c>
      <c r="C331" s="3" t="inlineStr">
        <is>
          <t>Unknown</t>
        </is>
      </c>
      <c r="D331" s="217">
        <f>IFERROR(__xludf.DUMMYFUNCTION("GOOGLETRANSLATE(C331,""vi"",""km"")"),"មិនស្គាល់")</f>
        <v/>
      </c>
      <c r="E331" s="3" t="n"/>
      <c r="F331" s="3" t="inlineStr">
        <is>
          <t>មិនទាន់កំណត់</t>
        </is>
      </c>
      <c r="G331" s="3" t="n"/>
      <c r="H331" s="217" t="inlineStr">
        <is>
          <t>"common.unknown": "មិនទាន់កំណត់",</t>
        </is>
      </c>
      <c r="I331" t="inlineStr">
        <is>
          <t>មិនទាន់កំណត់</t>
        </is>
      </c>
    </row>
    <row r="332">
      <c r="A332" s="3" t="inlineStr">
        <is>
          <t>common.update</t>
        </is>
      </c>
      <c r="B332" s="3" t="inlineStr">
        <is>
          <t>Cập nhật</t>
        </is>
      </c>
      <c r="C332" s="3" t="inlineStr">
        <is>
          <t>Update</t>
        </is>
      </c>
      <c r="D332" s="217">
        <f>IFERROR(__xludf.DUMMYFUNCTION("GOOGLETRANSLATE(C332,""vi"",""km"")"),"ធ្វើបច្ចុប្បន្នភាព")</f>
        <v/>
      </c>
      <c r="E332" s="3" t="n"/>
      <c r="F332" s="3" t="inlineStr">
        <is>
          <t>ធ្វើបច្ចុប្បន្នភាព</t>
        </is>
      </c>
      <c r="G332" s="3" t="n"/>
      <c r="H332" s="217" t="inlineStr">
        <is>
          <t>"common.update": "ធ្វើបច្ចុប្បន្នភាព",</t>
        </is>
      </c>
      <c r="I332" t="inlineStr">
        <is>
          <t>ធ្វើបច្ចុប្បន្នភាព</t>
        </is>
      </c>
    </row>
    <row r="333">
      <c r="A333" s="3" t="inlineStr">
        <is>
          <t>common.updateFail</t>
        </is>
      </c>
      <c r="B333" s="3" t="inlineStr">
        <is>
          <t>Cập nhật thất bại</t>
        </is>
      </c>
      <c r="C333" s="3" t="inlineStr">
        <is>
          <t>Failed to update</t>
        </is>
      </c>
      <c r="D333" s="217">
        <f>IFERROR(__xludf.DUMMYFUNCTION("GOOGLETRANSLATE(C333,""vi"",""km"")"),"បរាជ័យក្នុងការធ្វើបច្ចុប្បន្នភាព")</f>
        <v/>
      </c>
      <c r="E333" s="3" t="n"/>
      <c r="F333" s="3" t="inlineStr">
        <is>
          <t>បរាជ័យក្នុងការធ្វើបច្ចុប្បន្នភាព</t>
        </is>
      </c>
      <c r="G333" s="3" t="n"/>
      <c r="H333" s="217" t="inlineStr">
        <is>
          <t>"common.updateFail": "បរាជ័យក្នុងការធ្វើបច្ចុប្បន្នភាព",</t>
        </is>
      </c>
      <c r="I333" t="inlineStr">
        <is>
          <t>បរាជ័យក្នុងការធ្វើបច្ចុប្បន្នភាព</t>
        </is>
      </c>
    </row>
    <row r="334">
      <c r="A334" s="3" t="inlineStr">
        <is>
          <t>common.updateSuccess</t>
        </is>
      </c>
      <c r="B334" s="3" t="inlineStr">
        <is>
          <t>Cập nhật thành công</t>
        </is>
      </c>
      <c r="C334" s="3" t="inlineStr">
        <is>
          <t>Successfully updated</t>
        </is>
      </c>
      <c r="D334" s="217">
        <f>IFERROR(__xludf.DUMMYFUNCTION("GOOGLETRANSLATE(C334,""vi"",""km"")"),"បានធ្វើបច្ចុប្បន្នភាពដោយជោគជ័យ")</f>
        <v/>
      </c>
      <c r="E334" s="3" t="n"/>
      <c r="F334" s="3" t="inlineStr">
        <is>
          <t>បានធ្វើបច្ចុប្បន្នភាពដោយជោគជ័យ</t>
        </is>
      </c>
      <c r="G334" s="3" t="n"/>
      <c r="H334" s="217" t="inlineStr">
        <is>
          <t>"common.updateSuccess": "បានធ្វើបច្ចុប្បន្នភាពដោយជោគជ័យ",</t>
        </is>
      </c>
      <c r="I334" t="inlineStr">
        <is>
          <t>បានធ្វើបច្ចុប្បន្នភាពដោយជោគជ័យ</t>
        </is>
      </c>
    </row>
    <row r="335">
      <c r="A335" s="3" t="inlineStr">
        <is>
          <t>common.user</t>
        </is>
      </c>
      <c r="B335" s="3" t="inlineStr">
        <is>
          <t>Nhân viên</t>
        </is>
      </c>
      <c r="C335" s="3" t="inlineStr">
        <is>
          <t>Employee</t>
        </is>
      </c>
      <c r="D335" s="217">
        <f>IFERROR(__xludf.DUMMYFUNCTION("GOOGLETRANSLATE(C335,""vi"",""km"")"),"បុគ្គលិក")</f>
        <v/>
      </c>
      <c r="E335" s="3" t="n"/>
      <c r="F335" s="3" t="inlineStr">
        <is>
          <t>បុគ្គលិក</t>
        </is>
      </c>
      <c r="G335" s="3" t="n"/>
      <c r="H335" s="217" t="inlineStr">
        <is>
          <t>"common.user": "បុគ្គលិក",</t>
        </is>
      </c>
      <c r="I335" t="inlineStr">
        <is>
          <t>បុគ្គលិក</t>
        </is>
      </c>
    </row>
    <row r="336">
      <c r="A336" s="3" t="inlineStr">
        <is>
          <t>common.validateEmail</t>
        </is>
      </c>
      <c r="B336" s="3" t="inlineStr">
        <is>
          <t>Vui lòng điền đúng định dạng email</t>
        </is>
      </c>
      <c r="C336" s="3" t="inlineStr">
        <is>
          <t>Please enter in the correct email format</t>
        </is>
      </c>
      <c r="D336" s="217">
        <f>IFERROR(__xludf.DUMMYFUNCTION("GOOGLETRANSLATE(C336,""vi"",""km"")"),"សូមបញ្ចូលទម្រង់អ៊ីមែលដែលត្រឹមត្រូវ")</f>
        <v/>
      </c>
      <c r="E336" s="3" t="n"/>
      <c r="F336" s="3" t="inlineStr">
        <is>
          <t>សូមបញ្ចូលទម្រង់អ៊ីមែលដែលត្រឹមត្រូវ</t>
        </is>
      </c>
      <c r="G336" s="3" t="n"/>
      <c r="H336" s="217" t="inlineStr">
        <is>
          <t>"common.validateEmail": "សូមបញ្ចូលទម្រង់អ៊ីមែលដែលត្រឹមត្រូវ",</t>
        </is>
      </c>
      <c r="I336" t="inlineStr">
        <is>
          <t>សូមបញ្ចូលទម្រង់អ៊ីមែលដែលត្រឹមត្រូវ</t>
        </is>
      </c>
    </row>
    <row r="337">
      <c r="A337" s="3" t="inlineStr">
        <is>
          <t>common.viewDetail</t>
        </is>
      </c>
      <c r="B337" s="3" t="inlineStr">
        <is>
          <t>Xem chi tiết</t>
        </is>
      </c>
      <c r="C337" s="3" t="inlineStr">
        <is>
          <t>Detail</t>
        </is>
      </c>
      <c r="D337" s="217">
        <f>IFERROR(__xludf.DUMMYFUNCTION("GOOGLETRANSLATE(C337,""vi"",""km"")"),"ព័ត៌មានលម្អិត")</f>
        <v/>
      </c>
      <c r="E337" s="3" t="n"/>
      <c r="F337" s="3" t="inlineStr">
        <is>
          <t>មើលព័ត៌មានលម្អិត</t>
        </is>
      </c>
      <c r="G337" s="3" t="n"/>
      <c r="H337" s="217" t="inlineStr">
        <is>
          <t>"common.viewDetail": "មើលព័ត៌មានលម្អិត",</t>
        </is>
      </c>
      <c r="I337" t="inlineStr">
        <is>
          <t>មើលព័ត៌មានលម្អិត</t>
        </is>
      </c>
    </row>
    <row r="338">
      <c r="A338" s="3" t="inlineStr">
        <is>
          <t>config.NotDefault</t>
        </is>
      </c>
      <c r="B338" s="3" t="inlineStr">
        <is>
          <t>Không mặc định</t>
        </is>
      </c>
      <c r="C338" s="3" t="inlineStr">
        <is>
          <t>Not default</t>
        </is>
      </c>
      <c r="D338" s="217">
        <f>IFERROR(__xludf.DUMMYFUNCTION("GOOGLETRANSLATE(C338,""vi"",""km"")"),"មិនមែនជាលំនាំដើមទេ")</f>
        <v/>
      </c>
      <c r="E338" s="3" t="n"/>
      <c r="F338" s="3" t="inlineStr">
        <is>
          <t>មិនកំណត់ជាលំនាំដើម</t>
        </is>
      </c>
      <c r="G338" s="3" t="n"/>
      <c r="H338" s="217" t="inlineStr">
        <is>
          <t>"config.NotDefault": "មិនកំណត់ជាលំនាំដើម",</t>
        </is>
      </c>
      <c r="I338" t="inlineStr">
        <is>
          <t>មិនកំណត់ជាលំនាំដើម</t>
        </is>
      </c>
    </row>
    <row r="339">
      <c r="A339" s="3" t="inlineStr">
        <is>
          <t>config.default</t>
        </is>
      </c>
      <c r="B339" s="3" t="inlineStr">
        <is>
          <t>Mặc định</t>
        </is>
      </c>
      <c r="C339" s="3" t="inlineStr">
        <is>
          <t>Default</t>
        </is>
      </c>
      <c r="D339" s="217">
        <f>IFERROR(__xludf.DUMMYFUNCTION("GOOGLETRANSLATE(C339,""vi"",""km"")"),"លំនាំដើម")</f>
        <v/>
      </c>
      <c r="E339" s="3" t="n"/>
      <c r="F339" s="3" t="inlineStr">
        <is>
          <t>លំនាំដើម</t>
        </is>
      </c>
      <c r="G339" s="3" t="n"/>
      <c r="H339" s="217" t="inlineStr">
        <is>
          <t>"config.default": "លំនាំដើម",</t>
        </is>
      </c>
      <c r="I339" t="inlineStr">
        <is>
          <t>លំនាំដើម</t>
        </is>
      </c>
    </row>
    <row r="340">
      <c r="A340" s="3" t="inlineStr">
        <is>
          <t>configDelivery.ACTIVE</t>
        </is>
      </c>
      <c r="B340" s="3" t="inlineStr">
        <is>
          <t>Hoạt động</t>
        </is>
      </c>
      <c r="C340" s="3" t="inlineStr">
        <is>
          <t>Active</t>
        </is>
      </c>
      <c r="D340" s="217">
        <f>IFERROR(__xludf.DUMMYFUNCTION("GOOGLETRANSLATE(C340,""vi"",""km"")"),"សកម្ម")</f>
        <v/>
      </c>
      <c r="E340" s="3" t="n"/>
      <c r="F340" s="3" t="inlineStr">
        <is>
          <t>ដំណើរការ</t>
        </is>
      </c>
      <c r="G340" s="3" t="n"/>
      <c r="H340" s="217" t="inlineStr">
        <is>
          <t>"configDelivery.ACTIVE": "ដំណើរការ",</t>
        </is>
      </c>
      <c r="I340" t="inlineStr">
        <is>
          <t>ដំណើរការ</t>
        </is>
      </c>
    </row>
    <row r="341">
      <c r="A341" s="3" t="inlineStr">
        <is>
          <t>configDelivery.INACTIVE</t>
        </is>
      </c>
      <c r="B341" s="3" t="inlineStr">
        <is>
          <t>Không hoạt động</t>
        </is>
      </c>
      <c r="C341" s="3" t="inlineStr">
        <is>
          <t>Inactive</t>
        </is>
      </c>
      <c r="D341" s="217">
        <f>IFERROR(__xludf.DUMMYFUNCTION("GOOGLETRANSLATE(C341,""vi"",""km"")"),"អសកម្ម")</f>
        <v/>
      </c>
      <c r="E341" s="3" t="n"/>
      <c r="F341" s="3" t="inlineStr">
        <is>
          <t>អសកម្ម</t>
        </is>
      </c>
      <c r="G341" s="3" t="n"/>
      <c r="H341" s="217" t="inlineStr">
        <is>
          <t>"configDelivery.INACTIVE": "អសកម្ម",</t>
        </is>
      </c>
      <c r="I341" t="inlineStr">
        <is>
          <t>អសកម្ម</t>
        </is>
      </c>
    </row>
    <row r="342">
      <c r="A342" s="3" t="inlineStr">
        <is>
          <t>configDelivery.box</t>
        </is>
      </c>
      <c r="B342" s="3" t="inlineStr">
        <is>
          <t>Hộp</t>
        </is>
      </c>
      <c r="C342" s="3" t="inlineStr">
        <is>
          <t>Box</t>
        </is>
      </c>
      <c r="D342" s="217">
        <f>IFERROR(__xludf.DUMMYFUNCTION("GOOGLETRANSLATE(C342,""vi"",""km"")"),"ប្រអប់")</f>
        <v/>
      </c>
      <c r="E342" s="3" t="n"/>
      <c r="F342" s="3" t="inlineStr">
        <is>
          <t>ប្រអប់</t>
        </is>
      </c>
      <c r="G342" s="3" t="n"/>
      <c r="H342" s="217" t="inlineStr">
        <is>
          <t>"configDelivery.box": "ប្រអប់",</t>
        </is>
      </c>
      <c r="I342" t="inlineStr">
        <is>
          <t>ប្រអប់</t>
        </is>
      </c>
    </row>
    <row r="343">
      <c r="A343" s="3" t="inlineStr">
        <is>
          <t>configDelivery.getDetailFail</t>
        </is>
      </c>
      <c r="B343" s="3" t="inlineStr">
        <is>
          <t>Lỗi dữ liệu chi tiết tuyến giao</t>
        </is>
      </c>
      <c r="C343" s="3" t="inlineStr">
        <is>
          <t>Error in route detail data</t>
        </is>
      </c>
      <c r="D343" s="217">
        <f>IFERROR(__xludf.DUMMYFUNCTION("GOOGLETRANSLATE(C343,""vi"",""km"")"),"កំហុសក្នុងទិន្នន័យលម្អិតផ្លូវ")</f>
        <v/>
      </c>
      <c r="E343" s="3" t="n"/>
      <c r="F343" s="3" t="inlineStr">
        <is>
          <t>កំហុសក្នុងទិន្នន័យលម្អិតផ្លូវ</t>
        </is>
      </c>
      <c r="G343" s="3" t="n"/>
      <c r="H343" s="217" t="inlineStr">
        <is>
          <t>"configDelivery.getDetailFail": "កំហុសក្នុងទិន្នន័យលម្អិតផ្លូវ",</t>
        </is>
      </c>
      <c r="I343" t="inlineStr">
        <is>
          <t>កំហុសក្នុងទិន្នន័យលម្អិតផ្លូវ</t>
        </is>
      </c>
    </row>
    <row r="344">
      <c r="A344" s="3" t="inlineStr">
        <is>
          <t>configDelivery.leaderRoute</t>
        </is>
      </c>
      <c r="B344" s="3" t="inlineStr">
        <is>
          <t>Mặc định</t>
        </is>
      </c>
      <c r="C344" s="3" t="inlineStr">
        <is>
          <t>Default</t>
        </is>
      </c>
      <c r="D344" s="217">
        <f>IFERROR(__xludf.DUMMYFUNCTION("GOOGLETRANSLATE(C344,""vi"",""km"")"),"លំនាំដើម")</f>
        <v/>
      </c>
      <c r="E344" s="3" t="n"/>
      <c r="F344" s="3" t="inlineStr">
        <is>
          <t>លំនាំដើម</t>
        </is>
      </c>
      <c r="G344" s="3" t="n"/>
      <c r="H344" s="217" t="inlineStr">
        <is>
          <t>"configDelivery.leaderRoute": "លំនាំដើម",</t>
        </is>
      </c>
      <c r="I344" t="inlineStr">
        <is>
          <t>លំនាំដើម</t>
        </is>
      </c>
    </row>
    <row r="345">
      <c r="A345" s="3" t="inlineStr">
        <is>
          <t>configDelivery.nameRoute</t>
        </is>
      </c>
      <c r="B345" s="3" t="inlineStr">
        <is>
          <t>Tuyến</t>
        </is>
      </c>
      <c r="C345" s="3" t="inlineStr">
        <is>
          <t>Route</t>
        </is>
      </c>
      <c r="D345" s="217">
        <f>IFERROR(__xludf.DUMMYFUNCTION("GOOGLETRANSLATE(C345,""vi"",""km"")"),"ផ្លូវ")</f>
        <v/>
      </c>
      <c r="E345" s="3" t="n"/>
      <c r="F345" s="3" t="inlineStr">
        <is>
          <t>ផ្លូវ</t>
        </is>
      </c>
      <c r="G345" s="3" t="n"/>
      <c r="H345" s="217" t="inlineStr">
        <is>
          <t>"configDelivery.nameRoute": "ផ្លូវ",</t>
        </is>
      </c>
      <c r="I345" t="inlineStr">
        <is>
          <t>ផ្លូវ</t>
        </is>
      </c>
    </row>
    <row r="346">
      <c r="A346" s="3" t="inlineStr">
        <is>
          <t>configDelivery.searchPlaceholder</t>
        </is>
      </c>
      <c r="B346" s="3" t="inlineStr">
        <is>
          <t>Nhập tên tuyến hoặc số hộp</t>
        </is>
      </c>
      <c r="C346" s="3" t="inlineStr">
        <is>
          <t>Enter route name or box number</t>
        </is>
      </c>
      <c r="D346" s="217">
        <f>IFERROR(__xludf.DUMMYFUNCTION("GOOGLETRANSLATE(C346,""vi"",""km"")"),"បញ្ចូលឈ្មោះផ្លូវ ឬលេខប្រអប់")</f>
        <v/>
      </c>
      <c r="E346" s="3" t="n"/>
      <c r="F346" s="3" t="inlineStr">
        <is>
          <t>បញ្ចូលឈ្មោះផ្លូវ ឬលេខប្រអប់</t>
        </is>
      </c>
      <c r="G346" s="3" t="n"/>
      <c r="H346" s="217" t="inlineStr">
        <is>
          <t>"configDelivery.searchPlaceholder": "បញ្ចូលឈ្មោះផ្លូវ ឬលេខប្រអប់",</t>
        </is>
      </c>
      <c r="I346" t="inlineStr">
        <is>
          <t>បញ្ចូលឈ្មោះផ្លូវ ឬលេខប្រអប់</t>
        </is>
      </c>
    </row>
    <row r="347">
      <c r="A347" s="3" t="inlineStr">
        <is>
          <t>configDelivery.status</t>
        </is>
      </c>
      <c r="B347" s="3" t="inlineStr">
        <is>
          <t>Trạng thái</t>
        </is>
      </c>
      <c r="C347" s="3" t="inlineStr">
        <is>
          <t>Status</t>
        </is>
      </c>
      <c r="D347" s="217">
        <f>IFERROR(__xludf.DUMMYFUNCTION("GOOGLETRANSLATE(C347,""vi"",""km"")"),"ស្ថានភាព")</f>
        <v/>
      </c>
      <c r="E347" s="3" t="n"/>
      <c r="F347" s="3" t="inlineStr">
        <is>
          <t>ស្ថានភាព</t>
        </is>
      </c>
      <c r="G347" s="3" t="n"/>
      <c r="H347" s="217" t="inlineStr">
        <is>
          <t>"configDelivery.status": "ស្ថានភាព",</t>
        </is>
      </c>
      <c r="I347" t="inlineStr">
        <is>
          <t>ស្ថានភាព</t>
        </is>
      </c>
    </row>
    <row r="348">
      <c r="A348" s="3" t="inlineStr">
        <is>
          <t>configDelivery.total</t>
        </is>
      </c>
      <c r="B348" s="3" t="inlineStr">
        <is>
          <t>Tổng số tuyến giao</t>
        </is>
      </c>
      <c r="C348" s="3" t="inlineStr">
        <is>
          <t>Total route</t>
        </is>
      </c>
      <c r="D348" s="217">
        <f>IFERROR(__xludf.DUMMYFUNCTION("GOOGLETRANSLATE(C348,""vi"",""km"")"),"ផ្លូវសរុប")</f>
        <v/>
      </c>
      <c r="E348" s="3" t="n"/>
      <c r="F348" s="3" t="inlineStr">
        <is>
          <t>ផ្លូវសរុប</t>
        </is>
      </c>
      <c r="G348" s="3" t="n"/>
      <c r="H348" s="217" t="inlineStr">
        <is>
          <t>"configDelivery.total": "ផ្លូវសរុប",</t>
        </is>
      </c>
      <c r="I348" t="inlineStr">
        <is>
          <t>ផ្លូវសរុប</t>
        </is>
      </c>
    </row>
    <row r="349">
      <c r="A349" s="3" t="inlineStr">
        <is>
          <t>configDelivery.updateAt</t>
        </is>
      </c>
      <c r="B349" s="3" t="inlineStr">
        <is>
          <t>Ngày cập nhật</t>
        </is>
      </c>
      <c r="C349" s="3" t="inlineStr">
        <is>
          <t>Updated time</t>
        </is>
      </c>
      <c r="D349" s="217">
        <f>IFERROR(__xludf.DUMMYFUNCTION("GOOGLETRANSLATE(C349,""vi"",""km"")"),"ពេលវេលាដែលបានធ្វើបច្ចុប្បន្នភាព")</f>
        <v/>
      </c>
      <c r="E349" s="3" t="n"/>
      <c r="F349" s="3" t="inlineStr">
        <is>
          <t>ពេលវេលាដែលបានធ្វើបច្ចុប្បន្នភាព</t>
        </is>
      </c>
      <c r="G349" s="3" t="n"/>
      <c r="H349" s="217" t="inlineStr">
        <is>
          <t>"configDelivery.updateAt": "ពេលវេលាដែលបានធ្វើបច្ចុប្បន្នភាព",</t>
        </is>
      </c>
      <c r="I349" t="inlineStr">
        <is>
          <t>ពេលវេលាដែលបានធ្វើបច្ចុប្បន្នភាព</t>
        </is>
      </c>
    </row>
    <row r="350">
      <c r="A350" s="3" t="inlineStr">
        <is>
          <t>configDelivery.updateBy</t>
        </is>
      </c>
      <c r="B350" s="3" t="inlineStr">
        <is>
          <t>Người cập nhật</t>
        </is>
      </c>
      <c r="C350" s="3" t="inlineStr">
        <is>
          <t>Updater</t>
        </is>
      </c>
      <c r="D350" s="217">
        <f>IFERROR(__xludf.DUMMYFUNCTION("GOOGLETRANSLATE(C350,""vi"",""km"")"),"កម្មវិធីធ្វើបច្ចុប្បន្នភាព")</f>
        <v/>
      </c>
      <c r="E350" s="3" t="n"/>
      <c r="F350" s="3" t="inlineStr">
        <is>
          <t>កម្មវិធីធ្វើបច្ចុប្បន្នភាព</t>
        </is>
      </c>
      <c r="G350" s="3" t="n"/>
      <c r="H350" s="217" t="inlineStr">
        <is>
          <t>"configDelivery.updateBy": "កម្មវិធីធ្វើបច្ចុប្បន្នភាព",</t>
        </is>
      </c>
      <c r="I350" t="inlineStr">
        <is>
          <t>កម្មវិធីធ្វើបច្ចុប្បន្នភាព</t>
        </is>
      </c>
    </row>
    <row r="351">
      <c r="A351" s="3" t="inlineStr">
        <is>
          <t>configReceivingDelivery.delivery</t>
        </is>
      </c>
      <c r="B351" s="3" t="inlineStr">
        <is>
          <t>Cấu hình tuyến giao</t>
        </is>
      </c>
      <c r="C351" s="3" t="inlineStr">
        <is>
          <t>Config of delivery route</t>
        </is>
      </c>
      <c r="D351" s="217">
        <f>IFERROR(__xludf.DUMMYFUNCTION("GOOGLETRANSLATE(C351,""vi"",""km"")"),"ការកំណត់រចនាសម្ព័ន្ធផ្លូវដឹកជញ្ជូន")</f>
        <v/>
      </c>
      <c r="E351" s="3" t="n"/>
      <c r="F351" s="3" t="inlineStr">
        <is>
          <t>ការកំណត់រចនាសម្ព័ន្ធផ្លូវដឹកជញ្ជូន</t>
        </is>
      </c>
      <c r="G351" s="3" t="n"/>
      <c r="H351" s="217" t="inlineStr">
        <is>
          <t>"configReceivingDelivery.delivery": "ការកំណត់រចនាសម្ព័ន្ធផ្លូវដឹកជញ្ជូន",</t>
        </is>
      </c>
      <c r="I351" t="inlineStr">
        <is>
          <t>ការកំណត់រចនាសម្ព័ន្ធផ្លូវដឹកជញ្ជូន</t>
        </is>
      </c>
    </row>
    <row r="352">
      <c r="A352" s="3" t="inlineStr">
        <is>
          <t>configReceivingDelivery.receiving</t>
        </is>
      </c>
      <c r="B352" s="3" t="inlineStr">
        <is>
          <t>Cấu hình tuyến nhận</t>
        </is>
      </c>
      <c r="C352" s="3" t="inlineStr">
        <is>
          <t>Config of receiving route</t>
        </is>
      </c>
      <c r="D352" s="217">
        <f>IFERROR(__xludf.DUMMYFUNCTION("GOOGLETRANSLATE(C352,""vi"",""km"")"),"ការកំណត់រចនាសម្ព័ន្ធផ្លូវទទួល")</f>
        <v/>
      </c>
      <c r="E352" s="3" t="n"/>
      <c r="F352" s="3" t="inlineStr">
        <is>
          <t>ការកំណត់រចនាសម្ព័ន្ធផ្លូវទទួល</t>
        </is>
      </c>
      <c r="G352" s="3" t="n"/>
      <c r="H352" s="217" t="inlineStr">
        <is>
          <t>"configReceivingDelivery.receiving": "ការកំណត់រចនាសម្ព័ន្ធផ្លូវទទួល",</t>
        </is>
      </c>
      <c r="I352" t="inlineStr">
        <is>
          <t>ការកំណត់រចនាសម្ព័ន្ធផ្លូវទទួល</t>
        </is>
      </c>
    </row>
    <row r="353">
      <c r="A353" s="3" t="inlineStr">
        <is>
          <t>configRoute.area</t>
        </is>
      </c>
      <c r="B353" s="3" t="inlineStr">
        <is>
          <t>Địa danh</t>
        </is>
      </c>
      <c r="C353" s="3" t="inlineStr">
        <is>
          <t>Area</t>
        </is>
      </c>
      <c r="D353" s="217">
        <f>IFERROR(__xludf.DUMMYFUNCTION("GOOGLETRANSLATE(C353,""vi"",""km"")"),"បង្ហូរ")</f>
        <v/>
      </c>
      <c r="E353" s="3" t="n"/>
      <c r="F353" s="3" t="inlineStr">
        <is>
          <t>ទីតាំងភូមិសាស្ត្រ</t>
        </is>
      </c>
      <c r="G353" s="3" t="n"/>
      <c r="H353" s="217" t="inlineStr">
        <is>
          <t>"configRoute.area": "ទីតាំងភូមិសាស្ត្រ",</t>
        </is>
      </c>
      <c r="I353" t="inlineStr">
        <is>
          <t>ទីតាំងភូមិសាស្ត្រ</t>
        </is>
      </c>
    </row>
    <row r="354">
      <c r="A354" s="3" t="inlineStr">
        <is>
          <t>configRoute.createConfig</t>
        </is>
      </c>
      <c r="B354" s="3" t="inlineStr">
        <is>
          <t>Thêm mới cấu hình</t>
        </is>
      </c>
      <c r="C354" s="3" t="inlineStr">
        <is>
          <t>Create new config</t>
        </is>
      </c>
      <c r="D354" s="217">
        <f>IFERROR(__xludf.DUMMYFUNCTION("GOOGLETRANSLATE(C354,""vi"",""km"")"),"បង្កើតការកំណត់រចនាសម្ព័ន្ធថ្មី")</f>
        <v/>
      </c>
      <c r="E354" s="3" t="n"/>
      <c r="F354" s="3" t="inlineStr">
        <is>
          <t>បន្ថែមការកំណត់ថ្មី</t>
        </is>
      </c>
      <c r="G354" s="3" t="n"/>
      <c r="H354" s="217" t="inlineStr">
        <is>
          <t>"configRoute.createConfig": "បន្ថែមការកំណត់ថ្មី",</t>
        </is>
      </c>
      <c r="I354" t="inlineStr">
        <is>
          <t>បន្ថែមការកំណត់ថ្មី</t>
        </is>
      </c>
    </row>
    <row r="355">
      <c r="A355" s="3" t="inlineStr">
        <is>
          <t>configRoute.minKeyword</t>
        </is>
      </c>
      <c r="B355" s="3" t="inlineStr">
        <is>
          <t>Tìm kiếm tối thiếu 2 kí tự</t>
        </is>
      </c>
      <c r="C355" s="3" t="inlineStr">
        <is>
          <t>Minimum 2 characters for search pickup route</t>
        </is>
      </c>
      <c r="D355" s="217">
        <f>IFERROR(__xludf.DUMMYFUNCTION("GOOGLETRANSLATE(C355,""vi"",""km"")"),"យ៉ាងតិច 2 តួអក្សរសម្រាប់ផ្លូវស្វែងរក")</f>
        <v/>
      </c>
      <c r="E355" s="3" t="n"/>
      <c r="F355" s="3" t="inlineStr">
        <is>
          <t>យ៉ាងតិច 2 តួអក្សរសម្រាប់ផ្លូវស្វែងរក</t>
        </is>
      </c>
      <c r="G355" s="3" t="n"/>
      <c r="H355" s="217" t="inlineStr">
        <is>
          <t>"configRoute.minKeyword": "យ៉ាងតិច 2 តួអក្សរសម្រាប់ផ្លូវស្វែងរក",</t>
        </is>
      </c>
      <c r="I355" t="inlineStr">
        <is>
          <t>យ៉ាងតិច 2 តួអក្សរសម្រាប់ផ្លូវស្វែងរក</t>
        </is>
      </c>
    </row>
    <row r="356">
      <c r="A356" s="3" t="inlineStr">
        <is>
          <t>configRoute.postman</t>
        </is>
      </c>
      <c r="B356" s="3" t="inlineStr">
        <is>
          <t>Bưu tá</t>
        </is>
      </c>
      <c r="C356" s="3" t="inlineStr">
        <is>
          <t>Postman</t>
        </is>
      </c>
      <c r="D356" s="217">
        <f>IFERROR(__xludf.DUMMYFUNCTION("GOOGLETRANSLATE(C356,""vi"",""km"")"),"អ្នករត់សំបុត្រ")</f>
        <v/>
      </c>
      <c r="E356" s="3" t="n"/>
      <c r="F356" s="3" t="inlineStr">
        <is>
          <t>បុគ្គលិកដឹកជញ្ជូន</t>
        </is>
      </c>
      <c r="G356" s="3" t="n"/>
      <c r="H356" s="217" t="inlineStr">
        <is>
          <t>"configRoute.postman": "បុគ្គលិកដឹកជញ្ជូន",</t>
        </is>
      </c>
      <c r="I356" t="inlineStr">
        <is>
          <t>បុគ្គលិកដឹកជញ្ជូន</t>
        </is>
      </c>
    </row>
    <row r="357">
      <c r="A357" s="3" t="inlineStr">
        <is>
          <t>configRoute.route</t>
        </is>
      </c>
      <c r="B357" s="3" t="inlineStr">
        <is>
          <t>Tuyến</t>
        </is>
      </c>
      <c r="C357" s="3" t="inlineStr">
        <is>
          <t>Route</t>
        </is>
      </c>
      <c r="D357" s="217">
        <f>IFERROR(__xludf.DUMMYFUNCTION("GOOGLETRANSLATE(C357,""vi"",""km"")"),"ផ្លូវ")</f>
        <v/>
      </c>
      <c r="E357" s="3" t="n"/>
      <c r="F357" s="3" t="inlineStr">
        <is>
          <t>ផ្លូវ</t>
        </is>
      </c>
      <c r="G357" s="3" t="n"/>
      <c r="H357" s="217" t="inlineStr">
        <is>
          <t>"configRoute.route": "ផ្លូវ",</t>
        </is>
      </c>
      <c r="I357" t="inlineStr">
        <is>
          <t>ផ្លូវ</t>
        </is>
      </c>
    </row>
    <row r="358">
      <c r="A358" s="3" t="inlineStr">
        <is>
          <t>configRoute.routeInformation</t>
        </is>
      </c>
      <c r="B358" s="3" t="inlineStr">
        <is>
          <t>Thông tin tuyến</t>
        </is>
      </c>
      <c r="C358" s="3" t="inlineStr">
        <is>
          <t>Route information</t>
        </is>
      </c>
      <c r="D358" s="217">
        <f>IFERROR(__xludf.DUMMYFUNCTION("GOOGLETRANSLATE(C358,""vi"",""km"")"),"ព័ត៌មានផ្លូវ")</f>
        <v/>
      </c>
      <c r="E358" s="3" t="n"/>
      <c r="F358" s="3" t="inlineStr">
        <is>
          <t>ព័ត៌មានផ្លូវ</t>
        </is>
      </c>
      <c r="G358" s="3" t="n"/>
      <c r="H358" s="217" t="inlineStr">
        <is>
          <t>"configRoute.routeInformation": "ព័ត៌មានផ្លូវ",</t>
        </is>
      </c>
      <c r="I358" t="inlineStr">
        <is>
          <t>ព័ត៌មានផ្លូវ</t>
        </is>
      </c>
    </row>
    <row r="359">
      <c r="A359" s="3" t="inlineStr">
        <is>
          <t>configRoute.route_leader</t>
        </is>
      </c>
      <c r="B359" s="3" t="inlineStr">
        <is>
          <t>Mặc định</t>
        </is>
      </c>
      <c r="C359" s="3" t="inlineStr">
        <is>
          <t>Route Lead</t>
        </is>
      </c>
      <c r="D359" s="217">
        <f>IFERROR(__xludf.DUMMYFUNCTION("GOOGLETRANSLATE(C359,""vi"",""km"")"),"នាំមុខផ្លូវ")</f>
        <v/>
      </c>
      <c r="E359" s="3" t="n"/>
      <c r="F359" s="3" t="inlineStr">
        <is>
          <t>លំនាំដើម</t>
        </is>
      </c>
      <c r="G359" s="3" t="n"/>
      <c r="H359" s="217" t="inlineStr">
        <is>
          <t>"configRoute.route_leader": "លំនាំដើម",</t>
        </is>
      </c>
      <c r="I359" t="inlineStr">
        <is>
          <t>លំនាំដើម</t>
        </is>
      </c>
    </row>
    <row r="360">
      <c r="A360" s="3" t="inlineStr">
        <is>
          <t>configRoute.searchKeyword</t>
        </is>
      </c>
      <c r="B360" s="3" t="inlineStr">
        <is>
          <t>Tuyến nhận</t>
        </is>
      </c>
      <c r="C360" s="3" t="inlineStr">
        <is>
          <t>Pickup route</t>
        </is>
      </c>
      <c r="D360" s="217">
        <f>IFERROR(__xludf.DUMMYFUNCTION("GOOGLETRANSLATE(C360,""vi"",""km"")"),"ផ្លូវទៅយក")</f>
        <v/>
      </c>
      <c r="E360" s="3" t="n"/>
      <c r="F360" s="3" t="inlineStr">
        <is>
          <t>ផ្លូវទៅយក</t>
        </is>
      </c>
      <c r="G360" s="3" t="n"/>
      <c r="H360" s="217" t="inlineStr">
        <is>
          <t>"configRoute.searchKeyword": "ផ្លូវទៅយក",</t>
        </is>
      </c>
      <c r="I360" t="inlineStr">
        <is>
          <t>ផ្លូវទៅយក</t>
        </is>
      </c>
    </row>
    <row r="361">
      <c r="A361" s="3" t="inlineStr">
        <is>
          <t>configRoute.searchPlaceholder</t>
        </is>
      </c>
      <c r="B361" s="3" t="inlineStr">
        <is>
          <t>Nhập tên tuyến</t>
        </is>
      </c>
      <c r="C361" s="3" t="inlineStr">
        <is>
          <t>Enter pickup route</t>
        </is>
      </c>
      <c r="D361" s="217">
        <f>IFERROR(__xludf.DUMMYFUNCTION("GOOGLETRANSLATE(C361,""vi"",""km"")"),"បញ្ចូលផ្លូវទៅយក")</f>
        <v/>
      </c>
      <c r="E361" s="3" t="n"/>
      <c r="F361" s="3" t="inlineStr">
        <is>
          <t>បញ្ចូលផ្លូវទៅយក</t>
        </is>
      </c>
      <c r="G361" s="3" t="n"/>
      <c r="H361" s="217" t="inlineStr">
        <is>
          <t>"configRoute.searchPlaceholder": "បញ្ចូលផ្លូវទៅយក",</t>
        </is>
      </c>
      <c r="I361" t="inlineStr">
        <is>
          <t>បញ្ចូលផ្លូវទៅយក</t>
        </is>
      </c>
    </row>
    <row r="362">
      <c r="A362" s="3" t="inlineStr">
        <is>
          <t>configRoute.timeUpdate</t>
        </is>
      </c>
      <c r="B362" s="3" t="inlineStr">
        <is>
          <t>Ngày cập nhật</t>
        </is>
      </c>
      <c r="C362" s="3" t="inlineStr">
        <is>
          <t>Update at</t>
        </is>
      </c>
      <c r="D362" s="217">
        <f>IFERROR(__xludf.DUMMYFUNCTION("GOOGLETRANSLATE(C362,""vi"",""km"")"),"ធ្វើបច្ចុប្បន្នភាពនៅ")</f>
        <v/>
      </c>
      <c r="E362" s="3" t="n"/>
      <c r="F362" s="3" t="inlineStr">
        <is>
          <t>ធ្វើបច្ចុប្បន្នភាពនៅ</t>
        </is>
      </c>
      <c r="G362" s="3" t="n"/>
      <c r="H362" s="217" t="inlineStr">
        <is>
          <t>"configRoute.timeUpdate": "ធ្វើបច្ចុប្បន្នភាពនៅ",</t>
        </is>
      </c>
      <c r="I362" t="inlineStr">
        <is>
          <t>ធ្វើបច្ចុប្បន្នភាពនៅ</t>
        </is>
      </c>
    </row>
    <row r="363">
      <c r="A363" s="3" t="inlineStr">
        <is>
          <t>configRoute.total</t>
        </is>
      </c>
      <c r="B363" s="3" t="inlineStr">
        <is>
          <t>Tổng số tuyến nhận</t>
        </is>
      </c>
      <c r="C363" s="3" t="inlineStr">
        <is>
          <t>Total pickup routes</t>
        </is>
      </c>
      <c r="D363" s="217">
        <f>IFERROR(__xludf.DUMMYFUNCTION("GOOGLETRANSLATE(C363,""vi"",""km"")"),"ផ្លូវទៅយកសរុប")</f>
        <v/>
      </c>
      <c r="E363" s="3" t="n"/>
      <c r="F363" s="3" t="inlineStr">
        <is>
          <t>ផ្លូវទៅយកសរុប</t>
        </is>
      </c>
      <c r="G363" s="3" t="n"/>
      <c r="H363" s="217" t="inlineStr">
        <is>
          <t>"configRoute.total": "ផ្លូវទៅយកសរុប",</t>
        </is>
      </c>
      <c r="I363" t="inlineStr">
        <is>
          <t>ផ្លូវទៅយកសរុប</t>
        </is>
      </c>
    </row>
    <row r="364">
      <c r="A364" s="3" t="inlineStr">
        <is>
          <t>configRoute.updateConfig</t>
        </is>
      </c>
      <c r="B364" s="3" t="inlineStr">
        <is>
          <t>Chỉnh sửa cấu hình</t>
        </is>
      </c>
      <c r="C364" s="3" t="inlineStr">
        <is>
          <t>Update config</t>
        </is>
      </c>
      <c r="D364" s="217">
        <f>IFERROR(__xludf.DUMMYFUNCTION("GOOGLETRANSLATE(C364,""vi"",""km"")"),"ធ្វើបច្ចុប្បន្នភាពការកំណត់រចនាសម្ព័ន្ធ")</f>
        <v/>
      </c>
      <c r="E364" s="3" t="n"/>
      <c r="F364" s="3" t="inlineStr">
        <is>
          <t>កែសម្រួលការកំណត់</t>
        </is>
      </c>
      <c r="G364" s="3" t="n"/>
      <c r="H364" s="217" t="inlineStr">
        <is>
          <t>"configRoute.updateConfig": "កែសម្រួលការកំណត់",</t>
        </is>
      </c>
      <c r="I364" t="inlineStr">
        <is>
          <t>កែសម្រួលការកំណត់</t>
        </is>
      </c>
    </row>
    <row r="365">
      <c r="A365" s="3" t="inlineStr">
        <is>
          <t>configRoute.userUpdate</t>
        </is>
      </c>
      <c r="B365" s="3" t="inlineStr">
        <is>
          <t>Người cập nhật</t>
        </is>
      </c>
      <c r="C365" s="3" t="inlineStr">
        <is>
          <t>Update by</t>
        </is>
      </c>
      <c r="D365" s="217">
        <f>IFERROR(__xludf.DUMMYFUNCTION("GOOGLETRANSLATE(C365,""vi"",""km"")"),"ធ្វើបច្ចុប្បន្នភាពដោយ")</f>
        <v/>
      </c>
      <c r="E365" s="3" t="n"/>
      <c r="F365" s="3" t="inlineStr">
        <is>
          <t>ធ្វើបច្ចុប្បន្នភាពដោយ</t>
        </is>
      </c>
      <c r="G365" s="3" t="n"/>
      <c r="H365" s="217" t="inlineStr">
        <is>
          <t>"configRoute.userUpdate": "ធ្វើបច្ចុប្បន្នភាពដោយ",</t>
        </is>
      </c>
      <c r="I365" t="inlineStr">
        <is>
          <t>ធ្វើបច្ចុប្បន្នភាពដោយ</t>
        </is>
      </c>
    </row>
    <row r="366">
      <c r="A366" s="3" t="inlineStr">
        <is>
          <t>delivery.customer.search.placeholder</t>
        </is>
      </c>
      <c r="B366" s="3" t="inlineStr">
        <is>
          <t>Nhập số điện thoại hoặc email để tìm kiếm</t>
        </is>
      </c>
      <c r="C366" s="3" t="inlineStr">
        <is>
          <t>Enter phone number or email to search</t>
        </is>
      </c>
      <c r="D366" s="217">
        <f>IFERROR(__xludf.DUMMYFUNCTION("GOOGLETRANSLATE(C366,""vi"",""km"")"),"បញ្ចូលលេខទូរស័ព្ទ ឬអ៊ីមែលដើម្បីស្វែងរក")</f>
        <v/>
      </c>
      <c r="E366" s="3" t="n"/>
      <c r="F366" s="3" t="inlineStr">
        <is>
          <t>បញ្ចូលលេខទូរស័ព្ទ ឬអ៊ីមែលដើម្បីស្វែងរក</t>
        </is>
      </c>
      <c r="G366" s="3" t="n"/>
      <c r="H366" s="217" t="inlineStr">
        <is>
          <t>"delivery.customer.search.placeholder": "បញ្ចូលលេខទូរស័ព្ទ ឬអ៊ីមែលដើម្បីស្វែងរក",</t>
        </is>
      </c>
      <c r="I366" t="inlineStr">
        <is>
          <t>បញ្ចូលលេខទូរស័ព្ទ ឬអ៊ីមែលដើម្បីស្វែងរក</t>
        </is>
      </c>
    </row>
    <row r="367">
      <c r="A367" s="3" t="inlineStr">
        <is>
          <t>delivery.customer.table.address</t>
        </is>
      </c>
      <c r="B367" s="3" t="inlineStr">
        <is>
          <t>Địa chỉ</t>
        </is>
      </c>
      <c r="C367" s="3" t="inlineStr">
        <is>
          <t>Address</t>
        </is>
      </c>
      <c r="D367" s="217">
        <f>IFERROR(__xludf.DUMMYFUNCTION("GOOGLETRANSLATE(C367,""vi"",""km"")"),"មិនត្រឹមត្រូវ")</f>
        <v/>
      </c>
      <c r="E367" s="3" t="n"/>
      <c r="F367" s="3" t="inlineStr">
        <is>
          <t>អាសយដ្ឋាន</t>
        </is>
      </c>
      <c r="G367" s="3" t="n"/>
      <c r="H367" s="217" t="inlineStr">
        <is>
          <t>"delivery.customer.table.address": "អាសយដ្ឋាន",</t>
        </is>
      </c>
      <c r="I367" t="inlineStr">
        <is>
          <t>អាសយដ្ឋាន</t>
        </is>
      </c>
    </row>
    <row r="368">
      <c r="A368" s="3" t="inlineStr">
        <is>
          <t>delivery.customer.table.email</t>
        </is>
      </c>
      <c r="B368" s="3" t="inlineStr">
        <is>
          <t>Email</t>
        </is>
      </c>
      <c r="C368" s="3" t="inlineStr">
        <is>
          <t>Email</t>
        </is>
      </c>
      <c r="D368" s="217">
        <f>IFERROR(__xludf.DUMMYFUNCTION("GOOGLETRANSLATE(C368,""vi"",""km"")"),"អ៊ីមែល")</f>
        <v/>
      </c>
      <c r="E368" s="3" t="n"/>
      <c r="F368" s="3" t="inlineStr">
        <is>
          <t>អ៊ីមែល</t>
        </is>
      </c>
      <c r="G368" s="3" t="n"/>
      <c r="H368" s="217" t="inlineStr">
        <is>
          <t>"delivery.customer.table.email": "អ៊ីមែល",</t>
        </is>
      </c>
      <c r="I368" t="inlineStr">
        <is>
          <t>អ៊ីមែល</t>
        </is>
      </c>
    </row>
    <row r="369">
      <c r="A369" s="3" t="inlineStr">
        <is>
          <t>delivery.customer.table.file</t>
        </is>
      </c>
      <c r="B369" s="3" t="inlineStr">
        <is>
          <t>Files</t>
        </is>
      </c>
      <c r="C369" s="3" t="inlineStr">
        <is>
          <t>Solutions</t>
        </is>
      </c>
      <c r="D369" s="217">
        <f>IFERROR(__xludf.DUMMYFUNCTION("GOOGLETRANSLATE(C369,""vi"",""km"")"),"ប្រព័ន្ធ")</f>
        <v/>
      </c>
      <c r="E369" s="3" t="n"/>
      <c r="F369" s="3" t="inlineStr">
        <is>
          <t>ប្រព័ន្ធ</t>
        </is>
      </c>
      <c r="G369" s="3" t="n"/>
      <c r="H369" s="217" t="inlineStr">
        <is>
          <t>"delivery.customer.table.file": "ប្រព័ន្ធ",</t>
        </is>
      </c>
      <c r="I369" t="inlineStr">
        <is>
          <t>ប្រព័ន្ធ</t>
        </is>
      </c>
    </row>
    <row r="370">
      <c r="A370" s="23" t="inlineStr">
        <is>
          <t>delivery.customer.table.name</t>
        </is>
      </c>
      <c r="B370" s="3" t="inlineStr">
        <is>
          <t>Tên khách hàng</t>
        </is>
      </c>
      <c r="C370" s="3" t="inlineStr">
        <is>
          <t>Customer name</t>
        </is>
      </c>
      <c r="D370" s="217">
        <f>IFERROR(__xludf.DUMMYFUNCTION("GOOGLETRANSLATE(C370,""vi"",""km"")"),"ឈ្មោះអតិថិជន")</f>
        <v/>
      </c>
      <c r="E370" s="3" t="n"/>
      <c r="F370" s="3" t="inlineStr">
        <is>
          <t>ឈ្មោះអតិថិជន</t>
        </is>
      </c>
      <c r="G370" s="3" t="n"/>
      <c r="H370" s="217" t="inlineStr">
        <is>
          <t>"delivery.customer.table.name": "ឈ្មោះអតិថិជន",</t>
        </is>
      </c>
      <c r="I370" t="inlineStr">
        <is>
          <t>ឈ្មោះអតិថិជន</t>
        </is>
      </c>
    </row>
    <row r="371">
      <c r="A371" s="3" t="inlineStr">
        <is>
          <t>delivery.customer.table.paymentType</t>
        </is>
      </c>
      <c r="B371" s="3" t="inlineStr">
        <is>
          <t>Loại thanh toán</t>
        </is>
      </c>
      <c r="C371" s="3" t="inlineStr">
        <is>
          <t>Payment type</t>
        </is>
      </c>
      <c r="D371" s="217">
        <f>IFERROR(__xludf.DUMMYFUNCTION("GOOGLETRANSLATE(C371,""vi"",""km"")"),"ប្រភេទនៃការបង់ប្រាក់")</f>
        <v/>
      </c>
      <c r="E371" s="3" t="n"/>
      <c r="F371" s="3" t="inlineStr">
        <is>
          <t>ប្រភេទនៃការបង់ប្រាក់</t>
        </is>
      </c>
      <c r="G371" s="3" t="n"/>
      <c r="H371" s="217" t="inlineStr">
        <is>
          <t>"delivery.customer.table.paymentType": "ប្រភេទនៃការបង់ប្រាក់",</t>
        </is>
      </c>
      <c r="I371" t="inlineStr">
        <is>
          <t>ប្រភេទនៃការបង់ប្រាក់</t>
        </is>
      </c>
    </row>
    <row r="372">
      <c r="A372" s="3" t="inlineStr">
        <is>
          <t>delivery.customer.table.phone</t>
        </is>
      </c>
      <c r="B372" s="3" t="inlineStr">
        <is>
          <t>Số điện thoại</t>
        </is>
      </c>
      <c r="C372" s="3" t="inlineStr">
        <is>
          <t>Mobile number</t>
        </is>
      </c>
      <c r="D372" s="217">
        <f>IFERROR(__xludf.DUMMYFUNCTION("GOOGLETRANSLATE(C372,""vi"",""km"")"),"លេខទូរស័ព្ទចល័ត")</f>
        <v/>
      </c>
      <c r="E372" s="3" t="n"/>
      <c r="F372" s="3" t="inlineStr">
        <is>
          <t>លេខទូរស័ព្ទ</t>
        </is>
      </c>
      <c r="G372" s="3" t="n"/>
      <c r="H372" s="217" t="inlineStr">
        <is>
          <t>"delivery.customer.table.phone": "លេខទូរស័ព្ទ",</t>
        </is>
      </c>
      <c r="I372" t="inlineStr">
        <is>
          <t>លេខទូរស័ព្ទ</t>
        </is>
      </c>
    </row>
    <row r="373">
      <c r="A373" s="3" t="inlineStr">
        <is>
          <t>delivery.customer.table.status</t>
        </is>
      </c>
      <c r="B373" s="3" t="inlineStr">
        <is>
          <t>Trạng thái</t>
        </is>
      </c>
      <c r="C373" s="3" t="inlineStr">
        <is>
          <t>Status</t>
        </is>
      </c>
      <c r="D373" s="217">
        <f>IFERROR(__xludf.DUMMYFUNCTION("GOOGLETRANSLATE(C373,""vi"",""km"")"),"ស្ថានភាព")</f>
        <v/>
      </c>
      <c r="E373" s="3" t="n"/>
      <c r="F373" s="3" t="inlineStr">
        <is>
          <t>ស្ថានភាព</t>
        </is>
      </c>
      <c r="G373" s="3" t="n"/>
      <c r="H373" s="217" t="inlineStr">
        <is>
          <t>"delivery.customer.table.status": "ស្ថានភាព",</t>
        </is>
      </c>
      <c r="I373" t="inlineStr">
        <is>
          <t>ស្ថានភាព</t>
        </is>
      </c>
    </row>
    <row r="374">
      <c r="A374" s="3" t="inlineStr">
        <is>
          <t>delivery.warehouse.modifyWarehouse.emptyPostcode</t>
        </is>
      </c>
      <c r="B374" s="3" t="inlineStr">
        <is>
          <t>Kho không có bưu cục phục vụ, vui lòng cập nhật bưu cục phục vụ trước</t>
        </is>
      </c>
      <c r="C374" s="3" t="inlineStr">
        <is>
          <t>The warehouse does not have any distributed post office, please update the post office first</t>
        </is>
      </c>
      <c r="D374" s="217">
        <f>IFERROR(__xludf.DUMMYFUNCTION("GOOGLETRANSLATE(C374,""vi"",""km"")"),"ឃ្លាំងនេះមិនមានការិយាល័យប្រៃសណីយ៍ចែកចាយទេ សូមធ្វើបច្ចុប្បន្នភាពការិយាល័យប្រៃសណីយ៍ជាមុនសិន។")</f>
        <v/>
      </c>
      <c r="E374" s="3" t="n"/>
      <c r="F374" s="3" t="inlineStr">
        <is>
          <t>ឃ្លាំងមិនទាន់មានការិយាល័យប្រៃសណីយ៍បម្រើការ សូមធ្វើបច្ចុប្បន្នភាពជាមុនសិន</t>
        </is>
      </c>
      <c r="G374" s="3" t="n"/>
      <c r="H374" s="217" t="inlineStr">
        <is>
          <t>"delivery.warehouse.modifyWarehouse.emptyPostcode": "ឃ្លាំងមិនទាន់មានការិយាល័យប្រៃសណីយ៍បម្រើការ សូមធ្វើបច្ចុប្បន្នភាពជាមុនសិន",</t>
        </is>
      </c>
      <c r="I374" t="inlineStr">
        <is>
          <t>ឃ្លាំងមិនទាន់មានការិយាល័យប្រៃសណីយ៍បម្រើការ សូមធ្វើបច្ចុប្បន្នភាពជាមុនសិន</t>
        </is>
      </c>
    </row>
    <row r="375">
      <c r="A375" s="3" t="inlineStr">
        <is>
          <t>delivery.warehouse.modifyWarehouse.selectPostCode</t>
        </is>
      </c>
      <c r="B375" s="3" t="inlineStr">
        <is>
          <t>Chọn bưu cục</t>
        </is>
      </c>
      <c r="C375" s="3" t="inlineStr">
        <is>
          <t>Select Post office</t>
        </is>
      </c>
      <c r="D375" s="217">
        <f>IFERROR(__xludf.DUMMYFUNCTION("GOOGLETRANSLATE(C375,""vi"",""km"")"),"ជ្រើសរើសការិយាល័យប្រៃសណីយ៍")</f>
        <v/>
      </c>
      <c r="E375" s="3" t="n"/>
      <c r="F375" s="3" t="inlineStr">
        <is>
          <t>ជ្រើសរើសការិយាល័យប្រៃសណីយ៍</t>
        </is>
      </c>
      <c r="G375" s="3" t="n"/>
      <c r="H375" s="217" t="inlineStr">
        <is>
          <t>"delivery.warehouse.modifyWarehouse.selectPostCode": "ជ្រើសរើសការិយាល័យប្រៃសណីយ៍",</t>
        </is>
      </c>
      <c r="I375" t="inlineStr">
        <is>
          <t>ជ្រើសរើសការិយាល័យប្រៃសណីយ៍</t>
        </is>
      </c>
    </row>
    <row r="376">
      <c r="A376" s="3" t="inlineStr">
        <is>
          <t>delivery.warehouse.modifyWarehouse.selectPostman</t>
        </is>
      </c>
      <c r="B376" s="3" t="inlineStr">
        <is>
          <t>Chọn bưu tá</t>
        </is>
      </c>
      <c r="C376" s="3" t="inlineStr">
        <is>
          <t>Select Postman</t>
        </is>
      </c>
      <c r="D376" s="217">
        <f>IFERROR(__xludf.DUMMYFUNCTION("GOOGLETRANSLATE(C376,""vi"",""km"")"),"ជ្រើសរើសអ្នករត់សំបុត្រ")</f>
        <v/>
      </c>
      <c r="E376" s="3" t="n"/>
      <c r="F376" s="3" t="inlineStr">
        <is>
          <t>ជ្រើសរើសអ្នកដឹកជញ្ជូន</t>
        </is>
      </c>
      <c r="G376" s="3" t="n"/>
      <c r="H376" s="217" t="inlineStr">
        <is>
          <t>"delivery.warehouse.modifyWarehouse.selectPostman": "ជ្រើសរើសអ្នកដឹកជញ្ជូន",</t>
        </is>
      </c>
      <c r="I376" t="inlineStr">
        <is>
          <t>ជ្រើសរើសអ្នកដឹកជញ្ជូន</t>
        </is>
      </c>
    </row>
    <row r="377">
      <c r="A377" s="3" t="inlineStr">
        <is>
          <t>delivery.warehouse.modifyWarehouse.updateWarehouse</t>
        </is>
      </c>
      <c r="B377" s="3" t="inlineStr">
        <is>
          <t>Cập nhật tuyến phục vụ kho</t>
        </is>
      </c>
      <c r="C377" s="3" t="inlineStr">
        <is>
          <t>Update warehouse routes</t>
        </is>
      </c>
      <c r="D377" s="217">
        <f>IFERROR(__xludf.DUMMYFUNCTION("GOOGLETRANSLATE(C377,""vi"",""km"")"),"ធ្វើបច្ចុប្បន្នភាពផ្លូវឃ្លាំង")</f>
        <v/>
      </c>
      <c r="E377" s="3" t="n"/>
      <c r="F377" s="3" t="inlineStr">
        <is>
          <t>ធ្វើបច្ចុប្បន្នភាពខ្សែផ្លូវបម្រើការឃ្លាំង</t>
        </is>
      </c>
      <c r="G377" s="3" t="n"/>
      <c r="H377" s="217" t="inlineStr">
        <is>
          <t>"delivery.warehouse.modifyWarehouse.updateWarehouse": "ធ្វើបច្ចុប្បន្នភាពខ្សែផ្លូវបម្រើការឃ្លាំង",</t>
        </is>
      </c>
      <c r="I377" t="inlineStr">
        <is>
          <t>ធ្វើបច្ចុប្បន្នភាពខ្សែផ្លូវបម្រើការឃ្លាំង</t>
        </is>
      </c>
    </row>
    <row r="378">
      <c r="A378" s="3" t="inlineStr">
        <is>
          <t>delivery.warehouse.search.placeholder</t>
        </is>
      </c>
      <c r="B378" s="3" t="inlineStr">
        <is>
          <t>Nhập mã kho hoặc số điện thoại để tìm kiếm</t>
        </is>
      </c>
      <c r="C378" s="3" t="inlineStr">
        <is>
          <t>Enter warehouse code or mobile number</t>
        </is>
      </c>
      <c r="D378" s="217">
        <f>IFERROR(__xludf.DUMMYFUNCTION("GOOGLETRANSLATE(C378,""vi"",""km"")"),"បញ្ចូលលេខកូដឃ្លាំង ឬលេខទូរស័ព្ទដៃ")</f>
        <v/>
      </c>
      <c r="E378" s="3" t="n"/>
      <c r="F378" s="3" t="inlineStr">
        <is>
          <t>បញ្ចូលលេខកូដឃ្លាំង ឬលេខទូរស័ព្ទដៃ</t>
        </is>
      </c>
      <c r="G378" s="3" t="n"/>
      <c r="H378" s="217" t="inlineStr">
        <is>
          <t>"delivery.warehouse.search.placeholder": "បញ្ចូលលេខកូដឃ្លាំង ឬលេខទូរស័ព្ទដៃ",</t>
        </is>
      </c>
      <c r="I378" t="inlineStr">
        <is>
          <t>បញ្ចូលលេខកូដឃ្លាំង ឬលេខទូរស័ព្ទដៃ</t>
        </is>
      </c>
    </row>
    <row r="379">
      <c r="A379" s="3" t="inlineStr">
        <is>
          <t>delivery.warehouse.search.tabName</t>
        </is>
      </c>
      <c r="B379" s="3" t="inlineStr">
        <is>
          <t>Thông tin kho</t>
        </is>
      </c>
      <c r="C379" s="3" t="inlineStr">
        <is>
          <t>Warehouse infomation</t>
        </is>
      </c>
      <c r="D379" s="217">
        <f>IFERROR(__xludf.DUMMYFUNCTION("GOOGLETRANSLATE(C379,""vi"",""km"")"),"ព័ត៌មានឃ្លាំង")</f>
        <v/>
      </c>
      <c r="E379" s="3" t="n"/>
      <c r="F379" s="3" t="inlineStr">
        <is>
          <t>ព័ត៌មានឃ្លាំង</t>
        </is>
      </c>
      <c r="G379" s="3" t="n"/>
      <c r="H379" s="217" t="inlineStr">
        <is>
          <t>"delivery.warehouse.search.tabName": "ព័ត៌មានឃ្លាំង",</t>
        </is>
      </c>
      <c r="I379" t="inlineStr">
        <is>
          <t>ព័ត៌មានឃ្លាំង</t>
        </is>
      </c>
    </row>
    <row r="380">
      <c r="A380" s="3" t="inlineStr">
        <is>
          <t>delivery.warehouse.table.HOME</t>
        </is>
      </c>
      <c r="B380" s="3" t="inlineStr">
        <is>
          <t>Nhà riêng</t>
        </is>
      </c>
      <c r="C380" s="3" t="inlineStr">
        <is>
          <t>Home</t>
        </is>
      </c>
      <c r="D380" s="217">
        <f>IFERROR(__xludf.DUMMYFUNCTION("GOOGLETRANSLATE(C380,""vi"",""km"")"),"ច្រកទ្វារ")</f>
        <v/>
      </c>
      <c r="E380" s="3" t="n"/>
      <c r="F380" s="3" t="inlineStr">
        <is>
          <t>ទំព័រដើម</t>
        </is>
      </c>
      <c r="G380" s="3" t="n"/>
      <c r="H380" s="217" t="inlineStr">
        <is>
          <t>"delivery.warehouse.table.HOME": "ទំព័រដើម",</t>
        </is>
      </c>
      <c r="I380" t="inlineStr">
        <is>
          <t>ទំព័រដើម</t>
        </is>
      </c>
    </row>
    <row r="381">
      <c r="A381" s="3" t="inlineStr">
        <is>
          <t>delivery.warehouse.table.OFFICE</t>
        </is>
      </c>
      <c r="B381" s="3" t="inlineStr">
        <is>
          <t>Văn phòng</t>
        </is>
      </c>
      <c r="C381" s="3" t="inlineStr">
        <is>
          <t>Office</t>
        </is>
      </c>
      <c r="D381" s="217">
        <f>IFERROR(__xludf.DUMMYFUNCTION("GOOGLETRANSLATE(C381,""vi"",""km"")"),"ការិយាល័យ")</f>
        <v/>
      </c>
      <c r="E381" s="3" t="n"/>
      <c r="F381" s="3" t="inlineStr">
        <is>
          <t>ការិយាល័យ</t>
        </is>
      </c>
      <c r="G381" s="3" t="n"/>
      <c r="H381" s="217" t="inlineStr">
        <is>
          <t>"delivery.warehouse.table.OFFICE": "ការិយាល័យ",</t>
        </is>
      </c>
      <c r="I381" t="inlineStr">
        <is>
          <t>ការិយាល័យ</t>
        </is>
      </c>
    </row>
    <row r="382">
      <c r="A382" s="3" t="inlineStr">
        <is>
          <t>delivery.warehouse.table.POSTOFFICE</t>
        </is>
      </c>
      <c r="B382" s="3" t="inlineStr">
        <is>
          <t>Bưu cục</t>
        </is>
      </c>
      <c r="C382" s="3" t="inlineStr">
        <is>
          <t>Post Office</t>
        </is>
      </c>
      <c r="D382" s="217">
        <f>IFERROR(__xludf.DUMMYFUNCTION("GOOGLETRANSLATE(C382,""vi"",""km"")"),"ការិយាល័យប្រៃសណីយ៍")</f>
        <v/>
      </c>
      <c r="E382" s="3" t="n"/>
      <c r="F382" s="3" t="inlineStr">
        <is>
          <t>ការិយាល័យប្រៃសណីយ៍</t>
        </is>
      </c>
      <c r="G382" s="3" t="n"/>
      <c r="H382" s="217" t="inlineStr">
        <is>
          <t>"delivery.warehouse.table.POSTOFFICE": "ការិយាល័យប្រៃសណីយ៍",</t>
        </is>
      </c>
      <c r="I382" t="inlineStr">
        <is>
          <t>ការិយាល័យប្រៃសណីយ៍</t>
        </is>
      </c>
    </row>
    <row r="383">
      <c r="A383" s="3" t="inlineStr">
        <is>
          <t>delivery.warehouse.table.WAREHOUSE</t>
        </is>
      </c>
      <c r="B383" s="3" t="inlineStr">
        <is>
          <t>Kho hàng</t>
        </is>
      </c>
      <c r="C383" s="3" t="inlineStr">
        <is>
          <t>Warehouse</t>
        </is>
      </c>
      <c r="D383" s="217">
        <f>IFERROR(__xludf.DUMMYFUNCTION("GOOGLETRANSLATE(C383,""vi"",""km"")"),"ឪពុក")</f>
        <v/>
      </c>
      <c r="E383" s="3" t="n"/>
      <c r="F383" s="3" t="inlineStr">
        <is>
          <t>ឪពុក</t>
        </is>
      </c>
      <c r="G383" s="3" t="n"/>
      <c r="H383" s="217" t="inlineStr">
        <is>
          <t>"delivery.warehouse.table.WAREHOUSE": "ឪពុក",</t>
        </is>
      </c>
      <c r="I383" t="inlineStr">
        <is>
          <t>ឪពុក</t>
        </is>
      </c>
    </row>
    <row r="384">
      <c r="A384" s="3" t="inlineStr">
        <is>
          <t>delivery.warehouse.table.address</t>
        </is>
      </c>
      <c r="B384" s="3" t="inlineStr">
        <is>
          <t>Địa chỉ</t>
        </is>
      </c>
      <c r="C384" s="3" t="inlineStr">
        <is>
          <t>Address</t>
        </is>
      </c>
      <c r="D384" s="217">
        <f>IFERROR(__xludf.DUMMYFUNCTION("GOOGLETRANSLATE(C384,""vi"",""km"")"),"មិនត្រឹមត្រូវ")</f>
        <v/>
      </c>
      <c r="E384" s="3" t="n"/>
      <c r="F384" s="3" t="inlineStr">
        <is>
          <t>អាសយដ្ឋាន</t>
        </is>
      </c>
      <c r="G384" s="3" t="n"/>
      <c r="H384" s="217" t="inlineStr">
        <is>
          <t>"delivery.warehouse.table.address": "អាសយដ្ឋាន",</t>
        </is>
      </c>
      <c r="I384" t="inlineStr">
        <is>
          <t>អាសយដ្ឋាន</t>
        </is>
      </c>
    </row>
    <row r="385">
      <c r="A385" s="3" t="inlineStr">
        <is>
          <t>delivery.warehouse.table.addressType</t>
        </is>
      </c>
      <c r="B385" s="3" t="inlineStr">
        <is>
          <t>Loại địa chỉ</t>
        </is>
      </c>
      <c r="C385" s="3" t="inlineStr">
        <is>
          <t>Address Type</t>
        </is>
      </c>
      <c r="D385" s="217">
        <f>IFERROR(__xludf.DUMMYFUNCTION("GOOGLETRANSLATE(C385,""vi"",""km"")"),"ប្រភេទពិតប្រាកដ")</f>
        <v/>
      </c>
      <c r="E385" s="3" t="n"/>
      <c r="F385" s="3" t="inlineStr">
        <is>
          <t>ប្រភេទពិតប្រាកដ</t>
        </is>
      </c>
      <c r="G385" s="3" t="n"/>
      <c r="H385" s="217" t="inlineStr">
        <is>
          <t>"delivery.warehouse.table.addressType": "ប្រភេទពិតប្រាកដ",</t>
        </is>
      </c>
      <c r="I385" t="inlineStr">
        <is>
          <t>ប្រភេទពិតប្រាកដ</t>
        </is>
      </c>
    </row>
    <row r="386">
      <c r="A386" s="23" t="inlineStr">
        <is>
          <t>delivery.warehouse.table.id</t>
        </is>
      </c>
      <c r="B386" s="3" t="inlineStr">
        <is>
          <t>ID kho</t>
        </is>
      </c>
      <c r="C386" s="3" t="inlineStr">
        <is>
          <t>ID Warehouse</t>
        </is>
      </c>
      <c r="D386" s="217">
        <f>IFERROR(__xludf.DUMMYFUNCTION("GOOGLETRANSLATE(C386,""vi"",""km"")"),"ធនាគារ​អត្តសញ្ញាណ")</f>
        <v/>
      </c>
      <c r="E386" s="3" t="n"/>
      <c r="F386" s="3" t="inlineStr">
        <is>
          <t>ធនាគារអត្តសញ្ញាណ</t>
        </is>
      </c>
      <c r="G386" s="3" t="n"/>
      <c r="H386" s="217" t="inlineStr">
        <is>
          <t>"delivery.warehouse.table.id": "ធនាគារអត្តសញ្ញាណ",</t>
        </is>
      </c>
      <c r="I386" t="inlineStr">
        <is>
          <t>ធនាគារអត្តសញ្ញាណ</t>
        </is>
      </c>
    </row>
    <row r="387">
      <c r="A387" s="23" t="inlineStr">
        <is>
          <t>delivery.warehouse.table.name</t>
        </is>
      </c>
      <c r="B387" s="3" t="inlineStr">
        <is>
          <t>Tên kho</t>
        </is>
      </c>
      <c r="C387" s="3" t="inlineStr">
        <is>
          <t>Warehouse name</t>
        </is>
      </c>
      <c r="D387" s="217">
        <f>IFERROR(__xludf.DUMMYFUNCTION("GOOGLETRANSLATE(C387,""vi"",""km"")"),"ឈ្មោះឃ្លាំង")</f>
        <v/>
      </c>
      <c r="E387" s="3" t="n"/>
      <c r="F387" s="3" t="inlineStr">
        <is>
          <t>ឈ្មោះឃ្លាំង</t>
        </is>
      </c>
      <c r="G387" s="3" t="n"/>
      <c r="H387" s="217" t="inlineStr">
        <is>
          <t>"delivery.warehouse.table.name": "ឈ្មោះឃ្លាំង",</t>
        </is>
      </c>
      <c r="I387" t="inlineStr">
        <is>
          <t>ឈ្មោះឃ្លាំង</t>
        </is>
      </c>
    </row>
    <row r="388">
      <c r="A388" s="3" t="inlineStr">
        <is>
          <t>delivery.warehouse.table.phone</t>
        </is>
      </c>
      <c r="B388" s="3" t="inlineStr">
        <is>
          <t>Số điện thoại</t>
        </is>
      </c>
      <c r="C388" s="3" t="inlineStr">
        <is>
          <t>Mobile number</t>
        </is>
      </c>
      <c r="D388" s="217">
        <f>IFERROR(__xludf.DUMMYFUNCTION("GOOGLETRANSLATE(C388,""vi"",""km"")"),"លេខទូរស័ព្ទចល័ត")</f>
        <v/>
      </c>
      <c r="E388" s="3" t="n"/>
      <c r="F388" s="3" t="inlineStr">
        <is>
          <t>លេខទូរស័ព្ទ</t>
        </is>
      </c>
      <c r="G388" s="3" t="n"/>
      <c r="H388" s="217" t="inlineStr">
        <is>
          <t>"delivery.warehouse.table.phone": "លេខទូរស័ព្ទ",</t>
        </is>
      </c>
      <c r="I388" t="inlineStr">
        <is>
          <t>លេខទូរស័ព្ទ</t>
        </is>
      </c>
    </row>
    <row r="389">
      <c r="A389" s="3" t="inlineStr">
        <is>
          <t>delivery.warehouse.table.postCode</t>
        </is>
      </c>
      <c r="B389" s="3" t="inlineStr">
        <is>
          <t>Bưu cục phục vụ</t>
        </is>
      </c>
      <c r="C389" s="3" t="inlineStr">
        <is>
          <t>Post Code</t>
        </is>
      </c>
      <c r="D389" s="217">
        <f>IFERROR(__xludf.DUMMYFUNCTION("GOOGLETRANSLATE(C389,""vi"",""km"")"),"លេខកូដប្រៃសណីយ៍")</f>
        <v/>
      </c>
      <c r="E389" s="3" t="n"/>
      <c r="F389" s="3" t="inlineStr">
        <is>
          <t>លេខកូដប្រៃសណីយ៍</t>
        </is>
      </c>
      <c r="G389" s="3" t="n"/>
      <c r="H389" s="217" t="inlineStr">
        <is>
          <t>"delivery.warehouse.table.postCode": "លេខកូដប្រៃសណីយ៍",</t>
        </is>
      </c>
      <c r="I389" t="inlineStr">
        <is>
          <t>លេខកូដប្រៃសណីយ៍</t>
        </is>
      </c>
    </row>
    <row r="390">
      <c r="A390" s="3" t="inlineStr">
        <is>
          <t>delivery.warehouse.table.postman</t>
        </is>
      </c>
      <c r="B390" s="3" t="inlineStr">
        <is>
          <t>Tuyến bưu tá</t>
        </is>
      </c>
      <c r="C390" s="3" t="inlineStr">
        <is>
          <t>Postman</t>
        </is>
      </c>
      <c r="D390" s="217">
        <f>IFERROR(__xludf.DUMMYFUNCTION("GOOGLETRANSLATE(C390,""vi"",""km"")"),"អ្នករត់សំបុត្រ")</f>
        <v/>
      </c>
      <c r="E390" s="3" t="n"/>
      <c r="F390" s="3" t="inlineStr">
        <is>
          <t>អ្នកដឹកជញ្ជូន</t>
        </is>
      </c>
      <c r="G390" s="3" t="n"/>
      <c r="H390" s="217" t="inlineStr">
        <is>
          <t>"delivery.warehouse.table.postman": "អ្នកដឹកជញ្ជូន",</t>
        </is>
      </c>
      <c r="I390" t="inlineStr">
        <is>
          <t>អ្នកដឹកជញ្ជូន</t>
        </is>
      </c>
    </row>
    <row r="391">
      <c r="A391" s="3" t="inlineStr">
        <is>
          <t>delivery.warehouse.table.total</t>
        </is>
      </c>
      <c r="B391" s="3" t="inlineStr">
        <is>
          <t>Tổng kho hàng</t>
        </is>
      </c>
      <c r="C391" s="3" t="inlineStr">
        <is>
          <t>Total warehouse</t>
        </is>
      </c>
      <c r="D391" s="217">
        <f>IFERROR(__xludf.DUMMYFUNCTION("GOOGLETRANSLATE(C391,""vi"",""km"")"),"ឃ្លាំងសរុប")</f>
        <v/>
      </c>
      <c r="E391" s="3" t="n"/>
      <c r="F391" s="3" t="inlineStr">
        <is>
          <t>ឃ្លាំងសរុប</t>
        </is>
      </c>
      <c r="G391" s="3" t="n"/>
      <c r="H391" s="217" t="inlineStr">
        <is>
          <t>"delivery.warehouse.table.total": "ឃ្លាំងសរុប",</t>
        </is>
      </c>
      <c r="I391" t="inlineStr">
        <is>
          <t>ឃ្លាំងសរុប</t>
        </is>
      </c>
    </row>
    <row r="392">
      <c r="A392" s="3" t="inlineStr">
        <is>
          <t>delivery.warehouse.table.update_at</t>
        </is>
      </c>
      <c r="B392" s="3" t="inlineStr">
        <is>
          <t>Ngày cập nhật</t>
        </is>
      </c>
      <c r="C392" s="3" t="inlineStr">
        <is>
          <t>Update at</t>
        </is>
      </c>
      <c r="D392" s="217">
        <f>IFERROR(__xludf.DUMMYFUNCTION("GOOGLETRANSLATE(C392,""vi"",""km"")"),"ធ្វើបច្ចុប្បន្នភាពនៅ")</f>
        <v/>
      </c>
      <c r="E392" s="3" t="n"/>
      <c r="F392" s="3" t="inlineStr">
        <is>
          <t>ធ្វើបច្ចុប្បន្នភាពនៅ</t>
        </is>
      </c>
      <c r="G392" s="3" t="n"/>
      <c r="H392" s="217" t="inlineStr">
        <is>
          <t>"delivery.warehouse.table.update_at": "ធ្វើបច្ចុប្បន្នភាពនៅ",</t>
        </is>
      </c>
      <c r="I392" t="inlineStr">
        <is>
          <t>ធ្វើបច្ចុប្បន្នភាពនៅ</t>
        </is>
      </c>
    </row>
    <row r="393">
      <c r="A393" s="3" t="inlineStr">
        <is>
          <t>delivery.warehouse.table.update_by</t>
        </is>
      </c>
      <c r="B393" s="3" t="inlineStr">
        <is>
          <t>Người cập nhật</t>
        </is>
      </c>
      <c r="C393" s="3" t="inlineStr">
        <is>
          <t>Update By</t>
        </is>
      </c>
      <c r="D393" s="217">
        <f>IFERROR(__xludf.DUMMYFUNCTION("GOOGLETRANSLATE(C393,""vi"",""km"")"),"ធ្វើបច្ចុប្បន្នភាពដោយ")</f>
        <v/>
      </c>
      <c r="E393" s="3" t="n"/>
      <c r="F393" s="3" t="inlineStr">
        <is>
          <t>ធ្វើបច្ចុប្បន្នភាពដោយ</t>
        </is>
      </c>
      <c r="G393" s="3" t="n"/>
      <c r="H393" s="217" t="inlineStr">
        <is>
          <t>"delivery.warehouse.table.update_by": "ធ្វើបច្ចុប្បន្នភាពដោយ",</t>
        </is>
      </c>
      <c r="I393" t="inlineStr">
        <is>
          <t>ធ្វើបច្ចុប្បន្នភាពដោយ</t>
        </is>
      </c>
    </row>
    <row r="394">
      <c r="A394" s="3" t="inlineStr">
        <is>
          <t>deliveryKpi.exportFail</t>
        </is>
      </c>
      <c r="B394" s="3" t="inlineStr">
        <is>
          <t>Xuất excel thất bại</t>
        </is>
      </c>
      <c r="C394" s="3" t="inlineStr">
        <is>
          <t>Export to Excel failed</t>
        </is>
      </c>
      <c r="D394" s="217">
        <f>IFERROR(__xludf.DUMMYFUNCTION("GOOGLETRANSLATE(C394,""vi"",""km"")"),"ការនាំចេញទៅ Excel បរាជ័យ")</f>
        <v/>
      </c>
      <c r="E394" s="3" t="n"/>
      <c r="F394" s="3" t="inlineStr">
        <is>
          <t>ការនាំចេញទៅ Excel បរាជ័យ</t>
        </is>
      </c>
      <c r="G394" s="3" t="n"/>
      <c r="H394" s="217" t="inlineStr">
        <is>
          <t>"deliveryKpi.exportFail": "ការនាំចេញទៅ Excel បរាជ័យ",</t>
        </is>
      </c>
      <c r="I394" t="inlineStr">
        <is>
          <t>ការនាំចេញទៅ Excel បរាជ័យ</t>
        </is>
      </c>
    </row>
    <row r="395">
      <c r="A395" s="3" t="inlineStr">
        <is>
          <t>deliveryKpi.exportSuccess</t>
        </is>
      </c>
      <c r="B395" s="3" t="inlineStr">
        <is>
          <t>Xuất excel thành công</t>
        </is>
      </c>
      <c r="C395" s="3" t="inlineStr">
        <is>
          <t>Export to Excel successful</t>
        </is>
      </c>
      <c r="D395" s="217">
        <f>IFERROR(__xludf.DUMMYFUNCTION("GOOGLETRANSLATE(C395,""vi"",""km"")"),"នាំចេញទៅ Excel ដោយជោគជ័យ")</f>
        <v/>
      </c>
      <c r="E395" s="3" t="n"/>
      <c r="F395" s="3" t="inlineStr">
        <is>
          <t>នាំចេញទៅ Excel ដោយជោគជ័យ</t>
        </is>
      </c>
      <c r="G395" s="3" t="n"/>
      <c r="H395" s="217" t="inlineStr">
        <is>
          <t>"deliveryKpi.exportSuccess": "នាំចេញទៅ Excel ដោយជោគជ័យ",</t>
        </is>
      </c>
      <c r="I395" t="inlineStr">
        <is>
          <t>នាំចេញទៅ Excel ដោយជោគជ័យ</t>
        </is>
      </c>
    </row>
    <row r="396">
      <c r="A396" s="3" t="inlineStr">
        <is>
          <t>deliveryKpi.fileNameExcel</t>
        </is>
      </c>
      <c r="B396" s="3" t="inlineStr">
        <is>
          <t>BaocaoKPIphat</t>
        </is>
      </c>
      <c r="C396" s="3" t="inlineStr">
        <is>
          <t>DeliveryKPIreport</t>
        </is>
      </c>
      <c r="D396" s="217">
        <f>IFERROR(__xludf.DUMMYFUNCTION("GOOGLETRANSLATE(C396,""vi"",""km"")"),"របាយការណ៍ DeliveryKPI")</f>
        <v/>
      </c>
      <c r="E396" s="3" t="n"/>
      <c r="F396" s="3" t="inlineStr">
        <is>
          <t>របាយការណ៍ DeliveryKPI</t>
        </is>
      </c>
      <c r="G396" s="3" t="n"/>
      <c r="H396" s="217" t="inlineStr">
        <is>
          <t>"deliveryKpi.fileNameExcel": "របាយការណ៍ DeliveryKPI",</t>
        </is>
      </c>
      <c r="I396" t="inlineStr">
        <is>
          <t>របាយការណ៍ DeliveryKPI</t>
        </is>
      </c>
    </row>
    <row r="397">
      <c r="A397" s="3" t="inlineStr">
        <is>
          <t>deliveryKpi.fileNameExcelDetail</t>
        </is>
      </c>
      <c r="B397" s="3" t="inlineStr">
        <is>
          <t>xuatchitiet_baocaoKPIphat</t>
        </is>
      </c>
      <c r="C397" s="3" t="inlineStr">
        <is>
          <t>Exportdetails_DeliveryKPIreport</t>
        </is>
      </c>
      <c r="D397" s="217">
        <f>IFERROR(__xludf.DUMMYFUNCTION("GOOGLETRANSLATE(C397,""vi"",""km"")"),"របាយការណ៍​លម្អិត​នៃ​ការ​នាំចេញ_ការ​ដឹកជញ្ជូន KPI")</f>
        <v/>
      </c>
      <c r="E397" s="3" t="n"/>
      <c r="F397" s="3" t="inlineStr">
        <is>
          <t>របាយការណ៍លម្អិតនៃការនាំចេញ_ការដឹកជញ្ជូន KPI</t>
        </is>
      </c>
      <c r="G397" s="3" t="n"/>
      <c r="H397" s="217" t="inlineStr">
        <is>
          <t>"deliveryKpi.fileNameExcelDetail": "របាយការណ៍លម្អិតនៃការនាំចេញ_ការដឹកជញ្ជូន KPI",</t>
        </is>
      </c>
      <c r="I397" t="inlineStr">
        <is>
          <t>របាយការណ៍លម្អិតនៃការនាំចេញ_ការដឹកជញ្ជូន KPI</t>
        </is>
      </c>
    </row>
    <row r="398">
      <c r="A398" s="3" t="inlineStr">
        <is>
          <t>departmentLookup.deliveryDepartment</t>
        </is>
      </c>
      <c r="B398" s="3" t="inlineStr">
        <is>
          <t>Bưu cục giao</t>
        </is>
      </c>
      <c r="C398" s="3" t="inlineStr">
        <is>
          <t>Delivery post office</t>
        </is>
      </c>
      <c r="D398" s="217">
        <f>IFERROR(__xludf.DUMMYFUNCTION("GOOGLETRANSLATE(C398,""vi"",""km"")"),"ការិយាល័យប្រៃសណីយ៍ដឹកជញ្ជូន")</f>
        <v/>
      </c>
      <c r="E398" s="3" t="n"/>
      <c r="F398" s="3" t="inlineStr">
        <is>
          <t>ការិយាល័យប្រៃសណីយ៍ដឹកជញ្ជូន</t>
        </is>
      </c>
      <c r="G398" s="3" t="n"/>
      <c r="H398" s="217" t="inlineStr">
        <is>
          <t>"departmentLookup.deliveryDepartment": "ការិយាល័យប្រៃសណីយ៍ដឹកជញ្ជូន",</t>
        </is>
      </c>
      <c r="I398" t="inlineStr">
        <is>
          <t>ការិយាល័យប្រៃសណីយ៍ដឹកជញ្ជូន</t>
        </is>
      </c>
    </row>
    <row r="399">
      <c r="A399" s="3" t="inlineStr">
        <is>
          <t>departmentLookup.modifyDepartment</t>
        </is>
      </c>
      <c r="B399" s="3" t="inlineStr">
        <is>
          <t>Sửa bưu cục phục vụ</t>
        </is>
      </c>
      <c r="C399" s="3" t="inlineStr">
        <is>
          <t>Edit servicing post office</t>
        </is>
      </c>
      <c r="D399" s="217">
        <f>IFERROR(__xludf.DUMMYFUNCTION("GOOGLETRANSLATE(C399,""vi"",""km"")"),"កែសម្រួលសេវាកម្មប្រៃសណីយ៍")</f>
        <v/>
      </c>
      <c r="E399" s="3" t="n"/>
      <c r="F399" s="3" t="inlineStr">
        <is>
          <t>កែសម្រួលសេវាកម្មប្រៃសណីយ៍</t>
        </is>
      </c>
      <c r="G399" s="3" t="n"/>
      <c r="H399" s="217" t="inlineStr">
        <is>
          <t>"departmentLookup.modifyDepartment": "កែសម្រួលសេវាកម្មប្រៃសណីយ៍",</t>
        </is>
      </c>
      <c r="I399" t="inlineStr">
        <is>
          <t>កែសម្រួលសេវាកម្មប្រៃសណីយ៍</t>
        </is>
      </c>
    </row>
    <row r="400">
      <c r="A400" s="3" t="inlineStr">
        <is>
          <t>departmentLookup.receivingDepartment</t>
        </is>
      </c>
      <c r="B400" s="3" t="inlineStr">
        <is>
          <t>Bưu cục nhận</t>
        </is>
      </c>
      <c r="C400" s="3" t="inlineStr">
        <is>
          <t>Receiving post office</t>
        </is>
      </c>
      <c r="D400" s="217">
        <f>IFERROR(__xludf.DUMMYFUNCTION("GOOGLETRANSLATE(C400,""vi"",""km"")"),"ទទួលសំបុត្រប្រៃសណីយ៍")</f>
        <v/>
      </c>
      <c r="E400" s="3" t="n"/>
      <c r="F400" s="3" t="inlineStr">
        <is>
          <t>ទទួលបុងបញ្ញើប្រៃសណីយ៍</t>
        </is>
      </c>
      <c r="G400" s="3" t="n"/>
      <c r="H400" s="217" t="inlineStr">
        <is>
          <t>"departmentLookup.receivingDepartment": "ទទួលបុងបញ្ញើប្រៃសណីយ៍",</t>
        </is>
      </c>
      <c r="I400" t="inlineStr">
        <is>
          <t>ទទួលបុងបញ្ញើប្រៃសណីយ៍</t>
        </is>
      </c>
    </row>
    <row r="401">
      <c r="A401" s="3" t="inlineStr">
        <is>
          <t>departmentManager.branch</t>
        </is>
      </c>
      <c r="B401" s="3" t="inlineStr">
        <is>
          <t>Chi nhánh</t>
        </is>
      </c>
      <c r="C401" s="3" t="inlineStr">
        <is>
          <t>Branch</t>
        </is>
      </c>
      <c r="D401" s="217">
        <f>IFERROR(__xludf.DUMMYFUNCTION("GOOGLETRANSLATE(C401,""vi"",""km"")"),"គ្រួសារ")</f>
        <v/>
      </c>
      <c r="E401" s="3" t="n"/>
      <c r="F401" s="3" t="inlineStr">
        <is>
          <t>សាខា</t>
        </is>
      </c>
      <c r="G401" s="3" t="n"/>
      <c r="H401" s="217" t="inlineStr">
        <is>
          <t>"departmentManager.branch": "សាខា",</t>
        </is>
      </c>
      <c r="I401" t="inlineStr">
        <is>
          <t>សាខា</t>
        </is>
      </c>
    </row>
    <row r="402">
      <c r="A402" s="3" t="inlineStr">
        <is>
          <t>departmentManager.createDepartment</t>
        </is>
      </c>
      <c r="B402" s="3" t="inlineStr">
        <is>
          <t>Thêm mới bưu cục</t>
        </is>
      </c>
      <c r="C402" s="3" t="inlineStr">
        <is>
          <t>Create post office</t>
        </is>
      </c>
      <c r="D402" s="217">
        <f>IFERROR(__xludf.DUMMYFUNCTION("GOOGLETRANSLATE(C402,""vi"",""km"")"),"បង្កើតការិយាល័យប្រៃសណីយ៍")</f>
        <v/>
      </c>
      <c r="E402" s="3" t="n"/>
      <c r="F402" s="3" t="inlineStr">
        <is>
          <t>បង្កើតការិយាល័យប្រៃសណីយ៍</t>
        </is>
      </c>
      <c r="G402" s="3" t="n"/>
      <c r="H402" s="217" t="inlineStr">
        <is>
          <t>"departmentManager.createDepartment": "បង្កើតការិយាល័យប្រៃសណីយ៍",</t>
        </is>
      </c>
      <c r="I402" t="inlineStr">
        <is>
          <t>បង្កើតការិយាល័យប្រៃសណីយ៍</t>
        </is>
      </c>
    </row>
    <row r="403">
      <c r="A403" s="3" t="inlineStr">
        <is>
          <t>departmentManager.departmentCode</t>
        </is>
      </c>
      <c r="B403" s="3" t="inlineStr">
        <is>
          <t>Mã bưu cục</t>
        </is>
      </c>
      <c r="C403" s="3" t="inlineStr">
        <is>
          <t>Post code</t>
        </is>
      </c>
      <c r="D403" s="217">
        <f>IFERROR(__xludf.DUMMYFUNCTION("GOOGLETRANSLATE(C403,""vi"",""km"")"),"លេខកូដប្រៃសណីយ៍")</f>
        <v/>
      </c>
      <c r="E403" s="3" t="n"/>
      <c r="F403" s="3" t="inlineStr">
        <is>
          <t>លេខកូដប្រៃសណីយ៍</t>
        </is>
      </c>
      <c r="G403" s="3" t="n"/>
      <c r="H403" s="217" t="inlineStr">
        <is>
          <t>"departmentManager.departmentCode": "លេខកូដប្រៃសណីយ៍",</t>
        </is>
      </c>
      <c r="I403" t="inlineStr">
        <is>
          <t>លេខកូដប្រៃសណីយ៍</t>
        </is>
      </c>
    </row>
    <row r="404">
      <c r="A404" s="3" t="inlineStr">
        <is>
          <t>departmentManager.departmentName</t>
        </is>
      </c>
      <c r="B404" s="3" t="inlineStr">
        <is>
          <t>Tên bưu cục</t>
        </is>
      </c>
      <c r="C404" s="3" t="inlineStr">
        <is>
          <t>Post office name</t>
        </is>
      </c>
      <c r="D404" s="217">
        <f>IFERROR(__xludf.DUMMYFUNCTION("GOOGLETRANSLATE(C404,""vi"",""km"")"),"ឈ្មោះ​ការិយាល័យ​ប្រៃសណីយ៍")</f>
        <v/>
      </c>
      <c r="E404" s="3" t="n"/>
      <c r="F404" s="3" t="inlineStr">
        <is>
          <t>ឈ្មោះការិយាល័យប្រៃសណីយ៍</t>
        </is>
      </c>
      <c r="G404" s="3" t="n"/>
      <c r="H404" s="217" t="inlineStr">
        <is>
          <t>"departmentManager.departmentName": "ឈ្មោះការិយាល័យប្រៃសណីយ៍",</t>
        </is>
      </c>
      <c r="I404" t="inlineStr">
        <is>
          <t>ឈ្មោះការិយាល័យប្រៃសណីយ៍</t>
        </is>
      </c>
    </row>
    <row r="405">
      <c r="A405" s="3" t="inlineStr">
        <is>
          <t>departmentManager.detailDepartment</t>
        </is>
      </c>
      <c r="B405" s="3" t="inlineStr">
        <is>
          <t>Thông tin bưu cục</t>
        </is>
      </c>
      <c r="C405" s="3" t="inlineStr">
        <is>
          <t>Post office information</t>
        </is>
      </c>
      <c r="D405" s="217">
        <f>IFERROR(__xludf.DUMMYFUNCTION("GOOGLETRANSLATE(C405,""vi"",""km"")"),"ព័ត៌មាន​ការិយាល័យ​ប្រៃសណីយ៍")</f>
        <v/>
      </c>
      <c r="E405" s="3" t="n"/>
      <c r="F405" s="3" t="inlineStr">
        <is>
          <t>ព័ត៌មានការិយាល័យប្រៃសណីយ៍</t>
        </is>
      </c>
      <c r="G405" s="3" t="n"/>
      <c r="H405" s="217" t="inlineStr">
        <is>
          <t>"departmentManager.detailDepartment": "ព័ត៌មានការិយាល័យប្រៃសណីយ៍",</t>
        </is>
      </c>
      <c r="I405" t="inlineStr">
        <is>
          <t>ព័ត៌មានការិយាល័យប្រៃសណីយ៍</t>
        </is>
      </c>
    </row>
    <row r="406">
      <c r="A406" s="3" t="inlineStr">
        <is>
          <t>departmentManager.level</t>
        </is>
      </c>
      <c r="B406" s="3" t="inlineStr">
        <is>
          <t>Cấp bưu cục</t>
        </is>
      </c>
      <c r="C406" s="3" t="inlineStr">
        <is>
          <t>Post office level</t>
        </is>
      </c>
      <c r="D406" s="217">
        <f>IFERROR(__xludf.DUMMYFUNCTION("GOOGLETRANSLATE(C406,""vi"",""km"")"),"កម្រិតការិយាល័យប្រៃសណីយ៍")</f>
        <v/>
      </c>
      <c r="E406" s="3" t="n"/>
      <c r="F406" s="3" t="inlineStr">
        <is>
          <t>កម្រិតការិយាល័យប្រៃសណីយ៍</t>
        </is>
      </c>
      <c r="G406" s="3" t="n"/>
      <c r="H406" s="217" t="inlineStr">
        <is>
          <t>"departmentManager.level": "កម្រិតការិយាល័យប្រៃសណីយ៍",</t>
        </is>
      </c>
      <c r="I406" t="inlineStr">
        <is>
          <t>កម្រិតការិយាល័យប្រៃសណីយ៍</t>
        </is>
      </c>
    </row>
    <row r="407">
      <c r="A407" s="3" t="inlineStr">
        <is>
          <t>departmentManager.listdepartment</t>
        </is>
      </c>
      <c r="B407" s="3" t="inlineStr">
        <is>
          <t>Danh sách bưu cục</t>
        </is>
      </c>
      <c r="C407" s="3" t="inlineStr">
        <is>
          <t>Post office list</t>
        </is>
      </c>
      <c r="D407" s="217">
        <f>IFERROR(__xludf.DUMMYFUNCTION("GOOGLETRANSLATE(C407,""vi"",""km"")"),"ថ្ងៃធ្វើការប្រៃសណីយ៍")</f>
        <v/>
      </c>
      <c r="E407" s="3" t="n"/>
      <c r="F407" s="3" t="inlineStr">
        <is>
          <t>ថ្ងៃធ្វើការប្រៃសណីយ៍</t>
        </is>
      </c>
      <c r="G407" s="3" t="n"/>
      <c r="H407" s="217" t="inlineStr">
        <is>
          <t>"departmentManager.listdepartment": "ថ្ងៃធ្វើការប្រៃសណីយ៍",</t>
        </is>
      </c>
      <c r="I407" t="inlineStr">
        <is>
          <t>ថ្ងៃធ្វើការប្រៃសណីយ៍</t>
        </is>
      </c>
    </row>
    <row r="408">
      <c r="A408" s="3" t="inlineStr">
        <is>
          <t>departmentManager.searchPlaceholder</t>
        </is>
      </c>
      <c r="B408" s="3" t="inlineStr">
        <is>
          <t>Nhập mã hoặc tên bưu cục để tìm kiếm</t>
        </is>
      </c>
      <c r="C408" s="3" t="inlineStr">
        <is>
          <t>Enter post office code or name to search</t>
        </is>
      </c>
      <c r="D408" s="217">
        <f>IFERROR(__xludf.DUMMYFUNCTION("GOOGLETRANSLATE(C408,""vi"",""km"")"),"បញ្ចូលលេខកូដប្រៃសណីយ៍ ឬឈ្មោះដើម្បីស្វែងរក")</f>
        <v/>
      </c>
      <c r="E408" s="3" t="n"/>
      <c r="F408" s="3" t="inlineStr">
        <is>
          <t>បញ្ចូលលេខកូដប្រៃសណីយ៍ ឬឈ្មោះដើម្បីស្វែងរក</t>
        </is>
      </c>
      <c r="G408" s="3" t="n"/>
      <c r="H408" s="217" t="inlineStr">
        <is>
          <t>"departmentManager.searchPlaceholder": "បញ្ចូលលេខកូដប្រៃសណីយ៍ ឬឈ្មោះដើម្បីស្វែងរក",</t>
        </is>
      </c>
      <c r="I408" t="inlineStr">
        <is>
          <t>បញ្ចូលលេខកូដប្រៃសណីយ៍ ឬឈ្មោះដើម្បីស្វែងរក</t>
        </is>
      </c>
    </row>
    <row r="409">
      <c r="A409" s="3" t="inlineStr">
        <is>
          <t>departmentManager.status</t>
        </is>
      </c>
      <c r="B409" s="3" t="inlineStr">
        <is>
          <t>Trạng thái</t>
        </is>
      </c>
      <c r="C409" s="3" t="inlineStr">
        <is>
          <t>Status</t>
        </is>
      </c>
      <c r="D409" s="217">
        <f>IFERROR(__xludf.DUMMYFUNCTION("GOOGLETRANSLATE(C409,""vi"",""km"")"),"ស្ថានភាព")</f>
        <v/>
      </c>
      <c r="E409" s="3" t="n"/>
      <c r="F409" s="3" t="inlineStr">
        <is>
          <t>ស្ថានភាព</t>
        </is>
      </c>
      <c r="G409" s="3" t="n"/>
      <c r="H409" s="217" t="inlineStr">
        <is>
          <t>"departmentManager.status": "ស្ថានភាព",</t>
        </is>
      </c>
      <c r="I409" t="inlineStr">
        <is>
          <t>ស្ថានភាព</t>
        </is>
      </c>
    </row>
    <row r="410">
      <c r="A410" s="3" t="inlineStr">
        <is>
          <t>departmentManager.updateAt</t>
        </is>
      </c>
      <c r="B410" s="3" t="inlineStr">
        <is>
          <t>Ngày cập nhật</t>
        </is>
      </c>
      <c r="C410" s="3" t="inlineStr">
        <is>
          <t>Updated date</t>
        </is>
      </c>
      <c r="D410" s="217">
        <f>IFERROR(__xludf.DUMMYFUNCTION("GOOGLETRANSLATE(C410,""vi"",""km"")"),"កាលបរិច្ឆេទដែលបានធ្វើបច្ចុប្បន្នភាព")</f>
        <v/>
      </c>
      <c r="E410" s="3" t="n"/>
      <c r="F410" s="3" t="inlineStr">
        <is>
          <t>កាលបរិច្ឆេទដែលបានធ្វើបច្ចុប្បន្នភាព</t>
        </is>
      </c>
      <c r="G410" s="3" t="n"/>
      <c r="H410" s="217" t="inlineStr">
        <is>
          <t>"departmentManager.updateAt": "កាលបរិច្ឆេទដែលបានធ្វើបច្ចុប្បន្នភាព",</t>
        </is>
      </c>
      <c r="I410" t="inlineStr">
        <is>
          <t>កាលបរិច្ឆេទដែលបានធ្វើបច្ចុប្បន្នភាព</t>
        </is>
      </c>
    </row>
    <row r="411">
      <c r="A411" s="3" t="inlineStr">
        <is>
          <t>departmentManager.updateBy</t>
        </is>
      </c>
      <c r="B411" s="3" t="inlineStr">
        <is>
          <t>Người cập nhật</t>
        </is>
      </c>
      <c r="C411" s="3" t="inlineStr">
        <is>
          <t>Updater</t>
        </is>
      </c>
      <c r="D411" s="217">
        <f>IFERROR(__xludf.DUMMYFUNCTION("GOOGLETRANSLATE(C411,""vi"",""km"")"),"កម្មវិធីធ្វើបច្ចុប្បន្នភាព")</f>
        <v/>
      </c>
      <c r="E411" s="3" t="n"/>
      <c r="F411" s="3" t="inlineStr">
        <is>
          <t>កម្មវិធីធ្វើបច្ចុប្បន្នភាព</t>
        </is>
      </c>
      <c r="G411" s="3" t="n"/>
      <c r="H411" s="217" t="inlineStr">
        <is>
          <t>"departmentManager.updateBy": "កម្មវិធីធ្វើបច្ចុប្បន្នភាព",</t>
        </is>
      </c>
      <c r="I411" t="inlineStr">
        <is>
          <t>កម្មវិធីធ្វើបច្ចុប្បន្នភាព</t>
        </is>
      </c>
    </row>
    <row r="412">
      <c r="A412" s="3" t="inlineStr">
        <is>
          <t>departmentManagerTab.departmentLookup</t>
        </is>
      </c>
      <c r="B412" s="3" t="inlineStr">
        <is>
          <t>Tra cứu bưu cục phục vụ</t>
        </is>
      </c>
      <c r="C412" s="3" t="inlineStr">
        <is>
          <t>Servicing post office lookup</t>
        </is>
      </c>
      <c r="D412" s="217">
        <f>IFERROR(__xludf.DUMMYFUNCTION("GOOGLETRANSLATE(C412,""vi"",""km"")"),"ការស្វែងរកសេវាកម្មប្រៃសណីយ៍")</f>
        <v/>
      </c>
      <c r="E412" s="3" t="n"/>
      <c r="F412" s="3" t="inlineStr">
        <is>
          <t>ការស្វែងរកសេវាកម្មប្រៃសណីយ៍</t>
        </is>
      </c>
      <c r="G412" s="3" t="n"/>
      <c r="H412" s="217" t="inlineStr">
        <is>
          <t>"departmentManagerTab.departmentLookup": "ការស្វែងរកសេវាកម្មប្រៃសណីយ៍",</t>
        </is>
      </c>
      <c r="I412" t="inlineStr">
        <is>
          <t>ការស្វែងរកសេវាកម្មប្រៃសណីយ៍</t>
        </is>
      </c>
    </row>
    <row r="413">
      <c r="A413" s="3" t="inlineStr">
        <is>
          <t>departmentManagerTab.departmentManager</t>
        </is>
      </c>
      <c r="B413" s="3" t="inlineStr">
        <is>
          <t>Danh sách bưu cục</t>
        </is>
      </c>
      <c r="C413" s="3" t="inlineStr">
        <is>
          <t>Post office list</t>
        </is>
      </c>
      <c r="D413" s="217">
        <f>IFERROR(__xludf.DUMMYFUNCTION("GOOGLETRANSLATE(C413,""vi"",""km"")"),"ថ្ងៃធ្វើការប្រៃសណីយ៍")</f>
        <v/>
      </c>
      <c r="E413" s="3" t="n"/>
      <c r="F413" s="3" t="inlineStr">
        <is>
          <t>ថ្ងៃធ្វើការប្រៃសណីយ៍</t>
        </is>
      </c>
      <c r="G413" s="3" t="n"/>
      <c r="H413" s="217" t="inlineStr">
        <is>
          <t>"departmentManagerTab.departmentManager": "ថ្ងៃធ្វើការប្រៃសណីយ៍",</t>
        </is>
      </c>
      <c r="I413" t="inlineStr">
        <is>
          <t>ថ្ងៃធ្វើការប្រៃសណីយ៍</t>
        </is>
      </c>
    </row>
    <row r="414">
      <c r="A414" s="3" t="inlineStr">
        <is>
          <t>detailService.config</t>
        </is>
      </c>
      <c r="B414" s="3" t="inlineStr">
        <is>
          <t>Cấu hình</t>
        </is>
      </c>
      <c r="C414" s="3" t="inlineStr">
        <is>
          <t>Config</t>
        </is>
      </c>
      <c r="D414" s="217">
        <f>IFERROR(__xludf.DUMMYFUNCTION("GOOGLETRANSLATE(C414,""vi"",""km"")"),"កំណត់រចនាសម្ព័ន្ធ")</f>
        <v/>
      </c>
      <c r="E414" s="3" t="n"/>
      <c r="F414" s="3" t="inlineStr">
        <is>
          <t>កំណត់រចនាសម្ព័ន្ធ</t>
        </is>
      </c>
      <c r="G414" s="3" t="n"/>
      <c r="H414" s="217" t="inlineStr">
        <is>
          <t>"detailService.config": "កំណត់រចនាសម្ព័ន្ធ",</t>
        </is>
      </c>
      <c r="I414" t="inlineStr">
        <is>
          <t>កំណត់រចនាសម្ព័ន្ធ</t>
        </is>
      </c>
    </row>
    <row r="415">
      <c r="A415" s="3" t="inlineStr">
        <is>
          <t>detailService.display</t>
        </is>
      </c>
      <c r="B415" s="3" t="inlineStr">
        <is>
          <t>Hiển thị</t>
        </is>
      </c>
      <c r="C415" s="3" t="inlineStr">
        <is>
          <t>Display</t>
        </is>
      </c>
      <c r="D415" s="217">
        <f>IFERROR(__xludf.DUMMYFUNCTION("GOOGLETRANSLATE(C415,""vi"",""km"")"),"ការបង្ហាញ")</f>
        <v/>
      </c>
      <c r="E415" s="3" t="n"/>
      <c r="F415" s="3" t="inlineStr">
        <is>
          <t>ការបង្ហាញ</t>
        </is>
      </c>
      <c r="G415" s="3" t="n"/>
      <c r="H415" s="217" t="inlineStr">
        <is>
          <t>"detailService.display": "ការបង្ហាញ",</t>
        </is>
      </c>
      <c r="I415" t="inlineStr">
        <is>
          <t>ការបង្ហាញ</t>
        </is>
      </c>
    </row>
    <row r="416">
      <c r="A416" s="3" t="inlineStr">
        <is>
          <t>detailService.parameters</t>
        </is>
      </c>
      <c r="B416" s="3" t="inlineStr">
        <is>
          <t>Chọn tham số</t>
        </is>
      </c>
      <c r="C416" s="3" t="inlineStr">
        <is>
          <t>Select parameter</t>
        </is>
      </c>
      <c r="D416" s="217">
        <f>IFERROR(__xludf.DUMMYFUNCTION("GOOGLETRANSLATE(C416,""vi"",""km"")"),"ជ្រើសរើសប៉ារ៉ាម៉ែត្រ")</f>
        <v/>
      </c>
      <c r="E416" s="3" t="n"/>
      <c r="F416" s="3" t="inlineStr">
        <is>
          <t>ជ្រើសរើសប៉ារ៉ាម៉ែត្រ</t>
        </is>
      </c>
      <c r="G416" s="3" t="n"/>
      <c r="H416" s="217" t="inlineStr">
        <is>
          <t>"detailService.parameters": "ជ្រើសរើសប៉ារ៉ាម៉ែត្រ",</t>
        </is>
      </c>
      <c r="I416" t="inlineStr">
        <is>
          <t>ជ្រើសរើសប៉ារ៉ាម៉ែត្រ</t>
        </is>
      </c>
    </row>
    <row r="417">
      <c r="A417" s="3" t="inlineStr">
        <is>
          <t>detailService.serivce</t>
        </is>
      </c>
      <c r="B417" s="3" t="inlineStr">
        <is>
          <t>Chọn dịch vụ</t>
        </is>
      </c>
      <c r="C417" s="3" t="inlineStr">
        <is>
          <t>Select service</t>
        </is>
      </c>
      <c r="D417" s="217">
        <f>IFERROR(__xludf.DUMMYFUNCTION("GOOGLETRANSLATE(C417,""vi"",""km"")"),"ជ្រើសរើសសេវាកម្ម")</f>
        <v/>
      </c>
      <c r="E417" s="3" t="n"/>
      <c r="F417" s="3" t="inlineStr">
        <is>
          <t>ជ្រើសរើសសេវាកម្ម</t>
        </is>
      </c>
      <c r="G417" s="3" t="n"/>
      <c r="H417" s="217" t="inlineStr">
        <is>
          <t>"detailService.serivce": "ជ្រើសរើសសេវាកម្ម",</t>
        </is>
      </c>
      <c r="I417" t="inlineStr">
        <is>
          <t>ជ្រើសរើសសេវាកម្ម</t>
        </is>
      </c>
    </row>
    <row r="418">
      <c r="A418" s="3" t="inlineStr">
        <is>
          <t>detailService.typeApplication</t>
        </is>
      </c>
      <c r="B418" s="3" t="inlineStr">
        <is>
          <t>Loại hình áp dụng</t>
        </is>
      </c>
      <c r="C418" s="3" t="inlineStr">
        <is>
          <t>Application type</t>
        </is>
      </c>
      <c r="D418" s="217">
        <f>IFERROR(__xludf.DUMMYFUNCTION("GOOGLETRANSLATE(C418,""vi"",""km"")"),"ប្រភេទកម្មវិធី")</f>
        <v/>
      </c>
      <c r="E418" s="3" t="n"/>
      <c r="F418" s="3" t="inlineStr">
        <is>
          <t>ប្រភេទកម្មវិធី</t>
        </is>
      </c>
      <c r="G418" s="3" t="n"/>
      <c r="H418" s="217" t="inlineStr">
        <is>
          <t>"detailService.typeApplication": "ប្រភេទកម្មវិធី",</t>
        </is>
      </c>
      <c r="I418" t="inlineStr">
        <is>
          <t>ប្រភេទកម្មវិធី</t>
        </is>
      </c>
    </row>
    <row r="419">
      <c r="A419" s="3" t="inlineStr">
        <is>
          <t>detailService.typeParameters</t>
        </is>
      </c>
      <c r="B419" s="3" t="inlineStr">
        <is>
          <t>Loại tham số</t>
        </is>
      </c>
      <c r="C419" s="3" t="inlineStr">
        <is>
          <t>Parameter type</t>
        </is>
      </c>
      <c r="D419" s="217">
        <f>IFERROR(__xludf.DUMMYFUNCTION("GOOGLETRANSLATE(C419,""vi"",""km"")"),"ប្រភេទប៉ារ៉ាម៉ែត្រ")</f>
        <v/>
      </c>
      <c r="E419" s="3" t="n"/>
      <c r="F419" s="3" t="inlineStr">
        <is>
          <t>ប្រភេទប៉ារ៉ាម៉ែត្រ</t>
        </is>
      </c>
      <c r="G419" s="3" t="n"/>
      <c r="H419" s="217" t="inlineStr">
        <is>
          <t>"detailService.typeParameters": "ប្រភេទប៉ារ៉ាម៉ែត្រ",</t>
        </is>
      </c>
      <c r="I419" t="inlineStr">
        <is>
          <t>ប្រភេទប៉ារ៉ាម៉ែត្រ</t>
        </is>
      </c>
    </row>
    <row r="420">
      <c r="A420" s="3" t="inlineStr">
        <is>
          <t>detailsOperating.codeProvince</t>
        </is>
      </c>
      <c r="B420" s="3" t="inlineStr">
        <is>
          <t>Mã tỉnh</t>
        </is>
      </c>
      <c r="C420" s="3" t="inlineStr">
        <is>
          <t>Province Code</t>
        </is>
      </c>
      <c r="D420" s="217">
        <f>IFERROR(__xludf.DUMMYFUNCTION("GOOGLETRANSLATE(C420,""vi"",""km"")"),"លេខកូដខេត្ត")</f>
        <v/>
      </c>
      <c r="E420" s="3" t="n"/>
      <c r="F420" s="3" t="inlineStr">
        <is>
          <t>លេខកូដខេត្ត</t>
        </is>
      </c>
      <c r="G420" s="3" t="n"/>
      <c r="H420" s="217" t="inlineStr">
        <is>
          <t>"detailsOperating.codeProvince": "លេខកូដខេត្ត",</t>
        </is>
      </c>
      <c r="I420" t="inlineStr">
        <is>
          <t>លេខកូដខេត្ត</t>
        </is>
      </c>
    </row>
    <row r="421">
      <c r="A421" s="3" t="inlineStr">
        <is>
          <t>detailsOperating.dateConfirm</t>
        </is>
      </c>
      <c r="B421" s="3" t="inlineStr">
        <is>
          <t>Ngày duyệt</t>
        </is>
      </c>
      <c r="C421" s="3" t="inlineStr">
        <is>
          <t>Confirmed on</t>
        </is>
      </c>
      <c r="D421" s="217">
        <f>IFERROR(__xludf.DUMMYFUNCTION("GOOGLETRANSLATE(C421,""vi"",""km"")"),"បានបញ្ជាក់នៅថ្ងៃទី")</f>
        <v/>
      </c>
      <c r="E421" s="3" t="n"/>
      <c r="F421" s="3" t="inlineStr">
        <is>
          <t>កាលបរិច្ឆេទអនុម័ត</t>
        </is>
      </c>
      <c r="G421" s="3" t="n"/>
      <c r="H421" s="217" t="inlineStr">
        <is>
          <t>"detailsOperating.dateConfirm": "កាលបរិច្ឆេទអនុម័ត",</t>
        </is>
      </c>
      <c r="I421" t="inlineStr">
        <is>
          <t>កាលបរិច្ឆេទអនុម័ត</t>
        </is>
      </c>
    </row>
    <row r="422">
      <c r="A422" s="3" t="inlineStr">
        <is>
          <t>detailsOperating.dateImport</t>
        </is>
      </c>
      <c r="B422" s="3" t="inlineStr">
        <is>
          <t>Ngày nhập máy</t>
        </is>
      </c>
      <c r="C422" s="3" t="inlineStr">
        <is>
          <t>Imported on</t>
        </is>
      </c>
      <c r="D422" s="217">
        <f>IFERROR(__xludf.DUMMYFUNCTION("GOOGLETRANSLATE(C422,""vi"",""km"")"),"បាននាំចូលនៅថ្ងៃទី")</f>
        <v/>
      </c>
      <c r="E422" s="3" t="n"/>
      <c r="F422" s="3" t="inlineStr">
        <is>
          <t>កាលបរិច្ឆេទបញ្ចូលប្រព័ន្ធ</t>
        </is>
      </c>
      <c r="G422" s="3" t="n"/>
      <c r="H422" s="217" t="inlineStr">
        <is>
          <t>"detailsOperating.dateImport": "កាលបរិច្ឆេទបញ្ចូលប្រព័ន្ធ",</t>
        </is>
      </c>
      <c r="I422" t="inlineStr">
        <is>
          <t>កាលបរិច្ឆេទបញ្ចូលប្រព័ន្ធ</t>
        </is>
      </c>
    </row>
    <row r="423">
      <c r="A423" s="3" t="inlineStr">
        <is>
          <t>detailsOperating.district</t>
        </is>
      </c>
      <c r="B423" s="3" t="inlineStr">
        <is>
          <t>Quận/Huyện</t>
        </is>
      </c>
      <c r="C423" s="3" t="inlineStr">
        <is>
          <t>District</t>
        </is>
      </c>
      <c r="D423" s="217">
        <f>IFERROR(__xludf.DUMMYFUNCTION("GOOGLETRANSLATE(C423,""vi"",""km"")"),"ស្រុក")</f>
        <v/>
      </c>
      <c r="E423" s="3" t="n"/>
      <c r="F423" s="3" t="inlineStr">
        <is>
          <t>ស្រុក/ខណ្ឌ</t>
        </is>
      </c>
      <c r="G423" s="3" t="n"/>
      <c r="H423" s="217" t="inlineStr">
        <is>
          <t>"detailsOperating.district": "ស្រុក/ខណ្ឌ",</t>
        </is>
      </c>
      <c r="I423" t="inlineStr">
        <is>
          <t>ស្រុក/ខណ្ឌ</t>
        </is>
      </c>
    </row>
    <row r="424">
      <c r="A424" s="3" t="inlineStr">
        <is>
          <t>detailsOperating.domestic</t>
        </is>
      </c>
      <c r="B424" s="3" t="inlineStr">
        <is>
          <t>Trong nước</t>
        </is>
      </c>
      <c r="C424" s="3" t="inlineStr">
        <is>
          <t>Domestic</t>
        </is>
      </c>
      <c r="D424" s="217">
        <f>IFERROR(__xludf.DUMMYFUNCTION("GOOGLETRANSLATE(C424,""vi"",""km"")"),"ក្នុងស្រុក")</f>
        <v/>
      </c>
      <c r="E424" s="3" t="n"/>
      <c r="F424" s="3" t="inlineStr">
        <is>
          <t>ក្នុងស្រុក</t>
        </is>
      </c>
      <c r="G424" s="3" t="n"/>
      <c r="H424" s="217" t="inlineStr">
        <is>
          <t>"detailsOperating.domestic": "ក្នុងស្រុក",</t>
        </is>
      </c>
      <c r="I424" t="inlineStr">
        <is>
          <t>ក្នុងស្រុក</t>
        </is>
      </c>
    </row>
    <row r="425">
      <c r="A425" s="3" t="inlineStr">
        <is>
          <t>detailsOperating.international</t>
        </is>
      </c>
      <c r="B425" s="3" t="inlineStr">
        <is>
          <t>Quốc tế</t>
        </is>
      </c>
      <c r="C425" s="3" t="inlineStr">
        <is>
          <t>International</t>
        </is>
      </c>
      <c r="D425" s="217">
        <f>IFERROR(__xludf.DUMMYFUNCTION("GOOGLETRANSLATE(C425,""vi"",""km"")"),"អន្តរជាតិ")</f>
        <v/>
      </c>
      <c r="E425" s="3" t="n"/>
      <c r="F425" s="3" t="inlineStr">
        <is>
          <t>អន្តរជាតិ</t>
        </is>
      </c>
      <c r="G425" s="3" t="n"/>
      <c r="H425" s="217" t="inlineStr">
        <is>
          <t>"detailsOperating.international": "អន្តរជាតិ",</t>
        </is>
      </c>
      <c r="I425" t="inlineStr">
        <is>
          <t>អន្តរជាតិ</t>
        </is>
      </c>
    </row>
    <row r="426">
      <c r="A426" s="3" t="inlineStr">
        <is>
          <t>detailsOperating.orderCode</t>
        </is>
      </c>
      <c r="B426" s="3" t="inlineStr">
        <is>
          <t>Mã vận đơn</t>
        </is>
      </c>
      <c r="C426" s="3" t="inlineStr">
        <is>
          <t>Order code</t>
        </is>
      </c>
      <c r="D426" s="217">
        <f>IFERROR(__xludf.DUMMYFUNCTION("GOOGLETRANSLATE(C426,""vi"",""km"")"),"លេខកូដបញ្ជាទិញ")</f>
        <v/>
      </c>
      <c r="E426" s="3" t="n"/>
      <c r="F426" s="3" t="inlineStr">
        <is>
          <t>លេខកូដបុងបញ្ញើ</t>
        </is>
      </c>
      <c r="G426" s="3" t="n"/>
      <c r="H426" s="217" t="inlineStr">
        <is>
          <t>"detailsOperating.orderCode": "លេខកូដបុងបញ្ញើ",</t>
        </is>
      </c>
      <c r="I426" t="inlineStr">
        <is>
          <t>លេខកូដបុងបញ្ញើ</t>
        </is>
      </c>
    </row>
    <row r="427">
      <c r="A427" s="3" t="inlineStr">
        <is>
          <t>detailsOperating.orderInfor</t>
        </is>
      </c>
      <c r="B427" s="3" t="inlineStr">
        <is>
          <t>Thông tin đơn hàng</t>
        </is>
      </c>
      <c r="C427" s="3" t="inlineStr">
        <is>
          <t>Order information</t>
        </is>
      </c>
      <c r="D427" s="217">
        <f>IFERROR(__xludf.DUMMYFUNCTION("GOOGLETRANSLATE(C427,""vi"",""km"")"),"ព័ត៌មានការបញ្ជាទិញ")</f>
        <v/>
      </c>
      <c r="E427" s="3" t="n"/>
      <c r="F427" s="3" t="inlineStr">
        <is>
          <t>ព័ត៌មានការបញ្ជាទិញ</t>
        </is>
      </c>
      <c r="G427" s="3" t="n"/>
      <c r="H427" s="217" t="inlineStr">
        <is>
          <t>"detailsOperating.orderInfor": "ព័ត៌មានការបញ្ជាទិញ",</t>
        </is>
      </c>
      <c r="I427" t="inlineStr">
        <is>
          <t>ព័ត៌មានការបញ្ជាទិញ</t>
        </is>
      </c>
    </row>
    <row r="428">
      <c r="A428" s="3" t="inlineStr">
        <is>
          <t>detailsOperating.orderStatus</t>
        </is>
      </c>
      <c r="B428" s="3" t="inlineStr">
        <is>
          <t>Trạng thái</t>
        </is>
      </c>
      <c r="C428" s="3" t="inlineStr">
        <is>
          <t>Order status</t>
        </is>
      </c>
      <c r="D428" s="217">
        <f>IFERROR(__xludf.DUMMYFUNCTION("GOOGLETRANSLATE(C428,""vi"",""km"")"),"ស្ថានភាពបញ្ជាទិញ")</f>
        <v/>
      </c>
      <c r="E428" s="3" t="n"/>
      <c r="F428" s="3" t="inlineStr">
        <is>
          <t>ស្ថានភាព</t>
        </is>
      </c>
      <c r="G428" s="3" t="n"/>
      <c r="H428" s="217" t="inlineStr">
        <is>
          <t>"detailsOperating.orderStatus": "ស្ថានភាព",</t>
        </is>
      </c>
      <c r="I428" t="inlineStr">
        <is>
          <t>ស្ថានភាព</t>
        </is>
      </c>
    </row>
    <row r="429">
      <c r="A429" s="3" t="inlineStr">
        <is>
          <t>detailsOperating.postOffice</t>
        </is>
      </c>
      <c r="B429" s="3" t="inlineStr">
        <is>
          <t>Bưu cục nhận</t>
        </is>
      </c>
      <c r="C429" s="3" t="inlineStr">
        <is>
          <t>Pickup station</t>
        </is>
      </c>
      <c r="D429" s="217">
        <f>IFERROR(__xludf.DUMMYFUNCTION("GOOGLETRANSLATE(C429,""vi"",""km"")"),"ស្ថានីយ​ទទួល")</f>
        <v/>
      </c>
      <c r="E429" s="3" t="n"/>
      <c r="F429" s="3" t="inlineStr">
        <is>
          <t>ស្ថានីយទទួល</t>
        </is>
      </c>
      <c r="G429" s="3" t="n"/>
      <c r="H429" s="217" t="inlineStr">
        <is>
          <t>"detailsOperating.postOffice": "ស្ថានីយទទួល",</t>
        </is>
      </c>
      <c r="I429" t="inlineStr">
        <is>
          <t>ស្ថានីយទទួល</t>
        </is>
      </c>
    </row>
    <row r="430">
      <c r="A430" s="3" t="inlineStr">
        <is>
          <t>detailsOperating.postman</t>
        </is>
      </c>
      <c r="B430" s="3" t="inlineStr">
        <is>
          <t>Tuyến nhận</t>
        </is>
      </c>
      <c r="C430" s="3" t="inlineStr">
        <is>
          <t>Postman</t>
        </is>
      </c>
      <c r="D430" s="217">
        <f>IFERROR(__xludf.DUMMYFUNCTION("GOOGLETRANSLATE(C430,""vi"",""km"")"),"អ្នករត់សំបុត្រ")</f>
        <v/>
      </c>
      <c r="E430" s="3" t="n"/>
      <c r="F430" s="3" t="inlineStr">
        <is>
          <t>អ្នកដឹកជញ្ជូន</t>
        </is>
      </c>
      <c r="G430" s="3" t="n"/>
      <c r="H430" s="217" t="inlineStr">
        <is>
          <t>"detailsOperating.postman": "អ្នកដឹកជញ្ជូន",</t>
        </is>
      </c>
      <c r="I430" t="inlineStr">
        <is>
          <t>អ្នកដឹកជញ្ជូន</t>
        </is>
      </c>
    </row>
    <row r="431">
      <c r="A431" s="3" t="inlineStr">
        <is>
          <t>detailsOperating.receiverInfor</t>
        </is>
      </c>
      <c r="B431" s="3" t="inlineStr">
        <is>
          <t>Địa chỉ người nhận</t>
        </is>
      </c>
      <c r="C431" s="3" t="inlineStr">
        <is>
          <t>Receiver address</t>
        </is>
      </c>
      <c r="D431" s="217">
        <f>IFERROR(__xludf.DUMMYFUNCTION("GOOGLETRANSLATE(C431,""vi"",""km"")"),"កាតទទួល")</f>
        <v/>
      </c>
      <c r="E431" s="3" t="n"/>
      <c r="F431" s="3" t="inlineStr">
        <is>
          <t>កាតទទួល</t>
        </is>
      </c>
      <c r="G431" s="3" t="n"/>
      <c r="H431" s="217" t="inlineStr">
        <is>
          <t>"detailsOperating.receiverInfor": "កាតទទួល",</t>
        </is>
      </c>
      <c r="I431" t="inlineStr">
        <is>
          <t>កាតទទួល</t>
        </is>
      </c>
    </row>
    <row r="432">
      <c r="A432" s="3" t="inlineStr">
        <is>
          <t>detailsOperating.senderInfor</t>
        </is>
      </c>
      <c r="B432" s="3" t="inlineStr">
        <is>
          <t>Địa chỉ người gửi</t>
        </is>
      </c>
      <c r="C432" s="3" t="inlineStr">
        <is>
          <t>Sender address</t>
        </is>
      </c>
      <c r="D432" s="217">
        <f>IFERROR(__xludf.DUMMYFUNCTION("GOOGLETRANSLATE(C432,""vi"",""km"")"),"អាសយដ្ឋានអ្នកផ្ញើ")</f>
        <v/>
      </c>
      <c r="E432" s="3" t="n"/>
      <c r="F432" s="3" t="inlineStr">
        <is>
          <t>អាសយដ្ឋានអ្នកផ្ញើ</t>
        </is>
      </c>
      <c r="G432" s="3" t="n"/>
      <c r="H432" s="217" t="inlineStr">
        <is>
          <t>"detailsOperating.senderInfor": "អាសយដ្ឋានអ្នកផ្ញើ",</t>
        </is>
      </c>
      <c r="I432" t="inlineStr">
        <is>
          <t>អាសយដ្ឋានអ្នកផ្ញើ</t>
        </is>
      </c>
    </row>
    <row r="433">
      <c r="A433" s="3" t="inlineStr">
        <is>
          <t>detailsOperating.total</t>
        </is>
      </c>
      <c r="B433" s="3" t="inlineStr">
        <is>
          <t>Tổng đơn hàng</t>
        </is>
      </c>
      <c r="C433" s="3" t="inlineStr">
        <is>
          <t>Total order</t>
        </is>
      </c>
      <c r="D433" s="217">
        <f>IFERROR(__xludf.DUMMYFUNCTION("GOOGLETRANSLATE(C433,""vi"",""km"")"),"ការបញ្ជាទិញសរុប")</f>
        <v/>
      </c>
      <c r="E433" s="3" t="n"/>
      <c r="F433" s="3" t="inlineStr">
        <is>
          <t>ការបញ្ជាទិញសរុប</t>
        </is>
      </c>
      <c r="G433" s="3" t="n"/>
      <c r="H433" s="217" t="inlineStr">
        <is>
          <t>"detailsOperating.total": "ការបញ្ជាទិញសរុប",</t>
        </is>
      </c>
      <c r="I433" t="inlineStr">
        <is>
          <t>ការបញ្ជាទិញសរុប</t>
        </is>
      </c>
    </row>
    <row r="434">
      <c r="A434" s="3" t="inlineStr">
        <is>
          <t>display.display</t>
        </is>
      </c>
      <c r="B434" s="3" t="inlineStr">
        <is>
          <t>Hiển thị</t>
        </is>
      </c>
      <c r="C434" s="3" t="inlineStr">
        <is>
          <t>Display</t>
        </is>
      </c>
      <c r="D434" s="217">
        <f>IFERROR(__xludf.DUMMYFUNCTION("GOOGLETRANSLATE(C434,""vi"",""km"")"),"ការបង្ហាញ")</f>
        <v/>
      </c>
      <c r="E434" s="3" t="n"/>
      <c r="F434" s="3" t="inlineStr">
        <is>
          <t>ការបង្ហាញ</t>
        </is>
      </c>
      <c r="G434" s="3" t="n"/>
      <c r="H434" s="217" t="inlineStr">
        <is>
          <t>"display.display": "ការបង្ហាញ",</t>
        </is>
      </c>
      <c r="I434" t="inlineStr">
        <is>
          <t>ការបង្ហាញ</t>
        </is>
      </c>
    </row>
    <row r="435">
      <c r="A435" s="3" t="inlineStr">
        <is>
          <t>display.none</t>
        </is>
      </c>
      <c r="B435" s="3" t="inlineStr">
        <is>
          <t>Không hiển thị</t>
        </is>
      </c>
      <c r="C435" s="3" t="inlineStr">
        <is>
          <t>None</t>
        </is>
      </c>
      <c r="D435" s="217">
        <f>IFERROR(__xludf.DUMMYFUNCTION("GOOGLETRANSLATE(C435,""vi"",""km"")"),"គ្មាន")</f>
        <v/>
      </c>
      <c r="E435" s="3" t="n"/>
      <c r="F435" s="3" t="inlineStr">
        <is>
          <t>គ្មាន</t>
        </is>
      </c>
      <c r="G435" s="3" t="n"/>
      <c r="H435" s="217" t="inlineStr">
        <is>
          <t>"display.none": "គ្មាន",</t>
        </is>
      </c>
      <c r="I435" t="inlineStr">
        <is>
          <t>គ្មាន</t>
        </is>
      </c>
    </row>
    <row r="436">
      <c r="A436" s="3" t="inlineStr">
        <is>
          <t>headerLogin.service</t>
        </is>
      </c>
      <c r="B436" s="3" t="inlineStr">
        <is>
          <t>Dịch vụ</t>
        </is>
      </c>
      <c r="C436" s="3" t="inlineStr">
        <is>
          <t>Service</t>
        </is>
      </c>
      <c r="D436" s="217">
        <f>IFERROR(__xludf.DUMMYFUNCTION("GOOGLETRANSLATE(C436,""vi"",""km"")"),"សេវាកម្ម")</f>
        <v/>
      </c>
      <c r="E436" s="3" t="n"/>
      <c r="F436" s="3" t="inlineStr">
        <is>
          <t>សេវាកម្ម</t>
        </is>
      </c>
      <c r="G436" s="3" t="n"/>
      <c r="H436" s="217" t="inlineStr">
        <is>
          <t>"headerLogin.service": "សេវាកម្ម",</t>
        </is>
      </c>
      <c r="I436" t="inlineStr">
        <is>
          <t>សេវាកម្ម</t>
        </is>
      </c>
    </row>
    <row r="437">
      <c r="A437" s="3" t="inlineStr">
        <is>
          <t>headerLogin.supportCustomer</t>
        </is>
      </c>
      <c r="B437" s="3" t="inlineStr">
        <is>
          <t>Hỗ trợ khách hàng</t>
        </is>
      </c>
      <c r="C437" s="3" t="inlineStr">
        <is>
          <t>Customer support</t>
        </is>
      </c>
      <c r="D437" s="217">
        <f>IFERROR(__xludf.DUMMYFUNCTION("GOOGLETRANSLATE(C437,""vi"",""km"")"),"ការគាំទ្រអតិថិជន")</f>
        <v/>
      </c>
      <c r="E437" s="3" t="n"/>
      <c r="F437" s="3" t="inlineStr">
        <is>
          <t>ការគាំទ្រអតិថិជន</t>
        </is>
      </c>
      <c r="G437" s="3" t="n"/>
      <c r="H437" s="217" t="inlineStr">
        <is>
          <t>"headerLogin.supportCustomer": "ការគាំទ្រអតិថិជន",</t>
        </is>
      </c>
      <c r="I437" t="inlineStr">
        <is>
          <t>ការគាំទ្រអតិថិជន</t>
        </is>
      </c>
    </row>
    <row r="438">
      <c r="A438" s="3" t="inlineStr">
        <is>
          <t>historyDepartmentUser.actionAt</t>
        </is>
      </c>
      <c r="B438" s="3" t="inlineStr">
        <is>
          <t>Thời gian kết thúc</t>
        </is>
      </c>
      <c r="C438" s="3" t="inlineStr">
        <is>
          <t>Expiration date</t>
        </is>
      </c>
      <c r="D438" s="217">
        <f>IFERROR(__xludf.DUMMYFUNCTION("GOOGLETRANSLATE(C438,""vi"",""km"")"),"កាលបរិច្ឆេទផុតកំណត់")</f>
        <v/>
      </c>
      <c r="E438" s="3" t="n"/>
      <c r="F438" s="3" t="inlineStr">
        <is>
          <t>កាលបរិច្ឆេទផុតកំណត់</t>
        </is>
      </c>
      <c r="G438" s="3" t="n"/>
      <c r="H438" s="217" t="inlineStr">
        <is>
          <t>"historyDepartmentUser.actionAt": "កាលបរិច្ឆេទផុតកំណត់",</t>
        </is>
      </c>
      <c r="I438" t="inlineStr">
        <is>
          <t>កាលបរិច្ឆេទផុតកំណត់</t>
        </is>
      </c>
    </row>
    <row r="439">
      <c r="A439" s="3" t="inlineStr">
        <is>
          <t>historyDepartmentUser.postOffice</t>
        </is>
      </c>
      <c r="B439" s="3" t="inlineStr">
        <is>
          <t>Bưu cục</t>
        </is>
      </c>
      <c r="C439" s="3" t="inlineStr">
        <is>
          <t>Post office</t>
        </is>
      </c>
      <c r="D439" s="217">
        <f>IFERROR(__xludf.DUMMYFUNCTION("GOOGLETRANSLATE(C439,""vi"",""km"")"),"ការិយាល័យប្រៃសណីយ៍")</f>
        <v/>
      </c>
      <c r="E439" s="3" t="n"/>
      <c r="F439" s="3" t="inlineStr">
        <is>
          <t>ការិយាល័យប្រៃសណីយ៍</t>
        </is>
      </c>
      <c r="G439" s="3" t="n"/>
      <c r="H439" s="217" t="inlineStr">
        <is>
          <t>"historyDepartmentUser.postOffice": "ការិយាល័យប្រៃសណីយ៍",</t>
        </is>
      </c>
      <c r="I439" t="inlineStr">
        <is>
          <t>ការិយាល័យប្រៃសណីយ៍</t>
        </is>
      </c>
    </row>
    <row r="440">
      <c r="A440" s="3" t="inlineStr">
        <is>
          <t>historyDepartmentUser.role</t>
        </is>
      </c>
      <c r="B440" s="3" t="inlineStr">
        <is>
          <t>Chức danh</t>
        </is>
      </c>
      <c r="C440" s="3" t="inlineStr">
        <is>
          <t>Role</t>
        </is>
      </c>
      <c r="D440" s="217">
        <f>IFERROR(__xludf.DUMMYFUNCTION("GOOGLETRANSLATE(C440,""vi"",""km"")"),"តួនាទី")</f>
        <v/>
      </c>
      <c r="E440" s="3" t="n"/>
      <c r="F440" s="3" t="inlineStr">
        <is>
          <t>តួនាទី</t>
        </is>
      </c>
      <c r="G440" s="3" t="n"/>
      <c r="H440" s="217" t="inlineStr">
        <is>
          <t>"historyDepartmentUser.role": "តួនាទី",</t>
        </is>
      </c>
      <c r="I440" t="inlineStr">
        <is>
          <t>តួនាទី</t>
        </is>
      </c>
    </row>
    <row r="441">
      <c r="A441" s="3" t="inlineStr">
        <is>
          <t>historyDepartmentUser.startAt</t>
        </is>
      </c>
      <c r="B441" s="3" t="inlineStr">
        <is>
          <t>Thời gian bắt đầu</t>
        </is>
      </c>
      <c r="C441" s="3" t="inlineStr">
        <is>
          <t>Effective time</t>
        </is>
      </c>
      <c r="D441" s="217">
        <f>IFERROR(__xludf.DUMMYFUNCTION("GOOGLETRANSLATE(C441,""vi"",""km"")"),"ពេលវេលាមានប្រសិទ្ធភាព")</f>
        <v/>
      </c>
      <c r="E441" s="3" t="n"/>
      <c r="F441" s="3" t="inlineStr">
        <is>
          <t>ពេលវេលាមានប្រសិទ្ធភាព</t>
        </is>
      </c>
      <c r="G441" s="3" t="n"/>
      <c r="H441" s="217" t="inlineStr">
        <is>
          <t>"historyDepartmentUser.startAt": "ពេលវេលាមានប្រសិទ្ធភាព",</t>
        </is>
      </c>
      <c r="I441" t="inlineStr">
        <is>
          <t>ពេលវេលាមានប្រសិទ្ធភាព</t>
        </is>
      </c>
    </row>
    <row r="442">
      <c r="A442" s="3" t="inlineStr">
        <is>
          <t>historyDepartmentUser.status</t>
        </is>
      </c>
      <c r="B442" s="3" t="inlineStr">
        <is>
          <t>Trạng thái</t>
        </is>
      </c>
      <c r="C442" s="3" t="inlineStr">
        <is>
          <t>Status</t>
        </is>
      </c>
      <c r="D442" s="217">
        <f>IFERROR(__xludf.DUMMYFUNCTION("GOOGLETRANSLATE(C442,""vi"",""km"")"),"ស្ថានភាព")</f>
        <v/>
      </c>
      <c r="E442" s="3" t="n"/>
      <c r="F442" s="3" t="inlineStr">
        <is>
          <t>ស្ថានភាព</t>
        </is>
      </c>
      <c r="G442" s="3" t="n"/>
      <c r="H442" s="217" t="inlineStr">
        <is>
          <t>"historyDepartmentUser.status": "ស្ថានភាព",</t>
        </is>
      </c>
      <c r="I442" t="inlineStr">
        <is>
          <t>ស្ថានភាព</t>
        </is>
      </c>
    </row>
    <row r="443">
      <c r="A443" s="3" t="inlineStr">
        <is>
          <t>inventory.branch</t>
        </is>
      </c>
      <c r="B443" s="3" t="inlineStr">
        <is>
          <t>Chi nhánh</t>
        </is>
      </c>
      <c r="C443" s="3" t="inlineStr">
        <is>
          <t>Branch</t>
        </is>
      </c>
      <c r="D443" s="217">
        <f>IFERROR(__xludf.DUMMYFUNCTION("GOOGLETRANSLATE(C443,""vi"",""km"")"),"គ្រួសារ")</f>
        <v/>
      </c>
      <c r="E443" s="3" t="n"/>
      <c r="F443" s="3" t="inlineStr">
        <is>
          <t>សាខា</t>
        </is>
      </c>
      <c r="G443" s="3" t="n"/>
      <c r="H443" s="217" t="inlineStr">
        <is>
          <t>"inventory.branch": "សាខា",</t>
        </is>
      </c>
      <c r="I443" t="inlineStr">
        <is>
          <t>សាខា</t>
        </is>
      </c>
    </row>
    <row r="444">
      <c r="A444" s="3" t="inlineStr">
        <is>
          <t>inventory.fileName</t>
        </is>
      </c>
      <c r="B444" s="3" t="inlineStr">
        <is>
          <t>Baocaotonthu</t>
        </is>
      </c>
      <c r="C444" s="3" t="inlineStr">
        <is>
          <t>PickupInventoryReport</t>
        </is>
      </c>
      <c r="D444" s="217">
        <f>IFERROR(__xludf.DUMMYFUNCTION("GOOGLETRANSLATE(C444,""vi"",""km"")"),"របាយការណ៍ស្តុកទំនិញសម្រាប់ទទួលទំនិញ")</f>
        <v/>
      </c>
      <c r="E444" s="3" t="n"/>
      <c r="F444" s="3" t="inlineStr">
        <is>
          <t>របាយការណ៍បញ្ញើសេសសល់ត្រូវប្រមូល</t>
        </is>
      </c>
      <c r="G444" s="3" t="n"/>
      <c r="H444" s="217" t="inlineStr">
        <is>
          <t>"inventory.fileName": "របាយការណ៍បញ្ញើសេសសល់ត្រូវប្រមូល",</t>
        </is>
      </c>
      <c r="I444" t="inlineStr">
        <is>
          <t>របាយការណ៍បញ្ញើសេសសល់ត្រូវប្រមូល</t>
        </is>
      </c>
    </row>
    <row r="445">
      <c r="A445" s="3" t="inlineStr">
        <is>
          <t>inventory.fileNameDetail</t>
        </is>
      </c>
      <c r="B445" s="3" t="inlineStr">
        <is>
          <t>Chitietonthu</t>
        </is>
      </c>
      <c r="C445" s="3" t="inlineStr">
        <is>
          <t>DetailPickupInventory</t>
        </is>
      </c>
      <c r="D445" s="217">
        <f>IFERROR(__xludf.DUMMYFUNCTION("GOOGLETRANSLATE(C445,""vi"",""km"")"),"ការជ្រើសរើសសារពើភ័ណ្ឌលម្អិត")</f>
        <v/>
      </c>
      <c r="E445" s="3" t="n"/>
      <c r="F445" s="3" t="inlineStr">
        <is>
          <t>ព័ត៌មានលម្អិតបញ្ញើសេសសល់ត្រូវប្រមូល</t>
        </is>
      </c>
      <c r="G445" s="3" t="n"/>
      <c r="H445" s="217" t="inlineStr">
        <is>
          <t>"inventory.fileNameDetail": "ព័ត៌មានលម្អិតបញ្ញើសេសសល់ត្រូវប្រមូល",</t>
        </is>
      </c>
      <c r="I445" t="inlineStr">
        <is>
          <t>ព័ត៌មានលម្អិតបញ្ញើសេសសល់ត្រូវប្រមូល</t>
        </is>
      </c>
    </row>
    <row r="446">
      <c r="A446" s="3" t="inlineStr">
        <is>
          <t>inventory.ngayN</t>
        </is>
      </c>
      <c r="B446" s="3" t="inlineStr">
        <is>
          <t>Ngày n</t>
        </is>
      </c>
      <c r="C446" s="3" t="inlineStr">
        <is>
          <t>Day n</t>
        </is>
      </c>
      <c r="D446" s="217">
        <f>IFERROR(__xludf.DUMMYFUNCTION("GOOGLETRANSLATE(C446,""vi"",""km"")"),"ថ្ងៃ n")</f>
        <v/>
      </c>
      <c r="E446" s="3" t="n"/>
      <c r="F446" s="3" t="inlineStr">
        <is>
          <t>ថ្ងៃ n</t>
        </is>
      </c>
      <c r="G446" s="3" t="n"/>
      <c r="H446" s="217" t="inlineStr">
        <is>
          <t>"inventory.ngayN": "ថ្ងៃ n",</t>
        </is>
      </c>
      <c r="I446" t="inlineStr">
        <is>
          <t>ថ្ងៃ n</t>
        </is>
      </c>
    </row>
    <row r="447">
      <c r="A447" s="3" t="inlineStr">
        <is>
          <t>inventory.ngayN1</t>
        </is>
      </c>
      <c r="B447" s="3" t="inlineStr">
        <is>
          <t>Ngày n - 1</t>
        </is>
      </c>
      <c r="C447" s="3" t="inlineStr">
        <is>
          <t>Day n - 1</t>
        </is>
      </c>
      <c r="D447" s="217">
        <f>IFERROR(__xludf.DUMMYFUNCTION("GOOGLETRANSLATE(C447,""vi"",""km"")"),"ថ្ងៃទី n - 1")</f>
        <v/>
      </c>
      <c r="E447" s="3" t="n"/>
      <c r="F447" s="3" t="inlineStr">
        <is>
          <t>ថ្ងៃទី n - 1</t>
        </is>
      </c>
      <c r="G447" s="3" t="n"/>
      <c r="H447" s="217" t="inlineStr">
        <is>
          <t>"inventory.ngayN1": "ថ្ងៃទី n - 1",</t>
        </is>
      </c>
      <c r="I447" t="inlineStr">
        <is>
          <t>ថ្ងៃទី n - 1</t>
        </is>
      </c>
    </row>
    <row r="448">
      <c r="A448" s="3" t="inlineStr">
        <is>
          <t>inventory.ngayN2</t>
        </is>
      </c>
      <c r="B448" s="3" t="inlineStr">
        <is>
          <t>Ngày n - 2</t>
        </is>
      </c>
      <c r="C448" s="3" t="inlineStr">
        <is>
          <t>Day n - 2</t>
        </is>
      </c>
      <c r="D448" s="217">
        <f>IFERROR(__xludf.DUMMYFUNCTION("GOOGLETRANSLATE(C448,""vi"",""km"")"),"ថ្ងៃទី n - 2")</f>
        <v/>
      </c>
      <c r="E448" s="3" t="n"/>
      <c r="F448" s="3" t="inlineStr">
        <is>
          <t>ថ្ងៃទី n - 2</t>
        </is>
      </c>
      <c r="G448" s="3" t="n"/>
      <c r="H448" s="217" t="inlineStr">
        <is>
          <t>"inventory.ngayN2": "ថ្ងៃទី n - 2",</t>
        </is>
      </c>
      <c r="I448" t="inlineStr">
        <is>
          <t>ថ្ងៃទី n - 2</t>
        </is>
      </c>
    </row>
    <row r="449">
      <c r="A449" s="3" t="inlineStr">
        <is>
          <t>inventory.ngayN3</t>
        </is>
      </c>
      <c r="B449" s="3" t="inlineStr">
        <is>
          <t>Ngày n - 3</t>
        </is>
      </c>
      <c r="C449" s="3" t="inlineStr">
        <is>
          <t>Day n - 3</t>
        </is>
      </c>
      <c r="D449" s="217">
        <f>IFERROR(__xludf.DUMMYFUNCTION("GOOGLETRANSLATE(C449,""vi"",""km"")"),"ថ្ងៃទី n - 3")</f>
        <v/>
      </c>
      <c r="E449" s="3" t="n"/>
      <c r="F449" s="3" t="inlineStr">
        <is>
          <t>ថ្ងៃទី n - 3</t>
        </is>
      </c>
      <c r="G449" s="3" t="n"/>
      <c r="H449" s="217" t="inlineStr">
        <is>
          <t>"inventory.ngayN3": "ថ្ងៃទី n - 3",</t>
        </is>
      </c>
      <c r="I449" t="inlineStr">
        <is>
          <t>ថ្ងៃទី n - 3</t>
        </is>
      </c>
    </row>
    <row r="450">
      <c r="A450" s="3" t="inlineStr">
        <is>
          <t>inventory.ngayN4</t>
        </is>
      </c>
      <c r="B450" s="3" t="inlineStr">
        <is>
          <t>Ngày n - 4</t>
        </is>
      </c>
      <c r="C450" s="3" t="inlineStr">
        <is>
          <t>Day n - 4</t>
        </is>
      </c>
      <c r="D450" s="217">
        <f>IFERROR(__xludf.DUMMYFUNCTION("GOOGLETRANSLATE(C450,""vi"",""km"")"),"ថ្ងៃទី n - ៤")</f>
        <v/>
      </c>
      <c r="E450" s="3" t="n"/>
      <c r="F450" s="3" t="inlineStr">
        <is>
          <t>ថ្ងៃទី n - ៤</t>
        </is>
      </c>
      <c r="G450" s="3" t="n"/>
      <c r="H450" s="217" t="inlineStr">
        <is>
          <t>"inventory.ngayN4": "ថ្ងៃទី n - ៤",</t>
        </is>
      </c>
      <c r="I450" t="inlineStr">
        <is>
          <t>ថ្ងៃទី n - ៤</t>
        </is>
      </c>
    </row>
    <row r="451">
      <c r="A451" s="3" t="inlineStr">
        <is>
          <t>inventory.pickupBranch</t>
        </is>
      </c>
      <c r="B451" s="3" t="inlineStr">
        <is>
          <t>Chi nhánh nhận</t>
        </is>
      </c>
      <c r="C451" s="3" t="inlineStr">
        <is>
          <t>Pickup branch</t>
        </is>
      </c>
      <c r="D451" s="217">
        <f>IFERROR(__xludf.DUMMYFUNCTION("GOOGLETRANSLATE(C451,""vi"",""km"")"),"សាខាទទួលទំនិញ")</f>
        <v/>
      </c>
      <c r="E451" s="3" t="n"/>
      <c r="F451" s="3" t="inlineStr">
        <is>
          <t>សាខាទទួលទំនិញ</t>
        </is>
      </c>
      <c r="G451" s="3" t="n"/>
      <c r="H451" s="217" t="inlineStr">
        <is>
          <t>"inventory.pickupBranch": "សាខាទទួលទំនិញ",</t>
        </is>
      </c>
      <c r="I451" t="inlineStr">
        <is>
          <t>សាខាទទួលទំនិញ</t>
        </is>
      </c>
    </row>
    <row r="452">
      <c r="A452" s="3" t="inlineStr">
        <is>
          <t>inventory.pickupPostcode</t>
        </is>
      </c>
      <c r="B452" s="3" t="inlineStr">
        <is>
          <t>Bưu cục nhận</t>
        </is>
      </c>
      <c r="C452" s="3" t="inlineStr">
        <is>
          <t>Pickup postcode</t>
        </is>
      </c>
      <c r="D452" s="217">
        <f>IFERROR(__xludf.DUMMYFUNCTION("GOOGLETRANSLATE(C452,""vi"",""km"")"),"លេខកូដប្រៃសណីយ៍សម្រាប់ទទួល")</f>
        <v/>
      </c>
      <c r="E452" s="3" t="n"/>
      <c r="F452" s="3" t="inlineStr">
        <is>
          <t>លេខកូដប្រៃសណីយ៍សម្រាប់ទទួល</t>
        </is>
      </c>
      <c r="G452" s="3" t="n"/>
      <c r="H452" s="217" t="inlineStr">
        <is>
          <t>"inventory.pickupPostcode": "លេខកូដប្រៃសណីយ៍សម្រាប់ទទួល",</t>
        </is>
      </c>
      <c r="I452" t="inlineStr">
        <is>
          <t>លេខកូដប្រៃសណីយ៍សម្រាប់ទទួល</t>
        </is>
      </c>
    </row>
    <row r="453">
      <c r="A453" s="3" t="inlineStr">
        <is>
          <t>inventory.pickupRoute</t>
        </is>
      </c>
      <c r="B453" s="3" t="inlineStr">
        <is>
          <t>Tuyến bưu tá nhận</t>
        </is>
      </c>
      <c r="C453" s="3" t="inlineStr">
        <is>
          <t>Pickup route</t>
        </is>
      </c>
      <c r="D453" s="217">
        <f>IFERROR(__xludf.DUMMYFUNCTION("GOOGLETRANSLATE(C453,""vi"",""km"")"),"ផ្លូវទៅយក")</f>
        <v/>
      </c>
      <c r="E453" s="3" t="n"/>
      <c r="F453" s="3" t="inlineStr">
        <is>
          <t>ផ្លូវទៅយក</t>
        </is>
      </c>
      <c r="G453" s="3" t="n"/>
      <c r="H453" s="217" t="inlineStr">
        <is>
          <t>"inventory.pickupRoute": "ផ្លូវទៅយក",</t>
        </is>
      </c>
      <c r="I453" t="inlineStr">
        <is>
          <t>ផ្លូវទៅយក</t>
        </is>
      </c>
    </row>
    <row r="454">
      <c r="A454" s="3" t="inlineStr">
        <is>
          <t>inventory.popupTitle</t>
        </is>
      </c>
      <c r="B454" s="3" t="inlineStr">
        <is>
          <t>Chi tiết bưu gửi tồn thu</t>
        </is>
      </c>
      <c r="C454" s="3" t="inlineStr">
        <is>
          <t>Detail pickup backlog order</t>
        </is>
      </c>
      <c r="D454" s="217">
        <f>IFERROR(__xludf.DUMMYFUNCTION("GOOGLETRANSLATE(C454,""vi"",""km"")"),"ការបញ្ជាទិញ​ប្រមូល​ព័ត៌មាន​លម្អិត")</f>
        <v/>
      </c>
      <c r="E454" s="3" t="n"/>
      <c r="F454" s="3" t="inlineStr">
        <is>
          <t>ការបញ្ជាទិញប្រមូលព័ត៌មានលម្អិត</t>
        </is>
      </c>
      <c r="G454" s="3" t="n"/>
      <c r="H454" s="217" t="inlineStr">
        <is>
          <t>"inventory.popupTitle": "ការបញ្ជាទិញប្រមូលព័ត៌មានលម្អិត",</t>
        </is>
      </c>
      <c r="I454" t="inlineStr">
        <is>
          <t>ការបញ្ជាទិញប្រមូលព័ត៌មានលម្អិត</t>
        </is>
      </c>
    </row>
    <row r="455">
      <c r="A455" s="3" t="inlineStr">
        <is>
          <t>inventory.postOffice</t>
        </is>
      </c>
      <c r="B455" s="3" t="inlineStr">
        <is>
          <t>Bưu cục</t>
        </is>
      </c>
      <c r="C455" s="3" t="inlineStr">
        <is>
          <t>Post office</t>
        </is>
      </c>
      <c r="D455" s="217">
        <f>IFERROR(__xludf.DUMMYFUNCTION("GOOGLETRANSLATE(C455,""vi"",""km"")"),"ការិយាល័យប្រៃសណីយ៍")</f>
        <v/>
      </c>
      <c r="E455" s="3" t="n"/>
      <c r="F455" s="3" t="inlineStr">
        <is>
          <t>ការិយាល័យប្រៃសណីយ៍</t>
        </is>
      </c>
      <c r="G455" s="3" t="n"/>
      <c r="H455" s="217" t="inlineStr">
        <is>
          <t>"inventory.postOffice": "ការិយាល័យប្រៃសណីយ៍",</t>
        </is>
      </c>
      <c r="I455" t="inlineStr">
        <is>
          <t>ការិយាល័យប្រៃសណីយ៍</t>
        </is>
      </c>
    </row>
    <row r="456">
      <c r="A456" s="3" t="inlineStr">
        <is>
          <t>inventory.route</t>
        </is>
      </c>
      <c r="B456" s="3" t="inlineStr">
        <is>
          <t>Tuyến</t>
        </is>
      </c>
      <c r="C456" s="3" t="inlineStr">
        <is>
          <t>Route</t>
        </is>
      </c>
      <c r="D456" s="217">
        <f>IFERROR(__xludf.DUMMYFUNCTION("GOOGLETRANSLATE(C456,""vi"",""km"")"),"ផ្លូវ")</f>
        <v/>
      </c>
      <c r="E456" s="3" t="n"/>
      <c r="F456" s="3" t="inlineStr">
        <is>
          <t>ផ្លូវ</t>
        </is>
      </c>
      <c r="G456" s="3" t="n"/>
      <c r="H456" s="217" t="inlineStr">
        <is>
          <t>"inventory.route": "ផ្លូវ",</t>
        </is>
      </c>
      <c r="I456" t="inlineStr">
        <is>
          <t>ផ្លូវ</t>
        </is>
      </c>
    </row>
    <row r="457">
      <c r="A457" s="3" t="inlineStr">
        <is>
          <t>inventory.selectBranch</t>
        </is>
      </c>
      <c r="B457" s="3" t="inlineStr">
        <is>
          <t>Chọn chi nhánh</t>
        </is>
      </c>
      <c r="C457" s="3" t="inlineStr">
        <is>
          <t>Select branch</t>
        </is>
      </c>
      <c r="D457" s="217">
        <f>IFERROR(__xludf.DUMMYFUNCTION("GOOGLETRANSLATE(C457,""vi"",""km"")"),"ជ្រើសរើសទ្រូង")</f>
        <v/>
      </c>
      <c r="E457" s="3" t="n"/>
      <c r="F457" s="3" t="inlineStr">
        <is>
          <t>ជ្រើសរើសទ្រូង</t>
        </is>
      </c>
      <c r="G457" s="3" t="n"/>
      <c r="H457" s="217" t="inlineStr">
        <is>
          <t>"inventory.selectBranch": "ជ្រើសរើសទ្រូង",</t>
        </is>
      </c>
      <c r="I457" t="inlineStr">
        <is>
          <t>ជ្រើសរើសទ្រូង</t>
        </is>
      </c>
    </row>
    <row r="458">
      <c r="A458" s="3" t="inlineStr">
        <is>
          <t>inventory.selectPostOffice</t>
        </is>
      </c>
      <c r="B458" s="3" t="inlineStr">
        <is>
          <t>Chọn bưu cục</t>
        </is>
      </c>
      <c r="C458" s="3" t="inlineStr">
        <is>
          <t>Select postoffice</t>
        </is>
      </c>
      <c r="D458" s="217">
        <f>IFERROR(__xludf.DUMMYFUNCTION("GOOGLETRANSLATE(C458,""vi"",""km"")"),"ជ្រើសរើសការិយាល័យប្រៃសណីយ៍")</f>
        <v/>
      </c>
      <c r="E458" s="3" t="n"/>
      <c r="F458" s="3" t="inlineStr">
        <is>
          <t>ជ្រើសរើសការិយាល័យប្រៃសណីយ៍</t>
        </is>
      </c>
      <c r="G458" s="3" t="n"/>
      <c r="H458" s="217" t="inlineStr">
        <is>
          <t>"inventory.selectPostOffice": "ជ្រើសរើសការិយាល័យប្រៃសណីយ៍",</t>
        </is>
      </c>
      <c r="I458" t="inlineStr">
        <is>
          <t>ជ្រើសរើសការិយាល័យប្រៃសណីយ៍</t>
        </is>
      </c>
    </row>
    <row r="459">
      <c r="A459" s="3" t="inlineStr">
        <is>
          <t>inventory.selectRoute</t>
        </is>
      </c>
      <c r="B459" s="3" t="inlineStr">
        <is>
          <t>Chọn tuyến</t>
        </is>
      </c>
      <c r="C459" s="3" t="inlineStr">
        <is>
          <t>Select route</t>
        </is>
      </c>
      <c r="D459" s="217">
        <f>IFERROR(__xludf.DUMMYFUNCTION("GOOGLETRANSLATE(C459,""vi"",""km"")"),"ជ្រើសរើសផ្លូវ")</f>
        <v/>
      </c>
      <c r="E459" s="3" t="n"/>
      <c r="F459" s="3" t="inlineStr">
        <is>
          <t>ជ្រើសរើសផ្លូវ</t>
        </is>
      </c>
      <c r="G459" s="3" t="n"/>
      <c r="H459" s="217" t="inlineStr">
        <is>
          <t>"inventory.selectRoute": "ជ្រើសរើសផ្លូវ",</t>
        </is>
      </c>
      <c r="I459" t="inlineStr">
        <is>
          <t>ជ្រើសរើសផ្លូវ</t>
        </is>
      </c>
    </row>
    <row r="460">
      <c r="A460" s="3" t="inlineStr">
        <is>
          <t>inventory.totalInventory</t>
        </is>
      </c>
      <c r="B460" s="3" t="inlineStr">
        <is>
          <t>Tổng tồn</t>
        </is>
      </c>
      <c r="C460" s="3" t="inlineStr">
        <is>
          <t>Total inventory</t>
        </is>
      </c>
      <c r="D460" s="217">
        <f>IFERROR(__xludf.DUMMYFUNCTION("GOOGLETRANSLATE(C460,""vi"",""km"")"),"ស្តុកសរុប")</f>
        <v/>
      </c>
      <c r="E460" s="3" t="n"/>
      <c r="F460" s="3" t="inlineStr">
        <is>
          <t>ស្តុកសរុប</t>
        </is>
      </c>
      <c r="G460" s="3" t="n"/>
      <c r="H460" s="217" t="inlineStr">
        <is>
          <t>"inventory.totalInventory": "ស្តុកសរុប",</t>
        </is>
      </c>
      <c r="I460" t="inlineStr">
        <is>
          <t>ស្តុកសរុប</t>
        </is>
      </c>
    </row>
    <row r="461">
      <c r="A461" s="3" t="inlineStr">
        <is>
          <t>layout.header.hello</t>
        </is>
      </c>
      <c r="B461" s="3" t="inlineStr">
        <is>
          <t>Xin chào</t>
        </is>
      </c>
      <c r="C461" s="3" t="inlineStr">
        <is>
          <t>Hello</t>
        </is>
      </c>
      <c r="D461" s="217">
        <f>IFERROR(__xludf.DUMMYFUNCTION("GOOGLETRANSLATE(C461,""vi"",""km"")"),"សួស្តី")</f>
        <v/>
      </c>
      <c r="E461" s="3" t="n"/>
      <c r="F461" s="3" t="inlineStr">
        <is>
          <t>សួស្តី</t>
        </is>
      </c>
      <c r="G461" s="3" t="n"/>
      <c r="H461" s="217" t="inlineStr">
        <is>
          <t>"layout.header.hello": "សួស្តី",</t>
        </is>
      </c>
      <c r="I461" t="inlineStr">
        <is>
          <t>សួស្តី</t>
        </is>
      </c>
    </row>
    <row r="462">
      <c r="A462" s="3" t="inlineStr">
        <is>
          <t>layout.header.inforuser</t>
        </is>
      </c>
      <c r="B462" s="3" t="inlineStr">
        <is>
          <t>Thông tin tài khoản</t>
        </is>
      </c>
      <c r="C462" s="3" t="inlineStr">
        <is>
          <t>Account Information</t>
        </is>
      </c>
      <c r="D462" s="217">
        <f>IFERROR(__xludf.DUMMYFUNCTION("GOOGLETRANSLATE(C462,""vi"",""km"")"),"ព័ត៌មានគណនី")</f>
        <v/>
      </c>
      <c r="E462" s="3" t="n"/>
      <c r="F462" s="3" t="inlineStr">
        <is>
          <t>ព័ត៌មានគណនី</t>
        </is>
      </c>
      <c r="G462" s="3" t="n"/>
      <c r="H462" s="217" t="inlineStr">
        <is>
          <t>"layout.header.inforuser": "ព័ត៌មានគណនី",</t>
        </is>
      </c>
      <c r="I462" t="inlineStr">
        <is>
          <t>ព័ត៌មានគណនី</t>
        </is>
      </c>
    </row>
    <row r="463">
      <c r="A463" s="3" t="inlineStr">
        <is>
          <t>layout.header.inputSearch</t>
        </is>
      </c>
      <c r="B463" s="3" t="inlineStr">
        <is>
          <t>Nhập mã phiếu gửi</t>
        </is>
      </c>
      <c r="C463" s="3" t="inlineStr">
        <is>
          <t>Enter waybill code</t>
        </is>
      </c>
      <c r="D463" s="217">
        <f>IFERROR(__xludf.DUMMYFUNCTION("GOOGLETRANSLATE(C463,""vi"",""km"")"),"បញ្ចូលលេខកូដវិក្កយបត្រ")</f>
        <v/>
      </c>
      <c r="E463" s="3" t="n"/>
      <c r="F463" s="3" t="inlineStr">
        <is>
          <t>បញ្ចូលលេខកូដវិក្កយបត្រ</t>
        </is>
      </c>
      <c r="G463" s="3" t="n"/>
      <c r="H463" s="217" t="inlineStr">
        <is>
          <t>"layout.header.inputSearch": "បញ្ចូលលេខកូដវិក្កយបត្រ",</t>
        </is>
      </c>
      <c r="I463" t="inlineStr">
        <is>
          <t>បញ្ចូលលេខកូដវិក្កយបត្រ</t>
        </is>
      </c>
    </row>
    <row r="464">
      <c r="A464" s="3" t="inlineStr">
        <is>
          <t>layout.header.logout</t>
        </is>
      </c>
      <c r="B464" s="3" t="inlineStr">
        <is>
          <t>Đăng xuất</t>
        </is>
      </c>
      <c r="C464" s="3" t="inlineStr">
        <is>
          <t>Logout</t>
        </is>
      </c>
      <c r="D464" s="217">
        <f>IFERROR(__xludf.DUMMYFUNCTION("GOOGLETRANSLATE(C464,""vi"",""km"")"),"ចាកចេញ")</f>
        <v/>
      </c>
      <c r="E464" s="3" t="n"/>
      <c r="F464" s="3" t="inlineStr">
        <is>
          <t>ចាកចេញ</t>
        </is>
      </c>
      <c r="G464" s="3" t="n"/>
      <c r="H464" s="217" t="inlineStr">
        <is>
          <t>"layout.header.logout": "ចាកចេញ",</t>
        </is>
      </c>
      <c r="I464" t="inlineStr">
        <is>
          <t>ចាកចេញ</t>
        </is>
      </c>
    </row>
    <row r="465">
      <c r="A465" s="3" t="inlineStr">
        <is>
          <t>layout.header.selectPost</t>
        </is>
      </c>
      <c r="B465" s="3" t="inlineStr">
        <is>
          <t>Mã bưu cục</t>
        </is>
      </c>
      <c r="C465" s="3" t="inlineStr">
        <is>
          <t>Post Office Code</t>
        </is>
      </c>
      <c r="D465" s="217">
        <f>IFERROR(__xludf.DUMMYFUNCTION("GOOGLETRANSLATE(C465,""vi"",""km"")"),"លេខកូដប្រៃសណីយ៍")</f>
        <v/>
      </c>
      <c r="E465" s="3" t="n"/>
      <c r="F465" s="3" t="inlineStr">
        <is>
          <t>លេខកូដប្រៃសណីយ៍</t>
        </is>
      </c>
      <c r="G465" s="3" t="n"/>
      <c r="H465" s="217" t="inlineStr">
        <is>
          <t>"layout.header.selectPost": "លេខកូដប្រៃសណីយ៍",</t>
        </is>
      </c>
      <c r="I465" t="inlineStr">
        <is>
          <t>លេខកូដប្រៃសណីយ៍</t>
        </is>
      </c>
    </row>
    <row r="466">
      <c r="A466" s="3" t="inlineStr">
        <is>
          <t>listButton.deliveryPhote</t>
        </is>
      </c>
      <c r="B466" s="3" t="inlineStr">
        <is>
          <t>Ảnh giao hàng</t>
        </is>
      </c>
      <c r="C466" s="3" t="inlineStr">
        <is>
          <t>Delivery image</t>
        </is>
      </c>
      <c r="D466" s="217">
        <f>IFERROR(__xludf.DUMMYFUNCTION("GOOGLETRANSLATE(C466,""vi"",""km"")"),"រូបភាពដឹកជញ្ជូន")</f>
        <v/>
      </c>
      <c r="E466" s="3" t="n"/>
      <c r="F466" s="3" t="inlineStr">
        <is>
          <t>រូបភាពដឹកជញ្ជូន</t>
        </is>
      </c>
      <c r="G466" s="3" t="n"/>
      <c r="H466" s="217" t="inlineStr">
        <is>
          <t>"listButton.deliveryPhote": "រូបភាពដឹកជញ្ជូន",</t>
        </is>
      </c>
      <c r="I466" t="inlineStr">
        <is>
          <t>រូបភាពដឹកជញ្ជូន</t>
        </is>
      </c>
    </row>
    <row r="467">
      <c r="A467" s="3" t="inlineStr">
        <is>
          <t>listButton.printOrder</t>
        </is>
      </c>
      <c r="B467" s="3" t="inlineStr">
        <is>
          <t>In phiếu gửi</t>
        </is>
      </c>
      <c r="C467" s="3" t="inlineStr">
        <is>
          <t>Print order</t>
        </is>
      </c>
      <c r="D467" s="217">
        <f>IFERROR(__xludf.DUMMYFUNCTION("GOOGLETRANSLATE(C467,""vi"",""km"")"),"ការបញ្ជាទិញបោះពុម្ព")</f>
        <v/>
      </c>
      <c r="E467" s="3" t="n"/>
      <c r="F467" s="3" t="inlineStr">
        <is>
          <t>ព្រីនបុងបញ្ញើ</t>
        </is>
      </c>
      <c r="G467" s="3" t="n"/>
      <c r="H467" s="217" t="inlineStr">
        <is>
          <t>"listButton.printOrder": "ព្រីនបុងបញ្ញើ",</t>
        </is>
      </c>
      <c r="I467" t="inlineStr">
        <is>
          <t>ព្រីនបុងបញ្ញើ</t>
        </is>
      </c>
    </row>
    <row r="468">
      <c r="A468" s="3" t="inlineStr">
        <is>
          <t>listButton.printReturn</t>
        </is>
      </c>
      <c r="B468" s="3" t="inlineStr">
        <is>
          <t>In phiếu hoàn</t>
        </is>
      </c>
      <c r="C468" s="3" t="inlineStr">
        <is>
          <t>Print return order</t>
        </is>
      </c>
      <c r="D468" s="217">
        <f>IFERROR(__xludf.DUMMYFUNCTION("GOOGLETRANSLATE(C468,""vi"",""km"")"),"បោះពុម្ពការបញ្ជាទិញប្រគល់មកវិញ")</f>
        <v/>
      </c>
      <c r="E468" s="3" t="n"/>
      <c r="F468" s="3" t="inlineStr">
        <is>
          <t>ព្រីនការបញ្ជាទិញប្រគល់មកវិញ</t>
        </is>
      </c>
      <c r="G468" s="3" t="n"/>
      <c r="H468" s="217" t="inlineStr">
        <is>
          <t>"listButton.printReturn": "ព្រីនការបញ្ជាទិញប្រគល់មកវិញ",</t>
        </is>
      </c>
      <c r="I468" t="inlineStr">
        <is>
          <t>ព្រីនការបញ្ជាទិញប្រគល់មកវិញ</t>
        </is>
      </c>
    </row>
    <row r="469">
      <c r="A469" s="3" t="inlineStr">
        <is>
          <t>listButton.shippingPhoto</t>
        </is>
      </c>
      <c r="B469" s="3" t="inlineStr">
        <is>
          <t>Ảnh gửi hàng</t>
        </is>
      </c>
      <c r="C469" s="3" t="inlineStr">
        <is>
          <t>Received image</t>
        </is>
      </c>
      <c r="D469" s="217">
        <f>IFERROR(__xludf.DUMMYFUNCTION("GOOGLETRANSLATE(C469,""vi"",""km"")"),"រូបភាពដែលបានរាយការណ៍")</f>
        <v/>
      </c>
      <c r="E469" s="3" t="n"/>
      <c r="F469" s="3" t="inlineStr">
        <is>
          <t>រូបភាពដែលបានរាយការណ៍</t>
        </is>
      </c>
      <c r="G469" s="3" t="n"/>
      <c r="H469" s="217" t="inlineStr">
        <is>
          <t>"listButton.shippingPhoto": "រូបភាពដែលបានរាយការណ៍",</t>
        </is>
      </c>
      <c r="I469" t="inlineStr">
        <is>
          <t>រូបភាពដែលបានរាយការណ៍</t>
        </is>
      </c>
    </row>
    <row r="470">
      <c r="A470" s="3" t="inlineStr">
        <is>
          <t>listCaculation.ByCircumference</t>
        </is>
      </c>
      <c r="B470" s="3" t="inlineStr">
        <is>
          <t>Tính theo chu vi</t>
        </is>
      </c>
      <c r="C470" s="3" t="inlineStr">
        <is>
          <t>Perimeter calculation</t>
        </is>
      </c>
      <c r="D470" s="217">
        <f>IFERROR(__xludf.DUMMYFUNCTION("GOOGLETRANSLATE(C470,""vi"",""km"")"),"ការគណនាបរិវេណ")</f>
        <v/>
      </c>
      <c r="E470" s="3" t="n"/>
      <c r="F470" s="3" t="inlineStr">
        <is>
          <t>គិតតាមទំហំបរិមាត្រ</t>
        </is>
      </c>
      <c r="G470" s="3" t="n"/>
      <c r="H470" s="217" t="inlineStr">
        <is>
          <t>"listCaculation.ByCircumference": "គិតតាមទំហំបរិមាត្រ",</t>
        </is>
      </c>
      <c r="I470" t="inlineStr">
        <is>
          <t>គិតតាមទំហំបរិមាត្រ</t>
        </is>
      </c>
    </row>
    <row r="471">
      <c r="A471" s="3" t="inlineStr">
        <is>
          <t>listCaculation.CollectToDelivery</t>
        </is>
      </c>
      <c r="B471" s="3" t="inlineStr">
        <is>
          <t>Tiền thu hộ</t>
        </is>
      </c>
      <c r="C471" s="3" t="inlineStr">
        <is>
          <t>COD</t>
        </is>
      </c>
      <c r="D471" s="217">
        <f>IFERROR(__xludf.DUMMYFUNCTION("GOOGLETRANSLATE(C471,""vi"",""km"")"),"ប្រតិបត្តិការ​ទូទាត់​ថ្លៃ​សេវា​ (COD)")</f>
        <v/>
      </c>
      <c r="E471" s="3" t="n"/>
      <c r="F471" s="3" t="inlineStr">
        <is>
          <t>ប្រាក់ប្រមូលជំនួស (COD)</t>
        </is>
      </c>
      <c r="G471" s="3" t="n"/>
      <c r="H471" s="217" t="inlineStr">
        <is>
          <t>"listCaculation.CollectToDelivery": "ប្រាក់ប្រមូលជំនួស (COD)",</t>
        </is>
      </c>
      <c r="I471" t="inlineStr">
        <is>
          <t>ប្រាក់ប្រមូលជំនួស (COD)</t>
        </is>
      </c>
    </row>
    <row r="472">
      <c r="A472" s="3" t="inlineStr">
        <is>
          <t>listCaculation.Distance</t>
        </is>
      </c>
      <c r="B472" s="3" t="inlineStr">
        <is>
          <t>Khoảng cách</t>
        </is>
      </c>
      <c r="C472" s="3" t="inlineStr">
        <is>
          <t>Distance</t>
        </is>
      </c>
      <c r="D472" s="217">
        <f>IFERROR(__xludf.DUMMYFUNCTION("GOOGLETRANSLATE(C472,""vi"",""km"")"),"ចម្ងាយ")</f>
        <v/>
      </c>
      <c r="E472" s="3" t="n"/>
      <c r="F472" s="3" t="inlineStr">
        <is>
          <t>ចម្ងាយ</t>
        </is>
      </c>
      <c r="G472" s="3" t="n"/>
      <c r="H472" s="217" t="inlineStr">
        <is>
          <t>"listCaculation.Distance": "ចម្ងាយ",</t>
        </is>
      </c>
      <c r="I472" t="inlineStr">
        <is>
          <t>ចម្ងាយ</t>
        </is>
      </c>
    </row>
    <row r="473">
      <c r="A473" s="3" t="inlineStr">
        <is>
          <t>listCaculation.Weight</t>
        </is>
      </c>
      <c r="B473" s="3" t="inlineStr">
        <is>
          <t>Trọng lượng</t>
        </is>
      </c>
      <c r="C473" s="3" t="inlineStr">
        <is>
          <t>Weight</t>
        </is>
      </c>
      <c r="D473" s="217">
        <f>IFERROR(__xludf.DUMMYFUNCTION("GOOGLETRANSLATE(C473,""vi"",""km"")"),"ទម្ងន់")</f>
        <v/>
      </c>
      <c r="E473" s="3" t="n"/>
      <c r="F473" s="3" t="inlineStr">
        <is>
          <t>ទម្ងន់</t>
        </is>
      </c>
      <c r="G473" s="3" t="n"/>
      <c r="H473" s="217" t="inlineStr">
        <is>
          <t>"listCaculation.Weight": "ទម្ងន់",</t>
        </is>
      </c>
      <c r="I473" t="inlineStr">
        <is>
          <t>ទម្ងន់</t>
        </is>
      </c>
    </row>
    <row r="474">
      <c r="A474" s="3" t="inlineStr">
        <is>
          <t>listCaculationPrice.handCalculation</t>
        </is>
      </c>
      <c r="B474" s="3" t="inlineStr">
        <is>
          <t>Tự tính tay</t>
        </is>
      </c>
      <c r="C474" s="3" t="inlineStr">
        <is>
          <t>Manual pricing</t>
        </is>
      </c>
      <c r="D474" s="217">
        <f>IFERROR(__xludf.DUMMYFUNCTION("GOOGLETRANSLATE(C474,""vi"",""km"")"),"កំណត់តម្លៃដោយដៃ")</f>
        <v/>
      </c>
      <c r="E474" s="3" t="n"/>
      <c r="F474" s="3" t="inlineStr">
        <is>
          <t>កំណត់តម្លៃដោយដៃ</t>
        </is>
      </c>
      <c r="G474" s="3" t="n"/>
      <c r="H474" s="217" t="inlineStr">
        <is>
          <t>"listCaculationPrice.handCalculation": "កំណត់តម្លៃដោយដៃ",</t>
        </is>
      </c>
      <c r="I474" t="inlineStr">
        <is>
          <t>កំណត់តម្លៃដោយដៃ</t>
        </is>
      </c>
    </row>
    <row r="475">
      <c r="A475" s="3" t="inlineStr">
        <is>
          <t>listCaculationPrice.priceListCalculation</t>
        </is>
      </c>
      <c r="B475" s="3" t="inlineStr">
        <is>
          <t>Theo bảng giá</t>
        </is>
      </c>
      <c r="C475" s="3" t="inlineStr">
        <is>
          <t>Pricing table Based</t>
        </is>
      </c>
      <c r="D475" s="217">
        <f>IFERROR(__xludf.DUMMYFUNCTION("GOOGLETRANSLATE(C475,""vi"",""km"")"),"តារាងតម្លៃផ្អែកលើ")</f>
        <v/>
      </c>
      <c r="E475" s="3" t="n"/>
      <c r="F475" s="3" t="inlineStr">
        <is>
          <t>តារាងតម្លៃផ្អែកលើ</t>
        </is>
      </c>
      <c r="G475" s="3" t="n"/>
      <c r="H475" s="217" t="inlineStr">
        <is>
          <t>"listCaculationPrice.priceListCalculation": "តារាងតម្លៃផ្អែកលើ",</t>
        </is>
      </c>
      <c r="I475" t="inlineStr">
        <is>
          <t>តារាងតម្លៃផ្អែកលើ</t>
        </is>
      </c>
    </row>
    <row r="476">
      <c r="A476" s="3" t="inlineStr">
        <is>
          <t>listDepartmentUser.postOffice</t>
        </is>
      </c>
      <c r="B476" s="3" t="inlineStr">
        <is>
          <t>Bưu cục</t>
        </is>
      </c>
      <c r="C476" s="3" t="inlineStr">
        <is>
          <t>Post office</t>
        </is>
      </c>
      <c r="D476" s="217">
        <f>IFERROR(__xludf.DUMMYFUNCTION("GOOGLETRANSLATE(C476,""vi"",""km"")"),"ការិយាល័យប្រៃសណីយ៍")</f>
        <v/>
      </c>
      <c r="E476" s="3" t="n"/>
      <c r="F476" s="3" t="inlineStr">
        <is>
          <t>ការិយាល័យប្រៃសណីយ៍</t>
        </is>
      </c>
      <c r="G476" s="3" t="n"/>
      <c r="H476" s="217" t="inlineStr">
        <is>
          <t>"listDepartmentUser.postOffice": "ការិយាល័យប្រៃសណីយ៍",</t>
        </is>
      </c>
      <c r="I476" t="inlineStr">
        <is>
          <t>ការិយាល័យប្រៃសណីយ៍</t>
        </is>
      </c>
    </row>
    <row r="477">
      <c r="A477" s="3" t="inlineStr">
        <is>
          <t>listDepartmentUser.role</t>
        </is>
      </c>
      <c r="B477" s="3" t="inlineStr">
        <is>
          <t>Chức danh</t>
        </is>
      </c>
      <c r="C477" s="3" t="inlineStr">
        <is>
          <t>Role</t>
        </is>
      </c>
      <c r="D477" s="217">
        <f>IFERROR(__xludf.DUMMYFUNCTION("GOOGLETRANSLATE(C477,""vi"",""km"")"),"តួនាទី")</f>
        <v/>
      </c>
      <c r="E477" s="3" t="n"/>
      <c r="F477" s="3" t="inlineStr">
        <is>
          <t>តួនាទី</t>
        </is>
      </c>
      <c r="G477" s="3" t="n"/>
      <c r="H477" s="217" t="inlineStr">
        <is>
          <t>"listDepartmentUser.role": "តួនាទី",</t>
        </is>
      </c>
      <c r="I477" t="inlineStr">
        <is>
          <t>តួនាទី</t>
        </is>
      </c>
    </row>
    <row r="478">
      <c r="A478" s="3" t="inlineStr">
        <is>
          <t>listDepartmentUser.startAt</t>
        </is>
      </c>
      <c r="B478" s="3" t="inlineStr">
        <is>
          <t>Thời gian bắt đầu</t>
        </is>
      </c>
      <c r="C478" s="3" t="inlineStr">
        <is>
          <t>Effective time</t>
        </is>
      </c>
      <c r="D478" s="217">
        <f>IFERROR(__xludf.DUMMYFUNCTION("GOOGLETRANSLATE(C478,""vi"",""km"")"),"ពេលវេលាមានប្រសិទ្ធភាព")</f>
        <v/>
      </c>
      <c r="E478" s="3" t="n"/>
      <c r="F478" s="3" t="inlineStr">
        <is>
          <t>ពេលវេលាមានប្រសិទ្ធភាព</t>
        </is>
      </c>
      <c r="G478" s="3" t="n"/>
      <c r="H478" s="217" t="inlineStr">
        <is>
          <t>"listDepartmentUser.startAt": "ពេលវេលាមានប្រសិទ្ធភាព",</t>
        </is>
      </c>
      <c r="I478" t="inlineStr">
        <is>
          <t>ពេលវេលាមានប្រសិទ្ធភាព</t>
        </is>
      </c>
    </row>
    <row r="479">
      <c r="A479" s="3" t="inlineStr">
        <is>
          <t>listDepartmentUser.status</t>
        </is>
      </c>
      <c r="B479" s="3" t="inlineStr">
        <is>
          <t>Trạng thái</t>
        </is>
      </c>
      <c r="C479" s="3" t="inlineStr">
        <is>
          <t>Status</t>
        </is>
      </c>
      <c r="D479" s="217">
        <f>IFERROR(__xludf.DUMMYFUNCTION("GOOGLETRANSLATE(C479,""vi"",""km"")"),"ស្ថានភាព")</f>
        <v/>
      </c>
      <c r="E479" s="3" t="n"/>
      <c r="F479" s="3" t="inlineStr">
        <is>
          <t>ស្ថានភាព</t>
        </is>
      </c>
      <c r="G479" s="3" t="n"/>
      <c r="H479" s="217" t="inlineStr">
        <is>
          <t>"listDepartmentUser.status": "ស្ថានភាព",</t>
        </is>
      </c>
      <c r="I479" t="inlineStr">
        <is>
          <t>ស្ថានភាព</t>
        </is>
      </c>
    </row>
    <row r="480">
      <c r="A480" s="3" t="inlineStr">
        <is>
          <t>listFormality.All</t>
        </is>
      </c>
      <c r="B480" s="3" t="inlineStr">
        <is>
          <t>Tất cả</t>
        </is>
      </c>
      <c r="C480" s="3" t="inlineStr">
        <is>
          <t>All</t>
        </is>
      </c>
      <c r="D480" s="217">
        <f>IFERROR(__xludf.DUMMYFUNCTION("GOOGLETRANSLATE(C480,""vi"",""km"")"),"ទាំងអស់")</f>
        <v/>
      </c>
      <c r="E480" s="3" t="n"/>
      <c r="F480" s="3" t="inlineStr">
        <is>
          <t>ទាំងអស់</t>
        </is>
      </c>
      <c r="G480" s="3" t="n"/>
      <c r="H480" s="217" t="inlineStr">
        <is>
          <t>"listFormality.All": "ទាំងអស់",</t>
        </is>
      </c>
      <c r="I480" t="inlineStr">
        <is>
          <t>ទាំងអស់</t>
        </is>
      </c>
    </row>
    <row r="481">
      <c r="A481" s="3" t="inlineStr">
        <is>
          <t>listFormality.COD</t>
        </is>
      </c>
      <c r="B481" s="3" t="inlineStr">
        <is>
          <t>COD</t>
        </is>
      </c>
      <c r="C481" s="3" t="inlineStr">
        <is>
          <t>COD</t>
        </is>
      </c>
      <c r="D481" s="217">
        <f>IFERROR(__xludf.DUMMYFUNCTION("GOOGLETRANSLATE(C481,""vi"",""km"")"),"ប្រតិបត្តិការ​ទូទាត់​ថ្លៃ​សេវា​ (COD)")</f>
        <v/>
      </c>
      <c r="E481" s="3" t="n"/>
      <c r="F481" s="3" t="inlineStr">
        <is>
          <t>ប្រតិបត្តិការទូទាត់ថ្លៃសេវា (COD)</t>
        </is>
      </c>
      <c r="G481" s="3" t="n"/>
      <c r="H481" s="217" t="inlineStr">
        <is>
          <t>"listFormality.COD": "ប្រតិបត្តិការទូទាត់ថ្លៃសេវា (COD)",</t>
        </is>
      </c>
      <c r="I481" t="inlineStr">
        <is>
          <t>ប្រតិបត្តិការទូទាត់ថ្លៃសេវា (COD)</t>
        </is>
      </c>
    </row>
    <row r="482">
      <c r="A482" s="3" t="inlineStr">
        <is>
          <t>listFormality.CPTT</t>
        </is>
      </c>
      <c r="B482" s="3" t="inlineStr">
        <is>
          <t>CPTT</t>
        </is>
      </c>
      <c r="C482" s="3" t="inlineStr">
        <is>
          <t>CPTT</t>
        </is>
      </c>
      <c r="D482" s="217">
        <f>IFERROR(__xludf.DUMMYFUNCTION("GOOGLETRANSLATE(C482,""vi"",""km"")"),"CPTT")</f>
        <v/>
      </c>
      <c r="E482" s="3" t="n"/>
      <c r="F482" s="3" t="inlineStr">
        <is>
          <t>CPTT</t>
        </is>
      </c>
      <c r="G482" s="3" t="n"/>
      <c r="H482" s="217" t="inlineStr">
        <is>
          <t>"listFormality.CPTT": "CPTT",</t>
        </is>
      </c>
      <c r="I482" t="inlineStr">
        <is>
          <t>CPTT</t>
        </is>
      </c>
    </row>
    <row r="483">
      <c r="A483" s="3" t="inlineStr">
        <is>
          <t>listKpi.All</t>
        </is>
      </c>
      <c r="B483" s="3" t="inlineStr">
        <is>
          <t>Tất cả</t>
        </is>
      </c>
      <c r="C483" s="3" t="inlineStr">
        <is>
          <t>All</t>
        </is>
      </c>
      <c r="D483" s="217">
        <f>IFERROR(__xludf.DUMMYFUNCTION("GOOGLETRANSLATE(C483,""vi"",""km"")"),"ទាំងអស់")</f>
        <v/>
      </c>
      <c r="E483" s="3" t="n"/>
      <c r="F483" s="3" t="inlineStr">
        <is>
          <t>ទាំងអស់</t>
        </is>
      </c>
      <c r="G483" s="3" t="n"/>
      <c r="H483" s="217" t="inlineStr">
        <is>
          <t>"listKpi.All": "ទាំងអស់",</t>
        </is>
      </c>
      <c r="I483" t="inlineStr">
        <is>
          <t>ទាំងអស់</t>
        </is>
      </c>
    </row>
    <row r="484">
      <c r="A484" s="3" t="inlineStr">
        <is>
          <t>listKpi.Expedited</t>
        </is>
      </c>
      <c r="B484" s="3" t="inlineStr">
        <is>
          <t>Hỏa tốc</t>
        </is>
      </c>
      <c r="C484" s="3" t="inlineStr">
        <is>
          <t>Express</t>
        </is>
      </c>
      <c r="D484" s="217">
        <f>IFERROR(__xludf.DUMMYFUNCTION("GOOGLETRANSLATE(C484,""vi"",""km"")"),"រហ័ស")</f>
        <v/>
      </c>
      <c r="E484" s="3" t="n"/>
      <c r="F484" s="3" t="inlineStr">
        <is>
          <t>រហ័ស</t>
        </is>
      </c>
      <c r="G484" s="3" t="n"/>
      <c r="H484" s="217" t="inlineStr">
        <is>
          <t>"listKpi.Expedited": "រហ័ស",</t>
        </is>
      </c>
      <c r="I484" t="inlineStr">
        <is>
          <t>រហ័ស</t>
        </is>
      </c>
    </row>
    <row r="485">
      <c r="A485" s="3" t="inlineStr">
        <is>
          <t>listKpi.Fast</t>
        </is>
      </c>
      <c r="B485" s="3" t="inlineStr">
        <is>
          <t>Nhanh</t>
        </is>
      </c>
      <c r="C485" s="3" t="inlineStr">
        <is>
          <t>Fast</t>
        </is>
      </c>
      <c r="D485" s="217">
        <f>IFERROR(__xludf.DUMMYFUNCTION("GOOGLETRANSLATE(C485,""vi"",""km"")"),"រថយន្ត")</f>
        <v/>
      </c>
      <c r="E485" s="3" t="n"/>
      <c r="F485" s="3" t="inlineStr">
        <is>
          <t>រថយន្ត</t>
        </is>
      </c>
      <c r="G485" s="3" t="n"/>
      <c r="H485" s="217" t="inlineStr">
        <is>
          <t>"listKpi.Fast": "រថយន្ត",</t>
        </is>
      </c>
      <c r="I485" t="inlineStr">
        <is>
          <t>រថយន្ត</t>
        </is>
      </c>
    </row>
    <row r="486">
      <c r="A486" s="3" t="inlineStr">
        <is>
          <t>listKpi.Package</t>
        </is>
      </c>
      <c r="B486" s="3" t="inlineStr">
        <is>
          <t>Hàng kiện</t>
        </is>
      </c>
      <c r="C486" s="3" t="inlineStr">
        <is>
          <t>Package</t>
        </is>
      </c>
      <c r="D486" s="217">
        <f>IFERROR(__xludf.DUMMYFUNCTION("GOOGLETRANSLATE(C486,""vi"",""km"")"),"កញ្ចប់")</f>
        <v/>
      </c>
      <c r="E486" s="3" t="n"/>
      <c r="F486" s="3" t="inlineStr">
        <is>
          <t>កញ្ចប់</t>
        </is>
      </c>
      <c r="G486" s="3" t="n"/>
      <c r="H486" s="217" t="inlineStr">
        <is>
          <t>"listKpi.Package": "កញ្ចប់",</t>
        </is>
      </c>
      <c r="I486" t="inlineStr">
        <is>
          <t>កញ្ចប់</t>
        </is>
      </c>
    </row>
    <row r="487">
      <c r="A487" s="3" t="inlineStr">
        <is>
          <t>listKpi.Save</t>
        </is>
      </c>
      <c r="B487" s="3" t="inlineStr">
        <is>
          <t>Tiết kiệm</t>
        </is>
      </c>
      <c r="C487" s="3" t="inlineStr">
        <is>
          <t>Eco</t>
        </is>
      </c>
      <c r="D487" s="217">
        <f>IFERROR(__xludf.DUMMYFUNCTION("GOOGLETRANSLATE(C487,""vi"",""km"")"),"អេកូ")</f>
        <v/>
      </c>
      <c r="E487" s="3" t="n"/>
      <c r="F487" s="3" t="inlineStr">
        <is>
          <t>អេកូ</t>
        </is>
      </c>
      <c r="G487" s="3" t="n"/>
      <c r="H487" s="217" t="inlineStr">
        <is>
          <t>"listKpi.Save": "អេកូ",</t>
        </is>
      </c>
      <c r="I487" t="inlineStr">
        <is>
          <t>អេកូ</t>
        </is>
      </c>
    </row>
    <row r="488">
      <c r="A488" s="3" t="inlineStr">
        <is>
          <t>listOrderType.All</t>
        </is>
      </c>
      <c r="B488" s="3" t="inlineStr">
        <is>
          <t>Tất cả</t>
        </is>
      </c>
      <c r="C488" s="3" t="inlineStr">
        <is>
          <t>All</t>
        </is>
      </c>
      <c r="D488" s="217">
        <f>IFERROR(__xludf.DUMMYFUNCTION("GOOGLETRANSLATE(C488,""vi"",""km"")"),"ទាំងអស់")</f>
        <v/>
      </c>
      <c r="E488" s="3" t="n"/>
      <c r="F488" s="3" t="inlineStr">
        <is>
          <t>ទាំងអស់</t>
        </is>
      </c>
      <c r="G488" s="3" t="n"/>
      <c r="H488" s="217" t="inlineStr">
        <is>
          <t>"listOrderType.All": "ទាំងអស់",</t>
        </is>
      </c>
      <c r="I488" t="inlineStr">
        <is>
          <t>ទាំងអស់</t>
        </is>
      </c>
    </row>
    <row r="489">
      <c r="A489" s="3" t="inlineStr">
        <is>
          <t>listOrderType.Domestic</t>
        </is>
      </c>
      <c r="B489" s="3" t="inlineStr">
        <is>
          <t>Trong nước</t>
        </is>
      </c>
      <c r="C489" s="3" t="inlineStr">
        <is>
          <t>Domestic</t>
        </is>
      </c>
      <c r="D489" s="217">
        <f>IFERROR(__xludf.DUMMYFUNCTION("GOOGLETRANSLATE(C489,""vi"",""km"")"),"ក្នុងស្រុក")</f>
        <v/>
      </c>
      <c r="E489" s="3" t="n"/>
      <c r="F489" s="3" t="inlineStr">
        <is>
          <t>ក្នុងស្រុក</t>
        </is>
      </c>
      <c r="G489" s="3" t="n"/>
      <c r="H489" s="217" t="inlineStr">
        <is>
          <t>"listOrderType.Domestic": "ក្នុងស្រុក",</t>
        </is>
      </c>
      <c r="I489" t="inlineStr">
        <is>
          <t>ក្នុងស្រុក</t>
        </is>
      </c>
    </row>
    <row r="490">
      <c r="A490" s="3" t="inlineStr">
        <is>
          <t>listOrderType.International</t>
        </is>
      </c>
      <c r="B490" s="3" t="inlineStr">
        <is>
          <t>Quốc tế</t>
        </is>
      </c>
      <c r="C490" s="3" t="inlineStr">
        <is>
          <t>International</t>
        </is>
      </c>
      <c r="D490" s="217">
        <f>IFERROR(__xludf.DUMMYFUNCTION("GOOGLETRANSLATE(C490,""vi"",""km"")"),"អន្តរជាតិ")</f>
        <v/>
      </c>
      <c r="E490" s="3" t="n"/>
      <c r="F490" s="3" t="inlineStr">
        <is>
          <t>អន្តរជាតិ</t>
        </is>
      </c>
      <c r="G490" s="3" t="n"/>
      <c r="H490" s="217" t="inlineStr">
        <is>
          <t>"listOrderType.International": "អន្តរជាតិ",</t>
        </is>
      </c>
      <c r="I490" t="inlineStr">
        <is>
          <t>អន្តរជាតិ</t>
        </is>
      </c>
    </row>
    <row r="491">
      <c r="A491" s="3" t="inlineStr">
        <is>
          <t>listOrderType.InternationalRoundTrip</t>
        </is>
      </c>
      <c r="B491" s="3" t="inlineStr">
        <is>
          <t>Quốc tế chiều về</t>
        </is>
      </c>
      <c r="C491" s="3" t="inlineStr">
        <is>
          <t>Return international</t>
        </is>
      </c>
      <c r="D491" s="217">
        <f>IFERROR(__xludf.DUMMYFUNCTION("GOOGLETRANSLATE(C491,""vi"",""km"")"),"ត្រឡប់ទៅអន្តរជាតិវិញ")</f>
        <v/>
      </c>
      <c r="E491" s="3" t="n"/>
      <c r="F491" s="3" t="inlineStr">
        <is>
          <t>ត្រឡប់ទៅអន្តរជាតិវិញ</t>
        </is>
      </c>
      <c r="G491" s="3" t="n"/>
      <c r="H491" s="217" t="inlineStr">
        <is>
          <t>"listOrderType.InternationalRoundTrip": "ត្រឡប់ទៅអន្តរជាតិវិញ",</t>
        </is>
      </c>
      <c r="I491" t="inlineStr">
        <is>
          <t>ត្រឡប់ទៅអន្តរជាតិវិញ</t>
        </is>
      </c>
    </row>
    <row r="492">
      <c r="A492" s="3" t="inlineStr">
        <is>
          <t>listScope.Domestic</t>
        </is>
      </c>
      <c r="B492" s="3" t="inlineStr">
        <is>
          <t>Trong nước</t>
        </is>
      </c>
      <c r="C492" s="3" t="inlineStr">
        <is>
          <t>Domestic</t>
        </is>
      </c>
      <c r="D492" s="217">
        <f>IFERROR(__xludf.DUMMYFUNCTION("GOOGLETRANSLATE(C492,""vi"",""km"")"),"ក្នុងស្រុក")</f>
        <v/>
      </c>
      <c r="E492" s="3" t="n"/>
      <c r="F492" s="3" t="inlineStr">
        <is>
          <t>ក្នុងស្រុក</t>
        </is>
      </c>
      <c r="G492" s="3" t="n"/>
      <c r="H492" s="217" t="inlineStr">
        <is>
          <t>"listScope.Domestic": "ក្នុងស្រុក",</t>
        </is>
      </c>
      <c r="I492" t="inlineStr">
        <is>
          <t>ក្នុងស្រុក</t>
        </is>
      </c>
    </row>
    <row r="493">
      <c r="A493" s="3" t="inlineStr">
        <is>
          <t>listScope.International</t>
        </is>
      </c>
      <c r="B493" s="3" t="inlineStr">
        <is>
          <t>Quốc tế</t>
        </is>
      </c>
      <c r="C493" s="3" t="inlineStr">
        <is>
          <t>International</t>
        </is>
      </c>
      <c r="D493" s="217">
        <f>IFERROR(__xludf.DUMMYFUNCTION("GOOGLETRANSLATE(C493,""vi"",""km"")"),"អន្តរជាតិ")</f>
        <v/>
      </c>
      <c r="E493" s="3" t="n"/>
      <c r="F493" s="3" t="inlineStr">
        <is>
          <t>អន្តរជាតិ</t>
        </is>
      </c>
      <c r="G493" s="3" t="n"/>
      <c r="H493" s="217" t="inlineStr">
        <is>
          <t>"listScope.International": "អន្តរជាតិ",</t>
        </is>
      </c>
      <c r="I493" t="inlineStr">
        <is>
          <t>អន្តរជាតិ</t>
        </is>
      </c>
    </row>
    <row r="494">
      <c r="A494" s="3" t="inlineStr">
        <is>
          <t>listScope.InternationalRoundTrip</t>
        </is>
      </c>
      <c r="B494" s="3" t="inlineStr">
        <is>
          <t>Quốc tế chiều về</t>
        </is>
      </c>
      <c r="C494" s="3" t="inlineStr">
        <is>
          <t>International Return Shipping</t>
        </is>
      </c>
      <c r="D494" s="217">
        <f>IFERROR(__xludf.DUMMYFUNCTION("GOOGLETRANSLATE(C494,""vi"",""km"")"),"ការដឹកជញ្ជូនត្រឡប់មកវិញអន្តរជាតិ")</f>
        <v/>
      </c>
      <c r="E494" s="3" t="n"/>
      <c r="F494" s="3" t="inlineStr">
        <is>
          <t>ការដឹកជញ្ជូនត្រឡប់មកវិញអន្តរជាតិ</t>
        </is>
      </c>
      <c r="G494" s="3" t="n"/>
      <c r="H494" s="217" t="inlineStr">
        <is>
          <t>"listScope.InternationalRoundTrip": "ការដឹកជញ្ជូនត្រឡប់មកវិញអន្តរជាតិ",</t>
        </is>
      </c>
      <c r="I494" t="inlineStr">
        <is>
          <t>ការដឹកជញ្ជូនត្រឡប់មកវិញអន្តរជាតិ</t>
        </is>
      </c>
    </row>
    <row r="495">
      <c r="A495" s="3" t="inlineStr">
        <is>
          <t>listServiceAssign.notSelected</t>
        </is>
      </c>
      <c r="B495" s="3" t="inlineStr">
        <is>
          <t>Danh sách chưa chọn</t>
        </is>
      </c>
      <c r="C495" s="3" t="inlineStr">
        <is>
          <t>none selected service list</t>
        </is>
      </c>
      <c r="D495" s="217">
        <f>IFERROR(__xludf.DUMMYFUNCTION("GOOGLETRANSLATE(C495,""vi"",""km"")"),"គ្មានបញ្ជីសេវាកម្មដែលបានជ្រើសរើសទេ")</f>
        <v/>
      </c>
      <c r="E495" s="3" t="n"/>
      <c r="F495" s="3" t="inlineStr">
        <is>
          <t>គ្មានបញ្ជីសេវាកម្មដែលបានជ្រើសរើសទេ</t>
        </is>
      </c>
      <c r="G495" s="3" t="n"/>
      <c r="H495" s="217" t="inlineStr">
        <is>
          <t>"listServiceAssign.notSelected": "គ្មានបញ្ជីសេវាកម្មដែលបានជ្រើសរើសទេ",</t>
        </is>
      </c>
      <c r="I495" t="inlineStr">
        <is>
          <t>គ្មានបញ្ជីសេវាកម្មដែលបានជ្រើសរើសទេ</t>
        </is>
      </c>
    </row>
    <row r="496">
      <c r="A496" s="3" t="inlineStr">
        <is>
          <t>listServiceAssign.searchKeyword</t>
        </is>
      </c>
      <c r="B496" s="3" t="inlineStr">
        <is>
          <t>Nhập từ khóa tìm kiếm</t>
        </is>
      </c>
      <c r="C496" s="3" t="inlineStr">
        <is>
          <t>enter keyword</t>
        </is>
      </c>
      <c r="D496" s="217">
        <f>IFERROR(__xludf.DUMMYFUNCTION("GOOGLETRANSLATE(C496,""vi"",""km"")"),"បញ្ចូលពាក្យគន្លឹះ")</f>
        <v/>
      </c>
      <c r="E496" s="3" t="n"/>
      <c r="F496" s="3" t="inlineStr">
        <is>
          <t>បញ្ចូលពាក្យគន្លឹះ</t>
        </is>
      </c>
      <c r="G496" s="3" t="n"/>
      <c r="H496" s="217" t="inlineStr">
        <is>
          <t>"listServiceAssign.searchKeyword": "បញ្ចូលពាក្យគន្លឹះ",</t>
        </is>
      </c>
      <c r="I496" t="inlineStr">
        <is>
          <t>បញ្ចូលពាក្យគន្លឹះ</t>
        </is>
      </c>
    </row>
    <row r="497">
      <c r="A497" s="3" t="inlineStr">
        <is>
          <t>listServiceAssign.searchKeywordPlaceholder</t>
        </is>
      </c>
      <c r="B497" s="3" t="inlineStr">
        <is>
          <t>Nhập mã hoặc tên dịch vụ tìm kiếm</t>
        </is>
      </c>
      <c r="C497" s="3" t="inlineStr">
        <is>
          <t>Enter service name or ID</t>
        </is>
      </c>
      <c r="D497" s="217">
        <f>IFERROR(__xludf.DUMMYFUNCTION("GOOGLETRANSLATE(C497,""vi"",""km"")"),"បញ្ចូលឈ្មោះ ឬលេខសម្គាល់សេវាកម្ម")</f>
        <v/>
      </c>
      <c r="E497" s="3" t="n"/>
      <c r="F497" s="3" t="inlineStr">
        <is>
          <t>បញ្ចូលឈ្មោះ ឬលេខសម្គាល់សេវាកម្ម</t>
        </is>
      </c>
      <c r="G497" s="3" t="n"/>
      <c r="H497" s="217" t="inlineStr">
        <is>
          <t>"listServiceAssign.searchKeywordPlaceholder": "បញ្ចូលឈ្មោះ ឬលេខសម្គាល់សេវាកម្ម",</t>
        </is>
      </c>
      <c r="I497" t="inlineStr">
        <is>
          <t>បញ្ចូលឈ្មោះ ឬលេខសម្គាល់សេវាកម្ម</t>
        </is>
      </c>
    </row>
    <row r="498">
      <c r="A498" s="3" t="inlineStr">
        <is>
          <t>listServiceAssign.selected</t>
        </is>
      </c>
      <c r="B498" s="3" t="inlineStr">
        <is>
          <t>Danh sách đã chọn</t>
        </is>
      </c>
      <c r="C498" s="3" t="inlineStr">
        <is>
          <t>selected service list</t>
        </is>
      </c>
      <c r="D498" s="217">
        <f>IFERROR(__xludf.DUMMYFUNCTION("GOOGLETRANSLATE(C498,""vi"",""km"")"),"បញ្ជីសេវាកម្មដែលបានជ្រើសរើស")</f>
        <v/>
      </c>
      <c r="E498" s="3" t="n"/>
      <c r="F498" s="3" t="inlineStr">
        <is>
          <t>បញ្ជីសេវាកម្មដែលបានជ្រើសរើស</t>
        </is>
      </c>
      <c r="G498" s="3" t="n"/>
      <c r="H498" s="217" t="inlineStr">
        <is>
          <t>"listServiceAssign.selected": "បញ្ជីសេវាកម្មដែលបានជ្រើសរើស",</t>
        </is>
      </c>
      <c r="I498" t="inlineStr">
        <is>
          <t>បញ្ជីសេវាកម្មដែលបានជ្រើសរើស</t>
        </is>
      </c>
    </row>
    <row r="499">
      <c r="A499" s="3" t="inlineStr">
        <is>
          <t>listServiceGroup.Expedited</t>
        </is>
      </c>
      <c r="B499" s="3" t="inlineStr">
        <is>
          <t>Hỏa tốc</t>
        </is>
      </c>
      <c r="C499" s="3" t="inlineStr">
        <is>
          <t>Express</t>
        </is>
      </c>
      <c r="D499" s="217">
        <f>IFERROR(__xludf.DUMMYFUNCTION("GOOGLETRANSLATE(C499,""vi"",""km"")"),"រហ័ស")</f>
        <v/>
      </c>
      <c r="E499" s="3" t="n"/>
      <c r="F499" s="3" t="inlineStr">
        <is>
          <t>រហ័ស</t>
        </is>
      </c>
      <c r="G499" s="3" t="n"/>
      <c r="H499" s="217" t="inlineStr">
        <is>
          <t>"listServiceGroup.Expedited": "រហ័ស",</t>
        </is>
      </c>
      <c r="I499" t="inlineStr">
        <is>
          <t>រហ័ស</t>
        </is>
      </c>
    </row>
    <row r="500">
      <c r="A500" s="3" t="inlineStr">
        <is>
          <t>listServiceGroup.Fast</t>
        </is>
      </c>
      <c r="B500" s="3" t="inlineStr">
        <is>
          <t>Nhanh</t>
        </is>
      </c>
      <c r="C500" s="3" t="inlineStr">
        <is>
          <t>Fast</t>
        </is>
      </c>
      <c r="D500" s="217">
        <f>IFERROR(__xludf.DUMMYFUNCTION("GOOGLETRANSLATE(C500,""vi"",""km"")"),"រថយន្ត")</f>
        <v/>
      </c>
      <c r="E500" s="3" t="n"/>
      <c r="F500" s="3" t="inlineStr">
        <is>
          <t>រថយន្ត</t>
        </is>
      </c>
      <c r="G500" s="3" t="n"/>
      <c r="H500" s="217" t="inlineStr">
        <is>
          <t>"listServiceGroup.Fast": "រថយន្ត",</t>
        </is>
      </c>
      <c r="I500" t="inlineStr">
        <is>
          <t>រថយន្ត</t>
        </is>
      </c>
    </row>
    <row r="501">
      <c r="A501" s="3" t="inlineStr">
        <is>
          <t>listServiceGroup.International</t>
        </is>
      </c>
      <c r="B501" s="3" t="inlineStr">
        <is>
          <t>Quốc tế</t>
        </is>
      </c>
      <c r="C501" s="3" t="inlineStr">
        <is>
          <t>International</t>
        </is>
      </c>
      <c r="D501" s="217">
        <f>IFERROR(__xludf.DUMMYFUNCTION("GOOGLETRANSLATE(C501,""vi"",""km"")"),"អន្តរជាតិ")</f>
        <v/>
      </c>
      <c r="E501" s="3" t="n"/>
      <c r="F501" s="3" t="inlineStr">
        <is>
          <t>អន្តរជាតិ</t>
        </is>
      </c>
      <c r="G501" s="3" t="n"/>
      <c r="H501" s="217" t="inlineStr">
        <is>
          <t>"listServiceGroup.International": "អន្តរជាតិ",</t>
        </is>
      </c>
      <c r="I501" t="inlineStr">
        <is>
          <t>អន្តរជាតិ</t>
        </is>
      </c>
    </row>
    <row r="502">
      <c r="A502" s="3" t="inlineStr">
        <is>
          <t>listServiceGroup.Slow</t>
        </is>
      </c>
      <c r="B502" s="3" t="inlineStr">
        <is>
          <t>Chậm</t>
        </is>
      </c>
      <c r="C502" s="3" t="inlineStr">
        <is>
          <t>Eco</t>
        </is>
      </c>
      <c r="D502" s="217">
        <f>IFERROR(__xludf.DUMMYFUNCTION("GOOGLETRANSLATE(C502,""vi"",""km"")"),"អេកូ")</f>
        <v/>
      </c>
      <c r="E502" s="3" t="n"/>
      <c r="F502" s="3" t="inlineStr">
        <is>
          <t>អេកូ</t>
        </is>
      </c>
      <c r="G502" s="3" t="n"/>
      <c r="H502" s="217" t="inlineStr">
        <is>
          <t>"listServiceGroup.Slow": "អេកូ",</t>
        </is>
      </c>
      <c r="I502" t="inlineStr">
        <is>
          <t>អេកូ</t>
        </is>
      </c>
    </row>
    <row r="503">
      <c r="A503" s="3" t="inlineStr">
        <is>
          <t>listServiceGroup.V24</t>
        </is>
      </c>
      <c r="B503" s="3" t="inlineStr">
        <is>
          <t>V24</t>
        </is>
      </c>
      <c r="C503" s="3" t="inlineStr">
        <is>
          <t>V24</t>
        </is>
      </c>
      <c r="D503" s="217">
        <f>IFERROR(__xludf.DUMMYFUNCTION("GOOGLETRANSLATE(C503,""vi"",""km"")"),"V24")</f>
        <v/>
      </c>
      <c r="E503" s="3" t="n"/>
      <c r="F503" s="3" t="inlineStr">
        <is>
          <t>V24</t>
        </is>
      </c>
      <c r="G503" s="3" t="n"/>
      <c r="H503" s="217" t="inlineStr">
        <is>
          <t>"listServiceGroup.V24": "V24",</t>
        </is>
      </c>
      <c r="I503" t="inlineStr">
        <is>
          <t>V24</t>
        </is>
      </c>
    </row>
    <row r="504">
      <c r="A504" s="3" t="inlineStr">
        <is>
          <t>listServiceStatus.Active</t>
        </is>
      </c>
      <c r="B504" s="3" t="inlineStr">
        <is>
          <t>Hoạt động</t>
        </is>
      </c>
      <c r="C504" s="3" t="inlineStr">
        <is>
          <t>Active</t>
        </is>
      </c>
      <c r="D504" s="217">
        <f>IFERROR(__xludf.DUMMYFUNCTION("GOOGLETRANSLATE(C504,""vi"",""km"")"),"សកម្ម")</f>
        <v/>
      </c>
      <c r="E504" s="3" t="n"/>
      <c r="F504" s="3" t="inlineStr">
        <is>
          <t>ដំណើរការ</t>
        </is>
      </c>
      <c r="G504" s="3" t="n"/>
      <c r="H504" s="217" t="inlineStr">
        <is>
          <t>"listServiceStatus.Active": "ដំណើរការ",</t>
        </is>
      </c>
      <c r="I504" t="inlineStr">
        <is>
          <t>ដំណើរការ</t>
        </is>
      </c>
    </row>
    <row r="505">
      <c r="A505" s="3" t="inlineStr">
        <is>
          <t>listServiceStatus.All</t>
        </is>
      </c>
      <c r="B505" s="3" t="inlineStr">
        <is>
          <t>Tất cả</t>
        </is>
      </c>
      <c r="C505" s="3" t="inlineStr">
        <is>
          <t>All</t>
        </is>
      </c>
      <c r="D505" s="217">
        <f>IFERROR(__xludf.DUMMYFUNCTION("GOOGLETRANSLATE(C505,""vi"",""km"")"),"ទាំងអស់")</f>
        <v/>
      </c>
      <c r="E505" s="3" t="n"/>
      <c r="F505" s="3" t="inlineStr">
        <is>
          <t>ទាំងអស់</t>
        </is>
      </c>
      <c r="G505" s="3" t="n"/>
      <c r="H505" s="217" t="inlineStr">
        <is>
          <t>"listServiceStatus.All": "ទាំងអស់",</t>
        </is>
      </c>
      <c r="I505" t="inlineStr">
        <is>
          <t>ទាំងអស់</t>
        </is>
      </c>
    </row>
    <row r="506">
      <c r="A506" s="3" t="inlineStr">
        <is>
          <t>listServiceStatus.InActive</t>
        </is>
      </c>
      <c r="B506" s="3" t="inlineStr">
        <is>
          <t>Dừng hoạt động</t>
        </is>
      </c>
      <c r="C506" s="3" t="inlineStr">
        <is>
          <t>InActive</t>
        </is>
      </c>
      <c r="D506" s="217">
        <f>IFERROR(__xludf.DUMMYFUNCTION("GOOGLETRANSLATE(C506,""vi"",""km"")"),"អសកម្ម")</f>
        <v/>
      </c>
      <c r="E506" s="3" t="n"/>
      <c r="F506" s="3" t="inlineStr">
        <is>
          <t>អសកម្ម</t>
        </is>
      </c>
      <c r="G506" s="3" t="n"/>
      <c r="H506" s="217" t="inlineStr">
        <is>
          <t>"listServiceStatus.InActive": "អសកម្ម",</t>
        </is>
      </c>
      <c r="I506" t="inlineStr">
        <is>
          <t>អសកម្ម</t>
        </is>
      </c>
    </row>
    <row r="507">
      <c r="A507" s="3" t="inlineStr">
        <is>
          <t>listServiceType.AdditionalServices</t>
        </is>
      </c>
      <c r="B507" s="3" t="inlineStr">
        <is>
          <t>Dịch vụ cộng thêm</t>
        </is>
      </c>
      <c r="C507" s="3" t="inlineStr">
        <is>
          <t>Additional service</t>
        </is>
      </c>
      <c r="D507" s="217">
        <f>IFERROR(__xludf.DUMMYFUNCTION("GOOGLETRANSLATE(C507,""vi"",""km"")"),"សេវាកម្មបន្ថែម")</f>
        <v/>
      </c>
      <c r="E507" s="3" t="n"/>
      <c r="F507" s="3" t="inlineStr">
        <is>
          <t>សេវាកម្មបន្ថែម</t>
        </is>
      </c>
      <c r="G507" s="3" t="n"/>
      <c r="H507" s="217" t="inlineStr">
        <is>
          <t>"listServiceType.AdditionalServices": "សេវាកម្មបន្ថែម",</t>
        </is>
      </c>
      <c r="I507" t="inlineStr">
        <is>
          <t>សេវាកម្មបន្ថែម</t>
        </is>
      </c>
    </row>
    <row r="508">
      <c r="A508" s="3" t="inlineStr">
        <is>
          <t>listServiceType.GoodsCharacteristics</t>
        </is>
      </c>
      <c r="B508" s="3" t="inlineStr">
        <is>
          <t>Đặc điểm hàng hóa</t>
        </is>
      </c>
      <c r="C508" s="3" t="inlineStr">
        <is>
          <t>Special service</t>
        </is>
      </c>
      <c r="D508" s="217">
        <f>IFERROR(__xludf.DUMMYFUNCTION("GOOGLETRANSLATE(C508,""vi"",""km"")"),"សេវាកម្មពិសេស")</f>
        <v/>
      </c>
      <c r="E508" s="3" t="n"/>
      <c r="F508" s="3" t="inlineStr">
        <is>
          <t>សេវាកម្មពិសេស</t>
        </is>
      </c>
      <c r="G508" s="3" t="n"/>
      <c r="H508" s="217" t="inlineStr">
        <is>
          <t>"listServiceType.GoodsCharacteristics": "សេវាកម្មពិសេស",</t>
        </is>
      </c>
      <c r="I508" t="inlineStr">
        <is>
          <t>សេវាកម្មពិសេស</t>
        </is>
      </c>
    </row>
    <row r="509">
      <c r="A509" s="3" t="inlineStr">
        <is>
          <t>listServiceType.service</t>
        </is>
      </c>
      <c r="B509" s="3" t="inlineStr">
        <is>
          <t>Dịch vụ chính</t>
        </is>
      </c>
      <c r="C509" s="3" t="inlineStr">
        <is>
          <t>Main service</t>
        </is>
      </c>
      <c r="D509" s="217">
        <f>IFERROR(__xludf.DUMMYFUNCTION("GOOGLETRANSLATE(C509,""vi"",""km"")"),"សេវាកម្មសំខាន់")</f>
        <v/>
      </c>
      <c r="E509" s="3" t="n"/>
      <c r="F509" s="3" t="inlineStr">
        <is>
          <t>សេវាកម្មសំខាន់</t>
        </is>
      </c>
      <c r="G509" s="3" t="n"/>
      <c r="H509" s="217" t="inlineStr">
        <is>
          <t>"listServiceType.service": "សេវាកម្មសំខាន់",</t>
        </is>
      </c>
      <c r="I509" t="inlineStr">
        <is>
          <t>សេវាកម្មសំខាន់</t>
        </is>
      </c>
    </row>
    <row r="510">
      <c r="A510" s="3" t="inlineStr">
        <is>
          <t>listUser.CCCD</t>
        </is>
      </c>
      <c r="B510" s="3" t="inlineStr">
        <is>
          <t>CCCD</t>
        </is>
      </c>
      <c r="C510" s="3" t="inlineStr">
        <is>
          <t>Citizen identification</t>
        </is>
      </c>
      <c r="D510" s="217">
        <f>IFERROR(__xludf.DUMMYFUNCTION("GOOGLETRANSLATE(C510,""vi"",""km"")"),"ការជ្រើសរើសពលរដ្ឋ")</f>
        <v/>
      </c>
      <c r="E510" s="3" t="n"/>
      <c r="F510" s="3" t="inlineStr">
        <is>
          <t>អត្តសញ្ញាណប័ណ្ណ</t>
        </is>
      </c>
      <c r="G510" s="3" t="n"/>
      <c r="H510" s="217" t="inlineStr">
        <is>
          <t>"listUser.CCCD": "អត្តសញ្ញាណប័ណ្ណ",</t>
        </is>
      </c>
      <c r="I510" t="inlineStr">
        <is>
          <t>អត្តសញ្ញាណប័ណ្ណ</t>
        </is>
      </c>
    </row>
    <row r="511">
      <c r="A511" s="3" t="inlineStr">
        <is>
          <t>listUser.active</t>
        </is>
      </c>
      <c r="B511" s="3" t="inlineStr">
        <is>
          <t>Hiệu lực</t>
        </is>
      </c>
      <c r="C511" s="3" t="inlineStr">
        <is>
          <t>Active</t>
        </is>
      </c>
      <c r="D511" s="217">
        <f>IFERROR(__xludf.DUMMYFUNCTION("GOOGLETRANSLATE(C511,""vi"",""km"")"),"សកម្ម")</f>
        <v/>
      </c>
      <c r="E511" s="3" t="n"/>
      <c r="F511" s="3" t="inlineStr">
        <is>
          <t>សកម្ម</t>
        </is>
      </c>
      <c r="G511" s="3" t="n"/>
      <c r="H511" s="217" t="inlineStr">
        <is>
          <t>"listUser.active": "សកម្ម",</t>
        </is>
      </c>
      <c r="I511" t="inlineStr">
        <is>
          <t>សកម្ម</t>
        </is>
      </c>
    </row>
    <row r="512">
      <c r="A512" s="3" t="inlineStr">
        <is>
          <t>listUser.all</t>
        </is>
      </c>
      <c r="B512" s="3" t="inlineStr">
        <is>
          <t>Tất cả</t>
        </is>
      </c>
      <c r="C512" s="3" t="inlineStr">
        <is>
          <t>All</t>
        </is>
      </c>
      <c r="D512" s="217">
        <f>IFERROR(__xludf.DUMMYFUNCTION("GOOGLETRANSLATE(C512,""vi"",""km"")"),"ទាំងអស់")</f>
        <v/>
      </c>
      <c r="E512" s="3" t="n"/>
      <c r="F512" s="3" t="inlineStr">
        <is>
          <t>ទាំងអស់</t>
        </is>
      </c>
      <c r="G512" s="3" t="n"/>
      <c r="H512" s="217" t="inlineStr">
        <is>
          <t>"listUser.all": "ទាំងអស់",</t>
        </is>
      </c>
      <c r="I512" t="inlineStr">
        <is>
          <t>ទាំងអស់</t>
        </is>
      </c>
    </row>
    <row r="513">
      <c r="A513" s="3" t="inlineStr">
        <is>
          <t>listUser.idNo</t>
        </is>
      </c>
      <c r="B513" s="3" t="inlineStr">
        <is>
          <t>Mã NV</t>
        </is>
      </c>
      <c r="C513" s="3" t="inlineStr">
        <is>
          <t>Employee ID</t>
        </is>
      </c>
      <c r="D513" s="217">
        <f>IFERROR(__xludf.DUMMYFUNCTION("GOOGLETRANSLATE(C513,""vi"",""km"")"),"អត្តសញ្ញាណបុគ្គលិក")</f>
        <v/>
      </c>
      <c r="E513" s="3" t="n"/>
      <c r="F513" s="3" t="inlineStr">
        <is>
          <t>អត្តសញ្ញាណបុគ្គលិក</t>
        </is>
      </c>
      <c r="G513" s="3" t="n"/>
      <c r="H513" s="217" t="inlineStr">
        <is>
          <t>"listUser.idNo": "អត្តសញ្ញាណបុគ្គលិក",</t>
        </is>
      </c>
      <c r="I513" t="inlineStr">
        <is>
          <t>អត្តសញ្ញាណបុគ្គលិក</t>
        </is>
      </c>
    </row>
    <row r="514">
      <c r="A514" s="3" t="inlineStr">
        <is>
          <t>listUser.inactive</t>
        </is>
      </c>
      <c r="B514" s="3" t="inlineStr">
        <is>
          <t>Hết hiệu lực</t>
        </is>
      </c>
      <c r="C514" s="3" t="inlineStr">
        <is>
          <t>Inactive/deactive</t>
        </is>
      </c>
      <c r="D514" s="217">
        <f>IFERROR(__xludf.DUMMYFUNCTION("GOOGLETRANSLATE(C514,""vi"",""km"")"),"អសកម្ម/អសកម្ម")</f>
        <v/>
      </c>
      <c r="E514" s="3" t="n"/>
      <c r="F514" s="3" t="inlineStr">
        <is>
          <t>អសកម្ម</t>
        </is>
      </c>
      <c r="G514" s="3" t="n"/>
      <c r="H514" s="217" t="inlineStr">
        <is>
          <t>"listUser.inactive": "អសកម្ម",</t>
        </is>
      </c>
      <c r="I514" t="inlineStr">
        <is>
          <t>អសកម្ម</t>
        </is>
      </c>
    </row>
    <row r="515">
      <c r="A515" s="23" t="inlineStr">
        <is>
          <t>listUser.name</t>
        </is>
      </c>
      <c r="B515" s="3" t="inlineStr">
        <is>
          <t>Họ và tên</t>
        </is>
      </c>
      <c r="C515" s="3" t="inlineStr">
        <is>
          <t>Fullname</t>
        </is>
      </c>
      <c r="D515" s="217">
        <f>IFERROR(__xludf.DUMMYFUNCTION("GOOGLETRANSLATE(C515,""vi"",""km"")"),"ឈ្មោះពេញ")</f>
        <v/>
      </c>
      <c r="E515" s="3" t="n"/>
      <c r="F515" s="3" t="inlineStr">
        <is>
          <t>ឈ្មោះពេញ</t>
        </is>
      </c>
      <c r="G515" s="3" t="n"/>
      <c r="H515" s="217" t="inlineStr">
        <is>
          <t>"listUser.name": "ឈ្មោះពេញ",</t>
        </is>
      </c>
      <c r="I515" t="inlineStr">
        <is>
          <t>ឈ្មោះពេញ</t>
        </is>
      </c>
    </row>
    <row r="516">
      <c r="A516" s="3" t="inlineStr">
        <is>
          <t>listUser.phone</t>
        </is>
      </c>
      <c r="B516" s="3" t="inlineStr">
        <is>
          <t>SĐT</t>
        </is>
      </c>
      <c r="C516" s="3" t="inlineStr">
        <is>
          <t>Phone number</t>
        </is>
      </c>
      <c r="D516" s="217">
        <f>IFERROR(__xludf.DUMMYFUNCTION("GOOGLETRANSLATE(C516,""vi"",""km"")"),"លេខទូរស័ព្ទ")</f>
        <v/>
      </c>
      <c r="E516" s="3" t="n"/>
      <c r="F516" s="3" t="inlineStr">
        <is>
          <t>លេខទូរស័ព្ទ</t>
        </is>
      </c>
      <c r="G516" s="3" t="n"/>
      <c r="H516" s="217" t="inlineStr">
        <is>
          <t>"listUser.phone": "លេខទូរស័ព្ទ",</t>
        </is>
      </c>
      <c r="I516" t="inlineStr">
        <is>
          <t>លេខទូរស័ព្ទ</t>
        </is>
      </c>
    </row>
    <row r="517">
      <c r="A517" s="3" t="inlineStr">
        <is>
          <t>listUser.searchPlaceholder</t>
        </is>
      </c>
      <c r="B517" s="3" t="inlineStr">
        <is>
          <t>Tìm kiếm Mã NV, SĐT, Họ tên</t>
        </is>
      </c>
      <c r="C517" s="3" t="inlineStr">
        <is>
          <t>Search for Employee ID, phone number, username, full name</t>
        </is>
      </c>
      <c r="D517" s="217">
        <f>IFERROR(__xludf.DUMMYFUNCTION("GOOGLETRANSLATE(C517,""vi"",""km"")"),"ស្វែងរកអត្តសញ្ញាណបុគ្គលិក លេខទូរស័ព្ទ ឈ្មោះអ្នកប្រើប្រាស់ ឈ្មោះពេញ")</f>
        <v/>
      </c>
      <c r="E517" s="3" t="n"/>
      <c r="F517" s="3" t="inlineStr">
        <is>
          <t>ស្វែងរកអត្តសញ្ញាណបុគ្គលិក លេខទូរស័ព្ទ ឈ្មោះអ្នកប្រើប្រាស់ ឈ្មោះពេញ</t>
        </is>
      </c>
      <c r="G517" s="3" t="n"/>
      <c r="H517" s="217" t="inlineStr">
        <is>
          <t>"listUser.searchPlaceholder": "ស្វែងរកអត្តសញ្ញាណបុគ្គលិក លេខទូរស័ព្ទ ឈ្មោះអ្នកប្រើប្រាស់ ឈ្មោះពេញ",</t>
        </is>
      </c>
      <c r="I517" t="inlineStr">
        <is>
          <t>ស្វែងរកអត្តសញ្ញាណបុគ្គលិក លេខទូរស័ព្ទ ឈ្មោះអ្នកប្រើប្រាស់ ឈ្មោះពេញ</t>
        </is>
      </c>
    </row>
    <row r="518">
      <c r="A518" s="3" t="inlineStr">
        <is>
          <t>listUser.status</t>
        </is>
      </c>
      <c r="B518" s="3" t="inlineStr">
        <is>
          <t>Trạng thái</t>
        </is>
      </c>
      <c r="C518" s="3" t="inlineStr">
        <is>
          <t>Status</t>
        </is>
      </c>
      <c r="D518" s="217">
        <f>IFERROR(__xludf.DUMMYFUNCTION("GOOGLETRANSLATE(C518,""vi"",""km"")"),"ស្ថានភាព")</f>
        <v/>
      </c>
      <c r="E518" s="3" t="n"/>
      <c r="F518" s="3" t="inlineStr">
        <is>
          <t>ស្ថានភាព</t>
        </is>
      </c>
      <c r="G518" s="3" t="n"/>
      <c r="H518" s="217" t="inlineStr">
        <is>
          <t>"listUser.status": "ស្ថានភាព",</t>
        </is>
      </c>
      <c r="I518" t="inlineStr">
        <is>
          <t>ស្ថានភាព</t>
        </is>
      </c>
    </row>
    <row r="519">
      <c r="A519" s="3" t="inlineStr">
        <is>
          <t>listUser.username</t>
        </is>
      </c>
      <c r="B519" s="3" t="inlineStr">
        <is>
          <t>User</t>
        </is>
      </c>
      <c r="C519" s="3" t="inlineStr">
        <is>
          <t>User</t>
        </is>
      </c>
      <c r="D519" s="217">
        <f>IFERROR(__xludf.DUMMYFUNCTION("GOOGLETRANSLATE(C519,""vi"",""km"")"),"អ្នកប្រើប្រាស់")</f>
        <v/>
      </c>
      <c r="E519" s="3" t="n"/>
      <c r="F519" s="3" t="inlineStr">
        <is>
          <t>អ្នកប្រើប្រាស់</t>
        </is>
      </c>
      <c r="G519" s="3" t="n"/>
      <c r="H519" s="217" t="inlineStr">
        <is>
          <t>"listUser.username": "អ្នកប្រើប្រាស់",</t>
        </is>
      </c>
      <c r="I519" t="inlineStr">
        <is>
          <t>អ្នកប្រើប្រាស់</t>
        </is>
      </c>
    </row>
    <row r="520">
      <c r="A520" s="3" t="inlineStr">
        <is>
          <t>listZone.District</t>
        </is>
      </c>
      <c r="B520" s="3" t="inlineStr">
        <is>
          <t>Huyện</t>
        </is>
      </c>
      <c r="C520" s="3" t="inlineStr">
        <is>
          <t>District</t>
        </is>
      </c>
      <c r="D520" s="217">
        <f>IFERROR(__xludf.DUMMYFUNCTION("GOOGLETRANSLATE(C520,""vi"",""km"")"),"ស្រុក")</f>
        <v/>
      </c>
      <c r="E520" s="3" t="n"/>
      <c r="F520" s="3" t="inlineStr">
        <is>
          <t>ស្រុក</t>
        </is>
      </c>
      <c r="G520" s="3" t="n"/>
      <c r="H520" s="217" t="inlineStr">
        <is>
          <t>"listZone.District": "ស្រុក",</t>
        </is>
      </c>
      <c r="I520" t="inlineStr">
        <is>
          <t>ស្រុក</t>
        </is>
      </c>
    </row>
    <row r="521">
      <c r="A521" s="3" t="inlineStr">
        <is>
          <t>listZone.National</t>
        </is>
      </c>
      <c r="B521" s="3" t="inlineStr">
        <is>
          <t>Quốc gia</t>
        </is>
      </c>
      <c r="C521" s="3" t="inlineStr">
        <is>
          <t>National</t>
        </is>
      </c>
      <c r="D521" s="217">
        <f>IFERROR(__xludf.DUMMYFUNCTION("GOOGLETRANSLATE(C521,""vi"",""km"")"),"ព័ត៌មាន")</f>
        <v/>
      </c>
      <c r="E521" s="3" t="n"/>
      <c r="F521" s="3" t="inlineStr">
        <is>
          <t>ព័ត៌មាន</t>
        </is>
      </c>
      <c r="G521" s="3" t="n"/>
      <c r="H521" s="217" t="inlineStr">
        <is>
          <t>"listZone.National": "ព័ត៌មាន",</t>
        </is>
      </c>
      <c r="I521" t="inlineStr">
        <is>
          <t>ព័ត៌មាន</t>
        </is>
      </c>
    </row>
    <row r="522">
      <c r="A522" s="3" t="inlineStr">
        <is>
          <t>listZone.Province</t>
        </is>
      </c>
      <c r="B522" s="3" t="inlineStr">
        <is>
          <t>Tỉnh</t>
        </is>
      </c>
      <c r="C522" s="3" t="inlineStr">
        <is>
          <t>Province</t>
        </is>
      </c>
      <c r="D522" s="217">
        <f>IFERROR(__xludf.DUMMYFUNCTION("GOOGLETRANSLATE(C522,""vi"",""km"")"),"ខេត្ត")</f>
        <v/>
      </c>
      <c r="E522" s="3" t="n"/>
      <c r="F522" s="3" t="inlineStr">
        <is>
          <t>ខេត្ត</t>
        </is>
      </c>
      <c r="G522" s="3" t="n"/>
      <c r="H522" s="217" t="inlineStr">
        <is>
          <t>"listZone.Province": "ខេត្ត",</t>
        </is>
      </c>
      <c r="I522" t="inlineStr">
        <is>
          <t>ខេត្ត</t>
        </is>
      </c>
    </row>
    <row r="523">
      <c r="A523" s="3" t="inlineStr">
        <is>
          <t>listZone.Ward</t>
        </is>
      </c>
      <c r="B523" s="3" t="inlineStr">
        <is>
          <t>Phường/xã</t>
        </is>
      </c>
      <c r="C523" s="3" t="inlineStr">
        <is>
          <t>Ward</t>
        </is>
      </c>
      <c r="D523" s="217">
        <f>IFERROR(__xludf.DUMMYFUNCTION("GOOGLETRANSLATE(C523,""vi"",""km"")"),"ធនធានមនុស្ស")</f>
        <v/>
      </c>
      <c r="E523" s="3" t="n"/>
      <c r="F523" s="3" t="inlineStr">
        <is>
          <t>ធនធានមនុស្ស</t>
        </is>
      </c>
      <c r="G523" s="3" t="n"/>
      <c r="H523" s="217" t="inlineStr">
        <is>
          <t>"listZone.Ward": "ធនធានមនុស្ស",</t>
        </is>
      </c>
      <c r="I523" t="inlineStr">
        <is>
          <t>ធនធានមនុស្ស</t>
        </is>
      </c>
    </row>
    <row r="524">
      <c r="A524" s="3" t="inlineStr">
        <is>
          <t>listZoneType.All</t>
        </is>
      </c>
      <c r="B524" s="3" t="inlineStr">
        <is>
          <t>Tất cả</t>
        </is>
      </c>
      <c r="C524" s="3" t="inlineStr">
        <is>
          <t>All</t>
        </is>
      </c>
      <c r="D524" s="217">
        <f>IFERROR(__xludf.DUMMYFUNCTION("GOOGLETRANSLATE(C524,""vi"",""km"")"),"ទាំងអស់")</f>
        <v/>
      </c>
      <c r="E524" s="3" t="n"/>
      <c r="F524" s="3" t="inlineStr">
        <is>
          <t>ទាំងអស់</t>
        </is>
      </c>
      <c r="G524" s="3" t="n"/>
      <c r="H524" s="217" t="inlineStr">
        <is>
          <t>"listZoneType.All": "ទាំងអស់",</t>
        </is>
      </c>
      <c r="I524" t="inlineStr">
        <is>
          <t>ទាំងអស់</t>
        </is>
      </c>
    </row>
    <row r="525">
      <c r="A525" s="3" t="inlineStr">
        <is>
          <t>listZoneType.priceListCalculation</t>
        </is>
      </c>
      <c r="B525" s="3" t="inlineStr">
        <is>
          <t>Yêu cầu bảng giá</t>
        </is>
      </c>
      <c r="C525" s="3" t="inlineStr">
        <is>
          <t>Price list requirement</t>
        </is>
      </c>
      <c r="D525" s="217">
        <f>IFERROR(__xludf.DUMMYFUNCTION("GOOGLETRANSLATE(C525,""vi"",""km"")"),"តម្រូវការបញ្ជីតម្លៃ")</f>
        <v/>
      </c>
      <c r="E525" s="3" t="n"/>
      <c r="F525" s="3" t="inlineStr">
        <is>
          <t>តម្រូវការបញ្ជីតម្លៃ</t>
        </is>
      </c>
      <c r="G525" s="3" t="n"/>
      <c r="H525" s="217" t="inlineStr">
        <is>
          <t>"listZoneType.priceListCalculation": "តម្រូវការបញ្ជីតម្លៃ",</t>
        </is>
      </c>
      <c r="I525" t="inlineStr">
        <is>
          <t>តម្រូវការបញ្ជីតម្លៃ</t>
        </is>
      </c>
    </row>
    <row r="526">
      <c r="A526" s="3" t="inlineStr">
        <is>
          <t>locationDepartment.deleteLocation</t>
        </is>
      </c>
      <c r="B526" s="3" t="inlineStr">
        <is>
          <t>Đồng chí có chắc chắn muốn xóa cấu hình địa danh này?</t>
        </is>
      </c>
      <c r="C526" s="3" t="inlineStr">
        <is>
          <t>Are you sure you want to delete this location configuration?</t>
        </is>
      </c>
      <c r="D526" s="217">
        <f>IFERROR(__xludf.DUMMYFUNCTION("GOOGLETRANSLATE(C526,""vi"",""km"")"),"តើអ្នកពិតជាចង់លុបការកំណត់រចនាសម្ព័ន្ធទីតាំងនេះមែនទេ?")</f>
        <v/>
      </c>
      <c r="E526" s="3" t="n"/>
      <c r="F526" s="3" t="inlineStr">
        <is>
          <t>តើអ្នកពិតជាចង់លុបការកំណត់រចនាសម្ព័ន្ធទីតាំងនេះមែនទេ?</t>
        </is>
      </c>
      <c r="G526" s="3" t="n"/>
      <c r="H526" s="217" t="inlineStr">
        <is>
          <t>"locationDepartment.deleteLocation": "តើអ្នកពិតជាចង់លុបការកំណត់រចនាសម្ព័ន្ធទីតាំងនេះមែនទេ?",</t>
        </is>
      </c>
      <c r="I526" t="inlineStr">
        <is>
          <t>តើអ្នកពិតជាចង់លុបការកំណត់រចនាសម្ព័ន្ធទីតាំងនេះមែនទេ?</t>
        </is>
      </c>
    </row>
    <row r="527">
      <c r="A527" s="3" t="inlineStr">
        <is>
          <t>locationDepartment.district</t>
        </is>
      </c>
      <c r="B527" s="3" t="inlineStr">
        <is>
          <t>Huyện</t>
        </is>
      </c>
      <c r="C527" s="3" t="inlineStr">
        <is>
          <t>District</t>
        </is>
      </c>
      <c r="D527" s="217">
        <f>IFERROR(__xludf.DUMMYFUNCTION("GOOGLETRANSLATE(C527,""vi"",""km"")"),"ស្រុក")</f>
        <v/>
      </c>
      <c r="E527" s="3" t="n"/>
      <c r="F527" s="3" t="inlineStr">
        <is>
          <t>ស្រុក</t>
        </is>
      </c>
      <c r="G527" s="3" t="n"/>
      <c r="H527" s="217" t="inlineStr">
        <is>
          <t>"locationDepartment.district": "ស្រុក",</t>
        </is>
      </c>
      <c r="I527" t="inlineStr">
        <is>
          <t>ស្រុក</t>
        </is>
      </c>
    </row>
    <row r="528">
      <c r="A528" s="3" t="inlineStr">
        <is>
          <t>locationDepartment.districtPlaceholder</t>
        </is>
      </c>
      <c r="B528" s="3" t="inlineStr">
        <is>
          <t>Chọn huyện</t>
        </is>
      </c>
      <c r="C528" s="3" t="inlineStr">
        <is>
          <t>Select district</t>
        </is>
      </c>
      <c r="D528" s="217">
        <f>IFERROR(__xludf.DUMMYFUNCTION("GOOGLETRANSLATE(C528,""vi"",""km"")"),"ជ្រើសរើសស្រុក")</f>
        <v/>
      </c>
      <c r="E528" s="3" t="n"/>
      <c r="F528" s="3" t="inlineStr">
        <is>
          <t>ជ្រើសរើសស្រុក</t>
        </is>
      </c>
      <c r="G528" s="3" t="n"/>
      <c r="H528" s="217" t="inlineStr">
        <is>
          <t>"locationDepartment.districtPlaceholder": "ជ្រើសរើសស្រុក",</t>
        </is>
      </c>
      <c r="I528" t="inlineStr">
        <is>
          <t>ជ្រើសរើសស្រុក</t>
        </is>
      </c>
    </row>
    <row r="529">
      <c r="A529" s="3" t="inlineStr">
        <is>
          <t>locationDepartment.locationDelivery</t>
        </is>
      </c>
      <c r="B529" s="3" t="inlineStr">
        <is>
          <t>Địa danh giao</t>
        </is>
      </c>
      <c r="C529" s="3" t="inlineStr">
        <is>
          <t>Delivery location</t>
        </is>
      </c>
      <c r="D529" s="217">
        <f>IFERROR(__xludf.DUMMYFUNCTION("GOOGLETRANSLATE(C529,""vi"",""km"")"),"ទីតាំងដឹកជញ្ជូន")</f>
        <v/>
      </c>
      <c r="E529" s="3" t="n"/>
      <c r="F529" s="3" t="inlineStr">
        <is>
          <t>ទីតាំងដឹកចែក</t>
        </is>
      </c>
      <c r="G529" s="3" t="n"/>
      <c r="H529" s="217" t="inlineStr">
        <is>
          <t>"locationDepartment.locationDelivery": "ទីតាំងដឹកចែក",</t>
        </is>
      </c>
      <c r="I529" t="inlineStr">
        <is>
          <t>ទីតាំងដឹកចែក</t>
        </is>
      </c>
    </row>
    <row r="530">
      <c r="A530" s="3" t="inlineStr">
        <is>
          <t>locationDepartment.locationReceiving</t>
        </is>
      </c>
      <c r="B530" s="3" t="inlineStr">
        <is>
          <t>Địa danh nhận</t>
        </is>
      </c>
      <c r="C530" s="3" t="inlineStr">
        <is>
          <t>Receiving location</t>
        </is>
      </c>
      <c r="D530" s="217">
        <f>IFERROR(__xludf.DUMMYFUNCTION("GOOGLETRANSLATE(C530,""vi"",""km"")"),"ទីតាំង​ហុង")</f>
        <v/>
      </c>
      <c r="E530" s="3" t="n"/>
      <c r="F530" s="3" t="inlineStr">
        <is>
          <t>ទីតាំងហុង</t>
        </is>
      </c>
      <c r="G530" s="3" t="n"/>
      <c r="H530" s="217" t="inlineStr">
        <is>
          <t>"locationDepartment.locationReceiving": "ទីតាំងហុង",</t>
        </is>
      </c>
      <c r="I530" t="inlineStr">
        <is>
          <t>ទីតាំងហុង</t>
        </is>
      </c>
    </row>
    <row r="531">
      <c r="A531" s="3" t="inlineStr">
        <is>
          <t>locationDepartment.province</t>
        </is>
      </c>
      <c r="B531" s="3" t="inlineStr">
        <is>
          <t>Liên bang/Vùng</t>
        </is>
      </c>
      <c r="C531" s="3" t="inlineStr">
        <is>
          <t>State/Region</t>
        </is>
      </c>
      <c r="D531" s="217">
        <f>IFERROR(__xludf.DUMMYFUNCTION("GOOGLETRANSLATE(C531,""vi"",""km"")"),"រដ្ឋ/តំបន់")</f>
        <v/>
      </c>
      <c r="E531" s="3" t="n"/>
      <c r="F531" s="3" t="inlineStr">
        <is>
          <t>រដ្ឋ/តំបន់</t>
        </is>
      </c>
      <c r="G531" s="3" t="n"/>
      <c r="H531" s="217" t="inlineStr">
        <is>
          <t>"locationDepartment.province": "រដ្ឋ/តំបន់",</t>
        </is>
      </c>
      <c r="I531" t="inlineStr">
        <is>
          <t>រដ្ឋ/តំបន់</t>
        </is>
      </c>
    </row>
    <row r="532">
      <c r="A532" s="3" t="inlineStr">
        <is>
          <t>locationDepartment.provincePlaceholder</t>
        </is>
      </c>
      <c r="B532" s="3" t="inlineStr">
        <is>
          <t>Chọn liên bang/Vùng</t>
        </is>
      </c>
      <c r="C532" s="3" t="inlineStr">
        <is>
          <t>Select state/region</t>
        </is>
      </c>
      <c r="D532" s="217">
        <f>IFERROR(__xludf.DUMMYFUNCTION("GOOGLETRANSLATE(C532,""vi"",""km"")"),"ជ្រើសរើសរដ្ឋ/តំបន់")</f>
        <v/>
      </c>
      <c r="E532" s="3" t="n"/>
      <c r="F532" s="3" t="inlineStr">
        <is>
          <t>ជ្រើសរើសរដ្ឋ/តំបន់</t>
        </is>
      </c>
      <c r="G532" s="3" t="n"/>
      <c r="H532" s="217" t="inlineStr">
        <is>
          <t>"locationDepartment.provincePlaceholder": "ជ្រើសរើសរដ្ឋ/តំបន់",</t>
        </is>
      </c>
      <c r="I532" t="inlineStr">
        <is>
          <t>ជ្រើសរើសរដ្ឋ/តំបន់</t>
        </is>
      </c>
    </row>
    <row r="533">
      <c r="A533" s="3" t="inlineStr">
        <is>
          <t>locationDepartment.ward</t>
        </is>
      </c>
      <c r="B533" s="3" t="inlineStr">
        <is>
          <t>Thị trấn</t>
        </is>
      </c>
      <c r="C533" s="3" t="inlineStr">
        <is>
          <t>Town</t>
        </is>
      </c>
      <c r="D533" s="217">
        <f>IFERROR(__xludf.DUMMYFUNCTION("GOOGLETRANSLATE(C533,""vi"",""km"")"),"ទីក្រុង")</f>
        <v/>
      </c>
      <c r="E533" s="3" t="n"/>
      <c r="F533" s="3" t="inlineStr">
        <is>
          <t>ទីក្រុង</t>
        </is>
      </c>
      <c r="G533" s="3" t="n"/>
      <c r="H533" s="217" t="inlineStr">
        <is>
          <t>"locationDepartment.ward": "ទីក្រុង",</t>
        </is>
      </c>
      <c r="I533" t="inlineStr">
        <is>
          <t>ទីក្រុង</t>
        </is>
      </c>
    </row>
    <row r="534">
      <c r="A534" s="3" t="inlineStr">
        <is>
          <t>locationDepartment.wardPlaceholder</t>
        </is>
      </c>
      <c r="B534" s="3" t="inlineStr">
        <is>
          <t>Chọn thị trấn</t>
        </is>
      </c>
      <c r="C534" s="3" t="inlineStr">
        <is>
          <t>Select town</t>
        </is>
      </c>
      <c r="D534" s="217">
        <f>IFERROR(__xludf.DUMMYFUNCTION("GOOGLETRANSLATE(C534,""vi"",""km"")"),"ជ្រើសរើសទីក្រុង")</f>
        <v/>
      </c>
      <c r="E534" s="3" t="n"/>
      <c r="F534" s="3" t="inlineStr">
        <is>
          <t>ជ្រើសរើសទីក្រុង</t>
        </is>
      </c>
      <c r="G534" s="3" t="n"/>
      <c r="H534" s="217" t="inlineStr">
        <is>
          <t>"locationDepartment.wardPlaceholder": "ជ្រើសរើសទីក្រុង",</t>
        </is>
      </c>
      <c r="I534" t="inlineStr">
        <is>
          <t>ជ្រើសរើសទីក្រុង</t>
        </is>
      </c>
    </row>
    <row r="535">
      <c r="A535" s="3" t="inlineStr">
        <is>
          <t>lockDepartment.active</t>
        </is>
      </c>
      <c r="B535" s="3" t="inlineStr">
        <is>
          <t>Mở hoạt động</t>
        </is>
      </c>
      <c r="C535" s="3" t="inlineStr">
        <is>
          <t>Active</t>
        </is>
      </c>
      <c r="D535" s="217">
        <f>IFERROR(__xludf.DUMMYFUNCTION("GOOGLETRANSLATE(C535,""vi"",""km"")"),"សកម្ម")</f>
        <v/>
      </c>
      <c r="E535" s="3" t="n"/>
      <c r="F535" s="3" t="inlineStr">
        <is>
          <t>សកម្ម</t>
        </is>
      </c>
      <c r="G535" s="3" t="n"/>
      <c r="H535" s="217" t="inlineStr">
        <is>
          <t>"lockDepartment.active": "សកម្ម",</t>
        </is>
      </c>
      <c r="I535" t="inlineStr">
        <is>
          <t>សកម្ម</t>
        </is>
      </c>
    </row>
    <row r="536">
      <c r="A536" s="3" t="inlineStr">
        <is>
          <t>lockDepartment.inActive</t>
        </is>
      </c>
      <c r="B536" s="3" t="inlineStr">
        <is>
          <t>Ngưng hoạt động</t>
        </is>
      </c>
      <c r="C536" s="3" t="inlineStr">
        <is>
          <t>Inactive</t>
        </is>
      </c>
      <c r="D536" s="217">
        <f>IFERROR(__xludf.DUMMYFUNCTION("GOOGLETRANSLATE(C536,""vi"",""km"")"),"អសកម្ម")</f>
        <v/>
      </c>
      <c r="E536" s="3" t="n"/>
      <c r="F536" s="3" t="inlineStr">
        <is>
          <t>ផ្អាកដំណើរការ</t>
        </is>
      </c>
      <c r="G536" s="3" t="n"/>
      <c r="H536" s="217" t="inlineStr">
        <is>
          <t>"lockDepartment.inActive": "ផ្អាកដំណើរការ",</t>
        </is>
      </c>
      <c r="I536" t="inlineStr">
        <is>
          <t>ផ្អាកដំណើរការ</t>
        </is>
      </c>
    </row>
    <row r="537">
      <c r="A537" s="3" t="inlineStr">
        <is>
          <t>lockDepartment.success</t>
        </is>
      </c>
      <c r="B537" s="3" t="inlineStr">
        <is>
          <t>Đổi trạng thái thành công</t>
        </is>
      </c>
      <c r="C537" s="3" t="inlineStr">
        <is>
          <t>Change status successfully</t>
        </is>
      </c>
      <c r="D537" s="217">
        <f>IFERROR(__xludf.DUMMYFUNCTION("GOOGLETRANSLATE(C537,""vi"",""km"")"),"ផ្លាស់ប្តូរស្ថានភាព w")</f>
        <v/>
      </c>
      <c r="E537" s="3" t="n"/>
      <c r="F537" s="3" t="inlineStr">
        <is>
          <t>ផ្លាស់ប្តូរស្ថានភាព w</t>
        </is>
      </c>
      <c r="G537" s="3" t="n"/>
      <c r="H537" s="217" t="inlineStr">
        <is>
          <t>"lockDepartment.success": "ផ្លាស់ប្តូរស្ថានភាព w",</t>
        </is>
      </c>
      <c r="I537" t="inlineStr">
        <is>
          <t>ផ្លាស់ប្តូរស្ថានភាព w</t>
        </is>
      </c>
    </row>
    <row r="538">
      <c r="A538" s="3" t="inlineStr">
        <is>
          <t>lockDepartment.textConfirm1</t>
        </is>
      </c>
      <c r="B538" s="3" t="inlineStr">
        <is>
          <t>Quý khách có chắc chắn muốn</t>
        </is>
      </c>
      <c r="C538" s="3" t="inlineStr">
        <is>
          <t>Are you sure you want to</t>
        </is>
      </c>
      <c r="D538" s="217">
        <f>IFERROR(__xludf.DUMMYFUNCTION("GOOGLETRANSLATE(C538,""vi"",""km"")"),"តើអ្នកប្រាកដទេថាអ្នកចង់")</f>
        <v/>
      </c>
      <c r="E538" s="3" t="n"/>
      <c r="F538" s="3" t="inlineStr">
        <is>
          <t>តើអ្នកប្រាកដទេថាអ្នកចង់</t>
        </is>
      </c>
      <c r="G538" s="3" t="n"/>
      <c r="H538" s="217" t="inlineStr">
        <is>
          <t>"lockDepartment.textConfirm1": "តើអ្នកប្រាកដទេថាអ្នកចង់",</t>
        </is>
      </c>
      <c r="I538" t="inlineStr">
        <is>
          <t>តើអ្នកប្រាកដទេថាអ្នកចង់</t>
        </is>
      </c>
    </row>
    <row r="539">
      <c r="A539" s="3" t="inlineStr">
        <is>
          <t>lockDepartment.textConfirm2</t>
        </is>
      </c>
      <c r="B539" s="3" t="inlineStr">
        <is>
          <t>bưu cục {{departmentCode}} này?</t>
        </is>
      </c>
      <c r="C539" s="3" t="inlineStr">
        <is>
          <t>this post office {{departmentCode}}?</t>
        </is>
      </c>
      <c r="D539" s="217">
        <f>IFERROR(__xludf.DUMMYFUNCTION("GOOGLETRANSLATE(C539,""vi"",""km"")"),"ការិយាល័យប្រៃសណីយ៍នេះ {{departmentCode}}?")</f>
        <v/>
      </c>
      <c r="E539" s="3" t="n"/>
      <c r="F539" s="3" t="inlineStr">
        <is>
          <t>ការិយាល័យប្រៃសណីយ៍នេះ {{departmentCode}}?</t>
        </is>
      </c>
      <c r="G539" s="3" t="n"/>
      <c r="H539" s="217" t="inlineStr">
        <is>
          <t>"lockDepartment.textConfirm2": "ការិយាល័យប្រៃសណីយ៍នេះ {{departmentCode}}?",</t>
        </is>
      </c>
      <c r="I539" t="inlineStr">
        <is>
          <t>ការិយាល័យប្រៃសណីយ៍នេះ {{departmentCode}}?</t>
        </is>
      </c>
    </row>
    <row r="540">
      <c r="A540" s="3" t="inlineStr">
        <is>
          <t>lockDepartment.title</t>
        </is>
      </c>
      <c r="B540" s="3" t="inlineStr">
        <is>
          <t>Thông báo</t>
        </is>
      </c>
      <c r="C540" s="3" t="inlineStr">
        <is>
          <t>Notification</t>
        </is>
      </c>
      <c r="D540" s="217">
        <f>IFERROR(__xludf.DUMMYFUNCTION("GOOGLETRANSLATE(C540,""vi"",""km"")"),"ការជូនដំណឹង")</f>
        <v/>
      </c>
      <c r="E540" s="3" t="n"/>
      <c r="F540" s="3" t="inlineStr">
        <is>
          <t>ការជូនដំណឹង</t>
        </is>
      </c>
      <c r="G540" s="3" t="n"/>
      <c r="H540" s="217" t="inlineStr">
        <is>
          <t>"lockDepartment.title": "ការជូនដំណឹង",</t>
        </is>
      </c>
      <c r="I540" t="inlineStr">
        <is>
          <t>ការជូនដំណឹង</t>
        </is>
      </c>
    </row>
    <row r="541">
      <c r="A541" s="3" t="inlineStr">
        <is>
          <t>login.buttonLogin</t>
        </is>
      </c>
      <c r="B541" s="3" t="inlineStr">
        <is>
          <t>Đăng nhập</t>
        </is>
      </c>
      <c r="C541" s="3" t="inlineStr">
        <is>
          <t>Log in</t>
        </is>
      </c>
      <c r="D541" s="217">
        <f>IFERROR(__xludf.DUMMYFUNCTION("GOOGLETRANSLATE(C541,""vi"",""km"")"),"ចូល")</f>
        <v/>
      </c>
      <c r="E541" s="3" t="n"/>
      <c r="F541" s="3" t="inlineStr">
        <is>
          <t>ចូល</t>
        </is>
      </c>
      <c r="G541" s="3" t="n"/>
      <c r="H541" s="217" t="inlineStr">
        <is>
          <t>"login.buttonLogin": "ចូល",</t>
        </is>
      </c>
      <c r="I541" t="inlineStr">
        <is>
          <t>ចូល</t>
        </is>
      </c>
    </row>
    <row r="542">
      <c r="A542" s="3" t="inlineStr">
        <is>
          <t>login.changePass</t>
        </is>
      </c>
      <c r="B542" s="3" t="inlineStr">
        <is>
          <t>Đổi mật khẩu</t>
        </is>
      </c>
      <c r="C542" s="3" t="inlineStr">
        <is>
          <t>Change pass</t>
        </is>
      </c>
      <c r="D542" s="217">
        <f>IFERROR(__xludf.DUMMYFUNCTION("GOOGLETRANSLATE(C542,""vi"",""km"")"),"ប្តូរពាក្យសម្ងាត់")</f>
        <v/>
      </c>
      <c r="E542" s="3" t="n"/>
      <c r="F542" s="3" t="inlineStr">
        <is>
          <t>ប្តូរពាក្យសម្ងាត់</t>
        </is>
      </c>
      <c r="G542" s="3" t="n"/>
      <c r="H542" s="217" t="inlineStr">
        <is>
          <t>"login.changePass": "ប្តូរពាក្យសម្ងាត់",</t>
        </is>
      </c>
      <c r="I542" t="inlineStr">
        <is>
          <t>ប្តូរពាក្យសម្ងាត់</t>
        </is>
      </c>
    </row>
    <row r="543">
      <c r="A543" s="3" t="inlineStr">
        <is>
          <t>login.descriptionRegister</t>
        </is>
      </c>
      <c r="B543" s="3" t="inlineStr">
        <is>
          <t>Quý khách chưa có tài khoản?</t>
        </is>
      </c>
      <c r="C543" s="3" t="inlineStr">
        <is>
          <t>New to EVTP2?</t>
        </is>
      </c>
      <c r="D543" s="217">
        <f>IFERROR(__xludf.DUMMYFUNCTION("GOOGLETRANSLATE(C543,""vi"",""km"")"),"ទើបតែស្គាល់ EVTP2?")</f>
        <v/>
      </c>
      <c r="E543" s="3" t="n"/>
      <c r="F543" s="3" t="inlineStr">
        <is>
          <t>ទើបតែស្គាល់ EVTP2?</t>
        </is>
      </c>
      <c r="G543" s="3" t="n"/>
      <c r="H543" s="217" t="inlineStr">
        <is>
          <t>"login.descriptionRegister": "ទើបតែស្គាល់ EVTP2?",</t>
        </is>
      </c>
      <c r="I543" t="inlineStr">
        <is>
          <t>ទើបតែស្គាល់ EVTP2?</t>
        </is>
      </c>
    </row>
    <row r="544">
      <c r="A544" s="3" t="inlineStr">
        <is>
          <t>login.forgotPassword</t>
        </is>
      </c>
      <c r="B544" s="3" t="inlineStr">
        <is>
          <t>Quên mật khẩu</t>
        </is>
      </c>
      <c r="C544" s="3" t="inlineStr">
        <is>
          <t>Forgot password</t>
        </is>
      </c>
      <c r="D544" s="217">
        <f>IFERROR(__xludf.DUMMYFUNCTION("GOOGLETRANSLATE(C544,""vi"",""km"")"),"ភ្លេចពាក្យសម្ងាត់")</f>
        <v/>
      </c>
      <c r="E544" s="3" t="n"/>
      <c r="F544" s="3" t="inlineStr">
        <is>
          <t>ភ្លេចពាក្យសម្ងាត់</t>
        </is>
      </c>
      <c r="G544" s="3" t="n"/>
      <c r="H544" s="217" t="inlineStr">
        <is>
          <t>"login.forgotPassword": "ភ្លេចពាក្យសម្ងាត់",</t>
        </is>
      </c>
      <c r="I544" t="inlineStr">
        <is>
          <t>ភ្លេចពាក្យសម្ងាត់</t>
        </is>
      </c>
    </row>
    <row r="545">
      <c r="A545" s="3" t="inlineStr">
        <is>
          <t>login.inputPassword</t>
        </is>
      </c>
      <c r="B545" s="3" t="inlineStr">
        <is>
          <t>Nhập mật khẩu</t>
        </is>
      </c>
      <c r="C545" s="3" t="inlineStr">
        <is>
          <t>Enter password</t>
        </is>
      </c>
      <c r="D545" s="217">
        <f>IFERROR(__xludf.DUMMYFUNCTION("GOOGLETRANSLATE(C545,""vi"",""km"")"),"បញ្ចូលពាក្យសម្ងាត់")</f>
        <v/>
      </c>
      <c r="E545" s="3" t="n"/>
      <c r="F545" s="3" t="inlineStr">
        <is>
          <t>បញ្ចូលពាក្យសម្ងាត់</t>
        </is>
      </c>
      <c r="G545" s="3" t="n"/>
      <c r="H545" s="217" t="inlineStr">
        <is>
          <t>"login.inputPassword": "បញ្ចូលពាក្យសម្ងាត់",</t>
        </is>
      </c>
      <c r="I545" t="inlineStr">
        <is>
          <t>បញ្ចូលពាក្យសម្ងាត់</t>
        </is>
      </c>
    </row>
    <row r="546">
      <c r="A546" s="3" t="inlineStr">
        <is>
          <t>login.inputUser</t>
        </is>
      </c>
      <c r="B546" s="3" t="inlineStr">
        <is>
          <t>Nhập số điện thoại hoặc email</t>
        </is>
      </c>
      <c r="C546" s="3" t="inlineStr">
        <is>
          <t>Enter mobile number or email</t>
        </is>
      </c>
      <c r="D546" s="217">
        <f>IFERROR(__xludf.DUMMYFUNCTION("GOOGLETRANSLATE(C546,""vi"",""km"")"),"បញ្ចូលលេខទូរស័ព្ទចល័ត ឬអ៊ីមែល")</f>
        <v/>
      </c>
      <c r="E546" s="3" t="n"/>
      <c r="F546" s="3" t="inlineStr">
        <is>
          <t>បញ្ចូលលេខទូរស័ព្ទចល័ត ឬអ៊ីមែល</t>
        </is>
      </c>
      <c r="G546" s="3" t="n"/>
      <c r="H546" s="217" t="inlineStr">
        <is>
          <t>"login.inputUser": "បញ្ចូលលេខទូរស័ព្ទចល័ត ឬអ៊ីមែល",</t>
        </is>
      </c>
      <c r="I546" t="inlineStr">
        <is>
          <t>បញ្ចូលលេខទូរស័ព្ទចល័ត ឬអ៊ីមែល</t>
        </is>
      </c>
    </row>
    <row r="547">
      <c r="A547" s="3" t="inlineStr">
        <is>
          <t>login.register</t>
        </is>
      </c>
      <c r="B547" s="3" t="inlineStr">
        <is>
          <t>Đăng ký ngay</t>
        </is>
      </c>
      <c r="C547" s="3" t="inlineStr">
        <is>
          <t>Register now</t>
        </is>
      </c>
      <c r="D547" s="217">
        <f>IFERROR(__xludf.DUMMYFUNCTION("GOOGLETRANSLATE(C547,""vi"",""km"")"),"ចុះឈ្មោះឥឡូវនេះ")</f>
        <v/>
      </c>
      <c r="E547" s="3" t="n"/>
      <c r="F547" s="3" t="inlineStr">
        <is>
          <t>ចុះឈ្មោះឥឡូវនេះ</t>
        </is>
      </c>
      <c r="G547" s="3" t="n"/>
      <c r="H547" s="217" t="inlineStr">
        <is>
          <t>"login.register": "ចុះឈ្មោះឥឡូវនេះ",</t>
        </is>
      </c>
      <c r="I547" t="inlineStr">
        <is>
          <t>ចុះឈ្មោះឥឡូវនេះ</t>
        </is>
      </c>
    </row>
    <row r="548">
      <c r="A548" s="3" t="inlineStr">
        <is>
          <t>login.title</t>
        </is>
      </c>
      <c r="B548" s="3" t="inlineStr">
        <is>
          <t>Đăng nhập bằng mật khẩu</t>
        </is>
      </c>
      <c r="C548" s="3" t="inlineStr">
        <is>
          <t>Log in by password</t>
        </is>
      </c>
      <c r="D548" s="217">
        <f>IFERROR(__xludf.DUMMYFUNCTION("GOOGLETRANSLATE(C548,""vi"",""km"")"),"ចូលដោយប្រើពាក្យសម្ងាត់")</f>
        <v/>
      </c>
      <c r="E548" s="3" t="n"/>
      <c r="F548" s="3" t="inlineStr">
        <is>
          <t>ចូលដោយប្រើពាក្យសម្ងាត់</t>
        </is>
      </c>
      <c r="G548" s="3" t="n"/>
      <c r="H548" s="217" t="inlineStr">
        <is>
          <t>"login.title": "ចូលដោយប្រើពាក្យសម្ងាត់",</t>
        </is>
      </c>
      <c r="I548" t="inlineStr">
        <is>
          <t>ចូលដោយប្រើពាក្យសម្ងាត់</t>
        </is>
      </c>
    </row>
    <row r="549">
      <c r="A549" s="3" t="inlineStr">
        <is>
          <t>mainStatus.100</t>
        </is>
      </c>
      <c r="B549" s="3" t="inlineStr">
        <is>
          <t>Tạo mới</t>
        </is>
      </c>
      <c r="C549" s="3" t="inlineStr">
        <is>
          <t>New</t>
        </is>
      </c>
      <c r="D549" s="217">
        <f>IFERROR(__xludf.DUMMYFUNCTION("GOOGLETRANSLATE(C549,""vi"",""km"")"),"ថ្មី")</f>
        <v/>
      </c>
      <c r="E549" s="3" t="n"/>
      <c r="F549" s="3" t="inlineStr">
        <is>
          <t>បង្កើតថ្មី</t>
        </is>
      </c>
      <c r="G549" s="3" t="n"/>
      <c r="H549" s="217" t="inlineStr">
        <is>
          <t>"mainStatus.100": "បង្កើតថ្មី",</t>
        </is>
      </c>
      <c r="I549" t="inlineStr">
        <is>
          <t>បង្កើតថ្មី</t>
        </is>
      </c>
    </row>
    <row r="550">
      <c r="A550" s="3" t="inlineStr">
        <is>
          <t>mainStatus.110</t>
        </is>
      </c>
      <c r="B550" s="3" t="inlineStr">
        <is>
          <t>Chưa tiếp nhận</t>
        </is>
      </c>
      <c r="C550" s="3" t="inlineStr">
        <is>
          <t>Confirmed</t>
        </is>
      </c>
      <c r="D550" s="217">
        <f>IFERROR(__xludf.DUMMYFUNCTION("GOOGLETRANSLATE(C550,""vi"",""km"")"),"បានបញ្ជាក់")</f>
        <v/>
      </c>
      <c r="E550" s="3" t="n"/>
      <c r="F550" s="3" t="inlineStr">
        <is>
          <t>មិនទាន់ទទួល</t>
        </is>
      </c>
      <c r="G550" s="3" t="n"/>
      <c r="H550" s="217" t="inlineStr">
        <is>
          <t>"mainStatus.110": "មិនទាន់ទទួល",</t>
        </is>
      </c>
      <c r="I550" t="inlineStr">
        <is>
          <t>មិនទាន់ទទួល</t>
        </is>
      </c>
    </row>
    <row r="551">
      <c r="A551" s="3" t="inlineStr">
        <is>
          <t>mainStatus.120</t>
        </is>
      </c>
      <c r="B551" s="3" t="inlineStr">
        <is>
          <t>Đã tiếp nhận</t>
        </is>
      </c>
      <c r="C551" s="3" t="inlineStr">
        <is>
          <t>Waiting to receive</t>
        </is>
      </c>
      <c r="D551" s="217">
        <f>IFERROR(__xludf.DUMMYFUNCTION("GOOGLETRANSLATE(C551,""vi"",""km"")"),"កំពុងរង់ចាំទទួល")</f>
        <v/>
      </c>
      <c r="E551" s="3" t="n"/>
      <c r="F551" s="3" t="inlineStr">
        <is>
          <t>បានទទួល</t>
        </is>
      </c>
      <c r="G551" s="3" t="n"/>
      <c r="H551" s="217" t="inlineStr">
        <is>
          <t>"mainStatus.120": "បានទទួល",</t>
        </is>
      </c>
      <c r="I551" t="inlineStr">
        <is>
          <t>បានទទួល</t>
        </is>
      </c>
    </row>
    <row r="552">
      <c r="A552" s="3" t="inlineStr">
        <is>
          <t>mainStatus.200</t>
        </is>
      </c>
      <c r="B552" s="3" t="inlineStr">
        <is>
          <t>Đang lấy hàng</t>
        </is>
      </c>
      <c r="C552" s="3" t="inlineStr">
        <is>
          <t>Receiving</t>
        </is>
      </c>
      <c r="D552" s="217">
        <f>IFERROR(__xludf.DUMMYFUNCTION("GOOGLETRANSLATE(C552,""vi"",""km"")"),"កំពុងទទួល")</f>
        <v/>
      </c>
      <c r="E552" s="3" t="n"/>
      <c r="F552" s="3" t="inlineStr">
        <is>
          <t>កំពុងទៅយកអីវ៉ាន់</t>
        </is>
      </c>
      <c r="G552" s="3" t="n"/>
      <c r="H552" s="217" t="inlineStr">
        <is>
          <t>"mainStatus.200": "កំពុងទៅយកអីវ៉ាន់",</t>
        </is>
      </c>
      <c r="I552" t="inlineStr">
        <is>
          <t>កំពុងទៅយកអីវ៉ាន់</t>
        </is>
      </c>
    </row>
    <row r="553">
      <c r="A553" s="3" t="inlineStr">
        <is>
          <t>mainStatus.201</t>
        </is>
      </c>
      <c r="B553" s="3" t="inlineStr">
        <is>
          <t>Hủy đơn</t>
        </is>
      </c>
      <c r="C553" s="3" t="inlineStr">
        <is>
          <t>Cancelled</t>
        </is>
      </c>
      <c r="D553" s="217">
        <f>IFERROR(__xludf.DUMMYFUNCTION("GOOGLETRANSLATE(C553,""vi"",""km"")"),"បានលុបចោល")</f>
        <v/>
      </c>
      <c r="E553" s="3" t="n"/>
      <c r="F553" s="3" t="inlineStr">
        <is>
          <t>លុបបុងចោល</t>
        </is>
      </c>
      <c r="G553" s="3" t="n"/>
      <c r="H553" s="217" t="inlineStr">
        <is>
          <t>"mainStatus.201": "លុបបុងចោល",</t>
        </is>
      </c>
      <c r="I553" t="inlineStr">
        <is>
          <t>លុបបុងចោល</t>
        </is>
      </c>
    </row>
    <row r="554">
      <c r="A554" s="3" t="inlineStr">
        <is>
          <t>mainStatus.210</t>
        </is>
      </c>
      <c r="B554" s="3" t="inlineStr">
        <is>
          <t>Đã lấy hàng</t>
        </is>
      </c>
      <c r="C554" s="3" t="inlineStr">
        <is>
          <t>Received</t>
        </is>
      </c>
      <c r="D554" s="217">
        <f>IFERROR(__xludf.DUMMYFUNCTION("GOOGLETRANSLATE(C554,""vi"",""km"")"),"បានទទួល")</f>
        <v/>
      </c>
      <c r="E554" s="3" t="n"/>
      <c r="F554" s="3" t="inlineStr">
        <is>
          <t>បានយកអីវ៉ាន់រួចរាល់</t>
        </is>
      </c>
      <c r="G554" s="3" t="n"/>
      <c r="H554" s="217" t="inlineStr">
        <is>
          <t>"mainStatus.210": "បានយកអីវ៉ាន់រួចរាល់",</t>
        </is>
      </c>
      <c r="I554" t="inlineStr">
        <is>
          <t>បានយកអីវ៉ាន់រួចរាល់</t>
        </is>
      </c>
    </row>
    <row r="555">
      <c r="A555" s="3" t="inlineStr">
        <is>
          <t>mainStatus.220</t>
        </is>
      </c>
      <c r="B555" s="3" t="inlineStr">
        <is>
          <t>Hẹn lấy lại</t>
        </is>
      </c>
      <c r="C555" s="3" t="inlineStr">
        <is>
          <t>Receive again</t>
        </is>
      </c>
      <c r="D555" s="217">
        <f>IFERROR(__xludf.DUMMYFUNCTION("GOOGLETRANSLATE(C555,""vi"",""km"")"),"ទទួលបានម្តងទៀត")</f>
        <v/>
      </c>
      <c r="E555" s="3" t="n"/>
      <c r="F555" s="3" t="inlineStr">
        <is>
          <t>ណាត់ពេលទៅយកម្តងទៀត</t>
        </is>
      </c>
      <c r="G555" s="3" t="n"/>
      <c r="H555" s="217" t="inlineStr">
        <is>
          <t>"mainStatus.220": "ណាត់ពេលទៅយកម្តងទៀត",</t>
        </is>
      </c>
      <c r="I555" t="inlineStr">
        <is>
          <t>ណាត់ពេលទៅយកម្តងទៀត</t>
        </is>
      </c>
    </row>
    <row r="556">
      <c r="A556" s="3" t="inlineStr">
        <is>
          <t>mainStatus.230</t>
        </is>
      </c>
      <c r="B556" s="3" t="inlineStr">
        <is>
          <t>Không lấy được hàng</t>
        </is>
      </c>
      <c r="C556" s="3" t="inlineStr">
        <is>
          <t>Receive failed</t>
        </is>
      </c>
      <c r="D556" s="217">
        <f>IFERROR(__xludf.DUMMYFUNCTION("GOOGLETRANSLATE(C556,""vi"",""km"")"),"ការទទួលបរាជ័យ")</f>
        <v/>
      </c>
      <c r="E556" s="3" t="n"/>
      <c r="F556" s="3" t="inlineStr">
        <is>
          <t>យកអីវ៉ាន់មិនបានសម្រេច</t>
        </is>
      </c>
      <c r="G556" s="3" t="n"/>
      <c r="H556" s="217" t="inlineStr">
        <is>
          <t>"mainStatus.230": "យកអីវ៉ាន់មិនបានសម្រេច",</t>
        </is>
      </c>
      <c r="I556" t="inlineStr">
        <is>
          <t>យកអីវ៉ាន់មិនបានសម្រេច</t>
        </is>
      </c>
    </row>
    <row r="557">
      <c r="A557" s="3" t="inlineStr">
        <is>
          <t>mainStatus.300</t>
        </is>
      </c>
      <c r="B557" s="3" t="inlineStr">
        <is>
          <t>Gán đơn vào tải</t>
        </is>
      </c>
      <c r="C557" s="3" t="inlineStr">
        <is>
          <t>Assign order to sack</t>
        </is>
      </c>
      <c r="D557" s="217">
        <f>IFERROR(__xludf.DUMMYFUNCTION("GOOGLETRANSLATE(C557,""vi"",""km"")"),"ចាត់តាំងបញ្ជាឱ្យបណ្តេញចេញ")</f>
        <v/>
      </c>
      <c r="E557" s="3" t="n"/>
      <c r="F557" s="3" t="inlineStr">
        <is>
          <t>ចាត់តាំងបញ្ជាឱ្យបណ្តេញចេញ</t>
        </is>
      </c>
      <c r="G557" s="3" t="n"/>
      <c r="H557" s="217" t="inlineStr">
        <is>
          <t>"mainStatus.300": "ចាត់តាំងបញ្ជាឱ្យបណ្តេញចេញ",</t>
        </is>
      </c>
      <c r="I557" t="inlineStr">
        <is>
          <t>ចាត់តាំងបញ្ជាឱ្យបណ្តេញចេញ</t>
        </is>
      </c>
    </row>
    <row r="558">
      <c r="A558" s="3" t="inlineStr">
        <is>
          <t>mainStatus.301</t>
        </is>
      </c>
      <c r="B558" s="3" t="inlineStr">
        <is>
          <t>Loại bỏ đơn khỏi tải</t>
        </is>
      </c>
      <c r="C558" s="3" t="inlineStr">
        <is>
          <t>Remove order from sack</t>
        </is>
      </c>
      <c r="D558" s="217">
        <f>IFERROR(__xludf.DUMMYFUNCTION("GOOGLETRANSLATE(C558,""vi"",""km"")"),"លុបការបញ្ជាទិញចេញពីថង់")</f>
        <v/>
      </c>
      <c r="E558" s="3" t="n"/>
      <c r="F558" s="3" t="inlineStr">
        <is>
          <t>ដកបុងចេញពីបាវ</t>
        </is>
      </c>
      <c r="G558" s="3" t="n"/>
      <c r="H558" s="217" t="inlineStr">
        <is>
          <t>"mainStatus.301": "ដកបុងចេញពីបាវ",</t>
        </is>
      </c>
      <c r="I558" t="inlineStr">
        <is>
          <t>ដកបុងចេញពីបាវ</t>
        </is>
      </c>
    </row>
    <row r="559">
      <c r="A559" s="3" t="inlineStr">
        <is>
          <t>mainStatus.302</t>
        </is>
      </c>
      <c r="B559" s="3" t="inlineStr">
        <is>
          <t>Hoàn thành tải</t>
        </is>
      </c>
      <c r="C559" s="3" t="inlineStr">
        <is>
          <t>Sack completed</t>
        </is>
      </c>
      <c r="D559" s="217">
        <f>IFERROR(__xludf.DUMMYFUNCTION("GOOGLETRANSLATE(C559,""vi"",""km"")"),"បានបញ្ចប់ការវេចខ្ចប់")</f>
        <v/>
      </c>
      <c r="E559" s="3" t="n"/>
      <c r="F559" s="3" t="inlineStr">
        <is>
          <t>ច្រកបាវរួចរាល់</t>
        </is>
      </c>
      <c r="G559" s="3" t="n"/>
      <c r="H559" s="217" t="inlineStr">
        <is>
          <t>"mainStatus.302": "ច្រកបាវរួចរាល់",</t>
        </is>
      </c>
      <c r="I559" t="inlineStr">
        <is>
          <t>ច្រកបាវរួចរាល់</t>
        </is>
      </c>
    </row>
    <row r="560">
      <c r="A560" s="3" t="inlineStr">
        <is>
          <t>mainStatus.303</t>
        </is>
      </c>
      <c r="B560" s="3" t="inlineStr">
        <is>
          <t>Gửi yêu cầu vận tải</t>
        </is>
      </c>
      <c r="C560" s="3" t="inlineStr">
        <is>
          <t>Send transport request</t>
        </is>
      </c>
      <c r="D560" s="217">
        <f>IFERROR(__xludf.DUMMYFUNCTION("GOOGLETRANSLATE(C560,""vi"",""km"")"),"ផ្ញើសំណើដឹកជញ្ជូន")</f>
        <v/>
      </c>
      <c r="E560" s="3" t="n"/>
      <c r="F560" s="3" t="inlineStr">
        <is>
          <t>ផ្ញើសំណើដឹកជញ្ជូន</t>
        </is>
      </c>
      <c r="G560" s="3" t="n"/>
      <c r="H560" s="217" t="inlineStr">
        <is>
          <t>"mainStatus.303": "ផ្ញើសំណើដឹកជញ្ជូន",</t>
        </is>
      </c>
      <c r="I560" t="inlineStr">
        <is>
          <t>ផ្ញើសំណើដឹកជញ្ជូន</t>
        </is>
      </c>
    </row>
    <row r="561">
      <c r="A561" s="3" t="inlineStr">
        <is>
          <t>mainStatus.304</t>
        </is>
      </c>
      <c r="B561" s="3" t="inlineStr">
        <is>
          <t>Xác nhận đến đơn vị (checkin)</t>
        </is>
      </c>
      <c r="C561" s="3" t="inlineStr">
        <is>
          <t>Confirm arrival at unit</t>
        </is>
      </c>
      <c r="D561" s="217">
        <f>IFERROR(__xludf.DUMMYFUNCTION("GOOGLETRANSLATE(C561,""vi"",""km"")"),"បញ្ជាក់ការមកដល់អង្គភាព")</f>
        <v/>
      </c>
      <c r="E561" s="3" t="n"/>
      <c r="F561" s="3" t="inlineStr">
        <is>
          <t>បញ្ជាក់ការមកដល់អង្គភាព</t>
        </is>
      </c>
      <c r="G561" s="3" t="n"/>
      <c r="H561" s="217" t="inlineStr">
        <is>
          <t>"mainStatus.304": "បញ្ជាក់ការមកដល់អង្គភាព",</t>
        </is>
      </c>
      <c r="I561" t="inlineStr">
        <is>
          <t>បញ្ជាក់ការមកដល់អង្គភាព</t>
        </is>
      </c>
    </row>
    <row r="562">
      <c r="A562" s="3" t="inlineStr">
        <is>
          <t>mainStatus.305</t>
        </is>
      </c>
      <c r="B562" s="3" t="inlineStr">
        <is>
          <t>Tạo bàn giao</t>
        </is>
      </c>
      <c r="C562" s="3" t="inlineStr">
        <is>
          <t>Create a new handover</t>
        </is>
      </c>
      <c r="D562" s="217">
        <f>IFERROR(__xludf.DUMMYFUNCTION("GOOGLETRANSLATE(C562,""vi"",""km"")"),"បង្កើតការប្រគល់ថ្មី")</f>
        <v/>
      </c>
      <c r="E562" s="3" t="n"/>
      <c r="F562" s="3" t="inlineStr">
        <is>
          <t>បង្កើតការប្រគល់ទទួល</t>
        </is>
      </c>
      <c r="G562" s="3" t="n"/>
      <c r="H562" s="217" t="inlineStr">
        <is>
          <t>"mainStatus.305": "បង្កើតការប្រគល់ទទួល",</t>
        </is>
      </c>
      <c r="I562" t="inlineStr">
        <is>
          <t>បង្កើតការប្រគល់ទទួល</t>
        </is>
      </c>
    </row>
    <row r="563">
      <c r="A563" s="3" t="inlineStr">
        <is>
          <t>mainStatus.306</t>
        </is>
      </c>
      <c r="B563" s="3" t="inlineStr">
        <is>
          <t>Nhận bàn giao</t>
        </is>
      </c>
      <c r="C563" s="3" t="inlineStr">
        <is>
          <t>Accept handover</t>
        </is>
      </c>
      <c r="D563" s="217">
        <f>IFERROR(__xludf.DUMMYFUNCTION("GOOGLETRANSLATE(C563,""vi"",""km"")"),"ទទួលយកការប្រគល់")</f>
        <v/>
      </c>
      <c r="E563" s="3" t="n"/>
      <c r="F563" s="3" t="inlineStr">
        <is>
          <t>ទទួលការប្រគល់ទទួល</t>
        </is>
      </c>
      <c r="G563" s="3" t="n"/>
      <c r="H563" s="217" t="inlineStr">
        <is>
          <t>"mainStatus.306": "ទទួលការប្រគល់ទទួល",</t>
        </is>
      </c>
      <c r="I563" t="inlineStr">
        <is>
          <t>ទទួលការប្រគល់ទទួល</t>
        </is>
      </c>
    </row>
    <row r="564">
      <c r="A564" s="3" t="inlineStr">
        <is>
          <t>mainStatus.307</t>
        </is>
      </c>
      <c r="B564" s="3" t="inlineStr">
        <is>
          <t>Từ chối nhận bàn giao</t>
        </is>
      </c>
      <c r="C564" s="3" t="inlineStr">
        <is>
          <t>Reject</t>
        </is>
      </c>
      <c r="D564" s="217">
        <f>IFERROR(__xludf.DUMMYFUNCTION("GOOGLETRANSLATE(C564,""vi"",""km"")"),"បដិសេធ")</f>
        <v/>
      </c>
      <c r="E564" s="3" t="n"/>
      <c r="F564" s="3" t="inlineStr">
        <is>
          <t>បដិសេធទទួលការប្រគល់</t>
        </is>
      </c>
      <c r="G564" s="3" t="n"/>
      <c r="H564" s="217" t="inlineStr">
        <is>
          <t>"mainStatus.307": "បដិសេធទទួលការប្រគល់",</t>
        </is>
      </c>
      <c r="I564" t="inlineStr">
        <is>
          <t>បដិសេធទទួលការប្រគល់</t>
        </is>
      </c>
    </row>
    <row r="565">
      <c r="A565" s="3" t="inlineStr">
        <is>
          <t>mainStatus.308</t>
        </is>
      </c>
      <c r="B565" s="3" t="inlineStr">
        <is>
          <t>Xác nhận rời đơn vị (checkout)</t>
        </is>
      </c>
      <c r="C565" s="3" t="inlineStr">
        <is>
          <t>Confirm departure from unit</t>
        </is>
      </c>
      <c r="D565" s="217">
        <f>IFERROR(__xludf.DUMMYFUNCTION("GOOGLETRANSLATE(C565,""vi"",""km"")"),"បញ្ជាក់ការចាកចេញពីអង្គភាព")</f>
        <v/>
      </c>
      <c r="E565" s="3" t="n"/>
      <c r="F565" s="3" t="inlineStr">
        <is>
          <t>បញ្ជាក់ការចាកចេញពីអង្គភាព</t>
        </is>
      </c>
      <c r="G565" s="3" t="n"/>
      <c r="H565" s="217" t="inlineStr">
        <is>
          <t>"mainStatus.308": "បញ្ជាក់ការចាកចេញពីអង្គភាព",</t>
        </is>
      </c>
      <c r="I565" t="inlineStr">
        <is>
          <t>បញ្ជាក់ការចាកចេញពីអង្គភាព</t>
        </is>
      </c>
    </row>
    <row r="566">
      <c r="A566" s="3" t="inlineStr">
        <is>
          <t>mainStatus.309</t>
        </is>
      </c>
      <c r="B566" s="3" t="inlineStr">
        <is>
          <t>Nhận bưu gửi</t>
        </is>
      </c>
      <c r="C566" s="3" t="inlineStr">
        <is>
          <t>Receive bill</t>
        </is>
      </c>
      <c r="D566" s="217">
        <f>IFERROR(__xludf.DUMMYFUNCTION("GOOGLETRANSLATE(C566,""vi"",""km"")"),"វិក្កយបត្របញ្ជាទិញ")</f>
        <v/>
      </c>
      <c r="E566" s="3" t="n"/>
      <c r="F566" s="3" t="inlineStr">
        <is>
          <t>ទទួលបុងបញ្ញើ</t>
        </is>
      </c>
      <c r="G566" s="3" t="n"/>
      <c r="H566" s="217" t="inlineStr">
        <is>
          <t>"mainStatus.309": "ទទួលបុងបញ្ញើ",</t>
        </is>
      </c>
      <c r="I566" t="inlineStr">
        <is>
          <t>ទទួលបុងបញ្ញើ</t>
        </is>
      </c>
    </row>
    <row r="567">
      <c r="A567" s="3" t="inlineStr">
        <is>
          <t>mainStatus.400</t>
        </is>
      </c>
      <c r="B567" s="3" t="inlineStr">
        <is>
          <t>Phân công giao - Chưa hoàn thành</t>
        </is>
      </c>
      <c r="C567" s="3" t="inlineStr">
        <is>
          <t>Assigned to deliver - Not completed</t>
        </is>
      </c>
      <c r="D567" s="217">
        <f>IFERROR(__xludf.DUMMYFUNCTION("GOOGLETRANSLATE(C567,""vi"",""km"")"),"បានចាត់តាំងឱ្យដឹកជញ្ជូន - មិនទាន់បានបញ្ចប់")</f>
        <v/>
      </c>
      <c r="E567" s="3" t="n"/>
      <c r="F567" s="3" t="inlineStr">
        <is>
          <t>ចាត់តាំងការដឹកជញ្ជូន - មិនទាន់បញ្ចប់</t>
        </is>
      </c>
      <c r="G567" s="3" t="n"/>
      <c r="H567" s="217" t="inlineStr">
        <is>
          <t>"mainStatus.400": "ចាត់តាំងការដឹកជញ្ជូន - មិនទាន់បញ្ចប់",</t>
        </is>
      </c>
      <c r="I567" t="inlineStr">
        <is>
          <t>ចាត់តាំងការដឹកជញ្ជូន - មិនទាន់បញ្ចប់</t>
        </is>
      </c>
    </row>
    <row r="568">
      <c r="A568" s="3" t="inlineStr">
        <is>
          <t>mainStatus.401</t>
        </is>
      </c>
      <c r="B568" s="3" t="inlineStr">
        <is>
          <t>Phân công giao - Đã hoàn thành</t>
        </is>
      </c>
      <c r="C568" s="3" t="inlineStr">
        <is>
          <t>Assigned to deliver</t>
        </is>
      </c>
      <c r="D568" s="217">
        <f>IFERROR(__xludf.DUMMYFUNCTION("GOOGLETRANSLATE(C568,""vi"",""km"")"),"បានចាត់តាំងឱ្យដឹកជញ្ជូន")</f>
        <v/>
      </c>
      <c r="E568" s="3" t="n"/>
      <c r="F568" s="3" t="inlineStr">
        <is>
          <t>ចាត់តាំងការដឹកជញ្ជូន - បានបញ្ចប់</t>
        </is>
      </c>
      <c r="G568" s="3" t="n"/>
      <c r="H568" s="217" t="inlineStr">
        <is>
          <t>"mainStatus.401": "ចាត់តាំងការដឹកជញ្ជូន - បានបញ្ចប់",</t>
        </is>
      </c>
      <c r="I568" t="inlineStr">
        <is>
          <t>ចាត់តាំងការដឹកជញ្ជូន - បានបញ្ចប់</t>
        </is>
      </c>
    </row>
    <row r="569">
      <c r="A569" s="3" t="inlineStr">
        <is>
          <t>mainStatus.402</t>
        </is>
      </c>
      <c r="B569" s="3" t="inlineStr">
        <is>
          <t>Xác nhận phân công</t>
        </is>
      </c>
      <c r="C569" s="3" t="inlineStr">
        <is>
          <t>Assignment confirmation</t>
        </is>
      </c>
      <c r="D569" s="217">
        <f>IFERROR(__xludf.DUMMYFUNCTION("GOOGLETRANSLATE(C569,""vi"",""km"")"),"សំណើសុំការចាត់តាំង")</f>
        <v/>
      </c>
      <c r="E569" s="3" t="n"/>
      <c r="F569" s="3" t="inlineStr">
        <is>
          <t>បញ្ជាក់ការចាត់តាំងការងារ</t>
        </is>
      </c>
      <c r="G569" s="3" t="n"/>
      <c r="H569" s="217" t="inlineStr">
        <is>
          <t>"mainStatus.402": "បញ្ជាក់ការចាត់តាំងការងារ",</t>
        </is>
      </c>
      <c r="I569" t="inlineStr">
        <is>
          <t>បញ្ជាក់ការចាត់តាំងការងារ</t>
        </is>
      </c>
    </row>
    <row r="570">
      <c r="A570" s="3" t="inlineStr">
        <is>
          <t>mainStatus.403</t>
        </is>
      </c>
      <c r="B570" s="3" t="inlineStr">
        <is>
          <t>Đến địa chỉ giao</t>
        </is>
      </c>
      <c r="C570" s="3" t="inlineStr">
        <is>
          <t>Arrived at delivery address</t>
        </is>
      </c>
      <c r="D570" s="217">
        <f>IFERROR(__xludf.DUMMYFUNCTION("GOOGLETRANSLATE(C570,""vi"",""km"")"),"បានមកដល់អាសយដ្ឋានដឹកជញ្ជូន")</f>
        <v/>
      </c>
      <c r="E570" s="3" t="n"/>
      <c r="F570" s="3" t="inlineStr">
        <is>
          <t>បានមកដល់អាសយដ្ឋានដឹកជញ្ជូន</t>
        </is>
      </c>
      <c r="G570" s="3" t="n"/>
      <c r="H570" s="217" t="inlineStr">
        <is>
          <t>"mainStatus.403": "បានមកដល់អាសយដ្ឋានដឹកជញ្ជូន",</t>
        </is>
      </c>
      <c r="I570" t="inlineStr">
        <is>
          <t>បានមកដល់អាសយដ្ឋានដឹកជញ្ជូន</t>
        </is>
      </c>
    </row>
    <row r="571">
      <c r="A571" s="3" t="inlineStr">
        <is>
          <t>mainStatus.410</t>
        </is>
      </c>
      <c r="B571" s="3" t="inlineStr">
        <is>
          <t>Giao thành công</t>
        </is>
      </c>
      <c r="C571" s="3" t="inlineStr">
        <is>
          <t>Shipped</t>
        </is>
      </c>
      <c r="D571" s="217">
        <f>IFERROR(__xludf.DUMMYFUNCTION("GOOGLETRANSLATE(C571,""vi"",""km"")"),"បានដឹកជញ្ជូន")</f>
        <v/>
      </c>
      <c r="E571" s="3" t="n"/>
      <c r="F571" s="3" t="inlineStr">
        <is>
          <t>ដឹកជញ្ជូនជោគជ័យ</t>
        </is>
      </c>
      <c r="G571" s="3" t="n"/>
      <c r="H571" s="217" t="inlineStr">
        <is>
          <t>"mainStatus.410": "ដឹកជញ្ជូនជោគជ័យ",</t>
        </is>
      </c>
      <c r="I571" t="inlineStr">
        <is>
          <t>ដឹកជញ្ជូនជោគជ័យ</t>
        </is>
      </c>
    </row>
    <row r="572">
      <c r="A572" s="3" t="inlineStr">
        <is>
          <t>mainStatus.420</t>
        </is>
      </c>
      <c r="B572" s="3" t="inlineStr">
        <is>
          <t>Hẹn giao lại</t>
        </is>
      </c>
      <c r="C572" s="3" t="inlineStr">
        <is>
          <t>Ship again</t>
        </is>
      </c>
      <c r="D572" s="217">
        <f>IFERROR(__xludf.DUMMYFUNCTION("GOOGLETRANSLATE(C572,""vi"",""km"")"),"កប៉ាល់ភ្លាមៗ")</f>
        <v/>
      </c>
      <c r="E572" s="3" t="n"/>
      <c r="F572" s="3" t="inlineStr">
        <is>
          <t>ណាត់ពេលដឹកជញ្ជូនម្តងទៀត</t>
        </is>
      </c>
      <c r="G572" s="3" t="n"/>
      <c r="H572" s="217" t="inlineStr">
        <is>
          <t>"mainStatus.420": "ណាត់ពេលដឹកជញ្ជូនម្តងទៀត",</t>
        </is>
      </c>
      <c r="I572" t="inlineStr">
        <is>
          <t>ណាត់ពេលដឹកជញ្ជូនម្តងទៀត</t>
        </is>
      </c>
    </row>
    <row r="573">
      <c r="A573" s="3" t="inlineStr">
        <is>
          <t>mainStatus.430</t>
        </is>
      </c>
      <c r="B573" s="3" t="inlineStr">
        <is>
          <t>Không giao được hàng</t>
        </is>
      </c>
      <c r="C573" s="3" t="inlineStr">
        <is>
          <t>Ship failed</t>
        </is>
      </c>
      <c r="D573" s="217">
        <f>IFERROR(__xludf.DUMMYFUNCTION("GOOGLETRANSLATE(C573,""vi"",""km"")"),"ដឹកជញ្ជូនឱ្យបានត្រឹមត្រូវ")</f>
        <v/>
      </c>
      <c r="E573" s="3" t="n"/>
      <c r="F573" s="3" t="inlineStr">
        <is>
          <t>ដឹកជញ្ជូនមិនបានសម្រេច</t>
        </is>
      </c>
      <c r="G573" s="3" t="n"/>
      <c r="H573" s="217" t="inlineStr">
        <is>
          <t>"mainStatus.430": "ដឹកជញ្ជូនមិនបានសម្រេច",</t>
        </is>
      </c>
      <c r="I573" t="inlineStr">
        <is>
          <t>ដឹកជញ្ជូនមិនបានសម្រេច</t>
        </is>
      </c>
    </row>
    <row r="574">
      <c r="A574" s="3" t="inlineStr">
        <is>
          <t>mainStatus.440</t>
        </is>
      </c>
      <c r="B574" s="3" t="inlineStr">
        <is>
          <t>Yêu cầu giao 1 phần</t>
        </is>
      </c>
      <c r="C574" s="3" t="inlineStr">
        <is>
          <t>Partial ship request</t>
        </is>
      </c>
      <c r="D574" s="217">
        <f>IFERROR(__xludf.DUMMYFUNCTION("GOOGLETRANSLATE(C574,""vi"",""km"")"),"សំណើសុំកប៉ាល់ដោយផ្នែក")</f>
        <v/>
      </c>
      <c r="E574" s="3" t="n"/>
      <c r="F574" s="3" t="inlineStr">
        <is>
          <t>ស្នើសុំដឹកជញ្ជូនមួយផ្នែក</t>
        </is>
      </c>
      <c r="G574" s="3" t="n"/>
      <c r="H574" s="217" t="inlineStr">
        <is>
          <t>"mainStatus.440": "ស្នើសុំដឹកជញ្ជូនមួយផ្នែក",</t>
        </is>
      </c>
      <c r="I574" t="inlineStr">
        <is>
          <t>ស្នើសុំដឹកជញ្ជូនមួយផ្នែក</t>
        </is>
      </c>
    </row>
    <row r="575">
      <c r="A575" s="3" t="inlineStr">
        <is>
          <t>mainStatus.441</t>
        </is>
      </c>
      <c r="B575" s="3" t="inlineStr">
        <is>
          <t>Giao thành công 1 phần</t>
        </is>
      </c>
      <c r="C575" s="3" t="inlineStr">
        <is>
          <t>Partially shipped</t>
        </is>
      </c>
      <c r="D575" s="217">
        <f>IFERROR(__xludf.DUMMYFUNCTION("GOOGLETRANSLATE(C575,""vi"",""km"")"),"បានដឹកជញ្ជូនដោយផ្នែក")</f>
        <v/>
      </c>
      <c r="E575" s="3" t="n"/>
      <c r="F575" s="3" t="inlineStr">
        <is>
          <t>ដឹកជញ្ជូនជោគជ័យមួយផ្នែក</t>
        </is>
      </c>
      <c r="G575" s="3" t="n"/>
      <c r="H575" s="217" t="inlineStr">
        <is>
          <t>"mainStatus.441": "ដឹកជញ្ជូនជោគជ័យមួយផ្នែក",</t>
        </is>
      </c>
      <c r="I575" t="inlineStr">
        <is>
          <t>ដឹកជញ្ជូនជោគជ័យមួយផ្នែក</t>
        </is>
      </c>
    </row>
    <row r="576">
      <c r="A576" s="3" t="inlineStr">
        <is>
          <t>mainStatus.450</t>
        </is>
      </c>
      <c r="B576" s="3" t="inlineStr">
        <is>
          <t>Yêu cầu chuyển địa chỉ</t>
        </is>
      </c>
      <c r="C576" s="3" t="inlineStr">
        <is>
          <t>Forward request</t>
        </is>
      </c>
      <c r="D576" s="217">
        <f>IFERROR(__xludf.DUMMYFUNCTION("GOOGLETRANSLATE(C576,""vi"",""km"")"),"សំណើរខាងមុខ")</f>
        <v/>
      </c>
      <c r="E576" s="3" t="n"/>
      <c r="F576" s="3" t="inlineStr">
        <is>
          <t>ស្នើសុំប្តូរអាសយដ្ឋានដឹកជញ្ជូន</t>
        </is>
      </c>
      <c r="G576" s="3" t="n"/>
      <c r="H576" s="217" t="inlineStr">
        <is>
          <t>"mainStatus.450": "ស្នើសុំប្តូរអាសយដ្ឋានដឹកជញ្ជូន",</t>
        </is>
      </c>
      <c r="I576" t="inlineStr">
        <is>
          <t>ស្នើសុំប្តូរអាសយដ្ឋានដឹកជញ្ជូន</t>
        </is>
      </c>
    </row>
    <row r="577">
      <c r="A577" s="3" t="inlineStr">
        <is>
          <t>mainStatus.460</t>
        </is>
      </c>
      <c r="B577" s="3" t="inlineStr">
        <is>
          <t>Thông báo chuyển hoàn</t>
        </is>
      </c>
      <c r="C577" s="3" t="inlineStr">
        <is>
          <t>Return request</t>
        </is>
      </c>
      <c r="D577" s="217">
        <f>IFERROR(__xludf.DUMMYFUNCTION("GOOGLETRANSLATE(C577,""vi"",""km"")"),"សំណើសុំប្រគល់មកវិញ")</f>
        <v/>
      </c>
      <c r="E577" s="3" t="n"/>
      <c r="F577" s="3" t="inlineStr">
        <is>
          <t>ជូនដំណឹងអំពីការប្រគល់ត្រឡប់</t>
        </is>
      </c>
      <c r="G577" s="3" t="n"/>
      <c r="H577" s="217" t="inlineStr">
        <is>
          <t>"mainStatus.460": "ជូនដំណឹងអំពីការប្រគល់ត្រឡប់",</t>
        </is>
      </c>
      <c r="I577" t="inlineStr">
        <is>
          <t>ជូនដំណឹងអំពីការប្រគល់ត្រឡប់</t>
        </is>
      </c>
    </row>
    <row r="578">
      <c r="A578" s="3" t="inlineStr">
        <is>
          <t>mainStatus.470</t>
        </is>
      </c>
      <c r="B578" s="3" t="inlineStr">
        <is>
          <t>Đã duyệt hoàn</t>
        </is>
      </c>
      <c r="C578" s="3" t="inlineStr">
        <is>
          <t>Return confirmed</t>
        </is>
      </c>
      <c r="D578" s="217">
        <f>IFERROR(__xludf.DUMMYFUNCTION("GOOGLETRANSLATE(C578,""vi"",""km"")"),"ការប្រគល់មកវិញត្រូវបានបញ្ជាក់")</f>
        <v/>
      </c>
      <c r="E578" s="3" t="n"/>
      <c r="F578" s="3" t="inlineStr">
        <is>
          <t>បានអនុម័តការប្រគល់ត្រឡប់</t>
        </is>
      </c>
      <c r="G578" s="3" t="n"/>
      <c r="H578" s="217" t="inlineStr">
        <is>
          <t>"mainStatus.470": "បានអនុម័តការប្រគល់ត្រឡប់",</t>
        </is>
      </c>
      <c r="I578" t="inlineStr">
        <is>
          <t>បានអនុម័តការប្រគល់ត្រឡប់</t>
        </is>
      </c>
    </row>
    <row r="579">
      <c r="A579" s="3" t="inlineStr">
        <is>
          <t>mainStatus.471</t>
        </is>
      </c>
      <c r="B579" s="3" t="inlineStr">
        <is>
          <t>Từ chối hoàn</t>
        </is>
      </c>
      <c r="C579" s="3" t="inlineStr">
        <is>
          <t>Reject return request</t>
        </is>
      </c>
      <c r="D579" s="217">
        <f>IFERROR(__xludf.DUMMYFUNCTION("GOOGLETRANSLATE(C579,""vi"",""km"")"),"បដិសេធសំណើសុំប្រគល់មកវិញ")</f>
        <v/>
      </c>
      <c r="E579" s="3" t="n"/>
      <c r="F579" s="3" t="inlineStr">
        <is>
          <t>បដិសេធការប្រគល់ត្រឡប់</t>
        </is>
      </c>
      <c r="G579" s="3" t="n"/>
      <c r="H579" s="217" t="inlineStr">
        <is>
          <t>"mainStatus.471": "បដិសេធការប្រគល់ត្រឡប់",</t>
        </is>
      </c>
      <c r="I579" t="inlineStr">
        <is>
          <t>បដិសេធការប្រគល់ត្រឡប់</t>
        </is>
      </c>
    </row>
    <row r="580">
      <c r="A580" s="3" t="inlineStr">
        <is>
          <t>mainStatus.472</t>
        </is>
      </c>
      <c r="B580" s="3" t="inlineStr">
        <is>
          <t>Lưu kho</t>
        </is>
      </c>
      <c r="C580" s="3" t="inlineStr">
        <is>
          <t>Store in warehouse</t>
        </is>
      </c>
      <c r="D580" s="217">
        <f>IFERROR(__xludf.DUMMYFUNCTION("GOOGLETRANSLATE(C580,""vi"",""km"")"),"ទិញទំនិញនៅក្នុងពន្ធនាគារ")</f>
        <v/>
      </c>
      <c r="E580" s="3" t="n"/>
      <c r="F580" s="3" t="inlineStr">
        <is>
          <t>រក្សាទុកក្នុងឃ្លាំង</t>
        </is>
      </c>
      <c r="G580" s="3" t="n"/>
      <c r="H580" s="217" t="inlineStr">
        <is>
          <t>"mainStatus.472": "រក្សាទុកក្នុងឃ្លាំង",</t>
        </is>
      </c>
      <c r="I580" t="inlineStr">
        <is>
          <t>រក្សាទុកក្នុងឃ្លាំង</t>
        </is>
      </c>
    </row>
    <row r="581">
      <c r="A581" s="3" t="inlineStr">
        <is>
          <t>mainStatus.473</t>
        </is>
      </c>
      <c r="B581" s="3" t="inlineStr">
        <is>
          <t>Phát tiếp</t>
        </is>
      </c>
      <c r="C581" s="3" t="inlineStr">
        <is>
          <t>Redelivery</t>
        </is>
      </c>
      <c r="D581" s="217">
        <f>IFERROR(__xludf.DUMMYFUNCTION("GOOGLETRANSLATE(C581,""vi"",""km"")"),"ការដឹកជញ្ជូនឡើងវិញ")</f>
        <v/>
      </c>
      <c r="E581" s="3" t="n"/>
      <c r="F581" s="3" t="inlineStr">
        <is>
          <t>ដឹកជញ្ជូនបន្ត</t>
        </is>
      </c>
      <c r="G581" s="3" t="n"/>
      <c r="H581" s="217" t="inlineStr">
        <is>
          <t>"mainStatus.473": "ដឹកជញ្ជូនបន្ត",</t>
        </is>
      </c>
      <c r="I581" t="inlineStr">
        <is>
          <t>ដឹកជញ្ជូនបន្ត</t>
        </is>
      </c>
    </row>
    <row r="582">
      <c r="A582" s="3" t="inlineStr">
        <is>
          <t>mainStatus.480</t>
        </is>
      </c>
      <c r="B582" s="3" t="inlineStr">
        <is>
          <t>Chuyển giao địa chỉ mới</t>
        </is>
      </c>
      <c r="C582" s="3" t="inlineStr">
        <is>
          <t>Change address</t>
        </is>
      </c>
      <c r="D582" s="217">
        <f>IFERROR(__xludf.DUMMYFUNCTION("GOOGLETRANSLATE(C582,""vi"",""km"")"),"ផ្លាស់ប្តូរអាសយដ្ឋាន")</f>
        <v/>
      </c>
      <c r="E582" s="3" t="n"/>
      <c r="F582" s="3" t="inlineStr">
        <is>
          <t>ដឹកជញ្ជូនទៅកាន់អាសយដ្ឋានថ្មី</t>
        </is>
      </c>
      <c r="G582" s="3" t="n"/>
      <c r="H582" s="217" t="inlineStr">
        <is>
          <t>"mainStatus.480": "ដឹកជញ្ជូនទៅកាន់អាសយដ្ឋានថ្មី",</t>
        </is>
      </c>
      <c r="I582" t="inlineStr">
        <is>
          <t>ដឹកជញ្ជូនទៅកាន់អាសយដ្ឋានថ្មី</t>
        </is>
      </c>
    </row>
    <row r="583">
      <c r="A583" s="3" t="inlineStr">
        <is>
          <t>mainStatus.500</t>
        </is>
      </c>
      <c r="B583" s="3" t="inlineStr">
        <is>
          <t>Chuyển hoàn</t>
        </is>
      </c>
      <c r="C583" s="3" t="inlineStr">
        <is>
          <t>Return request</t>
        </is>
      </c>
      <c r="D583" s="217">
        <f>IFERROR(__xludf.DUMMYFUNCTION("GOOGLETRANSLATE(C583,""vi"",""km"")"),"សំណើសុំប្រគល់មកវិញ")</f>
        <v/>
      </c>
      <c r="E583" s="3" t="n"/>
      <c r="F583" s="3" t="inlineStr">
        <is>
          <t>សំណើសុំប្រគល់មកវិញ</t>
        </is>
      </c>
      <c r="G583" s="3" t="n"/>
      <c r="H583" s="217" t="inlineStr">
        <is>
          <t>"mainStatus.500": "សំណើសុំប្រគល់មកវិញ",</t>
        </is>
      </c>
      <c r="I583" t="inlineStr">
        <is>
          <t>សំណើសុំប្រគល់មកវិញ</t>
        </is>
      </c>
    </row>
    <row r="584">
      <c r="A584" s="3" t="inlineStr">
        <is>
          <t>mainStatus.510</t>
        </is>
      </c>
      <c r="B584" s="3" t="inlineStr">
        <is>
          <t>Phân công giao hoàn - Chưa hoàn thành</t>
        </is>
      </c>
      <c r="C584" s="3" t="inlineStr">
        <is>
          <t>Return assignment - Not completed</t>
        </is>
      </c>
      <c r="D584" s="217">
        <f>IFERROR(__xludf.DUMMYFUNCTION("GOOGLETRANSLATE(C584,""vi"",""km"")"),"កិច្ចការប្រគល់ជូនវិញ - មិនទាន់បានបញ្ចប់")</f>
        <v/>
      </c>
      <c r="E584" s="3" t="n"/>
      <c r="F584" s="3" t="inlineStr">
        <is>
          <t>កិច្ចការប្រគល់ជូនវិញ - មិនទាន់បានបញ្ចប់</t>
        </is>
      </c>
      <c r="G584" s="3" t="n"/>
      <c r="H584" s="217" t="inlineStr">
        <is>
          <t>"mainStatus.510": "កិច្ចការប្រគល់ជូនវិញ - មិនទាន់បានបញ្ចប់",</t>
        </is>
      </c>
      <c r="I584" t="inlineStr">
        <is>
          <t>កិច្ចការប្រគល់ជូនវិញ - មិនទាន់បានបញ្ចប់</t>
        </is>
      </c>
    </row>
    <row r="585">
      <c r="A585" s="3" t="inlineStr">
        <is>
          <t>mainStatus.511</t>
        </is>
      </c>
      <c r="B585" s="3" t="inlineStr">
        <is>
          <t>Phân công giao hoàn - Đã hoàn thành</t>
        </is>
      </c>
      <c r="C585" s="3" t="inlineStr">
        <is>
          <t>Return assignment - Completed</t>
        </is>
      </c>
      <c r="D585" s="217">
        <f>IFERROR(__xludf.DUMMYFUNCTION("GOOGLETRANSLATE(C585,""vi"",""km"")"),"កិច្ចការប្រគល់ជូនវិញ - បានបញ្ចប់")</f>
        <v/>
      </c>
      <c r="E585" s="3" t="n"/>
      <c r="F585" s="3" t="inlineStr">
        <is>
          <t>កិច្ចការប្រគល់ជូនវិញ - បានបញ្ចប់</t>
        </is>
      </c>
      <c r="G585" s="3" t="n"/>
      <c r="H585" s="217" t="inlineStr">
        <is>
          <t>"mainStatus.511": "កិច្ចការប្រគល់ជូនវិញ - បានបញ្ចប់",</t>
        </is>
      </c>
      <c r="I585" t="inlineStr">
        <is>
          <t>កិច្ចការប្រគល់ជូនវិញ - បានបញ្ចប់</t>
        </is>
      </c>
    </row>
    <row r="586">
      <c r="A586" s="3" t="inlineStr">
        <is>
          <t>mainStatus.512</t>
        </is>
      </c>
      <c r="B586" s="3" t="inlineStr">
        <is>
          <t>Xác nhận phân công hoàn</t>
        </is>
      </c>
      <c r="C586" s="3" t="inlineStr">
        <is>
          <t>Return assignment confirmation</t>
        </is>
      </c>
      <c r="D586" s="217">
        <f>IFERROR(__xludf.DUMMYFUNCTION("GOOGLETRANSLATE(C586,""vi"",""km"")"),"ការបញ្ជាក់ការប្រគល់ភារកិច្ចត្រឡប់មកវិញ")</f>
        <v/>
      </c>
      <c r="E586" s="3" t="n"/>
      <c r="F586" s="3" t="inlineStr">
        <is>
          <t>បញ្ជាក់ការចាត់តាំងប្រគល់ត្រឡប់</t>
        </is>
      </c>
      <c r="G586" s="3" t="n"/>
      <c r="H586" s="217" t="inlineStr">
        <is>
          <t>"mainStatus.512": "បញ្ជាក់ការចាត់តាំងប្រគល់ត្រឡប់",</t>
        </is>
      </c>
      <c r="I586" t="inlineStr">
        <is>
          <t>បញ្ជាក់ការចាត់តាំងប្រគល់ត្រឡប់</t>
        </is>
      </c>
    </row>
    <row r="587">
      <c r="A587" s="3" t="inlineStr">
        <is>
          <t>mainStatus.513</t>
        </is>
      </c>
      <c r="B587" s="3" t="inlineStr">
        <is>
          <t>Đến địa chỉ giao hoàn</t>
        </is>
      </c>
      <c r="C587" s="3" t="inlineStr">
        <is>
          <t>Arrived at return address</t>
        </is>
      </c>
      <c r="D587" s="217">
        <f>IFERROR(__xludf.DUMMYFUNCTION("GOOGLETRANSLATE(C587,""vi"",""km"")"),"បានមកដល់អាសយដ្ឋានត្រឡប់មកវិញ")</f>
        <v/>
      </c>
      <c r="E587" s="3" t="n"/>
      <c r="F587" s="3" t="inlineStr">
        <is>
          <t>បានមកដល់អាសយដ្ឋានត្រឡប់មកវិញ</t>
        </is>
      </c>
      <c r="G587" s="3" t="n"/>
      <c r="H587" s="217" t="inlineStr">
        <is>
          <t>"mainStatus.513": "បានមកដល់អាសយដ្ឋានត្រឡប់មកវិញ",</t>
        </is>
      </c>
      <c r="I587" t="inlineStr">
        <is>
          <t>បានមកដល់អាសយដ្ឋានត្រឡប់មកវិញ</t>
        </is>
      </c>
    </row>
    <row r="588">
      <c r="A588" s="3" t="inlineStr">
        <is>
          <t>mainStatus.520</t>
        </is>
      </c>
      <c r="B588" s="3" t="inlineStr">
        <is>
          <t>Đã trả hàng</t>
        </is>
      </c>
      <c r="C588" s="3" t="inlineStr">
        <is>
          <t>Return successful</t>
        </is>
      </c>
      <c r="D588" s="217">
        <f>IFERROR(__xludf.DUMMYFUNCTION("GOOGLETRANSLATE(C588,""vi"",""km"")"),"រចនាប័ទ្មដោយស្វ័យប្រវត្តិ")</f>
        <v/>
      </c>
      <c r="E588" s="3" t="n"/>
      <c r="F588" s="3" t="inlineStr">
        <is>
          <t>បានប្រគល់ត្រឡប់</t>
        </is>
      </c>
      <c r="G588" s="3" t="n"/>
      <c r="H588" s="217" t="inlineStr">
        <is>
          <t>"mainStatus.520": "បានប្រគល់ត្រឡប់",</t>
        </is>
      </c>
      <c r="I588" t="inlineStr">
        <is>
          <t>បានប្រគល់ត្រឡប់</t>
        </is>
      </c>
    </row>
    <row r="589">
      <c r="A589" s="3" t="inlineStr">
        <is>
          <t>mainStatus.530</t>
        </is>
      </c>
      <c r="B589" s="3" t="inlineStr">
        <is>
          <t>Hẹn trả hàng</t>
        </is>
      </c>
      <c r="C589" s="3" t="inlineStr">
        <is>
          <t>Return again</t>
        </is>
      </c>
      <c r="D589" s="217">
        <f>IFERROR(__xludf.DUMMYFUNCTION("GOOGLETRANSLATE(C589,""vi"",""km"")"),"ចែករំលែកត្រឡប់មកវិញ")</f>
        <v/>
      </c>
      <c r="E589" s="3" t="n"/>
      <c r="F589" s="3" t="inlineStr">
        <is>
          <t>ណាត់ពេលប្រគល់ត្រឡប់ម្តងទៀត</t>
        </is>
      </c>
      <c r="G589" s="3" t="n"/>
      <c r="H589" s="217" t="inlineStr">
        <is>
          <t>"mainStatus.530": "ណាត់ពេលប្រគល់ត្រឡប់ម្តងទៀត",</t>
        </is>
      </c>
      <c r="I589" t="inlineStr">
        <is>
          <t>ណាត់ពេលប្រគល់ត្រឡប់ម្តងទៀត</t>
        </is>
      </c>
    </row>
    <row r="590">
      <c r="A590" s="3" t="inlineStr">
        <is>
          <t>mainStatus.540</t>
        </is>
      </c>
      <c r="B590" s="3" t="inlineStr">
        <is>
          <t>Không trả được hàng</t>
        </is>
      </c>
      <c r="C590" s="3" t="inlineStr">
        <is>
          <t>Return failed</t>
        </is>
      </c>
      <c r="D590" s="217">
        <f>IFERROR(__xludf.DUMMYFUNCTION("GOOGLETRANSLATE(C590,""vi"",""km"")"),"ត្រឡប់មកវិញទាំងស្រុង")</f>
        <v/>
      </c>
      <c r="E590" s="3" t="n"/>
      <c r="F590" s="3" t="inlineStr">
        <is>
          <t>ប្រគល់ត្រឡប់មិនបានសម្រេច</t>
        </is>
      </c>
      <c r="G590" s="3" t="n"/>
      <c r="H590" s="217" t="inlineStr">
        <is>
          <t>"mainStatus.540": "ប្រគល់ត្រឡប់មិនបានសម្រេច",</t>
        </is>
      </c>
      <c r="I590" t="inlineStr">
        <is>
          <t>ប្រគល់ត្រឡប់មិនបានសម្រេច</t>
        </is>
      </c>
    </row>
    <row r="591">
      <c r="A591" s="3" t="inlineStr">
        <is>
          <t>mainStatus.550</t>
        </is>
      </c>
      <c r="B591" s="3" t="inlineStr">
        <is>
          <t>Hủy bưu gửi theo yêu cầu khách hàng</t>
        </is>
      </c>
      <c r="C591" s="3" t="inlineStr">
        <is>
          <t>Cancel shipment per customer request</t>
        </is>
      </c>
      <c r="D591" s="217">
        <f>IFERROR(__xludf.DUMMYFUNCTION("GOOGLETRANSLATE(C591,""vi"",""km"")"),"លុបចោលការដឹកជញ្ជូនតាមសំណើរបស់អតិថិជន")</f>
        <v/>
      </c>
      <c r="E591" s="3" t="n"/>
      <c r="F591" s="3" t="inlineStr">
        <is>
          <t>លុបចោលការដឹកជញ្ជូនតាមសំណើរបស់អតិថិជន</t>
        </is>
      </c>
      <c r="G591" s="3" t="n"/>
      <c r="H591" s="217" t="inlineStr">
        <is>
          <t>"mainStatus.550": "លុបចោលការដឹកជញ្ជូនតាមសំណើរបស់អតិថិជន",</t>
        </is>
      </c>
      <c r="I591" t="inlineStr">
        <is>
          <t>លុបចោលការដឹកជញ្ជូនតាមសំណើរបស់អតិថិជន</t>
        </is>
      </c>
    </row>
    <row r="592">
      <c r="A592" s="3" t="inlineStr">
        <is>
          <t>mainStatus.551</t>
        </is>
      </c>
      <c r="B592" s="3" t="inlineStr">
        <is>
          <t>Hủy bưu gửi vô thừa nhận</t>
        </is>
      </c>
      <c r="C592" s="3" t="inlineStr">
        <is>
          <t>Cancel unclaimed shipment</t>
        </is>
      </c>
      <c r="D592" s="217">
        <f>IFERROR(__xludf.DUMMYFUNCTION("GOOGLETRANSLATE(C592,""vi"",""km"")"),"លុបចោលការដឹកជញ្ជូនដែលមិនបានទាមទារ")</f>
        <v/>
      </c>
      <c r="E592" s="3" t="n"/>
      <c r="F592" s="3" t="inlineStr">
        <is>
          <t>លុបចោលការដឹកជញ្ជូនដែលមិនបានទាមទារ</t>
        </is>
      </c>
      <c r="G592" s="3" t="n"/>
      <c r="H592" s="217" t="inlineStr">
        <is>
          <t>"mainStatus.551": "លុបចោលការដឹកជញ្ជូនដែលមិនបានទាមទារ",</t>
        </is>
      </c>
      <c r="I592" t="inlineStr">
        <is>
          <t>លុបចោលការដឹកជញ្ជូនដែលមិនបានទាមទារ</t>
        </is>
      </c>
    </row>
    <row r="593">
      <c r="A593" s="3" t="inlineStr">
        <is>
          <t>modalEmpty.close</t>
        </is>
      </c>
      <c r="B593" s="3" t="inlineStr">
        <is>
          <t>Đóng</t>
        </is>
      </c>
      <c r="C593" s="3" t="inlineStr">
        <is>
          <t>Close</t>
        </is>
      </c>
      <c r="D593" s="217">
        <f>IFERROR(__xludf.DUMMYFUNCTION("GOOGLETRANSLATE(C593,""vi"",""km"")"),"បិទ")</f>
        <v/>
      </c>
      <c r="E593" s="3" t="n"/>
      <c r="F593" s="3" t="inlineStr">
        <is>
          <t>បិទ</t>
        </is>
      </c>
      <c r="G593" s="3" t="n"/>
      <c r="H593" s="217" t="inlineStr">
        <is>
          <t>"modalEmpty.close": "បិទ",</t>
        </is>
      </c>
      <c r="I593" t="inlineStr">
        <is>
          <t>បិទ</t>
        </is>
      </c>
    </row>
    <row r="594">
      <c r="A594" s="3" t="inlineStr">
        <is>
          <t>modalEmpty.descriptionEmpty</t>
        </is>
      </c>
      <c r="B594" s="3" t="inlineStr">
        <is>
          <t>Mã phiếu gửi không tồn tại. Đồng chí vui lòng thử lại.</t>
        </is>
      </c>
      <c r="C594" s="3" t="inlineStr">
        <is>
          <t>Waybill code does not exist! Please try again.</t>
        </is>
      </c>
      <c r="D594" s="217">
        <f>IFERROR(__xludf.DUMMYFUNCTION("GOOGLETRANSLATE(C594,""vi"",""km"")"),"លេខកូដ Waybill មិនមានទេ! សូមព្យាយាមម្តងទៀត។")</f>
        <v/>
      </c>
      <c r="E594" s="3" t="n"/>
      <c r="F594" s="3" t="inlineStr">
        <is>
          <t>លេខកូដ Waybill មិនមានទេ! សូមព្យាយាមម្តងទៀត។</t>
        </is>
      </c>
      <c r="G594" s="3" t="n"/>
      <c r="H594" s="217" t="inlineStr">
        <is>
          <t>"modalEmpty.descriptionEmpty": "លេខកូដ Waybill មិនមានទេ! សូមព្យាយាមម្តងទៀត។",</t>
        </is>
      </c>
      <c r="I594" t="inlineStr">
        <is>
          <t>លេខកូដ Waybill មិនមានទេ! សូមព្យាយាមម្តងទៀត។</t>
        </is>
      </c>
    </row>
    <row r="595">
      <c r="A595" s="3" t="inlineStr">
        <is>
          <t>modalEmpty.notification</t>
        </is>
      </c>
      <c r="B595" s="3" t="inlineStr">
        <is>
          <t>Thông báo</t>
        </is>
      </c>
      <c r="C595" s="3" t="inlineStr">
        <is>
          <t>Notification</t>
        </is>
      </c>
      <c r="D595" s="217">
        <f>IFERROR(__xludf.DUMMYFUNCTION("GOOGLETRANSLATE(C595,""vi"",""km"")"),"ការជូនដំណឹង")</f>
        <v/>
      </c>
      <c r="E595" s="3" t="n"/>
      <c r="F595" s="3" t="inlineStr">
        <is>
          <t>ការជូនដំណឹង</t>
        </is>
      </c>
      <c r="G595" s="3" t="n"/>
      <c r="H595" s="217" t="inlineStr">
        <is>
          <t>"modalEmpty.notification": "ការជូនដំណឹង",</t>
        </is>
      </c>
      <c r="I595" t="inlineStr">
        <is>
          <t>ការជូនដំណឹង</t>
        </is>
      </c>
    </row>
    <row r="596">
      <c r="A596" s="3" t="inlineStr">
        <is>
          <t>modalEmpty.titleEmpty</t>
        </is>
      </c>
      <c r="B596" s="3" t="inlineStr">
        <is>
          <t>Mã phiếu gửi không tồn tại!</t>
        </is>
      </c>
      <c r="C596" s="3" t="inlineStr">
        <is>
          <t>Waybill code does not exist!!</t>
        </is>
      </c>
      <c r="D596" s="217">
        <f>IFERROR(__xludf.DUMMYFUNCTION("GOOGLETRANSLATE(C596,""vi"",""km"")"),"លេខកូដ Waybill មិនមានទេ!!")</f>
        <v/>
      </c>
      <c r="E596" s="3" t="n"/>
      <c r="F596" s="3" t="inlineStr">
        <is>
          <t>លេខកូដ Waybill មិនមានទេ!!</t>
        </is>
      </c>
      <c r="G596" s="3" t="n"/>
      <c r="H596" s="217" t="inlineStr">
        <is>
          <t>"modalEmpty.titleEmpty": "លេខកូដ Waybill មិនមានទេ!!",</t>
        </is>
      </c>
      <c r="I596" t="inlineStr">
        <is>
          <t>លេខកូដ Waybill មិនមានទេ!!</t>
        </is>
      </c>
    </row>
    <row r="597">
      <c r="A597" s="3" t="inlineStr">
        <is>
          <t>modalPrint.A5</t>
        </is>
      </c>
      <c r="B597" s="3" t="inlineStr">
        <is>
          <t>A5</t>
        </is>
      </c>
      <c r="C597" s="3" t="inlineStr">
        <is>
          <t>A5</t>
        </is>
      </c>
      <c r="D597" s="217">
        <f>IFERROR(__xludf.DUMMYFUNCTION("GOOGLETRANSLATE(C597,""vi"",""km"")"),"ក៥")</f>
        <v/>
      </c>
      <c r="E597" s="3" t="n"/>
      <c r="F597" s="3" t="inlineStr">
        <is>
          <t>ក៥</t>
        </is>
      </c>
      <c r="G597" s="3" t="n"/>
      <c r="H597" s="217" t="inlineStr">
        <is>
          <t>"modalPrint.A5": "ក៥",</t>
        </is>
      </c>
      <c r="I597" t="inlineStr">
        <is>
          <t>ក៥</t>
        </is>
      </c>
    </row>
    <row r="598">
      <c r="A598" s="3" t="inlineStr">
        <is>
          <t>modalPrint.A6</t>
        </is>
      </c>
      <c r="B598" s="3" t="inlineStr">
        <is>
          <t>A6</t>
        </is>
      </c>
      <c r="C598" s="3" t="inlineStr">
        <is>
          <t>A6</t>
        </is>
      </c>
      <c r="D598" s="217">
        <f>IFERROR(__xludf.DUMMYFUNCTION("GOOGLETRANSLATE(C598,""vi"",""km"")"),"A6")</f>
        <v/>
      </c>
      <c r="E598" s="3" t="n"/>
      <c r="F598" s="3" t="inlineStr">
        <is>
          <t>A6</t>
        </is>
      </c>
      <c r="G598" s="3" t="n"/>
      <c r="H598" s="217" t="inlineStr">
        <is>
          <t>"modalPrint.A6": "A6",</t>
        </is>
      </c>
      <c r="I598" t="inlineStr">
        <is>
          <t>A6</t>
        </is>
      </c>
    </row>
    <row r="599">
      <c r="A599" s="3" t="inlineStr">
        <is>
          <t>modalPrint.A7</t>
        </is>
      </c>
      <c r="B599" s="3" t="inlineStr">
        <is>
          <t>A7</t>
        </is>
      </c>
      <c r="C599" s="3" t="inlineStr">
        <is>
          <t>A7</t>
        </is>
      </c>
      <c r="D599" s="217">
        <f>IFERROR(__xludf.DUMMYFUNCTION("GOOGLETRANSLATE(C599,""vi"",""km"")"),"A7")</f>
        <v/>
      </c>
      <c r="E599" s="3" t="n"/>
      <c r="F599" s="3" t="inlineStr">
        <is>
          <t>A7</t>
        </is>
      </c>
      <c r="G599" s="3" t="n"/>
      <c r="H599" s="217" t="inlineStr">
        <is>
          <t>"modalPrint.A7": "A7",</t>
        </is>
      </c>
      <c r="I599" t="inlineStr">
        <is>
          <t>A7</t>
        </is>
      </c>
    </row>
    <row r="600">
      <c r="A600" s="3" t="inlineStr">
        <is>
          <t>modalPrint.choosePagePrint</t>
        </is>
      </c>
      <c r="B600" s="3" t="inlineStr">
        <is>
          <t>Vui lòng chọn trang in</t>
        </is>
      </c>
      <c r="C600" s="3" t="inlineStr">
        <is>
          <t>Please select printing page</t>
        </is>
      </c>
      <c r="D600" s="217">
        <f>IFERROR(__xludf.DUMMYFUNCTION("GOOGLETRANSLATE(C600,""vi"",""km"")"),"សូមជ្រើសរើសទំព័របោះពុម្ព")</f>
        <v/>
      </c>
      <c r="E600" s="3" t="n"/>
      <c r="F600" s="3" t="inlineStr">
        <is>
          <t>សូមជ្រើសរើសទំព័រព្រីន</t>
        </is>
      </c>
      <c r="G600" s="3" t="n"/>
      <c r="H600" s="217" t="inlineStr">
        <is>
          <t>"modalPrint.choosePagePrint": "សូមជ្រើសរើសទំព័រព្រីន",</t>
        </is>
      </c>
      <c r="I600" t="inlineStr">
        <is>
          <t>សូមជ្រើសរើសទំព័រព្រីន</t>
        </is>
      </c>
    </row>
    <row r="601">
      <c r="A601" s="3" t="inlineStr">
        <is>
          <t>modalPrint.description1</t>
        </is>
      </c>
      <c r="B601" s="3" t="inlineStr">
        <is>
          <t>Số lượng phiếu gửi cần in quá lớn. Cần</t>
        </is>
      </c>
      <c r="C601" s="3" t="inlineStr">
        <is>
          <t>The number of waybills to print is too large. Need</t>
        </is>
      </c>
      <c r="D601" s="217">
        <f>IFERROR(__xludf.DUMMYFUNCTION("GOOGLETRANSLATE(C601,""vi"",""km"")"),"ចំនួន​វិក្កយបត្រ​ដែល​ត្រូវ​បោះពុម្ព​មាន​ចំនួន​ច្រើន​ពេក។ ត្រូវការ")</f>
        <v/>
      </c>
      <c r="E601" s="3" t="n"/>
      <c r="F601" s="3" t="inlineStr">
        <is>
          <t>ចំនួនវិក្កយបត្រដែលត្រូវព្រីនមានចំនួនច្រើនពេក។ ត្រូវការ</t>
        </is>
      </c>
      <c r="G601" s="3" t="n"/>
      <c r="H601" s="217" t="inlineStr">
        <is>
          <t>"modalPrint.description1": "ចំនួនវិក្កយបត្រដែលត្រូវព្រីនមានចំនួនច្រើនពេក។ ត្រូវការ",</t>
        </is>
      </c>
      <c r="I601" t="inlineStr">
        <is>
          <t>ចំនួនវិក្កយបត្រដែលត្រូវព្រីនមានចំនួនច្រើនពេក។ ត្រូវការ</t>
        </is>
      </c>
    </row>
    <row r="602">
      <c r="A602" s="3" t="inlineStr">
        <is>
          <t>modalPrint.description2</t>
        </is>
      </c>
      <c r="B602" s="3" t="inlineStr">
        <is>
          <t>trang in để in toàn bộ phiếu gửi</t>
        </is>
      </c>
      <c r="C602" s="3" t="inlineStr">
        <is>
          <t>printing pages to print the entire list</t>
        </is>
      </c>
      <c r="D602" s="217">
        <f>IFERROR(__xludf.DUMMYFUNCTION("GOOGLETRANSLATE(C602,""vi"",""km"")"),"ការបោះពុម្ពទំព័រដើម្បីបោះពុម្ពបញ្ជីទាំងមូល")</f>
        <v/>
      </c>
      <c r="E602" s="3" t="n"/>
      <c r="F602" s="3" t="inlineStr">
        <is>
          <t>ការព្រីនទំព័រដើម្បីព្រីនបញ្ជីទាំងមូល</t>
        </is>
      </c>
      <c r="G602" s="3" t="n"/>
      <c r="H602" s="217" t="inlineStr">
        <is>
          <t>"modalPrint.description2": "ការព្រីនទំព័រដើម្បីព្រីនបញ្ជីទាំងមូល",</t>
        </is>
      </c>
      <c r="I602" t="inlineStr">
        <is>
          <t>ការព្រីនទំព័រដើម្បីព្រីនបញ្ជីទាំងមូល</t>
        </is>
      </c>
    </row>
    <row r="603">
      <c r="A603" s="3" t="inlineStr">
        <is>
          <t>modalPrint.note1</t>
        </is>
      </c>
      <c r="B603" s="3" t="inlineStr">
        <is>
          <t>*Lưu ý: In phiếu gửi ở cả</t>
        </is>
      </c>
      <c r="C603" s="3" t="inlineStr">
        <is>
          <t>*Note: Print the waybill on both</t>
        </is>
      </c>
      <c r="D603" s="217">
        <f>IFERROR(__xludf.DUMMYFUNCTION("GOOGLETRANSLATE(C603,""vi"",""km"")"),"*ចំណាំ៖ សូមបោះពុម្ពវិក្កយបត្រនៅលើទាំងពីរ")</f>
        <v/>
      </c>
      <c r="E603" s="3" t="n"/>
      <c r="F603" s="3" t="inlineStr">
        <is>
          <t>*ចំណាំ៖ សូមព្រីនវិក្កយបត្រនៅលើទាំងពីរ</t>
        </is>
      </c>
      <c r="G603" s="3" t="n"/>
      <c r="H603" s="217" t="inlineStr">
        <is>
          <t>"modalPrint.note1": "*ចំណាំ៖ សូមព្រីនវិក្កយបត្រនៅលើទាំងពីរ",</t>
        </is>
      </c>
      <c r="I603" t="inlineStr">
        <is>
          <t>*ចំណាំ៖ សូមព្រីនវិក្កយបត្រនៅលើទាំងពីរ</t>
        </is>
      </c>
    </row>
    <row r="604">
      <c r="A604" s="3" t="inlineStr">
        <is>
          <t>modalPrint.note2</t>
        </is>
      </c>
      <c r="B604" s="3" t="inlineStr">
        <is>
          <t>trang in để đảm bảo đủ số lượng phiếu gửi</t>
        </is>
      </c>
      <c r="C604" s="3" t="inlineStr">
        <is>
          <t>pages to ensure there are enough</t>
        </is>
      </c>
      <c r="D604" s="217">
        <f>IFERROR(__xludf.DUMMYFUNCTION("GOOGLETRANSLATE(C604,""vi"",""km"")"),"ទំព័រដើម្បីធានាថាមានគ្រប់គ្រាន់")</f>
        <v/>
      </c>
      <c r="E604" s="3" t="n"/>
      <c r="F604" s="3" t="inlineStr">
        <is>
          <t>ទំព័រដើម្បីធានាថាមានគ្រប់គ្រាន់</t>
        </is>
      </c>
      <c r="G604" s="3" t="n"/>
      <c r="H604" s="217" t="inlineStr">
        <is>
          <t>"modalPrint.note2": "ទំព័រដើម្បីធានាថាមានគ្រប់គ្រាន់",</t>
        </is>
      </c>
      <c r="I604" t="inlineStr">
        <is>
          <t>ទំព័រដើម្បីធានាថាមានគ្រប់គ្រាន់</t>
        </is>
      </c>
    </row>
    <row r="605">
      <c r="A605" s="3" t="inlineStr">
        <is>
          <t>modalPrint.pagePrint</t>
        </is>
      </c>
      <c r="B605" s="3" t="inlineStr">
        <is>
          <t>Trang in</t>
        </is>
      </c>
      <c r="C605" s="3" t="inlineStr">
        <is>
          <t>Page</t>
        </is>
      </c>
      <c r="D605" s="217">
        <f>IFERROR(__xludf.DUMMYFUNCTION("GOOGLETRANSLATE(C605,""vi"",""km"")"),"ទំព័រ")</f>
        <v/>
      </c>
      <c r="E605" s="3" t="n"/>
      <c r="F605" s="3" t="inlineStr">
        <is>
          <t>ទំព័រ</t>
        </is>
      </c>
      <c r="G605" s="3" t="n"/>
      <c r="H605" s="217" t="inlineStr">
        <is>
          <t>"modalPrint.pagePrint": "ទំព័រ",</t>
        </is>
      </c>
      <c r="I605" t="inlineStr">
        <is>
          <t>ទំព័រ</t>
        </is>
      </c>
    </row>
    <row r="606">
      <c r="A606" s="3" t="inlineStr">
        <is>
          <t>modalPrint.print</t>
        </is>
      </c>
      <c r="B606" s="3" t="inlineStr">
        <is>
          <t>In</t>
        </is>
      </c>
      <c r="C606" s="3" t="inlineStr">
        <is>
          <t>Print</t>
        </is>
      </c>
      <c r="D606" s="217">
        <f>IFERROR(__xludf.DUMMYFUNCTION("GOOGLETRANSLATE(C606,""vi"",""km"")"),"ជើងហោះហើរ")</f>
        <v/>
      </c>
      <c r="E606" s="3" t="n"/>
      <c r="F606" s="3" t="inlineStr">
        <is>
          <t>ព្រីន</t>
        </is>
      </c>
      <c r="G606" s="3" t="n"/>
      <c r="H606" s="217" t="inlineStr">
        <is>
          <t>"modalPrint.print": "ព្រីន",</t>
        </is>
      </c>
      <c r="I606" t="inlineStr">
        <is>
          <t>ព្រីន</t>
        </is>
      </c>
    </row>
    <row r="607">
      <c r="A607" s="3" t="inlineStr">
        <is>
          <t>modalPrint.printFail</t>
        </is>
      </c>
      <c r="B607" s="3" t="inlineStr">
        <is>
          <t>Lỗi in đơn</t>
        </is>
      </c>
      <c r="C607" s="3" t="inlineStr">
        <is>
          <t>Failed to print</t>
        </is>
      </c>
      <c r="D607" s="217">
        <f>IFERROR(__xludf.DUMMYFUNCTION("GOOGLETRANSLATE(C607,""vi"",""km"")"),"បរាជ័យក្នុងការបោះពុម្ព")</f>
        <v/>
      </c>
      <c r="E607" s="3" t="n"/>
      <c r="F607" s="3" t="inlineStr">
        <is>
          <t>បរាជ័យក្នុងការព្រីន</t>
        </is>
      </c>
      <c r="G607" s="3" t="n"/>
      <c r="H607" s="217" t="inlineStr">
        <is>
          <t>"modalPrint.printFail": "បរាជ័យក្នុងការព្រីន",</t>
        </is>
      </c>
      <c r="I607" t="inlineStr">
        <is>
          <t>បរាជ័យក្នុងការព្រីន</t>
        </is>
      </c>
    </row>
    <row r="608">
      <c r="A608" s="3" t="inlineStr">
        <is>
          <t>modalPrint.selectPrint</t>
        </is>
      </c>
      <c r="B608" s="3" t="inlineStr">
        <is>
          <t>Chọn kích thước in</t>
        </is>
      </c>
      <c r="C608" s="3" t="inlineStr">
        <is>
          <t>Select print size</t>
        </is>
      </c>
      <c r="D608" s="217">
        <f>IFERROR(__xludf.DUMMYFUNCTION("GOOGLETRANSLATE(C608,""vi"",""km"")"),"ជ្រើសរើសទំហំបោះពុម្ព")</f>
        <v/>
      </c>
      <c r="E608" s="3" t="n"/>
      <c r="F608" s="3" t="inlineStr">
        <is>
          <t>ជ្រើសរើសទំហំព្រីន</t>
        </is>
      </c>
      <c r="G608" s="3" t="n"/>
      <c r="H608" s="217" t="inlineStr">
        <is>
          <t>"modalPrint.selectPrint": "ជ្រើសរើសទំហំព្រីន",</t>
        </is>
      </c>
      <c r="I608" t="inlineStr">
        <is>
          <t>ជ្រើសរើសទំហំព្រីន</t>
        </is>
      </c>
    </row>
    <row r="609">
      <c r="A609" s="3" t="inlineStr">
        <is>
          <t>modalPrint.title</t>
        </is>
      </c>
      <c r="B609" s="3" t="inlineStr">
        <is>
          <t>In phiếu gửi</t>
        </is>
      </c>
      <c r="C609" s="3" t="inlineStr">
        <is>
          <t>Print bill of consigment</t>
        </is>
      </c>
      <c r="D609" s="217">
        <f>IFERROR(__xludf.DUMMYFUNCTION("GOOGLETRANSLATE(C609,""vi"",""km"")"),"បោះពុម្ពវិក្កយបត្របង់រំលស់")</f>
        <v/>
      </c>
      <c r="E609" s="3" t="n"/>
      <c r="F609" s="3" t="inlineStr">
        <is>
          <t>ព្រីនបុងបញ្ញើ</t>
        </is>
      </c>
      <c r="G609" s="3" t="n"/>
      <c r="H609" s="217" t="inlineStr">
        <is>
          <t>"modalPrint.title": "ព្រីនបុងបញ្ញើ",</t>
        </is>
      </c>
      <c r="I609" t="inlineStr">
        <is>
          <t>ព្រីនបុងបញ្ញើ</t>
        </is>
      </c>
    </row>
    <row r="610">
      <c r="A610" s="3" t="inlineStr">
        <is>
          <t>modifyBranch.alreadyExist</t>
        </is>
      </c>
      <c r="B610" s="3" t="inlineStr">
        <is>
          <t>đã tồn tại.</t>
        </is>
      </c>
      <c r="C610" s="3" t="inlineStr">
        <is>
          <t>exist.</t>
        </is>
      </c>
      <c r="D610" s="217">
        <f>IFERROR(__xludf.DUMMYFUNCTION("GOOGLETRANSLATE(C610,""vi"",""km"")"),"មាន។")</f>
        <v/>
      </c>
      <c r="E610" s="3" t="n"/>
      <c r="F610" s="3" t="inlineStr">
        <is>
          <t>មានរួចហើយ។</t>
        </is>
      </c>
      <c r="G610" s="3" t="n"/>
      <c r="H610" s="217" t="inlineStr">
        <is>
          <t>"modifyBranch.alreadyExist": "មានរួចហើយ។",</t>
        </is>
      </c>
      <c r="I610" t="inlineStr">
        <is>
          <t>មានរួចហើយ។</t>
        </is>
      </c>
    </row>
    <row r="611">
      <c r="A611" s="3" t="inlineStr">
        <is>
          <t>modifyBranch.branchCode</t>
        </is>
      </c>
      <c r="B611" s="3" t="inlineStr">
        <is>
          <t>Mã chi nhánh</t>
        </is>
      </c>
      <c r="C611" s="3" t="inlineStr">
        <is>
          <t>Branch code</t>
        </is>
      </c>
      <c r="D611" s="217">
        <f>IFERROR(__xludf.DUMMYFUNCTION("GOOGLETRANSLATE(C611,""vi"",""km"")"),"លេខកូដសាខា")</f>
        <v/>
      </c>
      <c r="E611" s="3" t="n"/>
      <c r="F611" s="3" t="inlineStr">
        <is>
          <t>លេខកូដសាខា</t>
        </is>
      </c>
      <c r="G611" s="3" t="n"/>
      <c r="H611" s="217" t="inlineStr">
        <is>
          <t>"modifyBranch.branchCode": "លេខកូដសាខា",</t>
        </is>
      </c>
      <c r="I611" t="inlineStr">
        <is>
          <t>លេខកូដសាខា</t>
        </is>
      </c>
    </row>
    <row r="612">
      <c r="A612" s="3" t="inlineStr">
        <is>
          <t>modifyBranch.confirmTitle</t>
        </is>
      </c>
      <c r="B612" s="3" t="inlineStr">
        <is>
          <t>Thông báo</t>
        </is>
      </c>
      <c r="C612" s="3" t="inlineStr">
        <is>
          <t>Notification</t>
        </is>
      </c>
      <c r="D612" s="217">
        <f>IFERROR(__xludf.DUMMYFUNCTION("GOOGLETRANSLATE(C612,""vi"",""km"")"),"ការជូនដំណឹង")</f>
        <v/>
      </c>
      <c r="E612" s="3" t="n"/>
      <c r="F612" s="3" t="inlineStr">
        <is>
          <t>ការជូនដំណឹង</t>
        </is>
      </c>
      <c r="G612" s="3" t="n"/>
      <c r="H612" s="217" t="inlineStr">
        <is>
          <t>"modifyBranch.confirmTitle": "ការជូនដំណឹង",</t>
        </is>
      </c>
      <c r="I612" t="inlineStr">
        <is>
          <t>ការជូនដំណឹង</t>
        </is>
      </c>
    </row>
    <row r="613">
      <c r="A613" s="3" t="inlineStr">
        <is>
          <t>modifyBranch.createSuccess</t>
        </is>
      </c>
      <c r="B613" s="3" t="inlineStr">
        <is>
          <t>Thêm mới thông tin thành công</t>
        </is>
      </c>
      <c r="C613" s="3" t="inlineStr">
        <is>
          <t>Create information succesfully</t>
        </is>
      </c>
      <c r="D613" s="217">
        <f>IFERROR(__xludf.DUMMYFUNCTION("GOOGLETRANSLATE(C613,""vi"",""km"")"),"បង្កើតព័ត៌មានដោយជោគជ័យ")</f>
        <v/>
      </c>
      <c r="E613" s="3" t="n"/>
      <c r="F613" s="3" t="inlineStr">
        <is>
          <t>បង្កើតព័ត៌មានដោយជោគជ័យ</t>
        </is>
      </c>
      <c r="G613" s="3" t="n"/>
      <c r="H613" s="217" t="inlineStr">
        <is>
          <t>"modifyBranch.createSuccess": "បង្កើតព័ត៌មានដោយជោគជ័យ",</t>
        </is>
      </c>
      <c r="I613" t="inlineStr">
        <is>
          <t>បង្កើតព័ត៌មានដោយជោគជ័យ</t>
        </is>
      </c>
    </row>
    <row r="614">
      <c r="A614" s="3" t="inlineStr">
        <is>
          <t>modifyBranch.departmentCode</t>
        </is>
      </c>
      <c r="B614" s="3" t="inlineStr">
        <is>
          <t>Mã bưu cục</t>
        </is>
      </c>
      <c r="C614" s="3" t="inlineStr">
        <is>
          <t>Post office code</t>
        </is>
      </c>
      <c r="D614" s="217">
        <f>IFERROR(__xludf.DUMMYFUNCTION("GOOGLETRANSLATE(C614,""vi"",""km"")"),"លេខកូដប្រៃសណីយ៍")</f>
        <v/>
      </c>
      <c r="E614" s="3" t="n"/>
      <c r="F614" s="3" t="inlineStr">
        <is>
          <t>លេខកូដប្រៃសណីយ៍</t>
        </is>
      </c>
      <c r="G614" s="3" t="n"/>
      <c r="H614" s="217" t="inlineStr">
        <is>
          <t>"modifyBranch.departmentCode": "លេខកូដប្រៃសណីយ៍",</t>
        </is>
      </c>
      <c r="I614" t="inlineStr">
        <is>
          <t>លេខកូដប្រៃសណីយ៍</t>
        </is>
      </c>
    </row>
    <row r="615">
      <c r="A615" s="3" t="inlineStr">
        <is>
          <t>modifyBranch.departmentName</t>
        </is>
      </c>
      <c r="B615" s="3" t="inlineStr">
        <is>
          <t>Tên bưu cục</t>
        </is>
      </c>
      <c r="C615" s="3" t="inlineStr">
        <is>
          <t>Post office name</t>
        </is>
      </c>
      <c r="D615" s="217">
        <f>IFERROR(__xludf.DUMMYFUNCTION("GOOGLETRANSLATE(C615,""vi"",""km"")"),"ឈ្មោះ​ការិយាល័យ​ប្រៃសណីយ៍")</f>
        <v/>
      </c>
      <c r="E615" s="3" t="n"/>
      <c r="F615" s="3" t="inlineStr">
        <is>
          <t>ឈ្មោះការិយាល័យប្រៃសណីយ៍</t>
        </is>
      </c>
      <c r="G615" s="3" t="n"/>
      <c r="H615" s="217" t="inlineStr">
        <is>
          <t>"modifyBranch.departmentName": "ឈ្មោះការិយាល័យប្រៃសណីយ៍",</t>
        </is>
      </c>
      <c r="I615" t="inlineStr">
        <is>
          <t>ឈ្មោះការិយាល័យប្រៃសណីយ៍</t>
        </is>
      </c>
    </row>
    <row r="616">
      <c r="A616" s="3" t="inlineStr">
        <is>
          <t>modifyBranch.duplicateDepartment</t>
        </is>
      </c>
      <c r="B616" s="3" t="inlineStr">
        <is>
          <t>trùng với mã bưu cục đã tồn tại.</t>
        </is>
      </c>
      <c r="C616" s="3" t="inlineStr">
        <is>
          <t>matches an existing department code.</t>
        </is>
      </c>
      <c r="D616" s="217">
        <f>IFERROR(__xludf.DUMMYFUNCTION("GOOGLETRANSLATE(C616,""vi"",""km"")"),"ផ្គូផ្គងនឹងលេខកូដនាយកដ្ឋានដែលមានស្រាប់។")</f>
        <v/>
      </c>
      <c r="E616" s="3" t="n"/>
      <c r="F616" s="3" t="inlineStr">
        <is>
          <t>ផ្គូផ្គងនឹងលេខកូដនាយកដ្ឋានដែលមានស្រាប់។</t>
        </is>
      </c>
      <c r="G616" s="3" t="n"/>
      <c r="H616" s="217" t="inlineStr">
        <is>
          <t>"modifyBranch.duplicateDepartment": "ផ្គូផ្គងនឹងលេខកូដនាយកដ្ឋានដែលមានស្រាប់។",</t>
        </is>
      </c>
      <c r="I616" t="inlineStr">
        <is>
          <t>ផ្គូផ្គងនឹងលេខកូដនាយកដ្ឋានដែលមានស្រាប់។</t>
        </is>
      </c>
    </row>
    <row r="617">
      <c r="A617" s="3" t="inlineStr">
        <is>
          <t>modifyBranch.emptyDate</t>
        </is>
      </c>
      <c r="B617" s="3" t="inlineStr">
        <is>
          <t>Ngày tìm kiếm không được bỏ trống</t>
        </is>
      </c>
      <c r="C617" s="3" t="inlineStr">
        <is>
          <t>Search date is required</t>
        </is>
      </c>
      <c r="D617" s="217">
        <f>IFERROR(__xludf.DUMMYFUNCTION("GOOGLETRANSLATE(C617,""vi"",""km"")"),"តម្រូវឲ្យមានកាលបរិច្ឆេទស្វែងរក")</f>
        <v/>
      </c>
      <c r="E617" s="3" t="n"/>
      <c r="F617" s="3" t="inlineStr">
        <is>
          <t>តម្រូវឲ្យមានកាលបរិច្ឆេទស្វែងរក</t>
        </is>
      </c>
      <c r="G617" s="3" t="n"/>
      <c r="H617" s="217" t="inlineStr">
        <is>
          <t>"modifyBranch.emptyDate": "តម្រូវឲ្យមានកាលបរិច្ឆេទស្វែងរក",</t>
        </is>
      </c>
      <c r="I617" t="inlineStr">
        <is>
          <t>តម្រូវឲ្យមានកាលបរិច្ឆេទស្វែងរក</t>
        </is>
      </c>
    </row>
    <row r="618">
      <c r="A618" s="3" t="inlineStr">
        <is>
          <t>modifyBranch.endDate</t>
        </is>
      </c>
      <c r="B618" s="3" t="inlineStr">
        <is>
          <t>Đến ngày</t>
        </is>
      </c>
      <c r="C618" s="3" t="inlineStr">
        <is>
          <t>Expiration date</t>
        </is>
      </c>
      <c r="D618" s="217">
        <f>IFERROR(__xludf.DUMMYFUNCTION("GOOGLETRANSLATE(C618,""vi"",""km"")"),"កាលបរិច្ឆេទផុតកំណត់")</f>
        <v/>
      </c>
      <c r="E618" s="3" t="n"/>
      <c r="F618" s="3" t="inlineStr">
        <is>
          <t>កាលបរិច្ឆេទផុតកំណត់</t>
        </is>
      </c>
      <c r="G618" s="3" t="n"/>
      <c r="H618" s="217" t="inlineStr">
        <is>
          <t>"modifyBranch.endDate": "កាលបរិច្ឆេទផុតកំណត់",</t>
        </is>
      </c>
      <c r="I618" t="inlineStr">
        <is>
          <t>កាលបរិច្ឆេទផុតកំណត់</t>
        </is>
      </c>
    </row>
    <row r="619">
      <c r="A619" s="3" t="inlineStr">
        <is>
          <t>modifyBranch.errorTitle</t>
        </is>
      </c>
      <c r="B619" s="3" t="inlineStr">
        <is>
          <t>Cảnh báo</t>
        </is>
      </c>
      <c r="C619" s="3" t="inlineStr">
        <is>
          <t>Alert</t>
        </is>
      </c>
      <c r="D619" s="217">
        <f>IFERROR(__xludf.DUMMYFUNCTION("GOOGLETRANSLATE(C619,""vi"",""km"")"),"ការជូនដំណឹង")</f>
        <v/>
      </c>
      <c r="E619" s="3" t="n"/>
      <c r="F619" s="3" t="inlineStr">
        <is>
          <t>ការជូនដំណឹង</t>
        </is>
      </c>
      <c r="G619" s="3" t="n"/>
      <c r="H619" s="217" t="inlineStr">
        <is>
          <t>"modifyBranch.errorTitle": "ការជូនដំណឹង",</t>
        </is>
      </c>
      <c r="I619" t="inlineStr">
        <is>
          <t>ការជូនដំណឹង</t>
        </is>
      </c>
    </row>
    <row r="620">
      <c r="A620" s="3" t="inlineStr">
        <is>
          <t>modifyBranch.listDepartment</t>
        </is>
      </c>
      <c r="B620" s="3" t="inlineStr">
        <is>
          <t>Danh sách bưu cục</t>
        </is>
      </c>
      <c r="C620" s="3" t="inlineStr">
        <is>
          <t>Post office list</t>
        </is>
      </c>
      <c r="D620" s="217">
        <f>IFERROR(__xludf.DUMMYFUNCTION("GOOGLETRANSLATE(C620,""vi"",""km"")"),"ថ្ងៃធ្វើការប្រៃសណីយ៍")</f>
        <v/>
      </c>
      <c r="E620" s="3" t="n"/>
      <c r="F620" s="3" t="inlineStr">
        <is>
          <t>ថ្ងៃធ្វើការប្រៃសណីយ៍</t>
        </is>
      </c>
      <c r="G620" s="3" t="n"/>
      <c r="H620" s="217" t="inlineStr">
        <is>
          <t>"modifyBranch.listDepartment": "ថ្ងៃធ្វើការប្រៃសណីយ៍",</t>
        </is>
      </c>
      <c r="I620" t="inlineStr">
        <is>
          <t>ថ្ងៃធ្វើការប្រៃសណីយ៍</t>
        </is>
      </c>
    </row>
    <row r="621">
      <c r="A621" s="3" t="inlineStr">
        <is>
          <t>modifyBranch.notification</t>
        </is>
      </c>
      <c r="B621" s="3" t="inlineStr">
        <is>
          <t>Vui lòng khai báo mã chi nhánh khác!</t>
        </is>
      </c>
      <c r="C621" s="3" t="inlineStr">
        <is>
          <t>Please declare another branch code!</t>
        </is>
      </c>
      <c r="D621" s="217">
        <f>IFERROR(__xludf.DUMMYFUNCTION("GOOGLETRANSLATE(C621,""vi"",""km"")"),"សូមប្រកាសលេខកូដសាខាមួយទៀត!")</f>
        <v/>
      </c>
      <c r="E621" s="3" t="n"/>
      <c r="F621" s="3" t="inlineStr">
        <is>
          <t>សូមប្រកាសលេខកូដសាខាមួយទៀត!</t>
        </is>
      </c>
      <c r="G621" s="3" t="n"/>
      <c r="H621" s="217" t="inlineStr">
        <is>
          <t>"modifyBranch.notification": "សូមប្រកាសលេខកូដសាខាមួយទៀត!",</t>
        </is>
      </c>
      <c r="I621" t="inlineStr">
        <is>
          <t>សូមប្រកាសលេខកូដសាខាមួយទៀត!</t>
        </is>
      </c>
    </row>
    <row r="622">
      <c r="A622" s="3" t="inlineStr">
        <is>
          <t>modifyBranch.postOffice</t>
        </is>
      </c>
      <c r="B622" s="3" t="inlineStr">
        <is>
          <t>Bưu cục</t>
        </is>
      </c>
      <c r="C622" s="3" t="inlineStr">
        <is>
          <t>Department</t>
        </is>
      </c>
      <c r="D622" s="217">
        <f>IFERROR(__xludf.DUMMYFUNCTION("GOOGLETRANSLATE(C622,""vi"",""km"")"),"នាយកដ្ឋាន")</f>
        <v/>
      </c>
      <c r="E622" s="3" t="n"/>
      <c r="F622" s="3" t="inlineStr">
        <is>
          <t>ការិយាល័យប្រៃសណីយ៍</t>
        </is>
      </c>
      <c r="G622" s="3" t="n"/>
      <c r="H622" s="217" t="inlineStr">
        <is>
          <t>"modifyBranch.postOffice": "ការិយាល័យប្រៃសណីយ៍",</t>
        </is>
      </c>
      <c r="I622" t="inlineStr">
        <is>
          <t>ការិយាល័យប្រៃសណីយ៍</t>
        </is>
      </c>
    </row>
    <row r="623">
      <c r="A623" s="3" t="inlineStr">
        <is>
          <t>modifyBranch.searchPostOffice</t>
        </is>
      </c>
      <c r="B623" s="3" t="inlineStr">
        <is>
          <t>Nhập mã hoặc tên bưu cục</t>
        </is>
      </c>
      <c r="C623" s="3" t="inlineStr">
        <is>
          <t>Enter post office ID</t>
        </is>
      </c>
      <c r="D623" s="217">
        <f>IFERROR(__xludf.DUMMYFUNCTION("GOOGLETRANSLATE(C623,""vi"",""km"")"),"បញ្ចូលលេខសម្គាល់ការិយាល័យប្រៃសណីយ៍")</f>
        <v/>
      </c>
      <c r="E623" s="3" t="n"/>
      <c r="F623" s="3" t="inlineStr">
        <is>
          <t>បញ្ចូលលេខសម្គាល់ការិយាល័យប្រៃសណីយ៍</t>
        </is>
      </c>
      <c r="G623" s="3" t="n"/>
      <c r="H623" s="217" t="inlineStr">
        <is>
          <t>"modifyBranch.searchPostOffice": "បញ្ចូលលេខសម្គាល់ការិយាល័យប្រៃសណីយ៍",</t>
        </is>
      </c>
      <c r="I623" t="inlineStr">
        <is>
          <t>បញ្ចូលលេខសម្គាល់ការិយាល័យប្រៃសណីយ៍</t>
        </is>
      </c>
    </row>
    <row r="624">
      <c r="A624" s="3" t="inlineStr">
        <is>
          <t>modifyBranch.startDate</t>
        </is>
      </c>
      <c r="B624" s="3" t="inlineStr">
        <is>
          <t>Từ ngày</t>
        </is>
      </c>
      <c r="C624" s="3" t="inlineStr">
        <is>
          <t>Effective date</t>
        </is>
      </c>
      <c r="D624" s="217">
        <f>IFERROR(__xludf.DUMMYFUNCTION("GOOGLETRANSLATE(C624,""vi"",""km"")"),"កាលបរិច្ឆេទមានប្រសិទ្ធភាព")</f>
        <v/>
      </c>
      <c r="E624" s="3" t="n"/>
      <c r="F624" s="3" t="inlineStr">
        <is>
          <t>កាលបរិច្ឆេទមានប្រសិទ្ធភាព</t>
        </is>
      </c>
      <c r="G624" s="3" t="n"/>
      <c r="H624" s="217" t="inlineStr">
        <is>
          <t>"modifyBranch.startDate": "កាលបរិច្ឆេទមានប្រសិទ្ធភាព",</t>
        </is>
      </c>
      <c r="I624" t="inlineStr">
        <is>
          <t>កាលបរិច្ឆេទមានប្រសិទ្ធភាព</t>
        </is>
      </c>
    </row>
    <row r="625">
      <c r="A625" s="3" t="inlineStr">
        <is>
          <t>modifyBranch.textConfirm</t>
        </is>
      </c>
      <c r="B625" s="3" t="inlineStr">
        <is>
          <t>Quý khách có chắc chắn muốn lưu thông tin chi nhánh này?</t>
        </is>
      </c>
      <c r="C625" s="3" t="inlineStr">
        <is>
          <t>Do you want to save the branch information?</t>
        </is>
      </c>
      <c r="D625" s="217">
        <f>IFERROR(__xludf.DUMMYFUNCTION("GOOGLETRANSLATE(C625,""vi"",""km"")"),"តើអ្នកចង់រក្សាទុកព័ត៌មានសាខាទេ?")</f>
        <v/>
      </c>
      <c r="E625" s="3" t="n"/>
      <c r="F625" s="3" t="inlineStr">
        <is>
          <t>តើអ្នកចង់រក្សាទុកព័ត៌មានសាខាទេ?</t>
        </is>
      </c>
      <c r="G625" s="3" t="n"/>
      <c r="H625" s="217" t="inlineStr">
        <is>
          <t>"modifyBranch.textConfirm": "តើអ្នកចង់រក្សាទុកព័ត៌មានសាខាទេ?",</t>
        </is>
      </c>
      <c r="I625" t="inlineStr">
        <is>
          <t>តើអ្នកចង់រក្សាទុកព័ត៌មានសាខាទេ?</t>
        </is>
      </c>
    </row>
    <row r="626">
      <c r="A626" s="3" t="inlineStr">
        <is>
          <t>modifyBranch.updateSuccess</t>
        </is>
      </c>
      <c r="B626" s="3" t="inlineStr">
        <is>
          <t>Cập nhật thông tin thành công</t>
        </is>
      </c>
      <c r="C626" s="3" t="inlineStr">
        <is>
          <t>Update information succesfully</t>
        </is>
      </c>
      <c r="D626" s="217">
        <f>IFERROR(__xludf.DUMMYFUNCTION("GOOGLETRANSLATE(C626,""vi"",""km"")"),"ធ្វើបច្ចុប្បន្នភាពព័ត៌មានដោយជោគជ័យ")</f>
        <v/>
      </c>
      <c r="E626" s="3" t="n"/>
      <c r="F626" s="3" t="inlineStr">
        <is>
          <t>ធ្វើបច្ចុប្បន្នភាពព័ត៌មានដោយជោគជ័យ</t>
        </is>
      </c>
      <c r="G626" s="3" t="n"/>
      <c r="H626" s="217" t="inlineStr">
        <is>
          <t>"modifyBranch.updateSuccess": "ធ្វើបច្ចុប្បន្នភាពព័ត៌មានដោយជោគជ័យ",</t>
        </is>
      </c>
      <c r="I626" t="inlineStr">
        <is>
          <t>ធ្វើបច្ចុប្បន្នភាពព័ត៌មានដោយជោគជ័យ</t>
        </is>
      </c>
    </row>
    <row r="627">
      <c r="A627" s="3" t="inlineStr">
        <is>
          <t>modifyBranch.updatedAt</t>
        </is>
      </c>
      <c r="B627" s="3" t="inlineStr">
        <is>
          <t>Ngày thêm</t>
        </is>
      </c>
      <c r="C627" s="3" t="inlineStr">
        <is>
          <t>Updated date</t>
        </is>
      </c>
      <c r="D627" s="217">
        <f>IFERROR(__xludf.DUMMYFUNCTION("GOOGLETRANSLATE(C627,""vi"",""km"")"),"កាលបរិច្ឆេទដែលបានធ្វើបច្ចុប្បន្នភាព")</f>
        <v/>
      </c>
      <c r="E627" s="3" t="n"/>
      <c r="F627" s="3" t="inlineStr">
        <is>
          <t>កាលបរិច្ឆេទដែលបានធ្វើបច្ចុប្បន្នភាព</t>
        </is>
      </c>
      <c r="G627" s="3" t="n"/>
      <c r="H627" s="217" t="inlineStr">
        <is>
          <t>"modifyBranch.updatedAt": "កាលបរិច្ឆេទដែលបានធ្វើបច្ចុប្បន្នភាព",</t>
        </is>
      </c>
      <c r="I627" t="inlineStr">
        <is>
          <t>កាលបរិច្ឆេទដែលបានធ្វើបច្ចុប្បន្នភាព</t>
        </is>
      </c>
    </row>
    <row r="628">
      <c r="A628" s="3" t="inlineStr">
        <is>
          <t>modifyBranch.updatedBy</t>
        </is>
      </c>
      <c r="B628" s="3" t="inlineStr">
        <is>
          <t>Người thêm</t>
        </is>
      </c>
      <c r="C628" s="3" t="inlineStr">
        <is>
          <t>Updater</t>
        </is>
      </c>
      <c r="D628" s="217">
        <f>IFERROR(__xludf.DUMMYFUNCTION("GOOGLETRANSLATE(C628,""vi"",""km"")"),"កម្មវិធីធ្វើបច្ចុប្បន្នភាព")</f>
        <v/>
      </c>
      <c r="E628" s="3" t="n"/>
      <c r="F628" s="3" t="inlineStr">
        <is>
          <t>កម្មវិធីធ្វើបច្ចុប្បន្នភាព</t>
        </is>
      </c>
      <c r="G628" s="3" t="n"/>
      <c r="H628" s="217" t="inlineStr">
        <is>
          <t>"modifyBranch.updatedBy": "កម្មវិធីធ្វើបច្ចុប្បន្នភាព",</t>
        </is>
      </c>
      <c r="I628" t="inlineStr">
        <is>
          <t>កម្មវិធីធ្វើបច្ចុប្បន្នភាព</t>
        </is>
      </c>
    </row>
    <row r="629">
      <c r="A629" s="3" t="inlineStr">
        <is>
          <t>modifyConfigDelivery.box</t>
        </is>
      </c>
      <c r="B629" s="3" t="inlineStr">
        <is>
          <t>Hộp</t>
        </is>
      </c>
      <c r="C629" s="3" t="inlineStr">
        <is>
          <t>Box</t>
        </is>
      </c>
      <c r="D629" s="217">
        <f>IFERROR(__xludf.DUMMYFUNCTION("GOOGLETRANSLATE(C629,""vi"",""km"")"),"ប្រអប់")</f>
        <v/>
      </c>
      <c r="E629" s="3" t="n"/>
      <c r="F629" s="3" t="inlineStr">
        <is>
          <t>ប្រអប់</t>
        </is>
      </c>
      <c r="G629" s="3" t="n"/>
      <c r="H629" s="217" t="inlineStr">
        <is>
          <t>"modifyConfigDelivery.box": "ប្រអប់",</t>
        </is>
      </c>
      <c r="I629" t="inlineStr">
        <is>
          <t>ប្រអប់</t>
        </is>
      </c>
    </row>
    <row r="630">
      <c r="A630" s="3" t="inlineStr">
        <is>
          <t>modifyConfigDelivery.create</t>
        </is>
      </c>
      <c r="B630" s="3" t="inlineStr">
        <is>
          <t>Thêm mới cấu hình</t>
        </is>
      </c>
      <c r="C630" s="3" t="inlineStr">
        <is>
          <t>Create config</t>
        </is>
      </c>
      <c r="D630" s="217">
        <f>IFERROR(__xludf.DUMMYFUNCTION("GOOGLETRANSLATE(C630,""vi"",""km"")"),"បង្កើតការកំណត់រចនាសម្ព័ន្ធ")</f>
        <v/>
      </c>
      <c r="E630" s="3" t="n"/>
      <c r="F630" s="3" t="inlineStr">
        <is>
          <t>បន្ថែមការកំណត់ថ្មី</t>
        </is>
      </c>
      <c r="G630" s="3" t="n"/>
      <c r="H630" s="217" t="inlineStr">
        <is>
          <t>"modifyConfigDelivery.create": "បន្ថែមការកំណត់ថ្មី",</t>
        </is>
      </c>
      <c r="I630" t="inlineStr">
        <is>
          <t>បន្ថែមការកំណត់ថ្មី</t>
        </is>
      </c>
    </row>
    <row r="631">
      <c r="A631" s="3" t="inlineStr">
        <is>
          <t>modifyConfigDelivery.route</t>
        </is>
      </c>
      <c r="B631" s="3" t="inlineStr">
        <is>
          <t>Tuyến</t>
        </is>
      </c>
      <c r="C631" s="3" t="inlineStr">
        <is>
          <t>Route</t>
        </is>
      </c>
      <c r="D631" s="217">
        <f>IFERROR(__xludf.DUMMYFUNCTION("GOOGLETRANSLATE(C631,""vi"",""km"")"),"ផ្លូវ")</f>
        <v/>
      </c>
      <c r="E631" s="3" t="n"/>
      <c r="F631" s="3" t="inlineStr">
        <is>
          <t>ផ្លូវ</t>
        </is>
      </c>
      <c r="G631" s="3" t="n"/>
      <c r="H631" s="217" t="inlineStr">
        <is>
          <t>"modifyConfigDelivery.route": "ផ្លូវ",</t>
        </is>
      </c>
      <c r="I631" t="inlineStr">
        <is>
          <t>ផ្លូវ</t>
        </is>
      </c>
    </row>
    <row r="632">
      <c r="A632" s="3" t="inlineStr">
        <is>
          <t>modifyConfigDelivery.update</t>
        </is>
      </c>
      <c r="B632" s="3" t="inlineStr">
        <is>
          <t>Cập nhật cấu hình</t>
        </is>
      </c>
      <c r="C632" s="3" t="inlineStr">
        <is>
          <t>Update config</t>
        </is>
      </c>
      <c r="D632" s="217">
        <f>IFERROR(__xludf.DUMMYFUNCTION("GOOGLETRANSLATE(C632,""vi"",""km"")"),"ធ្វើបច្ចុប្បន្នភាពការកំណត់រចនាសម្ព័ន្ធ")</f>
        <v/>
      </c>
      <c r="E632" s="3" t="n"/>
      <c r="F632" s="3" t="inlineStr">
        <is>
          <t>ធ្វើបច្ចុប្បន្នភាពការកំណត់រចនាសម្ព័ន្ធ</t>
        </is>
      </c>
      <c r="G632" s="3" t="n"/>
      <c r="H632" s="217" t="inlineStr">
        <is>
          <t>"modifyConfigDelivery.update": "ធ្វើបច្ចុប្បន្នភាពការកំណត់រចនាសម្ព័ន្ធ",</t>
        </is>
      </c>
      <c r="I632" t="inlineStr">
        <is>
          <t>ធ្វើបច្ចុប្បន្នភាពការកំណត់រចនាសម្ព័ន្ធ</t>
        </is>
      </c>
    </row>
    <row r="633">
      <c r="A633" s="3" t="inlineStr">
        <is>
          <t>modifyDepartment.ACTIVE</t>
        </is>
      </c>
      <c r="B633" s="3" t="inlineStr">
        <is>
          <t>Hiệu lực</t>
        </is>
      </c>
      <c r="C633" s="3" t="inlineStr">
        <is>
          <t>Valid</t>
        </is>
      </c>
      <c r="D633" s="217">
        <f>IFERROR(__xludf.DUMMYFUNCTION("GOOGLETRANSLATE(C633,""vi"",""km"")"),"មានសុពលភាព")</f>
        <v/>
      </c>
      <c r="E633" s="3" t="n"/>
      <c r="F633" s="3" t="inlineStr">
        <is>
          <t>សកម្ម</t>
        </is>
      </c>
      <c r="G633" s="3" t="n"/>
      <c r="H633" s="217" t="inlineStr">
        <is>
          <t>"modifyDepartment.ACTIVE": "សកម្ម",</t>
        </is>
      </c>
      <c r="I633" t="inlineStr">
        <is>
          <t>សកម្ម</t>
        </is>
      </c>
    </row>
    <row r="634">
      <c r="A634" s="3" t="inlineStr">
        <is>
          <t>modifyDepartment.INACTIVE</t>
        </is>
      </c>
      <c r="B634" s="3" t="inlineStr">
        <is>
          <t>Hết hiệu lực</t>
        </is>
      </c>
      <c r="C634" s="3" t="inlineStr">
        <is>
          <t>Invalid</t>
        </is>
      </c>
      <c r="D634" s="217">
        <f>IFERROR(__xludf.DUMMYFUNCTION("GOOGLETRANSLATE(C634,""vi"",""km"")"),"អ៊ីនស្តាស៊ីដ")</f>
        <v/>
      </c>
      <c r="E634" s="3" t="n"/>
      <c r="F634" s="3" t="inlineStr">
        <is>
          <t>អសកម្ម</t>
        </is>
      </c>
      <c r="G634" s="3" t="n"/>
      <c r="H634" s="217" t="inlineStr">
        <is>
          <t>"modifyDepartment.INACTIVE": "អសកម្ម",</t>
        </is>
      </c>
      <c r="I634" t="inlineStr">
        <is>
          <t>អសកម្ម</t>
        </is>
      </c>
    </row>
    <row r="635">
      <c r="A635" s="3" t="inlineStr">
        <is>
          <t>modifyDepartment.address</t>
        </is>
      </c>
      <c r="B635" s="3" t="inlineStr">
        <is>
          <t>Địa chỉ</t>
        </is>
      </c>
      <c r="C635" s="3" t="inlineStr">
        <is>
          <t>Address</t>
        </is>
      </c>
      <c r="D635" s="217">
        <f>IFERROR(__xludf.DUMMYFUNCTION("GOOGLETRANSLATE(C635,""vi"",""km"")"),"មិនត្រឹមត្រូវ")</f>
        <v/>
      </c>
      <c r="E635" s="3" t="n"/>
      <c r="F635" s="3" t="inlineStr">
        <is>
          <t>អាសយដ្ឋាន</t>
        </is>
      </c>
      <c r="G635" s="3" t="n"/>
      <c r="H635" s="217" t="inlineStr">
        <is>
          <t>"modifyDepartment.address": "អាសយដ្ឋាន",</t>
        </is>
      </c>
      <c r="I635" t="inlineStr">
        <is>
          <t>អាសយដ្ឋាន</t>
        </is>
      </c>
    </row>
    <row r="636">
      <c r="A636" s="3" t="inlineStr">
        <is>
          <t>modifyDepartment.addressPlaceholder</t>
        </is>
      </c>
      <c r="B636" s="3" t="inlineStr">
        <is>
          <t>Nhập địa chỉ bưu cục</t>
        </is>
      </c>
      <c r="C636" s="3" t="inlineStr">
        <is>
          <t>Enter post office address</t>
        </is>
      </c>
      <c r="D636" s="217">
        <f>IFERROR(__xludf.DUMMYFUNCTION("GOOGLETRANSLATE(C636,""vi"",""km"")"),"បញ្ចូលអាសយដ្ឋានការិយាល័យប្រៃសណីយ៍")</f>
        <v/>
      </c>
      <c r="E636" s="3" t="n"/>
      <c r="F636" s="3" t="inlineStr">
        <is>
          <t>បញ្ចូលអាសយដ្ឋានការិយាល័យប្រៃសណីយ៍</t>
        </is>
      </c>
      <c r="G636" s="3" t="n"/>
      <c r="H636" s="217" t="inlineStr">
        <is>
          <t>"modifyDepartment.addressPlaceholder": "បញ្ចូលអាសយដ្ឋានការិយាល័យប្រៃសណីយ៍",</t>
        </is>
      </c>
      <c r="I636" t="inlineStr">
        <is>
          <t>បញ្ចូលអាសយដ្ឋានការិយាល័យប្រៃសណីយ៍</t>
        </is>
      </c>
    </row>
    <row r="637">
      <c r="A637" s="3" t="inlineStr">
        <is>
          <t>modifyDepartment.alreadyExist</t>
        </is>
      </c>
      <c r="B637" s="3" t="inlineStr">
        <is>
          <t>đã tồn tại.</t>
        </is>
      </c>
      <c r="C637" s="3" t="inlineStr">
        <is>
          <t>Existed</t>
        </is>
      </c>
      <c r="D637" s="217">
        <f>IFERROR(__xludf.DUMMYFUNCTION("GOOGLETRANSLATE(C637,""vi"",""km"")"),"មានស្រាប់")</f>
        <v/>
      </c>
      <c r="E637" s="3" t="n"/>
      <c r="F637" s="3" t="inlineStr">
        <is>
          <t>មានរួចហើយ។</t>
        </is>
      </c>
      <c r="G637" s="3" t="n"/>
      <c r="H637" s="217" t="inlineStr">
        <is>
          <t>"modifyDepartment.alreadyExist": "មានរួចហើយ។",</t>
        </is>
      </c>
      <c r="I637" t="inlineStr">
        <is>
          <t>មានរួចហើយ។</t>
        </is>
      </c>
    </row>
    <row r="638">
      <c r="A638" s="3" t="inlineStr">
        <is>
          <t>modifyDepartment.branchCode</t>
        </is>
      </c>
      <c r="B638" s="3" t="inlineStr">
        <is>
          <t>Chi nhánh</t>
        </is>
      </c>
      <c r="C638" s="3" t="inlineStr">
        <is>
          <t>Branch</t>
        </is>
      </c>
      <c r="D638" s="217">
        <f>IFERROR(__xludf.DUMMYFUNCTION("GOOGLETRANSLATE(C638,""vi"",""km"")"),"គ្រួសារ")</f>
        <v/>
      </c>
      <c r="E638" s="3" t="n"/>
      <c r="F638" s="3" t="inlineStr">
        <is>
          <t>សាខា</t>
        </is>
      </c>
      <c r="G638" s="3" t="n"/>
      <c r="H638" s="217" t="inlineStr">
        <is>
          <t>"modifyDepartment.branchCode": "សាខា",</t>
        </is>
      </c>
      <c r="I638" t="inlineStr">
        <is>
          <t>សាខា</t>
        </is>
      </c>
    </row>
    <row r="639">
      <c r="A639" s="3" t="inlineStr">
        <is>
          <t>modifyDepartment.branchCodePlaceholder</t>
        </is>
      </c>
      <c r="B639" s="3" t="inlineStr">
        <is>
          <t>Chọn chi nhánh</t>
        </is>
      </c>
      <c r="C639" s="3" t="inlineStr">
        <is>
          <t>Select branch</t>
        </is>
      </c>
      <c r="D639" s="217">
        <f>IFERROR(__xludf.DUMMYFUNCTION("GOOGLETRANSLATE(C639,""vi"",""km"")"),"ជ្រើសរើសទ្រូង")</f>
        <v/>
      </c>
      <c r="E639" s="3" t="n"/>
      <c r="F639" s="3" t="inlineStr">
        <is>
          <t>ជ្រើសរើសទ្រូង</t>
        </is>
      </c>
      <c r="G639" s="3" t="n"/>
      <c r="H639" s="217" t="inlineStr">
        <is>
          <t>"modifyDepartment.branchCodePlaceholder": "ជ្រើសរើសទ្រូង",</t>
        </is>
      </c>
      <c r="I639" t="inlineStr">
        <is>
          <t>ជ្រើសរើសទ្រូង</t>
        </is>
      </c>
    </row>
    <row r="640">
      <c r="A640" s="3" t="inlineStr">
        <is>
          <t>modifyDepartment.createSuccess</t>
        </is>
      </c>
      <c r="B640" s="3" t="inlineStr">
        <is>
          <t>Thêm mới thông tin thành công</t>
        </is>
      </c>
      <c r="C640" s="3" t="inlineStr">
        <is>
          <t>Created information successfully</t>
        </is>
      </c>
      <c r="D640" s="217">
        <f>IFERROR(__xludf.DUMMYFUNCTION("GOOGLETRANSLATE(C640,""vi"",""km"")"),"បានបង្កើតព័ត៌មានដោយជោគជ័យ")</f>
        <v/>
      </c>
      <c r="E640" s="3" t="n"/>
      <c r="F640" s="3" t="inlineStr">
        <is>
          <t>បានបង្កើតព័ត៌មានដោយជោគជ័យ</t>
        </is>
      </c>
      <c r="G640" s="3" t="n"/>
      <c r="H640" s="217" t="inlineStr">
        <is>
          <t>"modifyDepartment.createSuccess": "បានបង្កើតព័ត៌មានដោយជោគជ័យ",</t>
        </is>
      </c>
      <c r="I640" t="inlineStr">
        <is>
          <t>បានបង្កើតព័ត៌មានដោយជោគជ័យ</t>
        </is>
      </c>
    </row>
    <row r="641">
      <c r="A641" s="3" t="inlineStr">
        <is>
          <t>modifyDepartment.departmentCode</t>
        </is>
      </c>
      <c r="B641" s="3" t="inlineStr">
        <is>
          <t>Mã bưu cục</t>
        </is>
      </c>
      <c r="C641" s="3" t="inlineStr">
        <is>
          <t>Postal code</t>
        </is>
      </c>
      <c r="D641" s="217">
        <f>IFERROR(__xludf.DUMMYFUNCTION("GOOGLETRANSLATE(C641,""vi"",""km"")"),"លេខកូដប្រៃសណីយ៍")</f>
        <v/>
      </c>
      <c r="E641" s="3" t="n"/>
      <c r="F641" s="3" t="inlineStr">
        <is>
          <t>លេខកូដប្រៃសណីយ៍</t>
        </is>
      </c>
      <c r="G641" s="3" t="n"/>
      <c r="H641" s="217" t="inlineStr">
        <is>
          <t>"modifyDepartment.departmentCode": "លេខកូដប្រៃសណីយ៍",</t>
        </is>
      </c>
      <c r="I641" t="inlineStr">
        <is>
          <t>លេខកូដប្រៃសណីយ៍</t>
        </is>
      </c>
    </row>
    <row r="642">
      <c r="A642" s="3" t="inlineStr">
        <is>
          <t>modifyDepartment.departmentCodePlaceholder</t>
        </is>
      </c>
      <c r="B642" s="3" t="inlineStr">
        <is>
          <t>Nhập mã bưu cục</t>
        </is>
      </c>
      <c r="C642" s="3" t="inlineStr">
        <is>
          <t>Enter postal code</t>
        </is>
      </c>
      <c r="D642" s="217">
        <f>IFERROR(__xludf.DUMMYFUNCTION("GOOGLETRANSLATE(C642,""vi"",""km"")"),"បញ្ចូលលេខកូដប្រៃសណីយ៍")</f>
        <v/>
      </c>
      <c r="E642" s="3" t="n"/>
      <c r="F642" s="3" t="inlineStr">
        <is>
          <t>បញ្ចូលលេខកូដប្រៃសណីយ៍</t>
        </is>
      </c>
      <c r="G642" s="3" t="n"/>
      <c r="H642" s="217" t="inlineStr">
        <is>
          <t>"modifyDepartment.departmentCodePlaceholder": "បញ្ចូលលេខកូដប្រៃសណីយ៍",</t>
        </is>
      </c>
      <c r="I642" t="inlineStr">
        <is>
          <t>បញ្ចូលលេខកូដប្រៃសណីយ៍</t>
        </is>
      </c>
    </row>
    <row r="643">
      <c r="A643" s="3" t="inlineStr">
        <is>
          <t>modifyDepartment.departmentNamePlaceholder</t>
        </is>
      </c>
      <c r="B643" s="3" t="inlineStr">
        <is>
          <t>Nhập tên bưu cục</t>
        </is>
      </c>
      <c r="C643" s="3" t="inlineStr">
        <is>
          <t>Enter post office name</t>
        </is>
      </c>
      <c r="D643" s="217">
        <f>IFERROR(__xludf.DUMMYFUNCTION("GOOGLETRANSLATE(C643,""vi"",""km"")"),"បញ្ចូលឈ្មោះការិយាល័យប្រៃសណីយ៍")</f>
        <v/>
      </c>
      <c r="E643" s="3" t="n"/>
      <c r="F643" s="3" t="inlineStr">
        <is>
          <t>បញ្ចូលឈ្មោះការិយាល័យប្រៃសណីយ៍</t>
        </is>
      </c>
      <c r="G643" s="3" t="n"/>
      <c r="H643" s="217" t="inlineStr">
        <is>
          <t>"modifyDepartment.departmentNamePlaceholder": "បញ្ចូលឈ្មោះការិយាល័យប្រៃសណីយ៍",</t>
        </is>
      </c>
      <c r="I643" t="inlineStr">
        <is>
          <t>បញ្ចូលឈ្មោះការិយាល័យប្រៃសណីយ៍</t>
        </is>
      </c>
    </row>
    <row r="644">
      <c r="A644" s="3" t="inlineStr">
        <is>
          <t>modifyDepartment.departmentPhone</t>
        </is>
      </c>
      <c r="B644" s="3" t="inlineStr">
        <is>
          <t>SĐT bưu cục</t>
        </is>
      </c>
      <c r="C644" s="3" t="inlineStr">
        <is>
          <t>Post office phone number</t>
        </is>
      </c>
      <c r="D644" s="217">
        <f>IFERROR(__xludf.DUMMYFUNCTION("GOOGLETRANSLATE(C644,""vi"",""km"")"),"លេខទូរស័ព្ទប្រៃសណីយ៍")</f>
        <v/>
      </c>
      <c r="E644" s="3" t="n"/>
      <c r="F644" s="3" t="inlineStr">
        <is>
          <t>លេខទូរស័ព្ទប្រៃសណីយ៍</t>
        </is>
      </c>
      <c r="G644" s="3" t="n"/>
      <c r="H644" s="217" t="inlineStr">
        <is>
          <t>"modifyDepartment.departmentPhone": "លេខទូរស័ព្ទប្រៃសណីយ៍",</t>
        </is>
      </c>
      <c r="I644" t="inlineStr">
        <is>
          <t>លេខទូរស័ព្ទប្រៃសណីយ៍</t>
        </is>
      </c>
    </row>
    <row r="645">
      <c r="A645" s="3" t="inlineStr">
        <is>
          <t>modifyDepartment.departmentPhonePlaceholder</t>
        </is>
      </c>
      <c r="B645" s="3" t="inlineStr">
        <is>
          <t>Nhập SĐT</t>
        </is>
      </c>
      <c r="C645" s="3" t="inlineStr">
        <is>
          <t>Enter phone number</t>
        </is>
      </c>
      <c r="D645" s="217">
        <f>IFERROR(__xludf.DUMMYFUNCTION("GOOGLETRANSLATE(C645,""vi"",""km"")"),"បញ្ចូលលេខទូរស័ព្ទ")</f>
        <v/>
      </c>
      <c r="E645" s="3" t="n"/>
      <c r="F645" s="3" t="inlineStr">
        <is>
          <t>បញ្ចូលលេខទូរស័ព្ទ</t>
        </is>
      </c>
      <c r="G645" s="3" t="n"/>
      <c r="H645" s="217" t="inlineStr">
        <is>
          <t>"modifyDepartment.departmentPhonePlaceholder": "បញ្ចូលលេខទូរស័ព្ទ",</t>
        </is>
      </c>
      <c r="I645" t="inlineStr">
        <is>
          <t>បញ្ចូលលេខទូរស័ព្ទ</t>
        </is>
      </c>
    </row>
    <row r="646">
      <c r="A646" s="3" t="inlineStr">
        <is>
          <t>modifyDepartment.district</t>
        </is>
      </c>
      <c r="B646" s="3" t="inlineStr">
        <is>
          <t>Huyện</t>
        </is>
      </c>
      <c r="C646" s="3" t="inlineStr">
        <is>
          <t>District</t>
        </is>
      </c>
      <c r="D646" s="217">
        <f>IFERROR(__xludf.DUMMYFUNCTION("GOOGLETRANSLATE(C646,""vi"",""km"")"),"ស្រុក")</f>
        <v/>
      </c>
      <c r="E646" s="3" t="n"/>
      <c r="F646" s="3" t="inlineStr">
        <is>
          <t>ស្រុក</t>
        </is>
      </c>
      <c r="G646" s="3" t="n"/>
      <c r="H646" s="217" t="inlineStr">
        <is>
          <t>"modifyDepartment.district": "ស្រុក",</t>
        </is>
      </c>
      <c r="I646" t="inlineStr">
        <is>
          <t>ស្រុក</t>
        </is>
      </c>
    </row>
    <row r="647">
      <c r="A647" s="3" t="inlineStr">
        <is>
          <t>modifyDepartment.districtPlaceholder</t>
        </is>
      </c>
      <c r="B647" s="3" t="inlineStr">
        <is>
          <t>Chọn huyện</t>
        </is>
      </c>
      <c r="C647" s="3" t="inlineStr">
        <is>
          <t>Enter district</t>
        </is>
      </c>
      <c r="D647" s="217">
        <f>IFERROR(__xludf.DUMMYFUNCTION("GOOGLETRANSLATE(C647,""vi"",""km"")"),"បញ្ចូលស្រុក")</f>
        <v/>
      </c>
      <c r="E647" s="3" t="n"/>
      <c r="F647" s="3" t="inlineStr">
        <is>
          <t>បញ្ចូលស្រុក</t>
        </is>
      </c>
      <c r="G647" s="3" t="n"/>
      <c r="H647" s="217" t="inlineStr">
        <is>
          <t>"modifyDepartment.districtPlaceholder": "បញ្ចូលស្រុក",</t>
        </is>
      </c>
      <c r="I647" t="inlineStr">
        <is>
          <t>បញ្ចូលស្រុក</t>
        </is>
      </c>
    </row>
    <row r="648">
      <c r="A648" s="3" t="inlineStr">
        <is>
          <t>modifyDepartment.duplicateBranch</t>
        </is>
      </c>
      <c r="B648" s="3" t="inlineStr">
        <is>
          <t>trùng với mã chi nhánh đã tồn tại.</t>
        </is>
      </c>
      <c r="C648" s="3" t="inlineStr">
        <is>
          <t>Postal code already exists</t>
        </is>
      </c>
      <c r="D648" s="217">
        <f>IFERROR(__xludf.DUMMYFUNCTION("GOOGLETRANSLATE(C648,""vi"",""km"")"),"លេខកូដប្រៃសណីយ៍មានរួចហើយ")</f>
        <v/>
      </c>
      <c r="E648" s="3" t="n"/>
      <c r="F648" s="3" t="inlineStr">
        <is>
          <t>លេខកូដប្រៃសណីយ៍មានរួចហើយ</t>
        </is>
      </c>
      <c r="G648" s="3" t="n"/>
      <c r="H648" s="217" t="inlineStr">
        <is>
          <t>"modifyDepartment.duplicateBranch": "លេខកូដប្រៃសណីយ៍មានរួចហើយ",</t>
        </is>
      </c>
      <c r="I648" t="inlineStr">
        <is>
          <t>លេខកូដប្រៃសណីយ៍មានរួចហើយ</t>
        </is>
      </c>
    </row>
    <row r="649">
      <c r="A649" s="3" t="inlineStr">
        <is>
          <t>modifyDepartment.endAt</t>
        </is>
      </c>
      <c r="B649" s="3" t="inlineStr">
        <is>
          <t>Thời gian kết thúc</t>
        </is>
      </c>
      <c r="C649" s="3" t="inlineStr">
        <is>
          <t>End time</t>
        </is>
      </c>
      <c r="D649" s="217">
        <f>IFERROR(__xludf.DUMMYFUNCTION("GOOGLETRANSLATE(C649,""vi"",""km"")"),"ពេលវេលាបញ្ចប់")</f>
        <v/>
      </c>
      <c r="E649" s="3" t="n"/>
      <c r="F649" s="3" t="inlineStr">
        <is>
          <t>ពេលវេលាបញ្ចប់</t>
        </is>
      </c>
      <c r="G649" s="3" t="n"/>
      <c r="H649" s="217" t="inlineStr">
        <is>
          <t>"modifyDepartment.endAt": "ពេលវេលាបញ្ចប់",</t>
        </is>
      </c>
      <c r="I649" t="inlineStr">
        <is>
          <t>ពេលវេលាបញ្ចប់</t>
        </is>
      </c>
    </row>
    <row r="650">
      <c r="A650" s="3" t="inlineStr">
        <is>
          <t>modifyDepartment.enterLat</t>
        </is>
      </c>
      <c r="B650" s="3" t="inlineStr">
        <is>
          <t>Nhập vĩ độ</t>
        </is>
      </c>
      <c r="C650" s="3" t="inlineStr">
        <is>
          <t>Enter latitude</t>
        </is>
      </c>
      <c r="D650" s="217">
        <f>IFERROR(__xludf.DUMMYFUNCTION("GOOGLETRANSLATE(C650,""vi"",""km"")"),"បញ្ចូលរយៈទទឹង")</f>
        <v/>
      </c>
      <c r="E650" s="3" t="n"/>
      <c r="F650" s="3" t="inlineStr">
        <is>
          <t>បញ្ចូលរយៈទទឹង</t>
        </is>
      </c>
      <c r="G650" s="3" t="n"/>
      <c r="H650" s="217" t="inlineStr">
        <is>
          <t>"modifyDepartment.enterLat": "បញ្ចូលរយៈទទឹង",</t>
        </is>
      </c>
      <c r="I650" t="inlineStr">
        <is>
          <t>បញ្ចូលរយៈទទឹង</t>
        </is>
      </c>
    </row>
    <row r="651">
      <c r="A651" s="3" t="inlineStr">
        <is>
          <t>modifyDepartment.enterLon</t>
        </is>
      </c>
      <c r="B651" s="3" t="inlineStr">
        <is>
          <t>Nhập kinh độ</t>
        </is>
      </c>
      <c r="C651" s="3" t="inlineStr">
        <is>
          <t>Enter longitude</t>
        </is>
      </c>
      <c r="D651" s="217">
        <f>IFERROR(__xludf.DUMMYFUNCTION("GOOGLETRANSLATE(C651,""vi"",""km"")"),"បញ្ចូលរយៈបណ្តោយ")</f>
        <v/>
      </c>
      <c r="E651" s="3" t="n"/>
      <c r="F651" s="3" t="inlineStr">
        <is>
          <t>បញ្ចូលរយៈបណ្តោយ</t>
        </is>
      </c>
      <c r="G651" s="3" t="n"/>
      <c r="H651" s="217" t="inlineStr">
        <is>
          <t>"modifyDepartment.enterLon": "បញ្ចូលរយៈបណ្តោយ",</t>
        </is>
      </c>
      <c r="I651" t="inlineStr">
        <is>
          <t>បញ្ចូលរយៈបណ្តោយ</t>
        </is>
      </c>
    </row>
    <row r="652">
      <c r="A652" s="3" t="inlineStr">
        <is>
          <t>modifyDepartment.errorGetData</t>
        </is>
      </c>
      <c r="B652" s="3" t="inlineStr">
        <is>
          <t>Lỗi khi lấy dữ liệu thông tin bưu cục</t>
        </is>
      </c>
      <c r="C652" s="3" t="inlineStr">
        <is>
          <t>Error when retrieving post office information data</t>
        </is>
      </c>
      <c r="D652" s="217">
        <f>IFERROR(__xludf.DUMMYFUNCTION("GOOGLETRANSLATE(C652,""vi"",""km"")"),"កំហុសនៅពេលទាញយកទិន្នន័យព័ត៌មានការិយាល័យប្រៃសណីយ៍")</f>
        <v/>
      </c>
      <c r="E652" s="3" t="n"/>
      <c r="F652" s="3" t="inlineStr">
        <is>
          <t>កំហុសនៅពេលទាញយកទិន្នន័យព័ត៌មានការិយាល័យប្រៃសណីយ៍</t>
        </is>
      </c>
      <c r="G652" s="3" t="n"/>
      <c r="H652" s="217" t="inlineStr">
        <is>
          <t>"modifyDepartment.errorGetData": "កំហុសនៅពេលទាញយកទិន្នន័យព័ត៌មានការិយាល័យប្រៃសណីយ៍",</t>
        </is>
      </c>
      <c r="I652" t="inlineStr">
        <is>
          <t>កំហុសនៅពេលទាញយកទិន្នន័យព័ត៌មានការិយាល័យប្រៃសណីយ៍</t>
        </is>
      </c>
    </row>
    <row r="653">
      <c r="A653" s="3" t="inlineStr">
        <is>
          <t>modifyDepartment.getListBranchError</t>
        </is>
      </c>
      <c r="B653" s="3" t="inlineStr">
        <is>
          <t>Lỗi danh sách chi nhánh</t>
        </is>
      </c>
      <c r="C653" s="3" t="inlineStr">
        <is>
          <t>Error branch list</t>
        </is>
      </c>
      <c r="D653" s="217">
        <f>IFERROR(__xludf.DUMMYFUNCTION("GOOGLETRANSLATE(C653,""vi"",""km"")"),"បញ្ជីសាខាកំហុស")</f>
        <v/>
      </c>
      <c r="E653" s="3" t="n"/>
      <c r="F653" s="3" t="inlineStr">
        <is>
          <t>បញ្ជីសាខាកំហុស</t>
        </is>
      </c>
      <c r="G653" s="3" t="n"/>
      <c r="H653" s="217" t="inlineStr">
        <is>
          <t>"modifyDepartment.getListBranchError": "បញ្ជីសាខាកំហុស",</t>
        </is>
      </c>
      <c r="I653" t="inlineStr">
        <is>
          <t>បញ្ជីសាខាកំហុស</t>
        </is>
      </c>
    </row>
    <row r="654">
      <c r="A654" s="3" t="inlineStr">
        <is>
          <t>modifyDepartment.headPost</t>
        </is>
      </c>
      <c r="B654" s="3" t="inlineStr">
        <is>
          <t>Trưởng bưu cục</t>
        </is>
      </c>
      <c r="C654" s="3" t="inlineStr">
        <is>
          <t>Postmaster</t>
        </is>
      </c>
      <c r="D654" s="217">
        <f>IFERROR(__xludf.DUMMYFUNCTION("GOOGLETRANSLATE(C654,""vi"",""km"")"),"នាយប៉ុស្តិ៍")</f>
        <v/>
      </c>
      <c r="E654" s="3" t="n"/>
      <c r="F654" s="3" t="inlineStr">
        <is>
          <t>នាយប៉ុស្តិ៍</t>
        </is>
      </c>
      <c r="G654" s="3" t="n"/>
      <c r="H654" s="217" t="inlineStr">
        <is>
          <t>"modifyDepartment.headPost": "នាយប៉ុស្តិ៍",</t>
        </is>
      </c>
      <c r="I654" t="inlineStr">
        <is>
          <t>នាយប៉ុស្តិ៍</t>
        </is>
      </c>
    </row>
    <row r="655">
      <c r="A655" s="3" t="inlineStr">
        <is>
          <t>modifyDepartment.historyDepartment</t>
        </is>
      </c>
      <c r="B655" s="3" t="inlineStr">
        <is>
          <t>Lịch sử bưu cục</t>
        </is>
      </c>
      <c r="C655" s="3" t="inlineStr">
        <is>
          <t>Post office history</t>
        </is>
      </c>
      <c r="D655" s="217">
        <f>IFERROR(__xludf.DUMMYFUNCTION("GOOGLETRANSLATE(C655,""vi"",""km"")"),"ប្រវត្តិ​ការិយាល័យ​ប្រៃសណីយ៍")</f>
        <v/>
      </c>
      <c r="E655" s="3" t="n"/>
      <c r="F655" s="3" t="inlineStr">
        <is>
          <t>ប្រវត្តិការិយាល័យប្រៃសណីយ៍</t>
        </is>
      </c>
      <c r="G655" s="3" t="n"/>
      <c r="H655" s="217" t="inlineStr">
        <is>
          <t>"modifyDepartment.historyDepartment": "ប្រវត្តិការិយាល័យប្រៃសណីយ៍",</t>
        </is>
      </c>
      <c r="I655" t="inlineStr">
        <is>
          <t>ប្រវត្តិការិយាល័យប្រៃសណីយ៍</t>
        </is>
      </c>
    </row>
    <row r="656">
      <c r="A656" s="3" t="inlineStr">
        <is>
          <t>modifyDepartment.lat</t>
        </is>
      </c>
      <c r="B656" s="3" t="inlineStr">
        <is>
          <t>Vĩ độ</t>
        </is>
      </c>
      <c r="C656" s="3" t="inlineStr">
        <is>
          <t>Latitude</t>
        </is>
      </c>
      <c r="D656" s="217">
        <f>IFERROR(__xludf.DUMMYFUNCTION("GOOGLETRANSLATE(C656,""vi"",""km"")"),"រយៈទទឹង")</f>
        <v/>
      </c>
      <c r="E656" s="3" t="n"/>
      <c r="F656" s="3" t="inlineStr">
        <is>
          <t>រយៈទទឹង</t>
        </is>
      </c>
      <c r="G656" s="3" t="n"/>
      <c r="H656" s="217" t="inlineStr">
        <is>
          <t>"modifyDepartment.lat": "រយៈទទឹង",</t>
        </is>
      </c>
      <c r="I656" t="inlineStr">
        <is>
          <t>រយៈទទឹង</t>
        </is>
      </c>
    </row>
    <row r="657">
      <c r="A657" s="3" t="inlineStr">
        <is>
          <t>modifyDepartment.level</t>
        </is>
      </c>
      <c r="B657" s="3" t="inlineStr">
        <is>
          <t>Chọn cấp bưu cục</t>
        </is>
      </c>
      <c r="C657" s="3" t="inlineStr">
        <is>
          <t>Select post office level</t>
        </is>
      </c>
      <c r="D657" s="217">
        <f>IFERROR(__xludf.DUMMYFUNCTION("GOOGLETRANSLATE(C657,""vi"",""km"")"),"ជ្រើសរើសកម្រិតការិយាល័យប្រៃសណីយ៍")</f>
        <v/>
      </c>
      <c r="E657" s="3" t="n"/>
      <c r="F657" s="3" t="inlineStr">
        <is>
          <t>ជ្រើសរើសកម្រិតការិយាល័យប្រៃសណីយ៍</t>
        </is>
      </c>
      <c r="G657" s="3" t="n"/>
      <c r="H657" s="217" t="inlineStr">
        <is>
          <t>"modifyDepartment.level": "ជ្រើសរើសកម្រិតការិយាល័យប្រៃសណីយ៍",</t>
        </is>
      </c>
      <c r="I657" t="inlineStr">
        <is>
          <t>ជ្រើសរើសកម្រិតការិយាល័យប្រៃសណីយ៍</t>
        </is>
      </c>
    </row>
    <row r="658">
      <c r="A658" s="3" t="inlineStr">
        <is>
          <t>modifyDepartment.lon</t>
        </is>
      </c>
      <c r="B658" s="3" t="inlineStr">
        <is>
          <t>Kinh độ</t>
        </is>
      </c>
      <c r="C658" s="3" t="inlineStr">
        <is>
          <t>Longitude</t>
        </is>
      </c>
      <c r="D658" s="217">
        <f>IFERROR(__xludf.DUMMYFUNCTION("GOOGLETRANSLATE(C658,""vi"",""km"")"),"រយៈបណ្តោយ")</f>
        <v/>
      </c>
      <c r="E658" s="3" t="n"/>
      <c r="F658" s="3" t="inlineStr">
        <is>
          <t>រយៈបណ្តោយ</t>
        </is>
      </c>
      <c r="G658" s="3" t="n"/>
      <c r="H658" s="217" t="inlineStr">
        <is>
          <t>"modifyDepartment.lon": "រយៈបណ្តោយ",</t>
        </is>
      </c>
      <c r="I658" t="inlineStr">
        <is>
          <t>រយៈបណ្តោយ</t>
        </is>
      </c>
    </row>
    <row r="659">
      <c r="A659" s="3" t="inlineStr">
        <is>
          <t>modifyDepartment.nation</t>
        </is>
      </c>
      <c r="B659" s="3" t="inlineStr">
        <is>
          <t>Quốc gia</t>
        </is>
      </c>
      <c r="C659" s="3" t="inlineStr">
        <is>
          <t>Country</t>
        </is>
      </c>
      <c r="D659" s="217">
        <f>IFERROR(__xludf.DUMMYFUNCTION("GOOGLETRANSLATE(C659,""vi"",""km"")"),"ប្រទេស")</f>
        <v/>
      </c>
      <c r="E659" s="3" t="n"/>
      <c r="F659" s="3" t="inlineStr">
        <is>
          <t>ប្រទេស</t>
        </is>
      </c>
      <c r="G659" s="3" t="n"/>
      <c r="H659" s="217" t="inlineStr">
        <is>
          <t>"modifyDepartment.nation": "ប្រទេស",</t>
        </is>
      </c>
      <c r="I659" t="inlineStr">
        <is>
          <t>ប្រទេស</t>
        </is>
      </c>
    </row>
    <row r="660">
      <c r="A660" s="3" t="inlineStr">
        <is>
          <t>modifyDepartment.notification</t>
        </is>
      </c>
      <c r="B660" s="3" t="inlineStr">
        <is>
          <t>Vui lòng khai báo mã bưu cục khác!</t>
        </is>
      </c>
      <c r="C660" s="3" t="inlineStr">
        <is>
          <t>Please declare another postal code!</t>
        </is>
      </c>
      <c r="D660" s="217">
        <f>IFERROR(__xludf.DUMMYFUNCTION("GOOGLETRANSLATE(C660,""vi"",""km"")"),"សូមប្រកាសលេខកូដប្រៃសណីយ៍មួយផ្សេងទៀត!")</f>
        <v/>
      </c>
      <c r="E660" s="3" t="n"/>
      <c r="F660" s="3" t="inlineStr">
        <is>
          <t>សូមប្រកាសលេខកូដប្រៃសណីយ៍មួយផ្សេងទៀត!</t>
        </is>
      </c>
      <c r="G660" s="3" t="n"/>
      <c r="H660" s="217" t="inlineStr">
        <is>
          <t>"modifyDepartment.notification": "សូមប្រកាសលេខកូដប្រៃសណីយ៍មួយផ្សេងទៀត!",</t>
        </is>
      </c>
      <c r="I660" t="inlineStr">
        <is>
          <t>សូមប្រកាសលេខកូដប្រៃសណីយ៍មួយផ្សេងទៀត!</t>
        </is>
      </c>
    </row>
    <row r="661">
      <c r="A661" s="3" t="inlineStr">
        <is>
          <t>modifyDepartment.province</t>
        </is>
      </c>
      <c r="B661" s="3" t="inlineStr">
        <is>
          <t>Liên bang/Vùng</t>
        </is>
      </c>
      <c r="C661" s="3" t="inlineStr">
        <is>
          <t>Province</t>
        </is>
      </c>
      <c r="D661" s="217">
        <f>IFERROR(__xludf.DUMMYFUNCTION("GOOGLETRANSLATE(C661,""vi"",""km"")"),"ខេត្ត")</f>
        <v/>
      </c>
      <c r="E661" s="3" t="n"/>
      <c r="F661" s="3" t="inlineStr">
        <is>
          <t>ខេត្ត</t>
        </is>
      </c>
      <c r="G661" s="3" t="n"/>
      <c r="H661" s="217" t="inlineStr">
        <is>
          <t>"modifyDepartment.province": "ខេត្ត",</t>
        </is>
      </c>
      <c r="I661" t="inlineStr">
        <is>
          <t>ខេត្ត</t>
        </is>
      </c>
    </row>
    <row r="662">
      <c r="A662" s="3" t="inlineStr">
        <is>
          <t>modifyDepartment.provincePlaceholder</t>
        </is>
      </c>
      <c r="B662" s="3" t="inlineStr">
        <is>
          <t>Chọn liên bang/vùng</t>
        </is>
      </c>
      <c r="C662" s="3" t="inlineStr">
        <is>
          <t>Enter province</t>
        </is>
      </c>
      <c r="D662" s="217">
        <f>IFERROR(__xludf.DUMMYFUNCTION("GOOGLETRANSLATE(C662,""vi"",""km"")"),"សាកល្បងខេត្ត")</f>
        <v/>
      </c>
      <c r="E662" s="3" t="n"/>
      <c r="F662" s="3" t="inlineStr">
        <is>
          <t>សាកល្បងខេត្ត</t>
        </is>
      </c>
      <c r="G662" s="3" t="n"/>
      <c r="H662" s="217" t="inlineStr">
        <is>
          <t>"modifyDepartment.provincePlaceholder": "សាកល្បងខេត្ត",</t>
        </is>
      </c>
      <c r="I662" t="inlineStr">
        <is>
          <t>សាកល្បងខេត្ត</t>
        </is>
      </c>
    </row>
    <row r="663">
      <c r="A663" s="3" t="inlineStr">
        <is>
          <t>modifyDepartment.startAt</t>
        </is>
      </c>
      <c r="B663" s="3" t="inlineStr">
        <is>
          <t>Thời gian bắt đầu</t>
        </is>
      </c>
      <c r="C663" s="3" t="inlineStr">
        <is>
          <t>Start time</t>
        </is>
      </c>
      <c r="D663" s="217">
        <f>IFERROR(__xludf.DUMMYFUNCTION("GOOGLETRANSLATE(C663,""vi"",""km"")"),"ពេលវេលាចាប់ផ្តើម")</f>
        <v/>
      </c>
      <c r="E663" s="3" t="n"/>
      <c r="F663" s="3" t="inlineStr">
        <is>
          <t>ពេលវេលាចាប់ផ្តើម</t>
        </is>
      </c>
      <c r="G663" s="3" t="n"/>
      <c r="H663" s="217" t="inlineStr">
        <is>
          <t>"modifyDepartment.startAt": "ពេលវេលាចាប់ផ្តើម",</t>
        </is>
      </c>
      <c r="I663" t="inlineStr">
        <is>
          <t>ពេលវេលាចាប់ផ្តើម</t>
        </is>
      </c>
    </row>
    <row r="664">
      <c r="A664" s="3" t="inlineStr">
        <is>
          <t>modifyDepartment.textConfirm</t>
        </is>
      </c>
      <c r="B664" s="3" t="inlineStr">
        <is>
          <t>Quý khách có chắc chắn muốn lưu thông tin bưu cục này?</t>
        </is>
      </c>
      <c r="C664" s="3" t="inlineStr">
        <is>
          <t>Are you sure you want to save postal information?</t>
        </is>
      </c>
      <c r="D664" s="217">
        <f>IFERROR(__xludf.DUMMYFUNCTION("GOOGLETRANSLATE(C664,""vi"",""km"")"),"តើអ្នកពិតជាចង់រក្សាទុកព័ត៌មានប្រៃសណីយ៍មែនទេ?")</f>
        <v/>
      </c>
      <c r="E664" s="3" t="n"/>
      <c r="F664" s="3" t="inlineStr">
        <is>
          <t>តើអ្នកពិតជាចង់រក្សាទុកព័ត៌មានប្រៃសណីយ៍មែនទេ?</t>
        </is>
      </c>
      <c r="G664" s="3" t="n"/>
      <c r="H664" s="217" t="inlineStr">
        <is>
          <t>"modifyDepartment.textConfirm": "តើអ្នកពិតជាចង់រក្សាទុកព័ត៌មានប្រៃសណីយ៍មែនទេ?",</t>
        </is>
      </c>
      <c r="I664" t="inlineStr">
        <is>
          <t>តើអ្នកពិតជាចង់រក្សាទុកព័ត៌មានប្រៃសណីយ៍មែនទេ?</t>
        </is>
      </c>
    </row>
    <row r="665">
      <c r="A665" s="3" t="inlineStr">
        <is>
          <t>modifyDepartment.updateSuccess</t>
        </is>
      </c>
      <c r="B665" s="3" t="inlineStr">
        <is>
          <t>Cập nhật thông tin thành công</t>
        </is>
      </c>
      <c r="C665" s="3" t="inlineStr">
        <is>
          <t>Updated information successfully</t>
        </is>
      </c>
      <c r="D665" s="217">
        <f>IFERROR(__xludf.DUMMYFUNCTION("GOOGLETRANSLATE(C665,""vi"",""km"")"),"បានធ្វើបច្ចុប្បន្នភាពព័ត៌មានដោយជោគជ័យ")</f>
        <v/>
      </c>
      <c r="E665" s="3" t="n"/>
      <c r="F665" s="3" t="inlineStr">
        <is>
          <t>បានធ្វើបច្ចុប្បន្នភាពព័ត៌មានដោយជោគជ័យ</t>
        </is>
      </c>
      <c r="G665" s="3" t="n"/>
      <c r="H665" s="217" t="inlineStr">
        <is>
          <t>"modifyDepartment.updateSuccess": "បានធ្វើបច្ចុប្បន្នភាពព័ត៌មានដោយជោគជ័យ",</t>
        </is>
      </c>
      <c r="I665" t="inlineStr">
        <is>
          <t>បានធ្វើបច្ចុប្បន្នភាពព័ត៌មានដោយជោគជ័យ</t>
        </is>
      </c>
    </row>
    <row r="666">
      <c r="A666" s="3" t="inlineStr">
        <is>
          <t>modifyDepartment.userManagement</t>
        </is>
      </c>
      <c r="B666" s="3" t="inlineStr">
        <is>
          <t>Người quản lý</t>
        </is>
      </c>
      <c r="C666" s="3" t="inlineStr">
        <is>
          <t>Branch Manager</t>
        </is>
      </c>
      <c r="D666" s="217">
        <f>IFERROR(__xludf.DUMMYFUNCTION("GOOGLETRANSLATE(C666,""vi"",""km"")"),"អ្នកគ្រប់គ្រងសាខា")</f>
        <v/>
      </c>
      <c r="E666" s="3" t="n"/>
      <c r="F666" s="3" t="inlineStr">
        <is>
          <t>អ្នកគ្រប់គ្រងសាខា</t>
        </is>
      </c>
      <c r="G666" s="3" t="n"/>
      <c r="H666" s="217" t="inlineStr">
        <is>
          <t>"modifyDepartment.userManagement": "អ្នកគ្រប់គ្រងសាខា",</t>
        </is>
      </c>
      <c r="I666" t="inlineStr">
        <is>
          <t>អ្នកគ្រប់គ្រងសាខា</t>
        </is>
      </c>
    </row>
    <row r="667">
      <c r="A667" s="3" t="inlineStr">
        <is>
          <t>modifyDepartment.ward</t>
        </is>
      </c>
      <c r="B667" s="3" t="inlineStr">
        <is>
          <t>Thị trấn</t>
        </is>
      </c>
      <c r="C667" s="3" t="inlineStr">
        <is>
          <t>Commune</t>
        </is>
      </c>
      <c r="D667" s="217">
        <f>IFERROR(__xludf.DUMMYFUNCTION("GOOGLETRANSLATE(C667,""vi"",""km"")"),"ឃុំ")</f>
        <v/>
      </c>
      <c r="E667" s="3" t="n"/>
      <c r="F667" s="3" t="inlineStr">
        <is>
          <t>ឃុំ</t>
        </is>
      </c>
      <c r="G667" s="3" t="n"/>
      <c r="H667" s="217" t="inlineStr">
        <is>
          <t>"modifyDepartment.ward": "ឃុំ",</t>
        </is>
      </c>
      <c r="I667" t="inlineStr">
        <is>
          <t>ឃុំ</t>
        </is>
      </c>
    </row>
    <row r="668">
      <c r="A668" s="3" t="inlineStr">
        <is>
          <t>modifyDepartment.wardPlaceholder</t>
        </is>
      </c>
      <c r="B668" s="3" t="inlineStr">
        <is>
          <t>Chọn thị trấn</t>
        </is>
      </c>
      <c r="C668" s="3" t="inlineStr">
        <is>
          <t>Enter commune</t>
        </is>
      </c>
      <c r="D668" s="217">
        <f>IFERROR(__xludf.DUMMYFUNCTION("GOOGLETRANSLATE(C668,""vi"",""km"")"),"ចូលឃុំ")</f>
        <v/>
      </c>
      <c r="E668" s="3" t="n"/>
      <c r="F668" s="3" t="inlineStr">
        <is>
          <t>ចូលឃុំ</t>
        </is>
      </c>
      <c r="G668" s="3" t="n"/>
      <c r="H668" s="217" t="inlineStr">
        <is>
          <t>"modifyDepartment.wardPlaceholder": "ចូលឃុំ",</t>
        </is>
      </c>
      <c r="I668" t="inlineStr">
        <is>
          <t>ចូលឃុំ</t>
        </is>
      </c>
    </row>
    <row r="669">
      <c r="A669" s="3" t="inlineStr">
        <is>
          <t>modifyListDepartment.changeStatus</t>
        </is>
      </c>
      <c r="B669" s="3" t="inlineStr">
        <is>
          <t>Bạn có chắc chắn muốn thay đổi trạng thái ở bưu cục "{{name}}" thành "{{status}}" không?</t>
        </is>
      </c>
      <c r="C669" s="3" t="inlineStr">
        <is>
          <t>Do you want to switch user status to {{status}} for {{name}}</t>
        </is>
      </c>
      <c r="D669" s="217">
        <f>IFERROR(__xludf.DUMMYFUNCTION("GOOGLETRANSLATE(C669,""vi"",""km"")"),"តើអ្នកចង់ប្តូរស្ថានភាពអ្នកប្រើប្រាស់ទៅ {{status}} សម្រាប់ {{name}} ដែរឬទេ?")</f>
        <v/>
      </c>
      <c r="E669" s="3" t="n"/>
      <c r="F669" s="3" t="inlineStr">
        <is>
          <t>តើអ្នកចង់ប្តូរស្ថានភាពអ្នកប្រើប្រាស់ទៅ {{status}} សម្រាប់ {{name}} ដែរឬទេ?</t>
        </is>
      </c>
      <c r="G669" s="3" t="n"/>
      <c r="H669" s="217" t="inlineStr">
        <is>
          <t>"modifyListDepartment.changeStatus": "តើអ្នកចង់ប្តូរស្ថានភាពអ្នកប្រើប្រាស់ទៅ {{status}} សម្រាប់ {{name}} ដែរឬទេ?",</t>
        </is>
      </c>
      <c r="I669" t="inlineStr">
        <is>
          <t>តើអ្នកចង់ប្តូរស្ថានភាពអ្នកប្រើប្រាស់ទៅ {{status}} សម្រាប់ {{name}} ដែរឬទេ?</t>
        </is>
      </c>
    </row>
    <row r="670">
      <c r="A670" s="3" t="inlineStr">
        <is>
          <t>modifyListDepartment.departmentCode</t>
        </is>
      </c>
      <c r="B670" s="3" t="inlineStr">
        <is>
          <t>Bưu cục</t>
        </is>
      </c>
      <c r="C670" s="3" t="inlineStr">
        <is>
          <t>Post office</t>
        </is>
      </c>
      <c r="D670" s="217">
        <f>IFERROR(__xludf.DUMMYFUNCTION("GOOGLETRANSLATE(C670,""vi"",""km"")"),"ការិយាល័យប្រៃសណីយ៍")</f>
        <v/>
      </c>
      <c r="E670" s="3" t="n"/>
      <c r="F670" s="3" t="inlineStr">
        <is>
          <t>ការិយាល័យប្រៃសណីយ៍</t>
        </is>
      </c>
      <c r="G670" s="3" t="n"/>
      <c r="H670" s="217" t="inlineStr">
        <is>
          <t>"modifyListDepartment.departmentCode": "ការិយាល័យប្រៃសណីយ៍",</t>
        </is>
      </c>
      <c r="I670" t="inlineStr">
        <is>
          <t>ការិយាល័យប្រៃសណីយ៍</t>
        </is>
      </c>
    </row>
    <row r="671">
      <c r="A671" s="3" t="inlineStr">
        <is>
          <t>modifyListDepartment.messageNotice</t>
        </is>
      </c>
      <c r="B671" s="3" t="inlineStr">
        <is>
          <t>Tất cả bưu cục đã được phân quyền. Không thêm được bưu cục nào.</t>
        </is>
      </c>
      <c r="C671" s="3" t="inlineStr">
        <is>
          <t>All post offices have been granted access. No more post offices can be added.</t>
        </is>
      </c>
      <c r="D671" s="217">
        <f>IFERROR(__xludf.DUMMYFUNCTION("GOOGLETRANSLATE(C671,""vi"",""km"")"),"ការិយាល័យប្រៃសណីយ៍ទាំងអស់ត្រូវបានផ្តល់សិទ្ធិចូលប្រើប្រាស់។ មិនអាចបន្ថែមការិយាល័យប្រៃសណីយ៍បន្ថែមទៀតបានទេ។")</f>
        <v/>
      </c>
      <c r="E671" s="3" t="n"/>
      <c r="F671" s="3" t="inlineStr">
        <is>
          <t>ការិយាល័យប្រៃសណីយ៍ទាំងអស់ត្រូវបានផ្តល់សិទ្ធិចូលប្រើប្រាស់។ មិនអាចបន្ថែមការិយាល័យប្រៃសណីយ៍បន្ថែមទៀតបានទេ។</t>
        </is>
      </c>
      <c r="G671" s="3" t="n"/>
      <c r="H671" s="217" t="inlineStr">
        <is>
          <t>"modifyListDepartment.messageNotice": "ការិយាល័យប្រៃសណីយ៍ទាំងអស់ត្រូវបានផ្តល់សិទ្ធិចូលប្រើប្រាស់។ មិនអាចបន្ថែមការិយាល័យប្រៃសណីយ៍បន្ថែមទៀតបានទេ។",</t>
        </is>
      </c>
      <c r="I671" t="inlineStr">
        <is>
          <t>ការិយាល័យប្រៃសណីយ៍ទាំងអស់ត្រូវបានផ្តល់សិទ្ធិចូលប្រើប្រាស់។ មិនអាចបន្ថែមការិយាល័យប្រៃសណីយ៍បន្ថែមទៀតបានទេ។</t>
        </is>
      </c>
    </row>
    <row r="672">
      <c r="A672" s="3" t="inlineStr">
        <is>
          <t>modifyListDepartment.roleCode</t>
        </is>
      </c>
      <c r="B672" s="3" t="inlineStr">
        <is>
          <t>Chức danh</t>
        </is>
      </c>
      <c r="C672" s="3" t="inlineStr">
        <is>
          <t>Role</t>
        </is>
      </c>
      <c r="D672" s="217">
        <f>IFERROR(__xludf.DUMMYFUNCTION("GOOGLETRANSLATE(C672,""vi"",""km"")"),"តួនាទី")</f>
        <v/>
      </c>
      <c r="E672" s="3" t="n"/>
      <c r="F672" s="3" t="inlineStr">
        <is>
          <t>តួនាទី</t>
        </is>
      </c>
      <c r="G672" s="3" t="n"/>
      <c r="H672" s="217" t="inlineStr">
        <is>
          <t>"modifyListDepartment.roleCode": "តួនាទី",</t>
        </is>
      </c>
      <c r="I672" t="inlineStr">
        <is>
          <t>តួនាទី</t>
        </is>
      </c>
    </row>
    <row r="673">
      <c r="A673" s="3" t="inlineStr">
        <is>
          <t>modifyListDepartment.title</t>
        </is>
      </c>
      <c r="B673" s="3" t="inlineStr">
        <is>
          <t>Thông tin đơn vị</t>
        </is>
      </c>
      <c r="C673" s="3" t="inlineStr">
        <is>
          <t>Unit information</t>
        </is>
      </c>
      <c r="D673" s="217">
        <f>IFERROR(__xludf.DUMMYFUNCTION("GOOGLETRANSLATE(C673,""vi"",""km"")"),"ព័ត៌មានអង្គភាព")</f>
        <v/>
      </c>
      <c r="E673" s="3" t="n"/>
      <c r="F673" s="3" t="inlineStr">
        <is>
          <t>ព័ត៌មានអង្គភាព</t>
        </is>
      </c>
      <c r="G673" s="3" t="n"/>
      <c r="H673" s="217" t="inlineStr">
        <is>
          <t>"modifyListDepartment.title": "ព័ត៌មានអង្គភាព",</t>
        </is>
      </c>
      <c r="I673" t="inlineStr">
        <is>
          <t>ព័ត៌មានអង្គភាព</t>
        </is>
      </c>
    </row>
    <row r="674">
      <c r="A674" s="3" t="inlineStr">
        <is>
          <t>modifyListDepartment.titleAll</t>
        </is>
      </c>
      <c r="B674" s="3" t="inlineStr">
        <is>
          <t>Thêm tất cả thông tin đơn vị</t>
        </is>
      </c>
      <c r="C674" s="3" t="inlineStr">
        <is>
          <t>Add all unit information</t>
        </is>
      </c>
      <c r="D674" s="217">
        <f>IFERROR(__xludf.DUMMYFUNCTION("GOOGLETRANSLATE(C674,""vi"",""km"")"),"បន្ថែមព័ត៌មានអង្គភាពទាំងអស់")</f>
        <v/>
      </c>
      <c r="E674" s="3" t="n"/>
      <c r="F674" s="3" t="inlineStr">
        <is>
          <t>បន្ថែមព័ត៌មានអង្គភាពទាំងអស់</t>
        </is>
      </c>
      <c r="G674" s="3" t="n"/>
      <c r="H674" s="217" t="inlineStr">
        <is>
          <t>"modifyListDepartment.titleAll": "បន្ថែមព័ត៌មានអង្គភាពទាំងអស់",</t>
        </is>
      </c>
      <c r="I674" t="inlineStr">
        <is>
          <t>បន្ថែមព័ត៌មានអង្គភាពទាំងអស់</t>
        </is>
      </c>
    </row>
    <row r="675">
      <c r="A675" s="3" t="inlineStr">
        <is>
          <t>modifyListUser.checkOnlyNumber</t>
        </is>
      </c>
      <c r="B675" s="3" t="inlineStr">
        <is>
          <t>Vui lòng chỉ nhập số</t>
        </is>
      </c>
      <c r="C675" s="3" t="inlineStr">
        <is>
          <t>Enter number only</t>
        </is>
      </c>
      <c r="D675" s="217">
        <f>IFERROR(__xludf.DUMMYFUNCTION("GOOGLETRANSLATE(C675,""vi"",""km"")"),"បញ្ចូលតែលេខប៉ុណ្ណោះ")</f>
        <v/>
      </c>
      <c r="E675" s="3" t="n"/>
      <c r="F675" s="3" t="inlineStr">
        <is>
          <t>បញ្ចូលតែលេខប៉ុណ្ណោះ</t>
        </is>
      </c>
      <c r="G675" s="3" t="n"/>
      <c r="H675" s="217" t="inlineStr">
        <is>
          <t>"modifyListUser.checkOnlyNumber": "បញ្ចូលតែលេខប៉ុណ្ណោះ",</t>
        </is>
      </c>
      <c r="I675" t="inlineStr">
        <is>
          <t>បញ្ចូលតែលេខប៉ុណ្ណោះ</t>
        </is>
      </c>
    </row>
    <row r="676">
      <c r="A676" s="3" t="inlineStr">
        <is>
          <t>modifyListUser.containsSpecialCharacters</t>
        </is>
      </c>
      <c r="B676" s="3" t="inlineStr">
        <is>
          <t>Không được phép nhập ký tự đặc biệt</t>
        </is>
      </c>
      <c r="C676" s="3" t="inlineStr">
        <is>
          <t>Special characters are not allowed</t>
        </is>
      </c>
      <c r="D676" s="217">
        <f>IFERROR(__xludf.DUMMYFUNCTION("GOOGLETRANSLATE(C676,""vi"",""km"")"),"មិនអនុញ្ញាតឲ្យមានតួអក្សរពិសេសទេ")</f>
        <v/>
      </c>
      <c r="E676" s="3" t="n"/>
      <c r="F676" s="3" t="inlineStr">
        <is>
          <t>មិនអនុញ្ញាតឲ្យមានតួអក្សរពិសេសទេ</t>
        </is>
      </c>
      <c r="G676" s="3" t="n"/>
      <c r="H676" s="217" t="inlineStr">
        <is>
          <t>"modifyListUser.containsSpecialCharacters": "មិនអនុញ្ញាតឲ្យមានតួអក្សរពិសេសទេ",</t>
        </is>
      </c>
      <c r="I676" t="inlineStr">
        <is>
          <t>មិនអនុញ្ញាតឲ្យមានតួអក្សរពិសេសទេ</t>
        </is>
      </c>
    </row>
    <row r="677">
      <c r="A677" s="3" t="inlineStr">
        <is>
          <t>modifyListUser.containsWhitespace</t>
        </is>
      </c>
      <c r="B677" s="3" t="inlineStr">
        <is>
          <t>Không được phép chứa khoảng trắng</t>
        </is>
      </c>
      <c r="C677" s="3" t="inlineStr">
        <is>
          <t>Spaces are not allowed</t>
        </is>
      </c>
      <c r="D677" s="217">
        <f>IFERROR(__xludf.DUMMYFUNCTION("GOOGLETRANSLATE(C677,""vi"",""km"")"),"មិនអនុញ្ញាតឱ្យមានចន្លោះទេ")</f>
        <v/>
      </c>
      <c r="E677" s="3" t="n"/>
      <c r="F677" s="3" t="inlineStr">
        <is>
          <t>មិនអនុញ្ញាតឱ្យមានចន្លោះទេ</t>
        </is>
      </c>
      <c r="G677" s="3" t="n"/>
      <c r="H677" s="217" t="inlineStr">
        <is>
          <t>"modifyListUser.containsWhitespace": "មិនអនុញ្ញាតឱ្យមានចន្លោះទេ",</t>
        </is>
      </c>
      <c r="I677" t="inlineStr">
        <is>
          <t>មិនអនុញ្ញាតឱ្យមានចន្លោះទេ</t>
        </is>
      </c>
    </row>
    <row r="678">
      <c r="A678" s="3" t="inlineStr">
        <is>
          <t>modifyListUser.contractType</t>
        </is>
      </c>
      <c r="B678" s="3" t="inlineStr">
        <is>
          <t>Loại hợp đồng</t>
        </is>
      </c>
      <c r="C678" s="3" t="inlineStr">
        <is>
          <t>Contract type</t>
        </is>
      </c>
      <c r="D678" s="217">
        <f>IFERROR(__xludf.DUMMYFUNCTION("GOOGLETRANSLATE(C678,""vi"",""km"")"),"ប្រភេទកិច្ចសន្យា")</f>
        <v/>
      </c>
      <c r="E678" s="3" t="n"/>
      <c r="F678" s="3" t="inlineStr">
        <is>
          <t>ប្រភេទកិច្ចសន្យា</t>
        </is>
      </c>
      <c r="G678" s="3" t="n"/>
      <c r="H678" s="217" t="inlineStr">
        <is>
          <t>"modifyListUser.contractType": "ប្រភេទកិច្ចសន្យា",</t>
        </is>
      </c>
      <c r="I678" t="inlineStr">
        <is>
          <t>ប្រភេទកិច្ចសន្យា</t>
        </is>
      </c>
    </row>
    <row r="679">
      <c r="A679" s="3" t="inlineStr">
        <is>
          <t>modifyListUser.dateOfBirth</t>
        </is>
      </c>
      <c r="B679" s="3" t="inlineStr">
        <is>
          <t>Ngày sinh</t>
        </is>
      </c>
      <c r="C679" s="3" t="inlineStr">
        <is>
          <t>Date of birth</t>
        </is>
      </c>
      <c r="D679" s="217">
        <f>IFERROR(__xludf.DUMMYFUNCTION("GOOGLETRANSLATE(C679,""vi"",""km"")"),"ថ្ងៃខែឆ្នាំកំណើត")</f>
        <v/>
      </c>
      <c r="E679" s="3" t="n"/>
      <c r="F679" s="3" t="inlineStr">
        <is>
          <t>ថ្ងៃខែឆ្នាំកំណើត</t>
        </is>
      </c>
      <c r="G679" s="3" t="n"/>
      <c r="H679" s="217" t="inlineStr">
        <is>
          <t>"modifyListUser.dateOfBirth": "ថ្ងៃខែឆ្នាំកំណើត",</t>
        </is>
      </c>
      <c r="I679" t="inlineStr">
        <is>
          <t>ថ្ងៃខែឆ្នាំកំណើត</t>
        </is>
      </c>
    </row>
    <row r="680">
      <c r="A680" s="3" t="inlineStr">
        <is>
          <t>modifyListUser.duplicateUser</t>
        </is>
      </c>
      <c r="B680" s="3" t="inlineStr">
        <is>
          <t>Người dùng đã có trên hệ thống</t>
        </is>
      </c>
      <c r="C680" s="3" t="inlineStr">
        <is>
          <t>User already exists.</t>
        </is>
      </c>
      <c r="D680" s="217">
        <f>IFERROR(__xludf.DUMMYFUNCTION("GOOGLETRANSLATE(C680,""vi"",""km"")"),"អ្នកប្រើប្រាស់មានរួចហើយ។")</f>
        <v/>
      </c>
      <c r="E680" s="3" t="n"/>
      <c r="F680" s="3" t="inlineStr">
        <is>
          <t>អ្នកប្រើប្រាស់មានរួចហើយ។</t>
        </is>
      </c>
      <c r="G680" s="3" t="n"/>
      <c r="H680" s="217" t="inlineStr">
        <is>
          <t>"modifyListUser.duplicateUser": "អ្នកប្រើប្រាស់មានរួចហើយ។",</t>
        </is>
      </c>
      <c r="I680" t="inlineStr">
        <is>
          <t>អ្នកប្រើប្រាស់មានរួចហើយ។</t>
        </is>
      </c>
    </row>
    <row r="681">
      <c r="A681" s="3" t="inlineStr">
        <is>
          <t>modifyListUser.email</t>
        </is>
      </c>
      <c r="B681" s="3" t="inlineStr">
        <is>
          <t>Email</t>
        </is>
      </c>
      <c r="C681" s="3" t="inlineStr">
        <is>
          <t>Email</t>
        </is>
      </c>
      <c r="D681" s="217">
        <f>IFERROR(__xludf.DUMMYFUNCTION("GOOGLETRANSLATE(C681,""vi"",""km"")"),"អ៊ីមែល")</f>
        <v/>
      </c>
      <c r="E681" s="3" t="n"/>
      <c r="F681" s="3" t="inlineStr">
        <is>
          <t>អ៊ីមែល</t>
        </is>
      </c>
      <c r="G681" s="3" t="n"/>
      <c r="H681" s="217" t="inlineStr">
        <is>
          <t>"modifyListUser.email": "អ៊ីមែល",</t>
        </is>
      </c>
      <c r="I681" t="inlineStr">
        <is>
          <t>អ៊ីមែល</t>
        </is>
      </c>
    </row>
    <row r="682">
      <c r="A682" s="3" t="inlineStr">
        <is>
          <t>modifyListUser.empty</t>
        </is>
      </c>
      <c r="B682" s="3" t="inlineStr">
        <is>
          <t>Nhập sai định dạng</t>
        </is>
      </c>
      <c r="C682" s="3" t="inlineStr">
        <is>
          <t>invalid format</t>
        </is>
      </c>
      <c r="D682" s="217">
        <f>IFERROR(__xludf.DUMMYFUNCTION("GOOGLETRANSLATE(C682,""vi"",""km"")"),"ទម្រង់មិនត្រឹមត្រូវ")</f>
        <v/>
      </c>
      <c r="E682" s="3" t="n"/>
      <c r="F682" s="3" t="inlineStr">
        <is>
          <t>ទម្រង់មិនត្រឹមត្រូវ</t>
        </is>
      </c>
      <c r="G682" s="3" t="n"/>
      <c r="H682" s="217" t="inlineStr">
        <is>
          <t>"modifyListUser.empty": "ទម្រង់មិនត្រឹមត្រូវ",</t>
        </is>
      </c>
      <c r="I682" t="inlineStr">
        <is>
          <t>ទម្រង់មិនត្រឹមត្រូវ</t>
        </is>
      </c>
    </row>
    <row r="683">
      <c r="A683" s="3" t="inlineStr">
        <is>
          <t>modifyListUser.firstName</t>
        </is>
      </c>
      <c r="B683" s="3" t="inlineStr">
        <is>
          <t>Tên</t>
        </is>
      </c>
      <c r="C683" s="3" t="inlineStr">
        <is>
          <t>Last name</t>
        </is>
      </c>
      <c r="D683" s="217">
        <f>IFERROR(__xludf.DUMMYFUNCTION("GOOGLETRANSLATE(C683,""vi"",""km"")"),"នាមត្រកូល")</f>
        <v/>
      </c>
      <c r="E683" s="3" t="n"/>
      <c r="F683" s="3" t="inlineStr">
        <is>
          <t>នាមត្រកូល</t>
        </is>
      </c>
      <c r="G683" s="3" t="n"/>
      <c r="H683" s="217" t="inlineStr">
        <is>
          <t>"modifyListUser.firstName": "នាមត្រកូល",</t>
        </is>
      </c>
      <c r="I683" t="inlineStr">
        <is>
          <t>នាមត្រកូល</t>
        </is>
      </c>
    </row>
    <row r="684">
      <c r="A684" s="3" t="inlineStr">
        <is>
          <t>modifyListUser.gender</t>
        </is>
      </c>
      <c r="B684" s="3" t="inlineStr">
        <is>
          <t>Giới tính</t>
        </is>
      </c>
      <c r="C684" s="3" t="inlineStr">
        <is>
          <t>Gender</t>
        </is>
      </c>
      <c r="D684" s="217">
        <f>IFERROR(__xludf.DUMMYFUNCTION("GOOGLETRANSLATE(C684,""vi"",""km"")"),"ប្រាក់កម្ចី")</f>
        <v/>
      </c>
      <c r="E684" s="3" t="n"/>
      <c r="F684" s="3" t="inlineStr">
        <is>
          <t>ប្រាក់កម្ចី</t>
        </is>
      </c>
      <c r="G684" s="3" t="n"/>
      <c r="H684" s="217" t="inlineStr">
        <is>
          <t>"modifyListUser.gender": "ប្រាក់កម្ចី",</t>
        </is>
      </c>
      <c r="I684" t="inlineStr">
        <is>
          <t>ប្រាក់កម្ចី</t>
        </is>
      </c>
    </row>
    <row r="685">
      <c r="A685" s="3" t="inlineStr">
        <is>
          <t>modifyListUser.idNo</t>
        </is>
      </c>
      <c r="B685" s="3" t="inlineStr">
        <is>
          <t>Mã công dân</t>
        </is>
      </c>
      <c r="C685" s="3" t="inlineStr">
        <is>
          <t>Citizen identification code</t>
        </is>
      </c>
      <c r="D685" s="217">
        <f>IFERROR(__xludf.DUMMYFUNCTION("GOOGLETRANSLATE(C685,""vi"",""km"")"),"លេខកូដសម្គាល់ពលរដ្ឋ")</f>
        <v/>
      </c>
      <c r="E685" s="3" t="n"/>
      <c r="F685" s="3" t="inlineStr">
        <is>
          <t>លេខកូដសម្គាល់ពលរដ្ឋ</t>
        </is>
      </c>
      <c r="G685" s="3" t="n"/>
      <c r="H685" s="217" t="inlineStr">
        <is>
          <t>"modifyListUser.idNo": "លេខកូដសម្គាល់ពលរដ្ឋ",</t>
        </is>
      </c>
      <c r="I685" t="inlineStr">
        <is>
          <t>លេខកូដសម្គាល់ពលរដ្ឋ</t>
        </is>
      </c>
    </row>
    <row r="686">
      <c r="A686" s="3" t="inlineStr">
        <is>
          <t>modifyListUser.idNohint</t>
        </is>
      </c>
      <c r="B686" s="3" t="inlineStr">
        <is>
          <t>CCCD/CMT</t>
        </is>
      </c>
      <c r="C686" s="3" t="inlineStr">
        <is>
          <t>Citizen identification</t>
        </is>
      </c>
      <c r="D686" s="217">
        <f>IFERROR(__xludf.DUMMYFUNCTION("GOOGLETRANSLATE(C686,""vi"",""km"")"),"ការជ្រើសរើសពលរដ្ឋ")</f>
        <v/>
      </c>
      <c r="E686" s="3" t="n"/>
      <c r="F686" s="3" t="inlineStr">
        <is>
          <t>អត្តសញ្ញាណប័ណ្ណ</t>
        </is>
      </c>
      <c r="G686" s="3" t="n"/>
      <c r="H686" s="217" t="inlineStr">
        <is>
          <t>"modifyListUser.idNohint": "អត្តសញ្ញាណប័ណ្ណ",</t>
        </is>
      </c>
      <c r="I686" t="inlineStr">
        <is>
          <t>អត្តសញ្ញាណប័ណ្ណ</t>
        </is>
      </c>
    </row>
    <row r="687">
      <c r="A687" s="3" t="inlineStr">
        <is>
          <t>modifyListUser.lastName</t>
        </is>
      </c>
      <c r="B687" s="3" t="inlineStr">
        <is>
          <t>Họ &amp; tên đệm</t>
        </is>
      </c>
      <c r="C687" s="3" t="inlineStr">
        <is>
          <t>First &amp; Middle Name</t>
        </is>
      </c>
      <c r="D687" s="217">
        <f>IFERROR(__xludf.DUMMYFUNCTION("GOOGLETRANSLATE(C687,""vi"",""km"")"),"ឈ្មោះ និងឈ្មោះកណ្តាល")</f>
        <v/>
      </c>
      <c r="E687" s="3" t="n"/>
      <c r="F687" s="3" t="inlineStr">
        <is>
          <t>ឈ្មោះ និងឈ្មោះកណ្តាល</t>
        </is>
      </c>
      <c r="G687" s="3" t="n"/>
      <c r="H687" s="217" t="inlineStr">
        <is>
          <t>"modifyListUser.lastName": "ឈ្មោះ និងឈ្មោះកណ្តាល",</t>
        </is>
      </c>
      <c r="I687" t="inlineStr">
        <is>
          <t>ឈ្មោះ និងឈ្មោះកណ្តាល</t>
        </is>
      </c>
    </row>
    <row r="688">
      <c r="A688" s="3" t="inlineStr">
        <is>
          <t>modifyListUser.max100</t>
        </is>
      </c>
      <c r="B688" s="3" t="inlineStr">
        <is>
          <t>Nhập tối đa 100 ký tự</t>
        </is>
      </c>
      <c r="C688" s="3" t="inlineStr">
        <is>
          <t>Enter 100 characters max</t>
        </is>
      </c>
      <c r="D688" s="217">
        <f>IFERROR(__xludf.DUMMYFUNCTION("GOOGLETRANSLATE(C688,""vi"",""km"")"),"បញ្ចូលតួអក្សរអតិបរមា 100 តួអក្សរ។")</f>
        <v/>
      </c>
      <c r="E688" s="3" t="n"/>
      <c r="F688" s="3" t="inlineStr">
        <is>
          <t>បញ្ចូលតួអក្សរអតិបរមា 100 តួអក្សរ។</t>
        </is>
      </c>
      <c r="G688" s="3" t="n"/>
      <c r="H688" s="217" t="inlineStr">
        <is>
          <t>"modifyListUser.max100": "បញ្ចូលតួអក្សរអតិបរមា 100 តួអក្សរ។",</t>
        </is>
      </c>
      <c r="I688" t="inlineStr">
        <is>
          <t>បញ្ចូលតួអក្សរអតិបរមា 100 តួអក្សរ។</t>
        </is>
      </c>
    </row>
    <row r="689">
      <c r="A689" s="3" t="inlineStr">
        <is>
          <t>modifyListUser.max20</t>
        </is>
      </c>
      <c r="B689" s="3" t="inlineStr">
        <is>
          <t>Nhập tối đa 20 ký tự</t>
        </is>
      </c>
      <c r="C689" s="3" t="inlineStr">
        <is>
          <t>Enter 20 characters max</t>
        </is>
      </c>
      <c r="D689" s="217">
        <f>IFERROR(__xludf.DUMMYFUNCTION("GOOGLETRANSLATE(C689,""vi"",""km"")"),"បញ្ចូលតួអក្សរអតិបរមា 20 តួអក្សរ។")</f>
        <v/>
      </c>
      <c r="E689" s="3" t="n"/>
      <c r="F689" s="3" t="inlineStr">
        <is>
          <t>បញ្ចូលតួអក្សរអតិបរមា 20 តួអក្សរ។</t>
        </is>
      </c>
      <c r="G689" s="3" t="n"/>
      <c r="H689" s="217" t="inlineStr">
        <is>
          <t>"modifyListUser.max20": "បញ្ចូលតួអក្សរអតិបរមា 20 តួអក្សរ។",</t>
        </is>
      </c>
      <c r="I689" t="inlineStr">
        <is>
          <t>បញ្ចូលតួអក្សរអតិបរមា 20 តួអក្សរ។</t>
        </is>
      </c>
    </row>
    <row r="690">
      <c r="A690" s="3" t="inlineStr">
        <is>
          <t>modifyListUser.max30</t>
        </is>
      </c>
      <c r="B690" s="3" t="inlineStr">
        <is>
          <t>Nhập mã công dân tối đa 30 ký tự</t>
        </is>
      </c>
      <c r="C690" s="3" t="inlineStr">
        <is>
          <t>Enter citizen ID 30 characters max.</t>
        </is>
      </c>
      <c r="D690" s="217">
        <f>IFERROR(__xludf.DUMMYFUNCTION("GOOGLETRANSLATE(C690,""vi"",""km"")"),"បញ្ចូលអត្តសញ្ញាណប័ណ្ណពលរដ្ឋអតិបរមា ៣០ តួអក្សរ។")</f>
        <v/>
      </c>
      <c r="E690" s="3" t="n"/>
      <c r="F690" s="3" t="inlineStr">
        <is>
          <t>បញ្ចូលអត្តសញ្ញាណប័ណ្ណពលរដ្ឋអតិបរមា ៣០ តួអក្សរ។</t>
        </is>
      </c>
      <c r="G690" s="3" t="n"/>
      <c r="H690" s="217" t="inlineStr">
        <is>
          <t>"modifyListUser.max30": "បញ្ចូលអត្តសញ្ញាណប័ណ្ណពលរដ្ឋអតិបរមា ៣០ តួអក្សរ។",</t>
        </is>
      </c>
      <c r="I690" t="inlineStr">
        <is>
          <t>បញ្ចូលអត្តសញ្ញាណប័ណ្ណពលរដ្ឋអតិបរមា ៣០ តួអក្សរ។</t>
        </is>
      </c>
    </row>
    <row r="691">
      <c r="A691" s="3" t="inlineStr">
        <is>
          <t>modifyListUser.max50</t>
        </is>
      </c>
      <c r="B691" s="3" t="inlineStr">
        <is>
          <t>Nhập tối đa 50 ký tự</t>
        </is>
      </c>
      <c r="C691" s="3" t="inlineStr">
        <is>
          <t>Enter 50 characters max</t>
        </is>
      </c>
      <c r="D691" s="217">
        <f>IFERROR(__xludf.DUMMYFUNCTION("GOOGLETRANSLATE(C691,""vi"",""km"")"),"បញ្ចូលតួអក្សរអតិបរមា 50 តួអក្សរ។")</f>
        <v/>
      </c>
      <c r="E691" s="3" t="n"/>
      <c r="F691" s="3" t="inlineStr">
        <is>
          <t>បញ្ចូលតួអក្សរអតិបរមា 50 តួអក្សរ។</t>
        </is>
      </c>
      <c r="G691" s="3" t="n"/>
      <c r="H691" s="217" t="inlineStr">
        <is>
          <t>"modifyListUser.max50": "បញ្ចូលតួអក្សរអតិបរមា 50 តួអក្សរ។",</t>
        </is>
      </c>
      <c r="I691" t="inlineStr">
        <is>
          <t>បញ្ចូលតួអក្សរអតិបរមា 50 តួអក្សរ។</t>
        </is>
      </c>
    </row>
    <row r="692">
      <c r="A692" s="3" t="inlineStr">
        <is>
          <t>modifyListUser.max6</t>
        </is>
      </c>
      <c r="B692" s="3" t="inlineStr">
        <is>
          <t>Nhập tối đa 6 ký tự</t>
        </is>
      </c>
      <c r="C692" s="3" t="inlineStr">
        <is>
          <t>Enter 6 characters max</t>
        </is>
      </c>
      <c r="D692" s="217">
        <f>IFERROR(__xludf.DUMMYFUNCTION("GOOGLETRANSLATE(C692,""vi"",""km"")"),"បញ្ចូលតួអក្សរអតិបរមា ៦ តួអក្សរ។")</f>
        <v/>
      </c>
      <c r="E692" s="3" t="n"/>
      <c r="F692" s="3" t="inlineStr">
        <is>
          <t>បញ្ចូលតួអក្សរអតិបរមា ៦ តួអក្សរ។</t>
        </is>
      </c>
      <c r="G692" s="3" t="n"/>
      <c r="H692" s="217" t="inlineStr">
        <is>
          <t>"modifyListUser.max6": "បញ្ចូលតួអក្សរអតិបរមា ៦ តួអក្សរ។",</t>
        </is>
      </c>
      <c r="I692" t="inlineStr">
        <is>
          <t>បញ្ចូលតួអក្សរអតិបរមា ៦ តួអក្សរ។</t>
        </is>
      </c>
    </row>
    <row r="693">
      <c r="A693" s="3" t="inlineStr">
        <is>
          <t>modifyListUser.max9</t>
        </is>
      </c>
      <c r="B693" s="3" t="inlineStr">
        <is>
          <t>Nhập tối đa 9 ký tự</t>
        </is>
      </c>
      <c r="C693" s="3" t="inlineStr">
        <is>
          <t>Enter up to 9 characters</t>
        </is>
      </c>
      <c r="D693" s="217">
        <f>IFERROR(__xludf.DUMMYFUNCTION("GOOGLETRANSLATE(C693,""vi"",""km"")"),"បញ្ចូល​តួអក្សរ​រហូតដល់ ៩ តួអក្សរ")</f>
        <v/>
      </c>
      <c r="E693" s="3" t="n"/>
      <c r="F693" s="3" t="inlineStr">
        <is>
          <t>បញ្ចូលតួអក្សររហូតដល់ ៩ តួអក្សរ</t>
        </is>
      </c>
      <c r="G693" s="3" t="n"/>
      <c r="H693" s="217" t="inlineStr">
        <is>
          <t>"modifyListUser.max9": "បញ្ចូលតួអក្សររហូតដល់ ៩ តួអក្សរ",</t>
        </is>
      </c>
      <c r="I693" t="inlineStr">
        <is>
          <t>បញ្ចូលតួអក្សររហូតដល់ ៩ តួអក្សរ</t>
        </is>
      </c>
    </row>
    <row r="694">
      <c r="A694" s="3" t="inlineStr">
        <is>
          <t>modifyListUser.phone</t>
        </is>
      </c>
      <c r="B694" s="3" t="inlineStr">
        <is>
          <t>Số điện thoại</t>
        </is>
      </c>
      <c r="C694" s="3" t="inlineStr">
        <is>
          <t>Phone number</t>
        </is>
      </c>
      <c r="D694" s="217">
        <f>IFERROR(__xludf.DUMMYFUNCTION("GOOGLETRANSLATE(C694,""vi"",""km"")"),"លេខទូរស័ព្ទ")</f>
        <v/>
      </c>
      <c r="E694" s="3" t="n"/>
      <c r="F694" s="3" t="inlineStr">
        <is>
          <t>លេខទូរស័ព្ទ</t>
        </is>
      </c>
      <c r="G694" s="3" t="n"/>
      <c r="H694" s="217" t="inlineStr">
        <is>
          <t>"modifyListUser.phone": "លេខទូរស័ព្ទ",</t>
        </is>
      </c>
      <c r="I694" t="inlineStr">
        <is>
          <t>លេខទូរស័ព្ទ</t>
        </is>
      </c>
    </row>
    <row r="695">
      <c r="A695" s="3" t="inlineStr">
        <is>
          <t>modifyListUser.remark</t>
        </is>
      </c>
      <c r="B695" s="3" t="inlineStr">
        <is>
          <t>Ghi chú</t>
        </is>
      </c>
      <c r="C695" s="3" t="inlineStr">
        <is>
          <t>Note</t>
        </is>
      </c>
      <c r="D695" s="217">
        <f>IFERROR(__xludf.DUMMYFUNCTION("GOOGLETRANSLATE(C695,""vi"",""km"")"),"កំណត់ចំណាំ")</f>
        <v/>
      </c>
      <c r="E695" s="3" t="n"/>
      <c r="F695" s="3" t="inlineStr">
        <is>
          <t>ចំណាំ</t>
        </is>
      </c>
      <c r="G695" s="3" t="n"/>
      <c r="H695" s="217" t="inlineStr">
        <is>
          <t>"modifyListUser.remark": "ចំណាំ",</t>
        </is>
      </c>
      <c r="I695" t="inlineStr">
        <is>
          <t>ចំណាំ</t>
        </is>
      </c>
    </row>
    <row r="696">
      <c r="A696" s="3" t="inlineStr">
        <is>
          <t>modifyListUser.remarkHint</t>
        </is>
      </c>
      <c r="B696" s="3" t="inlineStr">
        <is>
          <t>Nhập ghi chú</t>
        </is>
      </c>
      <c r="C696" s="3" t="inlineStr">
        <is>
          <t>Enter note</t>
        </is>
      </c>
      <c r="D696" s="217">
        <f>IFERROR(__xludf.DUMMYFUNCTION("GOOGLETRANSLATE(C696,""vi"",""km"")"),"បញ្ចូលកំណត់ចំណាំ")</f>
        <v/>
      </c>
      <c r="E696" s="3" t="n"/>
      <c r="F696" s="3" t="inlineStr">
        <is>
          <t>បញ្ចូលកំណត់ចំណាំ</t>
        </is>
      </c>
      <c r="G696" s="3" t="n"/>
      <c r="H696" s="217" t="inlineStr">
        <is>
          <t>"modifyListUser.remarkHint": "បញ្ចូលកំណត់ចំណាំ",</t>
        </is>
      </c>
      <c r="I696" t="inlineStr">
        <is>
          <t>បញ្ចូលកំណត់ចំណាំ</t>
        </is>
      </c>
    </row>
    <row r="697">
      <c r="A697" s="3" t="inlineStr">
        <is>
          <t>modifyListUser.staffCode</t>
        </is>
      </c>
      <c r="B697" s="3" t="inlineStr">
        <is>
          <t>Mã nhân viên</t>
        </is>
      </c>
      <c r="C697" s="3" t="inlineStr">
        <is>
          <t>Employee ID</t>
        </is>
      </c>
      <c r="D697" s="217">
        <f>IFERROR(__xludf.DUMMYFUNCTION("GOOGLETRANSLATE(C697,""vi"",""km"")"),"អត្តសញ្ញាណបុគ្គលិក")</f>
        <v/>
      </c>
      <c r="E697" s="3" t="n"/>
      <c r="F697" s="3" t="inlineStr">
        <is>
          <t>លេខកូដបុគ្គលិក</t>
        </is>
      </c>
      <c r="G697" s="3" t="n"/>
      <c r="H697" s="217" t="inlineStr">
        <is>
          <t>"modifyListUser.staffCode": "លេខកូដបុគ្គលិក",</t>
        </is>
      </c>
      <c r="I697" t="inlineStr">
        <is>
          <t>លេខកូដបុគ្គលិក</t>
        </is>
      </c>
    </row>
    <row r="698">
      <c r="A698" s="3" t="inlineStr">
        <is>
          <t>modifyListUser.startWithSpace</t>
        </is>
      </c>
      <c r="B698" s="3" t="inlineStr">
        <is>
          <t>Không được bắt đầu bằng khoảng trắng</t>
        </is>
      </c>
      <c r="C698" s="3" t="inlineStr">
        <is>
          <t>Cannot start with a space.</t>
        </is>
      </c>
      <c r="D698" s="217">
        <f>IFERROR(__xludf.DUMMYFUNCTION("GOOGLETRANSLATE(C698,""vi"",""km"")"),"មិនអាចចាប់ផ្តើមដោយចន្លោះបានទេ។")</f>
        <v/>
      </c>
      <c r="E698" s="3" t="n"/>
      <c r="F698" s="3" t="inlineStr">
        <is>
          <t>មិនអាចចាប់ផ្តើមដោយចន្លោះបានទេ។</t>
        </is>
      </c>
      <c r="G698" s="3" t="n"/>
      <c r="H698" s="217" t="inlineStr">
        <is>
          <t>"modifyListUser.startWithSpace": "មិនអាចចាប់ផ្តើមដោយចន្លោះបានទេ។",</t>
        </is>
      </c>
      <c r="I698" t="inlineStr">
        <is>
          <t>មិនអាចចាប់ផ្តើមដោយចន្លោះបានទេ។</t>
        </is>
      </c>
    </row>
    <row r="699">
      <c r="A699" s="3" t="inlineStr">
        <is>
          <t>modifyListUser.title</t>
        </is>
      </c>
      <c r="B699" s="3" t="inlineStr">
        <is>
          <t>Thông tin tài khoản người dùng</t>
        </is>
      </c>
      <c r="C699" s="3" t="inlineStr">
        <is>
          <t>User information</t>
        </is>
      </c>
      <c r="D699" s="217">
        <f>IFERROR(__xludf.DUMMYFUNCTION("GOOGLETRANSLATE(C699,""vi"",""km"")"),"ព័ត៌មានអ្នកប្រើប្រាស់")</f>
        <v/>
      </c>
      <c r="E699" s="3" t="n"/>
      <c r="F699" s="3" t="inlineStr">
        <is>
          <t>ព័ត៌មានអ្នកប្រើប្រាស់</t>
        </is>
      </c>
      <c r="G699" s="3" t="n"/>
      <c r="H699" s="217" t="inlineStr">
        <is>
          <t>"modifyListUser.title": "ព័ត៌មានអ្នកប្រើប្រាស់",</t>
        </is>
      </c>
      <c r="I699" t="inlineStr">
        <is>
          <t>ព័ត៌មានអ្នកប្រើប្រាស់</t>
        </is>
      </c>
    </row>
    <row r="700">
      <c r="A700" s="3" t="inlineStr">
        <is>
          <t>modifyOrder.addAddress</t>
        </is>
      </c>
      <c r="B700" s="3" t="inlineStr">
        <is>
          <t>Thêm địa chỉ gửi hàng khác</t>
        </is>
      </c>
      <c r="C700" s="3" t="inlineStr">
        <is>
          <t>Add new address</t>
        </is>
      </c>
      <c r="D700" s="217">
        <f>IFERROR(__xludf.DUMMYFUNCTION("GOOGLETRANSLATE(C700,""vi"",""km"")"),"បន្ថែមអាសយដ្ឋានថ្មី")</f>
        <v/>
      </c>
      <c r="E700" s="3" t="n"/>
      <c r="F700" s="3" t="inlineStr">
        <is>
          <t>បន្ថែមអាសយដ្ឋានថ្មី</t>
        </is>
      </c>
      <c r="G700" s="3" t="n"/>
      <c r="H700" s="217" t="inlineStr">
        <is>
          <t>"modifyOrder.addAddress": "បន្ថែមអាសយដ្ឋានថ្មី",</t>
        </is>
      </c>
      <c r="I700" t="inlineStr">
        <is>
          <t>បន្ថែមអាសយដ្ឋានថ្មី</t>
        </is>
      </c>
    </row>
    <row r="701">
      <c r="A701" s="3" t="inlineStr">
        <is>
          <t>modifyOrder.addAlternativePhones</t>
        </is>
      </c>
      <c r="B701" s="3" t="inlineStr">
        <is>
          <t>Thêm SĐT phụ</t>
        </is>
      </c>
      <c r="C701" s="3" t="inlineStr">
        <is>
          <t>Additional phone number</t>
        </is>
      </c>
      <c r="D701" s="217">
        <f>IFERROR(__xludf.DUMMYFUNCTION("GOOGLETRANSLATE(C701,""vi"",""km"")"),"លេខទូរស័ព្ទបន្ថែម")</f>
        <v/>
      </c>
      <c r="E701" s="3" t="n"/>
      <c r="F701" s="3" t="inlineStr">
        <is>
          <t>លេខទូរស័ព្ទបន្ថែម</t>
        </is>
      </c>
      <c r="G701" s="3" t="n"/>
      <c r="H701" s="217" t="inlineStr">
        <is>
          <t>"modifyOrder.addAlternativePhones": "លេខទូរស័ព្ទបន្ថែម",</t>
        </is>
      </c>
      <c r="I701" t="inlineStr">
        <is>
          <t>លេខទូរស័ព្ទបន្ថែម</t>
        </is>
      </c>
    </row>
    <row r="702">
      <c r="A702" s="3" t="inlineStr">
        <is>
          <t>modifyOrder.address</t>
        </is>
      </c>
      <c r="B702" s="3" t="inlineStr">
        <is>
          <t>Địa chỉ</t>
        </is>
      </c>
      <c r="C702" s="3" t="inlineStr">
        <is>
          <t>Address</t>
        </is>
      </c>
      <c r="D702" s="217">
        <f>IFERROR(__xludf.DUMMYFUNCTION("GOOGLETRANSLATE(C702,""vi"",""km"")"),"មិនត្រឹមត្រូវ")</f>
        <v/>
      </c>
      <c r="E702" s="3" t="n"/>
      <c r="F702" s="3" t="inlineStr">
        <is>
          <t>អាសយដ្ឋាន</t>
        </is>
      </c>
      <c r="G702" s="3" t="n"/>
      <c r="H702" s="217" t="inlineStr">
        <is>
          <t>"modifyOrder.address": "អាសយដ្ឋាន",</t>
        </is>
      </c>
      <c r="I702" t="inlineStr">
        <is>
          <t>អាសយដ្ឋាន</t>
        </is>
      </c>
    </row>
    <row r="703">
      <c r="A703" s="3" t="inlineStr">
        <is>
          <t>modifyOrder.addressName</t>
        </is>
      </c>
      <c r="B703" s="3" t="inlineStr">
        <is>
          <t>Tên địa chỉ</t>
        </is>
      </c>
      <c r="C703" s="3" t="inlineStr">
        <is>
          <t>Address name</t>
        </is>
      </c>
      <c r="D703" s="217">
        <f>IFERROR(__xludf.DUMMYFUNCTION("GOOGLETRANSLATE(C703,""vi"",""km"")"),"អាសយដ្ឋាន")</f>
        <v/>
      </c>
      <c r="E703" s="3" t="n"/>
      <c r="F703" s="3" t="inlineStr">
        <is>
          <t>អាសយដ្ឋាន</t>
        </is>
      </c>
      <c r="G703" s="3" t="n"/>
      <c r="H703" s="217" t="inlineStr">
        <is>
          <t>"modifyOrder.addressName": "អាសយដ្ឋាន",</t>
        </is>
      </c>
      <c r="I703" t="inlineStr">
        <is>
          <t>អាសយដ្ឋាន</t>
        </is>
      </c>
    </row>
    <row r="704">
      <c r="A704" s="3" t="inlineStr">
        <is>
          <t>modifyOrder.addressNamePlace</t>
        </is>
      </c>
      <c r="B704" s="3" t="inlineStr">
        <is>
          <t>Nhập tên địa chỉ</t>
        </is>
      </c>
      <c r="C704" s="3" t="inlineStr">
        <is>
          <t>Enter address name</t>
        </is>
      </c>
      <c r="D704" s="217">
        <f>IFERROR(__xludf.DUMMYFUNCTION("GOOGLETRANSLATE(C704,""vi"",""km"")"),"បញ្ចូលឈ្មោះអាសយដ្ឋាន")</f>
        <v/>
      </c>
      <c r="E704" s="3" t="n"/>
      <c r="F704" s="3" t="inlineStr">
        <is>
          <t>បញ្ចូលឈ្មោះអាសយដ្ឋាន</t>
        </is>
      </c>
      <c r="G704" s="3" t="n"/>
      <c r="H704" s="217" t="inlineStr">
        <is>
          <t>"modifyOrder.addressNamePlace": "បញ្ចូលឈ្មោះអាសយដ្ឋាន",</t>
        </is>
      </c>
      <c r="I704" t="inlineStr">
        <is>
          <t>បញ្ចូលឈ្មោះអាសយដ្ឋាន</t>
        </is>
      </c>
    </row>
    <row r="705">
      <c r="A705" s="3" t="inlineStr">
        <is>
          <t>modifyOrder.addressNew</t>
        </is>
      </c>
      <c r="B705" s="3" t="inlineStr">
        <is>
          <t>Địa chỉ mới</t>
        </is>
      </c>
      <c r="C705" s="3" t="inlineStr">
        <is>
          <t>New address</t>
        </is>
      </c>
      <c r="D705" s="217">
        <f>IFERROR(__xludf.DUMMYFUNCTION("GOOGLETRANSLATE(C705,""vi"",""km"")"),"អាសយដ្ឋានថ្មី")</f>
        <v/>
      </c>
      <c r="E705" s="3" t="n"/>
      <c r="F705" s="3" t="inlineStr">
        <is>
          <t>អាសយដ្ឋានថ្មី</t>
        </is>
      </c>
      <c r="G705" s="3" t="n"/>
      <c r="H705" s="217" t="inlineStr">
        <is>
          <t>"modifyOrder.addressNew": "អាសយដ្ឋានថ្មី",</t>
        </is>
      </c>
      <c r="I705" t="inlineStr">
        <is>
          <t>អាសយដ្ឋានថ្មី</t>
        </is>
      </c>
    </row>
    <row r="706">
      <c r="A706" s="3" t="inlineStr">
        <is>
          <t>modifyOrder.addressPlaceholder</t>
        </is>
      </c>
      <c r="B706" s="3" t="inlineStr">
        <is>
          <t>Nhập địa chỉ</t>
        </is>
      </c>
      <c r="C706" s="3" t="inlineStr">
        <is>
          <t>Enter address</t>
        </is>
      </c>
      <c r="D706" s="217">
        <f>IFERROR(__xludf.DUMMYFUNCTION("GOOGLETRANSLATE(C706,""vi"",""km"")"),"បញ្ចូលអាសយដ្ឋាន")</f>
        <v/>
      </c>
      <c r="E706" s="3" t="n"/>
      <c r="F706" s="3" t="inlineStr">
        <is>
          <t>បញ្ចូលអាសយដ្ឋាន</t>
        </is>
      </c>
      <c r="G706" s="3" t="n"/>
      <c r="H706" s="217" t="inlineStr">
        <is>
          <t>"modifyOrder.addressPlaceholder": "បញ្ចូលអាសយដ្ឋាន",</t>
        </is>
      </c>
      <c r="I706" t="inlineStr">
        <is>
          <t>បញ្ចូលអាសយដ្ឋាន</t>
        </is>
      </c>
    </row>
    <row r="707">
      <c r="A707" s="3" t="inlineStr">
        <is>
          <t>modifyOrder.afternoon</t>
        </is>
      </c>
      <c r="B707" s="3" t="inlineStr">
        <is>
          <t>Chiều (13h30 - 18h00)</t>
        </is>
      </c>
      <c r="C707" s="3" t="inlineStr">
        <is>
          <t>Afternoon (13:30 - 18:00)</t>
        </is>
      </c>
      <c r="D707" s="217">
        <f>IFERROR(__xludf.DUMMYFUNCTION("GOOGLETRANSLATE(C707,""vi"",""km"")"),"ពេលរសៀល (ម៉ោង ១:៣០ រសៀល - ៦:០០ ល្ងាច)")</f>
        <v/>
      </c>
      <c r="E707" s="3" t="n"/>
      <c r="F707" s="3" t="inlineStr">
        <is>
          <t>ពេលរសៀល (ម៉ោង ១:៣០ រសៀល - ៦:០០ ល្ងាច)</t>
        </is>
      </c>
      <c r="G707" s="3" t="n"/>
      <c r="H707" s="217" t="inlineStr">
        <is>
          <t>"modifyOrder.afternoon": "ពេលរសៀល (ម៉ោង ១:៣០ រសៀល - ៦:០០ ល្ងាច)",</t>
        </is>
      </c>
      <c r="I707" t="inlineStr">
        <is>
          <t>ពេលរសៀល (ម៉ោង ១:៣០ រសៀល - ៦:០០ ល្ងាច)</t>
        </is>
      </c>
    </row>
    <row r="708">
      <c r="A708" s="3" t="inlineStr">
        <is>
          <t>modifyOrder.all_day</t>
        </is>
      </c>
      <c r="B708" s="3" t="inlineStr">
        <is>
          <t>Cả ngày</t>
        </is>
      </c>
      <c r="C708" s="3" t="inlineStr">
        <is>
          <t>All day</t>
        </is>
      </c>
      <c r="D708" s="217">
        <f>IFERROR(__xludf.DUMMYFUNCTION("GOOGLETRANSLATE(C708,""vi"",""km"")"),"ពេញមួយថ្ងៃ")</f>
        <v/>
      </c>
      <c r="E708" s="3" t="n"/>
      <c r="F708" s="3" t="inlineStr">
        <is>
          <t>ពេញមួយថ្ងៃ</t>
        </is>
      </c>
      <c r="G708" s="3" t="n"/>
      <c r="H708" s="217" t="inlineStr">
        <is>
          <t>"modifyOrder.all_day": "ពេញមួយថ្ងៃ",</t>
        </is>
      </c>
      <c r="I708" t="inlineStr">
        <is>
          <t>ពេញមួយថ្ងៃ</t>
        </is>
      </c>
    </row>
    <row r="709">
      <c r="A709" s="3" t="inlineStr">
        <is>
          <t>modifyOrder.alternativePhones</t>
        </is>
      </c>
      <c r="B709" s="3" t="inlineStr">
        <is>
          <t>Điện thoại phụ</t>
        </is>
      </c>
      <c r="C709" s="3" t="inlineStr">
        <is>
          <t>Additional phone number</t>
        </is>
      </c>
      <c r="D709" s="217">
        <f>IFERROR(__xludf.DUMMYFUNCTION("GOOGLETRANSLATE(C709,""vi"",""km"")"),"លេខទូរស័ព្ទបន្ថែម")</f>
        <v/>
      </c>
      <c r="E709" s="3" t="n"/>
      <c r="F709" s="3" t="inlineStr">
        <is>
          <t>លេខទូរស័ព្ទបន្ថែម</t>
        </is>
      </c>
      <c r="G709" s="3" t="n"/>
      <c r="H709" s="217" t="inlineStr">
        <is>
          <t>"modifyOrder.alternativePhones": "លេខទូរស័ព្ទបន្ថែម",</t>
        </is>
      </c>
      <c r="I709" t="inlineStr">
        <is>
          <t>លេខទូរស័ព្ទបន្ថែម</t>
        </is>
      </c>
    </row>
    <row r="710">
      <c r="A710" s="3" t="inlineStr">
        <is>
          <t>modifyOrder.alternativePhonesNote</t>
        </is>
      </c>
      <c r="B710" s="3" t="inlineStr">
        <is>
          <t>*Lưu ý: Số điện thoại phụ sẽ được phân cách bởi dấu phẩy.</t>
        </is>
      </c>
      <c r="C710" s="3" t="inlineStr">
        <is>
          <t>Note: Additional phone numbers should be separated by commas.</t>
        </is>
      </c>
      <c r="D710" s="217">
        <f>IFERROR(__xludf.DUMMYFUNCTION("GOOGLETRANSLATE(C710,""vi"",""km"")"),"ចំណាំ៖ លេខទូរស័ព្ទបន្ថែមគួរតែត្រូវបានបំបែកដោយសញ្ញាក្បៀស។")</f>
        <v/>
      </c>
      <c r="E710" s="3" t="n"/>
      <c r="F710" s="3" t="inlineStr">
        <is>
          <t>ចំណាំ៖ លេខទូរស័ព្ទបន្ថែមគួរតែត្រូវបានបំបែកដោយសញ្ញាក្បៀស។</t>
        </is>
      </c>
      <c r="G710" s="3" t="n"/>
      <c r="H710" s="217" t="inlineStr">
        <is>
          <t>"modifyOrder.alternativePhonesNote": "ចំណាំ៖ លេខទូរស័ព្ទបន្ថែមគួរតែត្រូវបានបំបែកដោយសញ្ញាក្បៀស។",</t>
        </is>
      </c>
      <c r="I710" t="inlineStr">
        <is>
          <t>ចំណាំ៖ លេខទូរស័ព្ទបន្ថែមគួរតែត្រូវបានបំបែកដោយសញ្ញាក្បៀស។</t>
        </is>
      </c>
    </row>
    <row r="711">
      <c r="A711" s="3" t="inlineStr">
        <is>
          <t>modifyOrder.alternativePhonesPlaceholder</t>
        </is>
      </c>
      <c r="B711" s="3" t="inlineStr">
        <is>
          <t>Nhập số điện thoại phụ</t>
        </is>
      </c>
      <c r="C711" s="3" t="inlineStr">
        <is>
          <t>Enter additional phone number</t>
        </is>
      </c>
      <c r="D711" s="217">
        <f>IFERROR(__xludf.DUMMYFUNCTION("GOOGLETRANSLATE(C711,""vi"",""km"")"),"បញ្ចូលលេខទូរស័ព្ទបន្ថែម")</f>
        <v/>
      </c>
      <c r="E711" s="3" t="n"/>
      <c r="F711" s="3" t="inlineStr">
        <is>
          <t>បញ្ចូលលេខទូរស័ព្ទបន្ថែម</t>
        </is>
      </c>
      <c r="G711" s="3" t="n"/>
      <c r="H711" s="217" t="inlineStr">
        <is>
          <t>"modifyOrder.alternativePhonesPlaceholder": "បញ្ចូលលេខទូរស័ព្ទបន្ថែម",</t>
        </is>
      </c>
      <c r="I711" t="inlineStr">
        <is>
          <t>បញ្ចូលលេខទូរស័ព្ទបន្ថែម</t>
        </is>
      </c>
    </row>
    <row r="712">
      <c r="A712" s="3" t="inlineStr">
        <is>
          <t>modifyOrder.appointment</t>
        </is>
      </c>
      <c r="B712" s="3" t="inlineStr">
        <is>
          <t>Thời gian dự kiến</t>
        </is>
      </c>
      <c r="C712" s="3" t="inlineStr">
        <is>
          <t>Expected time</t>
        </is>
      </c>
      <c r="D712" s="217">
        <f>IFERROR(__xludf.DUMMYFUNCTION("GOOGLETRANSLATE(C712,""vi"",""km"")"),"ពេលវេលារំពឹងទុក")</f>
        <v/>
      </c>
      <c r="E712" s="3" t="n"/>
      <c r="F712" s="3" t="inlineStr">
        <is>
          <t>ពេលវេលារំពឹងទុក</t>
        </is>
      </c>
      <c r="G712" s="3" t="n"/>
      <c r="H712" s="217" t="inlineStr">
        <is>
          <t>"modifyOrder.appointment": "ពេលវេលារំពឹងទុក",</t>
        </is>
      </c>
      <c r="I712" t="inlineStr">
        <is>
          <t>ពេលវេលារំពឹងទុក</t>
        </is>
      </c>
    </row>
    <row r="713">
      <c r="A713" s="3" t="inlineStr">
        <is>
          <t>modifyOrder.calculatorPricing</t>
        </is>
      </c>
      <c r="B713" s="3" t="inlineStr">
        <is>
          <t>Khối lượng tính cước</t>
        </is>
      </c>
      <c r="C713" s="3" t="inlineStr">
        <is>
          <t>Chargeable weight</t>
        </is>
      </c>
      <c r="D713" s="217">
        <f>IFERROR(__xludf.DUMMYFUNCTION("GOOGLETRANSLATE(C713,""vi"",""km"")"),"ទម្ងន់ដែលអាចគិតថ្លៃបាន")</f>
        <v/>
      </c>
      <c r="E713" s="3" t="n"/>
      <c r="F713" s="3" t="inlineStr">
        <is>
          <t>ទម្ងន់ដែលអាចគិតថ្លៃបាន</t>
        </is>
      </c>
      <c r="G713" s="3" t="n"/>
      <c r="H713" s="217" t="inlineStr">
        <is>
          <t>"modifyOrder.calculatorPricing": "ទម្ងន់ដែលអាចគិតថ្លៃបាន",</t>
        </is>
      </c>
      <c r="I713" t="inlineStr">
        <is>
          <t>ទម្ងន់ដែលអាចគិតថ្លៃបាន</t>
        </is>
      </c>
    </row>
    <row r="714">
      <c r="A714" s="3" t="inlineStr">
        <is>
          <t>modifyOrder.calculatorSize</t>
        </is>
      </c>
      <c r="B714" s="3" t="inlineStr">
        <is>
          <t>Tổng kích thước (cm)</t>
        </is>
      </c>
      <c r="C714" s="3" t="inlineStr">
        <is>
          <t>Total dimensions (cm)</t>
        </is>
      </c>
      <c r="D714" s="217">
        <f>IFERROR(__xludf.DUMMYFUNCTION("GOOGLETRANSLATE(C714,""vi"",""km"")"),"វិមាត្រសរុប (សង់ទីម៉ែត្រ)")</f>
        <v/>
      </c>
      <c r="E714" s="3" t="n"/>
      <c r="F714" s="3" t="inlineStr">
        <is>
          <t>វិមាត្រសរុប (សង់ទីម៉ែត្រ)</t>
        </is>
      </c>
      <c r="G714" s="3" t="n"/>
      <c r="H714" s="217" t="inlineStr">
        <is>
          <t>"modifyOrder.calculatorSize": "វិមាត្រសរុប (សង់ទីម៉ែត្រ)",</t>
        </is>
      </c>
      <c r="I714" t="inlineStr">
        <is>
          <t>វិមាត្រសរុប (សង់ទីម៉ែត្រ)</t>
        </is>
      </c>
    </row>
    <row r="715">
      <c r="A715" s="3" t="inlineStr">
        <is>
          <t>modifyOrder.calculatorWeight</t>
        </is>
      </c>
      <c r="B715" s="3" t="inlineStr">
        <is>
          <t>Quy đổi (g)</t>
        </is>
      </c>
      <c r="C715" s="3" t="inlineStr">
        <is>
          <t>Converted (g)</t>
        </is>
      </c>
      <c r="D715" s="217">
        <f>IFERROR(__xludf.DUMMYFUNCTION("GOOGLETRANSLATE(C715,""vi"",""km"")"),"បានបម្លែង (ក្រាម)")</f>
        <v/>
      </c>
      <c r="E715" s="3" t="n"/>
      <c r="F715" s="3" t="inlineStr">
        <is>
          <t>បានបម្លែង (ក្រាម)</t>
        </is>
      </c>
      <c r="G715" s="3" t="n"/>
      <c r="H715" s="217" t="inlineStr">
        <is>
          <t>"modifyOrder.calculatorWeight": "បានបម្លែង (ក្រាម)",</t>
        </is>
      </c>
      <c r="I715" t="inlineStr">
        <is>
          <t>បានបម្លែង (ក្រាម)</t>
        </is>
      </c>
    </row>
    <row r="716">
      <c r="A716" s="3" t="inlineStr">
        <is>
          <t>modifyOrder.cash</t>
        </is>
      </c>
      <c r="B716" s="3" t="inlineStr">
        <is>
          <t>Thanh toán ngay</t>
        </is>
      </c>
      <c r="C716" s="3" t="inlineStr">
        <is>
          <t>Cash</t>
        </is>
      </c>
      <c r="D716" s="217">
        <f>IFERROR(__xludf.DUMMYFUNCTION("GOOGLETRANSLATE(C716,""vi"",""km"")"),"ប្រយុទ្ធ")</f>
        <v/>
      </c>
      <c r="E716" s="3" t="n"/>
      <c r="F716" s="3" t="inlineStr">
        <is>
          <t>ប្រយុទ្ធ</t>
        </is>
      </c>
      <c r="G716" s="3" t="n"/>
      <c r="H716" s="217" t="inlineStr">
        <is>
          <t>"modifyOrder.cash": "ប្រយុទ្ធ",</t>
        </is>
      </c>
      <c r="I716" t="inlineStr">
        <is>
          <t>ប្រយុទ្ធ</t>
        </is>
      </c>
    </row>
    <row r="717">
      <c r="A717" s="3" t="inlineStr">
        <is>
          <t>modifyOrder.changeWeight</t>
        </is>
      </c>
      <c r="B717" s="3" t="inlineStr">
        <is>
          <t>Quy đổi</t>
        </is>
      </c>
      <c r="C717" s="3" t="inlineStr">
        <is>
          <t>Convert</t>
        </is>
      </c>
      <c r="D717" s="217">
        <f>IFERROR(__xludf.DUMMYFUNCTION("GOOGLETRANSLATE(C717,""vi"",""km"")"),"បម្លែង")</f>
        <v/>
      </c>
      <c r="E717" s="3" t="n"/>
      <c r="F717" s="3" t="inlineStr">
        <is>
          <t>បម្លែង</t>
        </is>
      </c>
      <c r="G717" s="3" t="n"/>
      <c r="H717" s="217" t="inlineStr">
        <is>
          <t>"modifyOrder.changeWeight": "បម្លែង",</t>
        </is>
      </c>
      <c r="I717" t="inlineStr">
        <is>
          <t>បម្លែង</t>
        </is>
      </c>
    </row>
    <row r="718">
      <c r="A718" s="3" t="inlineStr">
        <is>
          <t>modifyOrder.changeWeightNote</t>
        </is>
      </c>
      <c r="B718" s="3" t="inlineStr">
        <is>
          <t>Khối lượng quy đổi từ kích thước hàng hóa</t>
        </is>
      </c>
      <c r="C718" s="3" t="inlineStr">
        <is>
          <t>Weight converted from parcel dimensions</t>
        </is>
      </c>
      <c r="D718" s="217">
        <f>IFERROR(__xludf.DUMMYFUNCTION("GOOGLETRANSLATE(C718,""vi"",""km"")"),"ទម្ងន់បានបម្លែងពីវិមាត្រកញ្ចប់")</f>
        <v/>
      </c>
      <c r="E718" s="3" t="n"/>
      <c r="F718" s="3" t="inlineStr">
        <is>
          <t>ទម្ងន់បានបម្លែងពីវិមាត្រកញ្ចប់</t>
        </is>
      </c>
      <c r="G718" s="3" t="n"/>
      <c r="H718" s="217" t="inlineStr">
        <is>
          <t>"modifyOrder.changeWeightNote": "ទម្ងន់បានបម្លែងពីវិមាត្រកញ្ចប់",</t>
        </is>
      </c>
      <c r="I718" t="inlineStr">
        <is>
          <t>ទម្ងន់បានបម្លែងពីវិមាត្រកញ្ចប់</t>
        </is>
      </c>
    </row>
    <row r="719">
      <c r="A719" s="3" t="inlineStr">
        <is>
          <t>modifyOrder.codInParcel</t>
        </is>
      </c>
      <c r="B719" s="3" t="inlineStr">
        <is>
          <t>Thu hộ bằng tiền hàng</t>
        </is>
      </c>
      <c r="C719" s="3" t="inlineStr">
        <is>
          <t>Cash on Delivery</t>
        </is>
      </c>
      <c r="D719" s="217">
        <f>IFERROR(__xludf.DUMMYFUNCTION("GOOGLETRANSLATE(C719,""vi"",""km"")"),"បង់ប្រាក់ពេលទទួលទំនិញ")</f>
        <v/>
      </c>
      <c r="E719" s="3" t="n"/>
      <c r="F719" s="3" t="inlineStr">
        <is>
          <t>បង់ប្រាក់ពេលទទួលទំនិញ</t>
        </is>
      </c>
      <c r="G719" s="3" t="n"/>
      <c r="H719" s="217" t="inlineStr">
        <is>
          <t>"modifyOrder.codInParcel": "បង់ប្រាក់ពេលទទួលទំនិញ",</t>
        </is>
      </c>
      <c r="I719" t="inlineStr">
        <is>
          <t>បង់ប្រាក់ពេលទទួលទំនិញ</t>
        </is>
      </c>
    </row>
    <row r="720">
      <c r="A720" s="3" t="inlineStr">
        <is>
          <t>modifyOrder.collectionSender</t>
        </is>
      </c>
      <c r="B720" s="3" t="inlineStr">
        <is>
          <t>Tiền thu người gửi</t>
        </is>
      </c>
      <c r="C720" s="3" t="inlineStr">
        <is>
          <t>Sender's charges</t>
        </is>
      </c>
      <c r="D720" s="217">
        <f>IFERROR(__xludf.DUMMYFUNCTION("GOOGLETRANSLATE(C720,""vi"",""km"")"),"ថ្លៃសេវារបស់អ្នកផ្ញើ")</f>
        <v/>
      </c>
      <c r="E720" s="3" t="n"/>
      <c r="F720" s="3" t="inlineStr">
        <is>
          <t>ថ្លៃសេវារបស់អ្នកផ្ញើ</t>
        </is>
      </c>
      <c r="G720" s="3" t="n"/>
      <c r="H720" s="217" t="inlineStr">
        <is>
          <t>"modifyOrder.collectionSender": "ថ្លៃសេវារបស់អ្នកផ្ញើ",</t>
        </is>
      </c>
      <c r="I720" t="inlineStr">
        <is>
          <t>ថ្លៃសេវារបស់អ្នកផ្ញើ</t>
        </is>
      </c>
    </row>
    <row r="721">
      <c r="A721" s="3" t="inlineStr">
        <is>
          <t>modifyOrder.consignee</t>
        </is>
      </c>
      <c r="B721" s="3" t="inlineStr">
        <is>
          <t>Người nhận</t>
        </is>
      </c>
      <c r="C721" s="3" t="inlineStr">
        <is>
          <t>Recipient information</t>
        </is>
      </c>
      <c r="D721" s="217">
        <f>IFERROR(__xludf.DUMMYFUNCTION("GOOGLETRANSLATE(C721,""vi"",""km"")"),"ព័ត៌មានអ្នកទទួល")</f>
        <v/>
      </c>
      <c r="E721" s="3" t="n"/>
      <c r="F721" s="3" t="inlineStr">
        <is>
          <t>អ្នកទទួល</t>
        </is>
      </c>
      <c r="G721" s="3" t="n"/>
      <c r="H721" s="217" t="inlineStr">
        <is>
          <t>"modifyOrder.consignee": "អ្នកទទួល",</t>
        </is>
      </c>
      <c r="I721" t="inlineStr">
        <is>
          <t>អ្នកទទួល</t>
        </is>
      </c>
    </row>
    <row r="722">
      <c r="A722" s="3" t="inlineStr">
        <is>
          <t>modifyOrder.contract</t>
        </is>
      </c>
      <c r="B722" s="3" t="inlineStr">
        <is>
          <t>Thanh toán theo hợp đồng</t>
        </is>
      </c>
      <c r="C722" s="3" t="inlineStr">
        <is>
          <t>Pay by Contract Details</t>
        </is>
      </c>
      <c r="D722" s="217">
        <f>IFERROR(__xludf.DUMMYFUNCTION("GOOGLETRANSLATE(C722,""vi"",""km"")"),"បង់ប្រាក់តាមព័ត៌មានលម្អិតនៃកិច្ចសន្យា")</f>
        <v/>
      </c>
      <c r="E722" s="3" t="n"/>
      <c r="F722" s="3" t="inlineStr">
        <is>
          <t>បង់ប្រាក់តាមព័ត៌មានលម្អិតនៃកិច្ចសន្យា</t>
        </is>
      </c>
      <c r="G722" s="3" t="n"/>
      <c r="H722" s="217" t="inlineStr">
        <is>
          <t>"modifyOrder.contract": "បង់ប្រាក់តាមព័ត៌មានលម្អិតនៃកិច្ចសន្យា",</t>
        </is>
      </c>
      <c r="I722" t="inlineStr">
        <is>
          <t>បង់ប្រាក់តាមព័ត៌មានលម្អិតនៃកិច្ចសន្យា</t>
        </is>
      </c>
    </row>
    <row r="723">
      <c r="A723" s="3" t="inlineStr">
        <is>
          <t>modifyOrder.createOrderDomestic</t>
        </is>
      </c>
      <c r="B723" s="3" t="inlineStr">
        <is>
          <t>Trong nước</t>
        </is>
      </c>
      <c r="C723" s="3" t="inlineStr">
        <is>
          <t>Domestic order</t>
        </is>
      </c>
      <c r="D723" s="217">
        <f>IFERROR(__xludf.DUMMYFUNCTION("GOOGLETRANSLATE(C723,""vi"",""km"")"),"ការបញ្ជាទិញក្នុងស្រុក")</f>
        <v/>
      </c>
      <c r="E723" s="3" t="n"/>
      <c r="F723" s="3" t="inlineStr">
        <is>
          <t>ការបញ្ជាទិញក្នុងស្រុក</t>
        </is>
      </c>
      <c r="G723" s="3" t="n"/>
      <c r="H723" s="217" t="inlineStr">
        <is>
          <t>"modifyOrder.createOrderDomestic": "ការបញ្ជាទិញក្នុងស្រុក",</t>
        </is>
      </c>
      <c r="I723" t="inlineStr">
        <is>
          <t>ការបញ្ជាទិញក្នុងស្រុក</t>
        </is>
      </c>
    </row>
    <row r="724">
      <c r="A724" s="3" t="inlineStr">
        <is>
          <t>modifyOrder.createOrderInternational</t>
        </is>
      </c>
      <c r="B724" s="3" t="inlineStr">
        <is>
          <t>Quốc tế</t>
        </is>
      </c>
      <c r="C724" s="3" t="inlineStr">
        <is>
          <t>International order</t>
        </is>
      </c>
      <c r="D724" s="217">
        <f>IFERROR(__xludf.DUMMYFUNCTION("GOOGLETRANSLATE(C724,""vi"",""km"")"),"លំដាប់អន្តរជាតិ")</f>
        <v/>
      </c>
      <c r="E724" s="3" t="n"/>
      <c r="F724" s="3" t="inlineStr">
        <is>
          <t>លំដាប់អន្តរជាតិ</t>
        </is>
      </c>
      <c r="G724" s="3" t="n"/>
      <c r="H724" s="217" t="inlineStr">
        <is>
          <t>"modifyOrder.createOrderInternational": "លំដាប់អន្តរជាតិ",</t>
        </is>
      </c>
      <c r="I724" t="inlineStr">
        <is>
          <t>លំដាប់អន្តរជាតិ</t>
        </is>
      </c>
    </row>
    <row r="725">
      <c r="A725" s="3" t="inlineStr">
        <is>
          <t>modifyOrder.createSuccess</t>
        </is>
      </c>
      <c r="B725" s="3" t="inlineStr">
        <is>
          <t>Tạo đơn thành công!</t>
        </is>
      </c>
      <c r="C725" s="3" t="inlineStr">
        <is>
          <t>Order created successfully</t>
        </is>
      </c>
      <c r="D725" s="217">
        <f>IFERROR(__xludf.DUMMYFUNCTION("GOOGLETRANSLATE(C725,""vi"",""km"")"),"ការបញ្ជាទិញត្រូវបានបង្កើតឡើងដោយជោគជ័យ")</f>
        <v/>
      </c>
      <c r="E725" s="3" t="n"/>
      <c r="F725" s="3" t="inlineStr">
        <is>
          <t>ការបញ្ជាទិញត្រូវបានបង្កើតឡើងដោយជោគជ័យ</t>
        </is>
      </c>
      <c r="G725" s="3" t="n"/>
      <c r="H725" s="217" t="inlineStr">
        <is>
          <t>"modifyOrder.createSuccess": "ការបញ្ជាទិញត្រូវបានបង្កើតឡើងដោយជោគជ័យ",</t>
        </is>
      </c>
      <c r="I725" t="inlineStr">
        <is>
          <t>ការបញ្ជាទិញត្រូវបានបង្កើតឡើងដោយជោគជ័យ</t>
        </is>
      </c>
    </row>
    <row r="726">
      <c r="A726" s="3" t="inlineStr">
        <is>
          <t>modifyOrder.day</t>
        </is>
      </c>
      <c r="B726" s="3" t="inlineStr">
        <is>
          <t>Ngày</t>
        </is>
      </c>
      <c r="C726" s="3" t="inlineStr">
        <is>
          <t>Day</t>
        </is>
      </c>
      <c r="D726" s="217">
        <f>IFERROR(__xludf.DUMMYFUNCTION("GOOGLETRANSLATE(C726,""vi"",""km"")"),"ថ្ងៃ")</f>
        <v/>
      </c>
      <c r="E726" s="3" t="n"/>
      <c r="F726" s="3" t="inlineStr">
        <is>
          <t>ថ្ងៃ</t>
        </is>
      </c>
      <c r="G726" s="3" t="n"/>
      <c r="H726" s="217" t="inlineStr">
        <is>
          <t>"modifyOrder.day": "ថ្ងៃ",</t>
        </is>
      </c>
      <c r="I726" t="inlineStr">
        <is>
          <t>ថ្ងៃ</t>
        </is>
      </c>
    </row>
    <row r="727">
      <c r="A727" s="3" t="inlineStr">
        <is>
          <t>modifyOrder.deliveryAppointment</t>
        </is>
      </c>
      <c r="B727" s="3" t="inlineStr">
        <is>
          <t>Thời gian hẹn giao</t>
        </is>
      </c>
      <c r="C727" s="3" t="inlineStr">
        <is>
          <t>Delivery time</t>
        </is>
      </c>
      <c r="D727" s="217">
        <f>IFERROR(__xludf.DUMMYFUNCTION("GOOGLETRANSLATE(C727,""vi"",""km"")"),"ពេលវេលាដឹកជញ្ជូន")</f>
        <v/>
      </c>
      <c r="E727" s="3" t="n"/>
      <c r="F727" s="3" t="inlineStr">
        <is>
          <t>ពេលវេលាដឹកជញ្ជូន</t>
        </is>
      </c>
      <c r="G727" s="3" t="n"/>
      <c r="H727" s="217" t="inlineStr">
        <is>
          <t>"modifyOrder.deliveryAppointment": "ពេលវេលាដឹកជញ្ជូន",</t>
        </is>
      </c>
      <c r="I727" t="inlineStr">
        <is>
          <t>ពេលវេលាដឹកជញ្ជូន</t>
        </is>
      </c>
    </row>
    <row r="728">
      <c r="A728" s="3" t="inlineStr">
        <is>
          <t>modifyOrder.deliveryStore</t>
        </is>
      </c>
      <c r="B728" s="3" t="inlineStr">
        <is>
          <t>Cửa hàng giao</t>
        </is>
      </c>
      <c r="C728" s="3" t="inlineStr">
        <is>
          <t>Delivery Store</t>
        </is>
      </c>
      <c r="D728" s="217">
        <f>IFERROR(__xludf.DUMMYFUNCTION("GOOGLETRANSLATE(C728,""vi"",""km"")"),"ហាងដឹកជញ្ជូន")</f>
        <v/>
      </c>
      <c r="E728" s="3" t="n"/>
      <c r="F728" s="3" t="inlineStr">
        <is>
          <t>ហាងដឹកជញ្ជូន</t>
        </is>
      </c>
      <c r="G728" s="3" t="n"/>
      <c r="H728" s="217" t="inlineStr">
        <is>
          <t>"modifyOrder.deliveryStore": "ហាងដឹកជញ្ជូន",</t>
        </is>
      </c>
      <c r="I728" t="inlineStr">
        <is>
          <t>ហាងដឹកជញ្ជូន</t>
        </is>
      </c>
    </row>
    <row r="729">
      <c r="A729" s="3" t="inlineStr">
        <is>
          <t>modifyOrder.dimensionsAreRequired</t>
        </is>
      </c>
      <c r="B729" s="3" t="inlineStr">
        <is>
          <t>Kích thước không được để trống</t>
        </is>
      </c>
      <c r="C729" s="3" t="inlineStr">
        <is>
          <t>Dimensions are required</t>
        </is>
      </c>
      <c r="D729" s="217">
        <f>IFERROR(__xludf.DUMMYFUNCTION("GOOGLETRANSLATE(C729,""vi"",""km"")"),"តម្រូវឲ្យមានវិមាត្រ")</f>
        <v/>
      </c>
      <c r="E729" s="3" t="n"/>
      <c r="F729" s="3" t="inlineStr">
        <is>
          <t>តម្រូវឲ្យមានវិមាត្រ</t>
        </is>
      </c>
      <c r="G729" s="3" t="n"/>
      <c r="H729" s="217" t="inlineStr">
        <is>
          <t>"modifyOrder.dimensionsAreRequired": "តម្រូវឲ្យមានវិមាត្រ",</t>
        </is>
      </c>
      <c r="I729" t="inlineStr">
        <is>
          <t>តម្រូវឲ្យមានវិមាត្រ</t>
        </is>
      </c>
    </row>
    <row r="730">
      <c r="A730" s="3" t="inlineStr">
        <is>
          <t>modifyOrder.document</t>
        </is>
      </c>
      <c r="B730" s="3" t="inlineStr">
        <is>
          <t>Tài liệu</t>
        </is>
      </c>
      <c r="C730" s="3" t="inlineStr">
        <is>
          <t>Documents</t>
        </is>
      </c>
      <c r="D730" s="217">
        <f>IFERROR(__xludf.DUMMYFUNCTION("GOOGLETRANSLATE(C730,""vi"",""km"")"),"ឯកសារ")</f>
        <v/>
      </c>
      <c r="E730" s="3" t="n"/>
      <c r="F730" s="3" t="inlineStr">
        <is>
          <t>ឯកសារ</t>
        </is>
      </c>
      <c r="G730" s="3" t="n"/>
      <c r="H730" s="217" t="inlineStr">
        <is>
          <t>"modifyOrder.document": "ឯកសារ",</t>
        </is>
      </c>
      <c r="I730" t="inlineStr">
        <is>
          <t>ឯកសារ</t>
        </is>
      </c>
    </row>
    <row r="731">
      <c r="A731" s="3" t="inlineStr">
        <is>
          <t>modifyOrder.emptyMainService</t>
        </is>
      </c>
      <c r="B731" s="3" t="inlineStr">
        <is>
          <t>Không tìm thấy mã dịch vụ</t>
        </is>
      </c>
      <c r="C731" s="3" t="inlineStr">
        <is>
          <t>Service code not found</t>
        </is>
      </c>
      <c r="D731" s="217">
        <f>IFERROR(__xludf.DUMMYFUNCTION("GOOGLETRANSLATE(C731,""vi"",""km"")"),"រកមិនឃើញលេខកូដសេវាកម្មទេ")</f>
        <v/>
      </c>
      <c r="E731" s="3" t="n"/>
      <c r="F731" s="3" t="inlineStr">
        <is>
          <t>រកមិនឃើញលេខកូដសេវាកម្មទេ</t>
        </is>
      </c>
      <c r="G731" s="3" t="n"/>
      <c r="H731" s="217" t="inlineStr">
        <is>
          <t>"modifyOrder.emptyMainService": "រកមិនឃើញលេខកូដសេវាកម្មទេ",</t>
        </is>
      </c>
      <c r="I731" t="inlineStr">
        <is>
          <t>រកមិនឃើញលេខកូដសេវាកម្មទេ</t>
        </is>
      </c>
    </row>
    <row r="732">
      <c r="A732" s="3" t="inlineStr">
        <is>
          <t>modifyOrder.emptyPricing</t>
        </is>
      </c>
      <c r="B732" s="3" t="inlineStr">
        <is>
          <t>Không tìm thấy giá</t>
        </is>
      </c>
      <c r="C732" s="3" t="inlineStr">
        <is>
          <t>Pricing not found</t>
        </is>
      </c>
      <c r="D732" s="217">
        <f>IFERROR(__xludf.DUMMYFUNCTION("GOOGLETRANSLATE(C732,""vi"",""km"")"),"រកមិនឃើញតម្លៃ")</f>
        <v/>
      </c>
      <c r="E732" s="3" t="n"/>
      <c r="F732" s="3" t="inlineStr">
        <is>
          <t>រកមិនឃើញតម្លៃ</t>
        </is>
      </c>
      <c r="G732" s="3" t="n"/>
      <c r="H732" s="217" t="inlineStr">
        <is>
          <t>"modifyOrder.emptyPricing": "រកមិនឃើញតម្លៃ",</t>
        </is>
      </c>
      <c r="I732" t="inlineStr">
        <is>
          <t>រកមិនឃើញតម្លៃ</t>
        </is>
      </c>
    </row>
    <row r="733">
      <c r="A733" s="3" t="inlineStr">
        <is>
          <t>modifyOrder.emptySurcharge</t>
        </is>
      </c>
      <c r="B733" s="3" t="inlineStr">
        <is>
          <t>Vui lòng nhập phụ phí</t>
        </is>
      </c>
      <c r="C733" s="3" t="inlineStr">
        <is>
          <t>Please enter surcharges</t>
        </is>
      </c>
      <c r="D733" s="217">
        <f>IFERROR(__xludf.DUMMYFUNCTION("GOOGLETRANSLATE(C733,""vi"",""km"")"),"សូមបញ្ចូលថ្លៃបន្ថែម")</f>
        <v/>
      </c>
      <c r="E733" s="3" t="n"/>
      <c r="F733" s="3" t="inlineStr">
        <is>
          <t>សូមបញ្ចូលថ្លៃបន្ថែម</t>
        </is>
      </c>
      <c r="G733" s="3" t="n"/>
      <c r="H733" s="217" t="inlineStr">
        <is>
          <t>"modifyOrder.emptySurcharge": "សូមបញ្ចូលថ្លៃបន្ថែម",</t>
        </is>
      </c>
      <c r="I733" t="inlineStr">
        <is>
          <t>សូមបញ្ចូលថ្លៃបន្ថែម</t>
        </is>
      </c>
    </row>
    <row r="734">
      <c r="A734" s="3" t="inlineStr">
        <is>
          <t>modifyOrder.enterPositiveInteger</t>
        </is>
      </c>
      <c r="B734" s="3" t="inlineStr">
        <is>
          <t>Chỉ được nhập số nguyên dương</t>
        </is>
      </c>
      <c r="C734" s="3" t="inlineStr">
        <is>
          <t>Only positive integers can be entered</t>
        </is>
      </c>
      <c r="D734" s="217">
        <f>IFERROR(__xludf.DUMMYFUNCTION("GOOGLETRANSLATE(C734,""vi"",""km"")"),"អាចបញ្ចូលបានតែចំនួនគត់វិជ្ជមានប៉ុណ្ណោះ")</f>
        <v/>
      </c>
      <c r="E734" s="3" t="n"/>
      <c r="F734" s="3" t="inlineStr">
        <is>
          <t>អាចបញ្ចូលបានតែចំនួនគត់វិជ្ជមានប៉ុណ្ណោះ</t>
        </is>
      </c>
      <c r="G734" s="3" t="n"/>
      <c r="H734" s="217" t="inlineStr">
        <is>
          <t>"modifyOrder.enterPositiveInteger": "អាចបញ្ចូលបានតែចំនួនគត់វិជ្ជមានប៉ុណ្ណោះ",</t>
        </is>
      </c>
      <c r="I734" t="inlineStr">
        <is>
          <t>អាចបញ្ចូលបានតែចំនួនគត់វិជ្ជមានប៉ុណ្ណោះ</t>
        </is>
      </c>
    </row>
    <row r="735">
      <c r="A735" s="3" t="inlineStr">
        <is>
          <t>modifyOrder.extraPrices</t>
        </is>
      </c>
      <c r="B735" s="3" t="inlineStr">
        <is>
          <t>Dịch vụ cộng thêm</t>
        </is>
      </c>
      <c r="C735" s="3" t="inlineStr">
        <is>
          <t>Extra prices</t>
        </is>
      </c>
      <c r="D735" s="217">
        <f>IFERROR(__xludf.DUMMYFUNCTION("GOOGLETRANSLATE(C735,""vi"",""km"")"),"តម្លៃបន្ថែម")</f>
        <v/>
      </c>
      <c r="E735" s="3" t="n"/>
      <c r="F735" s="3" t="inlineStr">
        <is>
          <t>សេវាកម្មបន្ថែម</t>
        </is>
      </c>
      <c r="G735" s="3" t="n"/>
      <c r="H735" s="217" t="inlineStr">
        <is>
          <t>"modifyOrder.extraPrices": "សេវាកម្មបន្ថែម",</t>
        </is>
      </c>
      <c r="I735" t="inlineStr">
        <is>
          <t>សេវាកម្មបន្ថែម</t>
        </is>
      </c>
    </row>
    <row r="736">
      <c r="A736" s="3" t="inlineStr">
        <is>
          <t>modifyOrder.goods</t>
        </is>
      </c>
      <c r="B736" s="3" t="inlineStr">
        <is>
          <t>Bưu phẩm</t>
        </is>
      </c>
      <c r="C736" s="3" t="inlineStr">
        <is>
          <t>Parcel</t>
        </is>
      </c>
      <c r="D736" s="217">
        <f>IFERROR(__xludf.DUMMYFUNCTION("GOOGLETRANSLATE(C736,""vi"",""km"")"),"កញ្ចប់")</f>
        <v/>
      </c>
      <c r="E736" s="3" t="n"/>
      <c r="F736" s="3" t="inlineStr">
        <is>
          <t>កញ្ចប់</t>
        </is>
      </c>
      <c r="G736" s="3" t="n"/>
      <c r="H736" s="217" t="inlineStr">
        <is>
          <t>"modifyOrder.goods": "កញ្ចប់",</t>
        </is>
      </c>
      <c r="I736" t="inlineStr">
        <is>
          <t>កញ្ចប់</t>
        </is>
      </c>
    </row>
    <row r="737">
      <c r="A737" s="3" t="inlineStr">
        <is>
          <t>modifyOrder.height</t>
        </is>
      </c>
      <c r="B737" s="3" t="inlineStr">
        <is>
          <t>Cao</t>
        </is>
      </c>
      <c r="C737" s="3" t="inlineStr">
        <is>
          <t>Height</t>
        </is>
      </c>
      <c r="D737" s="217">
        <f>IFERROR(__xludf.DUMMYFUNCTION("GOOGLETRANSLATE(C737,""vi"",""km"")"),"កម្ពស់")</f>
        <v/>
      </c>
      <c r="E737" s="3" t="n"/>
      <c r="F737" s="3" t="inlineStr">
        <is>
          <t>កម្ពស់</t>
        </is>
      </c>
      <c r="G737" s="3" t="n"/>
      <c r="H737" s="217" t="inlineStr">
        <is>
          <t>"modifyOrder.height": "កម្ពស់",</t>
        </is>
      </c>
      <c r="I737" t="inlineStr">
        <is>
          <t>កម្ពស់</t>
        </is>
      </c>
    </row>
    <row r="738">
      <c r="A738" s="3" t="inlineStr">
        <is>
          <t>modifyOrder.informationOrder</t>
        </is>
      </c>
      <c r="B738" s="3" t="inlineStr">
        <is>
          <t>Thông tin phiếu gửi</t>
        </is>
      </c>
      <c r="C738" s="3" t="inlineStr">
        <is>
          <t>Postal slip details</t>
        </is>
      </c>
      <c r="D738" s="217">
        <f>IFERROR(__xludf.DUMMYFUNCTION("GOOGLETRANSLATE(C738,""vi"",""km"")"),"ព័ត៌មានលម្អិតអំពីសំបុត្រប្រៃសណីយ៍")</f>
        <v/>
      </c>
      <c r="E738" s="3" t="n"/>
      <c r="F738" s="3" t="inlineStr">
        <is>
          <t>ព័ត៌មានលម្អិតអំពីបុងបញ្ញើ</t>
        </is>
      </c>
      <c r="G738" s="3" t="n"/>
      <c r="H738" s="217" t="inlineStr">
        <is>
          <t>"modifyOrder.informationOrder": "ព័ត៌មានលម្អិតអំពីបុងបញ្ញើ",</t>
        </is>
      </c>
      <c r="I738" t="inlineStr">
        <is>
          <t>ព័ត៌មានលម្អិតអំពីបុងបញ្ញើ</t>
        </is>
      </c>
    </row>
    <row r="739">
      <c r="A739" s="3" t="inlineStr">
        <is>
          <t>modifyOrder.invalOrder</t>
        </is>
      </c>
      <c r="B739" s="3" t="inlineStr">
        <is>
          <t>Không tìm thấy mã phiếu gửi</t>
        </is>
      </c>
      <c r="C739" s="3" t="inlineStr">
        <is>
          <t>No postal slip found</t>
        </is>
      </c>
      <c r="D739" s="217">
        <f>IFERROR(__xludf.DUMMYFUNCTION("GOOGLETRANSLATE(C739,""vi"",""km"")"),"រកមិនឃើញសំបុត្រប្រៃសណីយ៍ទេ")</f>
        <v/>
      </c>
      <c r="E739" s="3" t="n"/>
      <c r="F739" s="3" t="inlineStr">
        <is>
          <t>រកមិនឃើញបុងបញ្ញើទេ</t>
        </is>
      </c>
      <c r="G739" s="3" t="n"/>
      <c r="H739" s="217" t="inlineStr">
        <is>
          <t>"modifyOrder.invalOrder": "រកមិនឃើញបុងបញ្ញើទេ",</t>
        </is>
      </c>
      <c r="I739" t="inlineStr">
        <is>
          <t>រកមិនឃើញបុងបញ្ញើទេ</t>
        </is>
      </c>
    </row>
    <row r="740">
      <c r="A740" s="3" t="inlineStr">
        <is>
          <t>modifyOrder.invoice</t>
        </is>
      </c>
      <c r="B740" s="3" t="inlineStr">
        <is>
          <t>Yêu cầu xuất hoá đơn</t>
        </is>
      </c>
      <c r="C740" s="3" t="inlineStr">
        <is>
          <t>Request Invoice</t>
        </is>
      </c>
      <c r="D740" s="217">
        <f>IFERROR(__xludf.DUMMYFUNCTION("GOOGLETRANSLATE(C740,""vi"",""km"")"),"ស្នើសុំវិក្កយបត្រ")</f>
        <v/>
      </c>
      <c r="E740" s="3" t="n"/>
      <c r="F740" s="3" t="inlineStr">
        <is>
          <t>ស្នើសុំវិក្កយបត្រ</t>
        </is>
      </c>
      <c r="G740" s="3" t="n"/>
      <c r="H740" s="217" t="inlineStr">
        <is>
          <t>"modifyOrder.invoice": "ស្នើសុំវិក្កយបត្រ",</t>
        </is>
      </c>
      <c r="I740" t="inlineStr">
        <is>
          <t>ស្នើសុំវិក្កយបត្រ</t>
        </is>
      </c>
    </row>
    <row r="741">
      <c r="A741" s="3" t="inlineStr">
        <is>
          <t>modifyOrder.invoiceByReceiver</t>
        </is>
      </c>
      <c r="B741" s="3" t="inlineStr">
        <is>
          <t>Xuất hóa đơn theo thông tin người nhận</t>
        </is>
      </c>
      <c r="C741" s="3" t="inlineStr">
        <is>
          <t>Issue invoice based on receiver information</t>
        </is>
      </c>
      <c r="D741" s="217">
        <f>IFERROR(__xludf.DUMMYFUNCTION("GOOGLETRANSLATE(C741,""vi"",""km"")"),"ចេញវិក្កយបត្រដោយផ្អែកលើព័ត៌មានអ្នកទទួល")</f>
        <v/>
      </c>
      <c r="E741" s="3" t="n"/>
      <c r="F741" s="3" t="inlineStr">
        <is>
          <t>ចេញវិក្កយបត្រដោយផ្អែកលើព័ត៌មានអ្នកទទួល</t>
        </is>
      </c>
      <c r="G741" s="3" t="n"/>
      <c r="H741" s="217" t="inlineStr">
        <is>
          <t>"modifyOrder.invoiceByReceiver": "ចេញវិក្កយបត្រដោយផ្អែកលើព័ត៌មានអ្នកទទួល",</t>
        </is>
      </c>
      <c r="I741" t="inlineStr">
        <is>
          <t>ចេញវិក្កយបត្រដោយផ្អែកលើព័ត៌មានអ្នកទទួល</t>
        </is>
      </c>
    </row>
    <row r="742">
      <c r="A742" s="3" t="inlineStr">
        <is>
          <t>modifyOrder.invoiceBySender</t>
        </is>
      </c>
      <c r="B742" s="3" t="inlineStr">
        <is>
          <t>Xuất hóa đơn theo thông tin người gửi</t>
        </is>
      </c>
      <c r="C742" s="3" t="inlineStr">
        <is>
          <t>Issue invoice based on sender information</t>
        </is>
      </c>
      <c r="D742" s="217">
        <f>IFERROR(__xludf.DUMMYFUNCTION("GOOGLETRANSLATE(C742,""vi"",""km"")"),"ចេញវិក្កយបត្រដោយផ្អែកលើព័ត៌មានអ្នកផ្ញើ")</f>
        <v/>
      </c>
      <c r="E742" s="3" t="n"/>
      <c r="F742" s="3" t="inlineStr">
        <is>
          <t>ចេញវិក្កយបត្រដោយផ្អែកលើព័ត៌មានអ្នកផ្ញើ</t>
        </is>
      </c>
      <c r="G742" s="3" t="n"/>
      <c r="H742" s="217" t="inlineStr">
        <is>
          <t>"modifyOrder.invoiceBySender": "ចេញវិក្កយបត្រដោយផ្អែកលើព័ត៌មានអ្នកផ្ញើ",</t>
        </is>
      </c>
      <c r="I742" t="inlineStr">
        <is>
          <t>ចេញវិក្កយបត្រដោយផ្អែកលើព័ត៌មានអ្នកផ្ញើ</t>
        </is>
      </c>
    </row>
    <row r="743">
      <c r="A743" s="3" t="inlineStr">
        <is>
          <t>modifyOrder.length</t>
        </is>
      </c>
      <c r="B743" s="3" t="inlineStr">
        <is>
          <t>Dài</t>
        </is>
      </c>
      <c r="C743" s="3" t="inlineStr">
        <is>
          <t>Length</t>
        </is>
      </c>
      <c r="D743" s="217">
        <f>IFERROR(__xludf.DUMMYFUNCTION("GOOGLETRANSLATE(C743,""vi"",""km"")"),"ប្រវែង")</f>
        <v/>
      </c>
      <c r="E743" s="3" t="n"/>
      <c r="F743" s="3" t="inlineStr">
        <is>
          <t>បណ្តោយ</t>
        </is>
      </c>
      <c r="G743" s="3" t="n"/>
      <c r="H743" s="217" t="inlineStr">
        <is>
          <t>"modifyOrder.length": "បណ្តោយ",</t>
        </is>
      </c>
      <c r="I743" t="inlineStr">
        <is>
          <t>បណ្តោយ</t>
        </is>
      </c>
    </row>
    <row r="744">
      <c r="A744" s="3" t="inlineStr">
        <is>
          <t>modifyOrder.mainService</t>
        </is>
      </c>
      <c r="B744" s="3" t="inlineStr">
        <is>
          <t>Dịch vụ chính</t>
        </is>
      </c>
      <c r="C744" s="3" t="inlineStr">
        <is>
          <t>Main service</t>
        </is>
      </c>
      <c r="D744" s="217">
        <f>IFERROR(__xludf.DUMMYFUNCTION("GOOGLETRANSLATE(C744,""vi"",""km"")"),"សេវាកម្មសំខាន់")</f>
        <v/>
      </c>
      <c r="E744" s="3" t="n"/>
      <c r="F744" s="3" t="inlineStr">
        <is>
          <t>សេវាកម្មសំខាន់</t>
        </is>
      </c>
      <c r="G744" s="3" t="n"/>
      <c r="H744" s="217" t="inlineStr">
        <is>
          <t>"modifyOrder.mainService": "សេវាកម្មសំខាន់",</t>
        </is>
      </c>
      <c r="I744" t="inlineStr">
        <is>
          <t>សេវាកម្មសំខាន់</t>
        </is>
      </c>
    </row>
    <row r="745">
      <c r="A745" s="3" t="inlineStr">
        <is>
          <t>modifyOrder.materials</t>
        </is>
      </c>
      <c r="B745" s="3" t="inlineStr">
        <is>
          <t>Phụ phí nguyên vật liệu</t>
        </is>
      </c>
      <c r="C745" s="3" t="inlineStr">
        <is>
          <t>Materials charge</t>
        </is>
      </c>
      <c r="D745" s="217">
        <f>IFERROR(__xludf.DUMMYFUNCTION("GOOGLETRANSLATE(C745,""vi"",""km"")"),"ថ្លៃសម្ភារៈ")</f>
        <v/>
      </c>
      <c r="E745" s="3" t="n"/>
      <c r="F745" s="3" t="inlineStr">
        <is>
          <t>ថ្លៃសម្ភារៈ</t>
        </is>
      </c>
      <c r="G745" s="3" t="n"/>
      <c r="H745" s="217" t="inlineStr">
        <is>
          <t>"modifyOrder.materials": "ថ្លៃសម្ភារៈ",</t>
        </is>
      </c>
      <c r="I745" t="inlineStr">
        <is>
          <t>ថ្លៃសម្ភារៈ</t>
        </is>
      </c>
    </row>
    <row r="746">
      <c r="A746" s="3" t="inlineStr">
        <is>
          <t>modifyOrder.moneyCollection</t>
        </is>
      </c>
      <c r="B746" s="3" t="inlineStr">
        <is>
          <t>Tiền thu hộ COD ({{money_unit}})</t>
        </is>
      </c>
      <c r="C746" s="3" t="inlineStr">
        <is>
          <t>COD ({{money_unit}})</t>
        </is>
      </c>
      <c r="D746" s="217">
        <f>IFERROR(__xludf.DUMMYFUNCTION("GOOGLETRANSLATE(C746,""vi"",""km"")"),"COD (ឯកតា_ប្រាក់)")</f>
        <v/>
      </c>
      <c r="E746" s="3" t="n"/>
      <c r="F746" s="3" t="inlineStr">
        <is>
          <t>COD (ឯកតា_ប្រាក់)</t>
        </is>
      </c>
      <c r="G746" s="3" t="n"/>
      <c r="H746" s="217" t="inlineStr">
        <is>
          <t>"modifyOrder.moneyCollection": "COD (ឯកតា_ប្រាក់)",</t>
        </is>
      </c>
      <c r="I746" t="inlineStr">
        <is>
          <t>COD (ឯកតា_ប្រាក់)</t>
        </is>
      </c>
    </row>
    <row r="747">
      <c r="A747" s="3" t="inlineStr">
        <is>
          <t>modifyOrder.moneyCollectionFooter</t>
        </is>
      </c>
      <c r="B747" s="3" t="inlineStr">
        <is>
          <t>Tiền thu hộ</t>
        </is>
      </c>
      <c r="C747" s="3" t="inlineStr">
        <is>
          <t>COD</t>
        </is>
      </c>
      <c r="D747" s="217">
        <f>IFERROR(__xludf.DUMMYFUNCTION("GOOGLETRANSLATE(C747,""vi"",""km"")"),"ប្រតិបត្តិការ​ទូទាត់​ថ្លៃ​សេវា​ (COD)")</f>
        <v/>
      </c>
      <c r="E747" s="3" t="n"/>
      <c r="F747" s="3" t="inlineStr">
        <is>
          <t>ប្រាក់ប្រមូលជំនួស (COD)</t>
        </is>
      </c>
      <c r="G747" s="3" t="n"/>
      <c r="H747" s="217" t="inlineStr">
        <is>
          <t>"modifyOrder.moneyCollectionFooter": "ប្រាក់ប្រមូលជំនួស (COD)",</t>
        </is>
      </c>
      <c r="I747" t="inlineStr">
        <is>
          <t>ប្រាក់ប្រមូលជំនួស (COD)</t>
        </is>
      </c>
    </row>
    <row r="748">
      <c r="A748" s="3" t="inlineStr">
        <is>
          <t>modifyOrder.moneyCollectionPlaceholder</t>
        </is>
      </c>
      <c r="B748" s="3" t="inlineStr">
        <is>
          <t>Nhập tiền thu hộ</t>
        </is>
      </c>
      <c r="C748" s="3" t="inlineStr">
        <is>
          <t>Enter COD</t>
        </is>
      </c>
      <c r="D748" s="217">
        <f>IFERROR(__xludf.DUMMYFUNCTION("GOOGLETRANSLATE(C748,""vi"",""km"")"),"បញ្ចូលលេខកូដ")</f>
        <v/>
      </c>
      <c r="E748" s="3" t="n"/>
      <c r="F748" s="3" t="inlineStr">
        <is>
          <t>បញ្ចូលលេខកូដ</t>
        </is>
      </c>
      <c r="G748" s="3" t="n"/>
      <c r="H748" s="217" t="inlineStr">
        <is>
          <t>"modifyOrder.moneyCollectionPlaceholder": "បញ្ចូលលេខកូដ",</t>
        </is>
      </c>
      <c r="I748" t="inlineStr">
        <is>
          <t>បញ្ចូលលេខកូដ</t>
        </is>
      </c>
    </row>
    <row r="749">
      <c r="A749" s="3" t="inlineStr">
        <is>
          <t>modifyOrder.morning</t>
        </is>
      </c>
      <c r="B749" s="3" t="inlineStr">
        <is>
          <t>Sáng (7h30 - 12h00)</t>
        </is>
      </c>
      <c r="C749" s="3" t="inlineStr">
        <is>
          <t>Morning (7:30 - 12:00)</t>
        </is>
      </c>
      <c r="D749" s="217">
        <f>IFERROR(__xludf.DUMMYFUNCTION("GOOGLETRANSLATE(C749,""vi"",""km"")"),"ពេលព្រឹក (៧:៣០ - ១២:០០)")</f>
        <v/>
      </c>
      <c r="E749" s="3" t="n"/>
      <c r="F749" s="3" t="inlineStr">
        <is>
          <t>ពេលព្រឹក (៧:៣០ - ១២:០០)</t>
        </is>
      </c>
      <c r="G749" s="3" t="n"/>
      <c r="H749" s="217" t="inlineStr">
        <is>
          <t>"modifyOrder.morning": "ពេលព្រឹក (៧:៣០ - ១២:០០)",</t>
        </is>
      </c>
      <c r="I749" t="inlineStr">
        <is>
          <t>ពេលព្រឹក (៧:៣០ - ១២:០០)</t>
        </is>
      </c>
    </row>
    <row r="750">
      <c r="A750" s="23" t="inlineStr">
        <is>
          <t>modifyOrder.name</t>
        </is>
      </c>
      <c r="B750" s="3" t="inlineStr">
        <is>
          <t>Họ tên</t>
        </is>
      </c>
      <c r="C750" s="3" t="inlineStr">
        <is>
          <t>Full name</t>
        </is>
      </c>
      <c r="D750" s="217">
        <f>IFERROR(__xludf.DUMMYFUNCTION("GOOGLETRANSLATE(C750,""vi"",""km"")"),"ឈ្មោះពេញ")</f>
        <v/>
      </c>
      <c r="E750" s="3" t="n"/>
      <c r="F750" s="3" t="inlineStr">
        <is>
          <t>ឈ្មោះពេញ</t>
        </is>
      </c>
      <c r="G750" s="3" t="n"/>
      <c r="H750" s="217" t="inlineStr">
        <is>
          <t>"modifyOrder.name": "ឈ្មោះពេញ",</t>
        </is>
      </c>
      <c r="I750" t="inlineStr">
        <is>
          <t>ឈ្មោះពេញ</t>
        </is>
      </c>
    </row>
    <row r="751">
      <c r="A751" s="3" t="inlineStr">
        <is>
          <t>modifyOrder.nameConsignee</t>
        </is>
      </c>
      <c r="B751" s="3" t="inlineStr">
        <is>
          <t>Họ tên người nhận</t>
        </is>
      </c>
      <c r="C751" s="3" t="inlineStr">
        <is>
          <t>Consignee full name</t>
        </is>
      </c>
      <c r="D751" s="217">
        <f>IFERROR(__xludf.DUMMYFUNCTION("GOOGLETRANSLATE(C751,""vi"",""km"")"),"ឈ្មោះពេញរបស់អ្នកទទួលទំនិញ")</f>
        <v/>
      </c>
      <c r="E751" s="3" t="n"/>
      <c r="F751" s="3" t="inlineStr">
        <is>
          <t>ឈ្មោះពេញរបស់អ្នកទទួលទំនិញ</t>
        </is>
      </c>
      <c r="G751" s="3" t="n"/>
      <c r="H751" s="217" t="inlineStr">
        <is>
          <t>"modifyOrder.nameConsignee": "ឈ្មោះពេញរបស់អ្នកទទួលទំនិញ",</t>
        </is>
      </c>
      <c r="I751" t="inlineStr">
        <is>
          <t>ឈ្មោះពេញរបស់អ្នកទទួលទំនិញ</t>
        </is>
      </c>
    </row>
    <row r="752">
      <c r="A752" s="3" t="inlineStr">
        <is>
          <t>modifyOrder.namePlaceholder</t>
        </is>
      </c>
      <c r="B752" s="3" t="inlineStr">
        <is>
          <t>Nhập họ tên</t>
        </is>
      </c>
      <c r="C752" s="3" t="inlineStr">
        <is>
          <t>Enter your name</t>
        </is>
      </c>
      <c r="D752" s="217">
        <f>IFERROR(__xludf.DUMMYFUNCTION("GOOGLETRANSLATE(C752,""vi"",""km"")"),"បញ្ចូលឈ្មោះរបស់អ្នក")</f>
        <v/>
      </c>
      <c r="E752" s="3" t="n"/>
      <c r="F752" s="3" t="inlineStr">
        <is>
          <t>បញ្ចូលឈ្មោះរបស់អ្នក</t>
        </is>
      </c>
      <c r="G752" s="3" t="n"/>
      <c r="H752" s="217" t="inlineStr">
        <is>
          <t>"modifyOrder.namePlaceholder": "បញ្ចូលឈ្មោះរបស់អ្នក",</t>
        </is>
      </c>
      <c r="I752" t="inlineStr">
        <is>
          <t>បញ្ចូលឈ្មោះរបស់អ្នក</t>
        </is>
      </c>
    </row>
    <row r="753">
      <c r="A753" s="3" t="inlineStr">
        <is>
          <t>modifyOrder.nameSender</t>
        </is>
      </c>
      <c r="B753" s="3" t="inlineStr">
        <is>
          <t>Họ tên người gửi</t>
        </is>
      </c>
      <c r="C753" s="3" t="inlineStr">
        <is>
          <t>Sender full name</t>
        </is>
      </c>
      <c r="D753" s="217">
        <f>IFERROR(__xludf.DUMMYFUNCTION("GOOGLETRANSLATE(C753,""vi"",""km"")"),"ឈ្មោះពេញរបស់អ្នកផ្ញើ")</f>
        <v/>
      </c>
      <c r="E753" s="3" t="n"/>
      <c r="F753" s="3" t="inlineStr">
        <is>
          <t>ឈ្មោះពេញរបស់អ្នកផ្ញើ</t>
        </is>
      </c>
      <c r="G753" s="3" t="n"/>
      <c r="H753" s="217" t="inlineStr">
        <is>
          <t>"modifyOrder.nameSender": "ឈ្មោះពេញរបស់អ្នកផ្ញើ",</t>
        </is>
      </c>
      <c r="I753" t="inlineStr">
        <is>
          <t>ឈ្មោះពេញរបស់អ្នកផ្ញើ</t>
        </is>
      </c>
    </row>
    <row r="754">
      <c r="A754" s="3" t="inlineStr">
        <is>
          <t>modifyOrder.newCustomer</t>
        </is>
      </c>
      <c r="B754" s="3" t="inlineStr">
        <is>
          <t>Số điện thoại chưa tồn tại trong hệ thống</t>
        </is>
      </c>
      <c r="C754" s="3" t="inlineStr">
        <is>
          <t>This phone number does not exist in out system</t>
        </is>
      </c>
      <c r="D754" s="217">
        <f>IFERROR(__xludf.DUMMYFUNCTION("GOOGLETRANSLATE(C754,""vi"",""km"")"),"លេខទូរស័ព្ទនេះមិនមាននៅក្នុងប្រព័ន្ធខាងក្រៅទេ")</f>
        <v/>
      </c>
      <c r="E754" s="3" t="n"/>
      <c r="F754" s="3" t="inlineStr">
        <is>
          <t>លេខទូរស័ព្ទនេះមិនមាននៅក្នុងប្រព័ន្ធខាងក្រៅទេ</t>
        </is>
      </c>
      <c r="G754" s="3" t="n"/>
      <c r="H754" s="217" t="inlineStr">
        <is>
          <t>"modifyOrder.newCustomer": "លេខទូរស័ព្ទនេះមិនមាននៅក្នុងប្រព័ន្ធខាងក្រៅទេ",</t>
        </is>
      </c>
      <c r="I754" t="inlineStr">
        <is>
          <t>លេខទូរស័ព្ទនេះមិនមាននៅក្នុងប្រព័ន្ធខាងក្រៅទេ</t>
        </is>
      </c>
    </row>
    <row r="755">
      <c r="A755" s="3" t="inlineStr">
        <is>
          <t>modifyOrder.night</t>
        </is>
      </c>
      <c r="B755" s="3" t="inlineStr">
        <is>
          <t>Tối (18h00 - 21h00)</t>
        </is>
      </c>
      <c r="C755" s="3" t="inlineStr">
        <is>
          <t>Evening (18:00 - 21:00)</t>
        </is>
      </c>
      <c r="D755" s="217">
        <f>IFERROR(__xludf.DUMMYFUNCTION("GOOGLETRANSLATE(C755,""vi"",""km"")"),"ល្ងាច (ម៉ោង ៦:០០ ល្ងាច - ៩:០០ យប់)")</f>
        <v/>
      </c>
      <c r="E755" s="3" t="n"/>
      <c r="F755" s="3" t="inlineStr">
        <is>
          <t>ល្ងាច (ម៉ោង ៦:០០ ល្ងាច - ៩:០០ យប់)</t>
        </is>
      </c>
      <c r="G755" s="3" t="n"/>
      <c r="H755" s="217" t="inlineStr">
        <is>
          <t>"modifyOrder.night": "ល្ងាច (ម៉ោង ៦:០០ ល្ងាច - ៩:០០ យប់)",</t>
        </is>
      </c>
      <c r="I755" t="inlineStr">
        <is>
          <t>ល្ងាច (ម៉ោង ៦:០០ ល្ងាច - ៩:០០ យប់)</t>
        </is>
      </c>
    </row>
    <row r="756">
      <c r="A756" s="3" t="inlineStr">
        <is>
          <t>modifyOrder.note</t>
        </is>
      </c>
      <c r="B756" s="3" t="inlineStr">
        <is>
          <t>*Lưu ý: Mọi dữ liệu hiện tại sẽ bị mất</t>
        </is>
      </c>
      <c r="C756" s="3" t="inlineStr">
        <is>
          <t>*Note: Your current data will no longer exist</t>
        </is>
      </c>
      <c r="D756" s="217">
        <f>IFERROR(__xludf.DUMMYFUNCTION("GOOGLETRANSLATE(C756,""vi"",""km"")"),"*ចំណាំ៖ ទិន្នន័យបច្ចុប្បន្នរបស់អ្នកនឹងលែងមានទៀតហើយ")</f>
        <v/>
      </c>
      <c r="E756" s="3" t="n"/>
      <c r="F756" s="3" t="inlineStr">
        <is>
          <t>*ចំណាំ៖ ទិន្នន័យបច្ចុប្បន្នរបស់អ្នកនឹងលែងមានទៀតហើយ</t>
        </is>
      </c>
      <c r="G756" s="3" t="n"/>
      <c r="H756" s="217" t="inlineStr">
        <is>
          <t>"modifyOrder.note": "*ចំណាំ៖ ទិន្នន័យបច្ចុប្បន្នរបស់អ្នកនឹងលែងមានទៀតហើយ",</t>
        </is>
      </c>
      <c r="I756" t="inlineStr">
        <is>
          <t>*ចំណាំ៖ ទិន្នន័យបច្ចុប្បន្នរបស់អ្នកនឹងលែងមានទៀតហើយ</t>
        </is>
      </c>
    </row>
    <row r="757">
      <c r="A757" s="3" t="inlineStr">
        <is>
          <t>modifyOrder.office_hours</t>
        </is>
      </c>
      <c r="B757" s="3" t="inlineStr">
        <is>
          <t>Giờ hành chính (7h30 - 11h30, 13h00 - 17h30)</t>
        </is>
      </c>
      <c r="C757" s="3" t="inlineStr">
        <is>
          <t>Office hours (7:30 - 11:30, 13:00 - 17:30)</t>
        </is>
      </c>
      <c r="D757" s="217">
        <f>IFERROR(__xludf.DUMMYFUNCTION("GOOGLETRANSLATE(C757,""vi"",""km"")"),"ម៉ោងធ្វើការ (៧:៣០ - ១១:៣០, ១៣:០០ - ១៧:៣០)")</f>
        <v/>
      </c>
      <c r="E757" s="3" t="n"/>
      <c r="F757" s="3" t="inlineStr">
        <is>
          <t>ម៉ោងធ្វើការ (៧:៣០ - ១១:៣០, ១៣:០០ - ១៧:៣០)</t>
        </is>
      </c>
      <c r="G757" s="3" t="n"/>
      <c r="H757" s="217" t="inlineStr">
        <is>
          <t>"modifyOrder.office_hours": "ម៉ោងធ្វើការ (៧:៣០ - ១១:៣០, ១៣:០០ - ១៧:៣០)",</t>
        </is>
      </c>
      <c r="I757" t="inlineStr">
        <is>
          <t>ម៉ោងធ្វើការ (៧:៣០ - ១១:៣០, ១៣:០០ - ១៧:៣០)</t>
        </is>
      </c>
    </row>
    <row r="758">
      <c r="A758" s="3" t="inlineStr">
        <is>
          <t>modifyOrder.orderCanceled</t>
        </is>
      </c>
      <c r="B758" s="3" t="inlineStr">
        <is>
          <t>Mã phiếu gửi {{orderCode}} đã bị hủy. Vui lòng nhập mã khác</t>
        </is>
      </c>
      <c r="C758" s="3" t="inlineStr">
        <is>
          <t>The postal slip {{orderCode}} has been canceled. Please enter a different one.</t>
        </is>
      </c>
      <c r="D758" s="217">
        <f>IFERROR(__xludf.DUMMYFUNCTION("GOOGLETRANSLATE(C758,""vi"",""km"")"),"បង្កាន់ដៃប្រៃសណីយ៍ {{orderCode}} ត្រូវបានលុបចោល។ សូមបញ្ចូលបង្កាន់ដៃផ្សេង។")</f>
        <v/>
      </c>
      <c r="E758" s="3" t="n"/>
      <c r="F758" s="3" t="inlineStr">
        <is>
          <t>បុងបញ្ញើប្រៃសណីយ៍ {{orderCode}} ត្រូវបានលុបចោល។ សូមបញ្ចូលបុងបញ្ញើផ្សេង។</t>
        </is>
      </c>
      <c r="G758" s="3" t="n"/>
      <c r="H758" s="217" t="inlineStr">
        <is>
          <t>"modifyOrder.orderCanceled": "បុងបញ្ញើប្រៃសណីយ៍ {{orderCode}} ត្រូវបានលុបចោល។ សូមបញ្ចូលបុងបញ្ញើផ្សេង។",</t>
        </is>
      </c>
      <c r="I758" t="inlineStr">
        <is>
          <t>បុងបញ្ញើប្រៃសណីយ៍ {{orderCode}} ត្រូវបានលុបចោល។ សូមបញ្ចូលបុងបញ្ញើផ្សេង។</t>
        </is>
      </c>
    </row>
    <row r="759">
      <c r="A759" s="3" t="inlineStr">
        <is>
          <t>modifyOrder.orderCode</t>
        </is>
      </c>
      <c r="B759" s="3" t="inlineStr">
        <is>
          <t>Mã phiếu gửi</t>
        </is>
      </c>
      <c r="C759" s="3" t="inlineStr">
        <is>
          <t>Enter the postal slip ID</t>
        </is>
      </c>
      <c r="D759" s="217">
        <f>IFERROR(__xludf.DUMMYFUNCTION("GOOGLETRANSLATE(C759,""vi"",""km"")"),"បញ្ចូលលេខសម្គាល់សំបុត្រប្រៃសណីយ៍")</f>
        <v/>
      </c>
      <c r="E759" s="3" t="n"/>
      <c r="F759" s="3" t="inlineStr">
        <is>
          <t>លេខកូដបុងបញ្ញើ</t>
        </is>
      </c>
      <c r="G759" s="3" t="n"/>
      <c r="H759" s="217" t="inlineStr">
        <is>
          <t>"modifyOrder.orderCode": "លេខកូដបុងបញ្ញើ",</t>
        </is>
      </c>
      <c r="I759" t="inlineStr">
        <is>
          <t>លេខកូដបុងបញ្ញើ</t>
        </is>
      </c>
    </row>
    <row r="760">
      <c r="A760" s="3" t="inlineStr">
        <is>
          <t>modifyOrder.orderCodePlaceholder</t>
        </is>
      </c>
      <c r="B760" s="3" t="inlineStr">
        <is>
          <t>Nhập mã phiếu gửi</t>
        </is>
      </c>
      <c r="C760" s="3" t="inlineStr">
        <is>
          <t>Enter postal slip's code</t>
        </is>
      </c>
      <c r="D760" s="217">
        <f>IFERROR(__xludf.DUMMYFUNCTION("GOOGLETRANSLATE(C760,""vi"",""km"")"),"បញ្ចូលលេខកូដប្រៃសណីយ៍")</f>
        <v/>
      </c>
      <c r="E760" s="3" t="n"/>
      <c r="F760" s="3" t="inlineStr">
        <is>
          <t>បញ្ចូលលេខកូដប្រៃសណីយ៍</t>
        </is>
      </c>
      <c r="G760" s="3" t="n"/>
      <c r="H760" s="217" t="inlineStr">
        <is>
          <t>"modifyOrder.orderCodePlaceholder": "បញ្ចូលលេខកូដប្រៃសណីយ៍",</t>
        </is>
      </c>
      <c r="I760" t="inlineStr">
        <is>
          <t>បញ្ចូលលេខកូដប្រៃសណីយ៍</t>
        </is>
      </c>
    </row>
    <row r="761">
      <c r="A761" s="3" t="inlineStr">
        <is>
          <t>modifyOrder.orderExisted</t>
        </is>
      </c>
      <c r="B761" s="3" t="inlineStr">
        <is>
          <t>Nhập mã có sẵn</t>
        </is>
      </c>
      <c r="C761" s="3" t="inlineStr">
        <is>
          <t>Enter an existing code</t>
        </is>
      </c>
      <c r="D761" s="217">
        <f>IFERROR(__xludf.DUMMYFUNCTION("GOOGLETRANSLATE(C761,""vi"",""km"")"),"បញ្ចូលលេខកូដដែលមានស្រាប់")</f>
        <v/>
      </c>
      <c r="E761" s="3" t="n"/>
      <c r="F761" s="3" t="inlineStr">
        <is>
          <t>បញ្ចូលលេខកូដដែលមានស្រាប់</t>
        </is>
      </c>
      <c r="G761" s="3" t="n"/>
      <c r="H761" s="217" t="inlineStr">
        <is>
          <t>"modifyOrder.orderExisted": "បញ្ចូលលេខកូដដែលមានស្រាប់",</t>
        </is>
      </c>
      <c r="I761" t="inlineStr">
        <is>
          <t>បញ្ចូលលេខកូដដែលមានស្រាប់</t>
        </is>
      </c>
    </row>
    <row r="762">
      <c r="A762" s="3" t="inlineStr">
        <is>
          <t>modifyOrder.orderExistedInList</t>
        </is>
      </c>
      <c r="B762" s="3" t="inlineStr">
        <is>
          <t>Mã phiếu gửi {{orderCode}} đã tồn tại trong danh sách. Vui lòng kiểm tra lại</t>
        </is>
      </c>
      <c r="C762" s="3" t="inlineStr">
        <is>
          <t>The postal slip {{orderCode}} has already been found. Please double-check</t>
        </is>
      </c>
      <c r="D762" s="217">
        <f>IFERROR(__xludf.DUMMYFUNCTION("GOOGLETRANSLATE(C762,""vi"",""km"")"),"សន្លឹកប្រៃសណីយ៍ {{orderCode}} ត្រូវបានរកឃើញរួចហើយ។ សូមពិនិត្យឡើងវិញ។")</f>
        <v/>
      </c>
      <c r="E762" s="3" t="n"/>
      <c r="F762" s="3" t="inlineStr">
        <is>
          <t>សន្លឹកប្រៃសណីយ៍ {{orderCode}} ត្រូវបានរកឃើញរួចហើយ។ សូមពិនិត្យឡើងវិញ។</t>
        </is>
      </c>
      <c r="G762" s="3" t="n"/>
      <c r="H762" s="217" t="inlineStr">
        <is>
          <t>"modifyOrder.orderExistedInList": "សន្លឹកប្រៃសណីយ៍ {{orderCode}} ត្រូវបានរកឃើញរួចហើយ។ សូមពិនិត្យឡើងវិញ។",</t>
        </is>
      </c>
      <c r="I762" t="inlineStr">
        <is>
          <t>សន្លឹកប្រៃសណីយ៍ {{orderCode}} ត្រូវបានរកឃើញរួចហើយ។ សូមពិនិត្យឡើងវិញ។</t>
        </is>
      </c>
    </row>
    <row r="763">
      <c r="A763" s="3" t="inlineStr">
        <is>
          <t>modifyOrder.other</t>
        </is>
      </c>
      <c r="B763" s="3" t="inlineStr">
        <is>
          <t>Phụ phí khác</t>
        </is>
      </c>
      <c r="C763" s="3" t="inlineStr">
        <is>
          <t>Other</t>
        </is>
      </c>
      <c r="D763" s="217">
        <f>IFERROR(__xludf.DUMMYFUNCTION("GOOGLETRANSLATE(C763,""vi"",""km"")"),"ផ្សេងៗ")</f>
        <v/>
      </c>
      <c r="E763" s="3" t="n"/>
      <c r="F763" s="3" t="inlineStr">
        <is>
          <t>ផ្សេងៗ</t>
        </is>
      </c>
      <c r="G763" s="3" t="n"/>
      <c r="H763" s="217" t="inlineStr">
        <is>
          <t>"modifyOrder.other": "ផ្សេងៗ",</t>
        </is>
      </c>
      <c r="I763" t="inlineStr">
        <is>
          <t>ផ្សេងៗ</t>
        </is>
      </c>
    </row>
    <row r="764">
      <c r="A764" s="3" t="inlineStr">
        <is>
          <t>modifyOrder.otherInfomation</t>
        </is>
      </c>
      <c r="B764" s="3" t="inlineStr">
        <is>
          <t>Thông tin khác</t>
        </is>
      </c>
      <c r="C764" s="3" t="inlineStr">
        <is>
          <t>Other Information</t>
        </is>
      </c>
      <c r="D764" s="217">
        <f>IFERROR(__xludf.DUMMYFUNCTION("GOOGLETRANSLATE(C764,""vi"",""km"")"),"ព័ត៌មានផ្សេងទៀត")</f>
        <v/>
      </c>
      <c r="E764" s="3" t="n"/>
      <c r="F764" s="3" t="inlineStr">
        <is>
          <t>ព័ត៌មានផ្សេងទៀត</t>
        </is>
      </c>
      <c r="G764" s="3" t="n"/>
      <c r="H764" s="217" t="inlineStr">
        <is>
          <t>"modifyOrder.otherInfomation": "ព័ត៌មានផ្សេងទៀត",</t>
        </is>
      </c>
      <c r="I764" t="inlineStr">
        <is>
          <t>ព័ត៌មានផ្សេងទៀត</t>
        </is>
      </c>
    </row>
    <row r="765">
      <c r="A765" s="3" t="inlineStr">
        <is>
          <t>modifyOrder.packaging</t>
        </is>
      </c>
      <c r="B765" s="3" t="inlineStr">
        <is>
          <t>Phụ phí đóng gói</t>
        </is>
      </c>
      <c r="C765" s="3" t="inlineStr">
        <is>
          <t>Packing charge</t>
        </is>
      </c>
      <c r="D765" s="217">
        <f>IFERROR(__xludf.DUMMYFUNCTION("GOOGLETRANSLATE(C765,""vi"",""km"")"),"ថ្លៃវេចខ្ចប់")</f>
        <v/>
      </c>
      <c r="E765" s="3" t="n"/>
      <c r="F765" s="3" t="inlineStr">
        <is>
          <t>ថ្លៃវេចខ្ចប់</t>
        </is>
      </c>
      <c r="G765" s="3" t="n"/>
      <c r="H765" s="217" t="inlineStr">
        <is>
          <t>"modifyOrder.packaging": "ថ្លៃវេចខ្ចប់",</t>
        </is>
      </c>
      <c r="I765" t="inlineStr">
        <is>
          <t>ថ្លៃវេចខ្ចប់</t>
        </is>
      </c>
    </row>
    <row r="766">
      <c r="A766" s="3" t="inlineStr">
        <is>
          <t>modifyOrder.page1</t>
        </is>
      </c>
      <c r="B766" s="3" t="inlineStr">
        <is>
          <t>1 liên</t>
        </is>
      </c>
      <c r="C766" s="3" t="inlineStr">
        <is>
          <t>1 page</t>
        </is>
      </c>
      <c r="D766" s="217">
        <f>IFERROR(__xludf.DUMMYFUNCTION("GOOGLETRANSLATE(C766,""vi"",""km"")"),"១ ទំព័រ")</f>
        <v/>
      </c>
      <c r="E766" s="3" t="n"/>
      <c r="F766" s="3" t="inlineStr">
        <is>
          <t>១ ទំព័រ</t>
        </is>
      </c>
      <c r="G766" s="3" t="n"/>
      <c r="H766" s="217" t="inlineStr">
        <is>
          <t>"modifyOrder.page1": "១ ទំព័រ",</t>
        </is>
      </c>
      <c r="I766" t="inlineStr">
        <is>
          <t>១ ទំព័រ</t>
        </is>
      </c>
    </row>
    <row r="767">
      <c r="A767" s="3" t="inlineStr">
        <is>
          <t>modifyOrder.page2</t>
        </is>
      </c>
      <c r="B767" s="3" t="inlineStr">
        <is>
          <t>2 liên</t>
        </is>
      </c>
      <c r="C767" s="3" t="inlineStr">
        <is>
          <t>2 pages</t>
        </is>
      </c>
      <c r="D767" s="217">
        <f>IFERROR(__xludf.DUMMYFUNCTION("GOOGLETRANSLATE(C767,""vi"",""km"")"),"២ ទំព័រ")</f>
        <v/>
      </c>
      <c r="E767" s="3" t="n"/>
      <c r="F767" s="3" t="inlineStr">
        <is>
          <t>២ ទំព័រ</t>
        </is>
      </c>
      <c r="G767" s="3" t="n"/>
      <c r="H767" s="217" t="inlineStr">
        <is>
          <t>"modifyOrder.page2": "២ ទំព័រ",</t>
        </is>
      </c>
      <c r="I767" t="inlineStr">
        <is>
          <t>២ ទំព័រ</t>
        </is>
      </c>
    </row>
    <row r="768">
      <c r="A768" s="3" t="inlineStr">
        <is>
          <t>modifyOrder.parcel</t>
        </is>
      </c>
      <c r="B768" s="3" t="inlineStr">
        <is>
          <t>Hàng hoá</t>
        </is>
      </c>
      <c r="C768" s="3" t="inlineStr">
        <is>
          <t>Freight</t>
        </is>
      </c>
      <c r="D768" s="217">
        <f>IFERROR(__xludf.DUMMYFUNCTION("GOOGLETRANSLATE(C768,""vi"",""km"")"),"ការដឹកជញ្ជូនទំនិញ")</f>
        <v/>
      </c>
      <c r="E768" s="3" t="n"/>
      <c r="F768" s="3" t="inlineStr">
        <is>
          <t>ការដឹកជញ្ជូនទំនិញ</t>
        </is>
      </c>
      <c r="G768" s="3" t="n"/>
      <c r="H768" s="217" t="inlineStr">
        <is>
          <t>"modifyOrder.parcel": "ការដឹកជញ្ជូនទំនិញ",</t>
        </is>
      </c>
      <c r="I768" t="inlineStr">
        <is>
          <t>ការដឹកជញ្ជូនទំនិញ</t>
        </is>
      </c>
    </row>
    <row r="769">
      <c r="A769" s="3" t="inlineStr">
        <is>
          <t>modifyOrder.parcelDescription</t>
        </is>
      </c>
      <c r="B769" s="3" t="inlineStr">
        <is>
          <t>Ghi chú</t>
        </is>
      </c>
      <c r="C769" s="3" t="inlineStr">
        <is>
          <t>Note</t>
        </is>
      </c>
      <c r="D769" s="217">
        <f>IFERROR(__xludf.DUMMYFUNCTION("GOOGLETRANSLATE(C769,""vi"",""km"")"),"កំណត់ចំណាំ")</f>
        <v/>
      </c>
      <c r="E769" s="3" t="n"/>
      <c r="F769" s="3" t="inlineStr">
        <is>
          <t>ចំណាំ</t>
        </is>
      </c>
      <c r="G769" s="3" t="n"/>
      <c r="H769" s="217" t="inlineStr">
        <is>
          <t>"modifyOrder.parcelDescription": "ចំណាំ",</t>
        </is>
      </c>
      <c r="I769" t="inlineStr">
        <is>
          <t>ចំណាំ</t>
        </is>
      </c>
    </row>
    <row r="770">
      <c r="A770" s="3" t="inlineStr">
        <is>
          <t>modifyOrder.parcelDescriptionPlaceholder</t>
        </is>
      </c>
      <c r="B770" s="3" t="inlineStr">
        <is>
          <t>Nhập ghi chú</t>
        </is>
      </c>
      <c r="C770" s="3" t="inlineStr">
        <is>
          <t>Enter note</t>
        </is>
      </c>
      <c r="D770" s="217">
        <f>IFERROR(__xludf.DUMMYFUNCTION("GOOGLETRANSLATE(C770,""vi"",""km"")"),"បញ្ចូលកំណត់ចំណាំ")</f>
        <v/>
      </c>
      <c r="E770" s="3" t="n"/>
      <c r="F770" s="3" t="inlineStr">
        <is>
          <t>បញ្ចូលកំណត់ចំណាំ</t>
        </is>
      </c>
      <c r="G770" s="3" t="n"/>
      <c r="H770" s="217" t="inlineStr">
        <is>
          <t>"modifyOrder.parcelDescriptionPlaceholder": "បញ្ចូលកំណត់ចំណាំ",</t>
        </is>
      </c>
      <c r="I770" t="inlineStr">
        <is>
          <t>បញ្ចូលកំណត់ចំណាំ</t>
        </is>
      </c>
    </row>
    <row r="771">
      <c r="A771" s="3" t="inlineStr">
        <is>
          <t>modifyOrder.parcelName</t>
        </is>
      </c>
      <c r="B771" s="3" t="inlineStr">
        <is>
          <t>Tên hàng hoá</t>
        </is>
      </c>
      <c r="C771" s="3" t="inlineStr">
        <is>
          <t>Parcel description</t>
        </is>
      </c>
      <c r="D771" s="217">
        <f>IFERROR(__xludf.DUMMYFUNCTION("GOOGLETRANSLATE(C771,""vi"",""km"")"),"ការពិពណ៌នាអំពីកញ្ចប់")</f>
        <v/>
      </c>
      <c r="E771" s="3" t="n"/>
      <c r="F771" s="3" t="inlineStr">
        <is>
          <t>ការពិពណ៌នាអំពីកញ្ចប់</t>
        </is>
      </c>
      <c r="G771" s="3" t="n"/>
      <c r="H771" s="217" t="inlineStr">
        <is>
          <t>"modifyOrder.parcelName": "ការពិពណ៌នាអំពីកញ្ចប់",</t>
        </is>
      </c>
      <c r="I771" t="inlineStr">
        <is>
          <t>ការពិពណ៌នាអំពីកញ្ចប់</t>
        </is>
      </c>
    </row>
    <row r="772">
      <c r="A772" s="3" t="inlineStr">
        <is>
          <t>modifyOrder.parcelQuantity</t>
        </is>
      </c>
      <c r="B772" s="3" t="inlineStr">
        <is>
          <t>Số lượng</t>
        </is>
      </c>
      <c r="C772" s="3" t="inlineStr">
        <is>
          <t>Quantity</t>
        </is>
      </c>
      <c r="D772" s="217">
        <f>IFERROR(__xludf.DUMMYFUNCTION("GOOGLETRANSLATE(C772,""vi"",""km"")"),"វត្ថុ")</f>
        <v/>
      </c>
      <c r="E772" s="3" t="n"/>
      <c r="F772" s="3" t="inlineStr">
        <is>
          <t>វត្ថុ</t>
        </is>
      </c>
      <c r="G772" s="3" t="n"/>
      <c r="H772" s="217" t="inlineStr">
        <is>
          <t>"modifyOrder.parcelQuantity": "វត្ថុ",</t>
        </is>
      </c>
      <c r="I772" t="inlineStr">
        <is>
          <t>វត្ថុ</t>
        </is>
      </c>
    </row>
    <row r="773">
      <c r="A773" s="3" t="inlineStr">
        <is>
          <t>modifyOrder.parcelType</t>
        </is>
      </c>
      <c r="B773" s="3" t="inlineStr">
        <is>
          <t>Loại hàng hoá</t>
        </is>
      </c>
      <c r="C773" s="3" t="inlineStr">
        <is>
          <t>Goods categories</t>
        </is>
      </c>
      <c r="D773" s="217">
        <f>IFERROR(__xludf.DUMMYFUNCTION("GOOGLETRANSLATE(C773,""vi"",""km"")"),"ប្រភេទទំនិញ")</f>
        <v/>
      </c>
      <c r="E773" s="3" t="n"/>
      <c r="F773" s="3" t="inlineStr">
        <is>
          <t>ប្រភេទទំនិញ</t>
        </is>
      </c>
      <c r="G773" s="3" t="n"/>
      <c r="H773" s="217" t="inlineStr">
        <is>
          <t>"modifyOrder.parcelType": "ប្រភេទទំនិញ",</t>
        </is>
      </c>
      <c r="I773" t="inlineStr">
        <is>
          <t>ប្រភេទទំនិញ</t>
        </is>
      </c>
    </row>
    <row r="774">
      <c r="A774" s="3" t="inlineStr">
        <is>
          <t>modifyOrder.parcelValue</t>
        </is>
      </c>
      <c r="B774" s="3" t="inlineStr">
        <is>
          <t>Giá trị ({{countryMoney}})</t>
        </is>
      </c>
      <c r="C774" s="3" t="inlineStr">
        <is>
          <t>Freight value ({{countryMoney}})</t>
        </is>
      </c>
      <c r="D774" s="217">
        <f>IFERROR(__xludf.DUMMYFUNCTION("GOOGLETRANSLATE(C774,""vi"",""km"")"),"តម្លៃដឹកជញ្ជូន ({{countryMoney}})")</f>
        <v/>
      </c>
      <c r="E774" s="3" t="n"/>
      <c r="F774" s="3" t="inlineStr">
        <is>
          <t>តម្លៃដឹកជញ្ជូន ({{countryMoney}})</t>
        </is>
      </c>
      <c r="G774" s="3" t="n"/>
      <c r="H774" s="217" t="inlineStr">
        <is>
          <t>"modifyOrder.parcelValue": "តម្លៃដឹកជញ្ជូន ({{countryMoney}})",</t>
        </is>
      </c>
      <c r="I774" t="inlineStr">
        <is>
          <t>តម្លៃដឹកជញ្ជូន ({{countryMoney}})</t>
        </is>
      </c>
    </row>
    <row r="775">
      <c r="A775" s="3" t="inlineStr">
        <is>
          <t>modifyOrder.parcelWeight</t>
        </is>
      </c>
      <c r="B775" s="3" t="inlineStr">
        <is>
          <t>Khối lượng (g)</t>
        </is>
      </c>
      <c r="C775" s="3" t="inlineStr">
        <is>
          <t>Weight (g)</t>
        </is>
      </c>
      <c r="D775" s="217">
        <f>IFERROR(__xludf.DUMMYFUNCTION("GOOGLETRANSLATE(C775,""vi"",""km"")"),"ទម្ងន់ (ក្រាម)")</f>
        <v/>
      </c>
      <c r="E775" s="3" t="n"/>
      <c r="F775" s="3" t="inlineStr">
        <is>
          <t>ទម្ងន់ (ក្រាម)</t>
        </is>
      </c>
      <c r="G775" s="3" t="n"/>
      <c r="H775" s="217" t="inlineStr">
        <is>
          <t>"modifyOrder.parcelWeight": "ទម្ងន់ (ក្រាម)",</t>
        </is>
      </c>
      <c r="I775" t="inlineStr">
        <is>
          <t>ទម្ងន់ (ក្រាម)</t>
        </is>
      </c>
    </row>
    <row r="776">
      <c r="A776" s="3" t="inlineStr">
        <is>
          <t>modifyOrder.parcelWeightLabel</t>
        </is>
      </c>
      <c r="B776" s="3" t="inlineStr">
        <is>
          <t>Trọng lượng</t>
        </is>
      </c>
      <c r="C776" s="3" t="inlineStr">
        <is>
          <t>Weight</t>
        </is>
      </c>
      <c r="D776" s="217">
        <f>IFERROR(__xludf.DUMMYFUNCTION("GOOGLETRANSLATE(C776,""vi"",""km"")"),"ទម្ងន់")</f>
        <v/>
      </c>
      <c r="E776" s="3" t="n"/>
      <c r="F776" s="3" t="inlineStr">
        <is>
          <t>ទម្ងន់</t>
        </is>
      </c>
      <c r="G776" s="3" t="n"/>
      <c r="H776" s="217" t="inlineStr">
        <is>
          <t>"modifyOrder.parcelWeightLabel": "ទម្ងន់",</t>
        </is>
      </c>
      <c r="I776" t="inlineStr">
        <is>
          <t>ទម្ងន់</t>
        </is>
      </c>
    </row>
    <row r="777">
      <c r="A777" s="3" t="inlineStr">
        <is>
          <t>modifyOrder.payerType</t>
        </is>
      </c>
      <c r="B777" s="3" t="inlineStr">
        <is>
          <t>Người trả cước</t>
        </is>
      </c>
      <c r="C777" s="3" t="inlineStr">
        <is>
          <t>Payer</t>
        </is>
      </c>
      <c r="D777" s="217">
        <f>IFERROR(__xludf.DUMMYFUNCTION("GOOGLETRANSLATE(C777,""vi"",""km"")"),"អ្នកបង់ប្រាក់")</f>
        <v/>
      </c>
      <c r="E777" s="3" t="n"/>
      <c r="F777" s="3" t="inlineStr">
        <is>
          <t>អ្នកបង់ប្រាក់</t>
        </is>
      </c>
      <c r="G777" s="3" t="n"/>
      <c r="H777" s="217" t="inlineStr">
        <is>
          <t>"modifyOrder.payerType": "អ្នកបង់ប្រាក់",</t>
        </is>
      </c>
      <c r="I777" t="inlineStr">
        <is>
          <t>អ្នកបង់ប្រាក់</t>
        </is>
      </c>
    </row>
    <row r="778">
      <c r="A778" s="3" t="inlineStr">
        <is>
          <t>modifyOrder.paymentType</t>
        </is>
      </c>
      <c r="B778" s="3" t="inlineStr">
        <is>
          <t>Hình thức thanh toán cước</t>
        </is>
      </c>
      <c r="C778" s="3" t="inlineStr">
        <is>
          <t>Payment categories</t>
        </is>
      </c>
      <c r="D778" s="217">
        <f>IFERROR(__xludf.DUMMYFUNCTION("GOOGLETRANSLATE(C778,""vi"",""km"")"),"អ្នកសរសេរការទូទាត់")</f>
        <v/>
      </c>
      <c r="E778" s="3" t="n"/>
      <c r="F778" s="3" t="inlineStr">
        <is>
          <t>អ្នកសរសេរការទូទាត់</t>
        </is>
      </c>
      <c r="G778" s="3" t="n"/>
      <c r="H778" s="217" t="inlineStr">
        <is>
          <t>"modifyOrder.paymentType": "អ្នកសរសេរការទូទាត់",</t>
        </is>
      </c>
      <c r="I778" t="inlineStr">
        <is>
          <t>អ្នកសរសេរការទូទាត់</t>
        </is>
      </c>
    </row>
    <row r="779">
      <c r="A779" s="3" t="inlineStr">
        <is>
          <t>modifyOrder.phone</t>
        </is>
      </c>
      <c r="B779" s="3" t="inlineStr">
        <is>
          <t>Số điện thoại</t>
        </is>
      </c>
      <c r="C779" s="3" t="inlineStr">
        <is>
          <t>Phone number</t>
        </is>
      </c>
      <c r="D779" s="217">
        <f>IFERROR(__xludf.DUMMYFUNCTION("GOOGLETRANSLATE(C779,""vi"",""km"")"),"លេខទូរស័ព្ទ")</f>
        <v/>
      </c>
      <c r="E779" s="3" t="n"/>
      <c r="F779" s="3" t="inlineStr">
        <is>
          <t>លេខទូរស័ព្ទ</t>
        </is>
      </c>
      <c r="G779" s="3" t="n"/>
      <c r="H779" s="217" t="inlineStr">
        <is>
          <t>"modifyOrder.phone": "លេខទូរស័ព្ទ",</t>
        </is>
      </c>
      <c r="I779" t="inlineStr">
        <is>
          <t>លេខទូរស័ព្ទ</t>
        </is>
      </c>
    </row>
    <row r="780">
      <c r="A780" s="3" t="inlineStr">
        <is>
          <t>modifyOrder.phonePlaceholder</t>
        </is>
      </c>
      <c r="B780" s="3" t="inlineStr">
        <is>
          <t>Nhập số điện thoại</t>
        </is>
      </c>
      <c r="C780" s="3" t="inlineStr">
        <is>
          <t>Enter the phone number</t>
        </is>
      </c>
      <c r="D780" s="217">
        <f>IFERROR(__xludf.DUMMYFUNCTION("GOOGLETRANSLATE(C780,""vi"",""km"")"),"បញ្ចូលលេខទូរស័ព្ទ")</f>
        <v/>
      </c>
      <c r="E780" s="3" t="n"/>
      <c r="F780" s="3" t="inlineStr">
        <is>
          <t>បញ្ចូលលេខទូរស័ព្ទ</t>
        </is>
      </c>
      <c r="G780" s="3" t="n"/>
      <c r="H780" s="217" t="inlineStr">
        <is>
          <t>"modifyOrder.phonePlaceholder": "បញ្ចូលលេខទូរស័ព្ទ",</t>
        </is>
      </c>
      <c r="I780" t="inlineStr">
        <is>
          <t>បញ្ចូលលេខទូរស័ព្ទ</t>
        </is>
      </c>
    </row>
    <row r="781">
      <c r="A781" s="3" t="inlineStr">
        <is>
          <t>modifyOrder.pleaseEnterHeight</t>
        </is>
      </c>
      <c r="B781" s="3" t="inlineStr">
        <is>
          <t>Vui lòng nhập chiều cao</t>
        </is>
      </c>
      <c r="C781" s="3" t="inlineStr">
        <is>
          <t>Please enter height</t>
        </is>
      </c>
      <c r="D781" s="217">
        <f>IFERROR(__xludf.DUMMYFUNCTION("GOOGLETRANSLATE(C781,""vi"",""km"")"),"សូមបញ្ចូលកម្ពស់")</f>
        <v/>
      </c>
      <c r="E781" s="3" t="n"/>
      <c r="F781" s="3" t="inlineStr">
        <is>
          <t>សូមបញ្ចូលកម្ពស់</t>
        </is>
      </c>
      <c r="G781" s="3" t="n"/>
      <c r="H781" s="217" t="inlineStr">
        <is>
          <t>"modifyOrder.pleaseEnterHeight": "សូមបញ្ចូលកម្ពស់",</t>
        </is>
      </c>
      <c r="I781" t="inlineStr">
        <is>
          <t>សូមបញ្ចូលកម្ពស់</t>
        </is>
      </c>
    </row>
    <row r="782">
      <c r="A782" s="3" t="inlineStr">
        <is>
          <t>modifyOrder.pleaseEnterLength</t>
        </is>
      </c>
      <c r="B782" s="3" t="inlineStr">
        <is>
          <t>Vui lòng nhập chiều dài</t>
        </is>
      </c>
      <c r="C782" s="3" t="inlineStr">
        <is>
          <t>Please enter length</t>
        </is>
      </c>
      <c r="D782" s="217">
        <f>IFERROR(__xludf.DUMMYFUNCTION("GOOGLETRANSLATE(C782,""vi"",""km"")"),"សូមបញ្ចូលប្រវែង")</f>
        <v/>
      </c>
      <c r="E782" s="3" t="n"/>
      <c r="F782" s="3" t="inlineStr">
        <is>
          <t>សូមបញ្ចូលប្រវែង</t>
        </is>
      </c>
      <c r="G782" s="3" t="n"/>
      <c r="H782" s="217" t="inlineStr">
        <is>
          <t>"modifyOrder.pleaseEnterLength": "សូមបញ្ចូលប្រវែង",</t>
        </is>
      </c>
      <c r="I782" t="inlineStr">
        <is>
          <t>សូមបញ្ចូលប្រវែង</t>
        </is>
      </c>
    </row>
    <row r="783">
      <c r="A783" s="3" t="inlineStr">
        <is>
          <t>modifyOrder.pleaseEnterWidth</t>
        </is>
      </c>
      <c r="B783" s="3" t="inlineStr">
        <is>
          <t>Vui lòng nhập chiều rộng</t>
        </is>
      </c>
      <c r="C783" s="3" t="inlineStr">
        <is>
          <t>Please enter width</t>
        </is>
      </c>
      <c r="D783" s="217">
        <f>IFERROR(__xludf.DUMMYFUNCTION("GOOGLETRANSLATE(C783,""vi"",""km"")"),"សូមបញ្ចូលទទឹង")</f>
        <v/>
      </c>
      <c r="E783" s="3" t="n"/>
      <c r="F783" s="3" t="inlineStr">
        <is>
          <t>សូមបញ្ចូលទទឹង</t>
        </is>
      </c>
      <c r="G783" s="3" t="n"/>
      <c r="H783" s="217" t="inlineStr">
        <is>
          <t>"modifyOrder.pleaseEnterWidth": "សូមបញ្ចូលទទឹង",</t>
        </is>
      </c>
      <c r="I783" t="inlineStr">
        <is>
          <t>សូមបញ្ចូលទទឹង</t>
        </is>
      </c>
    </row>
    <row r="784">
      <c r="A784" s="3" t="inlineStr">
        <is>
          <t>modifyOrder.printOrder</t>
        </is>
      </c>
      <c r="B784" s="3" t="inlineStr">
        <is>
          <t>Số liên cần in trên một đơn</t>
        </is>
      </c>
      <c r="C784" s="3" t="inlineStr">
        <is>
          <t>Number of page required per order</t>
        </is>
      </c>
      <c r="D784" s="217">
        <f>IFERROR(__xludf.DUMMYFUNCTION("GOOGLETRANSLATE(C784,""vi"",""km"")"),"ចំនួនទំព័រដែលត្រូវការក្នុងមួយការបញ្ជាទិញ")</f>
        <v/>
      </c>
      <c r="E784" s="3" t="n"/>
      <c r="F784" s="3" t="inlineStr">
        <is>
          <t>ចំនួនទំព័រដែលត្រូវការក្នុងមួយការបញ្ជាទិញ</t>
        </is>
      </c>
      <c r="G784" s="3" t="n"/>
      <c r="H784" s="217" t="inlineStr">
        <is>
          <t>"modifyOrder.printOrder": "ចំនួនទំព័រដែលត្រូវការក្នុងមួយការបញ្ជាទិញ",</t>
        </is>
      </c>
      <c r="I784" t="inlineStr">
        <is>
          <t>ចំនួនទំព័រដែលត្រូវការក្នុងមួយការបញ្ជាទិញ</t>
        </is>
      </c>
    </row>
    <row r="785">
      <c r="A785" s="3" t="inlineStr">
        <is>
          <t>modifyOrder.refresh</t>
        </is>
      </c>
      <c r="B785" s="3" t="inlineStr">
        <is>
          <t>Làm mới</t>
        </is>
      </c>
      <c r="C785" s="3" t="inlineStr">
        <is>
          <t>Refresh</t>
        </is>
      </c>
      <c r="D785" s="217">
        <f>IFERROR(__xludf.DUMMYFUNCTION("GOOGLETRANSLATE(C785,""vi"",""km"")"),"ធ្វើឱ្យស្រស់ឡើងវិញ")</f>
        <v/>
      </c>
      <c r="E785" s="3" t="n"/>
      <c r="F785" s="3" t="inlineStr">
        <is>
          <t>ផ្ទុកឡើងវិញ</t>
        </is>
      </c>
      <c r="G785" s="3" t="n"/>
      <c r="H785" s="217" t="inlineStr">
        <is>
          <t>"modifyOrder.refresh": "ផ្ទុកឡើងវិញ",</t>
        </is>
      </c>
      <c r="I785" t="inlineStr">
        <is>
          <t>ផ្ទុកឡើងវិញ</t>
        </is>
      </c>
    </row>
    <row r="786">
      <c r="A786" s="3" t="inlineStr">
        <is>
          <t>modifyOrder.searchDeliveryStore</t>
        </is>
      </c>
      <c r="B786" s="3" t="inlineStr">
        <is>
          <t>Tìm kiếm cửa hàng</t>
        </is>
      </c>
      <c r="C786" s="3" t="inlineStr">
        <is>
          <t>Search Store</t>
        </is>
      </c>
      <c r="D786" s="217">
        <f>IFERROR(__xludf.DUMMYFUNCTION("GOOGLETRANSLATE(C786,""vi"",""km"")"),"ស្វែងរកហាង")</f>
        <v/>
      </c>
      <c r="E786" s="3" t="n"/>
      <c r="F786" s="3" t="inlineStr">
        <is>
          <t>ស្វែងរកហាង</t>
        </is>
      </c>
      <c r="G786" s="3" t="n"/>
      <c r="H786" s="217" t="inlineStr">
        <is>
          <t>"modifyOrder.searchDeliveryStore": "ស្វែងរកហាង",</t>
        </is>
      </c>
      <c r="I786" t="inlineStr">
        <is>
          <t>ស្វែងរកហាង</t>
        </is>
      </c>
    </row>
    <row r="787">
      <c r="A787" s="3" t="inlineStr">
        <is>
          <t>modifyOrder.seller</t>
        </is>
      </c>
      <c r="B787" s="3" t="inlineStr">
        <is>
          <t>Người gửi</t>
        </is>
      </c>
      <c r="C787" s="3" t="inlineStr">
        <is>
          <t>Sender</t>
        </is>
      </c>
      <c r="D787" s="217">
        <f>IFERROR(__xludf.DUMMYFUNCTION("GOOGLETRANSLATE(C787,""vi"",""km"")"),"អ្នកផ្ញើ")</f>
        <v/>
      </c>
      <c r="E787" s="3" t="n"/>
      <c r="F787" s="3" t="inlineStr">
        <is>
          <t>អ្នកផ្ញើ</t>
        </is>
      </c>
      <c r="G787" s="3" t="n"/>
      <c r="H787" s="217" t="inlineStr">
        <is>
          <t>"modifyOrder.seller": "អ្នកផ្ញើ",</t>
        </is>
      </c>
      <c r="I787" t="inlineStr">
        <is>
          <t>អ្នកផ្ញើ</t>
        </is>
      </c>
    </row>
    <row r="788">
      <c r="A788" s="3" t="inlineStr">
        <is>
          <t>modifyOrder.sender</t>
        </is>
      </c>
      <c r="B788" s="3" t="inlineStr">
        <is>
          <t>Người gửi</t>
        </is>
      </c>
      <c r="C788" s="3" t="inlineStr">
        <is>
          <t>Sender</t>
        </is>
      </c>
      <c r="D788" s="217">
        <f>IFERROR(__xludf.DUMMYFUNCTION("GOOGLETRANSLATE(C788,""vi"",""km"")"),"អ្នកផ្ញើ")</f>
        <v/>
      </c>
      <c r="E788" s="3" t="n"/>
      <c r="F788" s="3" t="inlineStr">
        <is>
          <t>អ្នកផ្ញើ</t>
        </is>
      </c>
      <c r="G788" s="3" t="n"/>
      <c r="H788" s="217" t="inlineStr">
        <is>
          <t>"modifyOrder.sender": "អ្នកផ្ញើ",</t>
        </is>
      </c>
      <c r="I788" t="inlineStr">
        <is>
          <t>អ្នកផ្ញើ</t>
        </is>
      </c>
    </row>
    <row r="789">
      <c r="A789" s="3" t="inlineStr">
        <is>
          <t>modifyOrder.services</t>
        </is>
      </c>
      <c r="B789" s="3" t="inlineStr">
        <is>
          <t>Dịch vụ</t>
        </is>
      </c>
      <c r="C789" s="3" t="inlineStr">
        <is>
          <t>Service</t>
        </is>
      </c>
      <c r="D789" s="217">
        <f>IFERROR(__xludf.DUMMYFUNCTION("GOOGLETRANSLATE(C789,""vi"",""km"")"),"សេវាកម្ម")</f>
        <v/>
      </c>
      <c r="E789" s="3" t="n"/>
      <c r="F789" s="3" t="inlineStr">
        <is>
          <t>សេវាកម្ម</t>
        </is>
      </c>
      <c r="G789" s="3" t="n"/>
      <c r="H789" s="217" t="inlineStr">
        <is>
          <t>"modifyOrder.services": "សេវាកម្ម",</t>
        </is>
      </c>
      <c r="I789" t="inlineStr">
        <is>
          <t>សេវាកម្ម</t>
        </is>
      </c>
    </row>
    <row r="790">
      <c r="A790" s="3" t="inlineStr">
        <is>
          <t>modifyOrder.shipping</t>
        </is>
      </c>
      <c r="B790" s="3" t="inlineStr">
        <is>
          <t>Phụ phí bốc xếp</t>
        </is>
      </c>
      <c r="C790" s="3" t="inlineStr">
        <is>
          <t>Handling charge</t>
        </is>
      </c>
      <c r="D790" s="217">
        <f>IFERROR(__xludf.DUMMYFUNCTION("GOOGLETRANSLATE(C790,""vi"",""km"")"),"ថ្លៃសេវាដោះស្រាយ")</f>
        <v/>
      </c>
      <c r="E790" s="3" t="n"/>
      <c r="F790" s="3" t="inlineStr">
        <is>
          <t>ថ្លៃសេវាដោះស្រាយ</t>
        </is>
      </c>
      <c r="G790" s="3" t="n"/>
      <c r="H790" s="217" t="inlineStr">
        <is>
          <t>"modifyOrder.shipping": "ថ្លៃសេវាដោះស្រាយ",</t>
        </is>
      </c>
      <c r="I790" t="inlineStr">
        <is>
          <t>ថ្លៃសេវាដោះស្រាយ</t>
        </is>
      </c>
    </row>
    <row r="791">
      <c r="A791" s="3" t="inlineStr">
        <is>
          <t>modifyOrder.shippingDate</t>
        </is>
      </c>
      <c r="B791" s="3" t="inlineStr">
        <is>
          <t>Ngày gửi</t>
        </is>
      </c>
      <c r="C791" s="3" t="inlineStr">
        <is>
          <t>Sent date</t>
        </is>
      </c>
      <c r="D791" s="217">
        <f>IFERROR(__xludf.DUMMYFUNCTION("GOOGLETRANSLATE(C791,""vi"",""km"")"),"កាលបរិច្ឆេទដែលបានផ្ញើ")</f>
        <v/>
      </c>
      <c r="E791" s="3" t="n"/>
      <c r="F791" s="3" t="inlineStr">
        <is>
          <t>កាលបរិច្ឆេទផ្ញើ</t>
        </is>
      </c>
      <c r="G791" s="3" t="n"/>
      <c r="H791" s="217" t="inlineStr">
        <is>
          <t>"modifyOrder.shippingDate": "កាលបរិច្ឆេទផ្ញើ",</t>
        </is>
      </c>
      <c r="I791" t="inlineStr">
        <is>
          <t>កាលបរិច្ឆេទផ្ញើ</t>
        </is>
      </c>
    </row>
    <row r="792">
      <c r="A792" s="3" t="inlineStr">
        <is>
          <t>modifyOrder.shippingFee</t>
        </is>
      </c>
      <c r="B792" s="3" t="inlineStr">
        <is>
          <t>Cước phí</t>
        </is>
      </c>
      <c r="C792" s="3" t="inlineStr">
        <is>
          <t>Shipping fee</t>
        </is>
      </c>
      <c r="D792" s="217">
        <f>IFERROR(__xludf.DUMMYFUNCTION("GOOGLETRANSLATE(C792,""vi"",""km"")"),"ថ្លៃដឹកជញ្ជូន")</f>
        <v/>
      </c>
      <c r="E792" s="3" t="n"/>
      <c r="F792" s="3" t="inlineStr">
        <is>
          <t>ថ្លៃដឹកជញ្ជូន</t>
        </is>
      </c>
      <c r="G792" s="3" t="n"/>
      <c r="H792" s="217" t="inlineStr">
        <is>
          <t>"modifyOrder.shippingFee": "ថ្លៃដឹកជញ្ជូន",</t>
        </is>
      </c>
      <c r="I792" t="inlineStr">
        <is>
          <t>ថ្លៃដឹកជញ្ជូន</t>
        </is>
      </c>
    </row>
    <row r="793">
      <c r="A793" s="3" t="inlineStr">
        <is>
          <t>modifyOrder.size</t>
        </is>
      </c>
      <c r="B793" s="3" t="inlineStr">
        <is>
          <t>Kích thước (D+R+C) (cm)</t>
        </is>
      </c>
      <c r="C793" s="3" t="inlineStr">
        <is>
          <t>Size (L+W+H) (cm)</t>
        </is>
      </c>
      <c r="D793" s="217">
        <f>IFERROR(__xludf.DUMMYFUNCTION("GOOGLETRANSLATE(C793,""vi"",""km"")"),"ទំហំ (បណ្តោយ+ទទឹង+កម្ពស់) (សង់ទីម៉ែត្រ)")</f>
        <v/>
      </c>
      <c r="E793" s="3" t="n"/>
      <c r="F793" s="3" t="inlineStr">
        <is>
          <t>ទំហំ (បណ្តោយ+ទទឹង+កម្ពស់) (សង់ទីម៉ែត្រ)</t>
        </is>
      </c>
      <c r="G793" s="3" t="n"/>
      <c r="H793" s="217" t="inlineStr">
        <is>
          <t>"modifyOrder.size": "ទំហំ (បណ្តោយ+ទទឹង+កម្ពស់) (សង់ទីម៉ែត្រ)",</t>
        </is>
      </c>
      <c r="I793" t="inlineStr">
        <is>
          <t>ទំហំ (បណ្តោយ+ទទឹង+កម្ពស់) (សង់ទីម៉ែត្រ)</t>
        </is>
      </c>
    </row>
    <row r="794">
      <c r="A794" s="3" t="inlineStr">
        <is>
          <t>modifyOrder.sizePlaceholder</t>
        </is>
      </c>
      <c r="B794" s="3" t="inlineStr">
        <is>
          <t>Nhập Dài + Rộng + Cao</t>
        </is>
      </c>
      <c r="C794" s="3" t="inlineStr">
        <is>
          <t>Enter Length + Width + Height</t>
        </is>
      </c>
      <c r="D794" s="217">
        <f>IFERROR(__xludf.DUMMYFUNCTION("GOOGLETRANSLATE(C794,""vi"",""km"")"),"បញ្ចូលប្រវែង + ទទឹង + កម្ពស់")</f>
        <v/>
      </c>
      <c r="E794" s="3" t="n"/>
      <c r="F794" s="3" t="inlineStr">
        <is>
          <t>បញ្ចូលប្រវែង + ទទឹង + កម្ពស់</t>
        </is>
      </c>
      <c r="G794" s="3" t="n"/>
      <c r="H794" s="217" t="inlineStr">
        <is>
          <t>"modifyOrder.sizePlaceholder": "បញ្ចូលប្រវែង + ទទឹង + កម្ពស់",</t>
        </is>
      </c>
      <c r="I794" t="inlineStr">
        <is>
          <t>បញ្ចូលប្រវែង + ទទឹង + កម្ពស់</t>
        </is>
      </c>
    </row>
    <row r="795">
      <c r="A795" s="3" t="inlineStr">
        <is>
          <t>modifyOrder.successDescription</t>
        </is>
      </c>
      <c r="B795" s="3" t="inlineStr">
        <is>
          <t>Tạo và gửi duyệt thành công đơn hàng</t>
        </is>
      </c>
      <c r="C795" s="3" t="inlineStr">
        <is>
          <t>Order submitted successfully</t>
        </is>
      </c>
      <c r="D795" s="217">
        <f>IFERROR(__xludf.DUMMYFUNCTION("GOOGLETRANSLATE(C795,""vi"",""km"")"),"ការបញ្ជាទិញត្រូវបានដាក់ស្នើដោយជោគជ័យ")</f>
        <v/>
      </c>
      <c r="E795" s="3" t="n"/>
      <c r="F795" s="3" t="inlineStr">
        <is>
          <t>ការបញ្ជាទិញត្រូវបានដាក់ស្នើដោយជោគជ័យ</t>
        </is>
      </c>
      <c r="G795" s="3" t="n"/>
      <c r="H795" s="217" t="inlineStr">
        <is>
          <t>"modifyOrder.successDescription": "ការបញ្ជាទិញត្រូវបានដាក់ស្នើដោយជោគជ័យ",</t>
        </is>
      </c>
      <c r="I795" t="inlineStr">
        <is>
          <t>ការបញ្ជាទិញត្រូវបានដាក់ស្នើដោយជោគជ័យ</t>
        </is>
      </c>
    </row>
    <row r="796">
      <c r="A796" s="3" t="inlineStr">
        <is>
          <t>modifyOrder.sunday</t>
        </is>
      </c>
      <c r="B796" s="3" t="inlineStr">
        <is>
          <t>Chủ nhật</t>
        </is>
      </c>
      <c r="C796" s="3" t="inlineStr">
        <is>
          <t>Sunday</t>
        </is>
      </c>
      <c r="D796" s="217">
        <f>IFERROR(__xludf.DUMMYFUNCTION("GOOGLETRANSLATE(C796,""vi"",""km"")"),"ថ្ងៃអាទិត្យ")</f>
        <v/>
      </c>
      <c r="E796" s="3" t="n"/>
      <c r="F796" s="3" t="inlineStr">
        <is>
          <t>ថ្ងៃអាទិត្យ</t>
        </is>
      </c>
      <c r="G796" s="3" t="n"/>
      <c r="H796" s="217" t="inlineStr">
        <is>
          <t>"modifyOrder.sunday": "ថ្ងៃអាទិត្យ",</t>
        </is>
      </c>
      <c r="I796" t="inlineStr">
        <is>
          <t>ថ្ងៃអាទិត្យ</t>
        </is>
      </c>
    </row>
    <row r="797">
      <c r="A797" s="3" t="inlineStr">
        <is>
          <t>modifyOrder.surcharge</t>
        </is>
      </c>
      <c r="B797" s="3" t="inlineStr">
        <is>
          <t>Phụ phí</t>
        </is>
      </c>
      <c r="C797" s="3" t="inlineStr">
        <is>
          <t>Surcharge</t>
        </is>
      </c>
      <c r="D797" s="217">
        <f>IFERROR(__xludf.DUMMYFUNCTION("GOOGLETRANSLATE(C797,""vi"",""km"")"),"នាវាមុជទឹក")</f>
        <v/>
      </c>
      <c r="E797" s="3" t="n"/>
      <c r="F797" s="3" t="inlineStr">
        <is>
          <t>ថ្លៃសេវាបន្ថែម</t>
        </is>
      </c>
      <c r="G797" s="3" t="n"/>
      <c r="H797" s="217" t="inlineStr">
        <is>
          <t>"modifyOrder.surcharge": "ថ្លៃសេវាបន្ថែម",</t>
        </is>
      </c>
      <c r="I797" t="inlineStr">
        <is>
          <t>ថ្លៃសេវាបន្ថែម</t>
        </is>
      </c>
    </row>
    <row r="798">
      <c r="A798" s="3" t="inlineStr">
        <is>
          <t>modifyOrder.surchargeType</t>
        </is>
      </c>
      <c r="B798" s="3" t="inlineStr">
        <is>
          <t>Loại phụ phí</t>
        </is>
      </c>
      <c r="C798" s="3" t="inlineStr">
        <is>
          <t>Surcharge categories</t>
        </is>
      </c>
      <c r="D798" s="217">
        <f>IFERROR(__xludf.DUMMYFUNCTION("GOOGLETRANSLATE(C798,""vi"",""km"")"),"ប្រភេទមូលហេតុគួរឱ្យសង្ស័យ")</f>
        <v/>
      </c>
      <c r="E798" s="3" t="n"/>
      <c r="F798" s="3" t="inlineStr">
        <is>
          <t>ប្រភេទមូលហេតុគួរឱ្យសង្ស័យ</t>
        </is>
      </c>
      <c r="G798" s="3" t="n"/>
      <c r="H798" s="217" t="inlineStr">
        <is>
          <t>"modifyOrder.surchargeType": "ប្រភេទមូលហេតុគួរឱ្យសង្ស័យ",</t>
        </is>
      </c>
      <c r="I798" t="inlineStr">
        <is>
          <t>ប្រភេទមូលហេតុគួរឱ្យសង្ស័យ</t>
        </is>
      </c>
    </row>
    <row r="799">
      <c r="A799" s="3" t="inlineStr">
        <is>
          <t>modifyOrder.titleAlternativePhones</t>
        </is>
      </c>
      <c r="B799" s="3" t="inlineStr">
        <is>
          <t>Thêm số điện thoại phụ</t>
        </is>
      </c>
      <c r="C799" s="3" t="inlineStr">
        <is>
          <t>Additional phone number</t>
        </is>
      </c>
      <c r="D799" s="217">
        <f>IFERROR(__xludf.DUMMYFUNCTION("GOOGLETRANSLATE(C799,""vi"",""km"")"),"លេខទូរស័ព្ទបន្ថែម")</f>
        <v/>
      </c>
      <c r="E799" s="3" t="n"/>
      <c r="F799" s="3" t="inlineStr">
        <is>
          <t>លេខទូរស័ព្ទបន្ថែម</t>
        </is>
      </c>
      <c r="G799" s="3" t="n"/>
      <c r="H799" s="217" t="inlineStr">
        <is>
          <t>"modifyOrder.titleAlternativePhones": "លេខទូរស័ព្ទបន្ថែម",</t>
        </is>
      </c>
      <c r="I799" t="inlineStr">
        <is>
          <t>លេខទូរស័ព្ទបន្ថែម</t>
        </is>
      </c>
    </row>
    <row r="800">
      <c r="A800" s="3" t="inlineStr">
        <is>
          <t>modifyOrder.titleRefresh</t>
        </is>
      </c>
      <c r="B800" s="3" t="inlineStr">
        <is>
          <t>Quý khách có chắc chắn muốn tạo một đơn hàng khác?</t>
        </is>
      </c>
      <c r="C800" s="3" t="inlineStr">
        <is>
          <t>Are you sure you want to create another order?</t>
        </is>
      </c>
      <c r="D800" s="217">
        <f>IFERROR(__xludf.DUMMYFUNCTION("GOOGLETRANSLATE(C800,""vi"",""km"")"),"តើអ្នកពិតជាចង់បង្កើតការបញ្ជាទិញមួយផ្សេងទៀតមែនទេ?")</f>
        <v/>
      </c>
      <c r="E800" s="3" t="n"/>
      <c r="F800" s="3" t="inlineStr">
        <is>
          <t>តើអ្នកពិតជាចង់បង្កើតការបញ្ជាទិញមួយផ្សេងទៀតមែនទេ?</t>
        </is>
      </c>
      <c r="G800" s="3" t="n"/>
      <c r="H800" s="217" t="inlineStr">
        <is>
          <t>"modifyOrder.titleRefresh": "តើអ្នកពិតជាចង់បង្កើតការបញ្ជាទិញមួយផ្សេងទៀតមែនទេ?",</t>
        </is>
      </c>
      <c r="I800" t="inlineStr">
        <is>
          <t>តើអ្នកពិតជាចង់បង្កើតការបញ្ជាទិញមួយផ្សេងទៀតមែនទេ?</t>
        </is>
      </c>
    </row>
    <row r="801">
      <c r="A801" s="3" t="inlineStr">
        <is>
          <t>modifyOrder.titleSubmit</t>
        </is>
      </c>
      <c r="B801" s="3" t="inlineStr">
        <is>
          <t>Đồng chí có chắc chắn muốn tạo đơn hàng này?</t>
        </is>
      </c>
      <c r="C801" s="3" t="inlineStr">
        <is>
          <t>Are you sure you want to create this order?</t>
        </is>
      </c>
      <c r="D801" s="217">
        <f>IFERROR(__xludf.DUMMYFUNCTION("GOOGLETRANSLATE(C801,""vi"",""km"")"),"តើអ្នកពិតជាចង់បង្កើតការបញ្ជាទិញនេះមែនទេ?")</f>
        <v/>
      </c>
      <c r="E801" s="3" t="n"/>
      <c r="F801" s="3" t="inlineStr">
        <is>
          <t>តើអ្នកពិតជាចង់បង្កើតការបញ្ជាទិញនេះមែនទេ?</t>
        </is>
      </c>
      <c r="G801" s="3" t="n"/>
      <c r="H801" s="217" t="inlineStr">
        <is>
          <t>"modifyOrder.titleSubmit": "តើអ្នកពិតជាចង់បង្កើតការបញ្ជាទិញនេះមែនទេ?",</t>
        </is>
      </c>
      <c r="I801" t="inlineStr">
        <is>
          <t>តើអ្នកពិតជាចង់បង្កើតការបញ្ជាទិញនេះមែនទេ?</t>
        </is>
      </c>
    </row>
    <row r="802">
      <c r="A802" s="3" t="inlineStr">
        <is>
          <t>modifyOrder.totalFee</t>
        </is>
      </c>
      <c r="B802" s="3" t="inlineStr">
        <is>
          <t>Tổng cước</t>
        </is>
      </c>
      <c r="C802" s="3" t="inlineStr">
        <is>
          <t>Total fee</t>
        </is>
      </c>
      <c r="D802" s="217">
        <f>IFERROR(__xludf.DUMMYFUNCTION("GOOGLETRANSLATE(C802,""vi"",""km"")"),"ថ្លៃសេវាសរុប")</f>
        <v/>
      </c>
      <c r="E802" s="3" t="n"/>
      <c r="F802" s="3" t="inlineStr">
        <is>
          <t>ថ្លៃដឹកជញ្ជូនសរុប</t>
        </is>
      </c>
      <c r="G802" s="3" t="n"/>
      <c r="H802" s="217" t="inlineStr">
        <is>
          <t>"modifyOrder.totalFee": "ថ្លៃដឹកជញ្ជូនសរុប",</t>
        </is>
      </c>
      <c r="I802" t="inlineStr">
        <is>
          <t>ថ្លៃដឹកជញ្ជូនសរុប</t>
        </is>
      </c>
    </row>
    <row r="803">
      <c r="A803" s="3" t="inlineStr">
        <is>
          <t>modifyOrder.updateOrder</t>
        </is>
      </c>
      <c r="B803" s="3" t="inlineStr">
        <is>
          <t>Sửa đơn</t>
        </is>
      </c>
      <c r="C803" s="3" t="inlineStr">
        <is>
          <t>Order modification</t>
        </is>
      </c>
      <c r="D803" s="217">
        <f>IFERROR(__xludf.DUMMYFUNCTION("GOOGLETRANSLATE(C803,""vi"",""km"")"),"លំដាប់សមស្រប")</f>
        <v/>
      </c>
      <c r="E803" s="3" t="n"/>
      <c r="F803" s="3" t="inlineStr">
        <is>
          <t>លំដាប់សមស្រប</t>
        </is>
      </c>
      <c r="G803" s="3" t="n"/>
      <c r="H803" s="217" t="inlineStr">
        <is>
          <t>"modifyOrder.updateOrder": "លំដាប់សមស្រប",</t>
        </is>
      </c>
      <c r="I803" t="inlineStr">
        <is>
          <t>លំដាប់សមស្រប</t>
        </is>
      </c>
    </row>
    <row r="804">
      <c r="A804" s="3" t="inlineStr">
        <is>
          <t>modifyOrder.value</t>
        </is>
      </c>
      <c r="B804" s="3" t="inlineStr">
        <is>
          <t>Giá trị</t>
        </is>
      </c>
      <c r="C804" s="3" t="inlineStr">
        <is>
          <t>Value</t>
        </is>
      </c>
      <c r="D804" s="217">
        <f>IFERROR(__xludf.DUMMYFUNCTION("GOOGLETRANSLATE(C804,""vi"",""km"")"),"តម្លៃ")</f>
        <v/>
      </c>
      <c r="E804" s="3" t="n"/>
      <c r="F804" s="3" t="inlineStr">
        <is>
          <t>តម្លៃ</t>
        </is>
      </c>
      <c r="G804" s="3" t="n"/>
      <c r="H804" s="217" t="inlineStr">
        <is>
          <t>"modifyOrder.value": "តម្លៃ",</t>
        </is>
      </c>
      <c r="I804" t="inlineStr">
        <is>
          <t>តម្លៃ</t>
        </is>
      </c>
    </row>
    <row r="805">
      <c r="A805" s="3" t="inlineStr">
        <is>
          <t>modifyOrder.width</t>
        </is>
      </c>
      <c r="B805" s="3" t="inlineStr">
        <is>
          <t>Rộng</t>
        </is>
      </c>
      <c r="C805" s="3" t="inlineStr">
        <is>
          <t>Width</t>
        </is>
      </c>
      <c r="D805" s="217">
        <f>IFERROR(__xludf.DUMMYFUNCTION("GOOGLETRANSLATE(C805,""vi"",""km"")"),"ទទឹង")</f>
        <v/>
      </c>
      <c r="E805" s="3" t="n"/>
      <c r="F805" s="3" t="inlineStr">
        <is>
          <t>ទទឹង</t>
        </is>
      </c>
      <c r="G805" s="3" t="n"/>
      <c r="H805" s="217" t="inlineStr">
        <is>
          <t>"modifyOrder.width": "ទទឹង",</t>
        </is>
      </c>
      <c r="I805" t="inlineStr">
        <is>
          <t>ទទឹង</t>
        </is>
      </c>
    </row>
    <row r="806">
      <c r="A806" s="3" t="inlineStr">
        <is>
          <t>modifyPriceZone.ListZoneData</t>
        </is>
      </c>
      <c r="B806" s="3" t="inlineStr">
        <is>
          <t>Danh sách chi tiết cấu hình zone</t>
        </is>
      </c>
      <c r="C806" s="3" t="inlineStr">
        <is>
          <t>Detail List of Zone data</t>
        </is>
      </c>
      <c r="D806" s="217">
        <f>IFERROR(__xludf.DUMMYFUNCTION("GOOGLETRANSLATE(C806,""vi"",""km"")"),"បញ្ជីលម្អិតនៃទិន្នន័យតំបន់")</f>
        <v/>
      </c>
      <c r="E806" s="3" t="n"/>
      <c r="F806" s="3" t="inlineStr">
        <is>
          <t>បញ្ជីលម្អិតនៃទិន្នន័យតំបន់</t>
        </is>
      </c>
      <c r="G806" s="3" t="n"/>
      <c r="H806" s="217" t="inlineStr">
        <is>
          <t>"modifyPriceZone.ListZoneData": "បញ្ជីលម្អិតនៃទិន្នន័យតំបន់",</t>
        </is>
      </c>
      <c r="I806" t="inlineStr">
        <is>
          <t>បញ្ជីលម្អិតនៃទិន្នន័យតំបន់</t>
        </is>
      </c>
    </row>
    <row r="807">
      <c r="A807" s="3" t="inlineStr">
        <is>
          <t>modifyPriceZone.configZone</t>
        </is>
      </c>
      <c r="B807" s="3" t="inlineStr">
        <is>
          <t>Cấu hình zone</t>
        </is>
      </c>
      <c r="C807" s="3" t="inlineStr">
        <is>
          <t>Zone config</t>
        </is>
      </c>
      <c r="D807" s="217">
        <f>IFERROR(__xludf.DUMMYFUNCTION("GOOGLETRANSLATE(C807,""vi"",""km"")"),"ការកំណត់រចនាសម្ព័ន្ធតំបន់")</f>
        <v/>
      </c>
      <c r="E807" s="3" t="n"/>
      <c r="F807" s="3" t="inlineStr">
        <is>
          <t>ការកំណត់រចនាសម្ព័ន្ធតំបន់</t>
        </is>
      </c>
      <c r="G807" s="3" t="n"/>
      <c r="H807" s="217" t="inlineStr">
        <is>
          <t>"modifyPriceZone.configZone": "ការកំណត់រចនាសម្ព័ន្ធតំបន់",</t>
        </is>
      </c>
      <c r="I807" t="inlineStr">
        <is>
          <t>ការកំណត់រចនាសម្ព័ន្ធតំបន់</t>
        </is>
      </c>
    </row>
    <row r="808">
      <c r="A808" s="3" t="inlineStr">
        <is>
          <t>modifyPriceZone.createZone</t>
        </is>
      </c>
      <c r="B808" s="3" t="inlineStr">
        <is>
          <t>Thêm mới zone</t>
        </is>
      </c>
      <c r="C808" s="3" t="inlineStr">
        <is>
          <t>Add new zone</t>
        </is>
      </c>
      <c r="D808" s="217">
        <f>IFERROR(__xludf.DUMMYFUNCTION("GOOGLETRANSLATE(C808,""vi"",""km"")"),"បន្ថែមតំបន់ថ្មី")</f>
        <v/>
      </c>
      <c r="E808" s="3" t="n"/>
      <c r="F808" s="3" t="inlineStr">
        <is>
          <t>បន្ថែមតំបន់ថ្មី</t>
        </is>
      </c>
      <c r="G808" s="3" t="n"/>
      <c r="H808" s="217" t="inlineStr">
        <is>
          <t>"modifyPriceZone.createZone": "បន្ថែមតំបន់ថ្មី",</t>
        </is>
      </c>
      <c r="I808" t="inlineStr">
        <is>
          <t>បន្ថែមតំបន់ថ្មី</t>
        </is>
      </c>
    </row>
    <row r="809">
      <c r="A809" s="3" t="inlineStr">
        <is>
          <t>modifyPriceZone.deliveryZone</t>
        </is>
      </c>
      <c r="B809" s="3" t="inlineStr">
        <is>
          <t>Vùng đi</t>
        </is>
      </c>
      <c r="C809" s="3" t="inlineStr">
        <is>
          <t>Destination zone</t>
        </is>
      </c>
      <c r="D809" s="217">
        <f>IFERROR(__xludf.DUMMYFUNCTION("GOOGLETRANSLATE(C809,""vi"",""km"")"),"តំបន់គោលដៅ")</f>
        <v/>
      </c>
      <c r="E809" s="3" t="n"/>
      <c r="F809" s="3" t="inlineStr">
        <is>
          <t>តំបន់គោលដៅ</t>
        </is>
      </c>
      <c r="G809" s="3" t="n"/>
      <c r="H809" s="217" t="inlineStr">
        <is>
          <t>"modifyPriceZone.deliveryZone": "តំបន់គោលដៅ",</t>
        </is>
      </c>
      <c r="I809" t="inlineStr">
        <is>
          <t>តំបន់គោលដៅ</t>
        </is>
      </c>
    </row>
    <row r="810">
      <c r="A810" s="3" t="inlineStr">
        <is>
          <t>modifyPriceZone.exportExcel</t>
        </is>
      </c>
      <c r="B810" s="3" t="inlineStr">
        <is>
          <t>Xuất Excel</t>
        </is>
      </c>
      <c r="C810" s="3" t="inlineStr">
        <is>
          <t>Export Excel/ Export (.xlxs)</t>
        </is>
      </c>
      <c r="D810" s="217">
        <f>IFERROR(__xludf.DUMMYFUNCTION("GOOGLETRANSLATE(C810,""vi"",""km"")"),"នាំចេញ Excel/នាំចេញ (.xlxs)")</f>
        <v/>
      </c>
      <c r="E810" s="3" t="n"/>
      <c r="F810" s="3" t="inlineStr">
        <is>
          <t>នាំចេញ Excel/នាំចេញ (.xlxs)</t>
        </is>
      </c>
      <c r="G810" s="3" t="n"/>
      <c r="H810" s="217" t="inlineStr">
        <is>
          <t>"modifyPriceZone.exportExcel": "នាំចេញ Excel/នាំចេញ (.xlxs)",</t>
        </is>
      </c>
      <c r="I810" t="inlineStr">
        <is>
          <t>នាំចេញ Excel/នាំចេញ (.xlxs)</t>
        </is>
      </c>
    </row>
    <row r="811">
      <c r="A811" s="3" t="inlineStr">
        <is>
          <t>modifyPriceZone.receivingZone</t>
        </is>
      </c>
      <c r="B811" s="3" t="inlineStr">
        <is>
          <t>Vùng đến</t>
        </is>
      </c>
      <c r="C811" s="3" t="inlineStr">
        <is>
          <t>Origin zone</t>
        </is>
      </c>
      <c r="D811" s="217">
        <f>IFERROR(__xludf.DUMMYFUNCTION("GOOGLETRANSLATE(C811,""vi"",""km"")"),"តំបន់ដើម")</f>
        <v/>
      </c>
      <c r="E811" s="3" t="n"/>
      <c r="F811" s="3" t="inlineStr">
        <is>
          <t>តំបន់ដើម</t>
        </is>
      </c>
      <c r="G811" s="3" t="n"/>
      <c r="H811" s="217" t="inlineStr">
        <is>
          <t>"modifyPriceZone.receivingZone": "តំបន់ដើម",</t>
        </is>
      </c>
      <c r="I811" t="inlineStr">
        <is>
          <t>តំបន់ដើម</t>
        </is>
      </c>
    </row>
    <row r="812">
      <c r="A812" s="3" t="inlineStr">
        <is>
          <t>modifyRoute.containsSpecialCharacters</t>
        </is>
      </c>
      <c r="B812" s="3" t="inlineStr">
        <is>
          <t>Tên tuyến không được chứa ký tự đặc biệt</t>
        </is>
      </c>
      <c r="C812" s="3" t="inlineStr">
        <is>
          <t>Not allow for using special characters in route name</t>
        </is>
      </c>
      <c r="D812" s="217">
        <f>IFERROR(__xludf.DUMMYFUNCTION("GOOGLETRANSLATE(C812,""vi"",""km"")"),"មិនអនុញ្ញាតឱ្យប្រើតួអក្សរពិសេសក្នុងឈ្មោះផ្លូវទេ")</f>
        <v/>
      </c>
      <c r="E812" s="3" t="n"/>
      <c r="F812" s="3" t="inlineStr">
        <is>
          <t>មិនអនុញ្ញាតឱ្យប្រើតួអក្សរពិសេសក្នុងឈ្មោះផ្លូវទេ</t>
        </is>
      </c>
      <c r="G812" s="3" t="n"/>
      <c r="H812" s="217" t="inlineStr">
        <is>
          <t>"modifyRoute.containsSpecialCharacters": "មិនអនុញ្ញាតឱ្យប្រើតួអក្សរពិសេសក្នុងឈ្មោះផ្លូវទេ",</t>
        </is>
      </c>
      <c r="I812" t="inlineStr">
        <is>
          <t>មិនអនុញ្ញាតឱ្យប្រើតួអក្សរពិសេសក្នុងឈ្មោះផ្លូវទេ</t>
        </is>
      </c>
    </row>
    <row r="813">
      <c r="A813" s="3" t="inlineStr">
        <is>
          <t>modifyRoute.routeNameMax</t>
        </is>
      </c>
      <c r="B813" s="3" t="inlineStr">
        <is>
          <t>Tên tuyến tối đa 200 ký tự</t>
        </is>
      </c>
      <c r="C813" s="3" t="inlineStr">
        <is>
          <t>Maximum 200 characters for route name</t>
        </is>
      </c>
      <c r="D813" s="217">
        <f>IFERROR(__xludf.DUMMYFUNCTION("GOOGLETRANSLATE(C813,""vi"",""km"")"),"ឈ្មោះផ្លូវអតិបរមា ២០០ តួអក្សរ")</f>
        <v/>
      </c>
      <c r="E813" s="3" t="n"/>
      <c r="F813" s="3" t="inlineStr">
        <is>
          <t>ឈ្មោះផ្លូវអតិបរមា ២០០ តួអក្សរ</t>
        </is>
      </c>
      <c r="G813" s="3" t="n"/>
      <c r="H813" s="217" t="inlineStr">
        <is>
          <t>"modifyRoute.routeNameMax": "ឈ្មោះផ្លូវអតិបរមា ២០០ តួអក្សរ",</t>
        </is>
      </c>
      <c r="I813" t="inlineStr">
        <is>
          <t>ឈ្មោះផ្លូវអតិបរមា ២០០ តួអក្សរ</t>
        </is>
      </c>
    </row>
    <row r="814">
      <c r="A814" s="3" t="inlineStr">
        <is>
          <t>modifyRoute.routeNameMin</t>
        </is>
      </c>
      <c r="B814" s="3" t="inlineStr">
        <is>
          <t>Tên tuyến tối thiểu 1 ký tự</t>
        </is>
      </c>
      <c r="C814" s="3" t="inlineStr">
        <is>
          <t>Minimum 1 character for route name</t>
        </is>
      </c>
      <c r="D814" s="217">
        <f>IFERROR(__xludf.DUMMYFUNCTION("GOOGLETRANSLATE(C814,""vi"",""km"")"),"យ៉ាងតិច 1 តួអក្សរសម្រាប់ឈ្មោះផ្លូវ")</f>
        <v/>
      </c>
      <c r="E814" s="3" t="n"/>
      <c r="F814" s="3" t="inlineStr">
        <is>
          <t>យ៉ាងតិច 1 តួអក្សរសម្រាប់ឈ្មោះផ្លូវ</t>
        </is>
      </c>
      <c r="G814" s="3" t="n"/>
      <c r="H814" s="217" t="inlineStr">
        <is>
          <t>"modifyRoute.routeNameMin": "យ៉ាងតិច 1 តួអក្សរសម្រាប់ឈ្មោះផ្លូវ",</t>
        </is>
      </c>
      <c r="I814" t="inlineStr">
        <is>
          <t>យ៉ាងតិច 1 តួអក្សរសម្រាប់ឈ្មោះផ្លូវ</t>
        </is>
      </c>
    </row>
    <row r="815">
      <c r="A815" s="3" t="inlineStr">
        <is>
          <t>orderStatusReport.branch</t>
        </is>
      </c>
      <c r="B815" s="3" t="inlineStr">
        <is>
          <t>Chi nhánh</t>
        </is>
      </c>
      <c r="C815" s="3" t="inlineStr">
        <is>
          <t>Branch</t>
        </is>
      </c>
      <c r="D815" s="217">
        <f>IFERROR(__xludf.DUMMYFUNCTION("GOOGLETRANSLATE(C815,""vi"",""km"")"),"គ្រួសារ")</f>
        <v/>
      </c>
      <c r="E815" s="3" t="n"/>
      <c r="F815" s="3" t="inlineStr">
        <is>
          <t>សាខា</t>
        </is>
      </c>
      <c r="G815" s="3" t="n"/>
      <c r="H815" s="217" t="inlineStr">
        <is>
          <t>"orderStatusReport.branch": "សាខា",</t>
        </is>
      </c>
      <c r="I815" t="inlineStr">
        <is>
          <t>សាខា</t>
        </is>
      </c>
    </row>
    <row r="816">
      <c r="A816" s="3" t="inlineStr">
        <is>
          <t>orderStatusReport.cod</t>
        </is>
      </c>
      <c r="B816" s="3" t="inlineStr">
        <is>
          <t>COD</t>
        </is>
      </c>
      <c r="C816" s="3" t="inlineStr">
        <is>
          <t>COD</t>
        </is>
      </c>
      <c r="D816" s="217">
        <f>IFERROR(__xludf.DUMMYFUNCTION("GOOGLETRANSLATE(C816,""vi"",""km"")"),"ប្រតិបត្តិការ​ទូទាត់​ថ្លៃ​សេវា​ (COD)")</f>
        <v/>
      </c>
      <c r="E816" s="3" t="n"/>
      <c r="F816" s="3" t="inlineStr">
        <is>
          <t>ប្រតិបត្តិការទូទាត់ថ្លៃសេវា (COD)</t>
        </is>
      </c>
      <c r="G816" s="3" t="n"/>
      <c r="H816" s="217" t="inlineStr">
        <is>
          <t>"orderStatusReport.cod": "ប្រតិបត្តិការទូទាត់ថ្លៃសេវា (COD)",</t>
        </is>
      </c>
      <c r="I816" t="inlineStr">
        <is>
          <t>ប្រតិបត្តិការទូទាត់ថ្លៃសេវា (COD)</t>
        </is>
      </c>
    </row>
    <row r="817">
      <c r="A817" s="3" t="inlineStr">
        <is>
          <t>orderStatusReport.delivery</t>
        </is>
      </c>
      <c r="B817" s="3" t="inlineStr">
        <is>
          <t>Khâu phát</t>
        </is>
      </c>
      <c r="C817" s="3" t="inlineStr">
        <is>
          <t>Last-mile</t>
        </is>
      </c>
      <c r="D817" s="217">
        <f>IFERROR(__xludf.DUMMYFUNCTION("GOOGLETRANSLATE(C817,""vi"",""km"")"),"ម៉ាយចុងក្រោយ")</f>
        <v/>
      </c>
      <c r="E817" s="3" t="n"/>
      <c r="F817" s="3" t="inlineStr">
        <is>
          <t>ម៉ាយចុងក្រោយ</t>
        </is>
      </c>
      <c r="G817" s="3" t="n"/>
      <c r="H817" s="217" t="inlineStr">
        <is>
          <t>"orderStatusReport.delivery": "ម៉ាយចុងក្រោយ",</t>
        </is>
      </c>
      <c r="I817" t="inlineStr">
        <is>
          <t>ម៉ាយចុងក្រោយ</t>
        </is>
      </c>
    </row>
    <row r="818">
      <c r="A818" s="3" t="inlineStr">
        <is>
          <t>orderStatusReport.department</t>
        </is>
      </c>
      <c r="B818" s="3" t="inlineStr">
        <is>
          <t>Bưu cục</t>
        </is>
      </c>
      <c r="C818" s="3" t="inlineStr">
        <is>
          <t>Post office</t>
        </is>
      </c>
      <c r="D818" s="217">
        <f>IFERROR(__xludf.DUMMYFUNCTION("GOOGLETRANSLATE(C818,""vi"",""km"")"),"ការិយាល័យប្រៃសណីយ៍")</f>
        <v/>
      </c>
      <c r="E818" s="3" t="n"/>
      <c r="F818" s="3" t="inlineStr">
        <is>
          <t>ការិយាល័យប្រៃសណីយ៍</t>
        </is>
      </c>
      <c r="G818" s="3" t="n"/>
      <c r="H818" s="217" t="inlineStr">
        <is>
          <t>"orderStatusReport.department": "ការិយាល័យប្រៃសណីយ៍",</t>
        </is>
      </c>
      <c r="I818" t="inlineStr">
        <is>
          <t>ការិយាល័យប្រៃសណីយ៍</t>
        </is>
      </c>
    </row>
    <row r="819">
      <c r="A819" s="3" t="inlineStr">
        <is>
          <t>orderStatusReport.exportDetail</t>
        </is>
      </c>
      <c r="B819" s="3" t="inlineStr">
        <is>
          <t>Xuất chi tiết</t>
        </is>
      </c>
      <c r="C819" s="3" t="inlineStr">
        <is>
          <t>Export detail report</t>
        </is>
      </c>
      <c r="D819" s="217">
        <f>IFERROR(__xludf.DUMMYFUNCTION("GOOGLETRANSLATE(C819,""vi"",""km"")"),"នាំចេញរបាយការណ៍លម្អិត")</f>
        <v/>
      </c>
      <c r="E819" s="3" t="n"/>
      <c r="F819" s="3" t="inlineStr">
        <is>
          <t>នាំចេញរបាយការណ៍លម្អិត</t>
        </is>
      </c>
      <c r="G819" s="3" t="n"/>
      <c r="H819" s="217" t="inlineStr">
        <is>
          <t>"orderStatusReport.exportDetail": "នាំចេញរបាយការណ៍លម្អិត",</t>
        </is>
      </c>
      <c r="I819" t="inlineStr">
        <is>
          <t>នាំចេញរបាយការណ៍លម្អិត</t>
        </is>
      </c>
    </row>
    <row r="820">
      <c r="A820" s="3" t="inlineStr">
        <is>
          <t>orderStatusReport.exportSuccess</t>
        </is>
      </c>
      <c r="B820" s="3" t="inlineStr">
        <is>
          <t>Xuất excel thành công</t>
        </is>
      </c>
      <c r="C820" s="3" t="inlineStr">
        <is>
          <t>Export sucessfully</t>
        </is>
      </c>
      <c r="D820" s="217">
        <f>IFERROR(__xludf.DUMMYFUNCTION("GOOGLETRANSLATE(C820,""vi"",""km"")"),"នាំចេញដោយជោគជ័យ")</f>
        <v/>
      </c>
      <c r="E820" s="3" t="n"/>
      <c r="F820" s="3" t="inlineStr">
        <is>
          <t>នាំចេញដោយជោគជ័យ</t>
        </is>
      </c>
      <c r="G820" s="3" t="n"/>
      <c r="H820" s="217" t="inlineStr">
        <is>
          <t>"orderStatusReport.exportSuccess": "នាំចេញដោយជោគជ័យ",</t>
        </is>
      </c>
      <c r="I820" t="inlineStr">
        <is>
          <t>នាំចេញដោយជោគជ័យ</t>
        </is>
      </c>
    </row>
    <row r="821">
      <c r="A821" s="3" t="inlineStr">
        <is>
          <t>orderStatusReport.exportSumary</t>
        </is>
      </c>
      <c r="B821" s="3" t="inlineStr">
        <is>
          <t>Xuất tổng hợp</t>
        </is>
      </c>
      <c r="C821" s="3" t="inlineStr">
        <is>
          <t>Export summary report</t>
        </is>
      </c>
      <c r="D821" s="217">
        <f>IFERROR(__xludf.DUMMYFUNCTION("GOOGLETRANSLATE(C821,""vi"",""km"")"),"របាយការណ៍​ផ្គូផ្គង​ឆ្លង")</f>
        <v/>
      </c>
      <c r="E821" s="3" t="n"/>
      <c r="F821" s="3" t="inlineStr">
        <is>
          <t>របាយការណ៍ផ្គូផ្គងឆ្លង</t>
        </is>
      </c>
      <c r="G821" s="3" t="n"/>
      <c r="H821" s="217" t="inlineStr">
        <is>
          <t>"orderStatusReport.exportSumary": "របាយការណ៍ផ្គូផ្គងឆ្លង",</t>
        </is>
      </c>
      <c r="I821" t="inlineStr">
        <is>
          <t>របាយការណ៍ផ្គូផ្គងឆ្លង</t>
        </is>
      </c>
    </row>
    <row r="822">
      <c r="A822" s="3" t="inlineStr">
        <is>
          <t>orderStatusReport.fileNameDetail</t>
        </is>
      </c>
      <c r="B822" s="3" t="inlineStr">
        <is>
          <t>Detail_order status report</t>
        </is>
      </c>
      <c r="C822" s="3" t="inlineStr">
        <is>
          <t>Detail_order status report</t>
        </is>
      </c>
      <c r="D822" s="217">
        <f>IFERROR(__xludf.DUMMYFUNCTION("GOOGLETRANSLATE(C822,""vi"",""km"")"),"របាយការណ៍ស្ថានភាពការបញ្ជាទិញលម្អិត")</f>
        <v/>
      </c>
      <c r="E822" s="3" t="n"/>
      <c r="F822" s="3" t="inlineStr">
        <is>
          <t>របាយការណ៍ស្ថានភាពការបញ្ជាទិញលម្អិត</t>
        </is>
      </c>
      <c r="G822" s="3" t="n"/>
      <c r="H822" s="217" t="inlineStr">
        <is>
          <t>"orderStatusReport.fileNameDetail": "របាយការណ៍ស្ថានភាពការបញ្ជាទិញលម្អិត",</t>
        </is>
      </c>
      <c r="I822" t="inlineStr">
        <is>
          <t>របាយការណ៍ស្ថានភាពការបញ្ជាទិញលម្អិត</t>
        </is>
      </c>
    </row>
    <row r="823">
      <c r="A823" s="3" t="inlineStr">
        <is>
          <t>orderStatusReport.fileNameSumary</t>
        </is>
      </c>
      <c r="B823" s="3" t="inlineStr">
        <is>
          <t>Summary_order status report</t>
        </is>
      </c>
      <c r="C823" s="3" t="inlineStr">
        <is>
          <t>Summary_order status report</t>
        </is>
      </c>
      <c r="D823" s="217">
        <f>IFERROR(__xludf.DUMMYFUNCTION("GOOGLETRANSLATE(C823,""vi"",""km"")"),"របាយការណ៍ស្ថានភាពការបញ្ជាទិញសង្ខេប")</f>
        <v/>
      </c>
      <c r="E823" s="3" t="n"/>
      <c r="F823" s="3" t="inlineStr">
        <is>
          <t>របាយការណ៍ស្ថានភាពការបញ្ជាទិញសង្ខេប</t>
        </is>
      </c>
      <c r="G823" s="3" t="n"/>
      <c r="H823" s="217" t="inlineStr">
        <is>
          <t>"orderStatusReport.fileNameSumary": "របាយការណ៍ស្ថានភាពការបញ្ជាទិញសង្ខេប",</t>
        </is>
      </c>
      <c r="I823" t="inlineStr">
        <is>
          <t>របាយការណ៍ស្ថានភាពការបញ្ជាទិញសង្ខេប</t>
        </is>
      </c>
    </row>
    <row r="824">
      <c r="A824" s="3" t="inlineStr">
        <is>
          <t>orderStatusReport.filterbranch</t>
        </is>
      </c>
      <c r="B824" s="3" t="inlineStr">
        <is>
          <t>Chọn chi nhánh</t>
        </is>
      </c>
      <c r="C824" s="3" t="inlineStr">
        <is>
          <t>Select branch</t>
        </is>
      </c>
      <c r="D824" s="217">
        <f>IFERROR(__xludf.DUMMYFUNCTION("GOOGLETRANSLATE(C824,""vi"",""km"")"),"ជ្រើសរើសទ្រូង")</f>
        <v/>
      </c>
      <c r="E824" s="3" t="n"/>
      <c r="F824" s="3" t="inlineStr">
        <is>
          <t>ជ្រើសរើសទ្រូង</t>
        </is>
      </c>
      <c r="G824" s="3" t="n"/>
      <c r="H824" s="217" t="inlineStr">
        <is>
          <t>"orderStatusReport.filterbranch": "ជ្រើសរើសទ្រូង",</t>
        </is>
      </c>
      <c r="I824" t="inlineStr">
        <is>
          <t>ជ្រើសរើសទ្រូង</t>
        </is>
      </c>
    </row>
    <row r="825">
      <c r="A825" s="3" t="inlineStr">
        <is>
          <t>orderStatusReport.fromDate</t>
        </is>
      </c>
      <c r="B825" s="3" t="inlineStr">
        <is>
          <t>Từ ngày</t>
        </is>
      </c>
      <c r="C825" s="3" t="inlineStr">
        <is>
          <t>From date</t>
        </is>
      </c>
      <c r="D825" s="217">
        <f>IFERROR(__xludf.DUMMYFUNCTION("GOOGLETRANSLATE(C825,""vi"",""km"")"),"ចាប់ពីកាលបរិច្ឆេទ")</f>
        <v/>
      </c>
      <c r="E825" s="3" t="n"/>
      <c r="F825" s="3" t="inlineStr">
        <is>
          <t>ចាប់ពីកាលបរិច្ឆេទ</t>
        </is>
      </c>
      <c r="G825" s="3" t="n"/>
      <c r="H825" s="217" t="inlineStr">
        <is>
          <t>"orderStatusReport.fromDate": "ចាប់ពីកាលបរិច្ឆេទ",</t>
        </is>
      </c>
      <c r="I825" t="inlineStr">
        <is>
          <t>ចាប់ពីកាលបរិច្ឆេទ</t>
        </is>
      </c>
    </row>
    <row r="826">
      <c r="A826" s="3" t="inlineStr">
        <is>
          <t>orderStatusReport.notAssigned</t>
        </is>
      </c>
      <c r="B826" s="3" t="inlineStr">
        <is>
          <t>Chưa gán bưu cục</t>
        </is>
      </c>
      <c r="C826" s="3" t="inlineStr">
        <is>
          <t>Post office not assigned</t>
        </is>
      </c>
      <c r="D826" s="217">
        <f>IFERROR(__xludf.DUMMYFUNCTION("GOOGLETRANSLATE(C826,""vi"",""km"")"),"ការិយាល័យប្រៃសណីយ៍មិនត្រូវបានចាត់តាំងទេ")</f>
        <v/>
      </c>
      <c r="E826" s="3" t="n"/>
      <c r="F826" s="3" t="inlineStr">
        <is>
          <t>ការិយាល័យប្រៃសណីយ៍មិនត្រូវបានចាត់តាំងទេ</t>
        </is>
      </c>
      <c r="G826" s="3" t="n"/>
      <c r="H826" s="217" t="inlineStr">
        <is>
          <t>"orderStatusReport.notAssigned": "ការិយាល័យប្រៃសណីយ៍មិនត្រូវបានចាត់តាំងទេ",</t>
        </is>
      </c>
      <c r="I826" t="inlineStr">
        <is>
          <t>ការិយាល័យប្រៃសណីយ៍មិនត្រូវបានចាត់តាំងទេ</t>
        </is>
      </c>
    </row>
    <row r="827">
      <c r="A827" s="3" t="inlineStr">
        <is>
          <t>orderStatusReport.orderStatusDetailReport</t>
        </is>
      </c>
      <c r="B827" s="3" t="inlineStr">
        <is>
          <t>Bao cao chi tiet don hang theo trang thai</t>
        </is>
      </c>
      <c r="C827" s="3" t="inlineStr">
        <is>
          <t>Order status detail report</t>
        </is>
      </c>
      <c r="D827" s="217">
        <f>IFERROR(__xludf.DUMMYFUNCTION("GOOGLETRANSLATE(C827,""vi"",""km"")"),"របាយការណ៍លម្អិតអំពីស្ថានភាពបញ្ជាទិញ")</f>
        <v/>
      </c>
      <c r="E827" s="3" t="n"/>
      <c r="F827" s="3" t="inlineStr">
        <is>
          <t>របាយការណ៍លម្អិតអំពីស្ថានភាពបញ្ជាទិញ</t>
        </is>
      </c>
      <c r="G827" s="3" t="n"/>
      <c r="H827" s="217" t="inlineStr">
        <is>
          <t>"orderStatusReport.orderStatusDetailReport": "របាយការណ៍លម្អិតអំពីស្ថានភាពបញ្ជាទិញ",</t>
        </is>
      </c>
      <c r="I827" t="inlineStr">
        <is>
          <t>របាយការណ៍លម្អិតអំពីស្ថានភាពបញ្ជាទិញ</t>
        </is>
      </c>
    </row>
    <row r="828">
      <c r="A828" s="3" t="inlineStr">
        <is>
          <t>orderStatusReport.receiving</t>
        </is>
      </c>
      <c r="B828" s="3" t="inlineStr">
        <is>
          <t>Khâu nhận</t>
        </is>
      </c>
      <c r="C828" s="3" t="inlineStr">
        <is>
          <t>First-mile</t>
        </is>
      </c>
      <c r="D828" s="217">
        <f>IFERROR(__xludf.DUMMYFUNCTION("GOOGLETRANSLATE(C828,""vi"",""km"")"),"ម៉ាយល៍ដំបូង")</f>
        <v/>
      </c>
      <c r="E828" s="3" t="n"/>
      <c r="F828" s="3" t="inlineStr">
        <is>
          <t>ម៉ាយល៍ដំបូង</t>
        </is>
      </c>
      <c r="G828" s="3" t="n"/>
      <c r="H828" s="217" t="inlineStr">
        <is>
          <t>"orderStatusReport.receiving": "ម៉ាយល៍ដំបូង",</t>
        </is>
      </c>
      <c r="I828" t="inlineStr">
        <is>
          <t>ម៉ាយល៍ដំបូង</t>
        </is>
      </c>
    </row>
    <row r="829">
      <c r="A829" s="3" t="inlineStr">
        <is>
          <t>orderStatusReport.route</t>
        </is>
      </c>
      <c r="B829" s="3" t="inlineStr">
        <is>
          <t>Tuyến</t>
        </is>
      </c>
      <c r="C829" s="3" t="inlineStr">
        <is>
          <t>Route</t>
        </is>
      </c>
      <c r="D829" s="217">
        <f>IFERROR(__xludf.DUMMYFUNCTION("GOOGLETRANSLATE(C829,""vi"",""km"")"),"ផ្លូវ")</f>
        <v/>
      </c>
      <c r="E829" s="3" t="n"/>
      <c r="F829" s="3" t="inlineStr">
        <is>
          <t>ផ្លូវ</t>
        </is>
      </c>
      <c r="G829" s="3" t="n"/>
      <c r="H829" s="217" t="inlineStr">
        <is>
          <t>"orderStatusReport.route": "ផ្លូវ",</t>
        </is>
      </c>
      <c r="I829" t="inlineStr">
        <is>
          <t>ផ្លូវ</t>
        </is>
      </c>
    </row>
    <row r="830">
      <c r="A830" s="3" t="inlineStr">
        <is>
          <t>orderStatusReport.selectDate</t>
        </is>
      </c>
      <c r="B830" s="3" t="inlineStr">
        <is>
          <t>Chọn ngày</t>
        </is>
      </c>
      <c r="C830" s="3" t="inlineStr">
        <is>
          <t>Select time</t>
        </is>
      </c>
      <c r="D830" s="217">
        <f>IFERROR(__xludf.DUMMYFUNCTION("GOOGLETRANSLATE(C830,""vi"",""km"")"),"ជ្រើសរើសពេលវេលា")</f>
        <v/>
      </c>
      <c r="E830" s="3" t="n"/>
      <c r="F830" s="3" t="inlineStr">
        <is>
          <t>ជ្រើសរើសពេលវេលា</t>
        </is>
      </c>
      <c r="G830" s="3" t="n"/>
      <c r="H830" s="217" t="inlineStr">
        <is>
          <t>"orderStatusReport.selectDate": "ជ្រើសរើសពេលវេលា",</t>
        </is>
      </c>
      <c r="I830" t="inlineStr">
        <is>
          <t>ជ្រើសរើសពេលវេលា</t>
        </is>
      </c>
    </row>
    <row r="831">
      <c r="A831" s="3" t="inlineStr">
        <is>
          <t>orderStatusReport.selectPostOffice</t>
        </is>
      </c>
      <c r="B831" s="3" t="inlineStr">
        <is>
          <t>Chọn bưu cục</t>
        </is>
      </c>
      <c r="C831" s="3" t="inlineStr">
        <is>
          <t>Select post office</t>
        </is>
      </c>
      <c r="D831" s="217">
        <f>IFERROR(__xludf.DUMMYFUNCTION("GOOGLETRANSLATE(C831,""vi"",""km"")"),"ជ្រើសរើសការិយាល័យប្រៃសណីយ៍")</f>
        <v/>
      </c>
      <c r="E831" s="3" t="n"/>
      <c r="F831" s="3" t="inlineStr">
        <is>
          <t>ជ្រើសរើសការិយាល័យប្រៃសណីយ៍</t>
        </is>
      </c>
      <c r="G831" s="3" t="n"/>
      <c r="H831" s="217" t="inlineStr">
        <is>
          <t>"orderStatusReport.selectPostOffice": "ជ្រើសរើសការិយាល័យប្រៃសណីយ៍",</t>
        </is>
      </c>
      <c r="I831" t="inlineStr">
        <is>
          <t>ជ្រើសរើសការិយាល័យប្រៃសណីយ៍</t>
        </is>
      </c>
    </row>
    <row r="832">
      <c r="A832" s="3" t="inlineStr">
        <is>
          <t>orderStatusReport.sumaryReport</t>
        </is>
      </c>
      <c r="B832" s="3" t="inlineStr">
        <is>
          <t>Bao cao tong hop don hang</t>
        </is>
      </c>
      <c r="C832" s="3" t="inlineStr">
        <is>
          <t>Summary report</t>
        </is>
      </c>
      <c r="D832" s="217">
        <f>IFERROR(__xludf.DUMMYFUNCTION("GOOGLETRANSLATE(C832,""vi"",""km"")"),"របាយការណ៍សង្ខេប")</f>
        <v/>
      </c>
      <c r="E832" s="3" t="n"/>
      <c r="F832" s="3" t="inlineStr">
        <is>
          <t>របាយការណ៍សង្ខេប</t>
        </is>
      </c>
      <c r="G832" s="3" t="n"/>
      <c r="H832" s="217" t="inlineStr">
        <is>
          <t>"orderStatusReport.sumaryReport": "របាយការណ៍សង្ខេប",</t>
        </is>
      </c>
      <c r="I832" t="inlineStr">
        <is>
          <t>របាយការណ៍សង្ខេប</t>
        </is>
      </c>
    </row>
    <row r="833">
      <c r="A833" s="3" t="inlineStr">
        <is>
          <t>orderStatusReport.toDate</t>
        </is>
      </c>
      <c r="B833" s="3" t="inlineStr">
        <is>
          <t>Đến ngày</t>
        </is>
      </c>
      <c r="C833" s="3" t="inlineStr">
        <is>
          <t>To date</t>
        </is>
      </c>
      <c r="D833" s="217">
        <f>IFERROR(__xludf.DUMMYFUNCTION("GOOGLETRANSLATE(C833,""vi"",""km"")"),"រហូតមកដល់បច្ចុប្បន្ន")</f>
        <v/>
      </c>
      <c r="E833" s="3" t="n"/>
      <c r="F833" s="3" t="inlineStr">
        <is>
          <t>រហូតមកដល់បច្ចុប្បន្ន</t>
        </is>
      </c>
      <c r="G833" s="3" t="n"/>
      <c r="H833" s="217" t="inlineStr">
        <is>
          <t>"orderStatusReport.toDate": "រហូតមកដល់បច្ចុប្បន្ន",</t>
        </is>
      </c>
      <c r="I833" t="inlineStr">
        <is>
          <t>រហូតមកដល់បច្ចុប្បន្ន</t>
        </is>
      </c>
    </row>
    <row r="834">
      <c r="A834" s="3" t="inlineStr">
        <is>
          <t>orderStatusReport.totalFee</t>
        </is>
      </c>
      <c r="B834" s="3" t="inlineStr">
        <is>
          <t>Tổng cước</t>
        </is>
      </c>
      <c r="C834" s="3" t="inlineStr">
        <is>
          <t>Total fee</t>
        </is>
      </c>
      <c r="D834" s="217">
        <f>IFERROR(__xludf.DUMMYFUNCTION("GOOGLETRANSLATE(C834,""vi"",""km"")"),"ថ្លៃសេវាសរុប")</f>
        <v/>
      </c>
      <c r="E834" s="3" t="n"/>
      <c r="F834" s="3" t="inlineStr">
        <is>
          <t>ថ្លៃដឹកជញ្ជូនសរុប</t>
        </is>
      </c>
      <c r="G834" s="3" t="n"/>
      <c r="H834" s="217" t="inlineStr">
        <is>
          <t>"orderStatusReport.totalFee": "ថ្លៃដឹកជញ្ជូនសរុប",</t>
        </is>
      </c>
      <c r="I834" t="inlineStr">
        <is>
          <t>ថ្លៃដឹកជញ្ជូនសរុប</t>
        </is>
      </c>
    </row>
    <row r="835">
      <c r="A835" s="3" t="inlineStr">
        <is>
          <t>orderStatusReport.totalOrder</t>
        </is>
      </c>
      <c r="B835" s="3" t="inlineStr">
        <is>
          <t>Tổng đơn</t>
        </is>
      </c>
      <c r="C835" s="3" t="inlineStr">
        <is>
          <t>Total number of order</t>
        </is>
      </c>
      <c r="D835" s="217">
        <f>IFERROR(__xludf.DUMMYFUNCTION("GOOGLETRANSLATE(C835,""vi"",""km"")"),"ចំនួនសរុបនៃការបញ្ជាទិញ")</f>
        <v/>
      </c>
      <c r="E835" s="3" t="n"/>
      <c r="F835" s="3" t="inlineStr">
        <is>
          <t>ចំនួនសរុបនៃការបញ្ជាទិញ</t>
        </is>
      </c>
      <c r="G835" s="3" t="n"/>
      <c r="H835" s="217" t="inlineStr">
        <is>
          <t>"orderStatusReport.totalOrder": "ចំនួនសរុបនៃការបញ្ជាទិញ",</t>
        </is>
      </c>
      <c r="I835" t="inlineStr">
        <is>
          <t>ចំនួនសរុបនៃការបញ្ជាទិញ</t>
        </is>
      </c>
    </row>
    <row r="836">
      <c r="A836" s="3" t="inlineStr">
        <is>
          <t>orderStatusReport.transit</t>
        </is>
      </c>
      <c r="B836" s="3" t="inlineStr">
        <is>
          <t>Khâu trung chuyển</t>
        </is>
      </c>
      <c r="C836" s="3" t="inlineStr">
        <is>
          <t>Middle-mile</t>
        </is>
      </c>
      <c r="D836" s="217">
        <f>IFERROR(__xludf.DUMMYFUNCTION("GOOGLETRANSLATE(C836,""vi"",""km"")"),"ម៉ាយល៍កណ្តាល")</f>
        <v/>
      </c>
      <c r="E836" s="3" t="n"/>
      <c r="F836" s="3" t="inlineStr">
        <is>
          <t>ម៉ាយល៍កណ្តាល</t>
        </is>
      </c>
      <c r="G836" s="3" t="n"/>
      <c r="H836" s="217" t="inlineStr">
        <is>
          <t>"orderStatusReport.transit": "ម៉ាយល៍កណ្តាល",</t>
        </is>
      </c>
      <c r="I836" t="inlineStr">
        <is>
          <t>ម៉ាយល៍កណ្តាល</t>
        </is>
      </c>
    </row>
    <row r="837">
      <c r="A837" s="3" t="inlineStr">
        <is>
          <t>outstandingDebtReport.CODOutstandingDebt</t>
        </is>
      </c>
      <c r="B837" s="3" t="inlineStr">
        <is>
          <t>Công nợ COD bưu tá</t>
        </is>
      </c>
      <c r="C837" s="3" t="inlineStr">
        <is>
          <t>Postman COD outstanding debt</t>
        </is>
      </c>
      <c r="D837" s="217">
        <f>IFERROR(__xludf.DUMMYFUNCTION("GOOGLETRANSLATE(C837,""vi"",""km"")"),"បំណុល​ដែល​នៅ​សេសសល់​របស់​អ្នក​នាំ​សំបុត្រ COD")</f>
        <v/>
      </c>
      <c r="E837" s="3" t="n"/>
      <c r="F837" s="3" t="inlineStr">
        <is>
          <t>បំណុលដែលនៅសេសសល់របស់អ្នកនាំសំបុត្រ COD</t>
        </is>
      </c>
      <c r="G837" s="3" t="n"/>
      <c r="H837" s="217" t="inlineStr">
        <is>
          <t>"outstandingDebtReport.CODOutstandingDebt": "បំណុលដែលនៅសេសសល់របស់អ្នកនាំសំបុត្រ COD",</t>
        </is>
      </c>
      <c r="I837" t="inlineStr">
        <is>
          <t>បំណុលដែលនៅសេសសល់របស់អ្នកនាំសំបុត្រ COD</t>
        </is>
      </c>
    </row>
    <row r="838">
      <c r="A838" s="3" t="inlineStr">
        <is>
          <t>outstandingDebtReport.FeeOutstandingDebt</t>
        </is>
      </c>
      <c r="B838" s="3" t="inlineStr">
        <is>
          <t>Công nợ cước bưu tá</t>
        </is>
      </c>
      <c r="C838" s="3" t="inlineStr">
        <is>
          <t>Postman shipping fee outstanding debt</t>
        </is>
      </c>
      <c r="D838" s="217">
        <f>IFERROR(__xludf.DUMMYFUNCTION("GOOGLETRANSLATE(C838,""vi"",""km"")"),"បំណុល​ដែល​នៅ​សេសសល់​ពី​ថ្លៃ​ដឹកជញ្ជូន​របស់​អ្នក​ប្រៃសណីយ៍")</f>
        <v/>
      </c>
      <c r="E838" s="3" t="n"/>
      <c r="F838" s="3" t="inlineStr">
        <is>
          <t>បំណុលដែលនៅសេសសល់ពីថ្លៃដឹកជញ្ជូនរបស់អ្នកប្រៃសណីយ៍</t>
        </is>
      </c>
      <c r="G838" s="3" t="n"/>
      <c r="H838" s="217" t="inlineStr">
        <is>
          <t>"outstandingDebtReport.FeeOutstandingDebt": "បំណុលដែលនៅសេសសល់ពីថ្លៃដឹកជញ្ជូនរបស់អ្នកប្រៃសណីយ៍",</t>
        </is>
      </c>
      <c r="I838" t="inlineStr">
        <is>
          <t>បំណុលដែលនៅសេសសល់ពីថ្លៃដឹកជញ្ជូនរបស់អ្នកប្រៃសណីយ៍</t>
        </is>
      </c>
    </row>
    <row r="839">
      <c r="A839" s="3" t="inlineStr">
        <is>
          <t>outstandingDebtReport.branch</t>
        </is>
      </c>
      <c r="B839" s="3" t="inlineStr">
        <is>
          <t>Chi nhánh</t>
        </is>
      </c>
      <c r="C839" s="3" t="inlineStr">
        <is>
          <t>Branch</t>
        </is>
      </c>
      <c r="D839" s="217">
        <f>IFERROR(__xludf.DUMMYFUNCTION("GOOGLETRANSLATE(C839,""vi"",""km"")"),"គ្រួសារ")</f>
        <v/>
      </c>
      <c r="E839" s="3" t="n"/>
      <c r="F839" s="3" t="inlineStr">
        <is>
          <t>សាខា</t>
        </is>
      </c>
      <c r="G839" s="3" t="n"/>
      <c r="H839" s="217" t="inlineStr">
        <is>
          <t>"outstandingDebtReport.branch": "សាខា",</t>
        </is>
      </c>
      <c r="I839" t="inlineStr">
        <is>
          <t>សាខា</t>
        </is>
      </c>
    </row>
    <row r="840">
      <c r="A840" s="3" t="inlineStr">
        <is>
          <t>outstandingDebtReport.branchPlaceholder</t>
        </is>
      </c>
      <c r="B840" s="3" t="inlineStr">
        <is>
          <t>Chọn chi nhánh</t>
        </is>
      </c>
      <c r="C840" s="3" t="inlineStr">
        <is>
          <t>Select branch</t>
        </is>
      </c>
      <c r="D840" s="217">
        <f>IFERROR(__xludf.DUMMYFUNCTION("GOOGLETRANSLATE(C840,""vi"",""km"")"),"ជ្រើសរើសទ្រូង")</f>
        <v/>
      </c>
      <c r="E840" s="3" t="n"/>
      <c r="F840" s="3" t="inlineStr">
        <is>
          <t>ជ្រើសរើសទ្រូង</t>
        </is>
      </c>
      <c r="G840" s="3" t="n"/>
      <c r="H840" s="217" t="inlineStr">
        <is>
          <t>"outstandingDebtReport.branchPlaceholder": "ជ្រើសរើសទ្រូង",</t>
        </is>
      </c>
      <c r="I840" t="inlineStr">
        <is>
          <t>ជ្រើសរើសទ្រូង</t>
        </is>
      </c>
    </row>
    <row r="841">
      <c r="A841" s="3" t="inlineStr">
        <is>
          <t>outstandingDebtReport.collection</t>
        </is>
      </c>
      <c r="B841" s="3" t="inlineStr">
        <is>
          <t>Tiền thu hộ</t>
        </is>
      </c>
      <c r="C841" s="3" t="inlineStr">
        <is>
          <t>Collected amount</t>
        </is>
      </c>
      <c r="D841" s="217">
        <f>IFERROR(__xludf.DUMMYFUNCTION("GOOGLETRANSLATE(C841,""vi"",""km"")"),"ចំនួនទឹកប្រាក់ដែលប្រមូលបាន")</f>
        <v/>
      </c>
      <c r="E841" s="3" t="n"/>
      <c r="F841" s="3" t="inlineStr">
        <is>
          <t>ប្រាក់ប្រមូលជំនួស (COD)</t>
        </is>
      </c>
      <c r="G841" s="3" t="n"/>
      <c r="H841" s="217" t="inlineStr">
        <is>
          <t>"outstandingDebtReport.collection": "ប្រាក់ប្រមូលជំនួស (COD)",</t>
        </is>
      </c>
      <c r="I841" t="inlineStr">
        <is>
          <t>ប្រាក់ប្រមូលជំនួស (COD)</t>
        </is>
      </c>
    </row>
    <row r="842">
      <c r="A842" s="3" t="inlineStr">
        <is>
          <t>outstandingDebtReport.collectionCOD</t>
        </is>
      </c>
      <c r="B842" s="3" t="inlineStr">
        <is>
          <t>Tiền COD ({{ unit }})</t>
        </is>
      </c>
      <c r="C842" s="3" t="inlineStr">
        <is>
          <t>COD amount ({{ unit }})</t>
        </is>
      </c>
      <c r="D842" s="217">
        <f>IFERROR(__xludf.DUMMYFUNCTION("GOOGLETRANSLATE(C842,""vi"",""km"")"),"ចំនួនទឹកប្រាក់ COD ({{ unit }})")</f>
        <v/>
      </c>
      <c r="E842" s="3" t="n"/>
      <c r="F842" s="3" t="inlineStr">
        <is>
          <t>ចំនួនទឹកប្រាក់ COD ({{ unit }})</t>
        </is>
      </c>
      <c r="G842" s="3" t="n"/>
      <c r="H842" s="217" t="inlineStr">
        <is>
          <t>"outstandingDebtReport.collectionCOD": "ចំនួនទឹកប្រាក់ COD ({{ unit }})",</t>
        </is>
      </c>
      <c r="I842" t="inlineStr">
        <is>
          <t>ចំនួនទឹកប្រាក់ COD ({{ unit }})</t>
        </is>
      </c>
    </row>
    <row r="843">
      <c r="A843" s="3" t="inlineStr">
        <is>
          <t>outstandingDebtReport.company</t>
        </is>
      </c>
      <c r="B843" s="3" t="inlineStr">
        <is>
          <t>Công ty</t>
        </is>
      </c>
      <c r="C843" s="3" t="inlineStr">
        <is>
          <t>Company</t>
        </is>
      </c>
      <c r="D843" s="217">
        <f>IFERROR(__xludf.DUMMYFUNCTION("GOOGLETRANSLATE(C843,""vi"",""km"")"),"ក្រុមហ៊ុន")</f>
        <v/>
      </c>
      <c r="E843" s="3" t="n"/>
      <c r="F843" s="3" t="inlineStr">
        <is>
          <t>ក្រុមហ៊ុន</t>
        </is>
      </c>
      <c r="G843" s="3" t="n"/>
      <c r="H843" s="217" t="inlineStr">
        <is>
          <t>"outstandingDebtReport.company": "ក្រុមហ៊ុន",</t>
        </is>
      </c>
      <c r="I843" t="inlineStr">
        <is>
          <t>ក្រុមហ៊ុន</t>
        </is>
      </c>
    </row>
    <row r="844">
      <c r="A844" s="3" t="inlineStr">
        <is>
          <t>outstandingDebtReport.createAt</t>
        </is>
      </c>
      <c r="B844" s="3" t="inlineStr">
        <is>
          <t>Ngày tạo</t>
        </is>
      </c>
      <c r="C844" s="3" t="inlineStr">
        <is>
          <t>Created date</t>
        </is>
      </c>
      <c r="D844" s="217">
        <f>IFERROR(__xludf.DUMMYFUNCTION("GOOGLETRANSLATE(C844,""vi"",""km"")"),"កាលបរិច្ឆេទបង្កើត")</f>
        <v/>
      </c>
      <c r="E844" s="3" t="n"/>
      <c r="F844" s="3" t="inlineStr">
        <is>
          <t>កាលបរិច្ឆេទបង្កើត</t>
        </is>
      </c>
      <c r="G844" s="3" t="n"/>
      <c r="H844" s="217" t="inlineStr">
        <is>
          <t>"outstandingDebtReport.createAt": "កាលបរិច្ឆេទបង្កើត",</t>
        </is>
      </c>
      <c r="I844" t="inlineStr">
        <is>
          <t>កាលបរិច្ឆេទបង្កើត</t>
        </is>
      </c>
    </row>
    <row r="845">
      <c r="A845" s="3" t="inlineStr">
        <is>
          <t>outstandingDebtReport.customer</t>
        </is>
      </c>
      <c r="B845" s="3" t="inlineStr">
        <is>
          <t>Khách hàng</t>
        </is>
      </c>
      <c r="C845" s="3" t="inlineStr">
        <is>
          <t>Customer</t>
        </is>
      </c>
      <c r="D845" s="217">
        <f>IFERROR(__xludf.DUMMYFUNCTION("GOOGLETRANSLATE(C845,""vi"",""km"")"),"បុគ្គលិកលក្ខណៈ")</f>
        <v/>
      </c>
      <c r="E845" s="3" t="n"/>
      <c r="F845" s="3" t="inlineStr">
        <is>
          <t>បុគ្គលិកលក្ខណៈ</t>
        </is>
      </c>
      <c r="G845" s="3" t="n"/>
      <c r="H845" s="217" t="inlineStr">
        <is>
          <t>"outstandingDebtReport.customer": "បុគ្គលិកលក្ខណៈ",</t>
        </is>
      </c>
      <c r="I845" t="inlineStr">
        <is>
          <t>បុគ្គលិកលក្ខណៈ</t>
        </is>
      </c>
    </row>
    <row r="846">
      <c r="A846" s="3" t="inlineStr">
        <is>
          <t>outstandingDebtReport.customerFeeOutstandingDebt</t>
        </is>
      </c>
      <c r="B846" s="3" t="inlineStr">
        <is>
          <t>Công nợ cước khách hàng</t>
        </is>
      </c>
      <c r="C846" s="3" t="inlineStr">
        <is>
          <t>Customer shipping fee outstanding debt</t>
        </is>
      </c>
      <c r="D846" s="217">
        <f>IFERROR(__xludf.DUMMYFUNCTION("GOOGLETRANSLATE(C846,""vi"",""km"")"),"បំណុល​ដែល​នៅ​សេសសល់​ពី​ថ្លៃ​ដឹកជញ្ជូន​របស់​អតិថិជន")</f>
        <v/>
      </c>
      <c r="E846" s="3" t="n"/>
      <c r="F846" s="3" t="inlineStr">
        <is>
          <t>បំណុលដែលនៅសេសសល់ពីថ្លៃដឹកជញ្ជូនរបស់អតិថិជន</t>
        </is>
      </c>
      <c r="G846" s="3" t="n"/>
      <c r="H846" s="217" t="inlineStr">
        <is>
          <t>"outstandingDebtReport.customerFeeOutstandingDebt": "បំណុលដែលនៅសេសសល់ពីថ្លៃដឹកជញ្ជូនរបស់អតិថិជន",</t>
        </is>
      </c>
      <c r="I846" t="inlineStr">
        <is>
          <t>បំណុលដែលនៅសេសសល់ពីថ្លៃដឹកជញ្ជូនរបស់អតិថិជន</t>
        </is>
      </c>
    </row>
    <row r="847">
      <c r="A847" s="3" t="inlineStr">
        <is>
          <t>outstandingDebtReport.customerTotal</t>
        </is>
      </c>
      <c r="B847" s="3" t="inlineStr">
        <is>
          <t>Tổng số KH</t>
        </is>
      </c>
      <c r="C847" s="3" t="inlineStr">
        <is>
          <t>Total customers</t>
        </is>
      </c>
      <c r="D847" s="217">
        <f>IFERROR(__xludf.DUMMYFUNCTION("GOOGLETRANSLATE(C847,""vi"",""km"")"),"អតិថិជនសរុប")</f>
        <v/>
      </c>
      <c r="E847" s="3" t="n"/>
      <c r="F847" s="3" t="inlineStr">
        <is>
          <t>អតិថិជនសរុប</t>
        </is>
      </c>
      <c r="G847" s="3" t="n"/>
      <c r="H847" s="217" t="inlineStr">
        <is>
          <t>"outstandingDebtReport.customerTotal": "អតិថិជនសរុប",</t>
        </is>
      </c>
      <c r="I847" t="inlineStr">
        <is>
          <t>អតិថិជនសរុប</t>
        </is>
      </c>
    </row>
    <row r="848">
      <c r="A848" s="3" t="inlineStr">
        <is>
          <t>outstandingDebtReport.dateN</t>
        </is>
      </c>
      <c r="B848" s="3" t="inlineStr">
        <is>
          <t>Ngày N</t>
        </is>
      </c>
      <c r="C848" s="3" t="inlineStr">
        <is>
          <t>Day N</t>
        </is>
      </c>
      <c r="D848" s="217">
        <f>IFERROR(__xludf.DUMMYFUNCTION("GOOGLETRANSLATE(C848,""vi"",""km"")"),"ថ្ងៃ N")</f>
        <v/>
      </c>
      <c r="E848" s="3" t="n"/>
      <c r="F848" s="3" t="inlineStr">
        <is>
          <t>ថ្ងៃ N</t>
        </is>
      </c>
      <c r="G848" s="3" t="n"/>
      <c r="H848" s="217" t="inlineStr">
        <is>
          <t>"outstandingDebtReport.dateN": "ថ្ងៃ N",</t>
        </is>
      </c>
      <c r="I848" t="inlineStr">
        <is>
          <t>ថ្ងៃ N</t>
        </is>
      </c>
    </row>
    <row r="849">
      <c r="A849" s="3" t="inlineStr">
        <is>
          <t>outstandingDebtReport.dateN1</t>
        </is>
      </c>
      <c r="B849" s="3" t="inlineStr">
        <is>
          <t>Ngày N - 1</t>
        </is>
      </c>
      <c r="C849" s="3" t="inlineStr">
        <is>
          <t>Day N - 1</t>
        </is>
      </c>
      <c r="D849" s="217">
        <f>IFERROR(__xludf.DUMMYFUNCTION("GOOGLETRANSLATE(C849,""vi"",""km"")"),"ថ្ងៃទី N - 1")</f>
        <v/>
      </c>
      <c r="E849" s="3" t="n"/>
      <c r="F849" s="3" t="inlineStr">
        <is>
          <t>ថ្ងៃទី N - 1</t>
        </is>
      </c>
      <c r="G849" s="3" t="n"/>
      <c r="H849" s="217" t="inlineStr">
        <is>
          <t>"outstandingDebtReport.dateN1": "ថ្ងៃទី N - 1",</t>
        </is>
      </c>
      <c r="I849" t="inlineStr">
        <is>
          <t>ថ្ងៃទី N - 1</t>
        </is>
      </c>
    </row>
    <row r="850">
      <c r="A850" s="3" t="inlineStr">
        <is>
          <t>outstandingDebtReport.dateN2</t>
        </is>
      </c>
      <c r="B850" s="3" t="inlineStr">
        <is>
          <t>Ngày N - 2...</t>
        </is>
      </c>
      <c r="C850" s="3" t="inlineStr">
        <is>
          <t>Day N - 2...</t>
        </is>
      </c>
      <c r="D850" s="217">
        <f>IFERROR(__xludf.DUMMYFUNCTION("GOOGLETRANSLATE(C850,""vi"",""km"")"),"ថ្ងៃទី N - 2...")</f>
        <v/>
      </c>
      <c r="E850" s="3" t="n"/>
      <c r="F850" s="3" t="inlineStr">
        <is>
          <t>ថ្ងៃទី N - 2...</t>
        </is>
      </c>
      <c r="G850" s="3" t="n"/>
      <c r="H850" s="217" t="inlineStr">
        <is>
          <t>"outstandingDebtReport.dateN2": "ថ្ងៃទី N - 2...",</t>
        </is>
      </c>
      <c r="I850" t="inlineStr">
        <is>
          <t>ថ្ងៃទី N - 2...</t>
        </is>
      </c>
    </row>
    <row r="851">
      <c r="A851" s="3" t="inlineStr">
        <is>
          <t>outstandingDebtReport.dateOfOccurrence</t>
        </is>
      </c>
      <c r="B851" s="3" t="inlineStr">
        <is>
          <t>Ngày phát sinh</t>
        </is>
      </c>
      <c r="C851" s="3" t="inlineStr">
        <is>
          <t>Occurrence date</t>
        </is>
      </c>
      <c r="D851" s="217">
        <f>IFERROR(__xludf.DUMMYFUNCTION("GOOGLETRANSLATE(C851,""vi"",""km"")"),"កាលបរិច្ឆេទកើតឡើង")</f>
        <v/>
      </c>
      <c r="E851" s="3" t="n"/>
      <c r="F851" s="3" t="inlineStr">
        <is>
          <t>កាលបរិច្ឆេទកើតឡើង</t>
        </is>
      </c>
      <c r="G851" s="3" t="n"/>
      <c r="H851" s="217" t="inlineStr">
        <is>
          <t>"outstandingDebtReport.dateOfOccurrence": "កាលបរិច្ឆេទកើតឡើង",</t>
        </is>
      </c>
      <c r="I851" t="inlineStr">
        <is>
          <t>កាលបរិច្ឆេទកើតឡើង</t>
        </is>
      </c>
    </row>
    <row r="852">
      <c r="A852" s="3" t="inlineStr">
        <is>
          <t>outstandingDebtReport.datePtc</t>
        </is>
      </c>
      <c r="B852" s="3" t="inlineStr">
        <is>
          <t>Ngày phát thành công</t>
        </is>
      </c>
      <c r="C852" s="3" t="inlineStr">
        <is>
          <t>Successful delivery date</t>
        </is>
      </c>
      <c r="D852" s="217">
        <f>IFERROR(__xludf.DUMMYFUNCTION("GOOGLETRANSLATE(C852,""vi"",""km"")"),"កាលបរិច្ឆេទដឹកជញ្ជូនជោគជ័យ")</f>
        <v/>
      </c>
      <c r="E852" s="3" t="n"/>
      <c r="F852" s="3" t="inlineStr">
        <is>
          <t>កាលបរិច្ឆេទដឹកជញ្ជូនជោគជ័យ</t>
        </is>
      </c>
      <c r="G852" s="3" t="n"/>
      <c r="H852" s="217" t="inlineStr">
        <is>
          <t>"outstandingDebtReport.datePtc": "កាលបរិច្ឆេទដឹកជញ្ជូនជោគជ័យ",</t>
        </is>
      </c>
      <c r="I852" t="inlineStr">
        <is>
          <t>កាលបរិច្ឆេទដឹកជញ្ជូនជោគជ័យ</t>
        </is>
      </c>
    </row>
    <row r="853">
      <c r="A853" s="3" t="inlineStr">
        <is>
          <t>outstandingDebtReport.detailBranchInfo</t>
        </is>
      </c>
      <c r="B853" s="3" t="inlineStr">
        <is>
          <t>Thông tin chi tiết của chi nhánh: {{ branchCode }}</t>
        </is>
      </c>
      <c r="C853" s="3" t="inlineStr">
        <is>
          <t>Detailed information for branch: {{ branchCode }}</t>
        </is>
      </c>
      <c r="D853" s="217">
        <f>IFERROR(__xludf.DUMMYFUNCTION("GOOGLETRANSLATE(C853,""vi"",""km"")"),"ព័ត៌មានលម្អិតសម្រាប់សាខា៖ {{ branchCode }}")</f>
        <v/>
      </c>
      <c r="E853" s="3" t="n"/>
      <c r="F853" s="3" t="inlineStr">
        <is>
          <t>ព័ត៌មានលម្អិតសម្រាប់សាខា៖ {{ branchCode }}</t>
        </is>
      </c>
      <c r="G853" s="3" t="n"/>
      <c r="H853" s="217" t="inlineStr">
        <is>
          <t>"outstandingDebtReport.detailBranchInfo": "ព័ត៌មានលម្អិតសម្រាប់សាខា៖ {{ branchCode }}",</t>
        </is>
      </c>
      <c r="I853" t="inlineStr">
        <is>
          <t>ព័ត៌មានលម្អិតសម្រាប់សាខា៖ {{ branchCode }}</t>
        </is>
      </c>
    </row>
    <row r="854">
      <c r="A854" s="3" t="inlineStr">
        <is>
          <t>outstandingDebtReport.detailCustomer</t>
        </is>
      </c>
      <c r="B854" s="3" t="inlineStr">
        <is>
          <t>Chi tiết đơn thu cước khách hàng: {{ name }}</t>
        </is>
      </c>
      <c r="C854" s="3" t="inlineStr">
        <is>
          <t>Customer shipping fee order details: {{ name }}</t>
        </is>
      </c>
      <c r="D854" s="217">
        <f>IFERROR(__xludf.DUMMYFUNCTION("GOOGLETRANSLATE(C854,""vi"",""km"")"),"ព័ត៌មានលម្អិតអំពីការបញ្ជាទិញថ្លៃដឹកជញ្ជូនរបស់អតិថិជន៖ {{ name }}")</f>
        <v/>
      </c>
      <c r="E854" s="3" t="n"/>
      <c r="F854" s="3" t="inlineStr">
        <is>
          <t>ព័ត៌មានលម្អិតអំពីការបញ្ជាទិញថ្លៃដឹកជញ្ជូនរបស់អតិថិជន៖ {{ name }}</t>
        </is>
      </c>
      <c r="G854" s="3" t="n"/>
      <c r="H854" s="217" t="inlineStr">
        <is>
          <t>"outstandingDebtReport.detailCustomer": "ព័ត៌មានលម្អិតអំពីការបញ្ជាទិញថ្លៃដឹកជញ្ជូនរបស់អតិថិជន៖ {{ name }}",</t>
        </is>
      </c>
      <c r="I854" t="inlineStr">
        <is>
          <t>ព័ត៌មានលម្អិតអំពីការបញ្ជាទិញថ្លៃដឹកជញ្ជូនរបស់អតិថិជន៖ {{ name }}</t>
        </is>
      </c>
    </row>
    <row r="855">
      <c r="A855" s="3" t="inlineStr">
        <is>
          <t>outstandingDebtReport.detailCustomerCod</t>
        </is>
      </c>
      <c r="B855" s="3" t="inlineStr">
        <is>
          <t>Chi tiết đơn thu COD bưu tá: {{ name }}</t>
        </is>
      </c>
      <c r="C855" s="3" t="inlineStr">
        <is>
          <t>COD order details for postman: {{ name }}</t>
        </is>
      </c>
      <c r="D855" s="217">
        <f>IFERROR(__xludf.DUMMYFUNCTION("GOOGLETRANSLATE(C855,""vi"",""km"")"),"ព័ត៌មានលម្អិតអំពីការបញ្ជាទិញ COD សម្រាប់អ្នករត់សំបុត្រ៖ {{ name }}")</f>
        <v/>
      </c>
      <c r="E855" s="3" t="n"/>
      <c r="F855" s="3" t="inlineStr">
        <is>
          <t>ព័ត៌មានលម្អិតអំពីការបញ្ជាទិញ COD សម្រាប់អ្នកដឹកជញ្ជូន៖ {{ name }}</t>
        </is>
      </c>
      <c r="G855" s="3" t="n"/>
      <c r="H855" s="217" t="inlineStr">
        <is>
          <t>"outstandingDebtReport.detailCustomerCod": "ព័ត៌មានលម្អិតអំពីការបញ្ជាទិញ COD សម្រាប់អ្នកដឹកជញ្ជូន៖ {{ name }}",</t>
        </is>
      </c>
      <c r="I855" t="inlineStr">
        <is>
          <t>ព័ត៌មានលម្អិតអំពីការបញ្ជាទិញ COD សម្រាប់អ្នកដឹកជញ្ជូន៖ {{ name }}</t>
        </is>
      </c>
    </row>
    <row r="856">
      <c r="A856" s="3" t="inlineStr">
        <is>
          <t>outstandingDebtReport.detailCustomerFee</t>
        </is>
      </c>
      <c r="B856" s="3" t="inlineStr">
        <is>
          <t>Chi tiết đơn thu cước bưu tá: {{ name }}</t>
        </is>
      </c>
      <c r="C856" s="3" t="inlineStr">
        <is>
          <t>Shipping fee order details for postman: {{ name }}</t>
        </is>
      </c>
      <c r="D856" s="217">
        <f>IFERROR(__xludf.DUMMYFUNCTION("GOOGLETRANSLATE(C856,""vi"",""km"")"),"ព័ត៌មានលម្អិតអំពីថ្លៃដឹកជញ្ជូនសម្រាប់អ្នកប្រៃសណីយ៍៖ {{ name }}")</f>
        <v/>
      </c>
      <c r="E856" s="3" t="n"/>
      <c r="F856" s="3" t="inlineStr">
        <is>
          <t>ព័ត៌មានលម្អិតអំពីថ្លៃដឹកជញ្ជូនសម្រាប់អ្នកប្រៃសណីយ៍៖ {{ name }}</t>
        </is>
      </c>
      <c r="G856" s="3" t="n"/>
      <c r="H856" s="217" t="inlineStr">
        <is>
          <t>"outstandingDebtReport.detailCustomerFee": "ព័ត៌មានលម្អិតអំពីថ្លៃដឹកជញ្ជូនសម្រាប់អ្នកប្រៃសណីយ៍៖ {{ name }}",</t>
        </is>
      </c>
      <c r="I856" t="inlineStr">
        <is>
          <t>ព័ត៌មានលម្អិតអំពីថ្លៃដឹកជញ្ជូនសម្រាប់អ្នកប្រៃសណីយ៍៖ {{ name }}</t>
        </is>
      </c>
    </row>
    <row r="857">
      <c r="A857" s="3" t="inlineStr">
        <is>
          <t>outstandingDebtReport.detailPostInfo</t>
        </is>
      </c>
      <c r="B857" s="3" t="inlineStr">
        <is>
          <t>Thông tin chi tiết bưu cục: {{ postCode }}</t>
        </is>
      </c>
      <c r="C857" s="3" t="inlineStr">
        <is>
          <t>Detailed information for post office: {{ postCode }}</t>
        </is>
      </c>
      <c r="D857" s="217">
        <f>IFERROR(__xludf.DUMMYFUNCTION("GOOGLETRANSLATE(C857,""vi"",""km"")"),"ព័ត៌មានលម្អិតសម្រាប់ការិយាល័យប្រៃសណីយ៍៖ {{ postCode }}")</f>
        <v/>
      </c>
      <c r="E857" s="3" t="n"/>
      <c r="F857" s="3" t="inlineStr">
        <is>
          <t>ព័ត៌មានលម្អិតសម្រាប់ការិយាល័យប្រៃសណីយ៍៖ {{ postCode }}</t>
        </is>
      </c>
      <c r="G857" s="3" t="n"/>
      <c r="H857" s="217" t="inlineStr">
        <is>
          <t>"outstandingDebtReport.detailPostInfo": "ព័ត៌មានលម្អិតសម្រាប់ការិយាល័យប្រៃសណីយ៍៖ {{ postCode }}",</t>
        </is>
      </c>
      <c r="I857" t="inlineStr">
        <is>
          <t>ព័ត៌មានលម្អិតសម្រាប់ការិយាល័យប្រៃសណីយ៍៖ {{ postCode }}</t>
        </is>
      </c>
    </row>
    <row r="858">
      <c r="A858" s="3" t="inlineStr">
        <is>
          <t>outstandingDebtReport.employee</t>
        </is>
      </c>
      <c r="B858" s="3" t="inlineStr">
        <is>
          <t>Tuyến bưu tá</t>
        </is>
      </c>
      <c r="C858" s="3" t="inlineStr">
        <is>
          <t>Postman route</t>
        </is>
      </c>
      <c r="D858" s="217">
        <f>IFERROR(__xludf.DUMMYFUNCTION("GOOGLETRANSLATE(C858,""vi"",""km"")"),"ផ្លូវអ្នកប្រៃសណីយ៍")</f>
        <v/>
      </c>
      <c r="E858" s="3" t="n"/>
      <c r="F858" s="3" t="inlineStr">
        <is>
          <t>ផ្លូវអ្នកប្រៃសណីយ៍</t>
        </is>
      </c>
      <c r="G858" s="3" t="n"/>
      <c r="H858" s="217" t="inlineStr">
        <is>
          <t>"outstandingDebtReport.employee": "ផ្លូវអ្នកប្រៃសណីយ៍",</t>
        </is>
      </c>
      <c r="I858" t="inlineStr">
        <is>
          <t>ផ្លូវអ្នកប្រៃសណីយ៍</t>
        </is>
      </c>
    </row>
    <row r="859">
      <c r="A859" s="3" t="inlineStr">
        <is>
          <t>outstandingDebtReport.exportDetail</t>
        </is>
      </c>
      <c r="B859" s="3" t="inlineStr">
        <is>
          <t>Xuất chi tiết</t>
        </is>
      </c>
      <c r="C859" s="3" t="inlineStr">
        <is>
          <t>Export details</t>
        </is>
      </c>
      <c r="D859" s="217">
        <f>IFERROR(__xludf.DUMMYFUNCTION("GOOGLETRANSLATE(C859,""vi"",""km"")"),"នាំចេញព័ត៌មានលម្អិត")</f>
        <v/>
      </c>
      <c r="E859" s="3" t="n"/>
      <c r="F859" s="3" t="inlineStr">
        <is>
          <t>នាំចេញព័ត៌មានលម្អិត</t>
        </is>
      </c>
      <c r="G859" s="3" t="n"/>
      <c r="H859" s="217" t="inlineStr">
        <is>
          <t>"outstandingDebtReport.exportDetail": "នាំចេញព័ត៌មានលម្អិត",</t>
        </is>
      </c>
      <c r="I859" t="inlineStr">
        <is>
          <t>នាំចេញព័ត៌មានលម្អិត</t>
        </is>
      </c>
    </row>
    <row r="860">
      <c r="A860" s="3" t="inlineStr">
        <is>
          <t>outstandingDebtReport.exportExcel</t>
        </is>
      </c>
      <c r="B860" s="3" t="inlineStr">
        <is>
          <t>Xuất Excel</t>
        </is>
      </c>
      <c r="C860" s="3" t="inlineStr">
        <is>
          <t>Export Excel</t>
        </is>
      </c>
      <c r="D860" s="217">
        <f>IFERROR(__xludf.DUMMYFUNCTION("GOOGLETRANSLATE(C860,""vi"",""km"")"),"រីករាលដាល Excel")</f>
        <v/>
      </c>
      <c r="E860" s="3" t="n"/>
      <c r="F860" s="3" t="inlineStr">
        <is>
          <t>រីករាលដាល Excel</t>
        </is>
      </c>
      <c r="G860" s="3" t="n"/>
      <c r="H860" s="217" t="inlineStr">
        <is>
          <t>"outstandingDebtReport.exportExcel": "រីករាលដាល Excel",</t>
        </is>
      </c>
      <c r="I860" t="inlineStr">
        <is>
          <t>រីករាលដាល Excel</t>
        </is>
      </c>
    </row>
    <row r="861">
      <c r="A861" s="3" t="inlineStr">
        <is>
          <t>outstandingDebtReport.fee</t>
        </is>
      </c>
      <c r="B861" s="3" t="inlineStr">
        <is>
          <t>Tiền cước ({{ unit }})</t>
        </is>
      </c>
      <c r="C861" s="3" t="inlineStr">
        <is>
          <t>Fee ({{ unit }})</t>
        </is>
      </c>
      <c r="D861" s="217">
        <f>IFERROR(__xludf.DUMMYFUNCTION("GOOGLETRANSLATE(C861,""vi"",""km"")"),"ថ្លៃសេវា ({{ ឯកតា }})")</f>
        <v/>
      </c>
      <c r="E861" s="3" t="n"/>
      <c r="F861" s="3" t="inlineStr">
        <is>
          <t>ថ្លៃសេវា ({{ unit }})</t>
        </is>
      </c>
      <c r="G861" s="3" t="n"/>
      <c r="H861" s="217" t="inlineStr">
        <is>
          <t>"outstandingDebtReport.fee": "ថ្លៃសេវា ({{ unit }})",</t>
        </is>
      </c>
      <c r="I861" t="inlineStr">
        <is>
          <t>ថ្លៃសេវា ({{ unit }})</t>
        </is>
      </c>
      <c r="N861" s="217" t="inlineStr">
        <is>
          <t>ថ្លៃសេវា ({{ unit }})</t>
        </is>
      </c>
    </row>
    <row r="862">
      <c r="A862" s="3" t="inlineStr">
        <is>
          <t>outstandingDebtReport.feeTotal</t>
        </is>
      </c>
      <c r="B862" s="3" t="inlineStr">
        <is>
          <t>Tổng cước ({{ unit }})</t>
        </is>
      </c>
      <c r="C862" s="3" t="inlineStr">
        <is>
          <t>Total fee ({{ unit }})</t>
        </is>
      </c>
      <c r="D862" s="217">
        <f>IFERROR(__xludf.DUMMYFUNCTION("GOOGLETRANSLATE(C862,""vi"",""km"")"),"ថ្លៃសេវាសរុប (ឯកតា)")</f>
        <v/>
      </c>
      <c r="E862" s="3" t="n"/>
      <c r="F862" s="3" t="inlineStr">
        <is>
          <t>ថ្លៃសេវាសរុប ({{unit}})</t>
        </is>
      </c>
      <c r="G862" s="3" t="n"/>
      <c r="H862" s="217" t="inlineStr">
        <is>
          <t>"outstandingDebtReport.feeTotal": "ថ្លៃសេវាសរុប ({{unit}})",</t>
        </is>
      </c>
      <c r="I862" t="inlineStr">
        <is>
          <t>ថ្លៃសេវាសរុប ({{unit}})</t>
        </is>
      </c>
      <c r="N862" s="217" t="inlineStr">
        <is>
          <t>ថ្លៃសេវាសរុប ({{unit}})</t>
        </is>
      </c>
    </row>
    <row r="863">
      <c r="A863" s="3" t="inlineStr">
        <is>
          <t>outstandingDebtReport.fileNameExcel</t>
        </is>
      </c>
      <c r="B863" s="3" t="inlineStr">
        <is>
          <t>Báo cáo công nợ</t>
        </is>
      </c>
      <c r="C863" s="3" t="inlineStr">
        <is>
          <t>OutstandingDebtReport</t>
        </is>
      </c>
      <c r="D863" s="217">
        <f>IFERROR(__xludf.DUMMYFUNCTION("GOOGLETRANSLATE(C863,""vi"",""km"")"),"របាយការណ៍បំណុលដែលមិនទាន់សង")</f>
        <v/>
      </c>
      <c r="E863" s="3" t="n"/>
      <c r="F863" s="3" t="inlineStr">
        <is>
          <t>របាយការណ៍បំណុលដែលមិនទាន់សង</t>
        </is>
      </c>
      <c r="G863" s="3" t="n"/>
      <c r="H863" s="217" t="inlineStr">
        <is>
          <t>"outstandingDebtReport.fileNameExcel": "របាយការណ៍បំណុលដែលមិនទាន់សង",</t>
        </is>
      </c>
      <c r="I863" t="inlineStr">
        <is>
          <t>របាយការណ៍បំណុលដែលមិនទាន់សង</t>
        </is>
      </c>
    </row>
    <row r="864">
      <c r="A864" s="3" t="inlineStr">
        <is>
          <t>outstandingDebtReport.fileNameExcelCOD</t>
        </is>
      </c>
      <c r="B864" s="3" t="inlineStr">
        <is>
          <t>Báo cáo công nợ – COD</t>
        </is>
      </c>
      <c r="C864" s="3" t="inlineStr">
        <is>
          <t>OutstandingDebtReport_COD</t>
        </is>
      </c>
      <c r="D864" s="217">
        <f>IFERROR(__xludf.DUMMYFUNCTION("GOOGLETRANSLATE(C864,""vi"",""km"")"),"របាយការណ៍បំណុលដែលមិនទាន់សង_COD")</f>
        <v/>
      </c>
      <c r="E864" s="3" t="n"/>
      <c r="F864" s="3" t="inlineStr">
        <is>
          <t>របាយការណ៍បំណុលដែលមិនទាន់សង_COD</t>
        </is>
      </c>
      <c r="G864" s="3" t="n"/>
      <c r="H864" s="217" t="inlineStr">
        <is>
          <t>"outstandingDebtReport.fileNameExcelCOD": "របាយការណ៍បំណុលដែលមិនទាន់សង_COD",</t>
        </is>
      </c>
      <c r="I864" t="inlineStr">
        <is>
          <t>របាយការណ៍បំណុលដែលមិនទាន់សង_COD</t>
        </is>
      </c>
    </row>
    <row r="865">
      <c r="A865" s="3" t="inlineStr">
        <is>
          <t>outstandingDebtReport.fileNameExcelCustomer</t>
        </is>
      </c>
      <c r="B865" s="3" t="inlineStr">
        <is>
          <t>Báo cáo công nợ – Cước khách hàng</t>
        </is>
      </c>
      <c r="C865" s="3" t="inlineStr">
        <is>
          <t>OutstandingDebtReport_CustomerFee</t>
        </is>
      </c>
      <c r="D865" s="217">
        <f>IFERROR(__xludf.DUMMYFUNCTION("GOOGLETRANSLATE(C865,""vi"",""km"")"),"របាយការណ៍បំណុលដែលមិនទាន់សង_ថ្លៃសេវាអតិថិជន")</f>
        <v/>
      </c>
      <c r="E865" s="3" t="n"/>
      <c r="F865" s="3" t="inlineStr">
        <is>
          <t>របាយការណ៍បំណុលដែលមិនទាន់សង_ថ្លៃសេវាអតិថិជន</t>
        </is>
      </c>
      <c r="G865" s="3" t="n"/>
      <c r="H865" s="217" t="inlineStr">
        <is>
          <t>"outstandingDebtReport.fileNameExcelCustomer": "របាយការណ៍បំណុលដែលមិនទាន់សង_ថ្លៃសេវាអតិថិជន",</t>
        </is>
      </c>
      <c r="I865" t="inlineStr">
        <is>
          <t>របាយការណ៍បំណុលដែលមិនទាន់សង_ថ្លៃសេវាអតិថិជន</t>
        </is>
      </c>
    </row>
    <row r="866">
      <c r="A866" s="3" t="inlineStr">
        <is>
          <t>outstandingDebtReport.fileNameExcelDetail</t>
        </is>
      </c>
      <c r="B866" s="3" t="inlineStr">
        <is>
          <t>Chi tiết báo cáo công nợ</t>
        </is>
      </c>
      <c r="C866" s="3" t="inlineStr">
        <is>
          <t>OutstandingDebtReportDetail</t>
        </is>
      </c>
      <c r="D866" s="217">
        <f>IFERROR(__xludf.DUMMYFUNCTION("GOOGLETRANSLATE(C866,""vi"",""km"")"),"របាយការណ៍​លម្អិត​បំណុល​ដែល​នៅ​សេសសល់")</f>
        <v/>
      </c>
      <c r="E866" s="3" t="n"/>
      <c r="F866" s="3" t="inlineStr">
        <is>
          <t>របាយការណ៍លម្អិតបំណុលដែលនៅសេសសល់</t>
        </is>
      </c>
      <c r="G866" s="3" t="n"/>
      <c r="H866" s="217" t="inlineStr">
        <is>
          <t>"outstandingDebtReport.fileNameExcelDetail": "របាយការណ៍លម្អិតបំណុលដែលនៅសេសសល់",</t>
        </is>
      </c>
      <c r="I866" t="inlineStr">
        <is>
          <t>របាយការណ៍លម្អិតបំណុលដែលនៅសេសសល់</t>
        </is>
      </c>
    </row>
    <row r="867">
      <c r="A867" s="3" t="inlineStr">
        <is>
          <t>outstandingDebtReport.fileNameExcelDetailCOD</t>
        </is>
      </c>
      <c r="B867" s="3" t="inlineStr">
        <is>
          <t>Chi tiết báo cáo công nợ – COD</t>
        </is>
      </c>
      <c r="C867" s="3" t="inlineStr">
        <is>
          <t>OutstandingDebtReportDetail_COD</t>
        </is>
      </c>
      <c r="D867" s="217">
        <f>IFERROR(__xludf.DUMMYFUNCTION("GOOGLETRANSLATE(C867,""vi"",""km"")"),"របាយការណ៍​លម្អិត​បំណុល​ដែល​នៅ​សេសសល់_COD")</f>
        <v/>
      </c>
      <c r="E867" s="3" t="n"/>
      <c r="F867" s="3" t="inlineStr">
        <is>
          <t>របាយការណ៍លម្អិតបំណុលដែលនៅសេសសល់_COD</t>
        </is>
      </c>
      <c r="G867" s="3" t="n"/>
      <c r="H867" s="217" t="inlineStr">
        <is>
          <t>"outstandingDebtReport.fileNameExcelDetailCOD": "របាយការណ៍លម្អិតបំណុលដែលនៅសេសសល់_COD",</t>
        </is>
      </c>
      <c r="I867" t="inlineStr">
        <is>
          <t>របាយការណ៍លម្អិតបំណុលដែលនៅសេសសល់_COD</t>
        </is>
      </c>
    </row>
    <row r="868">
      <c r="A868" s="3" t="inlineStr">
        <is>
          <t>outstandingDebtReport.fileNameExcelDetailCustomer</t>
        </is>
      </c>
      <c r="B868" s="3" t="inlineStr">
        <is>
          <t>Chi tiết báo cáo công nợ – Cước khách hàng</t>
        </is>
      </c>
      <c r="C868" s="3" t="inlineStr">
        <is>
          <t>OutstandingDebtReportDetail_CustomerFee</t>
        </is>
      </c>
      <c r="D868" s="217">
        <f>IFERROR(__xludf.DUMMYFUNCTION("GOOGLETRANSLATE(C868,""vi"",""km"")"),"របាយការណ៍​លម្អិត​អំពី​បំណុល​ដែល​នៅ​សេសសល់_ថ្លៃ​សេវា​អតិថិជន")</f>
        <v/>
      </c>
      <c r="E868" s="3" t="n"/>
      <c r="F868" s="3" t="inlineStr">
        <is>
          <t>របាយការណ៍លម្អិតអំពីបំណុលដែលនៅសេសសល់_ថ្លៃសេវាអតិថិជន</t>
        </is>
      </c>
      <c r="G868" s="3" t="n"/>
      <c r="H868" s="217" t="inlineStr">
        <is>
          <t>"outstandingDebtReport.fileNameExcelDetailCustomer": "របាយការណ៍លម្អិតអំពីបំណុលដែលនៅសេសសល់_ថ្លៃសេវាអតិថិជន",</t>
        </is>
      </c>
      <c r="I868" t="inlineStr">
        <is>
          <t>របាយការណ៍លម្អិតអំពីបំណុលដែលនៅសេសសល់_ថ្លៃសេវាអតិថិជន</t>
        </is>
      </c>
    </row>
    <row r="869">
      <c r="A869" s="3" t="inlineStr">
        <is>
          <t>outstandingDebtReport.fileNameExcelDetailFEE</t>
        </is>
      </c>
      <c r="B869" s="3" t="inlineStr">
        <is>
          <t>Chi tiết báo cáo công nợ – Cước bưu tá</t>
        </is>
      </c>
      <c r="C869" s="3" t="inlineStr">
        <is>
          <t>OutstandingDebtReportDetail_PostmanFee</t>
        </is>
      </c>
      <c r="D869" s="217">
        <f>IFERROR(__xludf.DUMMYFUNCTION("GOOGLETRANSLATE(C869,""vi"",""km"")"),"របាយការណ៍លម្អិតអំពីបំណុលដែលនៅសេសសល់_ថ្លៃសេវាអ្នករត់សំបុត្រ")</f>
        <v/>
      </c>
      <c r="E869" s="3" t="n"/>
      <c r="F869" s="3" t="inlineStr">
        <is>
          <t>របាយការណ៍លម្អិតអំពីបំណុលដែលនៅសេសសល់_ថ្លៃសេវាអ្នកដឹកជញ្ជូន</t>
        </is>
      </c>
      <c r="G869" s="3" t="n"/>
      <c r="H869" s="217" t="inlineStr">
        <is>
          <t>"outstandingDebtReport.fileNameExcelDetailFEE": "របាយការណ៍លម្អិតអំពីបំណុលដែលនៅសេសសល់_ថ្លៃសេវាអ្នកដឹកជញ្ជូន",</t>
        </is>
      </c>
      <c r="I869" t="inlineStr">
        <is>
          <t>របាយការណ៍លម្អិតអំពីបំណុលដែលនៅសេសសល់_ថ្លៃសេវាអ្នកដឹកជញ្ជូន</t>
        </is>
      </c>
    </row>
    <row r="870">
      <c r="A870" s="3" t="inlineStr">
        <is>
          <t>outstandingDebtReport.fileNameExcelFEE</t>
        </is>
      </c>
      <c r="B870" s="3" t="inlineStr">
        <is>
          <t>Báo cáo công nợ – Cước bưu tá</t>
        </is>
      </c>
      <c r="C870" s="3" t="inlineStr">
        <is>
          <t>OutstandingDebtReport_PostmanFee</t>
        </is>
      </c>
      <c r="D870" s="217">
        <f>IFERROR(__xludf.DUMMYFUNCTION("GOOGLETRANSLATE(C870,""vi"",""km"")"),"របាយការណ៍បំណុលដែលមិនទាន់សង_ថ្លៃសេវាអ្នករត់សំបុត្រ")</f>
        <v/>
      </c>
      <c r="E870" s="3" t="n"/>
      <c r="F870" s="3" t="inlineStr">
        <is>
          <t>របាយការណ៍បំណុលដែលមិនទាន់សង_ថ្លៃសេវាអ្នកដឹកជញ្ជូន</t>
        </is>
      </c>
      <c r="G870" s="3" t="n"/>
      <c r="H870" s="217" t="inlineStr">
        <is>
          <t>"outstandingDebtReport.fileNameExcelFEE": "របាយការណ៍បំណុលដែលមិនទាន់សង_ថ្លៃសេវាអ្នកដឹកជញ្ជូន",</t>
        </is>
      </c>
      <c r="I870" t="inlineStr">
        <is>
          <t>របាយការណ៍បំណុលដែលមិនទាន់សង_ថ្លៃសេវាអ្នកដឹកជញ្ជូន</t>
        </is>
      </c>
    </row>
    <row r="871">
      <c r="A871" s="3" t="inlineStr">
        <is>
          <t>outstandingDebtReport.orderBill</t>
        </is>
      </c>
      <c r="B871" s="3" t="inlineStr">
        <is>
          <t>Tổng bill</t>
        </is>
      </c>
      <c r="C871" s="3" t="inlineStr">
        <is>
          <t>Total bills</t>
        </is>
      </c>
      <c r="D871" s="217">
        <f>IFERROR(__xludf.DUMMYFUNCTION("GOOGLETRANSLATE(C871,""vi"",""km"")"),"វិក្កយបត្រសរុប")</f>
        <v/>
      </c>
      <c r="E871" s="3" t="n"/>
      <c r="F871" s="3" t="inlineStr">
        <is>
          <t>វិក្កយបត្រសរុប</t>
        </is>
      </c>
      <c r="G871" s="3" t="n"/>
      <c r="H871" s="217" t="inlineStr">
        <is>
          <t>"outstandingDebtReport.orderBill": "វិក្កយបត្រសរុប",</t>
        </is>
      </c>
      <c r="I871" t="inlineStr">
        <is>
          <t>វិក្កយបត្រសរុប</t>
        </is>
      </c>
    </row>
    <row r="872">
      <c r="A872" s="3" t="inlineStr">
        <is>
          <t>outstandingDebtReport.orderCode</t>
        </is>
      </c>
      <c r="B872" s="3" t="inlineStr">
        <is>
          <t>Mã đơn</t>
        </is>
      </c>
      <c r="C872" s="3" t="inlineStr">
        <is>
          <t>Order code</t>
        </is>
      </c>
      <c r="D872" s="217">
        <f>IFERROR(__xludf.DUMMYFUNCTION("GOOGLETRANSLATE(C872,""vi"",""km"")"),"លេខកូដបញ្ជាទិញ")</f>
        <v/>
      </c>
      <c r="E872" s="3" t="n"/>
      <c r="F872" s="3" t="inlineStr">
        <is>
          <t>លេខកូដបញ្ជាទិញ</t>
        </is>
      </c>
      <c r="G872" s="3" t="n"/>
      <c r="H872" s="217" t="inlineStr">
        <is>
          <t>"outstandingDebtReport.orderCode": "លេខកូដបញ្ជាទិញ",</t>
        </is>
      </c>
      <c r="I872" t="inlineStr">
        <is>
          <t>លេខកូដបញ្ជាទិញ</t>
        </is>
      </c>
    </row>
    <row r="873">
      <c r="A873" s="3" t="inlineStr">
        <is>
          <t>outstandingDebtReport.orderCodePlaceholder</t>
        </is>
      </c>
      <c r="B873" s="3" t="inlineStr">
        <is>
          <t>Nhập mã đơn</t>
        </is>
      </c>
      <c r="C873" s="3" t="inlineStr">
        <is>
          <t>Enter order code</t>
        </is>
      </c>
      <c r="D873" s="217">
        <f>IFERROR(__xludf.DUMMYFUNCTION("GOOGLETRANSLATE(C873,""vi"",""km"")"),"បញ្ចូលលេខកូដបញ្ជាទិញ")</f>
        <v/>
      </c>
      <c r="E873" s="3" t="n"/>
      <c r="F873" s="3" t="inlineStr">
        <is>
          <t>បញ្ចូលលេខកូដបញ្ជាទិញ</t>
        </is>
      </c>
      <c r="G873" s="3" t="n"/>
      <c r="H873" s="217" t="inlineStr">
        <is>
          <t>"outstandingDebtReport.orderCodePlaceholder": "បញ្ចូលលេខកូដបញ្ជាទិញ",</t>
        </is>
      </c>
      <c r="I873" t="inlineStr">
        <is>
          <t>បញ្ចូលលេខកូដបញ្ជាទិញ</t>
        </is>
      </c>
    </row>
    <row r="874">
      <c r="A874" s="3" t="inlineStr">
        <is>
          <t>outstandingDebtReport.orderTotal</t>
        </is>
      </c>
      <c r="B874" s="3" t="inlineStr">
        <is>
          <t>Tổng số đơn</t>
        </is>
      </c>
      <c r="C874" s="3" t="inlineStr">
        <is>
          <t>Total orders</t>
        </is>
      </c>
      <c r="D874" s="217">
        <f>IFERROR(__xludf.DUMMYFUNCTION("GOOGLETRANSLATE(C874,""vi"",""km"")"),"ការបញ្ជាទិញសរុប")</f>
        <v/>
      </c>
      <c r="E874" s="3" t="n"/>
      <c r="F874" s="3" t="inlineStr">
        <is>
          <t>ការបញ្ជាទិញសរុប</t>
        </is>
      </c>
      <c r="G874" s="3" t="n"/>
      <c r="H874" s="217" t="inlineStr">
        <is>
          <t>"outstandingDebtReport.orderTotal": "ការបញ្ជាទិញសរុប",</t>
        </is>
      </c>
      <c r="I874" t="inlineStr">
        <is>
          <t>ការបញ្ជាទិញសរុប</t>
        </is>
      </c>
    </row>
    <row r="875">
      <c r="A875" s="3" t="inlineStr">
        <is>
          <t>outstandingDebtReport.pleaseSearch</t>
        </is>
      </c>
      <c r="B875" s="3" t="inlineStr">
        <is>
          <t>Nhập để tìm kiếm</t>
        </is>
      </c>
      <c r="C875" s="3" t="inlineStr">
        <is>
          <t>Enter to search</t>
        </is>
      </c>
      <c r="D875" s="217">
        <f>IFERROR(__xludf.DUMMYFUNCTION("GOOGLETRANSLATE(C875,""vi"",""km"")"),"បញ្ចូលដើម្បីស្វែងរក")</f>
        <v/>
      </c>
      <c r="E875" s="3" t="n"/>
      <c r="F875" s="3" t="inlineStr">
        <is>
          <t>បញ្ចូលដើម្បីស្វែងរក</t>
        </is>
      </c>
      <c r="G875" s="3" t="n"/>
      <c r="H875" s="217" t="inlineStr">
        <is>
          <t>"outstandingDebtReport.pleaseSearch": "បញ្ចូលដើម្បីស្វែងរក",</t>
        </is>
      </c>
      <c r="I875" t="inlineStr">
        <is>
          <t>បញ្ចូលដើម្បីស្វែងរក</t>
        </is>
      </c>
    </row>
    <row r="876">
      <c r="A876" s="3" t="inlineStr">
        <is>
          <t>outstandingDebtReport.postOffice</t>
        </is>
      </c>
      <c r="B876" s="3" t="inlineStr">
        <is>
          <t>Bưu cục</t>
        </is>
      </c>
      <c r="C876" s="3" t="inlineStr">
        <is>
          <t>Post office</t>
        </is>
      </c>
      <c r="D876" s="217">
        <f>IFERROR(__xludf.DUMMYFUNCTION("GOOGLETRANSLATE(C876,""vi"",""km"")"),"ការិយាល័យប្រៃសណីយ៍")</f>
        <v/>
      </c>
      <c r="E876" s="3" t="n"/>
      <c r="F876" s="3" t="inlineStr">
        <is>
          <t>ការិយាល័យប្រៃសណីយ៍</t>
        </is>
      </c>
      <c r="G876" s="3" t="n"/>
      <c r="H876" s="217" t="inlineStr">
        <is>
          <t>"outstandingDebtReport.postOffice": "ការិយាល័យប្រៃសណីយ៍",</t>
        </is>
      </c>
      <c r="I876" t="inlineStr">
        <is>
          <t>ការិយាល័យប្រៃសណីយ៍</t>
        </is>
      </c>
    </row>
    <row r="877">
      <c r="A877" s="3" t="inlineStr">
        <is>
          <t>outstandingDebtReport.postOfficePlaceholder</t>
        </is>
      </c>
      <c r="B877" s="3" t="inlineStr">
        <is>
          <t>Chọn bưu cục</t>
        </is>
      </c>
      <c r="C877" s="3" t="inlineStr">
        <is>
          <t>Select post office</t>
        </is>
      </c>
      <c r="D877" s="217">
        <f>IFERROR(__xludf.DUMMYFUNCTION("GOOGLETRANSLATE(C877,""vi"",""km"")"),"ជ្រើសរើសការិយាល័យប្រៃសណីយ៍")</f>
        <v/>
      </c>
      <c r="E877" s="3" t="n"/>
      <c r="F877" s="3" t="inlineStr">
        <is>
          <t>ជ្រើសរើសការិយាល័យប្រៃសណីយ៍</t>
        </is>
      </c>
      <c r="G877" s="3" t="n"/>
      <c r="H877" s="217" t="inlineStr">
        <is>
          <t>"outstandingDebtReport.postOfficePlaceholder": "ជ្រើសរើសការិយាល័យប្រៃសណីយ៍",</t>
        </is>
      </c>
      <c r="I877" t="inlineStr">
        <is>
          <t>ជ្រើសរើសការិយាល័យប្រៃសណីយ៍</t>
        </is>
      </c>
    </row>
    <row r="878">
      <c r="A878" s="3" t="inlineStr">
        <is>
          <t>outstandingDebtReport.receiptOrderDate</t>
        </is>
      </c>
      <c r="B878" s="3" t="inlineStr">
        <is>
          <t>Ngày nhận đơn</t>
        </is>
      </c>
      <c r="C878" s="3" t="inlineStr">
        <is>
          <t>Order received date</t>
        </is>
      </c>
      <c r="D878" s="217">
        <f>IFERROR(__xludf.DUMMYFUNCTION("GOOGLETRANSLATE(C878,""vi"",""km"")"),"កាលបរិច្ឆេទទទួលការបញ្ជាទិញ")</f>
        <v/>
      </c>
      <c r="E878" s="3" t="n"/>
      <c r="F878" s="3" t="inlineStr">
        <is>
          <t>កាលបរិច្ឆេទទទួលការបញ្ជាទិញ</t>
        </is>
      </c>
      <c r="G878" s="3" t="n"/>
      <c r="H878" s="217" t="inlineStr">
        <is>
          <t>"outstandingDebtReport.receiptOrderDate": "កាលបរិច្ឆេទទទួលការបញ្ជាទិញ",</t>
        </is>
      </c>
      <c r="I878" t="inlineStr">
        <is>
          <t>កាលបរិច្ឆេទទទួលការបញ្ជាទិញ</t>
        </is>
      </c>
    </row>
    <row r="879">
      <c r="A879" s="3" t="inlineStr">
        <is>
          <t>outstandingDebtReport.revenueDate</t>
        </is>
      </c>
      <c r="B879" s="3" t="inlineStr">
        <is>
          <t>Ngày nhập doanh thu</t>
        </is>
      </c>
      <c r="C879" s="3" t="inlineStr">
        <is>
          <t>Revenue entry date</t>
        </is>
      </c>
      <c r="D879" s="217">
        <f>IFERROR(__xludf.DUMMYFUNCTION("GOOGLETRANSLATE(C879,""vi"",""km"")"),"កាលបរិច្ឆេទបញ្ចូលចំណូល")</f>
        <v/>
      </c>
      <c r="E879" s="3" t="n"/>
      <c r="F879" s="3" t="inlineStr">
        <is>
          <t>កាលបរិច្ឆេទបញ្ចូលចំណូល</t>
        </is>
      </c>
      <c r="G879" s="3" t="n"/>
      <c r="H879" s="217" t="inlineStr">
        <is>
          <t>"outstandingDebtReport.revenueDate": "កាលបរិច្ឆេទបញ្ចូលចំណូល",</t>
        </is>
      </c>
      <c r="I879" t="inlineStr">
        <is>
          <t>កាលបរិច្ឆេទបញ្ចូលចំណូល</t>
        </is>
      </c>
    </row>
    <row r="880">
      <c r="A880" s="3" t="inlineStr">
        <is>
          <t>outstandingDebtReport.updateAt</t>
        </is>
      </c>
      <c r="B880" s="3" t="inlineStr">
        <is>
          <t>Thời gian cập nhật</t>
        </is>
      </c>
      <c r="C880" s="3" t="inlineStr">
        <is>
          <t>Updated time</t>
        </is>
      </c>
      <c r="D880" s="217">
        <f>IFERROR(__xludf.DUMMYFUNCTION("GOOGLETRANSLATE(C880,""vi"",""km"")"),"ពេលវេលាដែលបានធ្វើបច្ចុប្បន្នភាព")</f>
        <v/>
      </c>
      <c r="E880" s="3" t="n"/>
      <c r="F880" s="3" t="inlineStr">
        <is>
          <t>ពេលវេលាដែលបានធ្វើបច្ចុប្បន្នភាព</t>
        </is>
      </c>
      <c r="G880" s="3" t="n"/>
      <c r="H880" s="217" t="inlineStr">
        <is>
          <t>"outstandingDebtReport.updateAt": "ពេលវេលាដែលបានធ្វើបច្ចុប្បន្នភាព",</t>
        </is>
      </c>
      <c r="I880" t="inlineStr">
        <is>
          <t>ពេលវេលាដែលបានធ្វើបច្ចុប្បន្នភាព</t>
        </is>
      </c>
    </row>
    <row r="881">
      <c r="A881" s="3" t="inlineStr">
        <is>
          <t>outstandingDebtReport.updateListTime</t>
        </is>
      </c>
      <c r="B881" s="3" t="inlineStr">
        <is>
          <t>Cập nhật báo cáo lần cuối lúc {{ dateTime }}</t>
        </is>
      </c>
      <c r="C881" s="3" t="inlineStr">
        <is>
          <t>Report last updated at {{ dateTime }}</t>
        </is>
      </c>
      <c r="D881" s="217">
        <f>IFERROR(__xludf.DUMMYFUNCTION("GOOGLETRANSLATE(C881,""vi"",""km"")"),"របាយការណ៍​ត្រូវ​បាន​ធ្វើ​បច្ចុប្បន្នភាព​ចុងក្រោយ​នៅ {{ dateTime }}")</f>
        <v/>
      </c>
      <c r="E881" s="3" t="n"/>
      <c r="F881" s="3" t="inlineStr">
        <is>
          <t>របាយការណ៍ត្រូវបានធ្វើបច្ចុប្បន្នភាពចុងក្រោយនៅ {{ dateTime }}</t>
        </is>
      </c>
      <c r="G881" s="3" t="n"/>
      <c r="H881" s="217" t="inlineStr">
        <is>
          <t>"outstandingDebtReport.updateListTime": "របាយការណ៍ត្រូវបានធ្វើបច្ចុប្បន្នភាពចុងក្រោយនៅ {{ dateTime }}",</t>
        </is>
      </c>
      <c r="I881" t="inlineStr">
        <is>
          <t>របាយការណ៍ត្រូវបានធ្វើបច្ចុប្បន្នភាពចុងក្រោយនៅ {{ dateTime }}</t>
        </is>
      </c>
    </row>
    <row r="882">
      <c r="A882" s="3" t="inlineStr">
        <is>
          <t>packing.DOCUMENT</t>
        </is>
      </c>
      <c r="B882" s="3" t="inlineStr">
        <is>
          <t>Thư</t>
        </is>
      </c>
      <c r="C882" s="3" t="inlineStr">
        <is>
          <t>Documents</t>
        </is>
      </c>
      <c r="D882" s="217">
        <f>IFERROR(__xludf.DUMMYFUNCTION("GOOGLETRANSLATE(C882,""vi"",""km"")"),"ឯកសារ")</f>
        <v/>
      </c>
      <c r="E882" s="3" t="n"/>
      <c r="F882" s="3" t="inlineStr">
        <is>
          <t>ឯកសារ</t>
        </is>
      </c>
      <c r="G882" s="3" t="n"/>
      <c r="H882" s="217" t="inlineStr">
        <is>
          <t>"packing.DOCUMENT": "ឯកសារ",</t>
        </is>
      </c>
      <c r="I882" t="inlineStr">
        <is>
          <t>ឯកសារ</t>
        </is>
      </c>
    </row>
    <row r="883">
      <c r="A883" s="3" t="inlineStr">
        <is>
          <t>packing.GOODS</t>
        </is>
      </c>
      <c r="B883" s="3" t="inlineStr">
        <is>
          <t>Hàng nhỏ</t>
        </is>
      </c>
      <c r="C883" s="3" t="inlineStr">
        <is>
          <t>Small-sized</t>
        </is>
      </c>
      <c r="D883" s="217">
        <f>IFERROR(__xludf.DUMMYFUNCTION("GOOGLETRANSLATE(C883,""vi"",""km"")"),"ទំហំតូច")</f>
        <v/>
      </c>
      <c r="E883" s="3" t="n"/>
      <c r="F883" s="3" t="inlineStr">
        <is>
          <t>ទំហំតូច</t>
        </is>
      </c>
      <c r="G883" s="3" t="n"/>
      <c r="H883" s="217" t="inlineStr">
        <is>
          <t>"packing.GOODS": "ទំហំតូច",</t>
        </is>
      </c>
      <c r="I883" t="inlineStr">
        <is>
          <t>ទំហំតូច</t>
        </is>
      </c>
    </row>
    <row r="884">
      <c r="A884" s="3" t="inlineStr">
        <is>
          <t>packing.addOrder</t>
        </is>
      </c>
      <c r="B884" s="3" t="inlineStr">
        <is>
          <t>Thêm đơn hàng</t>
        </is>
      </c>
      <c r="C884" s="3" t="inlineStr">
        <is>
          <t>Add more order</t>
        </is>
      </c>
      <c r="D884" s="217">
        <f>IFERROR(__xludf.DUMMYFUNCTION("GOOGLETRANSLATE(C884,""vi"",""km"")"),"បន្ថែមការបញ្ជាទិញបន្ថែមទៀត")</f>
        <v/>
      </c>
      <c r="E884" s="3" t="n"/>
      <c r="F884" s="3" t="inlineStr">
        <is>
          <t>បន្ថែមការបញ្ជាទិញបន្ថែមទៀត</t>
        </is>
      </c>
      <c r="G884" s="3" t="n"/>
      <c r="H884" s="217" t="inlineStr">
        <is>
          <t>"packing.addOrder": "បន្ថែមការបញ្ជាទិញបន្ថែមទៀត",</t>
        </is>
      </c>
      <c r="I884" t="inlineStr">
        <is>
          <t>បន្ថែមការបញ្ជាទិញបន្ថែមទៀត</t>
        </is>
      </c>
    </row>
    <row r="885">
      <c r="A885" s="3" t="inlineStr">
        <is>
          <t>packing.addOrderSuccess</t>
        </is>
      </c>
      <c r="B885" s="3" t="inlineStr">
        <is>
          <t>Thêm đơn thành công</t>
        </is>
      </c>
      <c r="C885" s="3" t="inlineStr">
        <is>
          <t>Add more order sucessfully</t>
        </is>
      </c>
      <c r="D885" s="217">
        <f>IFERROR(__xludf.DUMMYFUNCTION("GOOGLETRANSLATE(C885,""vi"",""km"")"),"បន្ថែមការបញ្ជាទិញបន្ថែមទៀតដោយជោគជ័យ")</f>
        <v/>
      </c>
      <c r="E885" s="3" t="n"/>
      <c r="F885" s="3" t="inlineStr">
        <is>
          <t>បន្ថែមការបញ្ជាទិញបន្ថែមទៀតដោយជោគជ័យ</t>
        </is>
      </c>
      <c r="G885" s="3" t="n"/>
      <c r="H885" s="217" t="inlineStr">
        <is>
          <t>"packing.addOrderSuccess": "បន្ថែមការបញ្ជាទិញបន្ថែមទៀតដោយជោគជ័យ",</t>
        </is>
      </c>
      <c r="I885" t="inlineStr">
        <is>
          <t>បន្ថែមការបញ្ជាទិញបន្ថែមទៀតដោយជោគជ័យ</t>
        </is>
      </c>
    </row>
    <row r="886">
      <c r="A886" s="3" t="inlineStr">
        <is>
          <t>packing.addSuccess</t>
        </is>
      </c>
      <c r="B886" s="3" t="inlineStr">
        <is>
          <t>Gom thành công</t>
        </is>
      </c>
      <c r="C886" s="3" t="inlineStr">
        <is>
          <t>Grouped successfully</t>
        </is>
      </c>
      <c r="D886" s="217">
        <f>IFERROR(__xludf.DUMMYFUNCTION("GOOGLETRANSLATE(C886,""vi"",""km"")"),"ដោយជោគជ័យ")</f>
        <v/>
      </c>
      <c r="E886" s="3" t="n"/>
      <c r="F886" s="3" t="inlineStr">
        <is>
          <t>ដោយជោគជ័យ</t>
        </is>
      </c>
      <c r="G886" s="3" t="n"/>
      <c r="H886" s="217" t="inlineStr">
        <is>
          <t>"packing.addSuccess": "ដោយជោគជ័យ",</t>
        </is>
      </c>
      <c r="I886" t="inlineStr">
        <is>
          <t>ដោយជោគជ័យ</t>
        </is>
      </c>
    </row>
    <row r="887">
      <c r="A887" s="3" t="inlineStr">
        <is>
          <t>packing.address</t>
        </is>
      </c>
      <c r="B887" s="3" t="inlineStr">
        <is>
          <t>Địa chỉ</t>
        </is>
      </c>
      <c r="C887" s="3" t="inlineStr">
        <is>
          <t>Address</t>
        </is>
      </c>
      <c r="D887" s="217">
        <f>IFERROR(__xludf.DUMMYFUNCTION("GOOGLETRANSLATE(C887,""vi"",""km"")"),"មិនត្រឹមត្រូវ")</f>
        <v/>
      </c>
      <c r="E887" s="3" t="n"/>
      <c r="F887" s="3" t="inlineStr">
        <is>
          <t>អាសយដ្ឋាន</t>
        </is>
      </c>
      <c r="G887" s="3" t="n"/>
      <c r="H887" s="217" t="inlineStr">
        <is>
          <t>"packing.address": "អាសយដ្ឋាន",</t>
        </is>
      </c>
      <c r="I887" t="inlineStr">
        <is>
          <t>អាសយដ្ឋាន</t>
        </is>
      </c>
    </row>
    <row r="888">
      <c r="A888" s="3" t="inlineStr">
        <is>
          <t>packing.all</t>
        </is>
      </c>
      <c r="B888" s="3" t="inlineStr">
        <is>
          <t>Tất cả</t>
        </is>
      </c>
      <c r="C888" s="3" t="inlineStr">
        <is>
          <t>All</t>
        </is>
      </c>
      <c r="D888" s="217">
        <f>IFERROR(__xludf.DUMMYFUNCTION("GOOGLETRANSLATE(C888,""vi"",""km"")"),"ទាំងអស់")</f>
        <v/>
      </c>
      <c r="E888" s="3" t="n"/>
      <c r="F888" s="3" t="inlineStr">
        <is>
          <t>ទាំងអស់</t>
        </is>
      </c>
      <c r="G888" s="3" t="n"/>
      <c r="H888" s="217" t="inlineStr">
        <is>
          <t>"packing.all": "ទាំងអស់",</t>
        </is>
      </c>
      <c r="I888" t="inlineStr">
        <is>
          <t>ទាំងអស់</t>
        </is>
      </c>
    </row>
    <row r="889">
      <c r="A889" s="3" t="inlineStr">
        <is>
          <t>packing.allStatus</t>
        </is>
      </c>
      <c r="B889" s="3" t="inlineStr">
        <is>
          <t>Tất cả trạng thái</t>
        </is>
      </c>
      <c r="C889" s="3" t="inlineStr">
        <is>
          <t>All status</t>
        </is>
      </c>
      <c r="D889" s="217">
        <f>IFERROR(__xludf.DUMMYFUNCTION("GOOGLETRANSLATE(C889,""vi"",""km"")"),"ស្ថានភាពទាំងអស់")</f>
        <v/>
      </c>
      <c r="E889" s="3" t="n"/>
      <c r="F889" s="3" t="inlineStr">
        <is>
          <t>ស្ថានភាពទាំងអស់</t>
        </is>
      </c>
      <c r="G889" s="3" t="n"/>
      <c r="H889" s="217" t="inlineStr">
        <is>
          <t>"packing.allStatus": "ស្ថានភាពទាំងអស់",</t>
        </is>
      </c>
      <c r="I889" t="inlineStr">
        <is>
          <t>ស្ថានភាពទាំងអស់</t>
        </is>
      </c>
    </row>
    <row r="890">
      <c r="A890" s="3" t="inlineStr">
        <is>
          <t>packing.billCode</t>
        </is>
      </c>
      <c r="B890" s="3" t="inlineStr">
        <is>
          <t>Mã bill</t>
        </is>
      </c>
      <c r="C890" s="3" t="inlineStr">
        <is>
          <t>Bill code</t>
        </is>
      </c>
      <c r="D890" s="217">
        <f>IFERROR(__xludf.DUMMYFUNCTION("GOOGLETRANSLATE(C890,""vi"",""km"")"),"លេខកូដវិក្កយបត្រ")</f>
        <v/>
      </c>
      <c r="E890" s="3" t="n"/>
      <c r="F890" s="3" t="inlineStr">
        <is>
          <t>លេខកូដវិក្កយបត្រ</t>
        </is>
      </c>
      <c r="G890" s="3" t="n"/>
      <c r="H890" s="217" t="inlineStr">
        <is>
          <t>"packing.billCode": "លេខកូដវិក្កយបត្រ",</t>
        </is>
      </c>
      <c r="I890" t="inlineStr">
        <is>
          <t>លេខកូដវិក្កយបត្រ</t>
        </is>
      </c>
    </row>
    <row r="891">
      <c r="A891" s="3" t="inlineStr">
        <is>
          <t>packing.complete</t>
        </is>
      </c>
      <c r="B891" s="3" t="inlineStr">
        <is>
          <t>Hoàn thành</t>
        </is>
      </c>
      <c r="C891" s="3" t="inlineStr">
        <is>
          <t>Complete</t>
        </is>
      </c>
      <c r="D891" s="217">
        <f>IFERROR(__xludf.DUMMYFUNCTION("GOOGLETRANSLATE(C891,""vi"",""km"")"),"ឯកសារ")</f>
        <v/>
      </c>
      <c r="E891" s="3" t="n"/>
      <c r="F891" s="3" t="inlineStr">
        <is>
          <t>បានបញ្ចប់</t>
        </is>
      </c>
      <c r="G891" s="3" t="n"/>
      <c r="H891" s="217" t="inlineStr">
        <is>
          <t>"packing.complete": "បានបញ្ចប់",</t>
        </is>
      </c>
      <c r="I891" t="inlineStr">
        <is>
          <t>បានបញ្ចប់</t>
        </is>
      </c>
    </row>
    <row r="892">
      <c r="A892" s="3" t="inlineStr">
        <is>
          <t>packing.completePacking</t>
        </is>
      </c>
      <c r="B892" s="3" t="inlineStr">
        <is>
          <t>Hoàn thành tải thành công</t>
        </is>
      </c>
      <c r="C892" s="3" t="inlineStr">
        <is>
          <t>Pack up the package successfully</t>
        </is>
      </c>
      <c r="D892" s="217">
        <f>IFERROR(__xludf.DUMMYFUNCTION("GOOGLETRANSLATE(C892,""vi"",""km"")"),"វេចខ្ចប់កញ្ចប់ដោយជោគជ័យ")</f>
        <v/>
      </c>
      <c r="E892" s="3" t="n"/>
      <c r="F892" s="3" t="inlineStr">
        <is>
          <t>វេចខ្ចប់កញ្ចប់ដោយជោគជ័យ</t>
        </is>
      </c>
      <c r="G892" s="3" t="n"/>
      <c r="H892" s="217" t="inlineStr">
        <is>
          <t>"packing.completePacking": "វេចខ្ចប់កញ្ចប់ដោយជោគជ័យ",</t>
        </is>
      </c>
      <c r="I892" t="inlineStr">
        <is>
          <t>វេចខ្ចប់កញ្ចប់ដោយជោគជ័យ</t>
        </is>
      </c>
    </row>
    <row r="893">
      <c r="A893" s="3" t="inlineStr">
        <is>
          <t>packing.completePackingSuccess</t>
        </is>
      </c>
      <c r="B893" s="3" t="inlineStr">
        <is>
          <t>Gom tải thành công!</t>
        </is>
      </c>
      <c r="C893" s="3" t="inlineStr">
        <is>
          <t>Group package successful!</t>
        </is>
      </c>
      <c r="D893" s="217">
        <f>IFERROR(__xludf.DUMMYFUNCTION("GOOGLETRANSLATE(C893,""vi"",""km"")"),"កញ្ចប់​ក្រុម​ទទួល​បាន​ជោគជ័យ!")</f>
        <v/>
      </c>
      <c r="E893" s="3" t="n"/>
      <c r="F893" s="3" t="inlineStr">
        <is>
          <t>កញ្ចប់ក្រុមទទួលបានជោគជ័យ!</t>
        </is>
      </c>
      <c r="G893" s="3" t="n"/>
      <c r="H893" s="217" t="inlineStr">
        <is>
          <t>"packing.completePackingSuccess": "កញ្ចប់ក្រុមទទួលបានជោគជ័យ!",</t>
        </is>
      </c>
      <c r="I893" t="inlineStr">
        <is>
          <t>កញ្ចប់ក្រុមទទួលបានជោគជ័យ!</t>
        </is>
      </c>
    </row>
    <row r="894">
      <c r="A894" s="3" t="inlineStr">
        <is>
          <t>packing.confirmWeight</t>
        </is>
      </c>
      <c r="B894" s="3" t="inlineStr">
        <is>
          <t>Xác nhận trọng lượng</t>
        </is>
      </c>
      <c r="C894" s="3" t="inlineStr">
        <is>
          <t>Weight confirmation</t>
        </is>
      </c>
      <c r="D894" s="217">
        <f>IFERROR(__xludf.DUMMYFUNCTION("GOOGLETRANSLATE(C894,""vi"",""km"")"),"ការបញ្ជាក់ទម្ងន់")</f>
        <v/>
      </c>
      <c r="E894" s="3" t="n"/>
      <c r="F894" s="3" t="inlineStr">
        <is>
          <t>ការបញ្ជាក់ទម្ងន់</t>
        </is>
      </c>
      <c r="G894" s="3" t="n"/>
      <c r="H894" s="217" t="inlineStr">
        <is>
          <t>"packing.confirmWeight": "ការបញ្ជាក់ទម្ងន់",</t>
        </is>
      </c>
      <c r="I894" t="inlineStr">
        <is>
          <t>ការបញ្ជាក់ទម្ងន់</t>
        </is>
      </c>
    </row>
    <row r="895">
      <c r="A895" s="3" t="inlineStr">
        <is>
          <t>packing.createdAt</t>
        </is>
      </c>
      <c r="B895" s="3" t="inlineStr">
        <is>
          <t>Thời gian tạo</t>
        </is>
      </c>
      <c r="C895" s="3" t="inlineStr">
        <is>
          <t>Creation time</t>
        </is>
      </c>
      <c r="D895" s="217">
        <f>IFERROR(__xludf.DUMMYFUNCTION("GOOGLETRANSLATE(C895,""vi"",""km"")"),"ពេលវេលាបង្កើត")</f>
        <v/>
      </c>
      <c r="E895" s="3" t="n"/>
      <c r="F895" s="3" t="inlineStr">
        <is>
          <t>ពេលវេលាបង្កើត</t>
        </is>
      </c>
      <c r="G895" s="3" t="n"/>
      <c r="H895" s="217" t="inlineStr">
        <is>
          <t>"packing.createdAt": "ពេលវេលាបង្កើត",</t>
        </is>
      </c>
      <c r="I895" t="inlineStr">
        <is>
          <t>ពេលវេលាបង្កើត</t>
        </is>
      </c>
    </row>
    <row r="896">
      <c r="A896" s="3" t="inlineStr">
        <is>
          <t>packing.createdBy</t>
        </is>
      </c>
      <c r="B896" s="3" t="inlineStr">
        <is>
          <t>Người tác động</t>
        </is>
      </c>
      <c r="C896" s="3" t="inlineStr">
        <is>
          <t>Actor</t>
        </is>
      </c>
      <c r="D896" s="217">
        <f>IFERROR(__xludf.DUMMYFUNCTION("GOOGLETRANSLATE(C896,""vi"",""km"")"),"តារាសម្តែង")</f>
        <v/>
      </c>
      <c r="E896" s="3" t="n"/>
      <c r="F896" s="3" t="inlineStr">
        <is>
          <t>អ្នកធ្វើប្រតិបត្តិការ</t>
        </is>
      </c>
      <c r="G896" s="3" t="n"/>
      <c r="H896" s="217" t="inlineStr">
        <is>
          <t>"packing.createdBy": "អ្នកធ្វើប្រតិបត្តិការ",</t>
        </is>
      </c>
      <c r="I896" t="inlineStr">
        <is>
          <t>អ្នកធ្វើប្រតិបត្តិការ</t>
        </is>
      </c>
    </row>
    <row r="897">
      <c r="A897" s="3" t="inlineStr">
        <is>
          <t>packing.dateUpdate</t>
        </is>
      </c>
      <c r="B897" s="3" t="inlineStr">
        <is>
          <t>Ngày tác động</t>
        </is>
      </c>
      <c r="C897" s="3" t="inlineStr">
        <is>
          <t>Modification date</t>
        </is>
      </c>
      <c r="D897" s="217">
        <f>IFERROR(__xludf.DUMMYFUNCTION("GOOGLETRANSLATE(C897,""vi"",""km"")"),"កាលបរិច្ឆេទកែប្រែ")</f>
        <v/>
      </c>
      <c r="E897" s="3" t="n"/>
      <c r="F897" s="3" t="inlineStr">
        <is>
          <t>កាលបរិច្ឆេទកែប្រែ</t>
        </is>
      </c>
      <c r="G897" s="3" t="n"/>
      <c r="H897" s="217" t="inlineStr">
        <is>
          <t>"packing.dateUpdate": "កាលបរិច្ឆេទកែប្រែ",</t>
        </is>
      </c>
      <c r="I897" t="inlineStr">
        <is>
          <t>កាលបរិច្ឆេទកែប្រែ</t>
        </is>
      </c>
    </row>
    <row r="898">
      <c r="A898" s="3" t="inlineStr">
        <is>
          <t>packing.delayTime</t>
        </is>
      </c>
      <c r="B898" s="3" t="inlineStr">
        <is>
          <t>Thời gian tồn</t>
        </is>
      </c>
      <c r="C898" s="3" t="inlineStr">
        <is>
          <t>Storage time</t>
        </is>
      </c>
      <c r="D898" s="217">
        <f>IFERROR(__xludf.DUMMYFUNCTION("GOOGLETRANSLATE(C898,""vi"",""km"")"),"រយៈពេលផ្ទុក")</f>
        <v/>
      </c>
      <c r="E898" s="3" t="n"/>
      <c r="F898" s="3" t="inlineStr">
        <is>
          <t>រយៈពេលផ្ទុក</t>
        </is>
      </c>
      <c r="G898" s="3" t="n"/>
      <c r="H898" s="217" t="inlineStr">
        <is>
          <t>"packing.delayTime": "រយៈពេលផ្ទុក",</t>
        </is>
      </c>
      <c r="I898" t="inlineStr">
        <is>
          <t>រយៈពេលផ្ទុក</t>
        </is>
      </c>
    </row>
    <row r="899">
      <c r="A899" s="3" t="inlineStr">
        <is>
          <t>packing.deleteDescription</t>
        </is>
      </c>
      <c r="B899" s="3" t="inlineStr">
        <is>
          <t>Đồng chí có chắc chắn muốn xóa phiếu gửi</t>
        </is>
      </c>
      <c r="C899" s="3" t="inlineStr">
        <is>
          <t>Are you sure to report these postal slips</t>
        </is>
      </c>
      <c r="D899" s="217">
        <f>IFERROR(__xludf.DUMMYFUNCTION("GOOGLETRANSLATE(C899,""vi"",""km"")"),"តើអ្នកពិតជារាយការណ៍ពីសំបុត្រប្រៃសណីយ៍ទាំងនេះមែនទេ?")</f>
        <v/>
      </c>
      <c r="E899" s="3" t="n"/>
      <c r="F899" s="3" t="inlineStr">
        <is>
          <t>តើអ្នកពិតជារាយការណ៍ពីបុងបញ្ញើទាំងនេះមែនទេ?</t>
        </is>
      </c>
      <c r="G899" s="3" t="n"/>
      <c r="H899" s="217" t="inlineStr">
        <is>
          <t>"packing.deleteDescription": "តើអ្នកពិតជារាយការណ៍ពីបុងបញ្ញើទាំងនេះមែនទេ?",</t>
        </is>
      </c>
      <c r="I899" t="inlineStr">
        <is>
          <t>តើអ្នកពិតជារាយការណ៍ពីបុងបញ្ញើទាំងនេះមែនទេ?</t>
        </is>
      </c>
    </row>
    <row r="900">
      <c r="A900" s="3" t="inlineStr">
        <is>
          <t>packing.deleteOrder</t>
        </is>
      </c>
      <c r="B900" s="3" t="inlineStr">
        <is>
          <t>Loại bỏ</t>
        </is>
      </c>
      <c r="C900" s="3" t="inlineStr">
        <is>
          <t>Remove</t>
        </is>
      </c>
      <c r="D900" s="217">
        <f>IFERROR(__xludf.DUMMYFUNCTION("GOOGLETRANSLATE(C900,""vi"",""km"")"),"ដ៏ធំសម្បើម")</f>
        <v/>
      </c>
      <c r="E900" s="3" t="n"/>
      <c r="F900" s="3" t="inlineStr">
        <is>
          <t>ដ៏ធំសម្បើម</t>
        </is>
      </c>
      <c r="G900" s="3" t="n"/>
      <c r="H900" s="217" t="inlineStr">
        <is>
          <t>"packing.deleteOrder": "ដ៏ធំសម្បើម",</t>
        </is>
      </c>
      <c r="I900" t="inlineStr">
        <is>
          <t>ដ៏ធំសម្បើម</t>
        </is>
      </c>
    </row>
    <row r="901">
      <c r="A901" s="3" t="inlineStr">
        <is>
          <t>packing.deleteSelectedOrder</t>
        </is>
      </c>
      <c r="B901" s="3" t="inlineStr">
        <is>
          <t>Xoá đơn đã chọn</t>
        </is>
      </c>
      <c r="C901" s="3" t="inlineStr">
        <is>
          <t>Delete selected order</t>
        </is>
      </c>
      <c r="D901" s="217">
        <f>IFERROR(__xludf.DUMMYFUNCTION("GOOGLETRANSLATE(C901,""vi"",""km"")"),"លុបការបញ្ជាទិញដែលបានជ្រើសរើស")</f>
        <v/>
      </c>
      <c r="E901" s="3" t="n"/>
      <c r="F901" s="3" t="inlineStr">
        <is>
          <t>លុបការបញ្ជាទិញដែលបានជ្រើសរើស</t>
        </is>
      </c>
      <c r="G901" s="3" t="n"/>
      <c r="H901" s="217" t="inlineStr">
        <is>
          <t>"packing.deleteSelectedOrder": "លុបការបញ្ជាទិញដែលបានជ្រើសរើស",</t>
        </is>
      </c>
      <c r="I901" t="inlineStr">
        <is>
          <t>លុបការបញ្ជាទិញដែលបានជ្រើសរើស</t>
        </is>
      </c>
    </row>
    <row r="902">
      <c r="A902" s="3" t="inlineStr">
        <is>
          <t>packing.destination</t>
        </is>
      </c>
      <c r="B902" s="3" t="inlineStr">
        <is>
          <t>Điểm đến</t>
        </is>
      </c>
      <c r="C902" s="3" t="inlineStr">
        <is>
          <t>Destination</t>
        </is>
      </c>
      <c r="D902" s="217">
        <f>IFERROR(__xludf.DUMMYFUNCTION("GOOGLETRANSLATE(C902,""vi"",""km"")"),"គោលដៅ")</f>
        <v/>
      </c>
      <c r="E902" s="3" t="n"/>
      <c r="F902" s="3" t="inlineStr">
        <is>
          <t>គោលដៅ</t>
        </is>
      </c>
      <c r="G902" s="3" t="n"/>
      <c r="H902" s="217" t="inlineStr">
        <is>
          <t>"packing.destination": "គោលដៅ",</t>
        </is>
      </c>
      <c r="I902" t="inlineStr">
        <is>
          <t>គោលដៅ</t>
        </is>
      </c>
    </row>
    <row r="903">
      <c r="A903" s="3" t="inlineStr">
        <is>
          <t>packing.detailDestination</t>
        </is>
      </c>
      <c r="B903" s="3" t="inlineStr">
        <is>
          <t>Chi tiết điểm đến</t>
        </is>
      </c>
      <c r="C903" s="3" t="inlineStr">
        <is>
          <t>Destination details</t>
        </is>
      </c>
      <c r="D903" s="217">
        <f>IFERROR(__xludf.DUMMYFUNCTION("GOOGLETRANSLATE(C903,""vi"",""km"")"),"ព័ត៌មានលម្អិតអំពីគោលដៅ")</f>
        <v/>
      </c>
      <c r="E903" s="3" t="n"/>
      <c r="F903" s="3" t="inlineStr">
        <is>
          <t>ព័ត៌មានលម្អិតអំពីគោលដៅ</t>
        </is>
      </c>
      <c r="G903" s="3" t="n"/>
      <c r="H903" s="217" t="inlineStr">
        <is>
          <t>"packing.detailDestination": "ព័ត៌មានលម្អិតអំពីគោលដៅ",</t>
        </is>
      </c>
      <c r="I903" t="inlineStr">
        <is>
          <t>ព័ត៌មានលម្អិតអំពីគោលដៅ</t>
        </is>
      </c>
    </row>
    <row r="904">
      <c r="A904" s="3" t="inlineStr">
        <is>
          <t>packing.detailPacking</t>
        </is>
      </c>
      <c r="B904" s="3" t="inlineStr">
        <is>
          <t>Chi tiết tải</t>
        </is>
      </c>
      <c r="C904" s="3" t="inlineStr">
        <is>
          <t>Package details</t>
        </is>
      </c>
      <c r="D904" s="217">
        <f>IFERROR(__xludf.DUMMYFUNCTION("GOOGLETRANSLATE(C904,""vi"",""km"")"),"ព័ត៌មានលម្អិតអំពីកញ្ចប់")</f>
        <v/>
      </c>
      <c r="E904" s="3" t="n"/>
      <c r="F904" s="3" t="inlineStr">
        <is>
          <t>ព័ត៌មានលម្អិតអំពីកញ្ចប់</t>
        </is>
      </c>
      <c r="G904" s="3" t="n"/>
      <c r="H904" s="217" t="inlineStr">
        <is>
          <t>"packing.detailPacking": "ព័ត៌មានលម្អិតអំពីកញ្ចប់",</t>
        </is>
      </c>
      <c r="I904" t="inlineStr">
        <is>
          <t>ព័ត៌មានលម្អិតអំពីកញ្ចប់</t>
        </is>
      </c>
    </row>
    <row r="905">
      <c r="A905" s="3" t="inlineStr">
        <is>
          <t>packing.direct</t>
        </is>
      </c>
      <c r="B905" s="3" t="inlineStr">
        <is>
          <t>Trực tiếp</t>
        </is>
      </c>
      <c r="C905" s="3" t="inlineStr">
        <is>
          <t>On-site</t>
        </is>
      </c>
      <c r="D905" s="217">
        <f>IFERROR(__xludf.DUMMYFUNCTION("GOOGLETRANSLATE(C905,""vi"",""km"")"),"នៅនឹងកន្លែង")</f>
        <v/>
      </c>
      <c r="E905" s="3" t="n"/>
      <c r="F905" s="3" t="inlineStr">
        <is>
          <t>នៅនឹងកន្លែង</t>
        </is>
      </c>
      <c r="G905" s="3" t="n"/>
      <c r="H905" s="217" t="inlineStr">
        <is>
          <t>"packing.direct": "នៅនឹងកន្លែង",</t>
        </is>
      </c>
      <c r="I905" t="inlineStr">
        <is>
          <t>នៅនឹងកន្លែង</t>
        </is>
      </c>
    </row>
    <row r="906">
      <c r="A906" s="3" t="inlineStr">
        <is>
          <t>packing.emptyAddOrder</t>
        </is>
      </c>
      <c r="B906" s="3" t="inlineStr">
        <is>
          <t>Vui lòng nhập mã phiếu gửi</t>
        </is>
      </c>
      <c r="C906" s="3" t="inlineStr">
        <is>
          <t>Please enter the postal slip code</t>
        </is>
      </c>
      <c r="D906" s="217">
        <f>IFERROR(__xludf.DUMMYFUNCTION("GOOGLETRANSLATE(C906,""vi"",""km"")"),"សូមបញ្ចូលលេខកូដប្រៃសណីយ៍")</f>
        <v/>
      </c>
      <c r="E906" s="3" t="n"/>
      <c r="F906" s="3" t="inlineStr">
        <is>
          <t>សូមបញ្ចូលលេខកូដប្រៃសណីយ៍</t>
        </is>
      </c>
      <c r="G906" s="3" t="n"/>
      <c r="H906" s="217" t="inlineStr">
        <is>
          <t>"packing.emptyAddOrder": "សូមបញ្ចូលលេខកូដប្រៃសណីយ៍",</t>
        </is>
      </c>
      <c r="I906" t="inlineStr">
        <is>
          <t>សូមបញ្ចូលលេខកូដប្រៃសណីយ៍</t>
        </is>
      </c>
    </row>
    <row r="907">
      <c r="A907" s="3" t="inlineStr">
        <is>
          <t>packing.emptyOrder</t>
        </is>
      </c>
      <c r="B907" s="3" t="inlineStr">
        <is>
          <t>Vui lòng chọn đơn cần in</t>
        </is>
      </c>
      <c r="C907" s="3" t="inlineStr">
        <is>
          <t>Please select the order to print</t>
        </is>
      </c>
      <c r="D907" s="217">
        <f>IFERROR(__xludf.DUMMYFUNCTION("GOOGLETRANSLATE(C907,""vi"",""km"")"),"សូមជ្រើសរើសការបញ្ជាទិញដើម្បីបោះពុម្ព")</f>
        <v/>
      </c>
      <c r="E907" s="3" t="n"/>
      <c r="F907" s="3" t="inlineStr">
        <is>
          <t>សូមជ្រើសរើសការបញ្ជាទិញដើម្បីព្រីន</t>
        </is>
      </c>
      <c r="G907" s="3" t="n"/>
      <c r="H907" s="217" t="inlineStr">
        <is>
          <t>"packing.emptyOrder": "សូមជ្រើសរើសការបញ្ជាទិញដើម្បីព្រីន",</t>
        </is>
      </c>
      <c r="I907" t="inlineStr">
        <is>
          <t>សូមជ្រើសរើសការបញ្ជាទិញដើម្បីព្រីន</t>
        </is>
      </c>
    </row>
    <row r="908">
      <c r="A908" s="3" t="inlineStr">
        <is>
          <t>packing.emptyPacking</t>
        </is>
      </c>
      <c r="B908" s="3" t="inlineStr">
        <is>
          <t>Vui lòng chọn tải cần in</t>
        </is>
      </c>
      <c r="C908" s="3" t="inlineStr">
        <is>
          <t>Please select the package to print</t>
        </is>
      </c>
      <c r="D908" s="217">
        <f>IFERROR(__xludf.DUMMYFUNCTION("GOOGLETRANSLATE(C908,""vi"",""km"")"),"សូមជ្រើសរើសកញ្ចប់ដើម្បីបោះពុម្ព")</f>
        <v/>
      </c>
      <c r="E908" s="3" t="n"/>
      <c r="F908" s="3" t="inlineStr">
        <is>
          <t>សូមជ្រើសរើសកញ្ចប់ដើម្បីព្រីន</t>
        </is>
      </c>
      <c r="G908" s="3" t="n"/>
      <c r="H908" s="217" t="inlineStr">
        <is>
          <t>"packing.emptyPacking": "សូមជ្រើសរើសកញ្ចប់ដើម្បីព្រីន",</t>
        </is>
      </c>
      <c r="I908" t="inlineStr">
        <is>
          <t>សូមជ្រើសរើសកញ្ចប់ដើម្បីព្រីន</t>
        </is>
      </c>
    </row>
    <row r="909">
      <c r="A909" s="3" t="inlineStr">
        <is>
          <t>packing.enterDestination</t>
        </is>
      </c>
      <c r="B909" s="3" t="inlineStr">
        <is>
          <t>Nhập điểm đến</t>
        </is>
      </c>
      <c r="C909" s="3" t="inlineStr">
        <is>
          <t>Enter destination</t>
        </is>
      </c>
      <c r="D909" s="217">
        <f>IFERROR(__xludf.DUMMYFUNCTION("GOOGLETRANSLATE(C909,""vi"",""km"")"),"បញ្ចូលគោលដៅ")</f>
        <v/>
      </c>
      <c r="E909" s="3" t="n"/>
      <c r="F909" s="3" t="inlineStr">
        <is>
          <t>បញ្ចូលគោលដៅ</t>
        </is>
      </c>
      <c r="G909" s="3" t="n"/>
      <c r="H909" s="217" t="inlineStr">
        <is>
          <t>"packing.enterDestination": "បញ្ចូលគោលដៅ",</t>
        </is>
      </c>
      <c r="I909" t="inlineStr">
        <is>
          <t>បញ្ចូលគោលដៅ</t>
        </is>
      </c>
    </row>
    <row r="910">
      <c r="A910" s="3" t="inlineStr">
        <is>
          <t>packing.enterNote</t>
        </is>
      </c>
      <c r="B910" s="3" t="inlineStr">
        <is>
          <t>Nhập nội dung ghi chú</t>
        </is>
      </c>
      <c r="C910" s="3" t="inlineStr">
        <is>
          <t>Note here</t>
        </is>
      </c>
      <c r="D910" s="217">
        <f>IFERROR(__xludf.DUMMYFUNCTION("GOOGLETRANSLATE(C910,""vi"",""km"")"),"ចំណាំនៅទីនេះ")</f>
        <v/>
      </c>
      <c r="E910" s="3" t="n"/>
      <c r="F910" s="3" t="inlineStr">
        <is>
          <t>ចំណាំនៅទីនេះ</t>
        </is>
      </c>
      <c r="G910" s="3" t="n"/>
      <c r="H910" s="217" t="inlineStr">
        <is>
          <t>"packing.enterNote": "ចំណាំនៅទីនេះ",</t>
        </is>
      </c>
      <c r="I910" t="inlineStr">
        <is>
          <t>ចំណាំនៅទីនេះ</t>
        </is>
      </c>
    </row>
    <row r="911">
      <c r="A911" s="3" t="inlineStr">
        <is>
          <t>packing.enterOrderAndDestination</t>
        </is>
      </c>
      <c r="B911" s="3" t="inlineStr">
        <is>
          <t>Nhập điểm đến, mã tải</t>
        </is>
      </c>
      <c r="C911" s="3" t="inlineStr">
        <is>
          <t>Enter destination, package code</t>
        </is>
      </c>
      <c r="D911" s="217">
        <f>IFERROR(__xludf.DUMMYFUNCTION("GOOGLETRANSLATE(C911,""vi"",""km"")"),"បញ្ចូលគោលដៅ និងលេខកូដកញ្ចប់")</f>
        <v/>
      </c>
      <c r="E911" s="3" t="n"/>
      <c r="F911" s="3" t="inlineStr">
        <is>
          <t>បញ្ចូលគោលដៅ និងលេខកូដកញ្ចប់</t>
        </is>
      </c>
      <c r="G911" s="3" t="n"/>
      <c r="H911" s="217" t="inlineStr">
        <is>
          <t>"packing.enterOrderAndDestination": "បញ្ចូលគោលដៅ និងលេខកូដកញ្ចប់",</t>
        </is>
      </c>
      <c r="I911" t="inlineStr">
        <is>
          <t>បញ្ចូលគោលដៅ និងលេខកូដកញ្ចប់</t>
        </is>
      </c>
    </row>
    <row r="912">
      <c r="A912" s="3" t="inlineStr">
        <is>
          <t>packing.enterOrderCode</t>
        </is>
      </c>
      <c r="B912" s="3" t="inlineStr">
        <is>
          <t>Nhập mã phiếu gửi</t>
        </is>
      </c>
      <c r="C912" s="3" t="inlineStr">
        <is>
          <t>Enter postal slip code</t>
        </is>
      </c>
      <c r="D912" s="217">
        <f>IFERROR(__xludf.DUMMYFUNCTION("GOOGLETRANSLATE(C912,""vi"",""km"")"),"បញ្ចូលលេខកូដប្រៃសណីយ៍")</f>
        <v/>
      </c>
      <c r="E912" s="3" t="n"/>
      <c r="F912" s="3" t="inlineStr">
        <is>
          <t>បញ្ចូលលេខកូដប្រៃសណីយ៍</t>
        </is>
      </c>
      <c r="G912" s="3" t="n"/>
      <c r="H912" s="217" t="inlineStr">
        <is>
          <t>"packing.enterOrderCode": "បញ្ចូលលេខកូដប្រៃសណីយ៍",</t>
        </is>
      </c>
      <c r="I912" t="inlineStr">
        <is>
          <t>បញ្ចូលលេខកូដប្រៃសណីយ៍</t>
        </is>
      </c>
    </row>
    <row r="913">
      <c r="A913" s="3" t="inlineStr">
        <is>
          <t>packing.enterOrderCodeToAdd</t>
        </is>
      </c>
      <c r="B913" s="3" t="inlineStr">
        <is>
          <t>Nhập mã phiếu gửi để quét</t>
        </is>
      </c>
      <c r="C913" s="3" t="inlineStr">
        <is>
          <t>Enter postal slip code to scan</t>
        </is>
      </c>
      <c r="D913" s="217">
        <f>IFERROR(__xludf.DUMMYFUNCTION("GOOGLETRANSLATE(C913,""vi"",""km"")"),"បញ្ចូលលេខកូដប្រៃសណីយ៍ដើម្បីស្កេន")</f>
        <v/>
      </c>
      <c r="E913" s="3" t="n"/>
      <c r="F913" s="3" t="inlineStr">
        <is>
          <t>បញ្ចូលលេខកូដប្រៃសណីយ៍ដើម្បីស្កេន</t>
        </is>
      </c>
      <c r="G913" s="3" t="n"/>
      <c r="H913" s="217" t="inlineStr">
        <is>
          <t>"packing.enterOrderCodeToAdd": "បញ្ចូលលេខកូដប្រៃសណីយ៍ដើម្បីស្កេន",</t>
        </is>
      </c>
      <c r="I913" t="inlineStr">
        <is>
          <t>បញ្ចូលលេខកូដប្រៃសណីយ៍ដើម្បីស្កេន</t>
        </is>
      </c>
    </row>
    <row r="914">
      <c r="A914" s="3" t="inlineStr">
        <is>
          <t>packing.enterPackageAndDestination</t>
        </is>
      </c>
      <c r="B914" s="3" t="inlineStr">
        <is>
          <t>Nhập mã tải hoặc điểm đến</t>
        </is>
      </c>
      <c r="C914" s="3" t="inlineStr">
        <is>
          <t>Enter the package code or destination</t>
        </is>
      </c>
      <c r="D914" s="217">
        <f>IFERROR(__xludf.DUMMYFUNCTION("GOOGLETRANSLATE(C914,""vi"",""km"")"),"បញ្ចូលលេខកូដកញ្ចប់ ឬគោលដៅ")</f>
        <v/>
      </c>
      <c r="E914" s="3" t="n"/>
      <c r="F914" s="3" t="inlineStr">
        <is>
          <t>បញ្ចូលលេខកូដកញ្ចប់ ឬគោលដៅ</t>
        </is>
      </c>
      <c r="G914" s="3" t="n"/>
      <c r="H914" s="217" t="inlineStr">
        <is>
          <t>"packing.enterPackageAndDestination": "បញ្ចូលលេខកូដកញ្ចប់ ឬគោលដៅ",</t>
        </is>
      </c>
      <c r="I914" t="inlineStr">
        <is>
          <t>បញ្ចូលលេខកូដកញ្ចប់ ឬគោលដៅ</t>
        </is>
      </c>
    </row>
    <row r="915">
      <c r="A915" s="3" t="inlineStr">
        <is>
          <t>packing.groupService</t>
        </is>
      </c>
      <c r="B915" s="3" t="inlineStr">
        <is>
          <t>Nhóm dịch vụ</t>
        </is>
      </c>
      <c r="C915" s="3" t="inlineStr">
        <is>
          <t>Service group</t>
        </is>
      </c>
      <c r="D915" s="217">
        <f>IFERROR(__xludf.DUMMYFUNCTION("GOOGLETRANSLATE(C915,""vi"",""km"")"),"ក្រុមសេវាកម្ម")</f>
        <v/>
      </c>
      <c r="E915" s="3" t="n"/>
      <c r="F915" s="3" t="inlineStr">
        <is>
          <t>ក្រុមសេវាកម្ម</t>
        </is>
      </c>
      <c r="G915" s="3" t="n"/>
      <c r="H915" s="217" t="inlineStr">
        <is>
          <t>"packing.groupService": "ក្រុមសេវាកម្ម",</t>
        </is>
      </c>
      <c r="I915" t="inlineStr">
        <is>
          <t>ក្រុមសេវាកម្ម</t>
        </is>
      </c>
    </row>
    <row r="916">
      <c r="A916" s="3" t="inlineStr">
        <is>
          <t>packing.groupmanually</t>
        </is>
      </c>
      <c r="B916" s="3" t="inlineStr">
        <is>
          <t>Gom bưu</t>
        </is>
      </c>
      <c r="C916" s="3" t="inlineStr">
        <is>
          <t>Group order</t>
        </is>
      </c>
      <c r="D916" s="217">
        <f>IFERROR(__xludf.DUMMYFUNCTION("GOOGLETRANSLATE(C916,""vi"",""km"")"),"លំដាប់ក្រុម")</f>
        <v/>
      </c>
      <c r="E916" s="3" t="n"/>
      <c r="F916" s="3" t="inlineStr">
        <is>
          <t>ប្រមូលផ្តុំកញ្ចប់បញ្ញើ</t>
        </is>
      </c>
      <c r="G916" s="3" t="n"/>
      <c r="H916" s="217" t="inlineStr">
        <is>
          <t>"packing.groupmanually": "ប្រមូលផ្តុំកញ្ចប់បញ្ញើ",</t>
        </is>
      </c>
      <c r="I916" t="inlineStr">
        <is>
          <t>ប្រមូលផ្តុំកញ្ចប់បញ្ញើ</t>
        </is>
      </c>
    </row>
    <row r="917">
      <c r="A917" s="3" t="inlineStr">
        <is>
          <t>packing.line</t>
        </is>
      </c>
      <c r="B917" s="3" t="inlineStr">
        <is>
          <t>Cấu hình</t>
        </is>
      </c>
      <c r="C917" s="3" t="inlineStr">
        <is>
          <t>Configuration</t>
        </is>
      </c>
      <c r="D917" s="217">
        <f>IFERROR(__xludf.DUMMYFUNCTION("GOOGLETRANSLATE(C917,""vi"",""km"")"),"ការកំណត់រចនាសម្ព័ន្ធ")</f>
        <v/>
      </c>
      <c r="E917" s="3" t="n"/>
      <c r="F917" s="3" t="inlineStr">
        <is>
          <t>ការកំណត់រចនាសម្ព័ន្ធ</t>
        </is>
      </c>
      <c r="G917" s="3" t="n"/>
      <c r="H917" s="217" t="inlineStr">
        <is>
          <t>"packing.line": "ការកំណត់រចនាសម្ព័ន្ធ",</t>
        </is>
      </c>
      <c r="I917" t="inlineStr">
        <is>
          <t>ការកំណត់រចនាសម្ព័ន្ធ</t>
        </is>
      </c>
    </row>
    <row r="918">
      <c r="A918" s="3" t="inlineStr">
        <is>
          <t>packing.listType</t>
        </is>
      </c>
      <c r="B918" s="3" t="inlineStr">
        <is>
          <t>Loại bảng kê</t>
        </is>
      </c>
      <c r="C918" s="3" t="inlineStr">
        <is>
          <t>Checklist type</t>
        </is>
      </c>
      <c r="D918" s="217">
        <f>IFERROR(__xludf.DUMMYFUNCTION("GOOGLETRANSLATE(C918,""vi"",""km"")"),"ប្រភេទបញ្ជីត្រួតពិនិត្យ")</f>
        <v/>
      </c>
      <c r="E918" s="3" t="n"/>
      <c r="F918" s="3" t="inlineStr">
        <is>
          <t>ប្រភេទបញ្ជីត្រួតពិនិត្យ</t>
        </is>
      </c>
      <c r="G918" s="3" t="n"/>
      <c r="H918" s="217" t="inlineStr">
        <is>
          <t>"packing.listType": "ប្រភេទបញ្ជីត្រួតពិនិត្យ",</t>
        </is>
      </c>
      <c r="I918" t="inlineStr">
        <is>
          <t>ប្រភេទបញ្ជីត្រួតពិនិត្យ</t>
        </is>
      </c>
    </row>
    <row r="919">
      <c r="A919" s="3" t="inlineStr">
        <is>
          <t>packing.note</t>
        </is>
      </c>
      <c r="B919" s="3" t="inlineStr">
        <is>
          <t>Ghi chú</t>
        </is>
      </c>
      <c r="C919" s="3" t="inlineStr">
        <is>
          <t>Note</t>
        </is>
      </c>
      <c r="D919" s="217">
        <f>IFERROR(__xludf.DUMMYFUNCTION("GOOGLETRANSLATE(C919,""vi"",""km"")"),"កំណត់ចំណាំ")</f>
        <v/>
      </c>
      <c r="E919" s="3" t="n"/>
      <c r="F919" s="3" t="inlineStr">
        <is>
          <t>ចំណាំ</t>
        </is>
      </c>
      <c r="G919" s="3" t="n"/>
      <c r="H919" s="217" t="inlineStr">
        <is>
          <t>"packing.note": "ចំណាំ",</t>
        </is>
      </c>
      <c r="I919" t="inlineStr">
        <is>
          <t>ចំណាំ</t>
        </is>
      </c>
    </row>
    <row r="920">
      <c r="A920" s="3" t="inlineStr">
        <is>
          <t>packing.orderCode</t>
        </is>
      </c>
      <c r="B920" s="3" t="inlineStr">
        <is>
          <t>Mã phiếu gửi</t>
        </is>
      </c>
      <c r="C920" s="3" t="inlineStr">
        <is>
          <t>Postal slip code</t>
        </is>
      </c>
      <c r="D920" s="217">
        <f>IFERROR(__xludf.DUMMYFUNCTION("GOOGLETRANSLATE(C920,""vi"",""km"")"),"លេខកូដប្រៃសណីយ៍")</f>
        <v/>
      </c>
      <c r="E920" s="3" t="n"/>
      <c r="F920" s="3" t="inlineStr">
        <is>
          <t>លេខកូដបុងបញ្ញើ</t>
        </is>
      </c>
      <c r="G920" s="3" t="n"/>
      <c r="H920" s="217" t="inlineStr">
        <is>
          <t>"packing.orderCode": "លេខកូដបុងបញ្ញើ",</t>
        </is>
      </c>
      <c r="I920" t="inlineStr">
        <is>
          <t>លេខកូដបុងបញ្ញើ</t>
        </is>
      </c>
    </row>
    <row r="921">
      <c r="A921" s="3" t="inlineStr">
        <is>
          <t>packing.orderType</t>
        </is>
      </c>
      <c r="B921" s="3" t="inlineStr">
        <is>
          <t>Loại hàng hoá</t>
        </is>
      </c>
      <c r="C921" s="3" t="inlineStr">
        <is>
          <t>Freight types</t>
        </is>
      </c>
      <c r="D921" s="217">
        <f>IFERROR(__xludf.DUMMYFUNCTION("GOOGLETRANSLATE(C921,""vi"",""km"")"),"ប្រភេទទំនិញ")</f>
        <v/>
      </c>
      <c r="E921" s="3" t="n"/>
      <c r="F921" s="3" t="inlineStr">
        <is>
          <t>ប្រភេទទំនិញ</t>
        </is>
      </c>
      <c r="G921" s="3" t="n"/>
      <c r="H921" s="217" t="inlineStr">
        <is>
          <t>"packing.orderType": "ប្រភេទទំនិញ",</t>
        </is>
      </c>
      <c r="I921" t="inlineStr">
        <is>
          <t>ប្រភេទទំនិញ</t>
        </is>
      </c>
    </row>
    <row r="922">
      <c r="A922" s="3" t="inlineStr">
        <is>
          <t>packing.packageComplete</t>
        </is>
      </c>
      <c r="B922" s="3" t="inlineStr">
        <is>
          <t>Đã đóng</t>
        </is>
      </c>
      <c r="C922" s="3" t="inlineStr">
        <is>
          <t>Packed</t>
        </is>
      </c>
      <c r="D922" s="217">
        <f>IFERROR(__xludf.DUMMYFUNCTION("GOOGLETRANSLATE(C922,""vi"",""km"")"),"វេចខ្ចប់រួច")</f>
        <v/>
      </c>
      <c r="E922" s="3" t="n"/>
      <c r="F922" s="3" t="inlineStr">
        <is>
          <t>បានច្រកបាវរួចរាល់</t>
        </is>
      </c>
      <c r="G922" s="3" t="n"/>
      <c r="H922" s="217" t="inlineStr">
        <is>
          <t>"packing.packageComplete": "បានច្រកបាវរួចរាល់",</t>
        </is>
      </c>
      <c r="I922" t="inlineStr">
        <is>
          <t>បានច្រកបាវរួចរាល់</t>
        </is>
      </c>
    </row>
    <row r="923">
      <c r="A923" s="3" t="inlineStr">
        <is>
          <t>packing.packageIncomplete</t>
        </is>
      </c>
      <c r="B923" s="3" t="inlineStr">
        <is>
          <t>Chưa đóng</t>
        </is>
      </c>
      <c r="C923" s="3" t="inlineStr">
        <is>
          <t>Incomplete</t>
        </is>
      </c>
      <c r="D923" s="217">
        <f>IFERROR(__xludf.DUMMYFUNCTION("GOOGLETRANSLATE(C923,""vi"",""km"")"),"មិនពេញលេញ")</f>
        <v/>
      </c>
      <c r="E923" s="3" t="n"/>
      <c r="F923" s="3" t="inlineStr">
        <is>
          <t>មិនទាន់ច្រកបាវ</t>
        </is>
      </c>
      <c r="G923" s="3" t="n"/>
      <c r="H923" s="217" t="inlineStr">
        <is>
          <t>"packing.packageIncomplete": "មិនទាន់ច្រកបាវ",</t>
        </is>
      </c>
      <c r="I923" t="inlineStr">
        <is>
          <t>មិនទាន់ច្រកបាវ</t>
        </is>
      </c>
    </row>
    <row r="924">
      <c r="A924" s="3" t="inlineStr">
        <is>
          <t>packing.packageIncompleteList</t>
        </is>
      </c>
      <c r="B924" s="3" t="inlineStr">
        <is>
          <t>Danh sách chưa đóng</t>
        </is>
      </c>
      <c r="C924" s="3" t="inlineStr">
        <is>
          <t>Incomplete list</t>
        </is>
      </c>
      <c r="D924" s="217">
        <f>IFERROR(__xludf.DUMMYFUNCTION("GOOGLETRANSLATE(C924,""vi"",""km"")"),"បញ្ជីមិនពេញលេញ")</f>
        <v/>
      </c>
      <c r="E924" s="3" t="n"/>
      <c r="F924" s="3" t="inlineStr">
        <is>
          <t>បញ្ជីមិនពេញលេញ</t>
        </is>
      </c>
      <c r="G924" s="3" t="n"/>
      <c r="H924" s="217" t="inlineStr">
        <is>
          <t>"packing.packageIncompleteList": "បញ្ជីមិនពេញលេញ",</t>
        </is>
      </c>
      <c r="I924" t="inlineStr">
        <is>
          <t>បញ្ជីមិនពេញលេញ</t>
        </is>
      </c>
    </row>
    <row r="925">
      <c r="A925" s="3" t="inlineStr">
        <is>
          <t>packing.packageProgress</t>
        </is>
      </c>
      <c r="B925" s="3" t="inlineStr">
        <is>
          <t>Đang đóng</t>
        </is>
      </c>
      <c r="C925" s="3" t="inlineStr">
        <is>
          <t>Packup in progress</t>
        </is>
      </c>
      <c r="D925" s="217">
        <f>IFERROR(__xludf.DUMMYFUNCTION("GOOGLETRANSLATE(C925,""vi"",""km"")"),"ការដំឡើងកំពុងដំណើរការ")</f>
        <v/>
      </c>
      <c r="E925" s="3" t="n"/>
      <c r="F925" s="3" t="inlineStr">
        <is>
          <t>កំពុងច្រកបាវ</t>
        </is>
      </c>
      <c r="G925" s="3" t="n"/>
      <c r="H925" s="217" t="inlineStr">
        <is>
          <t>"packing.packageProgress": "កំពុងច្រកបាវ",</t>
        </is>
      </c>
      <c r="I925" t="inlineStr">
        <is>
          <t>កំពុងច្រកបាវ</t>
        </is>
      </c>
    </row>
    <row r="926">
      <c r="A926" s="3" t="inlineStr">
        <is>
          <t>packing.parcel</t>
        </is>
      </c>
      <c r="B926" s="3" t="inlineStr">
        <is>
          <t>Hàng hoá</t>
        </is>
      </c>
      <c r="C926" s="3" t="inlineStr">
        <is>
          <t>Goods</t>
        </is>
      </c>
      <c r="D926" s="217">
        <f>IFERROR(__xludf.DUMMYFUNCTION("GOOGLETRANSLATE(C926,""vi"",""km"")"),"ទំនិញ")</f>
        <v/>
      </c>
      <c r="E926" s="3" t="n"/>
      <c r="F926" s="3" t="inlineStr">
        <is>
          <t>ទំនិញ</t>
        </is>
      </c>
      <c r="G926" s="3" t="n"/>
      <c r="H926" s="217" t="inlineStr">
        <is>
          <t>"packing.parcel": "ទំនិញ",</t>
        </is>
      </c>
      <c r="I926" t="inlineStr">
        <is>
          <t>ទំនិញ</t>
        </is>
      </c>
    </row>
    <row r="927">
      <c r="A927" s="3" t="inlineStr">
        <is>
          <t>packing.parcelCode</t>
        </is>
      </c>
      <c r="B927" s="3" t="inlineStr">
        <is>
          <t>Mã tải</t>
        </is>
      </c>
      <c r="C927" s="3" t="inlineStr">
        <is>
          <t>Pack code</t>
        </is>
      </c>
      <c r="D927" s="217">
        <f>IFERROR(__xludf.DUMMYFUNCTION("GOOGLETRANSLATE(C927,""vi"",""km"")"),"លេខកូដកញ្ចប់")</f>
        <v/>
      </c>
      <c r="E927" s="3" t="n"/>
      <c r="F927" s="3" t="inlineStr">
        <is>
          <t>លេខកូដកញ្ចប់</t>
        </is>
      </c>
      <c r="G927" s="3" t="n"/>
      <c r="H927" s="217" t="inlineStr">
        <is>
          <t>"packing.parcelCode": "លេខកូដកញ្ចប់",</t>
        </is>
      </c>
      <c r="I927" t="inlineStr">
        <is>
          <t>លេខកូដកញ្ចប់</t>
        </is>
      </c>
    </row>
    <row r="928">
      <c r="A928" s="3" t="inlineStr">
        <is>
          <t>packing.parcelSackCode</t>
        </is>
      </c>
      <c r="B928" s="3" t="inlineStr">
        <is>
          <t>Mã tải kiện</t>
        </is>
      </c>
      <c r="C928" s="3" t="inlineStr">
        <is>
          <t>Package code</t>
        </is>
      </c>
      <c r="D928" s="217">
        <f>IFERROR(__xludf.DUMMYFUNCTION("GOOGLETRANSLATE(C928,""vi"",""km"")"),"លេខកូដកញ្ចប់")</f>
        <v/>
      </c>
      <c r="E928" s="3" t="n"/>
      <c r="F928" s="3" t="inlineStr">
        <is>
          <t>លេខកូដកញ្ចប់</t>
        </is>
      </c>
      <c r="G928" s="3" t="n"/>
      <c r="H928" s="217" t="inlineStr">
        <is>
          <t>"packing.parcelSackCode": "លេខកូដកញ្ចប់",</t>
        </is>
      </c>
      <c r="I928" t="inlineStr">
        <is>
          <t>លេខកូដកញ្ចប់</t>
        </is>
      </c>
    </row>
    <row r="929">
      <c r="A929" s="3" t="inlineStr">
        <is>
          <t>packing.parcelType</t>
        </is>
      </c>
      <c r="B929" s="3" t="inlineStr">
        <is>
          <t>Loại hàng hoá</t>
        </is>
      </c>
      <c r="C929" s="3" t="inlineStr">
        <is>
          <t>Freight types</t>
        </is>
      </c>
      <c r="D929" s="217">
        <f>IFERROR(__xludf.DUMMYFUNCTION("GOOGLETRANSLATE(C929,""vi"",""km"")"),"ប្រភេទទំនិញ")</f>
        <v/>
      </c>
      <c r="E929" s="3" t="n"/>
      <c r="F929" s="3" t="inlineStr">
        <is>
          <t>ប្រភេទទំនិញ</t>
        </is>
      </c>
      <c r="G929" s="3" t="n"/>
      <c r="H929" s="217" t="inlineStr">
        <is>
          <t>"packing.parcelType": "ប្រភេទទំនិញ",</t>
        </is>
      </c>
      <c r="I929" t="inlineStr">
        <is>
          <t>ប្រភេទទំនិញ</t>
        </is>
      </c>
    </row>
    <row r="930">
      <c r="A930" s="3" t="inlineStr">
        <is>
          <t>packing.postalCodeAddress</t>
        </is>
      </c>
      <c r="B930" s="3" t="inlineStr">
        <is>
          <t>Bưu cục đến</t>
        </is>
      </c>
      <c r="C930" s="3" t="inlineStr">
        <is>
          <t>Receiving post office</t>
        </is>
      </c>
      <c r="D930" s="217">
        <f>IFERROR(__xludf.DUMMYFUNCTION("GOOGLETRANSLATE(C930,""vi"",""km"")"),"ទទួលសំបុត្រប្រៃសណីយ៍")</f>
        <v/>
      </c>
      <c r="E930" s="3" t="n"/>
      <c r="F930" s="3" t="inlineStr">
        <is>
          <t>ការិយាល័យប្រៃសណីយ៍គោលដៅ</t>
        </is>
      </c>
      <c r="G930" s="3" t="n"/>
      <c r="H930" s="217" t="inlineStr">
        <is>
          <t>"packing.postalCodeAddress": "ការិយាល័យប្រៃសណីយ៍គោលដៅ",</t>
        </is>
      </c>
      <c r="I930" t="inlineStr">
        <is>
          <t>ការិយាល័យប្រៃសណីយ៍គោលដៅ</t>
        </is>
      </c>
    </row>
    <row r="931">
      <c r="A931" s="3" t="inlineStr">
        <is>
          <t>packing.print</t>
        </is>
      </c>
      <c r="B931" s="3" t="inlineStr">
        <is>
          <t>In đơn</t>
        </is>
      </c>
      <c r="C931" s="3" t="inlineStr">
        <is>
          <t>Print</t>
        </is>
      </c>
      <c r="D931" s="217">
        <f>IFERROR(__xludf.DUMMYFUNCTION("GOOGLETRANSLATE(C931,""vi"",""km"")"),"ជើងហោះហើរ")</f>
        <v/>
      </c>
      <c r="E931" s="3" t="n"/>
      <c r="F931" s="3" t="inlineStr">
        <is>
          <t>ជើងហោះហើរ</t>
        </is>
      </c>
      <c r="G931" s="3" t="n"/>
      <c r="H931" s="217" t="inlineStr">
        <is>
          <t>"packing.print": "ជើងហោះហើរ",</t>
        </is>
      </c>
      <c r="I931" t="inlineStr">
        <is>
          <t>ជើងហោះហើរ</t>
        </is>
      </c>
    </row>
    <row r="932">
      <c r="A932" s="3" t="inlineStr">
        <is>
          <t>packing.printDescription1</t>
        </is>
      </c>
      <c r="B932" s="3" t="inlineStr">
        <is>
          <t>Bạn đã chọn</t>
        </is>
      </c>
      <c r="C932" s="3" t="inlineStr">
        <is>
          <t>You have selected</t>
        </is>
      </c>
      <c r="D932" s="217">
        <f>IFERROR(__xludf.DUMMYFUNCTION("GOOGLETRANSLATE(C932,""vi"",""km"")"),"អ្នកបានជ្រើសរើស")</f>
        <v/>
      </c>
      <c r="E932" s="3" t="n"/>
      <c r="F932" s="3" t="inlineStr">
        <is>
          <t>អ្នកបានជ្រើសរើស</t>
        </is>
      </c>
      <c r="G932" s="3" t="n"/>
      <c r="H932" s="217" t="inlineStr">
        <is>
          <t>"packing.printDescription1": "អ្នកបានជ្រើសរើស",</t>
        </is>
      </c>
      <c r="I932" t="inlineStr">
        <is>
          <t>អ្នកបានជ្រើសរើស</t>
        </is>
      </c>
    </row>
    <row r="933">
      <c r="A933" s="3" t="inlineStr">
        <is>
          <t>packing.printDescription2</t>
        </is>
      </c>
      <c r="B933" s="3" t="inlineStr">
        <is>
          <t>trong tổng số</t>
        </is>
      </c>
      <c r="C933" s="3" t="inlineStr">
        <is>
          <t>orders out of</t>
        </is>
      </c>
      <c r="D933" s="217">
        <f>IFERROR(__xludf.DUMMYFUNCTION("GOOGLETRANSLATE(C933,""vi"",""km"")"),"ការបញ្ជាទិញចេញពី")</f>
        <v/>
      </c>
      <c r="E933" s="3" t="n"/>
      <c r="F933" s="3" t="inlineStr">
        <is>
          <t>ការបញ្ជាទិញចេញពី</t>
        </is>
      </c>
      <c r="G933" s="3" t="n"/>
      <c r="H933" s="217" t="inlineStr">
        <is>
          <t>"packing.printDescription2": "ការបញ្ជាទិញចេញពី",</t>
        </is>
      </c>
      <c r="I933" t="inlineStr">
        <is>
          <t>ការបញ្ជាទិញចេញពី</t>
        </is>
      </c>
    </row>
    <row r="934">
      <c r="A934" s="3" t="inlineStr">
        <is>
          <t>packing.printDescription3</t>
        </is>
      </c>
      <c r="B934" s="3" t="inlineStr">
        <is>
          <t>đơn</t>
        </is>
      </c>
      <c r="C934" s="3" t="inlineStr">
        <is>
          <t>order</t>
        </is>
      </c>
      <c r="D934" s="217">
        <f>IFERROR(__xludf.DUMMYFUNCTION("GOOGLETRANSLATE(C934,""vi"",""km"")"),"លំដាប់")</f>
        <v/>
      </c>
      <c r="E934" s="3" t="n"/>
      <c r="F934" s="3" t="inlineStr">
        <is>
          <t>លំដាប់</t>
        </is>
      </c>
      <c r="G934" s="3" t="n"/>
      <c r="H934" s="217" t="inlineStr">
        <is>
          <t>"packing.printDescription3": "លំដាប់",</t>
        </is>
      </c>
      <c r="I934" t="inlineStr">
        <is>
          <t>លំដាប់</t>
        </is>
      </c>
    </row>
    <row r="935">
      <c r="A935" s="3" t="inlineStr">
        <is>
          <t>packing.printDescriptionOverflow</t>
        </is>
      </c>
      <c r="B935" s="3" t="inlineStr">
        <is>
          <t>Số lượng phiếu in quá lớn, cần {{page}} trang in để in toàn bộ phiếu gửi</t>
        </is>
      </c>
      <c r="C935" s="3" t="inlineStr">
        <is>
          <t>Too many slips to print. {{page}} pages needed to print all</t>
        </is>
      </c>
      <c r="D935" s="217">
        <f>IFERROR(__xludf.DUMMYFUNCTION("GOOGLETRANSLATE(C935,""vi"",""km"")"),"មានសន្លឹកច្រើនពេកមិនអាចបោះពុម្ពបាន។ ត្រូវការទំព័រ {{page}} ដើម្បីបោះពុម្ពទាំងអស់")</f>
        <v/>
      </c>
      <c r="E935" s="3" t="n"/>
      <c r="F935" s="3" t="inlineStr">
        <is>
          <t>មានសន្លឹកច្រើនពេកមិនអាចព្រីនបាន។ ត្រូវការទំព័រ {{page}} ដើម្បីព្រីនទាំងអស់</t>
        </is>
      </c>
      <c r="G935" s="3" t="n"/>
      <c r="H935" s="217" t="inlineStr">
        <is>
          <t>"packing.printDescriptionOverflow": "មានសន្លឹកច្រើនពេកមិនអាចព្រីនបាន។ ត្រូវការទំព័រ {{page}} ដើម្បីព្រីនទាំងអស់",</t>
        </is>
      </c>
      <c r="I935" t="inlineStr">
        <is>
          <t>មានសន្លឹកច្រើនពេកមិនអាចព្រីនបាន។ ត្រូវការទំព័រ {{page}} ដើម្បីព្រីនទាំងអស់</t>
        </is>
      </c>
    </row>
    <row r="936">
      <c r="A936" s="3" t="inlineStr">
        <is>
          <t>packing.printFail</t>
        </is>
      </c>
      <c r="B936" s="3" t="inlineStr">
        <is>
          <t>In mã tải thất bại</t>
        </is>
      </c>
      <c r="C936" s="3" t="inlineStr">
        <is>
          <t>Print failed</t>
        </is>
      </c>
      <c r="D936" s="217">
        <f>IFERROR(__xludf.DUMMYFUNCTION("GOOGLETRANSLATE(C936,""vi"",""km"")"),"ការបោះពុម្ពបរាជ័យ")</f>
        <v/>
      </c>
      <c r="E936" s="3" t="n"/>
      <c r="F936" s="3" t="inlineStr">
        <is>
          <t>ការព្រីនបរាជ័យ</t>
        </is>
      </c>
      <c r="G936" s="3" t="n"/>
      <c r="H936" s="217" t="inlineStr">
        <is>
          <t>"packing.printFail": "ការព្រីនបរាជ័យ",</t>
        </is>
      </c>
      <c r="I936" t="inlineStr">
        <is>
          <t>ការព្រីនបរាជ័យ</t>
        </is>
      </c>
    </row>
    <row r="937">
      <c r="A937" s="3" t="inlineStr">
        <is>
          <t>packing.printNote</t>
        </is>
      </c>
      <c r="B937" s="3" t="inlineStr">
        <is>
          <t>Lưu ý: mỗi trang in gồm {{maxSize}} đơn</t>
        </is>
      </c>
      <c r="C937" s="3" t="inlineStr">
        <is>
          <t>Note: A printed page contains {{maxSize}} orders.</t>
        </is>
      </c>
      <c r="D937" s="217">
        <f>IFERROR(__xludf.DUMMYFUNCTION("GOOGLETRANSLATE(C937,""vi"",""km"")"),"ចំណាំ៖ ទំព័រដែលបានបោះពុម្ពមានការបញ្ជាទិញចំនួន {{maxSize}}។")</f>
        <v/>
      </c>
      <c r="E937" s="3" t="n"/>
      <c r="F937" s="3" t="inlineStr">
        <is>
          <t>ចំណាំ៖ ទំព័រដែលបានព្រីនមានការបញ្ជាទិញចំនួន {{maxSize}}។</t>
        </is>
      </c>
      <c r="G937" s="3" t="n"/>
      <c r="H937" s="217" t="inlineStr">
        <is>
          <t>"packing.printNote": "ចំណាំ៖ ទំព័រដែលបានព្រីនមានការបញ្ជាទិញចំនួន {{maxSize}}។",</t>
        </is>
      </c>
      <c r="I937" t="inlineStr">
        <is>
          <t>ចំណាំ៖ ទំព័រដែលបានព្រីនមានការបញ្ជាទិញចំនួន {{maxSize}}។</t>
        </is>
      </c>
    </row>
    <row r="938">
      <c r="A938" s="3" t="inlineStr">
        <is>
          <t>packing.printOrderSameStatus</t>
        </is>
      </c>
      <c r="B938" s="3" t="inlineStr">
        <is>
          <t>Vui lòng chọn đơn cùng trạng thái để in nhiều</t>
        </is>
      </c>
      <c r="C938" s="3" t="inlineStr">
        <is>
          <t>Please select orders with the same status to print multiple</t>
        </is>
      </c>
      <c r="D938" s="217">
        <f>IFERROR(__xludf.DUMMYFUNCTION("GOOGLETRANSLATE(C938,""vi"",""km"")"),"សូមជ្រើសរើសការបញ្ជាទិញដែលមានស្ថានភាពដូចគ្នា ដើម្បីបោះពុម្ពច្រើន")</f>
        <v/>
      </c>
      <c r="E938" s="3" t="n"/>
      <c r="F938" s="3" t="inlineStr">
        <is>
          <t>សូមជ្រើសរើសការបញ្ជាទិញដែលមានស្ថានភាពដូចគ្នា ដើម្បីព្រីនច្រើន</t>
        </is>
      </c>
      <c r="G938" s="3" t="n"/>
      <c r="H938" s="217" t="inlineStr">
        <is>
          <t>"packing.printOrderSameStatus": "សូមជ្រើសរើសការបញ្ជាទិញដែលមានស្ថានភាពដូចគ្នា ដើម្បីព្រីនច្រើន",</t>
        </is>
      </c>
      <c r="I938" t="inlineStr">
        <is>
          <t>សូមជ្រើសរើសការបញ្ជាទិញដែលមានស្ថានភាពដូចគ្នា ដើម្បីព្រីនច្រើន</t>
        </is>
      </c>
    </row>
    <row r="939">
      <c r="A939" s="3" t="inlineStr">
        <is>
          <t>packing.printPacking</t>
        </is>
      </c>
      <c r="B939" s="3" t="inlineStr">
        <is>
          <t>In mã tải</t>
        </is>
      </c>
      <c r="C939" s="3" t="inlineStr">
        <is>
          <t>Print code</t>
        </is>
      </c>
      <c r="D939" s="217">
        <f>IFERROR(__xludf.DUMMYFUNCTION("GOOGLETRANSLATE(C939,""vi"",""km"")"),"បោះពុម្ពលេខកូដ")</f>
        <v/>
      </c>
      <c r="E939" s="3" t="n"/>
      <c r="F939" s="3" t="inlineStr">
        <is>
          <t>ព្រីនលេខកូដ</t>
        </is>
      </c>
      <c r="G939" s="3" t="n"/>
      <c r="H939" s="217" t="inlineStr">
        <is>
          <t>"packing.printPacking": "ព្រីនលេខកូដ",</t>
        </is>
      </c>
      <c r="I939" t="inlineStr">
        <is>
          <t>ព្រីនលេខកូដ</t>
        </is>
      </c>
    </row>
    <row r="940">
      <c r="A940" s="3" t="inlineStr">
        <is>
          <t>packing.quantity</t>
        </is>
      </c>
      <c r="B940" s="3" t="inlineStr">
        <is>
          <t>Số lượng bưu phẩm</t>
        </is>
      </c>
      <c r="C940" s="3" t="inlineStr">
        <is>
          <t>Quantity of parcels</t>
        </is>
      </c>
      <c r="D940" s="217">
        <f>IFERROR(__xludf.DUMMYFUNCTION("GOOGLETRANSLATE(C940,""vi"",""km"")"),"បរិមាណ​នៃ​ក្បាលដី")</f>
        <v/>
      </c>
      <c r="E940" s="3" t="n"/>
      <c r="F940" s="3" t="inlineStr">
        <is>
          <t>បរិមាណនៃក្បាលដី</t>
        </is>
      </c>
      <c r="G940" s="3" t="n"/>
      <c r="H940" s="217" t="inlineStr">
        <is>
          <t>"packing.quantity": "បរិមាណនៃក្បាលដី",</t>
        </is>
      </c>
      <c r="I940" t="inlineStr">
        <is>
          <t>បរិមាណនៃក្បាលដី</t>
        </is>
      </c>
    </row>
    <row r="941">
      <c r="A941" s="3" t="inlineStr">
        <is>
          <t>packing.removeOrderFail</t>
        </is>
      </c>
      <c r="B941" s="3" t="inlineStr">
        <is>
          <t>Xoá đơn khỏi tải thất bại</t>
        </is>
      </c>
      <c r="C941" s="3" t="inlineStr">
        <is>
          <t>Failed to remove order from package</t>
        </is>
      </c>
      <c r="D941" s="217">
        <f>IFERROR(__xludf.DUMMYFUNCTION("GOOGLETRANSLATE(C941,""vi"",""km"")"),"បរាជ័យក្នុងការលុបការបញ្ជាទិញចេញពីកញ្ចប់")</f>
        <v/>
      </c>
      <c r="E941" s="3" t="n"/>
      <c r="F941" s="3" t="inlineStr">
        <is>
          <t>បរាជ័យក្នុងការលុបការបញ្ជាទិញចេញពីកញ្ចប់</t>
        </is>
      </c>
      <c r="G941" s="3" t="n"/>
      <c r="H941" s="217" t="inlineStr">
        <is>
          <t>"packing.removeOrderFail": "បរាជ័យក្នុងការលុបការបញ្ជាទិញចេញពីកញ្ចប់",</t>
        </is>
      </c>
      <c r="I941" t="inlineStr">
        <is>
          <t>បរាជ័យក្នុងការលុបការបញ្ជាទិញចេញពីកញ្ចប់</t>
        </is>
      </c>
    </row>
    <row r="942">
      <c r="A942" s="3" t="inlineStr">
        <is>
          <t>packing.removeOrderSuccess</t>
        </is>
      </c>
      <c r="B942" s="3" t="inlineStr">
        <is>
          <t>Xoá đơn khỏi tải thành công</t>
        </is>
      </c>
      <c r="C942" s="3" t="inlineStr">
        <is>
          <t>Successfully removed order from package</t>
        </is>
      </c>
      <c r="D942" s="217">
        <f>IFERROR(__xludf.DUMMYFUNCTION("GOOGLETRANSLATE(C942,""vi"",""km"")"),"បានលុបការបញ្ជាទិញចេញពីកញ្ចប់ដោយជោគជ័យ")</f>
        <v/>
      </c>
      <c r="E942" s="3" t="n"/>
      <c r="F942" s="3" t="inlineStr">
        <is>
          <t>បានលុបការបញ្ជាទិញចេញពីកញ្ចប់ដោយជោគជ័យ</t>
        </is>
      </c>
      <c r="G942" s="3" t="n"/>
      <c r="H942" s="217" t="inlineStr">
        <is>
          <t>"packing.removeOrderSuccess": "បានលុបការបញ្ជាទិញចេញពីកញ្ចប់ដោយជោគជ័យ",</t>
        </is>
      </c>
      <c r="I942" t="inlineStr">
        <is>
          <t>បានលុបការបញ្ជាទិញចេញពីកញ្ចប់ដោយជោគជ័យ</t>
        </is>
      </c>
    </row>
    <row r="943">
      <c r="A943" s="3" t="inlineStr">
        <is>
          <t>packing.selectToAddress</t>
        </is>
      </c>
      <c r="B943" s="3" t="inlineStr">
        <is>
          <t>Chọn nơi đến</t>
        </is>
      </c>
      <c r="C943" s="3" t="inlineStr">
        <is>
          <t>Select destination</t>
        </is>
      </c>
      <c r="D943" s="217">
        <f>IFERROR(__xludf.DUMMYFUNCTION("GOOGLETRANSLATE(C943,""vi"",""km"")"),"ឆ្នាំដែលអាចប្រើប្រាស់ឡើងវិញបាន")</f>
        <v/>
      </c>
      <c r="E943" s="3" t="n"/>
      <c r="F943" s="3" t="inlineStr">
        <is>
          <t>ឆ្នាំដែលអាចប្រើប្រាស់ឡើងវិញបាន</t>
        </is>
      </c>
      <c r="G943" s="3" t="n"/>
      <c r="H943" s="217" t="inlineStr">
        <is>
          <t>"packing.selectToAddress": "ឆ្នាំដែលអាចប្រើប្រាស់ឡើងវិញបាន",</t>
        </is>
      </c>
      <c r="I943" t="inlineStr">
        <is>
          <t>ឆ្នាំដែលអាចប្រើប្រាស់ឡើងវិញបាន</t>
        </is>
      </c>
    </row>
    <row r="944">
      <c r="A944" s="3" t="inlineStr">
        <is>
          <t>packing.selected</t>
        </is>
      </c>
      <c r="B944" s="3" t="inlineStr">
        <is>
          <t>Đã chọn</t>
        </is>
      </c>
      <c r="C944" s="3" t="inlineStr">
        <is>
          <t>Selected</t>
        </is>
      </c>
      <c r="D944" s="217">
        <f>IFERROR(__xludf.DUMMYFUNCTION("GOOGLETRANSLATE(C944,""vi"",""km"")"),"បានជ្រើសរើស")</f>
        <v/>
      </c>
      <c r="E944" s="3" t="n"/>
      <c r="F944" s="3" t="inlineStr">
        <is>
          <t>បានជ្រើសរើស</t>
        </is>
      </c>
      <c r="G944" s="3" t="n"/>
      <c r="H944" s="217" t="inlineStr">
        <is>
          <t>"packing.selected": "បានជ្រើសរើស",</t>
        </is>
      </c>
      <c r="I944" t="inlineStr">
        <is>
          <t>បានជ្រើសរើស</t>
        </is>
      </c>
    </row>
    <row r="945">
      <c r="A945" s="3" t="inlineStr">
        <is>
          <t>packing.service</t>
        </is>
      </c>
      <c r="B945" s="3" t="inlineStr">
        <is>
          <t>Dịch vụ</t>
        </is>
      </c>
      <c r="C945" s="3" t="inlineStr">
        <is>
          <t>Service</t>
        </is>
      </c>
      <c r="D945" s="217">
        <f>IFERROR(__xludf.DUMMYFUNCTION("GOOGLETRANSLATE(C945,""vi"",""km"")"),"សេវាកម្ម")</f>
        <v/>
      </c>
      <c r="E945" s="3" t="n"/>
      <c r="F945" s="3" t="inlineStr">
        <is>
          <t>សេវាកម្ម</t>
        </is>
      </c>
      <c r="G945" s="3" t="n"/>
      <c r="H945" s="217" t="inlineStr">
        <is>
          <t>"packing.service": "សេវាកម្ម",</t>
        </is>
      </c>
      <c r="I945" t="inlineStr">
        <is>
          <t>សេវាកម្ម</t>
        </is>
      </c>
    </row>
    <row r="946">
      <c r="A946" s="3" t="inlineStr">
        <is>
          <t>packing.status</t>
        </is>
      </c>
      <c r="B946" s="3" t="inlineStr">
        <is>
          <t>Trạng thái</t>
        </is>
      </c>
      <c r="C946" s="3" t="inlineStr">
        <is>
          <t>Status</t>
        </is>
      </c>
      <c r="D946" s="217">
        <f>IFERROR(__xludf.DUMMYFUNCTION("GOOGLETRANSLATE(C946,""vi"",""km"")"),"ស្ថានភាព")</f>
        <v/>
      </c>
      <c r="E946" s="3" t="n"/>
      <c r="F946" s="3" t="inlineStr">
        <is>
          <t>ស្ថានភាព</t>
        </is>
      </c>
      <c r="G946" s="3" t="n"/>
      <c r="H946" s="217" t="inlineStr">
        <is>
          <t>"packing.status": "ស្ថានភាព",</t>
        </is>
      </c>
      <c r="I946" t="inlineStr">
        <is>
          <t>ស្ថានភាព</t>
        </is>
      </c>
    </row>
    <row r="947">
      <c r="A947" s="3" t="inlineStr">
        <is>
          <t>packing.toAddress</t>
        </is>
      </c>
      <c r="B947" s="3" t="inlineStr">
        <is>
          <t>Nơi đến</t>
        </is>
      </c>
      <c r="C947" s="3" t="inlineStr">
        <is>
          <t>Destination</t>
        </is>
      </c>
      <c r="D947" s="217">
        <f>IFERROR(__xludf.DUMMYFUNCTION("GOOGLETRANSLATE(C947,""vi"",""km"")"),"គោលដៅ")</f>
        <v/>
      </c>
      <c r="E947" s="3" t="n"/>
      <c r="F947" s="3" t="inlineStr">
        <is>
          <t>គោលដៅ</t>
        </is>
      </c>
      <c r="G947" s="3" t="n"/>
      <c r="H947" s="217" t="inlineStr">
        <is>
          <t>"packing.toAddress": "គោលដៅ",</t>
        </is>
      </c>
      <c r="I947" t="inlineStr">
        <is>
          <t>គោលដៅ</t>
        </is>
      </c>
    </row>
    <row r="948">
      <c r="A948" s="3" t="inlineStr">
        <is>
          <t>packing.totalOrder</t>
        </is>
      </c>
      <c r="B948" s="3" t="inlineStr">
        <is>
          <t>Tổng đơn</t>
        </is>
      </c>
      <c r="C948" s="3" t="inlineStr">
        <is>
          <t>Total order</t>
        </is>
      </c>
      <c r="D948" s="217">
        <f>IFERROR(__xludf.DUMMYFUNCTION("GOOGLETRANSLATE(C948,""vi"",""km"")"),"ការបញ្ជាទិញសរុប")</f>
        <v/>
      </c>
      <c r="E948" s="3" t="n"/>
      <c r="F948" s="3" t="inlineStr">
        <is>
          <t>ការបញ្ជាទិញសរុប</t>
        </is>
      </c>
      <c r="G948" s="3" t="n"/>
      <c r="H948" s="217" t="inlineStr">
        <is>
          <t>"packing.totalOrder": "ការបញ្ជាទិញសរុប",</t>
        </is>
      </c>
      <c r="I948" t="inlineStr">
        <is>
          <t>ការបញ្ជាទិញសរុប</t>
        </is>
      </c>
    </row>
    <row r="949">
      <c r="A949" s="3" t="inlineStr">
        <is>
          <t>packing.totalPackage</t>
        </is>
      </c>
      <c r="B949" s="3" t="inlineStr">
        <is>
          <t>Tổng tải</t>
        </is>
      </c>
      <c r="C949" s="3" t="inlineStr">
        <is>
          <t>Total package</t>
        </is>
      </c>
      <c r="D949" s="217">
        <f>IFERROR(__xludf.DUMMYFUNCTION("GOOGLETRANSLATE(C949,""vi"",""km"")"),"កញ្ចប់សរុប")</f>
        <v/>
      </c>
      <c r="E949" s="3" t="n"/>
      <c r="F949" s="3" t="inlineStr">
        <is>
          <t>កញ្ចប់សរុប</t>
        </is>
      </c>
      <c r="G949" s="3" t="n"/>
      <c r="H949" s="217" t="inlineStr">
        <is>
          <t>"packing.totalPackage": "កញ្ចប់សរុប",</t>
        </is>
      </c>
      <c r="I949" t="inlineStr">
        <is>
          <t>កញ្ចប់សរុប</t>
        </is>
      </c>
    </row>
    <row r="950">
      <c r="A950" s="3" t="inlineStr">
        <is>
          <t>packing.totalPackages</t>
        </is>
      </c>
      <c r="B950" s="3" t="inlineStr">
        <is>
          <t>Số lượng bưu phẩm</t>
        </is>
      </c>
      <c r="C950" s="3" t="inlineStr">
        <is>
          <t>Quantity of parcels</t>
        </is>
      </c>
      <c r="D950" s="217">
        <f>IFERROR(__xludf.DUMMYFUNCTION("GOOGLETRANSLATE(C950,""vi"",""km"")"),"បរិមាណ​នៃ​ក្បាលដី")</f>
        <v/>
      </c>
      <c r="E950" s="3" t="n"/>
      <c r="F950" s="3" t="inlineStr">
        <is>
          <t>បរិមាណនៃក្បាលដី</t>
        </is>
      </c>
      <c r="G950" s="3" t="n"/>
      <c r="H950" s="217" t="inlineStr">
        <is>
          <t>"packing.totalPackages": "បរិមាណនៃក្បាលដី",</t>
        </is>
      </c>
      <c r="I950" t="inlineStr">
        <is>
          <t>បរិមាណនៃក្បាលដី</t>
        </is>
      </c>
    </row>
    <row r="951">
      <c r="A951" s="3" t="inlineStr">
        <is>
          <t>packing.totalParcel</t>
        </is>
      </c>
      <c r="B951" s="3" t="inlineStr">
        <is>
          <t>Tổng bưu phẩm</t>
        </is>
      </c>
      <c r="C951" s="3" t="inlineStr">
        <is>
          <t>Total parcels</t>
        </is>
      </c>
      <c r="D951" s="217">
        <f>IFERROR(__xludf.DUMMYFUNCTION("GOOGLETRANSLATE(C951,""vi"",""km"")"),"កញ្ចប់សរុប")</f>
        <v/>
      </c>
      <c r="E951" s="3" t="n"/>
      <c r="F951" s="3" t="inlineStr">
        <is>
          <t>កញ្ចប់សរុប</t>
        </is>
      </c>
      <c r="G951" s="3" t="n"/>
      <c r="H951" s="217" t="inlineStr">
        <is>
          <t>"packing.totalParcel": "កញ្ចប់សរុប",</t>
        </is>
      </c>
      <c r="I951" t="inlineStr">
        <is>
          <t>កញ្ចប់សរុប</t>
        </is>
      </c>
    </row>
    <row r="952">
      <c r="A952" s="3" t="inlineStr">
        <is>
          <t>packing.totalWarehouse</t>
        </is>
      </c>
      <c r="B952" s="3" t="inlineStr">
        <is>
          <t>Tổng kho hàng</t>
        </is>
      </c>
      <c r="C952" s="3" t="inlineStr">
        <is>
          <t>Total warehouse</t>
        </is>
      </c>
      <c r="D952" s="217">
        <f>IFERROR(__xludf.DUMMYFUNCTION("GOOGLETRANSLATE(C952,""vi"",""km"")"),"ឃ្លាំងសរុប")</f>
        <v/>
      </c>
      <c r="E952" s="3" t="n"/>
      <c r="F952" s="3" t="inlineStr">
        <is>
          <t>ឃ្លាំងសរុប</t>
        </is>
      </c>
      <c r="G952" s="3" t="n"/>
      <c r="H952" s="217" t="inlineStr">
        <is>
          <t>"packing.totalWarehouse": "ឃ្លាំងសរុប",</t>
        </is>
      </c>
      <c r="I952" t="inlineStr">
        <is>
          <t>ឃ្លាំងសរុប</t>
        </is>
      </c>
    </row>
    <row r="953">
      <c r="A953" s="3" t="inlineStr">
        <is>
          <t>packing.totalWeight</t>
        </is>
      </c>
      <c r="B953" s="3" t="inlineStr">
        <is>
          <t>Tổng trọng lượng</t>
        </is>
      </c>
      <c r="C953" s="3" t="inlineStr">
        <is>
          <t>Total weight</t>
        </is>
      </c>
      <c r="D953" s="217">
        <f>IFERROR(__xludf.DUMMYFUNCTION("GOOGLETRANSLATE(C953,""vi"",""km"")"),"ទម្ងន់សរុប")</f>
        <v/>
      </c>
      <c r="E953" s="3" t="n"/>
      <c r="F953" s="3" t="inlineStr">
        <is>
          <t>ទម្ងន់សរុប</t>
        </is>
      </c>
      <c r="G953" s="3" t="n"/>
      <c r="H953" s="217" t="inlineStr">
        <is>
          <t>"packing.totalWeight": "ទម្ងន់សរុប",</t>
        </is>
      </c>
      <c r="I953" t="inlineStr">
        <is>
          <t>ទម្ងន់សរុប</t>
        </is>
      </c>
    </row>
    <row r="954">
      <c r="A954" s="3" t="inlineStr">
        <is>
          <t>packing.typeAll</t>
        </is>
      </c>
      <c r="B954" s="3" t="inlineStr">
        <is>
          <t>Tất cả</t>
        </is>
      </c>
      <c r="C954" s="3" t="inlineStr">
        <is>
          <t>All</t>
        </is>
      </c>
      <c r="D954" s="217">
        <f>IFERROR(__xludf.DUMMYFUNCTION("GOOGLETRANSLATE(C954,""vi"",""km"")"),"ទាំងអស់")</f>
        <v/>
      </c>
      <c r="E954" s="3" t="n"/>
      <c r="F954" s="3" t="inlineStr">
        <is>
          <t>ទាំងអស់</t>
        </is>
      </c>
      <c r="G954" s="3" t="n"/>
      <c r="H954" s="217" t="inlineStr">
        <is>
          <t>"packing.typeAll": "ទាំងអស់",</t>
        </is>
      </c>
      <c r="I954" t="inlineStr">
        <is>
          <t>ទាំងអស់</t>
        </is>
      </c>
    </row>
    <row r="955">
      <c r="A955" s="3" t="inlineStr">
        <is>
          <t>packing.typeDocument</t>
        </is>
      </c>
      <c r="B955" s="3" t="inlineStr">
        <is>
          <t>Thư</t>
        </is>
      </c>
      <c r="C955" s="3" t="inlineStr">
        <is>
          <t>Documents</t>
        </is>
      </c>
      <c r="D955" s="217">
        <f>IFERROR(__xludf.DUMMYFUNCTION("GOOGLETRANSLATE(C955,""vi"",""km"")"),"ឯកសារ")</f>
        <v/>
      </c>
      <c r="E955" s="3" t="n"/>
      <c r="F955" s="3" t="inlineStr">
        <is>
          <t>ឯកសារ</t>
        </is>
      </c>
      <c r="G955" s="3" t="n"/>
      <c r="H955" s="217" t="inlineStr">
        <is>
          <t>"packing.typeDocument": "ឯកសារ",</t>
        </is>
      </c>
      <c r="I955" t="inlineStr">
        <is>
          <t>ឯកសារ</t>
        </is>
      </c>
    </row>
    <row r="956">
      <c r="A956" s="3" t="inlineStr">
        <is>
          <t>packing.typeGood</t>
        </is>
      </c>
      <c r="B956" s="3" t="inlineStr">
        <is>
          <t>Hàng nhỏ</t>
        </is>
      </c>
      <c r="C956" s="3" t="inlineStr">
        <is>
          <t>Small-sized</t>
        </is>
      </c>
      <c r="D956" s="217">
        <f>IFERROR(__xludf.DUMMYFUNCTION("GOOGLETRANSLATE(C956,""vi"",""km"")"),"ទំហំតូច")</f>
        <v/>
      </c>
      <c r="E956" s="3" t="n"/>
      <c r="F956" s="3" t="inlineStr">
        <is>
          <t>ទំហំតូច</t>
        </is>
      </c>
      <c r="G956" s="3" t="n"/>
      <c r="H956" s="217" t="inlineStr">
        <is>
          <t>"packing.typeGood": "ទំហំតូច",</t>
        </is>
      </c>
      <c r="I956" t="inlineStr">
        <is>
          <t>ទំហំតូច</t>
        </is>
      </c>
    </row>
    <row r="957">
      <c r="A957" s="3" t="inlineStr">
        <is>
          <t>packing.weight</t>
        </is>
      </c>
      <c r="B957" s="3" t="inlineStr">
        <is>
          <t>Trọng lượng (g)</t>
        </is>
      </c>
      <c r="C957" s="3" t="inlineStr">
        <is>
          <t>Weight (g)</t>
        </is>
      </c>
      <c r="D957" s="217">
        <f>IFERROR(__xludf.DUMMYFUNCTION("GOOGLETRANSLATE(C957,""vi"",""km"")"),"ទម្ងន់ (ក្រាម)")</f>
        <v/>
      </c>
      <c r="E957" s="3" t="n"/>
      <c r="F957" s="3" t="inlineStr">
        <is>
          <t>ទម្ងន់ (ក្រាម)</t>
        </is>
      </c>
      <c r="G957" s="3" t="n"/>
      <c r="H957" s="217" t="inlineStr">
        <is>
          <t>"packing.weight": "ទម្ងន់ (ក្រាម)",</t>
        </is>
      </c>
      <c r="I957" t="inlineStr">
        <is>
          <t>ទម្ងន់ (ក្រាម)</t>
        </is>
      </c>
    </row>
    <row r="958">
      <c r="A958" s="3" t="inlineStr">
        <is>
          <t>packing.weightRequired</t>
        </is>
      </c>
      <c r="B958" s="3" t="inlineStr">
        <is>
          <t>Vui lòng điền trọng lượng</t>
        </is>
      </c>
      <c r="C958" s="3" t="inlineStr">
        <is>
          <t>Please enter the weight</t>
        </is>
      </c>
      <c r="D958" s="217">
        <f>IFERROR(__xludf.DUMMYFUNCTION("GOOGLETRANSLATE(C958,""vi"",""km"")"),"សូមបញ្ចូលទម្ងន់")</f>
        <v/>
      </c>
      <c r="E958" s="3" t="n"/>
      <c r="F958" s="3" t="inlineStr">
        <is>
          <t>សូមបញ្ចូលទម្ងន់</t>
        </is>
      </c>
      <c r="G958" s="3" t="n"/>
      <c r="H958" s="217" t="inlineStr">
        <is>
          <t>"packing.weightRequired": "សូមបញ្ចូលទម្ងន់",</t>
        </is>
      </c>
      <c r="I958" t="inlineStr">
        <is>
          <t>សូមបញ្ចូលទម្ងន់</t>
        </is>
      </c>
    </row>
    <row r="959">
      <c r="A959" s="3" t="inlineStr">
        <is>
          <t>postmanConfig.LEADER</t>
        </is>
      </c>
      <c r="B959" s="3" t="inlineStr">
        <is>
          <t>Trưởng tuyến</t>
        </is>
      </c>
      <c r="C959" s="3" t="inlineStr">
        <is>
          <t>Route Leader</t>
        </is>
      </c>
      <c r="D959" s="217">
        <f>IFERROR(__xludf.DUMMYFUNCTION("GOOGLETRANSLATE(C959,""vi"",""km"")"),"អ្នកដឹកនាំផ្លូវ")</f>
        <v/>
      </c>
      <c r="E959" s="3" t="n"/>
      <c r="F959" s="3" t="inlineStr">
        <is>
          <t>អ្នកដឹកនាំផ្លូវ</t>
        </is>
      </c>
      <c r="G959" s="3" t="n"/>
      <c r="H959" s="217" t="inlineStr">
        <is>
          <t>"postmanConfig.LEADER": "អ្នកដឹកនាំផ្លូវ",</t>
        </is>
      </c>
      <c r="I959" t="inlineStr">
        <is>
          <t>អ្នកដឹកនាំផ្លូវ</t>
        </is>
      </c>
    </row>
    <row r="960">
      <c r="A960" s="3" t="inlineStr">
        <is>
          <t>postmanConfig.MEMBER</t>
        </is>
      </c>
      <c r="B960" s="3" t="inlineStr">
        <is>
          <t>Tuyến nhận</t>
        </is>
      </c>
      <c r="C960" s="3" t="inlineStr">
        <is>
          <t>Member</t>
        </is>
      </c>
      <c r="D960" s="217">
        <f>IFERROR(__xludf.DUMMYFUNCTION("GOOGLETRANSLATE(C960,""vi"",""km"")"),"ទូក")</f>
        <v/>
      </c>
      <c r="E960" s="3" t="n"/>
      <c r="F960" s="3" t="inlineStr">
        <is>
          <t>ទូក</t>
        </is>
      </c>
      <c r="G960" s="3" t="n"/>
      <c r="H960" s="217" t="inlineStr">
        <is>
          <t>"postmanConfig.MEMBER": "ទូក",</t>
        </is>
      </c>
      <c r="I960" t="inlineStr">
        <is>
          <t>ទូក</t>
        </is>
      </c>
    </row>
    <row r="961">
      <c r="A961" s="3" t="inlineStr">
        <is>
          <t>postmanConfig.active</t>
        </is>
      </c>
      <c r="B961" s="3" t="inlineStr">
        <is>
          <t>Hoạt động</t>
        </is>
      </c>
      <c r="C961" s="3" t="inlineStr">
        <is>
          <t>Active</t>
        </is>
      </c>
      <c r="D961" s="217">
        <f>IFERROR(__xludf.DUMMYFUNCTION("GOOGLETRANSLATE(C961,""vi"",""km"")"),"សកម្ម")</f>
        <v/>
      </c>
      <c r="E961" s="3" t="n"/>
      <c r="F961" s="3" t="inlineStr">
        <is>
          <t>ដំណើរការ</t>
        </is>
      </c>
      <c r="G961" s="3" t="n"/>
      <c r="H961" s="217" t="inlineStr">
        <is>
          <t>"postmanConfig.active": "ដំណើរការ",</t>
        </is>
      </c>
      <c r="I961" t="inlineStr">
        <is>
          <t>ដំណើរការ</t>
        </is>
      </c>
    </row>
    <row r="962">
      <c r="A962" s="3" t="inlineStr">
        <is>
          <t>postmanConfig.assignLeader</t>
        </is>
      </c>
      <c r="B962" s="3" t="inlineStr">
        <is>
          <t>Gán mặc định</t>
        </is>
      </c>
      <c r="C962" s="3" t="inlineStr">
        <is>
          <t>Assign leader route</t>
        </is>
      </c>
      <c r="D962" s="217">
        <f>IFERROR(__xludf.DUMMYFUNCTION("GOOGLETRANSLATE(C962,""vi"",""km"")"),"កំណត់ផ្លូវដឹកនាំ")</f>
        <v/>
      </c>
      <c r="E962" s="3" t="n"/>
      <c r="F962" s="3" t="inlineStr">
        <is>
          <t>កំណត់ជាលំនាំដើម</t>
        </is>
      </c>
      <c r="G962" s="3" t="n"/>
      <c r="H962" s="217" t="inlineStr">
        <is>
          <t>"postmanConfig.assignLeader": "កំណត់ជាលំនាំដើម",</t>
        </is>
      </c>
      <c r="I962" t="inlineStr">
        <is>
          <t>កំណត់ជាលំនាំដើម</t>
        </is>
      </c>
    </row>
    <row r="963">
      <c r="A963" s="3" t="inlineStr">
        <is>
          <t>postmanConfig.inActive</t>
        </is>
      </c>
      <c r="B963" s="3" t="inlineStr">
        <is>
          <t>Không hoạt động</t>
        </is>
      </c>
      <c r="C963" s="3" t="inlineStr">
        <is>
          <t>Inactive</t>
        </is>
      </c>
      <c r="D963" s="217">
        <f>IFERROR(__xludf.DUMMYFUNCTION("GOOGLETRANSLATE(C963,""vi"",""km"")"),"អសកម្ម")</f>
        <v/>
      </c>
      <c r="E963" s="3" t="n"/>
      <c r="F963" s="3" t="inlineStr">
        <is>
          <t>អសកម្ម</t>
        </is>
      </c>
      <c r="G963" s="3" t="n"/>
      <c r="H963" s="217" t="inlineStr">
        <is>
          <t>"postmanConfig.inActive": "អសកម្ម",</t>
        </is>
      </c>
      <c r="I963" t="inlineStr">
        <is>
          <t>អសកម្ម</t>
        </is>
      </c>
    </row>
    <row r="964">
      <c r="A964" s="3" t="inlineStr">
        <is>
          <t>postmanConfig.postmanRoute</t>
        </is>
      </c>
      <c r="B964" s="3" t="inlineStr">
        <is>
          <t>Bưu tá</t>
        </is>
      </c>
      <c r="C964" s="3" t="inlineStr">
        <is>
          <t>Postman route</t>
        </is>
      </c>
      <c r="D964" s="217">
        <f>IFERROR(__xludf.DUMMYFUNCTION("GOOGLETRANSLATE(C964,""vi"",""km"")"),"ផ្លូវអ្នកប្រៃសណីយ៍")</f>
        <v/>
      </c>
      <c r="E964" s="3" t="n"/>
      <c r="F964" s="3" t="inlineStr">
        <is>
          <t>បុគ្គលិកដឹកជញ្ជូន</t>
        </is>
      </c>
      <c r="G964" s="3" t="n"/>
      <c r="H964" s="217" t="inlineStr">
        <is>
          <t>"postmanConfig.postmanRoute": "បុគ្គលិកដឹកជញ្ជូន",</t>
        </is>
      </c>
      <c r="I964" t="inlineStr">
        <is>
          <t>បុគ្គលិកដឹកជញ្ជូន</t>
        </is>
      </c>
    </row>
    <row r="965">
      <c r="A965" s="3" t="inlineStr">
        <is>
          <t>postmanConfig.postmanRoutePlaceholder</t>
        </is>
      </c>
      <c r="B965" s="3" t="inlineStr">
        <is>
          <t>Chọn tuyến bưu tá</t>
        </is>
      </c>
      <c r="C965" s="3" t="inlineStr">
        <is>
          <t>Enter Postman route</t>
        </is>
      </c>
      <c r="D965" s="217">
        <f>IFERROR(__xludf.DUMMYFUNCTION("GOOGLETRANSLATE(C965,""vi"",""km"")"),"បញ្ចូលផ្លូវ Postman")</f>
        <v/>
      </c>
      <c r="E965" s="3" t="n"/>
      <c r="F965" s="3" t="inlineStr">
        <is>
          <t>បញ្ចូលផ្លូវ Postman</t>
        </is>
      </c>
      <c r="G965" s="3" t="n"/>
      <c r="H965" s="217" t="inlineStr">
        <is>
          <t>"postmanConfig.postmanRoutePlaceholder": "បញ្ចូលផ្លូវ Postman",</t>
        </is>
      </c>
      <c r="I965" t="inlineStr">
        <is>
          <t>បញ្ចូលផ្លូវ Postman</t>
        </is>
      </c>
    </row>
    <row r="966">
      <c r="A966" s="3" t="inlineStr">
        <is>
          <t>postmanConfig.role</t>
        </is>
      </c>
      <c r="B966" s="3" t="inlineStr">
        <is>
          <t>Cấu hình</t>
        </is>
      </c>
      <c r="C966" s="3" t="inlineStr">
        <is>
          <t>Role</t>
        </is>
      </c>
      <c r="D966" s="217">
        <f>IFERROR(__xludf.DUMMYFUNCTION("GOOGLETRANSLATE(C966,""vi"",""km"")"),"តួនាទី")</f>
        <v/>
      </c>
      <c r="E966" s="3" t="n"/>
      <c r="F966" s="3" t="inlineStr">
        <is>
          <t>តួនាទី</t>
        </is>
      </c>
      <c r="G966" s="3" t="n"/>
      <c r="H966" s="217" t="inlineStr">
        <is>
          <t>"postmanConfig.role": "តួនាទី",</t>
        </is>
      </c>
      <c r="I966" t="inlineStr">
        <is>
          <t>តួនាទី</t>
        </is>
      </c>
    </row>
    <row r="967">
      <c r="A967" s="3" t="inlineStr">
        <is>
          <t>postmanConfig.searchRoute</t>
        </is>
      </c>
      <c r="B967" s="3" t="inlineStr">
        <is>
          <t>Tìm kiếm tuyến</t>
        </is>
      </c>
      <c r="C967" s="3" t="inlineStr">
        <is>
          <t>Search for route</t>
        </is>
      </c>
      <c r="D967" s="217">
        <f>IFERROR(__xludf.DUMMYFUNCTION("GOOGLETRANSLATE(C967,""vi"",""km"")"),"ស្វែងរកផ្លូវ")</f>
        <v/>
      </c>
      <c r="E967" s="3" t="n"/>
      <c r="F967" s="3" t="inlineStr">
        <is>
          <t>ស្វែងរកផ្លូវ</t>
        </is>
      </c>
      <c r="G967" s="3" t="n"/>
      <c r="H967" s="217" t="inlineStr">
        <is>
          <t>"postmanConfig.searchRoute": "ស្វែងរកផ្លូវ",</t>
        </is>
      </c>
      <c r="I967" t="inlineStr">
        <is>
          <t>ស្វែងរកផ្លូវ</t>
        </is>
      </c>
    </row>
    <row r="968">
      <c r="A968" s="3" t="inlineStr">
        <is>
          <t>postmanConfig.searchRoutePlaceholder</t>
        </is>
      </c>
      <c r="B968" s="3" t="inlineStr">
        <is>
          <t>Nhập tên tuyến</t>
        </is>
      </c>
      <c r="C968" s="3" t="inlineStr">
        <is>
          <t>Enter route</t>
        </is>
      </c>
      <c r="D968" s="217">
        <f>IFERROR(__xludf.DUMMYFUNCTION("GOOGLETRANSLATE(C968,""vi"",""km"")"),"បញ្ចូលផ្លូវ")</f>
        <v/>
      </c>
      <c r="E968" s="3" t="n"/>
      <c r="F968" s="3" t="inlineStr">
        <is>
          <t>បញ្ចូលផ្លូវ</t>
        </is>
      </c>
      <c r="G968" s="3" t="n"/>
      <c r="H968" s="217" t="inlineStr">
        <is>
          <t>"postmanConfig.searchRoutePlaceholder": "បញ្ចូលផ្លូវ",</t>
        </is>
      </c>
      <c r="I968" t="inlineStr">
        <is>
          <t>បញ្ចូលផ្លូវ</t>
        </is>
      </c>
    </row>
    <row r="969">
      <c r="A969" s="3" t="inlineStr">
        <is>
          <t>postmanConfig.shift</t>
        </is>
      </c>
      <c r="B969" s="3" t="inlineStr">
        <is>
          <t>Ca làm việc</t>
        </is>
      </c>
      <c r="C969" s="3" t="inlineStr">
        <is>
          <t>Working shift</t>
        </is>
      </c>
      <c r="D969" s="217">
        <f>IFERROR(__xludf.DUMMYFUNCTION("GOOGLETRANSLATE(C969,""vi"",""km"")"),"វេនធ្វើការ")</f>
        <v/>
      </c>
      <c r="E969" s="3" t="n"/>
      <c r="F969" s="3" t="inlineStr">
        <is>
          <t>វេនធ្វើការ</t>
        </is>
      </c>
      <c r="G969" s="3" t="n"/>
      <c r="H969" s="217" t="inlineStr">
        <is>
          <t>"postmanConfig.shift": "វេនធ្វើការ",</t>
        </is>
      </c>
      <c r="I969" t="inlineStr">
        <is>
          <t>វេនធ្វើការ</t>
        </is>
      </c>
    </row>
    <row r="970">
      <c r="A970" s="3" t="inlineStr">
        <is>
          <t>postmanConfig.shiftPlaceholder</t>
        </is>
      </c>
      <c r="B970" s="3" t="inlineStr">
        <is>
          <t>Chọn ca làm việc</t>
        </is>
      </c>
      <c r="C970" s="3" t="inlineStr">
        <is>
          <t>Select Working shift</t>
        </is>
      </c>
      <c r="D970" s="217">
        <f>IFERROR(__xludf.DUMMYFUNCTION("GOOGLETRANSLATE(C970,""vi"",""km"")"),"ជ្រើសរើសវេនធ្វើការ")</f>
        <v/>
      </c>
      <c r="E970" s="3" t="n"/>
      <c r="F970" s="3" t="inlineStr">
        <is>
          <t>ជ្រើសរើសវេនធ្វើការ</t>
        </is>
      </c>
      <c r="G970" s="3" t="n"/>
      <c r="H970" s="217" t="inlineStr">
        <is>
          <t>"postmanConfig.shiftPlaceholder": "ជ្រើសរើសវេនធ្វើការ",</t>
        </is>
      </c>
      <c r="I970" t="inlineStr">
        <is>
          <t>ជ្រើសរើសវេនធ្វើការ</t>
        </is>
      </c>
    </row>
    <row r="971">
      <c r="A971" s="3" t="inlineStr">
        <is>
          <t>postmanConfig.toolHandle.changeStatus</t>
        </is>
      </c>
      <c r="B971" s="3" t="inlineStr">
        <is>
          <t>Đổi trạng thái tuyến bưu tá</t>
        </is>
      </c>
      <c r="C971" s="3" t="inlineStr">
        <is>
          <t>Change route status</t>
        </is>
      </c>
      <c r="D971" s="217">
        <f>IFERROR(__xludf.DUMMYFUNCTION("GOOGLETRANSLATE(C971,""vi"",""km"")"),"ផ្លាស់ប្តូរស្ថានភាពផ្លូវ")</f>
        <v/>
      </c>
      <c r="E971" s="3" t="n"/>
      <c r="F971" s="3" t="inlineStr">
        <is>
          <t>ផ្លាស់ប្តូរស្ថានភាពផ្លូវ</t>
        </is>
      </c>
      <c r="G971" s="3" t="n"/>
      <c r="H971" s="217" t="inlineStr">
        <is>
          <t>"postmanConfig.toolHandle.changeStatus": "ផ្លាស់ប្តូរស្ថានភាពផ្លូវ",</t>
        </is>
      </c>
      <c r="I971" t="inlineStr">
        <is>
          <t>ផ្លាស់ប្តូរស្ថានភាពផ្លូវ</t>
        </is>
      </c>
    </row>
    <row r="972">
      <c r="A972" s="3" t="inlineStr">
        <is>
          <t>postmanConfig.toolHandle.titleModal</t>
        </is>
      </c>
      <c r="B972" s="3" t="inlineStr">
        <is>
          <t>Bạn có chắc chắn muốn thay đổi trạng thái tuyến bưu tá hay không?</t>
        </is>
      </c>
      <c r="C972" s="3" t="inlineStr">
        <is>
          <t>Are you sure to change route status?</t>
        </is>
      </c>
      <c r="D972" s="217">
        <f>IFERROR(__xludf.DUMMYFUNCTION("GOOGLETRANSLATE(C972,""vi"",""km"")"),"តើអ្នកពិតជាចង់ផ្លាស់ប្តូរស្ថានភាពផ្លូវមែនទេ?")</f>
        <v/>
      </c>
      <c r="E972" s="3" t="n"/>
      <c r="F972" s="3" t="inlineStr">
        <is>
          <t>តើអ្នកពិតជាចង់ផ្លាស់ប្តូរស្ថានភាពផ្លូវមែនទេ?</t>
        </is>
      </c>
      <c r="G972" s="3" t="n"/>
      <c r="H972" s="217" t="inlineStr">
        <is>
          <t>"postmanConfig.toolHandle.titleModal": "តើអ្នកពិតជាចង់ផ្លាស់ប្តូរស្ថានភាពផ្លូវមែនទេ?",</t>
        </is>
      </c>
      <c r="I972" t="inlineStr">
        <is>
          <t>តើអ្នកពិតជាចង់ផ្លាស់ប្តូរស្ថានភាពផ្លូវមែនទេ?</t>
        </is>
      </c>
    </row>
    <row r="973">
      <c r="A973" s="3" t="inlineStr">
        <is>
          <t>postmanConfig.total</t>
        </is>
      </c>
      <c r="B973" s="3" t="inlineStr">
        <is>
          <t>Tổng tuyến bưu tá</t>
        </is>
      </c>
      <c r="C973" s="3" t="inlineStr">
        <is>
          <t>Total postman routes</t>
        </is>
      </c>
      <c r="D973" s="217">
        <f>IFERROR(__xludf.DUMMYFUNCTION("GOOGLETRANSLATE(C973,""vi"",""km"")"),"ផ្លូវអ្នកប្រៃសណីយ៍សរុប")</f>
        <v/>
      </c>
      <c r="E973" s="3" t="n"/>
      <c r="F973" s="3" t="inlineStr">
        <is>
          <t>ផ្លូវអ្នកប្រៃសណីយ៍សរុប</t>
        </is>
      </c>
      <c r="G973" s="3" t="n"/>
      <c r="H973" s="217" t="inlineStr">
        <is>
          <t>"postmanConfig.total": "ផ្លូវអ្នកប្រៃសណីយ៍សរុប",</t>
        </is>
      </c>
      <c r="I973" t="inlineStr">
        <is>
          <t>ផ្លូវអ្នកប្រៃសណីយ៍សរុប</t>
        </is>
      </c>
    </row>
    <row r="974">
      <c r="A974" s="3" t="inlineStr">
        <is>
          <t>postmanDelivery.NotDefaultUser</t>
        </is>
      </c>
      <c r="B974" s="3" t="inlineStr">
        <is>
          <t>Không mặc định</t>
        </is>
      </c>
      <c r="C974" s="3" t="inlineStr">
        <is>
          <t>Not default</t>
        </is>
      </c>
      <c r="D974" s="217">
        <f>IFERROR(__xludf.DUMMYFUNCTION("GOOGLETRANSLATE(C974,""vi"",""km"")"),"មិនមែនជាលំនាំដើមទេ")</f>
        <v/>
      </c>
      <c r="E974" s="3" t="n"/>
      <c r="F974" s="3" t="inlineStr">
        <is>
          <t>មិនកំណត់ជាលំនាំដើម</t>
        </is>
      </c>
      <c r="G974" s="3" t="n"/>
      <c r="H974" s="217" t="inlineStr">
        <is>
          <t>"postmanDelivery.NotDefaultUser": "មិនកំណត់ជាលំនាំដើម",</t>
        </is>
      </c>
      <c r="I974" t="inlineStr">
        <is>
          <t>មិនកំណត់ជាលំនាំដើម</t>
        </is>
      </c>
    </row>
    <row r="975">
      <c r="A975" s="3" t="inlineStr">
        <is>
          <t>postmanDelivery.changStatusSuccess</t>
        </is>
      </c>
      <c r="B975" s="3" t="inlineStr">
        <is>
          <t>Thay đổi trạng thái thành công</t>
        </is>
      </c>
      <c r="C975" s="3" t="inlineStr">
        <is>
          <t>Change status successfully</t>
        </is>
      </c>
      <c r="D975" s="217">
        <f>IFERROR(__xludf.DUMMYFUNCTION("GOOGLETRANSLATE(C975,""vi"",""km"")"),"ផ្លាស់ប្តូរស្ថានភាព w")</f>
        <v/>
      </c>
      <c r="E975" s="3" t="n"/>
      <c r="F975" s="3" t="inlineStr">
        <is>
          <t>ផ្លាស់ប្តូរស្ថានភាព w</t>
        </is>
      </c>
      <c r="G975" s="3" t="n"/>
      <c r="H975" s="217" t="inlineStr">
        <is>
          <t>"postmanDelivery.changStatusSuccess": "ផ្លាស់ប្តូរស្ថានភាព w",</t>
        </is>
      </c>
      <c r="I975" t="inlineStr">
        <is>
          <t>ផ្លាស់ប្តូរស្ថានភាព w</t>
        </is>
      </c>
    </row>
    <row r="976">
      <c r="A976" s="3" t="inlineStr">
        <is>
          <t>postmanDelivery.defaultUser</t>
        </is>
      </c>
      <c r="B976" s="3" t="inlineStr">
        <is>
          <t>Mặc định</t>
        </is>
      </c>
      <c r="C976" s="3" t="inlineStr">
        <is>
          <t>Default</t>
        </is>
      </c>
      <c r="D976" s="217">
        <f>IFERROR(__xludf.DUMMYFUNCTION("GOOGLETRANSLATE(C976,""vi"",""km"")"),"លំនាំដើម")</f>
        <v/>
      </c>
      <c r="E976" s="3" t="n"/>
      <c r="F976" s="3" t="inlineStr">
        <is>
          <t>លំនាំដើម</t>
        </is>
      </c>
      <c r="G976" s="3" t="n"/>
      <c r="H976" s="217" t="inlineStr">
        <is>
          <t>"postmanDelivery.defaultUser": "លំនាំដើម",</t>
        </is>
      </c>
      <c r="I976" t="inlineStr">
        <is>
          <t>លំនាំដើម</t>
        </is>
      </c>
    </row>
    <row r="977">
      <c r="A977" s="3" t="inlineStr">
        <is>
          <t>postmanDelivery.notiChangeStatus</t>
        </is>
      </c>
      <c r="B977" s="3" t="inlineStr">
        <is>
          <t>Bạn có chắc chắn muốn thay đổi trạng thái tuyến bưu tá hay không</t>
        </is>
      </c>
      <c r="C977" s="3" t="inlineStr">
        <is>
          <t>Are you sure you want to update the status postal route?</t>
        </is>
      </c>
      <c r="D977" s="217">
        <f>IFERROR(__xludf.DUMMYFUNCTION("GOOGLETRANSLATE(C977,""vi"",""km"")"),"តើអ្នកពិតជាចង់ធ្វើបច្ចុប្បន្នភាពស្ថានភាពផ្លូវប្រៃសណីយ៍មែនទេ?")</f>
        <v/>
      </c>
      <c r="E977" s="3" t="n"/>
      <c r="F977" s="3" t="inlineStr">
        <is>
          <t>តើអ្នកពិតជាចង់ធ្វើបច្ចុប្បន្នភាពស្ថានភាពផ្លូវប្រៃសណីយ៍មែនទេ?</t>
        </is>
      </c>
      <c r="G977" s="3" t="n"/>
      <c r="H977" s="217" t="inlineStr">
        <is>
          <t>"postmanDelivery.notiChangeStatus": "តើអ្នកពិតជាចង់ធ្វើបច្ចុប្បន្នភាពស្ថានភាពផ្លូវប្រៃសណីយ៍មែនទេ?",</t>
        </is>
      </c>
      <c r="I977" t="inlineStr">
        <is>
          <t>តើអ្នកពិតជាចង់ធ្វើបច្ចុប្បន្នភាពស្ថានភាពផ្លូវប្រៃសណីយ៍មែនទេ?</t>
        </is>
      </c>
    </row>
    <row r="978">
      <c r="A978" s="3" t="inlineStr">
        <is>
          <t>postmanDelivery.searchPostman</t>
        </is>
      </c>
      <c r="B978" s="3" t="inlineStr">
        <is>
          <t>Nhập tên bưu tá</t>
        </is>
      </c>
      <c r="C978" s="3" t="inlineStr">
        <is>
          <t>Enter postman</t>
        </is>
      </c>
      <c r="D978" s="217">
        <f>IFERROR(__xludf.DUMMYFUNCTION("GOOGLETRANSLATE(C978,""vi"",""km"")"),"បញ្ចូលអ្នករត់សំបុត្រ")</f>
        <v/>
      </c>
      <c r="E978" s="3" t="n"/>
      <c r="F978" s="3" t="inlineStr">
        <is>
          <t>បញ្ចូលអ្នកដឹកជញ្ជូន</t>
        </is>
      </c>
      <c r="G978" s="3" t="n"/>
      <c r="H978" s="217" t="inlineStr">
        <is>
          <t>"postmanDelivery.searchPostman": "បញ្ចូលអ្នកដឹកជញ្ជូន",</t>
        </is>
      </c>
      <c r="I978" t="inlineStr">
        <is>
          <t>បញ្ចូលអ្នកដឹកជញ្ជូន</t>
        </is>
      </c>
    </row>
    <row r="979">
      <c r="A979" s="3" t="inlineStr">
        <is>
          <t>priceManager.orderType</t>
        </is>
      </c>
      <c r="B979" s="3" t="inlineStr">
        <is>
          <t>Loại phiếu gửi</t>
        </is>
      </c>
      <c r="C979" s="3" t="inlineStr">
        <is>
          <t>Order type</t>
        </is>
      </c>
      <c r="D979" s="217">
        <f>IFERROR(__xludf.DUMMYFUNCTION("GOOGLETRANSLATE(C979,""vi"",""km"")"),"ប្រភេទការបញ្ជាទិញ")</f>
        <v/>
      </c>
      <c r="E979" s="3" t="n"/>
      <c r="F979" s="3" t="inlineStr">
        <is>
          <t>ប្រភេទការបញ្ជាទិញ</t>
        </is>
      </c>
      <c r="G979" s="3" t="n"/>
      <c r="H979" s="217" t="inlineStr">
        <is>
          <t>"priceManager.orderType": "ប្រភេទការបញ្ជាទិញ",</t>
        </is>
      </c>
      <c r="I979" t="inlineStr">
        <is>
          <t>ប្រភេទការបញ្ជាទិញ</t>
        </is>
      </c>
    </row>
    <row r="980">
      <c r="A980" s="3" t="inlineStr">
        <is>
          <t>priceManager.orderTypePlaceholder</t>
        </is>
      </c>
      <c r="B980" s="3" t="inlineStr">
        <is>
          <t>Chọn loại phiếu gửi</t>
        </is>
      </c>
      <c r="C980" s="3" t="inlineStr">
        <is>
          <t>Select Order type</t>
        </is>
      </c>
      <c r="D980" s="217">
        <f>IFERROR(__xludf.DUMMYFUNCTION("GOOGLETRANSLATE(C980,""vi"",""km"")"),"ជ្រើសរើសប្រភេទការបញ្ជាទិញ")</f>
        <v/>
      </c>
      <c r="E980" s="3" t="n"/>
      <c r="F980" s="3" t="inlineStr">
        <is>
          <t>ជ្រើសរើសប្រភេទការបញ្ជាទិញ</t>
        </is>
      </c>
      <c r="G980" s="3" t="n"/>
      <c r="H980" s="217" t="inlineStr">
        <is>
          <t>"priceManager.orderTypePlaceholder": "ជ្រើសរើសប្រភេទការបញ្ជាទិញ",</t>
        </is>
      </c>
      <c r="I980" t="inlineStr">
        <is>
          <t>ជ្រើសរើសប្រភេទការបញ្ជាទិញ</t>
        </is>
      </c>
    </row>
    <row r="981">
      <c r="A981" s="3" t="inlineStr">
        <is>
          <t>priceManager.price</t>
        </is>
      </c>
      <c r="B981" s="3" t="inlineStr">
        <is>
          <t>Quản lý bảng tính</t>
        </is>
      </c>
      <c r="C981" s="3" t="inlineStr">
        <is>
          <t>Shipping price management</t>
        </is>
      </c>
      <c r="D981" s="217">
        <f>IFERROR(__xludf.DUMMYFUNCTION("GOOGLETRANSLATE(C981,""vi"",""km"")"),"ការគ្រប់គ្រងតម្លៃដឹកជញ្ជូន")</f>
        <v/>
      </c>
      <c r="E981" s="3" t="n"/>
      <c r="F981" s="3" t="inlineStr">
        <is>
          <t>ការគ្រប់គ្រងតម្លៃដឹកជញ្ជូន</t>
        </is>
      </c>
      <c r="G981" s="3" t="n"/>
      <c r="H981" s="217" t="inlineStr">
        <is>
          <t>"priceManager.price": "ការគ្រប់គ្រងតម្លៃដឹកជញ្ជូន",</t>
        </is>
      </c>
      <c r="I981" t="inlineStr">
        <is>
          <t>ការគ្រប់គ្រងតម្លៃដឹកជញ្ជូន</t>
        </is>
      </c>
    </row>
    <row r="982">
      <c r="A982" s="3" t="inlineStr">
        <is>
          <t>priceManager.priceManager</t>
        </is>
      </c>
      <c r="B982" s="3" t="inlineStr">
        <is>
          <t>Quản lý bảng giá</t>
        </is>
      </c>
      <c r="C982" s="3" t="inlineStr">
        <is>
          <t>Pricing management</t>
        </is>
      </c>
      <c r="D982" s="217">
        <f>IFERROR(__xludf.DUMMYFUNCTION("GOOGLETRANSLATE(C982,""vi"",""km"")"),"ក្រុមហ៊ុនកំណត់តម្លៃ")</f>
        <v/>
      </c>
      <c r="E982" s="3" t="n"/>
      <c r="F982" s="3" t="inlineStr">
        <is>
          <t>ក្រុមហ៊ុនកំណត់តម្លៃ</t>
        </is>
      </c>
      <c r="G982" s="3" t="n"/>
      <c r="H982" s="217" t="inlineStr">
        <is>
          <t>"priceManager.priceManager": "ក្រុមហ៊ុនកំណត់តម្លៃ",</t>
        </is>
      </c>
      <c r="I982" t="inlineStr">
        <is>
          <t>ក្រុមហ៊ុនកំណត់តម្លៃ</t>
        </is>
      </c>
    </row>
    <row r="983">
      <c r="A983" s="3" t="inlineStr">
        <is>
          <t>priceManager.pricePricing</t>
        </is>
      </c>
      <c r="B983" s="3" t="inlineStr">
        <is>
          <t>Bảng tính giá</t>
        </is>
      </c>
      <c r="C983" s="3" t="inlineStr">
        <is>
          <t>Pricing Information Table</t>
        </is>
      </c>
      <c r="D983" s="217">
        <f>IFERROR(__xludf.DUMMYFUNCTION("GOOGLETRANSLATE(C983,""vi"",""km"")"),"តារាងព័ត៌មានអំពីតម្លៃ")</f>
        <v/>
      </c>
      <c r="E983" s="3" t="n"/>
      <c r="F983" s="3" t="inlineStr">
        <is>
          <t>តារាងព័ត៌មានអំពីតម្លៃ</t>
        </is>
      </c>
      <c r="G983" s="3" t="n"/>
      <c r="H983" s="217" t="inlineStr">
        <is>
          <t>"priceManager.pricePricing": "តារាងព័ត៌មានអំពីតម្លៃ",</t>
        </is>
      </c>
      <c r="I983" t="inlineStr">
        <is>
          <t>តារាងព័ត៌មានអំពីតម្លៃ</t>
        </is>
      </c>
    </row>
    <row r="984">
      <c r="A984" s="3" t="inlineStr">
        <is>
          <t>priceManager.pricezone</t>
        </is>
      </c>
      <c r="B984" s="3" t="inlineStr">
        <is>
          <t>Zone giá</t>
        </is>
      </c>
      <c r="C984" s="3" t="inlineStr">
        <is>
          <t>Price zone</t>
        </is>
      </c>
      <c r="D984" s="217">
        <f>IFERROR(__xludf.DUMMYFUNCTION("GOOGLETRANSLATE(C984,""vi"",""km"")"),"តំបន់តម្លៃ")</f>
        <v/>
      </c>
      <c r="E984" s="3" t="n"/>
      <c r="F984" s="3" t="inlineStr">
        <is>
          <t>តំបន់គិតតម្លៃ (Zone)</t>
        </is>
      </c>
      <c r="G984" s="3" t="n"/>
      <c r="H984" s="217" t="inlineStr">
        <is>
          <t>"priceManager.pricezone": "តំបន់គិតតម្លៃ (Zone)",</t>
        </is>
      </c>
      <c r="I984" t="inlineStr">
        <is>
          <t>តំបន់គិតតម្លៃ (Zone)</t>
        </is>
      </c>
    </row>
    <row r="985">
      <c r="A985" s="3" t="inlineStr">
        <is>
          <t>priceManager.searchKeyword</t>
        </is>
      </c>
      <c r="B985" s="3" t="inlineStr">
        <is>
          <t>Nhập từ khóa tìm kiếm</t>
        </is>
      </c>
      <c r="C985" s="3" t="inlineStr">
        <is>
          <t>Enter keywords</t>
        </is>
      </c>
      <c r="D985" s="217">
        <f>IFERROR(__xludf.DUMMYFUNCTION("GOOGLETRANSLATE(C985,""vi"",""km"")"),"គ្រាប់ចុចបញ្ចូល")</f>
        <v/>
      </c>
      <c r="E985" s="3" t="n"/>
      <c r="F985" s="3" t="inlineStr">
        <is>
          <t>គ្រាប់ចុចបញ្ចូល</t>
        </is>
      </c>
      <c r="G985" s="3" t="n"/>
      <c r="H985" s="217" t="inlineStr">
        <is>
          <t>"priceManager.searchKeyword": "គ្រាប់ចុចបញ្ចូល",</t>
        </is>
      </c>
      <c r="I985" t="inlineStr">
        <is>
          <t>គ្រាប់ចុចបញ្ចូល</t>
        </is>
      </c>
    </row>
    <row r="986">
      <c r="A986" s="3" t="inlineStr">
        <is>
          <t>priceManager.searchPlaceholder</t>
        </is>
      </c>
      <c r="B986" s="3" t="inlineStr">
        <is>
          <t>Nhập mã dịch vụ tìm kiếm</t>
        </is>
      </c>
      <c r="C986" s="3" t="inlineStr">
        <is>
          <t>Enter service code</t>
        </is>
      </c>
      <c r="D986" s="217">
        <f>IFERROR(__xludf.DUMMYFUNCTION("GOOGLETRANSLATE(C986,""vi"",""km"")"),"បញ្ចូលលេខកូដសេវាកម្ម")</f>
        <v/>
      </c>
      <c r="E986" s="3" t="n"/>
      <c r="F986" s="3" t="inlineStr">
        <is>
          <t>បញ្ចូលលេខកូដសេវាកម្ម</t>
        </is>
      </c>
      <c r="G986" s="3" t="n"/>
      <c r="H986" s="217" t="inlineStr">
        <is>
          <t>"priceManager.searchPlaceholder": "បញ្ចូលលេខកូដសេវាកម្ម",</t>
        </is>
      </c>
      <c r="I986" t="inlineStr">
        <is>
          <t>បញ្ចូលលេខកូដសេវាកម្ម</t>
        </is>
      </c>
    </row>
    <row r="987">
      <c r="A987" s="3" t="inlineStr">
        <is>
          <t>priceManager.service</t>
        </is>
      </c>
      <c r="B987" s="3" t="inlineStr">
        <is>
          <t>Quản lý dịch vụ</t>
        </is>
      </c>
      <c r="C987" s="3" t="inlineStr">
        <is>
          <t>Service management</t>
        </is>
      </c>
      <c r="D987" s="217">
        <f>IFERROR(__xludf.DUMMYFUNCTION("GOOGLETRANSLATE(C987,""vi"",""km"")"),"សេវាកម្មអាជីវកម្ម")</f>
        <v/>
      </c>
      <c r="E987" s="3" t="n"/>
      <c r="F987" s="3" t="inlineStr">
        <is>
          <t>សេវាកម្មអាជីវកម្ម</t>
        </is>
      </c>
      <c r="G987" s="3" t="n"/>
      <c r="H987" s="217" t="inlineStr">
        <is>
          <t>"priceManager.service": "សេវាកម្មអាជីវកម្ម",</t>
        </is>
      </c>
      <c r="I987" t="inlineStr">
        <is>
          <t>សេវាកម្មអាជីវកម្ម</t>
        </is>
      </c>
    </row>
    <row r="988">
      <c r="A988" s="3" t="inlineStr">
        <is>
          <t>priceManager.serviceCode</t>
        </is>
      </c>
      <c r="B988" s="3" t="inlineStr">
        <is>
          <t>Mã dịch vụ</t>
        </is>
      </c>
      <c r="C988" s="3" t="inlineStr">
        <is>
          <t>Service code</t>
        </is>
      </c>
      <c r="D988" s="217">
        <f>IFERROR(__xludf.DUMMYFUNCTION("GOOGLETRANSLATE(C988,""vi"",""km"")"),"លេខកូដសេវាកម្ម")</f>
        <v/>
      </c>
      <c r="E988" s="3" t="n"/>
      <c r="F988" s="3" t="inlineStr">
        <is>
          <t>លេខកូដសេវាកម្ម</t>
        </is>
      </c>
      <c r="G988" s="3" t="n"/>
      <c r="H988" s="217" t="inlineStr">
        <is>
          <t>"priceManager.serviceCode": "លេខកូដសេវាកម្ម",</t>
        </is>
      </c>
      <c r="I988" t="inlineStr">
        <is>
          <t>លេខកូដសេវាកម្ម</t>
        </is>
      </c>
    </row>
    <row r="989">
      <c r="A989" s="3" t="inlineStr">
        <is>
          <t>priceManager.serviceGroup</t>
        </is>
      </c>
      <c r="B989" s="3" t="inlineStr">
        <is>
          <t>Nhóm dịch vụ</t>
        </is>
      </c>
      <c r="C989" s="3" t="inlineStr">
        <is>
          <t>Service group</t>
        </is>
      </c>
      <c r="D989" s="217">
        <f>IFERROR(__xludf.DUMMYFUNCTION("GOOGLETRANSLATE(C989,""vi"",""km"")"),"ក្រុមសេវាកម្ម")</f>
        <v/>
      </c>
      <c r="E989" s="3" t="n"/>
      <c r="F989" s="3" t="inlineStr">
        <is>
          <t>ក្រុមសេវាកម្ម</t>
        </is>
      </c>
      <c r="G989" s="3" t="n"/>
      <c r="H989" s="217" t="inlineStr">
        <is>
          <t>"priceManager.serviceGroup": "ក្រុមសេវាកម្ម",</t>
        </is>
      </c>
      <c r="I989" t="inlineStr">
        <is>
          <t>ក្រុមសេវាកម្ម</t>
        </is>
      </c>
    </row>
    <row r="990">
      <c r="A990" s="3" t="inlineStr">
        <is>
          <t>priceManager.serviceType</t>
        </is>
      </c>
      <c r="B990" s="3" t="inlineStr">
        <is>
          <t>Loại dịch vụ</t>
        </is>
      </c>
      <c r="C990" s="3" t="inlineStr">
        <is>
          <t>Service type</t>
        </is>
      </c>
      <c r="D990" s="217">
        <f>IFERROR(__xludf.DUMMYFUNCTION("GOOGLETRANSLATE(C990,""vi"",""km"")"),"ប្រភេទសេវាកម្ម")</f>
        <v/>
      </c>
      <c r="E990" s="3" t="n"/>
      <c r="F990" s="3" t="inlineStr">
        <is>
          <t>ប្រភេទសេវាកម្ម</t>
        </is>
      </c>
      <c r="G990" s="3" t="n"/>
      <c r="H990" s="217" t="inlineStr">
        <is>
          <t>"priceManager.serviceType": "ប្រភេទសេវាកម្ម",</t>
        </is>
      </c>
      <c r="I990" t="inlineStr">
        <is>
          <t>ប្រភេទសេវាកម្ម</t>
        </is>
      </c>
    </row>
    <row r="991">
      <c r="A991" s="3" t="inlineStr">
        <is>
          <t>priceManager.serviceTypePlaceholder</t>
        </is>
      </c>
      <c r="B991" s="3" t="inlineStr">
        <is>
          <t>Chọn loại dịch vụ</t>
        </is>
      </c>
      <c r="C991" s="3" t="inlineStr">
        <is>
          <t>Select service type</t>
        </is>
      </c>
      <c r="D991" s="217">
        <f>IFERROR(__xludf.DUMMYFUNCTION("GOOGLETRANSLATE(C991,""vi"",""km"")"),"ជ្រើសរើសប្រភេទសេវាកម្ម")</f>
        <v/>
      </c>
      <c r="E991" s="3" t="n"/>
      <c r="F991" s="3" t="inlineStr">
        <is>
          <t>ជ្រើសរើសប្រភេទសេវាកម្ម</t>
        </is>
      </c>
      <c r="G991" s="3" t="n"/>
      <c r="H991" s="217" t="inlineStr">
        <is>
          <t>"priceManager.serviceTypePlaceholder": "ជ្រើសរើសប្រភេទសេវាកម្ម",</t>
        </is>
      </c>
      <c r="I991" t="inlineStr">
        <is>
          <t>ជ្រើសរើសប្រភេទសេវាកម្ម</t>
        </is>
      </c>
    </row>
    <row r="992">
      <c r="A992" s="3" t="inlineStr">
        <is>
          <t>priceManager.status</t>
        </is>
      </c>
      <c r="B992" s="3" t="inlineStr">
        <is>
          <t>Trạng thái</t>
        </is>
      </c>
      <c r="C992" s="3" t="inlineStr">
        <is>
          <t>Status</t>
        </is>
      </c>
      <c r="D992" s="217">
        <f>IFERROR(__xludf.DUMMYFUNCTION("GOOGLETRANSLATE(C992,""vi"",""km"")"),"ស្ថានភាព")</f>
        <v/>
      </c>
      <c r="E992" s="3" t="n"/>
      <c r="F992" s="3" t="inlineStr">
        <is>
          <t>ស្ថានភាព</t>
        </is>
      </c>
      <c r="G992" s="3" t="n"/>
      <c r="H992" s="217" t="inlineStr">
        <is>
          <t>"priceManager.status": "ស្ថានភាព",</t>
        </is>
      </c>
      <c r="I992" t="inlineStr">
        <is>
          <t>ស្ថានភាព</t>
        </is>
      </c>
    </row>
    <row r="993">
      <c r="A993" s="23" t="inlineStr">
        <is>
          <t>pricezone.id</t>
        </is>
      </c>
      <c r="B993" s="3" t="inlineStr">
        <is>
          <t>ID</t>
        </is>
      </c>
      <c r="C993" s="3" t="inlineStr">
        <is>
          <t>ID</t>
        </is>
      </c>
      <c r="D993" s="217">
        <f>IFERROR(__xludf.DUMMYFUNCTION("GOOGLETRANSLATE(C993,""vi"",""km"")"),"អត្តសញ្ញាណ")</f>
        <v/>
      </c>
      <c r="E993" s="3" t="n"/>
      <c r="F993" s="3" t="inlineStr">
        <is>
          <t>អត្តសញ្ញាណ</t>
        </is>
      </c>
      <c r="G993" s="3" t="n"/>
      <c r="H993" s="217" t="inlineStr">
        <is>
          <t>"pricezone.id": "អត្តសញ្ញាណ",</t>
        </is>
      </c>
      <c r="I993" t="inlineStr">
        <is>
          <t>អត្តសញ្ញាណ</t>
        </is>
      </c>
    </row>
    <row r="994">
      <c r="A994" s="3" t="inlineStr">
        <is>
          <t>pricezone.zoneName</t>
        </is>
      </c>
      <c r="B994" s="3" t="inlineStr">
        <is>
          <t>Tên zone</t>
        </is>
      </c>
      <c r="C994" s="3" t="inlineStr">
        <is>
          <t>Zone name</t>
        </is>
      </c>
      <c r="D994" s="217">
        <f>IFERROR(__xludf.DUMMYFUNCTION("GOOGLETRANSLATE(C994,""vi"",""km"")"),"ឈ្មោះតំបន់")</f>
        <v/>
      </c>
      <c r="E994" s="3" t="n"/>
      <c r="F994" s="3" t="inlineStr">
        <is>
          <t>ឈ្មោះតំបន់</t>
        </is>
      </c>
      <c r="G994" s="3" t="n"/>
      <c r="H994" s="217" t="inlineStr">
        <is>
          <t>"pricezone.zoneName": "ឈ្មោះតំបន់",</t>
        </is>
      </c>
      <c r="I994" t="inlineStr">
        <is>
          <t>ឈ្មោះតំបន់</t>
        </is>
      </c>
    </row>
    <row r="995">
      <c r="A995" s="3" t="inlineStr">
        <is>
          <t>pricezone.zoneType</t>
        </is>
      </c>
      <c r="B995" s="3" t="inlineStr">
        <is>
          <t>Loại zone</t>
        </is>
      </c>
      <c r="C995" s="3" t="inlineStr">
        <is>
          <t>Zone type</t>
        </is>
      </c>
      <c r="D995" s="217">
        <f>IFERROR(__xludf.DUMMYFUNCTION("GOOGLETRANSLATE(C995,""vi"",""km"")"),"ប្រភេទតំបន់")</f>
        <v/>
      </c>
      <c r="E995" s="3" t="n"/>
      <c r="F995" s="3" t="inlineStr">
        <is>
          <t>ប្រភេទតំបន់</t>
        </is>
      </c>
      <c r="G995" s="3" t="n"/>
      <c r="H995" s="217" t="inlineStr">
        <is>
          <t>"pricezone.zoneType": "ប្រភេទតំបន់",</t>
        </is>
      </c>
      <c r="I995" t="inlineStr">
        <is>
          <t>ប្រភេទតំបន់</t>
        </is>
      </c>
    </row>
    <row r="996">
      <c r="A996" s="3" t="inlineStr">
        <is>
          <t>process.box</t>
        </is>
      </c>
      <c r="B996" s="3" t="inlineStr">
        <is>
          <t>Hộp</t>
        </is>
      </c>
      <c r="C996" s="3" t="inlineStr">
        <is>
          <t>Box</t>
        </is>
      </c>
      <c r="D996" s="217">
        <f>IFERROR(__xludf.DUMMYFUNCTION("GOOGLETRANSLATE(C996,""vi"",""km"")"),"ប្រអប់")</f>
        <v/>
      </c>
      <c r="E996" s="3" t="n"/>
      <c r="F996" s="3" t="inlineStr">
        <is>
          <t>ប្រអប់</t>
        </is>
      </c>
      <c r="G996" s="3" t="n"/>
      <c r="H996" s="217" t="inlineStr">
        <is>
          <t>"process.box": "ប្រអប់",</t>
        </is>
      </c>
      <c r="I996" t="inlineStr">
        <is>
          <t>ប្រអប់</t>
        </is>
      </c>
    </row>
    <row r="997">
      <c r="A997" s="3" t="inlineStr">
        <is>
          <t>process.closePostal</t>
        </is>
      </c>
      <c r="B997" s="3" t="inlineStr">
        <is>
          <t>Bưu cục đóng đến</t>
        </is>
      </c>
      <c r="C997" s="3" t="inlineStr">
        <is>
          <t>Completed sack to post office</t>
        </is>
      </c>
      <c r="D997" s="217">
        <f>IFERROR(__xludf.DUMMYFUNCTION("GOOGLETRANSLATE(C997,""vi"",""km"")"),"បានបញ្ចប់ការវេចខ្ចប់ទៅការិយាល័យប្រៃសណីយ៍")</f>
        <v/>
      </c>
      <c r="E997" s="3" t="n"/>
      <c r="F997" s="3" t="inlineStr">
        <is>
          <t>បានបញ្ចប់ការវេចខ្ចប់ទៅការិយាល័យប្រៃសណីយ៍</t>
        </is>
      </c>
      <c r="G997" s="3" t="n"/>
      <c r="H997" s="217" t="inlineStr">
        <is>
          <t>"process.closePostal": "បានបញ្ចប់ការវេចខ្ចប់ទៅការិយាល័យប្រៃសណីយ៍",</t>
        </is>
      </c>
      <c r="I997" t="inlineStr">
        <is>
          <t>បានបញ្ចប់ការវេចខ្ចប់ទៅការិយាល័យប្រៃសណីយ៍</t>
        </is>
      </c>
    </row>
    <row r="998">
      <c r="A998" s="3" t="inlineStr">
        <is>
          <t>process.confirmMissing</t>
        </is>
      </c>
      <c r="B998" s="3" t="inlineStr">
        <is>
          <t>Đồng chí có chắc chắn muốn báo thiếu các phiếu gửi này?</t>
        </is>
      </c>
      <c r="C998" s="3" t="inlineStr">
        <is>
          <t>Are you sure to report these postal slips?</t>
        </is>
      </c>
      <c r="D998" s="217">
        <f>IFERROR(__xludf.DUMMYFUNCTION("GOOGLETRANSLATE(C998,""vi"",""km"")"),"តើអ្នកប្រាកដណាស់ថានឹងរាយការណ៍ពីសំបុត្រប្រៃសណីយ៍ទាំងនេះមែនទេ?")</f>
        <v/>
      </c>
      <c r="E998" s="3" t="n"/>
      <c r="F998" s="3" t="inlineStr">
        <is>
          <t>តើអ្នកប្រាកដណាស់ថានឹងរាយការណ៍ពីបុងបញ្ញើទាំងនេះមែនទេ?</t>
        </is>
      </c>
      <c r="G998" s="3" t="n"/>
      <c r="H998" s="217" t="inlineStr">
        <is>
          <t>"process.confirmMissing": "តើអ្នកប្រាកដណាស់ថានឹងរាយការណ៍ពីបុងបញ្ញើទាំងនេះមែនទេ?",</t>
        </is>
      </c>
      <c r="I998" t="inlineStr">
        <is>
          <t>តើអ្នកប្រាកដណាស់ថានឹងរាយការណ៍ពីបុងបញ្ញើទាំងនេះមែនទេ?</t>
        </is>
      </c>
    </row>
    <row r="999">
      <c r="A999" s="3" t="inlineStr">
        <is>
          <t>process.detailAddress</t>
        </is>
      </c>
      <c r="B999" s="3" t="inlineStr">
        <is>
          <t>Địa chỉ chi tiết</t>
        </is>
      </c>
      <c r="C999" s="3" t="inlineStr">
        <is>
          <t>Address details</t>
        </is>
      </c>
      <c r="D999" s="217">
        <f>IFERROR(__xludf.DUMMYFUNCTION("GOOGLETRANSLATE(C999,""vi"",""km"")"),"ព័ត៌មានលម្អិតប្រាកដនិយម")</f>
        <v/>
      </c>
      <c r="E999" s="3" t="n"/>
      <c r="F999" s="3" t="inlineStr">
        <is>
          <t>ព័ត៌មានលម្អិតប្រាកដនិយម</t>
        </is>
      </c>
      <c r="G999" s="3" t="n"/>
      <c r="H999" s="217" t="inlineStr">
        <is>
          <t>"process.detailAddress": "ព័ត៌មានលម្អិតប្រាកដនិយម",</t>
        </is>
      </c>
      <c r="I999" t="inlineStr">
        <is>
          <t>ព័ត៌មានលម្អិតប្រាកដនិយម</t>
        </is>
      </c>
    </row>
    <row r="1000">
      <c r="A1000" s="3" t="inlineStr">
        <is>
          <t>process.districtDelivery</t>
        </is>
      </c>
      <c r="B1000" s="3" t="inlineStr">
        <is>
          <t>{{district}} phát</t>
        </is>
      </c>
      <c r="C1000" s="3" t="inlineStr">
        <is>
          <t>Delivery {{district}}</t>
        </is>
      </c>
      <c r="D1000" s="217">
        <f>IFERROR(__xludf.DUMMYFUNCTION("GOOGLETRANSLATE(C1000,""vi"",""km"")"),"ដឹកជញ្ជូនដល់ស្រុក")</f>
        <v/>
      </c>
      <c r="E1000" s="3" t="n"/>
      <c r="F1000" s="3" t="inlineStr">
        <is>
          <t>ដឹកជញ្ជូនដល់ស្រុក</t>
        </is>
      </c>
      <c r="G1000" s="3" t="n"/>
      <c r="H1000" s="217" t="inlineStr">
        <is>
          <t>"process.districtDelivery": "ដឹកជញ្ជូនដល់ស្រុក",</t>
        </is>
      </c>
      <c r="I1000" t="inlineStr">
        <is>
          <t>ដឹកជញ្ជូនដល់ស្រុក</t>
        </is>
      </c>
    </row>
    <row r="1001">
      <c r="A1001" s="3" t="inlineStr">
        <is>
          <t>process.emptySelectedOrderMissing</t>
        </is>
      </c>
      <c r="B1001" s="3" t="inlineStr">
        <is>
          <t>Vui lòng chọn phiếu gửi để báo thiếu</t>
        </is>
      </c>
      <c r="C1001" s="3" t="inlineStr">
        <is>
          <t>Please select the postal slip to report missing</t>
        </is>
      </c>
      <c r="D1001" s="217">
        <f>IFERROR(__xludf.DUMMYFUNCTION("GOOGLETRANSLATE(C1001,""vi"",""km"")"),"សូមជ្រើសរើសសន្លឹកប្រៃសណីយ៍ដើម្បីរាយការណ៍ពីការបាត់")</f>
        <v/>
      </c>
      <c r="E1001" s="3" t="n"/>
      <c r="F1001" s="3" t="inlineStr">
        <is>
          <t>សូមជ្រើសរើសសន្លឹកប្រៃសណីយ៍ដើម្បីរាយការណ៍ពីការបាត់</t>
        </is>
      </c>
      <c r="G1001" s="3" t="n"/>
      <c r="H1001" s="217" t="inlineStr">
        <is>
          <t>"process.emptySelectedOrderMissing": "សូមជ្រើសរើសសន្លឹកប្រៃសណីយ៍ដើម្បីរាយការណ៍ពីការបាត់",</t>
        </is>
      </c>
      <c r="I1001" t="inlineStr">
        <is>
          <t>សូមជ្រើសរើសសន្លឹកប្រៃសណីយ៍ដើម្បីរាយការណ៍ពីការបាត់</t>
        </is>
      </c>
    </row>
    <row r="1002">
      <c r="A1002" s="3" t="inlineStr">
        <is>
          <t>process.emptySelectedOrderReceiver</t>
        </is>
      </c>
      <c r="B1002" s="3" t="inlineStr">
        <is>
          <t>Vui lòng chọn phiếu gửi để nhận phiếu gửi</t>
        </is>
      </c>
      <c r="C1002" s="3" t="inlineStr">
        <is>
          <t>Please select the postal slip to receive</t>
        </is>
      </c>
      <c r="D1002" s="217">
        <f>IFERROR(__xludf.DUMMYFUNCTION("GOOGLETRANSLATE(C1002,""vi"",""km"")"),"សូមជ្រើសរើសសំបុត្រប្រៃសណីយ៍ដើម្បីទទួល")</f>
        <v/>
      </c>
      <c r="E1002" s="3" t="n"/>
      <c r="F1002" s="3" t="inlineStr">
        <is>
          <t>សូមជ្រើសរើសបុងបញ្ញើដើម្បីទទួល</t>
        </is>
      </c>
      <c r="G1002" s="3" t="n"/>
      <c r="H1002" s="217" t="inlineStr">
        <is>
          <t>"process.emptySelectedOrderReceiver": "សូមជ្រើសរើសបុងបញ្ញើដើម្បីទទួល",</t>
        </is>
      </c>
      <c r="I1002" t="inlineStr">
        <is>
          <t>សូមជ្រើសរើសបុងបញ្ញើដើម្បីទទួល</t>
        </is>
      </c>
    </row>
    <row r="1003">
      <c r="A1003" s="3" t="inlineStr">
        <is>
          <t>process.enterAddress</t>
        </is>
      </c>
      <c r="B1003" s="3" t="inlineStr">
        <is>
          <t>Nhập địa chỉ</t>
        </is>
      </c>
      <c r="C1003" s="3" t="inlineStr">
        <is>
          <t>Enter address</t>
        </is>
      </c>
      <c r="D1003" s="217">
        <f>IFERROR(__xludf.DUMMYFUNCTION("GOOGLETRANSLATE(C1003,""vi"",""km"")"),"បញ្ចូលអាសយដ្ឋាន")</f>
        <v/>
      </c>
      <c r="E1003" s="3" t="n"/>
      <c r="F1003" s="3" t="inlineStr">
        <is>
          <t>បញ្ចូលអាសយដ្ឋាន</t>
        </is>
      </c>
      <c r="G1003" s="3" t="n"/>
      <c r="H1003" s="217" t="inlineStr">
        <is>
          <t>"process.enterAddress": "បញ្ចូលអាសយដ្ឋាន",</t>
        </is>
      </c>
      <c r="I1003" t="inlineStr">
        <is>
          <t>បញ្ចូលអាសយដ្ឋាន</t>
        </is>
      </c>
    </row>
    <row r="1004">
      <c r="A1004" s="3" t="inlineStr">
        <is>
          <t>process.enterOrderCode</t>
        </is>
      </c>
      <c r="B1004" s="3" t="inlineStr">
        <is>
          <t>Nhập mã phiếu gửi</t>
        </is>
      </c>
      <c r="C1004" s="3" t="inlineStr">
        <is>
          <t>Enter postal slip's code</t>
        </is>
      </c>
      <c r="D1004" s="217">
        <f>IFERROR(__xludf.DUMMYFUNCTION("GOOGLETRANSLATE(C1004,""vi"",""km"")"),"បញ្ចូលលេខកូដប្រៃសណីយ៍")</f>
        <v/>
      </c>
      <c r="E1004" s="3" t="n"/>
      <c r="F1004" s="3" t="inlineStr">
        <is>
          <t>បញ្ចូលលេខកូដប្រៃសណីយ៍</t>
        </is>
      </c>
      <c r="G1004" s="3" t="n"/>
      <c r="H1004" s="217" t="inlineStr">
        <is>
          <t>"process.enterOrderCode": "បញ្ចូលលេខកូដប្រៃសណីយ៍",</t>
        </is>
      </c>
      <c r="I1004" t="inlineStr">
        <is>
          <t>បញ្ចូលលេខកូដប្រៃសណីយ៍</t>
        </is>
      </c>
    </row>
    <row r="1005">
      <c r="A1005" s="3" t="inlineStr">
        <is>
          <t>process.enterPackageCode</t>
        </is>
      </c>
      <c r="B1005" s="3" t="inlineStr">
        <is>
          <t>Nhập mã tải kiện</t>
        </is>
      </c>
      <c r="C1005" s="3" t="inlineStr">
        <is>
          <t>Enter package code</t>
        </is>
      </c>
      <c r="D1005" s="217">
        <f>IFERROR(__xludf.DUMMYFUNCTION("GOOGLETRANSLATE(C1005,""vi"",""km"")"),"បញ្ចូលលេខកូដកញ្ចប់")</f>
        <v/>
      </c>
      <c r="E1005" s="3" t="n"/>
      <c r="F1005" s="3" t="inlineStr">
        <is>
          <t>បញ្ចូលលេខកូដកញ្ចប់</t>
        </is>
      </c>
      <c r="G1005" s="3" t="n"/>
      <c r="H1005" s="217" t="inlineStr">
        <is>
          <t>"process.enterPackageCode": "បញ្ចូលលេខកូដកញ្ចប់",</t>
        </is>
      </c>
      <c r="I1005" t="inlineStr">
        <is>
          <t>បញ្ចូលលេខកូដកញ្ចប់</t>
        </is>
      </c>
    </row>
    <row r="1006">
      <c r="A1006" s="3" t="inlineStr">
        <is>
          <t>process.fromPostal</t>
        </is>
      </c>
      <c r="B1006" s="3" t="inlineStr">
        <is>
          <t>Bưu cục gốc</t>
        </is>
      </c>
      <c r="C1006" s="3" t="inlineStr">
        <is>
          <t>Original post office</t>
        </is>
      </c>
      <c r="D1006" s="217">
        <f>IFERROR(__xludf.DUMMYFUNCTION("GOOGLETRANSLATE(C1006,""vi"",""km"")"),"ការិយាល័យប្រៃសណីយ៍ដើម")</f>
        <v/>
      </c>
      <c r="E1006" s="3" t="n"/>
      <c r="F1006" s="3" t="inlineStr">
        <is>
          <t>ការិយាល័យប្រៃសណីយ៍ដើម</t>
        </is>
      </c>
      <c r="G1006" s="3" t="n"/>
      <c r="H1006" s="217" t="inlineStr">
        <is>
          <t>"process.fromPostal": "ការិយាល័យប្រៃសណីយ៍ដើម",</t>
        </is>
      </c>
      <c r="I1006" t="inlineStr">
        <is>
          <t>ការិយាល័យប្រៃសណីយ៍ដើម</t>
        </is>
      </c>
    </row>
    <row r="1007">
      <c r="A1007" s="3" t="inlineStr">
        <is>
          <t>process.missingOrder</t>
        </is>
      </c>
      <c r="B1007" s="3" t="inlineStr">
        <is>
          <t>Báo thiếu</t>
        </is>
      </c>
      <c r="C1007" s="3" t="inlineStr">
        <is>
          <t>Report missing</t>
        </is>
      </c>
      <c r="D1007" s="217">
        <f>IFERROR(__xludf.DUMMYFUNCTION("GOOGLETRANSLATE(C1007,""vi"",""km"")"),"របាយការណ៍បាត់")</f>
        <v/>
      </c>
      <c r="E1007" s="3" t="n"/>
      <c r="F1007" s="3" t="inlineStr">
        <is>
          <t>របាយការណ៍បាត់</t>
        </is>
      </c>
      <c r="G1007" s="3" t="n"/>
      <c r="H1007" s="217" t="inlineStr">
        <is>
          <t>"process.missingOrder": "របាយការណ៍បាត់",</t>
        </is>
      </c>
      <c r="I1007" t="inlineStr">
        <is>
          <t>របាយការណ៍បាត់</t>
        </is>
      </c>
    </row>
    <row r="1008">
      <c r="A1008" s="3" t="inlineStr">
        <is>
          <t>process.onMissingSuccess</t>
        </is>
      </c>
      <c r="B1008" s="3" t="inlineStr">
        <is>
          <t>Đồng chí đã báo thiếu phiếu gửi thành công</t>
        </is>
      </c>
      <c r="C1008" s="3" t="inlineStr">
        <is>
          <t>Report missing postal slip successfully</t>
        </is>
      </c>
      <c r="D1008" s="217">
        <f>IFERROR(__xludf.DUMMYFUNCTION("GOOGLETRANSLATE(C1008,""vi"",""km"")"),"រាយការណ៍ពីសំបុត្រប្រៃសណីយ៍ដែលបាត់ដោយជោគជ័យ")</f>
        <v/>
      </c>
      <c r="E1008" s="3" t="n"/>
      <c r="F1008" s="3" t="inlineStr">
        <is>
          <t>រាយការណ៍ពីបុងបញ្ញើដែលបាត់ដោយជោគជ័យ</t>
        </is>
      </c>
      <c r="G1008" s="3" t="n"/>
      <c r="H1008" s="217" t="inlineStr">
        <is>
          <t>"process.onMissingSuccess": "រាយការណ៍ពីបុងបញ្ញើដែលបាត់ដោយជោគជ័យ",</t>
        </is>
      </c>
      <c r="I1008" t="inlineStr">
        <is>
          <t>រាយការណ៍ពីបុងបញ្ញើដែលបាត់ដោយជោគជ័យ</t>
        </is>
      </c>
    </row>
    <row r="1009">
      <c r="A1009" s="3" t="inlineStr">
        <is>
          <t>process.onReceiveOrderSuccess</t>
        </is>
      </c>
      <c r="B1009" s="3" t="inlineStr">
        <is>
          <t>Đồng chí đã nhận phiếu gửi thành công</t>
        </is>
      </c>
      <c r="C1009" s="3" t="inlineStr">
        <is>
          <t>Receive postal slip successfully</t>
        </is>
      </c>
      <c r="D1009" s="217">
        <f>IFERROR(__xludf.DUMMYFUNCTION("GOOGLETRANSLATE(C1009,""vi"",""km"")"),"ទទួលបានសំបុត្រប្រៃសណីយ៍ដោយជោគជ័យ")</f>
        <v/>
      </c>
      <c r="E1009" s="3" t="n"/>
      <c r="F1009" s="3" t="inlineStr">
        <is>
          <t>ទទួលបានបុងបញ្ញើដោយជោគជ័យ</t>
        </is>
      </c>
      <c r="G1009" s="3" t="n"/>
      <c r="H1009" s="217" t="inlineStr">
        <is>
          <t>"process.onReceiveOrderSuccess": "ទទួលបានបុងបញ្ញើដោយជោគជ័យ",</t>
        </is>
      </c>
      <c r="I1009" t="inlineStr">
        <is>
          <t>ទទួលបានបុងបញ្ញើដោយជោគជ័យ</t>
        </is>
      </c>
    </row>
    <row r="1010">
      <c r="A1010" s="3" t="inlineStr">
        <is>
          <t>process.orderCode</t>
        </is>
      </c>
      <c r="B1010" s="3" t="inlineStr">
        <is>
          <t>Mã phiếu gửi</t>
        </is>
      </c>
      <c r="C1010" s="3" t="inlineStr">
        <is>
          <t>Postal slip code</t>
        </is>
      </c>
      <c r="D1010" s="217">
        <f>IFERROR(__xludf.DUMMYFUNCTION("GOOGLETRANSLATE(C1010,""vi"",""km"")"),"លេខកូដប្រៃសណីយ៍")</f>
        <v/>
      </c>
      <c r="E1010" s="3" t="n"/>
      <c r="F1010" s="3" t="inlineStr">
        <is>
          <t>លេខកូដបុងបញ្ញើ</t>
        </is>
      </c>
      <c r="G1010" s="3" t="n"/>
      <c r="H1010" s="217" t="inlineStr">
        <is>
          <t>"process.orderCode": "លេខកូដបុងបញ្ញើ",</t>
        </is>
      </c>
      <c r="I1010" t="inlineStr">
        <is>
          <t>លេខកូដបុងបញ្ញើ</t>
        </is>
      </c>
    </row>
    <row r="1011">
      <c r="A1011" s="3" t="inlineStr">
        <is>
          <t>process.orderDetail</t>
        </is>
      </c>
      <c r="B1011" s="3" t="inlineStr">
        <is>
          <t>Chi tiết đơn</t>
        </is>
      </c>
      <c r="C1011" s="3" t="inlineStr">
        <is>
          <t>Order details</t>
        </is>
      </c>
      <c r="D1011" s="217">
        <f>IFERROR(__xludf.DUMMYFUNCTION("GOOGLETRANSLATE(C1011,""vi"",""km"")"),"ព័ត៌មានលម្អិតអំពីការបញ្ជាទិញ")</f>
        <v/>
      </c>
      <c r="E1011" s="3" t="n"/>
      <c r="F1011" s="3" t="inlineStr">
        <is>
          <t>ព័ត៌មានលម្អិតអំពីការបញ្ជាទិញ</t>
        </is>
      </c>
      <c r="G1011" s="3" t="n"/>
      <c r="H1011" s="217" t="inlineStr">
        <is>
          <t>"process.orderDetail": "ព័ត៌មានលម្អិតអំពីការបញ្ជាទិញ",</t>
        </is>
      </c>
      <c r="I1011" t="inlineStr">
        <is>
          <t>ព័ត៌មានលម្អិតអំពីការបញ្ជាទិញ</t>
        </is>
      </c>
    </row>
    <row r="1012">
      <c r="A1012" s="3" t="inlineStr">
        <is>
          <t>process.packageCode</t>
        </is>
      </c>
      <c r="B1012" s="3" t="inlineStr">
        <is>
          <t>Mã tải</t>
        </is>
      </c>
      <c r="C1012" s="3" t="inlineStr">
        <is>
          <t>Package code</t>
        </is>
      </c>
      <c r="D1012" s="217">
        <f>IFERROR(__xludf.DUMMYFUNCTION("GOOGLETRANSLATE(C1012,""vi"",""km"")"),"លេខកូដកញ្ចប់")</f>
        <v/>
      </c>
      <c r="E1012" s="3" t="n"/>
      <c r="F1012" s="3" t="inlineStr">
        <is>
          <t>លេខកូដកញ្ចប់</t>
        </is>
      </c>
      <c r="G1012" s="3" t="n"/>
      <c r="H1012" s="217" t="inlineStr">
        <is>
          <t>"process.packageCode": "លេខកូដកញ្ចប់",</t>
        </is>
      </c>
      <c r="I1012" t="inlineStr">
        <is>
          <t>លេខកូដកញ្ចប់</t>
        </is>
      </c>
    </row>
    <row r="1013">
      <c r="A1013" s="3" t="inlineStr">
        <is>
          <t>process.packageCodeOrder</t>
        </is>
      </c>
      <c r="B1013" s="3" t="inlineStr">
        <is>
          <t>Mã tải kiện</t>
        </is>
      </c>
      <c r="C1013" s="3" t="inlineStr">
        <is>
          <t>Package code</t>
        </is>
      </c>
      <c r="D1013" s="217">
        <f>IFERROR(__xludf.DUMMYFUNCTION("GOOGLETRANSLATE(C1013,""vi"",""km"")"),"លេខកូដកញ្ចប់")</f>
        <v/>
      </c>
      <c r="E1013" s="3" t="n"/>
      <c r="F1013" s="3" t="inlineStr">
        <is>
          <t>លេខកូដកញ្ចប់</t>
        </is>
      </c>
      <c r="G1013" s="3" t="n"/>
      <c r="H1013" s="217" t="inlineStr">
        <is>
          <t>"process.packageCodeOrder": "លេខកូដកញ្ចប់",</t>
        </is>
      </c>
      <c r="I1013" t="inlineStr">
        <is>
          <t>លេខកូដកញ្ចប់</t>
        </is>
      </c>
    </row>
    <row r="1014">
      <c r="A1014" s="3" t="inlineStr">
        <is>
          <t>process.packageDetail</t>
        </is>
      </c>
      <c r="B1014" s="3" t="inlineStr">
        <is>
          <t>Chi tiết tải</t>
        </is>
      </c>
      <c r="C1014" s="3" t="inlineStr">
        <is>
          <t>Package detail</t>
        </is>
      </c>
      <c r="D1014" s="217">
        <f>IFERROR(__xludf.DUMMYFUNCTION("GOOGLETRANSLATE(C1014,""vi"",""km"")"),"ព័ត៌មានលម្អិតអំពីកញ្ចប់")</f>
        <v/>
      </c>
      <c r="E1014" s="3" t="n"/>
      <c r="F1014" s="3" t="inlineStr">
        <is>
          <t>ព័ត៌មានលម្អិតអំពីកញ្ចប់</t>
        </is>
      </c>
      <c r="G1014" s="3" t="n"/>
      <c r="H1014" s="217" t="inlineStr">
        <is>
          <t>"process.packageDetail": "ព័ត៌មានលម្អិតអំពីកញ្ចប់",</t>
        </is>
      </c>
      <c r="I1014" t="inlineStr">
        <is>
          <t>ព័ត៌មានលម្អិតអំពីកញ្ចប់</t>
        </is>
      </c>
    </row>
    <row r="1015">
      <c r="A1015" s="3" t="inlineStr">
        <is>
          <t>process.packageExploited</t>
        </is>
      </c>
      <c r="B1015" s="3" t="inlineStr">
        <is>
          <t>Đã khai thác</t>
        </is>
      </c>
      <c r="C1015" s="3" t="inlineStr">
        <is>
          <t>Processed</t>
        </is>
      </c>
      <c r="D1015" s="217">
        <f>IFERROR(__xludf.DUMMYFUNCTION("GOOGLETRANSLATE(C1015,""vi"",""km"")"),"បានដំណើរការ")</f>
        <v/>
      </c>
      <c r="E1015" s="3" t="n"/>
      <c r="F1015" s="3" t="inlineStr">
        <is>
          <t>បានដំណើរការ</t>
        </is>
      </c>
      <c r="G1015" s="3" t="n"/>
      <c r="H1015" s="217" t="inlineStr">
        <is>
          <t>"process.packageExploited": "បានដំណើរការ",</t>
        </is>
      </c>
      <c r="I1015" t="inlineStr">
        <is>
          <t>បានដំណើរការ</t>
        </is>
      </c>
    </row>
    <row r="1016">
      <c r="A1016" s="3" t="inlineStr">
        <is>
          <t>process.packageUnexploited</t>
        </is>
      </c>
      <c r="B1016" s="3" t="inlineStr">
        <is>
          <t>Chưa khai thác</t>
        </is>
      </c>
      <c r="C1016" s="3" t="inlineStr">
        <is>
          <t>Process pending</t>
        </is>
      </c>
      <c r="D1016" s="217">
        <f>IFERROR(__xludf.DUMMYFUNCTION("GOOGLETRANSLATE(C1016,""vi"",""km"")"),"ដំណើរការកំពុងរង់ចាំ")</f>
        <v/>
      </c>
      <c r="E1016" s="3" t="n"/>
      <c r="F1016" s="3" t="inlineStr">
        <is>
          <t>ដំណើរការកំពុងរង់ចាំ</t>
        </is>
      </c>
      <c r="G1016" s="3" t="n"/>
      <c r="H1016" s="217" t="inlineStr">
        <is>
          <t>"process.packageUnexploited": "ដំណើរការកំពុងរង់ចាំ",</t>
        </is>
      </c>
      <c r="I1016" t="inlineStr">
        <is>
          <t>ដំណើរការកំពុងរង់ចាំ</t>
        </is>
      </c>
    </row>
    <row r="1017">
      <c r="A1017" s="3" t="inlineStr">
        <is>
          <t>process.parcelSackCode</t>
        </is>
      </c>
      <c r="B1017" s="3" t="inlineStr">
        <is>
          <t>Mã tải kiện</t>
        </is>
      </c>
      <c r="C1017" s="3" t="inlineStr">
        <is>
          <t>Package code</t>
        </is>
      </c>
      <c r="D1017" s="217">
        <f>IFERROR(__xludf.DUMMYFUNCTION("GOOGLETRANSLATE(C1017,""vi"",""km"")"),"លេខកូដកញ្ចប់")</f>
        <v/>
      </c>
      <c r="E1017" s="3" t="n"/>
      <c r="F1017" s="3" t="inlineStr">
        <is>
          <t>លេខកូដកញ្ចប់</t>
        </is>
      </c>
      <c r="G1017" s="3" t="n"/>
      <c r="H1017" s="217" t="inlineStr">
        <is>
          <t>"process.parcelSackCode": "លេខកូដកញ្ចប់",</t>
        </is>
      </c>
      <c r="I1017" t="inlineStr">
        <is>
          <t>លេខកូដកញ្ចប់</t>
        </is>
      </c>
    </row>
    <row r="1018">
      <c r="A1018" s="3" t="inlineStr">
        <is>
          <t>process.parcelType</t>
        </is>
      </c>
      <c r="B1018" s="3" t="inlineStr">
        <is>
          <t>Loại hàng hoá</t>
        </is>
      </c>
      <c r="C1018" s="3" t="inlineStr">
        <is>
          <t>Freight types</t>
        </is>
      </c>
      <c r="D1018" s="217">
        <f>IFERROR(__xludf.DUMMYFUNCTION("GOOGLETRANSLATE(C1018,""vi"",""km"")"),"ប្រភេទទំនិញ")</f>
        <v/>
      </c>
      <c r="E1018" s="3" t="n"/>
      <c r="F1018" s="3" t="inlineStr">
        <is>
          <t>ប្រភេទទំនិញ</t>
        </is>
      </c>
      <c r="G1018" s="3" t="n"/>
      <c r="H1018" s="217" t="inlineStr">
        <is>
          <t>"process.parcelType": "ប្រភេទទំនិញ",</t>
        </is>
      </c>
      <c r="I1018" t="inlineStr">
        <is>
          <t>ប្រភេទទំនិញ</t>
        </is>
      </c>
    </row>
    <row r="1019">
      <c r="A1019" s="3" t="inlineStr">
        <is>
          <t>process.price</t>
        </is>
      </c>
      <c r="B1019" s="3" t="inlineStr">
        <is>
          <t>Tổng cước ({{money_unit}})</t>
        </is>
      </c>
      <c r="C1019" s="3" t="inlineStr">
        <is>
          <t>Total fee ({{money_unit}})</t>
        </is>
      </c>
      <c r="D1019" s="217">
        <f>IFERROR(__xludf.DUMMYFUNCTION("GOOGLETRANSLATE(C1019,""vi"",""km"")"),"ថ្លៃសេវាសរុប ({{money_unit}})")</f>
        <v/>
      </c>
      <c r="E1019" s="3" t="n"/>
      <c r="F1019" s="3" t="inlineStr">
        <is>
          <t>ថ្លៃសេវាសរុប ({{money_unit}})</t>
        </is>
      </c>
      <c r="G1019" s="3" t="n"/>
      <c r="H1019" s="217" t="inlineStr">
        <is>
          <t>"process.price": "ថ្លៃសេវាសរុប ({{money_unit}})",</t>
        </is>
      </c>
      <c r="I1019" t="inlineStr">
        <is>
          <t>ថ្លៃសេវាសរុប ({{money_unit}})</t>
        </is>
      </c>
    </row>
    <row r="1020">
      <c r="A1020" s="3" t="inlineStr">
        <is>
          <t>process.priceOrder</t>
        </is>
      </c>
      <c r="B1020" s="3" t="inlineStr">
        <is>
          <t>Tổng cước</t>
        </is>
      </c>
      <c r="C1020" s="3" t="inlineStr">
        <is>
          <t>Total fee</t>
        </is>
      </c>
      <c r="D1020" s="217">
        <f>IFERROR(__xludf.DUMMYFUNCTION("GOOGLETRANSLATE(C1020,""vi"",""km"")"),"ថ្លៃសេវាសរុប")</f>
        <v/>
      </c>
      <c r="E1020" s="3" t="n"/>
      <c r="F1020" s="3" t="inlineStr">
        <is>
          <t>ថ្លៃដឹកជញ្ជូនសរុប</t>
        </is>
      </c>
      <c r="G1020" s="3" t="n"/>
      <c r="H1020" s="217" t="inlineStr">
        <is>
          <t>"process.priceOrder": "ថ្លៃដឹកជញ្ជូនសរុប",</t>
        </is>
      </c>
      <c r="I1020" t="inlineStr">
        <is>
          <t>ថ្លៃដឹកជញ្ជូនសរុប</t>
        </is>
      </c>
    </row>
    <row r="1021">
      <c r="A1021" s="3" t="inlineStr">
        <is>
          <t>process.processForward</t>
        </is>
      </c>
      <c r="B1021" s="3" t="inlineStr">
        <is>
          <t>Chuyển tiếp</t>
        </is>
      </c>
      <c r="C1021" s="3" t="inlineStr">
        <is>
          <t>Forward</t>
        </is>
      </c>
      <c r="D1021" s="217">
        <f>IFERROR(__xludf.DUMMYFUNCTION("GOOGLETRANSLATE(C1021,""vi"",""km"")"),"ព័ត៌មាន")</f>
        <v/>
      </c>
      <c r="E1021" s="3" t="n"/>
      <c r="F1021" s="3" t="inlineStr">
        <is>
          <t>ព័ត៌មាន</t>
        </is>
      </c>
      <c r="G1021" s="3" t="n"/>
      <c r="H1021" s="217" t="inlineStr">
        <is>
          <t>"process.processForward": "ព័ត៌មាន",</t>
        </is>
      </c>
      <c r="I1021" t="inlineStr">
        <is>
          <t>ព័ត៌មាន</t>
        </is>
      </c>
    </row>
    <row r="1022">
      <c r="A1022" s="3" t="inlineStr">
        <is>
          <t>process.processMissing</t>
        </is>
      </c>
      <c r="B1022" s="3" t="inlineStr">
        <is>
          <t>Đơn thiếu</t>
        </is>
      </c>
      <c r="C1022" s="3" t="inlineStr">
        <is>
          <t>Missing order</t>
        </is>
      </c>
      <c r="D1022" s="217">
        <f>IFERROR(__xludf.DUMMYFUNCTION("GOOGLETRANSLATE(C1022,""vi"",""km"")"),"ការបញ្ជាទិញដែលបាត់")</f>
        <v/>
      </c>
      <c r="E1022" s="3" t="n"/>
      <c r="F1022" s="3" t="inlineStr">
        <is>
          <t>ការបញ្ជាទិញដែលបាត់</t>
        </is>
      </c>
      <c r="G1022" s="3" t="n"/>
      <c r="H1022" s="217" t="inlineStr">
        <is>
          <t>"process.processMissing": "ការបញ្ជាទិញដែលបាត់",</t>
        </is>
      </c>
      <c r="I1022" t="inlineStr">
        <is>
          <t>ការបញ្ជាទិញដែលបាត់</t>
        </is>
      </c>
    </row>
    <row r="1023">
      <c r="A1023" s="3" t="inlineStr">
        <is>
          <t>process.processPackage</t>
        </is>
      </c>
      <c r="B1023" s="3" t="inlineStr">
        <is>
          <t>Tải kiện</t>
        </is>
      </c>
      <c r="C1023" s="3" t="inlineStr">
        <is>
          <t>Package</t>
        </is>
      </c>
      <c r="D1023" s="217">
        <f>IFERROR(__xludf.DUMMYFUNCTION("GOOGLETRANSLATE(C1023,""vi"",""km"")"),"កញ្ចប់")</f>
        <v/>
      </c>
      <c r="E1023" s="3" t="n"/>
      <c r="F1023" s="3" t="inlineStr">
        <is>
          <t>កញ្ចប់</t>
        </is>
      </c>
      <c r="G1023" s="3" t="n"/>
      <c r="H1023" s="217" t="inlineStr">
        <is>
          <t>"process.processPackage": "កញ្ចប់",</t>
        </is>
      </c>
      <c r="I1023" t="inlineStr">
        <is>
          <t>កញ្ចប់</t>
        </is>
      </c>
    </row>
    <row r="1024">
      <c r="A1024" s="3" t="inlineStr">
        <is>
          <t>process.processReceived</t>
        </is>
      </c>
      <c r="B1024" s="3" t="inlineStr">
        <is>
          <t>Đơn đã nhận</t>
        </is>
      </c>
      <c r="C1024" s="3" t="inlineStr">
        <is>
          <t>Arrived order</t>
        </is>
      </c>
      <c r="D1024" s="217">
        <f>IFERROR(__xludf.DUMMYFUNCTION("GOOGLETRANSLATE(C1024,""vi"",""km"")"),"ការបញ្ជាទិញបានមកដល់")</f>
        <v/>
      </c>
      <c r="E1024" s="3" t="n"/>
      <c r="F1024" s="3" t="inlineStr">
        <is>
          <t>ការបញ្ជាទិញបានមកដល់</t>
        </is>
      </c>
      <c r="G1024" s="3" t="n"/>
      <c r="H1024" s="217" t="inlineStr">
        <is>
          <t>"process.processReceived": "ការបញ្ជាទិញបានមកដល់",</t>
        </is>
      </c>
      <c r="I1024" t="inlineStr">
        <is>
          <t>ការបញ្ជាទិញបានមកដល់</t>
        </is>
      </c>
    </row>
    <row r="1025">
      <c r="A1025" s="3" t="inlineStr">
        <is>
          <t>process.provinceDelivery</t>
        </is>
      </c>
      <c r="B1025" s="3" t="inlineStr">
        <is>
          <t>{{province}} phát</t>
        </is>
      </c>
      <c r="C1025" s="3" t="inlineStr">
        <is>
          <t>Delivery {{province}}</t>
        </is>
      </c>
      <c r="D1025" s="217">
        <f>IFERROR(__xludf.DUMMYFUNCTION("GOOGLETRANSLATE(C1025,""vi"",""km"")"),"ការដឹកជញ្ជូន {{province}}")</f>
        <v/>
      </c>
      <c r="E1025" s="3" t="n"/>
      <c r="F1025" s="3" t="inlineStr">
        <is>
          <t>ការដឹកជញ្ជូន {{province}}</t>
        </is>
      </c>
      <c r="G1025" s="3" t="n"/>
      <c r="H1025" s="217" t="inlineStr">
        <is>
          <t>"process.provinceDelivery": "ការដឹកជញ្ជូន {{province}}",</t>
        </is>
      </c>
      <c r="I1025" t="inlineStr">
        <is>
          <t>ការដឹកជញ្ជូន {{province}}</t>
        </is>
      </c>
    </row>
    <row r="1026">
      <c r="A1026" s="3" t="inlineStr">
        <is>
          <t>process.quantity</t>
        </is>
      </c>
      <c r="B1026" s="3" t="inlineStr">
        <is>
          <t>Số lượng bưu phẩm</t>
        </is>
      </c>
      <c r="C1026" s="3" t="inlineStr">
        <is>
          <t>Quantity of parcels</t>
        </is>
      </c>
      <c r="D1026" s="217">
        <f>IFERROR(__xludf.DUMMYFUNCTION("GOOGLETRANSLATE(C1026,""vi"",""km"")"),"បរិមាណ​នៃ​ក្បាលដី")</f>
        <v/>
      </c>
      <c r="E1026" s="3" t="n"/>
      <c r="F1026" s="3" t="inlineStr">
        <is>
          <t>បរិមាណនៃក្បាលដី</t>
        </is>
      </c>
      <c r="G1026" s="3" t="n"/>
      <c r="H1026" s="217" t="inlineStr">
        <is>
          <t>"process.quantity": "បរិមាណនៃក្បាលដី",</t>
        </is>
      </c>
      <c r="I1026" t="inlineStr">
        <is>
          <t>បរិមាណនៃក្បាលដី</t>
        </is>
      </c>
    </row>
    <row r="1027">
      <c r="A1027" s="3" t="inlineStr">
        <is>
          <t>process.receiveOrder</t>
        </is>
      </c>
      <c r="B1027" s="3" t="inlineStr">
        <is>
          <t>Nhận phiếu gửi</t>
        </is>
      </c>
      <c r="C1027" s="3" t="inlineStr">
        <is>
          <t>Receive postal slip</t>
        </is>
      </c>
      <c r="D1027" s="217">
        <f>IFERROR(__xludf.DUMMYFUNCTION("GOOGLETRANSLATE(C1027,""vi"",""km"")"),"ទទួល​ស្លាក់​សំបុត្រ")</f>
        <v/>
      </c>
      <c r="E1027" s="3" t="n"/>
      <c r="F1027" s="3" t="inlineStr">
        <is>
          <t>ទទួលស្លាក់សំបុត្រ</t>
        </is>
      </c>
      <c r="G1027" s="3" t="n"/>
      <c r="H1027" s="217" t="inlineStr">
        <is>
          <t>"process.receiveOrder": "ទទួលស្លាក់សំបុត្រ",</t>
        </is>
      </c>
      <c r="I1027" t="inlineStr">
        <is>
          <t>ទទួលស្លាក់សំបុត្រ</t>
        </is>
      </c>
    </row>
    <row r="1028">
      <c r="A1028" s="3" t="inlineStr">
        <is>
          <t>process.receivePo</t>
        </is>
      </c>
      <c r="B1028" s="3" t="inlineStr">
        <is>
          <t>Bưu cục đến</t>
        </is>
      </c>
      <c r="C1028" s="3" t="inlineStr">
        <is>
          <t>Receiving post office</t>
        </is>
      </c>
      <c r="D1028" s="217">
        <f>IFERROR(__xludf.DUMMYFUNCTION("GOOGLETRANSLATE(C1028,""vi"",""km"")"),"ទទួលសំបុត្រប្រៃសណីយ៍")</f>
        <v/>
      </c>
      <c r="E1028" s="3" t="n"/>
      <c r="F1028" s="3" t="inlineStr">
        <is>
          <t>ការិយាល័យប្រៃសណីយ៍គោលដៅ</t>
        </is>
      </c>
      <c r="G1028" s="3" t="n"/>
      <c r="H1028" s="217" t="inlineStr">
        <is>
          <t>"process.receivePo": "ការិយាល័យប្រៃសណីយ៍គោលដៅ",</t>
        </is>
      </c>
      <c r="I1028" t="inlineStr">
        <is>
          <t>ការិយាល័យប្រៃសណីយ៍គោលដៅ</t>
        </is>
      </c>
    </row>
    <row r="1029">
      <c r="A1029" s="3" t="inlineStr">
        <is>
          <t>process.receiveUser</t>
        </is>
      </c>
      <c r="B1029" s="3" t="inlineStr">
        <is>
          <t>Người nhận</t>
        </is>
      </c>
      <c r="C1029" s="3" t="inlineStr">
        <is>
          <t>Recipient</t>
        </is>
      </c>
      <c r="D1029" s="217">
        <f>IFERROR(__xludf.DUMMYFUNCTION("GOOGLETRANSLATE(C1029,""vi"",""km"")"),"តម្រូវការ")</f>
        <v/>
      </c>
      <c r="E1029" s="3" t="n"/>
      <c r="F1029" s="3" t="inlineStr">
        <is>
          <t>អ្នកទទួល</t>
        </is>
      </c>
      <c r="G1029" s="3" t="n"/>
      <c r="H1029" s="217" t="inlineStr">
        <is>
          <t>"process.receiveUser": "អ្នកទទួល",</t>
        </is>
      </c>
      <c r="I1029" t="inlineStr">
        <is>
          <t>អ្នកទទួល</t>
        </is>
      </c>
    </row>
    <row r="1030">
      <c r="A1030" s="3" t="inlineStr">
        <is>
          <t>process.receivedAt</t>
        </is>
      </c>
      <c r="B1030" s="3" t="inlineStr">
        <is>
          <t>Ngày nhận</t>
        </is>
      </c>
      <c r="C1030" s="3" t="inlineStr">
        <is>
          <t>Received date</t>
        </is>
      </c>
      <c r="D1030" s="217">
        <f>IFERROR(__xludf.DUMMYFUNCTION("GOOGLETRANSLATE(C1030,""vi"",""km"")"),"កាលបរិច្ឆេទទទួលបាន")</f>
        <v/>
      </c>
      <c r="E1030" s="3" t="n"/>
      <c r="F1030" s="3" t="inlineStr">
        <is>
          <t>កាលបរិច្ឆេទទទួល</t>
        </is>
      </c>
      <c r="G1030" s="3" t="n"/>
      <c r="H1030" s="217" t="inlineStr">
        <is>
          <t>"process.receivedAt": "កាលបរិច្ឆេទទទួល",</t>
        </is>
      </c>
      <c r="I1030" t="inlineStr">
        <is>
          <t>កាលបរិច្ឆេទទទួល</t>
        </is>
      </c>
    </row>
    <row r="1031">
      <c r="A1031" s="3" t="inlineStr">
        <is>
          <t>process.receivedByName</t>
        </is>
      </c>
      <c r="B1031" s="3" t="inlineStr">
        <is>
          <t>Người nhận tải</t>
        </is>
      </c>
      <c r="C1031" s="3" t="inlineStr">
        <is>
          <t>Package recipient</t>
        </is>
      </c>
      <c r="D1031" s="217">
        <f>IFERROR(__xludf.DUMMYFUNCTION("GOOGLETRANSLATE(C1031,""vi"",""km"")"),"កញ្ចប់រួមបញ្ចូល")</f>
        <v/>
      </c>
      <c r="E1031" s="3" t="n"/>
      <c r="F1031" s="3" t="inlineStr">
        <is>
          <t>កញ្ចប់រួមបញ្ចូល</t>
        </is>
      </c>
      <c r="G1031" s="3" t="n"/>
      <c r="H1031" s="217" t="inlineStr">
        <is>
          <t>"process.receivedByName": "កញ្ចប់រួមបញ្ចូល",</t>
        </is>
      </c>
      <c r="I1031" t="inlineStr">
        <is>
          <t>កញ្ចប់រួមបញ្ចូល</t>
        </is>
      </c>
    </row>
    <row r="1032">
      <c r="A1032" s="3" t="inlineStr">
        <is>
          <t>process.receivedDifferentLocation</t>
        </is>
      </c>
      <c r="B1032" s="3" t="inlineStr">
        <is>
          <t>Phiếu gửi {{orderCode}} sai địa danh phát, sang tab "Chuyển tiếp" để xử lý</t>
        </is>
      </c>
      <c r="C1032" s="3" t="inlineStr">
        <is>
          <t>The postal slip {{orderCode}} has the wrong delivery address. Go to the "Forward" tab to process it</t>
        </is>
      </c>
      <c r="D1032" s="217">
        <f>IFERROR(__xludf.DUMMYFUNCTION("GOOGLETRANSLATE(C1032,""vi"",""km"")"),"បង្កាន់ដៃប្រៃសណីយ៍ {{orderCode}} មានអាសយដ្ឋានដឹកជញ្ជូនមិនត្រឹមត្រូវ។ ចូលទៅកាន់ផ្ទាំង ""បញ្ជូនបន្ត"" ដើម្បីដំណើរការវា។")</f>
        <v/>
      </c>
      <c r="E1032" s="3" t="n"/>
      <c r="F1032" s="3" t="inlineStr">
        <is>
          <t>បុងបញ្ញើប្រៃសណីយ៍ {{orderCode}} មានអាសយដ្ឋានដឹកជញ្ជូនមិនត្រឹមត្រូវ។ ចូលទៅកាន់ផ្ទាំង "បញ្ជូនបន្ត" ដើម្បីដំណើរការវា។</t>
        </is>
      </c>
      <c r="G1032" s="3" t="n"/>
      <c r="H1032" s="217" t="inlineStr">
        <is>
          <t>"process.receivedDifferentLocation": "បុងបញ្ញើប្រៃសណីយ៍ {{orderCode}} មានអាសយដ្ឋានដឹកជញ្ជូនមិនត្រឹមត្រូវ។ ចូលទៅកាន់ផ្ទាំង "បញ្ជូនបន្ត" ដើម្បីដំណើរការវា។",</t>
        </is>
      </c>
      <c r="I1032" t="inlineStr">
        <is>
          <t>បុងបញ្ញើប្រៃសណីយ៍ {{orderCode}} មានអាសយដ្ឋានដឹកជញ្ជូនមិនត្រឹមត្រូវ។ ចូលទៅកាន់ផ្ទាំង "បញ្ជូនបន្ត" ដើម្បីដំណើរការវា។</t>
        </is>
      </c>
    </row>
    <row r="1033">
      <c r="A1033" s="3" t="inlineStr">
        <is>
          <t>process.receivedDifferentMultiple</t>
        </is>
      </c>
      <c r="B1033" s="3" t="inlineStr">
        <is>
          <t>Đồng chí đã nhận {{sameLength}} phiếu gửi thành công. {{diffLength}} phiếu gửi sai địa danh phát, đồng chí sang tab "Chuyển tiếp" để xử lý</t>
        </is>
      </c>
      <c r="C1033" s="3" t="inlineStr">
        <is>
          <t>You have successfully received {{sameLength}} postal slips. {{diffLength}} postal slips have the wrong delivery address. Please go to the 'Forwarding' tab to process them</t>
        </is>
      </c>
      <c r="D1033" s="217">
        <f>IFERROR(__xludf.DUMMYFUNCTION("GOOGLETRANSLATE(C1033,""vi"",""km"")"),"អ្នកបានទទួលសំបុត្រប្រៃសណីយ៍ {{sameLength}} ដោយជោគជ័យ។ សំបុត្រប្រៃសណីយ៍ {{diffLength}} មានអាសយដ្ឋានដឹកជញ្ជូនមិនត្រឹមត្រូវ។ សូមចូលទៅកាន់ផ្ទាំង 'បញ្ជូនបន្ត' ដើម្បីដំណើរការវា។")</f>
        <v/>
      </c>
      <c r="E1033" s="3" t="n"/>
      <c r="F1033" s="3" t="inlineStr">
        <is>
          <t>អ្នកបានទទួលបុងបញ្ញើប្រៃសណីយ៍ {{sameLength}} ដោយជោគជ័យ។ បុងបញ្ញើ {{diffLength}} មានអាសយដ្ឋានដឹកជញ្ជូនមិនត្រឹមត្រូវ។ សូមចូលទៅកាន់ផ្ទាំង 'បញ្ជូនបន្ត' ដើម្បីដំណើរការវា។</t>
        </is>
      </c>
      <c r="G1033" s="3" t="n"/>
      <c r="H1033" s="217" t="inlineStr">
        <is>
          <t>"process.receivedDifferentMultiple": "អ្នកបានទទួលបុងបញ្ញើប្រៃសណីយ៍ {{sameLength}} ដោយជោគជ័យ។ បុងបញ្ញើ {{diffLength}} មានអាសយដ្ឋានដឹកជញ្ជូនមិនត្រឹមត្រូវ។ សូមចូលទៅកាន់ផ្ទាំង 'បញ្ជូនបន្ត' ដើម្បីដំណើរការវា។",</t>
        </is>
      </c>
      <c r="I1033" t="inlineStr">
        <is>
          <t>អ្នកបានទទួលបុងបញ្ញើប្រៃសណីយ៍ {{sameLength}} ដោយជោគជ័យ។ បុងបញ្ញើ {{diffLength}} មានអាសយដ្ឋានដឹកជញ្ជូនមិនត្រឹមត្រូវ។ សូមចូលទៅកាន់ផ្ទាំង 'បញ្ជូនបន្ត' ដើម្បីដំណើរការវា។</t>
        </is>
      </c>
    </row>
    <row r="1034">
      <c r="A1034" s="3" t="inlineStr">
        <is>
          <t>process.receivedSuccess</t>
        </is>
      </c>
      <c r="B1034" s="3" t="inlineStr">
        <is>
          <t>Đồng chí đã nhận phiếu gửi thành công</t>
        </is>
      </c>
      <c r="C1034" s="3" t="inlineStr">
        <is>
          <t>Receive postal slip successfully</t>
        </is>
      </c>
      <c r="D1034" s="217">
        <f>IFERROR(__xludf.DUMMYFUNCTION("GOOGLETRANSLATE(C1034,""vi"",""km"")"),"ទទួលបានសំបុត្រប្រៃសណីយ៍ដោយជោគជ័យ")</f>
        <v/>
      </c>
      <c r="E1034" s="3" t="n"/>
      <c r="F1034" s="3" t="inlineStr">
        <is>
          <t>ទទួលបានបុងបញ្ញើដោយជោគជ័យ</t>
        </is>
      </c>
      <c r="G1034" s="3" t="n"/>
      <c r="H1034" s="217" t="inlineStr">
        <is>
          <t>"process.receivedSuccess": "ទទួលបានបុងបញ្ញើដោយជោគជ័យ",</t>
        </is>
      </c>
      <c r="I1034" t="inlineStr">
        <is>
          <t>ទទួលបានបុងបញ្ញើដោយជោគជ័យ</t>
        </is>
      </c>
    </row>
    <row r="1035">
      <c r="A1035" s="3" t="inlineStr">
        <is>
          <t>process.selected</t>
        </is>
      </c>
      <c r="B1035" s="3" t="inlineStr">
        <is>
          <t>Đã chọn</t>
        </is>
      </c>
      <c r="C1035" s="3" t="inlineStr">
        <is>
          <t>Selected</t>
        </is>
      </c>
      <c r="D1035" s="217">
        <f>IFERROR(__xludf.DUMMYFUNCTION("GOOGLETRANSLATE(C1035,""vi"",""km"")"),"បានជ្រើសរើស")</f>
        <v/>
      </c>
      <c r="E1035" s="3" t="n"/>
      <c r="F1035" s="3" t="inlineStr">
        <is>
          <t>បានជ្រើសរើស</t>
        </is>
      </c>
      <c r="G1035" s="3" t="n"/>
      <c r="H1035" s="217" t="inlineStr">
        <is>
          <t>"process.selected": "បានជ្រើសរើស",</t>
        </is>
      </c>
      <c r="I1035" t="inlineStr">
        <is>
          <t>បានជ្រើសរើស</t>
        </is>
      </c>
    </row>
    <row r="1036">
      <c r="A1036" s="3" t="inlineStr">
        <is>
          <t>process.sendDate</t>
        </is>
      </c>
      <c r="B1036" s="3" t="inlineStr">
        <is>
          <t>Ngày gửi</t>
        </is>
      </c>
      <c r="C1036" s="3" t="inlineStr">
        <is>
          <t>Sent date</t>
        </is>
      </c>
      <c r="D1036" s="217">
        <f>IFERROR(__xludf.DUMMYFUNCTION("GOOGLETRANSLATE(C1036,""vi"",""km"")"),"កាលបរិច្ឆេទដែលបានផ្ញើ")</f>
        <v/>
      </c>
      <c r="E1036" s="3" t="n"/>
      <c r="F1036" s="3" t="inlineStr">
        <is>
          <t>កាលបរិច្ឆេទផ្ញើ</t>
        </is>
      </c>
      <c r="G1036" s="3" t="n"/>
      <c r="H1036" s="217" t="inlineStr">
        <is>
          <t>"process.sendDate": "កាលបរិច្ឆេទផ្ញើ",</t>
        </is>
      </c>
      <c r="I1036" t="inlineStr">
        <is>
          <t>កាលបរិច្ឆេទផ្ញើ</t>
        </is>
      </c>
    </row>
    <row r="1037">
      <c r="A1037" s="3" t="inlineStr">
        <is>
          <t>process.sendPO</t>
        </is>
      </c>
      <c r="B1037" s="3" t="inlineStr">
        <is>
          <t>Bưu cục đi</t>
        </is>
      </c>
      <c r="C1037" s="3" t="inlineStr">
        <is>
          <t>From post office</t>
        </is>
      </c>
      <c r="D1037" s="217">
        <f>IFERROR(__xludf.DUMMYFUNCTION("GOOGLETRANSLATE(C1037,""vi"",""km"")"),"ពីការិយាល័យប្រៃសណីយ៍")</f>
        <v/>
      </c>
      <c r="E1037" s="3" t="n"/>
      <c r="F1037" s="3" t="inlineStr">
        <is>
          <t>ពីការិយាល័យប្រៃសណីយ៍</t>
        </is>
      </c>
      <c r="G1037" s="3" t="n"/>
      <c r="H1037" s="217" t="inlineStr">
        <is>
          <t>"process.sendPO": "ពីការិយាល័យប្រៃសណីយ៍",</t>
        </is>
      </c>
      <c r="I1037" t="inlineStr">
        <is>
          <t>ពីការិយាល័យប្រៃសណីយ៍</t>
        </is>
      </c>
    </row>
    <row r="1038">
      <c r="A1038" s="3" t="inlineStr">
        <is>
          <t>process.service</t>
        </is>
      </c>
      <c r="B1038" s="3" t="inlineStr">
        <is>
          <t>Dịch vụ</t>
        </is>
      </c>
      <c r="C1038" s="3" t="inlineStr">
        <is>
          <t>Service</t>
        </is>
      </c>
      <c r="D1038" s="217">
        <f>IFERROR(__xludf.DUMMYFUNCTION("GOOGLETRANSLATE(C1038,""vi"",""km"")"),"សេវាកម្ម")</f>
        <v/>
      </c>
      <c r="E1038" s="3" t="n"/>
      <c r="F1038" s="3" t="inlineStr">
        <is>
          <t>សេវាកម្ម</t>
        </is>
      </c>
      <c r="G1038" s="3" t="n"/>
      <c r="H1038" s="217" t="inlineStr">
        <is>
          <t>"process.service": "សេវាកម្ម",</t>
        </is>
      </c>
      <c r="I1038" t="inlineStr">
        <is>
          <t>សេវាកម្ម</t>
        </is>
      </c>
    </row>
    <row r="1039">
      <c r="A1039" s="3" t="inlineStr">
        <is>
          <t>process.toPostal</t>
        </is>
      </c>
      <c r="B1039" s="3" t="inlineStr">
        <is>
          <t>Bưu cục phát</t>
        </is>
      </c>
      <c r="C1039" s="3" t="inlineStr">
        <is>
          <t>Delivery post office</t>
        </is>
      </c>
      <c r="D1039" s="217">
        <f>IFERROR(__xludf.DUMMYFUNCTION("GOOGLETRANSLATE(C1039,""vi"",""km"")"),"ការិយាល័យប្រៃសណីយ៍ដឹកជញ្ជូន")</f>
        <v/>
      </c>
      <c r="E1039" s="3" t="n"/>
      <c r="F1039" s="3" t="inlineStr">
        <is>
          <t>ការិយាល័យប្រៃសណីយ៍ដឹកចែក</t>
        </is>
      </c>
      <c r="G1039" s="3" t="n"/>
      <c r="H1039" s="217" t="inlineStr">
        <is>
          <t>"process.toPostal": "ការិយាល័យប្រៃសណីយ៍ដឹកចែក",</t>
        </is>
      </c>
      <c r="I1039" t="inlineStr">
        <is>
          <t>ការិយាល័យប្រៃសណីយ៍ដឹកចែក</t>
        </is>
      </c>
    </row>
    <row r="1040">
      <c r="A1040" s="3" t="inlineStr">
        <is>
          <t>process.toProvince</t>
        </is>
      </c>
      <c r="B1040" s="3" t="inlineStr">
        <is>
          <t>Tỉnh đến</t>
        </is>
      </c>
      <c r="C1040" s="3" t="inlineStr">
        <is>
          <t>Receiving province</t>
        </is>
      </c>
      <c r="D1040" s="217">
        <f>IFERROR(__xludf.DUMMYFUNCTION("GOOGLETRANSLATE(C1040,""vi"",""km"")"),"ខេត្តប្រុស")</f>
        <v/>
      </c>
      <c r="E1040" s="3" t="n"/>
      <c r="F1040" s="3" t="inlineStr">
        <is>
          <t>ខេត្តប្រុស</t>
        </is>
      </c>
      <c r="G1040" s="3" t="n"/>
      <c r="H1040" s="217" t="inlineStr">
        <is>
          <t>"process.toProvince": "ខេត្តប្រុស",</t>
        </is>
      </c>
      <c r="I1040" t="inlineStr">
        <is>
          <t>ខេត្តប្រុស</t>
        </is>
      </c>
    </row>
    <row r="1041">
      <c r="A1041" s="3" t="inlineStr">
        <is>
          <t>process.totalOrder</t>
        </is>
      </c>
      <c r="B1041" s="3" t="inlineStr">
        <is>
          <t>Tổng đơn</t>
        </is>
      </c>
      <c r="C1041" s="3" t="inlineStr">
        <is>
          <t>Total order</t>
        </is>
      </c>
      <c r="D1041" s="217">
        <f>IFERROR(__xludf.DUMMYFUNCTION("GOOGLETRANSLATE(C1041,""vi"",""km"")"),"ការបញ្ជាទិញសរុប")</f>
        <v/>
      </c>
      <c r="E1041" s="3" t="n"/>
      <c r="F1041" s="3" t="inlineStr">
        <is>
          <t>ការបញ្ជាទិញសរុប</t>
        </is>
      </c>
      <c r="G1041" s="3" t="n"/>
      <c r="H1041" s="217" t="inlineStr">
        <is>
          <t>"process.totalOrder": "ការបញ្ជាទិញសរុប",</t>
        </is>
      </c>
      <c r="I1041" t="inlineStr">
        <is>
          <t>ការបញ្ជាទិញសរុប</t>
        </is>
      </c>
    </row>
    <row r="1042">
      <c r="A1042" s="3" t="inlineStr">
        <is>
          <t>process.totalOrderReceived</t>
        </is>
      </c>
      <c r="B1042" s="3" t="inlineStr">
        <is>
          <t>Tổng đơn đã nhận</t>
        </is>
      </c>
      <c r="C1042" s="3" t="inlineStr">
        <is>
          <t>Total received orders</t>
        </is>
      </c>
      <c r="D1042" s="217">
        <f>IFERROR(__xludf.DUMMYFUNCTION("GOOGLETRANSLATE(C1042,""vi"",""km"")"),"ការបញ្ជាទិញសរុបដែលបានទទួល")</f>
        <v/>
      </c>
      <c r="E1042" s="3" t="n"/>
      <c r="F1042" s="3" t="inlineStr">
        <is>
          <t>ការបញ្ជាទិញសរុបដែលបានទទួល</t>
        </is>
      </c>
      <c r="G1042" s="3" t="n"/>
      <c r="H1042" s="217" t="inlineStr">
        <is>
          <t>"process.totalOrderReceived": "ការបញ្ជាទិញសរុបដែលបានទទួល",</t>
        </is>
      </c>
      <c r="I1042" t="inlineStr">
        <is>
          <t>ការបញ្ជាទិញសរុបដែលបានទទួល</t>
        </is>
      </c>
    </row>
    <row r="1043">
      <c r="A1043" s="3" t="inlineStr">
        <is>
          <t>process.totalPackage</t>
        </is>
      </c>
      <c r="B1043" s="3" t="inlineStr">
        <is>
          <t>Tổng tải kiện</t>
        </is>
      </c>
      <c r="C1043" s="3" t="inlineStr">
        <is>
          <t>Total package</t>
        </is>
      </c>
      <c r="D1043" s="217">
        <f>IFERROR(__xludf.DUMMYFUNCTION("GOOGLETRANSLATE(C1043,""vi"",""km"")"),"កញ្ចប់សរុប")</f>
        <v/>
      </c>
      <c r="E1043" s="3" t="n"/>
      <c r="F1043" s="3" t="inlineStr">
        <is>
          <t>កញ្ចប់សរុប</t>
        </is>
      </c>
      <c r="G1043" s="3" t="n"/>
      <c r="H1043" s="217" t="inlineStr">
        <is>
          <t>"process.totalPackage": "កញ្ចប់សរុប",</t>
        </is>
      </c>
      <c r="I1043" t="inlineStr">
        <is>
          <t>កញ្ចប់សរុប</t>
        </is>
      </c>
    </row>
    <row r="1044">
      <c r="A1044" s="3" t="inlineStr">
        <is>
          <t>process.updateAt</t>
        </is>
      </c>
      <c r="B1044" s="3" t="inlineStr">
        <is>
          <t>Ngày tác động</t>
        </is>
      </c>
      <c r="C1044" s="3" t="inlineStr">
        <is>
          <t>Updated time</t>
        </is>
      </c>
      <c r="D1044" s="217">
        <f>IFERROR(__xludf.DUMMYFUNCTION("GOOGLETRANSLATE(C1044,""vi"",""km"")"),"ពេលវេលាដែលបានធ្វើបច្ចុប្បន្នភាព")</f>
        <v/>
      </c>
      <c r="E1044" s="3" t="n"/>
      <c r="F1044" s="3" t="inlineStr">
        <is>
          <t>ពេលវេលាដែលបានធ្វើបច្ចុប្បន្នភាព</t>
        </is>
      </c>
      <c r="G1044" s="3" t="n"/>
      <c r="H1044" s="217" t="inlineStr">
        <is>
          <t>"process.updateAt": "ពេលវេលាដែលបានធ្វើបច្ចុប្បន្នភាព",</t>
        </is>
      </c>
      <c r="I1044" t="inlineStr">
        <is>
          <t>ពេលវេលាដែលបានធ្វើបច្ចុប្បន្នភាព</t>
        </is>
      </c>
    </row>
    <row r="1045">
      <c r="A1045" s="3" t="inlineStr">
        <is>
          <t>process.updateAtMissing</t>
        </is>
      </c>
      <c r="B1045" s="3" t="inlineStr">
        <is>
          <t>Ngày báo thiếu</t>
        </is>
      </c>
      <c r="C1045" s="3" t="inlineStr">
        <is>
          <t>Report missing date</t>
        </is>
      </c>
      <c r="D1045" s="217">
        <f>IFERROR(__xludf.DUMMYFUNCTION("GOOGLETRANSLATE(C1045,""vi"",""km"")"),"រាយការណ៍ពីកាលបរិច្ឆេទដែលបាត់")</f>
        <v/>
      </c>
      <c r="E1045" s="3" t="n"/>
      <c r="F1045" s="3" t="inlineStr">
        <is>
          <t>រាយការណ៍ពីកាលបរិច្ឆេទដែលបាត់</t>
        </is>
      </c>
      <c r="G1045" s="3" t="n"/>
      <c r="H1045" s="217" t="inlineStr">
        <is>
          <t>"process.updateAtMissing": "រាយការណ៍ពីកាលបរិច្ឆេទដែលបាត់",</t>
        </is>
      </c>
      <c r="I1045" t="inlineStr">
        <is>
          <t>រាយការណ៍ពីកាលបរិច្ឆេទដែលបាត់</t>
        </is>
      </c>
    </row>
    <row r="1046">
      <c r="A1046" s="3" t="inlineStr">
        <is>
          <t>process.updateByMissing</t>
        </is>
      </c>
      <c r="B1046" s="3" t="inlineStr">
        <is>
          <t>Người báo thiếu</t>
        </is>
      </c>
      <c r="C1046" s="3" t="inlineStr">
        <is>
          <t>Report missing user</t>
        </is>
      </c>
      <c r="D1046" s="217">
        <f>IFERROR(__xludf.DUMMYFUNCTION("GOOGLETRANSLATE(C1046,""vi"",""km"")"),"រាយការណ៍អ្នកប្រើប្រាស់ដែលបាត់")</f>
        <v/>
      </c>
      <c r="E1046" s="3" t="n"/>
      <c r="F1046" s="3" t="inlineStr">
        <is>
          <t>រាយការណ៍អ្នកប្រើប្រាស់ដែលបាត់</t>
        </is>
      </c>
      <c r="G1046" s="3" t="n"/>
      <c r="H1046" s="217" t="inlineStr">
        <is>
          <t>"process.updateByMissing": "រាយការណ៍អ្នកប្រើប្រាស់ដែលបាត់",</t>
        </is>
      </c>
      <c r="I1046" t="inlineStr">
        <is>
          <t>រាយការណ៍អ្នកប្រើប្រាស់ដែលបាត់</t>
        </is>
      </c>
    </row>
    <row r="1047">
      <c r="A1047" s="3" t="inlineStr">
        <is>
          <t>process.updateByName</t>
        </is>
      </c>
      <c r="B1047" s="3" t="inlineStr">
        <is>
          <t>Người tác động</t>
        </is>
      </c>
      <c r="C1047" s="3" t="inlineStr">
        <is>
          <t>Updater</t>
        </is>
      </c>
      <c r="D1047" s="217">
        <f>IFERROR(__xludf.DUMMYFUNCTION("GOOGLETRANSLATE(C1047,""vi"",""km"")"),"កម្មវិធីធ្វើបច្ចុប្បន្នភាព")</f>
        <v/>
      </c>
      <c r="E1047" s="3" t="n"/>
      <c r="F1047" s="3" t="inlineStr">
        <is>
          <t>អ្នកធ្វើប្រតិបត្តិការ</t>
        </is>
      </c>
      <c r="G1047" s="3" t="n"/>
      <c r="H1047" s="217" t="inlineStr">
        <is>
          <t>"process.updateByName": "អ្នកធ្វើប្រតិបត្តិការ",</t>
        </is>
      </c>
      <c r="I1047" t="inlineStr">
        <is>
          <t>អ្នកធ្វើប្រតិបត្តិការ</t>
        </is>
      </c>
    </row>
    <row r="1048">
      <c r="A1048" s="3" t="inlineStr">
        <is>
          <t>process.updateFail</t>
        </is>
      </c>
      <c r="B1048" s="3" t="inlineStr">
        <is>
          <t>Cập nhật địa chỉ thất bại</t>
        </is>
      </c>
      <c r="C1048" s="3" t="inlineStr">
        <is>
          <t>Fail to update address</t>
        </is>
      </c>
      <c r="D1048" s="217">
        <f>IFERROR(__xludf.DUMMYFUNCTION("GOOGLETRANSLATE(C1048,""vi"",""km"")"),"មិនអាចធ្វើបច្ចុប្បន្នភាពអាសយដ្ឋានបានទេ")</f>
        <v/>
      </c>
      <c r="E1048" s="3" t="n"/>
      <c r="F1048" s="3" t="inlineStr">
        <is>
          <t>មិនអាចធ្វើបច្ចុប្បន្នភាពអាសយដ្ឋានបានទេ</t>
        </is>
      </c>
      <c r="G1048" s="3" t="n"/>
      <c r="H1048" s="217" t="inlineStr">
        <is>
          <t>"process.updateFail": "មិនអាចធ្វើបច្ចុប្បន្នភាពអាសយដ្ឋានបានទេ",</t>
        </is>
      </c>
      <c r="I1048" t="inlineStr">
        <is>
          <t>មិនអាចធ្វើបច្ចុប្បន្នភាពអាសយដ្ឋានបានទេ</t>
        </is>
      </c>
    </row>
    <row r="1049">
      <c r="A1049" s="3" t="inlineStr">
        <is>
          <t>process.updateLocation</t>
        </is>
      </c>
      <c r="B1049" s="3" t="inlineStr">
        <is>
          <t>Cập nhật địa chỉ</t>
        </is>
      </c>
      <c r="C1049" s="3" t="inlineStr">
        <is>
          <t>Address update</t>
        </is>
      </c>
      <c r="D1049" s="217">
        <f>IFERROR(__xludf.DUMMYFUNCTION("GOOGLETRANSLATE(C1049,""vi"",""km"")"),"ការអាប់ដេតមិនត្រឹមត្រូវ")</f>
        <v/>
      </c>
      <c r="E1049" s="3" t="n"/>
      <c r="F1049" s="3" t="inlineStr">
        <is>
          <t>ការអាប់ដេតមិនត្រឹមត្រូវ</t>
        </is>
      </c>
      <c r="G1049" s="3" t="n"/>
      <c r="H1049" s="217" t="inlineStr">
        <is>
          <t>"process.updateLocation": "ការអាប់ដេតមិនត្រឹមត្រូវ",</t>
        </is>
      </c>
      <c r="I1049" t="inlineStr">
        <is>
          <t>ការអាប់ដេតមិនត្រឹមត្រូវ</t>
        </is>
      </c>
    </row>
    <row r="1050">
      <c r="A1050" s="3" t="inlineStr">
        <is>
          <t>process.wardDelivery</t>
        </is>
      </c>
      <c r="B1050" s="3" t="inlineStr">
        <is>
          <t>{{ward}} phát</t>
        </is>
      </c>
      <c r="C1050" s="3" t="inlineStr">
        <is>
          <t>Delivery {{ward}}</t>
        </is>
      </c>
      <c r="D1050" s="217">
        <f>IFERROR(__xludf.DUMMYFUNCTION("GOOGLETRANSLATE(C1050,""vi"",""km"")"),"ការដឹកជញ្ជូន {{ward}}")</f>
        <v/>
      </c>
      <c r="E1050" s="3" t="n"/>
      <c r="F1050" s="3" t="inlineStr">
        <is>
          <t>ការដឹកជញ្ជូន {{ward}}</t>
        </is>
      </c>
      <c r="G1050" s="3" t="n"/>
      <c r="H1050" s="217" t="inlineStr">
        <is>
          <t>"process.wardDelivery": "ការដឹកជញ្ជូន {{ward}}",</t>
        </is>
      </c>
      <c r="I1050" t="inlineStr">
        <is>
          <t>ការដឹកជញ្ជូន {{ward}}</t>
        </is>
      </c>
    </row>
    <row r="1051">
      <c r="A1051" s="3" t="inlineStr">
        <is>
          <t>process.weight</t>
        </is>
      </c>
      <c r="B1051" s="3" t="inlineStr">
        <is>
          <t>Trọng lượng (g)</t>
        </is>
      </c>
      <c r="C1051" s="3" t="inlineStr">
        <is>
          <t>Weight (g)</t>
        </is>
      </c>
      <c r="D1051" s="217">
        <f>IFERROR(__xludf.DUMMYFUNCTION("GOOGLETRANSLATE(C1051,""vi"",""km"")"),"ទម្ងន់ (ក្រាម)")</f>
        <v/>
      </c>
      <c r="E1051" s="3" t="n"/>
      <c r="F1051" s="3" t="inlineStr">
        <is>
          <t>ទម្ងន់ (ក្រាម)</t>
        </is>
      </c>
      <c r="G1051" s="3" t="n"/>
      <c r="H1051" s="217" t="inlineStr">
        <is>
          <t>"process.weight": "ទម្ងន់ (ក្រាម)",</t>
        </is>
      </c>
      <c r="I1051" t="inlineStr">
        <is>
          <t>ទម្ងន់ (ក្រាម)</t>
        </is>
      </c>
    </row>
    <row r="1052">
      <c r="A1052" s="3" t="inlineStr">
        <is>
          <t>process.weightOrder</t>
        </is>
      </c>
      <c r="B1052" s="3" t="inlineStr">
        <is>
          <t>Trọng lượng</t>
        </is>
      </c>
      <c r="C1052" s="3" t="inlineStr">
        <is>
          <t>Weight</t>
        </is>
      </c>
      <c r="D1052" s="217">
        <f>IFERROR(__xludf.DUMMYFUNCTION("GOOGLETRANSLATE(C1052,""vi"",""km"")"),"ទម្ងន់")</f>
        <v/>
      </c>
      <c r="E1052" s="3" t="n"/>
      <c r="F1052" s="3" t="inlineStr">
        <is>
          <t>ទម្ងន់</t>
        </is>
      </c>
      <c r="G1052" s="3" t="n"/>
      <c r="H1052" s="217" t="inlineStr">
        <is>
          <t>"process.weightOrder": "ទម្ងន់",</t>
        </is>
      </c>
      <c r="I1052" t="inlineStr">
        <is>
          <t>ទម្ងន់</t>
        </is>
      </c>
    </row>
    <row r="1053">
      <c r="A1053" s="3" t="inlineStr">
        <is>
          <t>progressAssign.assignDone</t>
        </is>
      </c>
      <c r="B1053" s="3" t="inlineStr">
        <is>
          <t>Gán đơn kho thành công!</t>
        </is>
      </c>
      <c r="C1053" s="3" t="inlineStr">
        <is>
          <t>Assigned total order in warehouse successfully!</t>
        </is>
      </c>
      <c r="D1053" s="217">
        <f>IFERROR(__xludf.DUMMYFUNCTION("GOOGLETRANSLATE(C1053,""vi"",""km"")"),"បានកំណត់ការបញ្ជាទិញសរុបនៅក្នុងឃ្លាំងដោយជោគជ័យ!")</f>
        <v/>
      </c>
      <c r="E1053" s="3" t="n"/>
      <c r="F1053" s="3" t="inlineStr">
        <is>
          <t>ចាត់តាំងបញ្ញើក្នុងឃ្លាំងជោគជ័យ!</t>
        </is>
      </c>
      <c r="G1053" s="3" t="n"/>
      <c r="H1053" s="217" t="inlineStr">
        <is>
          <t>"progressAssign.assignDone": "ចាត់តាំងបញ្ញើក្នុងឃ្លាំងជោគជ័យ!",</t>
        </is>
      </c>
      <c r="I1053" t="inlineStr">
        <is>
          <t>ចាត់តាំងបញ្ញើក្នុងឃ្លាំងជោគជ័យ!</t>
        </is>
      </c>
    </row>
    <row r="1054">
      <c r="A1054" s="3" t="inlineStr">
        <is>
          <t>progressAssign.getOrderFail</t>
        </is>
      </c>
      <c r="B1054" s="3" t="inlineStr">
        <is>
          <t>Lỗi lấy danh sách đơn của kho</t>
        </is>
      </c>
      <c r="C1054" s="3" t="inlineStr">
        <is>
          <t>Error getting list of warehouse orders</t>
        </is>
      </c>
      <c r="D1054" s="217">
        <f>IFERROR(__xludf.DUMMYFUNCTION("GOOGLETRANSLATE(C1054,""vi"",""km"")"),"កំហុសក្នុងការទទួលបានបញ្ជីការបញ្ជាទិញឃ្លាំង")</f>
        <v/>
      </c>
      <c r="E1054" s="3" t="n"/>
      <c r="F1054" s="3" t="inlineStr">
        <is>
          <t>មានបញ្ហាក្នុងការទាញយកបញ្ជីបញ្ញើរបស់ឃ្លាំង</t>
        </is>
      </c>
      <c r="G1054" s="3" t="n"/>
      <c r="H1054" s="217" t="inlineStr">
        <is>
          <t>"progressAssign.getOrderFail": "មានបញ្ហាក្នុងការទាញយកបញ្ជីបញ្ញើរបស់ឃ្លាំង",</t>
        </is>
      </c>
      <c r="I1054" t="inlineStr">
        <is>
          <t>មានបញ្ហាក្នុងការទាញយកបញ្ជីបញ្ញើរបស់ឃ្លាំង</t>
        </is>
      </c>
    </row>
    <row r="1055">
      <c r="A1055" s="3" t="inlineStr">
        <is>
          <t>progressAssign.orderFail</t>
        </is>
      </c>
      <c r="B1055" s="3" t="inlineStr">
        <is>
          <t>Đơn gán thất bại</t>
        </is>
      </c>
      <c r="C1055" s="3" t="inlineStr">
        <is>
          <t>Assigned order failed!</t>
        </is>
      </c>
      <c r="D1055" s="217">
        <f>IFERROR(__xludf.DUMMYFUNCTION("GOOGLETRANSLATE(C1055,""vi"",""km"")"),"ការបញ្ជាទិញដែលបានកំណត់បានបរាជ័យ!")</f>
        <v/>
      </c>
      <c r="E1055" s="3" t="n"/>
      <c r="F1055" s="3" t="inlineStr">
        <is>
          <t>ការបញ្ជាទិញដែលបានកំណត់បានបរាជ័យ!</t>
        </is>
      </c>
      <c r="G1055" s="3" t="n"/>
      <c r="H1055" s="217" t="inlineStr">
        <is>
          <t>"progressAssign.orderFail": "ការបញ្ជាទិញដែលបានកំណត់បានបរាជ័យ!",</t>
        </is>
      </c>
      <c r="I1055" t="inlineStr">
        <is>
          <t>ការបញ្ជាទិញដែលបានកំណត់បានបរាជ័យ!</t>
        </is>
      </c>
    </row>
    <row r="1056">
      <c r="A1056" s="3" t="inlineStr">
        <is>
          <t>progressAssign.orderSuccess</t>
        </is>
      </c>
      <c r="B1056" s="3" t="inlineStr">
        <is>
          <t>Đơn gán thành công</t>
        </is>
      </c>
      <c r="C1056" s="3" t="inlineStr">
        <is>
          <t>Assigned order successfully!</t>
        </is>
      </c>
      <c r="D1056" s="217">
        <f>IFERROR(__xludf.DUMMYFUNCTION("GOOGLETRANSLATE(C1056,""vi"",""km"")"),"បានកំណត់ការបញ្ជាទិញដោយជោគជ័យ!")</f>
        <v/>
      </c>
      <c r="E1056" s="3" t="n"/>
      <c r="F1056" s="3" t="inlineStr">
        <is>
          <t>បានកំណត់ការបញ្ជាទិញដោយជោគជ័យ!</t>
        </is>
      </c>
      <c r="G1056" s="3" t="n"/>
      <c r="H1056" s="217" t="inlineStr">
        <is>
          <t>"progressAssign.orderSuccess": "បានកំណត់ការបញ្ជាទិញដោយជោគជ័យ!",</t>
        </is>
      </c>
      <c r="I1056" t="inlineStr">
        <is>
          <t>បានកំណត់ការបញ្ជាទិញដោយជោគជ័យ!</t>
        </is>
      </c>
    </row>
    <row r="1057">
      <c r="A1057" s="3" t="inlineStr">
        <is>
          <t>progressAssign.pregressing</t>
        </is>
      </c>
      <c r="B1057" s="3" t="inlineStr">
        <is>
          <t>Đang gán đơn</t>
        </is>
      </c>
      <c r="C1057" s="3" t="inlineStr">
        <is>
          <t>Assigning orders</t>
        </is>
      </c>
      <c r="D1057" s="217">
        <f>IFERROR(__xludf.DUMMYFUNCTION("GOOGLETRANSLATE(C1057,""vi"",""km"")"),"ការចាត់តាំងការបញ្ជាទិញ")</f>
        <v/>
      </c>
      <c r="E1057" s="3" t="n"/>
      <c r="F1057" s="3" t="inlineStr">
        <is>
          <t>កំពុងចាត់តាំងបញ្ញើ</t>
        </is>
      </c>
      <c r="G1057" s="3" t="n"/>
      <c r="H1057" s="217" t="inlineStr">
        <is>
          <t>"progressAssign.pregressing": "កំពុងចាត់តាំងបញ្ញើ",</t>
        </is>
      </c>
      <c r="I1057" t="inlineStr">
        <is>
          <t>កំពុងចាត់តាំងបញ្ញើ</t>
        </is>
      </c>
    </row>
    <row r="1058">
      <c r="A1058" s="3" t="inlineStr">
        <is>
          <t>receivingKpi.branch</t>
        </is>
      </c>
      <c r="B1058" s="3" t="inlineStr">
        <is>
          <t>Chi nhánh</t>
        </is>
      </c>
      <c r="C1058" s="3" t="inlineStr">
        <is>
          <t>Branch</t>
        </is>
      </c>
      <c r="D1058" s="217">
        <f>IFERROR(__xludf.DUMMYFUNCTION("GOOGLETRANSLATE(C1058,""vi"",""km"")"),"គ្រួសារ")</f>
        <v/>
      </c>
      <c r="E1058" s="3" t="n"/>
      <c r="F1058" s="3" t="inlineStr">
        <is>
          <t>សាខា</t>
        </is>
      </c>
      <c r="G1058" s="3" t="n"/>
      <c r="H1058" s="217" t="inlineStr">
        <is>
          <t>"receivingKpi.branch": "សាខា",</t>
        </is>
      </c>
      <c r="I1058" t="inlineStr">
        <is>
          <t>សាខា</t>
        </is>
      </c>
    </row>
    <row r="1059">
      <c r="A1059" s="3" t="inlineStr">
        <is>
          <t>receivingKpi.calculateDate</t>
        </is>
      </c>
      <c r="B1059" s="3" t="inlineStr">
        <is>
          <t>Luỹ kế ngày</t>
        </is>
      </c>
      <c r="C1059" s="3" t="inlineStr">
        <is>
          <t>Day-to-date</t>
        </is>
      </c>
      <c r="D1059" s="217">
        <f>IFERROR(__xludf.DUMMYFUNCTION("GOOGLETRANSLATE(C1059,""vi"",""km"")"),"ប្រចាំថ្ងៃ")</f>
        <v/>
      </c>
      <c r="E1059" s="3" t="n"/>
      <c r="F1059" s="3" t="inlineStr">
        <is>
          <t>ប្រចាំថ្ងៃ</t>
        </is>
      </c>
      <c r="G1059" s="3" t="n"/>
      <c r="H1059" s="217" t="inlineStr">
        <is>
          <t>"receivingKpi.calculateDate": "ប្រចាំថ្ងៃ",</t>
        </is>
      </c>
      <c r="I1059" t="inlineStr">
        <is>
          <t>ប្រចាំថ្ងៃ</t>
        </is>
      </c>
    </row>
    <row r="1060">
      <c r="A1060" s="3" t="inlineStr">
        <is>
          <t>receivingKpi.calculateMonth</t>
        </is>
      </c>
      <c r="B1060" s="3" t="inlineStr">
        <is>
          <t>Luỹ kế tháng</t>
        </is>
      </c>
      <c r="C1060" s="3" t="inlineStr">
        <is>
          <t>Month-to-date</t>
        </is>
      </c>
      <c r="D1060" s="217">
        <f>IFERROR(__xludf.DUMMYFUNCTION("GOOGLETRANSLATE(C1060,""vi"",""km"")"),"ប្រចាំខែរហូតមកដល់បច្ចុប្បន្ន")</f>
        <v/>
      </c>
      <c r="E1060" s="3" t="n"/>
      <c r="F1060" s="3" t="inlineStr">
        <is>
          <t>ប្រចាំខែរហូតមកដល់បច្ចុប្បន្ន</t>
        </is>
      </c>
      <c r="G1060" s="3" t="n"/>
      <c r="H1060" s="217" t="inlineStr">
        <is>
          <t>"receivingKpi.calculateMonth": "ប្រចាំខែរហូតមកដល់បច្ចុប្បន្ន",</t>
        </is>
      </c>
      <c r="I1060" t="inlineStr">
        <is>
          <t>ប្រចាំខែរហូតមកដល់បច្ចុប្បន្ន</t>
        </is>
      </c>
    </row>
    <row r="1061">
      <c r="A1061" s="3" t="inlineStr">
        <is>
          <t>receivingKpi.customer</t>
        </is>
      </c>
      <c r="B1061" s="3" t="inlineStr">
        <is>
          <t>Khách hàng</t>
        </is>
      </c>
      <c r="C1061" s="3" t="inlineStr">
        <is>
          <t>Customer</t>
        </is>
      </c>
      <c r="D1061" s="217">
        <f>IFERROR(__xludf.DUMMYFUNCTION("GOOGLETRANSLATE(C1061,""vi"",""km"")"),"បុគ្គលិកលក្ខណៈ")</f>
        <v/>
      </c>
      <c r="E1061" s="3" t="n"/>
      <c r="F1061" s="3" t="inlineStr">
        <is>
          <t>បុគ្គលិកលក្ខណៈ</t>
        </is>
      </c>
      <c r="G1061" s="3" t="n"/>
      <c r="H1061" s="217" t="inlineStr">
        <is>
          <t>"receivingKpi.customer": "បុគ្គលិកលក្ខណៈ",</t>
        </is>
      </c>
      <c r="I1061" t="inlineStr">
        <is>
          <t>បុគ្គលិកលក្ខណៈ</t>
        </is>
      </c>
    </row>
    <row r="1062">
      <c r="A1062" s="3" t="inlineStr">
        <is>
          <t>receivingKpi.deliveryBranch</t>
        </is>
      </c>
      <c r="B1062" s="3" t="inlineStr">
        <is>
          <t>Chi nhánh phát</t>
        </is>
      </c>
      <c r="C1062" s="3" t="inlineStr">
        <is>
          <t>Delivery branch</t>
        </is>
      </c>
      <c r="D1062" s="217">
        <f>IFERROR(__xludf.DUMMYFUNCTION("GOOGLETRANSLATE(C1062,""vi"",""km"")"),"សាខាដឹកជញ្ជូន")</f>
        <v/>
      </c>
      <c r="E1062" s="3" t="n"/>
      <c r="F1062" s="3" t="inlineStr">
        <is>
          <t>សាខាដឹកជញ្ជូន</t>
        </is>
      </c>
      <c r="G1062" s="3" t="n"/>
      <c r="H1062" s="217" t="inlineStr">
        <is>
          <t>"receivingKpi.deliveryBranch": "សាខាដឹកជញ្ជូន",</t>
        </is>
      </c>
      <c r="I1062" t="inlineStr">
        <is>
          <t>សាខាដឹកជញ្ជូន</t>
        </is>
      </c>
    </row>
    <row r="1063">
      <c r="A1063" s="3" t="inlineStr">
        <is>
          <t>receivingKpi.deliveryPostOffice</t>
        </is>
      </c>
      <c r="B1063" s="3" t="inlineStr">
        <is>
          <t>Bưu cục phát</t>
        </is>
      </c>
      <c r="C1063" s="3" t="inlineStr">
        <is>
          <t>Delivery post office</t>
        </is>
      </c>
      <c r="D1063" s="217">
        <f>IFERROR(__xludf.DUMMYFUNCTION("GOOGLETRANSLATE(C1063,""vi"",""km"")"),"ការិយាល័យប្រៃសណីយ៍ដឹកជញ្ជូន")</f>
        <v/>
      </c>
      <c r="E1063" s="3" t="n"/>
      <c r="F1063" s="3" t="inlineStr">
        <is>
          <t>ការិយាល័យប្រៃសណីយ៍ដឹកចែក</t>
        </is>
      </c>
      <c r="G1063" s="3" t="n"/>
      <c r="H1063" s="217" t="inlineStr">
        <is>
          <t>"receivingKpi.deliveryPostOffice": "ការិយាល័យប្រៃសណីយ៍ដឹកចែក",</t>
        </is>
      </c>
      <c r="I1063" t="inlineStr">
        <is>
          <t>ការិយាល័យប្រៃសណីយ៍ដឹកចែក</t>
        </is>
      </c>
    </row>
    <row r="1064">
      <c r="A1064" s="3" t="inlineStr">
        <is>
          <t>receivingKpi.deliveryPostman</t>
        </is>
      </c>
      <c r="B1064" s="3" t="inlineStr">
        <is>
          <t>Tuyến bưu tá phát</t>
        </is>
      </c>
      <c r="C1064" s="3" t="inlineStr">
        <is>
          <t>Delivery route</t>
        </is>
      </c>
      <c r="D1064" s="217">
        <f>IFERROR(__xludf.DUMMYFUNCTION("GOOGLETRANSLATE(C1064,""vi"",""km"")"),"ផ្លូវដឹកជញ្ជូន")</f>
        <v/>
      </c>
      <c r="E1064" s="3" t="n"/>
      <c r="F1064" s="3" t="inlineStr">
        <is>
          <t>ផ្លូវដឹកជញ្ជូន</t>
        </is>
      </c>
      <c r="G1064" s="3" t="n"/>
      <c r="H1064" s="217" t="inlineStr">
        <is>
          <t>"receivingKpi.deliveryPostman": "ផ្លូវដឹកជញ្ជូន",</t>
        </is>
      </c>
      <c r="I1064" t="inlineStr">
        <is>
          <t>ផ្លូវដឹកជញ្ជូន</t>
        </is>
      </c>
    </row>
    <row r="1065">
      <c r="A1065" s="3" t="inlineStr">
        <is>
          <t>receivingKpi.deliverySuccessRate</t>
        </is>
      </c>
      <c r="B1065" s="3" t="inlineStr">
        <is>
          <t>Tỷ lệ phát thành công</t>
        </is>
      </c>
      <c r="C1065" s="3" t="inlineStr">
        <is>
          <t>Successful delivery rate</t>
        </is>
      </c>
      <c r="D1065" s="217">
        <f>IFERROR(__xludf.DUMMYFUNCTION("GOOGLETRANSLATE(C1065,""vi"",""km"")"),"អត្រាចែកចាយជោគជ័យ")</f>
        <v/>
      </c>
      <c r="E1065" s="3" t="n"/>
      <c r="F1065" s="3" t="inlineStr">
        <is>
          <t>អត្រាចែកចាយជោគជ័យ</t>
        </is>
      </c>
      <c r="G1065" s="3" t="n"/>
      <c r="H1065" s="217" t="inlineStr">
        <is>
          <t>"receivingKpi.deliverySuccessRate": "អត្រាចែកចាយជោគជ័យ",</t>
        </is>
      </c>
      <c r="I1065" t="inlineStr">
        <is>
          <t>អត្រាចែកចាយជោគជ័យ</t>
        </is>
      </c>
    </row>
    <row r="1066">
      <c r="A1066" s="3" t="inlineStr">
        <is>
          <t>receivingKpi.deliveryTotal</t>
        </is>
      </c>
      <c r="B1066" s="3" t="inlineStr">
        <is>
          <t>Tổng đơn phải phát</t>
        </is>
      </c>
      <c r="C1066" s="3" t="inlineStr">
        <is>
          <t>Total orders for delivery</t>
        </is>
      </c>
      <c r="D1066" s="217">
        <f>IFERROR(__xludf.DUMMYFUNCTION("GOOGLETRANSLATE(C1066,""vi"",""km"")"),"ការបញ្ជាទិញសរុបសម្រាប់ការដឹកជញ្ជូន")</f>
        <v/>
      </c>
      <c r="E1066" s="3" t="n"/>
      <c r="F1066" s="3" t="inlineStr">
        <is>
          <t>ការបញ្ជាទិញសរុបសម្រាប់ការដឹកជញ្ជូន</t>
        </is>
      </c>
      <c r="G1066" s="3" t="n"/>
      <c r="H1066" s="217" t="inlineStr">
        <is>
          <t>"receivingKpi.deliveryTotal": "ការបញ្ជាទិញសរុបសម្រាប់ការដឹកជញ្ជូន",</t>
        </is>
      </c>
      <c r="I1066" t="inlineStr">
        <is>
          <t>ការបញ្ជាទិញសរុបសម្រាប់ការដឹកជញ្ជូន</t>
        </is>
      </c>
    </row>
    <row r="1067">
      <c r="A1067" s="3" t="inlineStr">
        <is>
          <t>receivingKpi.deliveryTotalSuccess</t>
        </is>
      </c>
      <c r="B1067" s="3" t="inlineStr">
        <is>
          <t>Tổng đơn phát thành công</t>
        </is>
      </c>
      <c r="C1067" s="3" t="inlineStr">
        <is>
          <t>Total successfully delivered orders</t>
        </is>
      </c>
      <c r="D1067" s="217">
        <f>IFERROR(__xludf.DUMMYFUNCTION("GOOGLETRANSLATE(C1067,""vi"",""km"")"),"ការបញ្ជាទិញសរុបដែលបានដឹកជញ្ជូនដោយជោគជ័យ")</f>
        <v/>
      </c>
      <c r="E1067" s="3" t="n"/>
      <c r="F1067" s="3" t="inlineStr">
        <is>
          <t>ការបញ្ជាទិញសរុបដែលបានដឹកជញ្ជូនដោយជោគជ័យ</t>
        </is>
      </c>
      <c r="G1067" s="3" t="n"/>
      <c r="H1067" s="217" t="inlineStr">
        <is>
          <t>"receivingKpi.deliveryTotalSuccess": "ការបញ្ជាទិញសរុបដែលបានដឹកជញ្ជូនដោយជោគជ័យ",</t>
        </is>
      </c>
      <c r="I1067" t="inlineStr">
        <is>
          <t>ការបញ្ជាទិញសរុបដែលបានដឹកជញ្ជូនដោយជោគជ័យ</t>
        </is>
      </c>
    </row>
    <row r="1068">
      <c r="A1068" s="3" t="inlineStr">
        <is>
          <t>receivingKpi.exportDetail</t>
        </is>
      </c>
      <c r="B1068" s="3" t="inlineStr">
        <is>
          <t>Xuất chi tiết</t>
        </is>
      </c>
      <c r="C1068" s="3" t="inlineStr">
        <is>
          <t>Export details</t>
        </is>
      </c>
      <c r="D1068" s="217">
        <f>IFERROR(__xludf.DUMMYFUNCTION("GOOGLETRANSLATE(C1068,""vi"",""km"")"),"នាំចេញព័ត៌មានលម្អិត")</f>
        <v/>
      </c>
      <c r="E1068" s="3" t="n"/>
      <c r="F1068" s="3" t="inlineStr">
        <is>
          <t>នាំចេញព័ត៌មានលម្អិត</t>
        </is>
      </c>
      <c r="G1068" s="3" t="n"/>
      <c r="H1068" s="217" t="inlineStr">
        <is>
          <t>"receivingKpi.exportDetail": "នាំចេញព័ត៌មានលម្អិត",</t>
        </is>
      </c>
      <c r="I1068" t="inlineStr">
        <is>
          <t>នាំចេញព័ត៌មានលម្អិត</t>
        </is>
      </c>
    </row>
    <row r="1069">
      <c r="A1069" s="3" t="inlineStr">
        <is>
          <t>receivingKpi.exportExcel</t>
        </is>
      </c>
      <c r="B1069" s="3" t="inlineStr">
        <is>
          <t>Xuất excel</t>
        </is>
      </c>
      <c r="C1069" s="3" t="inlineStr">
        <is>
          <t>Export to excel</t>
        </is>
      </c>
      <c r="D1069" s="217">
        <f>IFERROR(__xludf.DUMMYFUNCTION("GOOGLETRANSLATE(C1069,""vi"",""km"")"),"នាំចេញទៅ Excel")</f>
        <v/>
      </c>
      <c r="E1069" s="3" t="n"/>
      <c r="F1069" s="3" t="inlineStr">
        <is>
          <t>នាំចេញទៅ Excel</t>
        </is>
      </c>
      <c r="G1069" s="3" t="n"/>
      <c r="H1069" s="217" t="inlineStr">
        <is>
          <t>"receivingKpi.exportExcel": "នាំចេញទៅ Excel",</t>
        </is>
      </c>
      <c r="I1069" t="inlineStr">
        <is>
          <t>នាំចេញទៅ Excel</t>
        </is>
      </c>
    </row>
    <row r="1070">
      <c r="A1070" s="3" t="inlineStr">
        <is>
          <t>receivingKpi.exportFail</t>
        </is>
      </c>
      <c r="B1070" s="3" t="inlineStr">
        <is>
          <t>Xuất excel thất bại</t>
        </is>
      </c>
      <c r="C1070" s="3" t="inlineStr">
        <is>
          <t>Export to Excel failed</t>
        </is>
      </c>
      <c r="D1070" s="217">
        <f>IFERROR(__xludf.DUMMYFUNCTION("GOOGLETRANSLATE(C1070,""vi"",""km"")"),"ការនាំចេញទៅ Excel បរាជ័យ")</f>
        <v/>
      </c>
      <c r="E1070" s="3" t="n"/>
      <c r="F1070" s="3" t="inlineStr">
        <is>
          <t>ការនាំចេញទៅ Excel បរាជ័យ</t>
        </is>
      </c>
      <c r="G1070" s="3" t="n"/>
      <c r="H1070" s="217" t="inlineStr">
        <is>
          <t>"receivingKpi.exportFail": "ការនាំចេញទៅ Excel បរាជ័យ",</t>
        </is>
      </c>
      <c r="I1070" t="inlineStr">
        <is>
          <t>ការនាំចេញទៅ Excel បរាជ័យ</t>
        </is>
      </c>
    </row>
    <row r="1071">
      <c r="A1071" s="3" t="inlineStr">
        <is>
          <t>receivingKpi.exportSuccess</t>
        </is>
      </c>
      <c r="B1071" s="3" t="inlineStr">
        <is>
          <t>Xuất excel thành công</t>
        </is>
      </c>
      <c r="C1071" s="3" t="inlineStr">
        <is>
          <t>Export to Excel successful</t>
        </is>
      </c>
      <c r="D1071" s="217">
        <f>IFERROR(__xludf.DUMMYFUNCTION("GOOGLETRANSLATE(C1071,""vi"",""km"")"),"នាំចេញទៅ Excel ដោយជោគជ័យ")</f>
        <v/>
      </c>
      <c r="E1071" s="3" t="n"/>
      <c r="F1071" s="3" t="inlineStr">
        <is>
          <t>នាំចេញទៅ Excel ដោយជោគជ័យ</t>
        </is>
      </c>
      <c r="G1071" s="3" t="n"/>
      <c r="H1071" s="217" t="inlineStr">
        <is>
          <t>"receivingKpi.exportSuccess": "នាំចេញទៅ Excel ដោយជោគជ័យ",</t>
        </is>
      </c>
      <c r="I1071" t="inlineStr">
        <is>
          <t>នាំចេញទៅ Excel ដោយជោគជ័យ</t>
        </is>
      </c>
    </row>
    <row r="1072">
      <c r="A1072" s="3" t="inlineStr">
        <is>
          <t>receivingKpi.fileNameExcel</t>
        </is>
      </c>
      <c r="B1072" s="3" t="inlineStr">
        <is>
          <t>BaocaoKPIthu</t>
        </is>
      </c>
      <c r="C1072" s="3" t="inlineStr">
        <is>
          <t>RecevingKPIreport</t>
        </is>
      </c>
      <c r="D1072" s="217">
        <f>IFERROR(__xludf.DUMMYFUNCTION("GOOGLETRANSLATE(C1072,""vi"",""km"")"),"កំពុងទទួលរបាយការណ៍ KPI")</f>
        <v/>
      </c>
      <c r="E1072" s="3" t="n"/>
      <c r="F1072" s="3" t="inlineStr">
        <is>
          <t>កំពុងទទួលរបាយការណ៍ KPI</t>
        </is>
      </c>
      <c r="G1072" s="3" t="n"/>
      <c r="H1072" s="217" t="inlineStr">
        <is>
          <t>"receivingKpi.fileNameExcel": "កំពុងទទួលរបាយការណ៍ KPI",</t>
        </is>
      </c>
      <c r="I1072" t="inlineStr">
        <is>
          <t>កំពុងទទួលរបាយការណ៍ KPI</t>
        </is>
      </c>
    </row>
    <row r="1073">
      <c r="A1073" s="3" t="inlineStr">
        <is>
          <t>receivingKpi.fileNameExcelDetail</t>
        </is>
      </c>
      <c r="B1073" s="3" t="inlineStr">
        <is>
          <t>xuatchitiet_baocaoKPIthu</t>
        </is>
      </c>
      <c r="C1073" s="3" t="inlineStr">
        <is>
          <t>Exportdetails_RecevingKPIreport</t>
        </is>
      </c>
      <c r="D1073" s="217">
        <f>IFERROR(__xludf.DUMMYFUNCTION("GOOGLETRANSLATE(C1073,""vi"",""km"")"),"នាំចេញព័ត៌មានលម្អិត_របាយការណ៍ KPI ទទួល")</f>
        <v/>
      </c>
      <c r="E1073" s="3" t="n"/>
      <c r="F1073" s="3" t="inlineStr">
        <is>
          <t>នាំចេញព័ត៌មានលម្អិត_របាយការណ៍ KPI ទទួល</t>
        </is>
      </c>
      <c r="G1073" s="3" t="n"/>
      <c r="H1073" s="217" t="inlineStr">
        <is>
          <t>"receivingKpi.fileNameExcelDetail": "នាំចេញព័ត៌មានលម្អិត_របាយការណ៍ KPI ទទួល",</t>
        </is>
      </c>
      <c r="I1073" t="inlineStr">
        <is>
          <t>នាំចេញព័ត៌មានលម្អិត_របាយការណ៍ KPI ទទួល</t>
        </is>
      </c>
    </row>
    <row r="1074">
      <c r="A1074" s="3" t="inlineStr">
        <is>
          <t>receivingKpi.orderCode</t>
        </is>
      </c>
      <c r="B1074" s="3" t="inlineStr">
        <is>
          <t>Mã phiếu gửi</t>
        </is>
      </c>
      <c r="C1074" s="3" t="inlineStr">
        <is>
          <t>Order ID</t>
        </is>
      </c>
      <c r="D1074" s="217">
        <f>IFERROR(__xludf.DUMMYFUNCTION("GOOGLETRANSLATE(C1074,""vi"",""km"")"),"លេខសម្គាល់ការបញ្ជាទិញ")</f>
        <v/>
      </c>
      <c r="E1074" s="3" t="n"/>
      <c r="F1074" s="3" t="inlineStr">
        <is>
          <t>លេខកូដបុងបញ្ញើ</t>
        </is>
      </c>
      <c r="G1074" s="3" t="n"/>
      <c r="H1074" s="217" t="inlineStr">
        <is>
          <t>"receivingKpi.orderCode": "លេខកូដបុងបញ្ញើ",</t>
        </is>
      </c>
      <c r="I1074" t="inlineStr">
        <is>
          <t>លេខកូដបុងបញ្ញើ</t>
        </is>
      </c>
    </row>
    <row r="1075">
      <c r="A1075" s="3" t="inlineStr">
        <is>
          <t>receivingKpi.popupTitle</t>
        </is>
      </c>
      <c r="B1075" s="3" t="inlineStr">
        <is>
          <t>Chi tiết bưu gửi</t>
        </is>
      </c>
      <c r="C1075" s="3" t="inlineStr">
        <is>
          <t>Postal slip details</t>
        </is>
      </c>
      <c r="D1075" s="217">
        <f>IFERROR(__xludf.DUMMYFUNCTION("GOOGLETRANSLATE(C1075,""vi"",""km"")"),"ព័ត៌មានលម្អិតអំពីសំបុត្រប្រៃសណីយ៍")</f>
        <v/>
      </c>
      <c r="E1075" s="3" t="n"/>
      <c r="F1075" s="3" t="inlineStr">
        <is>
          <t>ព័ត៌មានលម្អិតអំពីបុងបញ្ញើ</t>
        </is>
      </c>
      <c r="G1075" s="3" t="n"/>
      <c r="H1075" s="217" t="inlineStr">
        <is>
          <t>"receivingKpi.popupTitle": "ព័ត៌មានលម្អិតអំពីបុងបញ្ញើ",</t>
        </is>
      </c>
      <c r="I1075" t="inlineStr">
        <is>
          <t>ព័ត៌មានលម្អិតអំពីបុងបញ្ញើ</t>
        </is>
      </c>
    </row>
    <row r="1076">
      <c r="A1076" s="3" t="inlineStr">
        <is>
          <t>receivingKpi.postOffice</t>
        </is>
      </c>
      <c r="B1076" s="3" t="inlineStr">
        <is>
          <t>Bưu cục</t>
        </is>
      </c>
      <c r="C1076" s="3" t="inlineStr">
        <is>
          <t>Post office</t>
        </is>
      </c>
      <c r="D1076" s="217">
        <f>IFERROR(__xludf.DUMMYFUNCTION("GOOGLETRANSLATE(C1076,""vi"",""km"")"),"ការិយាល័យប្រៃសណីយ៍")</f>
        <v/>
      </c>
      <c r="E1076" s="3" t="n"/>
      <c r="F1076" s="3" t="inlineStr">
        <is>
          <t>ការិយាល័យប្រៃសណីយ៍</t>
        </is>
      </c>
      <c r="G1076" s="3" t="n"/>
      <c r="H1076" s="217" t="inlineStr">
        <is>
          <t>"receivingKpi.postOffice": "ការិយាល័យប្រៃសណីយ៍",</t>
        </is>
      </c>
      <c r="I1076" t="inlineStr">
        <is>
          <t>ការិយាល័យប្រៃសណីយ៍</t>
        </is>
      </c>
    </row>
    <row r="1077">
      <c r="A1077" s="3" t="inlineStr">
        <is>
          <t>receivingKpi.postman</t>
        </is>
      </c>
      <c r="B1077" s="3" t="inlineStr">
        <is>
          <t>Tuyến</t>
        </is>
      </c>
      <c r="C1077" s="3" t="inlineStr">
        <is>
          <t>Route</t>
        </is>
      </c>
      <c r="D1077" s="217">
        <f>IFERROR(__xludf.DUMMYFUNCTION("GOOGLETRANSLATE(C1077,""vi"",""km"")"),"ផ្លូវ")</f>
        <v/>
      </c>
      <c r="E1077" s="3" t="n"/>
      <c r="F1077" s="3" t="inlineStr">
        <is>
          <t>ផ្លូវ</t>
        </is>
      </c>
      <c r="G1077" s="3" t="n"/>
      <c r="H1077" s="217" t="inlineStr">
        <is>
          <t>"receivingKpi.postman": "ផ្លូវ",</t>
        </is>
      </c>
      <c r="I1077" t="inlineStr">
        <is>
          <t>ផ្លូវ</t>
        </is>
      </c>
    </row>
    <row r="1078">
      <c r="A1078" s="3" t="inlineStr">
        <is>
          <t>receivingKpi.receivingBranch</t>
        </is>
      </c>
      <c r="B1078" s="3" t="inlineStr">
        <is>
          <t>Chi nhánh nhận</t>
        </is>
      </c>
      <c r="C1078" s="3" t="inlineStr">
        <is>
          <t>Receiving branch</t>
        </is>
      </c>
      <c r="D1078" s="217">
        <f>IFERROR(__xludf.DUMMYFUNCTION("GOOGLETRANSLATE(C1078,""vi"",""km"")"),"សាខាទទួល")</f>
        <v/>
      </c>
      <c r="E1078" s="3" t="n"/>
      <c r="F1078" s="3" t="inlineStr">
        <is>
          <t>សាខាទទួល</t>
        </is>
      </c>
      <c r="G1078" s="3" t="n"/>
      <c r="H1078" s="217" t="inlineStr">
        <is>
          <t>"receivingKpi.receivingBranch": "សាខាទទួល",</t>
        </is>
      </c>
      <c r="I1078" t="inlineStr">
        <is>
          <t>សាខាទទួល</t>
        </is>
      </c>
    </row>
    <row r="1079">
      <c r="A1079" s="3" t="inlineStr">
        <is>
          <t>receivingKpi.receivingPostOffice</t>
        </is>
      </c>
      <c r="B1079" s="3" t="inlineStr">
        <is>
          <t>Bưu cục nhận</t>
        </is>
      </c>
      <c r="C1079" s="3" t="inlineStr">
        <is>
          <t>Receiving post office</t>
        </is>
      </c>
      <c r="D1079" s="217">
        <f>IFERROR(__xludf.DUMMYFUNCTION("GOOGLETRANSLATE(C1079,""vi"",""km"")"),"ទទួលសំបុត្រប្រៃសណីយ៍")</f>
        <v/>
      </c>
      <c r="E1079" s="3" t="n"/>
      <c r="F1079" s="3" t="inlineStr">
        <is>
          <t>ទទួលបុងបញ្ញើប្រៃសណីយ៍</t>
        </is>
      </c>
      <c r="G1079" s="3" t="n"/>
      <c r="H1079" s="217" t="inlineStr">
        <is>
          <t>"receivingKpi.receivingPostOffice": "ទទួលបុងបញ្ញើប្រៃសណីយ៍",</t>
        </is>
      </c>
      <c r="I1079" t="inlineStr">
        <is>
          <t>ទទួលបុងបញ្ញើប្រៃសណីយ៍</t>
        </is>
      </c>
    </row>
    <row r="1080">
      <c r="A1080" s="3" t="inlineStr">
        <is>
          <t>receivingKpi.receivingPostman</t>
        </is>
      </c>
      <c r="B1080" s="3" t="inlineStr">
        <is>
          <t>Tuyến bưu tá nhận</t>
        </is>
      </c>
      <c r="C1080" s="3" t="inlineStr">
        <is>
          <t>Receiving route</t>
        </is>
      </c>
      <c r="D1080" s="217">
        <f>IFERROR(__xludf.DUMMYFUNCTION("GOOGLETRANSLATE(C1080,""vi"",""km"")"),"ផ្លូវ​លាមក")</f>
        <v/>
      </c>
      <c r="E1080" s="3" t="n"/>
      <c r="F1080" s="3" t="inlineStr">
        <is>
          <t>ផ្លូវលាមក</t>
        </is>
      </c>
      <c r="G1080" s="3" t="n"/>
      <c r="H1080" s="217" t="inlineStr">
        <is>
          <t>"receivingKpi.receivingPostman": "ផ្លូវលាមក",</t>
        </is>
      </c>
      <c r="I1080" t="inlineStr">
        <is>
          <t>ផ្លូវលាមក</t>
        </is>
      </c>
    </row>
    <row r="1081">
      <c r="A1081" s="3" t="inlineStr">
        <is>
          <t>receivingKpi.selectBranch</t>
        </is>
      </c>
      <c r="B1081" s="3" t="inlineStr">
        <is>
          <t>Chọn chi nhánh</t>
        </is>
      </c>
      <c r="C1081" s="3" t="inlineStr">
        <is>
          <t>Select branch</t>
        </is>
      </c>
      <c r="D1081" s="217">
        <f>IFERROR(__xludf.DUMMYFUNCTION("GOOGLETRANSLATE(C1081,""vi"",""km"")"),"ជ្រើសរើសទ្រូង")</f>
        <v/>
      </c>
      <c r="E1081" s="3" t="n"/>
      <c r="F1081" s="3" t="inlineStr">
        <is>
          <t>ជ្រើសរើសទ្រូង</t>
        </is>
      </c>
      <c r="G1081" s="3" t="n"/>
      <c r="H1081" s="217" t="inlineStr">
        <is>
          <t>"receivingKpi.selectBranch": "ជ្រើសរើសទ្រូង",</t>
        </is>
      </c>
      <c r="I1081" t="inlineStr">
        <is>
          <t>ជ្រើសរើសទ្រូង</t>
        </is>
      </c>
    </row>
    <row r="1082">
      <c r="A1082" s="3" t="inlineStr">
        <is>
          <t>receivingKpi.selectCustomer</t>
        </is>
      </c>
      <c r="B1082" s="3" t="inlineStr">
        <is>
          <t>Chọn khách hàng</t>
        </is>
      </c>
      <c r="C1082" s="3" t="inlineStr">
        <is>
          <t>Select customer</t>
        </is>
      </c>
      <c r="D1082" s="217">
        <f>IFERROR(__xludf.DUMMYFUNCTION("GOOGLETRANSLATE(C1082,""vi"",""km"")"),"ជ្រើសរើសអតិថិជន")</f>
        <v/>
      </c>
      <c r="E1082" s="3" t="n"/>
      <c r="F1082" s="3" t="inlineStr">
        <is>
          <t>ជ្រើសរើសអតិថិជន</t>
        </is>
      </c>
      <c r="G1082" s="3" t="n"/>
      <c r="H1082" s="217" t="inlineStr">
        <is>
          <t>"receivingKpi.selectCustomer": "ជ្រើសរើសអតិថិជន",</t>
        </is>
      </c>
      <c r="I1082" t="inlineStr">
        <is>
          <t>ជ្រើសរើសអតិថិជន</t>
        </is>
      </c>
    </row>
    <row r="1083">
      <c r="A1083" s="3" t="inlineStr">
        <is>
          <t>receivingKpi.selectDate</t>
        </is>
      </c>
      <c r="B1083" s="3" t="inlineStr">
        <is>
          <t>Chọn ngày</t>
        </is>
      </c>
      <c r="C1083" s="3" t="inlineStr">
        <is>
          <t>Select date</t>
        </is>
      </c>
      <c r="D1083" s="217">
        <f>IFERROR(__xludf.DUMMYFUNCTION("GOOGLETRANSLATE(C1083,""vi"",""km"")"),"កាលបរិច្ឆេទដែលបានជ្រើសរើស")</f>
        <v/>
      </c>
      <c r="E1083" s="3" t="n"/>
      <c r="F1083" s="3" t="inlineStr">
        <is>
          <t>កាលបរិច្ឆេទដែលបានជ្រើសរើស</t>
        </is>
      </c>
      <c r="G1083" s="3" t="n"/>
      <c r="H1083" s="217" t="inlineStr">
        <is>
          <t>"receivingKpi.selectDate": "កាលបរិច្ឆេទដែលបានជ្រើសរើស",</t>
        </is>
      </c>
      <c r="I1083" t="inlineStr">
        <is>
          <t>កាលបរិច្ឆេទដែលបានជ្រើសរើស</t>
        </is>
      </c>
    </row>
    <row r="1084">
      <c r="A1084" s="3" t="inlineStr">
        <is>
          <t>receivingKpi.selectOneDate</t>
        </is>
      </c>
      <c r="B1084" s="3" t="inlineStr">
        <is>
          <t>Vui lòng chọn 1 ngày</t>
        </is>
      </c>
      <c r="C1084" s="3" t="inlineStr">
        <is>
          <t>Please select a date</t>
        </is>
      </c>
      <c r="D1084" s="217">
        <f>IFERROR(__xludf.DUMMYFUNCTION("GOOGLETRANSLATE(C1084,""vi"",""km"")"),"សូមជ្រើសរើសកាលបរិច្ឆេទ")</f>
        <v/>
      </c>
      <c r="E1084" s="3" t="n"/>
      <c r="F1084" s="3" t="inlineStr">
        <is>
          <t>សូមជ្រើសរើសកាលបរិច្ឆេទ</t>
        </is>
      </c>
      <c r="G1084" s="3" t="n"/>
      <c r="H1084" s="217" t="inlineStr">
        <is>
          <t>"receivingKpi.selectOneDate": "សូមជ្រើសរើសកាលបរិច្ឆេទ",</t>
        </is>
      </c>
      <c r="I1084" t="inlineStr">
        <is>
          <t>សូមជ្រើសរើសកាលបរិច្ឆេទ</t>
        </is>
      </c>
    </row>
    <row r="1085">
      <c r="A1085" s="3" t="inlineStr">
        <is>
          <t>receivingKpi.selectPostOffice</t>
        </is>
      </c>
      <c r="B1085" s="3" t="inlineStr">
        <is>
          <t>Chọn bưu cục</t>
        </is>
      </c>
      <c r="C1085" s="3" t="inlineStr">
        <is>
          <t>Select post office</t>
        </is>
      </c>
      <c r="D1085" s="217">
        <f>IFERROR(__xludf.DUMMYFUNCTION("GOOGLETRANSLATE(C1085,""vi"",""km"")"),"ជ្រើសរើសការិយាល័យប្រៃសណីយ៍")</f>
        <v/>
      </c>
      <c r="E1085" s="3" t="n"/>
      <c r="F1085" s="3" t="inlineStr">
        <is>
          <t>ជ្រើសរើសការិយាល័យប្រៃសណីយ៍</t>
        </is>
      </c>
      <c r="G1085" s="3" t="n"/>
      <c r="H1085" s="217" t="inlineStr">
        <is>
          <t>"receivingKpi.selectPostOffice": "ជ្រើសរើសការិយាល័យប្រៃសណីយ៍",</t>
        </is>
      </c>
      <c r="I1085" t="inlineStr">
        <is>
          <t>ជ្រើសរើសការិយាល័យប្រៃសណីយ៍</t>
        </is>
      </c>
    </row>
    <row r="1086">
      <c r="A1086" s="3" t="inlineStr">
        <is>
          <t>receivingKpi.selectPostman</t>
        </is>
      </c>
      <c r="B1086" s="3" t="inlineStr">
        <is>
          <t>Chọn tuyến</t>
        </is>
      </c>
      <c r="C1086" s="3" t="inlineStr">
        <is>
          <t>Select route</t>
        </is>
      </c>
      <c r="D1086" s="217">
        <f>IFERROR(__xludf.DUMMYFUNCTION("GOOGLETRANSLATE(C1086,""vi"",""km"")"),"ជ្រើសរើសផ្លូវ")</f>
        <v/>
      </c>
      <c r="E1086" s="3" t="n"/>
      <c r="F1086" s="3" t="inlineStr">
        <is>
          <t>ជ្រើសរើសផ្លូវ</t>
        </is>
      </c>
      <c r="G1086" s="3" t="n"/>
      <c r="H1086" s="217" t="inlineStr">
        <is>
          <t>"receivingKpi.selectPostman": "ជ្រើសរើសផ្លូវ",</t>
        </is>
      </c>
      <c r="I1086" t="inlineStr">
        <is>
          <t>ជ្រើសរើសផ្លូវ</t>
        </is>
      </c>
    </row>
    <row r="1087">
      <c r="A1087" s="3" t="inlineStr">
        <is>
          <t>receivingKpi.selectService</t>
        </is>
      </c>
      <c r="B1087" s="3" t="inlineStr">
        <is>
          <t>Chọn dịch vụ</t>
        </is>
      </c>
      <c r="C1087" s="3" t="inlineStr">
        <is>
          <t>Select service</t>
        </is>
      </c>
      <c r="D1087" s="217">
        <f>IFERROR(__xludf.DUMMYFUNCTION("GOOGLETRANSLATE(C1087,""vi"",""km"")"),"ជ្រើសរើសសេវាកម្ម")</f>
        <v/>
      </c>
      <c r="E1087" s="3" t="n"/>
      <c r="F1087" s="3" t="inlineStr">
        <is>
          <t>ជ្រើសរើសសេវាកម្ម</t>
        </is>
      </c>
      <c r="G1087" s="3" t="n"/>
      <c r="H1087" s="217" t="inlineStr">
        <is>
          <t>"receivingKpi.selectService": "ជ្រើសរើសសេវាកម្ម",</t>
        </is>
      </c>
      <c r="I1087" t="inlineStr">
        <is>
          <t>ជ្រើសរើសសេវាកម្ម</t>
        </is>
      </c>
    </row>
    <row r="1088">
      <c r="A1088" s="3" t="inlineStr">
        <is>
          <t>receivingKpi.service</t>
        </is>
      </c>
      <c r="B1088" s="3" t="inlineStr">
        <is>
          <t>Dịch vụ</t>
        </is>
      </c>
      <c r="C1088" s="3" t="inlineStr">
        <is>
          <t>Service</t>
        </is>
      </c>
      <c r="D1088" s="217">
        <f>IFERROR(__xludf.DUMMYFUNCTION("GOOGLETRANSLATE(C1088,""vi"",""km"")"),"សេវាកម្ម")</f>
        <v/>
      </c>
      <c r="E1088" s="3" t="n"/>
      <c r="F1088" s="3" t="inlineStr">
        <is>
          <t>សេវាកម្ម</t>
        </is>
      </c>
      <c r="G1088" s="3" t="n"/>
      <c r="H1088" s="217" t="inlineStr">
        <is>
          <t>"receivingKpi.service": "សេវាកម្ម",</t>
        </is>
      </c>
      <c r="I1088" t="inlineStr">
        <is>
          <t>សេវាកម្ម</t>
        </is>
      </c>
    </row>
    <row r="1089">
      <c r="A1089" s="3" t="inlineStr">
        <is>
          <t>receivingKpi.status</t>
        </is>
      </c>
      <c r="B1089" s="3" t="inlineStr">
        <is>
          <t>Trạng thái</t>
        </is>
      </c>
      <c r="C1089" s="3" t="inlineStr">
        <is>
          <t>Status</t>
        </is>
      </c>
      <c r="D1089" s="217">
        <f>IFERROR(__xludf.DUMMYFUNCTION("GOOGLETRANSLATE(C1089,""vi"",""km"")"),"ស្ថានភាព")</f>
        <v/>
      </c>
      <c r="E1089" s="3" t="n"/>
      <c r="F1089" s="3" t="inlineStr">
        <is>
          <t>ស្ថានភាព</t>
        </is>
      </c>
      <c r="G1089" s="3" t="n"/>
      <c r="H1089" s="217" t="inlineStr">
        <is>
          <t>"receivingKpi.status": "ស្ថានភាព",</t>
        </is>
      </c>
      <c r="I1089" t="inlineStr">
        <is>
          <t>ស្ថានភាព</t>
        </is>
      </c>
    </row>
    <row r="1090">
      <c r="A1090" s="3" t="inlineStr">
        <is>
          <t>receivingKpi.successRate</t>
        </is>
      </c>
      <c r="B1090" s="3" t="inlineStr">
        <is>
          <t>Tỷ lệ thu thành công</t>
        </is>
      </c>
      <c r="C1090" s="3" t="inlineStr">
        <is>
          <t>Successful receiving rate</t>
        </is>
      </c>
      <c r="D1090" s="217">
        <f>IFERROR(__xludf.DUMMYFUNCTION("GOOGLETRANSLATE(C1090,""vi"",""km"")"),"អត្រាទទួលជោគជ័យ")</f>
        <v/>
      </c>
      <c r="E1090" s="3" t="n"/>
      <c r="F1090" s="3" t="inlineStr">
        <is>
          <t>អត្រាទទួលជោគជ័យ</t>
        </is>
      </c>
      <c r="G1090" s="3" t="n"/>
      <c r="H1090" s="217" t="inlineStr">
        <is>
          <t>"receivingKpi.successRate": "អត្រាទទួលជោគជ័យ",</t>
        </is>
      </c>
      <c r="I1090" t="inlineStr">
        <is>
          <t>អត្រាទទួលជោគជ័យ</t>
        </is>
      </c>
    </row>
    <row r="1091">
      <c r="A1091" s="3" t="inlineStr">
        <is>
          <t>receivingKpi.tooltipDay</t>
        </is>
      </c>
      <c r="B1091" s="3" t="inlineStr">
        <is>
          <t>Tổng đơn phát thành công: là các đơn giao thành công (410, 441, 550, 551) trong ngày N, có thời gian phát sinh phải giao trong ngày N ( thời gian trạng thái 306 (Đối với trường hợp Bưu cục nhận bàn giao = Bưu cục phát dự kiến) hoặc thời gian trạng thái 400 (đối với trường hợp bưu cục phát khác bưu cục dự kiến phát</t>
        </is>
      </c>
      <c r="C1091" s="3" t="inlineStr">
        <is>
          <t>The Successful Delivery Total refers to all shipments successfully delivered (statuses 410, 441, 550, 551) on day N, with a required delivery date falling on day N. This includes: (i) shipments with status 306 (for cases where the receiving post office is the same as the expected delivery post office), and (ii) shipments with status 400 (for cases where the actual delivery post office is different from the expected delivery post office)</t>
        </is>
      </c>
      <c r="D1091" s="217">
        <f>IFERROR(__xludf.DUMMYFUNCTION("GOOGLETRANSLATE(C1091,""vi"",""km"")"),"ចំនួនសរុបនៃការដឹកជញ្ជូនដោយជោគជ័យសំដៅទៅលើការដឹកជញ្ជូនទាំងអស់ដែលបានដឹកជញ្ជូនដោយជោគជ័យ (ស្ថានភាព 410, 441, 550, 551) នៅថ្ងៃទី N ដោយកាលបរិច្ឆេទដឹកជញ្ជូនដែលតម្រូវឱ្យធ្លាក់នៅថ្ងៃ N។ នេះរួមមាន៖ (i) ការដឹកជញ្ជូនដែលមានស្ថានភាព 306 (សម្រាប់ករណីដែលការិយាល័យប្រៃសណីយ៍"&amp;"ទទួលគឺដូចគ្នានឹងការិយាល័យប្រៃសណីយ៍ដឹកជញ្ជូនដែលរំពឹងទុក) និង (ii) ការដឹកជញ្ជូនដែលមានស្ថានភាព 400 (សម្រាប់ករណីដែលការិយាល័យប្រៃសណីយ៍ដឹកជញ្ជូនពិតប្រាកដគឺខុសពីការិយាល័យប្រៃសណីយ៍ដឹកជញ្ជូនដែលរំពឹងទុក)")</f>
        <v/>
      </c>
      <c r="E1091" s="3" t="n"/>
      <c r="F1091" s="3" t="inlineStr">
        <is>
          <t>ចំនួនសរុបនៃការដឹកជញ្ជូនដោយជោគជ័យសំដៅទៅលើការដឹកជញ្ជូនទាំងអស់ដែលបានដឹកជញ្ជូនដោយជោគជ័យ (ស្ថានភាព 410, 441, 550, 551) នៅថ្ងៃទី N ដោយកាលបរិច្ឆេទដឹកជញ្ជូនដែលតម្រូវឱ្យធ្លាក់នៅថ្ងៃ N។ នេះរួមមាន៖ (i) ការដឹកជញ្ជូនដែលមានស្ថានភាព 306 (សម្រាប់ករណីដែលការិយាល័យប្រៃសណីយ៍ទទួលគឺដូចគ្នានឹងការិយាល័យប្រៃសណីយ៍ដឹកជញ្ជូនដែលរំពឹងទុក) និង (ii) ការដឹកជញ្ជូនដែលមានស្ថានភាព 400 (សម្រាប់ករណីដែលការិយាល័យប្រៃសណីយ៍ដឹកជញ្ជូនពិតប្រាកដគឺខុសពីការិយាល័យប្រៃសណីយ៍ដឹកជញ្ជូនដែលរំពឹងទុក)</t>
        </is>
      </c>
      <c r="G1091" s="3" t="n"/>
      <c r="H1091" s="217" t="inlineStr">
        <is>
          <t>"receivingKpi.tooltipDay": "ចំនួនសរុបនៃការដឹកជញ្ជូនដោយជោគជ័យសំដៅទៅលើការដឹកជញ្ជូនទាំងអស់ដែលបានដឹកជញ្ជូនដោយជោគជ័យ (ស្ថានភាព 410, 441, 550, 551) នៅថ្ងៃទី N ដោយកាលបរិច្ឆេទដឹកជញ្ជូនដែលតម្រូវឱ្យធ្លាក់នៅថ្ងៃ N។ នេះរួមមាន៖ (i) ការដឹកជញ្ជូនដែលមានស្ថានភាព 306 (សម្រាប់ករណីដែលការិយាល័យប្រៃសណីយ៍ទទួលគឺដូចគ្នានឹងការិយាល័យប្រៃសណីយ៍ដឹកជញ្ជូនដែលរំពឹងទុក) និង (ii) ការដឹកជញ្ជូនដែលមានស្ថានភាព 400 (សម្រាប់ករណីដែលការិយាល័យប្រៃសណីយ៍ដឹកជញ្ជូនពិតប្រាកដគឺខុសពីការិយាល័យប្រៃសណីយ៍ដឹកជញ្ជូនដែលរំពឹងទុក)",</t>
        </is>
      </c>
      <c r="I1091" t="inlineStr">
        <is>
          <t>ចំនួនសរុបនៃការដឹកជញ្ជូនដោយជោគជ័យសំដៅទៅលើការដឹកជញ្ជូនទាំងអស់ដែលបានដឹកជញ្ជូនដោយជោគជ័យ (ស្ថានភាព 410, 441, 550, 551) នៅថ្ងៃទី N ដោយកាលបរិច្ឆេទដឹកជញ្ជូនដែលតម្រូវឱ្យធ្លាក់នៅថ្ងៃ N។ នេះរួមមាន៖ (i) ការដឹកជញ្ជូនដែលមានស្ថានភាព 306 (សម្រាប់ករណីដែលការិយាល័យប្រៃសណីយ៍ទទួលគឺដូចគ្នានឹងការិយាល័យប្រៃសណីយ៍ដឹកជញ្ជូនដែលរំពឹងទុក) និង (ii) ការដឹកជញ្ជូនដែលមានស្ថានភាព 400 (សម្រាប់ករណីដែលការិយាល័យប្រៃសណីយ៍ដឹកជញ្ជូនពិតប្រាកដគឺខុសពីការិយាល័យប្រៃសណីយ៍ដឹកជញ្ជូនដែលរំពឹងទុក)</t>
        </is>
      </c>
    </row>
    <row r="1092">
      <c r="A1092" s="3" t="inlineStr">
        <is>
          <t>receivingKpi.tooltipMonth</t>
        </is>
      </c>
      <c r="B1092" s="3" t="inlineStr">
        <is>
          <t>Tổng đơn phát thành công: Là các đơn giao thành công (410, 441, 550, 551) trong tháng T đến ngày 3 của tháng T + 1 có thời gian phát sinh phải giao trong tháng T ( thời gian trạng thái 306 (Đối với trường hợp Bưu cục nhận bàn giao = Bưu cục phát dự kiến) hoặc thời gian trạng thái 400 (đối với trường hợp bưu cục phát khác bưu cục dự kiến phát)</t>
        </is>
      </c>
      <c r="C1092" s="3" t="inlineStr">
        <is>
          <t>The Successful Delivery Total refers to all shipments successfully delivered (statuses 410, 441, 550, 551) from month T up to the 3rd day of month T+1, with a required delivery date falling within month T. This includes: (i) shipments with status 306 (for cases where the receiving post office is the same as the expected delivery post office), and (ii) shipments with status 400 (for cases where the actual delivery post office is different from the expected delivery post office)</t>
        </is>
      </c>
      <c r="D1092" s="217">
        <f>IFERROR(__xludf.DUMMYFUNCTION("GOOGLETRANSLATE(C1092,""vi"",""km"")"),"ចំនួនសរុបនៃការដឹកជញ្ជូនដោយជោគជ័យសំដៅទៅលើការដឹកជញ្ជូនទាំងអស់ដែលបានដឹកជញ្ជូនដោយជោគជ័យ (ស្ថានភាព 410, 441, 550, 551) ចាប់ពីខែ T រហូតដល់ថ្ងៃទី 3 នៃខែ T+1 ដែលមានកាលបរិច្ឆេទដឹកជញ្ជូនដែលតម្រូវឱ្យធ្លាក់ក្នុងខែ T។ នេះរួមមាន៖ (i) ការដឹកជញ្ជូនដែលមានស្ថានភាព 306 (សម្"&amp;"រាប់ករណីដែលការិយាល័យប្រៃសណីយ៍ទទួលគឺដូចគ្នានឹងការិយាល័យប្រៃសណីយ៍ដឹកជញ្ជូនដែលរំពឹងទុក) និង (ii) ការដឹកជញ្ជូនដែលមានស្ថានភាព 400 (សម្រាប់ករណីដែលការិយាល័យប្រៃសណីយ៍ដឹកជញ្ជូនពិតប្រាកដគឺខុសពីការិយាល័យប្រៃសណីយ៍ដឹកជញ្ជូនដែលរំពឹងទុក)")</f>
        <v/>
      </c>
      <c r="E1092" s="3" t="n"/>
      <c r="F1092" s="3" t="inlineStr">
        <is>
          <t>ចំនួនសរុបនៃការដឹកជញ្ជូនដោយជោគជ័យសំដៅទៅលើការដឹកជញ្ជូនទាំងអស់ដែលបានដឹកជញ្ជូនដោយជោគជ័យ (ស្ថានភាព 410, 441, 550, 551) ចាប់ពីខែ T រហូតដល់ថ្ងៃទី 3 នៃខែ T+1 ដែលមានកាលបរិច្ឆេទដឹកជញ្ជូនដែលតម្រូវឱ្យធ្លាក់ក្នុងខែ T។ នេះរួមមាន៖ (i) ការដឹកជញ្ជូនដែលមានស្ថានភាព 306 (សម្រាប់ករណីដែលការិយាល័យប្រៃសណីយ៍ទទួលគឺដូចគ្នានឹងការិយាល័យប្រៃសណីយ៍ដឹកជញ្ជូនដែលរំពឹងទុក) និង (ii) ការដឹកជញ្ជូនដែលមានស្ថានភាព 400 (សម្រាប់ករណីដែលការិយាល័យប្រៃសណីយ៍ដឹកជញ្ជូនពិតប្រាកដគឺខុសពីការិយាល័យប្រៃសណីយ៍ដឹកជញ្ជូនដែលរំពឹងទុក)</t>
        </is>
      </c>
      <c r="G1092" s="3" t="n"/>
      <c r="H1092" s="217" t="inlineStr">
        <is>
          <t>"receivingKpi.tooltipMonth": "ចំនួនសរុបនៃការដឹកជញ្ជូនដោយជោគជ័យសំដៅទៅលើការដឹកជញ្ជូនទាំងអស់ដែលបានដឹកជញ្ជូនដោយជោគជ័យ (ស្ថានភាព 410, 441, 550, 551) ចាប់ពីខែ T រហូតដល់ថ្ងៃទី 3 នៃខែ T+1 ដែលមានកាលបរិច្ឆេទដឹកជញ្ជូនដែលតម្រូវឱ្យធ្លាក់ក្នុងខែ T។ នេះរួមមាន៖ (i) ការដឹកជញ្ជូនដែលមានស្ថានភាព 306 (សម្រាប់ករណីដែលការិយាល័យប្រៃសណីយ៍ទទួលគឺដូចគ្នានឹងការិយាល័យប្រៃសណីយ៍ដឹកជញ្ជូនដែលរំពឹងទុក) និង (ii) ការដឹកជញ្ជូនដែលមានស្ថានភាព 400 (សម្រាប់ករណីដែលការិយាល័យប្រៃសណីយ៍ដឹកជញ្ជូនពិតប្រាកដគឺខុសពីការិយាល័យប្រៃសណីយ៍ដឹកជញ្ជូនដែលរំពឹងទុក)",</t>
        </is>
      </c>
      <c r="I1092" t="inlineStr">
        <is>
          <t>ចំនួនសរុបនៃការដឹកជញ្ជូនដោយជោគជ័យសំដៅទៅលើការដឹកជញ្ជូនទាំងអស់ដែលបានដឹកជញ្ជូនដោយជោគជ័យ (ស្ថានភាព 410, 441, 550, 551) ចាប់ពីខែ T រហូតដល់ថ្ងៃទី 3 នៃខែ T+1 ដែលមានកាលបរិច្ឆេទដឹកជញ្ជូនដែលតម្រូវឱ្យធ្លាក់ក្នុងខែ T។ នេះរួមមាន៖ (i) ការដឹកជញ្ជូនដែលមានស្ថានភាព 306 (សម្រាប់ករណីដែលការិយាល័យប្រៃសណីយ៍ទទួលគឺដូចគ្នានឹងការិយាល័យប្រៃសណីយ៍ដឹកជញ្ជូនដែលរំពឹងទុក) និង (ii) ការដឹកជញ្ជូនដែលមានស្ថានភាព 400 (សម្រាប់ករណីដែលការិយាល័យប្រៃសណីយ៍ដឹកជញ្ជូនពិតប្រាកដគឺខុសពីការិយាល័យប្រៃសណីយ៍ដឹកជញ្ជូនដែលរំពឹងទុក)</t>
        </is>
      </c>
    </row>
    <row r="1093">
      <c r="A1093" s="3" t="inlineStr">
        <is>
          <t>receivingKpi.total</t>
        </is>
      </c>
      <c r="B1093" s="3" t="inlineStr">
        <is>
          <t>Tổng đơn phải nhận</t>
        </is>
      </c>
      <c r="C1093" s="3" t="inlineStr">
        <is>
          <t>Total orders to receive</t>
        </is>
      </c>
      <c r="D1093" s="217">
        <f>IFERROR(__xludf.DUMMYFUNCTION("GOOGLETRANSLATE(C1093,""vi"",""km"")"),"ការបញ្ជាទិញសរុបដែលត្រូវទទួល")</f>
        <v/>
      </c>
      <c r="E1093" s="3" t="n"/>
      <c r="F1093" s="3" t="inlineStr">
        <is>
          <t>ការបញ្ជាទិញសរុបដែលត្រូវទទួល</t>
        </is>
      </c>
      <c r="G1093" s="3" t="n"/>
      <c r="H1093" s="217" t="inlineStr">
        <is>
          <t>"receivingKpi.total": "ការបញ្ជាទិញសរុបដែលត្រូវទទួល",</t>
        </is>
      </c>
      <c r="I1093" t="inlineStr">
        <is>
          <t>ការបញ្ជាទិញសរុបដែលត្រូវទទួល</t>
        </is>
      </c>
    </row>
    <row r="1094">
      <c r="A1094" s="3" t="inlineStr">
        <is>
          <t>receivingKpi.totalDropoff</t>
        </is>
      </c>
      <c r="B1094" s="3" t="inlineStr">
        <is>
          <t>Đơn dropoff</t>
        </is>
      </c>
      <c r="C1094" s="3" t="inlineStr">
        <is>
          <t>Drop-off order</t>
        </is>
      </c>
      <c r="D1094" s="217">
        <f>IFERROR(__xludf.DUMMYFUNCTION("GOOGLETRANSLATE(C1094,""vi"",""km"")"),"ការបញ្ជាទិញទម្លាក់ចោល")</f>
        <v/>
      </c>
      <c r="E1094" s="3" t="n"/>
      <c r="F1094" s="3" t="inlineStr">
        <is>
          <t>ការបញ្ជាទិញទម្លាក់ចោល</t>
        </is>
      </c>
      <c r="G1094" s="3" t="n"/>
      <c r="H1094" s="217" t="inlineStr">
        <is>
          <t>"receivingKpi.totalDropoff": "ការបញ្ជាទិញទម្លាក់ចោល",</t>
        </is>
      </c>
      <c r="I1094" t="inlineStr">
        <is>
          <t>ការបញ្ជាទិញទម្លាក់ចោល</t>
        </is>
      </c>
    </row>
    <row r="1095">
      <c r="A1095" s="3" t="inlineStr">
        <is>
          <t>receivingKpi.totalOrder</t>
        </is>
      </c>
      <c r="B1095" s="3" t="inlineStr">
        <is>
          <t>Số lượng phát sinh</t>
        </is>
      </c>
      <c r="C1095" s="3" t="inlineStr">
        <is>
          <t>Generated quantity</t>
        </is>
      </c>
      <c r="D1095" s="217">
        <f>IFERROR(__xludf.DUMMYFUNCTION("GOOGLETRANSLATE(C1095,""vi"",""km"")"),"បរិមាណដែលបានបង្កើត")</f>
        <v/>
      </c>
      <c r="E1095" s="3" t="n"/>
      <c r="F1095" s="3" t="inlineStr">
        <is>
          <t>បរិមាណដែលបានបង្កើត</t>
        </is>
      </c>
      <c r="G1095" s="3" t="n"/>
      <c r="H1095" s="217" t="inlineStr">
        <is>
          <t>"receivingKpi.totalOrder": "បរិមាណដែលបានបង្កើត",</t>
        </is>
      </c>
      <c r="I1095" t="inlineStr">
        <is>
          <t>បរិមាណដែលបានបង្កើត</t>
        </is>
      </c>
    </row>
    <row r="1096">
      <c r="A1096" s="3" t="inlineStr">
        <is>
          <t>receivingKpi.totalSuccess</t>
        </is>
      </c>
      <c r="B1096" s="3" t="inlineStr">
        <is>
          <t>Tổng đơn nhận thành công</t>
        </is>
      </c>
      <c r="C1096" s="3" t="inlineStr">
        <is>
          <t>Total successfully received orders</t>
        </is>
      </c>
      <c r="D1096" s="217">
        <f>IFERROR(__xludf.DUMMYFUNCTION("GOOGLETRANSLATE(C1096,""vi"",""km"")"),"ការបញ្ជាទិញសរុបដែលបានទទួលដោយជោគជ័យ")</f>
        <v/>
      </c>
      <c r="E1096" s="3" t="n"/>
      <c r="F1096" s="3" t="inlineStr">
        <is>
          <t>ការបញ្ជាទិញសរុបដែលបានទទួលដោយជោគជ័យ</t>
        </is>
      </c>
      <c r="G1096" s="3" t="n"/>
      <c r="H1096" s="217" t="inlineStr">
        <is>
          <t>"receivingKpi.totalSuccess": "ការបញ្ជាទិញសរុបដែលបានទទួលដោយជោគជ័យ",</t>
        </is>
      </c>
      <c r="I1096" t="inlineStr">
        <is>
          <t>ការបញ្ជាទិញសរុបដែលបានទទួលដោយជោគជ័យ</t>
        </is>
      </c>
    </row>
    <row r="1097">
      <c r="A1097" s="3" t="inlineStr">
        <is>
          <t>receivingKpi.totalSuccessDropoff</t>
        </is>
      </c>
      <c r="B1097" s="3" t="inlineStr">
        <is>
          <t>Đơn dropoff</t>
        </is>
      </c>
      <c r="C1097" s="3" t="inlineStr">
        <is>
          <t>Drop-off order</t>
        </is>
      </c>
      <c r="D1097" s="217">
        <f>IFERROR(__xludf.DUMMYFUNCTION("GOOGLETRANSLATE(C1097,""vi"",""km"")"),"ការបញ្ជាទិញទម្លាក់ចោល")</f>
        <v/>
      </c>
      <c r="E1097" s="3" t="n"/>
      <c r="F1097" s="3" t="inlineStr">
        <is>
          <t>ការបញ្ជាទិញទម្លាក់ចោល</t>
        </is>
      </c>
      <c r="G1097" s="3" t="n"/>
      <c r="H1097" s="217" t="inlineStr">
        <is>
          <t>"receivingKpi.totalSuccessDropoff": "ការបញ្ជាទិញទម្លាក់ចោល",</t>
        </is>
      </c>
      <c r="I1097" t="inlineStr">
        <is>
          <t>ការបញ្ជាទិញទម្លាក់ចោល</t>
        </is>
      </c>
    </row>
    <row r="1098">
      <c r="A1098" s="3" t="inlineStr">
        <is>
          <t>receivingKpi.totalSuccessOrder</t>
        </is>
      </c>
      <c r="B1098" s="3" t="inlineStr">
        <is>
          <t>Số lượng nhận thành công</t>
        </is>
      </c>
      <c r="C1098" s="3" t="inlineStr">
        <is>
          <t>Successfully received quantity</t>
        </is>
      </c>
      <c r="D1098" s="217">
        <f>IFERROR(__xludf.DUMMYFUNCTION("GOOGLETRANSLATE(C1098,""vi"",""km"")"),"បរិមាណដែលទទួលបានដោយជោគជ័យ")</f>
        <v/>
      </c>
      <c r="E1098" s="3" t="n"/>
      <c r="F1098" s="3" t="inlineStr">
        <is>
          <t>បរិមាណដែលទទួលបានដោយជោគជ័យ</t>
        </is>
      </c>
      <c r="G1098" s="3" t="n"/>
      <c r="H1098" s="217" t="inlineStr">
        <is>
          <t>"receivingKpi.totalSuccessOrder": "បរិមាណដែលទទួលបានដោយជោគជ័យ",</t>
        </is>
      </c>
      <c r="I1098" t="inlineStr">
        <is>
          <t>បរិមាណដែលទទួលបានដោយជោគជ័យ</t>
        </is>
      </c>
    </row>
    <row r="1099">
      <c r="A1099" s="3" t="inlineStr">
        <is>
          <t>receivingKpi.valueAddService</t>
        </is>
      </c>
      <c r="B1099" s="3" t="inlineStr">
        <is>
          <t>Dịch vụ cộng thêm</t>
        </is>
      </c>
      <c r="C1099" s="3" t="inlineStr">
        <is>
          <t>Value-added service</t>
        </is>
      </c>
      <c r="D1099" s="217">
        <f>IFERROR(__xludf.DUMMYFUNCTION("GOOGLETRANSLATE(C1099,""vi"",""km"")"),"សេវាកម្មបន្ថែមតម្លៃ")</f>
        <v/>
      </c>
      <c r="E1099" s="3" t="n"/>
      <c r="F1099" s="3" t="inlineStr">
        <is>
          <t>សេវាកម្មបន្ថែម</t>
        </is>
      </c>
      <c r="G1099" s="3" t="n"/>
      <c r="H1099" s="217" t="inlineStr">
        <is>
          <t>"receivingKpi.valueAddService": "សេវាកម្មបន្ថែម",</t>
        </is>
      </c>
      <c r="I1099" t="inlineStr">
        <is>
          <t>សេវាកម្មបន្ថែម</t>
        </is>
      </c>
    </row>
    <row r="1100">
      <c r="A1100" s="3" t="inlineStr">
        <is>
          <t>register.descriptionLogin</t>
        </is>
      </c>
      <c r="B1100" s="3" t="inlineStr">
        <is>
          <t>Quý khách đã có tài khoản?</t>
        </is>
      </c>
      <c r="C1100" s="3" t="inlineStr">
        <is>
          <t>Sign in with existing account?</t>
        </is>
      </c>
      <c r="D1100" s="217">
        <f>IFERROR(__xludf.DUMMYFUNCTION("GOOGLETRANSLATE(C1100,""vi"",""km"")"),"ចូលដោយប្រើគណនីដែលមានស្រាប់?")</f>
        <v/>
      </c>
      <c r="E1100" s="3" t="n"/>
      <c r="F1100" s="3" t="inlineStr">
        <is>
          <t>ចូលដោយប្រើគណនីដែលមានស្រាប់?</t>
        </is>
      </c>
      <c r="G1100" s="3" t="n"/>
      <c r="H1100" s="217" t="inlineStr">
        <is>
          <t>"register.descriptionLogin": "ចូលដោយប្រើគណនីដែលមានស្រាប់?",</t>
        </is>
      </c>
      <c r="I1100" t="inlineStr">
        <is>
          <t>ចូលដោយប្រើគណនីដែលមានស្រាប់?</t>
        </is>
      </c>
    </row>
    <row r="1101">
      <c r="A1101" s="3" t="inlineStr">
        <is>
          <t>register.descriptionSupport</t>
        </is>
      </c>
      <c r="B1101" s="3" t="inlineStr">
        <is>
          <t>Nếu quý khách không đăng ký được thông tin tài khoản, vui lòng liên hệ Chăm sóc khách hàng của Metfone Express</t>
        </is>
      </c>
      <c r="C1101" s="3" t="inlineStr">
        <is>
          <t>If you cannot register your account information, please contact Metfone Express Customer Service</t>
        </is>
      </c>
      <c r="D1101" s="217">
        <f>IFERROR(__xludf.DUMMYFUNCTION("GOOGLETRANSLATE(C1101,""vi"",""km"")"),"ប្រសិនបើអ្នកមិនអាចចុះឈ្មោះព័ត៌មានគណនីរបស់អ្នកបានទេ សូមទាក់ទងសេវាបម្រើអតិថិជន Metfone Express")</f>
        <v/>
      </c>
      <c r="E1101" s="3" t="n"/>
      <c r="F1101" s="3" t="inlineStr">
        <is>
          <t>ប្រសិនបើអ្នកមិនអាចចុះឈ្មោះព័ត៌មានគណនីរបស់អ្នកបានទេ សូមទាក់ទងសេវាបម្រើអតិថិជន Metfone Express</t>
        </is>
      </c>
      <c r="G1101" s="3" t="n"/>
      <c r="H1101" s="217" t="inlineStr">
        <is>
          <t>"register.descriptionSupport": "ប្រសិនបើអ្នកមិនអាចចុះឈ្មោះព័ត៌មានគណនីរបស់អ្នកបានទេ សូមទាក់ទងសេវាបម្រើអតិថិជន Metfone Express",</t>
        </is>
      </c>
      <c r="I1101" t="inlineStr">
        <is>
          <t>ប្រសិនបើអ្នកមិនអាចចុះឈ្មោះព័ត៌មានគណនីរបស់អ្នកបានទេ សូមទាក់ទងសេវាបម្រើអតិថិជន Metfone Express</t>
        </is>
      </c>
    </row>
    <row r="1102">
      <c r="A1102" s="3" t="inlineStr">
        <is>
          <t>register.errorConfirmPassword</t>
        </is>
      </c>
      <c r="B1102" s="3" t="inlineStr">
        <is>
          <t>Mật khẩu và nhập lại mật khẩu không khớp!</t>
        </is>
      </c>
      <c r="C1102" s="3" t="inlineStr">
        <is>
          <t>Password and re-entered password do not match!!</t>
        </is>
      </c>
      <c r="D1102" s="217">
        <f>IFERROR(__xludf.DUMMYFUNCTION("GOOGLETRANSLATE(C1102,""vi"",""km"")"),"ពាក្យសម្ងាត់ និងពាក្យសម្ងាត់ដែលបានបញ្ចូលឡើងវិញមិនត្រូវគ្នាទេ!!")</f>
        <v/>
      </c>
      <c r="E1102" s="3" t="n"/>
      <c r="F1102" s="3" t="inlineStr">
        <is>
          <t>ពាក្យសម្ងាត់ និងពាក្យសម្ងាត់ដែលបានបញ្ចូលឡើងវិញមិនត្រូវគ្នាទេ!!</t>
        </is>
      </c>
      <c r="G1102" s="3" t="n"/>
      <c r="H1102" s="217" t="inlineStr">
        <is>
          <t>"register.errorConfirmPassword": "ពាក្យសម្ងាត់ និងពាក្យសម្ងាត់ដែលបានបញ្ចូលឡើងវិញមិនត្រូវគ្នាទេ!!",</t>
        </is>
      </c>
      <c r="I1102" t="inlineStr">
        <is>
          <t>ពាក្យសម្ងាត់ និងពាក្យសម្ងាត់ដែលបានបញ្ចូលឡើងវិញមិនត្រូវគ្នាទេ!!</t>
        </is>
      </c>
    </row>
    <row r="1103">
      <c r="A1103" s="3" t="inlineStr">
        <is>
          <t>register.inputName</t>
        </is>
      </c>
      <c r="B1103" s="3" t="inlineStr">
        <is>
          <t>Nhập họ và tên</t>
        </is>
      </c>
      <c r="C1103" s="3" t="inlineStr">
        <is>
          <t>Fullname</t>
        </is>
      </c>
      <c r="D1103" s="217">
        <f>IFERROR(__xludf.DUMMYFUNCTION("GOOGLETRANSLATE(C1103,""vi"",""km"")"),"ឈ្មោះពេញ")</f>
        <v/>
      </c>
      <c r="E1103" s="3" t="n"/>
      <c r="F1103" s="3" t="inlineStr">
        <is>
          <t>ឈ្មោះពេញ</t>
        </is>
      </c>
      <c r="G1103" s="3" t="n"/>
      <c r="H1103" s="217" t="inlineStr">
        <is>
          <t>"register.inputName": "ឈ្មោះពេញ",</t>
        </is>
      </c>
      <c r="I1103" t="inlineStr">
        <is>
          <t>ឈ្មោះពេញ</t>
        </is>
      </c>
    </row>
    <row r="1104">
      <c r="A1104" s="3" t="inlineStr">
        <is>
          <t>register.inputPassword</t>
        </is>
      </c>
      <c r="B1104" s="3" t="inlineStr">
        <is>
          <t>Nhập mật khẩu</t>
        </is>
      </c>
      <c r="C1104" s="3" t="inlineStr">
        <is>
          <t>Enter password</t>
        </is>
      </c>
      <c r="D1104" s="217">
        <f>IFERROR(__xludf.DUMMYFUNCTION("GOOGLETRANSLATE(C1104,""vi"",""km"")"),"បញ្ចូលពាក្យសម្ងាត់")</f>
        <v/>
      </c>
      <c r="E1104" s="3" t="n"/>
      <c r="F1104" s="3" t="inlineStr">
        <is>
          <t>បញ្ចូលពាក្យសម្ងាត់</t>
        </is>
      </c>
      <c r="G1104" s="3" t="n"/>
      <c r="H1104" s="217" t="inlineStr">
        <is>
          <t>"register.inputPassword": "បញ្ចូលពាក្យសម្ងាត់",</t>
        </is>
      </c>
      <c r="I1104" t="inlineStr">
        <is>
          <t>បញ្ចូលពាក្យសម្ងាត់</t>
        </is>
      </c>
    </row>
    <row r="1105">
      <c r="A1105" s="3" t="inlineStr">
        <is>
          <t>register.inputPasswordConfirm</t>
        </is>
      </c>
      <c r="B1105" s="3" t="inlineStr">
        <is>
          <t>Nhập lại mật khẩu</t>
        </is>
      </c>
      <c r="C1105" s="3" t="inlineStr">
        <is>
          <t>Re-enter password</t>
        </is>
      </c>
      <c r="D1105" s="217">
        <f>IFERROR(__xludf.DUMMYFUNCTION("GOOGLETRANSLATE(C1105,""vi"",""km"")"),"បញ្ចូលពាក្យសម្ងាត់ឡើងវិញ")</f>
        <v/>
      </c>
      <c r="E1105" s="3" t="n"/>
      <c r="F1105" s="3" t="inlineStr">
        <is>
          <t>បញ្ចូលពាក្យសម្ងាត់ឡើងវិញ</t>
        </is>
      </c>
      <c r="G1105" s="3" t="n"/>
      <c r="H1105" s="217" t="inlineStr">
        <is>
          <t>"register.inputPasswordConfirm": "បញ្ចូលពាក្យសម្ងាត់ឡើងវិញ",</t>
        </is>
      </c>
      <c r="I1105" t="inlineStr">
        <is>
          <t>បញ្ចូលពាក្យសម្ងាត់ឡើងវិញ</t>
        </is>
      </c>
    </row>
    <row r="1106">
      <c r="A1106" s="3" t="inlineStr">
        <is>
          <t>register.inputPhoneEmail</t>
        </is>
      </c>
      <c r="B1106" s="3" t="inlineStr">
        <is>
          <t>Nhập số điện thoại hoặc email</t>
        </is>
      </c>
      <c r="C1106" s="3" t="inlineStr">
        <is>
          <t>Mobile number or Email</t>
        </is>
      </c>
      <c r="D1106" s="217">
        <f>IFERROR(__xludf.DUMMYFUNCTION("GOOGLETRANSLATE(C1106,""vi"",""km"")"),"លេខទូរស័ព្ទចល័ត ឬអ៊ីមែល")</f>
        <v/>
      </c>
      <c r="E1106" s="3" t="n"/>
      <c r="F1106" s="3" t="inlineStr">
        <is>
          <t>លេខទូរស័ព្ទចល័ត ឬអ៊ីមែល</t>
        </is>
      </c>
      <c r="G1106" s="3" t="n"/>
      <c r="H1106" s="217" t="inlineStr">
        <is>
          <t>"register.inputPhoneEmail": "លេខទូរស័ព្ទចល័ត ឬអ៊ីមែល",</t>
        </is>
      </c>
      <c r="I1106" t="inlineStr">
        <is>
          <t>លេខទូរស័ព្ទចល័ត ឬអ៊ីមែល</t>
        </is>
      </c>
    </row>
    <row r="1107">
      <c r="A1107" s="3" t="inlineStr">
        <is>
          <t>register.login</t>
        </is>
      </c>
      <c r="B1107" s="3" t="inlineStr">
        <is>
          <t>Đăng nhập ngay</t>
        </is>
      </c>
      <c r="C1107" s="3" t="inlineStr">
        <is>
          <t>Login now</t>
        </is>
      </c>
      <c r="D1107" s="217">
        <f>IFERROR(__xludf.DUMMYFUNCTION("GOOGLETRANSLATE(C1107,""vi"",""km"")"),"ចូលឥឡូវនេះ")</f>
        <v/>
      </c>
      <c r="E1107" s="3" t="n"/>
      <c r="F1107" s="3" t="inlineStr">
        <is>
          <t>ចូលឥឡូវនេះ</t>
        </is>
      </c>
      <c r="G1107" s="3" t="n"/>
      <c r="H1107" s="217" t="inlineStr">
        <is>
          <t>"register.login": "ចូលឥឡូវនេះ",</t>
        </is>
      </c>
      <c r="I1107" t="inlineStr">
        <is>
          <t>ចូលឥឡូវនេះ</t>
        </is>
      </c>
    </row>
    <row r="1108">
      <c r="A1108" s="3" t="inlineStr">
        <is>
          <t>register.loginSocial</t>
        </is>
      </c>
      <c r="B1108" s="3" t="inlineStr">
        <is>
          <t>Hoặc đăng nhập bằng</t>
        </is>
      </c>
      <c r="C1108" s="3" t="inlineStr">
        <is>
          <t>Login with</t>
        </is>
      </c>
      <c r="D1108" s="217">
        <f>IFERROR(__xludf.DUMMYFUNCTION("GOOGLETRANSLATE(C1108,""vi"",""km"")"),"ចូលជាមួយ")</f>
        <v/>
      </c>
      <c r="E1108" s="3" t="n"/>
      <c r="F1108" s="3" t="inlineStr">
        <is>
          <t>ចូលជាមួយ</t>
        </is>
      </c>
      <c r="G1108" s="3" t="n"/>
      <c r="H1108" s="217" t="inlineStr">
        <is>
          <t>"register.loginSocial": "ចូលជាមួយ",</t>
        </is>
      </c>
      <c r="I1108" t="inlineStr">
        <is>
          <t>ចូលជាមួយ</t>
        </is>
      </c>
    </row>
    <row r="1109">
      <c r="A1109" s="3" t="inlineStr">
        <is>
          <t>register.policy_1</t>
        </is>
      </c>
      <c r="B1109" s="3" t="inlineStr">
        <is>
          <t>Khi nhấn Đăng ký, bạn đã đồng ý thực hiện mọi giao dịch mua bán theo</t>
        </is>
      </c>
      <c r="C1109" s="3" t="inlineStr">
        <is>
          <t>When you click Register, you agree to carry out all purchases and sale transactions according to</t>
        </is>
      </c>
      <c r="D1109" s="217">
        <f>IFERROR(__xludf.DUMMYFUNCTION("GOOGLETRANSLATE(C1109,""vi"",""km"")"),"នៅពេលអ្នកចុចចុះឈ្មោះ អ្នកយល់ព្រមអនុវត្តប្រតិបត្តិការទិញ និងលក់ទាំងអស់ស្របតាម")</f>
        <v/>
      </c>
      <c r="E1109" s="3" t="n"/>
      <c r="F1109" s="3" t="inlineStr">
        <is>
          <t>នៅពេលអ្នកចុចចុះឈ្មោះ អ្នកយល់ព្រមអនុវត្តប្រតិបត្តិការទិញ និងលក់ទាំងអស់ស្របតាម</t>
        </is>
      </c>
      <c r="G1109" s="3" t="n"/>
      <c r="H1109" s="217" t="inlineStr">
        <is>
          <t>"register.policy_1": "នៅពេលអ្នកចុចចុះឈ្មោះ អ្នកយល់ព្រមអនុវត្តប្រតិបត្តិការទិញ និងលក់ទាំងអស់ស្របតាម",</t>
        </is>
      </c>
      <c r="I1109" t="inlineStr">
        <is>
          <t>នៅពេលអ្នកចុចចុះឈ្មោះ អ្នកយល់ព្រមអនុវត្តប្រតិបត្តិការទិញ និងលក់ទាំងអស់ស្របតាម</t>
        </is>
      </c>
    </row>
    <row r="1110">
      <c r="A1110" s="3" t="inlineStr">
        <is>
          <t>register.policy_2</t>
        </is>
      </c>
      <c r="B1110" s="3" t="inlineStr">
        <is>
          <t>Điều kiện sử dụng &amp; Chính sách</t>
        </is>
      </c>
      <c r="C1110" s="3" t="inlineStr">
        <is>
          <t>Metfone Express's Term of Use &amp; Policies</t>
        </is>
      </c>
      <c r="D1110" s="217">
        <f>IFERROR(__xludf.DUMMYFUNCTION("GOOGLETRANSLATE(C1110,""vi"",""km"")"),"លក្ខខណ្ឌនៃការប្រើប្រាស់ និងគោលការណ៍របស់ Metfone Express")</f>
        <v/>
      </c>
      <c r="E1110" s="3" t="n"/>
      <c r="F1110" s="3" t="inlineStr">
        <is>
          <t>លក្ខខណ្ឌនៃការប្រើប្រាស់ និងគោលការណ៍របស់ Metfone Express</t>
        </is>
      </c>
      <c r="G1110" s="3" t="n"/>
      <c r="H1110" s="217" t="inlineStr">
        <is>
          <t>"register.policy_2": "លក្ខខណ្ឌនៃការប្រើប្រាស់ និងគោលការណ៍របស់ Metfone Express",</t>
        </is>
      </c>
      <c r="I1110" t="inlineStr">
        <is>
          <t>លក្ខខណ្ឌនៃការប្រើប្រាស់ និងគោលការណ៍របស់ Metfone Express</t>
        </is>
      </c>
    </row>
    <row r="1111">
      <c r="A1111" s="3" t="inlineStr">
        <is>
          <t>register.policy_3</t>
        </is>
      </c>
      <c r="B1111" s="3" t="inlineStr">
        <is>
          <t>của Metfone Express.</t>
        </is>
      </c>
      <c r="C1111" s="3" t="inlineStr">
        <is>
          <t>of Metfone Express</t>
        </is>
      </c>
      <c r="D1111" s="217">
        <f>IFERROR(__xludf.DUMMYFUNCTION("GOOGLETRANSLATE(C1111,""vi"",""km"")"),"របស់ Metfone Express")</f>
        <v/>
      </c>
      <c r="E1111" s="3" t="n"/>
      <c r="F1111" s="3" t="inlineStr">
        <is>
          <t>របស់ Metfone Express</t>
        </is>
      </c>
      <c r="G1111" s="3" t="n"/>
      <c r="H1111" s="217" t="inlineStr">
        <is>
          <t>"register.policy_3": "របស់ Metfone Express",</t>
        </is>
      </c>
      <c r="I1111" t="inlineStr">
        <is>
          <t>របស់ Metfone Express</t>
        </is>
      </c>
    </row>
    <row r="1112">
      <c r="A1112" s="3" t="inlineStr">
        <is>
          <t>register.register</t>
        </is>
      </c>
      <c r="B1112" s="3" t="inlineStr">
        <is>
          <t>Đăng ký ngay</t>
        </is>
      </c>
      <c r="C1112" s="3" t="inlineStr">
        <is>
          <t>Register</t>
        </is>
      </c>
      <c r="D1112" s="217">
        <f>IFERROR(__xludf.DUMMYFUNCTION("GOOGLETRANSLATE(C1112,""vi"",""km"")"),"ចុះឈ្មោះ")</f>
        <v/>
      </c>
      <c r="E1112" s="3" t="n"/>
      <c r="F1112" s="3" t="inlineStr">
        <is>
          <t>ចុះឈ្មោះ</t>
        </is>
      </c>
      <c r="G1112" s="3" t="n"/>
      <c r="H1112" s="217" t="inlineStr">
        <is>
          <t>"register.register": "ចុះឈ្មោះ",</t>
        </is>
      </c>
      <c r="I1112" t="inlineStr">
        <is>
          <t>ចុះឈ្មោះ</t>
        </is>
      </c>
    </row>
    <row r="1113">
      <c r="A1113" s="3" t="inlineStr">
        <is>
          <t>register.support</t>
        </is>
      </c>
      <c r="B1113" s="3" t="inlineStr">
        <is>
          <t>để được hỗ trợ</t>
        </is>
      </c>
      <c r="C1113" s="3" t="inlineStr">
        <is>
          <t>Get support</t>
        </is>
      </c>
      <c r="D1113" s="217">
        <f>IFERROR(__xludf.DUMMYFUNCTION("GOOGLETRANSLATE(C1113,""vi"",""km"")"),"ទទួលបានការគាំទ្រ")</f>
        <v/>
      </c>
      <c r="E1113" s="3" t="n"/>
      <c r="F1113" s="3" t="inlineStr">
        <is>
          <t>ទទួលបានការគាំទ្រ</t>
        </is>
      </c>
      <c r="G1113" s="3" t="n"/>
      <c r="H1113" s="217" t="inlineStr">
        <is>
          <t>"register.support": "ទទួលបានការគាំទ្រ",</t>
        </is>
      </c>
      <c r="I1113" t="inlineStr">
        <is>
          <t>ទទួលបានការគាំទ្រ</t>
        </is>
      </c>
    </row>
    <row r="1114">
      <c r="A1114" s="3" t="inlineStr">
        <is>
          <t>register.title</t>
        </is>
      </c>
      <c r="B1114" s="3" t="inlineStr">
        <is>
          <t>Tạo tài khoản mới</t>
        </is>
      </c>
      <c r="C1114" s="3" t="inlineStr">
        <is>
          <t>Creater new account</t>
        </is>
      </c>
      <c r="D1114" s="217">
        <f>IFERROR(__xludf.DUMMYFUNCTION("GOOGLETRANSLATE(C1114,""vi"",""km"")"),"បង្កើតគណនីថ្មី")</f>
        <v/>
      </c>
      <c r="E1114" s="3" t="n"/>
      <c r="F1114" s="3" t="inlineStr">
        <is>
          <t>បង្កើតគណនីថ្មី</t>
        </is>
      </c>
      <c r="G1114" s="3" t="n"/>
      <c r="H1114" s="217" t="inlineStr">
        <is>
          <t>"register.title": "បង្កើតគណនីថ្មី",</t>
        </is>
      </c>
      <c r="I1114" t="inlineStr">
        <is>
          <t>បង្កើតគណនីថ្មី</t>
        </is>
      </c>
    </row>
    <row r="1115">
      <c r="A1115" s="3" t="inlineStr">
        <is>
          <t>revenueManagement.NOT_SYNC_STATUS</t>
        </is>
      </c>
      <c r="B1115" s="3" t="inlineStr">
        <is>
          <t>Chưa đồng bộ</t>
        </is>
      </c>
      <c r="C1115" s="3" t="inlineStr">
        <is>
          <t>Not synced</t>
        </is>
      </c>
      <c r="D1115" s="217">
        <f>IFERROR(__xludf.DUMMYFUNCTION("GOOGLETRANSLATE(C1115,""vi"",""km"")"),"មិន​បាន​ធ្វើ​សមកាលកម្ម")</f>
        <v/>
      </c>
      <c r="E1115" s="3" t="n"/>
      <c r="F1115" s="3" t="inlineStr">
        <is>
          <t>មិនបានធ្វើសមកាលកម្ម</t>
        </is>
      </c>
      <c r="G1115" s="3" t="n"/>
      <c r="H1115" s="217" t="inlineStr">
        <is>
          <t>"revenueManagement.NOT_SYNC_STATUS": "មិនបានធ្វើសមកាលកម្ម",</t>
        </is>
      </c>
      <c r="I1115" t="inlineStr">
        <is>
          <t>មិនបានធ្វើសមកាលកម្ម</t>
        </is>
      </c>
    </row>
    <row r="1116">
      <c r="A1116" s="3" t="inlineStr">
        <is>
          <t>revenueManagement.SYNCED_STATUS</t>
        </is>
      </c>
      <c r="B1116" s="3" t="inlineStr">
        <is>
          <t>Đã đồng bộ</t>
        </is>
      </c>
      <c r="C1116" s="3" t="inlineStr">
        <is>
          <t>Synced</t>
        </is>
      </c>
      <c r="D1116" s="217">
        <f>IFERROR(__xludf.DUMMYFUNCTION("GOOGLETRANSLATE(C1116,""vi"",""km"")"),"បានធ្វើសមកាលកម្ម")</f>
        <v/>
      </c>
      <c r="E1116" s="3" t="n"/>
      <c r="F1116" s="3" t="inlineStr">
        <is>
          <t>បានធ្វើសមកាលកម្ម</t>
        </is>
      </c>
      <c r="G1116" s="3" t="n"/>
      <c r="H1116" s="217" t="inlineStr">
        <is>
          <t>"revenueManagement.SYNCED_STATUS": "បានធ្វើសមកាលកម្ម",</t>
        </is>
      </c>
      <c r="I1116" t="inlineStr">
        <is>
          <t>បានធ្វើសមកាលកម្ម</t>
        </is>
      </c>
    </row>
    <row r="1117">
      <c r="A1117" s="3" t="inlineStr">
        <is>
          <t>revenueManagement.acronymCustomerName</t>
        </is>
      </c>
      <c r="B1117" s="3" t="inlineStr">
        <is>
          <t>Tên KH</t>
        </is>
      </c>
      <c r="C1117" s="3" t="inlineStr">
        <is>
          <t>Customer name</t>
        </is>
      </c>
      <c r="D1117" s="217">
        <f>IFERROR(__xludf.DUMMYFUNCTION("GOOGLETRANSLATE(C1117,""vi"",""km"")"),"ឈ្មោះអតិថិជន")</f>
        <v/>
      </c>
      <c r="E1117" s="3" t="n"/>
      <c r="F1117" s="3" t="inlineStr">
        <is>
          <t>ឈ្មោះអតិថិជន</t>
        </is>
      </c>
      <c r="G1117" s="3" t="n"/>
      <c r="H1117" s="217" t="inlineStr">
        <is>
          <t>"revenueManagement.acronymCustomerName": "ឈ្មោះអតិថិជន",</t>
        </is>
      </c>
      <c r="I1117" t="inlineStr">
        <is>
          <t>ឈ្មោះអតិថិជន</t>
        </is>
      </c>
    </row>
    <row r="1118">
      <c r="A1118" s="3" t="inlineStr">
        <is>
          <t>revenueManagement.actionAt</t>
        </is>
      </c>
      <c r="B1118" s="3" t="inlineStr">
        <is>
          <t>Thời gian kết thúc</t>
        </is>
      </c>
      <c r="C1118" s="3" t="inlineStr">
        <is>
          <t>End time</t>
        </is>
      </c>
      <c r="D1118" s="217">
        <f>IFERROR(__xludf.DUMMYFUNCTION("GOOGLETRANSLATE(C1118,""vi"",""km"")"),"ពេលវេលាបញ្ចប់")</f>
        <v/>
      </c>
      <c r="E1118" s="3" t="n"/>
      <c r="F1118" s="3" t="inlineStr">
        <is>
          <t>ពេលវេលាបញ្ចប់</t>
        </is>
      </c>
      <c r="G1118" s="3" t="n"/>
      <c r="H1118" s="217" t="inlineStr">
        <is>
          <t>"revenueManagement.actionAt": "ពេលវេលាបញ្ចប់",</t>
        </is>
      </c>
      <c r="I1118" t="inlineStr">
        <is>
          <t>ពេលវេលាបញ្ចប់</t>
        </is>
      </c>
    </row>
    <row r="1119">
      <c r="A1119" s="3" t="inlineStr">
        <is>
          <t>revenueManagement.addressDetail</t>
        </is>
      </c>
      <c r="B1119" s="3" t="inlineStr">
        <is>
          <t>Địa chỉ chi tiết</t>
        </is>
      </c>
      <c r="C1119" s="3" t="inlineStr">
        <is>
          <t>Detailed address</t>
        </is>
      </c>
      <c r="D1119" s="217">
        <f>IFERROR(__xludf.DUMMYFUNCTION("GOOGLETRANSLATE(C1119,""vi"",""km"")"),"អាសយដ្ឋានរដ្ឋបាល")</f>
        <v/>
      </c>
      <c r="E1119" s="3" t="n"/>
      <c r="F1119" s="3" t="inlineStr">
        <is>
          <t>អាសយដ្ឋានរដ្ឋបាល</t>
        </is>
      </c>
      <c r="G1119" s="3" t="n"/>
      <c r="H1119" s="217" t="inlineStr">
        <is>
          <t>"revenueManagement.addressDetail": "អាសយដ្ឋានរដ្ឋបាល",</t>
        </is>
      </c>
      <c r="I1119" t="inlineStr">
        <is>
          <t>អាសយដ្ឋានរដ្ឋបាល</t>
        </is>
      </c>
    </row>
    <row r="1120">
      <c r="A1120" s="3" t="inlineStr">
        <is>
          <t>revenueManagement.afterTax</t>
        </is>
      </c>
      <c r="B1120" s="3" t="inlineStr">
        <is>
          <t>Tiền sau thuế</t>
        </is>
      </c>
      <c r="C1120" s="3" t="inlineStr">
        <is>
          <t>Amount after tax</t>
        </is>
      </c>
      <c r="D1120" s="217">
        <f>IFERROR(__xludf.DUMMYFUNCTION("GOOGLETRANSLATE(C1120,""vi"",""km"")"),"ចំនួនទឹកប្រាក់បន្ទាប់ពីបង់ពន្ធ")</f>
        <v/>
      </c>
      <c r="E1120" s="3" t="n"/>
      <c r="F1120" s="3" t="inlineStr">
        <is>
          <t>ចំនួនទឹកប្រាក់បន្ទាប់ពីបង់ពន្ធ</t>
        </is>
      </c>
      <c r="G1120" s="3" t="n"/>
      <c r="H1120" s="217" t="inlineStr">
        <is>
          <t>"revenueManagement.afterTax": "ចំនួនទឹកប្រាក់បន្ទាប់ពីបង់ពន្ធ",</t>
        </is>
      </c>
      <c r="I1120" t="inlineStr">
        <is>
          <t>ចំនួនទឹកប្រាក់បន្ទាប់ពីបង់ពន្ធ</t>
        </is>
      </c>
    </row>
    <row r="1121">
      <c r="A1121" s="3" t="inlineStr">
        <is>
          <t>revenueManagement.bankAccount</t>
        </is>
      </c>
      <c r="B1121" s="3" t="inlineStr">
        <is>
          <t>Số tài khoản</t>
        </is>
      </c>
      <c r="C1121" s="3" t="inlineStr">
        <is>
          <t>Bank account</t>
        </is>
      </c>
      <c r="D1121" s="217">
        <f>IFERROR(__xludf.DUMMYFUNCTION("GOOGLETRANSLATE(C1121,""vi"",""km"")"),"គណនីធនាគារ")</f>
        <v/>
      </c>
      <c r="E1121" s="3" t="n"/>
      <c r="F1121" s="3" t="inlineStr">
        <is>
          <t>លេខគណនីធនាគារ</t>
        </is>
      </c>
      <c r="G1121" s="3" t="n"/>
      <c r="H1121" s="217" t="inlineStr">
        <is>
          <t>"revenueManagement.bankAccount": "លេខគណនីធនាគារ",</t>
        </is>
      </c>
      <c r="I1121" t="inlineStr">
        <is>
          <t>លេខគណនីធនាគារ</t>
        </is>
      </c>
    </row>
    <row r="1122">
      <c r="A1122" s="3" t="inlineStr">
        <is>
          <t>revenueManagement.bankBranch</t>
        </is>
      </c>
      <c r="B1122" s="3" t="inlineStr">
        <is>
          <t>Chi nhánh ngân hàng</t>
        </is>
      </c>
      <c r="C1122" s="3" t="inlineStr">
        <is>
          <t>Bank branch</t>
        </is>
      </c>
      <c r="D1122" s="217">
        <f>IFERROR(__xludf.DUMMYFUNCTION("GOOGLETRANSLATE(C1122,""vi"",""km"")"),"សាខាធនាគារ")</f>
        <v/>
      </c>
      <c r="E1122" s="3" t="n"/>
      <c r="F1122" s="3" t="inlineStr">
        <is>
          <t>សាខាធនាគារ</t>
        </is>
      </c>
      <c r="G1122" s="3" t="n"/>
      <c r="H1122" s="217" t="inlineStr">
        <is>
          <t>"revenueManagement.bankBranch": "សាខាធនាគារ",</t>
        </is>
      </c>
      <c r="I1122" t="inlineStr">
        <is>
          <t>សាខាធនាគារ</t>
        </is>
      </c>
    </row>
    <row r="1123">
      <c r="A1123" s="3" t="inlineStr">
        <is>
          <t>revenueManagement.bankName</t>
        </is>
      </c>
      <c r="B1123" s="3" t="inlineStr">
        <is>
          <t>Ngân hàng</t>
        </is>
      </c>
      <c r="C1123" s="3" t="inlineStr">
        <is>
          <t>Bank name</t>
        </is>
      </c>
      <c r="D1123" s="217">
        <f>IFERROR(__xludf.DUMMYFUNCTION("GOOGLETRANSLATE(C1123,""vi"",""km"")"),"ឈ្មោះធនាគារ")</f>
        <v/>
      </c>
      <c r="E1123" s="3" t="n"/>
      <c r="F1123" s="3" t="inlineStr">
        <is>
          <t>ធនាគារ</t>
        </is>
      </c>
      <c r="G1123" s="3" t="n"/>
      <c r="H1123" s="217" t="inlineStr">
        <is>
          <t>"revenueManagement.bankName": "ធនាគារ",</t>
        </is>
      </c>
      <c r="I1123" t="inlineStr">
        <is>
          <t>ធនាគារ</t>
        </is>
      </c>
    </row>
    <row r="1124">
      <c r="A1124" s="3" t="inlineStr">
        <is>
          <t>revenueManagement.branch</t>
        </is>
      </c>
      <c r="B1124" s="3" t="inlineStr">
        <is>
          <t>Chi nhánh</t>
        </is>
      </c>
      <c r="C1124" s="3" t="inlineStr">
        <is>
          <t>Branch</t>
        </is>
      </c>
      <c r="D1124" s="217">
        <f>IFERROR(__xludf.DUMMYFUNCTION("GOOGLETRANSLATE(C1124,""vi"",""km"")"),"គ្រួសារ")</f>
        <v/>
      </c>
      <c r="E1124" s="3" t="n"/>
      <c r="F1124" s="3" t="inlineStr">
        <is>
          <t>សាខា</t>
        </is>
      </c>
      <c r="G1124" s="3" t="n"/>
      <c r="H1124" s="217" t="inlineStr">
        <is>
          <t>"revenueManagement.branch": "សាខា",</t>
        </is>
      </c>
      <c r="I1124" t="inlineStr">
        <is>
          <t>សាខា</t>
        </is>
      </c>
    </row>
    <row r="1125">
      <c r="A1125" s="3" t="inlineStr">
        <is>
          <t>revenueManagement.cancel</t>
        </is>
      </c>
      <c r="B1125" s="3" t="inlineStr">
        <is>
          <t>Huỷ</t>
        </is>
      </c>
      <c r="C1125" s="3" t="inlineStr">
        <is>
          <t>Cancel</t>
        </is>
      </c>
      <c r="D1125" s="217">
        <f>IFERROR(__xludf.DUMMYFUNCTION("GOOGLETRANSLATE(C1125,""vi"",""km"")"),"បោះបង់")</f>
        <v/>
      </c>
      <c r="E1125" s="3" t="n"/>
      <c r="F1125" s="3" t="inlineStr">
        <is>
          <t>បោះបង់</t>
        </is>
      </c>
      <c r="G1125" s="3" t="n"/>
      <c r="H1125" s="217" t="inlineStr">
        <is>
          <t>"revenueManagement.cancel": "បោះបង់",</t>
        </is>
      </c>
      <c r="I1125" t="inlineStr">
        <is>
          <t>បោះបង់</t>
        </is>
      </c>
    </row>
    <row r="1126">
      <c r="A1126" s="3" t="inlineStr">
        <is>
          <t>revenueManagement.city</t>
        </is>
      </c>
      <c r="B1126" s="3" t="inlineStr">
        <is>
          <t>Tỉnh/TP</t>
        </is>
      </c>
      <c r="C1126" s="3" t="inlineStr">
        <is>
          <t>Province/City</t>
        </is>
      </c>
      <c r="D1126" s="217">
        <f>IFERROR(__xludf.DUMMYFUNCTION("GOOGLETRANSLATE(C1126,""vi"",""km"")"),"ខេត្ត/ក្រុង")</f>
        <v/>
      </c>
      <c r="E1126" s="3" t="n"/>
      <c r="F1126" s="3" t="inlineStr">
        <is>
          <t>ខេត្ត/ក្រុង</t>
        </is>
      </c>
      <c r="G1126" s="3" t="n"/>
      <c r="H1126" s="217" t="inlineStr">
        <is>
          <t>"revenueManagement.city": "ខេត្ត/ក្រុង",</t>
        </is>
      </c>
      <c r="I1126" t="inlineStr">
        <is>
          <t>ខេត្ត/ក្រុង</t>
        </is>
      </c>
    </row>
    <row r="1127">
      <c r="A1127" s="3" t="inlineStr">
        <is>
          <t>revenueManagement.cod</t>
        </is>
      </c>
      <c r="B1127" s="3" t="inlineStr">
        <is>
          <t>Tiền COD</t>
        </is>
      </c>
      <c r="C1127" s="3" t="inlineStr">
        <is>
          <t>COD amount</t>
        </is>
      </c>
      <c r="D1127" s="217">
        <f>IFERROR(__xludf.DUMMYFUNCTION("GOOGLETRANSLATE(C1127,""vi"",""km"")"),"ចំនួនទឹកប្រាក់ COD")</f>
        <v/>
      </c>
      <c r="E1127" s="3" t="n"/>
      <c r="F1127" s="3" t="inlineStr">
        <is>
          <t>ប្រាក់ COD</t>
        </is>
      </c>
      <c r="G1127" s="3" t="n"/>
      <c r="H1127" s="217" t="inlineStr">
        <is>
          <t>"revenueManagement.cod": "ប្រាក់ COD",</t>
        </is>
      </c>
      <c r="I1127" t="inlineStr">
        <is>
          <t>ប្រាក់ COD</t>
        </is>
      </c>
    </row>
    <row r="1128">
      <c r="A1128" s="3" t="inlineStr">
        <is>
          <t>revenueManagement.companyCode</t>
        </is>
      </c>
      <c r="B1128" s="3" t="inlineStr">
        <is>
          <t>Company Code</t>
        </is>
      </c>
      <c r="C1128" s="3" t="inlineStr">
        <is>
          <t>Company Code</t>
        </is>
      </c>
      <c r="D1128" s="217">
        <f>IFERROR(__xludf.DUMMYFUNCTION("GOOGLETRANSLATE(C1128,""vi"",""km"")"),"លេខកូដក្រុមហ៊ុន")</f>
        <v/>
      </c>
      <c r="E1128" s="3" t="n"/>
      <c r="F1128" s="3" t="inlineStr">
        <is>
          <t>លេខកូដក្រុមហ៊ុន</t>
        </is>
      </c>
      <c r="G1128" s="3" t="n"/>
      <c r="H1128" s="217" t="inlineStr">
        <is>
          <t>"revenueManagement.companyCode": "លេខកូដក្រុមហ៊ុន",</t>
        </is>
      </c>
      <c r="I1128" t="inlineStr">
        <is>
          <t>លេខកូដក្រុមហ៊ុន</t>
        </is>
      </c>
    </row>
    <row r="1129">
      <c r="A1129" s="3" t="inlineStr">
        <is>
          <t>revenueManagement.confirm</t>
        </is>
      </c>
      <c r="B1129" s="3" t="inlineStr">
        <is>
          <t>Xác nhận</t>
        </is>
      </c>
      <c r="C1129" s="3" t="inlineStr">
        <is>
          <t>Confirm</t>
        </is>
      </c>
      <c r="D1129" s="217">
        <f>IFERROR(__xludf.DUMMYFUNCTION("GOOGLETRANSLATE(C1129,""vi"",""km"")"),"បញ្ជាក់")</f>
        <v/>
      </c>
      <c r="E1129" s="3" t="n"/>
      <c r="F1129" s="3" t="inlineStr">
        <is>
          <t>បញ្ជាក់</t>
        </is>
      </c>
      <c r="G1129" s="3" t="n"/>
      <c r="H1129" s="217" t="inlineStr">
        <is>
          <t>"revenueManagement.confirm": "បញ្ជាក់",</t>
        </is>
      </c>
      <c r="I1129" t="inlineStr">
        <is>
          <t>បញ្ជាក់</t>
        </is>
      </c>
    </row>
    <row r="1130">
      <c r="A1130" s="3" t="inlineStr">
        <is>
          <t>revenueManagement.createStatementXHD</t>
        </is>
      </c>
      <c r="B1130" s="3" t="inlineStr">
        <is>
          <t>Tạo bảng kê XHĐ</t>
        </is>
      </c>
      <c r="C1130" s="3" t="inlineStr">
        <is>
          <t>Create invoice statement</t>
        </is>
      </c>
      <c r="D1130" s="217">
        <f>IFERROR(__xludf.DUMMYFUNCTION("GOOGLETRANSLATE(C1130,""vi"",""km"")"),"បង្កើត​របាយការណ៍​វិក្កយបត្រ")</f>
        <v/>
      </c>
      <c r="E1130" s="3" t="n"/>
      <c r="F1130" s="3" t="inlineStr">
        <is>
          <t>បង្កើតរបាយការណ៍វិក្កយបត្រ</t>
        </is>
      </c>
      <c r="G1130" s="3" t="n"/>
      <c r="H1130" s="217" t="inlineStr">
        <is>
          <t>"revenueManagement.createStatementXHD": "បង្កើតរបាយការណ៍វិក្កយបត្រ",</t>
        </is>
      </c>
      <c r="I1130" t="inlineStr">
        <is>
          <t>បង្កើតរបាយការណ៍វិក្កយបត្រ</t>
        </is>
      </c>
    </row>
    <row r="1131">
      <c r="A1131" s="3" t="inlineStr">
        <is>
          <t>revenueManagement.createStatementXHDModal</t>
        </is>
      </c>
      <c r="B1131" s="3" t="inlineStr">
        <is>
          <t>Tạo bảng kê xuất hoá đơn</t>
        </is>
      </c>
      <c r="C1131" s="3" t="inlineStr">
        <is>
          <t>Create invoice issuance statement</t>
        </is>
      </c>
      <c r="D1131" s="217">
        <f>IFERROR(__xludf.DUMMYFUNCTION("GOOGLETRANSLATE(C1131,""vi"",""km"")"),"បង្កើតសេចក្តីថ្លែងការណ៍ចេញផ្សាយវិក្កយបត្រ")</f>
        <v/>
      </c>
      <c r="E1131" s="3" t="n"/>
      <c r="F1131" s="3" t="inlineStr">
        <is>
          <t>បង្កើតសេចក្តីថ្លែងការណ៍ចេញផ្សាយវិក្កយបត្រ</t>
        </is>
      </c>
      <c r="G1131" s="3" t="n"/>
      <c r="H1131" s="217" t="inlineStr">
        <is>
          <t>"revenueManagement.createStatementXHDModal": "បង្កើតសេចក្តីថ្លែងការណ៍ចេញផ្សាយវិក្កយបត្រ",</t>
        </is>
      </c>
      <c r="I1131" t="inlineStr">
        <is>
          <t>បង្កើតសេចក្តីថ្លែងការណ៍ចេញផ្សាយវិក្កយបត្រ</t>
        </is>
      </c>
    </row>
    <row r="1132">
      <c r="A1132" s="3" t="inlineStr">
        <is>
          <t>revenueManagement.createdAt</t>
        </is>
      </c>
      <c r="B1132" s="3" t="inlineStr">
        <is>
          <t>Ngày tạo</t>
        </is>
      </c>
      <c r="C1132" s="3" t="inlineStr">
        <is>
          <t>Created date</t>
        </is>
      </c>
      <c r="D1132" s="217">
        <f>IFERROR(__xludf.DUMMYFUNCTION("GOOGLETRANSLATE(C1132,""vi"",""km"")"),"កាលបរិច្ឆេទបង្កើត")</f>
        <v/>
      </c>
      <c r="E1132" s="3" t="n"/>
      <c r="F1132" s="3" t="inlineStr">
        <is>
          <t>កាលបរិច្ឆេទបង្កើត</t>
        </is>
      </c>
      <c r="G1132" s="3" t="n"/>
      <c r="H1132" s="217" t="inlineStr">
        <is>
          <t>"revenueManagement.createdAt": "កាលបរិច្ឆេទបង្កើត",</t>
        </is>
      </c>
      <c r="I1132" t="inlineStr">
        <is>
          <t>កាលបរិច្ឆេទបង្កើត</t>
        </is>
      </c>
    </row>
    <row r="1133">
      <c r="A1133" s="3" t="inlineStr">
        <is>
          <t>revenueManagement.cusiId</t>
        </is>
      </c>
      <c r="B1133" s="3" t="inlineStr">
        <is>
          <t>CusiId</t>
        </is>
      </c>
      <c r="C1133" s="3" t="inlineStr">
        <is>
          <t>CusiId</t>
        </is>
      </c>
      <c r="D1133" s="217">
        <f>IFERROR(__xludf.DUMMYFUNCTION("GOOGLETRANSLATE(C1133,""vi"",""km"")"),"លេខសម្គាល់​អតិថិជន")</f>
        <v/>
      </c>
      <c r="E1133" s="3" t="n"/>
      <c r="F1133" s="3" t="inlineStr">
        <is>
          <t>លេខសម្គាល់អតិថិជន</t>
        </is>
      </c>
      <c r="G1133" s="3" t="n"/>
      <c r="H1133" s="217" t="inlineStr">
        <is>
          <t>"revenueManagement.cusiId": "លេខសម្គាល់អតិថិជន",</t>
        </is>
      </c>
      <c r="I1133" t="inlineStr">
        <is>
          <t>លេខសម្គាល់អតិថិជន</t>
        </is>
      </c>
    </row>
    <row r="1134">
      <c r="A1134" s="3" t="inlineStr">
        <is>
          <t>revenueManagement.customerCode</t>
        </is>
      </c>
      <c r="B1134" s="3" t="inlineStr">
        <is>
          <t>Mã KH</t>
        </is>
      </c>
      <c r="C1134" s="3" t="inlineStr">
        <is>
          <t>Customer code</t>
        </is>
      </c>
      <c r="D1134" s="217">
        <f>IFERROR(__xludf.DUMMYFUNCTION("GOOGLETRANSLATE(C1134,""vi"",""km"")"),"លេខកូដអតិថិជន")</f>
        <v/>
      </c>
      <c r="E1134" s="3" t="n"/>
      <c r="F1134" s="3" t="inlineStr">
        <is>
          <t>លេខកូដអតិថិជន</t>
        </is>
      </c>
      <c r="G1134" s="3" t="n"/>
      <c r="H1134" s="217" t="inlineStr">
        <is>
          <t>"revenueManagement.customerCode": "លេខកូដអតិថិជន",</t>
        </is>
      </c>
      <c r="I1134" t="inlineStr">
        <is>
          <t>លេខកូដអតិថិជន</t>
        </is>
      </c>
    </row>
    <row r="1135">
      <c r="A1135" s="3" t="inlineStr">
        <is>
          <t>revenueManagement.customerName</t>
        </is>
      </c>
      <c r="B1135" s="3" t="inlineStr">
        <is>
          <t>Tên khách hàng</t>
        </is>
      </c>
      <c r="C1135" s="3" t="inlineStr">
        <is>
          <t>Customer name</t>
        </is>
      </c>
      <c r="D1135" s="217">
        <f>IFERROR(__xludf.DUMMYFUNCTION("GOOGLETRANSLATE(C1135,""vi"",""km"")"),"ឈ្មោះអតិថិជន")</f>
        <v/>
      </c>
      <c r="E1135" s="3" t="n"/>
      <c r="F1135" s="3" t="inlineStr">
        <is>
          <t>ឈ្មោះអតិថិជន</t>
        </is>
      </c>
      <c r="G1135" s="3" t="n"/>
      <c r="H1135" s="217" t="inlineStr">
        <is>
          <t>"revenueManagement.customerName": "ឈ្មោះអតិថិជន",</t>
        </is>
      </c>
      <c r="I1135" t="inlineStr">
        <is>
          <t>ឈ្មោះអតិថិជន</t>
        </is>
      </c>
    </row>
    <row r="1136">
      <c r="A1136" s="3" t="inlineStr">
        <is>
          <t>revenueManagement.customerSearchPlaceholder</t>
        </is>
      </c>
      <c r="B1136" s="3" t="inlineStr">
        <is>
          <t>Mã KH, tên KH</t>
        </is>
      </c>
      <c r="C1136" s="3" t="inlineStr">
        <is>
          <t>Customer code, customer name</t>
        </is>
      </c>
      <c r="D1136" s="217">
        <f>IFERROR(__xludf.DUMMYFUNCTION("GOOGLETRANSLATE(C1136,""vi"",""km"")"),"លេខកូដអតិថិជន, ឈ្មោះអតិថិជន")</f>
        <v/>
      </c>
      <c r="E1136" s="3" t="n"/>
      <c r="F1136" s="3" t="inlineStr">
        <is>
          <t>លេខកូដអតិថិជន, ឈ្មោះអតិថិជន</t>
        </is>
      </c>
      <c r="G1136" s="3" t="n"/>
      <c r="H1136" s="217" t="inlineStr">
        <is>
          <t>"revenueManagement.customerSearchPlaceholder": "លេខកូដអតិថិជន, ឈ្មោះអតិថិជន",</t>
        </is>
      </c>
      <c r="I1136" t="inlineStr">
        <is>
          <t>លេខកូដអតិថិជន, ឈ្មោះអតិថិជន</t>
        </is>
      </c>
    </row>
    <row r="1137">
      <c r="A1137" s="3" t="inlineStr">
        <is>
          <t>revenueManagement.discount</t>
        </is>
      </c>
      <c r="B1137" s="3" t="inlineStr">
        <is>
          <t>Giảm giá</t>
        </is>
      </c>
      <c r="C1137" s="3" t="inlineStr">
        <is>
          <t>Discount</t>
        </is>
      </c>
      <c r="D1137" s="217">
        <f>IFERROR(__xludf.DUMMYFUNCTION("GOOGLETRANSLATE(C1137,""vi"",""km"")"),"បញ្ចុះតម្លៃ")</f>
        <v/>
      </c>
      <c r="E1137" s="3" t="n"/>
      <c r="F1137" s="3" t="inlineStr">
        <is>
          <t>បញ្ចុះតម្លៃ</t>
        </is>
      </c>
      <c r="G1137" s="3" t="n"/>
      <c r="H1137" s="217" t="inlineStr">
        <is>
          <t>"revenueManagement.discount": "បញ្ចុះតម្លៃ",</t>
        </is>
      </c>
      <c r="I1137" t="inlineStr">
        <is>
          <t>បញ្ចុះតម្លៃ</t>
        </is>
      </c>
    </row>
    <row r="1138">
      <c r="A1138" s="3" t="inlineStr">
        <is>
          <t>revenueManagement.district</t>
        </is>
      </c>
      <c r="B1138" s="3" t="inlineStr">
        <is>
          <t>Quận/Huyện</t>
        </is>
      </c>
      <c r="C1138" s="3" t="inlineStr">
        <is>
          <t>District</t>
        </is>
      </c>
      <c r="D1138" s="217">
        <f>IFERROR(__xludf.DUMMYFUNCTION("GOOGLETRANSLATE(C1138,""vi"",""km"")"),"ស្រុក")</f>
        <v/>
      </c>
      <c r="E1138" s="3" t="n"/>
      <c r="F1138" s="3" t="inlineStr">
        <is>
          <t>ស្រុក/ខណ្ឌ</t>
        </is>
      </c>
      <c r="G1138" s="3" t="n"/>
      <c r="H1138" s="217" t="inlineStr">
        <is>
          <t>"revenueManagement.district": "ស្រុក/ខណ្ឌ",</t>
        </is>
      </c>
      <c r="I1138" t="inlineStr">
        <is>
          <t>ស្រុក/ខណ្ឌ</t>
        </is>
      </c>
    </row>
    <row r="1139">
      <c r="A1139" s="3" t="inlineStr">
        <is>
          <t>revenueManagement.email</t>
        </is>
      </c>
      <c r="B1139" s="3" t="inlineStr">
        <is>
          <t>Email</t>
        </is>
      </c>
      <c r="C1139" s="3" t="inlineStr">
        <is>
          <t>Email</t>
        </is>
      </c>
      <c r="D1139" s="217">
        <f>IFERROR(__xludf.DUMMYFUNCTION("GOOGLETRANSLATE(C1139,""vi"",""km"")"),"អ៊ីមែល")</f>
        <v/>
      </c>
      <c r="E1139" s="3" t="n"/>
      <c r="F1139" s="3" t="inlineStr">
        <is>
          <t>អ៊ីមែល</t>
        </is>
      </c>
      <c r="G1139" s="3" t="n"/>
      <c r="H1139" s="217" t="inlineStr">
        <is>
          <t>"revenueManagement.email": "អ៊ីមែល",</t>
        </is>
      </c>
      <c r="I1139" t="inlineStr">
        <is>
          <t>អ៊ីមែល</t>
        </is>
      </c>
    </row>
    <row r="1140">
      <c r="A1140" s="3" t="inlineStr">
        <is>
          <t>revenueManagement.endDate</t>
        </is>
      </c>
      <c r="B1140" s="3" t="inlineStr">
        <is>
          <t>Ngày kết thúc</t>
        </is>
      </c>
      <c r="C1140" s="3" t="inlineStr">
        <is>
          <t>End date</t>
        </is>
      </c>
      <c r="D1140" s="217">
        <f>IFERROR(__xludf.DUMMYFUNCTION("GOOGLETRANSLATE(C1140,""vi"",""km"")"),"កាលបរិច្ឆេទបញ្ចប់")</f>
        <v/>
      </c>
      <c r="E1140" s="3" t="n"/>
      <c r="F1140" s="3" t="inlineStr">
        <is>
          <t>កាលបរិច្ឆេទបញ្ចប់</t>
        </is>
      </c>
      <c r="G1140" s="3" t="n"/>
      <c r="H1140" s="217" t="inlineStr">
        <is>
          <t>"revenueManagement.endDate": "កាលបរិច្ឆេទបញ្ចប់",</t>
        </is>
      </c>
      <c r="I1140" t="inlineStr">
        <is>
          <t>កាលបរិច្ឆេទបញ្ចប់</t>
        </is>
      </c>
    </row>
    <row r="1141">
      <c r="A1141" s="3" t="inlineStr">
        <is>
          <t>revenueManagement.exportExcel</t>
        </is>
      </c>
      <c r="B1141" s="3" t="inlineStr">
        <is>
          <t>Xuất Excel</t>
        </is>
      </c>
      <c r="C1141" s="3" t="inlineStr">
        <is>
          <t>Export Excel</t>
        </is>
      </c>
      <c r="D1141" s="217">
        <f>IFERROR(__xludf.DUMMYFUNCTION("GOOGLETRANSLATE(C1141,""vi"",""km"")"),"រីករាលដាល Excel")</f>
        <v/>
      </c>
      <c r="E1141" s="3" t="n"/>
      <c r="F1141" s="3" t="inlineStr">
        <is>
          <t>រីករាលដាល Excel</t>
        </is>
      </c>
      <c r="G1141" s="3" t="n"/>
      <c r="H1141" s="217" t="inlineStr">
        <is>
          <t>"revenueManagement.exportExcel": "រីករាលដាល Excel",</t>
        </is>
      </c>
      <c r="I1141" t="inlineStr">
        <is>
          <t>រីករាលដាល Excel</t>
        </is>
      </c>
    </row>
    <row r="1142">
      <c r="A1142" s="3" t="inlineStr">
        <is>
          <t>revenueManagement.fee</t>
        </is>
      </c>
      <c r="B1142" s="3" t="inlineStr">
        <is>
          <t>Cước phí</t>
        </is>
      </c>
      <c r="C1142" s="3" t="inlineStr">
        <is>
          <t>Fee</t>
        </is>
      </c>
      <c r="D1142" s="217">
        <f>IFERROR(__xludf.DUMMYFUNCTION("GOOGLETRANSLATE(C1142,""vi"",""km"")"),"អេហ្វើរ")</f>
        <v/>
      </c>
      <c r="E1142" s="3" t="n"/>
      <c r="F1142" s="3" t="inlineStr">
        <is>
          <t>ថ្លៃដឹកជញ្ជូន</t>
        </is>
      </c>
      <c r="G1142" s="3" t="n"/>
      <c r="H1142" s="217" t="inlineStr">
        <is>
          <t>"revenueManagement.fee": "ថ្លៃដឹកជញ្ជូន",</t>
        </is>
      </c>
      <c r="I1142" t="inlineStr">
        <is>
          <t>ថ្លៃដឹកជញ្ជូន</t>
        </is>
      </c>
    </row>
    <row r="1143">
      <c r="A1143" s="3" t="inlineStr">
        <is>
          <t>revenueManagement.field</t>
        </is>
      </c>
      <c r="B1143" s="3" t="inlineStr">
        <is>
          <t>Lĩnh vực</t>
        </is>
      </c>
      <c r="C1143" s="3" t="inlineStr">
        <is>
          <t>Field</t>
        </is>
      </c>
      <c r="D1143" s="217">
        <f>IFERROR(__xludf.DUMMYFUNCTION("GOOGLETRANSLATE(C1143,""vi"",""km"")"),"វាល")</f>
        <v/>
      </c>
      <c r="E1143" s="3" t="n"/>
      <c r="F1143" s="3" t="inlineStr">
        <is>
          <t>វាល</t>
        </is>
      </c>
      <c r="G1143" s="3" t="n"/>
      <c r="H1143" s="217" t="inlineStr">
        <is>
          <t>"revenueManagement.field": "វាល",</t>
        </is>
      </c>
      <c r="I1143" t="inlineStr">
        <is>
          <t>វាល</t>
        </is>
      </c>
    </row>
    <row r="1144">
      <c r="A1144" s="3" t="inlineStr">
        <is>
          <t>revenueManagement.filterBranch</t>
        </is>
      </c>
      <c r="B1144" s="3" t="inlineStr">
        <is>
          <t>Chọn chi nhánh</t>
        </is>
      </c>
      <c r="C1144" s="3" t="inlineStr">
        <is>
          <t>Select branch</t>
        </is>
      </c>
      <c r="D1144" s="217">
        <f>IFERROR(__xludf.DUMMYFUNCTION("GOOGLETRANSLATE(C1144,""vi"",""km"")"),"ជ្រើសរើសទ្រូង")</f>
        <v/>
      </c>
      <c r="E1144" s="3" t="n"/>
      <c r="F1144" s="3" t="inlineStr">
        <is>
          <t>ជ្រើសរើសទ្រូង</t>
        </is>
      </c>
      <c r="G1144" s="3" t="n"/>
      <c r="H1144" s="217" t="inlineStr">
        <is>
          <t>"revenueManagement.filterBranch": "ជ្រើសរើសទ្រូង",</t>
        </is>
      </c>
      <c r="I1144" t="inlineStr">
        <is>
          <t>ជ្រើសរើសទ្រូង</t>
        </is>
      </c>
    </row>
    <row r="1145">
      <c r="A1145" s="3" t="inlineStr">
        <is>
          <t>revenueManagement.handle</t>
        </is>
      </c>
      <c r="B1145" s="3" t="inlineStr">
        <is>
          <t>Thao tác</t>
        </is>
      </c>
      <c r="C1145" s="3" t="inlineStr">
        <is>
          <t>Action</t>
        </is>
      </c>
      <c r="D1145" s="217">
        <f>IFERROR(__xludf.DUMMYFUNCTION("GOOGLETRANSLATE(C1145,""vi"",""km"")"),"សកម្មភាព")</f>
        <v/>
      </c>
      <c r="E1145" s="3" t="n"/>
      <c r="F1145" s="3" t="inlineStr">
        <is>
          <t>ប្រតិបត្តិការ</t>
        </is>
      </c>
      <c r="G1145" s="3" t="n"/>
      <c r="H1145" s="217" t="inlineStr">
        <is>
          <t>"revenueManagement.handle": "ប្រតិបត្តិការ",</t>
        </is>
      </c>
      <c r="I1145" t="inlineStr">
        <is>
          <t>ប្រតិបត្តិការ</t>
        </is>
      </c>
    </row>
    <row r="1146">
      <c r="A1146" s="3" t="inlineStr">
        <is>
          <t>revenueManagement.keywordSearch</t>
        </is>
      </c>
      <c r="B1146" s="3" t="inlineStr">
        <is>
          <t>Từ khoá</t>
        </is>
      </c>
      <c r="C1146" s="3" t="inlineStr">
        <is>
          <t>Keyword</t>
        </is>
      </c>
      <c r="D1146" s="217">
        <f>IFERROR(__xludf.DUMMYFUNCTION("GOOGLETRANSLATE(C1146,""vi"",""km"")"),"ពាក្យគន្លឹះ")</f>
        <v/>
      </c>
      <c r="E1146" s="3" t="n"/>
      <c r="F1146" s="3" t="inlineStr">
        <is>
          <t>ពាក្យគន្លឹះ</t>
        </is>
      </c>
      <c r="G1146" s="3" t="n"/>
      <c r="H1146" s="217" t="inlineStr">
        <is>
          <t>"revenueManagement.keywordSearch": "ពាក្យគន្លឹះ",</t>
        </is>
      </c>
      <c r="I1146" t="inlineStr">
        <is>
          <t>ពាក្យគន្លឹះ</t>
        </is>
      </c>
    </row>
    <row r="1147">
      <c r="A1147" s="3" t="inlineStr">
        <is>
          <t>revenueManagement.keywordSearchPlaceholder</t>
        </is>
      </c>
      <c r="B1147" s="3" t="inlineStr">
        <is>
          <t>Mã đơn hàng, mã KH, mã dịch vụ</t>
        </is>
      </c>
      <c r="C1147" s="3" t="inlineStr">
        <is>
          <t>Order code, customer code, service code</t>
        </is>
      </c>
      <c r="D1147" s="217">
        <f>IFERROR(__xludf.DUMMYFUNCTION("GOOGLETRANSLATE(C1147,""vi"",""km"")"),"លេខកូដបញ្ជាទិញ លេខកូដអតិថិជន លេខកូដសេវាកម្ម")</f>
        <v/>
      </c>
      <c r="E1147" s="3" t="n"/>
      <c r="F1147" s="3" t="inlineStr">
        <is>
          <t>លេខកូដបញ្ជាទិញ លេខកូដអតិថិជន លេខកូដសេវាកម្ម</t>
        </is>
      </c>
      <c r="G1147" s="3" t="n"/>
      <c r="H1147" s="217" t="inlineStr">
        <is>
          <t>"revenueManagement.keywordSearchPlaceholder": "លេខកូដបញ្ជាទិញ លេខកូដអតិថិជន លេខកូដសេវាកម្ម",</t>
        </is>
      </c>
      <c r="I1147" t="inlineStr">
        <is>
          <t>លេខកូដបញ្ជាទិញ លេខកូដអតិថិជន លេខកូដសេវាកម្ម</t>
        </is>
      </c>
    </row>
    <row r="1148">
      <c r="A1148" s="3" t="inlineStr">
        <is>
          <t>revenueManagement.orderCode</t>
        </is>
      </c>
      <c r="B1148" s="3" t="inlineStr">
        <is>
          <t>Mã đơn hàng</t>
        </is>
      </c>
      <c r="C1148" s="3" t="inlineStr">
        <is>
          <t>Order code</t>
        </is>
      </c>
      <c r="D1148" s="217">
        <f>IFERROR(__xludf.DUMMYFUNCTION("GOOGLETRANSLATE(C1148,""vi"",""km"")"),"លេខកូដបញ្ជាទិញ")</f>
        <v/>
      </c>
      <c r="E1148" s="3" t="n"/>
      <c r="F1148" s="3" t="inlineStr">
        <is>
          <t>លេខកូដបុងបញ្ញើ</t>
        </is>
      </c>
      <c r="G1148" s="3" t="n"/>
      <c r="H1148" s="217" t="inlineStr">
        <is>
          <t>"revenueManagement.orderCode": "លេខកូដបុងបញ្ញើ",</t>
        </is>
      </c>
      <c r="I1148" t="inlineStr">
        <is>
          <t>លេខកូដបុងបញ្ញើ</t>
        </is>
      </c>
    </row>
    <row r="1149">
      <c r="A1149" s="3" t="inlineStr">
        <is>
          <t>revenueManagement.orderStatus</t>
        </is>
      </c>
      <c r="B1149" s="3" t="inlineStr">
        <is>
          <t>Trạng thái đơn</t>
        </is>
      </c>
      <c r="C1149" s="3" t="inlineStr">
        <is>
          <t>Order status</t>
        </is>
      </c>
      <c r="D1149" s="217">
        <f>IFERROR(__xludf.DUMMYFUNCTION("GOOGLETRANSLATE(C1149,""vi"",""km"")"),"ស្ថានភាពបញ្ជាទិញ")</f>
        <v/>
      </c>
      <c r="E1149" s="3" t="n"/>
      <c r="F1149" s="3" t="inlineStr">
        <is>
          <t>ស្ថានភាពបញ្ជាទិញ</t>
        </is>
      </c>
      <c r="G1149" s="3" t="n"/>
      <c r="H1149" s="217" t="inlineStr">
        <is>
          <t>"revenueManagement.orderStatus": "ស្ថានភាពបញ្ជាទិញ",</t>
        </is>
      </c>
      <c r="I1149" t="inlineStr">
        <is>
          <t>ស្ថានភាពបញ្ជាទិញ</t>
        </is>
      </c>
    </row>
    <row r="1150">
      <c r="A1150" s="3" t="inlineStr">
        <is>
          <t>revenueManagement.phoneNumber</t>
        </is>
      </c>
      <c r="B1150" s="3" t="inlineStr">
        <is>
          <t>SĐT</t>
        </is>
      </c>
      <c r="C1150" s="3" t="inlineStr">
        <is>
          <t>Phone number</t>
        </is>
      </c>
      <c r="D1150" s="217">
        <f>IFERROR(__xludf.DUMMYFUNCTION("GOOGLETRANSLATE(C1150,""vi"",""km"")"),"លេខទូរស័ព្ទ")</f>
        <v/>
      </c>
      <c r="E1150" s="3" t="n"/>
      <c r="F1150" s="3" t="inlineStr">
        <is>
          <t>លេខទូរស័ព្ទ</t>
        </is>
      </c>
      <c r="G1150" s="3" t="n"/>
      <c r="H1150" s="217" t="inlineStr">
        <is>
          <t>"revenueManagement.phoneNumber": "លេខទូរស័ព្ទ",</t>
        </is>
      </c>
      <c r="I1150" t="inlineStr">
        <is>
          <t>លេខទូរស័ព្ទ</t>
        </is>
      </c>
    </row>
    <row r="1151">
      <c r="A1151" s="3" t="inlineStr">
        <is>
          <t>revenueManagement.postOffice</t>
        </is>
      </c>
      <c r="B1151" s="3" t="inlineStr">
        <is>
          <t>Bưu cục</t>
        </is>
      </c>
      <c r="C1151" s="3" t="inlineStr">
        <is>
          <t>Post office</t>
        </is>
      </c>
      <c r="D1151" s="217">
        <f>IFERROR(__xludf.DUMMYFUNCTION("GOOGLETRANSLATE(C1151,""vi"",""km"")"),"ការិយាល័យប្រៃសណីយ៍")</f>
        <v/>
      </c>
      <c r="E1151" s="3" t="n"/>
      <c r="F1151" s="3" t="inlineStr">
        <is>
          <t>ការិយាល័យប្រៃសណីយ៍</t>
        </is>
      </c>
      <c r="G1151" s="3" t="n"/>
      <c r="H1151" s="217" t="inlineStr">
        <is>
          <t>"revenueManagement.postOffice": "ការិយាល័យប្រៃសណីយ៍",</t>
        </is>
      </c>
      <c r="I1151" t="inlineStr">
        <is>
          <t>ការិយាល័យប្រៃសណីយ៍</t>
        </is>
      </c>
    </row>
    <row r="1152">
      <c r="A1152" s="3" t="inlineStr">
        <is>
          <t>revenueManagement.pusBackOrder</t>
        </is>
      </c>
      <c r="B1152" s="3" t="inlineStr">
        <is>
          <t>Đẩy lại đơn hàng</t>
        </is>
      </c>
      <c r="C1152" s="3" t="inlineStr">
        <is>
          <t>Push order again</t>
        </is>
      </c>
      <c r="D1152" s="217">
        <f>IFERROR(__xludf.DUMMYFUNCTION("GOOGLETRANSLATE(C1152,""vi"",""km"")"),"បញ្ជា​ទិញ​ម្ដងទៀត")</f>
        <v/>
      </c>
      <c r="E1152" s="3" t="n"/>
      <c r="F1152" s="3" t="inlineStr">
        <is>
          <t>បញ្ជាទិញម្ដងទៀត</t>
        </is>
      </c>
      <c r="G1152" s="3" t="n"/>
      <c r="H1152" s="217" t="inlineStr">
        <is>
          <t>"revenueManagement.pusBackOrder": "បញ្ជាទិញម្ដងទៀត",</t>
        </is>
      </c>
      <c r="I1152" t="inlineStr">
        <is>
          <t>បញ្ជាទិញម្ដងទៀត</t>
        </is>
      </c>
    </row>
    <row r="1153">
      <c r="A1153" s="3" t="inlineStr">
        <is>
          <t>revenueManagement.pusBackOrderConfirm</t>
        </is>
      </c>
      <c r="B1153" s="3" t="inlineStr">
        <is>
          <t>Bạn có chắc chắn muốn thực hiện đẩy lại đơn hàng sang BCCS không</t>
        </is>
      </c>
      <c r="C1153" s="3" t="inlineStr">
        <is>
          <t>Are you sure you want to push this order to BCCS again?</t>
        </is>
      </c>
      <c r="D1153" s="217">
        <f>IFERROR(__xludf.DUMMYFUNCTION("GOOGLETRANSLATE(C1153,""vi"",""km"")"),"តើអ្នកពិតជាចង់បញ្ជូនការបញ្ជាទិញនេះទៅ BCCS ម្តងទៀតមែនទេ?")</f>
        <v/>
      </c>
      <c r="E1153" s="3" t="n"/>
      <c r="F1153" s="3" t="inlineStr">
        <is>
          <t>តើអ្នកពិតជាចង់បញ្ជូនការបញ្ជាទិញនេះទៅ BCCS ម្តងទៀតមែនទេ?</t>
        </is>
      </c>
      <c r="G1153" s="3" t="n"/>
      <c r="H1153" s="217" t="inlineStr">
        <is>
          <t>"revenueManagement.pusBackOrderConfirm": "តើអ្នកពិតជាចង់បញ្ជូនការបញ្ជាទិញនេះទៅ BCCS ម្តងទៀតមែនទេ?",</t>
        </is>
      </c>
      <c r="I1153" t="inlineStr">
        <is>
          <t>តើអ្នកពិតជាចង់បញ្ជូនការបញ្ជាទិញនេះទៅ BCCS ម្តងទៀតមែនទេ?</t>
        </is>
      </c>
    </row>
    <row r="1154">
      <c r="A1154" s="3" t="inlineStr">
        <is>
          <t>revenueManagement.referencesId</t>
        </is>
      </c>
      <c r="B1154" s="3" t="inlineStr">
        <is>
          <t>Mã tham chiếu</t>
        </is>
      </c>
      <c r="C1154" s="3" t="inlineStr">
        <is>
          <t>Reference ID</t>
        </is>
      </c>
      <c r="D1154" s="217">
        <f>IFERROR(__xludf.DUMMYFUNCTION("GOOGLETRANSLATE(C1154,""vi"",""km"")"),"លេខសម្គាល់ឯកសារយោង")</f>
        <v/>
      </c>
      <c r="E1154" s="3" t="n"/>
      <c r="F1154" s="3" t="inlineStr">
        <is>
          <t>លេខសម្គាល់ឯកសារយោង</t>
        </is>
      </c>
      <c r="G1154" s="3" t="n"/>
      <c r="H1154" s="217" t="inlineStr">
        <is>
          <t>"revenueManagement.referencesId": "លេខសម្គាល់ឯកសារយោង",</t>
        </is>
      </c>
      <c r="I1154" t="inlineStr">
        <is>
          <t>លេខសម្គាល់ឯកសារយោង</t>
        </is>
      </c>
    </row>
    <row r="1155">
      <c r="A1155" s="3" t="inlineStr">
        <is>
          <t>revenueManagement.revenueAfterDiscount</t>
        </is>
      </c>
      <c r="B1155" s="3" t="inlineStr">
        <is>
          <t>Doanh thu sau giảm giá</t>
        </is>
      </c>
      <c r="C1155" s="3" t="inlineStr">
        <is>
          <t>Revenue after discount</t>
        </is>
      </c>
      <c r="D1155" s="217">
        <f>IFERROR(__xludf.DUMMYFUNCTION("GOOGLETRANSLATE(C1155,""vi"",""km"")"),"ប្រាក់ចំណូលបន្ទាប់ពីបញ្ចុះតម្លៃ")</f>
        <v/>
      </c>
      <c r="E1155" s="3" t="n"/>
      <c r="F1155" s="3" t="inlineStr">
        <is>
          <t>ប្រាក់ចំណូលបន្ទាប់ពីបញ្ចុះតម្លៃ</t>
        </is>
      </c>
      <c r="G1155" s="3" t="n"/>
      <c r="H1155" s="217" t="inlineStr">
        <is>
          <t>"revenueManagement.revenueAfterDiscount": "ប្រាក់ចំណូលបន្ទាប់ពីបញ្ចុះតម្លៃ",</t>
        </is>
      </c>
      <c r="I1155" t="inlineStr">
        <is>
          <t>ប្រាក់ចំណូលបន្ទាប់ពីបញ្ចុះតម្លៃ</t>
        </is>
      </c>
    </row>
    <row r="1156">
      <c r="A1156" s="3" t="inlineStr">
        <is>
          <t>revenueManagement.search</t>
        </is>
      </c>
      <c r="B1156" s="3" t="inlineStr">
        <is>
          <t>Tìm kiếm</t>
        </is>
      </c>
      <c r="C1156" s="3" t="inlineStr">
        <is>
          <t>Search</t>
        </is>
      </c>
      <c r="D1156" s="217">
        <f>IFERROR(__xludf.DUMMYFUNCTION("GOOGLETRANSLATE(C1156,""vi"",""km"")"),"ស្វែងរក")</f>
        <v/>
      </c>
      <c r="E1156" s="3" t="n"/>
      <c r="F1156" s="3" t="inlineStr">
        <is>
          <t>ស្វែងរក</t>
        </is>
      </c>
      <c r="G1156" s="3" t="n"/>
      <c r="H1156" s="217" t="inlineStr">
        <is>
          <t>"revenueManagement.search": "ស្វែងរក",</t>
        </is>
      </c>
      <c r="I1156" t="inlineStr">
        <is>
          <t>ស្វែងរក</t>
        </is>
      </c>
    </row>
    <row r="1157">
      <c r="A1157" s="3" t="inlineStr">
        <is>
          <t>revenueManagement.serviceCode</t>
        </is>
      </c>
      <c r="B1157" s="3" t="inlineStr">
        <is>
          <t>Mã dịch vụ</t>
        </is>
      </c>
      <c r="C1157" s="3" t="inlineStr">
        <is>
          <t>Service code</t>
        </is>
      </c>
      <c r="D1157" s="217">
        <f>IFERROR(__xludf.DUMMYFUNCTION("GOOGLETRANSLATE(C1157,""vi"",""km"")"),"លេខកូដសេវាកម្ម")</f>
        <v/>
      </c>
      <c r="E1157" s="3" t="n"/>
      <c r="F1157" s="3" t="inlineStr">
        <is>
          <t>លេខកូដសេវាកម្ម</t>
        </is>
      </c>
      <c r="G1157" s="3" t="n"/>
      <c r="H1157" s="217" t="inlineStr">
        <is>
          <t>"revenueManagement.serviceCode": "លេខកូដសេវាកម្ម",</t>
        </is>
      </c>
      <c r="I1157" t="inlineStr">
        <is>
          <t>លេខកូដសេវាកម្ម</t>
        </is>
      </c>
    </row>
    <row r="1158">
      <c r="A1158" s="3" t="inlineStr">
        <is>
          <t>revenueManagement.shippingFee</t>
        </is>
      </c>
      <c r="B1158" s="3" t="inlineStr">
        <is>
          <t>Tiền Cước</t>
        </is>
      </c>
      <c r="C1158" s="3" t="inlineStr">
        <is>
          <t>Shipping fee</t>
        </is>
      </c>
      <c r="D1158" s="217">
        <f>IFERROR(__xludf.DUMMYFUNCTION("GOOGLETRANSLATE(C1158,""vi"",""km"")"),"ថ្លៃដឹកជញ្ជូន")</f>
        <v/>
      </c>
      <c r="E1158" s="3" t="n"/>
      <c r="F1158" s="3" t="inlineStr">
        <is>
          <t>ថ្លៃដឹកជញ្ជូន</t>
        </is>
      </c>
      <c r="G1158" s="3" t="n"/>
      <c r="H1158" s="217" t="inlineStr">
        <is>
          <t>"revenueManagement.shippingFee": "ថ្លៃដឹកជញ្ជូន",</t>
        </is>
      </c>
      <c r="I1158" t="inlineStr">
        <is>
          <t>ថ្លៃដឹកជញ្ជូន</t>
        </is>
      </c>
    </row>
    <row r="1159">
      <c r="A1159" s="3" t="inlineStr">
        <is>
          <t>revenueManagement.source</t>
        </is>
      </c>
      <c r="B1159" s="3" t="inlineStr">
        <is>
          <t>Nguồn</t>
        </is>
      </c>
      <c r="C1159" s="3" t="inlineStr">
        <is>
          <t>Source</t>
        </is>
      </c>
      <c r="D1159" s="217">
        <f>IFERROR(__xludf.DUMMYFUNCTION("GOOGLETRANSLATE(C1159,""vi"",""km"")"),"ប្រភពដើម")</f>
        <v/>
      </c>
      <c r="E1159" s="3" t="n"/>
      <c r="F1159" s="3" t="inlineStr">
        <is>
          <t>ប្រភពដើម</t>
        </is>
      </c>
      <c r="G1159" s="3" t="n"/>
      <c r="H1159" s="217" t="inlineStr">
        <is>
          <t>"revenueManagement.source": "ប្រភពដើម",</t>
        </is>
      </c>
      <c r="I1159" t="inlineStr">
        <is>
          <t>ប្រភពដើម</t>
        </is>
      </c>
    </row>
    <row r="1160">
      <c r="A1160" s="3" t="inlineStr">
        <is>
          <t>revenueManagement.startAt</t>
        </is>
      </c>
      <c r="B1160" s="3" t="inlineStr">
        <is>
          <t>Thời gian bắt đầu</t>
        </is>
      </c>
      <c r="C1160" s="3" t="inlineStr">
        <is>
          <t>Start time</t>
        </is>
      </c>
      <c r="D1160" s="217">
        <f>IFERROR(__xludf.DUMMYFUNCTION("GOOGLETRANSLATE(C1160,""vi"",""km"")"),"ពេលវេលាចាប់ផ្តើម")</f>
        <v/>
      </c>
      <c r="E1160" s="3" t="n"/>
      <c r="F1160" s="3" t="inlineStr">
        <is>
          <t>ពេលវេលាចាប់ផ្តើម</t>
        </is>
      </c>
      <c r="G1160" s="3" t="n"/>
      <c r="H1160" s="217" t="inlineStr">
        <is>
          <t>"revenueManagement.startAt": "ពេលវេលាចាប់ផ្តើម",</t>
        </is>
      </c>
      <c r="I1160" t="inlineStr">
        <is>
          <t>ពេលវេលាចាប់ផ្តើម</t>
        </is>
      </c>
    </row>
    <row r="1161">
      <c r="A1161" s="3" t="inlineStr">
        <is>
          <t>revenueManagement.startDate</t>
        </is>
      </c>
      <c r="B1161" s="3" t="inlineStr">
        <is>
          <t>Ngày bắt đầu</t>
        </is>
      </c>
      <c r="C1161" s="3" t="inlineStr">
        <is>
          <t>Start date</t>
        </is>
      </c>
      <c r="D1161" s="217">
        <f>IFERROR(__xludf.DUMMYFUNCTION("GOOGLETRANSLATE(C1161,""vi"",""km"")"),"កាលបរិច្ឆេទចាប់ផ្តើម")</f>
        <v/>
      </c>
      <c r="E1161" s="3" t="n"/>
      <c r="F1161" s="3" t="inlineStr">
        <is>
          <t>កាលបរិច្ឆេទចាប់ផ្តើម</t>
        </is>
      </c>
      <c r="G1161" s="3" t="n"/>
      <c r="H1161" s="217" t="inlineStr">
        <is>
          <t>"revenueManagement.startDate": "កាលបរិច្ឆេទចាប់ផ្តើម",</t>
        </is>
      </c>
      <c r="I1161" t="inlineStr">
        <is>
          <t>កាលបរិច្ឆេទចាប់ផ្តើម</t>
        </is>
      </c>
    </row>
    <row r="1162">
      <c r="A1162" s="3" t="inlineStr">
        <is>
          <t>revenueManagement.statementId</t>
        </is>
      </c>
      <c r="B1162" s="3" t="inlineStr">
        <is>
          <t>Mã bảng kê</t>
        </is>
      </c>
      <c r="C1162" s="3" t="inlineStr">
        <is>
          <t>Statement ID</t>
        </is>
      </c>
      <c r="D1162" s="217">
        <f>IFERROR(__xludf.DUMMYFUNCTION("GOOGLETRANSLATE(C1162,""vi"",""km"")"),"លេខសម្គាល់សេចក្តីថ្លែងការណ៍")</f>
        <v/>
      </c>
      <c r="E1162" s="3" t="n"/>
      <c r="F1162" s="3" t="inlineStr">
        <is>
          <t>លេខសម្គាល់សេចក្តីថ្លែងការណ៍</t>
        </is>
      </c>
      <c r="G1162" s="3" t="n"/>
      <c r="H1162" s="217" t="inlineStr">
        <is>
          <t>"revenueManagement.statementId": "លេខសម្គាល់សេចក្តីថ្លែងការណ៍",</t>
        </is>
      </c>
      <c r="I1162" t="inlineStr">
        <is>
          <t>លេខសម្គាល់សេចក្តីថ្លែងការណ៍</t>
        </is>
      </c>
    </row>
    <row r="1163">
      <c r="A1163" s="3" t="inlineStr">
        <is>
          <t>revenueManagement.syncStatus</t>
        </is>
      </c>
      <c r="B1163" s="3" t="inlineStr">
        <is>
          <t>Trạng thái đồng bộ</t>
        </is>
      </c>
      <c r="C1163" s="3" t="inlineStr">
        <is>
          <t>Sync status</t>
        </is>
      </c>
      <c r="D1163" s="217">
        <f>IFERROR(__xludf.DUMMYFUNCTION("GOOGLETRANSLATE(C1163,""vi"",""km"")"),"ស្ថានភាព​សមកាលកម្ម")</f>
        <v/>
      </c>
      <c r="E1163" s="3" t="n"/>
      <c r="F1163" s="3" t="inlineStr">
        <is>
          <t>ស្ថានភាពសមកាលកម្ម</t>
        </is>
      </c>
      <c r="G1163" s="3" t="n"/>
      <c r="H1163" s="217" t="inlineStr">
        <is>
          <t>"revenueManagement.syncStatus": "ស្ថានភាពសមកាលកម្ម",</t>
        </is>
      </c>
      <c r="I1163" t="inlineStr">
        <is>
          <t>ស្ថានភាពសមកាលកម្ម</t>
        </is>
      </c>
    </row>
    <row r="1164">
      <c r="A1164" s="3" t="inlineStr">
        <is>
          <t>revenueManagement.taxCode</t>
        </is>
      </c>
      <c r="B1164" s="3" t="inlineStr">
        <is>
          <t>MST</t>
        </is>
      </c>
      <c r="C1164" s="3" t="inlineStr">
        <is>
          <t>Tax code</t>
        </is>
      </c>
      <c r="D1164" s="217">
        <f>IFERROR(__xludf.DUMMYFUNCTION("GOOGLETRANSLATE(C1164,""vi"",""km"")"),"លេខកូដពន្ធ")</f>
        <v/>
      </c>
      <c r="E1164" s="3" t="n"/>
      <c r="F1164" s="3" t="inlineStr">
        <is>
          <t>លេខកូដពន្ធ</t>
        </is>
      </c>
      <c r="G1164" s="3" t="n"/>
      <c r="H1164" s="217" t="inlineStr">
        <is>
          <t>"revenueManagement.taxCode": "លេខកូដពន្ធ",</t>
        </is>
      </c>
      <c r="I1164" t="inlineStr">
        <is>
          <t>លេខកូដពន្ធ</t>
        </is>
      </c>
    </row>
    <row r="1165">
      <c r="A1165" s="3" t="inlineStr">
        <is>
          <t>revenueManagement.time</t>
        </is>
      </c>
      <c r="B1165" s="3" t="inlineStr">
        <is>
          <t>Thời gian</t>
        </is>
      </c>
      <c r="C1165" s="3" t="inlineStr">
        <is>
          <t>Time</t>
        </is>
      </c>
      <c r="D1165" s="217">
        <f>IFERROR(__xludf.DUMMYFUNCTION("GOOGLETRANSLATE(C1165,""vi"",""km"")"),"កាលបរិច្ឆេទ")</f>
        <v/>
      </c>
      <c r="E1165" s="3" t="n"/>
      <c r="F1165" s="3" t="inlineStr">
        <is>
          <t>ពេលវេលា</t>
        </is>
      </c>
      <c r="G1165" s="3" t="n"/>
      <c r="H1165" s="217" t="inlineStr">
        <is>
          <t>"revenueManagement.time": "ពេលវេលា",</t>
        </is>
      </c>
      <c r="I1165" t="inlineStr">
        <is>
          <t>ពេលវេលា</t>
        </is>
      </c>
    </row>
    <row r="1166">
      <c r="A1166" s="3" t="inlineStr">
        <is>
          <t>revenueManagement.updatedAt</t>
        </is>
      </c>
      <c r="B1166" s="3" t="inlineStr">
        <is>
          <t>Ngày cập nhật</t>
        </is>
      </c>
      <c r="C1166" s="3" t="inlineStr">
        <is>
          <t>Updated date</t>
        </is>
      </c>
      <c r="D1166" s="217">
        <f>IFERROR(__xludf.DUMMYFUNCTION("GOOGLETRANSLATE(C1166,""vi"",""km"")"),"កាលបរិច្ឆេទដែលបានធ្វើបច្ចុប្បន្នភាព")</f>
        <v/>
      </c>
      <c r="E1166" s="3" t="n"/>
      <c r="F1166" s="3" t="inlineStr">
        <is>
          <t>កាលបរិច្ឆេទដែលបានធ្វើបច្ចុប្បន្នភាព</t>
        </is>
      </c>
      <c r="G1166" s="3" t="n"/>
      <c r="H1166" s="217" t="inlineStr">
        <is>
          <t>"revenueManagement.updatedAt": "កាលបរិច្ឆេទដែលបានធ្វើបច្ចុប្បន្នភាព",</t>
        </is>
      </c>
      <c r="I1166" t="inlineStr">
        <is>
          <t>កាលបរិច្ឆេទដែលបានធ្វើបច្ចុប្បន្នភាព</t>
        </is>
      </c>
    </row>
    <row r="1167">
      <c r="A1167" s="3" t="inlineStr">
        <is>
          <t>revenueManagement.vat</t>
        </is>
      </c>
      <c r="B1167" s="3" t="inlineStr">
        <is>
          <t>VAT</t>
        </is>
      </c>
      <c r="C1167" s="3" t="inlineStr">
        <is>
          <t>VAT</t>
        </is>
      </c>
      <c r="D1167" s="217">
        <f>IFERROR(__xludf.DUMMYFUNCTION("GOOGLETRANSLATE(C1167,""vi"",""km"")"),"អាករលើតម្លៃបន្ថែម")</f>
        <v/>
      </c>
      <c r="E1167" s="3" t="n"/>
      <c r="F1167" s="3" t="inlineStr">
        <is>
          <t>អាករលើតម្លៃបន្ថែម</t>
        </is>
      </c>
      <c r="G1167" s="3" t="n"/>
      <c r="H1167" s="217" t="inlineStr">
        <is>
          <t>"revenueManagement.vat": "អាករលើតម្លៃបន្ថែម",</t>
        </is>
      </c>
      <c r="I1167" t="inlineStr">
        <is>
          <t>អាករលើតម្លៃបន្ថែម</t>
        </is>
      </c>
    </row>
    <row r="1168">
      <c r="A1168" s="3" t="inlineStr">
        <is>
          <t>revenueManagement.ward</t>
        </is>
      </c>
      <c r="B1168" s="3" t="inlineStr">
        <is>
          <t>Phường/Xã</t>
        </is>
      </c>
      <c r="C1168" s="3" t="inlineStr">
        <is>
          <t>Ward/Commune</t>
        </is>
      </c>
      <c r="D1168" s="217">
        <f>IFERROR(__xludf.DUMMYFUNCTION("GOOGLETRANSLATE(C1168,""vi"",""km"")"),"វួដ/ឃុំ")</f>
        <v/>
      </c>
      <c r="E1168" s="3" t="n"/>
      <c r="F1168" s="3" t="inlineStr">
        <is>
          <t>ឃុំ/សង្កាត់</t>
        </is>
      </c>
      <c r="G1168" s="3" t="n"/>
      <c r="H1168" s="217" t="inlineStr">
        <is>
          <t>"revenueManagement.ward": "ឃុំ/សង្កាត់",</t>
        </is>
      </c>
      <c r="I1168" t="inlineStr">
        <is>
          <t>ឃុំ/សង្កាត់</t>
        </is>
      </c>
    </row>
    <row r="1169">
      <c r="A1169" s="3" t="inlineStr">
        <is>
          <t>revenueManagement.weight</t>
        </is>
      </c>
      <c r="B1169" s="3" t="inlineStr">
        <is>
          <t>Trọng lượng (g)</t>
        </is>
      </c>
      <c r="C1169" s="3" t="inlineStr">
        <is>
          <t>Weight (g)</t>
        </is>
      </c>
      <c r="D1169" s="217">
        <f>IFERROR(__xludf.DUMMYFUNCTION("GOOGLETRANSLATE(C1169,""vi"",""km"")"),"ទម្ងន់ (ក្រាម)")</f>
        <v/>
      </c>
      <c r="E1169" s="3" t="n"/>
      <c r="F1169" s="3" t="inlineStr">
        <is>
          <t>ទម្ងន់ (ក្រាម)</t>
        </is>
      </c>
      <c r="G1169" s="3" t="n"/>
      <c r="H1169" s="217" t="inlineStr">
        <is>
          <t>"revenueManagement.weight": "ទម្ងន់ (ក្រាម)",</t>
        </is>
      </c>
      <c r="I1169" t="inlineStr">
        <is>
          <t>ទម្ងន់ (ក្រាម)</t>
        </is>
      </c>
    </row>
    <row r="1170">
      <c r="A1170" s="3" t="inlineStr">
        <is>
          <t>revenueOutput.Quantity</t>
        </is>
      </c>
      <c r="B1170" s="3" t="inlineStr">
        <is>
          <t>Sản lượng</t>
        </is>
      </c>
      <c r="C1170" s="3" t="inlineStr">
        <is>
          <t>Quantity Order</t>
        </is>
      </c>
      <c r="D1170" s="217">
        <f>IFERROR(__xludf.DUMMYFUNCTION("GOOGLETRANSLATE(C1170,""vi"",""km"")"),"លំដាប់បរិមាណ")</f>
        <v/>
      </c>
      <c r="E1170" s="3" t="n"/>
      <c r="F1170" s="3" t="inlineStr">
        <is>
          <t>លំដាប់បរិមាណ</t>
        </is>
      </c>
      <c r="G1170" s="3" t="n"/>
      <c r="H1170" s="217" t="inlineStr">
        <is>
          <t>"revenueOutput.Quantity": "លំដាប់បរិមាណ",</t>
        </is>
      </c>
      <c r="I1170" t="inlineStr">
        <is>
          <t>លំដាប់បរិមាណ</t>
        </is>
      </c>
    </row>
    <row r="1171">
      <c r="A1171" s="3" t="inlineStr">
        <is>
          <t>revenueOutput.accumulatedDay</t>
        </is>
      </c>
      <c r="B1171" s="3" t="inlineStr">
        <is>
          <t>Luỹ kế ngày</t>
        </is>
      </c>
      <c r="C1171" s="3" t="inlineStr">
        <is>
          <t>Daily accumulated</t>
        </is>
      </c>
      <c r="D1171" s="217">
        <f>IFERROR(__xludf.DUMMYFUNCTION("GOOGLETRANSLATE(C1171,""vi"",""km"")"),"ពណ៌ប្រផេះប្រចាំថ្ងៃ")</f>
        <v/>
      </c>
      <c r="E1171" s="3" t="n"/>
      <c r="F1171" s="3" t="inlineStr">
        <is>
          <t>ពណ៌ប្រផេះប្រចាំថ្ងៃ</t>
        </is>
      </c>
      <c r="G1171" s="3" t="n"/>
      <c r="H1171" s="217" t="inlineStr">
        <is>
          <t>"revenueOutput.accumulatedDay": "ពណ៌ប្រផេះប្រចាំថ្ងៃ",</t>
        </is>
      </c>
      <c r="I1171" t="inlineStr">
        <is>
          <t>ពណ៌ប្រផេះប្រចាំថ្ងៃ</t>
        </is>
      </c>
    </row>
    <row r="1172">
      <c r="A1172" s="3" t="inlineStr">
        <is>
          <t>revenueOutput.accumulatedMonth</t>
        </is>
      </c>
      <c r="B1172" s="3" t="inlineStr">
        <is>
          <t>Luỹ kế tháng</t>
        </is>
      </c>
      <c r="C1172" s="3" t="inlineStr">
        <is>
          <t>Monthly accumulated</t>
        </is>
      </c>
      <c r="D1172" s="217">
        <f>IFERROR(__xludf.DUMMYFUNCTION("GOOGLETRANSLATE(C1172,""vi"",""km"")"),"អិលស៊ីអិលស៊ី")</f>
        <v/>
      </c>
      <c r="E1172" s="3" t="n"/>
      <c r="F1172" s="3" t="inlineStr">
        <is>
          <t>អិលស៊ីអិលស៊ី</t>
        </is>
      </c>
      <c r="G1172" s="3" t="n"/>
      <c r="H1172" s="217" t="inlineStr">
        <is>
          <t>"revenueOutput.accumulatedMonth": "អិលស៊ីអិលស៊ី",</t>
        </is>
      </c>
      <c r="I1172" t="inlineStr">
        <is>
          <t>អិលស៊ីអិលស៊ី</t>
        </is>
      </c>
    </row>
    <row r="1173">
      <c r="A1173" s="3" t="inlineStr">
        <is>
          <t>revenueOutput.branch</t>
        </is>
      </c>
      <c r="B1173" s="3" t="inlineStr">
        <is>
          <t>Chi nhánh</t>
        </is>
      </c>
      <c r="C1173" s="3" t="inlineStr">
        <is>
          <t>Branch</t>
        </is>
      </c>
      <c r="D1173" s="217">
        <f>IFERROR(__xludf.DUMMYFUNCTION("GOOGLETRANSLATE(C1173,""vi"",""km"")"),"គ្រួសារ")</f>
        <v/>
      </c>
      <c r="E1173" s="3" t="n"/>
      <c r="F1173" s="3" t="inlineStr">
        <is>
          <t>សាខា</t>
        </is>
      </c>
      <c r="G1173" s="3" t="n"/>
      <c r="H1173" s="217" t="inlineStr">
        <is>
          <t>"revenueOutput.branch": "សាខា",</t>
        </is>
      </c>
      <c r="I1173" t="inlineStr">
        <is>
          <t>សាខា</t>
        </is>
      </c>
    </row>
    <row r="1174">
      <c r="A1174" s="3" t="inlineStr">
        <is>
          <t>revenueOutput.branchTab</t>
        </is>
      </c>
      <c r="B1174" s="3" t="inlineStr">
        <is>
          <t>Chi nhánh</t>
        </is>
      </c>
      <c r="C1174" s="3" t="inlineStr">
        <is>
          <t>Branch</t>
        </is>
      </c>
      <c r="D1174" s="217">
        <f>IFERROR(__xludf.DUMMYFUNCTION("GOOGLETRANSLATE(C1174,""vi"",""km"")"),"គ្រួសារ")</f>
        <v/>
      </c>
      <c r="E1174" s="3" t="n"/>
      <c r="F1174" s="3" t="inlineStr">
        <is>
          <t>សាខា</t>
        </is>
      </c>
      <c r="G1174" s="3" t="n"/>
      <c r="H1174" s="217" t="inlineStr">
        <is>
          <t>"revenueOutput.branchTab": "សាខា",</t>
        </is>
      </c>
      <c r="I1174" t="inlineStr">
        <is>
          <t>សាខា</t>
        </is>
      </c>
    </row>
    <row r="1175">
      <c r="A1175" s="3" t="inlineStr">
        <is>
          <t>revenueOutput.companyTab</t>
        </is>
      </c>
      <c r="B1175" s="3" t="inlineStr">
        <is>
          <t>Công ty</t>
        </is>
      </c>
      <c r="C1175" s="3" t="inlineStr">
        <is>
          <t>Company</t>
        </is>
      </c>
      <c r="D1175" s="217">
        <f>IFERROR(__xludf.DUMMYFUNCTION("GOOGLETRANSLATE(C1175,""vi"",""km"")"),"ក្រុមហ៊ុន")</f>
        <v/>
      </c>
      <c r="E1175" s="3" t="n"/>
      <c r="F1175" s="3" t="inlineStr">
        <is>
          <t>ក្រុមហ៊ុន</t>
        </is>
      </c>
      <c r="G1175" s="3" t="n"/>
      <c r="H1175" s="217" t="inlineStr">
        <is>
          <t>"revenueOutput.companyTab": "ក្រុមហ៊ុន",</t>
        </is>
      </c>
      <c r="I1175" t="inlineStr">
        <is>
          <t>ក្រុមហ៊ុន</t>
        </is>
      </c>
    </row>
    <row r="1176">
      <c r="A1176" s="3" t="inlineStr">
        <is>
          <t>revenueOutput.cumulativeOuput</t>
        </is>
      </c>
      <c r="B1176" s="3" t="inlineStr">
        <is>
          <t>Tăng trưởng tháng</t>
        </is>
      </c>
      <c r="C1176" s="3" t="inlineStr">
        <is>
          <t>Monthly growth</t>
        </is>
      </c>
      <c r="D1176" s="217">
        <f>IFERROR(__xludf.DUMMYFUNCTION("GOOGLETRANSLATE(C1176,""vi"",""km"")"),"កំណើនប្រចាំខែ")</f>
        <v/>
      </c>
      <c r="E1176" s="3" t="n"/>
      <c r="F1176" s="3" t="inlineStr">
        <is>
          <t>កំណើនប្រចាំខែ</t>
        </is>
      </c>
      <c r="G1176" s="3" t="n"/>
      <c r="H1176" s="217" t="inlineStr">
        <is>
          <t>"revenueOutput.cumulativeOuput": "កំណើនប្រចាំខែ",</t>
        </is>
      </c>
      <c r="I1176" t="inlineStr">
        <is>
          <t>កំណើនប្រចាំខែ</t>
        </is>
      </c>
    </row>
    <row r="1177">
      <c r="A1177" s="3" t="inlineStr">
        <is>
          <t>revenueOutput.cumulativeRevenue</t>
        </is>
      </c>
      <c r="B1177" s="3" t="inlineStr">
        <is>
          <t>Lũy kế tháng</t>
        </is>
      </c>
      <c r="C1177" s="3" t="inlineStr">
        <is>
          <t>Monthly cumulative</t>
        </is>
      </c>
      <c r="D1177" s="217">
        <f>IFERROR(__xludf.DUMMYFUNCTION("GOOGLETRANSLATE(C1177,""vi"",""km"")"),"ការតភ្ជាប់")</f>
        <v/>
      </c>
      <c r="E1177" s="3" t="n"/>
      <c r="F1177" s="3" t="inlineStr">
        <is>
          <t>ការតភ្ជាប់</t>
        </is>
      </c>
      <c r="G1177" s="3" t="n"/>
      <c r="H1177" s="217" t="inlineStr">
        <is>
          <t>"revenueOutput.cumulativeRevenue": "ការតភ្ជាប់",</t>
        </is>
      </c>
      <c r="I1177" t="inlineStr">
        <is>
          <t>ការតភ្ជាប់</t>
        </is>
      </c>
    </row>
    <row r="1178">
      <c r="A1178" s="3" t="inlineStr">
        <is>
          <t>revenueOutput.customer</t>
        </is>
      </c>
      <c r="B1178" s="3" t="inlineStr">
        <is>
          <t>Khách hàng</t>
        </is>
      </c>
      <c r="C1178" s="3" t="inlineStr">
        <is>
          <t>Customer</t>
        </is>
      </c>
      <c r="D1178" s="217">
        <f>IFERROR(__xludf.DUMMYFUNCTION("GOOGLETRANSLATE(C1178,""vi"",""km"")"),"បុគ្គលិកលក្ខណៈ")</f>
        <v/>
      </c>
      <c r="E1178" s="3" t="n"/>
      <c r="F1178" s="3" t="inlineStr">
        <is>
          <t>បុគ្គលិកលក្ខណៈ</t>
        </is>
      </c>
      <c r="G1178" s="3" t="n"/>
      <c r="H1178" s="217" t="inlineStr">
        <is>
          <t>"revenueOutput.customer": "បុគ្គលិកលក្ខណៈ",</t>
        </is>
      </c>
      <c r="I1178" t="inlineStr">
        <is>
          <t>បុគ្គលិកលក្ខណៈ</t>
        </is>
      </c>
    </row>
    <row r="1179">
      <c r="A1179" s="3" t="inlineStr">
        <is>
          <t>revenueOutput.customerFilter</t>
        </is>
      </c>
      <c r="B1179" s="3" t="inlineStr">
        <is>
          <t>Chọn khách hàng</t>
        </is>
      </c>
      <c r="C1179" s="3" t="inlineStr">
        <is>
          <t>Select customer</t>
        </is>
      </c>
      <c r="D1179" s="217">
        <f>IFERROR(__xludf.DUMMYFUNCTION("GOOGLETRANSLATE(C1179,""vi"",""km"")"),"ជ្រើសរើសអតិថិជន")</f>
        <v/>
      </c>
      <c r="E1179" s="3" t="n"/>
      <c r="F1179" s="3" t="inlineStr">
        <is>
          <t>ជ្រើសរើសអតិថិជន</t>
        </is>
      </c>
      <c r="G1179" s="3" t="n"/>
      <c r="H1179" s="217" t="inlineStr">
        <is>
          <t>"revenueOutput.customerFilter": "ជ្រើសរើសអតិថិជន",</t>
        </is>
      </c>
      <c r="I1179" t="inlineStr">
        <is>
          <t>ជ្រើសរើសអតិថិជន</t>
        </is>
      </c>
    </row>
    <row r="1180">
      <c r="A1180" s="3" t="inlineStr">
        <is>
          <t>revenueOutput.customerTab</t>
        </is>
      </c>
      <c r="B1180" s="3" t="inlineStr">
        <is>
          <t>Khách hàng</t>
        </is>
      </c>
      <c r="C1180" s="3" t="inlineStr">
        <is>
          <t>Customer</t>
        </is>
      </c>
      <c r="D1180" s="217">
        <f>IFERROR(__xludf.DUMMYFUNCTION("GOOGLETRANSLATE(C1180,""vi"",""km"")"),"បុគ្គលិកលក្ខណៈ")</f>
        <v/>
      </c>
      <c r="E1180" s="3" t="n"/>
      <c r="F1180" s="3" t="inlineStr">
        <is>
          <t>បុគ្គលិកលក្ខណៈ</t>
        </is>
      </c>
      <c r="G1180" s="3" t="n"/>
      <c r="H1180" s="217" t="inlineStr">
        <is>
          <t>"revenueOutput.customerTab": "បុគ្គលិកលក្ខណៈ",</t>
        </is>
      </c>
      <c r="I1180" t="inlineStr">
        <is>
          <t>បុគ្គលិកលក្ខណៈ</t>
        </is>
      </c>
    </row>
    <row r="1181">
      <c r="A1181" s="3" t="inlineStr">
        <is>
          <t>revenueOutput.dailyOutput</t>
        </is>
      </c>
      <c r="B1181" s="3" t="inlineStr">
        <is>
          <t>Lũy kế tháng</t>
        </is>
      </c>
      <c r="C1181" s="3" t="inlineStr">
        <is>
          <t>Monthly cumulative</t>
        </is>
      </c>
      <c r="D1181" s="217">
        <f>IFERROR(__xludf.DUMMYFUNCTION("GOOGLETRANSLATE(C1181,""vi"",""km"")"),"ការតភ្ជាប់")</f>
        <v/>
      </c>
      <c r="E1181" s="3" t="n"/>
      <c r="F1181" s="3" t="inlineStr">
        <is>
          <t>ការតភ្ជាប់</t>
        </is>
      </c>
      <c r="G1181" s="3" t="n"/>
      <c r="H1181" s="217" t="inlineStr">
        <is>
          <t>"revenueOutput.dailyOutput": "ការតភ្ជាប់",</t>
        </is>
      </c>
      <c r="I1181" t="inlineStr">
        <is>
          <t>ការតភ្ជាប់</t>
        </is>
      </c>
    </row>
    <row r="1182">
      <c r="A1182" s="3" t="inlineStr">
        <is>
          <t>revenueOutput.dailyRevenue</t>
        </is>
      </c>
      <c r="B1182" s="3" t="inlineStr">
        <is>
          <t>Doanh thu ngày</t>
        </is>
      </c>
      <c r="C1182" s="3" t="inlineStr">
        <is>
          <t>Daily revenue</t>
        </is>
      </c>
      <c r="D1182" s="217">
        <f>IFERROR(__xludf.DUMMYFUNCTION("GOOGLETRANSLATE(C1182,""vi"",""km"")"),"ប្រាក់ចំណូលប្រចាំថ្ងៃ")</f>
        <v/>
      </c>
      <c r="E1182" s="3" t="n"/>
      <c r="F1182" s="3" t="inlineStr">
        <is>
          <t>ប្រាក់ចំណូលប្រចាំថ្ងៃ</t>
        </is>
      </c>
      <c r="G1182" s="3" t="n"/>
      <c r="H1182" s="217" t="inlineStr">
        <is>
          <t>"revenueOutput.dailyRevenue": "ប្រាក់ចំណូលប្រចាំថ្ងៃ",</t>
        </is>
      </c>
      <c r="I1182" t="inlineStr">
        <is>
          <t>ប្រាក់ចំណូលប្រចាំថ្ងៃ</t>
        </is>
      </c>
    </row>
    <row r="1183">
      <c r="A1183" s="3" t="inlineStr">
        <is>
          <t>revenueOutput.employee</t>
        </is>
      </c>
      <c r="B1183" s="3" t="inlineStr">
        <is>
          <t>Nhân viên</t>
        </is>
      </c>
      <c r="C1183" s="3" t="inlineStr">
        <is>
          <t>Employee</t>
        </is>
      </c>
      <c r="D1183" s="217">
        <f>IFERROR(__xludf.DUMMYFUNCTION("GOOGLETRANSLATE(C1183,""vi"",""km"")"),"បុគ្គលិក")</f>
        <v/>
      </c>
      <c r="E1183" s="3" t="n"/>
      <c r="F1183" s="3" t="inlineStr">
        <is>
          <t>បុគ្គលិក</t>
        </is>
      </c>
      <c r="G1183" s="3" t="n"/>
      <c r="H1183" s="217" t="inlineStr">
        <is>
          <t>"revenueOutput.employee": "បុគ្គលិក",</t>
        </is>
      </c>
      <c r="I1183" t="inlineStr">
        <is>
          <t>បុគ្គលិក</t>
        </is>
      </c>
    </row>
    <row r="1184">
      <c r="A1184" s="3" t="inlineStr">
        <is>
          <t>revenueOutput.emptyDate</t>
        </is>
      </c>
      <c r="B1184" s="3" t="inlineStr">
        <is>
          <t>Ngày tìm kiếm chưa được nhập</t>
        </is>
      </c>
      <c r="C1184" s="3" t="inlineStr">
        <is>
          <t>Search day is empty</t>
        </is>
      </c>
      <c r="D1184" s="217">
        <f>IFERROR(__xludf.DUMMYFUNCTION("GOOGLETRANSLATE(C1184,""vi"",""km"")"),"ថ្ងៃស្វែងរកគឺទទេ")</f>
        <v/>
      </c>
      <c r="E1184" s="3" t="n"/>
      <c r="F1184" s="3" t="inlineStr">
        <is>
          <t>ថ្ងៃស្វែងរកគឺទទេ</t>
        </is>
      </c>
      <c r="G1184" s="3" t="n"/>
      <c r="H1184" s="217" t="inlineStr">
        <is>
          <t>"revenueOutput.emptyDate": "ថ្ងៃស្វែងរកគឺទទេ",</t>
        </is>
      </c>
      <c r="I1184" t="inlineStr">
        <is>
          <t>ថ្ងៃស្វែងរកគឺទទេ</t>
        </is>
      </c>
    </row>
    <row r="1185">
      <c r="A1185" s="3" t="inlineStr">
        <is>
          <t>revenueOutput.endDate</t>
        </is>
      </c>
      <c r="B1185" s="3" t="inlineStr">
        <is>
          <t>Đến ngày</t>
        </is>
      </c>
      <c r="C1185" s="3" t="inlineStr">
        <is>
          <t>End Date</t>
        </is>
      </c>
      <c r="D1185" s="217">
        <f>IFERROR(__xludf.DUMMYFUNCTION("GOOGLETRANSLATE(C1185,""vi"",""km"")"),"កាលបរិច្ឆេទបញ្ចប់")</f>
        <v/>
      </c>
      <c r="E1185" s="3" t="n"/>
      <c r="F1185" s="3" t="inlineStr">
        <is>
          <t>កាលបរិច្ឆេទបញ្ចប់</t>
        </is>
      </c>
      <c r="G1185" s="3" t="n"/>
      <c r="H1185" s="217" t="inlineStr">
        <is>
          <t>"revenueOutput.endDate": "កាលបរិច្ឆេទបញ្ចប់",</t>
        </is>
      </c>
      <c r="I1185" t="inlineStr">
        <is>
          <t>កាលបរិច្ឆេទបញ្ចប់</t>
        </is>
      </c>
    </row>
    <row r="1186">
      <c r="A1186" s="3" t="inlineStr">
        <is>
          <t>revenueOutput.exportDetail</t>
        </is>
      </c>
      <c r="B1186" s="3" t="inlineStr">
        <is>
          <t>Xuất chi tiết</t>
        </is>
      </c>
      <c r="C1186" s="3" t="inlineStr">
        <is>
          <t>Export detail report</t>
        </is>
      </c>
      <c r="D1186" s="217">
        <f>IFERROR(__xludf.DUMMYFUNCTION("GOOGLETRANSLATE(C1186,""vi"",""km"")"),"នាំចេញរបាយការណ៍លម្អិត")</f>
        <v/>
      </c>
      <c r="E1186" s="3" t="n"/>
      <c r="F1186" s="3" t="inlineStr">
        <is>
          <t>នាំចេញរបាយការណ៍លម្អិត</t>
        </is>
      </c>
      <c r="G1186" s="3" t="n"/>
      <c r="H1186" s="217" t="inlineStr">
        <is>
          <t>"revenueOutput.exportDetail": "នាំចេញរបាយការណ៍លម្អិត",</t>
        </is>
      </c>
      <c r="I1186" t="inlineStr">
        <is>
          <t>នាំចេញរបាយការណ៍លម្អិត</t>
        </is>
      </c>
    </row>
    <row r="1187">
      <c r="A1187" s="3" t="inlineStr">
        <is>
          <t>revenueOutput.exportExcel</t>
        </is>
      </c>
      <c r="B1187" s="3" t="inlineStr">
        <is>
          <t>Xuất Excel</t>
        </is>
      </c>
      <c r="C1187" s="3" t="inlineStr">
        <is>
          <t>Export Excel</t>
        </is>
      </c>
      <c r="D1187" s="217">
        <f>IFERROR(__xludf.DUMMYFUNCTION("GOOGLETRANSLATE(C1187,""vi"",""km"")"),"រីករាលដាល Excel")</f>
        <v/>
      </c>
      <c r="E1187" s="3" t="n"/>
      <c r="F1187" s="3" t="inlineStr">
        <is>
          <t>រីករាលដាល Excel</t>
        </is>
      </c>
      <c r="G1187" s="3" t="n"/>
      <c r="H1187" s="217" t="inlineStr">
        <is>
          <t>"revenueOutput.exportExcel": "រីករាលដាល Excel",</t>
        </is>
      </c>
      <c r="I1187" t="inlineStr">
        <is>
          <t>រីករាលដាល Excel</t>
        </is>
      </c>
    </row>
    <row r="1188">
      <c r="A1188" s="3" t="inlineStr">
        <is>
          <t>revenueOutput.exportFail</t>
        </is>
      </c>
      <c r="B1188" s="3" t="inlineStr">
        <is>
          <t>Xuất excel thất bại</t>
        </is>
      </c>
      <c r="C1188" s="3" t="inlineStr">
        <is>
          <t>Export excel failed</t>
        </is>
      </c>
      <c r="D1188" s="217">
        <f>IFERROR(__xludf.DUMMYFUNCTION("GOOGLETRANSLATE(C1188,""vi"",""km"")"),"ការនាំចេញ Excel បរាជ័យ")</f>
        <v/>
      </c>
      <c r="E1188" s="3" t="n"/>
      <c r="F1188" s="3" t="inlineStr">
        <is>
          <t>ការនាំចេញ Excel បរាជ័យ</t>
        </is>
      </c>
      <c r="G1188" s="3" t="n"/>
      <c r="H1188" s="217" t="inlineStr">
        <is>
          <t>"revenueOutput.exportFail": "ការនាំចេញ Excel បរាជ័យ",</t>
        </is>
      </c>
      <c r="I1188" t="inlineStr">
        <is>
          <t>ការនាំចេញ Excel បរាជ័យ</t>
        </is>
      </c>
    </row>
    <row r="1189">
      <c r="A1189" s="3" t="inlineStr">
        <is>
          <t>revenueOutput.exportSuccess</t>
        </is>
      </c>
      <c r="B1189" s="3" t="inlineStr">
        <is>
          <t>Xuất excel thành công</t>
        </is>
      </c>
      <c r="C1189" s="3" t="inlineStr">
        <is>
          <t>Export excel successfully</t>
        </is>
      </c>
      <c r="D1189" s="217">
        <f>IFERROR(__xludf.DUMMYFUNCTION("GOOGLETRANSLATE(C1189,""vi"",""km"")"),"នាំចេញ Excel")</f>
        <v/>
      </c>
      <c r="E1189" s="3" t="n"/>
      <c r="F1189" s="3" t="inlineStr">
        <is>
          <t>នាំចេញ Excel</t>
        </is>
      </c>
      <c r="G1189" s="3" t="n"/>
      <c r="H1189" s="217" t="inlineStr">
        <is>
          <t>"revenueOutput.exportSuccess": "នាំចេញ Excel",</t>
        </is>
      </c>
      <c r="I1189" t="inlineStr">
        <is>
          <t>នាំចេញ Excel</t>
        </is>
      </c>
    </row>
    <row r="1190">
      <c r="A1190" s="3" t="inlineStr">
        <is>
          <t>revenueOutput.fileNameExcel</t>
        </is>
      </c>
      <c r="B1190" s="3" t="inlineStr">
        <is>
          <t>Baocaodoanhthu_sanluong</t>
        </is>
      </c>
      <c r="C1190" s="3" t="inlineStr">
        <is>
          <t>Revenue_ProductionReport</t>
        </is>
      </c>
      <c r="D1190" s="217">
        <f>IFERROR(__xludf.DUMMYFUNCTION("GOOGLETRANSLATE(C1190,""vi"",""km"")"),"របាយការណ៍​ចំណូល_ផលិតកម្ម")</f>
        <v/>
      </c>
      <c r="E1190" s="3" t="n"/>
      <c r="F1190" s="3" t="inlineStr">
        <is>
          <t>របាយការណ៍ចំណូល និងបរិមាណបញ្ញើ</t>
        </is>
      </c>
      <c r="G1190" s="3" t="n"/>
      <c r="H1190" s="217" t="inlineStr">
        <is>
          <t>"revenueOutput.fileNameExcel": "របាយការណ៍ចំណូល និងបរិមាណបញ្ញើ",</t>
        </is>
      </c>
      <c r="I1190" t="inlineStr">
        <is>
          <t>របាយការណ៍ចំណូល និងបរិមាណបញ្ញើ</t>
        </is>
      </c>
    </row>
    <row r="1191">
      <c r="A1191" s="3" t="inlineStr">
        <is>
          <t>revenueOutput.fileNameExcelDetail</t>
        </is>
      </c>
      <c r="B1191" s="3" t="inlineStr">
        <is>
          <t>Chitietbaocaodoanhthu</t>
        </is>
      </c>
      <c r="C1191" s="3" t="inlineStr">
        <is>
          <t>RevenueReportDetails</t>
        </is>
      </c>
      <c r="D1191" s="217">
        <f>IFERROR(__xludf.DUMMYFUNCTION("GOOGLETRANSLATE(C1191,""vi"",""km"")"),"ព័ត៌មានលម្អិតអំពីរបាយការណ៍ប្រាក់ចំណូល")</f>
        <v/>
      </c>
      <c r="E1191" s="3" t="n"/>
      <c r="F1191" s="3" t="inlineStr">
        <is>
          <t>ព័ត៌មានលម្អិតរបាយការណ៍ចំណូល</t>
        </is>
      </c>
      <c r="G1191" s="3" t="n"/>
      <c r="H1191" s="217" t="inlineStr">
        <is>
          <t>"revenueOutput.fileNameExcelDetail": "ព័ត៌មានលម្អិតរបាយការណ៍ចំណូល",</t>
        </is>
      </c>
      <c r="I1191" t="inlineStr">
        <is>
          <t>ព័ត៌មានលម្អិតរបាយការណ៍ចំណូល</t>
        </is>
      </c>
    </row>
    <row r="1192">
      <c r="A1192" s="3" t="inlineStr">
        <is>
          <t>revenueOutput.filterDate</t>
        </is>
      </c>
      <c r="B1192" s="3" t="inlineStr">
        <is>
          <t>Chọn ngày</t>
        </is>
      </c>
      <c r="C1192" s="3" t="inlineStr">
        <is>
          <t>Select date</t>
        </is>
      </c>
      <c r="D1192" s="217">
        <f>IFERROR(__xludf.DUMMYFUNCTION("GOOGLETRANSLATE(C1192,""vi"",""km"")"),"កាលបរិច្ឆេទដែលបានជ្រើសរើស")</f>
        <v/>
      </c>
      <c r="E1192" s="3" t="n"/>
      <c r="F1192" s="3" t="inlineStr">
        <is>
          <t>កាលបរិច្ឆេទដែលបានជ្រើសរើស</t>
        </is>
      </c>
      <c r="G1192" s="3" t="n"/>
      <c r="H1192" s="217" t="inlineStr">
        <is>
          <t>"revenueOutput.filterDate": "កាលបរិច្ឆេទដែលបានជ្រើសរើស",</t>
        </is>
      </c>
      <c r="I1192" t="inlineStr">
        <is>
          <t>កាលបរិច្ឆេទដែលបានជ្រើសរើស</t>
        </is>
      </c>
    </row>
    <row r="1193">
      <c r="A1193" s="3" t="inlineStr">
        <is>
          <t>revenueOutput.filterEmployee</t>
        </is>
      </c>
      <c r="B1193" s="3" t="inlineStr">
        <is>
          <t>Chọn nhân viên</t>
        </is>
      </c>
      <c r="C1193" s="3" t="inlineStr">
        <is>
          <t>Select employee</t>
        </is>
      </c>
      <c r="D1193" s="217">
        <f>IFERROR(__xludf.DUMMYFUNCTION("GOOGLETRANSLATE(C1193,""vi"",""km"")"),"ជ្រើសរើសការចេញផ្សាយ")</f>
        <v/>
      </c>
      <c r="E1193" s="3" t="n"/>
      <c r="F1193" s="3" t="inlineStr">
        <is>
          <t>ជ្រើសរើសការចេញផ្សាយ</t>
        </is>
      </c>
      <c r="G1193" s="3" t="n"/>
      <c r="H1193" s="217" t="inlineStr">
        <is>
          <t>"revenueOutput.filterEmployee": "ជ្រើសរើសការចេញផ្សាយ",</t>
        </is>
      </c>
      <c r="I1193" t="inlineStr">
        <is>
          <t>ជ្រើសរើសការចេញផ្សាយ</t>
        </is>
      </c>
    </row>
    <row r="1194">
      <c r="A1194" s="3" t="inlineStr">
        <is>
          <t>revenueOutput.filterPostOfice</t>
        </is>
      </c>
      <c r="B1194" s="3" t="inlineStr">
        <is>
          <t>Chọn bưu cục</t>
        </is>
      </c>
      <c r="C1194" s="3" t="inlineStr">
        <is>
          <t>Select post Office</t>
        </is>
      </c>
      <c r="D1194" s="217">
        <f>IFERROR(__xludf.DUMMYFUNCTION("GOOGLETRANSLATE(C1194,""vi"",""km"")"),"ជ្រើសរើសការិយាល័យប្រៃសណីយ៍")</f>
        <v/>
      </c>
      <c r="E1194" s="3" t="n"/>
      <c r="F1194" s="3" t="inlineStr">
        <is>
          <t>ជ្រើសរើសការិយាល័យប្រៃសណីយ៍</t>
        </is>
      </c>
      <c r="G1194" s="3" t="n"/>
      <c r="H1194" s="217" t="inlineStr">
        <is>
          <t>"revenueOutput.filterPostOfice": "ជ្រើសរើសការិយាល័យប្រៃសណីយ៍",</t>
        </is>
      </c>
      <c r="I1194" t="inlineStr">
        <is>
          <t>ជ្រើសរើសការិយាល័យប្រៃសណីយ៍</t>
        </is>
      </c>
    </row>
    <row r="1195">
      <c r="A1195" s="3" t="inlineStr">
        <is>
          <t>revenueOutput.filterRoute</t>
        </is>
      </c>
      <c r="B1195" s="3" t="inlineStr">
        <is>
          <t>Chọn tuyến</t>
        </is>
      </c>
      <c r="C1195" s="3" t="inlineStr">
        <is>
          <t>Select route</t>
        </is>
      </c>
      <c r="D1195" s="217">
        <f>IFERROR(__xludf.DUMMYFUNCTION("GOOGLETRANSLATE(C1195,""vi"",""km"")"),"ជ្រើសរើសផ្លូវ")</f>
        <v/>
      </c>
      <c r="E1195" s="3" t="n"/>
      <c r="F1195" s="3" t="inlineStr">
        <is>
          <t>ជ្រើសរើសផ្លូវ</t>
        </is>
      </c>
      <c r="G1195" s="3" t="n"/>
      <c r="H1195" s="217" t="inlineStr">
        <is>
          <t>"revenueOutput.filterRoute": "ជ្រើសរើសផ្លូវ",</t>
        </is>
      </c>
      <c r="I1195" t="inlineStr">
        <is>
          <t>ជ្រើសរើសផ្លូវ</t>
        </is>
      </c>
    </row>
    <row r="1196">
      <c r="A1196" s="3" t="inlineStr">
        <is>
          <t>revenueOutput.filterService</t>
        </is>
      </c>
      <c r="B1196" s="3" t="inlineStr">
        <is>
          <t>Chọn dịch vụ</t>
        </is>
      </c>
      <c r="C1196" s="3" t="inlineStr">
        <is>
          <t>Select service</t>
        </is>
      </c>
      <c r="D1196" s="217">
        <f>IFERROR(__xludf.DUMMYFUNCTION("GOOGLETRANSLATE(C1196,""vi"",""km"")"),"ជ្រើសរើសសេវាកម្ម")</f>
        <v/>
      </c>
      <c r="E1196" s="3" t="n"/>
      <c r="F1196" s="3" t="inlineStr">
        <is>
          <t>ជ្រើសរើសសេវាកម្ម</t>
        </is>
      </c>
      <c r="G1196" s="3" t="n"/>
      <c r="H1196" s="217" t="inlineStr">
        <is>
          <t>"revenueOutput.filterService": "ជ្រើសរើសសេវាកម្ម",</t>
        </is>
      </c>
      <c r="I1196" t="inlineStr">
        <is>
          <t>ជ្រើសរើសសេវាកម្ម</t>
        </is>
      </c>
    </row>
    <row r="1197">
      <c r="A1197" s="3" t="inlineStr">
        <is>
          <t>revenueOutput.filterbranch</t>
        </is>
      </c>
      <c r="B1197" s="3" t="inlineStr">
        <is>
          <t>Chọn chi nhánh</t>
        </is>
      </c>
      <c r="C1197" s="3" t="inlineStr">
        <is>
          <t>Branch</t>
        </is>
      </c>
      <c r="D1197" s="217">
        <f>IFERROR(__xludf.DUMMYFUNCTION("GOOGLETRANSLATE(C1197,""vi"",""km"")"),"គ្រួសារ")</f>
        <v/>
      </c>
      <c r="E1197" s="3" t="n"/>
      <c r="F1197" s="3" t="inlineStr">
        <is>
          <t>គ្រួសារ</t>
        </is>
      </c>
      <c r="G1197" s="3" t="n"/>
      <c r="H1197" s="217" t="inlineStr">
        <is>
          <t>"revenueOutput.filterbranch": "គ្រួសារ",</t>
        </is>
      </c>
      <c r="I1197" t="inlineStr">
        <is>
          <t>គ្រួសារ</t>
        </is>
      </c>
    </row>
    <row r="1198">
      <c r="A1198" s="3" t="inlineStr">
        <is>
          <t>revenueOutput.monthlyGrowth</t>
        </is>
      </c>
      <c r="B1198" s="3" t="inlineStr">
        <is>
          <t>Tăng trưởng tháng</t>
        </is>
      </c>
      <c r="C1198" s="3" t="inlineStr">
        <is>
          <t>Monthly growth</t>
        </is>
      </c>
      <c r="D1198" s="217">
        <f>IFERROR(__xludf.DUMMYFUNCTION("GOOGLETRANSLATE(C1198,""vi"",""km"")"),"កំណើនប្រចាំខែ")</f>
        <v/>
      </c>
      <c r="E1198" s="3" t="n"/>
      <c r="F1198" s="3" t="inlineStr">
        <is>
          <t>កំណើនប្រចាំខែ</t>
        </is>
      </c>
      <c r="G1198" s="3" t="n"/>
      <c r="H1198" s="217" t="inlineStr">
        <is>
          <t>"revenueOutput.monthlyGrowth": "កំណើនប្រចាំខែ",</t>
        </is>
      </c>
      <c r="I1198" t="inlineStr">
        <is>
          <t>កំណើនប្រចាំខែ</t>
        </is>
      </c>
    </row>
    <row r="1199">
      <c r="A1199" s="3" t="inlineStr">
        <is>
          <t>revenueOutput.overExcel</t>
        </is>
      </c>
      <c r="B1199" s="3" t="inlineStr">
        <is>
          <t>Số lượng đơn không vượt quá {{length}} đơn</t>
        </is>
      </c>
      <c r="C1199" s="3" t="inlineStr">
        <is>
          <t>The order quantity must not exceed {{length}}</t>
        </is>
      </c>
      <c r="D1199" s="217">
        <f>IFERROR(__xludf.DUMMYFUNCTION("GOOGLETRANSLATE(C1199,""vi"",""km"")"),"បរិមាណបញ្ជាទិញមិនត្រូវលើសពី {{length}} ទេ")</f>
        <v/>
      </c>
      <c r="E1199" s="3" t="n"/>
      <c r="F1199" s="3" t="inlineStr">
        <is>
          <t>បរិមាណបញ្ជាទិញមិនត្រូវលើសពី {{length}} ទេ</t>
        </is>
      </c>
      <c r="G1199" s="3" t="n"/>
      <c r="H1199" s="217" t="inlineStr">
        <is>
          <t>"revenueOutput.overExcel": "បរិមាណបញ្ជាទិញមិនត្រូវលើសពី {{length}} ទេ",</t>
        </is>
      </c>
      <c r="I1199" t="inlineStr">
        <is>
          <t>បរិមាណបញ្ជាទិញមិនត្រូវលើសពី {{length}} ទេ</t>
        </is>
      </c>
    </row>
    <row r="1200">
      <c r="A1200" s="3" t="inlineStr">
        <is>
          <t>revenueOutput.parcelType</t>
        </is>
      </c>
      <c r="B1200" s="3" t="inlineStr">
        <is>
          <t>Loại hàng</t>
        </is>
      </c>
      <c r="C1200" s="3" t="inlineStr">
        <is>
          <t>Freight type</t>
        </is>
      </c>
      <c r="D1200" s="217">
        <f>IFERROR(__xludf.DUMMYFUNCTION("GOOGLETRANSLATE(C1200,""vi"",""km"")"),"ប្រភេទទំនិញ")</f>
        <v/>
      </c>
      <c r="E1200" s="3" t="n"/>
      <c r="F1200" s="3" t="inlineStr">
        <is>
          <t>ប្រភេទទំនិញ</t>
        </is>
      </c>
      <c r="G1200" s="3" t="n"/>
      <c r="H1200" s="217" t="inlineStr">
        <is>
          <t>"revenueOutput.parcelType": "ប្រភេទទំនិញ",</t>
        </is>
      </c>
      <c r="I1200" t="inlineStr">
        <is>
          <t>ប្រភេទទំនិញ</t>
        </is>
      </c>
    </row>
    <row r="1201">
      <c r="A1201" s="3" t="inlineStr">
        <is>
          <t>revenueOutput.postCode</t>
        </is>
      </c>
      <c r="B1201" s="3" t="inlineStr">
        <is>
          <t>Bưu cục</t>
        </is>
      </c>
      <c r="C1201" s="3" t="inlineStr">
        <is>
          <t>Post Office</t>
        </is>
      </c>
      <c r="D1201" s="217">
        <f>IFERROR(__xludf.DUMMYFUNCTION("GOOGLETRANSLATE(C1201,""vi"",""km"")"),"ការិយាល័យប្រៃសណីយ៍")</f>
        <v/>
      </c>
      <c r="E1201" s="3" t="n"/>
      <c r="F1201" s="3" t="inlineStr">
        <is>
          <t>ការិយាល័យប្រៃសណីយ៍</t>
        </is>
      </c>
      <c r="G1201" s="3" t="n"/>
      <c r="H1201" s="217" t="inlineStr">
        <is>
          <t>"revenueOutput.postCode": "ការិយាល័យប្រៃសណីយ៍",</t>
        </is>
      </c>
      <c r="I1201" t="inlineStr">
        <is>
          <t>ការិយាល័យប្រៃសណីយ៍</t>
        </is>
      </c>
    </row>
    <row r="1202">
      <c r="A1202" s="3" t="inlineStr">
        <is>
          <t>revenueOutput.postOfficeTab</t>
        </is>
      </c>
      <c r="B1202" s="3" t="inlineStr">
        <is>
          <t>Bưu cục</t>
        </is>
      </c>
      <c r="C1202" s="3" t="inlineStr">
        <is>
          <t>Post Office</t>
        </is>
      </c>
      <c r="D1202" s="217">
        <f>IFERROR(__xludf.DUMMYFUNCTION("GOOGLETRANSLATE(C1202,""vi"",""km"")"),"ការិយាល័យប្រៃសណីយ៍")</f>
        <v/>
      </c>
      <c r="E1202" s="3" t="n"/>
      <c r="F1202" s="3" t="inlineStr">
        <is>
          <t>ការិយាល័យប្រៃសណីយ៍</t>
        </is>
      </c>
      <c r="G1202" s="3" t="n"/>
      <c r="H1202" s="217" t="inlineStr">
        <is>
          <t>"revenueOutput.postOfficeTab": "ការិយាល័យប្រៃសណីយ៍",</t>
        </is>
      </c>
      <c r="I1202" t="inlineStr">
        <is>
          <t>ការិយាល័យប្រៃសណីយ៍</t>
        </is>
      </c>
    </row>
    <row r="1203">
      <c r="A1203" s="3" t="inlineStr">
        <is>
          <t>revenueOutput.quantityDay</t>
        </is>
      </c>
      <c r="B1203" s="3" t="inlineStr">
        <is>
          <t>Sản lượng ngày</t>
        </is>
      </c>
      <c r="C1203" s="3" t="inlineStr">
        <is>
          <t>Quantity day</t>
        </is>
      </c>
      <c r="D1203" s="217">
        <f>IFERROR(__xludf.DUMMYFUNCTION("GOOGLETRANSLATE(C1203,""vi"",""km"")"),"បរិមាណក្នុងមួយថ្ងៃ")</f>
        <v/>
      </c>
      <c r="E1203" s="3" t="n"/>
      <c r="F1203" s="3" t="inlineStr">
        <is>
          <t>បរិមាណក្នុងមួយថ្ងៃ</t>
        </is>
      </c>
      <c r="G1203" s="3" t="n"/>
      <c r="H1203" s="217" t="inlineStr">
        <is>
          <t>"revenueOutput.quantityDay": "បរិមាណក្នុងមួយថ្ងៃ",</t>
        </is>
      </c>
      <c r="I1203" t="inlineStr">
        <is>
          <t>បរិមាណក្នុងមួយថ្ងៃ</t>
        </is>
      </c>
    </row>
    <row r="1204">
      <c r="A1204" s="3" t="inlineStr">
        <is>
          <t>revenueOutput.revenue</t>
        </is>
      </c>
      <c r="B1204" s="3" t="inlineStr">
        <is>
          <t>Doanh thu</t>
        </is>
      </c>
      <c r="C1204" s="3" t="inlineStr">
        <is>
          <t>Revenue</t>
        </is>
      </c>
      <c r="D1204" s="217">
        <f>IFERROR(__xludf.DUMMYFUNCTION("GOOGLETRANSLATE(C1204,""vi"",""km"")"),"រូបិយប័ណ្ណ")</f>
        <v/>
      </c>
      <c r="E1204" s="3" t="n"/>
      <c r="F1204" s="3" t="inlineStr">
        <is>
          <t>រូបិយប័ណ្ណ</t>
        </is>
      </c>
      <c r="G1204" s="3" t="n"/>
      <c r="H1204" s="217" t="inlineStr">
        <is>
          <t>"revenueOutput.revenue": "រូបិយប័ណ្ណ",</t>
        </is>
      </c>
      <c r="I1204" t="inlineStr">
        <is>
          <t>រូបិយប័ណ្ណ</t>
        </is>
      </c>
    </row>
    <row r="1205">
      <c r="A1205" s="3" t="inlineStr">
        <is>
          <t>revenueOutput.revenueDelivery</t>
        </is>
      </c>
      <c r="B1205" s="3" t="inlineStr">
        <is>
          <t>Doanh thu giao</t>
        </is>
      </c>
      <c r="C1205" s="3" t="inlineStr">
        <is>
          <t>Delivery revenue</t>
        </is>
      </c>
      <c r="D1205" s="217">
        <f>IFERROR(__xludf.DUMMYFUNCTION("GOOGLETRANSLATE(C1205,""vi"",""km"")"),"ប្រាក់ចំណូលពីការដឹកជញ្ជូន")</f>
        <v/>
      </c>
      <c r="E1205" s="3" t="n"/>
      <c r="F1205" s="3" t="inlineStr">
        <is>
          <t>ប្រាក់ចំណូលពីការដឹកជញ្ជូន</t>
        </is>
      </c>
      <c r="G1205" s="3" t="n"/>
      <c r="H1205" s="217" t="inlineStr">
        <is>
          <t>"revenueOutput.revenueDelivery": "ប្រាក់ចំណូលពីការដឹកជញ្ជូន",</t>
        </is>
      </c>
      <c r="I1205" t="inlineStr">
        <is>
          <t>ប្រាក់ចំណូលពីការដឹកជញ្ជូន</t>
        </is>
      </c>
    </row>
    <row r="1206">
      <c r="A1206" s="3" t="inlineStr">
        <is>
          <t>revenueOutput.revenuePickup</t>
        </is>
      </c>
      <c r="B1206" s="3" t="inlineStr">
        <is>
          <t>Doanh thu nhận</t>
        </is>
      </c>
      <c r="C1206" s="3" t="inlineStr">
        <is>
          <t>Pickup revenue</t>
        </is>
      </c>
      <c r="D1206" s="217">
        <f>IFERROR(__xludf.DUMMYFUNCTION("GOOGLETRANSLATE(C1206,""vi"",""km"")"),"ប្រាក់ចំណូលពីការទៅយក")</f>
        <v/>
      </c>
      <c r="E1206" s="3" t="n"/>
      <c r="F1206" s="3" t="inlineStr">
        <is>
          <t>ប្រាក់ចំណូលពីការទៅយក</t>
        </is>
      </c>
      <c r="G1206" s="3" t="n"/>
      <c r="H1206" s="217" t="inlineStr">
        <is>
          <t>"revenueOutput.revenuePickup": "ប្រាក់ចំណូលពីការទៅយក",</t>
        </is>
      </c>
      <c r="I1206" t="inlineStr">
        <is>
          <t>ប្រាក់ចំណូលពីការទៅយក</t>
        </is>
      </c>
    </row>
    <row r="1207">
      <c r="A1207" s="3" t="inlineStr">
        <is>
          <t>revenueOutput.route</t>
        </is>
      </c>
      <c r="B1207" s="3" t="inlineStr">
        <is>
          <t>Tuyến</t>
        </is>
      </c>
      <c r="C1207" s="3" t="inlineStr">
        <is>
          <t>Route</t>
        </is>
      </c>
      <c r="D1207" s="217">
        <f>IFERROR(__xludf.DUMMYFUNCTION("GOOGLETRANSLATE(C1207,""vi"",""km"")"),"ផ្លូវ")</f>
        <v/>
      </c>
      <c r="E1207" s="3" t="n"/>
      <c r="F1207" s="3" t="inlineStr">
        <is>
          <t>ផ្លូវ</t>
        </is>
      </c>
      <c r="G1207" s="3" t="n"/>
      <c r="H1207" s="217" t="inlineStr">
        <is>
          <t>"revenueOutput.route": "ផ្លូវ",</t>
        </is>
      </c>
      <c r="I1207" t="inlineStr">
        <is>
          <t>ផ្លូវ</t>
        </is>
      </c>
    </row>
    <row r="1208">
      <c r="A1208" s="3" t="inlineStr">
        <is>
          <t>revenueOutput.selectParcelType</t>
        </is>
      </c>
      <c r="B1208" s="3" t="inlineStr">
        <is>
          <t>Chọn loại hàng</t>
        </is>
      </c>
      <c r="C1208" s="3" t="inlineStr">
        <is>
          <t>Select</t>
        </is>
      </c>
      <c r="D1208" s="217">
        <f>IFERROR(__xludf.DUMMYFUNCTION("GOOGLETRANSLATE(C1208,""vi"",""km"")"),"តម្រៀប")</f>
        <v/>
      </c>
      <c r="E1208" s="3" t="n"/>
      <c r="F1208" s="3" t="inlineStr">
        <is>
          <t>តម្រៀប</t>
        </is>
      </c>
      <c r="G1208" s="3" t="n"/>
      <c r="H1208" s="217" t="inlineStr">
        <is>
          <t>"revenueOutput.selectParcelType": "តម្រៀប",</t>
        </is>
      </c>
      <c r="I1208" t="inlineStr">
        <is>
          <t>តម្រៀប</t>
        </is>
      </c>
    </row>
    <row r="1209">
      <c r="A1209" s="3" t="inlineStr">
        <is>
          <t>revenueOutput.selectService</t>
        </is>
      </c>
      <c r="B1209" s="3" t="inlineStr">
        <is>
          <t>Chọn mã dịch vụ</t>
        </is>
      </c>
      <c r="C1209" s="3" t="inlineStr">
        <is>
          <t>Select service</t>
        </is>
      </c>
      <c r="D1209" s="217">
        <f>IFERROR(__xludf.DUMMYFUNCTION("GOOGLETRANSLATE(C1209,""vi"",""km"")"),"ជ្រើសរើសសេវាកម្ម")</f>
        <v/>
      </c>
      <c r="E1209" s="3" t="n"/>
      <c r="F1209" s="3" t="inlineStr">
        <is>
          <t>ជ្រើសរើសសេវាកម្ម</t>
        </is>
      </c>
      <c r="G1209" s="3" t="n"/>
      <c r="H1209" s="217" t="inlineStr">
        <is>
          <t>"revenueOutput.selectService": "ជ្រើសរើសសេវាកម្ម",</t>
        </is>
      </c>
      <c r="I1209" t="inlineStr">
        <is>
          <t>ជ្រើសរើសសេវាកម្ម</t>
        </is>
      </c>
    </row>
    <row r="1210">
      <c r="A1210" s="3" t="inlineStr">
        <is>
          <t>revenueOutput.selectStatus</t>
        </is>
      </c>
      <c r="B1210" s="3" t="inlineStr">
        <is>
          <t>Chọn trạng thái</t>
        </is>
      </c>
      <c r="C1210" s="3" t="inlineStr">
        <is>
          <t>Select Status</t>
        </is>
      </c>
      <c r="D1210" s="217">
        <f>IFERROR(__xludf.DUMMYFUNCTION("GOOGLETRANSLATE(C1210,""vi"",""km"")"),"ជ្រើសរើសស្ថានភាព")</f>
        <v/>
      </c>
      <c r="E1210" s="3" t="n"/>
      <c r="F1210" s="3" t="inlineStr">
        <is>
          <t>ជ្រើសរើសស្ថានភាព</t>
        </is>
      </c>
      <c r="G1210" s="3" t="n"/>
      <c r="H1210" s="217" t="inlineStr">
        <is>
          <t>"revenueOutput.selectStatus": "ជ្រើសរើសស្ថានភាព",</t>
        </is>
      </c>
      <c r="I1210" t="inlineStr">
        <is>
          <t>ជ្រើសរើសស្ថានភាព</t>
        </is>
      </c>
    </row>
    <row r="1211">
      <c r="A1211" s="3" t="inlineStr">
        <is>
          <t>revenueOutput.selectTime</t>
        </is>
      </c>
      <c r="B1211" s="3" t="inlineStr">
        <is>
          <t>Chọn thời gian</t>
        </is>
      </c>
      <c r="C1211" s="3" t="inlineStr">
        <is>
          <t>Select time</t>
        </is>
      </c>
      <c r="D1211" s="217">
        <f>IFERROR(__xludf.DUMMYFUNCTION("GOOGLETRANSLATE(C1211,""vi"",""km"")"),"ជ្រើសរើសពេលវេលា")</f>
        <v/>
      </c>
      <c r="E1211" s="3" t="n"/>
      <c r="F1211" s="3" t="inlineStr">
        <is>
          <t>ជ្រើសរើសពេលវេលា</t>
        </is>
      </c>
      <c r="G1211" s="3" t="n"/>
      <c r="H1211" s="217" t="inlineStr">
        <is>
          <t>"revenueOutput.selectTime": "ជ្រើសរើសពេលវេលា",</t>
        </is>
      </c>
      <c r="I1211" t="inlineStr">
        <is>
          <t>ជ្រើសរើសពេលវេលា</t>
        </is>
      </c>
    </row>
    <row r="1212">
      <c r="A1212" s="3" t="inlineStr">
        <is>
          <t>revenueOutput.service</t>
        </is>
      </c>
      <c r="B1212" s="3" t="inlineStr">
        <is>
          <t>Dịch vụ</t>
        </is>
      </c>
      <c r="C1212" s="3" t="inlineStr">
        <is>
          <t>Service</t>
        </is>
      </c>
      <c r="D1212" s="217">
        <f>IFERROR(__xludf.DUMMYFUNCTION("GOOGLETRANSLATE(C1212,""vi"",""km"")"),"សេវាកម្ម")</f>
        <v/>
      </c>
      <c r="E1212" s="3" t="n"/>
      <c r="F1212" s="3" t="inlineStr">
        <is>
          <t>សេវាកម្ម</t>
        </is>
      </c>
      <c r="G1212" s="3" t="n"/>
      <c r="H1212" s="217" t="inlineStr">
        <is>
          <t>"revenueOutput.service": "សេវាកម្ម",</t>
        </is>
      </c>
      <c r="I1212" t="inlineStr">
        <is>
          <t>សេវាកម្ម</t>
        </is>
      </c>
    </row>
    <row r="1213">
      <c r="A1213" s="3" t="inlineStr">
        <is>
          <t>revenueOutput.serviceCode</t>
        </is>
      </c>
      <c r="B1213" s="3" t="inlineStr">
        <is>
          <t>Mã dịch vụ</t>
        </is>
      </c>
      <c r="C1213" s="3" t="inlineStr">
        <is>
          <t>Service</t>
        </is>
      </c>
      <c r="D1213" s="217">
        <f>IFERROR(__xludf.DUMMYFUNCTION("GOOGLETRANSLATE(C1213,""vi"",""km"")"),"សេវាកម្ម")</f>
        <v/>
      </c>
      <c r="E1213" s="3" t="n"/>
      <c r="F1213" s="3" t="inlineStr">
        <is>
          <t>សេវាកម្ម</t>
        </is>
      </c>
      <c r="G1213" s="3" t="n"/>
      <c r="H1213" s="217" t="inlineStr">
        <is>
          <t>"revenueOutput.serviceCode": "សេវាកម្ម",</t>
        </is>
      </c>
      <c r="I1213" t="inlineStr">
        <is>
          <t>សេវាកម្ម</t>
        </is>
      </c>
    </row>
    <row r="1214">
      <c r="A1214" s="3" t="inlineStr">
        <is>
          <t>revenueOutput.startDate</t>
        </is>
      </c>
      <c r="B1214" s="3" t="inlineStr">
        <is>
          <t>Từ ngày</t>
        </is>
      </c>
      <c r="C1214" s="3" t="inlineStr">
        <is>
          <t>Start Date</t>
        </is>
      </c>
      <c r="D1214" s="217">
        <f>IFERROR(__xludf.DUMMYFUNCTION("GOOGLETRANSLATE(C1214,""vi"",""km"")"),"កាលបរិច្ឆេទចាប់ផ្តើម")</f>
        <v/>
      </c>
      <c r="E1214" s="3" t="n"/>
      <c r="F1214" s="3" t="inlineStr">
        <is>
          <t>កាលបរិច្ឆេទចាប់ផ្តើម</t>
        </is>
      </c>
      <c r="G1214" s="3" t="n"/>
      <c r="H1214" s="217" t="inlineStr">
        <is>
          <t>"revenueOutput.startDate": "កាលបរិច្ឆេទចាប់ផ្តើម",</t>
        </is>
      </c>
      <c r="I1214" t="inlineStr">
        <is>
          <t>កាលបរិច្ឆេទចាប់ផ្តើម</t>
        </is>
      </c>
    </row>
    <row r="1215">
      <c r="A1215" s="3" t="inlineStr">
        <is>
          <t>revenueOutput.status</t>
        </is>
      </c>
      <c r="B1215" s="3" t="inlineStr">
        <is>
          <t>Trạng thái</t>
        </is>
      </c>
      <c r="C1215" s="3" t="inlineStr">
        <is>
          <t>Status</t>
        </is>
      </c>
      <c r="D1215" s="217">
        <f>IFERROR(__xludf.DUMMYFUNCTION("GOOGLETRANSLATE(C1215,""vi"",""km"")"),"ស្ថានភាព")</f>
        <v/>
      </c>
      <c r="E1215" s="3" t="n"/>
      <c r="F1215" s="3" t="inlineStr">
        <is>
          <t>ស្ថានភាព</t>
        </is>
      </c>
      <c r="G1215" s="3" t="n"/>
      <c r="H1215" s="217" t="inlineStr">
        <is>
          <t>"revenueOutput.status": "ស្ថានភាព",</t>
        </is>
      </c>
      <c r="I1215" t="inlineStr">
        <is>
          <t>ស្ថានភាព</t>
        </is>
      </c>
    </row>
    <row r="1216">
      <c r="A1216" s="3" t="inlineStr">
        <is>
          <t>serviceCode.calculation</t>
        </is>
      </c>
      <c r="B1216" s="3" t="inlineStr">
        <is>
          <t>Cách tính</t>
        </is>
      </c>
      <c r="C1216" s="3" t="inlineStr">
        <is>
          <t>Calculation</t>
        </is>
      </c>
      <c r="D1216" s="217">
        <f>IFERROR(__xludf.DUMMYFUNCTION("GOOGLETRANSLATE(C1216,""vi"",""km"")"),"ការគណនា")</f>
        <v/>
      </c>
      <c r="E1216" s="3" t="n"/>
      <c r="F1216" s="3" t="inlineStr">
        <is>
          <t>ការគណនា</t>
        </is>
      </c>
      <c r="G1216" s="3" t="n"/>
      <c r="H1216" s="217" t="inlineStr">
        <is>
          <t>"serviceCode.calculation": "ការគណនា",</t>
        </is>
      </c>
      <c r="I1216" t="inlineStr">
        <is>
          <t>ការគណនា</t>
        </is>
      </c>
    </row>
    <row r="1217">
      <c r="A1217" s="3" t="inlineStr">
        <is>
          <t>serviceCode.deliveryZoneType</t>
        </is>
      </c>
      <c r="B1217" s="3" t="inlineStr">
        <is>
          <t>Loại vùng đi</t>
        </is>
      </c>
      <c r="C1217" s="3" t="inlineStr">
        <is>
          <t>Depart zone</t>
        </is>
      </c>
      <c r="D1217" s="217">
        <f>IFERROR(__xludf.DUMMYFUNCTION("GOOGLETRANSLATE(C1217,""vi"",""km"")"),"តំបន់ចេញដំណើរ")</f>
        <v/>
      </c>
      <c r="E1217" s="3" t="n"/>
      <c r="F1217" s="3" t="inlineStr">
        <is>
          <t>តំបន់ចេញដំណើរ</t>
        </is>
      </c>
      <c r="G1217" s="3" t="n"/>
      <c r="H1217" s="217" t="inlineStr">
        <is>
          <t>"serviceCode.deliveryZoneType": "តំបន់ចេញដំណើរ",</t>
        </is>
      </c>
      <c r="I1217" t="inlineStr">
        <is>
          <t>តំបន់ចេញដំណើរ</t>
        </is>
      </c>
    </row>
    <row r="1218">
      <c r="A1218" s="3" t="inlineStr">
        <is>
          <t>serviceCode.formality</t>
        </is>
      </c>
      <c r="B1218" s="3" t="inlineStr">
        <is>
          <t>Hình thức áp dụng</t>
        </is>
      </c>
      <c r="C1218" s="3" t="inlineStr">
        <is>
          <t>Application method</t>
        </is>
      </c>
      <c r="D1218" s="217">
        <f>IFERROR(__xludf.DUMMYFUNCTION("GOOGLETRANSLATE(C1218,""vi"",""km"")"),"វិធីសាស្រ្តដាក់ពាក្យ")</f>
        <v/>
      </c>
      <c r="E1218" s="3" t="n"/>
      <c r="F1218" s="3" t="inlineStr">
        <is>
          <t>វិធីសាស្រ្តដាក់ពាក្យ</t>
        </is>
      </c>
      <c r="G1218" s="3" t="n"/>
      <c r="H1218" s="217" t="inlineStr">
        <is>
          <t>"serviceCode.formality": "វិធីសាស្រ្តដាក់ពាក្យ",</t>
        </is>
      </c>
      <c r="I1218" t="inlineStr">
        <is>
          <t>វិធីសាស្រ្តដាក់ពាក្យ</t>
        </is>
      </c>
    </row>
    <row r="1219">
      <c r="A1219" s="3" t="inlineStr">
        <is>
          <t>serviceCode.modify.KPI</t>
        </is>
      </c>
      <c r="B1219" s="3" t="inlineStr">
        <is>
          <t>Nhóm KPI</t>
        </is>
      </c>
      <c r="C1219" s="3" t="inlineStr">
        <is>
          <t>KPI group</t>
        </is>
      </c>
      <c r="D1219" s="217">
        <f>IFERROR(__xludf.DUMMYFUNCTION("GOOGLETRANSLATE(C1219,""vi"",""km"")"),"ក្រុម KPI")</f>
        <v/>
      </c>
      <c r="E1219" s="3" t="n"/>
      <c r="F1219" s="3" t="inlineStr">
        <is>
          <t>ក្រុម KPI</t>
        </is>
      </c>
      <c r="G1219" s="3" t="n"/>
      <c r="H1219" s="217" t="inlineStr">
        <is>
          <t>"serviceCode.modify.KPI": "ក្រុម KPI",</t>
        </is>
      </c>
      <c r="I1219" t="inlineStr">
        <is>
          <t>ក្រុម KPI</t>
        </is>
      </c>
    </row>
    <row r="1220">
      <c r="A1220" s="3" t="inlineStr">
        <is>
          <t>serviceCode.modify.VAT</t>
        </is>
      </c>
      <c r="B1220" s="3" t="inlineStr">
        <is>
          <t>Thuế VAT</t>
        </is>
      </c>
      <c r="C1220" s="3" t="inlineStr">
        <is>
          <t>VAT 10%</t>
        </is>
      </c>
      <c r="D1220" s="217">
        <f>IFERROR(__xludf.DUMMYFUNCTION("GOOGLETRANSLATE(C1220,""vi"",""km"")"),"អាករលើតម្លៃបន្ថែម ១០%")</f>
        <v/>
      </c>
      <c r="E1220" s="3" t="n"/>
      <c r="F1220" s="3" t="inlineStr">
        <is>
          <t>អាករលើតម្លៃបន្ថែម ១០%</t>
        </is>
      </c>
      <c r="G1220" s="3" t="n"/>
      <c r="H1220" s="217" t="inlineStr">
        <is>
          <t>"serviceCode.modify.VAT": "អាករលើតម្លៃបន្ថែម ១០%",</t>
        </is>
      </c>
      <c r="I1220" t="inlineStr">
        <is>
          <t>អាករលើតម្លៃបន្ថែម ១០%</t>
        </is>
      </c>
    </row>
    <row r="1221">
      <c r="A1221" s="3" t="inlineStr">
        <is>
          <t>serviceCode.modify.caculationPrice</t>
        </is>
      </c>
      <c r="B1221" s="3" t="inlineStr">
        <is>
          <t>Cách tính giá</t>
        </is>
      </c>
      <c r="C1221" s="3" t="inlineStr">
        <is>
          <t>Pricing method</t>
        </is>
      </c>
      <c r="D1221" s="217">
        <f>IFERROR(__xludf.DUMMYFUNCTION("GOOGLETRANSLATE(C1221,""vi"",""km"")"),"តម្លៃ")</f>
        <v/>
      </c>
      <c r="E1221" s="3" t="n"/>
      <c r="F1221" s="3" t="inlineStr">
        <is>
          <t>តម្លៃ</t>
        </is>
      </c>
      <c r="G1221" s="3" t="n"/>
      <c r="H1221" s="217" t="inlineStr">
        <is>
          <t>"serviceCode.modify.caculationPrice": "តម្លៃ",</t>
        </is>
      </c>
      <c r="I1221" t="inlineStr">
        <is>
          <t>តម្លៃ</t>
        </is>
      </c>
    </row>
    <row r="1222">
      <c r="A1222" s="3" t="inlineStr">
        <is>
          <t>serviceCode.modify.calculation</t>
        </is>
      </c>
      <c r="B1222" s="3" t="inlineStr">
        <is>
          <t>Cách tính</t>
        </is>
      </c>
      <c r="C1222" s="3" t="inlineStr">
        <is>
          <t>Calculation method</t>
        </is>
      </c>
      <c r="D1222" s="217">
        <f>IFERROR(__xludf.DUMMYFUNCTION("GOOGLETRANSLATE(C1222,""vi"",""km"")"),"វិធីសាស្ត្រគណនា")</f>
        <v/>
      </c>
      <c r="E1222" s="3" t="n"/>
      <c r="F1222" s="3" t="inlineStr">
        <is>
          <t>វិធីសាស្ត្រគណនា</t>
        </is>
      </c>
      <c r="G1222" s="3" t="n"/>
      <c r="H1222" s="217" t="inlineStr">
        <is>
          <t>"serviceCode.modify.calculation": "វិធីសាស្ត្រគណនា",</t>
        </is>
      </c>
      <c r="I1222" t="inlineStr">
        <is>
          <t>វិធីសាស្ត្រគណនា</t>
        </is>
      </c>
    </row>
    <row r="1223">
      <c r="A1223" s="3" t="inlineStr">
        <is>
          <t>serviceCode.modify.containsSpecialCharacters</t>
        </is>
      </c>
      <c r="B1223" s="3" t="inlineStr">
        <is>
          <t>không được chứa ký tự đặc biệt</t>
        </is>
      </c>
      <c r="C1223" s="3" t="inlineStr">
        <is>
          <t>Special characters are not allowed</t>
        </is>
      </c>
      <c r="D1223" s="217">
        <f>IFERROR(__xludf.DUMMYFUNCTION("GOOGLETRANSLATE(C1223,""vi"",""km"")"),"មិនអនុញ្ញាតឲ្យមានតួអក្សរពិសេសទេ")</f>
        <v/>
      </c>
      <c r="E1223" s="3" t="n"/>
      <c r="F1223" s="3" t="inlineStr">
        <is>
          <t>មិនអនុញ្ញាតឲ្យមានតួអក្សរពិសេសទេ</t>
        </is>
      </c>
      <c r="G1223" s="3" t="n"/>
      <c r="H1223" s="217" t="inlineStr">
        <is>
          <t>"serviceCode.modify.containsSpecialCharacters": "មិនអនុញ្ញាតឲ្យមានតួអក្សរពិសេសទេ",</t>
        </is>
      </c>
      <c r="I1223" t="inlineStr">
        <is>
          <t>មិនអនុញ្ញាតឲ្យមានតួអក្សរពិសេសទេ</t>
        </is>
      </c>
    </row>
    <row r="1224">
      <c r="A1224" s="3" t="inlineStr">
        <is>
          <t>serviceCode.modify.convertedWeight</t>
        </is>
      </c>
      <c r="B1224" s="3" t="inlineStr">
        <is>
          <t>Tham số trọng lượng quy đổi</t>
        </is>
      </c>
      <c r="C1224" s="3" t="inlineStr">
        <is>
          <t>Weight conversion parameter</t>
        </is>
      </c>
      <c r="D1224" s="217">
        <f>IFERROR(__xludf.DUMMYFUNCTION("GOOGLETRANSLATE(C1224,""vi"",""km"")"),"ប៉ារ៉ាម៉ែត្របម្លែងទម្ងន់")</f>
        <v/>
      </c>
      <c r="E1224" s="3" t="n"/>
      <c r="F1224" s="3" t="inlineStr">
        <is>
          <t>ប៉ារ៉ាម៉ែត្របម្លែងទម្ងន់</t>
        </is>
      </c>
      <c r="G1224" s="3" t="n"/>
      <c r="H1224" s="217" t="inlineStr">
        <is>
          <t>"serviceCode.modify.convertedWeight": "ប៉ារ៉ាម៉ែត្របម្លែងទម្ងន់",</t>
        </is>
      </c>
      <c r="I1224" t="inlineStr">
        <is>
          <t>ប៉ារ៉ាម៉ែត្របម្លែងទម្ងន់</t>
        </is>
      </c>
    </row>
    <row r="1225">
      <c r="A1225" s="3" t="inlineStr">
        <is>
          <t>serviceCode.modify.formality</t>
        </is>
      </c>
      <c r="B1225" s="3" t="inlineStr">
        <is>
          <t>Hình thức áp dụng</t>
        </is>
      </c>
      <c r="C1225" s="3" t="inlineStr">
        <is>
          <t>Application form</t>
        </is>
      </c>
      <c r="D1225" s="217">
        <f>IFERROR(__xludf.DUMMYFUNCTION("GOOGLETRANSLATE(C1225,""vi"",""km"")"),"ទម្រង់បែបបទដាក់ពាក្យ")</f>
        <v/>
      </c>
      <c r="E1225" s="3" t="n"/>
      <c r="F1225" s="3" t="inlineStr">
        <is>
          <t>ទម្រង់បែបបទដាក់ពាក្យ</t>
        </is>
      </c>
      <c r="G1225" s="3" t="n"/>
      <c r="H1225" s="217" t="inlineStr">
        <is>
          <t>"serviceCode.modify.formality": "ទម្រង់បែបបទដាក់ពាក្យ",</t>
        </is>
      </c>
      <c r="I1225" t="inlineStr">
        <is>
          <t>ទម្រង់បែបបទដាក់ពាក្យ</t>
        </is>
      </c>
    </row>
    <row r="1226">
      <c r="A1226" s="3" t="inlineStr">
        <is>
          <t>serviceCode.modify.max100</t>
        </is>
      </c>
      <c r="B1226" s="3" t="inlineStr">
        <is>
          <t>tối đa 100 ký tự</t>
        </is>
      </c>
      <c r="C1226" s="3" t="inlineStr">
        <is>
          <t>Maximum 100 characters</t>
        </is>
      </c>
      <c r="D1226" s="217">
        <f>IFERROR(__xludf.DUMMYFUNCTION("GOOGLETRANSLATE(C1226,""vi"",""km"")"),"អតិបរមា ១០០ តួអក្សរ")</f>
        <v/>
      </c>
      <c r="E1226" s="3" t="n"/>
      <c r="F1226" s="3" t="inlineStr">
        <is>
          <t>អតិបរមា ១០០ តួអក្សរ</t>
        </is>
      </c>
      <c r="G1226" s="3" t="n"/>
      <c r="H1226" s="217" t="inlineStr">
        <is>
          <t>"serviceCode.modify.max100": "អតិបរមា ១០០ តួអក្សរ",</t>
        </is>
      </c>
      <c r="I1226" t="inlineStr">
        <is>
          <t>អតិបរមា ១០០ តួអក្សរ</t>
        </is>
      </c>
    </row>
    <row r="1227">
      <c r="A1227" s="3" t="inlineStr">
        <is>
          <t>serviceCode.modify.onlyNumber</t>
        </is>
      </c>
      <c r="B1227" s="3" t="inlineStr">
        <is>
          <t>chỉ nhập số</t>
        </is>
      </c>
      <c r="C1227" s="3" t="inlineStr">
        <is>
          <t>Numbers only</t>
        </is>
      </c>
      <c r="D1227" s="217">
        <f>IFERROR(__xludf.DUMMYFUNCTION("GOOGLETRANSLATE(C1227,""vi"",""km"")"),"លេខតែប៉ុណ្ណោះ")</f>
        <v/>
      </c>
      <c r="E1227" s="3" t="n"/>
      <c r="F1227" s="3" t="inlineStr">
        <is>
          <t>លេខតែប៉ុណ្ណោះ</t>
        </is>
      </c>
      <c r="G1227" s="3" t="n"/>
      <c r="H1227" s="217" t="inlineStr">
        <is>
          <t>"serviceCode.modify.onlyNumber": "លេខតែប៉ុណ្ណោះ",</t>
        </is>
      </c>
      <c r="I1227" t="inlineStr">
        <is>
          <t>លេខតែប៉ុណ្ណោះ</t>
        </is>
      </c>
    </row>
    <row r="1228">
      <c r="A1228" s="3" t="inlineStr">
        <is>
          <t>serviceCode.modify.scope</t>
        </is>
      </c>
      <c r="B1228" s="3" t="inlineStr">
        <is>
          <t>Phạm vi áp dụng</t>
        </is>
      </c>
      <c r="C1228" s="3" t="inlineStr">
        <is>
          <t>Scope of application</t>
        </is>
      </c>
      <c r="D1228" s="217">
        <f>IFERROR(__xludf.DUMMYFUNCTION("GOOGLETRANSLATE(C1228,""vi"",""km"")"),"វិសាលភាពនៃការអនុវត្ត")</f>
        <v/>
      </c>
      <c r="E1228" s="3" t="n"/>
      <c r="F1228" s="3" t="inlineStr">
        <is>
          <t>វិសាលភាពនៃការអនុវត្ត</t>
        </is>
      </c>
      <c r="G1228" s="3" t="n"/>
      <c r="H1228" s="217" t="inlineStr">
        <is>
          <t>"serviceCode.modify.scope": "វិសាលភាពនៃការអនុវត្ត",</t>
        </is>
      </c>
      <c r="I1228" t="inlineStr">
        <is>
          <t>វិសាលភាពនៃការអនុវត្ត</t>
        </is>
      </c>
    </row>
    <row r="1229">
      <c r="A1229" s="3" t="inlineStr">
        <is>
          <t>serviceCode.receivingZoneType</t>
        </is>
      </c>
      <c r="B1229" s="3" t="inlineStr">
        <is>
          <t>Loại vùng đến</t>
        </is>
      </c>
      <c r="C1229" s="3" t="inlineStr">
        <is>
          <t>Arrival zone</t>
        </is>
      </c>
      <c r="D1229" s="217">
        <f>IFERROR(__xludf.DUMMYFUNCTION("GOOGLETRANSLATE(C1229,""vi"",""km"")"),"តំបន់ចេញ")</f>
        <v/>
      </c>
      <c r="E1229" s="3" t="n"/>
      <c r="F1229" s="3" t="inlineStr">
        <is>
          <t>តំបន់ចេញ</t>
        </is>
      </c>
      <c r="G1229" s="3" t="n"/>
      <c r="H1229" s="217" t="inlineStr">
        <is>
          <t>"serviceCode.receivingZoneType": "តំបន់ចេញ",</t>
        </is>
      </c>
      <c r="I1229" t="inlineStr">
        <is>
          <t>តំបន់ចេញ</t>
        </is>
      </c>
    </row>
    <row r="1230">
      <c r="A1230" s="3" t="inlineStr">
        <is>
          <t>serviceCode.serviceCode</t>
        </is>
      </c>
      <c r="B1230" s="3" t="inlineStr">
        <is>
          <t>Mã dịch vụ</t>
        </is>
      </c>
      <c r="C1230" s="3" t="inlineStr">
        <is>
          <t>Service Code</t>
        </is>
      </c>
      <c r="D1230" s="217">
        <f>IFERROR(__xludf.DUMMYFUNCTION("GOOGLETRANSLATE(C1230,""vi"",""km"")"),"លេខកូដសេវាកម្ម")</f>
        <v/>
      </c>
      <c r="E1230" s="3" t="n"/>
      <c r="F1230" s="3" t="inlineStr">
        <is>
          <t>លេខកូដសេវាកម្ម</t>
        </is>
      </c>
      <c r="G1230" s="3" t="n"/>
      <c r="H1230" s="217" t="inlineStr">
        <is>
          <t>"serviceCode.serviceCode": "លេខកូដសេវាកម្ម",</t>
        </is>
      </c>
      <c r="I1230" t="inlineStr">
        <is>
          <t>លេខកូដសេវាកម្ម</t>
        </is>
      </c>
    </row>
    <row r="1231">
      <c r="A1231" s="3" t="inlineStr">
        <is>
          <t>serviceCode.serviceName</t>
        </is>
      </c>
      <c r="B1231" s="3" t="inlineStr">
        <is>
          <t>Tên dịch vụ</t>
        </is>
      </c>
      <c r="C1231" s="3" t="inlineStr">
        <is>
          <t>Service name</t>
        </is>
      </c>
      <c r="D1231" s="217">
        <f>IFERROR(__xludf.DUMMYFUNCTION("GOOGLETRANSLATE(C1231,""vi"",""km"")"),"ឈ្មោះសេវាកម្ម")</f>
        <v/>
      </c>
      <c r="E1231" s="3" t="n"/>
      <c r="F1231" s="3" t="inlineStr">
        <is>
          <t>ឈ្មោះសេវាកម្ម</t>
        </is>
      </c>
      <c r="G1231" s="3" t="n"/>
      <c r="H1231" s="217" t="inlineStr">
        <is>
          <t>"serviceCode.serviceName": "ឈ្មោះសេវាកម្ម",</t>
        </is>
      </c>
      <c r="I1231" t="inlineStr">
        <is>
          <t>ឈ្មោះសេវាកម្ម</t>
        </is>
      </c>
    </row>
    <row r="1232">
      <c r="A1232" s="3" t="inlineStr">
        <is>
          <t>serviceCode.status</t>
        </is>
      </c>
      <c r="B1232" s="3" t="inlineStr">
        <is>
          <t>Trạng thái</t>
        </is>
      </c>
      <c r="C1232" s="3" t="inlineStr">
        <is>
          <t>Status</t>
        </is>
      </c>
      <c r="D1232" s="217">
        <f>IFERROR(__xludf.DUMMYFUNCTION("GOOGLETRANSLATE(C1232,""vi"",""km"")"),"ស្ថានភាព")</f>
        <v/>
      </c>
      <c r="E1232" s="3" t="n"/>
      <c r="F1232" s="3" t="inlineStr">
        <is>
          <t>ស្ថានភាព</t>
        </is>
      </c>
      <c r="G1232" s="3" t="n"/>
      <c r="H1232" s="217" t="inlineStr">
        <is>
          <t>"serviceCode.status": "ស្ថានភាព",</t>
        </is>
      </c>
      <c r="I1232" t="inlineStr">
        <is>
          <t>ស្ថានភាព</t>
        </is>
      </c>
    </row>
    <row r="1233">
      <c r="A1233" s="3" t="inlineStr">
        <is>
          <t>serviceCode.total</t>
        </is>
      </c>
      <c r="B1233" s="3" t="inlineStr">
        <is>
          <t>Tổng đơn hàng</t>
        </is>
      </c>
      <c r="C1233" s="3" t="inlineStr">
        <is>
          <t>Total</t>
        </is>
      </c>
      <c r="D1233" s="217">
        <f>IFERROR(__xludf.DUMMYFUNCTION("GOOGLETRANSLATE(C1233,""vi"",""km"")"),"សរុប")</f>
        <v/>
      </c>
      <c r="E1233" s="3" t="n"/>
      <c r="F1233" s="3" t="inlineStr">
        <is>
          <t>សរុប</t>
        </is>
      </c>
      <c r="G1233" s="3" t="n"/>
      <c r="H1233" s="217" t="inlineStr">
        <is>
          <t>"serviceCode.total": "សរុប",</t>
        </is>
      </c>
      <c r="I1233" t="inlineStr">
        <is>
          <t>សរុប</t>
        </is>
      </c>
    </row>
    <row r="1234">
      <c r="A1234" s="3" t="inlineStr">
        <is>
          <t>serviceCode.vat</t>
        </is>
      </c>
      <c r="B1234" s="3" t="inlineStr">
        <is>
          <t>Thuế VAT(%)</t>
        </is>
      </c>
      <c r="C1234" s="3" t="inlineStr">
        <is>
          <t>VAT (%)</t>
        </is>
      </c>
      <c r="D1234" s="217">
        <f>IFERROR(__xludf.DUMMYFUNCTION("GOOGLETRANSLATE(C1234,""vi"",""km"")"),"អាករលើតម្លៃបន្ថែម (%)")</f>
        <v/>
      </c>
      <c r="E1234" s="3" t="n"/>
      <c r="F1234" s="3" t="inlineStr">
        <is>
          <t>អាករលើតម្លៃបន្ថែម (%)</t>
        </is>
      </c>
      <c r="G1234" s="3" t="n"/>
      <c r="H1234" s="217" t="inlineStr">
        <is>
          <t>"serviceCode.vat": "អាករលើតម្លៃបន្ថែម (%)",</t>
        </is>
      </c>
      <c r="I1234" t="inlineStr">
        <is>
          <t>អាករលើតម្លៃបន្ថែម (%)</t>
        </is>
      </c>
    </row>
    <row r="1235">
      <c r="A1235" s="3" t="inlineStr">
        <is>
          <t>serviceGroup.createGroup</t>
        </is>
      </c>
      <c r="B1235" s="3" t="inlineStr">
        <is>
          <t>Thêm mới nhóm dịch vụ</t>
        </is>
      </c>
      <c r="C1235" s="3" t="inlineStr">
        <is>
          <t>Create service group</t>
        </is>
      </c>
      <c r="D1235" s="217">
        <f>IFERROR(__xludf.DUMMYFUNCTION("GOOGLETRANSLATE(C1235,""vi"",""km"")"),"បង្កើតក្រុមសេវាកម្ម")</f>
        <v/>
      </c>
      <c r="E1235" s="3" t="n"/>
      <c r="F1235" s="3" t="inlineStr">
        <is>
          <t>បង្កើតក្រុមសេវាកម្ម</t>
        </is>
      </c>
      <c r="G1235" s="3" t="n"/>
      <c r="H1235" s="217" t="inlineStr">
        <is>
          <t>"serviceGroup.createGroup": "បង្កើតក្រុមសេវាកម្ម",</t>
        </is>
      </c>
      <c r="I1235" t="inlineStr">
        <is>
          <t>បង្កើតក្រុមសេវាកម្ម</t>
        </is>
      </c>
    </row>
    <row r="1236">
      <c r="A1236" s="3" t="inlineStr">
        <is>
          <t>serviceGroup.groupName</t>
        </is>
      </c>
      <c r="B1236" s="3" t="inlineStr">
        <is>
          <t>Tên nhóm dịch vụ</t>
        </is>
      </c>
      <c r="C1236" s="3" t="inlineStr">
        <is>
          <t>Service group name</t>
        </is>
      </c>
      <c r="D1236" s="217">
        <f>IFERROR(__xludf.DUMMYFUNCTION("GOOGLETRANSLATE(C1236,""vi"",""km"")"),"ឈ្មោះក្រុមសេវាកម្ម")</f>
        <v/>
      </c>
      <c r="E1236" s="3" t="n"/>
      <c r="F1236" s="3" t="inlineStr">
        <is>
          <t>ឈ្មោះក្រុមសេវាកម្ម</t>
        </is>
      </c>
      <c r="G1236" s="3" t="n"/>
      <c r="H1236" s="217" t="inlineStr">
        <is>
          <t>"serviceGroup.groupName": "ឈ្មោះក្រុមសេវាកម្ម",</t>
        </is>
      </c>
      <c r="I1236" t="inlineStr">
        <is>
          <t>ឈ្មោះក្រុមសេវាកម្ម</t>
        </is>
      </c>
    </row>
    <row r="1237">
      <c r="A1237" s="3" t="inlineStr">
        <is>
          <t>serviceGroup.informationServiceGroup</t>
        </is>
      </c>
      <c r="B1237" s="3" t="inlineStr">
        <is>
          <t>Thông tin nhóm dịch vụ</t>
        </is>
      </c>
      <c r="C1237" s="3" t="inlineStr">
        <is>
          <t>Service group information</t>
        </is>
      </c>
      <c r="D1237" s="217">
        <f>IFERROR(__xludf.DUMMYFUNCTION("GOOGLETRANSLATE(C1237,""vi"",""km"")"),"ព័ត៌មានក្រុមសេវាកម្ម")</f>
        <v/>
      </c>
      <c r="E1237" s="3" t="n"/>
      <c r="F1237" s="3" t="inlineStr">
        <is>
          <t>ព័ត៌មានក្រុមសេវាកម្ម</t>
        </is>
      </c>
      <c r="G1237" s="3" t="n"/>
      <c r="H1237" s="217" t="inlineStr">
        <is>
          <t>"serviceGroup.informationServiceGroup": "ព័ត៌មានក្រុមសេវាកម្ម",</t>
        </is>
      </c>
      <c r="I1237" t="inlineStr">
        <is>
          <t>ព័ត៌មានក្រុមសេវាកម្ម</t>
        </is>
      </c>
    </row>
    <row r="1238">
      <c r="A1238" s="3" t="inlineStr">
        <is>
          <t>serviceGroup.listService</t>
        </is>
      </c>
      <c r="B1238" s="3" t="inlineStr">
        <is>
          <t>Danh sách dịch vụ</t>
        </is>
      </c>
      <c r="C1238" s="3" t="inlineStr">
        <is>
          <t>Service list</t>
        </is>
      </c>
      <c r="D1238" s="217">
        <f>IFERROR(__xludf.DUMMYFUNCTION("GOOGLETRANSLATE(C1238,""vi"",""km"")"),"បញ្ជីសេវាកម្ម")</f>
        <v/>
      </c>
      <c r="E1238" s="3" t="n"/>
      <c r="F1238" s="3" t="inlineStr">
        <is>
          <t>បញ្ជីសេវាកម្ម</t>
        </is>
      </c>
      <c r="G1238" s="3" t="n"/>
      <c r="H1238" s="217" t="inlineStr">
        <is>
          <t>"serviceGroup.listService": "បញ្ជីសេវាកម្ម",</t>
        </is>
      </c>
      <c r="I1238" t="inlineStr">
        <is>
          <t>បញ្ជីសេវាកម្ម</t>
        </is>
      </c>
    </row>
    <row r="1239">
      <c r="A1239" s="3" t="inlineStr">
        <is>
          <t>serviceGroup.listServiceAssignGroup</t>
        </is>
      </c>
      <c r="B1239" s="3" t="inlineStr">
        <is>
          <t>Danh sách dịch vụ gán cho loại bảng giá</t>
        </is>
      </c>
      <c r="C1239" s="3" t="inlineStr">
        <is>
          <t>Service list assign pricing table</t>
        </is>
      </c>
      <c r="D1239" s="217">
        <f>IFERROR(__xludf.DUMMYFUNCTION("GOOGLETRANSLATE(C1239,""vi"",""km"")"),"តារាងកំណត់តម្លៃសម្រាប់បញ្ជីសេវាកម្ម")</f>
        <v/>
      </c>
      <c r="E1239" s="3" t="n"/>
      <c r="F1239" s="3" t="inlineStr">
        <is>
          <t>តារាងកំណត់តម្លៃសម្រាប់បញ្ជីសេវាកម្ម</t>
        </is>
      </c>
      <c r="G1239" s="3" t="n"/>
      <c r="H1239" s="217" t="inlineStr">
        <is>
          <t>"serviceGroup.listServiceAssignGroup": "តារាងកំណត់តម្លៃសម្រាប់បញ្ជីសេវាកម្ម",</t>
        </is>
      </c>
      <c r="I1239" t="inlineStr">
        <is>
          <t>តារាងកំណត់តម្លៃសម្រាប់បញ្ជីសេវាកម្ម</t>
        </is>
      </c>
    </row>
    <row r="1240">
      <c r="A1240" s="3" t="inlineStr">
        <is>
          <t>serviceGroup.nameServiceGroup</t>
        </is>
      </c>
      <c r="B1240" s="3" t="inlineStr">
        <is>
          <t>Tên nhóm dịch vụ</t>
        </is>
      </c>
      <c r="C1240" s="3" t="inlineStr">
        <is>
          <t>Service group name</t>
        </is>
      </c>
      <c r="D1240" s="217">
        <f>IFERROR(__xludf.DUMMYFUNCTION("GOOGLETRANSLATE(C1240,""vi"",""km"")"),"ឈ្មោះក្រុមសេវាកម្ម")</f>
        <v/>
      </c>
      <c r="E1240" s="3" t="n"/>
      <c r="F1240" s="3" t="inlineStr">
        <is>
          <t>ឈ្មោះក្រុមសេវាកម្ម</t>
        </is>
      </c>
      <c r="G1240" s="3" t="n"/>
      <c r="H1240" s="217" t="inlineStr">
        <is>
          <t>"serviceGroup.nameServiceGroup": "ឈ្មោះក្រុមសេវាកម្ម",</t>
        </is>
      </c>
      <c r="I1240" t="inlineStr">
        <is>
          <t>ឈ្មោះក្រុមសេវាកម្ម</t>
        </is>
      </c>
    </row>
    <row r="1241">
      <c r="A1241" s="3" t="inlineStr">
        <is>
          <t>shift.active</t>
        </is>
      </c>
      <c r="B1241" s="3" t="inlineStr">
        <is>
          <t>Hoạt động</t>
        </is>
      </c>
      <c r="C1241" s="3" t="inlineStr">
        <is>
          <t>Active</t>
        </is>
      </c>
      <c r="D1241" s="217">
        <f>IFERROR(__xludf.DUMMYFUNCTION("GOOGLETRANSLATE(C1241,""vi"",""km"")"),"សកម្ម")</f>
        <v/>
      </c>
      <c r="E1241" s="3" t="n"/>
      <c r="F1241" s="3" t="inlineStr">
        <is>
          <t>ដំណើរការ</t>
        </is>
      </c>
      <c r="G1241" s="3" t="n"/>
      <c r="H1241" s="217" t="inlineStr">
        <is>
          <t>"shift.active": "ដំណើរការ",</t>
        </is>
      </c>
      <c r="I1241" t="inlineStr">
        <is>
          <t>ដំណើរការ</t>
        </is>
      </c>
    </row>
    <row r="1242">
      <c r="A1242" s="3" t="inlineStr">
        <is>
          <t>shift.createShift</t>
        </is>
      </c>
      <c r="B1242" s="3" t="inlineStr">
        <is>
          <t>Thêm mới ca làm việc</t>
        </is>
      </c>
      <c r="C1242" s="3" t="inlineStr">
        <is>
          <t>Create new shift</t>
        </is>
      </c>
      <c r="D1242" s="217">
        <f>IFERROR(__xludf.DUMMYFUNCTION("GOOGLETRANSLATE(C1242,""vi"",""km"")"),"បង្កើតវេនថ្មី")</f>
        <v/>
      </c>
      <c r="E1242" s="3" t="n"/>
      <c r="F1242" s="3" t="inlineStr">
        <is>
          <t>បង្កើតវេនថ្មី</t>
        </is>
      </c>
      <c r="G1242" s="3" t="n"/>
      <c r="H1242" s="217" t="inlineStr">
        <is>
          <t>"shift.createShift": "បង្កើតវេនថ្មី",</t>
        </is>
      </c>
      <c r="I1242" t="inlineStr">
        <is>
          <t>បង្កើតវេនថ្មី</t>
        </is>
      </c>
    </row>
    <row r="1243">
      <c r="A1243" s="3" t="inlineStr">
        <is>
          <t>shift.finishTime</t>
        </is>
      </c>
      <c r="B1243" s="3" t="inlineStr">
        <is>
          <t>Giờ kết thúc</t>
        </is>
      </c>
      <c r="C1243" s="3" t="inlineStr">
        <is>
          <t>End hour</t>
        </is>
      </c>
      <c r="D1243" s="217">
        <f>IFERROR(__xludf.DUMMYFUNCTION("GOOGLETRANSLATE(C1243,""vi"",""km"")"),"ចប់ម៉ោង")</f>
        <v/>
      </c>
      <c r="E1243" s="3" t="n"/>
      <c r="F1243" s="3" t="inlineStr">
        <is>
          <t>ចប់ម៉ោង</t>
        </is>
      </c>
      <c r="G1243" s="3" t="n"/>
      <c r="H1243" s="217" t="inlineStr">
        <is>
          <t>"shift.finishTime": "ចប់ម៉ោង",</t>
        </is>
      </c>
      <c r="I1243" t="inlineStr">
        <is>
          <t>ចប់ម៉ោង</t>
        </is>
      </c>
    </row>
    <row r="1244">
      <c r="A1244" s="3" t="inlineStr">
        <is>
          <t>shift.inactive</t>
        </is>
      </c>
      <c r="B1244" s="3" t="inlineStr">
        <is>
          <t>Không hoạt động</t>
        </is>
      </c>
      <c r="C1244" s="3" t="inlineStr">
        <is>
          <t>InActive</t>
        </is>
      </c>
      <c r="D1244" s="217">
        <f>IFERROR(__xludf.DUMMYFUNCTION("GOOGLETRANSLATE(C1244,""vi"",""km"")"),"អសកម្ម")</f>
        <v/>
      </c>
      <c r="E1244" s="3" t="n"/>
      <c r="F1244" s="3" t="inlineStr">
        <is>
          <t>អសកម្ម</t>
        </is>
      </c>
      <c r="G1244" s="3" t="n"/>
      <c r="H1244" s="217" t="inlineStr">
        <is>
          <t>"shift.inactive": "អសកម្ម",</t>
        </is>
      </c>
      <c r="I1244" t="inlineStr">
        <is>
          <t>អសកម្ម</t>
        </is>
      </c>
    </row>
    <row r="1245">
      <c r="A1245" s="3" t="inlineStr">
        <is>
          <t>shift.lockTitle</t>
        </is>
      </c>
      <c r="B1245" s="3" t="inlineStr">
        <is>
          <t>Khóa/mở ca làm việc</t>
        </is>
      </c>
      <c r="C1245" s="3" t="inlineStr">
        <is>
          <t>Lock/unlock working shift</t>
        </is>
      </c>
      <c r="D1245" s="217">
        <f>IFERROR(__xludf.DUMMYFUNCTION("GOOGLETRANSLATE(C1245,""vi"",""km"")"),"ចាក់សោ/ដោះសោរវេនធ្វើការ")</f>
        <v/>
      </c>
      <c r="E1245" s="3" t="n"/>
      <c r="F1245" s="3" t="inlineStr">
        <is>
          <t>ចាក់សោ/ដោះសោរវេនធ្វើការ</t>
        </is>
      </c>
      <c r="G1245" s="3" t="n"/>
      <c r="H1245" s="217" t="inlineStr">
        <is>
          <t>"shift.lockTitle": "ចាក់សោ/ដោះសោរវេនធ្វើការ",</t>
        </is>
      </c>
      <c r="I1245" t="inlineStr">
        <is>
          <t>ចាក់សោ/ដោះសោរវេនធ្វើការ</t>
        </is>
      </c>
    </row>
    <row r="1246">
      <c r="A1246" s="3" t="inlineStr">
        <is>
          <t>shift.lockUnlock</t>
        </is>
      </c>
      <c r="B1246" s="3" t="inlineStr">
        <is>
          <t>Bạn có chắc chắn muốn khóa/mở ca làm việc hay không?</t>
        </is>
      </c>
      <c r="C1246" s="3" t="inlineStr">
        <is>
          <t>Are you sure to lock/unlock working shift?</t>
        </is>
      </c>
      <c r="D1246" s="217">
        <f>IFERROR(__xludf.DUMMYFUNCTION("GOOGLETRANSLATE(C1246,""vi"",""km"")"),"តើអ្នកប្រាកដទេថាចង់ចាក់សោ/ដោះសោរពេលធ្វើការ?")</f>
        <v/>
      </c>
      <c r="E1246" s="3" t="n"/>
      <c r="F1246" s="3" t="inlineStr">
        <is>
          <t>តើអ្នកប្រាកដទេថាចង់ចាក់សោ/ដោះសោរពេលធ្វើការ?</t>
        </is>
      </c>
      <c r="G1246" s="3" t="n"/>
      <c r="H1246" s="217" t="inlineStr">
        <is>
          <t>"shift.lockUnlock": "តើអ្នកប្រាកដទេថាចង់ចាក់សោ/ដោះសោរពេលធ្វើការ?",</t>
        </is>
      </c>
      <c r="I1246" t="inlineStr">
        <is>
          <t>តើអ្នកប្រាកដទេថាចង់ចាក់សោ/ដោះសោរពេលធ្វើការ?</t>
        </is>
      </c>
    </row>
    <row r="1247">
      <c r="A1247" s="3" t="inlineStr">
        <is>
          <t>shift.modify.containsSpecialCharacters</t>
        </is>
      </c>
      <c r="B1247" s="3" t="inlineStr">
        <is>
          <t>Tên ca không được chứa ký tự đặc biệt</t>
        </is>
      </c>
      <c r="C1247" s="3" t="inlineStr">
        <is>
          <t>Not allow for using special characters in Shift name</t>
        </is>
      </c>
      <c r="D1247" s="217">
        <f>IFERROR(__xludf.DUMMYFUNCTION("GOOGLETRANSLATE(C1247,""vi"",""km"")"),"មិនអនុញ្ញាតឱ្យប្រើតួអក្សរពិសេសនៅក្នុងឈ្មោះ Shift ទេ")</f>
        <v/>
      </c>
      <c r="E1247" s="3" t="n"/>
      <c r="F1247" s="3" t="inlineStr">
        <is>
          <t>ឈ្មោះវេនការងារមិនអាចមានតួអក្សរពិសេសទេ</t>
        </is>
      </c>
      <c r="G1247" s="3" t="n"/>
      <c r="H1247" s="217" t="inlineStr">
        <is>
          <t>"shift.modify.containsSpecialCharacters": "ឈ្មោះវេនការងារមិនអាចមានតួអក្សរពិសេសទេ",</t>
        </is>
      </c>
      <c r="I1247" t="inlineStr">
        <is>
          <t>ឈ្មោះវេនការងារមិនអាចមានតួអក្សរពិសេសទេ</t>
        </is>
      </c>
    </row>
    <row r="1248">
      <c r="A1248" s="3" t="inlineStr">
        <is>
          <t>shift.modify.empty</t>
        </is>
      </c>
      <c r="B1248" s="3" t="inlineStr">
        <is>
          <t>Tên ca làm việc sai định dạng</t>
        </is>
      </c>
      <c r="C1248" s="3" t="inlineStr">
        <is>
          <t>The shift name was entered in the wrong format</t>
        </is>
      </c>
      <c r="D1248" s="217">
        <f>IFERROR(__xludf.DUMMYFUNCTION("GOOGLETRANSLATE(C1248,""vi"",""km"")"),"ឈ្មោះវេនត្រូវបានបញ្ចូលក្នុងទម្រង់ខុស")</f>
        <v/>
      </c>
      <c r="E1248" s="3" t="n"/>
      <c r="F1248" s="3" t="inlineStr">
        <is>
          <t>ឈ្មោះវេនត្រូវបានបញ្ចូលក្នុងទម្រង់ខុស</t>
        </is>
      </c>
      <c r="G1248" s="3" t="n"/>
      <c r="H1248" s="217" t="inlineStr">
        <is>
          <t>"shift.modify.empty": "ឈ្មោះវេនត្រូវបានបញ្ចូលក្នុងទម្រង់ខុស",</t>
        </is>
      </c>
      <c r="I1248" t="inlineStr">
        <is>
          <t>ឈ្មោះវេនត្រូវបានបញ្ចូលក្នុងទម្រង់ខុស</t>
        </is>
      </c>
    </row>
    <row r="1249">
      <c r="A1249" s="3" t="inlineStr">
        <is>
          <t>shift.modify.endTime</t>
        </is>
      </c>
      <c r="B1249" s="3" t="inlineStr">
        <is>
          <t>Giờ kết thúc</t>
        </is>
      </c>
      <c r="C1249" s="3" t="inlineStr">
        <is>
          <t>End hour</t>
        </is>
      </c>
      <c r="D1249" s="217">
        <f>IFERROR(__xludf.DUMMYFUNCTION("GOOGLETRANSLATE(C1249,""vi"",""km"")"),"ចប់ម៉ោង")</f>
        <v/>
      </c>
      <c r="E1249" s="3" t="n"/>
      <c r="F1249" s="3" t="inlineStr">
        <is>
          <t>ចប់ម៉ោង</t>
        </is>
      </c>
      <c r="G1249" s="3" t="n"/>
      <c r="H1249" s="217" t="inlineStr">
        <is>
          <t>"shift.modify.endTime": "ចប់ម៉ោង",</t>
        </is>
      </c>
      <c r="I1249" t="inlineStr">
        <is>
          <t>ចប់ម៉ោង</t>
        </is>
      </c>
    </row>
    <row r="1250">
      <c r="A1250" s="3" t="inlineStr">
        <is>
          <t>shift.modify.max100</t>
        </is>
      </c>
      <c r="B1250" s="3" t="inlineStr">
        <is>
          <t>Tên ca tối đa 100 ký tự</t>
        </is>
      </c>
      <c r="C1250" s="3" t="inlineStr">
        <is>
          <t>Maximum 100 characters for shift name</t>
        </is>
      </c>
      <c r="D1250" s="217">
        <f>IFERROR(__xludf.DUMMYFUNCTION("GOOGLETRANSLATE(C1250,""vi"",""km"")"),"អតិបរមា 100 តួអក្សរសម្រាប់ឈ្មោះវេន")</f>
        <v/>
      </c>
      <c r="E1250" s="3" t="n"/>
      <c r="F1250" s="3" t="inlineStr">
        <is>
          <t>អតិបរមា 100 តួអក្សរសម្រាប់ឈ្មោះវេន</t>
        </is>
      </c>
      <c r="G1250" s="3" t="n"/>
      <c r="H1250" s="217" t="inlineStr">
        <is>
          <t>"shift.modify.max100": "អតិបរមា 100 តួអក្សរសម្រាប់ឈ្មោះវេន",</t>
        </is>
      </c>
      <c r="I1250" t="inlineStr">
        <is>
          <t>អតិបរមា 100 តួអក្សរសម្រាប់ឈ្មោះវេន</t>
        </is>
      </c>
    </row>
    <row r="1251">
      <c r="A1251" s="23" t="inlineStr">
        <is>
          <t>shift.modify.name</t>
        </is>
      </c>
      <c r="B1251" s="3" t="inlineStr">
        <is>
          <t>Tên ca</t>
        </is>
      </c>
      <c r="C1251" s="3" t="inlineStr">
        <is>
          <t>Shift name</t>
        </is>
      </c>
      <c r="D1251" s="217">
        <f>IFERROR(__xludf.DUMMYFUNCTION("GOOGLETRANSLATE(C1251,""vi"",""km"")"),"ឈ្មោះវេន")</f>
        <v/>
      </c>
      <c r="E1251" s="3" t="n"/>
      <c r="F1251" s="3" t="inlineStr">
        <is>
          <t>ឈ្មោះវេន</t>
        </is>
      </c>
      <c r="G1251" s="3" t="n"/>
      <c r="H1251" s="217" t="inlineStr">
        <is>
          <t>"shift.modify.name": "ឈ្មោះវេន",</t>
        </is>
      </c>
      <c r="I1251" t="inlineStr">
        <is>
          <t>ឈ្មោះវេន</t>
        </is>
      </c>
    </row>
    <row r="1252">
      <c r="A1252" s="3" t="inlineStr">
        <is>
          <t>shift.modify.namePlaceholder</t>
        </is>
      </c>
      <c r="B1252" s="3" t="inlineStr">
        <is>
          <t>Nhập tên ca</t>
        </is>
      </c>
      <c r="C1252" s="3" t="inlineStr">
        <is>
          <t>Enter shift name</t>
        </is>
      </c>
      <c r="D1252" s="217">
        <f>IFERROR(__xludf.DUMMYFUNCTION("GOOGLETRANSLATE(C1252,""vi"",""km"")"),"បញ្ចូលឈ្មោះវេន")</f>
        <v/>
      </c>
      <c r="E1252" s="3" t="n"/>
      <c r="F1252" s="3" t="inlineStr">
        <is>
          <t>បញ្ចូលឈ្មោះវេន</t>
        </is>
      </c>
      <c r="G1252" s="3" t="n"/>
      <c r="H1252" s="217" t="inlineStr">
        <is>
          <t>"shift.modify.namePlaceholder": "បញ្ចូលឈ្មោះវេន",</t>
        </is>
      </c>
      <c r="I1252" t="inlineStr">
        <is>
          <t>បញ្ចូលឈ្មោះវេន</t>
        </is>
      </c>
    </row>
    <row r="1253">
      <c r="A1253" s="3" t="inlineStr">
        <is>
          <t>shift.modify.startTime</t>
        </is>
      </c>
      <c r="B1253" s="3" t="inlineStr">
        <is>
          <t>Giờ bắt đầu</t>
        </is>
      </c>
      <c r="C1253" s="3" t="inlineStr">
        <is>
          <t>Start hour</t>
        </is>
      </c>
      <c r="D1253" s="217">
        <f>IFERROR(__xludf.DUMMYFUNCTION("GOOGLETRANSLATE(C1253,""vi"",""km"")"),"ម៉ោងចាប់ផ្តើម")</f>
        <v/>
      </c>
      <c r="E1253" s="3" t="n"/>
      <c r="F1253" s="3" t="inlineStr">
        <is>
          <t>ម៉ោងចាប់ផ្តើម</t>
        </is>
      </c>
      <c r="G1253" s="3" t="n"/>
      <c r="H1253" s="217" t="inlineStr">
        <is>
          <t>"shift.modify.startTime": "ម៉ោងចាប់ផ្តើម",</t>
        </is>
      </c>
      <c r="I1253" t="inlineStr">
        <is>
          <t>ម៉ោងចាប់ផ្តើម</t>
        </is>
      </c>
    </row>
    <row r="1254">
      <c r="A1254" s="3" t="inlineStr">
        <is>
          <t>shift.modify.validateTime</t>
        </is>
      </c>
      <c r="B1254" s="3" t="inlineStr">
        <is>
          <t>Thời gian kết thúc phải lớn hơn thời gian bắt đầu</t>
        </is>
      </c>
      <c r="C1254" s="3" t="inlineStr">
        <is>
          <t>Ending time must be later than starting time</t>
        </is>
      </c>
      <c r="D1254" s="217">
        <f>IFERROR(__xludf.DUMMYFUNCTION("GOOGLETRANSLATE(C1254,""vi"",""km"")"),"ពេលវេលាបញ្ចប់ត្រូវតែយឺតជាងពេលវេលាចាប់ផ្តើម")</f>
        <v/>
      </c>
      <c r="E1254" s="3" t="n"/>
      <c r="F1254" s="3" t="inlineStr">
        <is>
          <t>ពេលវេលាបញ្ចប់ត្រូវតែយឺតជាងពេលវេលាចាប់ផ្តើម</t>
        </is>
      </c>
      <c r="G1254" s="3" t="n"/>
      <c r="H1254" s="217" t="inlineStr">
        <is>
          <t>"shift.modify.validateTime": "ពេលវេលាបញ្ចប់ត្រូវតែយឺតជាងពេលវេលាចាប់ផ្តើម",</t>
        </is>
      </c>
      <c r="I1254" t="inlineStr">
        <is>
          <t>ពេលវេលាបញ្ចប់ត្រូវតែយឺតជាងពេលវេលាចាប់ផ្តើម</t>
        </is>
      </c>
    </row>
    <row r="1255">
      <c r="A1255" s="3" t="inlineStr">
        <is>
          <t>shift.nameShift</t>
        </is>
      </c>
      <c r="B1255" s="3" t="inlineStr">
        <is>
          <t>Tên ca</t>
        </is>
      </c>
      <c r="C1255" s="3" t="inlineStr">
        <is>
          <t>Shift name</t>
        </is>
      </c>
      <c r="D1255" s="217">
        <f>IFERROR(__xludf.DUMMYFUNCTION("GOOGLETRANSLATE(C1255,""vi"",""km"")"),"ឈ្មោះវេន")</f>
        <v/>
      </c>
      <c r="E1255" s="3" t="n"/>
      <c r="F1255" s="3" t="inlineStr">
        <is>
          <t>ឈ្មោះវេន</t>
        </is>
      </c>
      <c r="G1255" s="3" t="n"/>
      <c r="H1255" s="217" t="inlineStr">
        <is>
          <t>"shift.nameShift": "ឈ្មោះវេន",</t>
        </is>
      </c>
      <c r="I1255" t="inlineStr">
        <is>
          <t>ឈ្មោះវេន</t>
        </is>
      </c>
    </row>
    <row r="1256">
      <c r="A1256" s="3" t="inlineStr">
        <is>
          <t>shift.searchKeyword</t>
        </is>
      </c>
      <c r="B1256" s="3" t="inlineStr">
        <is>
          <t>Ca làm việc</t>
        </is>
      </c>
      <c r="C1256" s="3" t="inlineStr">
        <is>
          <t>Seach for shift</t>
        </is>
      </c>
      <c r="D1256" s="217">
        <f>IFERROR(__xludf.DUMMYFUNCTION("GOOGLETRANSLATE(C1256,""vi"",""km"")"),"ស្វែងរកវេន")</f>
        <v/>
      </c>
      <c r="E1256" s="3" t="n"/>
      <c r="F1256" s="3" t="inlineStr">
        <is>
          <t>ស្វែងរកវេន</t>
        </is>
      </c>
      <c r="G1256" s="3" t="n"/>
      <c r="H1256" s="217" t="inlineStr">
        <is>
          <t>"shift.searchKeyword": "ស្វែងរកវេន",</t>
        </is>
      </c>
      <c r="I1256" t="inlineStr">
        <is>
          <t>ស្វែងរកវេន</t>
        </is>
      </c>
    </row>
    <row r="1257">
      <c r="A1257" s="3" t="inlineStr">
        <is>
          <t>shift.searchPlaceholder</t>
        </is>
      </c>
      <c r="B1257" s="3" t="inlineStr">
        <is>
          <t>Nhập tên ca làm việc</t>
        </is>
      </c>
      <c r="C1257" s="3" t="inlineStr">
        <is>
          <t>Enter shift name</t>
        </is>
      </c>
      <c r="D1257" s="217">
        <f>IFERROR(__xludf.DUMMYFUNCTION("GOOGLETRANSLATE(C1257,""vi"",""km"")"),"បញ្ចូលឈ្មោះវេន")</f>
        <v/>
      </c>
      <c r="E1257" s="3" t="n"/>
      <c r="F1257" s="3" t="inlineStr">
        <is>
          <t>បញ្ចូលឈ្មោះវេន</t>
        </is>
      </c>
      <c r="G1257" s="3" t="n"/>
      <c r="H1257" s="217" t="inlineStr">
        <is>
          <t>"shift.searchPlaceholder": "បញ្ចូលឈ្មោះវេន",</t>
        </is>
      </c>
      <c r="I1257" t="inlineStr">
        <is>
          <t>បញ្ចូលឈ្មោះវេន</t>
        </is>
      </c>
    </row>
    <row r="1258">
      <c r="A1258" s="3" t="inlineStr">
        <is>
          <t>shift.startTime</t>
        </is>
      </c>
      <c r="B1258" s="3" t="inlineStr">
        <is>
          <t>Giờ bắt đầu</t>
        </is>
      </c>
      <c r="C1258" s="3" t="inlineStr">
        <is>
          <t>Start hour</t>
        </is>
      </c>
      <c r="D1258" s="217">
        <f>IFERROR(__xludf.DUMMYFUNCTION("GOOGLETRANSLATE(C1258,""vi"",""km"")"),"ម៉ោងចាប់ផ្តើម")</f>
        <v/>
      </c>
      <c r="E1258" s="3" t="n"/>
      <c r="F1258" s="3" t="inlineStr">
        <is>
          <t>ម៉ោងចាប់ផ្តើម</t>
        </is>
      </c>
      <c r="G1258" s="3" t="n"/>
      <c r="H1258" s="217" t="inlineStr">
        <is>
          <t>"shift.startTime": "ម៉ោងចាប់ផ្តើម",</t>
        </is>
      </c>
      <c r="I1258" t="inlineStr">
        <is>
          <t>ម៉ោងចាប់ផ្តើម</t>
        </is>
      </c>
    </row>
    <row r="1259">
      <c r="A1259" s="3" t="inlineStr">
        <is>
          <t>shift.status</t>
        </is>
      </c>
      <c r="B1259" s="3" t="inlineStr">
        <is>
          <t>Trạng thái</t>
        </is>
      </c>
      <c r="C1259" s="3" t="inlineStr">
        <is>
          <t>Status</t>
        </is>
      </c>
      <c r="D1259" s="217">
        <f>IFERROR(__xludf.DUMMYFUNCTION("GOOGLETRANSLATE(C1259,""vi"",""km"")"),"ស្ថានភាព")</f>
        <v/>
      </c>
      <c r="E1259" s="3" t="n"/>
      <c r="F1259" s="3" t="inlineStr">
        <is>
          <t>ស្ថានភាព</t>
        </is>
      </c>
      <c r="G1259" s="3" t="n"/>
      <c r="H1259" s="217" t="inlineStr">
        <is>
          <t>"shift.status": "ស្ថានភាព",</t>
        </is>
      </c>
      <c r="I1259" t="inlineStr">
        <is>
          <t>ស្ថានភាព</t>
        </is>
      </c>
    </row>
    <row r="1260">
      <c r="A1260" s="3" t="inlineStr">
        <is>
          <t>shift.timeUpdate</t>
        </is>
      </c>
      <c r="B1260" s="3" t="inlineStr">
        <is>
          <t>Ngày cập nhật</t>
        </is>
      </c>
      <c r="C1260" s="3" t="inlineStr">
        <is>
          <t>Update at</t>
        </is>
      </c>
      <c r="D1260" s="217">
        <f>IFERROR(__xludf.DUMMYFUNCTION("GOOGLETRANSLATE(C1260,""vi"",""km"")"),"ធ្វើបច្ចុប្បន្នភាពនៅ")</f>
        <v/>
      </c>
      <c r="E1260" s="3" t="n"/>
      <c r="F1260" s="3" t="inlineStr">
        <is>
          <t>ធ្វើបច្ចុប្បន្នភាពនៅ</t>
        </is>
      </c>
      <c r="G1260" s="3" t="n"/>
      <c r="H1260" s="217" t="inlineStr">
        <is>
          <t>"shift.timeUpdate": "ធ្វើបច្ចុប្បន្នភាពនៅ",</t>
        </is>
      </c>
      <c r="I1260" t="inlineStr">
        <is>
          <t>ធ្វើបច្ចុប្បន្នភាពនៅ</t>
        </is>
      </c>
    </row>
    <row r="1261">
      <c r="A1261" s="3" t="inlineStr">
        <is>
          <t>shift.total</t>
        </is>
      </c>
      <c r="B1261" s="3" t="inlineStr">
        <is>
          <t>Tổng ca làm việc</t>
        </is>
      </c>
      <c r="C1261" s="3" t="inlineStr">
        <is>
          <t>Total shift</t>
        </is>
      </c>
      <c r="D1261" s="217">
        <f>IFERROR(__xludf.DUMMYFUNCTION("GOOGLETRANSLATE(C1261,""vi"",""km"")"),"ការផ្លាស់ប្តូរសរុប")</f>
        <v/>
      </c>
      <c r="E1261" s="3" t="n"/>
      <c r="F1261" s="3" t="inlineStr">
        <is>
          <t>ការផ្លាស់ប្តូរសរុប</t>
        </is>
      </c>
      <c r="G1261" s="3" t="n"/>
      <c r="H1261" s="217" t="inlineStr">
        <is>
          <t>"shift.total": "ការផ្លាស់ប្តូរសរុប",</t>
        </is>
      </c>
      <c r="I1261" t="inlineStr">
        <is>
          <t>ការផ្លាស់ប្តូរសរុប</t>
        </is>
      </c>
    </row>
    <row r="1262">
      <c r="A1262" s="3" t="inlineStr">
        <is>
          <t>shift.updateShift</t>
        </is>
      </c>
      <c r="B1262" s="3" t="inlineStr">
        <is>
          <t>Chỉnh sửa ca làm việc</t>
        </is>
      </c>
      <c r="C1262" s="3" t="inlineStr">
        <is>
          <t>Update shift</t>
        </is>
      </c>
      <c r="D1262" s="217">
        <f>IFERROR(__xludf.DUMMYFUNCTION("GOOGLETRANSLATE(C1262,""vi"",""km"")"),"ធ្វើបច្ចុប្បន្នភាពវេន")</f>
        <v/>
      </c>
      <c r="E1262" s="3" t="n"/>
      <c r="F1262" s="3" t="inlineStr">
        <is>
          <t>ធ្វើបច្ចុប្បន្នភាពវេន</t>
        </is>
      </c>
      <c r="G1262" s="3" t="n"/>
      <c r="H1262" s="217" t="inlineStr">
        <is>
          <t>"shift.updateShift": "ធ្វើបច្ចុប្បន្នភាពវេន",</t>
        </is>
      </c>
      <c r="I1262" t="inlineStr">
        <is>
          <t>ធ្វើបច្ចុប្បន្នភាពវេន</t>
        </is>
      </c>
    </row>
    <row r="1263">
      <c r="A1263" s="3" t="inlineStr">
        <is>
          <t>shift.userUpdate</t>
        </is>
      </c>
      <c r="B1263" s="3" t="inlineStr">
        <is>
          <t>Người cập nhật</t>
        </is>
      </c>
      <c r="C1263" s="3" t="inlineStr">
        <is>
          <t>Update by</t>
        </is>
      </c>
      <c r="D1263" s="217">
        <f>IFERROR(__xludf.DUMMYFUNCTION("GOOGLETRANSLATE(C1263,""vi"",""km"")"),"ធ្វើបច្ចុប្បន្នភាពដោយ")</f>
        <v/>
      </c>
      <c r="E1263" s="3" t="n"/>
      <c r="F1263" s="3" t="inlineStr">
        <is>
          <t>ធ្វើបច្ចុប្បន្នភាពដោយ</t>
        </is>
      </c>
      <c r="G1263" s="3" t="n"/>
      <c r="H1263" s="217" t="inlineStr">
        <is>
          <t>"shift.userUpdate": "ធ្វើបច្ចុប្បន្នភាពដោយ",</t>
        </is>
      </c>
      <c r="I1263" t="inlineStr">
        <is>
          <t>ធ្វើបច្ចុប្បន្នភាពដោយ</t>
        </is>
      </c>
    </row>
    <row r="1264">
      <c r="A1264" s="3" t="inlineStr">
        <is>
          <t>slider.BacklogReport</t>
        </is>
      </c>
      <c r="B1264" s="3" t="inlineStr">
        <is>
          <t>Báo cáo tồn giao</t>
        </is>
      </c>
      <c r="C1264" s="3" t="inlineStr">
        <is>
          <t>Inventory of delivery report</t>
        </is>
      </c>
      <c r="D1264" s="217">
        <f>IFERROR(__xludf.DUMMYFUNCTION("GOOGLETRANSLATE(C1264,""vi"",""km"")"),"របាយការណ៍ស្តុកទំនិញ")</f>
        <v/>
      </c>
      <c r="E1264" s="3" t="n"/>
      <c r="F1264" s="3" t="inlineStr">
        <is>
          <t>របាយការណ៍ស្តុកទំនិញ</t>
        </is>
      </c>
      <c r="G1264" s="3" t="n"/>
      <c r="H1264" s="217" t="inlineStr">
        <is>
          <t>"slider.BacklogReport": "របាយការណ៍ស្តុកទំនិញ",</t>
        </is>
      </c>
      <c r="I1264" t="inlineStr">
        <is>
          <t>របាយការណ៍ស្តុកទំនិញ</t>
        </is>
      </c>
    </row>
    <row r="1265">
      <c r="A1265" s="3" t="inlineStr">
        <is>
          <t>slider.BranchManager</t>
        </is>
      </c>
      <c r="B1265" s="3" t="inlineStr">
        <is>
          <t>Quản lý chi nhánh</t>
        </is>
      </c>
      <c r="C1265" s="3" t="inlineStr">
        <is>
          <t>Branch management</t>
        </is>
      </c>
      <c r="D1265" s="217">
        <f>IFERROR(__xludf.DUMMYFUNCTION("GOOGLETRANSLATE(C1265,""vi"",""km"")"),"ការគ្រប់គ្រងសាខា")</f>
        <v/>
      </c>
      <c r="E1265" s="3" t="n"/>
      <c r="F1265" s="3" t="inlineStr">
        <is>
          <t>ការគ្រប់គ្រងសាខា</t>
        </is>
      </c>
      <c r="G1265" s="3" t="n"/>
      <c r="H1265" s="217" t="inlineStr">
        <is>
          <t>"slider.BranchManager": "ការគ្រប់គ្រងសាខា",</t>
        </is>
      </c>
      <c r="I1265" t="inlineStr">
        <is>
          <t>ការគ្រប់គ្រងសាខា</t>
        </is>
      </c>
    </row>
    <row r="1266">
      <c r="A1266" s="3" t="inlineStr">
        <is>
          <t>slider.BranchOperating</t>
        </is>
      </c>
      <c r="B1266" s="3" t="inlineStr">
        <is>
          <t>Điều hành chi nhánh</t>
        </is>
      </c>
      <c r="C1266" s="3" t="inlineStr">
        <is>
          <t>Branch Operation</t>
        </is>
      </c>
      <c r="D1266" s="217">
        <f>IFERROR(__xludf.DUMMYFUNCTION("GOOGLETRANSLATE(C1266,""vi"",""km"")"),"ប្រតិបត្តិការសាខា")</f>
        <v/>
      </c>
      <c r="E1266" s="3" t="n"/>
      <c r="F1266" s="3" t="inlineStr">
        <is>
          <t>ប្រតិបត្តិការសាខា</t>
        </is>
      </c>
      <c r="G1266" s="3" t="n"/>
      <c r="H1266" s="217" t="inlineStr">
        <is>
          <t>"slider.BranchOperating": "ប្រតិបត្តិការសាខា",</t>
        </is>
      </c>
      <c r="I1266" t="inlineStr">
        <is>
          <t>ប្រតិបត្តិការសាខា</t>
        </is>
      </c>
    </row>
    <row r="1267">
      <c r="A1267" s="3" t="inlineStr">
        <is>
          <t>slider.BusinessWrap</t>
        </is>
      </c>
      <c r="B1267" s="3" t="inlineStr">
        <is>
          <t>Kinh doanh</t>
        </is>
      </c>
      <c r="C1267" s="3" t="inlineStr">
        <is>
          <t>Business</t>
        </is>
      </c>
      <c r="D1267" s="217">
        <f>IFERROR(__xludf.DUMMYFUNCTION("GOOGLETRANSLATE(C1267,""vi"",""km"")"),"អាជីវកម្ម")</f>
        <v/>
      </c>
      <c r="E1267" s="3" t="n"/>
      <c r="F1267" s="3" t="inlineStr">
        <is>
          <t>អាជីវកម្ម</t>
        </is>
      </c>
      <c r="G1267" s="3" t="n"/>
      <c r="H1267" s="217" t="inlineStr">
        <is>
          <t>"slider.BusinessWrap": "អាជីវកម្ម",</t>
        </is>
      </c>
      <c r="I1267" t="inlineStr">
        <is>
          <t>អាជីវកម្ម</t>
        </is>
      </c>
    </row>
    <row r="1268">
      <c r="A1268" s="3" t="inlineStr">
        <is>
          <t>slider.Category</t>
        </is>
      </c>
      <c r="B1268" s="3" t="inlineStr">
        <is>
          <t>Danh mục</t>
        </is>
      </c>
      <c r="C1268" s="3" t="inlineStr">
        <is>
          <t>Category</t>
        </is>
      </c>
      <c r="D1268" s="217">
        <f>IFERROR(__xludf.DUMMYFUNCTION("GOOGLETRANSLATE(C1268,""vi"",""km"")"),"ថ្នាក់")</f>
        <v/>
      </c>
      <c r="E1268" s="3" t="n"/>
      <c r="F1268" s="3" t="inlineStr">
        <is>
          <t>ថ្នាក់</t>
        </is>
      </c>
      <c r="G1268" s="3" t="n"/>
      <c r="H1268" s="217" t="inlineStr">
        <is>
          <t>"slider.Category": "ថ្នាក់",</t>
        </is>
      </c>
      <c r="I1268" t="inlineStr">
        <is>
          <t>ថ្នាក់</t>
        </is>
      </c>
    </row>
    <row r="1269">
      <c r="A1269" s="3" t="inlineStr">
        <is>
          <t>slider.ChangePass</t>
        </is>
      </c>
      <c r="B1269" s="3" t="inlineStr">
        <is>
          <t>Đổi mật khẩu</t>
        </is>
      </c>
      <c r="C1269" s="3" t="inlineStr">
        <is>
          <t>Change password</t>
        </is>
      </c>
      <c r="D1269" s="217">
        <f>IFERROR(__xludf.DUMMYFUNCTION("GOOGLETRANSLATE(C1269,""vi"",""km"")"),"ប្តូរពាក្យសម្ងាត់")</f>
        <v/>
      </c>
      <c r="E1269" s="3" t="n"/>
      <c r="F1269" s="3" t="inlineStr">
        <is>
          <t>ប្តូរពាក្យសម្ងាត់</t>
        </is>
      </c>
      <c r="G1269" s="3" t="n"/>
      <c r="H1269" s="217" t="inlineStr">
        <is>
          <t>"slider.ChangePass": "ប្តូរពាក្យសម្ងាត់",</t>
        </is>
      </c>
      <c r="I1269" t="inlineStr">
        <is>
          <t>ប្តូរពាក្យសម្ងាត់</t>
        </is>
      </c>
    </row>
    <row r="1270">
      <c r="A1270" s="3" t="inlineStr">
        <is>
          <t>slider.Config</t>
        </is>
      </c>
      <c r="B1270" s="3" t="inlineStr">
        <is>
          <t>Cấu hình</t>
        </is>
      </c>
      <c r="C1270" s="3" t="inlineStr">
        <is>
          <t>Config</t>
        </is>
      </c>
      <c r="D1270" s="217">
        <f>IFERROR(__xludf.DUMMYFUNCTION("GOOGLETRANSLATE(C1270,""vi"",""km"")"),"កំណត់រចនាសម្ព័ន្ធ")</f>
        <v/>
      </c>
      <c r="E1270" s="3" t="n"/>
      <c r="F1270" s="3" t="inlineStr">
        <is>
          <t>កំណត់រចនាសម្ព័ន្ធ</t>
        </is>
      </c>
      <c r="G1270" s="3" t="n"/>
      <c r="H1270" s="217" t="inlineStr">
        <is>
          <t>"slider.Config": "កំណត់រចនាសម្ព័ន្ធ",</t>
        </is>
      </c>
      <c r="I1270" t="inlineStr">
        <is>
          <t>កំណត់រចនាសម្ព័ន្ធ</t>
        </is>
      </c>
    </row>
    <row r="1271">
      <c r="A1271" s="3" t="inlineStr">
        <is>
          <t>slider.ConfigDelivery</t>
        </is>
      </c>
      <c r="B1271" s="3" t="inlineStr">
        <is>
          <t>Cấu hình tuyến giao</t>
        </is>
      </c>
      <c r="C1271" s="3" t="inlineStr">
        <is>
          <t>Config delivery</t>
        </is>
      </c>
      <c r="D1271" s="217">
        <f>IFERROR(__xludf.DUMMYFUNCTION("GOOGLETRANSLATE(C1271,""vi"",""km"")"),"ការចែកចាយកំណត់រចនាសម្ព័ន្ធ")</f>
        <v/>
      </c>
      <c r="E1271" s="3" t="n"/>
      <c r="F1271" s="3" t="inlineStr">
        <is>
          <t>ការចែកចាយកំណត់រចនាសម្ព័ន្ធ</t>
        </is>
      </c>
      <c r="G1271" s="3" t="n"/>
      <c r="H1271" s="217" t="inlineStr">
        <is>
          <t>"slider.ConfigDelivery": "ការចែកចាយកំណត់រចនាសម្ព័ន្ធ",</t>
        </is>
      </c>
      <c r="I1271" t="inlineStr">
        <is>
          <t>ការចែកចាយកំណត់រចនាសម្ព័ន្ធ</t>
        </is>
      </c>
    </row>
    <row r="1272">
      <c r="A1272" s="3" t="inlineStr">
        <is>
          <t>slider.ConfigReceivingDelivery</t>
        </is>
      </c>
      <c r="B1272" s="3" t="inlineStr">
        <is>
          <t>Cấu hình tuyến nhận-giao</t>
        </is>
      </c>
      <c r="C1272" s="3" t="inlineStr">
        <is>
          <t>Config route-delivery</t>
        </is>
      </c>
      <c r="D1272" s="217">
        <f>IFERROR(__xludf.DUMMYFUNCTION("GOOGLETRANSLATE(C1272,""vi"",""km"")"),"កំណត់រចនាសម្ព័ន្ធការដឹកជញ្ជូនផ្លូវ")</f>
        <v/>
      </c>
      <c r="E1272" s="3" t="n"/>
      <c r="F1272" s="3" t="inlineStr">
        <is>
          <t>កំណត់រចនាសម្ព័ន្ធការដឹកជញ្ជូនផ្លូវ</t>
        </is>
      </c>
      <c r="G1272" s="3" t="n"/>
      <c r="H1272" s="217" t="inlineStr">
        <is>
          <t>"slider.ConfigReceivingDelivery": "កំណត់រចនាសម្ព័ន្ធការដឹកជញ្ជូនផ្លូវ",</t>
        </is>
      </c>
      <c r="I1272" t="inlineStr">
        <is>
          <t>កំណត់រចនាសម្ព័ន្ធការដឹកជញ្ជូនផ្លូវ</t>
        </is>
      </c>
    </row>
    <row r="1273">
      <c r="A1273" s="3" t="inlineStr">
        <is>
          <t>slider.ConfigRoute</t>
        </is>
      </c>
      <c r="B1273" s="3" t="inlineStr">
        <is>
          <t>Cấu hình tuyến nhận</t>
        </is>
      </c>
      <c r="C1273" s="3" t="inlineStr">
        <is>
          <t>Route config</t>
        </is>
      </c>
      <c r="D1273" s="217">
        <f>IFERROR(__xludf.DUMMYFUNCTION("GOOGLETRANSLATE(C1273,""vi"",""km"")"),"ការកំណត់រចនាសម្ព័ន្ធផ្លូវ")</f>
        <v/>
      </c>
      <c r="E1273" s="3" t="n"/>
      <c r="F1273" s="3" t="inlineStr">
        <is>
          <t>ការកំណត់រចនាសម្ព័ន្ធផ្លូវ</t>
        </is>
      </c>
      <c r="G1273" s="3" t="n"/>
      <c r="H1273" s="217" t="inlineStr">
        <is>
          <t>"slider.ConfigRoute": "ការកំណត់រចនាសម្ព័ន្ធផ្លូវ",</t>
        </is>
      </c>
      <c r="I1273" t="inlineStr">
        <is>
          <t>ការកំណត់រចនាសម្ព័ន្ធផ្លូវ</t>
        </is>
      </c>
    </row>
    <row r="1274">
      <c r="A1274" s="3" t="inlineStr">
        <is>
          <t>slider.Controller</t>
        </is>
      </c>
      <c r="B1274" s="3" t="inlineStr">
        <is>
          <t>Vận hành</t>
        </is>
      </c>
      <c r="C1274" s="3" t="inlineStr">
        <is>
          <t>Controller</t>
        </is>
      </c>
      <c r="D1274" s="217">
        <f>IFERROR(__xludf.DUMMYFUNCTION("GOOGLETRANSLATE(C1274,""vi"",""km"")"),"មន្ត្រី")</f>
        <v/>
      </c>
      <c r="E1274" s="3" t="n"/>
      <c r="F1274" s="3" t="inlineStr">
        <is>
          <t>មន្ត្រី</t>
        </is>
      </c>
      <c r="G1274" s="3" t="n"/>
      <c r="H1274" s="217" t="inlineStr">
        <is>
          <t>"slider.Controller": "មន្ត្រី",</t>
        </is>
      </c>
      <c r="I1274" t="inlineStr">
        <is>
          <t>មន្ត្រី</t>
        </is>
      </c>
    </row>
    <row r="1275">
      <c r="A1275" s="3" t="inlineStr">
        <is>
          <t>slider.DeliveryKpiReport</t>
        </is>
      </c>
      <c r="B1275" s="3" t="inlineStr">
        <is>
          <t>Báo cáo KPI phát</t>
        </is>
      </c>
      <c r="C1275" s="3" t="inlineStr">
        <is>
          <t>Delivery KPI report</t>
        </is>
      </c>
      <c r="D1275" s="217">
        <f>IFERROR(__xludf.DUMMYFUNCTION("GOOGLETRANSLATE(C1275,""vi"",""km"")"),"របាយការណ៍ KPI នៃការដឹកជញ្ជូន")</f>
        <v/>
      </c>
      <c r="E1275" s="3" t="n"/>
      <c r="F1275" s="3" t="inlineStr">
        <is>
          <t>របាយការណ៍ KPI នៃការដឹកជញ្ជូន</t>
        </is>
      </c>
      <c r="G1275" s="3" t="n"/>
      <c r="H1275" s="217" t="inlineStr">
        <is>
          <t>"slider.DeliveryKpiReport": "របាយការណ៍ KPI នៃការដឹកជញ្ជូន",</t>
        </is>
      </c>
      <c r="I1275" t="inlineStr">
        <is>
          <t>របាយការណ៍ KPI នៃការដឹកជញ្ជូន</t>
        </is>
      </c>
    </row>
    <row r="1276">
      <c r="A1276" s="3" t="inlineStr">
        <is>
          <t>slider.DepartmentManager</t>
        </is>
      </c>
      <c r="B1276" s="3" t="inlineStr">
        <is>
          <t>Quản lý bưu cục</t>
        </is>
      </c>
      <c r="C1276" s="3" t="inlineStr">
        <is>
          <t>Post office management</t>
        </is>
      </c>
      <c r="D1276" s="217">
        <f>IFERROR(__xludf.DUMMYFUNCTION("GOOGLETRANSLATE(C1276,""vi"",""km"")"),"ការគ្រប់គ្រងការិយាល័យប្រៃសណីយ៍")</f>
        <v/>
      </c>
      <c r="E1276" s="3" t="n"/>
      <c r="F1276" s="3" t="inlineStr">
        <is>
          <t>ការគ្រប់គ្រងការិយាល័យប្រៃសណីយ៍</t>
        </is>
      </c>
      <c r="G1276" s="3" t="n"/>
      <c r="H1276" s="217" t="inlineStr">
        <is>
          <t>"slider.DepartmentManager": "ការគ្រប់គ្រងការិយាល័យប្រៃសណីយ៍",</t>
        </is>
      </c>
      <c r="I1276" t="inlineStr">
        <is>
          <t>ការគ្រប់គ្រងការិយាល័យប្រៃសណីយ៍</t>
        </is>
      </c>
    </row>
    <row r="1277">
      <c r="A1277" s="3" t="inlineStr">
        <is>
          <t>slider.DetailDelivery</t>
        </is>
      </c>
      <c r="B1277" s="3" t="inlineStr">
        <is>
          <t>Chi tiết tuyến giao</t>
        </is>
      </c>
      <c r="C1277" s="3" t="inlineStr">
        <is>
          <t>Detail config delivery</t>
        </is>
      </c>
      <c r="D1277" s="217">
        <f>IFERROR(__xludf.DUMMYFUNCTION("GOOGLETRANSLATE(C1277,""vi"",""km"")"),"ការបញ្ជូនការកំណត់រចនាសម្ព័ន្ធលម្អិត")</f>
        <v/>
      </c>
      <c r="E1277" s="3" t="n"/>
      <c r="F1277" s="3" t="inlineStr">
        <is>
          <t>ការបញ្ជូនការកំណត់រចនាសម្ព័ន្ធលម្អិត</t>
        </is>
      </c>
      <c r="G1277" s="3" t="n"/>
      <c r="H1277" s="217" t="inlineStr">
        <is>
          <t>"slider.DetailDelivery": "ការបញ្ជូនការកំណត់រចនាសម្ព័ន្ធលម្អិត",</t>
        </is>
      </c>
      <c r="I1277" t="inlineStr">
        <is>
          <t>ការបញ្ជូនការកំណត់រចនាសម្ព័ន្ធលម្អិត</t>
        </is>
      </c>
    </row>
    <row r="1278">
      <c r="A1278" s="3" t="inlineStr">
        <is>
          <t>slider.DetailPacking</t>
        </is>
      </c>
      <c r="B1278" s="3" t="inlineStr">
        <is>
          <t>Chi tiết tải</t>
        </is>
      </c>
      <c r="C1278" s="3" t="inlineStr">
        <is>
          <t>Package detail</t>
        </is>
      </c>
      <c r="D1278" s="217">
        <f>IFERROR(__xludf.DUMMYFUNCTION("GOOGLETRANSLATE(C1278,""vi"",""km"")"),"ព័ត៌មានលម្អិតអំពីកញ្ចប់")</f>
        <v/>
      </c>
      <c r="E1278" s="3" t="n"/>
      <c r="F1278" s="3" t="inlineStr">
        <is>
          <t>ព័ត៌មានលម្អិតអំពីកញ្ចប់</t>
        </is>
      </c>
      <c r="G1278" s="3" t="n"/>
      <c r="H1278" s="217" t="inlineStr">
        <is>
          <t>"slider.DetailPacking": "ព័ត៌មានលម្អិតអំពីកញ្ចប់",</t>
        </is>
      </c>
      <c r="I1278" t="inlineStr">
        <is>
          <t>ព័ត៌មានលម្អិតអំពីកញ្ចប់</t>
        </is>
      </c>
    </row>
    <row r="1279">
      <c r="A1279" s="3" t="inlineStr">
        <is>
          <t>slider.DetailsRoute</t>
        </is>
      </c>
      <c r="B1279" s="3" t="inlineStr">
        <is>
          <t>Chi tiết tuyến nhận</t>
        </is>
      </c>
      <c r="C1279" s="3" t="inlineStr">
        <is>
          <t>Route details</t>
        </is>
      </c>
      <c r="D1279" s="217">
        <f>IFERROR(__xludf.DUMMYFUNCTION("GOOGLETRANSLATE(C1279,""vi"",""km"")"),"ផ្លូវបិទជិត")</f>
        <v/>
      </c>
      <c r="E1279" s="3" t="n"/>
      <c r="F1279" s="3" t="inlineStr">
        <is>
          <t>ផ្លូវបិទជិត</t>
        </is>
      </c>
      <c r="G1279" s="3" t="n"/>
      <c r="H1279" s="217" t="inlineStr">
        <is>
          <t>"slider.DetailsRoute": "ផ្លូវបិទជិត",</t>
        </is>
      </c>
      <c r="I1279" t="inlineStr">
        <is>
          <t>ផ្លូវបិទជិត</t>
        </is>
      </c>
    </row>
    <row r="1280">
      <c r="A1280" s="3" t="inlineStr">
        <is>
          <t>slider.DetailsService</t>
        </is>
      </c>
      <c r="B1280" s="3" t="inlineStr">
        <is>
          <t>Chi tiết dịch vụ</t>
        </is>
      </c>
      <c r="C1280" s="3" t="inlineStr">
        <is>
          <t>Detail service</t>
        </is>
      </c>
      <c r="D1280" s="217">
        <f>IFERROR(__xludf.DUMMYFUNCTION("GOOGLETRANSLATE(C1280,""vi"",""km"")"),"សេវាកម្មលម្អិត")</f>
        <v/>
      </c>
      <c r="E1280" s="3" t="n"/>
      <c r="F1280" s="3" t="inlineStr">
        <is>
          <t>សេវាកម្មលម្អិត</t>
        </is>
      </c>
      <c r="G1280" s="3" t="n"/>
      <c r="H1280" s="217" t="inlineStr">
        <is>
          <t>"slider.DetailsService": "សេវាកម្មលម្អិត",</t>
        </is>
      </c>
      <c r="I1280" t="inlineStr">
        <is>
          <t>សេវាកម្មលម្អិត</t>
        </is>
      </c>
    </row>
    <row r="1281">
      <c r="A1281" s="3" t="inlineStr">
        <is>
          <t>slider.FinanceWrap</t>
        </is>
      </c>
      <c r="B1281" s="3" t="inlineStr">
        <is>
          <t>Tài chính</t>
        </is>
      </c>
      <c r="C1281" s="3" t="inlineStr">
        <is>
          <t>Finance</t>
        </is>
      </c>
      <c r="D1281" s="217">
        <f>IFERROR(__xludf.DUMMYFUNCTION("GOOGLETRANSLATE(C1281,""vi"",""km"")"),"ហិរញ្ញវត្ថុ")</f>
        <v/>
      </c>
      <c r="E1281" s="3" t="n"/>
      <c r="F1281" s="3" t="inlineStr">
        <is>
          <t>ហិរញ្ញវត្ថុ</t>
        </is>
      </c>
      <c r="G1281" s="3" t="n"/>
      <c r="H1281" s="217" t="inlineStr">
        <is>
          <t>"slider.FinanceWrap": "ហិរញ្ញវត្ថុ",</t>
        </is>
      </c>
      <c r="I1281" t="inlineStr">
        <is>
          <t>ហិរញ្ញវត្ថុ</t>
        </is>
      </c>
    </row>
    <row r="1282">
      <c r="A1282" s="3" t="inlineStr">
        <is>
          <t>slider.InventoryReport</t>
        </is>
      </c>
      <c r="B1282" s="3" t="inlineStr">
        <is>
          <t>Báo cáo tồn thu</t>
        </is>
      </c>
      <c r="C1282" s="3" t="inlineStr">
        <is>
          <t>Inventory of receiving report</t>
        </is>
      </c>
      <c r="D1282" s="217">
        <f>IFERROR(__xludf.DUMMYFUNCTION("GOOGLETRANSLATE(C1282,""vi"",""km"")"),"សារពើភ័ណ្ឌនៃរបាយការណ៍ទទួល")</f>
        <v/>
      </c>
      <c r="E1282" s="3" t="n"/>
      <c r="F1282" s="3" t="inlineStr">
        <is>
          <t>សារពើភ័ណ្ឌនៃរបាយការណ៍ទទួល</t>
        </is>
      </c>
      <c r="G1282" s="3" t="n"/>
      <c r="H1282" s="217" t="inlineStr">
        <is>
          <t>"slider.InventoryReport": "សារពើភ័ណ្ឌនៃរបាយការណ៍ទទួល",</t>
        </is>
      </c>
      <c r="I1282" t="inlineStr">
        <is>
          <t>សារពើភ័ណ្ឌនៃរបាយការណ៍ទទួល</t>
        </is>
      </c>
    </row>
    <row r="1283">
      <c r="A1283" s="3" t="inlineStr">
        <is>
          <t>slider.KpiReport</t>
        </is>
      </c>
      <c r="B1283" s="3" t="inlineStr">
        <is>
          <t>Báo cáo KPI</t>
        </is>
      </c>
      <c r="C1283" s="3" t="inlineStr">
        <is>
          <t>KPI report</t>
        </is>
      </c>
      <c r="D1283" s="217">
        <f>IFERROR(__xludf.DUMMYFUNCTION("GOOGLETRANSLATE(C1283,""vi"",""km"")"),"របាយការណ៍ KPI")</f>
        <v/>
      </c>
      <c r="E1283" s="3" t="n"/>
      <c r="F1283" s="3" t="inlineStr">
        <is>
          <t>របាយការណ៍ KPI</t>
        </is>
      </c>
      <c r="G1283" s="3" t="n"/>
      <c r="H1283" s="217" t="inlineStr">
        <is>
          <t>"slider.KpiReport": "របាយការណ៍ KPI",</t>
        </is>
      </c>
      <c r="I1283" t="inlineStr">
        <is>
          <t>របាយការណ៍ KPI</t>
        </is>
      </c>
    </row>
    <row r="1284">
      <c r="A1284" s="3" t="inlineStr">
        <is>
          <t>slider.ListOrderOfPacking</t>
        </is>
      </c>
      <c r="B1284" s="3" t="inlineStr">
        <is>
          <t>Chi tiết điểm đến</t>
        </is>
      </c>
      <c r="C1284" s="3" t="inlineStr">
        <is>
          <t>Detail destination</t>
        </is>
      </c>
      <c r="D1284" s="217">
        <f>IFERROR(__xludf.DUMMYFUNCTION("GOOGLETRANSLATE(C1284,""vi"",""km"")"),"ផ្នែកខាងមុខបន្ទប់ទឹក")</f>
        <v/>
      </c>
      <c r="E1284" s="3" t="n"/>
      <c r="F1284" s="3" t="inlineStr">
        <is>
          <t>ផ្នែកខាងមុខបន្ទប់ទឹក</t>
        </is>
      </c>
      <c r="G1284" s="3" t="n"/>
      <c r="H1284" s="217" t="inlineStr">
        <is>
          <t>"slider.ListOrderOfPacking": "ផ្នែកខាងមុខបន្ទប់ទឹក",</t>
        </is>
      </c>
      <c r="I1284" t="inlineStr">
        <is>
          <t>ផ្នែកខាងមុខបន្ទប់ទឹក</t>
        </is>
      </c>
    </row>
    <row r="1285">
      <c r="A1285" s="3" t="inlineStr">
        <is>
          <t>slider.LookupCustomer</t>
        </is>
      </c>
      <c r="B1285" s="3" t="inlineStr">
        <is>
          <t>Tra cứu khách hàng</t>
        </is>
      </c>
      <c r="C1285" s="3" t="inlineStr">
        <is>
          <t>Find customers</t>
        </is>
      </c>
      <c r="D1285" s="217">
        <f>IFERROR(__xludf.DUMMYFUNCTION("GOOGLETRANSLATE(C1285,""vi"",""km"")"),"ស្វែងរករូបភាព")</f>
        <v/>
      </c>
      <c r="E1285" s="3" t="n"/>
      <c r="F1285" s="3" t="inlineStr">
        <is>
          <t>ស្វែងរករូបភាព</t>
        </is>
      </c>
      <c r="G1285" s="3" t="n"/>
      <c r="H1285" s="217" t="inlineStr">
        <is>
          <t>"slider.LookupCustomer": "ស្វែងរករូបភាព",</t>
        </is>
      </c>
      <c r="I1285" t="inlineStr">
        <is>
          <t>ស្វែងរករូបភាព</t>
        </is>
      </c>
    </row>
    <row r="1286">
      <c r="A1286" s="3" t="inlineStr">
        <is>
          <t>slider.ModifyOrder</t>
        </is>
      </c>
      <c r="B1286" s="3" t="inlineStr">
        <is>
          <t>Tiếp nhận đơn</t>
        </is>
      </c>
      <c r="C1286" s="3" t="inlineStr">
        <is>
          <t>Accept order</t>
        </is>
      </c>
      <c r="D1286" s="217">
        <f>IFERROR(__xludf.DUMMYFUNCTION("GOOGLETRANSLATE(C1286,""vi"",""km"")"),"ទទួលយកការបញ្ជាទិញ")</f>
        <v/>
      </c>
      <c r="E1286" s="3" t="n"/>
      <c r="F1286" s="3" t="inlineStr">
        <is>
          <t>ទទួលយកការបញ្ជាទិញ</t>
        </is>
      </c>
      <c r="G1286" s="3" t="n"/>
      <c r="H1286" s="217" t="inlineStr">
        <is>
          <t>"slider.ModifyOrder": "ទទួលយកការបញ្ជាទិញ",</t>
        </is>
      </c>
      <c r="I1286" t="inlineStr">
        <is>
          <t>ទទួលយកការបញ្ជាទិញ</t>
        </is>
      </c>
    </row>
    <row r="1287">
      <c r="A1287" s="3" t="inlineStr">
        <is>
          <t>slider.OperateWrap</t>
        </is>
      </c>
      <c r="B1287" s="3" t="inlineStr">
        <is>
          <t>Vận hành</t>
        </is>
      </c>
      <c r="C1287" s="3" t="inlineStr">
        <is>
          <t>Operate</t>
        </is>
      </c>
      <c r="D1287" s="217">
        <f>IFERROR(__xludf.DUMMYFUNCTION("GOOGLETRANSLATE(C1287,""vi"",""km"")"),"ប្រតិបត្តិការ")</f>
        <v/>
      </c>
      <c r="E1287" s="3" t="n"/>
      <c r="F1287" s="3" t="inlineStr">
        <is>
          <t>ប្រតិបត្តិការ</t>
        </is>
      </c>
      <c r="G1287" s="3" t="n"/>
      <c r="H1287" s="217" t="inlineStr">
        <is>
          <t>"slider.OperateWrap": "ប្រតិបត្តិការ",</t>
        </is>
      </c>
      <c r="I1287" t="inlineStr">
        <is>
          <t>ប្រតិបត្តិការ</t>
        </is>
      </c>
    </row>
    <row r="1288">
      <c r="A1288" s="3" t="inlineStr">
        <is>
          <t>slider.Operating</t>
        </is>
      </c>
      <c r="B1288" s="3" t="inlineStr">
        <is>
          <t>Điều hành</t>
        </is>
      </c>
      <c r="C1288" s="3" t="inlineStr">
        <is>
          <t>Operation</t>
        </is>
      </c>
      <c r="D1288" s="217">
        <f>IFERROR(__xludf.DUMMYFUNCTION("GOOGLETRANSLATE(C1288,""vi"",""km"")"),"ប្រតិបត្តិការ")</f>
        <v/>
      </c>
      <c r="E1288" s="3" t="n"/>
      <c r="F1288" s="3" t="inlineStr">
        <is>
          <t>ប្រតិបត្តិការ</t>
        </is>
      </c>
      <c r="G1288" s="3" t="n"/>
      <c r="H1288" s="217" t="inlineStr">
        <is>
          <t>"slider.Operating": "ប្រតិបត្តិការ",</t>
        </is>
      </c>
      <c r="I1288" t="inlineStr">
        <is>
          <t>ប្រតិបត្តិការ</t>
        </is>
      </c>
    </row>
    <row r="1289">
      <c r="A1289" s="3" t="inlineStr">
        <is>
          <t>slider.OrderStatusReport</t>
        </is>
      </c>
      <c r="B1289" s="3" t="inlineStr">
        <is>
          <t>Báo cáo đơn hàng theo trạng thái</t>
        </is>
      </c>
      <c r="C1289" s="3" t="inlineStr">
        <is>
          <t>Order status report</t>
        </is>
      </c>
      <c r="D1289" s="217">
        <f>IFERROR(__xludf.DUMMYFUNCTION("GOOGLETRANSLATE(C1289,""vi"",""km"")"),"របាយការណ៍ស្ថានភាពការបញ្ជាទិញ")</f>
        <v/>
      </c>
      <c r="E1289" s="3" t="n"/>
      <c r="F1289" s="3" t="inlineStr">
        <is>
          <t>របាយការណ៍ស្ថានភាពការបញ្ជាទិញ</t>
        </is>
      </c>
      <c r="G1289" s="3" t="n"/>
      <c r="H1289" s="217" t="inlineStr">
        <is>
          <t>"slider.OrderStatusReport": "របាយការណ៍ស្ថានភាពការបញ្ជាទិញ",</t>
        </is>
      </c>
      <c r="I1289" t="inlineStr">
        <is>
          <t>របាយការណ៍ស្ថានភាពការបញ្ជាទិញ</t>
        </is>
      </c>
    </row>
    <row r="1290">
      <c r="A1290" s="3" t="inlineStr">
        <is>
          <t>slider.OrderStatusReportLabel</t>
        </is>
      </c>
      <c r="B1290" s="3" t="inlineStr">
        <is>
          <t>Đơn hàng theo trạng thái</t>
        </is>
      </c>
      <c r="C1290" s="3" t="inlineStr">
        <is>
          <t>Order status report</t>
        </is>
      </c>
      <c r="D1290" s="217">
        <f>IFERROR(__xludf.DUMMYFUNCTION("GOOGLETRANSLATE(C1290,""vi"",""km"")"),"របាយការណ៍ស្ថានភាពការបញ្ជាទិញ")</f>
        <v/>
      </c>
      <c r="E1290" s="3" t="n"/>
      <c r="F1290" s="3" t="inlineStr">
        <is>
          <t>របាយការណ៍ស្ថានភាពការបញ្ជាទិញ</t>
        </is>
      </c>
      <c r="G1290" s="3" t="n"/>
      <c r="H1290" s="217" t="inlineStr">
        <is>
          <t>"slider.OrderStatusReportLabel": "របាយការណ៍ស្ថានភាពការបញ្ជាទិញ",</t>
        </is>
      </c>
      <c r="I1290" t="inlineStr">
        <is>
          <t>របាយការណ៍ស្ថានភាពការបញ្ជាទិញ</t>
        </is>
      </c>
    </row>
    <row r="1291">
      <c r="A1291" s="3" t="inlineStr">
        <is>
          <t>slider.OrderStatusReportLabelV2</t>
        </is>
      </c>
      <c r="B1291" s="3" t="inlineStr">
        <is>
          <t>Đơn hàng theo trạng thái</t>
        </is>
      </c>
      <c r="C1291" s="3" t="inlineStr">
        <is>
          <t>Order status report</t>
        </is>
      </c>
      <c r="D1291" s="217">
        <f>IFERROR(__xludf.DUMMYFUNCTION("GOOGLETRANSLATE(C1291,""vi"",""km"")"),"របាយការណ៍ស្ថានភាពការបញ្ជាទិញ")</f>
        <v/>
      </c>
      <c r="E1291" s="3" t="n"/>
      <c r="F1291" s="3" t="inlineStr">
        <is>
          <t>របាយការណ៍ស្ថានភាពការបញ្ជាទិញ</t>
        </is>
      </c>
      <c r="G1291" s="3" t="n"/>
      <c r="H1291" s="217" t="inlineStr">
        <is>
          <t>"slider.OrderStatusReportLabelV2": "របាយការណ៍ស្ថានភាពការបញ្ជាទិញ",</t>
        </is>
      </c>
      <c r="I1291" t="inlineStr">
        <is>
          <t>របាយការណ៍ស្ថានភាពការបញ្ជាទិញ</t>
        </is>
      </c>
    </row>
    <row r="1292">
      <c r="A1292" s="3" t="inlineStr">
        <is>
          <t>slider.OrderStatusReportV2</t>
        </is>
      </c>
      <c r="B1292" s="3" t="inlineStr">
        <is>
          <t>Báo cáo đơn hàng theo trạng thái</t>
        </is>
      </c>
      <c r="C1292" s="3" t="inlineStr">
        <is>
          <t>Order status report</t>
        </is>
      </c>
      <c r="D1292" s="217">
        <f>IFERROR(__xludf.DUMMYFUNCTION("GOOGLETRANSLATE(C1292,""vi"",""km"")"),"របាយការណ៍ស្ថានភាពការបញ្ជាទិញ")</f>
        <v/>
      </c>
      <c r="E1292" s="3" t="n"/>
      <c r="F1292" s="3" t="inlineStr">
        <is>
          <t>របាយការណ៍ស្ថានភាពការបញ្ជាទិញ</t>
        </is>
      </c>
      <c r="G1292" s="3" t="n"/>
      <c r="H1292" s="217" t="inlineStr">
        <is>
          <t>"slider.OrderStatusReportV2": "របាយការណ៍ស្ថានភាពការបញ្ជាទិញ",</t>
        </is>
      </c>
      <c r="I1292" t="inlineStr">
        <is>
          <t>របាយការណ៍ស្ថានភាពការបញ្ជាទិញ</t>
        </is>
      </c>
    </row>
    <row r="1293">
      <c r="A1293" s="3" t="inlineStr">
        <is>
          <t>slider.OutstandingDebtReport</t>
        </is>
      </c>
      <c r="B1293" s="3" t="inlineStr">
        <is>
          <t>Báo cáo tồn công nợ</t>
        </is>
      </c>
      <c r="C1293" s="3" t="inlineStr">
        <is>
          <t>Outstanding debt report</t>
        </is>
      </c>
      <c r="D1293" s="217">
        <f>IFERROR(__xludf.DUMMYFUNCTION("GOOGLETRANSLATE(C1293,""vi"",""km"")"),"របាយការណ៍បំណុលដែលមិនទាន់សង")</f>
        <v/>
      </c>
      <c r="E1293" s="3" t="n"/>
      <c r="F1293" s="3" t="inlineStr">
        <is>
          <t>របាយការណ៍បំណុលដែលមិនទាន់សង</t>
        </is>
      </c>
      <c r="G1293" s="3" t="n"/>
      <c r="H1293" s="217" t="inlineStr">
        <is>
          <t>"slider.OutstandingDebtReport": "របាយការណ៍បំណុលដែលមិនទាន់សង",</t>
        </is>
      </c>
      <c r="I1293" t="inlineStr">
        <is>
          <t>របាយការណ៍បំណុលដែលមិនទាន់សង</t>
        </is>
      </c>
    </row>
    <row r="1294">
      <c r="A1294" s="3" t="inlineStr">
        <is>
          <t>slider.Packing</t>
        </is>
      </c>
      <c r="B1294" s="3" t="inlineStr">
        <is>
          <t>Đóng tải</t>
        </is>
      </c>
      <c r="C1294" s="3" t="inlineStr">
        <is>
          <t>Packup</t>
        </is>
      </c>
      <c r="D1294" s="217">
        <f>IFERROR(__xludf.DUMMYFUNCTION("GOOGLETRANSLATE(C1294,""vi"",""km"")"),"ការវេចខ្ចប់")</f>
        <v/>
      </c>
      <c r="E1294" s="3" t="n"/>
      <c r="F1294" s="3" t="inlineStr">
        <is>
          <t>ការវេចខ្ចប់</t>
        </is>
      </c>
      <c r="G1294" s="3" t="n"/>
      <c r="H1294" s="217" t="inlineStr">
        <is>
          <t>"slider.Packing": "ការវេចខ្ចប់",</t>
        </is>
      </c>
      <c r="I1294" t="inlineStr">
        <is>
          <t>ការវេចខ្ចប់</t>
        </is>
      </c>
    </row>
    <row r="1295">
      <c r="A1295" s="3" t="inlineStr">
        <is>
          <t>slider.Personnel</t>
        </is>
      </c>
      <c r="B1295" s="3" t="inlineStr">
        <is>
          <t>Nhân sự</t>
        </is>
      </c>
      <c r="C1295" s="3" t="inlineStr">
        <is>
          <t>Human resource</t>
        </is>
      </c>
      <c r="D1295" s="217">
        <f>IFERROR(__xludf.DUMMYFUNCTION("GOOGLETRANSLATE(C1295,""vi"",""km"")"),"ធនធានមនុស្ស")</f>
        <v/>
      </c>
      <c r="E1295" s="3" t="n"/>
      <c r="F1295" s="3" t="inlineStr">
        <is>
          <t>ធនធានមនុស្ស</t>
        </is>
      </c>
      <c r="G1295" s="3" t="n"/>
      <c r="H1295" s="217" t="inlineStr">
        <is>
          <t>"slider.Personnel": "ធនធានមនុស្ស",</t>
        </is>
      </c>
      <c r="I1295" t="inlineStr">
        <is>
          <t>ធនធានមនុស្ស</t>
        </is>
      </c>
    </row>
    <row r="1296">
      <c r="A1296" s="3" t="inlineStr">
        <is>
          <t>slider.PostofficeOperating</t>
        </is>
      </c>
      <c r="B1296" s="3" t="inlineStr">
        <is>
          <t>Điều hành bưu cục</t>
        </is>
      </c>
      <c r="C1296" s="3" t="inlineStr">
        <is>
          <t>Post Office Operation</t>
        </is>
      </c>
      <c r="D1296" s="217">
        <f>IFERROR(__xludf.DUMMYFUNCTION("GOOGLETRANSLATE(C1296,""vi"",""km"")"),"ប្រតិបត្តិការការិយាល័យប្រៃសណីយ៍")</f>
        <v/>
      </c>
      <c r="E1296" s="3" t="n"/>
      <c r="F1296" s="3" t="inlineStr">
        <is>
          <t>ប្រតិបត្តិការការិយាល័យប្រៃសណីយ៍</t>
        </is>
      </c>
      <c r="G1296" s="3" t="n"/>
      <c r="H1296" s="217" t="inlineStr">
        <is>
          <t>"slider.PostofficeOperating": "ប្រតិបត្តិការការិយាល័យប្រៃសណីយ៍",</t>
        </is>
      </c>
      <c r="I1296" t="inlineStr">
        <is>
          <t>ប្រតិបត្តិការការិយាល័យប្រៃសណីយ៍</t>
        </is>
      </c>
    </row>
    <row r="1297">
      <c r="A1297" s="3" t="inlineStr">
        <is>
          <t>slider.PriceManager</t>
        </is>
      </c>
      <c r="B1297" s="3" t="inlineStr">
        <is>
          <t>Quản lý bảng giá</t>
        </is>
      </c>
      <c r="C1297" s="3" t="inlineStr">
        <is>
          <t>Price manager</t>
        </is>
      </c>
      <c r="D1297" s="217">
        <f>IFERROR(__xludf.DUMMYFUNCTION("GOOGLETRANSLATE(C1297,""vi"",""km"")"),"អ្នកគ្រប់គ្រងតម្លៃ")</f>
        <v/>
      </c>
      <c r="E1297" s="3" t="n"/>
      <c r="F1297" s="3" t="inlineStr">
        <is>
          <t>អ្នកគ្រប់គ្រងតម្លៃ</t>
        </is>
      </c>
      <c r="G1297" s="3" t="n"/>
      <c r="H1297" s="217" t="inlineStr">
        <is>
          <t>"slider.PriceManager": "អ្នកគ្រប់គ្រងតម្លៃ",</t>
        </is>
      </c>
      <c r="I1297" t="inlineStr">
        <is>
          <t>អ្នកគ្រប់គ្រងតម្លៃ</t>
        </is>
      </c>
    </row>
    <row r="1298">
      <c r="A1298" s="3" t="inlineStr">
        <is>
          <t>slider.Process</t>
        </is>
      </c>
      <c r="B1298" s="3" t="inlineStr">
        <is>
          <t>Khai thác đến</t>
        </is>
      </c>
      <c r="C1298" s="3" t="inlineStr">
        <is>
          <t>Process</t>
        </is>
      </c>
      <c r="D1298" s="217">
        <f>IFERROR(__xludf.DUMMYFUNCTION("GOOGLETRANSLATE(C1298,""vi"",""km"")"),"ដំណើរការ")</f>
        <v/>
      </c>
      <c r="E1298" s="3" t="n"/>
      <c r="F1298" s="3" t="inlineStr">
        <is>
          <t>ដំណើរការ</t>
        </is>
      </c>
      <c r="G1298" s="3" t="n"/>
      <c r="H1298" s="217" t="inlineStr">
        <is>
          <t>"slider.Process": "ដំណើរការ",</t>
        </is>
      </c>
      <c r="I1298" t="inlineStr">
        <is>
          <t>ដំណើរការ</t>
        </is>
      </c>
    </row>
    <row r="1299">
      <c r="A1299" s="3" t="inlineStr">
        <is>
          <t>slider.ReceivingKpiReport</t>
        </is>
      </c>
      <c r="B1299" s="3" t="inlineStr">
        <is>
          <t>Báo cáo KPI thu</t>
        </is>
      </c>
      <c r="C1299" s="3" t="inlineStr">
        <is>
          <t>Receving KPI report</t>
        </is>
      </c>
      <c r="D1299" s="217">
        <f>IFERROR(__xludf.DUMMYFUNCTION("GOOGLETRANSLATE(C1299,""vi"",""km"")"),"កំពុងទទួលរបាយការណ៍ KPI")</f>
        <v/>
      </c>
      <c r="E1299" s="3" t="n"/>
      <c r="F1299" s="3" t="inlineStr">
        <is>
          <t>កំពុងទទួលរបាយការណ៍ KPI</t>
        </is>
      </c>
      <c r="G1299" s="3" t="n"/>
      <c r="H1299" s="217" t="inlineStr">
        <is>
          <t>"slider.ReceivingKpiReport": "កំពុងទទួលរបាយការណ៍ KPI",</t>
        </is>
      </c>
      <c r="I1299" t="inlineStr">
        <is>
          <t>កំពុងទទួលរបាយការណ៍ KPI</t>
        </is>
      </c>
    </row>
    <row r="1300">
      <c r="A1300" s="3" t="inlineStr">
        <is>
          <t>slider.ReportManager</t>
        </is>
      </c>
      <c r="B1300" s="3" t="inlineStr">
        <is>
          <t>Báo cáo</t>
        </is>
      </c>
      <c r="C1300" s="3" t="inlineStr">
        <is>
          <t>Report</t>
        </is>
      </c>
      <c r="D1300" s="217">
        <f>IFERROR(__xludf.DUMMYFUNCTION("GOOGLETRANSLATE(C1300,""vi"",""km"")"),"រាយការណ៍")</f>
        <v/>
      </c>
      <c r="E1300" s="3" t="n"/>
      <c r="F1300" s="3" t="inlineStr">
        <is>
          <t>របាយការណ៍</t>
        </is>
      </c>
      <c r="G1300" s="3" t="n"/>
      <c r="H1300" s="217" t="inlineStr">
        <is>
          <t>"slider.ReportManager": "របាយការណ៍",</t>
        </is>
      </c>
      <c r="I1300" t="inlineStr">
        <is>
          <t>របាយការណ៍</t>
        </is>
      </c>
    </row>
    <row r="1301">
      <c r="A1301" s="3" t="inlineStr">
        <is>
          <t>slider.Revenue</t>
        </is>
      </c>
      <c r="B1301" s="3" t="inlineStr">
        <is>
          <t>Doanh thu</t>
        </is>
      </c>
      <c r="C1301" s="3" t="inlineStr">
        <is>
          <t>Revenue</t>
        </is>
      </c>
      <c r="D1301" s="217">
        <f>IFERROR(__xludf.DUMMYFUNCTION("GOOGLETRANSLATE(C1301,""vi"",""km"")"),"រូបិយប័ណ្ណ")</f>
        <v/>
      </c>
      <c r="E1301" s="3" t="n"/>
      <c r="F1301" s="3" t="inlineStr">
        <is>
          <t>រូបិយប័ណ្ណ</t>
        </is>
      </c>
      <c r="G1301" s="3" t="n"/>
      <c r="H1301" s="217" t="inlineStr">
        <is>
          <t>"slider.Revenue": "រូបិយប័ណ្ណ",</t>
        </is>
      </c>
      <c r="I1301" t="inlineStr">
        <is>
          <t>រូបិយប័ណ្ណ</t>
        </is>
      </c>
    </row>
    <row r="1302">
      <c r="A1302" s="3" t="inlineStr">
        <is>
          <t>slider.RevenueManagement</t>
        </is>
      </c>
      <c r="B1302" s="3" t="inlineStr">
        <is>
          <t>Quản lý doanh thu</t>
        </is>
      </c>
      <c r="C1302" s="3" t="inlineStr">
        <is>
          <t>Revenue management</t>
        </is>
      </c>
      <c r="D1302" s="217">
        <f>IFERROR(__xludf.DUMMYFUNCTION("GOOGLETRANSLATE(C1302,""vi"",""km"")"),"ការគ្រប់គ្រងការស្តារឡើងវិញ")</f>
        <v/>
      </c>
      <c r="E1302" s="3" t="n"/>
      <c r="F1302" s="3" t="inlineStr">
        <is>
          <t>ការគ្រប់គ្រងការស្តារឡើងវិញ</t>
        </is>
      </c>
      <c r="G1302" s="3" t="n"/>
      <c r="H1302" s="217" t="inlineStr">
        <is>
          <t>"slider.RevenueManagement": "ការគ្រប់គ្រងការស្តារឡើងវិញ",</t>
        </is>
      </c>
      <c r="I1302" t="inlineStr">
        <is>
          <t>ការគ្រប់គ្រងការស្តារឡើងវិញ</t>
        </is>
      </c>
    </row>
    <row r="1303">
      <c r="A1303" s="3" t="inlineStr">
        <is>
          <t>slider.RevenueOutput</t>
        </is>
      </c>
      <c r="B1303" s="3" t="inlineStr">
        <is>
          <t>Doanh thu sản lượng</t>
        </is>
      </c>
      <c r="C1303" s="3" t="inlineStr">
        <is>
          <t>Revenue Report</t>
        </is>
      </c>
      <c r="D1303" s="217">
        <f>IFERROR(__xludf.DUMMYFUNCTION("GOOGLETRANSLATE(C1303,""vi"",""km"")"),"របាយការណ៍ប្រាក់ចំណូល")</f>
        <v/>
      </c>
      <c r="E1303" s="3" t="n"/>
      <c r="F1303" s="3" t="inlineStr">
        <is>
          <t>របាយការណ៍ប្រាក់ចំណូល</t>
        </is>
      </c>
      <c r="G1303" s="3" t="n"/>
      <c r="H1303" s="217" t="inlineStr">
        <is>
          <t>"slider.RevenueOutput": "របាយការណ៍ប្រាក់ចំណូល",</t>
        </is>
      </c>
      <c r="I1303" t="inlineStr">
        <is>
          <t>របាយការណ៍ប្រាក់ចំណូល</t>
        </is>
      </c>
    </row>
    <row r="1304">
      <c r="A1304" s="3" t="inlineStr">
        <is>
          <t>slider.RevenueOutputNew</t>
        </is>
      </c>
      <c r="B1304" s="3" t="inlineStr">
        <is>
          <t>Doanh thu sản lượng mới</t>
        </is>
      </c>
      <c r="C1304" s="3" t="inlineStr">
        <is>
          <t>New production revenue</t>
        </is>
      </c>
      <c r="D1304" s="217">
        <f>IFERROR(__xludf.DUMMYFUNCTION("GOOGLETRANSLATE(C1304,""vi"",""km"")"),"ប្រាក់ចំណូលផលិតកម្មថ្មី")</f>
        <v/>
      </c>
      <c r="E1304" s="3" t="n"/>
      <c r="F1304" s="3" t="inlineStr">
        <is>
          <t>ប្រាក់ចំណូលផលិតកម្មថ្មី</t>
        </is>
      </c>
      <c r="G1304" s="3" t="n"/>
      <c r="H1304" s="217" t="inlineStr">
        <is>
          <t>"slider.RevenueOutputNew": "ប្រាក់ចំណូលផលិតកម្មថ្មី",</t>
        </is>
      </c>
      <c r="I1304" t="inlineStr">
        <is>
          <t>ប្រាក់ចំណូលផលិតកម្មថ្មី</t>
        </is>
      </c>
    </row>
    <row r="1305">
      <c r="A1305" s="3" t="inlineStr">
        <is>
          <t>slider.RevenueOutputV2</t>
        </is>
      </c>
      <c r="B1305" s="3" t="inlineStr">
        <is>
          <t>Doanh thu sản lượng</t>
        </is>
      </c>
      <c r="C1305" s="3" t="inlineStr">
        <is>
          <t>Revenue Report</t>
        </is>
      </c>
      <c r="D1305" s="217">
        <f>IFERROR(__xludf.DUMMYFUNCTION("GOOGLETRANSLATE(C1305,""vi"",""km"")"),"របាយការណ៍ប្រាក់ចំណូល")</f>
        <v/>
      </c>
      <c r="E1305" s="3" t="n"/>
      <c r="F1305" s="3" t="inlineStr">
        <is>
          <t>របាយការណ៍ប្រាក់ចំណូល</t>
        </is>
      </c>
      <c r="G1305" s="3" t="n"/>
      <c r="H1305" s="217" t="inlineStr">
        <is>
          <t>"slider.RevenueOutputV2": "របាយការណ៍ប្រាក់ចំណូល",</t>
        </is>
      </c>
      <c r="I1305" t="inlineStr">
        <is>
          <t>របាយការណ៍ប្រាក់ចំណូល</t>
        </is>
      </c>
    </row>
    <row r="1306">
      <c r="A1306" s="3" t="inlineStr">
        <is>
          <t>slider.Shift</t>
        </is>
      </c>
      <c r="B1306" s="3" t="inlineStr">
        <is>
          <t>Ca làm việc</t>
        </is>
      </c>
      <c r="C1306" s="3" t="inlineStr">
        <is>
          <t>Shift</t>
        </is>
      </c>
      <c r="D1306" s="217">
        <f>IFERROR(__xludf.DUMMYFUNCTION("GOOGLETRANSLATE(C1306,""vi"",""km"")"),"វេន")</f>
        <v/>
      </c>
      <c r="E1306" s="3" t="n"/>
      <c r="F1306" s="3" t="inlineStr">
        <is>
          <t>វេន</t>
        </is>
      </c>
      <c r="G1306" s="3" t="n"/>
      <c r="H1306" s="217" t="inlineStr">
        <is>
          <t>"slider.Shift": "វេន",</t>
        </is>
      </c>
      <c r="I1306" t="inlineStr">
        <is>
          <t>វេន</t>
        </is>
      </c>
    </row>
    <row r="1307">
      <c r="A1307" s="3" t="inlineStr">
        <is>
          <t>slider.SortingScreen</t>
        </is>
      </c>
      <c r="B1307" s="3" t="inlineStr">
        <is>
          <t>Cấu hình chia chọn</t>
        </is>
      </c>
      <c r="C1307" s="3" t="inlineStr">
        <is>
          <t>Sorting configuration</t>
        </is>
      </c>
      <c r="D1307" s="217">
        <f>IFERROR(__xludf.DUMMYFUNCTION("GOOGLETRANSLATE(C1307,""vi"",""km"")"),"ការកំណត់រចនាសម្ព័ន្ធការតម្រៀប")</f>
        <v/>
      </c>
      <c r="E1307" s="3" t="n"/>
      <c r="F1307" s="3" t="inlineStr">
        <is>
          <t>ការកំណត់រចនាសម្ព័ន្ធការតម្រៀប</t>
        </is>
      </c>
      <c r="G1307" s="3" t="n"/>
      <c r="H1307" s="217" t="inlineStr">
        <is>
          <t>"slider.SortingScreen": "ការកំណត់រចនាសម្ព័ន្ធការតម្រៀប",</t>
        </is>
      </c>
      <c r="I1307" t="inlineStr">
        <is>
          <t>ការកំណត់រចនាសម្ព័ន្ធការតម្រៀប</t>
        </is>
      </c>
    </row>
    <row r="1308">
      <c r="A1308" s="3" t="inlineStr">
        <is>
          <t>slider.TrackingOrder</t>
        </is>
      </c>
      <c r="B1308" s="3" t="inlineStr">
        <is>
          <t>Tra cứu hành trình</t>
        </is>
      </c>
      <c r="C1308" s="3" t="inlineStr">
        <is>
          <t>Tracking Order</t>
        </is>
      </c>
      <c r="D1308" s="217">
        <f>IFERROR(__xludf.DUMMYFUNCTION("GOOGLETRANSLATE(C1308,""vi"",""km"")"),"ការបញ្ជាទិញតាមដាន")</f>
        <v/>
      </c>
      <c r="E1308" s="3" t="n"/>
      <c r="F1308" s="3" t="inlineStr">
        <is>
          <t>ការបញ្ជាទិញតាមដាន</t>
        </is>
      </c>
      <c r="G1308" s="3" t="n"/>
      <c r="H1308" s="217" t="inlineStr">
        <is>
          <t>"slider.TrackingOrder": "ការបញ្ជាទិញតាមដាន",</t>
        </is>
      </c>
      <c r="I1308" t="inlineStr">
        <is>
          <t>ការបញ្ជាទិញតាមដាន</t>
        </is>
      </c>
    </row>
    <row r="1309">
      <c r="A1309" s="3" t="inlineStr">
        <is>
          <t>slider.UserManagement</t>
        </is>
      </c>
      <c r="B1309" s="3" t="inlineStr">
        <is>
          <t>Quản lý nhân viên</t>
        </is>
      </c>
      <c r="C1309" s="3" t="inlineStr">
        <is>
          <t>User management</t>
        </is>
      </c>
      <c r="D1309" s="217">
        <f>IFERROR(__xludf.DUMMYFUNCTION("GOOGLETRANSLATE(C1309,""vi"",""km"")"),"ការថែរក្សាស្បែករបស់អ្នកប្រើប្រាស់")</f>
        <v/>
      </c>
      <c r="E1309" s="3" t="n"/>
      <c r="F1309" s="3" t="inlineStr">
        <is>
          <t>ការថែរក្សាស្បែករបស់អ្នកប្រើប្រាស់</t>
        </is>
      </c>
      <c r="G1309" s="3" t="n"/>
      <c r="H1309" s="217" t="inlineStr">
        <is>
          <t>"slider.UserManagement": "ការថែរក្សាស្បែករបស់អ្នកប្រើប្រាស់",</t>
        </is>
      </c>
      <c r="I1309" t="inlineStr">
        <is>
          <t>ការថែរក្សាស្បែករបស់អ្នកប្រើប្រាស់</t>
        </is>
      </c>
    </row>
    <row r="1310">
      <c r="A1310" s="3" t="inlineStr">
        <is>
          <t>slider.packageComplete</t>
        </is>
      </c>
      <c r="B1310" s="3" t="inlineStr">
        <is>
          <t>Đã đóng</t>
        </is>
      </c>
      <c r="C1310" s="3" t="inlineStr">
        <is>
          <t>Completed</t>
        </is>
      </c>
      <c r="D1310" s="217">
        <f>IFERROR(__xludf.DUMMYFUNCTION("GOOGLETRANSLATE(C1310,""vi"",""km"")"),"បានគ្រោងទុក")</f>
        <v/>
      </c>
      <c r="E1310" s="3" t="n"/>
      <c r="F1310" s="3" t="inlineStr">
        <is>
          <t>បានច្រកបាវរួចរាល់</t>
        </is>
      </c>
      <c r="G1310" s="3" t="n"/>
      <c r="H1310" s="217" t="inlineStr">
        <is>
          <t>"slider.packageComplete": "បានច្រកបាវរួចរាល់",</t>
        </is>
      </c>
      <c r="I1310" t="inlineStr">
        <is>
          <t>បានច្រកបាវរួចរាល់</t>
        </is>
      </c>
    </row>
    <row r="1311">
      <c r="A1311" s="3" t="inlineStr">
        <is>
          <t>slider.packageIncomplete</t>
        </is>
      </c>
      <c r="B1311" s="3" t="inlineStr">
        <is>
          <t>Chưa đóng</t>
        </is>
      </c>
      <c r="C1311" s="3" t="inlineStr">
        <is>
          <t>Incomplete</t>
        </is>
      </c>
      <c r="D1311" s="217">
        <f>IFERROR(__xludf.DUMMYFUNCTION("GOOGLETRANSLATE(C1311,""vi"",""km"")"),"មិនពេញលេញ")</f>
        <v/>
      </c>
      <c r="E1311" s="3" t="n"/>
      <c r="F1311" s="3" t="inlineStr">
        <is>
          <t>មិនទាន់ច្រកបាវ</t>
        </is>
      </c>
      <c r="G1311" s="3" t="n"/>
      <c r="H1311" s="217" t="inlineStr">
        <is>
          <t>"slider.packageIncomplete": "មិនទាន់ច្រកបាវ",</t>
        </is>
      </c>
      <c r="I1311" t="inlineStr">
        <is>
          <t>មិនទាន់ច្រកបាវ</t>
        </is>
      </c>
    </row>
    <row r="1312">
      <c r="A1312" s="3" t="inlineStr">
        <is>
          <t>slider.packageProcess</t>
        </is>
      </c>
      <c r="B1312" s="3" t="inlineStr">
        <is>
          <t>Đang đóng</t>
        </is>
      </c>
      <c r="C1312" s="3" t="inlineStr">
        <is>
          <t>Packup in progress</t>
        </is>
      </c>
      <c r="D1312" s="217">
        <f>IFERROR(__xludf.DUMMYFUNCTION("GOOGLETRANSLATE(C1312,""vi"",""km"")"),"ការដំឡើងកំពុងដំណើរការ")</f>
        <v/>
      </c>
      <c r="E1312" s="3" t="n"/>
      <c r="F1312" s="3" t="inlineStr">
        <is>
          <t>កំពុងច្រកបាវ</t>
        </is>
      </c>
      <c r="G1312" s="3" t="n"/>
      <c r="H1312" s="217" t="inlineStr">
        <is>
          <t>"slider.packageProcess": "កំពុងច្រកបាវ",</t>
        </is>
      </c>
      <c r="I1312" t="inlineStr">
        <is>
          <t>កំពុងច្រកបាវ</t>
        </is>
      </c>
    </row>
    <row r="1313">
      <c r="A1313" s="3" t="inlineStr">
        <is>
          <t>sorting.ACTIVE</t>
        </is>
      </c>
      <c r="B1313" s="3" t="inlineStr">
        <is>
          <t>Hiệu lực</t>
        </is>
      </c>
      <c r="C1313" s="3" t="inlineStr">
        <is>
          <t>Effective</t>
        </is>
      </c>
      <c r="D1313" s="217">
        <f>IFERROR(__xludf.DUMMYFUNCTION("GOOGLETRANSLATE(C1313,""vi"",""km"")"),"មានប្រសិទ្ធភាព")</f>
        <v/>
      </c>
      <c r="E1313" s="3" t="n"/>
      <c r="F1313" s="3" t="inlineStr">
        <is>
          <t>សកម្ម</t>
        </is>
      </c>
      <c r="G1313" s="3" t="n"/>
      <c r="H1313" s="217" t="inlineStr">
        <is>
          <t>"sorting.ACTIVE": "សកម្ម",</t>
        </is>
      </c>
      <c r="I1313" t="inlineStr">
        <is>
          <t>សកម្ម</t>
        </is>
      </c>
    </row>
    <row r="1314">
      <c r="A1314" s="3" t="inlineStr">
        <is>
          <t>sorting.DOCUMENT</t>
        </is>
      </c>
      <c r="B1314" s="3" t="inlineStr">
        <is>
          <t>Thư</t>
        </is>
      </c>
      <c r="C1314" s="3" t="inlineStr">
        <is>
          <t>Document</t>
        </is>
      </c>
      <c r="D1314" s="217">
        <f>IFERROR(__xludf.DUMMYFUNCTION("GOOGLETRANSLATE(C1314,""vi"",""km"")"),"ឯកសារ")</f>
        <v/>
      </c>
      <c r="E1314" s="3" t="n"/>
      <c r="F1314" s="3" t="inlineStr">
        <is>
          <t>ឯកសារ</t>
        </is>
      </c>
      <c r="G1314" s="3" t="n"/>
      <c r="H1314" s="217" t="inlineStr">
        <is>
          <t>"sorting.DOCUMENT": "ឯកសារ",</t>
        </is>
      </c>
      <c r="I1314" t="inlineStr">
        <is>
          <t>ឯកសារ</t>
        </is>
      </c>
    </row>
    <row r="1315">
      <c r="A1315" s="3" t="inlineStr">
        <is>
          <t>sorting.EnterboxCode</t>
        </is>
      </c>
      <c r="B1315" s="3" t="inlineStr">
        <is>
          <t>Nhập số hộp</t>
        </is>
      </c>
      <c r="C1315" s="3" t="inlineStr">
        <is>
          <t>Enter box number</t>
        </is>
      </c>
      <c r="D1315" s="217">
        <f>IFERROR(__xludf.DUMMYFUNCTION("GOOGLETRANSLATE(C1315,""vi"",""km"")"),"បញ្ចូលលេខប្រអប់")</f>
        <v/>
      </c>
      <c r="E1315" s="3" t="n"/>
      <c r="F1315" s="3" t="inlineStr">
        <is>
          <t>បញ្ចូលលេខប្រអប់</t>
        </is>
      </c>
      <c r="G1315" s="3" t="n"/>
      <c r="H1315" s="217" t="inlineStr">
        <is>
          <t>"sorting.EnterboxCode": "បញ្ចូលលេខប្រអប់",</t>
        </is>
      </c>
      <c r="I1315" t="inlineStr">
        <is>
          <t>បញ្ចូលលេខប្រអប់</t>
        </is>
      </c>
    </row>
    <row r="1316">
      <c r="A1316" s="3" t="inlineStr">
        <is>
          <t>sorting.GOODS</t>
        </is>
      </c>
      <c r="B1316" s="3" t="inlineStr">
        <is>
          <t>Hàng nhỏ</t>
        </is>
      </c>
      <c r="C1316" s="3" t="inlineStr">
        <is>
          <t>Small parcel</t>
        </is>
      </c>
      <c r="D1316" s="217">
        <f>IFERROR(__xludf.DUMMYFUNCTION("GOOGLETRANSLATE(C1316,""vi"",""km"")"),"អ្នកជំងឺតូច")</f>
        <v/>
      </c>
      <c r="E1316" s="3" t="n"/>
      <c r="F1316" s="3" t="inlineStr">
        <is>
          <t>អ្នកជំងឺតូច</t>
        </is>
      </c>
      <c r="G1316" s="3" t="n"/>
      <c r="H1316" s="217" t="inlineStr">
        <is>
          <t>"sorting.GOODS": "អ្នកជំងឺតូច",</t>
        </is>
      </c>
      <c r="I1316" t="inlineStr">
        <is>
          <t>អ្នកជំងឺតូច</t>
        </is>
      </c>
    </row>
    <row r="1317">
      <c r="A1317" s="3" t="inlineStr">
        <is>
          <t>sorting.INACTIVE</t>
        </is>
      </c>
      <c r="B1317" s="3" t="inlineStr">
        <is>
          <t>Hết hiệu lực</t>
        </is>
      </c>
      <c r="C1317" s="3" t="inlineStr">
        <is>
          <t>Expired</t>
        </is>
      </c>
      <c r="D1317" s="217">
        <f>IFERROR(__xludf.DUMMYFUNCTION("GOOGLETRANSLATE(C1317,""vi"",""km"")"),"ផុតកំណត់")</f>
        <v/>
      </c>
      <c r="E1317" s="3" t="n"/>
      <c r="F1317" s="3" t="inlineStr">
        <is>
          <t>អសកម្ម</t>
        </is>
      </c>
      <c r="G1317" s="3" t="n"/>
      <c r="H1317" s="217" t="inlineStr">
        <is>
          <t>"sorting.INACTIVE": "អសកម្ម",</t>
        </is>
      </c>
      <c r="I1317" t="inlineStr">
        <is>
          <t>អសកម្ម</t>
        </is>
      </c>
    </row>
    <row r="1318">
      <c r="A1318" s="3" t="inlineStr">
        <is>
          <t>sorting.addServiceFail</t>
        </is>
      </c>
      <c r="B1318" s="3" t="inlineStr">
        <is>
          <t>Thêm dịch vụ vào nhóm dịch vụ thất bại</t>
        </is>
      </c>
      <c r="C1318" s="3" t="inlineStr">
        <is>
          <t>Failed to add service to group</t>
        </is>
      </c>
      <c r="D1318" s="217">
        <f>IFERROR(__xludf.DUMMYFUNCTION("GOOGLETRANSLATE(C1318,""vi"",""km"")"),"មិនអាចបន្ថែមសេវាកម្មទៅក្នុងក្រុមបានទេ")</f>
        <v/>
      </c>
      <c r="E1318" s="3" t="n"/>
      <c r="F1318" s="3" t="inlineStr">
        <is>
          <t>មិនអាចបន្ថែមសេវាកម្មទៅក្នុងក្រុមបានទេ</t>
        </is>
      </c>
      <c r="G1318" s="3" t="n"/>
      <c r="H1318" s="217" t="inlineStr">
        <is>
          <t>"sorting.addServiceFail": "មិនអាចបន្ថែមសេវាកម្មទៅក្នុងក្រុមបានទេ",</t>
        </is>
      </c>
      <c r="I1318" t="inlineStr">
        <is>
          <t>មិនអាចបន្ថែមសេវាកម្មទៅក្នុងក្រុមបានទេ</t>
        </is>
      </c>
    </row>
    <row r="1319">
      <c r="A1319" s="3" t="inlineStr">
        <is>
          <t>sorting.addServiceSuccess</t>
        </is>
      </c>
      <c r="B1319" s="3" t="inlineStr">
        <is>
          <t>Thêm dịch vụ vào nhóm dịch vụ thành công</t>
        </is>
      </c>
      <c r="C1319" s="3" t="inlineStr">
        <is>
          <t>Service added to group successfully</t>
        </is>
      </c>
      <c r="D1319" s="217">
        <f>IFERROR(__xludf.DUMMYFUNCTION("GOOGLETRANSLATE(C1319,""vi"",""km"")"),"សេវាកម្មត្រូវបានបន្ថែមទៅក្នុងក្រុមដោយជោគជ័យ")</f>
        <v/>
      </c>
      <c r="E1319" s="3" t="n"/>
      <c r="F1319" s="3" t="inlineStr">
        <is>
          <t>សេវាកម្មត្រូវបានបន្ថែមទៅក្នុងក្រុមដោយជោគជ័យ</t>
        </is>
      </c>
      <c r="G1319" s="3" t="n"/>
      <c r="H1319" s="217" t="inlineStr">
        <is>
          <t>"sorting.addServiceSuccess": "សេវាកម្មត្រូវបានបន្ថែមទៅក្នុងក្រុមដោយជោគជ័យ",</t>
        </is>
      </c>
      <c r="I1319" t="inlineStr">
        <is>
          <t>សេវាកម្មត្រូវបានបន្ថែមទៅក្នុងក្រុមដោយជោគជ័យ</t>
        </is>
      </c>
    </row>
    <row r="1320">
      <c r="A1320" s="3" t="inlineStr">
        <is>
          <t>sorting.boxCode</t>
        </is>
      </c>
      <c r="B1320" s="3" t="inlineStr">
        <is>
          <t>Số hộp</t>
        </is>
      </c>
      <c r="C1320" s="3" t="inlineStr">
        <is>
          <t>Box number</t>
        </is>
      </c>
      <c r="D1320" s="217">
        <f>IFERROR(__xludf.DUMMYFUNCTION("GOOGLETRANSLATE(C1320,""vi"",""km"")"),"លេខប្រអប់")</f>
        <v/>
      </c>
      <c r="E1320" s="3" t="n"/>
      <c r="F1320" s="3" t="inlineStr">
        <is>
          <t>លេខប្រអប់</t>
        </is>
      </c>
      <c r="G1320" s="3" t="n"/>
      <c r="H1320" s="217" t="inlineStr">
        <is>
          <t>"sorting.boxCode": "លេខប្រអប់",</t>
        </is>
      </c>
      <c r="I1320" t="inlineStr">
        <is>
          <t>លេខប្រអប់</t>
        </is>
      </c>
    </row>
    <row r="1321">
      <c r="A1321" s="3" t="inlineStr">
        <is>
          <t>sorting.configName</t>
        </is>
      </c>
      <c r="B1321" s="3" t="inlineStr">
        <is>
          <t>Tên cấu hình</t>
        </is>
      </c>
      <c r="C1321" s="3" t="inlineStr">
        <is>
          <t>Configuration name</t>
        </is>
      </c>
      <c r="D1321" s="217">
        <f>IFERROR(__xludf.DUMMYFUNCTION("GOOGLETRANSLATE(C1321,""vi"",""km"")"),"ឈ្មោះ​ការកំណត់​រចនាសម្ព័ន្ធ")</f>
        <v/>
      </c>
      <c r="E1321" s="3" t="n"/>
      <c r="F1321" s="3" t="inlineStr">
        <is>
          <t>ឈ្មោះការកំណត់រចនាសម្ព័ន្ធ</t>
        </is>
      </c>
      <c r="G1321" s="3" t="n"/>
      <c r="H1321" s="217" t="inlineStr">
        <is>
          <t>"sorting.configName": "ឈ្មោះការកំណត់រចនាសម្ព័ន្ធ",</t>
        </is>
      </c>
      <c r="I1321" t="inlineStr">
        <is>
          <t>ឈ្មោះការកំណត់រចនាសម្ព័ន្ធ</t>
        </is>
      </c>
    </row>
    <row r="1322">
      <c r="A1322" s="3" t="inlineStr">
        <is>
          <t>sorting.configService</t>
        </is>
      </c>
      <c r="B1322" s="3" t="inlineStr">
        <is>
          <t>Cấu hình nhóm dịch vụ</t>
        </is>
      </c>
      <c r="C1322" s="3" t="inlineStr">
        <is>
          <t>Service group configuration</t>
        </is>
      </c>
      <c r="D1322" s="217">
        <f>IFERROR(__xludf.DUMMYFUNCTION("GOOGLETRANSLATE(C1322,""vi"",""km"")"),"ការកំណត់រចនាសម្ព័ន្ធក្រុមសេវាកម្ម")</f>
        <v/>
      </c>
      <c r="E1322" s="3" t="n"/>
      <c r="F1322" s="3" t="inlineStr">
        <is>
          <t>ការកំណត់រចនាសម្ព័ន្ធក្រុមសេវាកម្ម</t>
        </is>
      </c>
      <c r="G1322" s="3" t="n"/>
      <c r="H1322" s="217" t="inlineStr">
        <is>
          <t>"sorting.configService": "ការកំណត់រចនាសម្ព័ន្ធក្រុមសេវាកម្ម",</t>
        </is>
      </c>
      <c r="I1322" t="inlineStr">
        <is>
          <t>ការកំណត់រចនាសម្ព័ន្ធក្រុមសេវាកម្ម</t>
        </is>
      </c>
    </row>
    <row r="1323">
      <c r="A1323" s="3" t="inlineStr">
        <is>
          <t>sorting.configSorting</t>
        </is>
      </c>
      <c r="B1323" s="3" t="inlineStr">
        <is>
          <t>Cấu hình chia chọn</t>
        </is>
      </c>
      <c r="C1323" s="3" t="inlineStr">
        <is>
          <t>Sorting configuration</t>
        </is>
      </c>
      <c r="D1323" s="217">
        <f>IFERROR(__xludf.DUMMYFUNCTION("GOOGLETRANSLATE(C1323,""vi"",""km"")"),"ការកំណត់រចនាសម្ព័ន្ធការតម្រៀប")</f>
        <v/>
      </c>
      <c r="E1323" s="3" t="n"/>
      <c r="F1323" s="3" t="inlineStr">
        <is>
          <t>ការកំណត់រចនាសម្ព័ន្ធការតម្រៀប</t>
        </is>
      </c>
      <c r="G1323" s="3" t="n"/>
      <c r="H1323" s="217" t="inlineStr">
        <is>
          <t>"sorting.configSorting": "ការកំណត់រចនាសម្ព័ន្ធការតម្រៀប",</t>
        </is>
      </c>
      <c r="I1323" t="inlineStr">
        <is>
          <t>ការកំណត់រចនាសម្ព័ន្ធការតម្រៀប</t>
        </is>
      </c>
    </row>
    <row r="1324">
      <c r="A1324" s="3" t="inlineStr">
        <is>
          <t>sorting.configZone</t>
        </is>
      </c>
      <c r="B1324" s="3" t="inlineStr">
        <is>
          <t>Cấu hình vùng đi, vùng đến</t>
        </is>
      </c>
      <c r="C1324" s="3" t="inlineStr">
        <is>
          <t>Origin and destination zone configuration</t>
        </is>
      </c>
      <c r="D1324" s="217">
        <f>IFERROR(__xludf.DUMMYFUNCTION("GOOGLETRANSLATE(C1324,""vi"",""km"")"),"ការកំណត់រចនាសម្ព័ន្ធតំបន់ដើម និងតំបន់គោលដៅ")</f>
        <v/>
      </c>
      <c r="E1324" s="3" t="n"/>
      <c r="F1324" s="3" t="inlineStr">
        <is>
          <t>ការកំណត់រចនាសម្ព័ន្ធតំបន់ដើម និងតំបន់គោលដៅ</t>
        </is>
      </c>
      <c r="G1324" s="3" t="n"/>
      <c r="H1324" s="217" t="inlineStr">
        <is>
          <t>"sorting.configZone": "ការកំណត់រចនាសម្ព័ន្ធតំបន់ដើម និងតំបន់គោលដៅ",</t>
        </is>
      </c>
      <c r="I1324" t="inlineStr">
        <is>
          <t>ការកំណត់រចនាសម្ព័ន្ធតំបន់ដើម និងតំបន់គោលដៅ</t>
        </is>
      </c>
    </row>
    <row r="1325">
      <c r="A1325" s="3" t="inlineStr">
        <is>
          <t>sorting.confirmChangeStatus</t>
        </is>
      </c>
      <c r="B1325" s="3" t="inlineStr">
        <is>
          <t>Quý khách có chắc chắn muốn {{status}} nhóm dịch vụ</t>
        </is>
      </c>
      <c r="C1325" s="3" t="inlineStr">
        <is>
          <t>Are you sure you want to {{status}} the service group</t>
        </is>
      </c>
      <c r="D1325" s="217">
        <f>IFERROR(__xludf.DUMMYFUNCTION("GOOGLETRANSLATE(C1325,""vi"",""km"")"),"តើអ្នកពិតជាចង់ {{status}} ក្រុមសេវាកម្មមែនទេ?")</f>
        <v/>
      </c>
      <c r="E1325" s="3" t="n"/>
      <c r="F1325" s="3" t="inlineStr">
        <is>
          <t>តើអ្នកពិតជាចង់ {{status}} ក្រុមសេវាកម្មមែនទេ?</t>
        </is>
      </c>
      <c r="G1325" s="3" t="n"/>
      <c r="H1325" s="217" t="inlineStr">
        <is>
          <t>"sorting.confirmChangeStatus": "តើអ្នកពិតជាចង់ {{status}} ក្រុមសេវាកម្មមែនទេ?",</t>
        </is>
      </c>
      <c r="I1325" t="inlineStr">
        <is>
          <t>តើអ្នកពិតជាចង់ {{status}} ក្រុមសេវាកម្មមែនទេ?</t>
        </is>
      </c>
    </row>
    <row r="1326">
      <c r="A1326" s="3" t="inlineStr">
        <is>
          <t>sorting.confirmChangeStatusSorting</t>
        </is>
      </c>
      <c r="B1326" s="3" t="inlineStr">
        <is>
          <t>Quý khách có chắc chắn muốn {{status}} tuyến</t>
        </is>
      </c>
      <c r="C1326" s="3" t="inlineStr">
        <is>
          <t>Are you sure you want to {{status}} the route</t>
        </is>
      </c>
      <c r="D1326" s="217">
        <f>IFERROR(__xludf.DUMMYFUNCTION("GOOGLETRANSLATE(C1326,""vi"",""km"")"),"តើអ្នកពិតជាចង់ {{status}} ផ្លូវមែនទេ?")</f>
        <v/>
      </c>
      <c r="E1326" s="3" t="n"/>
      <c r="F1326" s="3" t="inlineStr">
        <is>
          <t>តើអ្នកពិតជាចង់ {{status}} ផ្លូវមែនទេ?</t>
        </is>
      </c>
      <c r="G1326" s="3" t="n"/>
      <c r="H1326" s="217" t="inlineStr">
        <is>
          <t>"sorting.confirmChangeStatusSorting": "តើអ្នកពិតជាចង់ {{status}} ផ្លូវមែនទេ?",</t>
        </is>
      </c>
      <c r="I1326" t="inlineStr">
        <is>
          <t>តើអ្នកពិតជាចង់ {{status}} ផ្លូវមែនទេ?</t>
        </is>
      </c>
    </row>
    <row r="1327">
      <c r="A1327" s="3" t="inlineStr">
        <is>
          <t>sorting.confirmChangeStatusZone</t>
        </is>
      </c>
      <c r="B1327" s="3" t="inlineStr">
        <is>
          <t>Quý khách có chắc chắn muốn {{status}} tuyến</t>
        </is>
      </c>
      <c r="C1327" s="3" t="inlineStr">
        <is>
          <t>Are you sure you want to {{status}} the route</t>
        </is>
      </c>
      <c r="D1327" s="217">
        <f>IFERROR(__xludf.DUMMYFUNCTION("GOOGLETRANSLATE(C1327,""vi"",""km"")"),"តើអ្នកពិតជាចង់ {{status}} ផ្លូវមែនទេ?")</f>
        <v/>
      </c>
      <c r="E1327" s="3" t="n"/>
      <c r="F1327" s="3" t="inlineStr">
        <is>
          <t>តើអ្នកពិតជាចង់ {{status}} ផ្លូវមែនទេ?</t>
        </is>
      </c>
      <c r="G1327" s="3" t="n"/>
      <c r="H1327" s="217" t="inlineStr">
        <is>
          <t>"sorting.confirmChangeStatusZone": "តើអ្នកពិតជាចង់ {{status}} ផ្លូវមែនទេ?",</t>
        </is>
      </c>
      <c r="I1327" t="inlineStr">
        <is>
          <t>តើអ្នកពិតជាចង់ {{status}} ផ្លូវមែនទេ?</t>
        </is>
      </c>
    </row>
    <row r="1328">
      <c r="A1328" s="3" t="inlineStr">
        <is>
          <t>sorting.createConfigSorting</t>
        </is>
      </c>
      <c r="B1328" s="3" t="inlineStr">
        <is>
          <t>Tạo mới cấu hình thành công</t>
        </is>
      </c>
      <c r="C1328" s="3" t="inlineStr">
        <is>
          <t>Configuration created successfully</t>
        </is>
      </c>
      <c r="D1328" s="217">
        <f>IFERROR(__xludf.DUMMYFUNCTION("GOOGLETRANSLATE(C1328,""vi"",""km"")"),"ការកំណត់រចនាសម្ព័ន្ធត្រូវបានបង្កើតដោយជោគជ័យ")</f>
        <v/>
      </c>
      <c r="E1328" s="3" t="n"/>
      <c r="F1328" s="3" t="inlineStr">
        <is>
          <t>ការកំណត់រចនាសម្ព័ន្ធត្រូវបានបង្កើតដោយជោគជ័យ</t>
        </is>
      </c>
      <c r="G1328" s="3" t="n"/>
      <c r="H1328" s="217" t="inlineStr">
        <is>
          <t>"sorting.createConfigSorting": "ការកំណត់រចនាសម្ព័ន្ធត្រូវបានបង្កើតដោយជោគជ័យ",</t>
        </is>
      </c>
      <c r="I1328" t="inlineStr">
        <is>
          <t>ការកំណត់រចនាសម្ព័ន្ធត្រូវបានបង្កើតដោយជោគជ័យ</t>
        </is>
      </c>
    </row>
    <row r="1329">
      <c r="A1329" s="3" t="inlineStr">
        <is>
          <t>sorting.createConfigZone</t>
        </is>
      </c>
      <c r="B1329" s="3" t="inlineStr">
        <is>
          <t>Thêm mới cấu hình thành công!</t>
        </is>
      </c>
      <c r="C1329" s="3" t="inlineStr">
        <is>
          <t>Configuration created successfully!</t>
        </is>
      </c>
      <c r="D1329" s="217">
        <f>IFERROR(__xludf.DUMMYFUNCTION("GOOGLETRANSLATE(C1329,""vi"",""km"")"),"ការកំណត់រចនាសម្ព័ន្ធត្រូវបានបង្កើតដោយជោគជ័យ!")</f>
        <v/>
      </c>
      <c r="E1329" s="3" t="n"/>
      <c r="F1329" s="3" t="inlineStr">
        <is>
          <t>ការកំណត់រចនាសម្ព័ន្ធត្រូវបានបង្កើតដោយជោគជ័យ!</t>
        </is>
      </c>
      <c r="G1329" s="3" t="n"/>
      <c r="H1329" s="217" t="inlineStr">
        <is>
          <t>"sorting.createConfigZone": "ការកំណត់រចនាសម្ព័ន្ធត្រូវបានបង្កើតដោយជោគជ័យ!",</t>
        </is>
      </c>
      <c r="I1329" t="inlineStr">
        <is>
          <t>ការកំណត់រចនាសម្ព័ន្ធត្រូវបានបង្កើតដោយជោគជ័យ!</t>
        </is>
      </c>
    </row>
    <row r="1330">
      <c r="A1330" s="3" t="inlineStr">
        <is>
          <t>sorting.createService</t>
        </is>
      </c>
      <c r="B1330" s="3" t="inlineStr">
        <is>
          <t>Thêm mới nhóm dịch vụ</t>
        </is>
      </c>
      <c r="C1330" s="3" t="inlineStr">
        <is>
          <t>Add new service group</t>
        </is>
      </c>
      <c r="D1330" s="217">
        <f>IFERROR(__xludf.DUMMYFUNCTION("GOOGLETRANSLATE(C1330,""vi"",""km"")"),"បន្ថែមក្រុមសេវាកម្មថ្មី")</f>
        <v/>
      </c>
      <c r="E1330" s="3" t="n"/>
      <c r="F1330" s="3" t="inlineStr">
        <is>
          <t>បន្ថែមក្រុមសេវាកម្មថ្មី</t>
        </is>
      </c>
      <c r="G1330" s="3" t="n"/>
      <c r="H1330" s="217" t="inlineStr">
        <is>
          <t>"sorting.createService": "បន្ថែមក្រុមសេវាកម្មថ្មី",</t>
        </is>
      </c>
      <c r="I1330" t="inlineStr">
        <is>
          <t>បន្ថែមក្រុមសេវាកម្មថ្មី</t>
        </is>
      </c>
    </row>
    <row r="1331">
      <c r="A1331" s="3" t="inlineStr">
        <is>
          <t>sorting.createServiceGroup</t>
        </is>
      </c>
      <c r="B1331" s="3" t="inlineStr">
        <is>
          <t>Thêm mới nhóm dịch vụ thành công!</t>
        </is>
      </c>
      <c r="C1331" s="3" t="inlineStr">
        <is>
          <t>Service group created successfully!</t>
        </is>
      </c>
      <c r="D1331" s="217">
        <f>IFERROR(__xludf.DUMMYFUNCTION("GOOGLETRANSLATE(C1331,""vi"",""km"")"),"ក្រុមសេវាកម្មត្រូវបានបង្កើតដោយជោគជ័យ!")</f>
        <v/>
      </c>
      <c r="E1331" s="3" t="n"/>
      <c r="F1331" s="3" t="inlineStr">
        <is>
          <t>ក្រុមសេវាកម្មត្រូវបានបង្កើតដោយជោគជ័យ!</t>
        </is>
      </c>
      <c r="G1331" s="3" t="n"/>
      <c r="H1331" s="217" t="inlineStr">
        <is>
          <t>"sorting.createServiceGroup": "ក្រុមសេវាកម្មត្រូវបានបង្កើតដោយជោគជ័យ!",</t>
        </is>
      </c>
      <c r="I1331" t="inlineStr">
        <is>
          <t>ក្រុមសេវាកម្មត្រូវបានបង្កើតដោយជោគជ័យ!</t>
        </is>
      </c>
    </row>
    <row r="1332">
      <c r="A1332" s="3" t="inlineStr">
        <is>
          <t>sorting.createServiceGroupFail</t>
        </is>
      </c>
      <c r="B1332" s="3" t="inlineStr">
        <is>
          <t>Thêm mới nhóm dịch vụ thất bại</t>
        </is>
      </c>
      <c r="C1332" s="3" t="inlineStr">
        <is>
          <t>Failed to create service group</t>
        </is>
      </c>
      <c r="D1332" s="217">
        <f>IFERROR(__xludf.DUMMYFUNCTION("GOOGLETRANSLATE(C1332,""vi"",""km"")"),"មិនអាចបង្កើតក្រុមសេវាកម្មបានទេ")</f>
        <v/>
      </c>
      <c r="E1332" s="3" t="n"/>
      <c r="F1332" s="3" t="inlineStr">
        <is>
          <t>មិនអាចបង្កើតក្រុមសេវាកម្មបានទេ</t>
        </is>
      </c>
      <c r="G1332" s="3" t="n"/>
      <c r="H1332" s="217" t="inlineStr">
        <is>
          <t>"sorting.createServiceGroupFail": "មិនអាចបង្កើតក្រុមសេវាកម្មបានទេ",</t>
        </is>
      </c>
      <c r="I1332" t="inlineStr">
        <is>
          <t>មិនអាចបង្កើតក្រុមសេវាកម្មបានទេ</t>
        </is>
      </c>
    </row>
    <row r="1333">
      <c r="A1333" s="3" t="inlineStr">
        <is>
          <t>sorting.createSorting</t>
        </is>
      </c>
      <c r="B1333" s="3" t="inlineStr">
        <is>
          <t>Thêm mới cấu hình</t>
        </is>
      </c>
      <c r="C1333" s="3" t="inlineStr">
        <is>
          <t>Add new configuration</t>
        </is>
      </c>
      <c r="D1333" s="217">
        <f>IFERROR(__xludf.DUMMYFUNCTION("GOOGLETRANSLATE(C1333,""vi"",""km"")"),"បន្ថែមការកំណត់រចនាសម្ព័ន្ធថ្មី")</f>
        <v/>
      </c>
      <c r="E1333" s="3" t="n"/>
      <c r="F1333" s="3" t="inlineStr">
        <is>
          <t>បន្ថែមការកំណត់ថ្មី</t>
        </is>
      </c>
      <c r="G1333" s="3" t="n"/>
      <c r="H1333" s="217" t="inlineStr">
        <is>
          <t>"sorting.createSorting": "បន្ថែមការកំណត់ថ្មី",</t>
        </is>
      </c>
      <c r="I1333" t="inlineStr">
        <is>
          <t>បន្ថែមការកំណត់ថ្មី</t>
        </is>
      </c>
    </row>
    <row r="1334">
      <c r="A1334" s="3" t="inlineStr">
        <is>
          <t>sorting.createZone</t>
        </is>
      </c>
      <c r="B1334" s="3" t="inlineStr">
        <is>
          <t>Thêm mới cấu hình</t>
        </is>
      </c>
      <c r="C1334" s="3" t="inlineStr">
        <is>
          <t>Add new configuration</t>
        </is>
      </c>
      <c r="D1334" s="217">
        <f>IFERROR(__xludf.DUMMYFUNCTION("GOOGLETRANSLATE(C1334,""vi"",""km"")"),"បន្ថែមការកំណត់រចនាសម្ព័ន្ធថ្មី")</f>
        <v/>
      </c>
      <c r="E1334" s="3" t="n"/>
      <c r="F1334" s="3" t="inlineStr">
        <is>
          <t>បន្ថែមការកំណត់ថ្មី</t>
        </is>
      </c>
      <c r="G1334" s="3" t="n"/>
      <c r="H1334" s="217" t="inlineStr">
        <is>
          <t>"sorting.createZone": "បន្ថែមការកំណត់ថ្មី",</t>
        </is>
      </c>
      <c r="I1334" t="inlineStr">
        <is>
          <t>បន្ថែមការកំណត់ថ្មី</t>
        </is>
      </c>
    </row>
    <row r="1335">
      <c r="A1335" s="3" t="inlineStr">
        <is>
          <t>sorting.createZoneSuccess</t>
        </is>
      </c>
      <c r="B1335" s="3" t="inlineStr">
        <is>
          <t>Thêm mới chi tiết cấu hình thành công!</t>
        </is>
      </c>
      <c r="C1335" s="3" t="inlineStr">
        <is>
          <t>Configuration detail created successfully!</t>
        </is>
      </c>
      <c r="D1335" s="217">
        <f>IFERROR(__xludf.DUMMYFUNCTION("GOOGLETRANSLATE(C1335,""vi"",""km"")"),"ព័ត៌មានលម្អិតអំពីការកំណត់រចនាសម្ព័ន្ធត្រូវបានបង្កើតដោយជោគជ័យ!")</f>
        <v/>
      </c>
      <c r="E1335" s="3" t="n"/>
      <c r="F1335" s="3" t="inlineStr">
        <is>
          <t>ព័ត៌មានលម្អិតអំពីការកំណត់រចនាសម្ព័ន្ធត្រូវបានបង្កើតដោយជោគជ័យ!</t>
        </is>
      </c>
      <c r="G1335" s="3" t="n"/>
      <c r="H1335" s="217" t="inlineStr">
        <is>
          <t>"sorting.createZoneSuccess": "ព័ត៌មានលម្អិតអំពីការកំណត់រចនាសម្ព័ន្ធត្រូវបានបង្កើតដោយជោគជ័យ!",</t>
        </is>
      </c>
      <c r="I1335" t="inlineStr">
        <is>
          <t>ព័ត៌មានលម្អិតអំពីការកំណត់រចនាសម្ព័ន្ធត្រូវបានបង្កើតដោយជោគជ័យ!</t>
        </is>
      </c>
    </row>
    <row r="1336">
      <c r="A1336" s="3" t="inlineStr">
        <is>
          <t>sorting.deleteService</t>
        </is>
      </c>
      <c r="B1336" s="3" t="inlineStr">
        <is>
          <t>Quý khách có chắc chắn muốn xoá dịch vụ</t>
        </is>
      </c>
      <c r="C1336" s="3" t="inlineStr">
        <is>
          <t>Are you sure you want to delete the service</t>
        </is>
      </c>
      <c r="D1336" s="217">
        <f>IFERROR(__xludf.DUMMYFUNCTION("GOOGLETRANSLATE(C1336,""vi"",""km"")"),"តើអ្នកពិតជាចង់លុបសេវាកម្មនេះមែនទេ?")</f>
        <v/>
      </c>
      <c r="E1336" s="3" t="n"/>
      <c r="F1336" s="3" t="inlineStr">
        <is>
          <t>តើអ្នកពិតជាចង់លុបសេវាកម្មនេះមែនទេ?</t>
        </is>
      </c>
      <c r="G1336" s="3" t="n"/>
      <c r="H1336" s="217" t="inlineStr">
        <is>
          <t>"sorting.deleteService": "តើអ្នកពិតជាចង់លុបសេវាកម្មនេះមែនទេ?",</t>
        </is>
      </c>
      <c r="I1336" t="inlineStr">
        <is>
          <t>តើអ្នកពិតជាចង់លុបសេវាកម្មនេះមែនទេ?</t>
        </is>
      </c>
    </row>
    <row r="1337">
      <c r="A1337" s="3" t="inlineStr">
        <is>
          <t>sorting.deleteServiceFail</t>
        </is>
      </c>
      <c r="B1337" s="3" t="inlineStr">
        <is>
          <t>Loại bỏ dịch vụ thất bại</t>
        </is>
      </c>
      <c r="C1337" s="3" t="inlineStr">
        <is>
          <t>Failed to remove service</t>
        </is>
      </c>
      <c r="D1337" s="217">
        <f>IFERROR(__xludf.DUMMYFUNCTION("GOOGLETRANSLATE(C1337,""vi"",""km"")"),"មិនអាចលុបសេវាកម្មបានទេ")</f>
        <v/>
      </c>
      <c r="E1337" s="3" t="n"/>
      <c r="F1337" s="3" t="inlineStr">
        <is>
          <t>មិនអាចលុបសេវាកម្មបានទេ</t>
        </is>
      </c>
      <c r="G1337" s="3" t="n"/>
      <c r="H1337" s="217" t="inlineStr">
        <is>
          <t>"sorting.deleteServiceFail": "មិនអាចលុបសេវាកម្មបានទេ",</t>
        </is>
      </c>
      <c r="I1337" t="inlineStr">
        <is>
          <t>មិនអាចលុបសេវាកម្មបានទេ</t>
        </is>
      </c>
    </row>
    <row r="1338">
      <c r="A1338" s="3" t="inlineStr">
        <is>
          <t>sorting.deleteServiceSuccess</t>
        </is>
      </c>
      <c r="B1338" s="3" t="inlineStr">
        <is>
          <t>Loại bỏ dịch vụ thành công</t>
        </is>
      </c>
      <c r="C1338" s="3" t="inlineStr">
        <is>
          <t>Service removed successfully</t>
        </is>
      </c>
      <c r="D1338" s="217">
        <f>IFERROR(__xludf.DUMMYFUNCTION("GOOGLETRANSLATE(C1338,""vi"",""km"")"),"សេវាកម្មត្រូវបានដកចេញដោយជោគជ័យ")</f>
        <v/>
      </c>
      <c r="E1338" s="3" t="n"/>
      <c r="F1338" s="3" t="inlineStr">
        <is>
          <t>សេវាកម្មត្រូវបានដកចេញដោយជោគជ័យ</t>
        </is>
      </c>
      <c r="G1338" s="3" t="n"/>
      <c r="H1338" s="217" t="inlineStr">
        <is>
          <t>"sorting.deleteServiceSuccess": "សេវាកម្មត្រូវបានដកចេញដោយជោគជ័យ",</t>
        </is>
      </c>
      <c r="I1338" t="inlineStr">
        <is>
          <t>សេវាកម្មត្រូវបានដកចេញដោយជោគជ័យ</t>
        </is>
      </c>
    </row>
    <row r="1339">
      <c r="A1339" s="3" t="inlineStr">
        <is>
          <t>sorting.deliveryListZone</t>
        </is>
      </c>
      <c r="B1339" s="3" t="inlineStr">
        <is>
          <t>Danh sách vùng đến</t>
        </is>
      </c>
      <c r="C1339" s="3" t="inlineStr">
        <is>
          <t>Destination zone list</t>
        </is>
      </c>
      <c r="D1339" s="217">
        <f>IFERROR(__xludf.DUMMYFUNCTION("GOOGLETRANSLATE(C1339,""vi"",""km"")"),"បញ្ជីតំបន់គោលដៅ")</f>
        <v/>
      </c>
      <c r="E1339" s="3" t="n"/>
      <c r="F1339" s="3" t="inlineStr">
        <is>
          <t>បញ្ជីតំបន់គោលដៅ</t>
        </is>
      </c>
      <c r="G1339" s="3" t="n"/>
      <c r="H1339" s="217" t="inlineStr">
        <is>
          <t>"sorting.deliveryListZone": "បញ្ជីតំបន់គោលដៅ",</t>
        </is>
      </c>
      <c r="I1339" t="inlineStr">
        <is>
          <t>បញ្ជីតំបន់គោលដៅ</t>
        </is>
      </c>
    </row>
    <row r="1340">
      <c r="A1340" s="3" t="inlineStr">
        <is>
          <t>sorting.deliveryZone</t>
        </is>
      </c>
      <c r="B1340" s="3" t="inlineStr">
        <is>
          <t>Vùng đến</t>
        </is>
      </c>
      <c r="C1340" s="3" t="inlineStr">
        <is>
          <t>Destination zone</t>
        </is>
      </c>
      <c r="D1340" s="217">
        <f>IFERROR(__xludf.DUMMYFUNCTION("GOOGLETRANSLATE(C1340,""vi"",""km"")"),"តំបន់គោលដៅ")</f>
        <v/>
      </c>
      <c r="E1340" s="3" t="n"/>
      <c r="F1340" s="3" t="inlineStr">
        <is>
          <t>តំបន់គោលដៅ</t>
        </is>
      </c>
      <c r="G1340" s="3" t="n"/>
      <c r="H1340" s="217" t="inlineStr">
        <is>
          <t>"sorting.deliveryZone": "តំបន់គោលដៅ",</t>
        </is>
      </c>
      <c r="I1340" t="inlineStr">
        <is>
          <t>តំបន់គោលដៅ</t>
        </is>
      </c>
    </row>
    <row r="1341">
      <c r="A1341" s="3" t="inlineStr">
        <is>
          <t>sorting.deliveryZoneType</t>
        </is>
      </c>
      <c r="B1341" s="3" t="inlineStr">
        <is>
          <t>Loại vùng đến</t>
        </is>
      </c>
      <c r="C1341" s="3" t="inlineStr">
        <is>
          <t>Destination zone type</t>
        </is>
      </c>
      <c r="D1341" s="217">
        <f>IFERROR(__xludf.DUMMYFUNCTION("GOOGLETRANSLATE(C1341,""vi"",""km"")"),"ប្រភេទតំបន់គោលដៅ")</f>
        <v/>
      </c>
      <c r="E1341" s="3" t="n"/>
      <c r="F1341" s="3" t="inlineStr">
        <is>
          <t>ប្រភេទតំបន់គោលដៅ</t>
        </is>
      </c>
      <c r="G1341" s="3" t="n"/>
      <c r="H1341" s="217" t="inlineStr">
        <is>
          <t>"sorting.deliveryZoneType": "ប្រភេទតំបន់គោលដៅ",</t>
        </is>
      </c>
      <c r="I1341" t="inlineStr">
        <is>
          <t>ប្រភេទតំបន់គោលដៅ</t>
        </is>
      </c>
    </row>
    <row r="1342">
      <c r="A1342" s="3" t="inlineStr">
        <is>
          <t>sorting.destination</t>
        </is>
      </c>
      <c r="B1342" s="3" t="inlineStr">
        <is>
          <t>Điểm đến</t>
        </is>
      </c>
      <c r="C1342" s="3" t="inlineStr">
        <is>
          <t>Destination</t>
        </is>
      </c>
      <c r="D1342" s="217">
        <f>IFERROR(__xludf.DUMMYFUNCTION("GOOGLETRANSLATE(C1342,""vi"",""km"")"),"គោលដៅ")</f>
        <v/>
      </c>
      <c r="E1342" s="3" t="n"/>
      <c r="F1342" s="3" t="inlineStr">
        <is>
          <t>គោលដៅ</t>
        </is>
      </c>
      <c r="G1342" s="3" t="n"/>
      <c r="H1342" s="217" t="inlineStr">
        <is>
          <t>"sorting.destination": "គោលដៅ",</t>
        </is>
      </c>
      <c r="I1342" t="inlineStr">
        <is>
          <t>គោលដៅ</t>
        </is>
      </c>
    </row>
    <row r="1343">
      <c r="A1343" s="3" t="inlineStr">
        <is>
          <t>sorting.detailService</t>
        </is>
      </c>
      <c r="B1343" s="3" t="inlineStr">
        <is>
          <t>Thông tin nhóm dịch vụ</t>
        </is>
      </c>
      <c r="C1343" s="3" t="inlineStr">
        <is>
          <t>Service group details</t>
        </is>
      </c>
      <c r="D1343" s="217">
        <f>IFERROR(__xludf.DUMMYFUNCTION("GOOGLETRANSLATE(C1343,""vi"",""km"")"),"ព័ត៌មានលម្អិតអំពីក្រុមសេវាកម្ម")</f>
        <v/>
      </c>
      <c r="E1343" s="3" t="n"/>
      <c r="F1343" s="3" t="inlineStr">
        <is>
          <t>ព័ត៌មានលម្អិតអំពីក្រុមសេវាកម្ម</t>
        </is>
      </c>
      <c r="G1343" s="3" t="n"/>
      <c r="H1343" s="217" t="inlineStr">
        <is>
          <t>"sorting.detailService": "ព័ត៌មានលម្អិតអំពីក្រុមសេវាកម្ម",</t>
        </is>
      </c>
      <c r="I1343" t="inlineStr">
        <is>
          <t>ព័ត៌មានលម្អិតអំពីក្រុមសេវាកម្ម</t>
        </is>
      </c>
    </row>
    <row r="1344">
      <c r="A1344" s="3" t="inlineStr">
        <is>
          <t>sorting.detailSorting</t>
        </is>
      </c>
      <c r="B1344" s="3" t="inlineStr">
        <is>
          <t>Thông tin cấu hình</t>
        </is>
      </c>
      <c r="C1344" s="3" t="inlineStr">
        <is>
          <t>Configuration details</t>
        </is>
      </c>
      <c r="D1344" s="217">
        <f>IFERROR(__xludf.DUMMYFUNCTION("GOOGLETRANSLATE(C1344,""vi"",""km"")"),"លទ្ធផល​នៃ​ការកំណត់​រចនាសម្ព័ន្ធ")</f>
        <v/>
      </c>
      <c r="E1344" s="3" t="n"/>
      <c r="F1344" s="3" t="inlineStr">
        <is>
          <t>លទ្ធផលនៃការកំណត់រចនាសម្ព័ន្ធ</t>
        </is>
      </c>
      <c r="G1344" s="3" t="n"/>
      <c r="H1344" s="217" t="inlineStr">
        <is>
          <t>"sorting.detailSorting": "លទ្ធផលនៃការកំណត់រចនាសម្ព័ន្ធ",</t>
        </is>
      </c>
      <c r="I1344" t="inlineStr">
        <is>
          <t>លទ្ធផលនៃការកំណត់រចនាសម្ព័ន្ធ</t>
        </is>
      </c>
    </row>
    <row r="1345">
      <c r="A1345" s="3" t="inlineStr">
        <is>
          <t>sorting.detailZone</t>
        </is>
      </c>
      <c r="B1345" s="3" t="inlineStr">
        <is>
          <t>Thông tin cấu hình</t>
        </is>
      </c>
      <c r="C1345" s="3" t="inlineStr">
        <is>
          <t>Configuration details</t>
        </is>
      </c>
      <c r="D1345" s="217">
        <f>IFERROR(__xludf.DUMMYFUNCTION("GOOGLETRANSLATE(C1345,""vi"",""km"")"),"លទ្ធផល​នៃ​ការកំណត់​រចនាសម្ព័ន្ធ")</f>
        <v/>
      </c>
      <c r="E1345" s="3" t="n"/>
      <c r="F1345" s="3" t="inlineStr">
        <is>
          <t>លទ្ធផលនៃការកំណត់រចនាសម្ព័ន្ធ</t>
        </is>
      </c>
      <c r="G1345" s="3" t="n"/>
      <c r="H1345" s="217" t="inlineStr">
        <is>
          <t>"sorting.detailZone": "លទ្ធផលនៃការកំណត់រចនាសម្ព័ន្ធ",</t>
        </is>
      </c>
      <c r="I1345" t="inlineStr">
        <is>
          <t>លទ្ធផលនៃការកំណត់រចនាសម្ព័ន្ធ</t>
        </is>
      </c>
    </row>
    <row r="1346">
      <c r="A1346" s="3" t="inlineStr">
        <is>
          <t>sorting.emptyDeliveryZone</t>
        </is>
      </c>
      <c r="B1346" s="3" t="inlineStr">
        <is>
          <t>Vui lòng chọn vùng đến!</t>
        </is>
      </c>
      <c r="C1346" s="3" t="inlineStr">
        <is>
          <t>Please select a destination zone!</t>
        </is>
      </c>
      <c r="D1346" s="217">
        <f>IFERROR(__xludf.DUMMYFUNCTION("GOOGLETRANSLATE(C1346,""vi"",""km"")"),"សូមជ្រើសរើសតំបន់គោលដៅ!")</f>
        <v/>
      </c>
      <c r="E1346" s="3" t="n"/>
      <c r="F1346" s="3" t="inlineStr">
        <is>
          <t>សូមជ្រើសរើសតំបន់គោលដៅ!</t>
        </is>
      </c>
      <c r="G1346" s="3" t="n"/>
      <c r="H1346" s="217" t="inlineStr">
        <is>
          <t>"sorting.emptyDeliveryZone": "សូមជ្រើសរើសតំបន់គោលដៅ!",</t>
        </is>
      </c>
      <c r="I1346" t="inlineStr">
        <is>
          <t>សូមជ្រើសរើសតំបន់គោលដៅ!</t>
        </is>
      </c>
    </row>
    <row r="1347">
      <c r="A1347" s="3" t="inlineStr">
        <is>
          <t>sorting.emptyNameZone</t>
        </is>
      </c>
      <c r="B1347" s="3" t="inlineStr">
        <is>
          <t>Vui lòng nhập tên cấu hình vùng đi, đến</t>
        </is>
      </c>
      <c r="C1347" s="3" t="inlineStr">
        <is>
          <t>Please enter the origin-destination configuration name</t>
        </is>
      </c>
      <c r="D1347" s="217">
        <f>IFERROR(__xludf.DUMMYFUNCTION("GOOGLETRANSLATE(C1347,""vi"",""km"")"),"សូមបញ្ចូលឈ្មោះការកំណត់រចនាសម្ព័ន្ធដើម-គោលដៅ")</f>
        <v/>
      </c>
      <c r="E1347" s="3" t="n"/>
      <c r="F1347" s="3" t="inlineStr">
        <is>
          <t>សូមបញ្ចូលឈ្មោះការកំណត់រចនាសម្ព័ន្ធដើម-គោលដៅ</t>
        </is>
      </c>
      <c r="G1347" s="3" t="n"/>
      <c r="H1347" s="217" t="inlineStr">
        <is>
          <t>"sorting.emptyNameZone": "សូមបញ្ចូលឈ្មោះការកំណត់រចនាសម្ព័ន្ធដើម-គោលដៅ",</t>
        </is>
      </c>
      <c r="I1347" t="inlineStr">
        <is>
          <t>សូមបញ្ចូលឈ្មោះការកំណត់រចនាសម្ព័ន្ធដើម-គោលដៅ</t>
        </is>
      </c>
    </row>
    <row r="1348">
      <c r="A1348" s="3" t="inlineStr">
        <is>
          <t>sorting.emptyReceivingZone</t>
        </is>
      </c>
      <c r="B1348" s="3" t="inlineStr">
        <is>
          <t>Vui lòng chọn vùng đi!</t>
        </is>
      </c>
      <c r="C1348" s="3" t="inlineStr">
        <is>
          <t>Please select an origin zone!</t>
        </is>
      </c>
      <c r="D1348" s="217">
        <f>IFERROR(__xludf.DUMMYFUNCTION("GOOGLETRANSLATE(C1348,""vi"",""km"")"),"សូមជ្រើសរើសតំបន់ដើម!")</f>
        <v/>
      </c>
      <c r="E1348" s="3" t="n"/>
      <c r="F1348" s="3" t="inlineStr">
        <is>
          <t>សូមជ្រើសរើសតំបន់ដើម!</t>
        </is>
      </c>
      <c r="G1348" s="3" t="n"/>
      <c r="H1348" s="217" t="inlineStr">
        <is>
          <t>"sorting.emptyReceivingZone": "សូមជ្រើសរើសតំបន់ដើម!",</t>
        </is>
      </c>
      <c r="I1348" t="inlineStr">
        <is>
          <t>សូមជ្រើសរើសតំបន់ដើម!</t>
        </is>
      </c>
    </row>
    <row r="1349">
      <c r="A1349" s="3" t="inlineStr">
        <is>
          <t>sorting.emptyService</t>
        </is>
      </c>
      <c r="B1349" s="3" t="inlineStr">
        <is>
          <t>Vui lòng chọn dịch vụ</t>
        </is>
      </c>
      <c r="C1349" s="3" t="inlineStr">
        <is>
          <t>Please select a service</t>
        </is>
      </c>
      <c r="D1349" s="217">
        <f>IFERROR(__xludf.DUMMYFUNCTION("GOOGLETRANSLATE(C1349,""vi"",""km"")"),"សូមជ្រើសរើសសេវាកម្មមួយ")</f>
        <v/>
      </c>
      <c r="E1349" s="3" t="n"/>
      <c r="F1349" s="3" t="inlineStr">
        <is>
          <t>សូមជ្រើសរើសសេវាកម្មមួយ</t>
        </is>
      </c>
      <c r="G1349" s="3" t="n"/>
      <c r="H1349" s="217" t="inlineStr">
        <is>
          <t>"sorting.emptyService": "សូមជ្រើសរើសសេវាកម្មមួយ",</t>
        </is>
      </c>
      <c r="I1349" t="inlineStr">
        <is>
          <t>សូមជ្រើសរើសសេវាកម្មមួយ</t>
        </is>
      </c>
    </row>
    <row r="1350">
      <c r="A1350" s="3" t="inlineStr">
        <is>
          <t>sorting.enterConfigName</t>
        </is>
      </c>
      <c r="B1350" s="3" t="inlineStr">
        <is>
          <t>Nhập tên cấu hình</t>
        </is>
      </c>
      <c r="C1350" s="3" t="inlineStr">
        <is>
          <t>Enter configuration name</t>
        </is>
      </c>
      <c r="D1350" s="217">
        <f>IFERROR(__xludf.DUMMYFUNCTION("GOOGLETRANSLATE(C1350,""vi"",""km"")"),"បញ្ចូលឈ្មោះការកំណត់រចនាសម្ព័ន្ធ")</f>
        <v/>
      </c>
      <c r="E1350" s="3" t="n"/>
      <c r="F1350" s="3" t="inlineStr">
        <is>
          <t>បញ្ចូលឈ្មោះការកំណត់រចនាសម្ព័ន្ធ</t>
        </is>
      </c>
      <c r="G1350" s="3" t="n"/>
      <c r="H1350" s="217" t="inlineStr">
        <is>
          <t>"sorting.enterConfigName": "បញ្ចូលឈ្មោះការកំណត់រចនាសម្ព័ន្ធ",</t>
        </is>
      </c>
      <c r="I1350" t="inlineStr">
        <is>
          <t>បញ្ចូលឈ្មោះការកំណត់រចនាសម្ព័ន្ធ</t>
        </is>
      </c>
    </row>
    <row r="1351">
      <c r="A1351" s="3" t="inlineStr">
        <is>
          <t>sorting.enterDestination</t>
        </is>
      </c>
      <c r="B1351" s="3" t="inlineStr">
        <is>
          <t>Nhập điểm đến</t>
        </is>
      </c>
      <c r="C1351" s="3" t="inlineStr">
        <is>
          <t>Enter destination</t>
        </is>
      </c>
      <c r="D1351" s="217">
        <f>IFERROR(__xludf.DUMMYFUNCTION("GOOGLETRANSLATE(C1351,""vi"",""km"")"),"បញ្ចូលគោលដៅ")</f>
        <v/>
      </c>
      <c r="E1351" s="3" t="n"/>
      <c r="F1351" s="3" t="inlineStr">
        <is>
          <t>បញ្ចូលគោលដៅ</t>
        </is>
      </c>
      <c r="G1351" s="3" t="n"/>
      <c r="H1351" s="217" t="inlineStr">
        <is>
          <t>"sorting.enterDestination": "បញ្ចូលគោលដៅ",</t>
        </is>
      </c>
      <c r="I1351" t="inlineStr">
        <is>
          <t>បញ្ចូលគោលដៅ</t>
        </is>
      </c>
    </row>
    <row r="1352">
      <c r="A1352" s="3" t="inlineStr">
        <is>
          <t>sorting.filterService</t>
        </is>
      </c>
      <c r="B1352" s="3" t="inlineStr">
        <is>
          <t>Nhập mã nhóm dịch vụ, tên dịch vụ để tìm kiếm</t>
        </is>
      </c>
      <c r="C1352" s="3" t="inlineStr">
        <is>
          <t>Enter service group code or service name to search</t>
        </is>
      </c>
      <c r="D1352" s="217">
        <f>IFERROR(__xludf.DUMMYFUNCTION("GOOGLETRANSLATE(C1352,""vi"",""km"")"),"បញ្ចូលលេខកូដក្រុមសេវាកម្ម ឬឈ្មោះសេវាកម្មដើម្បីស្វែងរក")</f>
        <v/>
      </c>
      <c r="E1352" s="3" t="n"/>
      <c r="F1352" s="3" t="inlineStr">
        <is>
          <t>បញ្ចូលលេខកូដក្រុមសេវាកម្ម ឬឈ្មោះសេវាកម្មដើម្បីស្វែងរក</t>
        </is>
      </c>
      <c r="G1352" s="3" t="n"/>
      <c r="H1352" s="217" t="inlineStr">
        <is>
          <t>"sorting.filterService": "បញ្ចូលលេខកូដក្រុមសេវាកម្ម ឬឈ្មោះសេវាកម្មដើម្បីស្វែងរក",</t>
        </is>
      </c>
      <c r="I1352" t="inlineStr">
        <is>
          <t>បញ្ចូលលេខកូដក្រុមសេវាកម្ម ឬឈ្មោះសេវាកម្មដើម្បីស្វែងរក</t>
        </is>
      </c>
    </row>
    <row r="1353">
      <c r="A1353" s="3" t="inlineStr">
        <is>
          <t>sorting.filterZone</t>
        </is>
      </c>
      <c r="B1353" s="3" t="inlineStr">
        <is>
          <t>Nhập tên tuyến để tìm kiếm</t>
        </is>
      </c>
      <c r="C1353" s="3" t="inlineStr">
        <is>
          <t>Enter route name to search</t>
        </is>
      </c>
      <c r="D1353" s="217">
        <f>IFERROR(__xludf.DUMMYFUNCTION("GOOGLETRANSLATE(C1353,""vi"",""km"")"),"បញ្ចូលឈ្មោះផ្លូវដើម្បីស្វែងរក")</f>
        <v/>
      </c>
      <c r="E1353" s="3" t="n"/>
      <c r="F1353" s="3" t="inlineStr">
        <is>
          <t>បញ្ចូលឈ្មោះផ្លូវដើម្បីស្វែងរក</t>
        </is>
      </c>
      <c r="G1353" s="3" t="n"/>
      <c r="H1353" s="217" t="inlineStr">
        <is>
          <t>"sorting.filterZone": "បញ្ចូលឈ្មោះផ្លូវដើម្បីស្វែងរក",</t>
        </is>
      </c>
      <c r="I1353" t="inlineStr">
        <is>
          <t>បញ្ចូលឈ្មោះផ្លូវដើម្បីស្វែងរក</t>
        </is>
      </c>
    </row>
    <row r="1354">
      <c r="A1354" s="3" t="inlineStr">
        <is>
          <t>sorting.groupService</t>
        </is>
      </c>
      <c r="B1354" s="3" t="inlineStr">
        <is>
          <t>Nhóm dịch vụ</t>
        </is>
      </c>
      <c r="C1354" s="3" t="inlineStr">
        <is>
          <t>Service group</t>
        </is>
      </c>
      <c r="D1354" s="217">
        <f>IFERROR(__xludf.DUMMYFUNCTION("GOOGLETRANSLATE(C1354,""vi"",""km"")"),"ក្រុមសេវាកម្ម")</f>
        <v/>
      </c>
      <c r="E1354" s="3" t="n"/>
      <c r="F1354" s="3" t="inlineStr">
        <is>
          <t>ក្រុមសេវាកម្ម</t>
        </is>
      </c>
      <c r="G1354" s="3" t="n"/>
      <c r="H1354" s="217" t="inlineStr">
        <is>
          <t>"sorting.groupService": "ក្រុមសេវាកម្ម",</t>
        </is>
      </c>
      <c r="I1354" t="inlineStr">
        <is>
          <t>ក្រុមសេវាកម្ម</t>
        </is>
      </c>
    </row>
    <row r="1355">
      <c r="A1355" s="3" t="inlineStr">
        <is>
          <t>sorting.groupServiceName</t>
        </is>
      </c>
      <c r="B1355" s="3" t="inlineStr">
        <is>
          <t>Tên nhóm dịch vụ</t>
        </is>
      </c>
      <c r="C1355" s="3" t="inlineStr">
        <is>
          <t>Service group name</t>
        </is>
      </c>
      <c r="D1355" s="217">
        <f>IFERROR(__xludf.DUMMYFUNCTION("GOOGLETRANSLATE(C1355,""vi"",""km"")"),"ឈ្មោះក្រុមសេវាកម្ម")</f>
        <v/>
      </c>
      <c r="E1355" s="3" t="n"/>
      <c r="F1355" s="3" t="inlineStr">
        <is>
          <t>ឈ្មោះក្រុមសេវាកម្ម</t>
        </is>
      </c>
      <c r="G1355" s="3" t="n"/>
      <c r="H1355" s="217" t="inlineStr">
        <is>
          <t>"sorting.groupServiceName": "ឈ្មោះក្រុមសេវាកម្ម",</t>
        </is>
      </c>
      <c r="I1355" t="inlineStr">
        <is>
          <t>ឈ្មោះក្រុមសេវាកម្ម</t>
        </is>
      </c>
    </row>
    <row r="1356">
      <c r="A1356" s="3" t="inlineStr">
        <is>
          <t>sorting.groupZone</t>
        </is>
      </c>
      <c r="B1356" s="3" t="inlineStr">
        <is>
          <t>Tên cấu hình</t>
        </is>
      </c>
      <c r="C1356" s="3" t="inlineStr">
        <is>
          <t>Configuration name</t>
        </is>
      </c>
      <c r="D1356" s="217">
        <f>IFERROR(__xludf.DUMMYFUNCTION("GOOGLETRANSLATE(C1356,""vi"",""km"")"),"ឈ្មោះ​ការកំណត់​រចនាសម្ព័ន្ធ")</f>
        <v/>
      </c>
      <c r="E1356" s="3" t="n"/>
      <c r="F1356" s="3" t="inlineStr">
        <is>
          <t>ឈ្មោះការកំណត់រចនាសម្ព័ន្ធ</t>
        </is>
      </c>
      <c r="G1356" s="3" t="n"/>
      <c r="H1356" s="217" t="inlineStr">
        <is>
          <t>"sorting.groupZone": "ឈ្មោះការកំណត់រចនាសម្ព័ន្ធ",</t>
        </is>
      </c>
      <c r="I1356" t="inlineStr">
        <is>
          <t>ឈ្មោះការកំណត់រចនាសម្ព័ន្ធ</t>
        </is>
      </c>
    </row>
    <row r="1357">
      <c r="A1357" s="3" t="inlineStr">
        <is>
          <t>sorting.groupZonePlaceholder</t>
        </is>
      </c>
      <c r="B1357" s="3" t="inlineStr">
        <is>
          <t>Nhập tên cấu hình</t>
        </is>
      </c>
      <c r="C1357" s="3" t="inlineStr">
        <is>
          <t>Enter configuration name</t>
        </is>
      </c>
      <c r="D1357" s="217">
        <f>IFERROR(__xludf.DUMMYFUNCTION("GOOGLETRANSLATE(C1357,""vi"",""km"")"),"បញ្ចូលឈ្មោះការកំណត់រចនាសម្ព័ន្ធ")</f>
        <v/>
      </c>
      <c r="E1357" s="3" t="n"/>
      <c r="F1357" s="3" t="inlineStr">
        <is>
          <t>បញ្ចូលឈ្មោះការកំណត់រចនាសម្ព័ន្ធ</t>
        </is>
      </c>
      <c r="G1357" s="3" t="n"/>
      <c r="H1357" s="217" t="inlineStr">
        <is>
          <t>"sorting.groupZonePlaceholder": "បញ្ចូលឈ្មោះការកំណត់រចនាសម្ព័ន្ធ",</t>
        </is>
      </c>
      <c r="I1357" t="inlineStr">
        <is>
          <t>បញ្ចូលឈ្មោះការកំណត់រចនាសម្ព័ន្ធ</t>
        </is>
      </c>
    </row>
    <row r="1358">
      <c r="A1358" s="3" t="inlineStr">
        <is>
          <t>sorting.listConfigSorting</t>
        </is>
      </c>
      <c r="B1358" s="3" t="inlineStr">
        <is>
          <t>Danh sách tuyến chia chọn</t>
        </is>
      </c>
      <c r="C1358" s="3" t="inlineStr">
        <is>
          <t>Sorting route list</t>
        </is>
      </c>
      <c r="D1358" s="217">
        <f>IFERROR(__xludf.DUMMYFUNCTION("GOOGLETRANSLATE(C1358,""vi"",""km"")"),"តម្រៀបបញ្ជីផ្លូវ")</f>
        <v/>
      </c>
      <c r="E1358" s="3" t="n"/>
      <c r="F1358" s="3" t="inlineStr">
        <is>
          <t>តម្រៀបបញ្ជីផ្លូវ</t>
        </is>
      </c>
      <c r="G1358" s="3" t="n"/>
      <c r="H1358" s="217" t="inlineStr">
        <is>
          <t>"sorting.listConfigSorting": "តម្រៀបបញ្ជីផ្លូវ",</t>
        </is>
      </c>
      <c r="I1358" t="inlineStr">
        <is>
          <t>តម្រៀបបញ្ជីផ្លូវ</t>
        </is>
      </c>
    </row>
    <row r="1359">
      <c r="A1359" s="3" t="inlineStr">
        <is>
          <t>sorting.listDetailZone</t>
        </is>
      </c>
      <c r="B1359" s="3" t="inlineStr">
        <is>
          <t>Danh sách chi tiết vùng đi, vùng đến</t>
        </is>
      </c>
      <c r="C1359" s="3" t="inlineStr">
        <is>
          <t>Origin and destination zone detail list</t>
        </is>
      </c>
      <c r="D1359" s="217">
        <f>IFERROR(__xludf.DUMMYFUNCTION("GOOGLETRANSLATE(C1359,""vi"",""km"")"),"បញ្ជីព័ត៌មានលម្អិតនៃតំបន់ដើម និងតំបន់គោលដៅ")</f>
        <v/>
      </c>
      <c r="E1359" s="3" t="n"/>
      <c r="F1359" s="3" t="inlineStr">
        <is>
          <t>បញ្ជីព័ត៌មានលម្អិតនៃតំបន់ដើម និងតំបន់គោលដៅ</t>
        </is>
      </c>
      <c r="G1359" s="3" t="n"/>
      <c r="H1359" s="217" t="inlineStr">
        <is>
          <t>"sorting.listDetailZone": "បញ្ជីព័ត៌មានលម្អិតនៃតំបន់ដើម និងតំបន់គោលដៅ",</t>
        </is>
      </c>
      <c r="I1359" t="inlineStr">
        <is>
          <t>បញ្ជីព័ត៌មានលម្អិតនៃតំបន់ដើម និងតំបន់គោលដៅ</t>
        </is>
      </c>
    </row>
    <row r="1360">
      <c r="A1360" s="3" t="inlineStr">
        <is>
          <t>sorting.listService</t>
        </is>
      </c>
      <c r="B1360" s="3" t="inlineStr">
        <is>
          <t>Danh sách nhóm dịch vụ</t>
        </is>
      </c>
      <c r="C1360" s="3" t="inlineStr">
        <is>
          <t>Service group list</t>
        </is>
      </c>
      <c r="D1360" s="217">
        <f>IFERROR(__xludf.DUMMYFUNCTION("GOOGLETRANSLATE(C1360,""vi"",""km"")"),"បញ្ជីក្រុមសេវាកម្ម")</f>
        <v/>
      </c>
      <c r="E1360" s="3" t="n"/>
      <c r="F1360" s="3" t="inlineStr">
        <is>
          <t>បញ្ជីក្រុមសេវាកម្ម</t>
        </is>
      </c>
      <c r="G1360" s="3" t="n"/>
      <c r="H1360" s="217" t="inlineStr">
        <is>
          <t>"sorting.listService": "បញ្ជីក្រុមសេវាកម្ម",</t>
        </is>
      </c>
      <c r="I1360" t="inlineStr">
        <is>
          <t>បញ្ជីក្រុមសេវាកម្ម</t>
        </is>
      </c>
    </row>
    <row r="1361">
      <c r="A1361" s="3" t="inlineStr">
        <is>
          <t>sorting.listZone</t>
        </is>
      </c>
      <c r="B1361" s="3" t="inlineStr">
        <is>
          <t>Danh sách tuyến</t>
        </is>
      </c>
      <c r="C1361" s="3" t="inlineStr">
        <is>
          <t>Route list</t>
        </is>
      </c>
      <c r="D1361" s="217">
        <f>IFERROR(__xludf.DUMMYFUNCTION("GOOGLETRANSLATE(C1361,""vi"",""km"")"),"បញ្ជីផ្លូវ")</f>
        <v/>
      </c>
      <c r="E1361" s="3" t="n"/>
      <c r="F1361" s="3" t="inlineStr">
        <is>
          <t>បញ្ជីផ្លូវ</t>
        </is>
      </c>
      <c r="G1361" s="3" t="n"/>
      <c r="H1361" s="217" t="inlineStr">
        <is>
          <t>"sorting.listZone": "បញ្ជីផ្លូវ",</t>
        </is>
      </c>
      <c r="I1361" t="inlineStr">
        <is>
          <t>បញ្ជីផ្លូវ</t>
        </is>
      </c>
    </row>
    <row r="1362">
      <c r="A1362" s="3" t="inlineStr">
        <is>
          <t>sorting.lock</t>
        </is>
      </c>
      <c r="B1362" s="3" t="inlineStr">
        <is>
          <t>Khoá</t>
        </is>
      </c>
      <c r="C1362" s="3" t="inlineStr">
        <is>
          <t>Lock</t>
        </is>
      </c>
      <c r="D1362" s="217">
        <f>IFERROR(__xludf.DUMMYFUNCTION("GOOGLETRANSLATE(C1362,""vi"",""km"")"),"ចាក់សោ")</f>
        <v/>
      </c>
      <c r="E1362" s="3" t="n"/>
      <c r="F1362" s="3" t="inlineStr">
        <is>
          <t>ចាក់សោ</t>
        </is>
      </c>
      <c r="G1362" s="3" t="n"/>
      <c r="H1362" s="217" t="inlineStr">
        <is>
          <t>"sorting.lock": "ចាក់សោ",</t>
        </is>
      </c>
      <c r="I1362" t="inlineStr">
        <is>
          <t>ចាក់សោ</t>
        </is>
      </c>
    </row>
    <row r="1363">
      <c r="A1363" s="3" t="inlineStr">
        <is>
          <t>sorting.nameService</t>
        </is>
      </c>
      <c r="B1363" s="3" t="inlineStr">
        <is>
          <t>Tên nhóm dịch vụ</t>
        </is>
      </c>
      <c r="C1363" s="3" t="inlineStr">
        <is>
          <t>Service group name</t>
        </is>
      </c>
      <c r="D1363" s="217">
        <f>IFERROR(__xludf.DUMMYFUNCTION("GOOGLETRANSLATE(C1363,""vi"",""km"")"),"ឈ្មោះក្រុមសេវាកម្ម")</f>
        <v/>
      </c>
      <c r="E1363" s="3" t="n"/>
      <c r="F1363" s="3" t="inlineStr">
        <is>
          <t>ឈ្មោះក្រុមសេវាកម្ម</t>
        </is>
      </c>
      <c r="G1363" s="3" t="n"/>
      <c r="H1363" s="217" t="inlineStr">
        <is>
          <t>"sorting.nameService": "ឈ្មោះក្រុមសេវាកម្ម",</t>
        </is>
      </c>
      <c r="I1363" t="inlineStr">
        <is>
          <t>ឈ្មោះក្រុមសេវាកម្ម</t>
        </is>
      </c>
    </row>
    <row r="1364">
      <c r="A1364" s="3" t="inlineStr">
        <is>
          <t>sorting.nameServicePlaceholder</t>
        </is>
      </c>
      <c r="B1364" s="3" t="inlineStr">
        <is>
          <t>Nhập tên nhóm dịch vụ</t>
        </is>
      </c>
      <c r="C1364" s="3" t="inlineStr">
        <is>
          <t>Enter service group name</t>
        </is>
      </c>
      <c r="D1364" s="217">
        <f>IFERROR(__xludf.DUMMYFUNCTION("GOOGLETRANSLATE(C1364,""vi"",""km"")"),"បញ្ចូលឈ្មោះក្រុមសេវាកម្ម")</f>
        <v/>
      </c>
      <c r="E1364" s="3" t="n"/>
      <c r="F1364" s="3" t="inlineStr">
        <is>
          <t>បញ្ចូលឈ្មោះក្រុមសេវាកម្ម</t>
        </is>
      </c>
      <c r="G1364" s="3" t="n"/>
      <c r="H1364" s="217" t="inlineStr">
        <is>
          <t>"sorting.nameServicePlaceholder": "បញ្ចូលឈ្មោះក្រុមសេវាកម្ម",</t>
        </is>
      </c>
      <c r="I1364" t="inlineStr">
        <is>
          <t>បញ្ចូលឈ្មោះក្រុមសេវាកម្ម</t>
        </is>
      </c>
    </row>
    <row r="1365">
      <c r="A1365" s="3" t="inlineStr">
        <is>
          <t>sorting.note</t>
        </is>
      </c>
      <c r="B1365" s="3" t="inlineStr">
        <is>
          <t>Ghi chú</t>
        </is>
      </c>
      <c r="C1365" s="3" t="inlineStr">
        <is>
          <t>Note</t>
        </is>
      </c>
      <c r="D1365" s="217">
        <f>IFERROR(__xludf.DUMMYFUNCTION("GOOGLETRANSLATE(C1365,""vi"",""km"")"),"កំណត់ចំណាំ")</f>
        <v/>
      </c>
      <c r="E1365" s="3" t="n"/>
      <c r="F1365" s="3" t="inlineStr">
        <is>
          <t>ចំណាំ</t>
        </is>
      </c>
      <c r="G1365" s="3" t="n"/>
      <c r="H1365" s="217" t="inlineStr">
        <is>
          <t>"sorting.note": "ចំណាំ",</t>
        </is>
      </c>
      <c r="I1365" t="inlineStr">
        <is>
          <t>ចំណាំ</t>
        </is>
      </c>
    </row>
    <row r="1366">
      <c r="A1366" s="3" t="inlineStr">
        <is>
          <t>sorting.notePlaceholder</t>
        </is>
      </c>
      <c r="B1366" s="3" t="inlineStr">
        <is>
          <t>Nhập ghi chú</t>
        </is>
      </c>
      <c r="C1366" s="3" t="inlineStr">
        <is>
          <t>Enter note</t>
        </is>
      </c>
      <c r="D1366" s="217">
        <f>IFERROR(__xludf.DUMMYFUNCTION("GOOGLETRANSLATE(C1366,""vi"",""km"")"),"បញ្ចូលកំណត់ចំណាំ")</f>
        <v/>
      </c>
      <c r="E1366" s="3" t="n"/>
      <c r="F1366" s="3" t="inlineStr">
        <is>
          <t>បញ្ចូលកំណត់ចំណាំ</t>
        </is>
      </c>
      <c r="G1366" s="3" t="n"/>
      <c r="H1366" s="217" t="inlineStr">
        <is>
          <t>"sorting.notePlaceholder": "បញ្ចូលកំណត់ចំណាំ",</t>
        </is>
      </c>
      <c r="I1366" t="inlineStr">
        <is>
          <t>បញ្ចូលកំណត់ចំណាំ</t>
        </is>
      </c>
    </row>
    <row r="1367">
      <c r="A1367" s="3" t="inlineStr">
        <is>
          <t>sorting.parcelType</t>
        </is>
      </c>
      <c r="B1367" s="3" t="inlineStr">
        <is>
          <t>Loại hàng hoá</t>
        </is>
      </c>
      <c r="C1367" s="3" t="inlineStr">
        <is>
          <t>Parcel type</t>
        </is>
      </c>
      <c r="D1367" s="217">
        <f>IFERROR(__xludf.DUMMYFUNCTION("GOOGLETRANSLATE(C1367,""vi"",""km"")"),"ប្រភេទ​កញ្ចប់")</f>
        <v/>
      </c>
      <c r="E1367" s="3" t="n"/>
      <c r="F1367" s="3" t="inlineStr">
        <is>
          <t>ប្រភេទកញ្ចប់</t>
        </is>
      </c>
      <c r="G1367" s="3" t="n"/>
      <c r="H1367" s="217" t="inlineStr">
        <is>
          <t>"sorting.parcelType": "ប្រភេទកញ្ចប់",</t>
        </is>
      </c>
      <c r="I1367" t="inlineStr">
        <is>
          <t>ប្រភេទកញ្ចប់</t>
        </is>
      </c>
    </row>
    <row r="1368">
      <c r="A1368" s="3" t="inlineStr">
        <is>
          <t>sorting.quantity</t>
        </is>
      </c>
      <c r="B1368" s="3" t="inlineStr">
        <is>
          <t>Số lượng</t>
        </is>
      </c>
      <c r="C1368" s="3" t="inlineStr">
        <is>
          <t>Quantity</t>
        </is>
      </c>
      <c r="D1368" s="217">
        <f>IFERROR(__xludf.DUMMYFUNCTION("GOOGLETRANSLATE(C1368,""vi"",""km"")"),"វត្ថុ")</f>
        <v/>
      </c>
      <c r="E1368" s="3" t="n"/>
      <c r="F1368" s="3" t="inlineStr">
        <is>
          <t>វត្ថុ</t>
        </is>
      </c>
      <c r="G1368" s="3" t="n"/>
      <c r="H1368" s="217" t="inlineStr">
        <is>
          <t>"sorting.quantity": "វត្ថុ",</t>
        </is>
      </c>
      <c r="I1368" t="inlineStr">
        <is>
          <t>វត្ថុ</t>
        </is>
      </c>
    </row>
    <row r="1369">
      <c r="A1369" s="3" t="inlineStr">
        <is>
          <t>sorting.receivingListZone</t>
        </is>
      </c>
      <c r="B1369" s="3" t="inlineStr">
        <is>
          <t>Danh sách vùng đi</t>
        </is>
      </c>
      <c r="C1369" s="3" t="inlineStr">
        <is>
          <t>Origin zone list</t>
        </is>
      </c>
      <c r="D1369" s="217">
        <f>IFERROR(__xludf.DUMMYFUNCTION("GOOGLETRANSLATE(C1369,""vi"",""km"")"),"បញ្ជីតំបន់ដើម")</f>
        <v/>
      </c>
      <c r="E1369" s="3" t="n"/>
      <c r="F1369" s="3" t="inlineStr">
        <is>
          <t>បញ្ជីតំបន់ដើម</t>
        </is>
      </c>
      <c r="G1369" s="3" t="n"/>
      <c r="H1369" s="217" t="inlineStr">
        <is>
          <t>"sorting.receivingListZone": "បញ្ជីតំបន់ដើម",</t>
        </is>
      </c>
      <c r="I1369" t="inlineStr">
        <is>
          <t>បញ្ជីតំបន់ដើម</t>
        </is>
      </c>
    </row>
    <row r="1370">
      <c r="A1370" s="3" t="inlineStr">
        <is>
          <t>sorting.receivingZone</t>
        </is>
      </c>
      <c r="B1370" s="3" t="inlineStr">
        <is>
          <t>Vùng đi</t>
        </is>
      </c>
      <c r="C1370" s="3" t="inlineStr">
        <is>
          <t>Origin zone</t>
        </is>
      </c>
      <c r="D1370" s="217">
        <f>IFERROR(__xludf.DUMMYFUNCTION("GOOGLETRANSLATE(C1370,""vi"",""km"")"),"តំបន់ដើម")</f>
        <v/>
      </c>
      <c r="E1370" s="3" t="n"/>
      <c r="F1370" s="3" t="inlineStr">
        <is>
          <t>តំបន់ដើម</t>
        </is>
      </c>
      <c r="G1370" s="3" t="n"/>
      <c r="H1370" s="217" t="inlineStr">
        <is>
          <t>"sorting.receivingZone": "តំបន់ដើម",</t>
        </is>
      </c>
      <c r="I1370" t="inlineStr">
        <is>
          <t>តំបន់ដើម</t>
        </is>
      </c>
    </row>
    <row r="1371">
      <c r="A1371" s="3" t="inlineStr">
        <is>
          <t>sorting.receivingZoneType</t>
        </is>
      </c>
      <c r="B1371" s="3" t="inlineStr">
        <is>
          <t>Loại vùng đi</t>
        </is>
      </c>
      <c r="C1371" s="3" t="inlineStr">
        <is>
          <t>Origin zone type</t>
        </is>
      </c>
      <c r="D1371" s="217">
        <f>IFERROR(__xludf.DUMMYFUNCTION("GOOGLETRANSLATE(C1371,""vi"",""km"")"),"ប្រភេទតំបន់ដើម")</f>
        <v/>
      </c>
      <c r="E1371" s="3" t="n"/>
      <c r="F1371" s="3" t="inlineStr">
        <is>
          <t>ប្រភេទតំបន់ដើម</t>
        </is>
      </c>
      <c r="G1371" s="3" t="n"/>
      <c r="H1371" s="217" t="inlineStr">
        <is>
          <t>"sorting.receivingZoneType": "ប្រភេទតំបន់ដើម",</t>
        </is>
      </c>
      <c r="I1371" t="inlineStr">
        <is>
          <t>ប្រភេទតំបន់ដើម</t>
        </is>
      </c>
    </row>
    <row r="1372">
      <c r="A1372" s="3" t="inlineStr">
        <is>
          <t>sorting.searchZone</t>
        </is>
      </c>
      <c r="B1372" s="3" t="inlineStr">
        <is>
          <t>Nhập tên tuyến để tìm kiếm</t>
        </is>
      </c>
      <c r="C1372" s="3" t="inlineStr">
        <is>
          <t>Enter route name to search</t>
        </is>
      </c>
      <c r="D1372" s="217">
        <f>IFERROR(__xludf.DUMMYFUNCTION("GOOGLETRANSLATE(C1372,""vi"",""km"")"),"បញ្ចូលឈ្មោះផ្លូវដើម្បីស្វែងរក")</f>
        <v/>
      </c>
      <c r="E1372" s="3" t="n"/>
      <c r="F1372" s="3" t="inlineStr">
        <is>
          <t>បញ្ចូលឈ្មោះផ្លូវដើម្បីស្វែងរក</t>
        </is>
      </c>
      <c r="G1372" s="3" t="n"/>
      <c r="H1372" s="217" t="inlineStr">
        <is>
          <t>"sorting.searchZone": "បញ្ចូលឈ្មោះផ្លូវដើម្បីស្វែងរក",</t>
        </is>
      </c>
      <c r="I1372" t="inlineStr">
        <is>
          <t>បញ្ចូលឈ្មោះផ្លូវដើម្បីស្វែងរក</t>
        </is>
      </c>
    </row>
    <row r="1373">
      <c r="A1373" s="3" t="inlineStr">
        <is>
          <t>sorting.selectDeliveryZone</t>
        </is>
      </c>
      <c r="B1373" s="3" t="inlineStr">
        <is>
          <t>Chọn vùng đến</t>
        </is>
      </c>
      <c r="C1373" s="3" t="inlineStr">
        <is>
          <t>Select destination zone</t>
        </is>
      </c>
      <c r="D1373" s="217">
        <f>IFERROR(__xludf.DUMMYFUNCTION("GOOGLETRANSLATE(C1373,""vi"",""km"")"),"ជ្រើសរើសតំបន់គោលដៅ")</f>
        <v/>
      </c>
      <c r="E1373" s="3" t="n"/>
      <c r="F1373" s="3" t="inlineStr">
        <is>
          <t>ជ្រើសរើសតំបន់គោលដៅ</t>
        </is>
      </c>
      <c r="G1373" s="3" t="n"/>
      <c r="H1373" s="217" t="inlineStr">
        <is>
          <t>"sorting.selectDeliveryZone": "ជ្រើសរើសតំបន់គោលដៅ",</t>
        </is>
      </c>
      <c r="I1373" t="inlineStr">
        <is>
          <t>ជ្រើសរើសតំបន់គោលដៅ</t>
        </is>
      </c>
    </row>
    <row r="1374">
      <c r="A1374" s="3" t="inlineStr">
        <is>
          <t>sorting.selectReceivingZone</t>
        </is>
      </c>
      <c r="B1374" s="3" t="inlineStr">
        <is>
          <t>Chọn vùng đi</t>
        </is>
      </c>
      <c r="C1374" s="3" t="inlineStr">
        <is>
          <t>Select origin zone</t>
        </is>
      </c>
      <c r="D1374" s="217">
        <f>IFERROR(__xludf.DUMMYFUNCTION("GOOGLETRANSLATE(C1374,""vi"",""km"")"),"ជ្រើសរើសតំបន់ដើម")</f>
        <v/>
      </c>
      <c r="E1374" s="3" t="n"/>
      <c r="F1374" s="3" t="inlineStr">
        <is>
          <t>ជ្រើសរើសតំបន់ដើម</t>
        </is>
      </c>
      <c r="G1374" s="3" t="n"/>
      <c r="H1374" s="217" t="inlineStr">
        <is>
          <t>"sorting.selectReceivingZone": "ជ្រើសរើសតំបន់ដើម",</t>
        </is>
      </c>
      <c r="I1374" t="inlineStr">
        <is>
          <t>ជ្រើសរើសតំបន់ដើម</t>
        </is>
      </c>
    </row>
    <row r="1375">
      <c r="A1375" s="3" t="inlineStr">
        <is>
          <t>sorting.service</t>
        </is>
      </c>
      <c r="B1375" s="3" t="inlineStr">
        <is>
          <t>Dịch vụ</t>
        </is>
      </c>
      <c r="C1375" s="3" t="inlineStr">
        <is>
          <t>Service</t>
        </is>
      </c>
      <c r="D1375" s="217">
        <f>IFERROR(__xludf.DUMMYFUNCTION("GOOGLETRANSLATE(C1375,""vi"",""km"")"),"សេវាកម្ម")</f>
        <v/>
      </c>
      <c r="E1375" s="3" t="n"/>
      <c r="F1375" s="3" t="inlineStr">
        <is>
          <t>សេវាកម្ម</t>
        </is>
      </c>
      <c r="G1375" s="3" t="n"/>
      <c r="H1375" s="217" t="inlineStr">
        <is>
          <t>"sorting.service": "សេវាកម្ម",</t>
        </is>
      </c>
      <c r="I1375" t="inlineStr">
        <is>
          <t>សេវាកម្ម</t>
        </is>
      </c>
    </row>
    <row r="1376">
      <c r="A1376" s="3" t="inlineStr">
        <is>
          <t>sorting.serviceCode</t>
        </is>
      </c>
      <c r="B1376" s="3" t="inlineStr">
        <is>
          <t>Mã dịch vụ</t>
        </is>
      </c>
      <c r="C1376" s="3" t="inlineStr">
        <is>
          <t>Service code</t>
        </is>
      </c>
      <c r="D1376" s="217">
        <f>IFERROR(__xludf.DUMMYFUNCTION("GOOGLETRANSLATE(C1376,""vi"",""km"")"),"លេខកូដសេវាកម្ម")</f>
        <v/>
      </c>
      <c r="E1376" s="3" t="n"/>
      <c r="F1376" s="3" t="inlineStr">
        <is>
          <t>លេខកូដសេវាកម្ម</t>
        </is>
      </c>
      <c r="G1376" s="3" t="n"/>
      <c r="H1376" s="217" t="inlineStr">
        <is>
          <t>"sorting.serviceCode": "លេខកូដសេវាកម្ម",</t>
        </is>
      </c>
      <c r="I1376" t="inlineStr">
        <is>
          <t>លេខកូដសេវាកម្ម</t>
        </is>
      </c>
    </row>
    <row r="1377">
      <c r="A1377" s="3" t="inlineStr">
        <is>
          <t>sorting.serviceOfGroup</t>
        </is>
      </c>
      <c r="B1377" s="3" t="inlineStr">
        <is>
          <t>Danh sách dịch vụ trong nhóm</t>
        </is>
      </c>
      <c r="C1377" s="3" t="inlineStr">
        <is>
          <t>Services in the group</t>
        </is>
      </c>
      <c r="D1377" s="217">
        <f>IFERROR(__xludf.DUMMYFUNCTION("GOOGLETRANSLATE(C1377,""vi"",""km"")"),"សេវាកម្មនៅក្នុងក្រុម")</f>
        <v/>
      </c>
      <c r="E1377" s="3" t="n"/>
      <c r="F1377" s="3" t="inlineStr">
        <is>
          <t>សេវាកម្មនៅក្នុងក្រុម</t>
        </is>
      </c>
      <c r="G1377" s="3" t="n"/>
      <c r="H1377" s="217" t="inlineStr">
        <is>
          <t>"sorting.serviceOfGroup": "សេវាកម្មនៅក្នុងក្រុម",</t>
        </is>
      </c>
      <c r="I1377" t="inlineStr">
        <is>
          <t>សេវាកម្មនៅក្នុងក្រុម</t>
        </is>
      </c>
    </row>
    <row r="1378">
      <c r="A1378" s="3" t="inlineStr">
        <is>
          <t>sorting.servicePlaceholder</t>
        </is>
      </c>
      <c r="B1378" s="3" t="inlineStr">
        <is>
          <t>Chọn dịch vụ</t>
        </is>
      </c>
      <c r="C1378" s="3" t="inlineStr">
        <is>
          <t>Select service</t>
        </is>
      </c>
      <c r="D1378" s="217">
        <f>IFERROR(__xludf.DUMMYFUNCTION("GOOGLETRANSLATE(C1378,""vi"",""km"")"),"ជ្រើសរើសសេវាកម្ម")</f>
        <v/>
      </c>
      <c r="E1378" s="3" t="n"/>
      <c r="F1378" s="3" t="inlineStr">
        <is>
          <t>ជ្រើសរើសសេវាកម្ម</t>
        </is>
      </c>
      <c r="G1378" s="3" t="n"/>
      <c r="H1378" s="217" t="inlineStr">
        <is>
          <t>"sorting.servicePlaceholder": "ជ្រើសរើសសេវាកម្ម",</t>
        </is>
      </c>
      <c r="I1378" t="inlineStr">
        <is>
          <t>ជ្រើសរើសសេវាកម្ម</t>
        </is>
      </c>
    </row>
    <row r="1379">
      <c r="A1379" s="3" t="inlineStr">
        <is>
          <t>sorting.soringSearch</t>
        </is>
      </c>
      <c r="B1379" s="3" t="inlineStr">
        <is>
          <t>Nhập tên tuyến chia chọn để tìm kiếm</t>
        </is>
      </c>
      <c r="C1379" s="3" t="inlineStr">
        <is>
          <t>Enter sorting route name to search</t>
        </is>
      </c>
      <c r="D1379" s="217">
        <f>IFERROR(__xludf.DUMMYFUNCTION("GOOGLETRANSLATE(C1379,""vi"",""km"")"),"បញ្ចូលឈ្មោះផ្លូវតម្រៀបដើម្បីស្វែងរក")</f>
        <v/>
      </c>
      <c r="E1379" s="3" t="n"/>
      <c r="F1379" s="3" t="inlineStr">
        <is>
          <t>បញ្ចូលឈ្មោះផ្លូវតម្រៀបដើម្បីស្វែងរក</t>
        </is>
      </c>
      <c r="G1379" s="3" t="n"/>
      <c r="H1379" s="217" t="inlineStr">
        <is>
          <t>"sorting.soringSearch": "បញ្ចូលឈ្មោះផ្លូវតម្រៀបដើម្បីស្វែងរក",</t>
        </is>
      </c>
      <c r="I1379" t="inlineStr">
        <is>
          <t>បញ្ចូលឈ្មោះផ្លូវតម្រៀបដើម្បីស្វែងរក</t>
        </is>
      </c>
    </row>
    <row r="1380">
      <c r="A1380" s="3" t="inlineStr">
        <is>
          <t>sorting.status</t>
        </is>
      </c>
      <c r="B1380" s="3" t="inlineStr">
        <is>
          <t>Trạng thái</t>
        </is>
      </c>
      <c r="C1380" s="3" t="inlineStr">
        <is>
          <t>Status</t>
        </is>
      </c>
      <c r="D1380" s="217">
        <f>IFERROR(__xludf.DUMMYFUNCTION("GOOGLETRANSLATE(C1380,""vi"",""km"")"),"ស្ថានភាព")</f>
        <v/>
      </c>
      <c r="E1380" s="3" t="n"/>
      <c r="F1380" s="3" t="inlineStr">
        <is>
          <t>ស្ថានភាព</t>
        </is>
      </c>
      <c r="G1380" s="3" t="n"/>
      <c r="H1380" s="217" t="inlineStr">
        <is>
          <t>"sorting.status": "ស្ថានភាព",</t>
        </is>
      </c>
      <c r="I1380" t="inlineStr">
        <is>
          <t>ស្ថានភាព</t>
        </is>
      </c>
    </row>
    <row r="1381">
      <c r="A1381" s="3" t="inlineStr">
        <is>
          <t>sorting.unlock</t>
        </is>
      </c>
      <c r="B1381" s="3" t="inlineStr">
        <is>
          <t>Mở khoá</t>
        </is>
      </c>
      <c r="C1381" s="3" t="inlineStr">
        <is>
          <t>Unlock</t>
        </is>
      </c>
      <c r="D1381" s="217">
        <f>IFERROR(__xludf.DUMMYFUNCTION("GOOGLETRANSLATE(C1381,""vi"",""km"")"),"ដោះសោ")</f>
        <v/>
      </c>
      <c r="E1381" s="3" t="n"/>
      <c r="F1381" s="3" t="inlineStr">
        <is>
          <t>ដោះសោ</t>
        </is>
      </c>
      <c r="G1381" s="3" t="n"/>
      <c r="H1381" s="217" t="inlineStr">
        <is>
          <t>"sorting.unlock": "ដោះសោ",</t>
        </is>
      </c>
      <c r="I1381" t="inlineStr">
        <is>
          <t>ដោះសោ</t>
        </is>
      </c>
    </row>
    <row r="1382">
      <c r="A1382" s="3" t="inlineStr">
        <is>
          <t>sorting.update</t>
        </is>
      </c>
      <c r="B1382" s="3" t="inlineStr">
        <is>
          <t>Cập nhật</t>
        </is>
      </c>
      <c r="C1382" s="3" t="inlineStr">
        <is>
          <t>Update</t>
        </is>
      </c>
      <c r="D1382" s="217">
        <f>IFERROR(__xludf.DUMMYFUNCTION("GOOGLETRANSLATE(C1382,""vi"",""km"")"),"ធ្វើបច្ចុប្បន្នភាព")</f>
        <v/>
      </c>
      <c r="E1382" s="3" t="n"/>
      <c r="F1382" s="3" t="inlineStr">
        <is>
          <t>ធ្វើបច្ចុប្បន្នភាព</t>
        </is>
      </c>
      <c r="G1382" s="3" t="n"/>
      <c r="H1382" s="217" t="inlineStr">
        <is>
          <t>"sorting.update": "ធ្វើបច្ចុប្បន្នភាព",</t>
        </is>
      </c>
      <c r="I1382" t="inlineStr">
        <is>
          <t>ធ្វើបច្ចុប្បន្នភាព</t>
        </is>
      </c>
    </row>
    <row r="1383">
      <c r="A1383" s="3" t="inlineStr">
        <is>
          <t>sorting.updateAt</t>
        </is>
      </c>
      <c r="B1383" s="3" t="inlineStr">
        <is>
          <t>Ngày tác động</t>
        </is>
      </c>
      <c r="C1383" s="3" t="inlineStr">
        <is>
          <t>Action date</t>
        </is>
      </c>
      <c r="D1383" s="217">
        <f>IFERROR(__xludf.DUMMYFUNCTION("GOOGLETRANSLATE(C1383,""vi"",""km"")"),"កាលបរិច្ឆេទសកម្មភាព")</f>
        <v/>
      </c>
      <c r="E1383" s="3" t="n"/>
      <c r="F1383" s="3" t="inlineStr">
        <is>
          <t>កាលបរិច្ឆេទសកម្មភាព</t>
        </is>
      </c>
      <c r="G1383" s="3" t="n"/>
      <c r="H1383" s="217" t="inlineStr">
        <is>
          <t>"sorting.updateAt": "កាលបរិច្ឆេទសកម្មភាព",</t>
        </is>
      </c>
      <c r="I1383" t="inlineStr">
        <is>
          <t>កាលបរិច្ឆេទសកម្មភាព</t>
        </is>
      </c>
    </row>
    <row r="1384">
      <c r="A1384" s="3" t="inlineStr">
        <is>
          <t>sorting.updateConfigSorting</t>
        </is>
      </c>
      <c r="B1384" s="3" t="inlineStr">
        <is>
          <t>Cập nhật cấu hình thành công</t>
        </is>
      </c>
      <c r="C1384" s="3" t="inlineStr">
        <is>
          <t>Configuration updated successfully</t>
        </is>
      </c>
      <c r="D1384" s="217">
        <f>IFERROR(__xludf.DUMMYFUNCTION("GOOGLETRANSLATE(C1384,""vi"",""km"")"),"បានធ្វើបច្ចុប្បន្នភាពការកំណត់រចនាសម្ព័ន្ធដោយជោគជ័យ")</f>
        <v/>
      </c>
      <c r="E1384" s="3" t="n"/>
      <c r="F1384" s="3" t="inlineStr">
        <is>
          <t>បានធ្វើបច្ចុប្បន្នភាពការកំណត់រចនាសម្ព័ន្ធដោយជោគជ័យ</t>
        </is>
      </c>
      <c r="G1384" s="3" t="n"/>
      <c r="H1384" s="217" t="inlineStr">
        <is>
          <t>"sorting.updateConfigSorting": "បានធ្វើបច្ចុប្បន្នភាពការកំណត់រចនាសម្ព័ន្ធដោយជោគជ័យ",</t>
        </is>
      </c>
      <c r="I1384" t="inlineStr">
        <is>
          <t>បានធ្វើបច្ចុប្បន្នភាពការកំណត់រចនាសម្ព័ន្ធដោយជោគជ័យ</t>
        </is>
      </c>
    </row>
    <row r="1385">
      <c r="A1385" s="3" t="inlineStr">
        <is>
          <t>sorting.updateConfigZone</t>
        </is>
      </c>
      <c r="B1385" s="3" t="inlineStr">
        <is>
          <t>Cập nhật cấu hình thành công</t>
        </is>
      </c>
      <c r="C1385" s="3" t="inlineStr">
        <is>
          <t>Configuration updated successfully</t>
        </is>
      </c>
      <c r="D1385" s="217">
        <f>IFERROR(__xludf.DUMMYFUNCTION("GOOGLETRANSLATE(C1385,""vi"",""km"")"),"បានធ្វើបច្ចុប្បន្នភាពការកំណត់រចនាសម្ព័ន្ធដោយជោគជ័យ")</f>
        <v/>
      </c>
      <c r="E1385" s="3" t="n"/>
      <c r="F1385" s="3" t="inlineStr">
        <is>
          <t>បានធ្វើបច្ចុប្បន្នភាពការកំណត់រចនាសម្ព័ន្ធដោយជោគជ័យ</t>
        </is>
      </c>
      <c r="G1385" s="3" t="n"/>
      <c r="H1385" s="217" t="inlineStr">
        <is>
          <t>"sorting.updateConfigZone": "បានធ្វើបច្ចុប្បន្នភាពការកំណត់រចនាសម្ព័ន្ធដោយជោគជ័យ",</t>
        </is>
      </c>
      <c r="I1385" t="inlineStr">
        <is>
          <t>បានធ្វើបច្ចុប្បន្នភាពការកំណត់រចនាសម្ព័ន្ធដោយជោគជ័យ</t>
        </is>
      </c>
    </row>
    <row r="1386">
      <c r="A1386" s="3" t="inlineStr">
        <is>
          <t>sorting.updateServiceGroup</t>
        </is>
      </c>
      <c r="B1386" s="3" t="inlineStr">
        <is>
          <t>Cập nhật thông tin thành công!</t>
        </is>
      </c>
      <c r="C1386" s="3" t="inlineStr">
        <is>
          <t>Updated successfully!</t>
        </is>
      </c>
      <c r="D1386" s="217">
        <f>IFERROR(__xludf.DUMMYFUNCTION("GOOGLETRANSLATE(C1386,""vi"",""km"")"),"បានធ្វើបច្ចុប្បន្នភាពថ្មីៗនេះ!")</f>
        <v/>
      </c>
      <c r="E1386" s="3" t="n"/>
      <c r="F1386" s="3" t="inlineStr">
        <is>
          <t>បានធ្វើបច្ចុប្បន្នភាពថ្មីៗនេះ!</t>
        </is>
      </c>
      <c r="G1386" s="3" t="n"/>
      <c r="H1386" s="217" t="inlineStr">
        <is>
          <t>"sorting.updateServiceGroup": "បានធ្វើបច្ចុប្បន្នភាពថ្មីៗនេះ!",</t>
        </is>
      </c>
      <c r="I1386" t="inlineStr">
        <is>
          <t>បានធ្វើបច្ចុប្បន្នភាពថ្មីៗនេះ!</t>
        </is>
      </c>
    </row>
    <row r="1387">
      <c r="A1387" s="3" t="inlineStr">
        <is>
          <t>sorting.updateServiceGroupFail</t>
        </is>
      </c>
      <c r="B1387" s="3" t="inlineStr">
        <is>
          <t>Cập nhật thông tin thất bại</t>
        </is>
      </c>
      <c r="C1387" s="3" t="inlineStr">
        <is>
          <t>Update failed</t>
        </is>
      </c>
      <c r="D1387" s="217">
        <f>IFERROR(__xludf.DUMMYFUNCTION("GOOGLETRANSLATE(C1387,""vi"",""km"")"),"ធ្វើបច្ចុប្បន្នភាពទាំងស្រុង")</f>
        <v/>
      </c>
      <c r="E1387" s="3" t="n"/>
      <c r="F1387" s="3" t="inlineStr">
        <is>
          <t>ធ្វើបច្ចុប្បន្នភាពបរាជ័យ</t>
        </is>
      </c>
      <c r="G1387" s="3" t="n"/>
      <c r="H1387" s="217" t="inlineStr">
        <is>
          <t>"sorting.updateServiceGroupFail": "ធ្វើបច្ចុប្បន្នភាពបរាជ័យ",</t>
        </is>
      </c>
      <c r="I1387" t="inlineStr">
        <is>
          <t>ធ្វើបច្ចុប្បន្នភាពបរាជ័យ</t>
        </is>
      </c>
    </row>
    <row r="1388">
      <c r="A1388" s="3" t="inlineStr">
        <is>
          <t>sorting.updateSuccess</t>
        </is>
      </c>
      <c r="B1388" s="3" t="inlineStr">
        <is>
          <t>Cập nhật thông tin thành công!</t>
        </is>
      </c>
      <c r="C1388" s="3" t="inlineStr">
        <is>
          <t>Updated successfully!</t>
        </is>
      </c>
      <c r="D1388" s="217">
        <f>IFERROR(__xludf.DUMMYFUNCTION("GOOGLETRANSLATE(C1388,""vi"",""km"")"),"បានធ្វើបច្ចុប្បន្នភាពថ្មីៗនេះ!")</f>
        <v/>
      </c>
      <c r="E1388" s="3" t="n"/>
      <c r="F1388" s="3" t="inlineStr">
        <is>
          <t>បានធ្វើបច្ចុប្បន្នភាពថ្មីៗនេះ!</t>
        </is>
      </c>
      <c r="G1388" s="3" t="n"/>
      <c r="H1388" s="217" t="inlineStr">
        <is>
          <t>"sorting.updateSuccess": "បានធ្វើបច្ចុប្បន្នភាពថ្មីៗនេះ!",</t>
        </is>
      </c>
      <c r="I1388" t="inlineStr">
        <is>
          <t>បានធ្វើបច្ចុប្បន្នភាពថ្មីៗនេះ!</t>
        </is>
      </c>
    </row>
    <row r="1389">
      <c r="A1389" s="3" t="inlineStr">
        <is>
          <t>sorting.updateZoneSuccess</t>
        </is>
      </c>
      <c r="B1389" s="3" t="inlineStr">
        <is>
          <t>Cập nhật chi tiết cấu hình thành công</t>
        </is>
      </c>
      <c r="C1389" s="3" t="inlineStr">
        <is>
          <t>Configuration detail updated successfully</t>
        </is>
      </c>
      <c r="D1389" s="217">
        <f>IFERROR(__xludf.DUMMYFUNCTION("GOOGLETRANSLATE(C1389,""vi"",""km"")"),"ព័ត៌មានលម្អិតអំពីការកំណត់រចនាសម្ព័ន្ធត្រូវបានធ្វើបច្ចុប្បន្នភាពដោយជោគជ័យ")</f>
        <v/>
      </c>
      <c r="E1389" s="3" t="n"/>
      <c r="F1389" s="3" t="inlineStr">
        <is>
          <t>ព័ត៌មានលម្អិតអំពីការកំណត់រចនាសម្ព័ន្ធត្រូវបានធ្វើបច្ចុប្បន្នភាពដោយជោគជ័យ</t>
        </is>
      </c>
      <c r="G1389" s="3" t="n"/>
      <c r="H1389" s="217" t="inlineStr">
        <is>
          <t>"sorting.updateZoneSuccess": "ព័ត៌មានលម្អិតអំពីការកំណត់រចនាសម្ព័ន្ធត្រូវបានធ្វើបច្ចុប្បន្នភាពដោយជោគជ័យ",</t>
        </is>
      </c>
      <c r="I1389" t="inlineStr">
        <is>
          <t>ព័ត៌មានលម្អិតអំពីការកំណត់រចនាសម្ព័ន្ធត្រូវបានធ្វើបច្ចុប្បន្នភាពដោយជោគជ័យ</t>
        </is>
      </c>
    </row>
    <row r="1390">
      <c r="A1390" s="3" t="inlineStr">
        <is>
          <t>sorting.updatedAt</t>
        </is>
      </c>
      <c r="B1390" s="3" t="inlineStr">
        <is>
          <t>Ngày cập nhật</t>
        </is>
      </c>
      <c r="C1390" s="3" t="inlineStr">
        <is>
          <t>Updated date</t>
        </is>
      </c>
      <c r="D1390" s="217">
        <f>IFERROR(__xludf.DUMMYFUNCTION("GOOGLETRANSLATE(C1390,""vi"",""km"")"),"កាលបរិច្ឆេទដែលបានធ្វើបច្ចុប្បន្នភាព")</f>
        <v/>
      </c>
      <c r="E1390" s="3" t="n"/>
      <c r="F1390" s="3" t="inlineStr">
        <is>
          <t>កាលបរិច្ឆេទដែលបានធ្វើបច្ចុប្បន្នភាព</t>
        </is>
      </c>
      <c r="G1390" s="3" t="n"/>
      <c r="H1390" s="217" t="inlineStr">
        <is>
          <t>"sorting.updatedAt": "កាលបរិច្ឆេទដែលបានធ្វើបច្ចុប្បន្នភាព",</t>
        </is>
      </c>
      <c r="I1390" t="inlineStr">
        <is>
          <t>កាលបរិច្ឆេទដែលបានធ្វើបច្ចុប្បន្នភាព</t>
        </is>
      </c>
    </row>
    <row r="1391">
      <c r="A1391" s="3" t="inlineStr">
        <is>
          <t>sorting.updatedBy</t>
        </is>
      </c>
      <c r="B1391" s="3" t="inlineStr">
        <is>
          <t>Người cập nhật</t>
        </is>
      </c>
      <c r="C1391" s="3" t="inlineStr">
        <is>
          <t>Updated by</t>
        </is>
      </c>
      <c r="D1391" s="217">
        <f>IFERROR(__xludf.DUMMYFUNCTION("GOOGLETRANSLATE(C1391,""vi"",""km"")"),"ទំព័រដើមដែលបានធ្វើបច្ចុប្បន្នភាព")</f>
        <v/>
      </c>
      <c r="E1391" s="3" t="n"/>
      <c r="F1391" s="3" t="inlineStr">
        <is>
          <t>ទំព័រដើមដែលបានធ្វើបច្ចុប្បន្នភាព</t>
        </is>
      </c>
      <c r="G1391" s="3" t="n"/>
      <c r="H1391" s="217" t="inlineStr">
        <is>
          <t>"sorting.updatedBy": "ទំព័រដើមដែលបានធ្វើបច្ចុប្បន្នភាព",</t>
        </is>
      </c>
      <c r="I1391" t="inlineStr">
        <is>
          <t>ទំព័រដើមដែលបានធ្វើបច្ចុប្បន្នភាព</t>
        </is>
      </c>
    </row>
    <row r="1392">
      <c r="A1392" s="3" t="inlineStr">
        <is>
          <t>sorting.zone</t>
        </is>
      </c>
      <c r="B1392" s="3" t="inlineStr">
        <is>
          <t>Vùng đi - vùng đến</t>
        </is>
      </c>
      <c r="C1392" s="3" t="inlineStr">
        <is>
          <t>Origin - destination zone</t>
        </is>
      </c>
      <c r="D1392" s="217">
        <f>IFERROR(__xludf.DUMMYFUNCTION("GOOGLETRANSLATE(C1392,""vi"",""km"")"),"តំបន់ដើម - តំបន់គោលដៅ")</f>
        <v/>
      </c>
      <c r="E1392" s="3" t="n"/>
      <c r="F1392" s="3" t="inlineStr">
        <is>
          <t>តំបន់ដើម - តំបន់គោលដៅ</t>
        </is>
      </c>
      <c r="G1392" s="3" t="n"/>
      <c r="H1392" s="217" t="inlineStr">
        <is>
          <t>"sorting.zone": "តំបន់ដើម - តំបន់គោលដៅ",</t>
        </is>
      </c>
      <c r="I1392" t="inlineStr">
        <is>
          <t>តំបន់ដើម - តំបន់គោលដៅ</t>
        </is>
      </c>
    </row>
    <row r="1393">
      <c r="A1393" s="3" t="inlineStr">
        <is>
          <t>sorting.zoneInfo</t>
        </is>
      </c>
      <c r="B1393" s="3" t="inlineStr">
        <is>
          <t>Thông tin tuyến vùng đi, vùng đến</t>
        </is>
      </c>
      <c r="C1393" s="3" t="inlineStr">
        <is>
          <t>Origin and destination zone information</t>
        </is>
      </c>
      <c r="D1393" s="217">
        <f>IFERROR(__xludf.DUMMYFUNCTION("GOOGLETRANSLATE(C1393,""vi"",""km"")"),"ព័ត៌មានតំបន់ដើម និងតំបន់គោលដៅ")</f>
        <v/>
      </c>
      <c r="E1393" s="3" t="n"/>
      <c r="F1393" s="3" t="inlineStr">
        <is>
          <t>ព័ត៌មានតំបន់ដើម និងតំបន់គោលដៅ</t>
        </is>
      </c>
      <c r="G1393" s="3" t="n"/>
      <c r="H1393" s="217" t="inlineStr">
        <is>
          <t>"sorting.zoneInfo": "ព័ត៌មានតំបន់ដើម និងតំបន់គោលដៅ",</t>
        </is>
      </c>
      <c r="I1393" t="inlineStr">
        <is>
          <t>ព័ត៌មានតំបន់ដើម និងតំបន់គោលដៅ</t>
        </is>
      </c>
    </row>
    <row r="1394">
      <c r="A1394" s="3" t="inlineStr">
        <is>
          <t>trackingHistory.content</t>
        </is>
      </c>
      <c r="B1394" s="3" t="inlineStr">
        <is>
          <t>Nội dung</t>
        </is>
      </c>
      <c r="C1394" s="3" t="inlineStr">
        <is>
          <t>Content</t>
        </is>
      </c>
      <c r="D1394" s="217">
        <f>IFERROR(__xludf.DUMMYFUNCTION("GOOGLETRANSLATE(C1394,""vi"",""km"")"),"ខ្លឹមសារ")</f>
        <v/>
      </c>
      <c r="E1394" s="3" t="n"/>
      <c r="F1394" s="3" t="inlineStr">
        <is>
          <t>ខ្លឹមសារ</t>
        </is>
      </c>
      <c r="G1394" s="3" t="n"/>
      <c r="H1394" s="217" t="inlineStr">
        <is>
          <t>"trackingHistory.content": "ខ្លឹមសារ",</t>
        </is>
      </c>
      <c r="I1394" t="inlineStr">
        <is>
          <t>ខ្លឹមសារ</t>
        </is>
      </c>
    </row>
    <row r="1395">
      <c r="A1395" s="3" t="inlineStr">
        <is>
          <t>trackingHistory.contentOrigin</t>
        </is>
      </c>
      <c r="B1395" s="3" t="inlineStr">
        <is>
          <t>Nội dung gốc</t>
        </is>
      </c>
      <c r="C1395" s="3" t="inlineStr">
        <is>
          <t>Original content</t>
        </is>
      </c>
      <c r="D1395" s="217">
        <f>IFERROR(__xludf.DUMMYFUNCTION("GOOGLETRANSLATE(C1395,""vi"",""km"")"),"ខ្លឹមសារដើម")</f>
        <v/>
      </c>
      <c r="E1395" s="3" t="n"/>
      <c r="F1395" s="3" t="inlineStr">
        <is>
          <t>ខ្លឹមសារដើម</t>
        </is>
      </c>
      <c r="G1395" s="3" t="n"/>
      <c r="H1395" s="217" t="inlineStr">
        <is>
          <t>"trackingHistory.contentOrigin": "ខ្លឹមសារដើម",</t>
        </is>
      </c>
      <c r="I1395" t="inlineStr">
        <is>
          <t>ខ្លឹមសារដើម</t>
        </is>
      </c>
    </row>
    <row r="1396">
      <c r="A1396" s="3" t="inlineStr">
        <is>
          <t>trackingHistory.contentUpdate</t>
        </is>
      </c>
      <c r="B1396" s="3" t="inlineStr">
        <is>
          <t>Nội dung sửa</t>
        </is>
      </c>
      <c r="C1396" s="3" t="inlineStr">
        <is>
          <t>Edited content</t>
        </is>
      </c>
      <c r="D1396" s="217">
        <f>IFERROR(__xludf.DUMMYFUNCTION("GOOGLETRANSLATE(C1396,""vi"",""km"")"),"ខ្លឹមសារដែលបានកែសម្រួល")</f>
        <v/>
      </c>
      <c r="E1396" s="3" t="n"/>
      <c r="F1396" s="3" t="inlineStr">
        <is>
          <t>ខ្លឹមសារដែលបានកែសម្រួល</t>
        </is>
      </c>
      <c r="G1396" s="3" t="n"/>
      <c r="H1396" s="217" t="inlineStr">
        <is>
          <t>"trackingHistory.contentUpdate": "ខ្លឹមសារដែលបានកែសម្រួល",</t>
        </is>
      </c>
      <c r="I1396" t="inlineStr">
        <is>
          <t>ខ្លឹមសារដែលបានកែសម្រួល</t>
        </is>
      </c>
    </row>
    <row r="1397">
      <c r="A1397" s="3" t="inlineStr">
        <is>
          <t>trackingHistory.historyUpdate</t>
        </is>
      </c>
      <c r="B1397" s="3" t="inlineStr">
        <is>
          <t>Lịch sử điều chỉnh phiếu gửi</t>
        </is>
      </c>
      <c r="C1397" s="3" t="inlineStr">
        <is>
          <t>Order modification history</t>
        </is>
      </c>
      <c r="D1397" s="217">
        <f>IFERROR(__xludf.DUMMYFUNCTION("GOOGLETRANSLATE(C1397,""vi"",""km"")"),"ប្រវត្តិកែប្រែការបញ្ជាទិញ")</f>
        <v/>
      </c>
      <c r="E1397" s="3" t="n"/>
      <c r="F1397" s="3" t="inlineStr">
        <is>
          <t>ប្រវត្តិកែប្រែការបញ្ជាទិញ</t>
        </is>
      </c>
      <c r="G1397" s="3" t="n"/>
      <c r="H1397" s="217" t="inlineStr">
        <is>
          <t>"trackingHistory.historyUpdate": "ប្រវត្តិកែប្រែការបញ្ជាទិញ",</t>
        </is>
      </c>
      <c r="I1397" t="inlineStr">
        <is>
          <t>ប្រវត្តិកែប្រែការបញ្ជាទិញ</t>
        </is>
      </c>
    </row>
    <row r="1398">
      <c r="A1398" s="3" t="inlineStr">
        <is>
          <t>trackingHistory.licensePlates</t>
        </is>
      </c>
      <c r="B1398" s="3" t="inlineStr">
        <is>
          <t>Biển số xe</t>
        </is>
      </c>
      <c r="C1398" s="3" t="inlineStr">
        <is>
          <t>License plates</t>
        </is>
      </c>
      <c r="D1398" s="217">
        <f>IFERROR(__xludf.DUMMYFUNCTION("GOOGLETRANSLATE(C1398,""vi"",""km"")"),"អាជ្ញាប័ណ្ណ")</f>
        <v/>
      </c>
      <c r="E1398" s="3" t="n"/>
      <c r="F1398" s="3" t="inlineStr">
        <is>
          <t>ស្លាកលេខរថយន្ត</t>
        </is>
      </c>
      <c r="G1398" s="3" t="n"/>
      <c r="H1398" s="217" t="inlineStr">
        <is>
          <t>"trackingHistory.licensePlates": "ស្លាកលេខរថយន្ត",</t>
        </is>
      </c>
      <c r="I1398" t="inlineStr">
        <is>
          <t>ស្លាកលេខរថយន្ត</t>
        </is>
      </c>
    </row>
    <row r="1399">
      <c r="A1399" s="3" t="inlineStr">
        <is>
          <t>trackingHistory.note</t>
        </is>
      </c>
      <c r="B1399" s="3" t="inlineStr">
        <is>
          <t>Ghi chú</t>
        </is>
      </c>
      <c r="C1399" s="3" t="inlineStr">
        <is>
          <t>Note</t>
        </is>
      </c>
      <c r="D1399" s="217">
        <f>IFERROR(__xludf.DUMMYFUNCTION("GOOGLETRANSLATE(C1399,""vi"",""km"")"),"កំណត់ចំណាំ")</f>
        <v/>
      </c>
      <c r="E1399" s="3" t="n"/>
      <c r="F1399" s="3" t="inlineStr">
        <is>
          <t>ចំណាំ</t>
        </is>
      </c>
      <c r="G1399" s="3" t="n"/>
      <c r="H1399" s="217" t="inlineStr">
        <is>
          <t>"trackingHistory.note": "ចំណាំ",</t>
        </is>
      </c>
      <c r="I1399" t="inlineStr">
        <is>
          <t>ចំណាំ</t>
        </is>
      </c>
    </row>
    <row r="1400">
      <c r="A1400" s="3" t="inlineStr">
        <is>
          <t>trackingHistory.order</t>
        </is>
      </c>
      <c r="B1400" s="3" t="inlineStr">
        <is>
          <t>Phiếu gửi</t>
        </is>
      </c>
      <c r="C1400" s="3" t="inlineStr">
        <is>
          <t>Order</t>
        </is>
      </c>
      <c r="D1400" s="217">
        <f>IFERROR(__xludf.DUMMYFUNCTION("GOOGLETRANSLATE(C1400,""vi"",""km"")"),"លំដាប់")</f>
        <v/>
      </c>
      <c r="E1400" s="3" t="n"/>
      <c r="F1400" s="3" t="inlineStr">
        <is>
          <t>បុងបញ្ញើ</t>
        </is>
      </c>
      <c r="G1400" s="3" t="n"/>
      <c r="H1400" s="217" t="inlineStr">
        <is>
          <t>"trackingHistory.order": "បុងបញ្ញើ",</t>
        </is>
      </c>
      <c r="I1400" t="inlineStr">
        <is>
          <t>បុងបញ្ញើ</t>
        </is>
      </c>
    </row>
    <row r="1401">
      <c r="A1401" s="3" t="inlineStr">
        <is>
          <t>trackingHistory.postCode</t>
        </is>
      </c>
      <c r="B1401" s="3" t="inlineStr">
        <is>
          <t>Bưu cục</t>
        </is>
      </c>
      <c r="C1401" s="3" t="inlineStr">
        <is>
          <t>Post office</t>
        </is>
      </c>
      <c r="D1401" s="217">
        <f>IFERROR(__xludf.DUMMYFUNCTION("GOOGLETRANSLATE(C1401,""vi"",""km"")"),"ការិយាល័យប្រៃសណីយ៍")</f>
        <v/>
      </c>
      <c r="E1401" s="3" t="n"/>
      <c r="F1401" s="3" t="inlineStr">
        <is>
          <t>ការិយាល័យប្រៃសណីយ៍</t>
        </is>
      </c>
      <c r="G1401" s="3" t="n"/>
      <c r="H1401" s="217" t="inlineStr">
        <is>
          <t>"trackingHistory.postCode": "ការិយាល័យប្រៃសណីយ៍",</t>
        </is>
      </c>
      <c r="I1401" t="inlineStr">
        <is>
          <t>ការិយាល័យប្រៃសណីយ៍</t>
        </is>
      </c>
    </row>
    <row r="1402">
      <c r="A1402" s="3" t="inlineStr">
        <is>
          <t>trackingHistory.postCodeArrives</t>
        </is>
      </c>
      <c r="B1402" s="3" t="inlineStr">
        <is>
          <t>Bưu cục đến</t>
        </is>
      </c>
      <c r="C1402" s="3" t="inlineStr">
        <is>
          <t>Arrival post office</t>
        </is>
      </c>
      <c r="D1402" s="217">
        <f>IFERROR(__xludf.DUMMYFUNCTION("GOOGLETRANSLATE(C1402,""vi"",""km"")"),"ការិយាល័យប្រៃសណីយ៍មកដល់")</f>
        <v/>
      </c>
      <c r="E1402" s="3" t="n"/>
      <c r="F1402" s="3" t="inlineStr">
        <is>
          <t>ការិយាល័យប្រៃសណីយ៍គោលដៅ</t>
        </is>
      </c>
      <c r="G1402" s="3" t="n"/>
      <c r="H1402" s="217" t="inlineStr">
        <is>
          <t>"trackingHistory.postCodeArrives": "ការិយាល័យប្រៃសណីយ៍គោលដៅ",</t>
        </is>
      </c>
      <c r="I1402" t="inlineStr">
        <is>
          <t>ការិយាល័យប្រៃសណីយ៍គោលដៅ</t>
        </is>
      </c>
    </row>
    <row r="1403">
      <c r="A1403" s="3" t="inlineStr">
        <is>
          <t>trackingHistory.province</t>
        </is>
      </c>
      <c r="B1403" s="3" t="inlineStr">
        <is>
          <t>Tỉnh</t>
        </is>
      </c>
      <c r="C1403" s="3" t="inlineStr">
        <is>
          <t>Province</t>
        </is>
      </c>
      <c r="D1403" s="217">
        <f>IFERROR(__xludf.DUMMYFUNCTION("GOOGLETRANSLATE(C1403,""vi"",""km"")"),"ខេត្ត")</f>
        <v/>
      </c>
      <c r="E1403" s="3" t="n"/>
      <c r="F1403" s="3" t="inlineStr">
        <is>
          <t>ខេត្ត</t>
        </is>
      </c>
      <c r="G1403" s="3" t="n"/>
      <c r="H1403" s="217" t="inlineStr">
        <is>
          <t>"trackingHistory.province": "ខេត្ត",</t>
        </is>
      </c>
      <c r="I1403" t="inlineStr">
        <is>
          <t>ខេត្ត</t>
        </is>
      </c>
    </row>
    <row r="1404">
      <c r="A1404" s="3" t="inlineStr">
        <is>
          <t>trackingHistory.status</t>
        </is>
      </c>
      <c r="B1404" s="3" t="inlineStr">
        <is>
          <t>Trạng thái</t>
        </is>
      </c>
      <c r="C1404" s="3" t="inlineStr">
        <is>
          <t>Status</t>
        </is>
      </c>
      <c r="D1404" s="217">
        <f>IFERROR(__xludf.DUMMYFUNCTION("GOOGLETRANSLATE(C1404,""vi"",""km"")"),"ស្ថានភាព")</f>
        <v/>
      </c>
      <c r="E1404" s="3" t="n"/>
      <c r="F1404" s="3" t="inlineStr">
        <is>
          <t>ស្ថានភាព</t>
        </is>
      </c>
      <c r="G1404" s="3" t="n"/>
      <c r="H1404" s="217" t="inlineStr">
        <is>
          <t>"trackingHistory.status": "ស្ថានភាព",</t>
        </is>
      </c>
      <c r="I1404" t="inlineStr">
        <is>
          <t>ស្ថានភាព</t>
        </is>
      </c>
    </row>
    <row r="1405">
      <c r="A1405" s="3" t="inlineStr">
        <is>
          <t>trackingHistory.statusTracking</t>
        </is>
      </c>
      <c r="B1405" s="3" t="inlineStr">
        <is>
          <t>Trạng thái hành trình</t>
        </is>
      </c>
      <c r="C1405" s="3" t="inlineStr">
        <is>
          <t>Tracking status</t>
        </is>
      </c>
      <c r="D1405" s="217">
        <f>IFERROR(__xludf.DUMMYFUNCTION("GOOGLETRANSLATE(C1405,""vi"",""km"")"),"ស្ថានភាពតាមដាន")</f>
        <v/>
      </c>
      <c r="E1405" s="3" t="n"/>
      <c r="F1405" s="3" t="inlineStr">
        <is>
          <t>ស្ថានភាពតាមដាន</t>
        </is>
      </c>
      <c r="G1405" s="3" t="n"/>
      <c r="H1405" s="217" t="inlineStr">
        <is>
          <t>"trackingHistory.statusTracking": "ស្ថានភាពតាមដាន",</t>
        </is>
      </c>
      <c r="I1405" t="inlineStr">
        <is>
          <t>ស្ថានភាពតាមដាន</t>
        </is>
      </c>
    </row>
    <row r="1406">
      <c r="A1406" s="3" t="inlineStr">
        <is>
          <t>trackingHistory.time</t>
        </is>
      </c>
      <c r="B1406" s="3" t="inlineStr">
        <is>
          <t>Thời gian</t>
        </is>
      </c>
      <c r="C1406" s="3" t="inlineStr">
        <is>
          <t>Time</t>
        </is>
      </c>
      <c r="D1406" s="217">
        <f>IFERROR(__xludf.DUMMYFUNCTION("GOOGLETRANSLATE(C1406,""vi"",""km"")"),"កាលបរិច្ឆេទ")</f>
        <v/>
      </c>
      <c r="E1406" s="3" t="n"/>
      <c r="F1406" s="3" t="inlineStr">
        <is>
          <t>ពេលវេលា</t>
        </is>
      </c>
      <c r="G1406" s="3" t="n"/>
      <c r="H1406" s="217" t="inlineStr">
        <is>
          <t>"trackingHistory.time": "ពេលវេលា",</t>
        </is>
      </c>
      <c r="I1406" t="inlineStr">
        <is>
          <t>ពេលវេលា</t>
        </is>
      </c>
    </row>
    <row r="1407">
      <c r="A1407" s="3" t="inlineStr">
        <is>
          <t>trackingHistory.timeStart</t>
        </is>
      </c>
      <c r="B1407" s="3" t="inlineStr">
        <is>
          <t>TG.Xuất phát</t>
        </is>
      </c>
      <c r="C1407" s="3" t="inlineStr">
        <is>
          <t>Start time</t>
        </is>
      </c>
      <c r="D1407" s="217">
        <f>IFERROR(__xludf.DUMMYFUNCTION("GOOGLETRANSLATE(C1407,""vi"",""km"")"),"ពេលវេលាចាប់ផ្តើម")</f>
        <v/>
      </c>
      <c r="E1407" s="3" t="n"/>
      <c r="F1407" s="3" t="inlineStr">
        <is>
          <t>ពេលវេលាចាប់ផ្តើម</t>
        </is>
      </c>
      <c r="G1407" s="3" t="n"/>
      <c r="H1407" s="217" t="inlineStr">
        <is>
          <t>"trackingHistory.timeStart": "ពេលវេលាចាប់ផ្តើម",</t>
        </is>
      </c>
      <c r="I1407" t="inlineStr">
        <is>
          <t>ពេលវេលាចាប់ផ្តើម</t>
        </is>
      </c>
    </row>
    <row r="1408">
      <c r="A1408" s="3" t="inlineStr">
        <is>
          <t>trackingHistory.timeUpdate</t>
        </is>
      </c>
      <c r="B1408" s="3" t="inlineStr">
        <is>
          <t>Thời gian sửa</t>
        </is>
      </c>
      <c r="C1408" s="3" t="inlineStr">
        <is>
          <t>Edition time</t>
        </is>
      </c>
      <c r="D1408" s="217">
        <f>IFERROR(__xludf.DUMMYFUNCTION("GOOGLETRANSLATE(C1408,""vi"",""km"")"),"ពេលវេលាបោះពុម្ពផ្សាយ")</f>
        <v/>
      </c>
      <c r="E1408" s="3" t="n"/>
      <c r="F1408" s="3" t="inlineStr">
        <is>
          <t>ពេលវេលាព្រីនផ្សាយ</t>
        </is>
      </c>
      <c r="G1408" s="3" t="n"/>
      <c r="H1408" s="217" t="inlineStr">
        <is>
          <t>"trackingHistory.timeUpdate": "ពេលវេលាព្រីនផ្សាយ",</t>
        </is>
      </c>
      <c r="I1408" t="inlineStr">
        <is>
          <t>ពេលវេលាព្រីនផ្សាយ</t>
        </is>
      </c>
    </row>
    <row r="1409">
      <c r="A1409" s="3" t="inlineStr">
        <is>
          <t>trackingHistory.tracking</t>
        </is>
      </c>
      <c r="B1409" s="3" t="inlineStr">
        <is>
          <t>Hành trình</t>
        </is>
      </c>
      <c r="C1409" s="3" t="inlineStr">
        <is>
          <t>Tracking</t>
        </is>
      </c>
      <c r="D1409" s="217">
        <f>IFERROR(__xludf.DUMMYFUNCTION("GOOGLETRANSLATE(C1409,""vi"",""km"")"),"ការតាមដាន")</f>
        <v/>
      </c>
      <c r="E1409" s="3" t="n"/>
      <c r="F1409" s="3" t="inlineStr">
        <is>
          <t>ដំណើរឆ្លងកាត់បញ្ញើ</t>
        </is>
      </c>
      <c r="G1409" s="3" t="n"/>
      <c r="H1409" s="217" t="inlineStr">
        <is>
          <t>"trackingHistory.tracking": "ដំណើរឆ្លងកាត់បញ្ញើ",</t>
        </is>
      </c>
      <c r="I1409" t="inlineStr">
        <is>
          <t>ដំណើរឆ្លងកាត់បញ្ញើ</t>
        </is>
      </c>
    </row>
    <row r="1410">
      <c r="A1410" s="3" t="inlineStr">
        <is>
          <t>trackingHistory.userUpdate</t>
        </is>
      </c>
      <c r="B1410" s="3" t="inlineStr">
        <is>
          <t>Người tác động</t>
        </is>
      </c>
      <c r="C1410" s="3" t="inlineStr">
        <is>
          <t>Updater</t>
        </is>
      </c>
      <c r="D1410" s="217">
        <f>IFERROR(__xludf.DUMMYFUNCTION("GOOGLETRANSLATE(C1410,""vi"",""km"")"),"កម្មវិធីធ្វើបច្ចុប្បន្នភាព")</f>
        <v/>
      </c>
      <c r="E1410" s="3" t="n"/>
      <c r="F1410" s="3" t="inlineStr">
        <is>
          <t>អ្នកធ្វើប្រតិបត្តិការ</t>
        </is>
      </c>
      <c r="G1410" s="3" t="n"/>
      <c r="H1410" s="217" t="inlineStr">
        <is>
          <t>"trackingHistory.userUpdate": "អ្នកធ្វើប្រតិបត្តិការ",</t>
        </is>
      </c>
      <c r="I1410" t="inlineStr">
        <is>
          <t>អ្នកធ្វើប្រតិបត្តិការ</t>
        </is>
      </c>
    </row>
    <row r="1411">
      <c r="A1411" s="3" t="inlineStr">
        <is>
          <t>trackingHistory.userUpdateOrder</t>
        </is>
      </c>
      <c r="B1411" s="3" t="inlineStr">
        <is>
          <t>Người sửa</t>
        </is>
      </c>
      <c r="C1411" s="3" t="inlineStr">
        <is>
          <t>Editor</t>
        </is>
      </c>
      <c r="D1411" s="217">
        <f>IFERROR(__xludf.DUMMYFUNCTION("GOOGLETRANSLATE(C1411,""vi"",""km"")"),"អ្នកកែសម្រួល")</f>
        <v/>
      </c>
      <c r="E1411" s="3" t="n"/>
      <c r="F1411" s="3" t="inlineStr">
        <is>
          <t>អ្នកកែប្រែ</t>
        </is>
      </c>
      <c r="G1411" s="3" t="n"/>
      <c r="H1411" s="217" t="inlineStr">
        <is>
          <t>"trackingHistory.userUpdateOrder": "អ្នកកែប្រែ",</t>
        </is>
      </c>
      <c r="I1411" t="inlineStr">
        <is>
          <t>អ្នកកែប្រែ</t>
        </is>
      </c>
    </row>
    <row r="1412">
      <c r="A1412" s="3" t="inlineStr">
        <is>
          <t>trackingInfomation.address</t>
        </is>
      </c>
      <c r="B1412" s="3" t="inlineStr">
        <is>
          <t>Địa chỉ</t>
        </is>
      </c>
      <c r="C1412" s="3" t="inlineStr">
        <is>
          <t>Address</t>
        </is>
      </c>
      <c r="D1412" s="217">
        <f>IFERROR(__xludf.DUMMYFUNCTION("GOOGLETRANSLATE(C1412,""vi"",""km"")"),"មិនត្រឹមត្រូវ")</f>
        <v/>
      </c>
      <c r="E1412" s="3" t="n"/>
      <c r="F1412" s="3" t="inlineStr">
        <is>
          <t>អាសយដ្ឋាន</t>
        </is>
      </c>
      <c r="G1412" s="3" t="n"/>
      <c r="H1412" s="217" t="inlineStr">
        <is>
          <t>"trackingInfomation.address": "អាសយដ្ឋាន",</t>
        </is>
      </c>
      <c r="I1412" t="inlineStr">
        <is>
          <t>អាសយដ្ឋាន</t>
        </is>
      </c>
    </row>
    <row r="1413">
      <c r="A1413" s="3" t="inlineStr">
        <is>
          <t>trackingInfomation.customerCareDelivery</t>
        </is>
      </c>
      <c r="B1413" s="3" t="inlineStr">
        <is>
          <t>CSKH phát</t>
        </is>
      </c>
      <c r="C1413" s="3" t="inlineStr">
        <is>
          <t>Delivery customer care</t>
        </is>
      </c>
      <c r="D1413" s="217">
        <f>IFERROR(__xludf.DUMMYFUNCTION("GOOGLETRANSLATE(C1413,""vi"",""km"")"),"សេវាបម្រើអតិថិជនដឹកជញ្ជូន")</f>
        <v/>
      </c>
      <c r="E1413" s="3" t="n"/>
      <c r="F1413" s="3" t="inlineStr">
        <is>
          <t>សេវាបម្រើអតិថិជនដឹកជញ្ជូន</t>
        </is>
      </c>
      <c r="G1413" s="3" t="n"/>
      <c r="H1413" s="217" t="inlineStr">
        <is>
          <t>"trackingInfomation.customerCareDelivery": "សេវាបម្រើអតិថិជនដឹកជញ្ជូន",</t>
        </is>
      </c>
      <c r="I1413" t="inlineStr">
        <is>
          <t>សេវាបម្រើអតិថិជនដឹកជញ្ជូន</t>
        </is>
      </c>
    </row>
    <row r="1414">
      <c r="A1414" s="3" t="inlineStr">
        <is>
          <t>trackingInfomation.customerCareOrigin</t>
        </is>
      </c>
      <c r="B1414" s="3" t="inlineStr">
        <is>
          <t>CSKH gốc</t>
        </is>
      </c>
      <c r="C1414" s="3" t="inlineStr">
        <is>
          <t>Origin customer care</t>
        </is>
      </c>
      <c r="D1414" s="217">
        <f>IFERROR(__xludf.DUMMYFUNCTION("GOOGLETRANSLATE(C1414,""vi"",""km"")"),"ការថែទាំអតិថិជនដើម")</f>
        <v/>
      </c>
      <c r="E1414" s="3" t="n"/>
      <c r="F1414" s="3" t="inlineStr">
        <is>
          <t>ផ្នែកបម្រើអតិថិជនដើម</t>
        </is>
      </c>
      <c r="G1414" s="3" t="n"/>
      <c r="H1414" s="217" t="inlineStr">
        <is>
          <t>"trackingInfomation.customerCareOrigin": "ផ្នែកបម្រើអតិថិជនដើម",</t>
        </is>
      </c>
      <c r="I1414" t="inlineStr">
        <is>
          <t>ផ្នែកបម្រើអតិថិជនដើម</t>
        </is>
      </c>
    </row>
    <row r="1415">
      <c r="A1415" s="3" t="inlineStr">
        <is>
          <t>trackingInfomation.dateDelivery</t>
        </is>
      </c>
      <c r="B1415" s="3" t="inlineStr">
        <is>
          <t>Ngày phát</t>
        </is>
      </c>
      <c r="C1415" s="3" t="inlineStr">
        <is>
          <t>Delivery date</t>
        </is>
      </c>
      <c r="D1415" s="217">
        <f>IFERROR(__xludf.DUMMYFUNCTION("GOOGLETRANSLATE(C1415,""vi"",""km"")"),"កាលបរិច្ឆេទដឹកជញ្ជូន")</f>
        <v/>
      </c>
      <c r="E1415" s="3" t="n"/>
      <c r="F1415" s="3" t="inlineStr">
        <is>
          <t>កាលបរិច្ឆេទដឹកជញ្ជូន</t>
        </is>
      </c>
      <c r="G1415" s="3" t="n"/>
      <c r="H1415" s="217" t="inlineStr">
        <is>
          <t>"trackingInfomation.dateDelivery": "កាលបរិច្ឆេទដឹកជញ្ជូន",</t>
        </is>
      </c>
      <c r="I1415" t="inlineStr">
        <is>
          <t>កាលបរិច្ឆេទដឹកជញ្ជូន</t>
        </is>
      </c>
    </row>
    <row r="1416">
      <c r="A1416" s="3" t="inlineStr">
        <is>
          <t>trackingInfomation.informationDelivery</t>
        </is>
      </c>
      <c r="B1416" s="3" t="inlineStr">
        <is>
          <t>Thông tin phát</t>
        </is>
      </c>
      <c r="C1416" s="3" t="inlineStr">
        <is>
          <t>Delivery information</t>
        </is>
      </c>
      <c r="D1416" s="217">
        <f>IFERROR(__xludf.DUMMYFUNCTION("GOOGLETRANSLATE(C1416,""vi"",""km"")"),"ការធានារ៉ាប់រងអំណោយ")</f>
        <v/>
      </c>
      <c r="E1416" s="3" t="n"/>
      <c r="F1416" s="3" t="inlineStr">
        <is>
          <t>ការធានារ៉ាប់រងអំណោយ</t>
        </is>
      </c>
      <c r="G1416" s="3" t="n"/>
      <c r="H1416" s="217" t="inlineStr">
        <is>
          <t>"trackingInfomation.informationDelivery": "ការធានារ៉ាប់រងអំណោយ",</t>
        </is>
      </c>
      <c r="I1416" t="inlineStr">
        <is>
          <t>ការធានារ៉ាប់រងអំណោយ</t>
        </is>
      </c>
    </row>
    <row r="1417">
      <c r="A1417" s="3" t="inlineStr">
        <is>
          <t>trackingInfomation.informationRefund</t>
        </is>
      </c>
      <c r="B1417" s="3" t="inlineStr">
        <is>
          <t>Thông tin hoàn</t>
        </is>
      </c>
      <c r="C1417" s="3" t="inlineStr">
        <is>
          <t>Return information</t>
        </is>
      </c>
      <c r="D1417" s="217">
        <f>IFERROR(__xludf.DUMMYFUNCTION("GOOGLETRANSLATE(C1417,""vi"",""km"")"),"ព័ត៌មានអំពីការប្រគល់មកវិញ")</f>
        <v/>
      </c>
      <c r="E1417" s="3" t="n"/>
      <c r="F1417" s="3" t="inlineStr">
        <is>
          <t>ព័ត៌មានអំពីការប្រគល់មកវិញ</t>
        </is>
      </c>
      <c r="G1417" s="3" t="n"/>
      <c r="H1417" s="217" t="inlineStr">
        <is>
          <t>"trackingInfomation.informationRefund": "ព័ត៌មានអំពីការប្រគល់មកវិញ",</t>
        </is>
      </c>
      <c r="I1417" t="inlineStr">
        <is>
          <t>ព័ត៌មានអំពីការប្រគល់មកវិញ</t>
        </is>
      </c>
    </row>
    <row r="1418">
      <c r="A1418" s="3" t="inlineStr">
        <is>
          <t>trackingInfomation.informationUser</t>
        </is>
      </c>
      <c r="B1418" s="3" t="inlineStr">
        <is>
          <t>Thông tin liên hệ</t>
        </is>
      </c>
      <c r="C1418" s="3" t="inlineStr">
        <is>
          <t>Contact information</t>
        </is>
      </c>
      <c r="D1418" s="217">
        <f>IFERROR(__xludf.DUMMYFUNCTION("GOOGLETRANSLATE(C1418,""vi"",""km"")"),"ទីក្រុងទំនាក់ទំនង")</f>
        <v/>
      </c>
      <c r="E1418" s="3" t="n"/>
      <c r="F1418" s="3" t="inlineStr">
        <is>
          <t>ទីក្រុងទំនាក់ទំនង</t>
        </is>
      </c>
      <c r="G1418" s="3" t="n"/>
      <c r="H1418" s="217" t="inlineStr">
        <is>
          <t>"trackingInfomation.informationUser": "ទីក្រុងទំនាក់ទំនង",</t>
        </is>
      </c>
      <c r="I1418" t="inlineStr">
        <is>
          <t>ទីក្រុងទំនាក់ទំនង</t>
        </is>
      </c>
    </row>
    <row r="1419">
      <c r="A1419" s="3" t="inlineStr">
        <is>
          <t>trackingInfomation.leader</t>
        </is>
      </c>
      <c r="B1419" s="3" t="inlineStr">
        <is>
          <t>Trưởng đơn vị</t>
        </is>
      </c>
      <c r="C1419" s="3" t="inlineStr">
        <is>
          <t>Head of Post-Office</t>
        </is>
      </c>
      <c r="D1419" s="217">
        <f>IFERROR(__xludf.DUMMYFUNCTION("GOOGLETRANSLATE(C1419,""vi"",""km"")"),"ប្រធានការិយាល័យប្រៃសណីយ៍")</f>
        <v/>
      </c>
      <c r="E1419" s="3" t="n"/>
      <c r="F1419" s="3" t="inlineStr">
        <is>
          <t>ប្រធានការិយាល័យប្រៃសណីយ៍</t>
        </is>
      </c>
      <c r="G1419" s="3" t="n"/>
      <c r="H1419" s="217" t="inlineStr">
        <is>
          <t>"trackingInfomation.leader": "ប្រធានការិយាល័យប្រៃសណីយ៍",</t>
        </is>
      </c>
      <c r="I1419" t="inlineStr">
        <is>
          <t>ប្រធានការិយាល័យប្រៃសណីយ៍</t>
        </is>
      </c>
    </row>
    <row r="1420">
      <c r="A1420" s="3" t="inlineStr">
        <is>
          <t>trackingInfomation.parcel</t>
        </is>
      </c>
      <c r="B1420" s="3" t="inlineStr">
        <is>
          <t>Hàng hóa</t>
        </is>
      </c>
      <c r="C1420" s="3" t="inlineStr">
        <is>
          <t>Parcel</t>
        </is>
      </c>
      <c r="D1420" s="217">
        <f>IFERROR(__xludf.DUMMYFUNCTION("GOOGLETRANSLATE(C1420,""vi"",""km"")"),"កញ្ចប់")</f>
        <v/>
      </c>
      <c r="E1420" s="3" t="n"/>
      <c r="F1420" s="3" t="inlineStr">
        <is>
          <t>ទំនិញ</t>
        </is>
      </c>
      <c r="G1420" s="3" t="n"/>
      <c r="H1420" s="217" t="inlineStr">
        <is>
          <t>"trackingInfomation.parcel": "ទំនិញ",</t>
        </is>
      </c>
      <c r="I1420" t="inlineStr">
        <is>
          <t>ទំនិញ</t>
        </is>
      </c>
    </row>
    <row r="1421">
      <c r="A1421" s="3" t="inlineStr">
        <is>
          <t>trackingInfomation.phone</t>
        </is>
      </c>
      <c r="B1421" s="3" t="inlineStr">
        <is>
          <t>Số điện thoại</t>
        </is>
      </c>
      <c r="C1421" s="3" t="inlineStr">
        <is>
          <t>Phone number</t>
        </is>
      </c>
      <c r="D1421" s="217">
        <f>IFERROR(__xludf.DUMMYFUNCTION("GOOGLETRANSLATE(C1421,""vi"",""km"")"),"លេខទូរស័ព្ទ")</f>
        <v/>
      </c>
      <c r="E1421" s="3" t="n"/>
      <c r="F1421" s="3" t="inlineStr">
        <is>
          <t>លេខទូរស័ព្ទ</t>
        </is>
      </c>
      <c r="G1421" s="3" t="n"/>
      <c r="H1421" s="217" t="inlineStr">
        <is>
          <t>"trackingInfomation.phone": "លេខទូរស័ព្ទ",</t>
        </is>
      </c>
      <c r="I1421" t="inlineStr">
        <is>
          <t>លេខទូរស័ព្ទ</t>
        </is>
      </c>
    </row>
    <row r="1422">
      <c r="A1422" s="3" t="inlineStr">
        <is>
          <t>trackingInfomation.postOfficeDelivery</t>
        </is>
      </c>
      <c r="B1422" s="3" t="inlineStr">
        <is>
          <t>Bưu cục phát</t>
        </is>
      </c>
      <c r="C1422" s="3" t="inlineStr">
        <is>
          <t>Delivery post office</t>
        </is>
      </c>
      <c r="D1422" s="217">
        <f>IFERROR(__xludf.DUMMYFUNCTION("GOOGLETRANSLATE(C1422,""vi"",""km"")"),"ការិយាល័យប្រៃសណីយ៍ដឹកជញ្ជូន")</f>
        <v/>
      </c>
      <c r="E1422" s="3" t="n"/>
      <c r="F1422" s="3" t="inlineStr">
        <is>
          <t>ការិយាល័យប្រៃសណីយ៍ដឹកចែក</t>
        </is>
      </c>
      <c r="G1422" s="3" t="n"/>
      <c r="H1422" s="217" t="inlineStr">
        <is>
          <t>"trackingInfomation.postOfficeDelivery": "ការិយាល័យប្រៃសណីយ៍ដឹកចែក",</t>
        </is>
      </c>
      <c r="I1422" t="inlineStr">
        <is>
          <t>ការិយាល័យប្រៃសណីយ៍ដឹកចែក</t>
        </is>
      </c>
    </row>
    <row r="1423">
      <c r="A1423" s="3" t="inlineStr">
        <is>
          <t>trackingInfomation.postOfficeOrigin</t>
        </is>
      </c>
      <c r="B1423" s="3" t="inlineStr">
        <is>
          <t>Bưu cục gốc</t>
        </is>
      </c>
      <c r="C1423" s="3" t="inlineStr">
        <is>
          <t>Origin post office</t>
        </is>
      </c>
      <c r="D1423" s="217">
        <f>IFERROR(__xludf.DUMMYFUNCTION("GOOGLETRANSLATE(C1423,""vi"",""km"")"),"ការិយាល័យប្រៃសណីយ៍ដើម")</f>
        <v/>
      </c>
      <c r="E1423" s="3" t="n"/>
      <c r="F1423" s="3" t="inlineStr">
        <is>
          <t>ការិយាល័យប្រៃសណីយ៍ដើម</t>
        </is>
      </c>
      <c r="G1423" s="3" t="n"/>
      <c r="H1423" s="217" t="inlineStr">
        <is>
          <t>"trackingInfomation.postOfficeOrigin": "ការិយាល័យប្រៃសណីយ៍ដើម",</t>
        </is>
      </c>
      <c r="I1423" t="inlineStr">
        <is>
          <t>ការិយាល័យប្រៃសណីយ៍ដើម</t>
        </is>
      </c>
    </row>
    <row r="1424">
      <c r="A1424" s="3" t="inlineStr">
        <is>
          <t>trackingInfomation.postmanDelivery</t>
        </is>
      </c>
      <c r="B1424" s="3" t="inlineStr">
        <is>
          <t>Bưu tá phát</t>
        </is>
      </c>
      <c r="C1424" s="3" t="inlineStr">
        <is>
          <t>Delivery postman</t>
        </is>
      </c>
      <c r="D1424" s="217">
        <f>IFERROR(__xludf.DUMMYFUNCTION("GOOGLETRANSLATE(C1424,""vi"",""km"")"),"អ្នកប្រៃសណីយ៍ដឹកជញ្ជូន")</f>
        <v/>
      </c>
      <c r="E1424" s="3" t="n"/>
      <c r="F1424" s="3" t="inlineStr">
        <is>
          <t>អ្នកប្រៃសណីយ៍ដឹកជញ្ជូន</t>
        </is>
      </c>
      <c r="G1424" s="3" t="n"/>
      <c r="H1424" s="217" t="inlineStr">
        <is>
          <t>"trackingInfomation.postmanDelivery": "អ្នកប្រៃសណីយ៍ដឹកជញ្ជូន",</t>
        </is>
      </c>
      <c r="I1424" t="inlineStr">
        <is>
          <t>អ្នកប្រៃសណីយ៍ដឹកជញ្ជូន</t>
        </is>
      </c>
    </row>
    <row r="1425">
      <c r="A1425" s="3" t="inlineStr">
        <is>
          <t>trackingInfomation.receiverUser</t>
        </is>
      </c>
      <c r="B1425" s="3" t="inlineStr">
        <is>
          <t>Người nhận</t>
        </is>
      </c>
      <c r="C1425" s="3" t="inlineStr">
        <is>
          <t>Receiver</t>
        </is>
      </c>
      <c r="D1425" s="217">
        <f>IFERROR(__xludf.DUMMYFUNCTION("GOOGLETRANSLATE(C1425,""vi"",""km"")"),"អ្នកទទួល")</f>
        <v/>
      </c>
      <c r="E1425" s="3" t="n"/>
      <c r="F1425" s="3" t="inlineStr">
        <is>
          <t>អ្នកទទួល</t>
        </is>
      </c>
      <c r="G1425" s="3" t="n"/>
      <c r="H1425" s="217" t="inlineStr">
        <is>
          <t>"trackingInfomation.receiverUser": "អ្នកទទួល",</t>
        </is>
      </c>
      <c r="I1425" t="inlineStr">
        <is>
          <t>អ្នកទទួល</t>
        </is>
      </c>
    </row>
    <row r="1426">
      <c r="A1426" s="3" t="inlineStr">
        <is>
          <t>trackingInfomation.status</t>
        </is>
      </c>
      <c r="B1426" s="3" t="inlineStr">
        <is>
          <t>Trạng thái</t>
        </is>
      </c>
      <c r="C1426" s="3" t="inlineStr">
        <is>
          <t>Status</t>
        </is>
      </c>
      <c r="D1426" s="217">
        <f>IFERROR(__xludf.DUMMYFUNCTION("GOOGLETRANSLATE(C1426,""vi"",""km"")"),"ស្ថានភាព")</f>
        <v/>
      </c>
      <c r="E1426" s="3" t="n"/>
      <c r="F1426" s="3" t="inlineStr">
        <is>
          <t>ស្ថានភាព</t>
        </is>
      </c>
      <c r="G1426" s="3" t="n"/>
      <c r="H1426" s="217" t="inlineStr">
        <is>
          <t>"trackingInfomation.status": "ស្ថានភាព",</t>
        </is>
      </c>
      <c r="I1426" t="inlineStr">
        <is>
          <t>ស្ថានភាព</t>
        </is>
      </c>
    </row>
    <row r="1427">
      <c r="A1427" s="3" t="inlineStr">
        <is>
          <t>trackingOrder.COD</t>
        </is>
      </c>
      <c r="B1427" s="3" t="inlineStr">
        <is>
          <t>COD</t>
        </is>
      </c>
      <c r="C1427" s="3" t="inlineStr">
        <is>
          <t>COD</t>
        </is>
      </c>
      <c r="D1427" s="217">
        <f>IFERROR(__xludf.DUMMYFUNCTION("GOOGLETRANSLATE(C1427,""vi"",""km"")"),"ប្រតិបត្តិការ​ទូទាត់​ថ្លៃ​សេវា​ (COD)")</f>
        <v/>
      </c>
      <c r="E1427" s="3" t="n"/>
      <c r="F1427" s="3" t="inlineStr">
        <is>
          <t>ប្រតិបត្តិការទូទាត់ថ្លៃសេវា (COD)</t>
        </is>
      </c>
      <c r="G1427" s="3" t="n"/>
      <c r="H1427" s="217" t="inlineStr">
        <is>
          <t>"trackingOrder.COD": "ប្រតិបត្តិការទូទាត់ថ្លៃសេវា (COD)",</t>
        </is>
      </c>
      <c r="I1427" t="inlineStr">
        <is>
          <t>ប្រតិបត្តិការទូទាត់ថ្លៃសេវា (COD)</t>
        </is>
      </c>
    </row>
    <row r="1428">
      <c r="A1428" s="3" t="inlineStr">
        <is>
          <t>trackingOrder.CONSIGNEE</t>
        </is>
      </c>
      <c r="B1428" s="3" t="inlineStr">
        <is>
          <t>Người nhận</t>
        </is>
      </c>
      <c r="C1428" s="3" t="inlineStr">
        <is>
          <t>consignee</t>
        </is>
      </c>
      <c r="D1428" s="217">
        <f>IFERROR(__xludf.DUMMYFUNCTION("GOOGLETRANSLATE(C1428,""vi"",""km"")"),"អ្នកទទួលទំនិញ")</f>
        <v/>
      </c>
      <c r="E1428" s="3" t="n"/>
      <c r="F1428" s="3" t="inlineStr">
        <is>
          <t>អ្នកទទួល</t>
        </is>
      </c>
      <c r="G1428" s="3" t="n"/>
      <c r="H1428" s="217" t="inlineStr">
        <is>
          <t>"trackingOrder.CONSIGNEE": "អ្នកទទួល",</t>
        </is>
      </c>
      <c r="I1428" t="inlineStr">
        <is>
          <t>អ្នកទទួល</t>
        </is>
      </c>
    </row>
    <row r="1429">
      <c r="A1429" s="3" t="inlineStr">
        <is>
          <t>trackingOrder.DOCUMENT</t>
        </is>
      </c>
      <c r="B1429" s="3" t="inlineStr">
        <is>
          <t>Thư</t>
        </is>
      </c>
      <c r="C1429" s="3" t="inlineStr">
        <is>
          <t>Document</t>
        </is>
      </c>
      <c r="D1429" s="217">
        <f>IFERROR(__xludf.DUMMYFUNCTION("GOOGLETRANSLATE(C1429,""vi"",""km"")"),"ឯកសារ")</f>
        <v/>
      </c>
      <c r="E1429" s="3" t="n"/>
      <c r="F1429" s="3" t="inlineStr">
        <is>
          <t>ឯកសារ</t>
        </is>
      </c>
      <c r="G1429" s="3" t="n"/>
      <c r="H1429" s="217" t="inlineStr">
        <is>
          <t>"trackingOrder.DOCUMENT": "ឯកសារ",</t>
        </is>
      </c>
      <c r="I1429" t="inlineStr">
        <is>
          <t>ឯកសារ</t>
        </is>
      </c>
    </row>
    <row r="1430">
      <c r="A1430" s="3" t="inlineStr">
        <is>
          <t>trackingOrder.GOODS</t>
        </is>
      </c>
      <c r="B1430" s="3" t="inlineStr">
        <is>
          <t>Hàng hoá</t>
        </is>
      </c>
      <c r="C1430" s="3" t="inlineStr">
        <is>
          <t>Goods</t>
        </is>
      </c>
      <c r="D1430" s="217">
        <f>IFERROR(__xludf.DUMMYFUNCTION("GOOGLETRANSLATE(C1430,""vi"",""km"")"),"ទំនិញ")</f>
        <v/>
      </c>
      <c r="E1430" s="3" t="n"/>
      <c r="F1430" s="3" t="inlineStr">
        <is>
          <t>ទំនិញ</t>
        </is>
      </c>
      <c r="G1430" s="3" t="n"/>
      <c r="H1430" s="217" t="inlineStr">
        <is>
          <t>"trackingOrder.GOODS": "ទំនិញ",</t>
        </is>
      </c>
      <c r="I1430" t="inlineStr">
        <is>
          <t>ទំនិញ</t>
        </is>
      </c>
    </row>
    <row r="1431">
      <c r="A1431" s="3" t="inlineStr">
        <is>
          <t>trackingOrder.SELLER</t>
        </is>
      </c>
      <c r="B1431" s="3" t="inlineStr">
        <is>
          <t>Người gửi</t>
        </is>
      </c>
      <c r="C1431" s="3" t="inlineStr">
        <is>
          <t>seller</t>
        </is>
      </c>
      <c r="D1431" s="217">
        <f>IFERROR(__xludf.DUMMYFUNCTION("GOOGLETRANSLATE(C1431,""vi"",""km"")"),"អ្នកលក់")</f>
        <v/>
      </c>
      <c r="E1431" s="3" t="n"/>
      <c r="F1431" s="3" t="inlineStr">
        <is>
          <t>អ្នកផ្ញើ</t>
        </is>
      </c>
      <c r="G1431" s="3" t="n"/>
      <c r="H1431" s="217" t="inlineStr">
        <is>
          <t>"trackingOrder.SELLER": "អ្នកផ្ញើ",</t>
        </is>
      </c>
      <c r="I1431" t="inlineStr">
        <is>
          <t>អ្នកផ្ញើ</t>
        </is>
      </c>
    </row>
    <row r="1432">
      <c r="A1432" s="3" t="inlineStr">
        <is>
          <t>trackingOrder.additionalServices</t>
        </is>
      </c>
      <c r="B1432" s="3" t="inlineStr">
        <is>
          <t>Dịch vụ cộng thêm</t>
        </is>
      </c>
      <c r="C1432" s="3" t="inlineStr">
        <is>
          <t>Addtional service</t>
        </is>
      </c>
      <c r="D1432" s="217">
        <f>IFERROR(__xludf.DUMMYFUNCTION("GOOGLETRANSLATE(C1432,""vi"",""km"")"),"សេវាកម្មបន្ថែម")</f>
        <v/>
      </c>
      <c r="E1432" s="3" t="n"/>
      <c r="F1432" s="3" t="inlineStr">
        <is>
          <t>សេវាកម្មបន្ថែម</t>
        </is>
      </c>
      <c r="G1432" s="3" t="n"/>
      <c r="H1432" s="217" t="inlineStr">
        <is>
          <t>"trackingOrder.additionalServices": "សេវាកម្មបន្ថែម",</t>
        </is>
      </c>
      <c r="I1432" t="inlineStr">
        <is>
          <t>សេវាកម្មបន្ថែម</t>
        </is>
      </c>
    </row>
    <row r="1433">
      <c r="A1433" s="3" t="inlineStr">
        <is>
          <t>trackingOrder.address</t>
        </is>
      </c>
      <c r="B1433" s="3" t="inlineStr">
        <is>
          <t>Địa chỉ</t>
        </is>
      </c>
      <c r="C1433" s="3" t="inlineStr">
        <is>
          <t>Address</t>
        </is>
      </c>
      <c r="D1433" s="217">
        <f>IFERROR(__xludf.DUMMYFUNCTION("GOOGLETRANSLATE(C1433,""vi"",""km"")"),"មិនត្រឹមត្រូវ")</f>
        <v/>
      </c>
      <c r="E1433" s="3" t="n"/>
      <c r="F1433" s="3" t="inlineStr">
        <is>
          <t>អាសយដ្ឋាន</t>
        </is>
      </c>
      <c r="G1433" s="3" t="n"/>
      <c r="H1433" s="217" t="inlineStr">
        <is>
          <t>"trackingOrder.address": "អាសយដ្ឋាន",</t>
        </is>
      </c>
      <c r="I1433" t="inlineStr">
        <is>
          <t>អាសយដ្ឋាន</t>
        </is>
      </c>
    </row>
    <row r="1434">
      <c r="A1434" s="3" t="inlineStr">
        <is>
          <t>trackingOrder.collectFee</t>
        </is>
      </c>
      <c r="B1434" s="3" t="inlineStr">
        <is>
          <t>Tiền thu hộ</t>
        </is>
      </c>
      <c r="C1434" s="3" t="inlineStr">
        <is>
          <t>COD</t>
        </is>
      </c>
      <c r="D1434" s="217">
        <f>IFERROR(__xludf.DUMMYFUNCTION("GOOGLETRANSLATE(C1434,""vi"",""km"")"),"ប្រតិបត្តិការ​ទូទាត់​ថ្លៃ​សេវា​ (COD)")</f>
        <v/>
      </c>
      <c r="E1434" s="3" t="n"/>
      <c r="F1434" s="3" t="inlineStr">
        <is>
          <t>ប្រាក់ប្រមូលជំនួស (COD)</t>
        </is>
      </c>
      <c r="G1434" s="3" t="n"/>
      <c r="H1434" s="217" t="inlineStr">
        <is>
          <t>"trackingOrder.collectFee": "ប្រាក់ប្រមូលជំនួស (COD)",</t>
        </is>
      </c>
      <c r="I1434" t="inlineStr">
        <is>
          <t>ប្រាក់ប្រមូលជំនួស (COD)</t>
        </is>
      </c>
    </row>
    <row r="1435">
      <c r="A1435" s="3" t="inlineStr">
        <is>
          <t>trackingOrder.detailForward</t>
        </is>
      </c>
      <c r="B1435" s="3" t="inlineStr">
        <is>
          <t>Chi tiết mã phiếu chuyển tiếp</t>
        </is>
      </c>
      <c r="C1435" s="3" t="inlineStr">
        <is>
          <t>Forwarding details</t>
        </is>
      </c>
      <c r="D1435" s="217">
        <f>IFERROR(__xludf.DUMMYFUNCTION("GOOGLETRANSLATE(C1435,""vi"",""km"")"),"ព័ត៌មានលម្អិតនៃការបញ្ជូនបន្ត")</f>
        <v/>
      </c>
      <c r="E1435" s="3" t="n"/>
      <c r="F1435" s="3" t="inlineStr">
        <is>
          <t>ព័ត៌មានលម្អិតលេខកូដបុងបញ្ជូនបន្ត</t>
        </is>
      </c>
      <c r="G1435" s="3" t="n"/>
      <c r="H1435" s="217" t="inlineStr">
        <is>
          <t>"trackingOrder.detailForward": "ព័ត៌មានលម្អិតលេខកូដបុងបញ្ជូនបន្ត",</t>
        </is>
      </c>
      <c r="I1435" t="inlineStr">
        <is>
          <t>ព័ត៌មានលម្អិតលេខកូដបុងបញ្ជូនបន្ត</t>
        </is>
      </c>
    </row>
    <row r="1436">
      <c r="A1436" s="3" t="inlineStr">
        <is>
          <t>trackingOrder.detailReturn</t>
        </is>
      </c>
      <c r="B1436" s="3" t="inlineStr">
        <is>
          <t>Chi tiết mã phiếu hoàn</t>
        </is>
      </c>
      <c r="C1436" s="3" t="inlineStr">
        <is>
          <t>Return details</t>
        </is>
      </c>
      <c r="D1436" s="217">
        <f>IFERROR(__xludf.DUMMYFUNCTION("GOOGLETRANSLATE(C1436,""vi"",""km"")"),"លទ្ធផល​ត្រឡប់")</f>
        <v/>
      </c>
      <c r="E1436" s="3" t="n"/>
      <c r="F1436" s="3" t="inlineStr">
        <is>
          <t>លទ្ធផលត្រឡប់</t>
        </is>
      </c>
      <c r="G1436" s="3" t="n"/>
      <c r="H1436" s="217" t="inlineStr">
        <is>
          <t>"trackingOrder.detailReturn": "លទ្ធផលត្រឡប់",</t>
        </is>
      </c>
      <c r="I1436" t="inlineStr">
        <is>
          <t>លទ្ធផលត្រឡប់</t>
        </is>
      </c>
    </row>
    <row r="1437">
      <c r="A1437" s="3" t="inlineStr">
        <is>
          <t>trackingOrder.districtCode</t>
        </is>
      </c>
      <c r="B1437" s="3" t="inlineStr">
        <is>
          <t>Huyện gửi</t>
        </is>
      </c>
      <c r="C1437" s="3" t="inlineStr">
        <is>
          <t>Sender district</t>
        </is>
      </c>
      <c r="D1437" s="217">
        <f>IFERROR(__xludf.DUMMYFUNCTION("GOOGLETRANSLATE(C1437,""vi"",""km"")"),"ស្រុកអ្នកផ្ញើ")</f>
        <v/>
      </c>
      <c r="E1437" s="3" t="n"/>
      <c r="F1437" s="3" t="inlineStr">
        <is>
          <t>ស្រុកអ្នកផ្ញើ</t>
        </is>
      </c>
      <c r="G1437" s="3" t="n"/>
      <c r="H1437" s="217" t="inlineStr">
        <is>
          <t>"trackingOrder.districtCode": "ស្រុកអ្នកផ្ញើ",</t>
        </is>
      </c>
      <c r="I1437" t="inlineStr">
        <is>
          <t>ស្រុកអ្នកផ្ញើ</t>
        </is>
      </c>
    </row>
    <row r="1438">
      <c r="A1438" s="3" t="inlineStr">
        <is>
          <t>trackingOrder.districtCodeReceiving</t>
        </is>
      </c>
      <c r="B1438" s="3" t="inlineStr">
        <is>
          <t>Huyện nhận</t>
        </is>
      </c>
      <c r="C1438" s="3" t="inlineStr">
        <is>
          <t>District Receiving</t>
        </is>
      </c>
      <c r="D1438" s="217">
        <f>IFERROR(__xludf.DUMMYFUNCTION("GOOGLETRANSLATE(C1438,""vi"",""km"")"),"ការទទួលព័ត៌មានស្រុក")</f>
        <v/>
      </c>
      <c r="E1438" s="3" t="n"/>
      <c r="F1438" s="3" t="inlineStr">
        <is>
          <t>ការទទួលព័ត៌មានស្រុក</t>
        </is>
      </c>
      <c r="G1438" s="3" t="n"/>
      <c r="H1438" s="217" t="inlineStr">
        <is>
          <t>"trackingOrder.districtCodeReceiving": "ការទទួលព័ត៌មានស្រុក",</t>
        </is>
      </c>
      <c r="I1438" t="inlineStr">
        <is>
          <t>ការទទួលព័ត៌មានស្រុក</t>
        </is>
      </c>
    </row>
    <row r="1439">
      <c r="A1439" s="3" t="inlineStr">
        <is>
          <t>trackingOrder.emptyOrder</t>
        </is>
      </c>
      <c r="B1439" s="3" t="inlineStr">
        <is>
          <t>Phiếu gửi không tồn tại. Vui lòng tìm kiếm lại!</t>
        </is>
      </c>
      <c r="C1439" s="3" t="inlineStr">
        <is>
          <t>Not found, Please search again</t>
        </is>
      </c>
      <c r="D1439" s="217">
        <f>IFERROR(__xludf.DUMMYFUNCTION("GOOGLETRANSLATE(C1439,""vi"",""km"")"),"រកមិនឃើញទេ សូមស្វែងរកម្តងទៀត")</f>
        <v/>
      </c>
      <c r="E1439" s="3" t="n"/>
      <c r="F1439" s="3" t="inlineStr">
        <is>
          <t>រកមិនឃើញទេ សូមស្វែងរកម្តងទៀត</t>
        </is>
      </c>
      <c r="G1439" s="3" t="n"/>
      <c r="H1439" s="217" t="inlineStr">
        <is>
          <t>"trackingOrder.emptyOrder": "រកមិនឃើញទេ សូមស្វែងរកម្តងទៀត",</t>
        </is>
      </c>
      <c r="I1439" t="inlineStr">
        <is>
          <t>រកមិនឃើញទេ សូមស្វែងរកម្តងទៀត</t>
        </is>
      </c>
    </row>
    <row r="1440">
      <c r="A1440" s="3" t="inlineStr">
        <is>
          <t>trackingOrder.forward</t>
        </is>
      </c>
      <c r="B1440" s="3" t="inlineStr">
        <is>
          <t>Mã phiếu chuyển tiếp</t>
        </is>
      </c>
      <c r="C1440" s="3" t="inlineStr">
        <is>
          <t>Forwarding</t>
        </is>
      </c>
      <c r="D1440" s="217">
        <f>IFERROR(__xludf.DUMMYFUNCTION("GOOGLETRANSLATE(C1440,""vi"",""km"")"),"ការបញ្ជូនបន្ត")</f>
        <v/>
      </c>
      <c r="E1440" s="3" t="n"/>
      <c r="F1440" s="3" t="inlineStr">
        <is>
          <t>ការបញ្ជូនបន្ត</t>
        </is>
      </c>
      <c r="G1440" s="3" t="n"/>
      <c r="H1440" s="217" t="inlineStr">
        <is>
          <t>"trackingOrder.forward": "ការបញ្ជូនបន្ត",</t>
        </is>
      </c>
      <c r="I1440" t="inlineStr">
        <is>
          <t>ការបញ្ជូនបន្ត</t>
        </is>
      </c>
    </row>
    <row r="1441">
      <c r="A1441" s="3" t="inlineStr">
        <is>
          <t>trackingOrder.informationOrder</t>
        </is>
      </c>
      <c r="B1441" s="3" t="inlineStr">
        <is>
          <t>Thông tin đơn hàng</t>
        </is>
      </c>
      <c r="C1441" s="3" t="inlineStr">
        <is>
          <t>Order information</t>
        </is>
      </c>
      <c r="D1441" s="217">
        <f>IFERROR(__xludf.DUMMYFUNCTION("GOOGLETRANSLATE(C1441,""vi"",""km"")"),"ព័ត៌មានការបញ្ជាទិញ")</f>
        <v/>
      </c>
      <c r="E1441" s="3" t="n"/>
      <c r="F1441" s="3" t="inlineStr">
        <is>
          <t>ព័ត៌មានការបញ្ជាទិញ</t>
        </is>
      </c>
      <c r="G1441" s="3" t="n"/>
      <c r="H1441" s="217" t="inlineStr">
        <is>
          <t>"trackingOrder.informationOrder": "ព័ត៌មានការបញ្ជាទិញ",</t>
        </is>
      </c>
      <c r="I1441" t="inlineStr">
        <is>
          <t>ព័ត៌មានការបញ្ជាទិញ</t>
        </is>
      </c>
    </row>
    <row r="1442">
      <c r="A1442" s="3" t="inlineStr">
        <is>
          <t>trackingOrder.informationReceiver</t>
        </is>
      </c>
      <c r="B1442" s="3" t="inlineStr">
        <is>
          <t>Thông tin người nhận</t>
        </is>
      </c>
      <c r="C1442" s="3" t="inlineStr">
        <is>
          <t>Receiver information</t>
        </is>
      </c>
      <c r="D1442" s="217">
        <f>IFERROR(__xludf.DUMMYFUNCTION("GOOGLETRANSLATE(C1442,""vi"",""km"")"),"ស្ថានីយ")</f>
        <v/>
      </c>
      <c r="E1442" s="3" t="n"/>
      <c r="F1442" s="3" t="inlineStr">
        <is>
          <t>ស្ថានីយ</t>
        </is>
      </c>
      <c r="G1442" s="3" t="n"/>
      <c r="H1442" s="217" t="inlineStr">
        <is>
          <t>"trackingOrder.informationReceiver": "ស្ថានីយ",</t>
        </is>
      </c>
      <c r="I1442" t="inlineStr">
        <is>
          <t>ស្ថានីយ</t>
        </is>
      </c>
    </row>
    <row r="1443">
      <c r="A1443" s="3" t="inlineStr">
        <is>
          <t>trackingOrder.informationSender</t>
        </is>
      </c>
      <c r="B1443" s="3" t="inlineStr">
        <is>
          <t>Thông tin người gửi</t>
        </is>
      </c>
      <c r="C1443" s="3" t="inlineStr">
        <is>
          <t>Sender information</t>
        </is>
      </c>
      <c r="D1443" s="217">
        <f>IFERROR(__xludf.DUMMYFUNCTION("GOOGLETRANSLATE(C1443,""vi"",""km"")"),"ព័ត៌មានអ្នកផ្ញើ")</f>
        <v/>
      </c>
      <c r="E1443" s="3" t="n"/>
      <c r="F1443" s="3" t="inlineStr">
        <is>
          <t>ព័ត៌មានអ្នកផ្ញើ</t>
        </is>
      </c>
      <c r="G1443" s="3" t="n"/>
      <c r="H1443" s="217" t="inlineStr">
        <is>
          <t>"trackingOrder.informationSender": "ព័ត៌មានអ្នកផ្ញើ",</t>
        </is>
      </c>
      <c r="I1443" t="inlineStr">
        <is>
          <t>ព័ត៌មានអ្នកផ្ញើ</t>
        </is>
      </c>
    </row>
    <row r="1444">
      <c r="A1444" s="23" t="inlineStr">
        <is>
          <t>trackingOrder.name</t>
        </is>
      </c>
      <c r="B1444" s="3" t="inlineStr">
        <is>
          <t>Họ tên</t>
        </is>
      </c>
      <c r="C1444" s="3" t="inlineStr">
        <is>
          <t>Fullname</t>
        </is>
      </c>
      <c r="D1444" s="217">
        <f>IFERROR(__xludf.DUMMYFUNCTION("GOOGLETRANSLATE(C1444,""vi"",""km"")"),"ឈ្មោះពេញ")</f>
        <v/>
      </c>
      <c r="E1444" s="3" t="n"/>
      <c r="F1444" s="3" t="inlineStr">
        <is>
          <t>ឈ្មោះពេញ</t>
        </is>
      </c>
      <c r="G1444" s="3" t="n"/>
      <c r="H1444" s="217" t="inlineStr">
        <is>
          <t>"trackingOrder.name": "ឈ្មោះពេញ",</t>
        </is>
      </c>
      <c r="I1444" t="inlineStr">
        <is>
          <t>ឈ្មោះពេញ</t>
        </is>
      </c>
    </row>
    <row r="1445">
      <c r="A1445" s="3" t="inlineStr">
        <is>
          <t>trackingOrder.orderCode</t>
        </is>
      </c>
      <c r="B1445" s="3" t="inlineStr">
        <is>
          <t>Mã phiếu gửi</t>
        </is>
      </c>
      <c r="C1445" s="3" t="inlineStr">
        <is>
          <t>Order code</t>
        </is>
      </c>
      <c r="D1445" s="217">
        <f>IFERROR(__xludf.DUMMYFUNCTION("GOOGLETRANSLATE(C1445,""vi"",""km"")"),"លេខកូដបញ្ជាទិញ")</f>
        <v/>
      </c>
      <c r="E1445" s="3" t="n"/>
      <c r="F1445" s="3" t="inlineStr">
        <is>
          <t>លេខកូដបុងបញ្ញើ</t>
        </is>
      </c>
      <c r="G1445" s="3" t="n"/>
      <c r="H1445" s="217" t="inlineStr">
        <is>
          <t>"trackingOrder.orderCode": "លេខកូដបុងបញ្ញើ",</t>
        </is>
      </c>
      <c r="I1445" t="inlineStr">
        <is>
          <t>លេខកូដបុងបញ្ញើ</t>
        </is>
      </c>
    </row>
    <row r="1446">
      <c r="A1446" s="3" t="inlineStr">
        <is>
          <t>trackingOrder.parcel</t>
        </is>
      </c>
      <c r="B1446" s="3" t="inlineStr">
        <is>
          <t>Hàng hóa</t>
        </is>
      </c>
      <c r="C1446" s="3" t="inlineStr">
        <is>
          <t>Product type</t>
        </is>
      </c>
      <c r="D1446" s="217">
        <f>IFERROR(__xludf.DUMMYFUNCTION("GOOGLETRANSLATE(C1446,""vi"",""km"")"),"ប្រភេទកូន")</f>
        <v/>
      </c>
      <c r="E1446" s="3" t="n"/>
      <c r="F1446" s="3" t="inlineStr">
        <is>
          <t>ទំនិញ</t>
        </is>
      </c>
      <c r="G1446" s="3" t="n"/>
      <c r="H1446" s="217" t="inlineStr">
        <is>
          <t>"trackingOrder.parcel": "ទំនិញ",</t>
        </is>
      </c>
      <c r="I1446" t="inlineStr">
        <is>
          <t>ទំនិញ</t>
        </is>
      </c>
    </row>
    <row r="1447">
      <c r="A1447" s="3" t="inlineStr">
        <is>
          <t>trackingOrder.partner</t>
        </is>
      </c>
      <c r="B1447" s="3" t="inlineStr">
        <is>
          <t>Đối tác</t>
        </is>
      </c>
      <c r="C1447" s="3" t="inlineStr">
        <is>
          <t>Partner</t>
        </is>
      </c>
      <c r="D1447" s="217">
        <f>IFERROR(__xludf.DUMMYFUNCTION("GOOGLETRANSLATE(C1447,""vi"",""km"")"),"ដៃគូ")</f>
        <v/>
      </c>
      <c r="E1447" s="3" t="n"/>
      <c r="F1447" s="3" t="inlineStr">
        <is>
          <t>ដៃគូ</t>
        </is>
      </c>
      <c r="G1447" s="3" t="n"/>
      <c r="H1447" s="217" t="inlineStr">
        <is>
          <t>"trackingOrder.partner": "ដៃគូ",</t>
        </is>
      </c>
      <c r="I1447" t="inlineStr">
        <is>
          <t>ដៃគូ</t>
        </is>
      </c>
    </row>
    <row r="1448">
      <c r="A1448" s="3" t="inlineStr">
        <is>
          <t>trackingOrder.payerType</t>
        </is>
      </c>
      <c r="B1448" s="3" t="inlineStr">
        <is>
          <t>Người trả cước</t>
        </is>
      </c>
      <c r="C1448" s="3" t="inlineStr">
        <is>
          <t>Payer</t>
        </is>
      </c>
      <c r="D1448" s="217">
        <f>IFERROR(__xludf.DUMMYFUNCTION("GOOGLETRANSLATE(C1448,""vi"",""km"")"),"អ្នកបង់ប្រាក់")</f>
        <v/>
      </c>
      <c r="E1448" s="3" t="n"/>
      <c r="F1448" s="3" t="inlineStr">
        <is>
          <t>អ្នកបង់ប្រាក់</t>
        </is>
      </c>
      <c r="G1448" s="3" t="n"/>
      <c r="H1448" s="217" t="inlineStr">
        <is>
          <t>"trackingOrder.payerType": "អ្នកបង់ប្រាក់",</t>
        </is>
      </c>
      <c r="I1448" t="inlineStr">
        <is>
          <t>អ្នកបង់ប្រាក់</t>
        </is>
      </c>
    </row>
    <row r="1449">
      <c r="A1449" s="3" t="inlineStr">
        <is>
          <t>trackingOrder.paymentType</t>
        </is>
      </c>
      <c r="B1449" s="3" t="inlineStr">
        <is>
          <t>Hình thức trả cước</t>
        </is>
      </c>
      <c r="C1449" s="3" t="inlineStr">
        <is>
          <t>Payment method</t>
        </is>
      </c>
      <c r="D1449" s="217">
        <f>IFERROR(__xludf.DUMMYFUNCTION("GOOGLETRANSLATE(C1449,""vi"",""km"")"),"វិធីបង់ប្រាក់")</f>
        <v/>
      </c>
      <c r="E1449" s="3" t="n"/>
      <c r="F1449" s="3" t="inlineStr">
        <is>
          <t>វិធីបង់ប្រាក់</t>
        </is>
      </c>
      <c r="G1449" s="3" t="n"/>
      <c r="H1449" s="217" t="inlineStr">
        <is>
          <t>"trackingOrder.paymentType": "វិធីបង់ប្រាក់",</t>
        </is>
      </c>
      <c r="I1449" t="inlineStr">
        <is>
          <t>វិធីបង់ប្រាក់</t>
        </is>
      </c>
    </row>
    <row r="1450">
      <c r="A1450" s="3" t="inlineStr">
        <is>
          <t>trackingOrder.phone</t>
        </is>
      </c>
      <c r="B1450" s="3" t="inlineStr">
        <is>
          <t>Điện thoại</t>
        </is>
      </c>
      <c r="C1450" s="3" t="inlineStr">
        <is>
          <t>Phone number</t>
        </is>
      </c>
      <c r="D1450" s="217">
        <f>IFERROR(__xludf.DUMMYFUNCTION("GOOGLETRANSLATE(C1450,""vi"",""km"")"),"លេខទូរស័ព្ទ")</f>
        <v/>
      </c>
      <c r="E1450" s="3" t="n"/>
      <c r="F1450" s="3" t="inlineStr">
        <is>
          <t>លេខទូរស័ព្ទ</t>
        </is>
      </c>
      <c r="G1450" s="3" t="n"/>
      <c r="H1450" s="217" t="inlineStr">
        <is>
          <t>"trackingOrder.phone": "លេខទូរស័ព្ទ",</t>
        </is>
      </c>
      <c r="I1450" t="inlineStr">
        <is>
          <t>លេខទូរស័ព្ទ</t>
        </is>
      </c>
    </row>
    <row r="1451">
      <c r="A1451" s="3" t="inlineStr">
        <is>
          <t>trackingOrder.provinceCode</t>
        </is>
      </c>
      <c r="B1451" s="3" t="inlineStr">
        <is>
          <t>Tỉnh gửi</t>
        </is>
      </c>
      <c r="C1451" s="3" t="inlineStr">
        <is>
          <t>Sender province</t>
        </is>
      </c>
      <c r="D1451" s="217">
        <f>IFERROR(__xludf.DUMMYFUNCTION("GOOGLETRANSLATE(C1451,""vi"",""km"")"),"ខេត្តអ្នកផ្ញើ")</f>
        <v/>
      </c>
      <c r="E1451" s="3" t="n"/>
      <c r="F1451" s="3" t="inlineStr">
        <is>
          <t>ខេត្តអ្នកផ្ញើ</t>
        </is>
      </c>
      <c r="G1451" s="3" t="n"/>
      <c r="H1451" s="217" t="inlineStr">
        <is>
          <t>"trackingOrder.provinceCode": "ខេត្តអ្នកផ្ញើ",</t>
        </is>
      </c>
      <c r="I1451" t="inlineStr">
        <is>
          <t>ខេត្តអ្នកផ្ញើ</t>
        </is>
      </c>
    </row>
    <row r="1452">
      <c r="A1452" s="3" t="inlineStr">
        <is>
          <t>trackingOrder.provinceCodeReceiving</t>
        </is>
      </c>
      <c r="B1452" s="3" t="inlineStr">
        <is>
          <t>Tỉnh nhận</t>
        </is>
      </c>
      <c r="C1452" s="3" t="inlineStr">
        <is>
          <t>Province Receiving</t>
        </is>
      </c>
      <c r="D1452" s="217">
        <f>IFERROR(__xludf.DUMMYFUNCTION("GOOGLETRANSLATE(C1452,""vi"",""km"")"),"ខេត្ត")</f>
        <v/>
      </c>
      <c r="E1452" s="3" t="n"/>
      <c r="F1452" s="3" t="inlineStr">
        <is>
          <t>ខេត្ត</t>
        </is>
      </c>
      <c r="G1452" s="3" t="n"/>
      <c r="H1452" s="217" t="inlineStr">
        <is>
          <t>"trackingOrder.provinceCodeReceiving": "ខេត្ត",</t>
        </is>
      </c>
      <c r="I1452" t="inlineStr">
        <is>
          <t>ខេត្ត</t>
        </is>
      </c>
    </row>
    <row r="1453">
      <c r="A1453" s="3" t="inlineStr">
        <is>
          <t>trackingOrder.receiveAt</t>
        </is>
      </c>
      <c r="B1453" s="3" t="inlineStr">
        <is>
          <t>Nhận tại CH</t>
        </is>
      </c>
      <c r="C1453" s="3" t="inlineStr">
        <is>
          <t>Store pickup</t>
        </is>
      </c>
      <c r="D1453" s="217">
        <f>IFERROR(__xludf.DUMMYFUNCTION("GOOGLETRANSLATE(C1453,""vi"",""km"")"),"ការទៅយកនៅហាង")</f>
        <v/>
      </c>
      <c r="E1453" s="3" t="n"/>
      <c r="F1453" s="3" t="inlineStr">
        <is>
          <t>ការទៅយកនៅហាង</t>
        </is>
      </c>
      <c r="G1453" s="3" t="n"/>
      <c r="H1453" s="217" t="inlineStr">
        <is>
          <t>"trackingOrder.receiveAt": "ការទៅយកនៅហាង",</t>
        </is>
      </c>
      <c r="I1453" t="inlineStr">
        <is>
          <t>ការទៅយកនៅហាង</t>
        </is>
      </c>
    </row>
    <row r="1454">
      <c r="A1454" s="3" t="inlineStr">
        <is>
          <t>trackingOrder.return</t>
        </is>
      </c>
      <c r="B1454" s="3" t="inlineStr">
        <is>
          <t>Mã phiếu hoàn</t>
        </is>
      </c>
      <c r="C1454" s="3" t="inlineStr">
        <is>
          <t>Return</t>
        </is>
      </c>
      <c r="D1454" s="217">
        <f>IFERROR(__xludf.DUMMYFUNCTION("GOOGLETRANSLATE(C1454,""vi"",""km"")"),"ត្រឡប់មកវិញ")</f>
        <v/>
      </c>
      <c r="E1454" s="3" t="n"/>
      <c r="F1454" s="3" t="inlineStr">
        <is>
          <t>ត្រឡប់មកវិញ</t>
        </is>
      </c>
      <c r="G1454" s="3" t="n"/>
      <c r="H1454" s="217" t="inlineStr">
        <is>
          <t>"trackingOrder.return": "ត្រឡប់មកវិញ",</t>
        </is>
      </c>
      <c r="I1454" t="inlineStr">
        <is>
          <t>ត្រឡប់មកវិញ</t>
        </is>
      </c>
    </row>
    <row r="1455">
      <c r="A1455" s="3" t="inlineStr">
        <is>
          <t>trackingOrder.sellerFee</t>
        </is>
      </c>
      <c r="B1455" s="3" t="inlineStr">
        <is>
          <t>Tiền thu người nhận</t>
        </is>
      </c>
      <c r="C1455" s="3" t="inlineStr">
        <is>
          <t>COD (Collect on Delivery)</t>
        </is>
      </c>
      <c r="D1455" s="217">
        <f>IFERROR(__xludf.DUMMYFUNCTION("GOOGLETRANSLATE(C1455,""vi"",""km"")"),"COD (ទទួលប្រាក់ពេលដឹកជញ្ជូន)")</f>
        <v/>
      </c>
      <c r="E1455" s="3" t="n"/>
      <c r="F1455" s="3" t="inlineStr">
        <is>
          <t>COD (ទទួលប្រាក់ពេលដឹកជញ្ជូន)</t>
        </is>
      </c>
      <c r="G1455" s="3" t="n"/>
      <c r="H1455" s="217" t="inlineStr">
        <is>
          <t>"trackingOrder.sellerFee": "COD (ទទួលប្រាក់ពេលដឹកជញ្ជូន)",</t>
        </is>
      </c>
      <c r="I1455" t="inlineStr">
        <is>
          <t>COD (ទទួលប្រាក់ពេលដឹកជញ្ជូន)</t>
        </is>
      </c>
    </row>
    <row r="1456">
      <c r="A1456" s="3" t="inlineStr">
        <is>
          <t>trackingOrder.sendAt</t>
        </is>
      </c>
      <c r="B1456" s="3" t="inlineStr">
        <is>
          <t>Gửi tại CH</t>
        </is>
      </c>
      <c r="C1456" s="3" t="inlineStr">
        <is>
          <t>Send at store</t>
        </is>
      </c>
      <c r="D1456" s="217">
        <f>IFERROR(__xludf.DUMMYFUNCTION("GOOGLETRANSLATE(C1456,""vi"",""km"")"),"ផ្ញើនៅហាង")</f>
        <v/>
      </c>
      <c r="E1456" s="3" t="n"/>
      <c r="F1456" s="3" t="inlineStr">
        <is>
          <t>ផ្ញើនៅហាង</t>
        </is>
      </c>
      <c r="G1456" s="3" t="n"/>
      <c r="H1456" s="217" t="inlineStr">
        <is>
          <t>"trackingOrder.sendAt": "ផ្ញើនៅហាង",</t>
        </is>
      </c>
      <c r="I1456" t="inlineStr">
        <is>
          <t>ផ្ញើនៅហាង</t>
        </is>
      </c>
    </row>
    <row r="1457">
      <c r="A1457" s="3" t="inlineStr">
        <is>
          <t>trackingOrder.service</t>
        </is>
      </c>
      <c r="B1457" s="3" t="inlineStr">
        <is>
          <t>Dịch vụ</t>
        </is>
      </c>
      <c r="C1457" s="3" t="inlineStr">
        <is>
          <t>Service</t>
        </is>
      </c>
      <c r="D1457" s="217">
        <f>IFERROR(__xludf.DUMMYFUNCTION("GOOGLETRANSLATE(C1457,""vi"",""km"")"),"សេវាកម្ម")</f>
        <v/>
      </c>
      <c r="E1457" s="3" t="n"/>
      <c r="F1457" s="3" t="inlineStr">
        <is>
          <t>សេវាកម្ម</t>
        </is>
      </c>
      <c r="G1457" s="3" t="n"/>
      <c r="H1457" s="217" t="inlineStr">
        <is>
          <t>"trackingOrder.service": "សេវាកម្ម",</t>
        </is>
      </c>
      <c r="I1457" t="inlineStr">
        <is>
          <t>សេវាកម្ម</t>
        </is>
      </c>
    </row>
    <row r="1458">
      <c r="A1458" s="3" t="inlineStr">
        <is>
          <t>trackingOrder.shipFee</t>
        </is>
      </c>
      <c r="B1458" s="3" t="inlineStr">
        <is>
          <t>Phí vận chuyển</t>
        </is>
      </c>
      <c r="C1458" s="3" t="inlineStr">
        <is>
          <t>Shipping fee</t>
        </is>
      </c>
      <c r="D1458" s="217">
        <f>IFERROR(__xludf.DUMMYFUNCTION("GOOGLETRANSLATE(C1458,""vi"",""km"")"),"ថ្លៃដឹកជញ្ជូន")</f>
        <v/>
      </c>
      <c r="E1458" s="3" t="n"/>
      <c r="F1458" s="3" t="inlineStr">
        <is>
          <t>ថ្លៃដឹកជញ្ជូន</t>
        </is>
      </c>
      <c r="G1458" s="3" t="n"/>
      <c r="H1458" s="217" t="inlineStr">
        <is>
          <t>"trackingOrder.shipFee": "ថ្លៃដឹកជញ្ជូន",</t>
        </is>
      </c>
      <c r="I1458" t="inlineStr">
        <is>
          <t>ថ្លៃដឹកជញ្ជូន</t>
        </is>
      </c>
    </row>
    <row r="1459">
      <c r="A1459" s="3" t="inlineStr">
        <is>
          <t>trackingOrder.size</t>
        </is>
      </c>
      <c r="B1459" s="3" t="inlineStr">
        <is>
          <t>Kích thước</t>
        </is>
      </c>
      <c r="C1459" s="3" t="inlineStr">
        <is>
          <t>Dimension</t>
        </is>
      </c>
      <c r="D1459" s="217">
        <f>IFERROR(__xludf.DUMMYFUNCTION("GOOGLETRANSLATE(C1459,""vi"",""km"")"),"វិមាត្រ")</f>
        <v/>
      </c>
      <c r="E1459" s="3" t="n"/>
      <c r="F1459" s="3" t="inlineStr">
        <is>
          <t>ទំហំ</t>
        </is>
      </c>
      <c r="G1459" s="3" t="n"/>
      <c r="H1459" s="217" t="inlineStr">
        <is>
          <t>"trackingOrder.size": "ទំហំ",</t>
        </is>
      </c>
      <c r="I1459" t="inlineStr">
        <is>
          <t>ទំហំ</t>
        </is>
      </c>
    </row>
    <row r="1460">
      <c r="A1460" s="3" t="inlineStr">
        <is>
          <t>trackingOrder.status</t>
        </is>
      </c>
      <c r="B1460" s="3" t="inlineStr">
        <is>
          <t>Trạng thái</t>
        </is>
      </c>
      <c r="C1460" s="3" t="inlineStr">
        <is>
          <t>Status</t>
        </is>
      </c>
      <c r="D1460" s="217">
        <f>IFERROR(__xludf.DUMMYFUNCTION("GOOGLETRANSLATE(C1460,""vi"",""km"")"),"ស្ថានភាព")</f>
        <v/>
      </c>
      <c r="E1460" s="3" t="n"/>
      <c r="F1460" s="3" t="inlineStr">
        <is>
          <t>ស្ថានភាព</t>
        </is>
      </c>
      <c r="G1460" s="3" t="n"/>
      <c r="H1460" s="217" t="inlineStr">
        <is>
          <t>"trackingOrder.status": "ស្ថានភាព",</t>
        </is>
      </c>
      <c r="I1460" t="inlineStr">
        <is>
          <t>ស្ថានភាព</t>
        </is>
      </c>
    </row>
    <row r="1461">
      <c r="A1461" s="3" t="inlineStr">
        <is>
          <t>trackingOrder.sub</t>
        </is>
      </c>
      <c r="B1461" s="3" t="inlineStr">
        <is>
          <t>Mã phiếu đơn con</t>
        </is>
      </c>
      <c r="C1461" s="3" t="inlineStr">
        <is>
          <t>Special parcel surcharge</t>
        </is>
      </c>
      <c r="D1461" s="217">
        <f>IFERROR(__xludf.DUMMYFUNCTION("GOOGLETRANSLATE(C1461,""vi"",""km"")"),"ថ្លៃសេវាបន្ថែមពិសេសសម្រាប់កញ្ចប់")</f>
        <v/>
      </c>
      <c r="E1461" s="3" t="n"/>
      <c r="F1461" s="3" t="inlineStr">
        <is>
          <t>ថ្លៃសេវាបន្ថែមពិសេសសម្រាប់កញ្ចប់</t>
        </is>
      </c>
      <c r="G1461" s="3" t="n"/>
      <c r="H1461" s="217" t="inlineStr">
        <is>
          <t>"trackingOrder.sub": "ថ្លៃសេវាបន្ថែមពិសេសសម្រាប់កញ្ចប់",</t>
        </is>
      </c>
      <c r="I1461" t="inlineStr">
        <is>
          <t>ថ្លៃសេវាបន្ថែមពិសេសសម្រាប់កញ្ចប់</t>
        </is>
      </c>
    </row>
    <row r="1462">
      <c r="A1462" s="3" t="inlineStr">
        <is>
          <t>trackingOrder.subForward</t>
        </is>
      </c>
      <c r="B1462" s="3" t="inlineStr">
        <is>
          <t>Mã phiếu chuyển tiếp</t>
        </is>
      </c>
      <c r="C1462" s="3" t="inlineStr">
        <is>
          <t>Forwarding fee</t>
        </is>
      </c>
      <c r="D1462" s="217">
        <f>IFERROR(__xludf.DUMMYFUNCTION("GOOGLETRANSLATE(C1462,""vi"",""km"")"),"ថ្លៃសេវាបញ្ជូនបន្ត")</f>
        <v/>
      </c>
      <c r="E1462" s="3" t="n"/>
      <c r="F1462" s="3" t="inlineStr">
        <is>
          <t>ថ្លៃសេវាបញ្ជូនបន្ត</t>
        </is>
      </c>
      <c r="G1462" s="3" t="n"/>
      <c r="H1462" s="217" t="inlineStr">
        <is>
          <t>"trackingOrder.subForward": "ថ្លៃសេវាបញ្ជូនបន្ត",</t>
        </is>
      </c>
      <c r="I1462" t="inlineStr">
        <is>
          <t>ថ្លៃសេវាបញ្ជូនបន្ត</t>
        </is>
      </c>
    </row>
    <row r="1463">
      <c r="A1463" s="3" t="inlineStr">
        <is>
          <t>trackingOrder.subReturn</t>
        </is>
      </c>
      <c r="B1463" s="3" t="inlineStr">
        <is>
          <t>Mã phiếu hoàn</t>
        </is>
      </c>
      <c r="C1463" s="3" t="inlineStr">
        <is>
          <t>Return fee</t>
        </is>
      </c>
      <c r="D1463" s="217">
        <f>IFERROR(__xludf.DUMMYFUNCTION("GOOGLETRANSLATE(C1463,""vi"",""km"")"),"ថ្លៃសេវាត្រឡប់មកវិញ")</f>
        <v/>
      </c>
      <c r="E1463" s="3" t="n"/>
      <c r="F1463" s="3" t="inlineStr">
        <is>
          <t>ថ្លៃសេវាត្រឡប់មកវិញ</t>
        </is>
      </c>
      <c r="G1463" s="3" t="n"/>
      <c r="H1463" s="217" t="inlineStr">
        <is>
          <t>"trackingOrder.subReturn": "ថ្លៃសេវាត្រឡប់មកវិញ",</t>
        </is>
      </c>
      <c r="I1463" t="inlineStr">
        <is>
          <t>ថ្លៃសេវាត្រឡប់មកវិញ</t>
        </is>
      </c>
    </row>
    <row r="1464">
      <c r="A1464" s="3" t="inlineStr">
        <is>
          <t>trackingOrder.totalFee</t>
        </is>
      </c>
      <c r="B1464" s="3" t="inlineStr">
        <is>
          <t>Tiền cước</t>
        </is>
      </c>
      <c r="C1464" s="3" t="inlineStr">
        <is>
          <t>Total amount</t>
        </is>
      </c>
      <c r="D1464" s="217">
        <f>IFERROR(__xludf.DUMMYFUNCTION("GOOGLETRANSLATE(C1464,""vi"",""km"")"),"ចំនួនទឹកប្រាក់សរុប")</f>
        <v/>
      </c>
      <c r="E1464" s="3" t="n"/>
      <c r="F1464" s="3" t="inlineStr">
        <is>
          <t>ចំនួនទឹកប្រាក់សរុប</t>
        </is>
      </c>
      <c r="G1464" s="3" t="n"/>
      <c r="H1464" s="217" t="inlineStr">
        <is>
          <t>"trackingOrder.totalFee": "ចំនួនទឹកប្រាក់សរុប",</t>
        </is>
      </c>
      <c r="I1464" t="inlineStr">
        <is>
          <t>ចំនួនទឹកប្រាក់សរុប</t>
        </is>
      </c>
    </row>
    <row r="1465">
      <c r="A1465" s="3" t="inlineStr">
        <is>
          <t>trackingOrder.weight</t>
        </is>
      </c>
      <c r="B1465" s="3" t="inlineStr">
        <is>
          <t>Trọng lượng</t>
        </is>
      </c>
      <c r="C1465" s="3" t="inlineStr">
        <is>
          <t>Weight</t>
        </is>
      </c>
      <c r="D1465" s="217">
        <f>IFERROR(__xludf.DUMMYFUNCTION("GOOGLETRANSLATE(C1465,""vi"",""km"")"),"ទម្ងន់")</f>
        <v/>
      </c>
      <c r="E1465" s="3" t="n"/>
      <c r="F1465" s="3" t="inlineStr">
        <is>
          <t>ទម្ងន់</t>
        </is>
      </c>
      <c r="G1465" s="3" t="n"/>
      <c r="H1465" s="217" t="inlineStr">
        <is>
          <t>"trackingOrder.weight": "ទម្ងន់",</t>
        </is>
      </c>
      <c r="I1465" t="inlineStr">
        <is>
          <t>ទម្ងន់</t>
        </is>
      </c>
    </row>
    <row r="1466">
      <c r="A1466" s="3" t="inlineStr">
        <is>
          <t>typeApplication.default</t>
        </is>
      </c>
      <c r="B1466" s="3" t="inlineStr">
        <is>
          <t>Mặc định chọn</t>
        </is>
      </c>
      <c r="C1466" s="3" t="inlineStr">
        <is>
          <t>Default</t>
        </is>
      </c>
      <c r="D1466" s="217">
        <f>IFERROR(__xludf.DUMMYFUNCTION("GOOGLETRANSLATE(C1466,""vi"",""km"")"),"លំនាំដើម")</f>
        <v/>
      </c>
      <c r="E1466" s="3" t="n"/>
      <c r="F1466" s="3" t="inlineStr">
        <is>
          <t>ជ្រើសរើសជាលំនាំដើម</t>
        </is>
      </c>
      <c r="G1466" s="3" t="n"/>
      <c r="H1466" s="217" t="inlineStr">
        <is>
          <t>"typeApplication.default": "ជ្រើសរើសជាលំនាំដើម",</t>
        </is>
      </c>
      <c r="I1466" t="inlineStr">
        <is>
          <t>ជ្រើសរើសជាលំនាំដើម</t>
        </is>
      </c>
    </row>
    <row r="1467">
      <c r="A1467" s="3" t="inlineStr">
        <is>
          <t>typeApplication.none</t>
        </is>
      </c>
      <c r="B1467" s="3" t="inlineStr">
        <is>
          <t>Không chọn</t>
        </is>
      </c>
      <c r="C1467" s="3" t="inlineStr">
        <is>
          <t>None</t>
        </is>
      </c>
      <c r="D1467" s="217">
        <f>IFERROR(__xludf.DUMMYFUNCTION("GOOGLETRANSLATE(C1467,""vi"",""km"")"),"គ្មាន")</f>
        <v/>
      </c>
      <c r="E1467" s="3" t="n"/>
      <c r="F1467" s="3" t="inlineStr">
        <is>
          <t>គ្មាន</t>
        </is>
      </c>
      <c r="G1467" s="3" t="n"/>
      <c r="H1467" s="217" t="inlineStr">
        <is>
          <t>"typeApplication.none": "គ្មាន",</t>
        </is>
      </c>
      <c r="I1467" t="inlineStr">
        <is>
          <t>គ្មាន</t>
        </is>
      </c>
    </row>
    <row r="1468">
      <c r="A1468" s="3" t="inlineStr">
        <is>
          <t>updateCustomer.BANK_TRANSFER</t>
        </is>
      </c>
      <c r="B1468" s="3" t="inlineStr">
        <is>
          <t>Chuyển khoản</t>
        </is>
      </c>
      <c r="C1468" s="3" t="inlineStr">
        <is>
          <t>Bank transfer</t>
        </is>
      </c>
      <c r="D1468" s="217">
        <f>IFERROR(__xludf.DUMMYFUNCTION("GOOGLETRANSLATE(C1468,""vi"",""km"")"),"ការផ្ទេរប្រាក់តាមធនាគារ")</f>
        <v/>
      </c>
      <c r="E1468" s="3" t="n"/>
      <c r="F1468" s="3" t="inlineStr">
        <is>
          <t>ផ្ទេរប្រាក់</t>
        </is>
      </c>
      <c r="G1468" s="3" t="n"/>
      <c r="H1468" s="217" t="inlineStr">
        <is>
          <t>"updateCustomer.BANK_TRANSFER": "ផ្ទេរប្រាក់",</t>
        </is>
      </c>
      <c r="I1468" t="inlineStr">
        <is>
          <t>ផ្ទេរប្រាក់</t>
        </is>
      </c>
    </row>
    <row r="1469">
      <c r="A1469" s="3" t="inlineStr">
        <is>
          <t>updateCustomer.DEDUCTED_FROM_COD</t>
        </is>
      </c>
      <c r="B1469" s="3" t="inlineStr">
        <is>
          <t>Cấn trừ tiền cước phí dịch vụ với tiền COD</t>
        </is>
      </c>
      <c r="C1469" s="3" t="inlineStr">
        <is>
          <t>Deduct service fees from COD amount</t>
        </is>
      </c>
      <c r="D1469" s="217">
        <f>IFERROR(__xludf.DUMMYFUNCTION("GOOGLETRANSLATE(C1469,""vi"",""km"")"),"កាត់ថ្លៃសេវាកម្មចេញពីចំនួនទឹកប្រាក់ COD")</f>
        <v/>
      </c>
      <c r="E1469" s="3" t="n"/>
      <c r="F1469" s="3" t="inlineStr">
        <is>
          <t>កាត់ថ្លៃសេវាកម្មចេញពីចំនួនទឹកប្រាក់ COD</t>
        </is>
      </c>
      <c r="G1469" s="3" t="n"/>
      <c r="H1469" s="217" t="inlineStr">
        <is>
          <t>"updateCustomer.DEDUCTED_FROM_COD": "កាត់ថ្លៃសេវាកម្មចេញពីចំនួនទឹកប្រាក់ COD",</t>
        </is>
      </c>
      <c r="I1469" t="inlineStr">
        <is>
          <t>កាត់ថ្លៃសេវាកម្មចេញពីចំនួនទឹកប្រាក់ COD</t>
        </is>
      </c>
    </row>
    <row r="1470">
      <c r="A1470" s="3" t="inlineStr">
        <is>
          <t>updateCustomer.FIXED_DATE</t>
        </is>
      </c>
      <c r="B1470" s="3" t="inlineStr">
        <is>
          <t>Ngày trong tháng</t>
        </is>
      </c>
      <c r="C1470" s="3" t="inlineStr">
        <is>
          <t>Specific day of the month</t>
        </is>
      </c>
      <c r="D1470" s="217">
        <f>IFERROR(__xludf.DUMMYFUNCTION("GOOGLETRANSLATE(C1470,""vi"",""km"")"),"ថ្ងៃជាក់លាក់នៃខែ")</f>
        <v/>
      </c>
      <c r="E1470" s="3" t="n"/>
      <c r="F1470" s="3" t="inlineStr">
        <is>
          <t>ថ្ងៃជាក់លាក់នៃខែ</t>
        </is>
      </c>
      <c r="G1470" s="3" t="n"/>
      <c r="H1470" s="217" t="inlineStr">
        <is>
          <t>"updateCustomer.FIXED_DATE": "ថ្ងៃជាក់លាក់នៃខែ",</t>
        </is>
      </c>
      <c r="I1470" t="inlineStr">
        <is>
          <t>ថ្ងៃជាក់លាក់នៃខែ</t>
        </is>
      </c>
    </row>
    <row r="1471">
      <c r="A1471" s="3" t="inlineStr">
        <is>
          <t>updateCustomer.MON_WED_FRI</t>
        </is>
      </c>
      <c r="B1471" s="3" t="inlineStr">
        <is>
          <t>Thứ 2,4,6 hàng tuần</t>
        </is>
      </c>
      <c r="C1471" s="3" t="inlineStr">
        <is>
          <t>Every Monday, Wednesday, Friday</t>
        </is>
      </c>
      <c r="D1471" s="217">
        <f>IFERROR(__xludf.DUMMYFUNCTION("GOOGLETRANSLATE(C1471,""vi"",""km"")"),"រៀងរាល់ថ្ងៃច័ន្ទ ថ្ងៃពុធ ថ្ងៃសុក្រ")</f>
        <v/>
      </c>
      <c r="E1471" s="3" t="n"/>
      <c r="F1471" s="3" t="inlineStr">
        <is>
          <t>រៀងរាល់ថ្ងៃច័ន្ទ ថ្ងៃពុធ ថ្ងៃសុក្រ</t>
        </is>
      </c>
      <c r="G1471" s="3" t="n"/>
      <c r="H1471" s="217" t="inlineStr">
        <is>
          <t>"updateCustomer.MON_WED_FRI": "រៀងរាល់ថ្ងៃច័ន្ទ ថ្ងៃពុធ ថ្ងៃសុក្រ",</t>
        </is>
      </c>
      <c r="I1471" t="inlineStr">
        <is>
          <t>រៀងរាល់ថ្ងៃច័ន្ទ ថ្ងៃពុធ ថ្ងៃសុក្រ</t>
        </is>
      </c>
    </row>
    <row r="1472">
      <c r="A1472" s="3" t="inlineStr">
        <is>
          <t>updateCustomer.TUE_THU</t>
        </is>
      </c>
      <c r="B1472" s="3" t="inlineStr">
        <is>
          <t>Thứ 3,5 hàng tuần</t>
        </is>
      </c>
      <c r="C1472" s="3" t="inlineStr">
        <is>
          <t>Every Tuesday, Thursday</t>
        </is>
      </c>
      <c r="D1472" s="217">
        <f>IFERROR(__xludf.DUMMYFUNCTION("GOOGLETRANSLATE(C1472,""vi"",""km"")"),"រៀងរាល់ថ្ងៃអង្គារ និងថ្ងៃព្រហស្បតិ៍")</f>
        <v/>
      </c>
      <c r="E1472" s="3" t="n"/>
      <c r="F1472" s="3" t="inlineStr">
        <is>
          <t>រៀងរាល់ថ្ងៃអង្គារ និងថ្ងៃព្រហស្បតិ៍</t>
        </is>
      </c>
      <c r="G1472" s="3" t="n"/>
      <c r="H1472" s="217" t="inlineStr">
        <is>
          <t>"updateCustomer.TUE_THU": "រៀងរាល់ថ្ងៃអង្គារ និងថ្ងៃព្រហស្បតិ៍",</t>
        </is>
      </c>
      <c r="I1472" t="inlineStr">
        <is>
          <t>រៀងរាល់ថ្ងៃអង្គារ និងថ្ងៃព្រហស្បតិ៍</t>
        </is>
      </c>
    </row>
    <row r="1473">
      <c r="A1473" s="3" t="inlineStr">
        <is>
          <t>updateCustomer.bank</t>
        </is>
      </c>
      <c r="B1473" s="3" t="inlineStr">
        <is>
          <t>Ngân hàng</t>
        </is>
      </c>
      <c r="C1473" s="3" t="inlineStr">
        <is>
          <t>Bank</t>
        </is>
      </c>
      <c r="D1473" s="217">
        <f>IFERROR(__xludf.DUMMYFUNCTION("GOOGLETRANSLATE(C1473,""vi"",""km"")"),"ធនាគារ")</f>
        <v/>
      </c>
      <c r="E1473" s="3" t="n"/>
      <c r="F1473" s="3" t="inlineStr">
        <is>
          <t>ធនាគារ</t>
        </is>
      </c>
      <c r="G1473" s="3" t="n"/>
      <c r="H1473" s="217" t="inlineStr">
        <is>
          <t>"updateCustomer.bank": "ធនាគារ",</t>
        </is>
      </c>
      <c r="I1473" t="inlineStr">
        <is>
          <t>ធនាគារ</t>
        </is>
      </c>
    </row>
    <row r="1474">
      <c r="A1474" s="3" t="inlineStr">
        <is>
          <t>updateCustomer.bankNo</t>
        </is>
      </c>
      <c r="B1474" s="3" t="inlineStr">
        <is>
          <t>Số tài khoản</t>
        </is>
      </c>
      <c r="C1474" s="3" t="inlineStr">
        <is>
          <t>Account number</t>
        </is>
      </c>
      <c r="D1474" s="217">
        <f>IFERROR(__xludf.DUMMYFUNCTION("GOOGLETRANSLATE(C1474,""vi"",""km"")"),"លេខគណនី")</f>
        <v/>
      </c>
      <c r="E1474" s="3" t="n"/>
      <c r="F1474" s="3" t="inlineStr">
        <is>
          <t>លេខគណនីធនាគារ</t>
        </is>
      </c>
      <c r="G1474" s="3" t="n"/>
      <c r="H1474" s="217" t="inlineStr">
        <is>
          <t>"updateCustomer.bankNo": "លេខគណនីធនាគារ",</t>
        </is>
      </c>
      <c r="I1474" t="inlineStr">
        <is>
          <t>លេខគណនីធនាគារ</t>
        </is>
      </c>
    </row>
    <row r="1475">
      <c r="A1475" s="3" t="inlineStr">
        <is>
          <t>updateCustomer.bankOwner</t>
        </is>
      </c>
      <c r="B1475" s="3" t="inlineStr">
        <is>
          <t>Chủ tài khoản</t>
        </is>
      </c>
      <c r="C1475" s="3" t="inlineStr">
        <is>
          <t>Account holder</t>
        </is>
      </c>
      <c r="D1475" s="217">
        <f>IFERROR(__xludf.DUMMYFUNCTION("GOOGLETRANSLATE(C1475,""vi"",""km"")"),"ម្ចាស់គណនី")</f>
        <v/>
      </c>
      <c r="E1475" s="3" t="n"/>
      <c r="F1475" s="3" t="inlineStr">
        <is>
          <t>ម្ចាស់គណនី</t>
        </is>
      </c>
      <c r="G1475" s="3" t="n"/>
      <c r="H1475" s="217" t="inlineStr">
        <is>
          <t>"updateCustomer.bankOwner": "ម្ចាស់គណនី",</t>
        </is>
      </c>
      <c r="I1475" t="inlineStr">
        <is>
          <t>ម្ចាស់គណនី</t>
        </is>
      </c>
    </row>
    <row r="1476">
      <c r="A1476" s="3" t="inlineStr">
        <is>
          <t>updateCustomer.codInfo</t>
        </is>
      </c>
      <c r="B1476" s="3" t="inlineStr">
        <is>
          <t>Thông tin thanh toán cước COD</t>
        </is>
      </c>
      <c r="C1476" s="3" t="inlineStr">
        <is>
          <t>COD fee payment information</t>
        </is>
      </c>
      <c r="D1476" s="217">
        <f>IFERROR(__xludf.DUMMYFUNCTION("GOOGLETRANSLATE(C1476,""vi"",""km"")"),"ព័ត៌មានអំពីការទូទាត់ថ្លៃសេវា COD")</f>
        <v/>
      </c>
      <c r="E1476" s="3" t="n"/>
      <c r="F1476" s="3" t="inlineStr">
        <is>
          <t>ព័ត៌មានអំពីការទូទាត់ថ្លៃសេវា COD</t>
        </is>
      </c>
      <c r="G1476" s="3" t="n"/>
      <c r="H1476" s="217" t="inlineStr">
        <is>
          <t>"updateCustomer.codInfo": "ព័ត៌មានអំពីការទូទាត់ថ្លៃសេវា COD",</t>
        </is>
      </c>
      <c r="I1476" t="inlineStr">
        <is>
          <t>ព័ត៌មានអំពីការទូទាត់ថ្លៃសេវា COD</t>
        </is>
      </c>
    </row>
    <row r="1477">
      <c r="A1477" s="3" t="inlineStr">
        <is>
          <t>updateCustomer.codPaymentInformation</t>
        </is>
      </c>
      <c r="B1477" s="3" t="inlineStr">
        <is>
          <t>Thông tin thanh toán COD</t>
        </is>
      </c>
      <c r="C1477" s="3" t="inlineStr">
        <is>
          <t>COD payment information</t>
        </is>
      </c>
      <c r="D1477" s="217">
        <f>IFERROR(__xludf.DUMMYFUNCTION("GOOGLETRANSLATE(C1477,""vi"",""km"")"),"ព័ត៌មានអំពីការទូទាត់ប្រាក់ពេលទទួលទំនិញ (COD)")</f>
        <v/>
      </c>
      <c r="E1477" s="3" t="n"/>
      <c r="F1477" s="3" t="inlineStr">
        <is>
          <t>ព័ត៌មានអំពីការទូទាត់ប្រាក់ពេលទទួលទំនិញ (COD)</t>
        </is>
      </c>
      <c r="G1477" s="3" t="n"/>
      <c r="H1477" s="217" t="inlineStr">
        <is>
          <t>"updateCustomer.codPaymentInformation": "ព័ត៌មានអំពីការទូទាត់ប្រាក់ពេលទទួលទំនិញ (COD)",</t>
        </is>
      </c>
      <c r="I1477" t="inlineStr">
        <is>
          <t>ព័ត៌មានអំពីការទូទាត់ប្រាក់ពេលទទួលទំនិញ (COD)</t>
        </is>
      </c>
    </row>
    <row r="1478">
      <c r="A1478" s="3" t="inlineStr">
        <is>
          <t>updateCustomer.contract</t>
        </is>
      </c>
      <c r="B1478" s="3" t="inlineStr">
        <is>
          <t>Hợp đồng thanh toán</t>
        </is>
      </c>
      <c r="C1478" s="3" t="inlineStr">
        <is>
          <t>Payment contract</t>
        </is>
      </c>
      <c r="D1478" s="217">
        <f>IFERROR(__xludf.DUMMYFUNCTION("GOOGLETRANSLATE(C1478,""vi"",""km"")"),"កិច្ចសន្យាទូទាត់")</f>
        <v/>
      </c>
      <c r="E1478" s="3" t="n"/>
      <c r="F1478" s="3" t="inlineStr">
        <is>
          <t>កិច្ចសន្យាទូទាត់</t>
        </is>
      </c>
      <c r="G1478" s="3" t="n"/>
      <c r="H1478" s="217" t="inlineStr">
        <is>
          <t>"updateCustomer.contract": "កិច្ចសន្យាទូទាត់",</t>
        </is>
      </c>
      <c r="I1478" t="inlineStr">
        <is>
          <t>កិច្ចសន្យាទូទាត់</t>
        </is>
      </c>
    </row>
    <row r="1479">
      <c r="A1479" s="3" t="inlineStr">
        <is>
          <t>updateCustomer.days</t>
        </is>
      </c>
      <c r="B1479" s="3" t="inlineStr">
        <is>
          <t>Các ngày</t>
        </is>
      </c>
      <c r="C1479" s="3" t="inlineStr">
        <is>
          <t>Days</t>
        </is>
      </c>
      <c r="D1479" s="217">
        <f>IFERROR(__xludf.DUMMYFUNCTION("GOOGLETRANSLATE(C1479,""vi"",""km"")"),"ទិន្នន័យ")</f>
        <v/>
      </c>
      <c r="E1479" s="3" t="n"/>
      <c r="F1479" s="3" t="inlineStr">
        <is>
          <t>ទិន្នន័យ</t>
        </is>
      </c>
      <c r="G1479" s="3" t="n"/>
      <c r="H1479" s="217" t="inlineStr">
        <is>
          <t>"updateCustomer.days": "ទិន្នន័យ",</t>
        </is>
      </c>
      <c r="I1479" t="inlineStr">
        <is>
          <t>ទិន្នន័យ</t>
        </is>
      </c>
    </row>
    <row r="1480">
      <c r="A1480" s="3" t="inlineStr">
        <is>
          <t>updateCustomer.downloadFail</t>
        </is>
      </c>
      <c r="B1480" s="3" t="inlineStr">
        <is>
          <t>Tải file thất bại</t>
        </is>
      </c>
      <c r="C1480" s="3" t="inlineStr">
        <is>
          <t>File download failed</t>
        </is>
      </c>
      <c r="D1480" s="217">
        <f>IFERROR(__xludf.DUMMYFUNCTION("GOOGLETRANSLATE(C1480,""vi"",""km"")"),"ការទាញយកឯកសារបរាជ័យ")</f>
        <v/>
      </c>
      <c r="E1480" s="3" t="n"/>
      <c r="F1480" s="3" t="inlineStr">
        <is>
          <t>ការទាញយកឯកសារបរាជ័យ</t>
        </is>
      </c>
      <c r="G1480" s="3" t="n"/>
      <c r="H1480" s="217" t="inlineStr">
        <is>
          <t>"updateCustomer.downloadFail": "ការទាញយកឯកសារបរាជ័យ",</t>
        </is>
      </c>
      <c r="I1480" t="inlineStr">
        <is>
          <t>ការទាញយកឯកសារបរាជ័យ</t>
        </is>
      </c>
    </row>
    <row r="1481">
      <c r="A1481" s="3" t="inlineStr">
        <is>
          <t>updateCustomer.downloadSuccess</t>
        </is>
      </c>
      <c r="B1481" s="3" t="inlineStr">
        <is>
          <t>Tải file thành công</t>
        </is>
      </c>
      <c r="C1481" s="3" t="inlineStr">
        <is>
          <t>File downloaded successfully.</t>
        </is>
      </c>
      <c r="D1481" s="217">
        <f>IFERROR(__xludf.DUMMYFUNCTION("GOOGLETRANSLATE(C1481,""vi"",""km"")"),"ឯកសារត្រូវបានទាញយកដោយជោគជ័យ។")</f>
        <v/>
      </c>
      <c r="E1481" s="3" t="n"/>
      <c r="F1481" s="3" t="inlineStr">
        <is>
          <t>ឯកសារត្រូវបានទាញយកដោយជោគជ័យ។</t>
        </is>
      </c>
      <c r="G1481" s="3" t="n"/>
      <c r="H1481" s="217" t="inlineStr">
        <is>
          <t>"updateCustomer.downloadSuccess": "ឯកសារត្រូវបានទាញយកដោយជោគជ័យ។",</t>
        </is>
      </c>
      <c r="I1481" t="inlineStr">
        <is>
          <t>ឯកសារត្រូវបានទាញយកដោយជោគជ័យ។</t>
        </is>
      </c>
    </row>
    <row r="1482">
      <c r="A1482" s="3" t="inlineStr">
        <is>
          <t>updateCustomer.dragFile</t>
        </is>
      </c>
      <c r="B1482" s="3" t="inlineStr">
        <is>
          <t>hoặc kéo thả vào vùng này</t>
        </is>
      </c>
      <c r="C1482" s="3" t="inlineStr">
        <is>
          <t>or drag and drop it into this area</t>
        </is>
      </c>
      <c r="D1482" s="217">
        <f>IFERROR(__xludf.DUMMYFUNCTION("GOOGLETRANSLATE(C1482,""vi"",""km"")"),"ឬអូសហើយទម្លាក់វាចូលទៅក្នុងតំបន់នេះ")</f>
        <v/>
      </c>
      <c r="E1482" s="3" t="n"/>
      <c r="F1482" s="3" t="inlineStr">
        <is>
          <t>ឬអូសហើយទម្លាក់វាចូលទៅក្នុងតំបន់នេះ</t>
        </is>
      </c>
      <c r="G1482" s="3" t="n"/>
      <c r="H1482" s="217" t="inlineStr">
        <is>
          <t>"updateCustomer.dragFile": "ឬអូសហើយទម្លាក់វាចូលទៅក្នុងតំបន់នេះ",</t>
        </is>
      </c>
      <c r="I1482" t="inlineStr">
        <is>
          <t>ឬអូសហើយទម្លាក់វាចូលទៅក្នុងតំបន់នេះ</t>
        </is>
      </c>
    </row>
    <row r="1483">
      <c r="A1483" s="3" t="inlineStr">
        <is>
          <t>updateCustomer.fileDuplicate</t>
        </is>
      </c>
      <c r="B1483" s="3" t="inlineStr">
        <is>
          <t>đã tồn tại. Bạn có muốn thay thế nó không?</t>
        </is>
      </c>
      <c r="C1483" s="3" t="inlineStr">
        <is>
          <t>It already exists. Do you want to replace it?</t>
        </is>
      </c>
      <c r="D1483" s="217">
        <f>IFERROR(__xludf.DUMMYFUNCTION("GOOGLETRANSLATE(C1483,""vi"",""km"")"),"វាមានរួចហើយ។ តើអ្នកចង់ជំនួសវាទេ?")</f>
        <v/>
      </c>
      <c r="E1483" s="3" t="n"/>
      <c r="F1483" s="3" t="inlineStr">
        <is>
          <t>វាមានរួចហើយ។ តើអ្នកចង់ជំនួសវាទេ?</t>
        </is>
      </c>
      <c r="G1483" s="3" t="n"/>
      <c r="H1483" s="217" t="inlineStr">
        <is>
          <t>"updateCustomer.fileDuplicate": "វាមានរួចហើយ។ តើអ្នកចង់ជំនួសវាទេ?",</t>
        </is>
      </c>
      <c r="I1483" t="inlineStr">
        <is>
          <t>វាមានរួចហើយ។ តើអ្នកចង់ជំនួសវាទេ?</t>
        </is>
      </c>
    </row>
    <row r="1484">
      <c r="A1484" s="3" t="inlineStr">
        <is>
          <t>updateCustomer.fileEmpty</t>
        </is>
      </c>
      <c r="B1484" s="3" t="inlineStr">
        <is>
          <t>Bắt buộc chọn files</t>
        </is>
      </c>
      <c r="C1484" s="3" t="inlineStr">
        <is>
          <t>File selection is required.</t>
        </is>
      </c>
      <c r="D1484" s="217">
        <f>IFERROR(__xludf.DUMMYFUNCTION("GOOGLETRANSLATE(C1484,""vi"",""km"")"),"ការជ្រើសរើសឯកសារត្រូវបានទាមទារ។")</f>
        <v/>
      </c>
      <c r="E1484" s="3" t="n"/>
      <c r="F1484" s="3" t="inlineStr">
        <is>
          <t>ការជ្រើសរើសឯកសារត្រូវបានទាមទារ។</t>
        </is>
      </c>
      <c r="G1484" s="3" t="n"/>
      <c r="H1484" s="217" t="inlineStr">
        <is>
          <t>"updateCustomer.fileEmpty": "ការជ្រើសរើសឯកសារត្រូវបានទាមទារ។",</t>
        </is>
      </c>
      <c r="I1484" t="inlineStr">
        <is>
          <t>ការជ្រើសរើសឯកសារត្រូវបានទាមទារ។</t>
        </is>
      </c>
    </row>
    <row r="1485">
      <c r="A1485" s="3" t="inlineStr">
        <is>
          <t>updateCustomer.haveContract</t>
        </is>
      </c>
      <c r="B1485" s="3" t="inlineStr">
        <is>
          <t>Đã có hợp đồng</t>
        </is>
      </c>
      <c r="C1485" s="3" t="inlineStr">
        <is>
          <t>Has contract</t>
        </is>
      </c>
      <c r="D1485" s="217">
        <f>IFERROR(__xludf.DUMMYFUNCTION("GOOGLETRANSLATE(C1485,""vi"",""km"")"),"មានកិច្ចសន្យា")</f>
        <v/>
      </c>
      <c r="E1485" s="3" t="n"/>
      <c r="F1485" s="3" t="inlineStr">
        <is>
          <t>មានកិច្ចសន្យា</t>
        </is>
      </c>
      <c r="G1485" s="3" t="n"/>
      <c r="H1485" s="217" t="inlineStr">
        <is>
          <t>"updateCustomer.haveContract": "មានកិច្ចសន្យា",</t>
        </is>
      </c>
      <c r="I1485" t="inlineStr">
        <is>
          <t>មានកិច្ចសន្យា</t>
        </is>
      </c>
    </row>
    <row r="1486">
      <c r="A1486" s="3" t="inlineStr">
        <is>
          <t>updateCustomer.invalidateFile</t>
        </is>
      </c>
      <c r="B1486" s="3" t="inlineStr">
        <is>
          <t>không phải là file PDF</t>
        </is>
      </c>
      <c r="C1486" s="3" t="inlineStr">
        <is>
          <t>is not a PDF file</t>
        </is>
      </c>
      <c r="D1486" s="217">
        <f>IFERROR(__xludf.DUMMYFUNCTION("GOOGLETRANSLATE(C1486,""vi"",""km"")"),"មិនមែនជាឯកសារ PDF ទេ")</f>
        <v/>
      </c>
      <c r="E1486" s="3" t="n"/>
      <c r="F1486" s="3" t="inlineStr">
        <is>
          <t>មិនមែនជាឯកសារ PDF ទេ</t>
        </is>
      </c>
      <c r="G1486" s="3" t="n"/>
      <c r="H1486" s="217" t="inlineStr">
        <is>
          <t>"updateCustomer.invalidateFile": "មិនមែនជាឯកសារ PDF ទេ",</t>
        </is>
      </c>
      <c r="I1486" t="inlineStr">
        <is>
          <t>មិនមែនជាឯកសារ PDF ទេ</t>
        </is>
      </c>
    </row>
    <row r="1487">
      <c r="A1487" s="3" t="inlineStr">
        <is>
          <t>updateCustomer.monthly</t>
        </is>
      </c>
      <c r="B1487" s="3" t="inlineStr">
        <is>
          <t>hàng tháng</t>
        </is>
      </c>
      <c r="C1487" s="3" t="inlineStr">
        <is>
          <t>monthly</t>
        </is>
      </c>
      <c r="D1487" s="217">
        <f>IFERROR(__xludf.DUMMYFUNCTION("GOOGLETRANSLATE(C1487,""vi"",""km"")"),"ថ្ងៃច័ន្ទ")</f>
        <v/>
      </c>
      <c r="E1487" s="3" t="n"/>
      <c r="F1487" s="3" t="inlineStr">
        <is>
          <t>ថ្ងៃច័ន្ទ</t>
        </is>
      </c>
      <c r="G1487" s="3" t="n"/>
      <c r="H1487" s="217" t="inlineStr">
        <is>
          <t>"updateCustomer.monthly": "ថ្ងៃច័ន្ទ",</t>
        </is>
      </c>
      <c r="I1487" t="inlineStr">
        <is>
          <t>ថ្ងៃច័ន្ទ</t>
        </is>
      </c>
    </row>
    <row r="1488">
      <c r="A1488" s="3" t="inlineStr">
        <is>
          <t>updateCustomer.noContract</t>
        </is>
      </c>
      <c r="B1488" s="3" t="inlineStr">
        <is>
          <t>Chưa có hợp đồng</t>
        </is>
      </c>
      <c r="C1488" s="3" t="inlineStr">
        <is>
          <t>No contract</t>
        </is>
      </c>
      <c r="D1488" s="217">
        <f>IFERROR(__xludf.DUMMYFUNCTION("GOOGLETRANSLATE(C1488,""vi"",""km"")"),"គ្មានកិច្ចសន្យា")</f>
        <v/>
      </c>
      <c r="E1488" s="3" t="n"/>
      <c r="F1488" s="3" t="inlineStr">
        <is>
          <t>គ្មានកិច្ចសន្យា</t>
        </is>
      </c>
      <c r="G1488" s="3" t="n"/>
      <c r="H1488" s="217" t="inlineStr">
        <is>
          <t>"updateCustomer.noContract": "គ្មានកិច្ចសន្យា",</t>
        </is>
      </c>
      <c r="I1488" t="inlineStr">
        <is>
          <t>គ្មានកិច្ចសន្យា</t>
        </is>
      </c>
    </row>
    <row r="1489">
      <c r="A1489" s="3" t="inlineStr">
        <is>
          <t>updateCustomer.note</t>
        </is>
      </c>
      <c r="B1489" s="3" t="inlineStr">
        <is>
          <t>Lưu ý</t>
        </is>
      </c>
      <c r="C1489" s="3" t="inlineStr">
        <is>
          <t>Note</t>
        </is>
      </c>
      <c r="D1489" s="217">
        <f>IFERROR(__xludf.DUMMYFUNCTION("GOOGLETRANSLATE(C1489,""vi"",""km"")"),"កំណត់ចំណាំ")</f>
        <v/>
      </c>
      <c r="E1489" s="3" t="n"/>
      <c r="F1489" s="3" t="inlineStr">
        <is>
          <t>ចំណាំ</t>
        </is>
      </c>
      <c r="G1489" s="3" t="n"/>
      <c r="H1489" s="217" t="inlineStr">
        <is>
          <t>"updateCustomer.note": "ចំណាំ",</t>
        </is>
      </c>
      <c r="I1489" t="inlineStr">
        <is>
          <t>ចំណាំ</t>
        </is>
      </c>
    </row>
    <row r="1490">
      <c r="A1490" s="3" t="inlineStr">
        <is>
          <t>updateCustomer.note1</t>
        </is>
      </c>
      <c r="B1490" s="3" t="inlineStr">
        <is>
          <t>Bạn chỉ có thể tải tối đa 10 files</t>
        </is>
      </c>
      <c r="C1490" s="3" t="inlineStr">
        <is>
          <t>You can upload a maximum of 10 files</t>
        </is>
      </c>
      <c r="D1490" s="217">
        <f>IFERROR(__xludf.DUMMYFUNCTION("GOOGLETRANSLATE(C1490,""vi"",""km"")"),"អ្នកអាចផ្ទុកឡើងឯកសារបានអតិបរមា ១០ ឯកសារ")</f>
        <v/>
      </c>
      <c r="E1490" s="3" t="n"/>
      <c r="F1490" s="3" t="inlineStr">
        <is>
          <t>អ្នកអាចផ្ទុកឡើងឯកសារបានអតិបរមា ១០ ឯកសារ</t>
        </is>
      </c>
      <c r="G1490" s="3" t="n"/>
      <c r="H1490" s="217" t="inlineStr">
        <is>
          <t>"updateCustomer.note1": "អ្នកអាចផ្ទុកឡើងឯកសារបានអតិបរមា ១០ ឯកសារ",</t>
        </is>
      </c>
      <c r="I1490" t="inlineStr">
        <is>
          <t>អ្នកអាចផ្ទុកឡើងឯកសារបានអតិបរមា ១០ ឯកសារ</t>
        </is>
      </c>
    </row>
    <row r="1491">
      <c r="A1491" s="3" t="inlineStr">
        <is>
          <t>updateCustomer.note2</t>
        </is>
      </c>
      <c r="B1491" s="3" t="inlineStr">
        <is>
          <t>Chỉ được tải file có đuôi .pdf</t>
        </is>
      </c>
      <c r="C1491" s="3" t="inlineStr">
        <is>
          <t>Only .pdf files are allowed</t>
        </is>
      </c>
      <c r="D1491" s="217">
        <f>IFERROR(__xludf.DUMMYFUNCTION("GOOGLETRANSLATE(C1491,""vi"",""km"")"),"អនុញ្ញាតតែឯកសារ .pdf ប៉ុណ្ណោះ")</f>
        <v/>
      </c>
      <c r="E1491" s="3" t="n"/>
      <c r="F1491" s="3" t="inlineStr">
        <is>
          <t>អនុញ្ញាតតែឯកសារ .pdf ប៉ុណ្ណោះ</t>
        </is>
      </c>
      <c r="G1491" s="3" t="n"/>
      <c r="H1491" s="217" t="inlineStr">
        <is>
          <t>"updateCustomer.note2": "អនុញ្ញាតតែឯកសារ .pdf ប៉ុណ្ណោះ",</t>
        </is>
      </c>
      <c r="I1491" t="inlineStr">
        <is>
          <t>អនុញ្ញាតតែឯកសារ .pdf ប៉ុណ្ណោះ</t>
        </is>
      </c>
    </row>
    <row r="1492">
      <c r="A1492" s="3" t="inlineStr">
        <is>
          <t>updateCustomer.paymentForm</t>
        </is>
      </c>
      <c r="B1492" s="3" t="inlineStr">
        <is>
          <t>Hình thức thanh toán</t>
        </is>
      </c>
      <c r="C1492" s="3" t="inlineStr">
        <is>
          <t>Payment form</t>
        </is>
      </c>
      <c r="D1492" s="217">
        <f>IFERROR(__xludf.DUMMYFUNCTION("GOOGLETRANSLATE(C1492,""vi"",""km"")"),"ទម្រង់បែបបទទូទាត់")</f>
        <v/>
      </c>
      <c r="E1492" s="3" t="n"/>
      <c r="F1492" s="3" t="inlineStr">
        <is>
          <t>ទម្រង់បែបបទទូទាត់</t>
        </is>
      </c>
      <c r="G1492" s="3" t="n"/>
      <c r="H1492" s="217" t="inlineStr">
        <is>
          <t>"updateCustomer.paymentForm": "ទម្រង់បែបបទទូទាត់",</t>
        </is>
      </c>
      <c r="I1492" t="inlineStr">
        <is>
          <t>ទម្រង់បែបបទទូទាត់</t>
        </is>
      </c>
    </row>
    <row r="1493">
      <c r="A1493" s="3" t="inlineStr">
        <is>
          <t>updateCustomer.paymentInfo</t>
        </is>
      </c>
      <c r="B1493" s="3" t="inlineStr">
        <is>
          <t>Thông tin thanh toán</t>
        </is>
      </c>
      <c r="C1493" s="3" t="inlineStr">
        <is>
          <t>Payment information</t>
        </is>
      </c>
      <c r="D1493" s="217">
        <f>IFERROR(__xludf.DUMMYFUNCTION("GOOGLETRANSLATE(C1493,""vi"",""km"")"),"ព័ត៌មានរាប់ពាន់")</f>
        <v/>
      </c>
      <c r="E1493" s="3" t="n"/>
      <c r="F1493" s="3" t="inlineStr">
        <is>
          <t>ព័ត៌មានរាប់ពាន់</t>
        </is>
      </c>
      <c r="G1493" s="3" t="n"/>
      <c r="H1493" s="217" t="inlineStr">
        <is>
          <t>"updateCustomer.paymentInfo": "ព័ត៌មានរាប់ពាន់",</t>
        </is>
      </c>
      <c r="I1493" t="inlineStr">
        <is>
          <t>ព័ត៌មានរាប់ពាន់</t>
        </is>
      </c>
    </row>
    <row r="1494">
      <c r="A1494" s="3" t="inlineStr">
        <is>
          <t>updateCustomer.paymentMethod</t>
        </is>
      </c>
      <c r="B1494" s="3" t="inlineStr">
        <is>
          <t>Phương thức thanh toán</t>
        </is>
      </c>
      <c r="C1494" s="3" t="inlineStr">
        <is>
          <t>Payment method</t>
        </is>
      </c>
      <c r="D1494" s="217">
        <f>IFERROR(__xludf.DUMMYFUNCTION("GOOGLETRANSLATE(C1494,""vi"",""km"")"),"វិធីបង់ប្រាក់")</f>
        <v/>
      </c>
      <c r="E1494" s="3" t="n"/>
      <c r="F1494" s="3" t="inlineStr">
        <is>
          <t>វិធីបង់ប្រាក់</t>
        </is>
      </c>
      <c r="G1494" s="3" t="n"/>
      <c r="H1494" s="217" t="inlineStr">
        <is>
          <t>"updateCustomer.paymentMethod": "វិធីបង់ប្រាក់",</t>
        </is>
      </c>
      <c r="I1494" t="inlineStr">
        <is>
          <t>វិធីបង់ប្រាក់</t>
        </is>
      </c>
    </row>
    <row r="1495">
      <c r="A1495" s="3" t="inlineStr">
        <is>
          <t>updateCustomer.paymentTime</t>
        </is>
      </c>
      <c r="B1495" s="3" t="inlineStr">
        <is>
          <t>Thời gian thanh toán</t>
        </is>
      </c>
      <c r="C1495" s="3" t="inlineStr">
        <is>
          <t>Payment time</t>
        </is>
      </c>
      <c r="D1495" s="217">
        <f>IFERROR(__xludf.DUMMYFUNCTION("GOOGLETRANSLATE(C1495,""vi"",""km"")"),"ពេលវេលាទូទាត់")</f>
        <v/>
      </c>
      <c r="E1495" s="3" t="n"/>
      <c r="F1495" s="3" t="inlineStr">
        <is>
          <t>ពេលវេលាទូទាត់</t>
        </is>
      </c>
      <c r="G1495" s="3" t="n"/>
      <c r="H1495" s="217" t="inlineStr">
        <is>
          <t>"updateCustomer.paymentTime": "ពេលវេលាទូទាត់",</t>
        </is>
      </c>
      <c r="I1495" t="inlineStr">
        <is>
          <t>ពេលវេលាទូទាត់</t>
        </is>
      </c>
    </row>
    <row r="1496">
      <c r="A1496" s="3" t="inlineStr">
        <is>
          <t>updateCustomer.paymentType</t>
        </is>
      </c>
      <c r="B1496" s="3" t="inlineStr">
        <is>
          <t>Loại thanh toán</t>
        </is>
      </c>
      <c r="C1496" s="3" t="inlineStr">
        <is>
          <t>Payment type</t>
        </is>
      </c>
      <c r="D1496" s="217">
        <f>IFERROR(__xludf.DUMMYFUNCTION("GOOGLETRANSLATE(C1496,""vi"",""km"")"),"ប្រភេទនៃការបង់ប្រាក់")</f>
        <v/>
      </c>
      <c r="E1496" s="3" t="n"/>
      <c r="F1496" s="3" t="inlineStr">
        <is>
          <t>ប្រភេទនៃការបង់ប្រាក់</t>
        </is>
      </c>
      <c r="G1496" s="3" t="n"/>
      <c r="H1496" s="217" t="inlineStr">
        <is>
          <t>"updateCustomer.paymentType": "ប្រភេទនៃការបង់ប្រាក់",</t>
        </is>
      </c>
      <c r="I1496" t="inlineStr">
        <is>
          <t>ប្រភេទនៃការបង់ប្រាក់</t>
        </is>
      </c>
    </row>
    <row r="1497">
      <c r="A1497" s="3" t="inlineStr">
        <is>
          <t>updateCustomer.postpaid</t>
        </is>
      </c>
      <c r="B1497" s="3" t="inlineStr">
        <is>
          <t>Trả sau</t>
        </is>
      </c>
      <c r="C1497" s="3" t="inlineStr">
        <is>
          <t>Postpaid</t>
        </is>
      </c>
      <c r="D1497" s="217">
        <f>IFERROR(__xludf.DUMMYFUNCTION("GOOGLETRANSLATE(C1497,""vi"",""km"")"),"ក្រោយរុស្ស៊ី")</f>
        <v/>
      </c>
      <c r="E1497" s="3" t="n"/>
      <c r="F1497" s="3" t="inlineStr">
        <is>
          <t>ទូទាត់ប្រាក់ពេលក្រោយ</t>
        </is>
      </c>
      <c r="G1497" s="3" t="n"/>
      <c r="H1497" s="217" t="inlineStr">
        <is>
          <t>"updateCustomer.postpaid": "ទូទាត់ប្រាក់ពេលក្រោយ",</t>
        </is>
      </c>
      <c r="I1497" t="inlineStr">
        <is>
          <t>ទូទាត់ប្រាក់ពេលក្រោយ</t>
        </is>
      </c>
    </row>
    <row r="1498">
      <c r="A1498" s="3" t="inlineStr">
        <is>
          <t>updateCustomer.prepaid</t>
        </is>
      </c>
      <c r="B1498" s="3" t="inlineStr">
        <is>
          <t>Trả trước</t>
        </is>
      </c>
      <c r="C1498" s="3" t="inlineStr">
        <is>
          <t>Prepaid</t>
        </is>
      </c>
      <c r="D1498" s="217">
        <f>IFERROR(__xludf.DUMMYFUNCTION("GOOGLETRANSLATE(C1498,""vi"",""km"")"),"បង់ប្រាក់ជាមុន")</f>
        <v/>
      </c>
      <c r="E1498" s="3" t="n"/>
      <c r="F1498" s="3" t="inlineStr">
        <is>
          <t>បង់ប្រាក់ជាមុន</t>
        </is>
      </c>
      <c r="G1498" s="3" t="n"/>
      <c r="H1498" s="217" t="inlineStr">
        <is>
          <t>"updateCustomer.prepaid": "បង់ប្រាក់ជាមុន",</t>
        </is>
      </c>
      <c r="I1498" t="inlineStr">
        <is>
          <t>បង់ប្រាក់ជាមុន</t>
        </is>
      </c>
    </row>
    <row r="1499">
      <c r="A1499" s="3" t="inlineStr">
        <is>
          <t>updateCustomer.selectFile</t>
        </is>
      </c>
      <c r="B1499" s="3" t="inlineStr">
        <is>
          <t>Chọn tệp</t>
        </is>
      </c>
      <c r="C1499" s="3" t="inlineStr">
        <is>
          <t>Select file</t>
        </is>
      </c>
      <c r="D1499" s="217">
        <f>IFERROR(__xludf.DUMMYFUNCTION("GOOGLETRANSLATE(C1499,""vi"",""km"")"),"តម្រៀបឯកសារ")</f>
        <v/>
      </c>
      <c r="E1499" s="3" t="n"/>
      <c r="F1499" s="3" t="inlineStr">
        <is>
          <t>តម្រៀបឯកសារ</t>
        </is>
      </c>
      <c r="G1499" s="3" t="n"/>
      <c r="H1499" s="217" t="inlineStr">
        <is>
          <t>"updateCustomer.selectFile": "តម្រៀបឯកសារ",</t>
        </is>
      </c>
      <c r="I1499" t="inlineStr">
        <is>
          <t>តម្រៀបឯកសារ</t>
        </is>
      </c>
    </row>
    <row r="1500">
      <c r="A1500" s="3" t="inlineStr">
        <is>
          <t>updateCustomer.selectedAll</t>
        </is>
      </c>
      <c r="B1500" s="3" t="inlineStr">
        <is>
          <t>Chọn tất cả</t>
        </is>
      </c>
      <c r="C1500" s="3" t="inlineStr">
        <is>
          <t>Select all</t>
        </is>
      </c>
      <c r="D1500" s="217">
        <f>IFERROR(__xludf.DUMMYFUNCTION("GOOGLETRANSLATE(C1500,""vi"",""km"")"),"ជ្រើសរើសទាំងអស់")</f>
        <v/>
      </c>
      <c r="E1500" s="3" t="n"/>
      <c r="F1500" s="3" t="inlineStr">
        <is>
          <t>ជ្រើសរើសទាំងអស់</t>
        </is>
      </c>
      <c r="G1500" s="3" t="n"/>
      <c r="H1500" s="217" t="inlineStr">
        <is>
          <t>"updateCustomer.selectedAll": "ជ្រើសរើសទាំងអស់",</t>
        </is>
      </c>
      <c r="I1500" t="inlineStr">
        <is>
          <t>ជ្រើសរើសទាំងអស់</t>
        </is>
      </c>
    </row>
    <row r="1501">
      <c r="A1501" s="3" t="inlineStr">
        <is>
          <t>updateCustomer.selectedAllDay</t>
        </is>
      </c>
      <c r="B1501" s="3" t="inlineStr">
        <is>
          <t>Chọn tất cả các ngày trong tháng</t>
        </is>
      </c>
      <c r="C1501" s="3" t="inlineStr">
        <is>
          <t>Select all days of the month</t>
        </is>
      </c>
      <c r="D1501" s="217">
        <f>IFERROR(__xludf.DUMMYFUNCTION("GOOGLETRANSLATE(C1501,""vi"",""km"")"),"ជ្រើសរើសថ្ងៃទាំងអស់នៃខែ")</f>
        <v/>
      </c>
      <c r="E1501" s="3" t="n"/>
      <c r="F1501" s="3" t="inlineStr">
        <is>
          <t>ជ្រើសរើសថ្ងៃទាំងអស់នៃខែ</t>
        </is>
      </c>
      <c r="G1501" s="3" t="n"/>
      <c r="H1501" s="217" t="inlineStr">
        <is>
          <t>"updateCustomer.selectedAllDay": "ជ្រើសរើសថ្ងៃទាំងអស់នៃខែ",</t>
        </is>
      </c>
      <c r="I1501" t="inlineStr">
        <is>
          <t>ជ្រើសរើសថ្ងៃទាំងអស់នៃខែ</t>
        </is>
      </c>
    </row>
    <row r="1502">
      <c r="A1502" s="3" t="inlineStr">
        <is>
          <t>updateCustomer.titleCod</t>
        </is>
      </c>
      <c r="B1502" s="3" t="inlineStr">
        <is>
          <t>Thông tin thanh toán COD</t>
        </is>
      </c>
      <c r="C1502" s="3" t="inlineStr">
        <is>
          <t>COD payment information</t>
        </is>
      </c>
      <c r="D1502" s="217">
        <f>IFERROR(__xludf.DUMMYFUNCTION("GOOGLETRANSLATE(C1502,""vi"",""km"")"),"ព័ត៌មានអំពីការទូទាត់ប្រាក់ពេលទទួលទំនិញ (COD)")</f>
        <v/>
      </c>
      <c r="E1502" s="3" t="n"/>
      <c r="F1502" s="3" t="inlineStr">
        <is>
          <t>ព័ត៌មានអំពីការទូទាត់ប្រាក់ពេលទទួលទំនិញ (COD)</t>
        </is>
      </c>
      <c r="G1502" s="3" t="n"/>
      <c r="H1502" s="217" t="inlineStr">
        <is>
          <t>"updateCustomer.titleCod": "ព័ត៌មានអំពីការទូទាត់ប្រាក់ពេលទទួលទំនិញ (COD)",</t>
        </is>
      </c>
      <c r="I1502" t="inlineStr">
        <is>
          <t>ព័ត៌មានអំពីការទូទាត់ប្រាក់ពេលទទួលទំនិញ (COD)</t>
        </is>
      </c>
    </row>
    <row r="1503">
      <c r="A1503" s="3" t="inlineStr">
        <is>
          <t>updateCustomer.titleConfirm</t>
        </is>
      </c>
      <c r="B1503" s="3" t="inlineStr">
        <is>
          <t>Bạn có chắc muốn đổi trạng thái thành</t>
        </is>
      </c>
      <c r="C1503" s="3" t="inlineStr">
        <is>
          <t>Are you sure you want to change the status to</t>
        </is>
      </c>
      <c r="D1503" s="217">
        <f>IFERROR(__xludf.DUMMYFUNCTION("GOOGLETRANSLATE(C1503,""vi"",""km"")"),"តើអ្នកពិតជាចង់ផ្លាស់ប្តូរស្ថានភាពទៅ")</f>
        <v/>
      </c>
      <c r="E1503" s="3" t="n"/>
      <c r="F1503" s="3" t="inlineStr">
        <is>
          <t>តើអ្នកពិតជាចង់ផ្លាស់ប្តូរស្ថានភាពទៅ</t>
        </is>
      </c>
      <c r="G1503" s="3" t="n"/>
      <c r="H1503" s="217" t="inlineStr">
        <is>
          <t>"updateCustomer.titleConfirm": "តើអ្នកពិតជាចង់ផ្លាស់ប្តូរស្ថានភាពទៅ",</t>
        </is>
      </c>
      <c r="I1503" t="inlineStr">
        <is>
          <t>តើអ្នកពិតជាចង់ផ្លាស់ប្តូរស្ថានភាពទៅ</t>
        </is>
      </c>
    </row>
    <row r="1504">
      <c r="A1504" s="3" t="inlineStr">
        <is>
          <t>updateCustomer.titlePayment</t>
        </is>
      </c>
      <c r="B1504" s="3" t="inlineStr">
        <is>
          <t>Phương thức thanh toán cước</t>
        </is>
      </c>
      <c r="C1504" s="3" t="inlineStr">
        <is>
          <t>Shipping fee payment method</t>
        </is>
      </c>
      <c r="D1504" s="217">
        <f>IFERROR(__xludf.DUMMYFUNCTION("GOOGLETRANSLATE(C1504,""vi"",""km"")"),"វិធីបង់ថ្លៃដឹកជញ្ជូន")</f>
        <v/>
      </c>
      <c r="E1504" s="3" t="n"/>
      <c r="F1504" s="3" t="inlineStr">
        <is>
          <t>វិធីបង់ថ្លៃដឹកជញ្ជូន</t>
        </is>
      </c>
      <c r="G1504" s="3" t="n"/>
      <c r="H1504" s="217" t="inlineStr">
        <is>
          <t>"updateCustomer.titlePayment": "វិធីបង់ថ្លៃដឹកជញ្ជូន",</t>
        </is>
      </c>
      <c r="I1504" t="inlineStr">
        <is>
          <t>វិធីបង់ថ្លៃដឹកជញ្ជូន</t>
        </is>
      </c>
    </row>
    <row r="1505">
      <c r="A1505" s="3" t="inlineStr">
        <is>
          <t>updateCustomer.updateContract</t>
        </is>
      </c>
      <c r="B1505" s="3" t="inlineStr">
        <is>
          <t>Bạn có chắc muốn đổi thông tin khách hàng không?</t>
        </is>
      </c>
      <c r="C1505" s="3" t="inlineStr">
        <is>
          <t>Are you sure you want to change customer information?</t>
        </is>
      </c>
      <c r="D1505" s="217">
        <f>IFERROR(__xludf.DUMMYFUNCTION("GOOGLETRANSLATE(C1505,""vi"",""km"")"),"តើអ្នកពិតជាចង់ផ្លាស់ប្តូរព័ត៌មានអតិថិជនមែនទេ?")</f>
        <v/>
      </c>
      <c r="E1505" s="3" t="n"/>
      <c r="F1505" s="3" t="inlineStr">
        <is>
          <t>តើអ្នកពិតជាចង់ផ្លាស់ប្តូរព័ត៌មានអតិថិជនមែនទេ?</t>
        </is>
      </c>
      <c r="G1505" s="3" t="n"/>
      <c r="H1505" s="217" t="inlineStr">
        <is>
          <t>"updateCustomer.updateContract": "តើអ្នកពិតជាចង់ផ្លាស់ប្តូរព័ត៌មានអតិថិជនមែនទេ?",</t>
        </is>
      </c>
      <c r="I1505" t="inlineStr">
        <is>
          <t>តើអ្នកពិតជាចង់ផ្លាស់ប្តូរព័ត៌មានអតិថិជនមែនទេ?</t>
        </is>
      </c>
    </row>
    <row r="1506">
      <c r="A1506" s="3" t="inlineStr">
        <is>
          <t>updateCustomer.updateCustomer</t>
        </is>
      </c>
      <c r="B1506" s="3" t="inlineStr">
        <is>
          <t>Sửa thông tin khách hàng</t>
        </is>
      </c>
      <c r="C1506" s="3" t="inlineStr">
        <is>
          <t>Update customer information</t>
        </is>
      </c>
      <c r="D1506" s="217">
        <f>IFERROR(__xludf.DUMMYFUNCTION("GOOGLETRANSLATE(C1506,""vi"",""km"")"),"ធ្វើបច្ចុប្បន្នភាពព័ត៌មានអតិថិជន")</f>
        <v/>
      </c>
      <c r="E1506" s="3" t="n"/>
      <c r="F1506" s="3" t="inlineStr">
        <is>
          <t>ធ្វើបច្ចុប្បន្នភាពព័ត៌មានអតិថិជន</t>
        </is>
      </c>
      <c r="G1506" s="3" t="n"/>
      <c r="H1506" s="217" t="inlineStr">
        <is>
          <t>"updateCustomer.updateCustomer": "ធ្វើបច្ចុប្បន្នភាពព័ត៌មានអតិថិជន",</t>
        </is>
      </c>
      <c r="I1506" t="inlineStr">
        <is>
          <t>ធ្វើបច្ចុប្បន្នភាពព័ត៌មានអតិថិជន</t>
        </is>
      </c>
    </row>
    <row r="1507">
      <c r="A1507" s="3" t="inlineStr">
        <is>
          <t>updateCustomer.updateSuccess</t>
        </is>
      </c>
      <c r="B1507" s="3" t="inlineStr">
        <is>
          <t>Cập nhật thông tin thành công</t>
        </is>
      </c>
      <c r="C1507" s="3" t="inlineStr">
        <is>
          <t>Customer information updated successfully</t>
        </is>
      </c>
      <c r="D1507" s="217">
        <f>IFERROR(__xludf.DUMMYFUNCTION("GOOGLETRANSLATE(C1507,""vi"",""km"")"),"ព័ត៌មានអតិថិជនត្រូវបានធ្វើបច្ចុប្បន្នភាពដោយជោគជ័យ")</f>
        <v/>
      </c>
      <c r="E1507" s="3" t="n"/>
      <c r="F1507" s="3" t="inlineStr">
        <is>
          <t>ព័ត៌មានអតិថិជនត្រូវបានធ្វើបច្ចុប្បន្នភាពដោយជោគជ័យ</t>
        </is>
      </c>
      <c r="G1507" s="3" t="n"/>
      <c r="H1507" s="217" t="inlineStr">
        <is>
          <t>"updateCustomer.updateSuccess": "ព័ត៌មានអតិថិជនត្រូវបានធ្វើបច្ចុប្បន្នភាពដោយជោគជ័យ",</t>
        </is>
      </c>
      <c r="I1507" t="inlineStr">
        <is>
          <t>ព័ត៌មានអតិថិជនត្រូវបានធ្វើបច្ចុប្បន្នភាពដោយជោគជ័យ</t>
        </is>
      </c>
    </row>
    <row r="1508">
      <c r="A1508" s="3" t="inlineStr">
        <is>
          <t>updateCustomer.warehouseInfo</t>
        </is>
      </c>
      <c r="B1508" s="3" t="inlineStr">
        <is>
          <t>Thông tin kho</t>
        </is>
      </c>
      <c r="C1508" s="3" t="inlineStr">
        <is>
          <t>Warehouse information</t>
        </is>
      </c>
      <c r="D1508" s="217">
        <f>IFERROR(__xludf.DUMMYFUNCTION("GOOGLETRANSLATE(C1508,""vi"",""km"")"),"ទីក្រុងឃ្លាំង")</f>
        <v/>
      </c>
      <c r="E1508" s="3" t="n"/>
      <c r="F1508" s="3" t="inlineStr">
        <is>
          <t>ទីក្រុងឃ្លាំង</t>
        </is>
      </c>
      <c r="G1508" s="3" t="n"/>
      <c r="H1508" s="217" t="inlineStr">
        <is>
          <t>"updateCustomer.warehouseInfo": "ទីក្រុងឃ្លាំង",</t>
        </is>
      </c>
      <c r="I1508" t="inlineStr">
        <is>
          <t>ទីក្រុងឃ្លាំង</t>
        </is>
      </c>
    </row>
    <row r="1509">
      <c r="A1509" s="3" t="inlineStr">
        <is>
          <t>updateCustomer.yet</t>
        </is>
      </c>
      <c r="B1509" s="3" t="inlineStr">
        <is>
          <t>không</t>
        </is>
      </c>
      <c r="C1509" s="3" t="inlineStr">
        <is>
          <t>not yet</t>
        </is>
      </c>
      <c r="D1509" s="217">
        <f>IFERROR(__xludf.DUMMYFUNCTION("GOOGLETRANSLATE(C1509,""vi"",""km"")"),"មិនទាន់")</f>
        <v/>
      </c>
      <c r="E1509" s="3" t="n"/>
      <c r="F1509" s="3" t="inlineStr">
        <is>
          <t>មិនទាន់</t>
        </is>
      </c>
      <c r="G1509" s="3" t="n"/>
      <c r="H1509" s="217" t="inlineStr">
        <is>
          <t>"updateCustomer.yet": "មិនទាន់",</t>
        </is>
      </c>
      <c r="I1509" t="inlineStr">
        <is>
          <t>មិនទាន់</t>
        </is>
      </c>
    </row>
    <row r="1510">
      <c r="A1510" s="3" t="inlineStr">
        <is>
          <t>updateOrder.OTHER_REASONS</t>
        </is>
      </c>
      <c r="B1510" s="3" t="inlineStr">
        <is>
          <t>Lý do khác</t>
        </is>
      </c>
      <c r="C1510" s="3" t="inlineStr">
        <is>
          <t>Other reasons</t>
        </is>
      </c>
      <c r="D1510" s="217">
        <f>IFERROR(__xludf.DUMMYFUNCTION("GOOGLETRANSLATE(C1510,""vi"",""km"")"),"ហេតុផលផ្សេងទៀត")</f>
        <v/>
      </c>
      <c r="E1510" s="3" t="n"/>
      <c r="F1510" s="3" t="inlineStr">
        <is>
          <t>ហេតុផលផ្សេងទៀត</t>
        </is>
      </c>
      <c r="G1510" s="3" t="n"/>
      <c r="H1510" s="217" t="inlineStr">
        <is>
          <t>"updateOrder.OTHER_REASONS": "ហេតុផលផ្សេងទៀត",</t>
        </is>
      </c>
      <c r="I1510" t="inlineStr">
        <is>
          <t>ហេតុផលផ្សេងទៀត</t>
        </is>
      </c>
    </row>
    <row r="1511">
      <c r="A1511" s="3" t="inlineStr">
        <is>
          <t>updateOrder.REASON_CUSTOMER_REQUEST</t>
        </is>
      </c>
      <c r="B1511" s="3" t="inlineStr">
        <is>
          <t>Hủy đơn do khách hàng yêu cầu</t>
        </is>
      </c>
      <c r="C1511" s="3" t="inlineStr">
        <is>
          <t>Cancelled at customer’s request</t>
        </is>
      </c>
      <c r="D1511" s="217">
        <f>IFERROR(__xludf.DUMMYFUNCTION("GOOGLETRANSLATE(C1511,""vi"",""km"")"),"បានលុបចោលតាមការស្នើសុំរបស់អតិថិជន")</f>
        <v/>
      </c>
      <c r="E1511" s="3" t="n"/>
      <c r="F1511" s="3" t="inlineStr">
        <is>
          <t>បានលុបចោលតាមការស្នើសុំរបស់អតិថិជន</t>
        </is>
      </c>
      <c r="G1511" s="3" t="n"/>
      <c r="H1511" s="217" t="inlineStr">
        <is>
          <t>"updateOrder.REASON_CUSTOMER_REQUEST": "បានលុបចោលតាមការស្នើសុំរបស់អតិថិជន",</t>
        </is>
      </c>
      <c r="I1511" t="inlineStr">
        <is>
          <t>បានលុបចោលតាមការស្នើសុំរបស់អតិថិជន</t>
        </is>
      </c>
    </row>
    <row r="1512">
      <c r="A1512" s="3" t="inlineStr">
        <is>
          <t>updateOrder.REASON_PROHIBITED_RESTRICTED</t>
        </is>
      </c>
      <c r="B1512" s="3" t="inlineStr">
        <is>
          <t>Hàng cấm gửi/không được phép vận chuyển</t>
        </is>
      </c>
      <c r="C1512" s="3" t="inlineStr">
        <is>
          <t>Prohibited goods / Not allowed to ship</t>
        </is>
      </c>
      <c r="D1512" s="217">
        <f>IFERROR(__xludf.DUMMYFUNCTION("GOOGLETRANSLATE(C1512,""vi"",""km"")"),"ទំនិញហាមឃាត់ / មិនអនុញ្ញាតឱ្យដឹកជញ្ជូន")</f>
        <v/>
      </c>
      <c r="E1512" s="3" t="n"/>
      <c r="F1512" s="3" t="inlineStr">
        <is>
          <t>ទំនិញហាមឃាត់ / មិនអនុញ្ញាតឱ្យដឹកជញ្ជូន</t>
        </is>
      </c>
      <c r="G1512" s="3" t="n"/>
      <c r="H1512" s="217" t="inlineStr">
        <is>
          <t>"updateOrder.REASON_PROHIBITED_RESTRICTED": "ទំនិញហាមឃាត់ / មិនអនុញ្ញាតឱ្យដឹកជញ្ជូន",</t>
        </is>
      </c>
      <c r="I1512" t="inlineStr">
        <is>
          <t>ទំនិញហាមឃាត់ / មិនអនុញ្ញាតឱ្យដឹកជញ្ជូន</t>
        </is>
      </c>
    </row>
    <row r="1513">
      <c r="A1513" s="3" t="inlineStr">
        <is>
          <t>updateOrder.additionalServices</t>
        </is>
      </c>
      <c r="B1513" s="3" t="inlineStr">
        <is>
          <t>Dịch vụ cộng thêm ({{services}})</t>
        </is>
      </c>
      <c r="C1513" s="3" t="inlineStr">
        <is>
          <t>Additional services ({{services}})</t>
        </is>
      </c>
      <c r="D1513" s="217">
        <f>IFERROR(__xludf.DUMMYFUNCTION("GOOGLETRANSLATE(C1513,""vi"",""km"")"),"សេវាកម្មបន្ថែម ({{services}})")</f>
        <v/>
      </c>
      <c r="E1513" s="3" t="n"/>
      <c r="F1513" s="3" t="inlineStr">
        <is>
          <t>សេវាកម្មបន្ថែម ({{services}})</t>
        </is>
      </c>
      <c r="G1513" s="3" t="n"/>
      <c r="H1513" s="217" t="inlineStr">
        <is>
          <t>"updateOrder.additionalServices": "សេវាកម្មបន្ថែម ({{services}})",</t>
        </is>
      </c>
      <c r="I1513" t="inlineStr">
        <is>
          <t>សេវាកម្មបន្ថែម ({{services}})</t>
        </is>
      </c>
    </row>
    <row r="1514">
      <c r="A1514" s="3" t="inlineStr">
        <is>
          <t>updateOrder.address</t>
        </is>
      </c>
      <c r="B1514" s="3" t="inlineStr">
        <is>
          <t>Địa chỉ</t>
        </is>
      </c>
      <c r="C1514" s="3" t="inlineStr">
        <is>
          <t>Address</t>
        </is>
      </c>
      <c r="D1514" s="217">
        <f>IFERROR(__xludf.DUMMYFUNCTION("GOOGLETRANSLATE(C1514,""vi"",""km"")"),"មិនត្រឹមត្រូវ")</f>
        <v/>
      </c>
      <c r="E1514" s="3" t="n"/>
      <c r="F1514" s="3" t="inlineStr">
        <is>
          <t>អាសយដ្ឋាន</t>
        </is>
      </c>
      <c r="G1514" s="3" t="n"/>
      <c r="H1514" s="217" t="inlineStr">
        <is>
          <t>"updateOrder.address": "អាសយដ្ឋាន",</t>
        </is>
      </c>
      <c r="I1514" t="inlineStr">
        <is>
          <t>អាសយដ្ឋាន</t>
        </is>
      </c>
    </row>
    <row r="1515">
      <c r="A1515" s="3" t="inlineStr">
        <is>
          <t>updateOrder.cancelConfirm</t>
        </is>
      </c>
      <c r="B1515" s="3" t="inlineStr">
        <is>
          <t>Bạn có chắc chắn muốn huỷ đơn hàng &lt;span class='!text-baseColor'&gt;{{ orderCode }}&lt;/span&gt;?</t>
        </is>
      </c>
      <c r="C1515" s="3" t="inlineStr">
        <is>
          <t>Are you sure you want to cancel order &lt;span class='!text-baseColor'&gt;{{ orderCode }}&lt;/span&gt;?</t>
        </is>
      </c>
      <c r="D1515" s="217">
        <f>IFERROR(__xludf.DUMMYFUNCTION("GOOGLETRANSLATE(C1515,""vi"",""km"")"),"តើអ្នកពិតជាចង់លុបចោលការបញ្ជាទិញ &lt;span class='!text-baseColor'&gt;{{ orderCode }}&lt;/span&gt; មែនទេ?")</f>
        <v/>
      </c>
      <c r="E1515" s="3" t="n"/>
      <c r="F1515" s="3" t="inlineStr">
        <is>
          <t>តើអ្នកពិតជាចង់លុបបុងចោល &lt;span class='!text-baseColor'&gt;{{ orderCode }}&lt;/span&gt; មែនទេ?</t>
        </is>
      </c>
      <c r="G1515" s="3" t="n"/>
      <c r="H1515" s="217" t="inlineStr">
        <is>
          <t>"updateOrder.cancelConfirm": "តើអ្នកពិតជាចង់លុបបុងចោល &lt;span class='!text-baseColor'&gt;{{ orderCode }}&lt;/span&gt; មែនទេ?",</t>
        </is>
      </c>
      <c r="I1515" t="inlineStr">
        <is>
          <t>តើអ្នកពិតជាចង់លុបបុងចោល &lt;span class='!text-baseColor'&gt;{{ orderCode }}&lt;/span&gt; មែនទេ?</t>
        </is>
      </c>
    </row>
    <row r="1516">
      <c r="A1516" s="3" t="inlineStr">
        <is>
          <t>updateOrder.cancelSuccess</t>
        </is>
      </c>
      <c r="B1516" s="3" t="inlineStr">
        <is>
          <t>Huỷ đơn hàng {{ code }} thành công</t>
        </is>
      </c>
      <c r="C1516" s="3" t="inlineStr">
        <is>
          <t>Order {{ code }} has been cancelled successfully</t>
        </is>
      </c>
      <c r="D1516" s="217">
        <f>IFERROR(__xludf.DUMMYFUNCTION("GOOGLETRANSLATE(C1516,""vi"",""km"")"),"ការបញ្ជាទិញ {{ code }} ត្រូវបានលុបចោលដោយជោគជ័យ")</f>
        <v/>
      </c>
      <c r="E1516" s="3" t="n"/>
      <c r="F1516" s="3" t="inlineStr">
        <is>
          <t>ការបញ្ជាទិញ {{ code }} ត្រូវបានលុបចោលដោយជោគជ័យ</t>
        </is>
      </c>
      <c r="G1516" s="3" t="n"/>
      <c r="H1516" s="217" t="inlineStr">
        <is>
          <t>"updateOrder.cancelSuccess": "ការបញ្ជាទិញ {{ code }} ត្រូវបានលុបចោលដោយជោគជ័យ",</t>
        </is>
      </c>
      <c r="I1516" t="inlineStr">
        <is>
          <t>ការបញ្ជាទិញ {{ code }} ត្រូវបានលុបចោលដោយជោគជ័យ</t>
        </is>
      </c>
    </row>
    <row r="1517">
      <c r="A1517" s="3" t="inlineStr">
        <is>
          <t>updateOrder.changeConfirm</t>
        </is>
      </c>
      <c r="B1517" s="3" t="inlineStr">
        <is>
          <t>Xác nhận thay đổi</t>
        </is>
      </c>
      <c r="C1517" s="3" t="inlineStr">
        <is>
          <t>Confirm changes</t>
        </is>
      </c>
      <c r="D1517" s="217">
        <f>IFERROR(__xludf.DUMMYFUNCTION("GOOGLETRANSLATE(C1517,""vi"",""km"")"),"បញ្ជាក់ការផ្លាស់ប្តូរ")</f>
        <v/>
      </c>
      <c r="E1517" s="3" t="n"/>
      <c r="F1517" s="3" t="inlineStr">
        <is>
          <t>បញ្ជាក់ការផ្លាស់ប្តូរ</t>
        </is>
      </c>
      <c r="G1517" s="3" t="n"/>
      <c r="H1517" s="217" t="inlineStr">
        <is>
          <t>"updateOrder.changeConfirm": "បញ្ជាក់ការផ្លាស់ប្តូរ",</t>
        </is>
      </c>
      <c r="I1517" t="inlineStr">
        <is>
          <t>បញ្ជាក់ការផ្លាស់ប្តូរ</t>
        </is>
      </c>
    </row>
    <row r="1518">
      <c r="A1518" s="3" t="inlineStr">
        <is>
          <t>updateOrder.collection</t>
        </is>
      </c>
      <c r="B1518" s="3" t="inlineStr">
        <is>
          <t>Thu hộ</t>
        </is>
      </c>
      <c r="C1518" s="3" t="inlineStr">
        <is>
          <t>COD amount</t>
        </is>
      </c>
      <c r="D1518" s="217">
        <f>IFERROR(__xludf.DUMMYFUNCTION("GOOGLETRANSLATE(C1518,""vi"",""km"")"),"ចំនួនទឹកប្រាក់ COD")</f>
        <v/>
      </c>
      <c r="E1518" s="3" t="n"/>
      <c r="F1518" s="3" t="inlineStr">
        <is>
          <t>ប្រមូលប្រាក់ជំនួស</t>
        </is>
      </c>
      <c r="G1518" s="3" t="n"/>
      <c r="H1518" s="217" t="inlineStr">
        <is>
          <t>"updateOrder.collection": "ប្រមូលប្រាក់ជំនួស",</t>
        </is>
      </c>
      <c r="I1518" t="inlineStr">
        <is>
          <t>ប្រមូលប្រាក់ជំនួស</t>
        </is>
      </c>
    </row>
    <row r="1519">
      <c r="A1519" s="3" t="inlineStr">
        <is>
          <t>updateOrder.delete</t>
        </is>
      </c>
      <c r="B1519" s="3" t="inlineStr">
        <is>
          <t>Huỷ đơn</t>
        </is>
      </c>
      <c r="C1519" s="3" t="inlineStr">
        <is>
          <t>Cancel order</t>
        </is>
      </c>
      <c r="D1519" s="217">
        <f>IFERROR(__xludf.DUMMYFUNCTION("GOOGLETRANSLATE(C1519,""vi"",""km"")"),"លុបចោលការបញ្ជាទិញ")</f>
        <v/>
      </c>
      <c r="E1519" s="3" t="n"/>
      <c r="F1519" s="3" t="inlineStr">
        <is>
          <t>លុបបុងចោល</t>
        </is>
      </c>
      <c r="G1519" s="3" t="n"/>
      <c r="H1519" s="217" t="inlineStr">
        <is>
          <t>"updateOrder.delete": "លុបបុងចោល",</t>
        </is>
      </c>
      <c r="I1519" t="inlineStr">
        <is>
          <t>លុបបុងចោល</t>
        </is>
      </c>
    </row>
    <row r="1520">
      <c r="A1520" s="3" t="inlineStr">
        <is>
          <t>updateOrder.deliveryCode</t>
        </is>
      </c>
      <c r="B1520" s="3" t="inlineStr">
        <is>
          <t>Mã phiếu gửi</t>
        </is>
      </c>
      <c r="C1520" s="3" t="inlineStr">
        <is>
          <t>Shipment Code</t>
        </is>
      </c>
      <c r="D1520" s="217">
        <f>IFERROR(__xludf.DUMMYFUNCTION("GOOGLETRANSLATE(C1520,""vi"",""km"")"),"លេខកូដដឹកជញ្ជូន")</f>
        <v/>
      </c>
      <c r="E1520" s="3" t="n"/>
      <c r="F1520" s="3" t="inlineStr">
        <is>
          <t>លេខកូដបុងបញ្ញើ</t>
        </is>
      </c>
      <c r="G1520" s="3" t="n"/>
      <c r="H1520" s="217" t="inlineStr">
        <is>
          <t>"updateOrder.deliveryCode": "លេខកូដបុងបញ្ញើ",</t>
        </is>
      </c>
      <c r="I1520" t="inlineStr">
        <is>
          <t>លេខកូដបុងបញ្ញើ</t>
        </is>
      </c>
    </row>
    <row r="1521">
      <c r="A1521" s="3" t="inlineStr">
        <is>
          <t>updateOrder.editOrder</t>
        </is>
      </c>
      <c r="B1521" s="3" t="inlineStr">
        <is>
          <t>Sửa đơn</t>
        </is>
      </c>
      <c r="C1521" s="3" t="inlineStr">
        <is>
          <t>Edit order</t>
        </is>
      </c>
      <c r="D1521" s="217">
        <f>IFERROR(__xludf.DUMMYFUNCTION("GOOGLETRANSLATE(C1521,""vi"",""km"")"),"កែសម្រួលការបញ្ជាទិញ")</f>
        <v/>
      </c>
      <c r="E1521" s="3" t="n"/>
      <c r="F1521" s="3" t="inlineStr">
        <is>
          <t>កែសម្រួលការបញ្ជាទិញ</t>
        </is>
      </c>
      <c r="G1521" s="3" t="n"/>
      <c r="H1521" s="217" t="inlineStr">
        <is>
          <t>"updateOrder.editOrder": "កែសម្រួលការបញ្ជាទិញ",</t>
        </is>
      </c>
      <c r="I1521" t="inlineStr">
        <is>
          <t>កែសម្រួលការបញ្ជាទិញ</t>
        </is>
      </c>
    </row>
    <row r="1522">
      <c r="A1522" s="3" t="inlineStr">
        <is>
          <t>updateOrder.extraFee</t>
        </is>
      </c>
      <c r="B1522" s="3" t="inlineStr">
        <is>
          <t>Phụ phí</t>
        </is>
      </c>
      <c r="C1522" s="3" t="inlineStr">
        <is>
          <t>Surcharge</t>
        </is>
      </c>
      <c r="D1522" s="217">
        <f>IFERROR(__xludf.DUMMYFUNCTION("GOOGLETRANSLATE(C1522,""vi"",""km"")"),"នាវាមុជទឹក")</f>
        <v/>
      </c>
      <c r="E1522" s="3" t="n"/>
      <c r="F1522" s="3" t="inlineStr">
        <is>
          <t>ថ្លៃសេវាបន្ថែម</t>
        </is>
      </c>
      <c r="G1522" s="3" t="n"/>
      <c r="H1522" s="217" t="inlineStr">
        <is>
          <t>"updateOrder.extraFee": "ថ្លៃសេវាបន្ថែម",</t>
        </is>
      </c>
      <c r="I1522" t="inlineStr">
        <is>
          <t>ថ្លៃសេវាបន្ថែម</t>
        </is>
      </c>
    </row>
    <row r="1523">
      <c r="A1523" s="3" t="inlineStr">
        <is>
          <t>updateOrder.extraPrices</t>
        </is>
      </c>
      <c r="B1523" s="3" t="inlineStr">
        <is>
          <t>Dịch vụ cộng thêm</t>
        </is>
      </c>
      <c r="C1523" s="3" t="inlineStr">
        <is>
          <t>Additional services</t>
        </is>
      </c>
      <c r="D1523" s="217">
        <f>IFERROR(__xludf.DUMMYFUNCTION("GOOGLETRANSLATE(C1523,""vi"",""km"")"),"សេវាកម្មបន្ថែម")</f>
        <v/>
      </c>
      <c r="E1523" s="3" t="n"/>
      <c r="F1523" s="3" t="inlineStr">
        <is>
          <t>សេវាកម្មបន្ថែម</t>
        </is>
      </c>
      <c r="G1523" s="3" t="n"/>
      <c r="H1523" s="217" t="inlineStr">
        <is>
          <t>"updateOrder.extraPrices": "សេវាកម្មបន្ថែម",</t>
        </is>
      </c>
      <c r="I1523" t="inlineStr">
        <is>
          <t>សេវាកម្មបន្ថែម</t>
        </is>
      </c>
    </row>
    <row r="1524">
      <c r="A1524" s="3" t="inlineStr">
        <is>
          <t>updateOrder.mainFee</t>
        </is>
      </c>
      <c r="B1524" s="3" t="inlineStr">
        <is>
          <t>Cước chính</t>
        </is>
      </c>
      <c r="C1524" s="3" t="inlineStr">
        <is>
          <t>Main fee</t>
        </is>
      </c>
      <c r="D1524" s="217">
        <f>IFERROR(__xludf.DUMMYFUNCTION("GOOGLETRANSLATE(C1524,""vi"",""km"")"),"ថ្លៃសេវាសំខាន់")</f>
        <v/>
      </c>
      <c r="E1524" s="3" t="n"/>
      <c r="F1524" s="3" t="inlineStr">
        <is>
          <t>ថ្លៃសេវាចម្បង</t>
        </is>
      </c>
      <c r="G1524" s="3" t="n"/>
      <c r="H1524" s="217" t="inlineStr">
        <is>
          <t>"updateOrder.mainFee": "ថ្លៃសេវាចម្បង",</t>
        </is>
      </c>
      <c r="I1524" t="inlineStr">
        <is>
          <t>ថ្លៃសេវាចម្បង</t>
        </is>
      </c>
    </row>
    <row r="1525">
      <c r="A1525" s="3" t="inlineStr">
        <is>
          <t>updateOrder.mainService</t>
        </is>
      </c>
      <c r="B1525" s="3" t="inlineStr">
        <is>
          <t>Dịch vụ chính</t>
        </is>
      </c>
      <c r="C1525" s="3" t="inlineStr">
        <is>
          <t>Main service</t>
        </is>
      </c>
      <c r="D1525" s="217">
        <f>IFERROR(__xludf.DUMMYFUNCTION("GOOGLETRANSLATE(C1525,""vi"",""km"")"),"សេវាកម្មសំខាន់")</f>
        <v/>
      </c>
      <c r="E1525" s="3" t="n"/>
      <c r="F1525" s="3" t="inlineStr">
        <is>
          <t>សេវាកម្មសំខាន់</t>
        </is>
      </c>
      <c r="G1525" s="3" t="n"/>
      <c r="H1525" s="217" t="inlineStr">
        <is>
          <t>"updateOrder.mainService": "សេវាកម្មសំខាន់",</t>
        </is>
      </c>
      <c r="I1525" t="inlineStr">
        <is>
          <t>សេវាកម្មសំខាន់</t>
        </is>
      </c>
    </row>
    <row r="1526">
      <c r="A1526" s="3" t="inlineStr">
        <is>
          <t>updateOrder.notCancelOrder</t>
        </is>
      </c>
      <c r="B1526" s="3" t="inlineStr">
        <is>
          <t>Không thể huỷ đơn</t>
        </is>
      </c>
      <c r="C1526" s="3" t="inlineStr">
        <is>
          <t>Unable to cancel order</t>
        </is>
      </c>
      <c r="D1526" s="217">
        <f>IFERROR(__xludf.DUMMYFUNCTION("GOOGLETRANSLATE(C1526,""vi"",""km"")"),"មិនអាចលុបចោលការបញ្ជាទិញបានទេ")</f>
        <v/>
      </c>
      <c r="E1526" s="3" t="n"/>
      <c r="F1526" s="3" t="inlineStr">
        <is>
          <t>មិនអាចលុបបុងចោលបានទេ</t>
        </is>
      </c>
      <c r="G1526" s="3" t="n"/>
      <c r="H1526" s="217" t="inlineStr">
        <is>
          <t>"updateOrder.notCancelOrder": "មិនអាចលុបបុងចោលបានទេ",</t>
        </is>
      </c>
      <c r="I1526" t="inlineStr">
        <is>
          <t>មិនអាចលុបបុងចោលបានទេ</t>
        </is>
      </c>
    </row>
    <row r="1527">
      <c r="A1527" s="3" t="inlineStr">
        <is>
          <t>updateOrder.notEditOrder</t>
        </is>
      </c>
      <c r="B1527" s="3" t="inlineStr">
        <is>
          <t>Không thể sửa đơn</t>
        </is>
      </c>
      <c r="C1527" s="3" t="inlineStr">
        <is>
          <t>Unable to edit order</t>
        </is>
      </c>
      <c r="D1527" s="217">
        <f>IFERROR(__xludf.DUMMYFUNCTION("GOOGLETRANSLATE(C1527,""vi"",""km"")"),"មិនអាចកែសម្រួលការបញ្ជាទិញបានទេ")</f>
        <v/>
      </c>
      <c r="E1527" s="3" t="n"/>
      <c r="F1527" s="3" t="inlineStr">
        <is>
          <t>មិនអាចកែសម្រួលការបញ្ជាទិញបានទេ</t>
        </is>
      </c>
      <c r="G1527" s="3" t="n"/>
      <c r="H1527" s="217" t="inlineStr">
        <is>
          <t>"updateOrder.notEditOrder": "មិនអាចកែសម្រួលការបញ្ជាទិញបានទេ",</t>
        </is>
      </c>
      <c r="I1527" t="inlineStr">
        <is>
          <t>មិនអាចកែសម្រួលការបញ្ជាទិញបានទេ</t>
        </is>
      </c>
    </row>
    <row r="1528">
      <c r="A1528" s="3" t="inlineStr">
        <is>
          <t>updateOrder.notOrderRevenue</t>
        </is>
      </c>
      <c r="B1528" s="3" t="inlineStr">
        <is>
          <t>Đơn hàng chưa đươc nhập doanh thu!</t>
        </is>
      </c>
      <c r="C1528" s="3" t="inlineStr">
        <is>
          <t>Order revenue has not been recorded!</t>
        </is>
      </c>
      <c r="D1528" s="217">
        <f>IFERROR(__xludf.DUMMYFUNCTION("GOOGLETRANSLATE(C1528,""vi"",""km"")"),"ចំណូលពីការបញ្ជាទិញមិនទាន់ត្រូវបានកត់ត្រាទុកទេ!")</f>
        <v/>
      </c>
      <c r="E1528" s="3" t="n"/>
      <c r="F1528" s="3" t="inlineStr">
        <is>
          <t>ចំណូលពីការបញ្ជាទិញមិនទាន់ត្រូវបានកត់ត្រាទុកទេ!</t>
        </is>
      </c>
      <c r="G1528" s="3" t="n"/>
      <c r="H1528" s="217" t="inlineStr">
        <is>
          <t>"updateOrder.notOrderRevenue": "ចំណូលពីការបញ្ជាទិញមិនទាន់ត្រូវបានកត់ត្រាទុកទេ!",</t>
        </is>
      </c>
      <c r="I1528" t="inlineStr">
        <is>
          <t>ចំណូលពីការបញ្ជាទិញមិនទាន់ត្រូវបានកត់ត្រាទុកទេ!</t>
        </is>
      </c>
    </row>
    <row r="1529">
      <c r="A1529" s="3" t="inlineStr">
        <is>
          <t>updateOrder.orderAmount</t>
        </is>
      </c>
      <c r="B1529" s="3" t="inlineStr">
        <is>
          <t>Giá trị</t>
        </is>
      </c>
      <c r="C1529" s="3" t="inlineStr">
        <is>
          <t>Value</t>
        </is>
      </c>
      <c r="D1529" s="217">
        <f>IFERROR(__xludf.DUMMYFUNCTION("GOOGLETRANSLATE(C1529,""vi"",""km"")"),"តម្លៃ")</f>
        <v/>
      </c>
      <c r="E1529" s="3" t="n"/>
      <c r="F1529" s="3" t="inlineStr">
        <is>
          <t>តម្លៃ</t>
        </is>
      </c>
      <c r="G1529" s="3" t="n"/>
      <c r="H1529" s="217" t="inlineStr">
        <is>
          <t>"updateOrder.orderAmount": "តម្លៃ",</t>
        </is>
      </c>
      <c r="I1529" t="inlineStr">
        <is>
          <t>តម្លៃ</t>
        </is>
      </c>
    </row>
    <row r="1530">
      <c r="A1530" s="3" t="inlineStr">
        <is>
          <t>updateOrder.orderConvertWeight</t>
        </is>
      </c>
      <c r="B1530" s="3" t="inlineStr">
        <is>
          <t>Trọng lượng quy đổi</t>
        </is>
      </c>
      <c r="C1530" s="3" t="inlineStr">
        <is>
          <t>Volumetric weight</t>
        </is>
      </c>
      <c r="D1530" s="217">
        <f>IFERROR(__xludf.DUMMYFUNCTION("GOOGLETRANSLATE(C1530,""vi"",""km"")"),"ទម្ងន់បរិមាណ")</f>
        <v/>
      </c>
      <c r="E1530" s="3" t="n"/>
      <c r="F1530" s="3" t="inlineStr">
        <is>
          <t>ទម្ងន់បរិមាណ</t>
        </is>
      </c>
      <c r="G1530" s="3" t="n"/>
      <c r="H1530" s="217" t="inlineStr">
        <is>
          <t>"updateOrder.orderConvertWeight": "ទម្ងន់បរិមាណ",</t>
        </is>
      </c>
      <c r="I1530" t="inlineStr">
        <is>
          <t>ទម្ងន់បរិមាណ</t>
        </is>
      </c>
    </row>
    <row r="1531">
      <c r="A1531" s="3" t="inlineStr">
        <is>
          <t>updateOrder.orderName</t>
        </is>
      </c>
      <c r="B1531" s="3" t="inlineStr">
        <is>
          <t>Tên hàng hoá</t>
        </is>
      </c>
      <c r="C1531" s="3" t="inlineStr">
        <is>
          <t>Parcel name</t>
        </is>
      </c>
      <c r="D1531" s="217">
        <f>IFERROR(__xludf.DUMMYFUNCTION("GOOGLETRANSLATE(C1531,""vi"",""km"")"),"ឈ្មោះ​កញ្ចប់")</f>
        <v/>
      </c>
      <c r="E1531" s="3" t="n"/>
      <c r="F1531" s="3" t="inlineStr">
        <is>
          <t>ឈ្មោះកញ្ចប់</t>
        </is>
      </c>
      <c r="G1531" s="3" t="n"/>
      <c r="H1531" s="217" t="inlineStr">
        <is>
          <t>"updateOrder.orderName": "ឈ្មោះកញ្ចប់",</t>
        </is>
      </c>
      <c r="I1531" t="inlineStr">
        <is>
          <t>ឈ្មោះកញ្ចប់</t>
        </is>
      </c>
    </row>
    <row r="1532">
      <c r="A1532" s="3" t="inlineStr">
        <is>
          <t>updateOrder.orderNotFound</t>
        </is>
      </c>
      <c r="B1532" s="3" t="inlineStr">
        <is>
          <t>Không tìm thấy kết quả phù hợp!</t>
        </is>
      </c>
      <c r="C1532" s="3" t="inlineStr">
        <is>
          <t>No matching results found!</t>
        </is>
      </c>
      <c r="D1532" s="217">
        <f>IFERROR(__xludf.DUMMYFUNCTION("GOOGLETRANSLATE(C1532,""vi"",""km"")"),"រកមិនឃើញលទ្ធផលដែលត្រូវគ្នាទេ!")</f>
        <v/>
      </c>
      <c r="E1532" s="3" t="n"/>
      <c r="F1532" s="3" t="inlineStr">
        <is>
          <t>រកមិនឃើញលទ្ធផលដែលត្រូវគ្នាទេ!</t>
        </is>
      </c>
      <c r="G1532" s="3" t="n"/>
      <c r="H1532" s="217" t="inlineStr">
        <is>
          <t>"updateOrder.orderNotFound": "រកមិនឃើញលទ្ធផលដែលត្រូវគ្នាទេ!",</t>
        </is>
      </c>
      <c r="I1532" t="inlineStr">
        <is>
          <t>រកមិនឃើញលទ្ធផលដែលត្រូវគ្នាទេ!</t>
        </is>
      </c>
    </row>
    <row r="1533">
      <c r="A1533" s="3" t="inlineStr">
        <is>
          <t>updateOrder.orderSize</t>
        </is>
      </c>
      <c r="B1533" s="3" t="inlineStr">
        <is>
          <t>Kích thước hàng hoá</t>
        </is>
      </c>
      <c r="C1533" s="3" t="inlineStr">
        <is>
          <t>Parcel dimensions</t>
        </is>
      </c>
      <c r="D1533" s="217">
        <f>IFERROR(__xludf.DUMMYFUNCTION("GOOGLETRANSLATE(C1533,""vi"",""km"")"),"កៅអី​សម្រាប់​ដឹក​ជញ្ជូន")</f>
        <v/>
      </c>
      <c r="E1533" s="3" t="n"/>
      <c r="F1533" s="3" t="inlineStr">
        <is>
          <t>កៅអីសម្រាប់ដឹកជញ្ជូន</t>
        </is>
      </c>
      <c r="G1533" s="3" t="n"/>
      <c r="H1533" s="217" t="inlineStr">
        <is>
          <t>"updateOrder.orderSize": "កៅអីសម្រាប់ដឹកជញ្ជូន",</t>
        </is>
      </c>
      <c r="I1533" t="inlineStr">
        <is>
          <t>កៅអីសម្រាប់ដឹកជញ្ជូន</t>
        </is>
      </c>
    </row>
    <row r="1534">
      <c r="A1534" s="3" t="inlineStr">
        <is>
          <t>updateOrder.orderType</t>
        </is>
      </c>
      <c r="B1534" s="3" t="inlineStr">
        <is>
          <t>Loại hàng hoá</t>
        </is>
      </c>
      <c r="C1534" s="3" t="inlineStr">
        <is>
          <t>Parcel type</t>
        </is>
      </c>
      <c r="D1534" s="217">
        <f>IFERROR(__xludf.DUMMYFUNCTION("GOOGLETRANSLATE(C1534,""vi"",""km"")"),"ប្រភេទ​កញ្ចប់")</f>
        <v/>
      </c>
      <c r="E1534" s="3" t="n"/>
      <c r="F1534" s="3" t="inlineStr">
        <is>
          <t>ប្រភេទកញ្ចប់</t>
        </is>
      </c>
      <c r="G1534" s="3" t="n"/>
      <c r="H1534" s="217" t="inlineStr">
        <is>
          <t>"updateOrder.orderType": "ប្រភេទកញ្ចប់",</t>
        </is>
      </c>
      <c r="I1534" t="inlineStr">
        <is>
          <t>ប្រភេទកញ្ចប់</t>
        </is>
      </c>
    </row>
    <row r="1535">
      <c r="A1535" s="3" t="inlineStr">
        <is>
          <t>updateOrder.orderWeight</t>
        </is>
      </c>
      <c r="B1535" s="3" t="inlineStr">
        <is>
          <t>Khối lượng</t>
        </is>
      </c>
      <c r="C1535" s="3" t="inlineStr">
        <is>
          <t>Weight</t>
        </is>
      </c>
      <c r="D1535" s="217">
        <f>IFERROR(__xludf.DUMMYFUNCTION("GOOGLETRANSLATE(C1535,""vi"",""km"")"),"ទម្ងន់")</f>
        <v/>
      </c>
      <c r="E1535" s="3" t="n"/>
      <c r="F1535" s="3" t="inlineStr">
        <is>
          <t>ទម្ងន់</t>
        </is>
      </c>
      <c r="G1535" s="3" t="n"/>
      <c r="H1535" s="217" t="inlineStr">
        <is>
          <t>"updateOrder.orderWeight": "ទម្ងន់",</t>
        </is>
      </c>
      <c r="I1535" t="inlineStr">
        <is>
          <t>ទម្ងន់</t>
        </is>
      </c>
    </row>
    <row r="1536">
      <c r="A1536" s="3" t="inlineStr">
        <is>
          <t>updateOrder.parcel</t>
        </is>
      </c>
      <c r="B1536" s="3" t="inlineStr">
        <is>
          <t>Hàng hoá</t>
        </is>
      </c>
      <c r="C1536" s="3" t="inlineStr">
        <is>
          <t>Parcel / Goods</t>
        </is>
      </c>
      <c r="D1536" s="217">
        <f>IFERROR(__xludf.DUMMYFUNCTION("GOOGLETRANSLATE(C1536,""vi"",""km"")"),"កញ្ចប់/ទំនិញ")</f>
        <v/>
      </c>
      <c r="E1536" s="3" t="n"/>
      <c r="F1536" s="3" t="inlineStr">
        <is>
          <t>កញ្ចប់/ទំនិញ</t>
        </is>
      </c>
      <c r="G1536" s="3" t="n"/>
      <c r="H1536" s="217" t="inlineStr">
        <is>
          <t>"updateOrder.parcel": "កញ្ចប់/ទំនិញ",</t>
        </is>
      </c>
      <c r="I1536" t="inlineStr">
        <is>
          <t>កញ្ចប់/ទំនិញ</t>
        </is>
      </c>
    </row>
    <row r="1537">
      <c r="A1537" s="3" t="inlineStr">
        <is>
          <t>updateOrder.parcelInfo</t>
        </is>
      </c>
      <c r="B1537" s="3" t="inlineStr">
        <is>
          <t>Thông tin hàng hoá</t>
        </is>
      </c>
      <c r="C1537" s="3" t="inlineStr">
        <is>
          <t>Parcel information</t>
        </is>
      </c>
      <c r="D1537" s="217">
        <f>IFERROR(__xludf.DUMMYFUNCTION("GOOGLETRANSLATE(C1537,""vi"",""km"")"),"ព័ត៌មាន​អំពី​កញ្ចប់")</f>
        <v/>
      </c>
      <c r="E1537" s="3" t="n"/>
      <c r="F1537" s="3" t="inlineStr">
        <is>
          <t>ព័ត៌មានអំពីកញ្ចប់</t>
        </is>
      </c>
      <c r="G1537" s="3" t="n"/>
      <c r="H1537" s="217" t="inlineStr">
        <is>
          <t>"updateOrder.parcelInfo": "ព័ត៌មានអំពីកញ្ចប់",</t>
        </is>
      </c>
      <c r="I1537" t="inlineStr">
        <is>
          <t>ព័ត៌មានអំពីកញ្ចប់</t>
        </is>
      </c>
    </row>
    <row r="1538">
      <c r="A1538" s="3" t="inlineStr">
        <is>
          <t>updateOrder.reasonOtherError</t>
        </is>
      </c>
      <c r="B1538" s="3" t="inlineStr">
        <is>
          <t>Vui lòng nhập lý do khác</t>
        </is>
      </c>
      <c r="C1538" s="3" t="inlineStr">
        <is>
          <t>Please enter another reason</t>
        </is>
      </c>
      <c r="D1538" s="217">
        <f>IFERROR(__xludf.DUMMYFUNCTION("GOOGLETRANSLATE(C1538,""vi"",""km"")"),"សូមបញ្ចូលហេតុផលផ្សេងទៀត")</f>
        <v/>
      </c>
      <c r="E1538" s="3" t="n"/>
      <c r="F1538" s="3" t="inlineStr">
        <is>
          <t>សូមបញ្ចូលហេតុផលផ្សេងទៀត</t>
        </is>
      </c>
      <c r="G1538" s="3" t="n"/>
      <c r="H1538" s="217" t="inlineStr">
        <is>
          <t>"updateOrder.reasonOtherError": "សូមបញ្ចូលហេតុផលផ្សេងទៀត",</t>
        </is>
      </c>
      <c r="I1538" t="inlineStr">
        <is>
          <t>សូមបញ្ចូលហេតុផលផ្សេងទៀត</t>
        </is>
      </c>
    </row>
    <row r="1539">
      <c r="A1539" s="3" t="inlineStr">
        <is>
          <t>updateOrder.reasonRequired</t>
        </is>
      </c>
      <c r="B1539" s="3" t="inlineStr">
        <is>
          <t>Vui lòng chọn lý do huỷ đơn</t>
        </is>
      </c>
      <c r="C1539" s="3" t="inlineStr">
        <is>
          <t>Please select a cancellation reason</t>
        </is>
      </c>
      <c r="D1539" s="217">
        <f>IFERROR(__xludf.DUMMYFUNCTION("GOOGLETRANSLATE(C1539,""vi"",""km"")"),"សូមជ្រើសរើសមូលហេតុនៃការលុបចោល")</f>
        <v/>
      </c>
      <c r="E1539" s="3" t="n"/>
      <c r="F1539" s="3" t="inlineStr">
        <is>
          <t>សូមជ្រើសរើសមូលហេតុនៃការលុបចោល</t>
        </is>
      </c>
      <c r="G1539" s="3" t="n"/>
      <c r="H1539" s="217" t="inlineStr">
        <is>
          <t>"updateOrder.reasonRequired": "សូមជ្រើសរើសមូលហេតុនៃការលុបចោល",</t>
        </is>
      </c>
      <c r="I1539" t="inlineStr">
        <is>
          <t>សូមជ្រើសរើសមូលហេតុនៃការលុបចោល</t>
        </is>
      </c>
    </row>
    <row r="1540">
      <c r="A1540" s="3" t="inlineStr">
        <is>
          <t>updateOrder.reasonTitle</t>
        </is>
      </c>
      <c r="B1540" s="3" t="inlineStr">
        <is>
          <t>Lý do hủy đơn</t>
        </is>
      </c>
      <c r="C1540" s="3" t="inlineStr">
        <is>
          <t>Cancellation reason</t>
        </is>
      </c>
      <c r="D1540" s="217">
        <f>IFERROR(__xludf.DUMMYFUNCTION("GOOGLETRANSLATE(C1540,""vi"",""km"")"),"មូលហេតុនៃការលុបចោល")</f>
        <v/>
      </c>
      <c r="E1540" s="3" t="n"/>
      <c r="F1540" s="3" t="inlineStr">
        <is>
          <t>មូលហេតុនៃការលុបចោល</t>
        </is>
      </c>
      <c r="G1540" s="3" t="n"/>
      <c r="H1540" s="217" t="inlineStr">
        <is>
          <t>"updateOrder.reasonTitle": "មូលហេតុនៃការលុបចោល",</t>
        </is>
      </c>
      <c r="I1540" t="inlineStr">
        <is>
          <t>មូលហេតុនៃការលុបចោល</t>
        </is>
      </c>
    </row>
    <row r="1541">
      <c r="A1541" s="3" t="inlineStr">
        <is>
          <t>updateOrder.searchPlaceholder</t>
        </is>
      </c>
      <c r="B1541" s="3" t="inlineStr">
        <is>
          <t>Nhập mã đơn hàng</t>
        </is>
      </c>
      <c r="C1541" s="3" t="inlineStr">
        <is>
          <t>Enter order code</t>
        </is>
      </c>
      <c r="D1541" s="217">
        <f>IFERROR(__xludf.DUMMYFUNCTION("GOOGLETRANSLATE(C1541,""vi"",""km"")"),"បញ្ចូលលេខកូដបញ្ជាទិញ")</f>
        <v/>
      </c>
      <c r="E1541" s="3" t="n"/>
      <c r="F1541" s="3" t="inlineStr">
        <is>
          <t>បញ្ចូលលេខកូដបញ្ជាទិញ</t>
        </is>
      </c>
      <c r="G1541" s="3" t="n"/>
      <c r="H1541" s="217" t="inlineStr">
        <is>
          <t>"updateOrder.searchPlaceholder": "បញ្ចូលលេខកូដបញ្ជាទិញ",</t>
        </is>
      </c>
      <c r="I1541" t="inlineStr">
        <is>
          <t>បញ្ចូលលេខកូដបញ្ជាទិញ</t>
        </is>
      </c>
    </row>
    <row r="1542">
      <c r="A1542" s="3" t="inlineStr">
        <is>
          <t>updateOrder.sender</t>
        </is>
      </c>
      <c r="B1542" s="3" t="inlineStr">
        <is>
          <t>Người gửi</t>
        </is>
      </c>
      <c r="C1542" s="3" t="inlineStr">
        <is>
          <t>Sender</t>
        </is>
      </c>
      <c r="D1542" s="217">
        <f>IFERROR(__xludf.DUMMYFUNCTION("GOOGLETRANSLATE(C1542,""vi"",""km"")"),"អ្នកផ្ញើ")</f>
        <v/>
      </c>
      <c r="E1542" s="3" t="n"/>
      <c r="F1542" s="3" t="inlineStr">
        <is>
          <t>អ្នកផ្ញើ</t>
        </is>
      </c>
      <c r="G1542" s="3" t="n"/>
      <c r="H1542" s="217" t="inlineStr">
        <is>
          <t>"updateOrder.sender": "អ្នកផ្ញើ",</t>
        </is>
      </c>
      <c r="I1542" t="inlineStr">
        <is>
          <t>អ្នកផ្ញើ</t>
        </is>
      </c>
    </row>
    <row r="1543">
      <c r="A1543" s="3" t="inlineStr">
        <is>
          <t>updateOrder.senderReceiverInfo</t>
        </is>
      </c>
      <c r="B1543" s="3" t="inlineStr">
        <is>
          <t>Thông tin gửi nhận</t>
        </is>
      </c>
      <c r="C1543" s="3" t="inlineStr">
        <is>
          <t>Sender and receiver information</t>
        </is>
      </c>
      <c r="D1543" s="217">
        <f>IFERROR(__xludf.DUMMYFUNCTION("GOOGLETRANSLATE(C1543,""vi"",""km"")"),"ព័ត៌មានអ្នកផ្ញើ និងអ្នកទទួល")</f>
        <v/>
      </c>
      <c r="E1543" s="3" t="n"/>
      <c r="F1543" s="3" t="inlineStr">
        <is>
          <t>ព័ត៌មានអ្នកផ្ញើ និងអ្នកទទួល</t>
        </is>
      </c>
      <c r="G1543" s="3" t="n"/>
      <c r="H1543" s="217" t="inlineStr">
        <is>
          <t>"updateOrder.senderReceiverInfo": "ព័ត៌មានអ្នកផ្ញើ និងអ្នកទទួល",</t>
        </is>
      </c>
      <c r="I1543" t="inlineStr">
        <is>
          <t>ព័ត៌មានអ្នកផ្ញើ និងអ្នកទទួល</t>
        </is>
      </c>
    </row>
    <row r="1544">
      <c r="A1544" s="3" t="inlineStr">
        <is>
          <t>updateOrder.service</t>
        </is>
      </c>
      <c r="B1544" s="3" t="inlineStr">
        <is>
          <t>Dịch vụ</t>
        </is>
      </c>
      <c r="C1544" s="3" t="inlineStr">
        <is>
          <t>Service</t>
        </is>
      </c>
      <c r="D1544" s="217">
        <f>IFERROR(__xludf.DUMMYFUNCTION("GOOGLETRANSLATE(C1544,""vi"",""km"")"),"សេវាកម្ម")</f>
        <v/>
      </c>
      <c r="E1544" s="3" t="n"/>
      <c r="F1544" s="3" t="inlineStr">
        <is>
          <t>សេវាកម្ម</t>
        </is>
      </c>
      <c r="G1544" s="3" t="n"/>
      <c r="H1544" s="217" t="inlineStr">
        <is>
          <t>"updateOrder.service": "សេវាកម្ម",</t>
        </is>
      </c>
      <c r="I1544" t="inlineStr">
        <is>
          <t>សេវាកម្ម</t>
        </is>
      </c>
    </row>
    <row r="1545">
      <c r="A1545" s="3" t="inlineStr">
        <is>
          <t>updateOrder.shippingDate</t>
        </is>
      </c>
      <c r="B1545" s="3" t="inlineStr">
        <is>
          <t>Ngày gửi</t>
        </is>
      </c>
      <c r="C1545" s="3" t="inlineStr">
        <is>
          <t>Shipping date</t>
        </is>
      </c>
      <c r="D1545" s="217">
        <f>IFERROR(__xludf.DUMMYFUNCTION("GOOGLETRANSLATE(C1545,""vi"",""km"")"),"ហាងលក់អាហារសមុទ្រ")</f>
        <v/>
      </c>
      <c r="E1545" s="3" t="n"/>
      <c r="F1545" s="3" t="inlineStr">
        <is>
          <t>កាលបរិច្ឆេទផ្ញើ</t>
        </is>
      </c>
      <c r="G1545" s="3" t="n"/>
      <c r="H1545" s="217" t="inlineStr">
        <is>
          <t>"updateOrder.shippingDate": "កាលបរិច្ឆេទផ្ញើ",</t>
        </is>
      </c>
      <c r="I1545" t="inlineStr">
        <is>
          <t>កាលបរិច្ឆេទផ្ញើ</t>
        </is>
      </c>
    </row>
    <row r="1546">
      <c r="A1546" s="3" t="inlineStr">
        <is>
          <t>updateOrder.shippingFee</t>
        </is>
      </c>
      <c r="B1546" s="3" t="inlineStr">
        <is>
          <t>Cước phí</t>
        </is>
      </c>
      <c r="C1546" s="3" t="inlineStr">
        <is>
          <t>Shipping fee</t>
        </is>
      </c>
      <c r="D1546" s="217">
        <f>IFERROR(__xludf.DUMMYFUNCTION("GOOGLETRANSLATE(C1546,""vi"",""km"")"),"ថ្លៃដឹកជញ្ជូន")</f>
        <v/>
      </c>
      <c r="E1546" s="3" t="n"/>
      <c r="F1546" s="3" t="inlineStr">
        <is>
          <t>ថ្លៃដឹកជញ្ជូន</t>
        </is>
      </c>
      <c r="G1546" s="3" t="n"/>
      <c r="H1546" s="217" t="inlineStr">
        <is>
          <t>"updateOrder.shippingFee": "ថ្លៃដឹកជញ្ជូន",</t>
        </is>
      </c>
      <c r="I1546" t="inlineStr">
        <is>
          <t>ថ្លៃដឹកជញ្ជូន</t>
        </is>
      </c>
    </row>
    <row r="1547">
      <c r="A1547" s="3" t="inlineStr">
        <is>
          <t>updateOrder.shippingNote</t>
        </is>
      </c>
      <c r="B1547" s="3" t="inlineStr">
        <is>
          <t>Phiếu gửi</t>
        </is>
      </c>
      <c r="C1547" s="3" t="inlineStr">
        <is>
          <t>Waybill</t>
        </is>
      </c>
      <c r="D1547" s="217">
        <f>IFERROR(__xludf.DUMMYFUNCTION("GOOGLETRANSLATE(C1547,""vi"",""km"")"),"វិក្កយបត្រ​ផ្លូវ")</f>
        <v/>
      </c>
      <c r="E1547" s="3" t="n"/>
      <c r="F1547" s="3" t="inlineStr">
        <is>
          <t>បុងបញ្ញើ</t>
        </is>
      </c>
      <c r="G1547" s="3" t="n"/>
      <c r="H1547" s="217" t="inlineStr">
        <is>
          <t>"updateOrder.shippingNote": "បុងបញ្ញើ",</t>
        </is>
      </c>
      <c r="I1547" t="inlineStr">
        <is>
          <t>បុងបញ្ញើ</t>
        </is>
      </c>
    </row>
    <row r="1548">
      <c r="A1548" s="3" t="inlineStr">
        <is>
          <t>updateOrder.status</t>
        </is>
      </c>
      <c r="B1548" s="3" t="inlineStr">
        <is>
          <t>Trạng thái</t>
        </is>
      </c>
      <c r="C1548" s="3" t="inlineStr">
        <is>
          <t>Status</t>
        </is>
      </c>
      <c r="D1548" s="217">
        <f>IFERROR(__xludf.DUMMYFUNCTION("GOOGLETRANSLATE(C1548,""vi"",""km"")"),"ស្ថានភាព")</f>
        <v/>
      </c>
      <c r="E1548" s="3" t="n"/>
      <c r="F1548" s="3" t="inlineStr">
        <is>
          <t>ស្ថានភាព</t>
        </is>
      </c>
      <c r="G1548" s="3" t="n"/>
      <c r="H1548" s="217" t="inlineStr">
        <is>
          <t>"updateOrder.status": "ស្ថានភាព",</t>
        </is>
      </c>
      <c r="I1548" t="inlineStr">
        <is>
          <t>ស្ថានភាព</t>
        </is>
      </c>
    </row>
    <row r="1549">
      <c r="A1549" s="3" t="inlineStr">
        <is>
          <t>updateOrder.totalAmount</t>
        </is>
      </c>
      <c r="B1549" s="3" t="inlineStr">
        <is>
          <t>Tổng tiền</t>
        </is>
      </c>
      <c r="C1549" s="3" t="inlineStr">
        <is>
          <t>Total amount</t>
        </is>
      </c>
      <c r="D1549" s="217">
        <f>IFERROR(__xludf.DUMMYFUNCTION("GOOGLETRANSLATE(C1549,""vi"",""km"")"),"ចំនួនទឹកប្រាក់សរុប")</f>
        <v/>
      </c>
      <c r="E1549" s="3" t="n"/>
      <c r="F1549" s="3" t="inlineStr">
        <is>
          <t>ចំនួនទឹកប្រាក់សរុប</t>
        </is>
      </c>
      <c r="G1549" s="3" t="n"/>
      <c r="H1549" s="217" t="inlineStr">
        <is>
          <t>"updateOrder.totalAmount": "ចំនួនទឹកប្រាក់សរុប",</t>
        </is>
      </c>
      <c r="I1549" t="inlineStr">
        <is>
          <t>ចំនួនទឹកប្រាក់សរុប</t>
        </is>
      </c>
    </row>
    <row r="1550">
      <c r="A1550" s="3" t="inlineStr">
        <is>
          <t>updateOrder.totalAmountUnit</t>
        </is>
      </c>
      <c r="B1550" s="3" t="inlineStr">
        <is>
          <t>Tổng tiền ({{money_unit}})</t>
        </is>
      </c>
      <c r="C1550" s="3" t="inlineStr">
        <is>
          <t>Total Amount ({{money_unit}})</t>
        </is>
      </c>
      <c r="D1550" s="217">
        <f>IFERROR(__xludf.DUMMYFUNCTION("GOOGLETRANSLATE(C1550,""vi"",""km"")"),"ចំនួនទឹកប្រាក់សរុប ({{money_unit}})")</f>
        <v/>
      </c>
      <c r="E1550" s="3" t="n"/>
      <c r="F1550" s="3" t="inlineStr">
        <is>
          <t>ចំនួនទឹកប្រាក់សរុប ({{money_unit}})</t>
        </is>
      </c>
      <c r="G1550" s="3" t="n"/>
      <c r="H1550" s="217" t="inlineStr">
        <is>
          <t>"updateOrder.totalAmountUnit": "ចំនួនទឹកប្រាក់សរុប ({{money_unit}})",</t>
        </is>
      </c>
      <c r="I1550" t="inlineStr">
        <is>
          <t>ចំនួនទឹកប្រាក់សរុប ({{money_unit}})</t>
        </is>
      </c>
    </row>
    <row r="1551">
      <c r="A1551" s="3" t="inlineStr">
        <is>
          <t>updateOrder.totalLabel</t>
        </is>
      </c>
      <c r="B1551" s="3" t="inlineStr">
        <is>
          <t>Tổng tiền hiện tại ({{unit}})</t>
        </is>
      </c>
      <c r="C1551" s="3" t="inlineStr">
        <is>
          <t>Current total amount ({{unit}})</t>
        </is>
      </c>
      <c r="D1551" s="217">
        <f>IFERROR(__xludf.DUMMYFUNCTION("GOOGLETRANSLATE(C1551,""vi"",""km"")"),"ចំនួនទឹកប្រាក់សរុបបច្ចុប្បន្ន ({{unit}})")</f>
        <v/>
      </c>
      <c r="E1551" s="3" t="n"/>
      <c r="F1551" s="3" t="inlineStr">
        <is>
          <t>ចំនួនទឹកប្រាក់សរុបបច្ចុប្បន្ន ({{unit}})</t>
        </is>
      </c>
      <c r="G1551" s="3" t="n"/>
      <c r="H1551" s="217" t="inlineStr">
        <is>
          <t>"updateOrder.totalLabel": "ចំនួនទឹកប្រាក់សរុបបច្ចុប្បន្ន ({{unit}})",</t>
        </is>
      </c>
      <c r="I1551" t="inlineStr">
        <is>
          <t>ចំនួនទឹកប្រាក់សរុបបច្ចុប្បន្ន ({{unit}})</t>
        </is>
      </c>
    </row>
    <row r="1552">
      <c r="A1552" s="3" t="inlineStr">
        <is>
          <t>updateOrder.totalShippingFee</t>
        </is>
      </c>
      <c r="B1552" s="3" t="inlineStr">
        <is>
          <t>Tổng cước</t>
        </is>
      </c>
      <c r="C1552" s="3" t="inlineStr">
        <is>
          <t>Total shipping fee</t>
        </is>
      </c>
      <c r="D1552" s="217">
        <f>IFERROR(__xludf.DUMMYFUNCTION("GOOGLETRANSLATE(C1552,""vi"",""km"")"),"ថ្លៃដឹកជញ្ជូនសរុប")</f>
        <v/>
      </c>
      <c r="E1552" s="3" t="n"/>
      <c r="F1552" s="3" t="inlineStr">
        <is>
          <t>ថ្លៃដឹកជញ្ជូនសរុប</t>
        </is>
      </c>
      <c r="G1552" s="3" t="n"/>
      <c r="H1552" s="217" t="inlineStr">
        <is>
          <t>"updateOrder.totalShippingFee": "ថ្លៃដឹកជញ្ជូនសរុប",</t>
        </is>
      </c>
      <c r="I1552" t="inlineStr">
        <is>
          <t>ថ្លៃដឹកជញ្ជូនសរុប</t>
        </is>
      </c>
    </row>
    <row r="1553">
      <c r="A1553" s="3" t="inlineStr">
        <is>
          <t>updateOrder.update</t>
        </is>
      </c>
      <c r="B1553" s="3" t="inlineStr">
        <is>
          <t>Chỉnh sửa</t>
        </is>
      </c>
      <c r="C1553" s="3" t="inlineStr">
        <is>
          <t>Edit</t>
        </is>
      </c>
      <c r="D1553" s="217">
        <f>IFERROR(__xludf.DUMMYFUNCTION("GOOGLETRANSLATE(C1553,""vi"",""km"")"),"កែសម្រួល")</f>
        <v/>
      </c>
      <c r="E1553" s="3" t="n"/>
      <c r="F1553" s="3" t="inlineStr">
        <is>
          <t>កែសម្រួល</t>
        </is>
      </c>
      <c r="G1553" s="3" t="n"/>
      <c r="H1553" s="217" t="inlineStr">
        <is>
          <t>"updateOrder.update": "កែសម្រួល",</t>
        </is>
      </c>
      <c r="I1553" t="inlineStr">
        <is>
          <t>កែសម្រួល</t>
        </is>
      </c>
    </row>
    <row r="1554">
      <c r="A1554" s="3" t="inlineStr">
        <is>
          <t>updateOrder.updateConfirm</t>
        </is>
      </c>
      <c r="B1554" s="3" t="inlineStr">
        <is>
          <t>Cập nhật sửa đổi</t>
        </is>
      </c>
      <c r="C1554" s="3" t="inlineStr">
        <is>
          <t>Update changes</t>
        </is>
      </c>
      <c r="D1554" s="217">
        <f>IFERROR(__xludf.DUMMYFUNCTION("GOOGLETRANSLATE(C1554,""vi"",""km"")"),"ធ្វើបច្ចុប្បន្នភាពការផ្លាស់ប្តូរ")</f>
        <v/>
      </c>
      <c r="E1554" s="3" t="n"/>
      <c r="F1554" s="3" t="inlineStr">
        <is>
          <t>ធ្វើបច្ចុប្បន្នភាពការផ្លាស់ប្តូរ</t>
        </is>
      </c>
      <c r="G1554" s="3" t="n"/>
      <c r="H1554" s="217" t="inlineStr">
        <is>
          <t>"updateOrder.updateConfirm": "ធ្វើបច្ចុប្បន្នភាពការផ្លាស់ប្តូរ",</t>
        </is>
      </c>
      <c r="I1554" t="inlineStr">
        <is>
          <t>ធ្វើបច្ចុប្បន្នភាពការផ្លាស់ប្តូរ</t>
        </is>
      </c>
    </row>
    <row r="1555">
      <c r="A1555" s="3" t="inlineStr">
        <is>
          <t>updateOrder.updateEmptyNotice</t>
        </is>
      </c>
      <c r="B1555" s="3" t="inlineStr">
        <is>
          <t>Vui lòng nhập mã đơn hàng để tìm kiếm đơn cần sửa!</t>
        </is>
      </c>
      <c r="C1555" s="3" t="inlineStr">
        <is>
          <t>Please enter the Order ID to search for the order!</t>
        </is>
      </c>
      <c r="D1555" s="217">
        <f>IFERROR(__xludf.DUMMYFUNCTION("GOOGLETRANSLATE(C1555,""vi"",""km"")"),"សូមបញ្ចូលលេខសម្គាល់ការបញ្ជាទិញ ដើម្បីស្វែងរកការបញ្ជាទិញ!")</f>
        <v/>
      </c>
      <c r="E1555" s="3" t="n"/>
      <c r="F1555" s="3" t="inlineStr">
        <is>
          <t>សូមបញ្ចូលលេខសម្គាល់ការបញ្ជាទិញ ដើម្បីស្វែងរកការបញ្ជាទិញ!</t>
        </is>
      </c>
      <c r="G1555" s="3" t="n"/>
      <c r="H1555" s="217" t="inlineStr">
        <is>
          <t>"updateOrder.updateEmptyNotice": "សូមបញ្ចូលលេខសម្គាល់ការបញ្ជាទិញ ដើម្បីស្វែងរកការបញ្ជាទិញ!",</t>
        </is>
      </c>
      <c r="I1555" t="inlineStr">
        <is>
          <t>សូមបញ្ចូលលេខសម្គាល់ការបញ្ជាទិញ ដើម្បីស្វែងរកការបញ្ជាទិញ!</t>
        </is>
      </c>
    </row>
    <row r="1556">
      <c r="A1556" s="3" t="inlineStr">
        <is>
          <t>updateOrder.variablePricing</t>
        </is>
      </c>
      <c r="B1556" s="3" t="inlineStr">
        <is>
          <t>Tính giá thay đổi</t>
        </is>
      </c>
      <c r="C1556" s="3" t="inlineStr">
        <is>
          <t>Recalculate pricing</t>
        </is>
      </c>
      <c r="D1556" s="217">
        <f>IFERROR(__xludf.DUMMYFUNCTION("GOOGLETRANSLATE(C1556,""vi"",""km"")"),"តម្លៃដែលបានគណនាឡើងវិញ")</f>
        <v/>
      </c>
      <c r="E1556" s="3" t="n"/>
      <c r="F1556" s="3" t="inlineStr">
        <is>
          <t>តម្លៃដែលបានគណនាឡើងវិញ</t>
        </is>
      </c>
      <c r="G1556" s="3" t="n"/>
      <c r="H1556" s="217" t="inlineStr">
        <is>
          <t>"updateOrder.variablePricing": "តម្លៃដែលបានគណនាឡើងវិញ",</t>
        </is>
      </c>
      <c r="I1556" t="inlineStr">
        <is>
          <t>តម្លៃដែលបានគណនាឡើងវិញ</t>
        </is>
      </c>
    </row>
    <row r="1557">
      <c r="A1557" s="3" t="inlineStr">
        <is>
          <t>updateOrder.vatAmount</t>
        </is>
      </c>
      <c r="B1557" s="3" t="inlineStr">
        <is>
          <t>Tiền VAT</t>
        </is>
      </c>
      <c r="C1557" s="3" t="inlineStr">
        <is>
          <t>VAT amount</t>
        </is>
      </c>
      <c r="D1557" s="217">
        <f>IFERROR(__xludf.DUMMYFUNCTION("GOOGLETRANSLATE(C1557,""vi"",""km"")"),"ចំនួនទឹកប្រាក់អាករលើតម្លៃបន្ថែម")</f>
        <v/>
      </c>
      <c r="E1557" s="3" t="n"/>
      <c r="F1557" s="3" t="inlineStr">
        <is>
          <t>ចំនួនទឹកប្រាក់អាករលើតម្លៃបន្ថែម</t>
        </is>
      </c>
      <c r="G1557" s="3" t="n"/>
      <c r="H1557" s="217" t="inlineStr">
        <is>
          <t>"updateOrder.vatAmount": "ចំនួនទឹកប្រាក់អាករលើតម្លៃបន្ថែម",</t>
        </is>
      </c>
      <c r="I1557" t="inlineStr">
        <is>
          <t>ចំនួនទឹកប្រាក់អាករលើតម្លៃបន្ថែម</t>
        </is>
      </c>
    </row>
    <row r="1558">
      <c r="A1558" s="3" t="inlineStr">
        <is>
          <t>updateOrder.vatRate</t>
        </is>
      </c>
      <c r="B1558" s="3" t="inlineStr">
        <is>
          <t>VAT ({{percent}})</t>
        </is>
      </c>
      <c r="C1558" s="3" t="inlineStr">
        <is>
          <t>VAT ({{percent}})</t>
        </is>
      </c>
      <c r="D1558" s="217">
        <f>IFERROR(__xludf.DUMMYFUNCTION("GOOGLETRANSLATE(C1558,""vi"",""km"")"),"អាករលើតម្លៃបន្ថែម (ភាគរយ)")</f>
        <v/>
      </c>
      <c r="E1558" s="3" t="n"/>
      <c r="F1558" s="3" t="inlineStr">
        <is>
          <t>អាករលើតម្លៃបន្ថែម (ភាគរយ)</t>
        </is>
      </c>
      <c r="G1558" s="3" t="n"/>
      <c r="H1558" s="217" t="inlineStr">
        <is>
          <t>"updateOrder.vatRate": "អាករលើតម្លៃបន្ថែម (ភាគរយ)",</t>
        </is>
      </c>
      <c r="I1558" t="inlineStr">
        <is>
          <t>អាករលើតម្លៃបន្ថែម (ភាគរយ)</t>
        </is>
      </c>
    </row>
    <row r="1559">
      <c r="A1559" s="3" t="inlineStr">
        <is>
          <t>updateOrder.weight</t>
        </is>
      </c>
      <c r="B1559" s="3" t="inlineStr">
        <is>
          <t>Trọng lượng ({{unit}})</t>
        </is>
      </c>
      <c r="C1559" s="3" t="inlineStr">
        <is>
          <t>Weight ({{unit}})</t>
        </is>
      </c>
      <c r="D1559" s="217">
        <f>IFERROR(__xludf.DUMMYFUNCTION("GOOGLETRANSLATE(C1559,""vi"",""km"")"),"ទម្ងន់ ({{unit}})")</f>
        <v/>
      </c>
      <c r="E1559" s="3" t="n"/>
      <c r="F1559" s="3" t="inlineStr">
        <is>
          <t>ទម្ងន់ ({{unit}})</t>
        </is>
      </c>
      <c r="G1559" s="3" t="n"/>
      <c r="H1559" s="217" t="inlineStr">
        <is>
          <t>"updateOrder.weight": "ទម្ងន់ ({{unit}})",</t>
        </is>
      </c>
      <c r="I1559" t="inlineStr">
        <is>
          <t>ទម្ងន់ ({{unit}})</t>
        </is>
      </c>
    </row>
    <row r="1560">
      <c r="A1560" s="3" t="inlineStr">
        <is>
          <t>userManagement.addAll</t>
        </is>
      </c>
      <c r="B1560" s="3" t="inlineStr">
        <is>
          <t>Thêm tất cả</t>
        </is>
      </c>
      <c r="C1560" s="3" t="inlineStr">
        <is>
          <t>Add all</t>
        </is>
      </c>
      <c r="D1560" s="217">
        <f>IFERROR(__xludf.DUMMYFUNCTION("GOOGLETRANSLATE(C1560,""vi"",""km"")"),"បន្ថែមទាំងអស់")</f>
        <v/>
      </c>
      <c r="E1560" s="3" t="n"/>
      <c r="F1560" s="3" t="inlineStr">
        <is>
          <t>បន្ថែមទាំងអស់</t>
        </is>
      </c>
      <c r="G1560" s="3" t="n"/>
      <c r="H1560" s="217" t="inlineStr">
        <is>
          <t>"userManagement.addAll": "បន្ថែមទាំងអស់",</t>
        </is>
      </c>
      <c r="I1560" t="inlineStr">
        <is>
          <t>បន្ថែមទាំងអស់</t>
        </is>
      </c>
    </row>
    <row r="1561">
      <c r="A1561" s="3" t="inlineStr">
        <is>
          <t>userManagement.historyDepartment</t>
        </is>
      </c>
      <c r="B1561" s="3" t="inlineStr">
        <is>
          <t>Lịch sử đơn vị</t>
        </is>
      </c>
      <c r="C1561" s="3" t="inlineStr">
        <is>
          <t>Department history</t>
        </is>
      </c>
      <c r="D1561" s="217">
        <f>IFERROR(__xludf.DUMMYFUNCTION("GOOGLETRANSLATE(C1561,""vi"",""km"")"),"នាយកដ្ឋាន")</f>
        <v/>
      </c>
      <c r="E1561" s="3" t="n"/>
      <c r="F1561" s="3" t="inlineStr">
        <is>
          <t>នាយកដ្ឋាន</t>
        </is>
      </c>
      <c r="G1561" s="3" t="n"/>
      <c r="H1561" s="217" t="inlineStr">
        <is>
          <t>"userManagement.historyDepartment": "នាយកដ្ឋាន",</t>
        </is>
      </c>
      <c r="I1561" t="inlineStr">
        <is>
          <t>នាយកដ្ឋាន</t>
        </is>
      </c>
    </row>
    <row r="1562">
      <c r="A1562" s="3" t="inlineStr">
        <is>
          <t>userManagement.listDepartment</t>
        </is>
      </c>
      <c r="B1562" s="3" t="inlineStr">
        <is>
          <t>Danh sách đơn vị</t>
        </is>
      </c>
      <c r="C1562" s="3" t="inlineStr">
        <is>
          <t>List of department</t>
        </is>
      </c>
      <c r="D1562" s="217">
        <f>IFERROR(__xludf.DUMMYFUNCTION("GOOGLETRANSLATE(C1562,""vi"",""km"")"),"បញ្ជី​នាយកដ្ឋាន")</f>
        <v/>
      </c>
      <c r="E1562" s="3" t="n"/>
      <c r="F1562" s="3" t="inlineStr">
        <is>
          <t>បញ្ជីនាយកដ្ឋាន</t>
        </is>
      </c>
      <c r="G1562" s="3" t="n"/>
      <c r="H1562" s="217" t="inlineStr">
        <is>
          <t>"userManagement.listDepartment": "បញ្ជីនាយកដ្ឋាន",</t>
        </is>
      </c>
      <c r="I1562" t="inlineStr">
        <is>
          <t>បញ្ជីនាយកដ្ឋាន</t>
        </is>
      </c>
    </row>
    <row r="1563">
      <c r="A1563" s="3" t="inlineStr">
        <is>
          <t>userManagement.listUser</t>
        </is>
      </c>
      <c r="B1563" s="3" t="inlineStr">
        <is>
          <t>Quản lý người dùng</t>
        </is>
      </c>
      <c r="C1563" s="3" t="inlineStr">
        <is>
          <t>User management</t>
        </is>
      </c>
      <c r="D1563" s="217">
        <f>IFERROR(__xludf.DUMMYFUNCTION("GOOGLETRANSLATE(C1563,""vi"",""km"")"),"ការថែរក្សាស្បែករបស់អ្នកប្រើប្រាស់")</f>
        <v/>
      </c>
      <c r="E1563" s="3" t="n"/>
      <c r="F1563" s="3" t="inlineStr">
        <is>
          <t>ការថែរក្សាស្បែករបស់អ្នកប្រើប្រាស់</t>
        </is>
      </c>
      <c r="G1563" s="3" t="n"/>
      <c r="H1563" s="217" t="inlineStr">
        <is>
          <t>"userManagement.listUser": "ការថែរក្សាស្បែករបស់អ្នកប្រើប្រាស់",</t>
        </is>
      </c>
      <c r="I1563" t="inlineStr">
        <is>
          <t>ការថែរក្សាស្បែករបស់អ្នកប្រើប្រាស់</t>
        </is>
      </c>
    </row>
    <row r="1564">
      <c r="A1564" s="3" t="inlineStr">
        <is>
          <t>validate.checkOnlyNumber</t>
        </is>
      </c>
      <c r="B1564" s="3" t="inlineStr">
        <is>
          <t>Vui lòng chỉ nhập số</t>
        </is>
      </c>
      <c r="C1564" s="3" t="inlineStr">
        <is>
          <t>Enter number only</t>
        </is>
      </c>
      <c r="D1564" s="217">
        <f>IFERROR(__xludf.DUMMYFUNCTION("GOOGLETRANSLATE(C1564,""vi"",""km"")"),"បញ្ចូលតែលេខប៉ុណ្ណោះ")</f>
        <v/>
      </c>
      <c r="E1564" s="3" t="n"/>
      <c r="F1564" s="3" t="inlineStr">
        <is>
          <t>បញ្ចូលតែលេខប៉ុណ្ណោះ</t>
        </is>
      </c>
      <c r="G1564" s="3" t="n"/>
      <c r="H1564" s="217" t="inlineStr">
        <is>
          <t>"validate.checkOnlyNumber": "បញ្ចូលតែលេខប៉ុណ្ណោះ",</t>
        </is>
      </c>
      <c r="I1564" t="inlineStr">
        <is>
          <t>បញ្ចូលតែលេខប៉ុណ្ណោះ</t>
        </is>
      </c>
    </row>
    <row r="1565">
      <c r="A1565" s="3" t="inlineStr">
        <is>
          <t>validate.containsSpecialCharacters</t>
        </is>
      </c>
      <c r="B1565" s="3" t="inlineStr">
        <is>
          <t>Không được nhập ký tự đặc biệt</t>
        </is>
      </c>
      <c r="C1565" s="3" t="inlineStr">
        <is>
          <t>Do not enter special characters</t>
        </is>
      </c>
      <c r="D1565" s="217">
        <f>IFERROR(__xludf.DUMMYFUNCTION("GOOGLETRANSLATE(C1565,""vi"",""km"")"),"កុំបញ្ចូលតួអក្សរពិសេស")</f>
        <v/>
      </c>
      <c r="E1565" s="3" t="n"/>
      <c r="F1565" s="3" t="inlineStr">
        <is>
          <t>មិនអនុញ្ញាតឱ្យបញ្ចូលតួអក្សរពិសេសទេ</t>
        </is>
      </c>
      <c r="G1565" s="3" t="n"/>
      <c r="H1565" s="217" t="inlineStr">
        <is>
          <t>"validate.containsSpecialCharacters": "មិនអនុញ្ញាតឱ្យបញ្ចូលតួអក្សរពិសេសទេ",</t>
        </is>
      </c>
      <c r="I1565" t="inlineStr">
        <is>
          <t>មិនអនុញ្ញាតឱ្យបញ្ចូលតួអក្សរពិសេសទេ</t>
        </is>
      </c>
    </row>
    <row r="1566">
      <c r="A1566" s="3" t="inlineStr">
        <is>
          <t>validate.empty</t>
        </is>
      </c>
      <c r="B1566" s="3" t="inlineStr">
        <is>
          <t>{{field}} không được để trống</t>
        </is>
      </c>
      <c r="C1566" s="3" t="inlineStr">
        <is>
          <t>{{field}} cannot be left blank</t>
        </is>
      </c>
      <c r="D1566" s="217">
        <f>IFERROR(__xludf.DUMMYFUNCTION("GOOGLETRANSLATE(C1566,""vi"",""km"")"),"មិនអាចទុក {{field}} ឲ្យនៅទទេបានទេ")</f>
        <v/>
      </c>
      <c r="E1566" s="3" t="n"/>
      <c r="F1566" s="3" t="inlineStr">
        <is>
          <t>មិនអាចទុក {{field}} ឲ្យនៅទទេបានទេ</t>
        </is>
      </c>
      <c r="G1566" s="3" t="n"/>
      <c r="H1566" s="217" t="inlineStr">
        <is>
          <t>"validate.empty": "មិនអាចទុក {{field}} ឲ្យនៅទទេបានទេ",</t>
        </is>
      </c>
      <c r="I1566" t="inlineStr">
        <is>
          <t>មិនអាចទុក {{field}} ឲ្យនៅទទេបានទេ</t>
        </is>
      </c>
    </row>
    <row r="1567">
      <c r="A1567" s="3" t="inlineStr">
        <is>
          <t>validate.maxLength</t>
        </is>
      </c>
      <c r="B1567" s="3" t="inlineStr">
        <is>
          <t>Nhập tối đa {{length}} ký tự</t>
        </is>
      </c>
      <c r="C1567" s="3" t="inlineStr">
        <is>
          <t>Enter characters up to {{length}}</t>
        </is>
      </c>
      <c r="D1567" s="217">
        <f>IFERROR(__xludf.DUMMYFUNCTION("GOOGLETRANSLATE(C1567,""vi"",""km"")"),"បញ្ចូលតួអក្សររហូតដល់ {{length}}")</f>
        <v/>
      </c>
      <c r="E1567" s="3" t="n"/>
      <c r="F1567" s="3" t="inlineStr">
        <is>
          <t>បញ្ចូលតួអក្សររហូតដល់ {{length}}</t>
        </is>
      </c>
      <c r="G1567" s="3" t="n"/>
      <c r="H1567" s="217" t="inlineStr">
        <is>
          <t>"validate.maxLength": "បញ្ចូលតួអក្សររហូតដល់ {{length}}",</t>
        </is>
      </c>
      <c r="I1567" t="inlineStr">
        <is>
          <t>បញ្ចូលតួអក្សររហូតដល់ {{length}}</t>
        </is>
      </c>
    </row>
    <row r="1568">
      <c r="A1568" s="3" t="inlineStr">
        <is>
          <t>validate.minLength</t>
        </is>
      </c>
      <c r="B1568" s="3" t="inlineStr">
        <is>
          <t>Nhập tối thiểu {{length}} ký tự</t>
        </is>
      </c>
      <c r="C1568" s="3" t="inlineStr">
        <is>
          <t>Enter at least {{length}} characters</t>
        </is>
      </c>
      <c r="D1568" s="217">
        <f>IFERROR(__xludf.DUMMYFUNCTION("GOOGLETRANSLATE(C1568,""vi"",""km"")"),"បញ្ចូលយ៉ាងហោចណាស់ {{length}} តួអក្សរ")</f>
        <v/>
      </c>
      <c r="E1568" s="3" t="n"/>
      <c r="F1568" s="3" t="inlineStr">
        <is>
          <t>បញ្ចូលយ៉ាងហោចណាស់ {{length}} តួអក្សរ</t>
        </is>
      </c>
      <c r="G1568" s="3" t="n"/>
      <c r="H1568" s="217" t="inlineStr">
        <is>
          <t>"validate.minLength": "បញ្ចូលយ៉ាងហោចណាស់ {{length}} តួអក្សរ",</t>
        </is>
      </c>
      <c r="I1568" t="inlineStr">
        <is>
          <t>បញ្ចូលយ៉ាងហោចណាស់ {{length}} តួអក្សរ</t>
        </is>
      </c>
    </row>
    <row r="1569">
      <c r="A1569" s="3" t="inlineStr">
        <is>
          <t>validate.numberGreaterThanZero</t>
        </is>
      </c>
      <c r="B1569" s="3" t="inlineStr">
        <is>
          <t>Nhập giá trị lớn hơn 0</t>
        </is>
      </c>
      <c r="C1569" s="3" t="inlineStr">
        <is>
          <t>Number must be greater than 0</t>
        </is>
      </c>
      <c r="D1569" s="217">
        <f>IFERROR(__xludf.DUMMYFUNCTION("GOOGLETRANSLATE(C1569,""vi"",""km"")"),"ចំនួន​ត្រូវតែ​ធំជាង ០។")</f>
        <v/>
      </c>
      <c r="E1569" s="3" t="n"/>
      <c r="F1569" s="3" t="inlineStr">
        <is>
          <t>ចំនួនត្រូវតែធំជាង ០។</t>
        </is>
      </c>
      <c r="G1569" s="3" t="n"/>
      <c r="H1569" s="217" t="inlineStr">
        <is>
          <t>"validate.numberGreaterThanZero": "ចំនួនត្រូវតែធំជាង ០។",</t>
        </is>
      </c>
      <c r="I1569" t="inlineStr">
        <is>
          <t>ចំនួនត្រូវតែធំជាង ០។</t>
        </is>
      </c>
    </row>
    <row r="1570">
      <c r="A1570" s="3" t="inlineStr">
        <is>
          <t>validate.rangPicker30</t>
        </is>
      </c>
      <c r="B1570" s="3" t="inlineStr">
        <is>
          <t>Tìm kiếm tối đa 30 ngày</t>
        </is>
      </c>
      <c r="C1570" s="3" t="inlineStr">
        <is>
          <t>Time range up to 30 days</t>
        </is>
      </c>
      <c r="D1570" s="217">
        <f>IFERROR(__xludf.DUMMYFUNCTION("GOOGLETRANSLATE(C1570,""vi"",""km"")"),"រយៈពេលរហូតដល់ 30 ថ្ងៃ")</f>
        <v/>
      </c>
      <c r="E1570" s="3" t="n"/>
      <c r="F1570" s="3" t="inlineStr">
        <is>
          <t>រយៈពេលរហូតដល់ 30 ថ្ងៃ</t>
        </is>
      </c>
      <c r="G1570" s="3" t="n"/>
      <c r="H1570" s="217" t="inlineStr">
        <is>
          <t>"validate.rangPicker30": "រយៈពេលរហូតដល់ 30 ថ្ងៃ",</t>
        </is>
      </c>
      <c r="I1570" t="inlineStr">
        <is>
          <t>រយៈពេលរហូតដល់ 30 ថ្ងៃ</t>
        </is>
      </c>
    </row>
    <row r="1571">
      <c r="A1571" s="3" t="inlineStr">
        <is>
          <t>validate.rangPicker31</t>
        </is>
      </c>
      <c r="B1571" s="3" t="inlineStr">
        <is>
          <t>Tìm kiếm tối đa 31 ngày</t>
        </is>
      </c>
      <c r="C1571" s="3" t="inlineStr">
        <is>
          <t>Time range up to 31 days</t>
        </is>
      </c>
      <c r="D1571" s="217">
        <f>IFERROR(__xludf.DUMMYFUNCTION("GOOGLETRANSLATE(C1571,""vi"",""km"")"),"រយៈពេលរហូតដល់ ៣១ ថ្ងៃ")</f>
        <v/>
      </c>
      <c r="E1571" s="3" t="n"/>
      <c r="F1571" s="3" t="inlineStr">
        <is>
          <t>រយៈពេលរហូតដល់ ៣១ ថ្ងៃ</t>
        </is>
      </c>
      <c r="G1571" s="3" t="n"/>
      <c r="H1571" s="217" t="inlineStr">
        <is>
          <t>"validate.rangPicker31": "រយៈពេលរហូតដល់ ៣១ ថ្ងៃ",</t>
        </is>
      </c>
      <c r="I1571" t="inlineStr">
        <is>
          <t>រយៈពេលរហូតដល់ ៣១ ថ្ងៃ</t>
        </is>
      </c>
    </row>
    <row r="1572">
      <c r="A1572" s="3" t="inlineStr">
        <is>
          <t>validate.validatePhone</t>
        </is>
      </c>
      <c r="B1572" s="3" t="inlineStr">
        <is>
          <t>Số điện thoại sai định dạng</t>
        </is>
      </c>
      <c r="C1572" s="3" t="inlineStr">
        <is>
          <t>Invalid phone number</t>
        </is>
      </c>
      <c r="D1572" s="217">
        <f>IFERROR(__xludf.DUMMYFUNCTION("GOOGLETRANSLATE(C1572,""vi"",""km"")"),"លេខទូរស័ព្ទមិនត្រឹមត្រូវ")</f>
        <v/>
      </c>
      <c r="E1572" s="3" t="n"/>
      <c r="F1572" s="3" t="inlineStr">
        <is>
          <t>លេខទូរស័ព្ទមិនត្រឹមត្រូវ</t>
        </is>
      </c>
      <c r="G1572" s="3" t="n"/>
      <c r="H1572" s="217" t="inlineStr">
        <is>
          <t>"validate.validatePhone": "លេខទូរស័ព្ទមិនត្រឹមត្រូវ",</t>
        </is>
      </c>
      <c r="I1572" t="inlineStr">
        <is>
          <t>លេខទូរស័ព្ទមិនត្រឹមត្រូវ</t>
        </is>
      </c>
    </row>
    <row r="1573">
      <c r="A1573" s="3" t="inlineStr">
        <is>
          <t>VehicleEffectReport.compareLastWeekInbound</t>
        </is>
      </c>
      <c r="B1573" s="3" t="inlineStr">
        <is>
          <t>So sánh cùng ngày tuần trước</t>
        </is>
      </c>
      <c r="C1573" s="3" t="inlineStr">
        <is>
          <t>Compared to the same day last week</t>
        </is>
      </c>
      <c r="D1573" s="217">
        <f>IFERROR(__xludf.DUMMYFUNCTION("GOOGLETRANSLATE(C1573,""vi"",""km"")"),"បើប្រៀបធៀបទៅនឹងថ្ងៃដដែលនៃសប្តាហ៍មុន")</f>
        <v/>
      </c>
      <c r="E1573" s="3" t="n"/>
      <c r="F1573" s="3" t="inlineStr">
        <is>
          <t>បើប្រៀបធៀបទៅនឹងថ្ងៃដដែលនៃសប្តាហ៍មុន</t>
        </is>
      </c>
      <c r="G1573" s="3" t="n"/>
      <c r="H1573" s="217" t="inlineStr">
        <is>
          <t>"VehicleEffectReport.compareLastWeekInbound": "បើប្រៀបធៀបទៅនឹងថ្ងៃដដែលនៃសប្តាហ៍មុន",</t>
        </is>
      </c>
      <c r="I1573" t="inlineStr">
        <is>
          <t>បើប្រៀបធៀបទៅនឹងថ្ងៃដដែលនៃសប្តាហ៍មុន</t>
        </is>
      </c>
    </row>
    <row r="1574">
      <c r="A1574" s="3" t="inlineStr">
        <is>
          <t>VehicleEffectReport.compareLastWeekOutbound</t>
        </is>
      </c>
      <c r="B1574" s="3" t="inlineStr">
        <is>
          <t>So sánh cùng ngày tuần trước</t>
        </is>
      </c>
      <c r="C1574" s="3" t="inlineStr">
        <is>
          <t>Compared to the same day last week</t>
        </is>
      </c>
      <c r="D1574" s="217">
        <f>IFERROR(__xludf.DUMMYFUNCTION("GOOGLETRANSLATE(C1574,""vi"",""km"")"),"បើប្រៀបធៀបទៅនឹងថ្ងៃដដែលនៃសប្តាហ៍មុន")</f>
        <v/>
      </c>
      <c r="E1574" s="3" t="n"/>
      <c r="F1574" s="3" t="inlineStr">
        <is>
          <t>បើប្រៀបធៀបទៅនឹងថ្ងៃដដែលនៃសប្តាហ៍មុន</t>
        </is>
      </c>
      <c r="G1574" s="3" t="n"/>
      <c r="H1574" s="217" t="inlineStr">
        <is>
          <t>"VehicleEffectReport.compareLastWeekOutbound": "បើប្រៀបធៀបទៅនឹងថ្ងៃដដែលនៃសប្តាហ៍មុន",</t>
        </is>
      </c>
      <c r="I1574" t="inlineStr">
        <is>
          <t>បើប្រៀបធៀបទៅនឹងថ្ងៃដដែលនៃសប្តាហ៍មុន</t>
        </is>
      </c>
    </row>
    <row r="1575">
      <c r="A1575" s="3" t="inlineStr">
        <is>
          <t>VehicleEffectReport.daily</t>
        </is>
      </c>
      <c r="B1575" s="3" t="inlineStr">
        <is>
          <t>Lũy kế ngày</t>
        </is>
      </c>
      <c r="C1575" s="3" t="inlineStr">
        <is>
          <t>Daily cumulative</t>
        </is>
      </c>
      <c r="D1575" s="217">
        <f>IFERROR(__xludf.DUMMYFUNCTION("GOOGLETRANSLATE(C1575,""vi"",""km"")"),"សមាជប្រចាំថ្ងៃ")</f>
        <v/>
      </c>
      <c r="E1575" s="3" t="n"/>
      <c r="F1575" s="3" t="inlineStr">
        <is>
          <t>សមាជប្រចាំថ្ងៃ</t>
        </is>
      </c>
      <c r="G1575" s="3" t="n"/>
      <c r="H1575" s="217" t="inlineStr">
        <is>
          <t>"VehicleEffectReport.daily": "សមាជប្រចាំថ្ងៃ",</t>
        </is>
      </c>
      <c r="I1575" t="inlineStr">
        <is>
          <t>សមាជប្រចាំថ្ងៃ</t>
        </is>
      </c>
    </row>
    <row r="1576">
      <c r="A1576" s="3" t="inlineStr">
        <is>
          <t>VehicleEffectReport.efficiency</t>
        </is>
      </c>
      <c r="B1576" s="3" t="inlineStr">
        <is>
          <t>Hiệu quả sử dụng</t>
        </is>
      </c>
      <c r="C1576" s="3" t="inlineStr">
        <is>
          <t>Efficiency</t>
        </is>
      </c>
      <c r="D1576" s="217">
        <f>IFERROR(__xludf.DUMMYFUNCTION("GOOGLETRANSLATE(C1576,""vi"",""km"")"),"ភាគហ៊ុន")</f>
        <v/>
      </c>
      <c r="E1576" s="3" t="n"/>
      <c r="F1576" s="3" t="inlineStr">
        <is>
          <t>ភាគហ៊ុន</t>
        </is>
      </c>
      <c r="G1576" s="3" t="n"/>
      <c r="H1576" s="217" t="inlineStr">
        <is>
          <t>"VehicleEffectReport.efficiency": "ភាគហ៊ុន",</t>
        </is>
      </c>
      <c r="I1576" t="inlineStr">
        <is>
          <t>ភាគហ៊ុន</t>
        </is>
      </c>
    </row>
    <row r="1577">
      <c r="A1577" s="3" t="inlineStr">
        <is>
          <t>VehicleEffectReport.exportExcel</t>
        </is>
      </c>
      <c r="B1577" s="3" t="inlineStr">
        <is>
          <t>Xuất Excel</t>
        </is>
      </c>
      <c r="C1577" s="3" t="inlineStr">
        <is>
          <t>Export Excel</t>
        </is>
      </c>
      <c r="D1577" s="217">
        <f>IFERROR(__xludf.DUMMYFUNCTION("GOOGLETRANSLATE(C1577,""vi"",""km"")"),"រីករាលដាល Excel")</f>
        <v/>
      </c>
      <c r="E1577" s="3" t="n"/>
      <c r="F1577" s="3" t="inlineStr">
        <is>
          <t>រីករាលដាល Excel</t>
        </is>
      </c>
      <c r="G1577" s="3" t="n"/>
      <c r="H1577" s="217" t="inlineStr">
        <is>
          <t>"VehicleEffectReport.exportExcel": "រីករាលដាល Excel",</t>
        </is>
      </c>
      <c r="I1577" t="inlineStr">
        <is>
          <t>រីករាលដាល Excel</t>
        </is>
      </c>
    </row>
    <row r="1578">
      <c r="A1578" s="3" t="inlineStr">
        <is>
          <t>VehicleEffectReport.going</t>
        </is>
      </c>
      <c r="B1578" s="3" t="inlineStr">
        <is>
          <t>Chiều đi</t>
        </is>
      </c>
      <c r="C1578" s="3" t="inlineStr">
        <is>
          <t>Outbound</t>
        </is>
      </c>
      <c r="D1578" s="217">
        <f>IFERROR(__xludf.DUMMYFUNCTION("GOOGLETRANSLATE(C1578,""vi"",""km"")"),"ចេញដំណើរ")</f>
        <v/>
      </c>
      <c r="E1578" s="3" t="n"/>
      <c r="F1578" s="3" t="inlineStr">
        <is>
          <t>ចេញដំណើរ</t>
        </is>
      </c>
      <c r="G1578" s="3" t="n"/>
      <c r="H1578" s="217" t="inlineStr">
        <is>
          <t>"VehicleEffectReport.going": "ចេញដំណើរ",</t>
        </is>
      </c>
      <c r="I1578" t="inlineStr">
        <is>
          <t>ចេញដំណើរ</t>
        </is>
      </c>
    </row>
    <row r="1579">
      <c r="A1579" s="3" t="inlineStr">
        <is>
          <t>VehicleEffectReport.inbound</t>
        </is>
      </c>
      <c r="B1579" s="3" t="inlineStr">
        <is>
          <t>Chiều về</t>
        </is>
      </c>
      <c r="C1579" s="3" t="inlineStr">
        <is>
          <t>Inbound</t>
        </is>
      </c>
      <c r="D1579" s="217">
        <f>IFERROR(__xludf.DUMMYFUNCTION("GOOGLETRANSLATE(C1579,""vi"",""km"")"),"អ៊ីនរ៉ូត")</f>
        <v/>
      </c>
      <c r="E1579" s="3" t="n"/>
      <c r="F1579" s="3" t="inlineStr">
        <is>
          <t>អ៊ីនរ៉ូត</t>
        </is>
      </c>
      <c r="G1579" s="3" t="n"/>
      <c r="H1579" s="217" t="inlineStr">
        <is>
          <t>"VehicleEffectReport.inbound": "អ៊ីនរ៉ូត",</t>
        </is>
      </c>
      <c r="I1579" t="inlineStr">
        <is>
          <t>អ៊ីនរ៉ូត</t>
        </is>
      </c>
    </row>
    <row r="1580">
      <c r="A1580" s="3" t="inlineStr">
        <is>
          <t>VehicleEffectReport.inner_city</t>
        </is>
      </c>
      <c r="B1580" s="3" t="inlineStr">
        <is>
          <t>Nội thành</t>
        </is>
      </c>
      <c r="C1580" s="3" t="inlineStr">
        <is>
          <t>Inner city</t>
        </is>
      </c>
      <c r="D1580" s="217">
        <f>IFERROR(__xludf.DUMMYFUNCTION("GOOGLETRANSLATE(C1580,""vi"",""km"")"),"ខាងក្នុងទីក្រុង")</f>
        <v/>
      </c>
      <c r="E1580" s="3" t="n"/>
      <c r="F1580" s="3" t="inlineStr">
        <is>
          <t>ខាងក្នុងទីក្រុង</t>
        </is>
      </c>
      <c r="G1580" s="3" t="n"/>
      <c r="H1580" s="217" t="inlineStr">
        <is>
          <t>"VehicleEffectReport.inner_city": "ខាងក្នុងទីក្រុង",</t>
        </is>
      </c>
      <c r="I1580" t="inlineStr">
        <is>
          <t>ខាងក្នុងទីក្រុង</t>
        </is>
      </c>
    </row>
    <row r="1581">
      <c r="A1581" s="3" t="inlineStr">
        <is>
          <t>VehicleEffectReport.inter_region</t>
        </is>
      </c>
      <c r="B1581" s="3" t="inlineStr">
        <is>
          <t>Liên vùng</t>
        </is>
      </c>
      <c r="C1581" s="3" t="inlineStr">
        <is>
          <t>Inter region</t>
        </is>
      </c>
      <c r="D1581" s="217">
        <f>IFERROR(__xludf.DUMMYFUNCTION("GOOGLETRANSLATE(C1581,""vi"",""km"")"),"មជ្ឈមណ្ឌលអន្តរ")</f>
        <v/>
      </c>
      <c r="E1581" s="3" t="n"/>
      <c r="F1581" s="3" t="inlineStr">
        <is>
          <t>មជ្ឈមណ្ឌលអន្តរ</t>
        </is>
      </c>
      <c r="G1581" s="3" t="n"/>
      <c r="H1581" s="217" t="inlineStr">
        <is>
          <t>"VehicleEffectReport.inter_region": "មជ្ឈមណ្ឌលអន្តរ",</t>
        </is>
      </c>
      <c r="I1581" t="inlineStr">
        <is>
          <t>មជ្ឈមណ្ឌលអន្តរ</t>
        </is>
      </c>
    </row>
    <row r="1582">
      <c r="A1582" s="3" t="inlineStr">
        <is>
          <t>VehicleEffectReport.intra_province</t>
        </is>
      </c>
      <c r="B1582" s="3" t="inlineStr">
        <is>
          <t>Nội tỉnh</t>
        </is>
      </c>
      <c r="C1582" s="3" t="inlineStr">
        <is>
          <t>Intra province</t>
        </is>
      </c>
      <c r="D1582" s="217">
        <f>IFERROR(__xludf.DUMMYFUNCTION("GOOGLETRANSLATE(C1582,""vi"",""km"")"),"ខាងក្នុងខេត្ត")</f>
        <v/>
      </c>
      <c r="E1582" s="3" t="n"/>
      <c r="F1582" s="3" t="inlineStr">
        <is>
          <t>ខាងក្នុងខេត្ត</t>
        </is>
      </c>
      <c r="G1582" s="3" t="n"/>
      <c r="H1582" s="217" t="inlineStr">
        <is>
          <t>"VehicleEffectReport.intra_province": "ខាងក្នុងខេត្ត",</t>
        </is>
      </c>
      <c r="I1582" t="inlineStr">
        <is>
          <t>ខាងក្នុងខេត្ត</t>
        </is>
      </c>
    </row>
    <row r="1583">
      <c r="A1583" s="3" t="inlineStr">
        <is>
          <t>VehicleEffectReport.intra_region</t>
        </is>
      </c>
      <c r="B1583" s="3" t="inlineStr">
        <is>
          <t>Nội vùng</t>
        </is>
      </c>
      <c r="C1583" s="3" t="inlineStr">
        <is>
          <t>Intra region</t>
        </is>
      </c>
      <c r="D1583" s="217">
        <f>IFERROR(__xludf.DUMMYFUNCTION("GOOGLETRANSLATE(C1583,""vi"",""km"")"),"ក្នុងតំបន់")</f>
        <v/>
      </c>
      <c r="E1583" s="3" t="n"/>
      <c r="F1583" s="3" t="inlineStr">
        <is>
          <t>ក្នុងតំបន់</t>
        </is>
      </c>
      <c r="G1583" s="3" t="n"/>
      <c r="H1583" s="217" t="inlineStr">
        <is>
          <t>"VehicleEffectReport.intra_region": "ក្នុងតំបន់",</t>
        </is>
      </c>
      <c r="I1583" t="inlineStr">
        <is>
          <t>ក្នុងតំបន់</t>
        </is>
      </c>
    </row>
    <row r="1584">
      <c r="A1584" s="3" t="inlineStr">
        <is>
          <t>VehicleEffectReport.kpi</t>
        </is>
      </c>
      <c r="B1584" s="3" t="inlineStr">
        <is>
          <t>KPI</t>
        </is>
      </c>
      <c r="C1584" s="3" t="inlineStr">
        <is>
          <t>KPI</t>
        </is>
      </c>
      <c r="D1584" s="217">
        <f>IFERROR(__xludf.DUMMYFUNCTION("GOOGLETRANSLATE(C1584,""vi"",""km"")"),"សូចនាករ​វាយតម្លៃ​គុណភាព​អប់រំ (KPI)")</f>
        <v/>
      </c>
      <c r="E1584" s="3" t="n"/>
      <c r="F1584" s="3" t="inlineStr">
        <is>
          <t>សូចនាករវាយតម្លៃគុណភាពអប់រំ (KPI)</t>
        </is>
      </c>
      <c r="G1584" s="3" t="n"/>
      <c r="H1584" s="217" t="inlineStr">
        <is>
          <t>"VehicleEffectReport.kpi": "សូចនាករវាយតម្លៃគុណភាពអប់រំ (KPI)",</t>
        </is>
      </c>
      <c r="I1584" t="inlineStr">
        <is>
          <t>សូចនាករវាយតម្លៃគុណភាពអប់រំ (KPI)</t>
        </is>
      </c>
    </row>
    <row r="1585">
      <c r="A1585" s="3" t="inlineStr">
        <is>
          <t>VehicleEffectReport.loadCapacityInbound</t>
        </is>
      </c>
      <c r="B1585" s="3" t="inlineStr">
        <is>
          <t>Trọng tải ({{unit}})</t>
        </is>
      </c>
      <c r="C1585" s="3" t="inlineStr">
        <is>
          <t>Load capacity ({{unit}})</t>
        </is>
      </c>
      <c r="D1585" s="217">
        <f>IFERROR(__xludf.DUMMYFUNCTION("GOOGLETRANSLATE(C1585,""vi"",""km"")"),"សមត្ថភាពផ្ទុក ({{unit}})")</f>
        <v/>
      </c>
      <c r="E1585" s="3" t="n"/>
      <c r="F1585" s="3" t="inlineStr">
        <is>
          <t>សមត្ថភាពផ្ទុក ({{unit}})</t>
        </is>
      </c>
      <c r="G1585" s="3" t="n"/>
      <c r="H1585" s="217" t="inlineStr">
        <is>
          <t>"VehicleEffectReport.loadCapacityInbound": "សមត្ថភាពផ្ទុក ({{unit}})",</t>
        </is>
      </c>
      <c r="I1585" t="inlineStr">
        <is>
          <t>សមត្ថភាពផ្ទុក ({{unit}})</t>
        </is>
      </c>
    </row>
    <row r="1586">
      <c r="A1586" s="3" t="inlineStr">
        <is>
          <t>VehicleEffectReport.loadCapacityOutbound</t>
        </is>
      </c>
      <c r="B1586" s="3" t="inlineStr">
        <is>
          <t>Trọng tải ({{unit}})</t>
        </is>
      </c>
      <c r="C1586" s="3" t="inlineStr">
        <is>
          <t>Load capacity ({{unit}})</t>
        </is>
      </c>
      <c r="D1586" s="217">
        <f>IFERROR(__xludf.DUMMYFUNCTION("GOOGLETRANSLATE(C1586,""vi"",""km"")"),"សមត្ថភាពផ្ទុក ({{unit}})")</f>
        <v/>
      </c>
      <c r="E1586" s="3" t="n"/>
      <c r="F1586" s="3" t="inlineStr">
        <is>
          <t>សមត្ថភាពផ្ទុក ({{unit}})</t>
        </is>
      </c>
      <c r="G1586" s="3" t="n"/>
      <c r="H1586" s="217" t="inlineStr">
        <is>
          <t>"VehicleEffectReport.loadCapacityOutbound": "សមត្ថភាពផ្ទុក ({{unit}})",</t>
        </is>
      </c>
      <c r="I1586" t="inlineStr">
        <is>
          <t>សមត្ថភាពផ្ទុក ({{unit}})</t>
        </is>
      </c>
    </row>
    <row r="1587">
      <c r="A1587" s="3" t="inlineStr">
        <is>
          <t>VehicleEffectReport.monthly</t>
        </is>
      </c>
      <c r="B1587" s="3" t="inlineStr">
        <is>
          <t>Lũy kế tháng</t>
        </is>
      </c>
      <c r="C1587" s="3" t="inlineStr">
        <is>
          <t>monthly</t>
        </is>
      </c>
      <c r="D1587" s="217">
        <f>IFERROR(__xludf.DUMMYFUNCTION("GOOGLETRANSLATE(C1587,""vi"",""km"")"),"ថ្ងៃច័ន្ទ")</f>
        <v/>
      </c>
      <c r="E1587" s="3" t="n"/>
      <c r="F1587" s="3" t="inlineStr">
        <is>
          <t>ថ្ងៃច័ន្ទ</t>
        </is>
      </c>
      <c r="G1587" s="3" t="n"/>
      <c r="H1587" s="217" t="inlineStr">
        <is>
          <t>"VehicleEffectReport.monthly": "ថ្ងៃច័ន្ទ",</t>
        </is>
      </c>
      <c r="I1587" t="inlineStr">
        <is>
          <t>ថ្ងៃច័ន្ទ</t>
        </is>
      </c>
    </row>
    <row r="1588">
      <c r="A1588" s="3" t="inlineStr">
        <is>
          <t>VehicleEffectReport.outbound</t>
        </is>
      </c>
      <c r="B1588" s="3" t="inlineStr">
        <is>
          <t>Chiều đi</t>
        </is>
      </c>
      <c r="C1588" s="3" t="inlineStr">
        <is>
          <t>Outbound</t>
        </is>
      </c>
      <c r="D1588" s="217">
        <f>IFERROR(__xludf.DUMMYFUNCTION("GOOGLETRANSLATE(C1588,""vi"",""km"")"),"ចេញដំណើរ")</f>
        <v/>
      </c>
      <c r="E1588" s="3" t="n"/>
      <c r="F1588" s="3" t="inlineStr">
        <is>
          <t>ចេញដំណើរ</t>
        </is>
      </c>
      <c r="G1588" s="3" t="n"/>
      <c r="H1588" s="217" t="inlineStr">
        <is>
          <t>"VehicleEffectReport.outbound": "ចេញដំណើរ",</t>
        </is>
      </c>
      <c r="I1588" t="inlineStr">
        <is>
          <t>ចេញដំណើរ</t>
        </is>
      </c>
    </row>
    <row r="1589">
      <c r="A1589" s="3" t="inlineStr">
        <is>
          <t>VehicleEffectReport.overview</t>
        </is>
      </c>
      <c r="B1589" s="3" t="inlineStr">
        <is>
          <t>Tổng quan</t>
        </is>
      </c>
      <c r="C1589" s="3" t="inlineStr">
        <is>
          <t>Overview</t>
        </is>
      </c>
      <c r="D1589" s="217">
        <f>IFERROR(__xludf.DUMMYFUNCTION("GOOGLETRANSLATE(C1589,""vi"",""km"")"),"ទិដ្ឋភាពទូទៅ")</f>
        <v/>
      </c>
      <c r="E1589" s="3" t="n"/>
      <c r="F1589" s="3" t="inlineStr">
        <is>
          <t>ទិដ្ឋភាពទូទៅ</t>
        </is>
      </c>
      <c r="G1589" s="3" t="n"/>
      <c r="H1589" s="217" t="inlineStr">
        <is>
          <t>"VehicleEffectReport.overview": "ទិដ្ឋភាពទូទៅ",</t>
        </is>
      </c>
      <c r="I1589" t="inlineStr">
        <is>
          <t>ទិដ្ឋភាពទូទៅ</t>
        </is>
      </c>
    </row>
    <row r="1590">
      <c r="A1590" s="3" t="inlineStr">
        <is>
          <t>VehicleEffectReport.returning</t>
        </is>
      </c>
      <c r="B1590" s="3" t="inlineStr">
        <is>
          <t>Chiều về</t>
        </is>
      </c>
      <c r="C1590" s="3" t="inlineStr">
        <is>
          <t>Inbound</t>
        </is>
      </c>
      <c r="D1590" s="217">
        <f>IFERROR(__xludf.DUMMYFUNCTION("GOOGLETRANSLATE(C1590,""vi"",""km"")"),"អ៊ីនរ៉ូត")</f>
        <v/>
      </c>
      <c r="E1590" s="3" t="n"/>
      <c r="F1590" s="3" t="inlineStr">
        <is>
          <t>អ៊ីនរ៉ូត</t>
        </is>
      </c>
      <c r="G1590" s="3" t="n"/>
      <c r="H1590" s="217" t="inlineStr">
        <is>
          <t>"VehicleEffectReport.returning": "អ៊ីនរ៉ូត",</t>
        </is>
      </c>
      <c r="I1590" t="inlineStr">
        <is>
          <t>អ៊ីនរ៉ូត</t>
        </is>
      </c>
    </row>
    <row r="1591">
      <c r="A1591" s="3" t="inlineStr">
        <is>
          <t>VehicleEffectReport.search</t>
        </is>
      </c>
      <c r="B1591" s="3" t="inlineStr">
        <is>
          <t>Tìm kiếm</t>
        </is>
      </c>
      <c r="C1591" s="3" t="inlineStr">
        <is>
          <t>Search</t>
        </is>
      </c>
      <c r="D1591" s="217">
        <f>IFERROR(__xludf.DUMMYFUNCTION("GOOGLETRANSLATE(C1591,""vi"",""km"")"),"ស្វែងរក")</f>
        <v/>
      </c>
      <c r="E1591" s="3" t="n"/>
      <c r="F1591" s="3" t="inlineStr">
        <is>
          <t>ស្វែងរក</t>
        </is>
      </c>
      <c r="G1591" s="3" t="n"/>
      <c r="H1591" s="217" t="inlineStr">
        <is>
          <t>"VehicleEffectReport.search": "ស្វែងរក",</t>
        </is>
      </c>
      <c r="I1591" t="inlineStr">
        <is>
          <t>ស្វែងរក</t>
        </is>
      </c>
    </row>
    <row r="1592">
      <c r="A1592" s="3" t="inlineStr">
        <is>
          <t>VehicleEffectReport.stt</t>
        </is>
      </c>
      <c r="B1592" s="3" t="inlineStr">
        <is>
          <t>STT</t>
        </is>
      </c>
      <c r="C1592" s="3" t="inlineStr">
        <is>
          <t>No.</t>
        </is>
      </c>
      <c r="D1592" s="217">
        <f>IFERROR(__xludf.DUMMYFUNCTION("GOOGLETRANSLATE(C1592,""vi"",""km"")"),"ទេ។")</f>
        <v/>
      </c>
      <c r="E1592" s="3" t="n"/>
      <c r="F1592" s="3" t="inlineStr">
        <is>
          <t>ទេ។</t>
        </is>
      </c>
      <c r="G1592" s="3" t="n"/>
      <c r="H1592" s="217" t="inlineStr">
        <is>
          <t>"VehicleEffectReport.stt": "ទេ។",</t>
        </is>
      </c>
      <c r="I1592" t="inlineStr">
        <is>
          <t>ទេ។</t>
        </is>
      </c>
    </row>
    <row r="1593">
      <c r="A1593" s="3" t="inlineStr">
        <is>
          <t>VehicleEffectReport.top</t>
        </is>
      </c>
      <c r="B1593" s="3" t="inlineStr">
        <is>
          <t>Top 20 tuyến HQX thấp nhất tháng</t>
        </is>
      </c>
      <c r="C1593" s="3" t="inlineStr">
        <is>
          <t>Top 20 routes with the lowest vehicle efficiency this month</t>
        </is>
      </c>
      <c r="D1593" s="217">
        <f>IFERROR(__xludf.DUMMYFUNCTION("GOOGLETRANSLATE(C1593,""vi"",""km"")"),"ផ្លូវកំពូលទាំង 20 ដែលមានប្រសិទ្ធភាពយានយន្តទាបបំផុតក្នុងខែនេះ")</f>
        <v/>
      </c>
      <c r="E1593" s="3" t="n"/>
      <c r="F1593" s="3" t="inlineStr">
        <is>
          <t>ផ្លូវកំពូលទាំង 20 ដែលមានប្រសិទ្ធភាពយានយន្តទាបបំផុតក្នុងខែនេះ</t>
        </is>
      </c>
      <c r="G1593" s="3" t="n"/>
      <c r="H1593" s="217" t="inlineStr">
        <is>
          <t>"VehicleEffectReport.top": "ផ្លូវកំពូលទាំង 20 ដែលមានប្រសិទ្ធភាពយានយន្តទាបបំផុតក្នុងខែនេះ",</t>
        </is>
      </c>
      <c r="I1593" t="inlineStr">
        <is>
          <t>ផ្លូវកំពូលទាំង 20 ដែលមានប្រសិទ្ធភាពយានយន្តទាបបំផុតក្នុងខែនេះ</t>
        </is>
      </c>
    </row>
    <row r="1594">
      <c r="A1594" s="3" t="inlineStr">
        <is>
          <t>VehicleEffectReport.totalLoad</t>
        </is>
      </c>
      <c r="B1594" s="3" t="inlineStr">
        <is>
          <t>Tổng tải trọng</t>
        </is>
      </c>
      <c r="C1594" s="3" t="inlineStr">
        <is>
          <t>Total load</t>
        </is>
      </c>
      <c r="D1594" s="217">
        <f>IFERROR(__xludf.DUMMYFUNCTION("GOOGLETRANSLATE(C1594,""vi"",""km"")"),"បន្ទុកសរុប")</f>
        <v/>
      </c>
      <c r="E1594" s="3" t="n"/>
      <c r="F1594" s="3" t="inlineStr">
        <is>
          <t>បន្ទុកសរុប</t>
        </is>
      </c>
      <c r="G1594" s="3" t="n"/>
      <c r="H1594" s="217" t="inlineStr">
        <is>
          <t>"VehicleEffectReport.totalLoad": "បន្ទុកសរុប",</t>
        </is>
      </c>
      <c r="I1594" t="inlineStr">
        <is>
          <t>បន្ទុកសរុប</t>
        </is>
      </c>
    </row>
    <row r="1595">
      <c r="A1595" s="3" t="inlineStr">
        <is>
          <t>VehicleEffectReport.totalWeight</t>
        </is>
      </c>
      <c r="B1595" s="3" t="inlineStr">
        <is>
          <t>Tổng khối lượng</t>
        </is>
      </c>
      <c r="C1595" s="3" t="inlineStr">
        <is>
          <t>Total weight</t>
        </is>
      </c>
      <c r="D1595" s="217">
        <f>IFERROR(__xludf.DUMMYFUNCTION("GOOGLETRANSLATE(C1595,""vi"",""km"")"),"ទម្ងន់សរុប")</f>
        <v/>
      </c>
      <c r="E1595" s="3" t="n"/>
      <c r="F1595" s="3" t="inlineStr">
        <is>
          <t>ទម្ងន់សរុប</t>
        </is>
      </c>
      <c r="G1595" s="3" t="n"/>
      <c r="H1595" s="217" t="inlineStr">
        <is>
          <t>"VehicleEffectReport.totalWeight": "ទម្ងន់សរុប",</t>
        </is>
      </c>
      <c r="I1595" t="inlineStr">
        <is>
          <t>ទម្ងន់សរុប</t>
        </is>
      </c>
    </row>
    <row r="1596">
      <c r="A1596" s="3" t="inlineStr">
        <is>
          <t>VehicleEffectReport.tripCount</t>
        </is>
      </c>
      <c r="B1596" s="3" t="inlineStr">
        <is>
          <t>Số chuyến xe</t>
        </is>
      </c>
      <c r="C1596" s="3" t="inlineStr">
        <is>
          <t>Trip count</t>
        </is>
      </c>
      <c r="D1596" s="217">
        <f>IFERROR(__xludf.DUMMYFUNCTION("GOOGLETRANSLATE(C1596,""vi"",""km"")"),"ចំនួន​ដំណើរ​កម្សាន្ត")</f>
        <v/>
      </c>
      <c r="E1596" s="3" t="n"/>
      <c r="F1596" s="3" t="inlineStr">
        <is>
          <t>ចំនួនដំណើរកម្សាន្ត</t>
        </is>
      </c>
      <c r="G1596" s="3" t="n"/>
      <c r="H1596" s="217" t="inlineStr">
        <is>
          <t>"VehicleEffectReport.tripCount": "ចំនួនដំណើរកម្សាន្ត",</t>
        </is>
      </c>
      <c r="I1596" t="inlineStr">
        <is>
          <t>ចំនួនដំណើរកម្សាន្ត</t>
        </is>
      </c>
    </row>
    <row r="1597">
      <c r="A1597" s="3" t="inlineStr">
        <is>
          <t>VehicleEffectReport.tripsInbound</t>
        </is>
      </c>
      <c r="B1597" s="3" t="inlineStr">
        <is>
          <t>Số chuyến</t>
        </is>
      </c>
      <c r="C1597" s="3" t="inlineStr">
        <is>
          <t>Number of trips</t>
        </is>
      </c>
      <c r="D1597" s="217">
        <f>IFERROR(__xludf.DUMMYFUNCTION("GOOGLETRANSLATE(C1597,""vi"",""km"")"),"ចំនួន​នៃ​ការ​ធ្វើ​ដំណើរ")</f>
        <v/>
      </c>
      <c r="E1597" s="3" t="n"/>
      <c r="F1597" s="3" t="inlineStr">
        <is>
          <t>ចំនួននៃការធ្វើដំណើរ</t>
        </is>
      </c>
      <c r="G1597" s="3" t="n"/>
      <c r="H1597" s="217" t="inlineStr">
        <is>
          <t>"VehicleEffectReport.tripsInbound": "ចំនួននៃការធ្វើដំណើរ",</t>
        </is>
      </c>
      <c r="I1597" t="inlineStr">
        <is>
          <t>ចំនួននៃការធ្វើដំណើរ</t>
        </is>
      </c>
    </row>
    <row r="1598">
      <c r="A1598" s="3" t="inlineStr">
        <is>
          <t>VehicleEffectReport.tripsOutbound</t>
        </is>
      </c>
      <c r="B1598" s="3" t="inlineStr">
        <is>
          <t>Số chuyến</t>
        </is>
      </c>
      <c r="C1598" s="3" t="inlineStr">
        <is>
          <t>Number of trips</t>
        </is>
      </c>
      <c r="D1598" s="217">
        <f>IFERROR(__xludf.DUMMYFUNCTION("GOOGLETRANSLATE(C1598,""vi"",""km"")"),"ចំនួន​នៃ​ការ​ធ្វើ​ដំណើរ")</f>
        <v/>
      </c>
      <c r="E1598" s="3" t="n"/>
      <c r="F1598" s="3" t="inlineStr">
        <is>
          <t>ចំនួននៃការធ្វើដំណើរ</t>
        </is>
      </c>
      <c r="G1598" s="3" t="n"/>
      <c r="H1598" s="217" t="inlineStr">
        <is>
          <t>"VehicleEffectReport.tripsOutbound": "ចំនួននៃការធ្វើដំណើរ",</t>
        </is>
      </c>
      <c r="I1598" t="inlineStr">
        <is>
          <t>ចំនួននៃការធ្វើដំណើរ</t>
        </is>
      </c>
    </row>
    <row r="1599">
      <c r="A1599" s="3" t="inlineStr">
        <is>
          <t>VehicleEffectReport.unit</t>
        </is>
      </c>
      <c r="B1599" s="3" t="inlineStr">
        <is>
          <t>Đơn vị</t>
        </is>
      </c>
      <c r="C1599" s="3" t="inlineStr">
        <is>
          <t>Unit</t>
        </is>
      </c>
      <c r="D1599" s="217">
        <f>IFERROR(__xludf.DUMMYFUNCTION("GOOGLETRANSLATE(C1599,""vi"",""km"")"),"ឯកតា")</f>
        <v/>
      </c>
      <c r="E1599" s="3" t="n"/>
      <c r="F1599" s="3" t="inlineStr">
        <is>
          <t>ឯកតា</t>
        </is>
      </c>
      <c r="G1599" s="3" t="n"/>
      <c r="H1599" s="217" t="inlineStr">
        <is>
          <t>"VehicleEffectReport.unit": "ឯកតា",</t>
        </is>
      </c>
      <c r="I1599" t="inlineStr">
        <is>
          <t>ឯកតា</t>
        </is>
      </c>
    </row>
    <row r="1600">
      <c r="A1600" s="3" t="inlineStr">
        <is>
          <t>VehicleEffectReport.vehicleUtilizationInbound</t>
        </is>
      </c>
      <c r="B1600" s="3" t="inlineStr">
        <is>
          <t>Hiệu quả sử dụng xe</t>
        </is>
      </c>
      <c r="C1600" s="3" t="inlineStr">
        <is>
          <t>Vehicle utilization</t>
        </is>
      </c>
      <c r="D1600" s="217">
        <f>IFERROR(__xludf.DUMMYFUNCTION("GOOGLETRANSLATE(C1600,""vi"",""km"")"),"ការប្រើប្រាស់យានយន្ត")</f>
        <v/>
      </c>
      <c r="E1600" s="3" t="n"/>
      <c r="F1600" s="3" t="inlineStr">
        <is>
          <t>ការប្រើប្រាស់យានយន្ត</t>
        </is>
      </c>
      <c r="G1600" s="3" t="n"/>
      <c r="H1600" s="217" t="inlineStr">
        <is>
          <t>"VehicleEffectReport.vehicleUtilizationInbound": "ការប្រើប្រាស់យានយន្ត",</t>
        </is>
      </c>
      <c r="I1600" t="inlineStr">
        <is>
          <t>ការប្រើប្រាស់យានយន្ត</t>
        </is>
      </c>
    </row>
    <row r="1601">
      <c r="A1601" s="3" t="inlineStr">
        <is>
          <t>VehicleEffectReport.vehicleUtilizationOutbound</t>
        </is>
      </c>
      <c r="B1601" s="3" t="inlineStr">
        <is>
          <t>Hiệu quả sử dụng xe</t>
        </is>
      </c>
      <c r="C1601" s="3" t="inlineStr">
        <is>
          <t>Vehicle utilization</t>
        </is>
      </c>
      <c r="D1601" s="217">
        <f>IFERROR(__xludf.DUMMYFUNCTION("GOOGLETRANSLATE(C1601,""vi"",""km"")"),"ការប្រើប្រាស់យានយន្ត")</f>
        <v/>
      </c>
      <c r="E1601" s="3" t="n"/>
      <c r="F1601" s="3" t="inlineStr">
        <is>
          <t>ការប្រើប្រាស់យានយន្ត</t>
        </is>
      </c>
      <c r="G1601" s="3" t="n"/>
      <c r="H1601" s="217" t="inlineStr">
        <is>
          <t>"VehicleEffectReport.vehicleUtilizationOutbound": "ការប្រើប្រាស់យានយន្ត",</t>
        </is>
      </c>
      <c r="I1601" t="inlineStr">
        <is>
          <t>ការប្រើប្រាស់យានយន្ត</t>
        </is>
      </c>
    </row>
    <row r="1602">
      <c r="A1602" s="3" t="inlineStr">
        <is>
          <t>VehicleEffectReport.warning</t>
        </is>
      </c>
      <c r="B1602" s="3" t="inlineStr">
        <is>
          <t>Cảnh báo hiệu quả sử dụng xe</t>
        </is>
      </c>
      <c r="C1602" s="3" t="inlineStr">
        <is>
          <t>Vehicle utilization warning</t>
        </is>
      </c>
      <c r="D1602" s="217">
        <f>IFERROR(__xludf.DUMMYFUNCTION("GOOGLETRANSLATE(C1602,""vi"",""km"")"),"អ្នកបើកបរ")</f>
        <v/>
      </c>
      <c r="E1602" s="3" t="n"/>
      <c r="F1602" s="3" t="inlineStr">
        <is>
          <t>អ្នកបើកបរ</t>
        </is>
      </c>
      <c r="G1602" s="3" t="n"/>
      <c r="H1602" s="217" t="inlineStr">
        <is>
          <t>"VehicleEffectReport.warning": "អ្នកបើកបរ",</t>
        </is>
      </c>
      <c r="I1602" t="inlineStr">
        <is>
          <t>អ្នកបើកបរ</t>
        </is>
      </c>
    </row>
    <row r="1603">
      <c r="A1603" s="3" t="inlineStr">
        <is>
          <t>VehicleEffectReport.weightInbound</t>
        </is>
      </c>
      <c r="B1603" s="3" t="inlineStr">
        <is>
          <t>Khối lượng ({{unit}})</t>
        </is>
      </c>
      <c r="C1603" s="3" t="inlineStr">
        <is>
          <t>Weight ({{unit}})</t>
        </is>
      </c>
      <c r="D1603" s="217">
        <f>IFERROR(__xludf.DUMMYFUNCTION("GOOGLETRANSLATE(C1603,""vi"",""km"")"),"ទម្ងន់ ({{unit}})")</f>
        <v/>
      </c>
      <c r="E1603" s="3" t="n"/>
      <c r="F1603" s="3" t="inlineStr">
        <is>
          <t>ទម្ងន់ ({{unit}})</t>
        </is>
      </c>
      <c r="G1603" s="3" t="n"/>
      <c r="H1603" s="217" t="inlineStr">
        <is>
          <t>"VehicleEffectReport.weightInbound": "ទម្ងន់ ({{unit}})",</t>
        </is>
      </c>
      <c r="I1603" t="inlineStr">
        <is>
          <t>ទម្ងន់ ({{unit}})</t>
        </is>
      </c>
    </row>
    <row r="1604">
      <c r="A1604" s="3" t="inlineStr">
        <is>
          <t>VehicleEffectReport.weightOutbound</t>
        </is>
      </c>
      <c r="B1604" s="3" t="inlineStr">
        <is>
          <t>Khối lượng ({{unit}})</t>
        </is>
      </c>
      <c r="C1604" s="3" t="inlineStr">
        <is>
          <t>Weight ({{unit}})</t>
        </is>
      </c>
      <c r="D1604" s="217">
        <f>IFERROR(__xludf.DUMMYFUNCTION("GOOGLETRANSLATE(C1604,""vi"",""km"")"),"ទម្ងន់ ({{unit}})")</f>
        <v/>
      </c>
      <c r="E1604" s="3" t="n"/>
      <c r="F1604" s="3" t="inlineStr">
        <is>
          <t>ទម្ងន់ ({{unit}})</t>
        </is>
      </c>
      <c r="G1604" s="3" t="n"/>
      <c r="H1604" s="217" t="inlineStr">
        <is>
          <t>"VehicleEffectReport.weightOutbound": "ទម្ងន់ ({{unit}})",</t>
        </is>
      </c>
      <c r="I1604" t="inlineStr">
        <is>
          <t>ទម្ងន់ ({{unit}})</t>
        </is>
      </c>
    </row>
    <row r="1605">
      <c r="A1605" s="3" t="inlineStr">
        <is>
          <t>delivery.warehouse.OTP.resend</t>
        </is>
      </c>
      <c r="B1605" s="3" t="inlineStr">
        <is>
          <t>Gửi lại</t>
        </is>
      </c>
      <c r="C1605" s="3" t="inlineStr">
        <is>
          <t>Resend</t>
        </is>
      </c>
      <c r="D1605" s="217">
        <f>IFERROR(__xludf.DUMMYFUNCTION("GOOGLETRANSLATE(C1605,""vi"",""km"")"),"ការប្រោសលោះ")</f>
        <v/>
      </c>
      <c r="E1605" s="3" t="n"/>
      <c r="F1605" s="3" t="inlineStr">
        <is>
          <t>ផ្ញើម្តងទៀត</t>
        </is>
      </c>
      <c r="G1605" s="3" t="n"/>
      <c r="H1605" s="217" t="inlineStr">
        <is>
          <t>"delivery.warehouse.OTP.resend": "ផ្ញើម្តងទៀត",</t>
        </is>
      </c>
      <c r="I1605" t="inlineStr">
        <is>
          <t>ផ្ញើម្តងទៀត</t>
        </is>
      </c>
    </row>
    <row r="1606">
      <c r="A1606" s="3" t="inlineStr">
        <is>
          <t>delivery.warehouse.OTP.send</t>
        </is>
      </c>
      <c r="B1606" s="3" t="inlineStr">
        <is>
          <t>Gửi</t>
        </is>
      </c>
      <c r="C1606" s="3" t="inlineStr">
        <is>
          <t>Send</t>
        </is>
      </c>
      <c r="D1606" s="217">
        <f>IFERROR(__xludf.DUMMYFUNCTION("GOOGLETRANSLATE(C1606,""vi"",""km"")"),"កាត")</f>
        <v/>
      </c>
      <c r="E1606" s="3" t="n"/>
      <c r="F1606" s="3" t="inlineStr">
        <is>
          <t>ផ្ញើ</t>
        </is>
      </c>
      <c r="G1606" s="3" t="n"/>
      <c r="H1606" s="217" t="inlineStr">
        <is>
          <t>"delivery.warehouse.OTP.send": "ផ្ញើ",</t>
        </is>
      </c>
      <c r="I1606" t="inlineStr">
        <is>
          <t>ផ្ញើ</t>
        </is>
      </c>
    </row>
    <row r="1607">
      <c r="A1607" s="3" t="inlineStr">
        <is>
          <t>delivery.warehouse.OTP.sendOtpToEmail</t>
        </is>
      </c>
      <c r="B1607" s="3" t="inlineStr">
        <is>
          <t>Nhập OTP vừa được gửi tới email</t>
        </is>
      </c>
      <c r="C1607" s="3" t="inlineStr">
        <is>
          <t>Enter the received OTP code from email</t>
        </is>
      </c>
      <c r="D1607" s="217">
        <f>IFERROR(__xludf.DUMMYFUNCTION("GOOGLETRANSLATE(C1607,""vi"",""km"")"),"បញ្ចូលលេខកូដ OTP ដែលបានទទួលពីអ៊ីមែល")</f>
        <v/>
      </c>
      <c r="E1607" s="3" t="n"/>
      <c r="F1607" s="3" t="inlineStr">
        <is>
          <t>បញ្ចូលលេខកូដ OTP ដែលបានទទួលពីអ៊ីមែល</t>
        </is>
      </c>
      <c r="G1607" s="3" t="n"/>
      <c r="H1607" s="217" t="inlineStr">
        <is>
          <t>"delivery.warehouse.OTP.sendOtpToEmail": "បញ្ចូលលេខកូដ OTP ដែលបានទទួលពីអ៊ីមែល",</t>
        </is>
      </c>
      <c r="I1607" t="inlineStr">
        <is>
          <t>បញ្ចូលលេខកូដ OTP ដែលបានទទួលពីអ៊ីមែល</t>
        </is>
      </c>
    </row>
    <row r="1608">
      <c r="A1608" s="3" t="inlineStr">
        <is>
          <t>delivery.warehouse.OTP.supportOtp</t>
        </is>
      </c>
      <c r="B1608" s="3" t="inlineStr">
        <is>
          <t>Quý khách chưa nhận được OTP?</t>
        </is>
      </c>
      <c r="C1608" s="3" t="inlineStr">
        <is>
          <t>Can't recceive OTP code?</t>
        </is>
      </c>
      <c r="D1608" s="217">
        <f>IFERROR(__xludf.DUMMYFUNCTION("GOOGLETRANSLATE(C1608,""vi"",""km"")"),"មិនអាចទទួលបានលេខកូដ OTP មែនទេ?")</f>
        <v/>
      </c>
      <c r="E1608" s="3" t="n"/>
      <c r="F1608" s="3" t="inlineStr">
        <is>
          <t>មិនអាចទទួលបានលេខកូដ OTP មែនទេ?</t>
        </is>
      </c>
      <c r="G1608" s="3" t="n"/>
      <c r="H1608" s="217" t="inlineStr">
        <is>
          <t>"delivery.warehouse.OTP.supportOtp": "មិនអាចទទួលបានលេខកូដ OTP មែនទេ?",</t>
        </is>
      </c>
      <c r="I1608" t="inlineStr">
        <is>
          <t>មិនអាចទទួលបានលេខកូដ OTP មែនទេ?</t>
        </is>
      </c>
    </row>
    <row r="1609">
      <c r="A1609" s="3" t="inlineStr">
        <is>
          <t>delivery.warehouse.OTP.title</t>
        </is>
      </c>
      <c r="B1609" s="3" t="inlineStr">
        <is>
          <t>Xác thực OTP</t>
        </is>
      </c>
      <c r="C1609" s="3" t="inlineStr">
        <is>
          <t>OTP verification</t>
        </is>
      </c>
      <c r="D1609" s="217">
        <f>IFERROR(__xludf.DUMMYFUNCTION("GOOGLETRANSLATE(C1609,""vi"",""km"")"),"អ្នកពិនិត្យការងារ O")</f>
        <v/>
      </c>
      <c r="E1609" s="3" t="n"/>
      <c r="F1609" s="3" t="inlineStr">
        <is>
          <t>អ្នកពិនិត្យការងារ O</t>
        </is>
      </c>
      <c r="G1609" s="3" t="n"/>
      <c r="H1609" s="217" t="inlineStr">
        <is>
          <t>"delivery.warehouse.OTP.title": "អ្នកពិនិត្យការងារ O",</t>
        </is>
      </c>
      <c r="I1609" t="inlineStr">
        <is>
          <t>អ្នកពិនិត្យការងារ O</t>
        </is>
      </c>
    </row>
    <row r="1610">
      <c r="A1610" s="3" t="inlineStr">
        <is>
          <t>delivery.warehouse.address.districtKH</t>
        </is>
      </c>
      <c r="B1610" s="3" t="inlineStr">
        <is>
          <t>Huyện</t>
        </is>
      </c>
      <c r="C1610" s="3" t="inlineStr">
        <is>
          <t>District</t>
        </is>
      </c>
      <c r="D1610" s="217">
        <f>IFERROR(__xludf.DUMMYFUNCTION("GOOGLETRANSLATE(C1610,""vi"",""km"")"),"ស្រុក")</f>
        <v/>
      </c>
      <c r="E1610" s="3" t="n"/>
      <c r="F1610" s="3" t="inlineStr">
        <is>
          <t>ស្រុក</t>
        </is>
      </c>
      <c r="G1610" s="3" t="n"/>
      <c r="H1610" s="217" t="inlineStr">
        <is>
          <t>"delivery.warehouse.address.districtKH": "ស្រុក",</t>
        </is>
      </c>
      <c r="I1610" t="inlineStr">
        <is>
          <t>ស្រុក</t>
        </is>
      </c>
    </row>
    <row r="1611">
      <c r="A1611" s="3" t="inlineStr">
        <is>
          <t>delivery.warehouse.address.districtLA</t>
        </is>
      </c>
      <c r="B1611" s="3" t="inlineStr">
        <is>
          <t>Mường</t>
        </is>
      </c>
      <c r="C1611" s="3" t="inlineStr">
        <is>
          <t>District</t>
        </is>
      </c>
      <c r="D1611" s="217">
        <f>IFERROR(__xludf.DUMMYFUNCTION("GOOGLETRANSLATE(C1611,""vi"",""km"")"),"ស្រុក")</f>
        <v/>
      </c>
      <c r="E1611" s="3" t="n"/>
      <c r="F1611" s="3" t="inlineStr">
        <is>
          <t>ស្រុក</t>
        </is>
      </c>
      <c r="G1611" s="3" t="n"/>
      <c r="H1611" s="217" t="inlineStr">
        <is>
          <t>"delivery.warehouse.address.districtLA": "ស្រុក",</t>
        </is>
      </c>
      <c r="I1611" t="inlineStr">
        <is>
          <t>ស្រុក</t>
        </is>
      </c>
    </row>
    <row r="1612">
      <c r="A1612" s="3" t="inlineStr">
        <is>
          <t>delivery.warehouse.address.districtMM</t>
        </is>
      </c>
      <c r="B1612" s="3" t="inlineStr">
        <is>
          <t>Huyện</t>
        </is>
      </c>
      <c r="C1612" s="3" t="inlineStr">
        <is>
          <t>District</t>
        </is>
      </c>
      <c r="D1612" s="217">
        <f>IFERROR(__xludf.DUMMYFUNCTION("GOOGLETRANSLATE(C1612,""vi"",""km"")"),"ស្រុក")</f>
        <v/>
      </c>
      <c r="E1612" s="3" t="n"/>
      <c r="F1612" s="3" t="inlineStr">
        <is>
          <t>ស្រុក</t>
        </is>
      </c>
      <c r="G1612" s="3" t="n"/>
      <c r="H1612" s="217" t="inlineStr">
        <is>
          <t>"delivery.warehouse.address.districtMM": "ស្រុក",</t>
        </is>
      </c>
      <c r="I1612" t="inlineStr">
        <is>
          <t>ស្រុក</t>
        </is>
      </c>
    </row>
    <row r="1613">
      <c r="A1613" s="3" t="inlineStr">
        <is>
          <t>delivery.warehouse.address.districtPlaceholderKH</t>
        </is>
      </c>
      <c r="B1613" s="3" t="inlineStr">
        <is>
          <t>Chọn huyện</t>
        </is>
      </c>
      <c r="C1613" s="3" t="inlineStr">
        <is>
          <t>Select district</t>
        </is>
      </c>
      <c r="D1613" s="217">
        <f>IFERROR(__xludf.DUMMYFUNCTION("GOOGLETRANSLATE(C1613,""vi"",""km"")"),"ជ្រើសរើសស្រុក")</f>
        <v/>
      </c>
      <c r="E1613" s="3" t="n"/>
      <c r="F1613" s="3" t="inlineStr">
        <is>
          <t>ជ្រើសរើសស្រុក</t>
        </is>
      </c>
      <c r="G1613" s="3" t="n"/>
      <c r="H1613" s="217" t="inlineStr">
        <is>
          <t>"delivery.warehouse.address.districtPlaceholderKH": "ជ្រើសរើសស្រុក",</t>
        </is>
      </c>
      <c r="I1613" t="inlineStr">
        <is>
          <t>ជ្រើសរើសស្រុក</t>
        </is>
      </c>
    </row>
    <row r="1614">
      <c r="A1614" s="3" t="inlineStr">
        <is>
          <t>delivery.warehouse.address.districtPlaceholderLA</t>
        </is>
      </c>
      <c r="B1614" s="3" t="inlineStr">
        <is>
          <t>Chọn mường</t>
        </is>
      </c>
      <c r="C1614" s="3" t="inlineStr">
        <is>
          <t>Select district</t>
        </is>
      </c>
      <c r="D1614" s="217">
        <f>IFERROR(__xludf.DUMMYFUNCTION("GOOGLETRANSLATE(C1614,""vi"",""km"")"),"ជ្រើសរើសស្រុក")</f>
        <v/>
      </c>
      <c r="E1614" s="3" t="n"/>
      <c r="F1614" s="3" t="inlineStr">
        <is>
          <t>ជ្រើសរើសស្រុក</t>
        </is>
      </c>
      <c r="G1614" s="3" t="n"/>
      <c r="H1614" s="217" t="inlineStr">
        <is>
          <t>"delivery.warehouse.address.districtPlaceholderLA": "ជ្រើសរើសស្រុក",</t>
        </is>
      </c>
      <c r="I1614" t="inlineStr">
        <is>
          <t>ជ្រើសរើសស្រុក</t>
        </is>
      </c>
    </row>
    <row r="1615">
      <c r="A1615" s="3" t="inlineStr">
        <is>
          <t>delivery.warehouse.address.districtPlaceholderMM</t>
        </is>
      </c>
      <c r="B1615" s="3" t="inlineStr">
        <is>
          <t>Chọn huyện</t>
        </is>
      </c>
      <c r="C1615" s="3" t="inlineStr">
        <is>
          <t>Select district</t>
        </is>
      </c>
      <c r="D1615" s="217">
        <f>IFERROR(__xludf.DUMMYFUNCTION("GOOGLETRANSLATE(C1615,""vi"",""km"")"),"ជ្រើសរើសស្រុក")</f>
        <v/>
      </c>
      <c r="E1615" s="3" t="n"/>
      <c r="F1615" s="3" t="inlineStr">
        <is>
          <t>ជ្រើសរើសស្រុក</t>
        </is>
      </c>
      <c r="G1615" s="3" t="n"/>
      <c r="H1615" s="217" t="inlineStr">
        <is>
          <t>"delivery.warehouse.address.districtPlaceholderMM": "ជ្រើសរើសស្រុក",</t>
        </is>
      </c>
      <c r="I1615" t="inlineStr">
        <is>
          <t>ជ្រើសរើសស្រុក</t>
        </is>
      </c>
    </row>
    <row r="1616">
      <c r="A1616" s="3" t="inlineStr">
        <is>
          <t>delivery.warehouse.address.postOffice</t>
        </is>
      </c>
      <c r="B1616" s="3" t="inlineStr">
        <is>
          <t>Bưu cục</t>
        </is>
      </c>
      <c r="C1616" s="3" t="inlineStr">
        <is>
          <t>Post Office</t>
        </is>
      </c>
      <c r="D1616" s="217">
        <f>IFERROR(__xludf.DUMMYFUNCTION("GOOGLETRANSLATE(C1616,""vi"",""km"")"),"ការិយាល័យប្រៃសណីយ៍")</f>
        <v/>
      </c>
      <c r="E1616" s="3" t="n"/>
      <c r="F1616" s="3" t="inlineStr">
        <is>
          <t>ការិយាល័យប្រៃសណីយ៍</t>
        </is>
      </c>
      <c r="G1616" s="3" t="n"/>
      <c r="H1616" s="217" t="inlineStr">
        <is>
          <t>"delivery.warehouse.address.postOffice": "ការិយាល័យប្រៃសណីយ៍",</t>
        </is>
      </c>
      <c r="I1616" t="inlineStr">
        <is>
          <t>ការិយាល័យប្រៃសណីយ៍</t>
        </is>
      </c>
    </row>
    <row r="1617">
      <c r="A1617" s="3" t="inlineStr">
        <is>
          <t>delivery.warehouse.address.provinceKH</t>
        </is>
      </c>
      <c r="B1617" s="3" t="inlineStr">
        <is>
          <t>Tỉnh</t>
        </is>
      </c>
      <c r="C1617" s="3" t="inlineStr">
        <is>
          <t>Province</t>
        </is>
      </c>
      <c r="D1617" s="217">
        <f>IFERROR(__xludf.DUMMYFUNCTION("GOOGLETRANSLATE(C1617,""vi"",""km"")"),"ខេត្ត")</f>
        <v/>
      </c>
      <c r="E1617" s="3" t="n"/>
      <c r="F1617" s="3" t="inlineStr">
        <is>
          <t>ខេត្ត</t>
        </is>
      </c>
      <c r="G1617" s="3" t="n"/>
      <c r="H1617" s="217" t="inlineStr">
        <is>
          <t>"delivery.warehouse.address.provinceKH": "ខេត្ត",</t>
        </is>
      </c>
      <c r="I1617" t="inlineStr">
        <is>
          <t>ខេត្ត</t>
        </is>
      </c>
    </row>
    <row r="1618">
      <c r="A1618" s="3" t="inlineStr">
        <is>
          <t>delivery.warehouse.address.provinceLA</t>
        </is>
      </c>
      <c r="B1618" s="3" t="inlineStr">
        <is>
          <t>Tỉnh</t>
        </is>
      </c>
      <c r="C1618" s="3" t="inlineStr">
        <is>
          <t>Province</t>
        </is>
      </c>
      <c r="D1618" s="217">
        <f>IFERROR(__xludf.DUMMYFUNCTION("GOOGLETRANSLATE(C1618,""vi"",""km"")"),"ខេត្ត")</f>
        <v/>
      </c>
      <c r="E1618" s="3" t="n"/>
      <c r="F1618" s="3" t="inlineStr">
        <is>
          <t>ខេត្ត</t>
        </is>
      </c>
      <c r="G1618" s="3" t="n"/>
      <c r="H1618" s="217" t="inlineStr">
        <is>
          <t>"delivery.warehouse.address.provinceLA": "ខេត្ត",</t>
        </is>
      </c>
      <c r="I1618" t="inlineStr">
        <is>
          <t>ខេត្ត</t>
        </is>
      </c>
    </row>
    <row r="1619">
      <c r="A1619" s="3" t="inlineStr">
        <is>
          <t>delivery.warehouse.address.provinceMM</t>
        </is>
      </c>
      <c r="B1619" s="3" t="inlineStr">
        <is>
          <t>Liên bang/Vùng</t>
        </is>
      </c>
      <c r="C1619" s="3" t="inlineStr">
        <is>
          <t>Region</t>
        </is>
      </c>
      <c r="D1619" s="217">
        <f>IFERROR(__xludf.DUMMYFUNCTION("GOOGLETRANSLATE(C1619,""vi"",""km"")"),"តំបន់")</f>
        <v/>
      </c>
      <c r="E1619" s="3" t="n"/>
      <c r="F1619" s="3" t="inlineStr">
        <is>
          <t>តំបន់</t>
        </is>
      </c>
      <c r="G1619" s="3" t="n"/>
      <c r="H1619" s="217" t="inlineStr">
        <is>
          <t>"delivery.warehouse.address.provinceMM": "តំបន់",</t>
        </is>
      </c>
      <c r="I1619" t="inlineStr">
        <is>
          <t>តំបន់</t>
        </is>
      </c>
    </row>
    <row r="1620">
      <c r="A1620" s="3" t="inlineStr">
        <is>
          <t>delivery.warehouse.address.provincePlaceholderKH</t>
        </is>
      </c>
      <c r="B1620" s="3" t="inlineStr">
        <is>
          <t>Chọn tỉnh</t>
        </is>
      </c>
      <c r="C1620" s="3" t="inlineStr">
        <is>
          <t>Select province</t>
        </is>
      </c>
      <c r="D1620" s="217">
        <f>IFERROR(__xludf.DUMMYFUNCTION("GOOGLETRANSLATE(C1620,""vi"",""km"")"),"ជ្រើសរើសខេត្ត")</f>
        <v/>
      </c>
      <c r="E1620" s="3" t="n"/>
      <c r="F1620" s="3" t="inlineStr">
        <is>
          <t>ជ្រើសរើសខេត្ត</t>
        </is>
      </c>
      <c r="G1620" s="3" t="n"/>
      <c r="H1620" s="217" t="inlineStr">
        <is>
          <t>"delivery.warehouse.address.provincePlaceholderKH": "ជ្រើសរើសខេត្ត",</t>
        </is>
      </c>
      <c r="I1620" t="inlineStr">
        <is>
          <t>ជ្រើសរើសខេត្ត</t>
        </is>
      </c>
    </row>
    <row r="1621">
      <c r="A1621" s="3" t="inlineStr">
        <is>
          <t>delivery.warehouse.address.provincePlaceholderLA</t>
        </is>
      </c>
      <c r="B1621" s="3" t="inlineStr">
        <is>
          <t>Chọn tỉnh</t>
        </is>
      </c>
      <c r="C1621" s="3" t="inlineStr">
        <is>
          <t>Select province</t>
        </is>
      </c>
      <c r="D1621" s="217">
        <f>IFERROR(__xludf.DUMMYFUNCTION("GOOGLETRANSLATE(C1621,""vi"",""km"")"),"ជ្រើសរើសខេត្ត")</f>
        <v/>
      </c>
      <c r="E1621" s="3" t="n"/>
      <c r="F1621" s="3" t="inlineStr">
        <is>
          <t>ជ្រើសរើសខេត្ត</t>
        </is>
      </c>
      <c r="G1621" s="3" t="n"/>
      <c r="H1621" s="217" t="inlineStr">
        <is>
          <t>"delivery.warehouse.address.provincePlaceholderLA": "ជ្រើសរើសខេត្ត",</t>
        </is>
      </c>
      <c r="I1621" t="inlineStr">
        <is>
          <t>ជ្រើសរើសខេត្ត</t>
        </is>
      </c>
    </row>
    <row r="1622">
      <c r="A1622" s="3" t="inlineStr">
        <is>
          <t>delivery.warehouse.address.provincePlaceholderMM</t>
        </is>
      </c>
      <c r="B1622" s="3" t="inlineStr">
        <is>
          <t>Chọn liên bang/Vùng</t>
        </is>
      </c>
      <c r="C1622" s="3" t="inlineStr">
        <is>
          <t>Select region</t>
        </is>
      </c>
      <c r="D1622" s="217">
        <f>IFERROR(__xludf.DUMMYFUNCTION("GOOGLETRANSLATE(C1622,""vi"",""km"")"),"ជ្រើសរើសតំបន់")</f>
        <v/>
      </c>
      <c r="E1622" s="3" t="n"/>
      <c r="F1622" s="3" t="inlineStr">
        <is>
          <t>ជ្រើសរើសតំបន់</t>
        </is>
      </c>
      <c r="G1622" s="3" t="n"/>
      <c r="H1622" s="217" t="inlineStr">
        <is>
          <t>"delivery.warehouse.address.provincePlaceholderMM": "ជ្រើសរើសតំបន់",</t>
        </is>
      </c>
      <c r="I1622" t="inlineStr">
        <is>
          <t>ជ្រើសរើសតំបន់</t>
        </is>
      </c>
    </row>
    <row r="1623">
      <c r="A1623" s="3" t="inlineStr">
        <is>
          <t>delivery.warehouse.address.wardKH</t>
        </is>
      </c>
      <c r="B1623" s="3" t="inlineStr">
        <is>
          <t>Xã</t>
        </is>
      </c>
      <c r="C1623" s="3" t="inlineStr">
        <is>
          <t>Commune</t>
        </is>
      </c>
      <c r="D1623" s="217">
        <f>IFERROR(__xludf.DUMMYFUNCTION("GOOGLETRANSLATE(C1623,""vi"",""km"")"),"ឃុំ")</f>
        <v/>
      </c>
      <c r="E1623" s="3" t="n"/>
      <c r="F1623" s="3" t="inlineStr">
        <is>
          <t>ឃុំ</t>
        </is>
      </c>
      <c r="G1623" s="3" t="n"/>
      <c r="H1623" s="217" t="inlineStr">
        <is>
          <t>"delivery.warehouse.address.wardKH": "ឃុំ",</t>
        </is>
      </c>
      <c r="I1623" t="inlineStr">
        <is>
          <t>ឃុំ</t>
        </is>
      </c>
    </row>
    <row r="1624">
      <c r="A1624" s="3" t="inlineStr">
        <is>
          <t>delivery.warehouse.address.wardLA</t>
        </is>
      </c>
      <c r="B1624" s="3" t="inlineStr">
        <is>
          <t>Xã</t>
        </is>
      </c>
      <c r="C1624" s="3" t="inlineStr">
        <is>
          <t>Village</t>
        </is>
      </c>
      <c r="D1624" s="217">
        <f>IFERROR(__xludf.DUMMYFUNCTION("GOOGLETRANSLATE(C1624,""vi"",""km"")"),"ភូមិ")</f>
        <v/>
      </c>
      <c r="E1624" s="3" t="n"/>
      <c r="F1624" s="3" t="inlineStr">
        <is>
          <t>ភូមិ</t>
        </is>
      </c>
      <c r="G1624" s="3" t="n"/>
      <c r="H1624" s="217" t="inlineStr">
        <is>
          <t>"delivery.warehouse.address.wardLA": "ភូមិ",</t>
        </is>
      </c>
      <c r="I1624" t="inlineStr">
        <is>
          <t>ភូមិ</t>
        </is>
      </c>
    </row>
    <row r="1625">
      <c r="A1625" s="3" t="inlineStr">
        <is>
          <t>delivery.warehouse.address.wardMM</t>
        </is>
      </c>
      <c r="B1625" s="3" t="inlineStr">
        <is>
          <t>Thị trấn</t>
        </is>
      </c>
      <c r="C1625" s="3" t="inlineStr">
        <is>
          <t>Ward</t>
        </is>
      </c>
      <c r="D1625" s="217">
        <f>IFERROR(__xludf.DUMMYFUNCTION("GOOGLETRANSLATE(C1625,""vi"",""km"")"),"ធនធានមនុស្ស")</f>
        <v/>
      </c>
      <c r="E1625" s="3" t="n"/>
      <c r="F1625" s="3" t="inlineStr">
        <is>
          <t>ធនធានមនុស្ស</t>
        </is>
      </c>
      <c r="G1625" s="3" t="n"/>
      <c r="H1625" s="217" t="inlineStr">
        <is>
          <t>"delivery.warehouse.address.wardMM": "ធនធានមនុស្ស",</t>
        </is>
      </c>
      <c r="I1625" t="inlineStr">
        <is>
          <t>ធនធានមនុស្ស</t>
        </is>
      </c>
    </row>
    <row r="1626">
      <c r="A1626" s="3" t="inlineStr">
        <is>
          <t>delivery.warehouse.address.wardPlaceholderKH</t>
        </is>
      </c>
      <c r="B1626" s="3" t="inlineStr">
        <is>
          <t>Chọn xã</t>
        </is>
      </c>
      <c r="C1626" s="3" t="inlineStr">
        <is>
          <t>Select commune</t>
        </is>
      </c>
      <c r="D1626" s="217">
        <f>IFERROR(__xludf.DUMMYFUNCTION("GOOGLETRANSLATE(C1626,""vi"",""km"")"),"ជ្រើសរើសឃុំ")</f>
        <v/>
      </c>
      <c r="E1626" s="3" t="n"/>
      <c r="F1626" s="3" t="inlineStr">
        <is>
          <t>ជ្រើសរើសឃុំ</t>
        </is>
      </c>
      <c r="G1626" s="3" t="n"/>
      <c r="H1626" s="217" t="inlineStr">
        <is>
          <t>"delivery.warehouse.address.wardPlaceholderKH": "ជ្រើសរើសឃុំ",</t>
        </is>
      </c>
      <c r="I1626" t="inlineStr">
        <is>
          <t>ជ្រើសរើសឃុំ</t>
        </is>
      </c>
    </row>
    <row r="1627">
      <c r="A1627" s="3" t="inlineStr">
        <is>
          <t>delivery.warehouse.address.wardPlaceholderLA</t>
        </is>
      </c>
      <c r="B1627" s="3" t="inlineStr">
        <is>
          <t>Chọn xã</t>
        </is>
      </c>
      <c r="C1627" s="3" t="inlineStr">
        <is>
          <t>Select village</t>
        </is>
      </c>
      <c r="D1627" s="217">
        <f>IFERROR(__xludf.DUMMYFUNCTION("GOOGLETRANSLATE(C1627,""vi"",""km"")"),"ជ្រើសរើសភូមិ")</f>
        <v/>
      </c>
      <c r="E1627" s="3" t="n"/>
      <c r="F1627" s="3" t="inlineStr">
        <is>
          <t>ជ្រើសរើសភូមិ</t>
        </is>
      </c>
      <c r="G1627" s="3" t="n"/>
      <c r="H1627" s="217" t="inlineStr">
        <is>
          <t>"delivery.warehouse.address.wardPlaceholderLA": "ជ្រើសរើសភូមិ",</t>
        </is>
      </c>
      <c r="I1627" t="inlineStr">
        <is>
          <t>ជ្រើសរើសភូមិ</t>
        </is>
      </c>
    </row>
    <row r="1628">
      <c r="A1628" s="3" t="inlineStr">
        <is>
          <t>delivery.warehouse.address.wardPlaceholderMM</t>
        </is>
      </c>
      <c r="B1628" s="3" t="inlineStr">
        <is>
          <t>Chọn thị trấn</t>
        </is>
      </c>
      <c r="C1628" s="3" t="inlineStr">
        <is>
          <t>Select ward</t>
        </is>
      </c>
      <c r="D1628" s="217">
        <f>IFERROR(__xludf.DUMMYFUNCTION("GOOGLETRANSLATE(C1628,""vi"",""km"")"),"ជ្រើសរើសវួដ")</f>
        <v/>
      </c>
      <c r="E1628" s="3" t="n"/>
      <c r="F1628" s="3" t="inlineStr">
        <is>
          <t>ជ្រើសរើសវួដ</t>
        </is>
      </c>
      <c r="G1628" s="3" t="n"/>
      <c r="H1628" s="217" t="inlineStr">
        <is>
          <t>"delivery.warehouse.address.wardPlaceholderMM": "ជ្រើសរើសវួដ",</t>
        </is>
      </c>
      <c r="I1628" t="inlineStr">
        <is>
          <t>ជ្រើសរើសវួដ</t>
        </is>
      </c>
    </row>
    <row r="1629">
      <c r="A1629" s="3" t="inlineStr">
        <is>
          <t>delivery.warehouse.areaConfig.selectDistrict</t>
        </is>
      </c>
      <c r="B1629" s="3" t="inlineStr">
        <is>
          <t>Chọn quận/huyện</t>
        </is>
      </c>
      <c r="C1629" s="3" t="inlineStr">
        <is>
          <t>Select district</t>
        </is>
      </c>
      <c r="D1629" s="217">
        <f>IFERROR(__xludf.DUMMYFUNCTION("GOOGLETRANSLATE(C1629,""vi"",""km"")"),"ជ្រើសរើសស្រុក")</f>
        <v/>
      </c>
      <c r="E1629" s="3" t="n"/>
      <c r="F1629" s="3" t="inlineStr">
        <is>
          <t>ជ្រើសរើសស្រុក</t>
        </is>
      </c>
      <c r="G1629" s="3" t="n"/>
      <c r="H1629" s="217" t="inlineStr">
        <is>
          <t>"delivery.warehouse.areaConfig.selectDistrict": "ជ្រើសរើសស្រុក",</t>
        </is>
      </c>
      <c r="I1629" t="inlineStr">
        <is>
          <t>ជ្រើសរើសស្រុក</t>
        </is>
      </c>
    </row>
    <row r="1630">
      <c r="A1630" s="3" t="inlineStr">
        <is>
          <t>delivery.warehouse.areaConfig.selectDistrictPlaceholder</t>
        </is>
      </c>
      <c r="B1630" s="3" t="inlineStr">
        <is>
          <t>Quận/huyện</t>
        </is>
      </c>
      <c r="C1630" s="3" t="inlineStr">
        <is>
          <t>Enter district</t>
        </is>
      </c>
      <c r="D1630" s="217">
        <f>IFERROR(__xludf.DUMMYFUNCTION("GOOGLETRANSLATE(C1630,""vi"",""km"")"),"បញ្ចូលស្រុក")</f>
        <v/>
      </c>
      <c r="E1630" s="3" t="n"/>
      <c r="F1630" s="3" t="inlineStr">
        <is>
          <t>បញ្ចូលស្រុក</t>
        </is>
      </c>
      <c r="G1630" s="3" t="n"/>
      <c r="H1630" s="217" t="inlineStr">
        <is>
          <t>"delivery.warehouse.areaConfig.selectDistrictPlaceholder": "បញ្ចូលស្រុក",</t>
        </is>
      </c>
      <c r="I1630" t="inlineStr">
        <is>
          <t>បញ្ចូលស្រុក</t>
        </is>
      </c>
    </row>
    <row r="1631">
      <c r="A1631" s="3" t="inlineStr">
        <is>
          <t>delivery.warehouse.areaConfig.selectTownship</t>
        </is>
      </c>
      <c r="B1631" s="3" t="inlineStr">
        <is>
          <t>Chọn phường/xã</t>
        </is>
      </c>
      <c r="C1631" s="3" t="inlineStr">
        <is>
          <t>Select ward/ commune</t>
        </is>
      </c>
      <c r="D1631" s="217">
        <f>IFERROR(__xludf.DUMMYFUNCTION("GOOGLETRANSLATE(C1631,""vi"",""km"")"),"ជ្រើសរើស​សង្កាត់/ឃុំ")</f>
        <v/>
      </c>
      <c r="E1631" s="3" t="n"/>
      <c r="F1631" s="3" t="inlineStr">
        <is>
          <t>ជ្រើសរើសសង្កាត់/ឃុំ</t>
        </is>
      </c>
      <c r="G1631" s="3" t="n"/>
      <c r="H1631" s="217" t="inlineStr">
        <is>
          <t>"delivery.warehouse.areaConfig.selectTownship": "ជ្រើសរើសសង្កាត់/ឃុំ",</t>
        </is>
      </c>
      <c r="I1631" t="inlineStr">
        <is>
          <t>ជ្រើសរើសសង្កាត់/ឃុំ</t>
        </is>
      </c>
    </row>
    <row r="1632">
      <c r="A1632" s="3" t="inlineStr">
        <is>
          <t>delivery.warehouse.areaConfig.selectTownshipPlaceholder</t>
        </is>
      </c>
      <c r="B1632" s="3" t="inlineStr">
        <is>
          <t>Xã/phường</t>
        </is>
      </c>
      <c r="C1632" s="3" t="inlineStr">
        <is>
          <t>Enter ward/ commune</t>
        </is>
      </c>
      <c r="D1632" s="217">
        <f>IFERROR(__xludf.DUMMYFUNCTION("GOOGLETRANSLATE(C1632,""vi"",""km"")"),"បញ្ចូល​វួដ/ឃុំ")</f>
        <v/>
      </c>
      <c r="E1632" s="3" t="n"/>
      <c r="F1632" s="3" t="inlineStr">
        <is>
          <t>បញ្ចូលវួដ/ឃុំ</t>
        </is>
      </c>
      <c r="G1632" s="3" t="n"/>
      <c r="H1632" s="217" t="inlineStr">
        <is>
          <t>"delivery.warehouse.areaConfig.selectTownshipPlaceholder": "បញ្ចូលវួដ/ឃុំ",</t>
        </is>
      </c>
      <c r="I1632" t="inlineStr">
        <is>
          <t>បញ្ចូលវួដ/ឃុំ</t>
        </is>
      </c>
    </row>
    <row r="1633">
      <c r="A1633" s="3" t="inlineStr">
        <is>
          <t>delivery.warehouse.areaConfig.total</t>
        </is>
      </c>
      <c r="B1633" s="3" t="inlineStr">
        <is>
          <t>Tổng địa danh</t>
        </is>
      </c>
      <c r="C1633" s="3" t="inlineStr">
        <is>
          <t>Total area</t>
        </is>
      </c>
      <c r="D1633" s="217">
        <f>IFERROR(__xludf.DUMMYFUNCTION("GOOGLETRANSLATE(C1633,""vi"",""km"")"),"ផ្ទៃដីសរុប")</f>
        <v/>
      </c>
      <c r="E1633" s="3" t="n"/>
      <c r="F1633" s="3" t="inlineStr">
        <is>
          <t>ផ្ទៃដីសរុប</t>
        </is>
      </c>
      <c r="G1633" s="3" t="n"/>
      <c r="H1633" s="217" t="inlineStr">
        <is>
          <t>"delivery.warehouse.areaConfig.total": "ផ្ទៃដីសរុប",</t>
        </is>
      </c>
      <c r="I1633" t="inlineStr">
        <is>
          <t>ផ្ទៃដីសរុប</t>
        </is>
      </c>
    </row>
    <row r="1634">
      <c r="A1634" s="3" t="inlineStr">
        <is>
          <t>delivery.warehouse.areaDelivery.deleteSuccess</t>
        </is>
      </c>
      <c r="B1634" s="3" t="inlineStr">
        <is>
          <t>Xóa địa danh thành công</t>
        </is>
      </c>
      <c r="C1634" s="3" t="inlineStr">
        <is>
          <t>Deleted address successfully</t>
        </is>
      </c>
      <c r="D1634" s="217">
        <f>IFERROR(__xludf.DUMMYFUNCTION("GOOGLETRANSLATE(C1634,""vi"",""km"")"),"បានលុបអាសយដ្ឋានដោយជោគជ័យ")</f>
        <v/>
      </c>
      <c r="E1634" s="3" t="n"/>
      <c r="F1634" s="3" t="inlineStr">
        <is>
          <t>បានលុបអាសយដ្ឋានដោយជោគជ័យ</t>
        </is>
      </c>
      <c r="G1634" s="3" t="n"/>
      <c r="H1634" s="217" t="inlineStr">
        <is>
          <t>"delivery.warehouse.areaDelivery.deleteSuccess": "បានលុបអាសយដ្ឋានដោយជោគជ័យ",</t>
        </is>
      </c>
      <c r="I1634" t="inlineStr">
        <is>
          <t>បានលុបអាសយដ្ឋានដោយជោគជ័យ</t>
        </is>
      </c>
    </row>
    <row r="1635">
      <c r="A1635" s="3" t="inlineStr">
        <is>
          <t>delivery.warehouse.areaDelivery.district</t>
        </is>
      </c>
      <c r="B1635" s="3" t="inlineStr">
        <is>
          <t>Quận/Huyện</t>
        </is>
      </c>
      <c r="C1635" s="3" t="inlineStr">
        <is>
          <t>District</t>
        </is>
      </c>
      <c r="D1635" s="217">
        <f>IFERROR(__xludf.DUMMYFUNCTION("GOOGLETRANSLATE(C1635,""vi"",""km"")"),"ស្រុក")</f>
        <v/>
      </c>
      <c r="E1635" s="3" t="n"/>
      <c r="F1635" s="3" t="inlineStr">
        <is>
          <t>ស្រុក/ខណ្ឌ</t>
        </is>
      </c>
      <c r="G1635" s="3" t="n"/>
      <c r="H1635" s="217" t="inlineStr">
        <is>
          <t>"delivery.warehouse.areaDelivery.district": "ស្រុក/ខណ្ឌ",</t>
        </is>
      </c>
      <c r="I1635" t="inlineStr">
        <is>
          <t>ស្រុក/ខណ្ឌ</t>
        </is>
      </c>
    </row>
    <row r="1636">
      <c r="A1636" s="3" t="inlineStr">
        <is>
          <t>delivery.warehouse.areaDelivery.notiChangeStatus</t>
        </is>
      </c>
      <c r="B1636" s="3" t="inlineStr">
        <is>
          <t>Bạn có chác chắn muốn xóa địa danh giao của tuyến hay không</t>
        </is>
      </c>
      <c r="C1636" s="3" t="inlineStr">
        <is>
          <t>Are you sure you want to delete the delivery address?</t>
        </is>
      </c>
      <c r="D1636" s="217">
        <f>IFERROR(__xludf.DUMMYFUNCTION("GOOGLETRANSLATE(C1636,""vi"",""km"")"),"តើអ្នកពិតជាចង់លុបអាសយដ្ឋានដឹកជញ្ជូនមែនទេ?")</f>
        <v/>
      </c>
      <c r="E1636" s="3" t="n"/>
      <c r="F1636" s="3" t="inlineStr">
        <is>
          <t>តើអ្នកពិតជាចង់លុបអាសយដ្ឋានដឹកជញ្ជូនមែនទេ?</t>
        </is>
      </c>
      <c r="G1636" s="3" t="n"/>
      <c r="H1636" s="217" t="inlineStr">
        <is>
          <t>"delivery.warehouse.areaDelivery.notiChangeStatus": "តើអ្នកពិតជាចង់លុបអាសយដ្ឋានដឹកជញ្ជូនមែនទេ?",</t>
        </is>
      </c>
      <c r="I1636" t="inlineStr">
        <is>
          <t>តើអ្នកពិតជាចង់លុបអាសយដ្ឋានដឹកជញ្ជូនមែនទេ?</t>
        </is>
      </c>
    </row>
    <row r="1637">
      <c r="A1637" s="3" t="inlineStr">
        <is>
          <t>delivery.warehouse.areaDelivery.selectDistrict</t>
        </is>
      </c>
      <c r="B1637" s="3" t="inlineStr">
        <is>
          <t>Chọn quận/huyện</t>
        </is>
      </c>
      <c r="C1637" s="3" t="inlineStr">
        <is>
          <t>Select district</t>
        </is>
      </c>
      <c r="D1637" s="217">
        <f>IFERROR(__xludf.DUMMYFUNCTION("GOOGLETRANSLATE(C1637,""vi"",""km"")"),"ជ្រើសរើសស្រុក")</f>
        <v/>
      </c>
      <c r="E1637" s="3" t="n"/>
      <c r="F1637" s="3" t="inlineStr">
        <is>
          <t>ជ្រើសរើសស្រុក</t>
        </is>
      </c>
      <c r="G1637" s="3" t="n"/>
      <c r="H1637" s="217" t="inlineStr">
        <is>
          <t>"delivery.warehouse.areaDelivery.selectDistrict": "ជ្រើសរើសស្រុក",</t>
        </is>
      </c>
      <c r="I1637" t="inlineStr">
        <is>
          <t>ជ្រើសរើសស្រុក</t>
        </is>
      </c>
    </row>
    <row r="1638">
      <c r="A1638" s="3" t="inlineStr">
        <is>
          <t>delivery.warehouse.areaDelivery.selectWard</t>
        </is>
      </c>
      <c r="B1638" s="3" t="inlineStr">
        <is>
          <t>Chọn phường/Xã</t>
        </is>
      </c>
      <c r="C1638" s="3" t="inlineStr">
        <is>
          <t>Select commune</t>
        </is>
      </c>
      <c r="D1638" s="217">
        <f>IFERROR(__xludf.DUMMYFUNCTION("GOOGLETRANSLATE(C1638,""vi"",""km"")"),"ជ្រើសរើសឃុំ")</f>
        <v/>
      </c>
      <c r="E1638" s="3" t="n"/>
      <c r="F1638" s="3" t="inlineStr">
        <is>
          <t>ជ្រើសរើសឃុំ</t>
        </is>
      </c>
      <c r="G1638" s="3" t="n"/>
      <c r="H1638" s="217" t="inlineStr">
        <is>
          <t>"delivery.warehouse.areaDelivery.selectWard": "ជ្រើសរើសឃុំ",</t>
        </is>
      </c>
      <c r="I1638" t="inlineStr">
        <is>
          <t>ជ្រើសរើសឃុំ</t>
        </is>
      </c>
    </row>
    <row r="1639">
      <c r="A1639" s="3" t="inlineStr">
        <is>
          <t>delivery.warehouse.areaDelivery.ward</t>
        </is>
      </c>
      <c r="B1639" s="3" t="inlineStr">
        <is>
          <t>Phường/Xã</t>
        </is>
      </c>
      <c r="C1639" s="3" t="inlineStr">
        <is>
          <t>Commune</t>
        </is>
      </c>
      <c r="D1639" s="217">
        <f>IFERROR(__xludf.DUMMYFUNCTION("GOOGLETRANSLATE(C1639,""vi"",""km"")"),"ឃុំ")</f>
        <v/>
      </c>
      <c r="E1639" s="3" t="n"/>
      <c r="F1639" s="3" t="inlineStr">
        <is>
          <t>ឃុំ/សង្កាត់</t>
        </is>
      </c>
      <c r="G1639" s="3" t="n"/>
      <c r="H1639" s="217" t="inlineStr">
        <is>
          <t>"delivery.warehouse.areaDelivery.ward": "ឃុំ/សង្កាត់",</t>
        </is>
      </c>
      <c r="I1639" t="inlineStr">
        <is>
          <t>ឃុំ/សង្កាត់</t>
        </is>
      </c>
    </row>
    <row r="1640">
      <c r="A1640" s="3" t="inlineStr">
        <is>
          <t>delivery.warehouse.auditPrint.NVBH</t>
        </is>
      </c>
      <c r="B1640" s="3" t="inlineStr">
        <is>
          <t>NVBH</t>
        </is>
      </c>
      <c r="C1640" s="3" t="inlineStr">
        <is>
          <t>Delivery-man</t>
        </is>
      </c>
      <c r="D1640" s="217">
        <f>IFERROR(__xludf.DUMMYFUNCTION("GOOGLETRANSLATE(C1640,""vi"",""km"")"),"អ្នកដឹកជញ្ជូន")</f>
        <v/>
      </c>
      <c r="E1640" s="3" t="n"/>
      <c r="F1640" s="3" t="inlineStr">
        <is>
          <t>បុគ្គលិកដឹកជញ្ជូន/លក់</t>
        </is>
      </c>
      <c r="G1640" s="3" t="n"/>
      <c r="H1640" s="217" t="inlineStr">
        <is>
          <t>"delivery.warehouse.auditPrint.NVBH": "បុគ្គលិកដឹកជញ្ជូន/លក់",</t>
        </is>
      </c>
      <c r="I1640" t="inlineStr">
        <is>
          <t>បុគ្គលិកដឹកជញ្ជូន/លក់</t>
        </is>
      </c>
    </row>
    <row r="1641">
      <c r="A1641" s="3" t="inlineStr">
        <is>
          <t>delivery.warehouse.auditPrint.assignedPostmanAt</t>
        </is>
      </c>
      <c r="B1641" s="3" t="inlineStr">
        <is>
          <t>Ngày PC</t>
        </is>
      </c>
      <c r="C1641" s="3" t="inlineStr">
        <is>
          <t>Date Assign</t>
        </is>
      </c>
      <c r="D1641" s="217">
        <f>IFERROR(__xludf.DUMMYFUNCTION("GOOGLETRANSLATE(C1641,""vi"",""km"")"),"កាលបរិច្ឆេទកំណត់")</f>
        <v/>
      </c>
      <c r="E1641" s="3" t="n"/>
      <c r="F1641" s="3" t="inlineStr">
        <is>
          <t>កាលបរិច្ឆេទកំណត់</t>
        </is>
      </c>
      <c r="G1641" s="3" t="n"/>
      <c r="H1641" s="217" t="inlineStr">
        <is>
          <t>"delivery.warehouse.auditPrint.assignedPostmanAt": "កាលបរិច្ឆេទកំណត់",</t>
        </is>
      </c>
      <c r="I1641" t="inlineStr">
        <is>
          <t>កាលបរិច្ឆេទកំណត់</t>
        </is>
      </c>
    </row>
    <row r="1642">
      <c r="A1642" s="3" t="inlineStr">
        <is>
          <t>delivery.warehouse.auditPrint.auditDate</t>
        </is>
      </c>
      <c r="B1642" s="3" t="inlineStr">
        <is>
          <t>Ngày kiểm kê</t>
        </is>
      </c>
      <c r="C1642" s="3" t="inlineStr">
        <is>
          <t>Create Inventory</t>
        </is>
      </c>
      <c r="D1642" s="217">
        <f>IFERROR(__xludf.DUMMYFUNCTION("GOOGLETRANSLATE(C1642,""vi"",""km"")"),"បង្កើត​សារពើភ័ណ្ឌ")</f>
        <v/>
      </c>
      <c r="E1642" s="3" t="n"/>
      <c r="F1642" s="3" t="inlineStr">
        <is>
          <t>បង្កើតសារពើភ័ណ្ឌ</t>
        </is>
      </c>
      <c r="G1642" s="3" t="n"/>
      <c r="H1642" s="217" t="inlineStr">
        <is>
          <t>"delivery.warehouse.auditPrint.auditDate": "បង្កើតសារពើភ័ណ្ឌ",</t>
        </is>
      </c>
      <c r="I1642" t="inlineStr">
        <is>
          <t>បង្កើតសារពើភ័ណ្ឌ</t>
        </is>
      </c>
    </row>
    <row r="1643">
      <c r="A1643" s="3" t="inlineStr">
        <is>
          <t>delivery.warehouse.auditPrint.auditFailedReason</t>
        </is>
      </c>
      <c r="B1643" s="3" t="inlineStr">
        <is>
          <t>Giải trình</t>
        </is>
      </c>
      <c r="C1643" s="3" t="inlineStr">
        <is>
          <t>Reason</t>
        </is>
      </c>
      <c r="D1643" s="217">
        <f>IFERROR(__xludf.DUMMYFUNCTION("GOOGLETRANSLATE(C1643,""vi"",""km"")"),"ហេតុផល")</f>
        <v/>
      </c>
      <c r="E1643" s="3" t="n"/>
      <c r="F1643" s="3" t="inlineStr">
        <is>
          <t>ការបំភ្លឺ/បកស្រាយ</t>
        </is>
      </c>
      <c r="G1643" s="3" t="n"/>
      <c r="H1643" s="217" t="inlineStr">
        <is>
          <t>"delivery.warehouse.auditPrint.auditFailedReason": "ការបំភ្លឺ/បកស្រាយ",</t>
        </is>
      </c>
      <c r="I1643" t="inlineStr">
        <is>
          <t>ការបំភ្លឺ/បកស្រាយ</t>
        </is>
      </c>
    </row>
    <row r="1644">
      <c r="A1644" s="3" t="inlineStr">
        <is>
          <t>delivery.warehouse.auditPrint.auditTag</t>
        </is>
      </c>
      <c r="B1644" s="3" t="inlineStr">
        <is>
          <t>So sánh</t>
        </is>
      </c>
      <c r="C1644" s="3" t="inlineStr">
        <is>
          <t>Compare</t>
        </is>
      </c>
      <c r="D1644" s="217">
        <f>IFERROR(__xludf.DUMMYFUNCTION("GOOGLETRANSLATE(C1644,""vi"",""km"")"),"ប្រៀបធៀប")</f>
        <v/>
      </c>
      <c r="E1644" s="3" t="n"/>
      <c r="F1644" s="3" t="inlineStr">
        <is>
          <t>ប្រៀបធៀប</t>
        </is>
      </c>
      <c r="G1644" s="3" t="n"/>
      <c r="H1644" s="217" t="inlineStr">
        <is>
          <t>"delivery.warehouse.auditPrint.auditTag": "ប្រៀបធៀប",</t>
        </is>
      </c>
      <c r="I1644" t="inlineStr">
        <is>
          <t>ប្រៀបធៀប</t>
        </is>
      </c>
    </row>
    <row r="1645">
      <c r="A1645" s="3" t="inlineStr">
        <is>
          <t>delivery.warehouse.auditPrint.auditUser</t>
        </is>
      </c>
      <c r="B1645" s="3" t="inlineStr">
        <is>
          <t>Người kiểm kê</t>
        </is>
      </c>
      <c r="C1645" s="3" t="inlineStr">
        <is>
          <t>User Inventory</t>
        </is>
      </c>
      <c r="D1645" s="217">
        <f>IFERROR(__xludf.DUMMYFUNCTION("GOOGLETRANSLATE(C1645,""vi"",""km"")"),"ការចុះឈ្មោះអ្នកប្រើប្រាស់")</f>
        <v/>
      </c>
      <c r="E1645" s="3" t="n"/>
      <c r="F1645" s="3" t="inlineStr">
        <is>
          <t>ការចុះឈ្មោះអ្នកប្រើប្រាស់</t>
        </is>
      </c>
      <c r="G1645" s="3" t="n"/>
      <c r="H1645" s="217" t="inlineStr">
        <is>
          <t>"delivery.warehouse.auditPrint.auditUser": "ការចុះឈ្មោះអ្នកប្រើប្រាស់",</t>
        </is>
      </c>
      <c r="I1645" t="inlineStr">
        <is>
          <t>ការចុះឈ្មោះអ្នកប្រើប្រាស់</t>
        </is>
      </c>
    </row>
    <row r="1646">
      <c r="A1646" s="3" t="inlineStr">
        <is>
          <t>delivery.warehouse.auditPrint.department</t>
        </is>
      </c>
      <c r="B1646" s="3" t="inlineStr">
        <is>
          <t>Bưu cục</t>
        </is>
      </c>
      <c r="C1646" s="3" t="inlineStr">
        <is>
          <t>Post-office</t>
        </is>
      </c>
      <c r="D1646" s="217">
        <f>IFERROR(__xludf.DUMMYFUNCTION("GOOGLETRANSLATE(C1646,""vi"",""km"")"),"ការិយាល័យប្រៃសណីយ៍")</f>
        <v/>
      </c>
      <c r="E1646" s="3" t="n"/>
      <c r="F1646" s="3" t="inlineStr">
        <is>
          <t>ការិយាល័យប្រៃសណីយ៍</t>
        </is>
      </c>
      <c r="G1646" s="3" t="n"/>
      <c r="H1646" s="217" t="inlineStr">
        <is>
          <t>"delivery.warehouse.auditPrint.department": "ការិយាល័យប្រៃសណីយ៍",</t>
        </is>
      </c>
      <c r="I1646" t="inlineStr">
        <is>
          <t>ការិយាល័យប្រៃសណីយ៍</t>
        </is>
      </c>
    </row>
    <row r="1647">
      <c r="A1647" s="3" t="inlineStr">
        <is>
          <t>delivery.warehouse.auditPrint.departmentLeader</t>
        </is>
      </c>
      <c r="B1647" s="3" t="inlineStr">
        <is>
          <t>Trưởng bưu cục</t>
        </is>
      </c>
      <c r="C1647" s="3" t="inlineStr">
        <is>
          <t>Head of Post-Office</t>
        </is>
      </c>
      <c r="D1647" s="217">
        <f>IFERROR(__xludf.DUMMYFUNCTION("GOOGLETRANSLATE(C1647,""vi"",""km"")"),"ប្រធានការិយាល័យប្រៃសណីយ៍")</f>
        <v/>
      </c>
      <c r="E1647" s="3" t="n"/>
      <c r="F1647" s="3" t="inlineStr">
        <is>
          <t>ប្រធានការិយាល័យប្រៃសណីយ៍</t>
        </is>
      </c>
      <c r="G1647" s="3" t="n"/>
      <c r="H1647" s="217" t="inlineStr">
        <is>
          <t>"delivery.warehouse.auditPrint.departmentLeader": "ប្រធានការិយាល័យប្រៃសណីយ៍",</t>
        </is>
      </c>
      <c r="I1647" t="inlineStr">
        <is>
          <t>ប្រធានការិយាល័យប្រៃសណីយ៍</t>
        </is>
      </c>
    </row>
    <row r="1648">
      <c r="A1648" s="3" t="inlineStr">
        <is>
          <t>delivery.warehouse.auditPrint.finalFee</t>
        </is>
      </c>
      <c r="B1648" s="3" t="inlineStr">
        <is>
          <t>Tiền phải thu</t>
        </is>
      </c>
      <c r="C1648" s="3" t="inlineStr">
        <is>
          <t>Total amount</t>
        </is>
      </c>
      <c r="D1648" s="217">
        <f>IFERROR(__xludf.DUMMYFUNCTION("GOOGLETRANSLATE(C1648,""vi"",""km"")"),"ចំនួនទឹកប្រាក់សរុប")</f>
        <v/>
      </c>
      <c r="E1648" s="3" t="n"/>
      <c r="F1648" s="3" t="inlineStr">
        <is>
          <t>ចំនួនទឹកប្រាក់សរុប</t>
        </is>
      </c>
      <c r="G1648" s="3" t="n"/>
      <c r="H1648" s="217" t="inlineStr">
        <is>
          <t>"delivery.warehouse.auditPrint.finalFee": "ចំនួនទឹកប្រាក់សរុប",</t>
        </is>
      </c>
      <c r="I1648" t="inlineStr">
        <is>
          <t>ចំនួនទឹកប្រាក់សរុប</t>
        </is>
      </c>
    </row>
    <row r="1649">
      <c r="A1649" s="3" t="inlineStr">
        <is>
          <t>delivery.warehouse.auditPrint.orderId</t>
        </is>
      </c>
      <c r="B1649" s="3" t="inlineStr">
        <is>
          <t>Mã phiếu gửi</t>
        </is>
      </c>
      <c r="C1649" s="3" t="inlineStr">
        <is>
          <t>Billcode</t>
        </is>
      </c>
      <c r="D1649" s="217">
        <f>IFERROR(__xludf.DUMMYFUNCTION("GOOGLETRANSLATE(C1649,""vi"",""km"")"),"លេខកូដវិក្កយបត្រ")</f>
        <v/>
      </c>
      <c r="E1649" s="3" t="n"/>
      <c r="F1649" s="3" t="inlineStr">
        <is>
          <t>លេខកូដបុងបញ្ញើ</t>
        </is>
      </c>
      <c r="G1649" s="3" t="n"/>
      <c r="H1649" s="217" t="inlineStr">
        <is>
          <t>"delivery.warehouse.auditPrint.orderId": "លេខកូដបុងបញ្ញើ",</t>
        </is>
      </c>
      <c r="I1649" t="inlineStr">
        <is>
          <t>លេខកូដបុងបញ្ញើ</t>
        </is>
      </c>
    </row>
    <row r="1650">
      <c r="A1650" s="3" t="inlineStr">
        <is>
          <t>delivery.warehouse.auditPrint.print</t>
        </is>
      </c>
      <c r="B1650" s="3" t="inlineStr">
        <is>
          <t>In biên bản</t>
        </is>
      </c>
      <c r="C1650" s="3" t="inlineStr">
        <is>
          <t>Print</t>
        </is>
      </c>
      <c r="D1650" s="217">
        <f>IFERROR(__xludf.DUMMYFUNCTION("GOOGLETRANSLATE(C1650,""vi"",""km"")"),"ជើងហោះហើរ")</f>
        <v/>
      </c>
      <c r="E1650" s="3" t="n"/>
      <c r="F1650" s="3" t="inlineStr">
        <is>
          <t>ជើងហោះហើរ</t>
        </is>
      </c>
      <c r="G1650" s="3" t="n"/>
      <c r="H1650" s="217" t="inlineStr">
        <is>
          <t>"delivery.warehouse.auditPrint.print": "ជើងហោះហើរ",</t>
        </is>
      </c>
      <c r="I1650" t="inlineStr">
        <is>
          <t>ជើងហោះហើរ</t>
        </is>
      </c>
    </row>
    <row r="1651">
      <c r="A1651" s="3" t="inlineStr">
        <is>
          <t>delivery.warehouse.auditPrint.title</t>
        </is>
      </c>
      <c r="B1651" s="3" t="inlineStr">
        <is>
          <t>BIÊN BẢN KIỂM KÊ CHI TIẾT</t>
        </is>
      </c>
      <c r="C1651" s="3" t="inlineStr">
        <is>
          <t>List Inventory</t>
        </is>
      </c>
      <c r="D1651" s="217">
        <f>IFERROR(__xludf.DUMMYFUNCTION("GOOGLETRANSLATE(C1651,""vi"",""km"")"),"ស្តុក AC")</f>
        <v/>
      </c>
      <c r="E1651" s="3" t="n"/>
      <c r="F1651" s="3" t="inlineStr">
        <is>
          <t>ស្តុក AC</t>
        </is>
      </c>
      <c r="G1651" s="3" t="n"/>
      <c r="H1651" s="217" t="inlineStr">
        <is>
          <t>"delivery.warehouse.auditPrint.title": "ស្តុក AC",</t>
        </is>
      </c>
      <c r="I1651" t="inlineStr">
        <is>
          <t>ស្តុក AC</t>
        </is>
      </c>
    </row>
    <row r="1652">
      <c r="A1652" s="3" t="inlineStr">
        <is>
          <t>delivery.warehouse.auditPrint.titleHeader</t>
        </is>
      </c>
      <c r="B1652" s="3" t="inlineStr">
        <is>
          <t>CHUYÊN NGHIỆP - NHANH CHÓNG - HIỆU QUẢ</t>
        </is>
      </c>
      <c r="C1652" s="3" t="inlineStr">
        <is>
          <t>PROFESSIONAL - FAST - EFFECTIVE</t>
        </is>
      </c>
      <c r="D1652" s="217">
        <f>IFERROR(__xludf.DUMMYFUNCTION("GOOGLETRANSLATE(C1652,""vi"",""km"")"),"វិជ្ជាជីវៈ - រហ័ស - មានប្រសិទ្ធភាព")</f>
        <v/>
      </c>
      <c r="E1652" s="3" t="n"/>
      <c r="F1652" s="3" t="inlineStr">
        <is>
          <t>វិជ្ជាជីវៈ - រហ័ស - មានប្រសិទ្ធភាព</t>
        </is>
      </c>
      <c r="G1652" s="3" t="n"/>
      <c r="H1652" s="217" t="inlineStr">
        <is>
          <t>"delivery.warehouse.auditPrint.titleHeader": "វិជ្ជាជីវៈ - រហ័ស - មានប្រសិទ្ធភាព",</t>
        </is>
      </c>
      <c r="I1652" t="inlineStr">
        <is>
          <t>វិជ្ជាជីវៈ - រហ័ស - មានប្រសិទ្ធភាព</t>
        </is>
      </c>
    </row>
    <row r="1653">
      <c r="A1653" s="3" t="inlineStr">
        <is>
          <t>delivery.warehouse.auditPrint.user</t>
        </is>
      </c>
      <c r="B1653" s="3" t="inlineStr">
        <is>
          <t>Nhân viên phát</t>
        </is>
      </c>
      <c r="C1653" s="3" t="inlineStr">
        <is>
          <t>Delivery-man</t>
        </is>
      </c>
      <c r="D1653" s="217">
        <f>IFERROR(__xludf.DUMMYFUNCTION("GOOGLETRANSLATE(C1653,""vi"",""km"")"),"អ្នកដឹកជញ្ជូន")</f>
        <v/>
      </c>
      <c r="E1653" s="3" t="n"/>
      <c r="F1653" s="3" t="inlineStr">
        <is>
          <t>អ្នកដឹកជញ្ជូន</t>
        </is>
      </c>
      <c r="G1653" s="3" t="n"/>
      <c r="H1653" s="217" t="inlineStr">
        <is>
          <t>"delivery.warehouse.auditPrint.user": "អ្នកដឹកជញ្ជូន",</t>
        </is>
      </c>
      <c r="I1653" t="inlineStr">
        <is>
          <t>អ្នកដឹកជញ្ជូន</t>
        </is>
      </c>
    </row>
    <row r="1654">
      <c r="A1654" s="3" t="inlineStr">
        <is>
          <t>delivery.warehouse.backlog.DOCUMENT</t>
        </is>
      </c>
      <c r="B1654" s="3" t="inlineStr">
        <is>
          <t>Thư</t>
        </is>
      </c>
      <c r="C1654" s="3" t="inlineStr">
        <is>
          <t>Document</t>
        </is>
      </c>
      <c r="D1654" s="217">
        <f>IFERROR(__xludf.DUMMYFUNCTION("GOOGLETRANSLATE(C1654,""vi"",""km"")"),"ឯកសារ")</f>
        <v/>
      </c>
      <c r="E1654" s="3" t="n"/>
      <c r="F1654" s="3" t="inlineStr">
        <is>
          <t>ឯកសារ</t>
        </is>
      </c>
      <c r="G1654" s="3" t="n"/>
      <c r="H1654" s="217" t="inlineStr">
        <is>
          <t>"delivery.warehouse.backlog.DOCUMENT": "ឯកសារ",</t>
        </is>
      </c>
      <c r="I1654" t="inlineStr">
        <is>
          <t>ឯកសារ</t>
        </is>
      </c>
    </row>
    <row r="1655">
      <c r="A1655" s="3" t="inlineStr">
        <is>
          <t>delivery.warehouse.backlog.GOODS</t>
        </is>
      </c>
      <c r="B1655" s="3" t="inlineStr">
        <is>
          <t>Hàng</t>
        </is>
      </c>
      <c r="C1655" s="3" t="inlineStr">
        <is>
          <t>Goods</t>
        </is>
      </c>
      <c r="D1655" s="217">
        <f>IFERROR(__xludf.DUMMYFUNCTION("GOOGLETRANSLATE(C1655,""vi"",""km"")"),"ទំនិញ")</f>
        <v/>
      </c>
      <c r="E1655" s="3" t="n"/>
      <c r="F1655" s="3" t="inlineStr">
        <is>
          <t>ទំនិញ</t>
        </is>
      </c>
      <c r="G1655" s="3" t="n"/>
      <c r="H1655" s="217" t="inlineStr">
        <is>
          <t>"delivery.warehouse.backlog.GOODS": "ទំនិញ",</t>
        </is>
      </c>
      <c r="I1655" t="inlineStr">
        <is>
          <t>ទំនិញ</t>
        </is>
      </c>
    </row>
    <row r="1656">
      <c r="A1656" s="3" t="inlineStr">
        <is>
          <t>delivery.warehouse.backlog.branch</t>
        </is>
      </c>
      <c r="B1656" s="3" t="inlineStr">
        <is>
          <t>Chi nhánh</t>
        </is>
      </c>
      <c r="C1656" s="3" t="inlineStr">
        <is>
          <t>Delivery branch</t>
        </is>
      </c>
      <c r="D1656" s="217">
        <f>IFERROR(__xludf.DUMMYFUNCTION("GOOGLETRANSLATE(C1656,""vi"",""km"")"),"សាខាដឹកជញ្ជូន")</f>
        <v/>
      </c>
      <c r="E1656" s="3" t="n"/>
      <c r="F1656" s="3" t="inlineStr">
        <is>
          <t>សាខា</t>
        </is>
      </c>
      <c r="G1656" s="3" t="n"/>
      <c r="H1656" s="217" t="inlineStr">
        <is>
          <t>"delivery.warehouse.backlog.branch": "សាខា",</t>
        </is>
      </c>
      <c r="I1656" t="inlineStr">
        <is>
          <t>សាខា</t>
        </is>
      </c>
    </row>
    <row r="1657">
      <c r="A1657" s="3" t="inlineStr">
        <is>
          <t>delivery.warehouse.backlog.deliveryBranch</t>
        </is>
      </c>
      <c r="B1657" s="3" t="inlineStr">
        <is>
          <t>Chi nhánh phát</t>
        </is>
      </c>
      <c r="C1657" s="3" t="inlineStr">
        <is>
          <t>Delivery branch</t>
        </is>
      </c>
      <c r="D1657" s="217">
        <f>IFERROR(__xludf.DUMMYFUNCTION("GOOGLETRANSLATE(C1657,""vi"",""km"")"),"សាខាដឹកជញ្ជូន")</f>
        <v/>
      </c>
      <c r="E1657" s="3" t="n"/>
      <c r="F1657" s="3" t="inlineStr">
        <is>
          <t>សាខាដឹកជញ្ជូន</t>
        </is>
      </c>
      <c r="G1657" s="3" t="n"/>
      <c r="H1657" s="217" t="inlineStr">
        <is>
          <t>"delivery.warehouse.backlog.deliveryBranch": "សាខាដឹកជញ្ជូន",</t>
        </is>
      </c>
      <c r="I1657" t="inlineStr">
        <is>
          <t>សាខាដឹកជញ្ជូន</t>
        </is>
      </c>
    </row>
    <row r="1658">
      <c r="A1658" s="3" t="inlineStr">
        <is>
          <t>delivery.warehouse.backlog.deliveryPostcode</t>
        </is>
      </c>
      <c r="B1658" s="3" t="inlineStr">
        <is>
          <t>Bưu cục phát</t>
        </is>
      </c>
      <c r="C1658" s="3" t="inlineStr">
        <is>
          <t>Delivery postcode</t>
        </is>
      </c>
      <c r="D1658" s="217">
        <f>IFERROR(__xludf.DUMMYFUNCTION("GOOGLETRANSLATE(C1658,""vi"",""km"")"),"លេខកូដប្រៃសណីយ៍ដឹកជញ្ជូន")</f>
        <v/>
      </c>
      <c r="E1658" s="3" t="n"/>
      <c r="F1658" s="3" t="inlineStr">
        <is>
          <t>ការិយាល័យប្រៃសណីយ៍ដឹកចែក</t>
        </is>
      </c>
      <c r="G1658" s="3" t="n"/>
      <c r="H1658" s="217" t="inlineStr">
        <is>
          <t>"delivery.warehouse.backlog.deliveryPostcode": "ការិយាល័យប្រៃសណីយ៍ដឹកចែក",</t>
        </is>
      </c>
      <c r="I1658" t="inlineStr">
        <is>
          <t>ការិយាល័យប្រៃសណីយ៍ដឹកចែក</t>
        </is>
      </c>
    </row>
    <row r="1659">
      <c r="A1659" s="3" t="inlineStr">
        <is>
          <t>delivery.warehouse.backlog.deliveryRoute</t>
        </is>
      </c>
      <c r="B1659" s="3" t="inlineStr">
        <is>
          <t>Tuyến bưu tá phát</t>
        </is>
      </c>
      <c r="C1659" s="3" t="inlineStr">
        <is>
          <t>Delivery route</t>
        </is>
      </c>
      <c r="D1659" s="217">
        <f>IFERROR(__xludf.DUMMYFUNCTION("GOOGLETRANSLATE(C1659,""vi"",""km"")"),"ផ្លូវដឹកជញ្ជូន")</f>
        <v/>
      </c>
      <c r="E1659" s="3" t="n"/>
      <c r="F1659" s="3" t="inlineStr">
        <is>
          <t>ផ្លូវដឹកជញ្ជូន</t>
        </is>
      </c>
      <c r="G1659" s="3" t="n"/>
      <c r="H1659" s="217" t="inlineStr">
        <is>
          <t>"delivery.warehouse.backlog.deliveryRoute": "ផ្លូវដឹកជញ្ជូន",</t>
        </is>
      </c>
      <c r="I1659" t="inlineStr">
        <is>
          <t>ផ្លូវដឹកជញ្ជូន</t>
        </is>
      </c>
    </row>
    <row r="1660">
      <c r="A1660" s="3" t="inlineStr">
        <is>
          <t>delivery.warehouse.backlog.fileName</t>
        </is>
      </c>
      <c r="B1660" s="3" t="inlineStr">
        <is>
          <t>Baocaotongiao</t>
        </is>
      </c>
      <c r="C1660" s="3" t="inlineStr">
        <is>
          <t>DeliveryInventoryReport</t>
        </is>
      </c>
      <c r="D1660" s="217">
        <f>IFERROR(__xludf.DUMMYFUNCTION("GOOGLETRANSLATE(C1660,""vi"",""km"")"),"របាយការណ៍ស្តុកទំនិញដឹកជញ្ជូន")</f>
        <v/>
      </c>
      <c r="E1660" s="3" t="n"/>
      <c r="F1660" s="3" t="inlineStr">
        <is>
          <t>របាយការណ៍បញ្ញើសេសសល់ត្រូវដឹកចែក</t>
        </is>
      </c>
      <c r="G1660" s="3" t="n"/>
      <c r="H1660" s="217" t="inlineStr">
        <is>
          <t>"delivery.warehouse.backlog.fileName": "របាយការណ៍បញ្ញើសេសសល់ត្រូវដឹកចែក",</t>
        </is>
      </c>
      <c r="I1660" t="inlineStr">
        <is>
          <t>របាយការណ៍បញ្ញើសេសសល់ត្រូវដឹកចែក</t>
        </is>
      </c>
    </row>
    <row r="1661">
      <c r="A1661" s="3" t="inlineStr">
        <is>
          <t>delivery.warehouse.backlog.fileNameDetail</t>
        </is>
      </c>
      <c r="B1661" s="3" t="inlineStr">
        <is>
          <t>Chitietongiao</t>
        </is>
      </c>
      <c r="C1661" s="3" t="inlineStr">
        <is>
          <t>DetailDeliveryInventory</t>
        </is>
      </c>
      <c r="D1661" s="217">
        <f>IFERROR(__xludf.DUMMYFUNCTION("GOOGLETRANSLATE(C1661,""vi"",""km"")"),"ព័ត៌មានលម្អិតអំពីការដឹកជញ្ជូន")</f>
        <v/>
      </c>
      <c r="E1661" s="3" t="n"/>
      <c r="F1661" s="3" t="inlineStr">
        <is>
          <t>ព័ត៌មានលម្អិតបញ្ញើសេសសល់ត្រូវដឹកចែក</t>
        </is>
      </c>
      <c r="G1661" s="3" t="n"/>
      <c r="H1661" s="217" t="inlineStr">
        <is>
          <t>"delivery.warehouse.backlog.fileNameDetail": "ព័ត៌មានលម្អិតបញ្ញើសេសសល់ត្រូវដឹកចែក",</t>
        </is>
      </c>
      <c r="I1661" t="inlineStr">
        <is>
          <t>ព័ត៌មានលម្អិតបញ្ញើសេសសល់ត្រូវដឹកចែក</t>
        </is>
      </c>
    </row>
    <row r="1662">
      <c r="A1662" s="3" t="inlineStr">
        <is>
          <t>delivery.warehouse.backlog.ngayN</t>
        </is>
      </c>
      <c r="B1662" s="3" t="inlineStr">
        <is>
          <t>Ngày n</t>
        </is>
      </c>
      <c r="C1662" s="3" t="inlineStr">
        <is>
          <t>Day n</t>
        </is>
      </c>
      <c r="D1662" s="217">
        <f>IFERROR(__xludf.DUMMYFUNCTION("GOOGLETRANSLATE(C1662,""vi"",""km"")"),"ថ្ងៃ n")</f>
        <v/>
      </c>
      <c r="E1662" s="3" t="n"/>
      <c r="F1662" s="3" t="inlineStr">
        <is>
          <t>ថ្ងៃ n</t>
        </is>
      </c>
      <c r="G1662" s="3" t="n"/>
      <c r="H1662" s="217" t="inlineStr">
        <is>
          <t>"delivery.warehouse.backlog.ngayN": "ថ្ងៃ n",</t>
        </is>
      </c>
      <c r="I1662" t="inlineStr">
        <is>
          <t>ថ្ងៃ n</t>
        </is>
      </c>
    </row>
    <row r="1663">
      <c r="A1663" s="3" t="inlineStr">
        <is>
          <t>delivery.warehouse.backlog.ngayN1</t>
        </is>
      </c>
      <c r="B1663" s="3" t="inlineStr">
        <is>
          <t>Ngày n - 1</t>
        </is>
      </c>
      <c r="C1663" s="3" t="inlineStr">
        <is>
          <t>Day n - 1</t>
        </is>
      </c>
      <c r="D1663" s="217">
        <f>IFERROR(__xludf.DUMMYFUNCTION("GOOGLETRANSLATE(C1663,""vi"",""km"")"),"ថ្ងៃទី n - 1")</f>
        <v/>
      </c>
      <c r="E1663" s="3" t="n"/>
      <c r="F1663" s="3" t="inlineStr">
        <is>
          <t>ថ្ងៃទី n - 1</t>
        </is>
      </c>
      <c r="G1663" s="3" t="n"/>
      <c r="H1663" s="217" t="inlineStr">
        <is>
          <t>"delivery.warehouse.backlog.ngayN1": "ថ្ងៃទី n - 1",</t>
        </is>
      </c>
      <c r="I1663" t="inlineStr">
        <is>
          <t>ថ្ងៃទី n - 1</t>
        </is>
      </c>
    </row>
    <row r="1664">
      <c r="A1664" s="3" t="inlineStr">
        <is>
          <t>delivery.warehouse.backlog.ngayN2</t>
        </is>
      </c>
      <c r="B1664" s="3" t="inlineStr">
        <is>
          <t>Ngày n - 2</t>
        </is>
      </c>
      <c r="C1664" s="3" t="inlineStr">
        <is>
          <t>Day n - 2</t>
        </is>
      </c>
      <c r="D1664" s="217">
        <f>IFERROR(__xludf.DUMMYFUNCTION("GOOGLETRANSLATE(C1664,""vi"",""km"")"),"ថ្ងៃទី n - 2")</f>
        <v/>
      </c>
      <c r="E1664" s="3" t="n"/>
      <c r="F1664" s="3" t="inlineStr">
        <is>
          <t>ថ្ងៃទី n - 2</t>
        </is>
      </c>
      <c r="G1664" s="3" t="n"/>
      <c r="H1664" s="217" t="inlineStr">
        <is>
          <t>"delivery.warehouse.backlog.ngayN2": "ថ្ងៃទី n - 2",</t>
        </is>
      </c>
      <c r="I1664" t="inlineStr">
        <is>
          <t>ថ្ងៃទី n - 2</t>
        </is>
      </c>
    </row>
    <row r="1665">
      <c r="A1665" s="3" t="inlineStr">
        <is>
          <t>delivery.warehouse.backlog.ngayN3</t>
        </is>
      </c>
      <c r="B1665" s="3" t="inlineStr">
        <is>
          <t>Ngày n - 3</t>
        </is>
      </c>
      <c r="C1665" s="3" t="inlineStr">
        <is>
          <t>Day n - 3</t>
        </is>
      </c>
      <c r="D1665" s="217">
        <f>IFERROR(__xludf.DUMMYFUNCTION("GOOGLETRANSLATE(C1665,""vi"",""km"")"),"ថ្ងៃទី n - 3")</f>
        <v/>
      </c>
      <c r="E1665" s="3" t="n"/>
      <c r="F1665" s="3" t="inlineStr">
        <is>
          <t>ថ្ងៃទី n - 3</t>
        </is>
      </c>
      <c r="G1665" s="3" t="n"/>
      <c r="H1665" s="217" t="inlineStr">
        <is>
          <t>"delivery.warehouse.backlog.ngayN3": "ថ្ងៃទី n - 3",</t>
        </is>
      </c>
      <c r="I1665" t="inlineStr">
        <is>
          <t>ថ្ងៃទី n - 3</t>
        </is>
      </c>
    </row>
    <row r="1666">
      <c r="A1666" s="3" t="inlineStr">
        <is>
          <t>delivery.warehouse.backlog.ngayN4</t>
        </is>
      </c>
      <c r="B1666" s="3" t="inlineStr">
        <is>
          <t>Ngày n - 4</t>
        </is>
      </c>
      <c r="C1666" s="3" t="inlineStr">
        <is>
          <t>Day n - 4</t>
        </is>
      </c>
      <c r="D1666" s="217">
        <f>IFERROR(__xludf.DUMMYFUNCTION("GOOGLETRANSLATE(C1666,""vi"",""km"")"),"ថ្ងៃទី n - ៤")</f>
        <v/>
      </c>
      <c r="E1666" s="3" t="n"/>
      <c r="F1666" s="3" t="inlineStr">
        <is>
          <t>ថ្ងៃទី n - ៤</t>
        </is>
      </c>
      <c r="G1666" s="3" t="n"/>
      <c r="H1666" s="217" t="inlineStr">
        <is>
          <t>"delivery.warehouse.backlog.ngayN4": "ថ្ងៃទី n - ៤",</t>
        </is>
      </c>
      <c r="I1666" t="inlineStr">
        <is>
          <t>ថ្ងៃទី n - ៤</t>
        </is>
      </c>
    </row>
    <row r="1667">
      <c r="A1667" s="3" t="inlineStr">
        <is>
          <t>delivery.warehouse.backlog.ngayN5</t>
        </is>
      </c>
      <c r="B1667" s="3" t="inlineStr">
        <is>
          <t>Ngày n - 5</t>
        </is>
      </c>
      <c r="C1667" s="3" t="inlineStr">
        <is>
          <t>Day n - 5</t>
        </is>
      </c>
      <c r="D1667" s="217">
        <f>IFERROR(__xludf.DUMMYFUNCTION("GOOGLETRANSLATE(C1667,""vi"",""km"")"),"ថ្ងៃទី n - 5")</f>
        <v/>
      </c>
      <c r="E1667" s="3" t="n"/>
      <c r="F1667" s="3" t="inlineStr">
        <is>
          <t>ថ្ងៃទី n - 5</t>
        </is>
      </c>
      <c r="G1667" s="3" t="n"/>
      <c r="H1667" s="217" t="inlineStr">
        <is>
          <t>"delivery.warehouse.backlog.ngayN5": "ថ្ងៃទី n - 5",</t>
        </is>
      </c>
      <c r="I1667" t="inlineStr">
        <is>
          <t>ថ្ងៃទី n - 5</t>
        </is>
      </c>
    </row>
    <row r="1668">
      <c r="A1668" s="3" t="inlineStr">
        <is>
          <t>delivery.warehouse.backlog.ngayN6</t>
        </is>
      </c>
      <c r="B1668" s="3" t="inlineStr">
        <is>
          <t>Ngày n - 6</t>
        </is>
      </c>
      <c r="C1668" s="3" t="inlineStr">
        <is>
          <t>Day n - 6</t>
        </is>
      </c>
      <c r="D1668" s="217">
        <f>IFERROR(__xludf.DUMMYFUNCTION("GOOGLETRANSLATE(C1668,""vi"",""km"")"),"ថ្ងៃទី n - 6")</f>
        <v/>
      </c>
      <c r="E1668" s="3" t="n"/>
      <c r="F1668" s="3" t="inlineStr">
        <is>
          <t>ថ្ងៃទី n - 6</t>
        </is>
      </c>
      <c r="G1668" s="3" t="n"/>
      <c r="H1668" s="217" t="inlineStr">
        <is>
          <t>"delivery.warehouse.backlog.ngayN6": "ថ្ងៃទី n - 6",</t>
        </is>
      </c>
      <c r="I1668" t="inlineStr">
        <is>
          <t>ថ្ងៃទី n - 6</t>
        </is>
      </c>
    </row>
    <row r="1669">
      <c r="A1669" s="3" t="inlineStr">
        <is>
          <t>delivery.warehouse.backlog.ngayN7</t>
        </is>
      </c>
      <c r="B1669" s="3" t="inlineStr">
        <is>
          <t>Ngày n - 7</t>
        </is>
      </c>
      <c r="C1669" s="3" t="inlineStr">
        <is>
          <t>Day n - 7</t>
        </is>
      </c>
      <c r="D1669" s="217">
        <f>IFERROR(__xludf.DUMMYFUNCTION("GOOGLETRANSLATE(C1669,""vi"",""km"")"),"ថ្ងៃទី n - 7")</f>
        <v/>
      </c>
      <c r="E1669" s="3" t="n"/>
      <c r="F1669" s="3" t="inlineStr">
        <is>
          <t>ថ្ងៃទី n - 7</t>
        </is>
      </c>
      <c r="G1669" s="3" t="n"/>
      <c r="H1669" s="217" t="inlineStr">
        <is>
          <t>"delivery.warehouse.backlog.ngayN7": "ថ្ងៃទី n - 7",</t>
        </is>
      </c>
      <c r="I1669" t="inlineStr">
        <is>
          <t>ថ្ងៃទី n - 7</t>
        </is>
      </c>
    </row>
    <row r="1670">
      <c r="A1670" s="3" t="inlineStr">
        <is>
          <t>delivery.warehouse.backlog.ngayN8</t>
        </is>
      </c>
      <c r="B1670" s="3" t="inlineStr">
        <is>
          <t>Ngày n - 8</t>
        </is>
      </c>
      <c r="C1670" s="3" t="inlineStr">
        <is>
          <t>Day n - 8</t>
        </is>
      </c>
      <c r="D1670" s="217">
        <f>IFERROR(__xludf.DUMMYFUNCTION("GOOGLETRANSLATE(C1670,""vi"",""km"")"),"ថ្ងៃទី n - 8")</f>
        <v/>
      </c>
      <c r="E1670" s="3" t="n"/>
      <c r="F1670" s="3" t="inlineStr">
        <is>
          <t>ថ្ងៃទី n - 8</t>
        </is>
      </c>
      <c r="G1670" s="3" t="n"/>
      <c r="H1670" s="217" t="inlineStr">
        <is>
          <t>"delivery.warehouse.backlog.ngayN8": "ថ្ងៃទី n - 8",</t>
        </is>
      </c>
      <c r="I1670" t="inlineStr">
        <is>
          <t>ថ្ងៃទី n - 8</t>
        </is>
      </c>
    </row>
    <row r="1671">
      <c r="A1671" s="3" t="inlineStr">
        <is>
          <t>delivery.warehouse.backlog.ngayN9</t>
        </is>
      </c>
      <c r="B1671" s="3" t="inlineStr">
        <is>
          <t>Ngày n - 9</t>
        </is>
      </c>
      <c r="C1671" s="3" t="inlineStr">
        <is>
          <t>Day n - 9</t>
        </is>
      </c>
      <c r="D1671" s="217">
        <f>IFERROR(__xludf.DUMMYFUNCTION("GOOGLETRANSLATE(C1671,""vi"",""km"")"),"ថ្ងៃទី ៩")</f>
        <v/>
      </c>
      <c r="E1671" s="3" t="n"/>
      <c r="F1671" s="3" t="inlineStr">
        <is>
          <t>ថ្ងៃទី ៩</t>
        </is>
      </c>
      <c r="G1671" s="3" t="n"/>
      <c r="H1671" s="217" t="inlineStr">
        <is>
          <t>"delivery.warehouse.backlog.ngayN9": "ថ្ងៃទី ៩",</t>
        </is>
      </c>
      <c r="I1671" t="inlineStr">
        <is>
          <t>ថ្ងៃទី ៩</t>
        </is>
      </c>
    </row>
    <row r="1672">
      <c r="A1672" s="3" t="inlineStr">
        <is>
          <t>delivery.warehouse.backlog.orderId</t>
        </is>
      </c>
      <c r="B1672" s="3" t="inlineStr">
        <is>
          <t>Mã phiếu gửi</t>
        </is>
      </c>
      <c r="C1672" s="3" t="inlineStr">
        <is>
          <t>Billcode</t>
        </is>
      </c>
      <c r="D1672" s="217">
        <f>IFERROR(__xludf.DUMMYFUNCTION("GOOGLETRANSLATE(C1672,""vi"",""km"")"),"លេខកូដវិក្កយបត្រ")</f>
        <v/>
      </c>
      <c r="E1672" s="3" t="n"/>
      <c r="F1672" s="3" t="inlineStr">
        <is>
          <t>លេខកូដបុងបញ្ញើ</t>
        </is>
      </c>
      <c r="G1672" s="3" t="n"/>
      <c r="H1672" s="217" t="inlineStr">
        <is>
          <t>"delivery.warehouse.backlog.orderId": "លេខកូដបុងបញ្ញើ",</t>
        </is>
      </c>
      <c r="I1672" t="inlineStr">
        <is>
          <t>លេខកូដបុងបញ្ញើ</t>
        </is>
      </c>
    </row>
    <row r="1673">
      <c r="A1673" s="3" t="inlineStr">
        <is>
          <t>delivery.warehouse.backlog.popupTitle</t>
        </is>
      </c>
      <c r="B1673" s="3" t="inlineStr">
        <is>
          <t>Chi tiết bưu gửi tồn giao</t>
        </is>
      </c>
      <c r="C1673" s="3" t="inlineStr">
        <is>
          <t>Detail delivery backlog order</t>
        </is>
      </c>
      <c r="D1673" s="217">
        <f>IFERROR(__xludf.DUMMYFUNCTION("GOOGLETRANSLATE(C1673,""vi"",""km"")"),"ព័ត៌មានលម្អិតនៃការបញ្ជាទិញដឹកជញ្ជូន")</f>
        <v/>
      </c>
      <c r="E1673" s="3" t="n"/>
      <c r="F1673" s="3" t="inlineStr">
        <is>
          <t>ព័ត៌មានលម្អិតនៃការបញ្ជាទិញដឹកជញ្ជូន</t>
        </is>
      </c>
      <c r="G1673" s="3" t="n"/>
      <c r="H1673" s="217" t="inlineStr">
        <is>
          <t>"delivery.warehouse.backlog.popupTitle": "ព័ត៌មានលម្អិតនៃការបញ្ជាទិញដឹកជញ្ជូន",</t>
        </is>
      </c>
      <c r="I1673" t="inlineStr">
        <is>
          <t>ព័ត៌មានលម្អិតនៃការបញ្ជាទិញដឹកជញ្ជូន</t>
        </is>
      </c>
    </row>
    <row r="1674">
      <c r="A1674" s="3" t="inlineStr">
        <is>
          <t>delivery.warehouse.backlog.postOffice</t>
        </is>
      </c>
      <c r="B1674" s="3" t="inlineStr">
        <is>
          <t>Bưu cục</t>
        </is>
      </c>
      <c r="C1674" s="3" t="inlineStr">
        <is>
          <t>Delivery post office</t>
        </is>
      </c>
      <c r="D1674" s="217">
        <f>IFERROR(__xludf.DUMMYFUNCTION("GOOGLETRANSLATE(C1674,""vi"",""km"")"),"ការិយាល័យប្រៃសណីយ៍ដឹកជញ្ជូន")</f>
        <v/>
      </c>
      <c r="E1674" s="3" t="n"/>
      <c r="F1674" s="3" t="inlineStr">
        <is>
          <t>ការិយាល័យប្រៃសណីយ៍</t>
        </is>
      </c>
      <c r="G1674" s="3" t="n"/>
      <c r="H1674" s="217" t="inlineStr">
        <is>
          <t>"delivery.warehouse.backlog.postOffice": "ការិយាល័យប្រៃសណីយ៍",</t>
        </is>
      </c>
      <c r="I1674" t="inlineStr">
        <is>
          <t>ការិយាល័យប្រៃសណីយ៍</t>
        </is>
      </c>
    </row>
    <row r="1675">
      <c r="A1675" s="3" t="inlineStr">
        <is>
          <t>delivery.warehouse.backlog.route</t>
        </is>
      </c>
      <c r="B1675" s="3" t="inlineStr">
        <is>
          <t>Tuyến</t>
        </is>
      </c>
      <c r="C1675" s="3" t="inlineStr">
        <is>
          <t>Route</t>
        </is>
      </c>
      <c r="D1675" s="217">
        <f>IFERROR(__xludf.DUMMYFUNCTION("GOOGLETRANSLATE(C1675,""vi"",""km"")"),"ផ្លូវ")</f>
        <v/>
      </c>
      <c r="E1675" s="3" t="n"/>
      <c r="F1675" s="3" t="inlineStr">
        <is>
          <t>ផ្លូវ</t>
        </is>
      </c>
      <c r="G1675" s="3" t="n"/>
      <c r="H1675" s="217" t="inlineStr">
        <is>
          <t>"delivery.warehouse.backlog.route": "ផ្លូវ",</t>
        </is>
      </c>
      <c r="I1675" t="inlineStr">
        <is>
          <t>ផ្លូវ</t>
        </is>
      </c>
    </row>
    <row r="1676">
      <c r="A1676" s="3" t="inlineStr">
        <is>
          <t>delivery.warehouse.backlog.routePostman</t>
        </is>
      </c>
      <c r="B1676" s="3" t="inlineStr">
        <is>
          <t>Tuyến bưu tá</t>
        </is>
      </c>
      <c r="C1676" s="3" t="inlineStr">
        <is>
          <t>Postman routes</t>
        </is>
      </c>
      <c r="D1676" s="217">
        <f>IFERROR(__xludf.DUMMYFUNCTION("GOOGLETRANSLATE(C1676,""vi"",""km"")"),"ផ្លូវប្រៃសណីយ៍")</f>
        <v/>
      </c>
      <c r="E1676" s="3" t="n"/>
      <c r="F1676" s="3" t="inlineStr">
        <is>
          <t>ផ្លូវប្រៃសណីយ៍</t>
        </is>
      </c>
      <c r="G1676" s="3" t="n"/>
      <c r="H1676" s="217" t="inlineStr">
        <is>
          <t>"delivery.warehouse.backlog.routePostman": "ផ្លូវប្រៃសណីយ៍",</t>
        </is>
      </c>
      <c r="I1676" t="inlineStr">
        <is>
          <t>ផ្លូវប្រៃសណីយ៍</t>
        </is>
      </c>
    </row>
    <row r="1677">
      <c r="A1677" s="3" t="inlineStr">
        <is>
          <t>delivery.warehouse.backlog.status</t>
        </is>
      </c>
      <c r="B1677" s="3" t="inlineStr">
        <is>
          <t>Trạng thái</t>
        </is>
      </c>
      <c r="C1677" s="3" t="inlineStr">
        <is>
          <t>Status</t>
        </is>
      </c>
      <c r="D1677" s="217">
        <f>IFERROR(__xludf.DUMMYFUNCTION("GOOGLETRANSLATE(C1677,""vi"",""km"")"),"ស្ថានភាព")</f>
        <v/>
      </c>
      <c r="E1677" s="3" t="n"/>
      <c r="F1677" s="3" t="inlineStr">
        <is>
          <t>ស្ថានភាព</t>
        </is>
      </c>
      <c r="G1677" s="3" t="n"/>
      <c r="H1677" s="217" t="inlineStr">
        <is>
          <t>"delivery.warehouse.backlog.status": "ស្ថានភាព",</t>
        </is>
      </c>
      <c r="I1677" t="inlineStr">
        <is>
          <t>ស្ថានភាព</t>
        </is>
      </c>
    </row>
    <row r="1678">
      <c r="A1678" s="3" t="inlineStr">
        <is>
          <t>delivery.warehouse.backlog.totalInventory</t>
        </is>
      </c>
      <c r="B1678" s="3" t="inlineStr">
        <is>
          <t>Tổng tồn</t>
        </is>
      </c>
      <c r="C1678" s="3" t="inlineStr">
        <is>
          <t>Total inventory</t>
        </is>
      </c>
      <c r="D1678" s="217">
        <f>IFERROR(__xludf.DUMMYFUNCTION("GOOGLETRANSLATE(C1678,""vi"",""km"")"),"ស្តុកសរុប")</f>
        <v/>
      </c>
      <c r="E1678" s="3" t="n"/>
      <c r="F1678" s="3" t="inlineStr">
        <is>
          <t>ស្តុកសរុប</t>
        </is>
      </c>
      <c r="G1678" s="3" t="n"/>
      <c r="H1678" s="217" t="inlineStr">
        <is>
          <t>"delivery.warehouse.backlog.totalInventory": "ស្តុកសរុប",</t>
        </is>
      </c>
      <c r="I1678" t="inlineStr">
        <is>
          <t>ស្តុកសរុប</t>
        </is>
      </c>
    </row>
    <row r="1679">
      <c r="A1679" s="3" t="inlineStr">
        <is>
          <t>delivery.warehouse.backlog.type</t>
        </is>
      </c>
      <c r="B1679" s="3" t="inlineStr">
        <is>
          <t>Loại cảnh báo</t>
        </is>
      </c>
      <c r="C1679" s="3" t="inlineStr">
        <is>
          <t>Warning type</t>
        </is>
      </c>
      <c r="D1679" s="217">
        <f>IFERROR(__xludf.DUMMYFUNCTION("GOOGLETRANSLATE(C1679,""vi"",""km"")"),"ស្នាមជើង")</f>
        <v/>
      </c>
      <c r="E1679" s="3" t="n"/>
      <c r="F1679" s="3" t="inlineStr">
        <is>
          <t>ស្នាមជើង</t>
        </is>
      </c>
      <c r="G1679" s="3" t="n"/>
      <c r="H1679" s="217" t="inlineStr">
        <is>
          <t>"delivery.warehouse.backlog.type": "ស្នាមជើង",</t>
        </is>
      </c>
      <c r="I1679" t="inlineStr">
        <is>
          <t>ស្នាមជើង</t>
        </is>
      </c>
    </row>
    <row r="1680">
      <c r="A1680" s="3" t="inlineStr">
        <is>
          <t>delivery.warehouse.branchManager.area</t>
        </is>
      </c>
      <c r="B1680" s="3" t="inlineStr">
        <is>
          <t>Khu vực</t>
        </is>
      </c>
      <c r="C1680" s="3" t="inlineStr">
        <is>
          <t>Area</t>
        </is>
      </c>
      <c r="D1680" s="217">
        <f>IFERROR(__xludf.DUMMYFUNCTION("GOOGLETRANSLATE(C1680,""vi"",""km"")"),"បង្ហូរ")</f>
        <v/>
      </c>
      <c r="E1680" s="3" t="n"/>
      <c r="F1680" s="3" t="inlineStr">
        <is>
          <t>បង្ហូរ</t>
        </is>
      </c>
      <c r="G1680" s="3" t="n"/>
      <c r="H1680" s="217" t="inlineStr">
        <is>
          <t>"delivery.warehouse.branchManager.area": "បង្ហូរ",</t>
        </is>
      </c>
      <c r="I1680" t="inlineStr">
        <is>
          <t>បង្ហូរ</t>
        </is>
      </c>
    </row>
    <row r="1681">
      <c r="A1681" s="3" t="inlineStr">
        <is>
          <t>delivery.warehouse.branchManager.branchCode</t>
        </is>
      </c>
      <c r="B1681" s="3" t="inlineStr">
        <is>
          <t>Mã chi nhánh</t>
        </is>
      </c>
      <c r="C1681" s="3" t="inlineStr">
        <is>
          <t>Branch code</t>
        </is>
      </c>
      <c r="D1681" s="217">
        <f>IFERROR(__xludf.DUMMYFUNCTION("GOOGLETRANSLATE(C1681,""vi"",""km"")"),"លេខកូដសាខា")</f>
        <v/>
      </c>
      <c r="E1681" s="3" t="n"/>
      <c r="F1681" s="3" t="inlineStr">
        <is>
          <t>លេខកូដសាខា</t>
        </is>
      </c>
      <c r="G1681" s="3" t="n"/>
      <c r="H1681" s="217" t="inlineStr">
        <is>
          <t>"delivery.warehouse.branchManager.branchCode": "លេខកូដសាខា",</t>
        </is>
      </c>
      <c r="I1681" t="inlineStr">
        <is>
          <t>លេខកូដសាខា</t>
        </is>
      </c>
    </row>
    <row r="1682">
      <c r="A1682" s="3" t="inlineStr">
        <is>
          <t>delivery.warehouse.branchManager.branchName</t>
        </is>
      </c>
      <c r="B1682" s="3" t="inlineStr">
        <is>
          <t>Tên chi nhánh</t>
        </is>
      </c>
      <c r="C1682" s="3" t="inlineStr">
        <is>
          <t>Branch name</t>
        </is>
      </c>
      <c r="D1682" s="217">
        <f>IFERROR(__xludf.DUMMYFUNCTION("GOOGLETRANSLATE(C1682,""vi"",""km"")"),"ឈ្មោះសាខា")</f>
        <v/>
      </c>
      <c r="E1682" s="3" t="n"/>
      <c r="F1682" s="3" t="inlineStr">
        <is>
          <t>ឈ្មោះសាខា</t>
        </is>
      </c>
      <c r="G1682" s="3" t="n"/>
      <c r="H1682" s="217" t="inlineStr">
        <is>
          <t>"delivery.warehouse.branchManager.branchName": "ឈ្មោះសាខា",</t>
        </is>
      </c>
      <c r="I1682" t="inlineStr">
        <is>
          <t>ឈ្មោះសាខា</t>
        </is>
      </c>
    </row>
    <row r="1683">
      <c r="A1683" s="3" t="inlineStr">
        <is>
          <t>delivery.warehouse.branchManager.createBranch</t>
        </is>
      </c>
      <c r="B1683" s="3" t="inlineStr">
        <is>
          <t>Thêm mới chi nhánh</t>
        </is>
      </c>
      <c r="C1683" s="3" t="inlineStr">
        <is>
          <t>Create branch</t>
        </is>
      </c>
      <c r="D1683" s="217">
        <f>IFERROR(__xludf.DUMMYFUNCTION("GOOGLETRANSLATE(C1683,""vi"",""km"")"),"បង្កើតសាខា")</f>
        <v/>
      </c>
      <c r="E1683" s="3" t="n"/>
      <c r="F1683" s="3" t="inlineStr">
        <is>
          <t>បង្កើតសាខា</t>
        </is>
      </c>
      <c r="G1683" s="3" t="n"/>
      <c r="H1683" s="217" t="inlineStr">
        <is>
          <t>"delivery.warehouse.branchManager.createBranch": "បង្កើតសាខា",</t>
        </is>
      </c>
      <c r="I1683" t="inlineStr">
        <is>
          <t>បង្កើតសាខា</t>
        </is>
      </c>
    </row>
    <row r="1684">
      <c r="A1684" s="3" t="inlineStr">
        <is>
          <t>delivery.warehouse.branchManager.detailBranch</t>
        </is>
      </c>
      <c r="B1684" s="3" t="inlineStr">
        <is>
          <t>Thông tin chi nhánh</t>
        </is>
      </c>
      <c r="C1684" s="3" t="inlineStr">
        <is>
          <t>Branch information</t>
        </is>
      </c>
      <c r="D1684" s="217">
        <f>IFERROR(__xludf.DUMMYFUNCTION("GOOGLETRANSLATE(C1684,""vi"",""km"")"),"ស្ថានីយ៍ TP")</f>
        <v/>
      </c>
      <c r="E1684" s="3" t="n"/>
      <c r="F1684" s="3" t="inlineStr">
        <is>
          <t>ស្ថានីយ៍ TP</t>
        </is>
      </c>
      <c r="G1684" s="3" t="n"/>
      <c r="H1684" s="217" t="inlineStr">
        <is>
          <t>"delivery.warehouse.branchManager.detailBranch": "ស្ថានីយ៍ TP",</t>
        </is>
      </c>
      <c r="I1684" t="inlineStr">
        <is>
          <t>ស្ថានីយ៍ TP</t>
        </is>
      </c>
    </row>
    <row r="1685">
      <c r="A1685" s="3" t="inlineStr">
        <is>
          <t>delivery.warehouse.branchManager.listBranch</t>
        </is>
      </c>
      <c r="B1685" s="3" t="inlineStr">
        <is>
          <t>Quản lý chi nhánh</t>
        </is>
      </c>
      <c r="C1685" s="3" t="inlineStr">
        <is>
          <t>Branch management</t>
        </is>
      </c>
      <c r="D1685" s="217">
        <f>IFERROR(__xludf.DUMMYFUNCTION("GOOGLETRANSLATE(C1685,""vi"",""km"")"),"ការគ្រប់គ្រងសាខា")</f>
        <v/>
      </c>
      <c r="E1685" s="3" t="n"/>
      <c r="F1685" s="3" t="inlineStr">
        <is>
          <t>ការគ្រប់គ្រងសាខា</t>
        </is>
      </c>
      <c r="G1685" s="3" t="n"/>
      <c r="H1685" s="217" t="inlineStr">
        <is>
          <t>"delivery.warehouse.branchManager.listBranch": "ការគ្រប់គ្រងសាខា",</t>
        </is>
      </c>
      <c r="I1685" t="inlineStr">
        <is>
          <t>ការគ្រប់គ្រងសាខា</t>
        </is>
      </c>
    </row>
    <row r="1686">
      <c r="A1686" s="3" t="inlineStr">
        <is>
          <t>delivery.warehouse.branchManager.placeholderArea</t>
        </is>
      </c>
      <c r="B1686" s="3" t="inlineStr">
        <is>
          <t>Chọn khu vực</t>
        </is>
      </c>
      <c r="C1686" s="3" t="inlineStr">
        <is>
          <t>Select area</t>
        </is>
      </c>
      <c r="D1686" s="217">
        <f>IFERROR(__xludf.DUMMYFUNCTION("GOOGLETRANSLATE(C1686,""vi"",""km"")"),"តំបន់ជាតិ")</f>
        <v/>
      </c>
      <c r="E1686" s="3" t="n"/>
      <c r="F1686" s="3" t="inlineStr">
        <is>
          <t>តំបន់ជាតិ</t>
        </is>
      </c>
      <c r="G1686" s="3" t="n"/>
      <c r="H1686" s="217" t="inlineStr">
        <is>
          <t>"delivery.warehouse.branchManager.placeholderArea": "តំបន់ជាតិ",</t>
        </is>
      </c>
      <c r="I1686" t="inlineStr">
        <is>
          <t>តំបន់ជាតិ</t>
        </is>
      </c>
    </row>
    <row r="1687">
      <c r="A1687" s="3" t="inlineStr">
        <is>
          <t>delivery.warehouse.branchManager.placeholderBranchCode</t>
        </is>
      </c>
      <c r="B1687" s="3" t="inlineStr">
        <is>
          <t>Nhập mã chi nhánh</t>
        </is>
      </c>
      <c r="C1687" s="3" t="inlineStr">
        <is>
          <t>Enter branch code</t>
        </is>
      </c>
      <c r="D1687" s="217">
        <f>IFERROR(__xludf.DUMMYFUNCTION("GOOGLETRANSLATE(C1687,""vi"",""km"")"),"បញ្ចូលលេខកូដសាខា")</f>
        <v/>
      </c>
      <c r="E1687" s="3" t="n"/>
      <c r="F1687" s="3" t="inlineStr">
        <is>
          <t>បញ្ចូលលេខកូដសាខា</t>
        </is>
      </c>
      <c r="G1687" s="3" t="n"/>
      <c r="H1687" s="217" t="inlineStr">
        <is>
          <t>"delivery.warehouse.branchManager.placeholderBranchCode": "បញ្ចូលលេខកូដសាខា",</t>
        </is>
      </c>
      <c r="I1687" t="inlineStr">
        <is>
          <t>បញ្ចូលលេខកូដសាខា</t>
        </is>
      </c>
    </row>
    <row r="1688">
      <c r="A1688" s="3" t="inlineStr">
        <is>
          <t>delivery.warehouse.branchManager.placeholderBranchName</t>
        </is>
      </c>
      <c r="B1688" s="3" t="inlineStr">
        <is>
          <t>Nhập tên chi nhánh</t>
        </is>
      </c>
      <c r="C1688" s="3" t="inlineStr">
        <is>
          <t>Enter branch name</t>
        </is>
      </c>
      <c r="D1688" s="217">
        <f>IFERROR(__xludf.DUMMYFUNCTION("GOOGLETRANSLATE(C1688,""vi"",""km"")"),"បញ្ចូលឈ្មោះសាខា")</f>
        <v/>
      </c>
      <c r="E1688" s="3" t="n"/>
      <c r="F1688" s="3" t="inlineStr">
        <is>
          <t>បញ្ចូលឈ្មោះសាខា</t>
        </is>
      </c>
      <c r="G1688" s="3" t="n"/>
      <c r="H1688" s="217" t="inlineStr">
        <is>
          <t>"delivery.warehouse.branchManager.placeholderBranchName": "បញ្ចូលឈ្មោះសាខា",</t>
        </is>
      </c>
      <c r="I1688" t="inlineStr">
        <is>
          <t>បញ្ចូលឈ្មោះសាខា</t>
        </is>
      </c>
    </row>
    <row r="1689">
      <c r="A1689" s="3" t="inlineStr">
        <is>
          <t>delivery.warehouse.branchManager.searchPlaceholder</t>
        </is>
      </c>
      <c r="B1689" s="3" t="inlineStr">
        <is>
          <t>Nhập mã hoặc tên chi nhánh để tìm kiếm</t>
        </is>
      </c>
      <c r="C1689" s="3" t="inlineStr">
        <is>
          <t>Enter branch name or ID to search</t>
        </is>
      </c>
      <c r="D1689" s="217">
        <f>IFERROR(__xludf.DUMMYFUNCTION("GOOGLETRANSLATE(C1689,""vi"",""km"")"),"បញ្ចូលឈ្មោះសាខា ឬលេខសម្គាល់ដើម្បីស្វែងរក")</f>
        <v/>
      </c>
      <c r="E1689" s="3" t="n"/>
      <c r="F1689" s="3" t="inlineStr">
        <is>
          <t>បញ្ចូលឈ្មោះសាខា ឬលេខសម្គាល់ដើម្បីស្វែងរក</t>
        </is>
      </c>
      <c r="G1689" s="3" t="n"/>
      <c r="H1689" s="217" t="inlineStr">
        <is>
          <t>"delivery.warehouse.branchManager.searchPlaceholder": "បញ្ចូលឈ្មោះសាខា ឬលេខសម្គាល់ដើម្បីស្វែងរក",</t>
        </is>
      </c>
      <c r="I1689" t="inlineStr">
        <is>
          <t>បញ្ចូលឈ្មោះសាខា ឬលេខសម្គាល់ដើម្បីស្វែងរក</t>
        </is>
      </c>
    </row>
    <row r="1690">
      <c r="A1690" s="3" t="inlineStr">
        <is>
          <t>delivery.warehouse.branchManager.updateAt</t>
        </is>
      </c>
      <c r="B1690" s="3" t="inlineStr">
        <is>
          <t>Ngày cập nhật</t>
        </is>
      </c>
      <c r="C1690" s="3" t="inlineStr">
        <is>
          <t>Updated date</t>
        </is>
      </c>
      <c r="D1690" s="217">
        <f>IFERROR(__xludf.DUMMYFUNCTION("GOOGLETRANSLATE(C1690,""vi"",""km"")"),"កាលបរិច្ឆេទដែលបានធ្វើបច្ចុប្បន្នភាព")</f>
        <v/>
      </c>
      <c r="E1690" s="3" t="n"/>
      <c r="F1690" s="3" t="inlineStr">
        <is>
          <t>កាលបរិច្ឆេទដែលបានធ្វើបច្ចុប្បន្នភាព</t>
        </is>
      </c>
      <c r="G1690" s="3" t="n"/>
      <c r="H1690" s="217" t="inlineStr">
        <is>
          <t>"delivery.warehouse.branchManager.updateAt": "កាលបរិច្ឆេទដែលបានធ្វើបច្ចុប្បន្នភាព",</t>
        </is>
      </c>
      <c r="I1690" t="inlineStr">
        <is>
          <t>កាលបរិច្ឆេទដែលបានធ្វើបច្ចុប្បន្នភាព</t>
        </is>
      </c>
    </row>
    <row r="1691">
      <c r="A1691" s="3" t="inlineStr">
        <is>
          <t>delivery.warehouse.branchManager.updateBy</t>
        </is>
      </c>
      <c r="B1691" s="3" t="inlineStr">
        <is>
          <t>Người cập nhật</t>
        </is>
      </c>
      <c r="C1691" s="3" t="inlineStr">
        <is>
          <t>Updater</t>
        </is>
      </c>
      <c r="D1691" s="217">
        <f>IFERROR(__xludf.DUMMYFUNCTION("GOOGLETRANSLATE(C1691,""vi"",""km"")"),"កម្មវិធីធ្វើបច្ចុប្បន្នភាព")</f>
        <v/>
      </c>
      <c r="E1691" s="3" t="n"/>
      <c r="F1691" s="3" t="inlineStr">
        <is>
          <t>កម្មវិធីធ្វើបច្ចុប្បន្នភាព</t>
        </is>
      </c>
      <c r="G1691" s="3" t="n"/>
      <c r="H1691" s="217" t="inlineStr">
        <is>
          <t>"delivery.warehouse.branchManager.updateBy": "កម្មវិធីធ្វើបច្ចុប្បន្នភាព",</t>
        </is>
      </c>
      <c r="I1691" t="inlineStr">
        <is>
          <t>កម្មវិធីធ្វើបច្ចុប្បន្នភាព</t>
        </is>
      </c>
    </row>
    <row r="1692">
      <c r="A1692" s="3" t="inlineStr">
        <is>
          <t>delivery.warehouse.branchOperating.NotReceived</t>
        </is>
      </c>
      <c r="B1692" s="3" t="inlineStr">
        <is>
          <t>Chưa tiếp nhận</t>
        </is>
      </c>
      <c r="C1692" s="3" t="inlineStr">
        <is>
          <t>Not received</t>
        </is>
      </c>
      <c r="D1692" s="217">
        <f>IFERROR(__xludf.DUMMYFUNCTION("GOOGLETRANSLATE(C1692,""vi"",""km"")"),"មិនបានទទួលទេ")</f>
        <v/>
      </c>
      <c r="E1692" s="3" t="n"/>
      <c r="F1692" s="3" t="inlineStr">
        <is>
          <t>មិនទាន់ទទួល</t>
        </is>
      </c>
      <c r="G1692" s="3" t="n"/>
      <c r="H1692" s="217" t="inlineStr">
        <is>
          <t>"delivery.warehouse.branchOperating.NotReceived": "មិនទាន់ទទួល",</t>
        </is>
      </c>
      <c r="I1692" t="inlineStr">
        <is>
          <t>មិនទាន់ទទួល</t>
        </is>
      </c>
    </row>
    <row r="1693">
      <c r="A1693" s="3" t="inlineStr">
        <is>
          <t>delivery.warehouse.branchOperating.Received</t>
        </is>
      </c>
      <c r="B1693" s="3" t="inlineStr">
        <is>
          <t>Đã tiếp nhận</t>
        </is>
      </c>
      <c r="C1693" s="3" t="inlineStr">
        <is>
          <t>Received</t>
        </is>
      </c>
      <c r="D1693" s="217">
        <f>IFERROR(__xludf.DUMMYFUNCTION("GOOGLETRANSLATE(C1693,""vi"",""km"")"),"បានទទួល")</f>
        <v/>
      </c>
      <c r="E1693" s="3" t="n"/>
      <c r="F1693" s="3" t="inlineStr">
        <is>
          <t>បានទទួល</t>
        </is>
      </c>
      <c r="G1693" s="3" t="n"/>
      <c r="H1693" s="217" t="inlineStr">
        <is>
          <t>"delivery.warehouse.branchOperating.Received": "បានទទួល",</t>
        </is>
      </c>
      <c r="I1693" t="inlineStr">
        <is>
          <t>បានទទួល</t>
        </is>
      </c>
    </row>
    <row r="1694">
      <c r="A1694" s="3" t="inlineStr">
        <is>
          <t>delivery.warehouse.branchOperating.amount</t>
        </is>
      </c>
      <c r="B1694" s="3" t="inlineStr">
        <is>
          <t>Số lượng</t>
        </is>
      </c>
      <c r="C1694" s="3" t="inlineStr">
        <is>
          <t>Quantity</t>
        </is>
      </c>
      <c r="D1694" s="217">
        <f>IFERROR(__xludf.DUMMYFUNCTION("GOOGLETRANSLATE(C1694,""vi"",""km"")"),"វត្ថុ")</f>
        <v/>
      </c>
      <c r="E1694" s="3" t="n"/>
      <c r="F1694" s="3" t="inlineStr">
        <is>
          <t>វត្ថុ</t>
        </is>
      </c>
      <c r="G1694" s="3" t="n"/>
      <c r="H1694" s="217" t="inlineStr">
        <is>
          <t>"delivery.warehouse.branchOperating.amount": "វត្ថុ",</t>
        </is>
      </c>
      <c r="I1694" t="inlineStr">
        <is>
          <t>វត្ថុ</t>
        </is>
      </c>
    </row>
    <row r="1695">
      <c r="A1695" s="3" t="inlineStr">
        <is>
          <t>delivery.warehouse.branchOperating.assignDefault</t>
        </is>
      </c>
      <c r="B1695" s="3" t="inlineStr">
        <is>
          <t>Gán mặc định</t>
        </is>
      </c>
      <c r="C1695" s="3" t="inlineStr">
        <is>
          <t>Assign by default</t>
        </is>
      </c>
      <c r="D1695" s="217">
        <f>IFERROR(__xludf.DUMMYFUNCTION("GOOGLETRANSLATE(C1695,""vi"",""km"")"),"កំណត់តាមលំនាំដើម")</f>
        <v/>
      </c>
      <c r="E1695" s="3" t="n"/>
      <c r="F1695" s="3" t="inlineStr">
        <is>
          <t>កំណត់ជាលំនាំដើម</t>
        </is>
      </c>
      <c r="G1695" s="3" t="n"/>
      <c r="H1695" s="217" t="inlineStr">
        <is>
          <t>"delivery.warehouse.branchOperating.assignDefault": "កំណត់ជាលំនាំដើម",</t>
        </is>
      </c>
      <c r="I1695" t="inlineStr">
        <is>
          <t>កំណត់ជាលំនាំដើម</t>
        </is>
      </c>
    </row>
    <row r="1696">
      <c r="A1696" s="3" t="inlineStr">
        <is>
          <t>delivery.warehouse.branchOperating.assignRouteSuccess</t>
        </is>
      </c>
      <c r="B1696" s="3" t="inlineStr">
        <is>
          <t>Gán tuyến thành công</t>
        </is>
      </c>
      <c r="C1696" s="3" t="inlineStr">
        <is>
          <t>Assign route success</t>
        </is>
      </c>
      <c r="D1696" s="217">
        <f>IFERROR(__xludf.DUMMYFUNCTION("GOOGLETRANSLATE(C1696,""vi"",""km"")"),"កំណត់ភាពជោគជ័យរបស់ម៉ាស៊ីនបម្រើ")</f>
        <v/>
      </c>
      <c r="E1696" s="3" t="n"/>
      <c r="F1696" s="3" t="inlineStr">
        <is>
          <t>ចាត់តាំងខ្សែផ្លូវជោគជ័យ</t>
        </is>
      </c>
      <c r="G1696" s="3" t="n"/>
      <c r="H1696" s="217" t="inlineStr">
        <is>
          <t>"delivery.warehouse.branchOperating.assignRouteSuccess": "ចាត់តាំងខ្សែផ្លូវជោគជ័យ",</t>
        </is>
      </c>
      <c r="I1696" t="inlineStr">
        <is>
          <t>ចាត់តាំងខ្សែផ្លូវជោគជ័យ</t>
        </is>
      </c>
    </row>
    <row r="1697">
      <c r="A1697" s="3" t="inlineStr">
        <is>
          <t>delivery.warehouse.branchOperating.assignSuccess</t>
        </is>
      </c>
      <c r="B1697" s="3" t="inlineStr">
        <is>
          <t>Gán bưu cục thành công</t>
        </is>
      </c>
      <c r="C1697" s="3" t="inlineStr">
        <is>
          <t>Assign Post office success</t>
        </is>
      </c>
      <c r="D1697" s="217">
        <f>IFERROR(__xludf.DUMMYFUNCTION("GOOGLETRANSLATE(C1697,""vi"",""km"")"),"ចាត់តាំង​ចារកម្ម​ការិយាល័យ​ប្រៃសណីយ៍")</f>
        <v/>
      </c>
      <c r="E1697" s="3" t="n"/>
      <c r="F1697" s="3" t="inlineStr">
        <is>
          <t>ចាត់តាំងការិយាល័យប្រៃសណីយ៍ជោគជ័យ</t>
        </is>
      </c>
      <c r="G1697" s="3" t="n"/>
      <c r="H1697" s="217" t="inlineStr">
        <is>
          <t>"delivery.warehouse.branchOperating.assignSuccess": "ចាត់តាំងការិយាល័យប្រៃសណីយ៍ជោគជ័យ",</t>
        </is>
      </c>
      <c r="I1697" t="inlineStr">
        <is>
          <t>ចាត់តាំងការិយាល័យប្រៃសណីយ៍ជោគជ័យ</t>
        </is>
      </c>
    </row>
    <row r="1698">
      <c r="A1698" s="3" t="inlineStr">
        <is>
          <t>delivery.warehouse.branchOperating.assignWarehouseFail</t>
        </is>
      </c>
      <c r="B1698" s="3" t="inlineStr">
        <is>
          <t>Gán tuyến tất cả đơn thuộc kho thất bại</t>
        </is>
      </c>
      <c r="C1698" s="3" t="inlineStr">
        <is>
          <t>Assigning routes to all orders belonging to the warehouse failed</t>
        </is>
      </c>
      <c r="D1698" s="217">
        <f>IFERROR(__xludf.DUMMYFUNCTION("GOOGLETRANSLATE(C1698,""vi"",""km"")"),"ការកំណត់ផ្លូវទៅកាន់ការបញ្ជាទិញទាំងអស់ដែលជាកម្មសិទ្ធិរបស់ឃ្លាំងបានបរាជ័យ")</f>
        <v/>
      </c>
      <c r="E1698" s="3" t="n"/>
      <c r="F1698" s="3" t="inlineStr">
        <is>
          <t>ចាត់តាំងខ្សែផ្លូវសម្រាប់បញ្ញើទាំងអស់ក្នុងឃ្លាំងមិនបានសម្រេច</t>
        </is>
      </c>
      <c r="G1698" s="3" t="n"/>
      <c r="H1698" s="217" t="inlineStr">
        <is>
          <t>"delivery.warehouse.branchOperating.assignWarehouseFail": "ចាត់តាំងខ្សែផ្លូវសម្រាប់បញ្ញើទាំងអស់ក្នុងឃ្លាំងមិនបានសម្រេច",</t>
        </is>
      </c>
      <c r="I1698" t="inlineStr">
        <is>
          <t>ចាត់តាំងខ្សែផ្លូវសម្រាប់បញ្ញើទាំងអស់ក្នុងឃ្លាំងមិនបានសម្រេច</t>
        </is>
      </c>
    </row>
    <row r="1699">
      <c r="A1699" s="3" t="inlineStr">
        <is>
          <t>delivery.warehouse.branchOperating.assignWarehouseFailAll</t>
        </is>
      </c>
      <c r="B1699" s="3" t="inlineStr">
        <is>
          <t>Gán tuyến kho thất bại</t>
        </is>
      </c>
      <c r="C1699" s="3" t="inlineStr">
        <is>
          <t>Assign route failed</t>
        </is>
      </c>
      <c r="D1699" s="217">
        <f>IFERROR(__xludf.DUMMYFUNCTION("GOOGLETRANSLATE(C1699,""vi"",""km"")"),"ការចាត់តាំងបរាជ័យ")</f>
        <v/>
      </c>
      <c r="E1699" s="3" t="n"/>
      <c r="F1699" s="3" t="inlineStr">
        <is>
          <t>ចាត់តាំងខ្សែផ្លូវឃ្លាំងមិនបានសម្រេច</t>
        </is>
      </c>
      <c r="G1699" s="3" t="n"/>
      <c r="H1699" s="217" t="inlineStr">
        <is>
          <t>"delivery.warehouse.branchOperating.assignWarehouseFailAll": "ចាត់តាំងខ្សែផ្លូវឃ្លាំងមិនបានសម្រេច",</t>
        </is>
      </c>
      <c r="I1699" t="inlineStr">
        <is>
          <t>ចាត់តាំងខ្សែផ្លូវឃ្លាំងមិនបានសម្រេច</t>
        </is>
      </c>
    </row>
    <row r="1700">
      <c r="A1700" s="3" t="inlineStr">
        <is>
          <t>delivery.warehouse.branchOperating.detail</t>
        </is>
      </c>
      <c r="B1700" s="3" t="inlineStr">
        <is>
          <t>Chi tiết</t>
        </is>
      </c>
      <c r="C1700" s="3" t="inlineStr">
        <is>
          <t>Details</t>
        </is>
      </c>
      <c r="D1700" s="217">
        <f>IFERROR(__xludf.DUMMYFUNCTION("GOOGLETRANSLATE(C1700,""vi"",""km"")"),"ទិន្នន័យ")</f>
        <v/>
      </c>
      <c r="E1700" s="3" t="n"/>
      <c r="F1700" s="3" t="inlineStr">
        <is>
          <t>ព័ត៌មានលម្អិត</t>
        </is>
      </c>
      <c r="G1700" s="3" t="n"/>
      <c r="H1700" s="217" t="inlineStr">
        <is>
          <t>"delivery.warehouse.branchOperating.detail": "ព័ត៌មានលម្អិត",</t>
        </is>
      </c>
      <c r="I1700" t="inlineStr">
        <is>
          <t>ព័ត៌មានលម្អិត</t>
        </is>
      </c>
    </row>
    <row r="1701">
      <c r="A1701" s="3" t="inlineStr">
        <is>
          <t>delivery.warehouse.branchOperating.employee</t>
        </is>
      </c>
      <c r="B1701" s="3" t="inlineStr">
        <is>
          <t>Tuyến nhận</t>
        </is>
      </c>
      <c r="C1701" s="3" t="inlineStr">
        <is>
          <t>Pickup route</t>
        </is>
      </c>
      <c r="D1701" s="217">
        <f>IFERROR(__xludf.DUMMYFUNCTION("GOOGLETRANSLATE(C1701,""vi"",""km"")"),"ផ្លូវទៅយក")</f>
        <v/>
      </c>
      <c r="E1701" s="3" t="n"/>
      <c r="F1701" s="3" t="inlineStr">
        <is>
          <t>ផ្លូវទៅយក</t>
        </is>
      </c>
      <c r="G1701" s="3" t="n"/>
      <c r="H1701" s="217" t="inlineStr">
        <is>
          <t>"delivery.warehouse.branchOperating.employee": "ផ្លូវទៅយក",</t>
        </is>
      </c>
      <c r="I1701" t="inlineStr">
        <is>
          <t>ផ្លូវទៅយក</t>
        </is>
      </c>
    </row>
    <row r="1702">
      <c r="A1702" s="3" t="inlineStr">
        <is>
          <t>delivery.warehouse.branchOperating.endDate</t>
        </is>
      </c>
      <c r="B1702" s="3" t="inlineStr">
        <is>
          <t>Đến ngày</t>
        </is>
      </c>
      <c r="C1702" s="3" t="inlineStr">
        <is>
          <t>Select end date</t>
        </is>
      </c>
      <c r="D1702" s="217">
        <f>IFERROR(__xludf.DUMMYFUNCTION("GOOGLETRANSLATE(C1702,""vi"",""km"")"),"ជ្រើសរើសកាលបរិច្ឆេទបញ្ចប់")</f>
        <v/>
      </c>
      <c r="E1702" s="3" t="n"/>
      <c r="F1702" s="3" t="inlineStr">
        <is>
          <t>ជ្រើសរើសកាលបរិច្ឆេទបញ្ចប់</t>
        </is>
      </c>
      <c r="G1702" s="3" t="n"/>
      <c r="H1702" s="217" t="inlineStr">
        <is>
          <t>"delivery.warehouse.branchOperating.endDate": "ជ្រើសរើសកាលបរិច្ឆេទបញ្ចប់",</t>
        </is>
      </c>
      <c r="I1702" t="inlineStr">
        <is>
          <t>ជ្រើសរើសកាលបរិច្ឆេទបញ្ចប់</t>
        </is>
      </c>
    </row>
    <row r="1703">
      <c r="A1703" s="3" t="inlineStr">
        <is>
          <t>delivery.warehouse.branchOperating.listOrderAssignRoute</t>
        </is>
      </c>
      <c r="B1703" s="3" t="inlineStr">
        <is>
          <t>Danh sách đơn gán tuyến thành công</t>
        </is>
      </c>
      <c r="C1703" s="3" t="inlineStr">
        <is>
          <t>List of assigned route orders</t>
        </is>
      </c>
      <c r="D1703" s="217">
        <f>IFERROR(__xludf.DUMMYFUNCTION("GOOGLETRANSLATE(C1703,""vi"",""km"")"),"បញ្ជីនៃការបញ្ជាទិញផ្លូវដែលបានកំណត់")</f>
        <v/>
      </c>
      <c r="E1703" s="3" t="n"/>
      <c r="F1703" s="3" t="inlineStr">
        <is>
          <t>បញ្ជីបញ្ញើដែលបានចាត់តាំងខ្សែផ្លូវជោគជ័យ</t>
        </is>
      </c>
      <c r="G1703" s="3" t="n"/>
      <c r="H1703" s="217" t="inlineStr">
        <is>
          <t>"delivery.warehouse.branchOperating.listOrderAssignRoute": "បញ្ជីបញ្ញើដែលបានចាត់តាំងខ្សែផ្លូវជោគជ័យ",</t>
        </is>
      </c>
      <c r="I1703" t="inlineStr">
        <is>
          <t>បញ្ជីបញ្ញើដែលបានចាត់តាំងខ្សែផ្លូវជោគជ័យ</t>
        </is>
      </c>
    </row>
    <row r="1704">
      <c r="A1704" s="3" t="inlineStr">
        <is>
          <t>delivery.warehouse.branchOperating.listOrderSuccess</t>
        </is>
      </c>
      <c r="B1704" s="3" t="inlineStr">
        <is>
          <t>Gán bưu cục thành công đơn</t>
        </is>
      </c>
      <c r="C1704" s="3" t="inlineStr">
        <is>
          <t>List of assigned postal orders</t>
        </is>
      </c>
      <c r="D1704" s="217">
        <f>IFERROR(__xludf.DUMMYFUNCTION("GOOGLETRANSLATE(C1704,""vi"",""km"")"),"បញ្ជីនៃការបញ្ជាទិញប្រៃសណីយ៍ដែលបានកំណត់")</f>
        <v/>
      </c>
      <c r="E1704" s="3" t="n"/>
      <c r="F1704" s="3" t="inlineStr">
        <is>
          <t>ចាត់តាំងការិយាល័យប្រៃសណីយ៍សម្រាប់បញ្ញើជោគជ័យ</t>
        </is>
      </c>
      <c r="G1704" s="3" t="n"/>
      <c r="H1704" s="217" t="inlineStr">
        <is>
          <t>"delivery.warehouse.branchOperating.listOrderSuccess": "ចាត់តាំងការិយាល័យប្រៃសណីយ៍សម្រាប់បញ្ញើជោគជ័យ",</t>
        </is>
      </c>
      <c r="I1704" t="inlineStr">
        <is>
          <t>ចាត់តាំងការិយាល័យប្រៃសណីយ៍សម្រាប់បញ្ញើជោគជ័យ</t>
        </is>
      </c>
    </row>
    <row r="1705">
      <c r="A1705" s="3" t="inlineStr">
        <is>
          <t>delivery.warehouse.branchOperating.personalInfor</t>
        </is>
      </c>
      <c r="B1705" s="3" t="inlineStr">
        <is>
          <t>Thông tin người gửi</t>
        </is>
      </c>
      <c r="C1705" s="3" t="inlineStr">
        <is>
          <t>Sender information</t>
        </is>
      </c>
      <c r="D1705" s="217">
        <f>IFERROR(__xludf.DUMMYFUNCTION("GOOGLETRANSLATE(C1705,""vi"",""km"")"),"ព័ត៌មានអ្នកផ្ញើ")</f>
        <v/>
      </c>
      <c r="E1705" s="3" t="n"/>
      <c r="F1705" s="3" t="inlineStr">
        <is>
          <t>ព័ត៌មានអ្នកផ្ញើ</t>
        </is>
      </c>
      <c r="G1705" s="3" t="n"/>
      <c r="H1705" s="217" t="inlineStr">
        <is>
          <t>"delivery.warehouse.branchOperating.personalInfor": "ព័ត៌មានអ្នកផ្ញើ",</t>
        </is>
      </c>
      <c r="I1705" t="inlineStr">
        <is>
          <t>ព័ត៌មានអ្នកផ្ញើ</t>
        </is>
      </c>
    </row>
    <row r="1706">
      <c r="A1706" s="3" t="inlineStr">
        <is>
          <t>delivery.warehouse.branchOperating.pleaseChooseBranch</t>
        </is>
      </c>
      <c r="B1706" s="3" t="inlineStr">
        <is>
          <t>Vui lòng chọn bưu cục</t>
        </is>
      </c>
      <c r="C1706" s="3" t="inlineStr">
        <is>
          <t>Please select a post office</t>
        </is>
      </c>
      <c r="D1706" s="217">
        <f>IFERROR(__xludf.DUMMYFUNCTION("GOOGLETRANSLATE(C1706,""vi"",""km"")"),"សូមជ្រើសរើសការិយាល័យប្រៃសណីយ៍")</f>
        <v/>
      </c>
      <c r="E1706" s="3" t="n"/>
      <c r="F1706" s="3" t="inlineStr">
        <is>
          <t>សូមជ្រើសរើសការិយាល័យប្រៃសណីយ៍</t>
        </is>
      </c>
      <c r="G1706" s="3" t="n"/>
      <c r="H1706" s="217" t="inlineStr">
        <is>
          <t>"delivery.warehouse.branchOperating.pleaseChooseBranch": "សូមជ្រើសរើសការិយាល័យប្រៃសណីយ៍",</t>
        </is>
      </c>
      <c r="I1706" t="inlineStr">
        <is>
          <t>សូមជ្រើសរើសការិយាល័យប្រៃសណីយ៍</t>
        </is>
      </c>
    </row>
    <row r="1707">
      <c r="A1707" s="3" t="inlineStr">
        <is>
          <t>delivery.warehouse.branchOperating.pleaseChooseRoute</t>
        </is>
      </c>
      <c r="B1707" s="3" t="inlineStr">
        <is>
          <t>Vui lòng chọn tuyến</t>
        </is>
      </c>
      <c r="C1707" s="3" t="inlineStr">
        <is>
          <t>Please select a route</t>
        </is>
      </c>
      <c r="D1707" s="217">
        <f>IFERROR(__xludf.DUMMYFUNCTION("GOOGLETRANSLATE(C1707,""vi"",""km"")"),"សូមជ្រើសរើសផ្លូវមួយ")</f>
        <v/>
      </c>
      <c r="E1707" s="3" t="n"/>
      <c r="F1707" s="3" t="inlineStr">
        <is>
          <t>សូមជ្រើសរើសផ្លូវមួយ</t>
        </is>
      </c>
      <c r="G1707" s="3" t="n"/>
      <c r="H1707" s="217" t="inlineStr">
        <is>
          <t>"delivery.warehouse.branchOperating.pleaseChooseRoute": "សូមជ្រើសរើសផ្លូវមួយ",</t>
        </is>
      </c>
      <c r="I1707" t="inlineStr">
        <is>
          <t>សូមជ្រើសរើសផ្លូវមួយ</t>
        </is>
      </c>
    </row>
    <row r="1708">
      <c r="A1708" s="3" t="inlineStr">
        <is>
          <t>delivery.warehouse.branchOperating.postOffice</t>
        </is>
      </c>
      <c r="B1708" s="3" t="inlineStr">
        <is>
          <t>Bưu cục nhận</t>
        </is>
      </c>
      <c r="C1708" s="3" t="inlineStr">
        <is>
          <t>Pickup station</t>
        </is>
      </c>
      <c r="D1708" s="217">
        <f>IFERROR(__xludf.DUMMYFUNCTION("GOOGLETRANSLATE(C1708,""vi"",""km"")"),"ស្ថានីយ​ទទួល")</f>
        <v/>
      </c>
      <c r="E1708" s="3" t="n"/>
      <c r="F1708" s="3" t="inlineStr">
        <is>
          <t>ស្ថានីយទទួល</t>
        </is>
      </c>
      <c r="G1708" s="3" t="n"/>
      <c r="H1708" s="217" t="inlineStr">
        <is>
          <t>"delivery.warehouse.branchOperating.postOffice": "ស្ថានីយទទួល",</t>
        </is>
      </c>
      <c r="I1708" t="inlineStr">
        <is>
          <t>ស្ថានីយទទួល</t>
        </is>
      </c>
    </row>
    <row r="1709">
      <c r="A1709" s="3" t="inlineStr">
        <is>
          <t>delivery.warehouse.branchOperating.searchKeyword</t>
        </is>
      </c>
      <c r="B1709" s="3" t="inlineStr">
        <is>
          <t>Nhập từ khóa tìm kiếm</t>
        </is>
      </c>
      <c r="C1709" s="3" t="inlineStr">
        <is>
          <t>Enter keywords</t>
        </is>
      </c>
      <c r="D1709" s="217">
        <f>IFERROR(__xludf.DUMMYFUNCTION("GOOGLETRANSLATE(C1709,""vi"",""km"")"),"គ្រាប់ចុចបញ្ចូល")</f>
        <v/>
      </c>
      <c r="E1709" s="3" t="n"/>
      <c r="F1709" s="3" t="inlineStr">
        <is>
          <t>គ្រាប់ចុចបញ្ចូល</t>
        </is>
      </c>
      <c r="G1709" s="3" t="n"/>
      <c r="H1709" s="217" t="inlineStr">
        <is>
          <t>"delivery.warehouse.branchOperating.searchKeyword": "គ្រាប់ចុចបញ្ចូល",</t>
        </is>
      </c>
      <c r="I1709" t="inlineStr">
        <is>
          <t>គ្រាប់ចុចបញ្ចូល</t>
        </is>
      </c>
    </row>
    <row r="1710">
      <c r="A1710" s="3" t="inlineStr">
        <is>
          <t>delivery.warehouse.branchOperating.searchPlaceholder</t>
        </is>
      </c>
      <c r="B1710" s="3" t="inlineStr">
        <is>
          <t>Nhập số điện thoại hoặc mã vận đơn</t>
        </is>
      </c>
      <c r="C1710" s="3" t="inlineStr">
        <is>
          <t>Enter waybill code or mobile number</t>
        </is>
      </c>
      <c r="D1710" s="217">
        <f>IFERROR(__xludf.DUMMYFUNCTION("GOOGLETRANSLATE(C1710,""vi"",""km"")"),"បញ្ចូលលេខកូដ Waybill ឬលេខទូរស័ព្ទដៃ")</f>
        <v/>
      </c>
      <c r="E1710" s="3" t="n"/>
      <c r="F1710" s="3" t="inlineStr">
        <is>
          <t>បញ្ចូលលេខកូដ Waybill ឬលេខទូរស័ព្ទដៃ</t>
        </is>
      </c>
      <c r="G1710" s="3" t="n"/>
      <c r="H1710" s="217" t="inlineStr">
        <is>
          <t>"delivery.warehouse.branchOperating.searchPlaceholder": "បញ្ចូលលេខកូដ Waybill ឬលេខទូរស័ព្ទដៃ",</t>
        </is>
      </c>
      <c r="I1710" t="inlineStr">
        <is>
          <t>បញ្ចូលលេខកូដ Waybill ឬលេខទូរស័ព្ទដៃ</t>
        </is>
      </c>
    </row>
    <row r="1711">
      <c r="A1711" s="3" t="inlineStr">
        <is>
          <t>delivery.warehouse.branchOperating.selectDate</t>
        </is>
      </c>
      <c r="B1711" s="3" t="inlineStr">
        <is>
          <t>Từ ngày - Đến ngày</t>
        </is>
      </c>
      <c r="C1711" s="3" t="inlineStr">
        <is>
          <t>Select Date</t>
        </is>
      </c>
      <c r="D1711" s="217">
        <f>IFERROR(__xludf.DUMMYFUNCTION("GOOGLETRANSLATE(C1711,""vi"",""km"")"),"ជ្រើសរើសកាលបរិច្ឆេទ")</f>
        <v/>
      </c>
      <c r="E1711" s="3" t="n"/>
      <c r="F1711" s="3" t="inlineStr">
        <is>
          <t>ជ្រើសរើសកាលបរិច្ឆេទ</t>
        </is>
      </c>
      <c r="G1711" s="3" t="n"/>
      <c r="H1711" s="217" t="inlineStr">
        <is>
          <t>"delivery.warehouse.branchOperating.selectDate": "ជ្រើសរើសកាលបរិច្ឆេទ",</t>
        </is>
      </c>
      <c r="I1711" t="inlineStr">
        <is>
          <t>ជ្រើសរើសកាលបរិច្ឆេទ</t>
        </is>
      </c>
    </row>
    <row r="1712">
      <c r="A1712" s="3" t="inlineStr">
        <is>
          <t>delivery.warehouse.branchOperating.selectPartnerId</t>
        </is>
      </c>
      <c r="B1712" s="3" t="inlineStr">
        <is>
          <t>Chọn mã đối tác</t>
        </is>
      </c>
      <c r="C1712" s="3" t="inlineStr">
        <is>
          <t>Select Partner</t>
        </is>
      </c>
      <c r="D1712" s="217">
        <f>IFERROR(__xludf.DUMMYFUNCTION("GOOGLETRANSLATE(C1712,""vi"",""km"")"),"ជ្រើសរើសដៃគូ")</f>
        <v/>
      </c>
      <c r="E1712" s="3" t="n"/>
      <c r="F1712" s="3" t="inlineStr">
        <is>
          <t>ជ្រើសរើសដៃគូ</t>
        </is>
      </c>
      <c r="G1712" s="3" t="n"/>
      <c r="H1712" s="217" t="inlineStr">
        <is>
          <t>"delivery.warehouse.branchOperating.selectPartnerId": "ជ្រើសរើសដៃគូ",</t>
        </is>
      </c>
      <c r="I1712" t="inlineStr">
        <is>
          <t>ជ្រើសរើសដៃគូ</t>
        </is>
      </c>
    </row>
    <row r="1713">
      <c r="A1713" s="3" t="inlineStr">
        <is>
          <t>delivery.warehouse.branchOperating.selectRoute</t>
        </is>
      </c>
      <c r="B1713" s="3" t="inlineStr">
        <is>
          <t>Chọn tuyến</t>
        </is>
      </c>
      <c r="C1713" s="3" t="inlineStr">
        <is>
          <t>Select route</t>
        </is>
      </c>
      <c r="D1713" s="217">
        <f>IFERROR(__xludf.DUMMYFUNCTION("GOOGLETRANSLATE(C1713,""vi"",""km"")"),"ជ្រើសរើសផ្លូវ")</f>
        <v/>
      </c>
      <c r="E1713" s="3" t="n"/>
      <c r="F1713" s="3" t="inlineStr">
        <is>
          <t>ជ្រើសរើសផ្លូវ</t>
        </is>
      </c>
      <c r="G1713" s="3" t="n"/>
      <c r="H1713" s="217" t="inlineStr">
        <is>
          <t>"delivery.warehouse.branchOperating.selectRoute": "ជ្រើសរើសផ្លូវ",</t>
        </is>
      </c>
      <c r="I1713" t="inlineStr">
        <is>
          <t>ជ្រើសរើសផ្លូវ</t>
        </is>
      </c>
    </row>
    <row r="1714">
      <c r="A1714" s="3" t="inlineStr">
        <is>
          <t>delivery.warehouse.branchOperating.selectRoutes</t>
        </is>
      </c>
      <c r="B1714" s="3" t="inlineStr">
        <is>
          <t>Chọn tuyến</t>
        </is>
      </c>
      <c r="C1714" s="3" t="inlineStr">
        <is>
          <t>Select route</t>
        </is>
      </c>
      <c r="D1714" s="217">
        <f>IFERROR(__xludf.DUMMYFUNCTION("GOOGLETRANSLATE(C1714,""vi"",""km"")"),"ជ្រើសរើសផ្លូវ")</f>
        <v/>
      </c>
      <c r="E1714" s="3" t="n"/>
      <c r="F1714" s="3" t="inlineStr">
        <is>
          <t>ជ្រើសរើសផ្លូវ</t>
        </is>
      </c>
      <c r="G1714" s="3" t="n"/>
      <c r="H1714" s="217" t="inlineStr">
        <is>
          <t>"delivery.warehouse.branchOperating.selectRoutes": "ជ្រើសរើសផ្លូវ",</t>
        </is>
      </c>
      <c r="I1714" t="inlineStr">
        <is>
          <t>ជ្រើសរើសផ្លូវ</t>
        </is>
      </c>
    </row>
    <row r="1715">
      <c r="A1715" s="3" t="inlineStr">
        <is>
          <t>delivery.warehouse.branchOperating.startDate</t>
        </is>
      </c>
      <c r="B1715" s="3" t="inlineStr">
        <is>
          <t>Từ ngày</t>
        </is>
      </c>
      <c r="C1715" s="3" t="inlineStr">
        <is>
          <t>Select start date</t>
        </is>
      </c>
      <c r="D1715" s="217">
        <f>IFERROR(__xludf.DUMMYFUNCTION("GOOGLETRANSLATE(C1715,""vi"",""km"")"),"កាលបរិច្ឆេទចាប់ផ្តើមដែលបានជ្រើសរើស")</f>
        <v/>
      </c>
      <c r="E1715" s="3" t="n"/>
      <c r="F1715" s="3" t="inlineStr">
        <is>
          <t>កាលបរិច្ឆេទចាប់ផ្តើមដែលបានជ្រើសរើស</t>
        </is>
      </c>
      <c r="G1715" s="3" t="n"/>
      <c r="H1715" s="217" t="inlineStr">
        <is>
          <t>"delivery.warehouse.branchOperating.startDate": "កាលបរិច្ឆេទចាប់ផ្តើមដែលបានជ្រើសរើស",</t>
        </is>
      </c>
      <c r="I1715" t="inlineStr">
        <is>
          <t>កាលបរិច្ឆេទចាប់ផ្តើមដែលបានជ្រើសរើស</t>
        </is>
      </c>
    </row>
    <row r="1716">
      <c r="A1716" s="3" t="inlineStr">
        <is>
          <t>delivery.warehouse.changePass.5timesOtp</t>
        </is>
      </c>
      <c r="B1716" s="3" t="inlineStr">
        <is>
          <t>5 lần,</t>
        </is>
      </c>
      <c r="C1716" s="3" t="inlineStr">
        <is>
          <t>5 failed OTP attempts</t>
        </is>
      </c>
      <c r="D1716" s="217">
        <f>IFERROR(__xludf.DUMMYFUNCTION("GOOGLETRANSLATE(C1716,""vi"",""km"")"),"ការប៉ុនប៉ង OTP ចំនួន 5 លើកបានបរាជ័យ")</f>
        <v/>
      </c>
      <c r="E1716" s="3" t="n"/>
      <c r="F1716" s="3" t="inlineStr">
        <is>
          <t>ការប៉ុនប៉ង OTP ចំនួន 5 លើកបានបរាជ័យ</t>
        </is>
      </c>
      <c r="G1716" s="3" t="n"/>
      <c r="H1716" s="217" t="inlineStr">
        <is>
          <t>"delivery.warehouse.changePass.5timesOtp": "ការប៉ុនប៉ង OTP ចំនួន 5 លើកបានបរាជ័យ",</t>
        </is>
      </c>
      <c r="I1716" t="inlineStr">
        <is>
          <t>ការប៉ុនប៉ង OTP ចំនួន 5 លើកបានបរាជ័យ</t>
        </is>
      </c>
    </row>
    <row r="1717">
      <c r="A1717" s="3" t="inlineStr">
        <is>
          <t>delivery.warehouse.changePass.5timesPass</t>
        </is>
      </c>
      <c r="B1717" s="3" t="inlineStr">
        <is>
          <t>5 lần,</t>
        </is>
      </c>
      <c r="C1717" s="3" t="inlineStr">
        <is>
          <t>5 failed password attempts</t>
        </is>
      </c>
      <c r="D1717" s="217">
        <f>IFERROR(__xludf.DUMMYFUNCTION("GOOGLETRANSLATE(C1717,""vi"",""km"")"),"ការប៉ុនប៉ងពាក្យសម្ងាត់បរាជ័យចំនួន ៥ ដង")</f>
        <v/>
      </c>
      <c r="E1717" s="3" t="n"/>
      <c r="F1717" s="3" t="inlineStr">
        <is>
          <t>ការប៉ុនប៉ងពាក្យសម្ងាត់បរាជ័យចំនួន ៥ ដង</t>
        </is>
      </c>
      <c r="G1717" s="3" t="n"/>
      <c r="H1717" s="217" t="inlineStr">
        <is>
          <t>"delivery.warehouse.changePass.5timesPass": "ការប៉ុនប៉ងពាក្យសម្ងាត់បរាជ័យចំនួន ៥ ដង",</t>
        </is>
      </c>
      <c r="I1717" t="inlineStr">
        <is>
          <t>ការប៉ុនប៉ងពាក្យសម្ងាត់បរាជ័យចំនួន ៥ ដង</t>
        </is>
      </c>
    </row>
    <row r="1718">
      <c r="A1718" s="3" t="inlineStr">
        <is>
          <t>delivery.warehouse.changePass.FIXED_DATE</t>
        </is>
      </c>
      <c r="B1718" s="3" t="inlineStr">
        <is>
          <t>Ngày trong tháng</t>
        </is>
      </c>
      <c r="C1718" s="3" t="inlineStr">
        <is>
          <t>Day of the month</t>
        </is>
      </c>
      <c r="D1718" s="217">
        <f>IFERROR(__xludf.DUMMYFUNCTION("GOOGLETRANSLATE(C1718,""vi"",""km"")"),"ថ្ងៃនៃខែ")</f>
        <v/>
      </c>
      <c r="E1718" s="3" t="n"/>
      <c r="F1718" s="3" t="inlineStr">
        <is>
          <t>ថ្ងៃនៃខែ</t>
        </is>
      </c>
      <c r="G1718" s="3" t="n"/>
      <c r="H1718" s="217" t="inlineStr">
        <is>
          <t>"delivery.warehouse.changePass.FIXED_DATE": "ថ្ងៃនៃខែ",</t>
        </is>
      </c>
      <c r="I1718" t="inlineStr">
        <is>
          <t>ថ្ងៃនៃខែ</t>
        </is>
      </c>
    </row>
    <row r="1719">
      <c r="A1719" s="3" t="inlineStr">
        <is>
          <t>delivery.warehouse.changePass.MON_WED_FRI</t>
        </is>
      </c>
      <c r="B1719" s="3" t="inlineStr">
        <is>
          <t>Thứ 2,4,6 hàng tuần</t>
        </is>
      </c>
      <c r="C1719" s="3" t="inlineStr">
        <is>
          <t>Mondays, Wednesdays, and Fridays</t>
        </is>
      </c>
      <c r="D1719" s="217">
        <f>IFERROR(__xludf.DUMMYFUNCTION("GOOGLETRANSLATE(C1719,""vi"",""km"")"),"ថ្ងៃច័ន្ទ ថ្ងៃពុធ និងថ្ងៃសុក្រ")</f>
        <v/>
      </c>
      <c r="E1719" s="3" t="n"/>
      <c r="F1719" s="3" t="inlineStr">
        <is>
          <t>ថ្ងៃច័ន្ទ ថ្ងៃពុធ និងថ្ងៃសុក្រ</t>
        </is>
      </c>
      <c r="G1719" s="3" t="n"/>
      <c r="H1719" s="217" t="inlineStr">
        <is>
          <t>"delivery.warehouse.changePass.MON_WED_FRI": "ថ្ងៃច័ន្ទ ថ្ងៃពុធ និងថ្ងៃសុក្រ",</t>
        </is>
      </c>
      <c r="I1719" t="inlineStr">
        <is>
          <t>ថ្ងៃច័ន្ទ ថ្ងៃពុធ និងថ្ងៃសុក្រ</t>
        </is>
      </c>
    </row>
    <row r="1720">
      <c r="A1720" s="3" t="inlineStr">
        <is>
          <t>delivery.warehouse.changePass.TUE_THU</t>
        </is>
      </c>
      <c r="B1720" s="3" t="inlineStr">
        <is>
          <t>Thứ 3,5 hàng tuần</t>
        </is>
      </c>
      <c r="C1720" s="3" t="inlineStr">
        <is>
          <t>Tuesdays and Thursdays every week</t>
        </is>
      </c>
      <c r="D1720" s="217">
        <f>IFERROR(__xludf.DUMMYFUNCTION("GOOGLETRANSLATE(C1720,""vi"",""km"")"),"ថ្ងៃអង្គារ និងថ្ងៃព្រហស្បតិ៍ រៀងរាល់សប្តាហ៍")</f>
        <v/>
      </c>
      <c r="E1720" s="3" t="n"/>
      <c r="F1720" s="3" t="inlineStr">
        <is>
          <t>ថ្ងៃអង្គារ និងថ្ងៃព្រហស្បតិ៍ រៀងរាល់សប្តាហ៍</t>
        </is>
      </c>
      <c r="G1720" s="3" t="n"/>
      <c r="H1720" s="217" t="inlineStr">
        <is>
          <t>"delivery.warehouse.changePass.TUE_THU": "ថ្ងៃអង្គារ និងថ្ងៃព្រហស្បតិ៍ រៀងរាល់សប្តាហ៍",</t>
        </is>
      </c>
      <c r="I1720" t="inlineStr">
        <is>
          <t>ថ្ងៃអង្គារ និងថ្ងៃព្រហស្បតិ៍ រៀងរាល់សប្តាហ៍</t>
        </is>
      </c>
    </row>
    <row r="1721">
      <c r="A1721" s="3" t="inlineStr">
        <is>
          <t>delivery.warehouse.changePass.accountInformation</t>
        </is>
      </c>
      <c r="B1721" s="3" t="inlineStr">
        <is>
          <t>Thông tin tài khoản</t>
        </is>
      </c>
      <c r="C1721" s="3" t="inlineStr">
        <is>
          <t>Account information</t>
        </is>
      </c>
      <c r="D1721" s="217">
        <f>IFERROR(__xludf.DUMMYFUNCTION("GOOGLETRANSLATE(C1721,""vi"",""km"")"),"ព័ត៌មានគណនី")</f>
        <v/>
      </c>
      <c r="E1721" s="3" t="n"/>
      <c r="F1721" s="3" t="inlineStr">
        <is>
          <t>ព័ត៌មានគណនី</t>
        </is>
      </c>
      <c r="G1721" s="3" t="n"/>
      <c r="H1721" s="217" t="inlineStr">
        <is>
          <t>"delivery.warehouse.changePass.accountInformation": "ព័ត៌មានគណនី",</t>
        </is>
      </c>
      <c r="I1721" t="inlineStr">
        <is>
          <t>ព័ត៌មានគណនី</t>
        </is>
      </c>
    </row>
    <row r="1722">
      <c r="A1722" s="3" t="inlineStr">
        <is>
          <t>delivery.warehouse.changePass.accountNumber</t>
        </is>
      </c>
      <c r="B1722" s="3" t="inlineStr">
        <is>
          <t>Số tài khoản</t>
        </is>
      </c>
      <c r="C1722" s="3" t="inlineStr">
        <is>
          <t>Account number</t>
        </is>
      </c>
      <c r="D1722" s="217">
        <f>IFERROR(__xludf.DUMMYFUNCTION("GOOGLETRANSLATE(C1722,""vi"",""km"")"),"លេខគណនី")</f>
        <v/>
      </c>
      <c r="E1722" s="3" t="n"/>
      <c r="F1722" s="3" t="inlineStr">
        <is>
          <t>លេខគណនីធនាគារ</t>
        </is>
      </c>
      <c r="G1722" s="3" t="n"/>
      <c r="H1722" s="217" t="inlineStr">
        <is>
          <t>"delivery.warehouse.changePass.accountNumber": "លេខគណនីធនាគារ",</t>
        </is>
      </c>
      <c r="I1722" t="inlineStr">
        <is>
          <t>លេខគណនីធនាគារ</t>
        </is>
      </c>
    </row>
    <row r="1723">
      <c r="A1723" s="3" t="inlineStr">
        <is>
          <t>delivery.warehouse.changePass.accountOwner</t>
        </is>
      </c>
      <c r="B1723" s="3" t="inlineStr">
        <is>
          <t>Chủ tài khoản</t>
        </is>
      </c>
      <c r="C1723" s="3" t="inlineStr">
        <is>
          <t>Account holder</t>
        </is>
      </c>
      <c r="D1723" s="217">
        <f>IFERROR(__xludf.DUMMYFUNCTION("GOOGLETRANSLATE(C1723,""vi"",""km"")"),"ម្ចាស់គណនី")</f>
        <v/>
      </c>
      <c r="E1723" s="3" t="n"/>
      <c r="F1723" s="3" t="inlineStr">
        <is>
          <t>ម្ចាស់គណនី</t>
        </is>
      </c>
      <c r="G1723" s="3" t="n"/>
      <c r="H1723" s="217" t="inlineStr">
        <is>
          <t>"delivery.warehouse.changePass.accountOwner": "ម្ចាស់គណនី",</t>
        </is>
      </c>
      <c r="I1723" t="inlineStr">
        <is>
          <t>ម្ចាស់គណនី</t>
        </is>
      </c>
    </row>
    <row r="1724">
      <c r="A1724" s="3" t="inlineStr">
        <is>
          <t>delivery.warehouse.changePass.address</t>
        </is>
      </c>
      <c r="B1724" s="3" t="inlineStr">
        <is>
          <t>Địa chỉ chi tiết</t>
        </is>
      </c>
      <c r="C1724" s="3" t="inlineStr">
        <is>
          <t>Detailed address</t>
        </is>
      </c>
      <c r="D1724" s="217">
        <f>IFERROR(__xludf.DUMMYFUNCTION("GOOGLETRANSLATE(C1724,""vi"",""km"")"),"អាសយដ្ឋានរដ្ឋបាល")</f>
        <v/>
      </c>
      <c r="E1724" s="3" t="n"/>
      <c r="F1724" s="3" t="inlineStr">
        <is>
          <t>អាសយដ្ឋានរដ្ឋបាល</t>
        </is>
      </c>
      <c r="G1724" s="3" t="n"/>
      <c r="H1724" s="217" t="inlineStr">
        <is>
          <t>"delivery.warehouse.changePass.address": "អាសយដ្ឋានរដ្ឋបាល",</t>
        </is>
      </c>
      <c r="I1724" t="inlineStr">
        <is>
          <t>អាសយដ្ឋានរដ្ឋបាល</t>
        </is>
      </c>
    </row>
    <row r="1725">
      <c r="A1725" s="3" t="inlineStr">
        <is>
          <t>delivery.warehouse.changePass.bank</t>
        </is>
      </c>
      <c r="B1725" s="3" t="inlineStr">
        <is>
          <t>Ngân hàng</t>
        </is>
      </c>
      <c r="C1725" s="3" t="inlineStr">
        <is>
          <t>Bank</t>
        </is>
      </c>
      <c r="D1725" s="217">
        <f>IFERROR(__xludf.DUMMYFUNCTION("GOOGLETRANSLATE(C1725,""vi"",""km"")"),"ធនាគារ")</f>
        <v/>
      </c>
      <c r="E1725" s="3" t="n"/>
      <c r="F1725" s="3" t="inlineStr">
        <is>
          <t>ធនាគារ</t>
        </is>
      </c>
      <c r="G1725" s="3" t="n"/>
      <c r="H1725" s="217" t="inlineStr">
        <is>
          <t>"delivery.warehouse.changePass.bank": "ធនាគារ",</t>
        </is>
      </c>
      <c r="I1725" t="inlineStr">
        <is>
          <t>ធនាគារ</t>
        </is>
      </c>
    </row>
    <row r="1726">
      <c r="A1726" s="3" t="inlineStr">
        <is>
          <t>delivery.warehouse.changePass.billingInformation</t>
        </is>
      </c>
      <c r="B1726" s="3" t="inlineStr">
        <is>
          <t>Thông tin thanh toán</t>
        </is>
      </c>
      <c r="C1726" s="3" t="inlineStr">
        <is>
          <t>Payment information</t>
        </is>
      </c>
      <c r="D1726" s="217">
        <f>IFERROR(__xludf.DUMMYFUNCTION("GOOGLETRANSLATE(C1726,""vi"",""km"")"),"ព័ត៌មានរាប់ពាន់")</f>
        <v/>
      </c>
      <c r="E1726" s="3" t="n"/>
      <c r="F1726" s="3" t="inlineStr">
        <is>
          <t>ព័ត៌មានរាប់ពាន់</t>
        </is>
      </c>
      <c r="G1726" s="3" t="n"/>
      <c r="H1726" s="217" t="inlineStr">
        <is>
          <t>"delivery.warehouse.changePass.billingInformation": "ព័ត៌មានរាប់ពាន់",</t>
        </is>
      </c>
      <c r="I1726" t="inlineStr">
        <is>
          <t>ព័ត៌មានរាប់ពាន់</t>
        </is>
      </c>
    </row>
    <row r="1727">
      <c r="A1727" s="3" t="inlineStr">
        <is>
          <t>delivery.warehouse.changePass.change</t>
        </is>
      </c>
      <c r="B1727" s="3" t="inlineStr">
        <is>
          <t>Thay đổi</t>
        </is>
      </c>
      <c r="C1727" s="3" t="inlineStr">
        <is>
          <t>Change</t>
        </is>
      </c>
      <c r="D1727" s="217">
        <f>IFERROR(__xludf.DUMMYFUNCTION("GOOGLETRANSLATE(C1727,""vi"",""km"")"),"កែសម្រួល")</f>
        <v/>
      </c>
      <c r="E1727" s="3" t="n"/>
      <c r="F1727" s="3" t="inlineStr">
        <is>
          <t>កែសម្រួល</t>
        </is>
      </c>
      <c r="G1727" s="3" t="n"/>
      <c r="H1727" s="217" t="inlineStr">
        <is>
          <t>"delivery.warehouse.changePass.change": "កែសម្រួល",</t>
        </is>
      </c>
      <c r="I1727" t="inlineStr">
        <is>
          <t>កែសម្រួល</t>
        </is>
      </c>
    </row>
    <row r="1728">
      <c r="A1728" s="3" t="inlineStr">
        <is>
          <t>delivery.warehouse.changePass.changePassSuccess</t>
        </is>
      </c>
      <c r="B1728" s="3" t="inlineStr">
        <is>
          <t>Đổi mật khẩu thành công</t>
        </is>
      </c>
      <c r="C1728" s="3" t="inlineStr">
        <is>
          <t>Password changed successfully.</t>
        </is>
      </c>
      <c r="D1728" s="217">
        <f>IFERROR(__xludf.DUMMYFUNCTION("GOOGLETRANSLATE(C1728,""vi"",""km"")"),"បានផ្លាស់ប្តូរពាក្យសម្ងាត់ដោយជោគជ័យ។")</f>
        <v/>
      </c>
      <c r="E1728" s="3" t="n"/>
      <c r="F1728" s="3" t="inlineStr">
        <is>
          <t>បានផ្លាស់ប្តូរពាក្យសម្ងាត់ដោយជោគជ័យ។</t>
        </is>
      </c>
      <c r="G1728" s="3" t="n"/>
      <c r="H1728" s="217" t="inlineStr">
        <is>
          <t>"delivery.warehouse.changePass.changePassSuccess": "បានផ្លាស់ប្តូរពាក្យសម្ងាត់ដោយជោគជ័យ។",</t>
        </is>
      </c>
      <c r="I1728" t="inlineStr">
        <is>
          <t>បានផ្លាស់ប្តូរពាក្យសម្ងាត់ដោយជោគជ័យ។</t>
        </is>
      </c>
    </row>
    <row r="1729">
      <c r="A1729" s="3" t="inlineStr">
        <is>
          <t>delivery.warehouse.changePass.changePassword</t>
        </is>
      </c>
      <c r="B1729" s="3" t="inlineStr">
        <is>
          <t>Đổi mật khẩu</t>
        </is>
      </c>
      <c r="C1729" s="3" t="inlineStr">
        <is>
          <t>Change password</t>
        </is>
      </c>
      <c r="D1729" s="217">
        <f>IFERROR(__xludf.DUMMYFUNCTION("GOOGLETRANSLATE(C1729,""vi"",""km"")"),"ប្តូរពាក្យសម្ងាត់")</f>
        <v/>
      </c>
      <c r="E1729" s="3" t="n"/>
      <c r="F1729" s="3" t="inlineStr">
        <is>
          <t>ប្តូរពាក្យសម្ងាត់</t>
        </is>
      </c>
      <c r="G1729" s="3" t="n"/>
      <c r="H1729" s="217" t="inlineStr">
        <is>
          <t>"delivery.warehouse.changePass.changePassword": "ប្តូរពាក្យសម្ងាត់",</t>
        </is>
      </c>
      <c r="I1729" t="inlineStr">
        <is>
          <t>ប្តូរពាក្យសម្ងាត់</t>
        </is>
      </c>
    </row>
    <row r="1730">
      <c r="A1730" s="3" t="inlineStr">
        <is>
          <t>delivery.warehouse.changePass.codPaymentInfo</t>
        </is>
      </c>
      <c r="B1730" s="3" t="inlineStr">
        <is>
          <t>Hình thức thanh toán</t>
        </is>
      </c>
      <c r="C1730" s="3" t="inlineStr">
        <is>
          <t>Payment methods</t>
        </is>
      </c>
      <c r="D1730" s="217">
        <f>IFERROR(__xludf.DUMMYFUNCTION("GOOGLETRANSLATE(C1730,""vi"",""km"")"),"វិធីសាស្ត្រទូទាត់")</f>
        <v/>
      </c>
      <c r="E1730" s="3" t="n"/>
      <c r="F1730" s="3" t="inlineStr">
        <is>
          <t>វិធីសាស្ត្រទូទាត់</t>
        </is>
      </c>
      <c r="G1730" s="3" t="n"/>
      <c r="H1730" s="217" t="inlineStr">
        <is>
          <t>"delivery.warehouse.changePass.codPaymentInfo": "វិធីសាស្ត្រទូទាត់",</t>
        </is>
      </c>
      <c r="I1730" t="inlineStr">
        <is>
          <t>វិធីសាស្ត្រទូទាត់</t>
        </is>
      </c>
    </row>
    <row r="1731">
      <c r="A1731" s="3" t="inlineStr">
        <is>
          <t>delivery.warehouse.changePass.codPaymentInformation</t>
        </is>
      </c>
      <c r="B1731" s="3" t="inlineStr">
        <is>
          <t>Thông tin thanh toán COD</t>
        </is>
      </c>
      <c r="C1731" s="3" t="inlineStr">
        <is>
          <t>Cash on Delivery (COD) payment information</t>
        </is>
      </c>
      <c r="D1731" s="217">
        <f>IFERROR(__xludf.DUMMYFUNCTION("GOOGLETRANSLATE(C1731,""vi"",""km"")"),"ព័ត៌មានអំពីការទូទាត់ប្រាក់ពេលទទួលទំនិញ (COD)")</f>
        <v/>
      </c>
      <c r="E1731" s="3" t="n"/>
      <c r="F1731" s="3" t="inlineStr">
        <is>
          <t>ព័ត៌មានអំពីការទូទាត់ប្រាក់ពេលទទួលទំនិញ (COD)</t>
        </is>
      </c>
      <c r="G1731" s="3" t="n"/>
      <c r="H1731" s="217" t="inlineStr">
        <is>
          <t>"delivery.warehouse.changePass.codPaymentInformation": "ព័ត៌មានអំពីការទូទាត់ប្រាក់ពេលទទួលទំនិញ (COD)",</t>
        </is>
      </c>
      <c r="I1731" t="inlineStr">
        <is>
          <t>ព័ត៌មានអំពីការទូទាត់ប្រាក់ពេលទទួលទំនិញ (COD)</t>
        </is>
      </c>
    </row>
    <row r="1732">
      <c r="A1732" s="3" t="inlineStr">
        <is>
          <t>delivery.warehouse.changePass.confirmOtp</t>
        </is>
      </c>
      <c r="B1732" s="3" t="inlineStr">
        <is>
          <t>Xác nhận OTP</t>
        </is>
      </c>
      <c r="C1732" s="3" t="inlineStr">
        <is>
          <t>OTP Confirmation</t>
        </is>
      </c>
      <c r="D1732" s="217">
        <f>IFERROR(__xludf.DUMMYFUNCTION("GOOGLETRANSLATE(C1732,""vi"",""km"")"),"ការបញ្ជាក់ OTP")</f>
        <v/>
      </c>
      <c r="E1732" s="3" t="n"/>
      <c r="F1732" s="3" t="inlineStr">
        <is>
          <t>ការបញ្ជាក់ OTP</t>
        </is>
      </c>
      <c r="G1732" s="3" t="n"/>
      <c r="H1732" s="217" t="inlineStr">
        <is>
          <t>"delivery.warehouse.changePass.confirmOtp": "ការបញ្ជាក់ OTP",</t>
        </is>
      </c>
      <c r="I1732" t="inlineStr">
        <is>
          <t>ការបញ្ជាក់ OTP</t>
        </is>
      </c>
    </row>
    <row r="1733">
      <c r="A1733" s="3" t="inlineStr">
        <is>
          <t>delivery.warehouse.changePass.confirmPassword</t>
        </is>
      </c>
      <c r="B1733" s="3" t="inlineStr">
        <is>
          <t>Xác nhận mật khẩu</t>
        </is>
      </c>
      <c r="C1733" s="3" t="inlineStr">
        <is>
          <t>Confirm password</t>
        </is>
      </c>
      <c r="D1733" s="217">
        <f>IFERROR(__xludf.DUMMYFUNCTION("GOOGLETRANSLATE(C1733,""vi"",""km"")"),"បញ្ជាក់ពាក្យសម្ងាត់")</f>
        <v/>
      </c>
      <c r="E1733" s="3" t="n"/>
      <c r="F1733" s="3" t="inlineStr">
        <is>
          <t>បញ្ជាក់ពាក្យសម្ងាត់</t>
        </is>
      </c>
      <c r="G1733" s="3" t="n"/>
      <c r="H1733" s="217" t="inlineStr">
        <is>
          <t>"delivery.warehouse.changePass.confirmPassword": "បញ្ជាក់ពាក្យសម្ងាត់",</t>
        </is>
      </c>
      <c r="I1733" t="inlineStr">
        <is>
          <t>បញ្ជាក់ពាក្យសម្ងាត់</t>
        </is>
      </c>
    </row>
    <row r="1734">
      <c r="A1734" s="3" t="inlineStr">
        <is>
          <t>delivery.warehouse.changePass.confirmPasswordPlaceholder</t>
        </is>
      </c>
      <c r="B1734" s="3" t="inlineStr">
        <is>
          <t>Nhập lại mật khẩu mới</t>
        </is>
      </c>
      <c r="C1734" s="3" t="inlineStr">
        <is>
          <t>Re-enter your new password.</t>
        </is>
      </c>
      <c r="D1734" s="217">
        <f>IFERROR(__xludf.DUMMYFUNCTION("GOOGLETRANSLATE(C1734,""vi"",""km"")"),"បញ្ចូលពាក្យសម្ងាត់ថ្មីរបស់អ្នកឡើងវិញ។")</f>
        <v/>
      </c>
      <c r="E1734" s="3" t="n"/>
      <c r="F1734" s="3" t="inlineStr">
        <is>
          <t>បញ្ចូលពាក្យសម្ងាត់ថ្មីរបស់អ្នកឡើងវិញ។</t>
        </is>
      </c>
      <c r="G1734" s="3" t="n"/>
      <c r="H1734" s="217" t="inlineStr">
        <is>
          <t>"delivery.warehouse.changePass.confirmPasswordPlaceholder": "បញ្ចូលពាក្យសម្ងាត់ថ្មីរបស់អ្នកឡើងវិញ។",</t>
        </is>
      </c>
      <c r="I1734" t="inlineStr">
        <is>
          <t>បញ្ចូលពាក្យសម្ងាត់ថ្មីរបស់អ្នកឡើងវិញ។</t>
        </is>
      </c>
    </row>
    <row r="1735">
      <c r="A1735" s="3" t="inlineStr">
        <is>
          <t>delivery.warehouse.changePass.confirmPasswordWrong</t>
        </is>
      </c>
      <c r="B1735" s="3" t="inlineStr">
        <is>
          <t>Xác nhận mật khẩu không chính xác</t>
        </is>
      </c>
      <c r="C1735" s="3" t="inlineStr">
        <is>
          <t>Password confirmation is incorrect.</t>
        </is>
      </c>
      <c r="D1735" s="217">
        <f>IFERROR(__xludf.DUMMYFUNCTION("GOOGLETRANSLATE(C1735,""vi"",""km"")"),"ការបញ្ជាក់ពាក្យសម្ងាត់មិនត្រឹមត្រូវ។")</f>
        <v/>
      </c>
      <c r="E1735" s="3" t="n"/>
      <c r="F1735" s="3" t="inlineStr">
        <is>
          <t>ការបញ្ជាក់ពាក្យសម្ងាត់មិនត្រឹមត្រូវ។</t>
        </is>
      </c>
      <c r="G1735" s="3" t="n"/>
      <c r="H1735" s="217" t="inlineStr">
        <is>
          <t>"delivery.warehouse.changePass.confirmPasswordWrong": "ការបញ្ជាក់ពាក្យសម្ងាត់មិនត្រឹមត្រូវ។",</t>
        </is>
      </c>
      <c r="I1735" t="inlineStr">
        <is>
          <t>ការបញ្ជាក់ពាក្យសម្ងាត់មិនត្រឹមត្រូវ។</t>
        </is>
      </c>
    </row>
    <row r="1736">
      <c r="A1736" s="3" t="inlineStr">
        <is>
          <t>delivery.warehouse.changePass.constPayment.BANK_TRANSFER</t>
        </is>
      </c>
      <c r="B1736" s="3" t="inlineStr">
        <is>
          <t>Chuyển khoản</t>
        </is>
      </c>
      <c r="C1736" s="3" t="inlineStr">
        <is>
          <t>Transfer</t>
        </is>
      </c>
      <c r="D1736" s="217">
        <f>IFERROR(__xludf.DUMMYFUNCTION("GOOGLETRANSLATE(C1736,""vi"",""km"")"),"ទាញយក")</f>
        <v/>
      </c>
      <c r="E1736" s="3" t="n"/>
      <c r="F1736" s="3" t="inlineStr">
        <is>
          <t>ផ្ទេរប្រាក់</t>
        </is>
      </c>
      <c r="G1736" s="3" t="n"/>
      <c r="H1736" s="217" t="inlineStr">
        <is>
          <t>"delivery.warehouse.changePass.constPayment.BANK_TRANSFER": "ផ្ទេរប្រាក់",</t>
        </is>
      </c>
      <c r="I1736" t="inlineStr">
        <is>
          <t>ផ្ទេរប្រាក់</t>
        </is>
      </c>
    </row>
    <row r="1737">
      <c r="A1737" s="3" t="inlineStr">
        <is>
          <t>delivery.warehouse.changePass.constPayment.DEDUCTED_FROM_COD</t>
        </is>
      </c>
      <c r="B1737" s="3" t="inlineStr">
        <is>
          <t>Cấn trừ tiền cước phí dịch vụ với tiền COD</t>
        </is>
      </c>
      <c r="C1737" s="3" t="inlineStr">
        <is>
          <t>Deduct the service fee from the COD payment.</t>
        </is>
      </c>
      <c r="D1737" s="217">
        <f>IFERROR(__xludf.DUMMYFUNCTION("GOOGLETRANSLATE(C1737,""vi"",""km"")"),"កាត់ថ្លៃសេវាកម្មចេញពីការទូទាត់ COD។")</f>
        <v/>
      </c>
      <c r="E1737" s="3" t="n"/>
      <c r="F1737" s="3" t="inlineStr">
        <is>
          <t>កាត់ថ្លៃសេវាកម្មចេញពីការទូទាត់ COD។</t>
        </is>
      </c>
      <c r="G1737" s="3" t="n"/>
      <c r="H1737" s="217" t="inlineStr">
        <is>
          <t>"delivery.warehouse.changePass.constPayment.DEDUCTED_FROM_COD": "កាត់ថ្លៃសេវាកម្មចេញពីការទូទាត់ COD។",</t>
        </is>
      </c>
      <c r="I1737" t="inlineStr">
        <is>
          <t>កាត់ថ្លៃសេវាកម្មចេញពីការទូទាត់ COD។</t>
        </is>
      </c>
    </row>
    <row r="1738">
      <c r="A1738" s="3" t="inlineStr">
        <is>
          <t>delivery.warehouse.changePass.currentPassword</t>
        </is>
      </c>
      <c r="B1738" s="3" t="inlineStr">
        <is>
          <t>Mật khẩu hiện tại</t>
        </is>
      </c>
      <c r="C1738" s="3" t="inlineStr">
        <is>
          <t>Current password</t>
        </is>
      </c>
      <c r="D1738" s="217">
        <f>IFERROR(__xludf.DUMMYFUNCTION("GOOGLETRANSLATE(C1738,""vi"",""km"")"),"ពាក្យសម្ងាត់បច្ចុប្បន្ន")</f>
        <v/>
      </c>
      <c r="E1738" s="3" t="n"/>
      <c r="F1738" s="3" t="inlineStr">
        <is>
          <t>ពាក្យសម្ងាត់បច្ចុប្បន្ន</t>
        </is>
      </c>
      <c r="G1738" s="3" t="n"/>
      <c r="H1738" s="217" t="inlineStr">
        <is>
          <t>"delivery.warehouse.changePass.currentPassword": "ពាក្យសម្ងាត់បច្ចុប្បន្ន",</t>
        </is>
      </c>
      <c r="I1738" t="inlineStr">
        <is>
          <t>ពាក្យសម្ងាត់បច្ចុប្បន្ន</t>
        </is>
      </c>
    </row>
    <row r="1739">
      <c r="A1739" s="3" t="inlineStr">
        <is>
          <t>delivery.warehouse.changePass.currentPasswordPlaceholder</t>
        </is>
      </c>
      <c r="B1739" s="3" t="inlineStr">
        <is>
          <t>Nhập mật khẩu hiện tại</t>
        </is>
      </c>
      <c r="C1739" s="3" t="inlineStr">
        <is>
          <t>Enter your current password</t>
        </is>
      </c>
      <c r="D1739" s="217">
        <f>IFERROR(__xludf.DUMMYFUNCTION("GOOGLETRANSLATE(C1739,""vi"",""km"")"),"បញ្ចូលពាក្យសម្ងាត់បច្ចុប្បន្នរបស់អ្នក")</f>
        <v/>
      </c>
      <c r="E1739" s="3" t="n"/>
      <c r="F1739" s="3" t="inlineStr">
        <is>
          <t>បញ្ចូលពាក្យសម្ងាត់បច្ចុប្បន្នរបស់អ្នក</t>
        </is>
      </c>
      <c r="G1739" s="3" t="n"/>
      <c r="H1739" s="217" t="inlineStr">
        <is>
          <t>"delivery.warehouse.changePass.currentPasswordPlaceholder": "បញ្ចូលពាក្យសម្ងាត់បច្ចុប្បន្នរបស់អ្នក",</t>
        </is>
      </c>
      <c r="I1739" t="inlineStr">
        <is>
          <t>បញ្ចូលពាក្យសម្ងាត់បច្ចុប្បន្នរបស់អ្នក</t>
        </is>
      </c>
    </row>
    <row r="1740">
      <c r="A1740" s="3" t="inlineStr">
        <is>
          <t>delivery.warehouse.changePass.dateOfBirth</t>
        </is>
      </c>
      <c r="B1740" s="3" t="inlineStr">
        <is>
          <t>Sinh nhật</t>
        </is>
      </c>
      <c r="C1740" s="3" t="inlineStr">
        <is>
          <t>Birthday</t>
        </is>
      </c>
      <c r="D1740" s="217">
        <f>IFERROR(__xludf.DUMMYFUNCTION("GOOGLETRANSLATE(C1740,""vi"",""km"")"),"ថ្ងៃកំណើត")</f>
        <v/>
      </c>
      <c r="E1740" s="3" t="n"/>
      <c r="F1740" s="3" t="inlineStr">
        <is>
          <t>ថ្ងៃកំណើត</t>
        </is>
      </c>
      <c r="G1740" s="3" t="n"/>
      <c r="H1740" s="217" t="inlineStr">
        <is>
          <t>"delivery.warehouse.changePass.dateOfBirth": "ថ្ងៃកំណើត",</t>
        </is>
      </c>
      <c r="I1740" t="inlineStr">
        <is>
          <t>ថ្ងៃកំណើត</t>
        </is>
      </c>
    </row>
    <row r="1741">
      <c r="A1741" s="3" t="inlineStr">
        <is>
          <t>delivery.warehouse.changePass.dateOfBirthPlaceholder</t>
        </is>
      </c>
      <c r="B1741" s="3" t="inlineStr">
        <is>
          <t>Chọn ngày</t>
        </is>
      </c>
      <c r="C1741" s="3" t="inlineStr">
        <is>
          <t>Select a date</t>
        </is>
      </c>
      <c r="D1741" s="217">
        <f>IFERROR(__xludf.DUMMYFUNCTION("GOOGLETRANSLATE(C1741,""vi"",""km"")"),"ជ្រើសរើសកាលបរិច្ឆេទ")</f>
        <v/>
      </c>
      <c r="E1741" s="3" t="n"/>
      <c r="F1741" s="3" t="inlineStr">
        <is>
          <t>ជ្រើសរើសកាលបរិច្ឆេទ</t>
        </is>
      </c>
      <c r="G1741" s="3" t="n"/>
      <c r="H1741" s="217" t="inlineStr">
        <is>
          <t>"delivery.warehouse.changePass.dateOfBirthPlaceholder": "ជ្រើសរើសកាលបរិច្ឆេទ",</t>
        </is>
      </c>
      <c r="I1741" t="inlineStr">
        <is>
          <t>ជ្រើសរើសកាលបរិច្ឆេទ</t>
        </is>
      </c>
    </row>
    <row r="1742">
      <c r="A1742" s="3" t="inlineStr">
        <is>
          <t>delivery.warehouse.changePass.days</t>
        </is>
      </c>
      <c r="B1742" s="3" t="inlineStr">
        <is>
          <t>Các ngày</t>
        </is>
      </c>
      <c r="C1742" s="3" t="inlineStr">
        <is>
          <t>The days</t>
        </is>
      </c>
      <c r="D1742" s="217">
        <f>IFERROR(__xludf.DUMMYFUNCTION("GOOGLETRANSLATE(C1742,""vi"",""km"")"),"ថ្ងៃទាំងនោះ")</f>
        <v/>
      </c>
      <c r="E1742" s="3" t="n"/>
      <c r="F1742" s="3" t="inlineStr">
        <is>
          <t>ថ្ងៃទាំងនោះ</t>
        </is>
      </c>
      <c r="G1742" s="3" t="n"/>
      <c r="H1742" s="217" t="inlineStr">
        <is>
          <t>"delivery.warehouse.changePass.days": "ថ្ងៃទាំងនោះ",</t>
        </is>
      </c>
      <c r="I1742" t="inlineStr">
        <is>
          <t>ថ្ងៃទាំងនោះ</t>
        </is>
      </c>
    </row>
    <row r="1743">
      <c r="A1743" s="3" t="inlineStr">
        <is>
          <t>delivery.warehouse.changePass.descriptionSelectDate</t>
        </is>
      </c>
      <c r="B1743" s="3" t="inlineStr">
        <is>
          <t>Quý khách có thể chọn nhiều ngày trong tháng:</t>
        </is>
      </c>
      <c r="C1743" s="3" t="inlineStr">
        <is>
          <t>You can choose multiple days of the month:</t>
        </is>
      </c>
      <c r="D1743" s="217">
        <f>IFERROR(__xludf.DUMMYFUNCTION("GOOGLETRANSLATE(C1743,""vi"",""km"")"),"អ្នកអាចជ្រើសរើសថ្ងៃច្រើននៃខែ៖")</f>
        <v/>
      </c>
      <c r="E1743" s="3" t="n"/>
      <c r="F1743" s="3" t="inlineStr">
        <is>
          <t>អ្នកអាចជ្រើសរើសថ្ងៃច្រើននៃខែ៖</t>
        </is>
      </c>
      <c r="G1743" s="3" t="n"/>
      <c r="H1743" s="217" t="inlineStr">
        <is>
          <t>"delivery.warehouse.changePass.descriptionSelectDate": "អ្នកអាចជ្រើសរើសថ្ងៃច្រើននៃខែ៖",</t>
        </is>
      </c>
      <c r="I1743" t="inlineStr">
        <is>
          <t>អ្នកអាចជ្រើសរើសថ្ងៃច្រើននៃខែ៖</t>
        </is>
      </c>
    </row>
    <row r="1744">
      <c r="A1744" s="3" t="inlineStr">
        <is>
          <t>delivery.warehouse.changePass.email</t>
        </is>
      </c>
      <c r="B1744" s="3" t="inlineStr">
        <is>
          <t>Email</t>
        </is>
      </c>
      <c r="C1744" s="3" t="inlineStr">
        <is>
          <t>E-mail</t>
        </is>
      </c>
      <c r="D1744" s="217">
        <f>IFERROR(__xludf.DUMMYFUNCTION("GOOGLETRANSLATE(C1744,""vi"",""km"")"),"អ៊ីមែល")</f>
        <v/>
      </c>
      <c r="E1744" s="3" t="n"/>
      <c r="F1744" s="3" t="inlineStr">
        <is>
          <t>អ៊ីមែល</t>
        </is>
      </c>
      <c r="G1744" s="3" t="n"/>
      <c r="H1744" s="217" t="inlineStr">
        <is>
          <t>"delivery.warehouse.changePass.email": "អ៊ីមែល",</t>
        </is>
      </c>
      <c r="I1744" t="inlineStr">
        <is>
          <t>អ៊ីមែល</t>
        </is>
      </c>
    </row>
    <row r="1745">
      <c r="A1745" s="3" t="inlineStr">
        <is>
          <t>delivery.warehouse.changePass.emailPlaceholder</t>
        </is>
      </c>
      <c r="B1745" s="3" t="inlineStr">
        <is>
          <t>Nhập email</t>
        </is>
      </c>
      <c r="C1745" s="3" t="inlineStr">
        <is>
          <t>Enter email</t>
        </is>
      </c>
      <c r="D1745" s="217">
        <f>IFERROR(__xludf.DUMMYFUNCTION("GOOGLETRANSLATE(C1745,""vi"",""km"")"),"បញ្ចូលអ៊ីមែល")</f>
        <v/>
      </c>
      <c r="E1745" s="3" t="n"/>
      <c r="F1745" s="3" t="inlineStr">
        <is>
          <t>បញ្ចូលអ៊ីមែល</t>
        </is>
      </c>
      <c r="G1745" s="3" t="n"/>
      <c r="H1745" s="217" t="inlineStr">
        <is>
          <t>"delivery.warehouse.changePass.emailPlaceholder": "បញ្ចូលអ៊ីមែល",</t>
        </is>
      </c>
      <c r="I1745" t="inlineStr">
        <is>
          <t>បញ្ចូលអ៊ីមែល</t>
        </is>
      </c>
    </row>
    <row r="1746">
      <c r="A1746" s="3" t="inlineStr">
        <is>
          <t>delivery.warehouse.changePass.enterNewPassword</t>
        </is>
      </c>
      <c r="B1746" s="3" t="inlineStr">
        <is>
          <t>Vui lòng nhập mật khẩu mới</t>
        </is>
      </c>
      <c r="C1746" s="3" t="inlineStr">
        <is>
          <t>Please enter your new password.</t>
        </is>
      </c>
      <c r="D1746" s="217">
        <f>IFERROR(__xludf.DUMMYFUNCTION("GOOGLETRANSLATE(C1746,""vi"",""km"")"),"សូមបញ្ចូលពាក្យសម្ងាត់ថ្មីរបស់អ្នក។")</f>
        <v/>
      </c>
      <c r="E1746" s="3" t="n"/>
      <c r="F1746" s="3" t="inlineStr">
        <is>
          <t>សូមបញ្ចូលពាក្យសម្ងាត់ថ្មីរបស់អ្នក។</t>
        </is>
      </c>
      <c r="G1746" s="3" t="n"/>
      <c r="H1746" s="217" t="inlineStr">
        <is>
          <t>"delivery.warehouse.changePass.enterNewPassword": "សូមបញ្ចូលពាក្យសម្ងាត់ថ្មីរបស់អ្នក។",</t>
        </is>
      </c>
      <c r="I1746" t="inlineStr">
        <is>
          <t>សូមបញ្ចូលពាក្យសម្ងាត់ថ្មីរបស់អ្នក។</t>
        </is>
      </c>
    </row>
    <row r="1747">
      <c r="A1747" s="3" t="inlineStr">
        <is>
          <t>delivery.warehouse.changePass.feePaymentInfo</t>
        </is>
      </c>
      <c r="B1747" s="3" t="inlineStr">
        <is>
          <t>Phương thức thanh toán</t>
        </is>
      </c>
      <c r="C1747" s="3" t="inlineStr">
        <is>
          <t>Payment methods</t>
        </is>
      </c>
      <c r="D1747" s="217">
        <f>IFERROR(__xludf.DUMMYFUNCTION("GOOGLETRANSLATE(C1747,""vi"",""km"")"),"វិធីសាស្ត្រទូទាត់")</f>
        <v/>
      </c>
      <c r="E1747" s="3" t="n"/>
      <c r="F1747" s="3" t="inlineStr">
        <is>
          <t>វិធីសាស្ត្រទូទាត់</t>
        </is>
      </c>
      <c r="G1747" s="3" t="n"/>
      <c r="H1747" s="217" t="inlineStr">
        <is>
          <t>"delivery.warehouse.changePass.feePaymentInfo": "វិធីសាស្ត្រទូទាត់",</t>
        </is>
      </c>
      <c r="I1747" t="inlineStr">
        <is>
          <t>វិធីសាស្ត្រទូទាត់</t>
        </is>
      </c>
    </row>
    <row r="1748">
      <c r="A1748" s="3" t="inlineStr">
        <is>
          <t>delivery.warehouse.changePass.feePaymentInformation</t>
        </is>
      </c>
      <c r="B1748" s="3" t="inlineStr">
        <is>
          <t>Thông tin thanh toán cước</t>
        </is>
      </c>
      <c r="C1748" s="3" t="inlineStr">
        <is>
          <t>Bill payment information</t>
        </is>
      </c>
      <c r="D1748" s="217">
        <f>IFERROR(__xludf.DUMMYFUNCTION("GOOGLETRANSLATE(C1748,""vi"",""km"")"),"ព័ត៌មាន​ទូទាត់​វិក្កយបត្រ")</f>
        <v/>
      </c>
      <c r="E1748" s="3" t="n"/>
      <c r="F1748" s="3" t="inlineStr">
        <is>
          <t>ព័ត៌មានទូទាត់វិក្កយបត្រ</t>
        </is>
      </c>
      <c r="G1748" s="3" t="n"/>
      <c r="H1748" s="217" t="inlineStr">
        <is>
          <t>"delivery.warehouse.changePass.feePaymentInformation": "ព័ត៌មានទូទាត់វិក្កយបត្រ",</t>
        </is>
      </c>
      <c r="I1748" t="inlineStr">
        <is>
          <t>ព័ត៌មានទូទាត់វិក្កយបត្រ</t>
        </is>
      </c>
    </row>
    <row r="1749">
      <c r="A1749" s="3" t="inlineStr">
        <is>
          <t>delivery.warehouse.changePass.forgetPassword</t>
        </is>
      </c>
      <c r="B1749" s="3" t="inlineStr">
        <is>
          <t>Quên mật khẩu hiện tại</t>
        </is>
      </c>
      <c r="C1749" s="3" t="inlineStr">
        <is>
          <t>Forgot your current password</t>
        </is>
      </c>
      <c r="D1749" s="217">
        <f>IFERROR(__xludf.DUMMYFUNCTION("GOOGLETRANSLATE(C1749,""vi"",""km"")"),"ភ្លេចពាក្យសម្ងាត់បច្ចុប្បន្នរបស់អ្នក")</f>
        <v/>
      </c>
      <c r="E1749" s="3" t="n"/>
      <c r="F1749" s="3" t="inlineStr">
        <is>
          <t>ភ្លេចពាក្យសម្ងាត់បច្ចុប្បន្នរបស់អ្នក</t>
        </is>
      </c>
      <c r="G1749" s="3" t="n"/>
      <c r="H1749" s="217" t="inlineStr">
        <is>
          <t>"delivery.warehouse.changePass.forgetPassword": "ភ្លេចពាក្យសម្ងាត់បច្ចុប្បន្នរបស់អ្នក",</t>
        </is>
      </c>
      <c r="I1749" t="inlineStr">
        <is>
          <t>ភ្លេចពាក្យសម្ងាត់បច្ចុប្បន្នរបស់អ្នក</t>
        </is>
      </c>
    </row>
    <row r="1750">
      <c r="A1750" s="3" t="inlineStr">
        <is>
          <t>delivery.warehouse.changePass.forgotPassDesc</t>
        </is>
      </c>
      <c r="B1750" s="3" t="inlineStr">
        <is>
          <t>Để khôi phục mật khẩu, bạn vui lòng nhập SĐT đã dùng để đăng ký trên hệ thống</t>
        </is>
      </c>
      <c r="C1750" s="3" t="inlineStr">
        <is>
          <t>To recover your password, please enter the phone number used to register on the system.</t>
        </is>
      </c>
      <c r="D1750" s="217">
        <f>IFERROR(__xludf.DUMMYFUNCTION("GOOGLETRANSLATE(C1750,""vi"",""km"")"),"ដើម្បី​សង្គ្រោះ​ពាក្យសម្ងាត់​របស់​អ្នក សូម​បញ្ចូល​លេខ​ទូរស័ព្ទ​ដែល​បាន​ប្រើ​ដើម្បី​ចុះឈ្មោះ​លើ​ប្រព័ន្ធ។")</f>
        <v/>
      </c>
      <c r="E1750" s="3" t="n"/>
      <c r="F1750" s="3" t="inlineStr">
        <is>
          <t>ដើម្បីសង្គ្រោះពាក្យសម្ងាត់របស់អ្នក សូមបញ្ចូលលេខទូរស័ព្ទដែលបានប្រើដើម្បីចុះឈ្មោះលើប្រព័ន្ធ។</t>
        </is>
      </c>
      <c r="G1750" s="3" t="n"/>
      <c r="H1750" s="217" t="inlineStr">
        <is>
          <t>"delivery.warehouse.changePass.forgotPassDesc": "ដើម្បីសង្គ្រោះពាក្យសម្ងាត់របស់អ្នក សូមបញ្ចូលលេខទូរស័ព្ទដែលបានប្រើដើម្បីចុះឈ្មោះលើប្រព័ន្ធ។",</t>
        </is>
      </c>
      <c r="I1750" t="inlineStr">
        <is>
          <t>ដើម្បីសង្គ្រោះពាក្យសម្ងាត់របស់អ្នក សូមបញ្ចូលលេខទូរស័ព្ទដែលបានប្រើដើម្បីចុះឈ្មោះលើប្រព័ន្ធ។</t>
        </is>
      </c>
    </row>
    <row r="1751">
      <c r="A1751" s="3" t="inlineStr">
        <is>
          <t>delivery.warehouse.changePass.forgotPassword</t>
        </is>
      </c>
      <c r="B1751" s="3" t="inlineStr">
        <is>
          <t>Quên mật khẩu</t>
        </is>
      </c>
      <c r="C1751" s="3" t="inlineStr">
        <is>
          <t>Forgot password</t>
        </is>
      </c>
      <c r="D1751" s="217">
        <f>IFERROR(__xludf.DUMMYFUNCTION("GOOGLETRANSLATE(C1751,""vi"",""km"")"),"ភ្លេចពាក្យសម្ងាត់")</f>
        <v/>
      </c>
      <c r="E1751" s="3" t="n"/>
      <c r="F1751" s="3" t="inlineStr">
        <is>
          <t>ភ្លេចពាក្យសម្ងាត់</t>
        </is>
      </c>
      <c r="G1751" s="3" t="n"/>
      <c r="H1751" s="217" t="inlineStr">
        <is>
          <t>"delivery.warehouse.changePass.forgotPassword": "ភ្លេចពាក្យសម្ងាត់",</t>
        </is>
      </c>
      <c r="I1751" t="inlineStr">
        <is>
          <t>ភ្លេចពាក្យសម្ងាត់</t>
        </is>
      </c>
    </row>
    <row r="1752">
      <c r="A1752" s="3" t="inlineStr">
        <is>
          <t>delivery.warehouse.changePass.fullName</t>
        </is>
      </c>
      <c r="B1752" s="3" t="inlineStr">
        <is>
          <t>Họ và tên</t>
        </is>
      </c>
      <c r="C1752" s="3" t="inlineStr">
        <is>
          <t>Full name</t>
        </is>
      </c>
      <c r="D1752" s="217">
        <f>IFERROR(__xludf.DUMMYFUNCTION("GOOGLETRANSLATE(C1752,""vi"",""km"")"),"ឈ្មោះពេញ")</f>
        <v/>
      </c>
      <c r="E1752" s="3" t="n"/>
      <c r="F1752" s="3" t="inlineStr">
        <is>
          <t>ឈ្មោះពេញ</t>
        </is>
      </c>
      <c r="G1752" s="3" t="n"/>
      <c r="H1752" s="217" t="inlineStr">
        <is>
          <t>"delivery.warehouse.changePass.fullName": "ឈ្មោះពេញ",</t>
        </is>
      </c>
      <c r="I1752" t="inlineStr">
        <is>
          <t>ឈ្មោះពេញ</t>
        </is>
      </c>
    </row>
    <row r="1753">
      <c r="A1753" s="3" t="inlineStr">
        <is>
          <t>delivery.warehouse.changePass.fullNamePlaceholder</t>
        </is>
      </c>
      <c r="B1753" s="3" t="inlineStr">
        <is>
          <t>Nhập họ tên</t>
        </is>
      </c>
      <c r="C1753" s="3" t="inlineStr">
        <is>
          <t>Enter your full name</t>
        </is>
      </c>
      <c r="D1753" s="217">
        <f>IFERROR(__xludf.DUMMYFUNCTION("GOOGLETRANSLATE(C1753,""vi"",""km"")"),"បញ្ចូលឈ្មោះពេញរបស់អ្នក")</f>
        <v/>
      </c>
      <c r="E1753" s="3" t="n"/>
      <c r="F1753" s="3" t="inlineStr">
        <is>
          <t>បញ្ចូលឈ្មោះពេញរបស់អ្នក</t>
        </is>
      </c>
      <c r="G1753" s="3" t="n"/>
      <c r="H1753" s="217" t="inlineStr">
        <is>
          <t>"delivery.warehouse.changePass.fullNamePlaceholder": "បញ្ចូលឈ្មោះពេញរបស់អ្នក",</t>
        </is>
      </c>
      <c r="I1753" t="inlineStr">
        <is>
          <t>បញ្ចូលឈ្មោះពេញរបស់អ្នក</t>
        </is>
      </c>
    </row>
    <row r="1754">
      <c r="A1754" s="3" t="inlineStr">
        <is>
          <t>delivery.warehouse.changePass.idCard</t>
        </is>
      </c>
      <c r="B1754" s="3" t="inlineStr">
        <is>
          <t>Căn cước công dân/CMT</t>
        </is>
      </c>
      <c r="C1754" s="3" t="inlineStr">
        <is>
          <t>Citizen ID Card</t>
        </is>
      </c>
      <c r="D1754" s="217">
        <f>IFERROR(__xludf.DUMMYFUNCTION("GOOGLETRANSLATE(C1754,""vi"",""km"")"),"អត្តសញ្ញាណប័ណ្ណពលរដ្ឋ")</f>
        <v/>
      </c>
      <c r="E1754" s="3" t="n"/>
      <c r="F1754" s="3" t="inlineStr">
        <is>
          <t>អត្តសញ្ញាណប័ណ្ណពលរដ្ឋ</t>
        </is>
      </c>
      <c r="G1754" s="3" t="n"/>
      <c r="H1754" s="217" t="inlineStr">
        <is>
          <t>"delivery.warehouse.changePass.idCard": "អត្តសញ្ញាណប័ណ្ណពលរដ្ឋ",</t>
        </is>
      </c>
      <c r="I1754" t="inlineStr">
        <is>
          <t>អត្តសញ្ញាណប័ណ្ណពលរដ្ឋ</t>
        </is>
      </c>
    </row>
    <row r="1755">
      <c r="A1755" s="3" t="inlineStr">
        <is>
          <t>delivery.warehouse.changePass.lockAccount</t>
        </is>
      </c>
      <c r="B1755" s="3" t="inlineStr">
        <is>
          <t>Tài khoản bị khoá</t>
        </is>
      </c>
      <c r="C1755" s="3" t="inlineStr">
        <is>
          <t>Account has been locked!</t>
        </is>
      </c>
      <c r="D1755" s="217">
        <f>IFERROR(__xludf.DUMMYFUNCTION("GOOGLETRANSLATE(C1755,""vi"",""km"")"),"គណនីត្រូវបានចាក់សោ!")</f>
        <v/>
      </c>
      <c r="E1755" s="3" t="n"/>
      <c r="F1755" s="3" t="inlineStr">
        <is>
          <t>គណនីត្រូវបានចាក់សោ!</t>
        </is>
      </c>
      <c r="G1755" s="3" t="n"/>
      <c r="H1755" s="217" t="inlineStr">
        <is>
          <t>"delivery.warehouse.changePass.lockAccount": "គណនីត្រូវបានចាក់សោ!",</t>
        </is>
      </c>
      <c r="I1755" t="inlineStr">
        <is>
          <t>គណនីត្រូវបានចាក់សោ!</t>
        </is>
      </c>
    </row>
    <row r="1756">
      <c r="A1756" s="3" t="inlineStr">
        <is>
          <t>delivery.warehouse.changePass.lockAccountInline</t>
        </is>
      </c>
      <c r="B1756" s="3" t="inlineStr">
        <is>
          <t>Mã OTP không chính xác, tài khoản của bạn đã bị khóa</t>
        </is>
      </c>
      <c r="C1756" s="3" t="inlineStr">
        <is>
          <t>Your account has been locked due to 5 failed OTP attempts. Please contact customer support to reset your password.</t>
        </is>
      </c>
      <c r="D1756" s="217">
        <f>IFERROR(__xludf.DUMMYFUNCTION("GOOGLETRANSLATE(C1756,""vi"",""km"")"),"គណនីរបស់អ្នកត្រូវបានចាក់សោដោយសារតែការប៉ុនប៉ង OTP ចំនួន 5 ដងបរាជ័យ។ សូមទាក់ទងផ្នែកជំនួយអតិថិជនដើម្បីកំណត់ពាក្យសម្ងាត់របស់អ្នកឡើងវិញ។")</f>
        <v/>
      </c>
      <c r="E1756" s="3" t="n"/>
      <c r="F1756" s="3" t="inlineStr">
        <is>
          <t>គណនីរបស់អ្នកត្រូវបានចាក់សោដោយសារតែការប៉ុនប៉ង OTP ចំនួន 5 ដងបរាជ័យ។ សូមទាក់ទងផ្នែកជំនួយអតិថិជនដើម្បីកំណត់ពាក្យសម្ងាត់របស់អ្នកឡើងវិញ។</t>
        </is>
      </c>
      <c r="G1756" s="3" t="n"/>
      <c r="H1756" s="217" t="inlineStr">
        <is>
          <t>"delivery.warehouse.changePass.lockAccountInline": "គណនីរបស់អ្នកត្រូវបានចាក់សោដោយសារតែការប៉ុនប៉ង OTP ចំនួន 5 ដងបរាជ័យ។ សូមទាក់ទងផ្នែកជំនួយអតិថិជនដើម្បីកំណត់ពាក្យសម្ងាត់របស់អ្នកឡើងវិញ។",</t>
        </is>
      </c>
      <c r="I1756" t="inlineStr">
        <is>
          <t>គណនីរបស់អ្នកត្រូវបានចាក់សោដោយសារតែការប៉ុនប៉ង OTP ចំនួន 5 ដងបរាជ័យ។ សូមទាក់ទងផ្នែកជំនួយអតិថិជនដើម្បីកំណត់ពាក្យសម្ងាត់របស់អ្នកឡើងវិញ។</t>
        </is>
      </c>
    </row>
    <row r="1757">
      <c r="A1757" s="3" t="inlineStr">
        <is>
          <t>delivery.warehouse.changePass.lockAccountMesssage</t>
        </is>
      </c>
      <c r="B1757" s="3" t="inlineStr">
        <is>
          <t>Vượt quá số lần nhập OTP cho phép. Tài khoản của bạn đã bị khóa</t>
        </is>
      </c>
      <c r="C1757" s="3" t="inlineStr">
        <is>
          <t>Your account has been locked due to 5 failed OTP attempts. Please contact customer support to reset your password.</t>
        </is>
      </c>
      <c r="D1757" s="217">
        <f>IFERROR(__xludf.DUMMYFUNCTION("GOOGLETRANSLATE(C1757,""vi"",""km"")"),"គណនីរបស់អ្នកត្រូវបានចាក់សោដោយសារតែការប៉ុនប៉ង OTP ចំនួន 5 ដងបរាជ័យ។ សូមទាក់ទងផ្នែកជំនួយអតិថិជនដើម្បីកំណត់ពាក្យសម្ងាត់របស់អ្នកឡើងវិញ។")</f>
        <v/>
      </c>
      <c r="E1757" s="3" t="n"/>
      <c r="F1757" s="3" t="inlineStr">
        <is>
          <t>គណនីរបស់អ្នកត្រូវបានចាក់សោដោយសារតែការប៉ុនប៉ង OTP ចំនួន 5 ដងបរាជ័យ។ សូមទាក់ទងផ្នែកជំនួយអតិថិជនដើម្បីកំណត់ពាក្យសម្ងាត់របស់អ្នកឡើងវិញ។</t>
        </is>
      </c>
      <c r="G1757" s="3" t="n"/>
      <c r="H1757" s="217" t="inlineStr">
        <is>
          <t>"delivery.warehouse.changePass.lockAccountMesssage": "គណនីរបស់អ្នកត្រូវបានចាក់សោដោយសារតែការប៉ុនប៉ង OTP ចំនួន 5 ដងបរាជ័យ។ សូមទាក់ទងផ្នែកជំនួយអតិថិជនដើម្បីកំណត់ពាក្យសម្ងាត់របស់អ្នកឡើងវិញ។",</t>
        </is>
      </c>
      <c r="I1757" t="inlineStr">
        <is>
          <t>គណនីរបស់អ្នកត្រូវបានចាក់សោដោយសារតែការប៉ុនប៉ង OTP ចំនួន 5 ដងបរាជ័យ។ សូមទាក់ទងផ្នែកជំនួយអតិថិជនដើម្បីកំណត់ពាក្យសម្ងាត់របស់អ្នកឡើងវិញ។</t>
        </is>
      </c>
    </row>
    <row r="1758">
      <c r="A1758" s="3" t="inlineStr">
        <is>
          <t>delivery.warehouse.changePass.lockDes2</t>
        </is>
      </c>
      <c r="B1758" s="3" t="inlineStr">
        <is>
          <t>tài khoản của bạn đã bị khoá. Vui lòng liên hệ vận hành để hỗ trợ cấp lại mật khẩu!</t>
        </is>
      </c>
      <c r="C1758" s="3" t="inlineStr">
        <is>
          <t>Please contact customer support to reset your password.</t>
        </is>
      </c>
      <c r="D1758" s="217">
        <f>IFERROR(__xludf.DUMMYFUNCTION("GOOGLETRANSLATE(C1758,""vi"",""km"")"),"សូមទាក់ទងផ្នែកជំនួយអតិថិជនដើម្បីកំណត់ពាក្យសម្ងាត់របស់អ្នកឡើងវិញ។")</f>
        <v/>
      </c>
      <c r="E1758" s="3" t="n"/>
      <c r="F1758" s="3" t="inlineStr">
        <is>
          <t>សូមទាក់ទងផ្នែកជំនួយអតិថិជនដើម្បីកំណត់ពាក្យសម្ងាត់របស់អ្នកឡើងវិញ។</t>
        </is>
      </c>
      <c r="G1758" s="3" t="n"/>
      <c r="H1758" s="217" t="inlineStr">
        <is>
          <t>"delivery.warehouse.changePass.lockDes2": "សូមទាក់ទងផ្នែកជំនួយអតិថិជនដើម្បីកំណត់ពាក្យសម្ងាត់របស់អ្នកឡើងវិញ។",</t>
        </is>
      </c>
      <c r="I1758" t="inlineStr">
        <is>
          <t>សូមទាក់ទងផ្នែកជំនួយអតិថិជនដើម្បីកំណត់ពាក្យសម្ងាត់របស់អ្នកឡើងវិញ។</t>
        </is>
      </c>
    </row>
    <row r="1759">
      <c r="A1759" s="3" t="inlineStr">
        <is>
          <t>delivery.warehouse.changePass.lockDesOtp</t>
        </is>
      </c>
      <c r="B1759" s="3" t="inlineStr">
        <is>
          <t>Nhập sai OTP quá</t>
        </is>
      </c>
      <c r="C1759" s="3" t="inlineStr">
        <is>
          <t>Your account has been locked due to</t>
        </is>
      </c>
      <c r="D1759" s="217">
        <f>IFERROR(__xludf.DUMMYFUNCTION("GOOGLETRANSLATE(C1759,""vi"",""km"")"),"គណនីរបស់អ្នកត្រូវបានចាក់សោដោយសារតែ")</f>
        <v/>
      </c>
      <c r="E1759" s="3" t="n"/>
      <c r="F1759" s="3" t="inlineStr">
        <is>
          <t>គណនីរបស់អ្នកត្រូវបានចាក់សោដោយសារតែ</t>
        </is>
      </c>
      <c r="G1759" s="3" t="n"/>
      <c r="H1759" s="217" t="inlineStr">
        <is>
          <t>"delivery.warehouse.changePass.lockDesOtp": "គណនីរបស់អ្នកត្រូវបានចាក់សោដោយសារតែ",</t>
        </is>
      </c>
      <c r="I1759" t="inlineStr">
        <is>
          <t>គណនីរបស់អ្នកត្រូវបានចាក់សោដោយសារតែ</t>
        </is>
      </c>
    </row>
    <row r="1760">
      <c r="A1760" s="3" t="inlineStr">
        <is>
          <t>delivery.warehouse.changePass.lockDesPass</t>
        </is>
      </c>
      <c r="B1760" s="3" t="inlineStr">
        <is>
          <t>Nhập sai mật khẩu quá</t>
        </is>
      </c>
      <c r="C1760" s="3" t="inlineStr">
        <is>
          <t>Your account has been locked due to</t>
        </is>
      </c>
      <c r="D1760" s="217">
        <f>IFERROR(__xludf.DUMMYFUNCTION("GOOGLETRANSLATE(C1760,""vi"",""km"")"),"គណនីរបស់អ្នកត្រូវបានចាក់សោដោយសារតែ")</f>
        <v/>
      </c>
      <c r="E1760" s="3" t="n"/>
      <c r="F1760" s="3" t="inlineStr">
        <is>
          <t>គណនីរបស់អ្នកត្រូវបានចាក់សោដោយសារតែ</t>
        </is>
      </c>
      <c r="G1760" s="3" t="n"/>
      <c r="H1760" s="217" t="inlineStr">
        <is>
          <t>"delivery.warehouse.changePass.lockDesPass": "គណនីរបស់អ្នកត្រូវបានចាក់សោដោយសារតែ",</t>
        </is>
      </c>
      <c r="I1760" t="inlineStr">
        <is>
          <t>គណនីរបស់អ្នកត្រូវបានចាក់សោដោយសារតែ</t>
        </is>
      </c>
    </row>
    <row r="1761">
      <c r="A1761" s="3" t="inlineStr">
        <is>
          <t>delivery.warehouse.changePass.manageWebhooks</t>
        </is>
      </c>
      <c r="B1761" s="3" t="inlineStr">
        <is>
          <t>Quản lý webhook</t>
        </is>
      </c>
      <c r="C1761" s="3" t="inlineStr">
        <is>
          <t>Webhook management</t>
        </is>
      </c>
      <c r="D1761" s="217">
        <f>IFERROR(__xludf.DUMMYFUNCTION("GOOGLETRANSLATE(C1761,""vi"",""km"")"),"ការគ្រប់គ្រង Webhook")</f>
        <v/>
      </c>
      <c r="E1761" s="3" t="n"/>
      <c r="F1761" s="3" t="inlineStr">
        <is>
          <t>ការគ្រប់គ្រង Webhook</t>
        </is>
      </c>
      <c r="G1761" s="3" t="n"/>
      <c r="H1761" s="217" t="inlineStr">
        <is>
          <t>"delivery.warehouse.changePass.manageWebhooks": "ការគ្រប់គ្រង Webhook",</t>
        </is>
      </c>
      <c r="I1761" t="inlineStr">
        <is>
          <t>ការគ្រប់គ្រង Webhook</t>
        </is>
      </c>
    </row>
    <row r="1762">
      <c r="A1762" s="3" t="inlineStr">
        <is>
          <t>delivery.warehouse.changePass.monthly</t>
        </is>
      </c>
      <c r="B1762" s="3" t="inlineStr">
        <is>
          <t>hàng tháng</t>
        </is>
      </c>
      <c r="C1762" s="3" t="inlineStr">
        <is>
          <t>monthly</t>
        </is>
      </c>
      <c r="D1762" s="217">
        <f>IFERROR(__xludf.DUMMYFUNCTION("GOOGLETRANSLATE(C1762,""vi"",""km"")"),"ថ្ងៃច័ន្ទ")</f>
        <v/>
      </c>
      <c r="E1762" s="3" t="n"/>
      <c r="F1762" s="3" t="inlineStr">
        <is>
          <t>ថ្ងៃច័ន្ទ</t>
        </is>
      </c>
      <c r="G1762" s="3" t="n"/>
      <c r="H1762" s="217" t="inlineStr">
        <is>
          <t>"delivery.warehouse.changePass.monthly": "ថ្ងៃច័ន្ទ",</t>
        </is>
      </c>
      <c r="I1762" t="inlineStr">
        <is>
          <t>ថ្ងៃច័ន្ទ</t>
        </is>
      </c>
    </row>
    <row r="1763">
      <c r="A1763" s="3" t="inlineStr">
        <is>
          <t>delivery.warehouse.changePass.newPassSuccess</t>
        </is>
      </c>
      <c r="B1763" s="3" t="inlineStr">
        <is>
          <t>Đặt lại mật khẩu thành công</t>
        </is>
      </c>
      <c r="C1763" s="3" t="inlineStr">
        <is>
          <t>Password changed successfully</t>
        </is>
      </c>
      <c r="D1763" s="217">
        <f>IFERROR(__xludf.DUMMYFUNCTION("GOOGLETRANSLATE(C1763,""vi"",""km"")"),"ពាក្យសម្ងាត់ត្រូវបានផ្លាស់ប្តូរឥឡូវនេះ")</f>
        <v/>
      </c>
      <c r="E1763" s="3" t="n"/>
      <c r="F1763" s="3" t="inlineStr">
        <is>
          <t>ពាក្យសម្ងាត់ត្រូវបានផ្លាស់ប្តូរឥឡូវនេះ</t>
        </is>
      </c>
      <c r="G1763" s="3" t="n"/>
      <c r="H1763" s="217" t="inlineStr">
        <is>
          <t>"delivery.warehouse.changePass.newPassSuccess": "ពាក្យសម្ងាត់ត្រូវបានផ្លាស់ប្តូរឥឡូវនេះ",</t>
        </is>
      </c>
      <c r="I1763" t="inlineStr">
        <is>
          <t>ពាក្យសម្ងាត់ត្រូវបានផ្លាស់ប្តូរឥឡូវនេះ</t>
        </is>
      </c>
    </row>
    <row r="1764">
      <c r="A1764" s="3" t="inlineStr">
        <is>
          <t>delivery.warehouse.changePass.newPassword</t>
        </is>
      </c>
      <c r="B1764" s="3" t="inlineStr">
        <is>
          <t>Mật khẩu mới</t>
        </is>
      </c>
      <c r="C1764" s="3" t="inlineStr">
        <is>
          <t>New password</t>
        </is>
      </c>
      <c r="D1764" s="217">
        <f>IFERROR(__xludf.DUMMYFUNCTION("GOOGLETRANSLATE(C1764,""vi"",""km"")"),"ពាក្យសម្ងាត់ថ្មី")</f>
        <v/>
      </c>
      <c r="E1764" s="3" t="n"/>
      <c r="F1764" s="3" t="inlineStr">
        <is>
          <t>ពាក្យសម្ងាត់ថ្មី</t>
        </is>
      </c>
      <c r="G1764" s="3" t="n"/>
      <c r="H1764" s="217" t="inlineStr">
        <is>
          <t>"delivery.warehouse.changePass.newPassword": "ពាក្យសម្ងាត់ថ្មី",</t>
        </is>
      </c>
      <c r="I1764" t="inlineStr">
        <is>
          <t>ពាក្យសម្ងាត់ថ្មី</t>
        </is>
      </c>
    </row>
    <row r="1765">
      <c r="A1765" s="3" t="inlineStr">
        <is>
          <t>delivery.warehouse.changePass.newPasswordPlaceholder</t>
        </is>
      </c>
      <c r="B1765" s="3" t="inlineStr">
        <is>
          <t>Nhập mật khẩu mới</t>
        </is>
      </c>
      <c r="C1765" s="3" t="inlineStr">
        <is>
          <t>Enter new password</t>
        </is>
      </c>
      <c r="D1765" s="217">
        <f>IFERROR(__xludf.DUMMYFUNCTION("GOOGLETRANSLATE(C1765,""vi"",""km"")"),"បញ្ចូលពាក្យសម្ងាត់ថ្មី")</f>
        <v/>
      </c>
      <c r="E1765" s="3" t="n"/>
      <c r="F1765" s="3" t="inlineStr">
        <is>
          <t>បញ្ចូលពាក្យសម្ងាត់ថ្មី</t>
        </is>
      </c>
      <c r="G1765" s="3" t="n"/>
      <c r="H1765" s="217" t="inlineStr">
        <is>
          <t>"delivery.warehouse.changePass.newPasswordPlaceholder": "បញ្ចូលពាក្យសម្ងាត់ថ្មី",</t>
        </is>
      </c>
      <c r="I1765" t="inlineStr">
        <is>
          <t>បញ្ចូលពាក្យសម្ងាត់ថ្មី</t>
        </is>
      </c>
    </row>
    <row r="1766">
      <c r="A1766" s="3" t="inlineStr">
        <is>
          <t>delivery.warehouse.changePass.newPasswordTitle</t>
        </is>
      </c>
      <c r="B1766" s="3" t="inlineStr">
        <is>
          <t>Đặt lại mật khẩu</t>
        </is>
      </c>
      <c r="C1766" s="3" t="inlineStr">
        <is>
          <t>New Password</t>
        </is>
      </c>
      <c r="D1766" s="217">
        <f>IFERROR(__xludf.DUMMYFUNCTION("GOOGLETRANSLATE(C1766,""vi"",""km"")"),"ពាក្យសម្ងាត់ថ្មី")</f>
        <v/>
      </c>
      <c r="E1766" s="3" t="n"/>
      <c r="F1766" s="3" t="inlineStr">
        <is>
          <t>ពាក្យសម្ងាត់ថ្មី</t>
        </is>
      </c>
      <c r="G1766" s="3" t="n"/>
      <c r="H1766" s="217" t="inlineStr">
        <is>
          <t>"delivery.warehouse.changePass.newPasswordTitle": "ពាក្យសម្ងាត់ថ្មី",</t>
        </is>
      </c>
      <c r="I1766" t="inlineStr">
        <is>
          <t>ពាក្យសម្ងាត់ថ្មី</t>
        </is>
      </c>
    </row>
    <row r="1767">
      <c r="A1767" s="3" t="inlineStr">
        <is>
          <t>delivery.warehouse.changePass.note</t>
        </is>
      </c>
      <c r="B1767" s="3" t="inlineStr">
        <is>
          <t>Lưu ý</t>
        </is>
      </c>
      <c r="C1767" s="3" t="inlineStr">
        <is>
          <t>Note</t>
        </is>
      </c>
      <c r="D1767" s="217">
        <f>IFERROR(__xludf.DUMMYFUNCTION("GOOGLETRANSLATE(C1767,""vi"",""km"")"),"កំណត់ចំណាំ")</f>
        <v/>
      </c>
      <c r="E1767" s="3" t="n"/>
      <c r="F1767" s="3" t="inlineStr">
        <is>
          <t>ចំណាំ</t>
        </is>
      </c>
      <c r="G1767" s="3" t="n"/>
      <c r="H1767" s="217" t="inlineStr">
        <is>
          <t>"delivery.warehouse.changePass.note": "ចំណាំ",</t>
        </is>
      </c>
      <c r="I1767" t="inlineStr">
        <is>
          <t>ចំណាំ</t>
        </is>
      </c>
    </row>
    <row r="1768">
      <c r="A1768" s="3" t="inlineStr">
        <is>
          <t>delivery.warehouse.changePass.noteDate</t>
        </is>
      </c>
      <c r="B1768" s="3" t="inlineStr">
        <is>
          <t>Khi quý khách chọn ngày 31, đối với những tháng 28, 29 hoặc 30 ngày, hoá đơn sẽ xuất vào cuối mỗi tháng</t>
        </is>
      </c>
      <c r="C1768" s="3" t="inlineStr">
        <is>
          <t>When you select the 31st, for months with 28, 29, or 30 days, the invoice will be issued at the end of each month.</t>
        </is>
      </c>
      <c r="D1768" s="217">
        <f>IFERROR(__xludf.DUMMYFUNCTION("GOOGLETRANSLATE(C1768,""vi"",""km"")"),"នៅពេលអ្នកជ្រើសរើសថ្ងៃទី 31 សម្រាប់ខែដែលមាន 28, 29 ឬ 30 ថ្ងៃ វិក្កយបត្រនឹងត្រូវបានចេញនៅចុងខែនីមួយៗ។")</f>
        <v/>
      </c>
      <c r="E1768" s="3" t="n"/>
      <c r="F1768" s="3" t="inlineStr">
        <is>
          <t>នៅពេលអ្នកជ្រើសរើសថ្ងៃទី 31 សម្រាប់ខែដែលមាន 28, 29 ឬ 30 ថ្ងៃ វិក្កយបត្រនឹងត្រូវបានចេញនៅចុងខែនីមួយៗ។</t>
        </is>
      </c>
      <c r="G1768" s="3" t="n"/>
      <c r="H1768" s="217" t="inlineStr">
        <is>
          <t>"delivery.warehouse.changePass.noteDate": "នៅពេលអ្នកជ្រើសរើសថ្ងៃទី 31 សម្រាប់ខែដែលមាន 28, 29 ឬ 30 ថ្ងៃ វិក្កយបត្រនឹងត្រូវបានចេញនៅចុងខែនីមួយៗ។",</t>
        </is>
      </c>
      <c r="I1768" t="inlineStr">
        <is>
          <t>នៅពេលអ្នកជ្រើសរើសថ្ងៃទី 31 សម្រាប់ខែដែលមាន 28, 29 ឬ 30 ថ្ងៃ វិក្កយបត្រនឹងត្រូវបានចេញនៅចុងខែនីមួយៗ។</t>
        </is>
      </c>
    </row>
    <row r="1769">
      <c r="A1769" s="3" t="inlineStr">
        <is>
          <t>delivery.warehouse.changePass.noteSms</t>
        </is>
      </c>
      <c r="B1769" s="3" t="inlineStr">
        <is>
          <t>Lưu ý: Bạn chỉ có thể nhận tối đa 5 SMS/giờ</t>
        </is>
      </c>
      <c r="C1769" s="3" t="inlineStr">
        <is>
          <t>Note: You can only receive up to 5 SMS/hour</t>
        </is>
      </c>
      <c r="D1769" s="217">
        <f>IFERROR(__xludf.DUMMYFUNCTION("GOOGLETRANSLATE(C1769,""vi"",""km"")"),"ចំណាំ៖ អ្នកអាចទទួលបានសារ SMS ត្រឹមតែ 5 សារក្នុងមួយម៉ោងប៉ុណ្ណោះ")</f>
        <v/>
      </c>
      <c r="E1769" s="3" t="n"/>
      <c r="F1769" s="3" t="inlineStr">
        <is>
          <t>ចំណាំ៖ អ្នកអាចទទួលបានសារ SMS ត្រឹមតែ 5 សារក្នុងមួយម៉ោងប៉ុណ្ណោះ</t>
        </is>
      </c>
      <c r="G1769" s="3" t="n"/>
      <c r="H1769" s="217" t="inlineStr">
        <is>
          <t>"delivery.warehouse.changePass.noteSms": "ចំណាំ៖ អ្នកអាចទទួលបានសារ SMS ត្រឹមតែ 5 សារក្នុងមួយម៉ោងប៉ុណ្ណោះ",</t>
        </is>
      </c>
      <c r="I1769" t="inlineStr">
        <is>
          <t>ចំណាំ៖ អ្នកអាចទទួលបានសារ SMS ត្រឹមតែ 5 សារក្នុងមួយម៉ោងប៉ុណ្ណោះ</t>
        </is>
      </c>
    </row>
    <row r="1770">
      <c r="A1770" s="3" t="inlineStr">
        <is>
          <t>delivery.warehouse.changePass.otpExpired</t>
        </is>
      </c>
      <c r="B1770" s="3" t="inlineStr">
        <is>
          <t>Mã OTP đã hết hạn</t>
        </is>
      </c>
      <c r="C1770" s="3" t="inlineStr">
        <is>
          <t>The OTP code has expired.</t>
        </is>
      </c>
      <c r="D1770" s="217">
        <f>IFERROR(__xludf.DUMMYFUNCTION("GOOGLETRANSLATE(C1770,""vi"",""km"")"),"លេខកូដ OTP ផុតកំណត់ហើយ។")</f>
        <v/>
      </c>
      <c r="E1770" s="3" t="n"/>
      <c r="F1770" s="3" t="inlineStr">
        <is>
          <t>លេខកូដ OTP ផុតកំណត់ហើយ។</t>
        </is>
      </c>
      <c r="G1770" s="3" t="n"/>
      <c r="H1770" s="217" t="inlineStr">
        <is>
          <t>"delivery.warehouse.changePass.otpExpired": "លេខកូដ OTP ផុតកំណត់ហើយ។",</t>
        </is>
      </c>
      <c r="I1770" t="inlineStr">
        <is>
          <t>លេខកូដ OTP ផុតកំណត់ហើយ។</t>
        </is>
      </c>
    </row>
    <row r="1771">
      <c r="A1771" s="3" t="inlineStr">
        <is>
          <t>delivery.warehouse.changePass.overlap</t>
        </is>
      </c>
      <c r="B1771" s="3" t="inlineStr">
        <is>
          <t>Mật khẩu mới không được trùng với mật khẩu cũ</t>
        </is>
      </c>
      <c r="C1771" s="3" t="inlineStr">
        <is>
          <t>The new password must not be the same as the old password.</t>
        </is>
      </c>
      <c r="D1771" s="217">
        <f>IFERROR(__xludf.DUMMYFUNCTION("GOOGLETRANSLATE(C1771,""vi"",""km"")"),"ពាក្យសម្ងាត់ថ្មីមិនត្រូវដូចគ្នានឹងពាក្យសម្ងាត់ចាស់ទេ។")</f>
        <v/>
      </c>
      <c r="E1771" s="3" t="n"/>
      <c r="F1771" s="3" t="inlineStr">
        <is>
          <t>ពាក្យសម្ងាត់ថ្មីមិនត្រូវដូចគ្នានឹងពាក្យសម្ងាត់ចាស់ទេ។</t>
        </is>
      </c>
      <c r="G1771" s="3" t="n"/>
      <c r="H1771" s="217" t="inlineStr">
        <is>
          <t>"delivery.warehouse.changePass.overlap": "ពាក្យសម្ងាត់ថ្មីមិនត្រូវដូចគ្នានឹងពាក្យសម្ងាត់ចាស់ទេ។",</t>
        </is>
      </c>
      <c r="I1771" t="inlineStr">
        <is>
          <t>ពាក្យសម្ងាត់ថ្មីមិនត្រូវដូចគ្នានឹងពាក្យសម្ងាត់ចាស់ទេ។</t>
        </is>
      </c>
    </row>
    <row r="1772">
      <c r="A1772" s="3" t="inlineStr">
        <is>
          <t>delivery.warehouse.changePass.passwordAccept</t>
        </is>
      </c>
      <c r="B1772" s="3" t="inlineStr">
        <is>
          <t>Gồm ký tự số và chữ</t>
        </is>
      </c>
      <c r="C1772" s="3" t="inlineStr">
        <is>
          <t>It consists of both numbers and letters.</t>
        </is>
      </c>
      <c r="D1772" s="217">
        <f>IFERROR(__xludf.DUMMYFUNCTION("GOOGLETRANSLATE(C1772,""vi"",""km"")"),"វាមានទាំងលេខ និងអក្សរ។")</f>
        <v/>
      </c>
      <c r="E1772" s="3" t="n"/>
      <c r="F1772" s="3" t="inlineStr">
        <is>
          <t>វាមានទាំងលេខ និងអក្សរ។</t>
        </is>
      </c>
      <c r="G1772" s="3" t="n"/>
      <c r="H1772" s="217" t="inlineStr">
        <is>
          <t>"delivery.warehouse.changePass.passwordAccept": "វាមានទាំងលេខ និងអក្សរ។",</t>
        </is>
      </c>
      <c r="I1772" t="inlineStr">
        <is>
          <t>វាមានទាំងលេខ និងអក្សរ។</t>
        </is>
      </c>
    </row>
    <row r="1773">
      <c r="A1773" s="3" t="inlineStr">
        <is>
          <t>delivery.warehouse.changePass.passwordExceed</t>
        </is>
      </c>
      <c r="B1773" s="3" t="inlineStr">
        <is>
          <t>Vượt quá số lần cho phép, tài khoản đã bị khóa</t>
        </is>
      </c>
      <c r="C1773" s="3" t="inlineStr">
        <is>
          <t>Your account has been locked due to 5 failed password attempts. Please contact customer support to reset your password!</t>
        </is>
      </c>
      <c r="D1773" s="217">
        <f>IFERROR(__xludf.DUMMYFUNCTION("GOOGLETRANSLATE(C1773,""vi"",""km"")"),"គណនីរបស់អ្នកត្រូវបានចាក់សោដោយសារតែការប៉ុនប៉ងពាក្យសម្ងាត់ចំនួន 5 ដងបរាជ័យ។ សូមទាក់ទងផ្នែកជំនួយអតិថិជនដើម្បីកំណត់ពាក្យសម្ងាត់របស់អ្នកឡើងវិញ!")</f>
        <v/>
      </c>
      <c r="E1773" s="3" t="n"/>
      <c r="F1773" s="3" t="inlineStr">
        <is>
          <t>គណនីរបស់អ្នកត្រូវបានចាក់សោដោយសារតែការប៉ុនប៉ងពាក្យសម្ងាត់ចំនួន 5 ដងបរាជ័យ។ សូមទាក់ទងផ្នែកជំនួយអតិថិជនដើម្បីកំណត់ពាក្យសម្ងាត់របស់អ្នកឡើងវិញ!</t>
        </is>
      </c>
      <c r="G1773" s="3" t="n"/>
      <c r="H1773" s="217" t="inlineStr">
        <is>
          <t>"delivery.warehouse.changePass.passwordExceed": "គណនីរបស់អ្នកត្រូវបានចាក់សោដោយសារតែការប៉ុនប៉ងពាក្យសម្ងាត់ចំនួន 5 ដងបរាជ័យ។ សូមទាក់ទងផ្នែកជំនួយអតិថិជនដើម្បីកំណត់ពាក្យសម្ងាត់របស់អ្នកឡើងវិញ!",</t>
        </is>
      </c>
      <c r="I1773" t="inlineStr">
        <is>
          <t>គណនីរបស់អ្នកត្រូវបានចាក់សោដោយសារតែការប៉ុនប៉ងពាក្យសម្ងាត់ចំនួន 5 ដងបរាជ័យ។ សូមទាក់ទងផ្នែកជំនួយអតិថិជនដើម្បីកំណត់ពាក្យសម្ងាត់របស់អ្នកឡើងវិញ!</t>
        </is>
      </c>
    </row>
    <row r="1774">
      <c r="A1774" s="3" t="inlineStr">
        <is>
          <t>delivery.warehouse.changePass.passwordInvalid</t>
        </is>
      </c>
      <c r="B1774" s="3" t="inlineStr">
        <is>
          <t>Mật khẩu không chính xác</t>
        </is>
      </c>
      <c r="C1774" s="3" t="inlineStr">
        <is>
          <t>Incorrect password</t>
        </is>
      </c>
      <c r="D1774" s="217">
        <f>IFERROR(__xludf.DUMMYFUNCTION("GOOGLETRANSLATE(C1774,""vi"",""km"")"),"ពាក្យសម្ងាត់មិនត្រឹមត្រូវ")</f>
        <v/>
      </c>
      <c r="E1774" s="3" t="n"/>
      <c r="F1774" s="3" t="inlineStr">
        <is>
          <t>ពាក្យសម្ងាត់មិនត្រឹមត្រូវ</t>
        </is>
      </c>
      <c r="G1774" s="3" t="n"/>
      <c r="H1774" s="217" t="inlineStr">
        <is>
          <t>"delivery.warehouse.changePass.passwordInvalid": "ពាក្យសម្ងាត់មិនត្រឹមត្រូវ",</t>
        </is>
      </c>
      <c r="I1774" t="inlineStr">
        <is>
          <t>ពាក្យសម្ងាត់មិនត្រឹមត្រូវ</t>
        </is>
      </c>
    </row>
    <row r="1775">
      <c r="A1775" s="3" t="inlineStr">
        <is>
          <t>delivery.warehouse.changePass.passwordLength</t>
        </is>
      </c>
      <c r="B1775" s="3" t="inlineStr">
        <is>
          <t>Độ dài tối thiếu 8 ký tự và tối đa 20 ký tự</t>
        </is>
      </c>
      <c r="C1775" s="3" t="inlineStr">
        <is>
          <t>Minimum length is 8 characters and maximum is 20 characters.</t>
        </is>
      </c>
      <c r="D1775" s="217">
        <f>IFERROR(__xludf.DUMMYFUNCTION("GOOGLETRANSLATE(C1775,""vi"",""km"")"),"ប្រវែងអប្បបរមាគឺ ៨ តួអក្សរ និងអតិបរមាគឺ ២០ តួអក្សរ។")</f>
        <v/>
      </c>
      <c r="E1775" s="3" t="n"/>
      <c r="F1775" s="3" t="inlineStr">
        <is>
          <t>ប្រវែងអប្បបរមាគឺ ៨ តួអក្សរ និងអតិបរមាគឺ ២០ តួអក្សរ។</t>
        </is>
      </c>
      <c r="G1775" s="3" t="n"/>
      <c r="H1775" s="217" t="inlineStr">
        <is>
          <t>"delivery.warehouse.changePass.passwordLength": "ប្រវែងអប្បបរមាគឺ ៨ តួអក្សរ និងអតិបរមាគឺ ២០ តួអក្សរ។",</t>
        </is>
      </c>
      <c r="I1775" t="inlineStr">
        <is>
          <t>ប្រវែងអប្បបរមាគឺ ៨ តួអក្សរ និងអតិបរមាគឺ ២០ តួអក្សរ។</t>
        </is>
      </c>
    </row>
    <row r="1776">
      <c r="A1776" s="3" t="inlineStr">
        <is>
          <t>delivery.warehouse.changePass.passwordWrong</t>
        </is>
      </c>
      <c r="B1776" s="3" t="inlineStr">
        <is>
          <t>Mật khẩu không đúng quy tắc</t>
        </is>
      </c>
      <c r="C1776" s="3" t="inlineStr">
        <is>
          <t>The password is incorrect.</t>
        </is>
      </c>
      <c r="D1776" s="217">
        <f>IFERROR(__xludf.DUMMYFUNCTION("GOOGLETRANSLATE(C1776,""vi"",""km"")"),"ពាក្យសម្ងាត់មិនត្រឹមត្រូវ។")</f>
        <v/>
      </c>
      <c r="E1776" s="3" t="n"/>
      <c r="F1776" s="3" t="inlineStr">
        <is>
          <t>ពាក្យសម្ងាត់មិនត្រឹមត្រូវ។</t>
        </is>
      </c>
      <c r="G1776" s="3" t="n"/>
      <c r="H1776" s="217" t="inlineStr">
        <is>
          <t>"delivery.warehouse.changePass.passwordWrong": "ពាក្យសម្ងាត់មិនត្រឹមត្រូវ។",</t>
        </is>
      </c>
      <c r="I1776" t="inlineStr">
        <is>
          <t>ពាក្យសម្ងាត់មិនត្រឹមត្រូវ។</t>
        </is>
      </c>
    </row>
    <row r="1777">
      <c r="A1777" s="3" t="inlineStr">
        <is>
          <t>delivery.warehouse.changePass.phone</t>
        </is>
      </c>
      <c r="B1777" s="3" t="inlineStr">
        <is>
          <t>Số điện thoại</t>
        </is>
      </c>
      <c r="C1777" s="3" t="inlineStr">
        <is>
          <t>Phone number</t>
        </is>
      </c>
      <c r="D1777" s="217">
        <f>IFERROR(__xludf.DUMMYFUNCTION("GOOGLETRANSLATE(C1777,""vi"",""km"")"),"លេខទូរស័ព្ទ")</f>
        <v/>
      </c>
      <c r="E1777" s="3" t="n"/>
      <c r="F1777" s="3" t="inlineStr">
        <is>
          <t>លេខទូរស័ព្ទ</t>
        </is>
      </c>
      <c r="G1777" s="3" t="n"/>
      <c r="H1777" s="217" t="inlineStr">
        <is>
          <t>"delivery.warehouse.changePass.phone": "លេខទូរស័ព្ទ",</t>
        </is>
      </c>
      <c r="I1777" t="inlineStr">
        <is>
          <t>លេខទូរស័ព្ទ</t>
        </is>
      </c>
    </row>
    <row r="1778">
      <c r="A1778" s="3" t="inlineStr">
        <is>
          <t>delivery.warehouse.changePass.phonePlaceholder</t>
        </is>
      </c>
      <c r="B1778" s="3" t="inlineStr">
        <is>
          <t>Nhập số điện thoại</t>
        </is>
      </c>
      <c r="C1778" s="3" t="inlineStr">
        <is>
          <t>Enter phone number</t>
        </is>
      </c>
      <c r="D1778" s="217">
        <f>IFERROR(__xludf.DUMMYFUNCTION("GOOGLETRANSLATE(C1778,""vi"",""km"")"),"បញ្ចូលលេខទូរស័ព្ទ")</f>
        <v/>
      </c>
      <c r="E1778" s="3" t="n"/>
      <c r="F1778" s="3" t="inlineStr">
        <is>
          <t>បញ្ចូលលេខទូរស័ព្ទ</t>
        </is>
      </c>
      <c r="G1778" s="3" t="n"/>
      <c r="H1778" s="217" t="inlineStr">
        <is>
          <t>"delivery.warehouse.changePass.phonePlaceholder": "បញ្ចូលលេខទូរស័ព្ទ",</t>
        </is>
      </c>
      <c r="I1778" t="inlineStr">
        <is>
          <t>បញ្ចូលលេខទូរស័ព្ទ</t>
        </is>
      </c>
    </row>
    <row r="1779">
      <c r="A1779" s="3" t="inlineStr">
        <is>
          <t>delivery.warehouse.changePass.questionOtp</t>
        </is>
      </c>
      <c r="B1779" s="3" t="inlineStr">
        <is>
          <t>Bạn chưa nhận được OTP?</t>
        </is>
      </c>
      <c r="C1779" s="3" t="inlineStr">
        <is>
          <t>Haven't received the OTP yet?</t>
        </is>
      </c>
      <c r="D1779" s="217">
        <f>IFERROR(__xludf.DUMMYFUNCTION("GOOGLETRANSLATE(C1779,""vi"",""km"")"),"មិនទាន់ទទួលបាន OTP នៅឡើយទេ?")</f>
        <v/>
      </c>
      <c r="E1779" s="3" t="n"/>
      <c r="F1779" s="3" t="inlineStr">
        <is>
          <t>មិនទាន់ទទួលបាន OTP នៅឡើយទេ?</t>
        </is>
      </c>
      <c r="G1779" s="3" t="n"/>
      <c r="H1779" s="217" t="inlineStr">
        <is>
          <t>"delivery.warehouse.changePass.questionOtp": "មិនទាន់ទទួលបាន OTP នៅឡើយទេ?",</t>
        </is>
      </c>
      <c r="I1779" t="inlineStr">
        <is>
          <t>មិនទាន់ទទួលបាន OTP នៅឡើយទេ?</t>
        </is>
      </c>
    </row>
    <row r="1780">
      <c r="A1780" s="3" t="inlineStr">
        <is>
          <t>delivery.warehouse.changePass.resend</t>
        </is>
      </c>
      <c r="B1780" s="3" t="inlineStr">
        <is>
          <t>Gửi lại</t>
        </is>
      </c>
      <c r="C1780" s="3" t="inlineStr">
        <is>
          <t>Resend</t>
        </is>
      </c>
      <c r="D1780" s="217">
        <f>IFERROR(__xludf.DUMMYFUNCTION("GOOGLETRANSLATE(C1780,""vi"",""km"")"),"ការប្រោសលោះ")</f>
        <v/>
      </c>
      <c r="E1780" s="3" t="n"/>
      <c r="F1780" s="3" t="inlineStr">
        <is>
          <t>ផ្ញើម្តងទៀត</t>
        </is>
      </c>
      <c r="G1780" s="3" t="n"/>
      <c r="H1780" s="217" t="inlineStr">
        <is>
          <t>"delivery.warehouse.changePass.resend": "ផ្ញើម្តងទៀត",</t>
        </is>
      </c>
      <c r="I1780" t="inlineStr">
        <is>
          <t>ផ្ញើម្តងទៀត</t>
        </is>
      </c>
    </row>
    <row r="1781">
      <c r="A1781" s="3" t="inlineStr">
        <is>
          <t>delivery.warehouse.changePass.resendIn</t>
        </is>
      </c>
      <c r="B1781" s="3" t="inlineStr">
        <is>
          <t>Gửi lại sau ({{time}}s)</t>
        </is>
      </c>
      <c r="C1781" s="3" t="inlineStr">
        <is>
          <t>Resend later (times)</t>
        </is>
      </c>
      <c r="D1781" s="217">
        <f>IFERROR(__xludf.DUMMYFUNCTION("GOOGLETRANSLATE(C1781,""vi"",""km"")"),"ផ្ញើម្តងទៀតនៅពេលក្រោយ (ដង)")</f>
        <v/>
      </c>
      <c r="E1781" s="3" t="n"/>
      <c r="F1781" s="3" t="inlineStr">
        <is>
          <t>ផ្ញើម្តងទៀតនៅពេលក្រោយ (ដង)</t>
        </is>
      </c>
      <c r="G1781" s="3" t="n"/>
      <c r="H1781" s="217" t="inlineStr">
        <is>
          <t>"delivery.warehouse.changePass.resendIn": "ផ្ញើម្តងទៀតនៅពេលក្រោយ (ដង)",</t>
        </is>
      </c>
      <c r="I1781" t="inlineStr">
        <is>
          <t>ផ្ញើម្តងទៀតនៅពេលក្រោយ (ដង)</t>
        </is>
      </c>
    </row>
    <row r="1782">
      <c r="A1782" s="3" t="inlineStr">
        <is>
          <t>delivery.warehouse.changePass.save</t>
        </is>
      </c>
      <c r="B1782" s="3" t="inlineStr">
        <is>
          <t>Lưu thay đổi</t>
        </is>
      </c>
      <c r="C1782" s="3" t="inlineStr">
        <is>
          <t>Save changes</t>
        </is>
      </c>
      <c r="D1782" s="217">
        <f>IFERROR(__xludf.DUMMYFUNCTION("GOOGLETRANSLATE(C1782,""vi"",""km"")"),"រក្សាទុកការផ្លាស់ប្តូរ")</f>
        <v/>
      </c>
      <c r="E1782" s="3" t="n"/>
      <c r="F1782" s="3" t="inlineStr">
        <is>
          <t>រក្សាទុកការផ្លាស់ប្តូរ</t>
        </is>
      </c>
      <c r="G1782" s="3" t="n"/>
      <c r="H1782" s="217" t="inlineStr">
        <is>
          <t>"delivery.warehouse.changePass.save": "រក្សាទុកការផ្លាស់ប្តូរ",</t>
        </is>
      </c>
      <c r="I1782" t="inlineStr">
        <is>
          <t>រក្សាទុកការផ្លាស់ប្តូរ</t>
        </is>
      </c>
    </row>
    <row r="1783">
      <c r="A1783" s="3" t="inlineStr">
        <is>
          <t>delivery.warehouse.changePass.saveSelect</t>
        </is>
      </c>
      <c r="B1783" s="3" t="inlineStr">
        <is>
          <t>Lưu tùy chọn</t>
        </is>
      </c>
      <c r="C1783" s="3" t="inlineStr">
        <is>
          <t>Save options</t>
        </is>
      </c>
      <c r="D1783" s="217">
        <f>IFERROR(__xludf.DUMMYFUNCTION("GOOGLETRANSLATE(C1783,""vi"",""km"")"),"រក្សាទុកជម្រើស")</f>
        <v/>
      </c>
      <c r="E1783" s="3" t="n"/>
      <c r="F1783" s="3" t="inlineStr">
        <is>
          <t>រក្សាទុកជម្រើស</t>
        </is>
      </c>
      <c r="G1783" s="3" t="n"/>
      <c r="H1783" s="217" t="inlineStr">
        <is>
          <t>"delivery.warehouse.changePass.saveSelect": "រក្សាទុកជម្រើស",</t>
        </is>
      </c>
      <c r="I1783" t="inlineStr">
        <is>
          <t>រក្សាទុកជម្រើស</t>
        </is>
      </c>
    </row>
    <row r="1784">
      <c r="A1784" s="3" t="inlineStr">
        <is>
          <t>delivery.warehouse.changePass.selectDate</t>
        </is>
      </c>
      <c r="B1784" s="3" t="inlineStr">
        <is>
          <t>Chọn ngày</t>
        </is>
      </c>
      <c r="C1784" s="3" t="inlineStr">
        <is>
          <t>Select a date</t>
        </is>
      </c>
      <c r="D1784" s="217">
        <f>IFERROR(__xludf.DUMMYFUNCTION("GOOGLETRANSLATE(C1784,""vi"",""km"")"),"ជ្រើសរើសកាលបរិច្ឆេទ")</f>
        <v/>
      </c>
      <c r="E1784" s="3" t="n"/>
      <c r="F1784" s="3" t="inlineStr">
        <is>
          <t>ជ្រើសរើសកាលបរិច្ឆេទ</t>
        </is>
      </c>
      <c r="G1784" s="3" t="n"/>
      <c r="H1784" s="217" t="inlineStr">
        <is>
          <t>"delivery.warehouse.changePass.selectDate": "ជ្រើសរើសកាលបរិច្ឆេទ",</t>
        </is>
      </c>
      <c r="I1784" t="inlineStr">
        <is>
          <t>ជ្រើសរើសកាលបរិច្ឆេទ</t>
        </is>
      </c>
    </row>
    <row r="1785">
      <c r="A1785" s="3" t="inlineStr">
        <is>
          <t>delivery.warehouse.changePass.selectedAll</t>
        </is>
      </c>
      <c r="B1785" s="3" t="inlineStr">
        <is>
          <t>Chọn tất cả</t>
        </is>
      </c>
      <c r="C1785" s="3" t="inlineStr">
        <is>
          <t>Select all</t>
        </is>
      </c>
      <c r="D1785" s="217">
        <f>IFERROR(__xludf.DUMMYFUNCTION("GOOGLETRANSLATE(C1785,""vi"",""km"")"),"ជ្រើសរើសទាំងអស់")</f>
        <v/>
      </c>
      <c r="E1785" s="3" t="n"/>
      <c r="F1785" s="3" t="inlineStr">
        <is>
          <t>ជ្រើសរើសទាំងអស់</t>
        </is>
      </c>
      <c r="G1785" s="3" t="n"/>
      <c r="H1785" s="217" t="inlineStr">
        <is>
          <t>"delivery.warehouse.changePass.selectedAll": "ជ្រើសរើសទាំងអស់",</t>
        </is>
      </c>
      <c r="I1785" t="inlineStr">
        <is>
          <t>ជ្រើសរើសទាំងអស់</t>
        </is>
      </c>
    </row>
    <row r="1786">
      <c r="A1786" s="3" t="inlineStr">
        <is>
          <t>delivery.warehouse.changePass.selectedAllDay</t>
        </is>
      </c>
      <c r="B1786" s="3" t="inlineStr">
        <is>
          <t>Chọn tất cả các ngày trong tháng</t>
        </is>
      </c>
      <c r="C1786" s="3" t="inlineStr">
        <is>
          <t>Select all days of the month</t>
        </is>
      </c>
      <c r="D1786" s="217">
        <f>IFERROR(__xludf.DUMMYFUNCTION("GOOGLETRANSLATE(C1786,""vi"",""km"")"),"ជ្រើសរើសថ្ងៃទាំងអស់នៃខែ")</f>
        <v/>
      </c>
      <c r="E1786" s="3" t="n"/>
      <c r="F1786" s="3" t="inlineStr">
        <is>
          <t>ជ្រើសរើសថ្ងៃទាំងអស់នៃខែ</t>
        </is>
      </c>
      <c r="G1786" s="3" t="n"/>
      <c r="H1786" s="217" t="inlineStr">
        <is>
          <t>"delivery.warehouse.changePass.selectedAllDay": "ជ្រើសរើសថ្ងៃទាំងអស់នៃខែ",</t>
        </is>
      </c>
      <c r="I1786" t="inlineStr">
        <is>
          <t>ជ្រើសរើសថ្ងៃទាំងអស់នៃខែ</t>
        </is>
      </c>
    </row>
    <row r="1787">
      <c r="A1787" s="3" t="inlineStr">
        <is>
          <t>delivery.warehouse.changePass.titleOtp</t>
        </is>
      </c>
      <c r="B1787" s="3" t="inlineStr">
        <is>
          <t>Nhập OTP vừa được gửi tới số điện thoại</t>
        </is>
      </c>
      <c r="C1787" s="3" t="inlineStr">
        <is>
          <t>Enter the OTP that was just sent to your phone number.</t>
        </is>
      </c>
      <c r="D1787" s="217">
        <f>IFERROR(__xludf.DUMMYFUNCTION("GOOGLETRANSLATE(C1787,""vi"",""km"")"),"បញ្ចូលលេខ OTP ដែលទើបតែផ្ញើទៅកាន់លេខទូរស័ព្ទរបស់អ្នក។")</f>
        <v/>
      </c>
      <c r="E1787" s="3" t="n"/>
      <c r="F1787" s="3" t="inlineStr">
        <is>
          <t>បញ្ចូលលេខ OTP ដែលទើបតែផ្ញើទៅកាន់លេខទូរស័ព្ទរបស់អ្នក។</t>
        </is>
      </c>
      <c r="G1787" s="3" t="n"/>
      <c r="H1787" s="217" t="inlineStr">
        <is>
          <t>"delivery.warehouse.changePass.titleOtp": "បញ្ចូលលេខ OTP ដែលទើបតែផ្ញើទៅកាន់លេខទូរស័ព្ទរបស់អ្នក។",</t>
        </is>
      </c>
      <c r="I1787" t="inlineStr">
        <is>
          <t>បញ្ចូលលេខ OTP ដែលទើបតែផ្ញើទៅកាន់លេខទូរស័ព្ទរបស់អ្នក។</t>
        </is>
      </c>
    </row>
    <row r="1788">
      <c r="A1788" s="3" t="inlineStr">
        <is>
          <t>delivery.warehouse.changePass.titlePage</t>
        </is>
      </c>
      <c r="B1788" s="3" t="inlineStr">
        <is>
          <t>Cài đặt tài khoản</t>
        </is>
      </c>
      <c r="C1788" s="3" t="inlineStr">
        <is>
          <t>Account settings</t>
        </is>
      </c>
      <c r="D1788" s="217">
        <f>IFERROR(__xludf.DUMMYFUNCTION("GOOGLETRANSLATE(C1788,""vi"",""km"")"),"ការកំណត់គណនី")</f>
        <v/>
      </c>
      <c r="E1788" s="3" t="n"/>
      <c r="F1788" s="3" t="inlineStr">
        <is>
          <t>ការកំណត់គណនី</t>
        </is>
      </c>
      <c r="G1788" s="3" t="n"/>
      <c r="H1788" s="217" t="inlineStr">
        <is>
          <t>"delivery.warehouse.changePass.titlePage": "ការកំណត់គណនី",</t>
        </is>
      </c>
      <c r="I1788" t="inlineStr">
        <is>
          <t>ការកំណត់គណនី</t>
        </is>
      </c>
    </row>
    <row r="1789">
      <c r="A1789" s="3" t="inlineStr">
        <is>
          <t>delivery.warehouse.changePass.tokenManagement</t>
        </is>
      </c>
      <c r="B1789" s="3" t="inlineStr">
        <is>
          <t>Quản lý token</t>
        </is>
      </c>
      <c r="C1789" s="3" t="inlineStr">
        <is>
          <t>Token management</t>
        </is>
      </c>
      <c r="D1789" s="217">
        <f>IFERROR(__xludf.DUMMYFUNCTION("GOOGLETRANSLATE(C1789,""vi"",""km"")"),"ការគ្រប់គ្រងសញ្ញាសម្ងាត់")</f>
        <v/>
      </c>
      <c r="E1789" s="3" t="n"/>
      <c r="F1789" s="3" t="inlineStr">
        <is>
          <t>ការគ្រប់គ្រងសញ្ញាសម្ងាត់</t>
        </is>
      </c>
      <c r="G1789" s="3" t="n"/>
      <c r="H1789" s="217" t="inlineStr">
        <is>
          <t>"delivery.warehouse.changePass.tokenManagement": "ការគ្រប់គ្រងសញ្ញាសម្ងាត់",</t>
        </is>
      </c>
      <c r="I1789" t="inlineStr">
        <is>
          <t>ការគ្រប់គ្រងសញ្ញាសម្ងាត់</t>
        </is>
      </c>
    </row>
    <row r="1790">
      <c r="A1790" s="3" t="inlineStr">
        <is>
          <t>delivery.warehouse.changePass.updatePassFail</t>
        </is>
      </c>
      <c r="B1790" s="3" t="inlineStr">
        <is>
          <t>Cập nhật mật khẩu thất bại</t>
        </is>
      </c>
      <c r="C1790" s="3" t="inlineStr">
        <is>
          <t>Password update failed.</t>
        </is>
      </c>
      <c r="D1790" s="217">
        <f>IFERROR(__xludf.DUMMYFUNCTION("GOOGLETRANSLATE(C1790,""vi"",""km"")"),"ការអាប់ដេតពាក្យសម្ងាត់បរាជ័យ។")</f>
        <v/>
      </c>
      <c r="E1790" s="3" t="n"/>
      <c r="F1790" s="3" t="inlineStr">
        <is>
          <t>ការអាប់ដេតពាក្យសម្ងាត់បរាជ័យ។</t>
        </is>
      </c>
      <c r="G1790" s="3" t="n"/>
      <c r="H1790" s="217" t="inlineStr">
        <is>
          <t>"delivery.warehouse.changePass.updatePassFail": "ការអាប់ដេតពាក្យសម្ងាត់បរាជ័យ។",</t>
        </is>
      </c>
      <c r="I1790" t="inlineStr">
        <is>
          <t>ការអាប់ដេតពាក្យសម្ងាត់បរាជ័យ។</t>
        </is>
      </c>
    </row>
    <row r="1791">
      <c r="A1791" s="3" t="inlineStr">
        <is>
          <t>delivery.warehouse.changePass.updatePassSuccess</t>
        </is>
      </c>
      <c r="B1791" s="3" t="inlineStr">
        <is>
          <t>Cập nhật mật khẩu thành công</t>
        </is>
      </c>
      <c r="C1791" s="3" t="inlineStr">
        <is>
          <t>Password updated successfully.</t>
        </is>
      </c>
      <c r="D1791" s="217">
        <f>IFERROR(__xludf.DUMMYFUNCTION("GOOGLETRANSLATE(C1791,""vi"",""km"")"),"ពាក្យសម្ងាត់ត្រូវបានអាប់ដេតដោយជោគជ័យ។")</f>
        <v/>
      </c>
      <c r="E1791" s="3" t="n"/>
      <c r="F1791" s="3" t="inlineStr">
        <is>
          <t>ពាក្យសម្ងាត់ត្រូវបានអាប់ដេតដោយជោគជ័យ។</t>
        </is>
      </c>
      <c r="G1791" s="3" t="n"/>
      <c r="H1791" s="217" t="inlineStr">
        <is>
          <t>"delivery.warehouse.changePass.updatePassSuccess": "ពាក្យសម្ងាត់ត្រូវបានអាប់ដេតដោយជោគជ័យ។",</t>
        </is>
      </c>
      <c r="I1791" t="inlineStr">
        <is>
          <t>ពាក្យសម្ងាត់ត្រូវបានអាប់ដេតដោយជោគជ័យ។</t>
        </is>
      </c>
    </row>
    <row r="1792">
      <c r="A1792" s="3" t="inlineStr">
        <is>
          <t>delivery.warehouse.changePass.validateBillingCycleDayOfMonth</t>
        </is>
      </c>
      <c r="B1792" s="3" t="inlineStr">
        <is>
          <t>Vui lòng chọn ít nhất 1 ngày trong tháng</t>
        </is>
      </c>
      <c r="C1792" s="3" t="inlineStr">
        <is>
          <t>Please select at least one day in the month.</t>
        </is>
      </c>
      <c r="D1792" s="217">
        <f>IFERROR(__xludf.DUMMYFUNCTION("GOOGLETRANSLATE(C1792,""vi"",""km"")"),"សូមជ្រើសរើសយ៉ាងហោចណាស់មួយថ្ងៃក្នុងមួយខែ។")</f>
        <v/>
      </c>
      <c r="E1792" s="3" t="n"/>
      <c r="F1792" s="3" t="inlineStr">
        <is>
          <t>សូមជ្រើសរើសយ៉ាងហោចណាស់មួយថ្ងៃក្នុងមួយខែ។</t>
        </is>
      </c>
      <c r="G1792" s="3" t="n"/>
      <c r="H1792" s="217" t="inlineStr">
        <is>
          <t>"delivery.warehouse.changePass.validateBillingCycleDayOfMonth": "សូមជ្រើសរើសយ៉ាងហោចណាស់មួយថ្ងៃក្នុងមួយខែ។",</t>
        </is>
      </c>
      <c r="I1792" t="inlineStr">
        <is>
          <t>សូមជ្រើសរើសយ៉ាងហោចណាស់មួយថ្ងៃក្នុងមួយខែ។</t>
        </is>
      </c>
    </row>
    <row r="1793">
      <c r="A1793" s="3" t="inlineStr">
        <is>
          <t>delivery.warehouse.changePass.warehouseSettings</t>
        </is>
      </c>
      <c r="B1793" s="3" t="inlineStr">
        <is>
          <t>Cài đặt kho hàng</t>
        </is>
      </c>
      <c r="C1793" s="3" t="inlineStr">
        <is>
          <t>Warehouse setup</t>
        </is>
      </c>
      <c r="D1793" s="217">
        <f>IFERROR(__xludf.DUMMYFUNCTION("GOOGLETRANSLATE(C1793,""vi"",""km"")"),"ការរៀបចំធនាគារ")</f>
        <v/>
      </c>
      <c r="E1793" s="3" t="n"/>
      <c r="F1793" s="3" t="inlineStr">
        <is>
          <t>ការរៀបចំធនាគារ</t>
        </is>
      </c>
      <c r="G1793" s="3" t="n"/>
      <c r="H1793" s="217" t="inlineStr">
        <is>
          <t>"delivery.warehouse.changePass.warehouseSettings": "ការរៀបចំធនាគារ",</t>
        </is>
      </c>
      <c r="I1793" t="inlineStr">
        <is>
          <t>ការរៀបចំធនាគារ</t>
        </is>
      </c>
    </row>
    <row r="1794">
      <c r="A1794" s="3" t="inlineStr">
        <is>
          <t>delivery.warehouse.changeStatusConfig.fail</t>
        </is>
      </c>
      <c r="B1794" s="3" t="inlineStr">
        <is>
          <t>Thay đổi trạng thái thất bại</t>
        </is>
      </c>
      <c r="C1794" s="3" t="inlineStr">
        <is>
          <t>Updated status failed</t>
        </is>
      </c>
      <c r="D1794" s="217">
        <f>IFERROR(__xludf.DUMMYFUNCTION("GOOGLETRANSLATE(C1794,""vi"",""km"")"),"ស្ថានភាពដែលបានធ្វើបច្ចុប្បន្នភាពបរាជ័យ")</f>
        <v/>
      </c>
      <c r="E1794" s="3" t="n"/>
      <c r="F1794" s="3" t="inlineStr">
        <is>
          <t>ស្ថានភាពដែលបានធ្វើបច្ចុប្បន្នភាពបរាជ័យ</t>
        </is>
      </c>
      <c r="G1794" s="3" t="n"/>
      <c r="H1794" s="217" t="inlineStr">
        <is>
          <t>"delivery.warehouse.changeStatusConfig.fail": "ស្ថានភាពដែលបានធ្វើបច្ចុប្បន្នភាពបរាជ័យ",</t>
        </is>
      </c>
      <c r="I1794" t="inlineStr">
        <is>
          <t>ស្ថានភាពដែលបានធ្វើបច្ចុប្បន្នភាពបរាជ័យ</t>
        </is>
      </c>
    </row>
    <row r="1795">
      <c r="A1795" s="3" t="inlineStr">
        <is>
          <t>delivery.warehouse.changeStatusConfig.notification</t>
        </is>
      </c>
      <c r="B1795" s="3" t="inlineStr">
        <is>
          <t>Thay đổi trạng thái thành công</t>
        </is>
      </c>
      <c r="C1795" s="3" t="inlineStr">
        <is>
          <t>Updated status successfully</t>
        </is>
      </c>
      <c r="D1795" s="217">
        <f>IFERROR(__xludf.DUMMYFUNCTION("GOOGLETRANSLATE(C1795,""vi"",""km"")"),"ស្ថានភាពដែលបានធ្វើបច្ចុប្បន្នភាពបន្ទាប់ពី")</f>
        <v/>
      </c>
      <c r="E1795" s="3" t="n"/>
      <c r="F1795" s="3" t="inlineStr">
        <is>
          <t>ស្ថានភាពដែលបានធ្វើបច្ចុប្បន្នភាពបន្ទាប់ពី</t>
        </is>
      </c>
      <c r="G1795" s="3" t="n"/>
      <c r="H1795" s="217" t="inlineStr">
        <is>
          <t>"delivery.warehouse.changeStatusConfig.notification": "ស្ថានភាពដែលបានធ្វើបច្ចុប្បន្នភាពបន្ទាប់ពី",</t>
        </is>
      </c>
      <c r="I1795" t="inlineStr">
        <is>
          <t>ស្ថានភាពដែលបានធ្វើបច្ចុប្បន្នភាពបន្ទាប់ពី</t>
        </is>
      </c>
    </row>
    <row r="1796">
      <c r="A1796" s="3" t="inlineStr">
        <is>
          <t>delivery.warehouse.changeStatusConfig.title</t>
        </is>
      </c>
      <c r="B1796" s="3" t="inlineStr">
        <is>
          <t>Bạn có chắc chắn muốn thay đổi trạng thái tuyến bưu tá hay không</t>
        </is>
      </c>
      <c r="C1796" s="3" t="inlineStr">
        <is>
          <t>Change status</t>
        </is>
      </c>
      <c r="D1796" s="217">
        <f>IFERROR(__xludf.DUMMYFUNCTION("GOOGLETRANSLATE(C1796,""vi"",""km"")"),"ផ្លាស់ប្តូរស្ថានភាព")</f>
        <v/>
      </c>
      <c r="E1796" s="3" t="n"/>
      <c r="F1796" s="3" t="inlineStr">
        <is>
          <t>ផ្លាស់ប្តូរស្ថានភាព</t>
        </is>
      </c>
      <c r="G1796" s="3" t="n"/>
      <c r="H1796" s="217" t="inlineStr">
        <is>
          <t>"delivery.warehouse.changeStatusConfig.title": "ផ្លាស់ប្តូរស្ថានភាព",</t>
        </is>
      </c>
      <c r="I1796" t="inlineStr">
        <is>
          <t>ផ្លាស់ប្តូរស្ថានភាព</t>
        </is>
      </c>
    </row>
    <row r="1797">
      <c r="A1797" s="3" t="inlineStr">
        <is>
          <t>delivery.warehouse.changeStatusUser.notification</t>
        </is>
      </c>
      <c r="B1797" s="3" t="inlineStr">
        <is>
          <t>Cập nhật tình trạng sử dụng thành công!</t>
        </is>
      </c>
      <c r="C1797" s="3" t="inlineStr">
        <is>
          <t>Update user status sucessfully!</t>
        </is>
      </c>
      <c r="D1797" s="217">
        <f>IFERROR(__xludf.DUMMYFUNCTION("GOOGLETRANSLATE(C1797,""vi"",""km"")"),"ធ្វើបច្ចុប្បន្នភាពស្ថានភាពអ្នកប្រើប្រាស់ដោយជោគជ័យ!")</f>
        <v/>
      </c>
      <c r="E1797" s="3" t="n"/>
      <c r="F1797" s="3" t="inlineStr">
        <is>
          <t>ធ្វើបច្ចុប្បន្នភាពស្ថានភាពអ្នកប្រើប្រាស់ដោយជោគជ័យ!</t>
        </is>
      </c>
      <c r="G1797" s="3" t="n"/>
      <c r="H1797" s="217" t="inlineStr">
        <is>
          <t>"delivery.warehouse.changeStatusUser.notification": "ធ្វើបច្ចុប្បន្នភាពស្ថានភាពអ្នកប្រើប្រាស់ដោយជោគជ័យ!",</t>
        </is>
      </c>
      <c r="I1797" t="inlineStr">
        <is>
          <t>ធ្វើបច្ចុប្បន្នភាពស្ថានភាពអ្នកប្រើប្រាស់ដោយជោគជ័យ!</t>
        </is>
      </c>
    </row>
    <row r="1798">
      <c r="A1798" s="3" t="inlineStr">
        <is>
          <t>delivery.warehouse.changeStatusUser.title</t>
        </is>
      </c>
      <c r="B1798" s="3" t="inlineStr">
        <is>
          <t>Bạn có chắc chắn muốn thay đổi tình trạng sử dụng của "{{name}}" thành "{{status}}" không?</t>
        </is>
      </c>
      <c r="C1798" s="3" t="inlineStr">
        <is>
          <t>Do you want to switch user status to {{status}} for {{name}}</t>
        </is>
      </c>
      <c r="D1798" s="217">
        <f>IFERROR(__xludf.DUMMYFUNCTION("GOOGLETRANSLATE(C1798,""vi"",""km"")"),"តើអ្នកចង់ប្តូរស្ថានភាពអ្នកប្រើប្រាស់ទៅ {{status}} សម្រាប់ {{name}} ដែរឬទេ?")</f>
        <v/>
      </c>
      <c r="E1798" s="3" t="n"/>
      <c r="F1798" s="3" t="inlineStr">
        <is>
          <t>តើអ្នកចង់ប្តូរស្ថានភាពអ្នកប្រើប្រាស់ទៅ {{status}} សម្រាប់ {{name}} ដែរឬទេ?</t>
        </is>
      </c>
      <c r="G1798" s="3" t="n"/>
      <c r="H1798" s="217" t="inlineStr">
        <is>
          <t>"delivery.warehouse.changeStatusUser.title": "តើអ្នកចង់ប្តូរស្ថានភាពអ្នកប្រើប្រាស់ទៅ {{status}} សម្រាប់ {{name}} ដែរឬទេ?",</t>
        </is>
      </c>
      <c r="I1798" t="inlineStr">
        <is>
          <t>តើអ្នកចង់ប្តូរស្ថានភាពអ្នកប្រើប្រាស់ទៅ {{status}} សម្រាប់ {{name}} ដែរឬទេ?</t>
        </is>
      </c>
    </row>
    <row r="1799">
      <c r="A1799" s="3" t="inlineStr">
        <is>
          <t>delivery.warehouse.codEmployee.ALL</t>
        </is>
      </c>
      <c r="B1799" s="3" t="inlineStr">
        <is>
          <t>Tất cả</t>
        </is>
      </c>
      <c r="C1799" s="3" t="inlineStr">
        <is>
          <t>All</t>
        </is>
      </c>
      <c r="D1799" s="217">
        <f>IFERROR(__xludf.DUMMYFUNCTION("GOOGLETRANSLATE(C1799,""vi"",""km"")"),"ទាំងអស់")</f>
        <v/>
      </c>
      <c r="E1799" s="3" t="n"/>
      <c r="F1799" s="3" t="inlineStr">
        <is>
          <t>ទាំងអស់</t>
        </is>
      </c>
      <c r="G1799" s="3" t="n"/>
      <c r="H1799" s="217" t="inlineStr">
        <is>
          <t>"delivery.warehouse.codEmployee.ALL": "ទាំងអស់",</t>
        </is>
      </c>
      <c r="I1799" t="inlineStr">
        <is>
          <t>ទាំងអស់</t>
        </is>
      </c>
    </row>
    <row r="1800">
      <c r="A1800" s="3" t="inlineStr">
        <is>
          <t>delivery.warehouse.codEmployee.DONE</t>
        </is>
      </c>
      <c r="B1800" s="3" t="inlineStr">
        <is>
          <t>Chốt thu</t>
        </is>
      </c>
      <c r="C1800" s="3" t="inlineStr">
        <is>
          <t>Collection point</t>
        </is>
      </c>
      <c r="D1800" s="217">
        <f>IFERROR(__xludf.DUMMYFUNCTION("GOOGLETRANSLATE(C1800,""vi"",""km"")"),"ចំណុចប្រមូល")</f>
        <v/>
      </c>
      <c r="E1800" s="3" t="n"/>
      <c r="F1800" s="3" t="inlineStr">
        <is>
          <t>ចំណុចប្រមូល</t>
        </is>
      </c>
      <c r="G1800" s="3" t="n"/>
      <c r="H1800" s="217" t="inlineStr">
        <is>
          <t>"delivery.warehouse.codEmployee.DONE": "ចំណុចប្រមូល",</t>
        </is>
      </c>
      <c r="I1800" t="inlineStr">
        <is>
          <t>ចំណុចប្រមូល</t>
        </is>
      </c>
    </row>
    <row r="1801">
      <c r="A1801" s="3" t="inlineStr">
        <is>
          <t>delivery.warehouse.codEmployee.NEW</t>
        </is>
      </c>
      <c r="B1801" s="3" t="inlineStr">
        <is>
          <t>Tạo mới</t>
        </is>
      </c>
      <c r="C1801" s="3" t="inlineStr">
        <is>
          <t>Create new</t>
        </is>
      </c>
      <c r="D1801" s="217">
        <f>IFERROR(__xludf.DUMMYFUNCTION("GOOGLETRANSLATE(C1801,""vi"",""km"")"),"បង្កើតថ្មី")</f>
        <v/>
      </c>
      <c r="E1801" s="3" t="n"/>
      <c r="F1801" s="3" t="inlineStr">
        <is>
          <t>បង្កើតថ្មី</t>
        </is>
      </c>
      <c r="G1801" s="3" t="n"/>
      <c r="H1801" s="217" t="inlineStr">
        <is>
          <t>"delivery.warehouse.codEmployee.NEW": "បង្កើតថ្មី",</t>
        </is>
      </c>
      <c r="I1801" t="inlineStr">
        <is>
          <t>បង្កើតថ្មី</t>
        </is>
      </c>
    </row>
    <row r="1802">
      <c r="A1802" s="3" t="inlineStr">
        <is>
          <t>delivery.warehouse.codEmployee.addBill</t>
        </is>
      </c>
      <c r="B1802" s="3" t="inlineStr">
        <is>
          <t>Thêm đơn vào bảng kê thành công</t>
        </is>
      </c>
      <c r="C1802" s="3" t="inlineStr">
        <is>
          <t>Order added to list successfully</t>
        </is>
      </c>
      <c r="D1802" s="217">
        <f>IFERROR(__xludf.DUMMYFUNCTION("GOOGLETRANSLATE(C1802,""vi"",""km"")"),"បានបន្ថែមការបញ្ជាទិញទៅក្នុងបញ្ជីដោយជោគជ័យ")</f>
        <v/>
      </c>
      <c r="E1802" s="3" t="n"/>
      <c r="F1802" s="3" t="inlineStr">
        <is>
          <t>បានបន្ថែមការបញ្ជាទិញទៅក្នុងបញ្ជីដោយជោគជ័យ</t>
        </is>
      </c>
      <c r="G1802" s="3" t="n"/>
      <c r="H1802" s="217" t="inlineStr">
        <is>
          <t>"delivery.warehouse.codEmployee.addBill": "បានបន្ថែមការបញ្ជាទិញទៅក្នុងបញ្ជីដោយជោគជ័យ",</t>
        </is>
      </c>
      <c r="I1802" t="inlineStr">
        <is>
          <t>បានបន្ថែមការបញ្ជាទិញទៅក្នុងបញ្ជីដោយជោគជ័យ</t>
        </is>
      </c>
    </row>
    <row r="1803">
      <c r="A1803" s="3" t="inlineStr">
        <is>
          <t>delivery.warehouse.codEmployee.addOrderCode</t>
        </is>
      </c>
      <c r="B1803" s="3" t="inlineStr">
        <is>
          <t>Thêm vận đơn</t>
        </is>
      </c>
      <c r="C1803" s="3" t="inlineStr">
        <is>
          <t>Add bill of lading</t>
        </is>
      </c>
      <c r="D1803" s="217">
        <f>IFERROR(__xludf.DUMMYFUNCTION("GOOGLETRANSLATE(C1803,""vi"",""km"")"),"បន្ថែមវិក្កយបត្រដឹកជញ្ជូន")</f>
        <v/>
      </c>
      <c r="E1803" s="3" t="n"/>
      <c r="F1803" s="3" t="inlineStr">
        <is>
          <t>បន្ថែមបុងបញ្ញើ</t>
        </is>
      </c>
      <c r="G1803" s="3" t="n"/>
      <c r="H1803" s="217" t="inlineStr">
        <is>
          <t>"delivery.warehouse.codEmployee.addOrderCode": "បន្ថែមបុងបញ្ញើ",</t>
        </is>
      </c>
      <c r="I1803" t="inlineStr">
        <is>
          <t>បន្ថែមបុងបញ្ញើ</t>
        </is>
      </c>
    </row>
    <row r="1804">
      <c r="A1804" s="3" t="inlineStr">
        <is>
          <t>delivery.warehouse.codEmployee.branch</t>
        </is>
      </c>
      <c r="B1804" s="3" t="inlineStr">
        <is>
          <t>Chi nhánh</t>
        </is>
      </c>
      <c r="C1804" s="3" t="inlineStr">
        <is>
          <t>Branch</t>
        </is>
      </c>
      <c r="D1804" s="217">
        <f>IFERROR(__xludf.DUMMYFUNCTION("GOOGLETRANSLATE(C1804,""vi"",""km"")"),"គ្រួសារ")</f>
        <v/>
      </c>
      <c r="E1804" s="3" t="n"/>
      <c r="F1804" s="3" t="inlineStr">
        <is>
          <t>សាខា</t>
        </is>
      </c>
      <c r="G1804" s="3" t="n"/>
      <c r="H1804" s="217" t="inlineStr">
        <is>
          <t>"delivery.warehouse.codEmployee.branch": "សាខា",</t>
        </is>
      </c>
      <c r="I1804" t="inlineStr">
        <is>
          <t>សាខា</t>
        </is>
      </c>
    </row>
    <row r="1805">
      <c r="A1805" s="3" t="inlineStr">
        <is>
          <t>delivery.warehouse.codEmployee.cod</t>
        </is>
      </c>
      <c r="B1805" s="3" t="inlineStr">
        <is>
          <t>Phải thu</t>
        </is>
      </c>
      <c r="C1805" s="3" t="inlineStr">
        <is>
          <t>Accounts Receivable</t>
        </is>
      </c>
      <c r="D1805" s="217">
        <f>IFERROR(__xludf.DUMMYFUNCTION("GOOGLETRANSLATE(C1805,""vi"",""km"")"),"គណនី​ទទួល​បាន")</f>
        <v/>
      </c>
      <c r="E1805" s="3" t="n"/>
      <c r="F1805" s="3" t="inlineStr">
        <is>
          <t>គណនីទទួលបាន</t>
        </is>
      </c>
      <c r="G1805" s="3" t="n"/>
      <c r="H1805" s="217" t="inlineStr">
        <is>
          <t>"delivery.warehouse.codEmployee.cod": "គណនីទទួលបាន",</t>
        </is>
      </c>
      <c r="I1805" t="inlineStr">
        <is>
          <t>គណនីទទួលបាន</t>
        </is>
      </c>
    </row>
    <row r="1806">
      <c r="A1806" s="3" t="inlineStr">
        <is>
          <t>delivery.warehouse.codEmployee.codEmptyBill</t>
        </is>
      </c>
      <c r="B1806" s="3" t="inlineStr">
        <is>
          <t>Bảng kê không còn mã vận đơn nào</t>
        </is>
      </c>
      <c r="C1806" s="3" t="inlineStr">
        <is>
          <t>The invoice no longer contains any tracking numbers.</t>
        </is>
      </c>
      <c r="D1806" s="217">
        <f>IFERROR(__xludf.DUMMYFUNCTION("GOOGLETRANSLATE(C1806,""vi"",""km"")"),"វិក្កយបត្រលែងមានលេខតាមដានទៀតហើយ។")</f>
        <v/>
      </c>
      <c r="E1806" s="3" t="n"/>
      <c r="F1806" s="3" t="inlineStr">
        <is>
          <t>វិក្កយបត្រលែងមានលេខតាមដានទៀតហើយ។</t>
        </is>
      </c>
      <c r="G1806" s="3" t="n"/>
      <c r="H1806" s="217" t="inlineStr">
        <is>
          <t>"delivery.warehouse.codEmployee.codEmptyBill": "វិក្កយបត្រលែងមានលេខតាមដានទៀតហើយ។",</t>
        </is>
      </c>
      <c r="I1806" t="inlineStr">
        <is>
          <t>វិក្កយបត្រលែងមានលេខតាមដានទៀតហើយ។</t>
        </is>
      </c>
    </row>
    <row r="1807">
      <c r="A1807" s="3" t="inlineStr">
        <is>
          <t>delivery.warehouse.codEmployee.codId</t>
        </is>
      </c>
      <c r="B1807" s="3" t="inlineStr">
        <is>
          <t>Mã bảng kê</t>
        </is>
      </c>
      <c r="C1807" s="3" t="inlineStr">
        <is>
          <t>Statement code</t>
        </is>
      </c>
      <c r="D1807" s="217">
        <f>IFERROR(__xludf.DUMMYFUNCTION("GOOGLETRANSLATE(C1807,""vi"",""km"")"),"កូដ​សេចក្តីថ្លែងការណ៍")</f>
        <v/>
      </c>
      <c r="E1807" s="3" t="n"/>
      <c r="F1807" s="3" t="inlineStr">
        <is>
          <t>កូដសេចក្តីថ្លែងការណ៍</t>
        </is>
      </c>
      <c r="G1807" s="3" t="n"/>
      <c r="H1807" s="217" t="inlineStr">
        <is>
          <t>"delivery.warehouse.codEmployee.codId": "កូដសេចក្តីថ្លែងការណ៍",</t>
        </is>
      </c>
      <c r="I1807" t="inlineStr">
        <is>
          <t>កូដសេចក្តីថ្លែងការណ៍</t>
        </is>
      </c>
    </row>
    <row r="1808">
      <c r="A1808" s="3" t="inlineStr">
        <is>
          <t>delivery.warehouse.codEmployee.codIdLevel2</t>
        </is>
      </c>
      <c r="B1808" s="3" t="inlineStr">
        <is>
          <t>Mã bảng kê cấp 2</t>
        </is>
      </c>
      <c r="C1808" s="3" t="inlineStr">
        <is>
          <t>Level 2 Invoice Code</t>
        </is>
      </c>
      <c r="D1808" s="217">
        <f>IFERROR(__xludf.DUMMYFUNCTION("GOOGLETRANSLATE(C1808,""vi"",""km"")"),"លេខកូដវិក្កយបត្រកម្រិត 2")</f>
        <v/>
      </c>
      <c r="E1808" s="3" t="n"/>
      <c r="F1808" s="3" t="inlineStr">
        <is>
          <t>លេខកូដវិក្កយបត្រកម្រិត 2</t>
        </is>
      </c>
      <c r="G1808" s="3" t="n"/>
      <c r="H1808" s="217" t="inlineStr">
        <is>
          <t>"delivery.warehouse.codEmployee.codIdLevel2": "លេខកូដវិក្កយបត្រកម្រិត 2",</t>
        </is>
      </c>
      <c r="I1808" t="inlineStr">
        <is>
          <t>លេខកូដវិក្កយបត្រកម្រិត 2</t>
        </is>
      </c>
    </row>
    <row r="1809">
      <c r="A1809" s="3" t="inlineStr">
        <is>
          <t>delivery.warehouse.codEmployee.confirm</t>
        </is>
      </c>
      <c r="B1809" s="3" t="inlineStr">
        <is>
          <t>Chốt thu</t>
        </is>
      </c>
      <c r="C1809" s="3" t="inlineStr">
        <is>
          <t>Collection point</t>
        </is>
      </c>
      <c r="D1809" s="217">
        <f>IFERROR(__xludf.DUMMYFUNCTION("GOOGLETRANSLATE(C1809,""vi"",""km"")"),"ចំណុចប្រមូល")</f>
        <v/>
      </c>
      <c r="E1809" s="3" t="n"/>
      <c r="F1809" s="3" t="inlineStr">
        <is>
          <t>ចំណុចប្រមូល</t>
        </is>
      </c>
      <c r="G1809" s="3" t="n"/>
      <c r="H1809" s="217" t="inlineStr">
        <is>
          <t>"delivery.warehouse.codEmployee.confirm": "ចំណុចប្រមូល",</t>
        </is>
      </c>
      <c r="I1809" t="inlineStr">
        <is>
          <t>ចំណុចប្រមូល</t>
        </is>
      </c>
    </row>
    <row r="1810">
      <c r="A1810" s="3" t="inlineStr">
        <is>
          <t>delivery.warehouse.codEmployee.confirmBank</t>
        </is>
      </c>
      <c r="B1810" s="3" t="inlineStr">
        <is>
          <t>Xác nhận tiền về</t>
        </is>
      </c>
      <c r="C1810" s="3" t="inlineStr">
        <is>
          <t>Confirm receipt of funds</t>
        </is>
      </c>
      <c r="D1810" s="217">
        <f>IFERROR(__xludf.DUMMYFUNCTION("GOOGLETRANSLATE(C1810,""vi"",""km"")"),"បញ្ជាក់ការទទួលប្រាក់")</f>
        <v/>
      </c>
      <c r="E1810" s="3" t="n"/>
      <c r="F1810" s="3" t="inlineStr">
        <is>
          <t>បញ្ជាក់ការទទួលប្រាក់</t>
        </is>
      </c>
      <c r="G1810" s="3" t="n"/>
      <c r="H1810" s="217" t="inlineStr">
        <is>
          <t>"delivery.warehouse.codEmployee.confirmBank": "បញ្ជាក់ការទទួលប្រាក់",</t>
        </is>
      </c>
      <c r="I1810" t="inlineStr">
        <is>
          <t>បញ្ជាក់ការទទួលប្រាក់</t>
        </is>
      </c>
    </row>
    <row r="1811">
      <c r="A1811" s="3" t="inlineStr">
        <is>
          <t>delivery.warehouse.codEmployee.confirmCod</t>
        </is>
      </c>
      <c r="B1811" s="3" t="inlineStr">
        <is>
          <t>Xác nhận nộp số tiền</t>
        </is>
      </c>
      <c r="C1811" s="3" t="inlineStr">
        <is>
          <t>Confirm payment of the amount</t>
        </is>
      </c>
      <c r="D1811" s="217">
        <f>IFERROR(__xludf.DUMMYFUNCTION("GOOGLETRANSLATE(C1811,""vi"",""km"")"),"បញ្ជាក់ការទូទាត់ចំនួនទឹកប្រាក់")</f>
        <v/>
      </c>
      <c r="E1811" s="3" t="n"/>
      <c r="F1811" s="3" t="inlineStr">
        <is>
          <t>បញ្ជាក់ការទូទាត់ចំនួនទឹកប្រាក់</t>
        </is>
      </c>
      <c r="G1811" s="3" t="n"/>
      <c r="H1811" s="217" t="inlineStr">
        <is>
          <t>"delivery.warehouse.codEmployee.confirmCod": "បញ្ជាក់ការទូទាត់ចំនួនទឹកប្រាក់",</t>
        </is>
      </c>
      <c r="I1811" t="inlineStr">
        <is>
          <t>បញ្ជាក់ការទូទាត់ចំនួនទឹកប្រាក់</t>
        </is>
      </c>
    </row>
    <row r="1812">
      <c r="A1812" s="3" t="inlineStr">
        <is>
          <t>delivery.warehouse.codEmployee.confirmCodSuccess</t>
        </is>
      </c>
      <c r="B1812" s="3" t="inlineStr">
        <is>
          <t>Xác nhận tiền về thành công</t>
        </is>
      </c>
      <c r="C1812" s="3" t="inlineStr">
        <is>
          <t>Money received successfully confirmed.</t>
        </is>
      </c>
      <c r="D1812" s="217">
        <f>IFERROR(__xludf.DUMMYFUNCTION("GOOGLETRANSLATE(C1812,""vi"",""km"")"),"ប្រាក់ដែលបានទទួលត្រូវបានបញ្ជាក់ដោយជោគជ័យ។")</f>
        <v/>
      </c>
      <c r="E1812" s="3" t="n"/>
      <c r="F1812" s="3" t="inlineStr">
        <is>
          <t>ប្រាក់ដែលបានទទួលត្រូវបានបញ្ជាក់ដោយជោគជ័យ។</t>
        </is>
      </c>
      <c r="G1812" s="3" t="n"/>
      <c r="H1812" s="217" t="inlineStr">
        <is>
          <t>"delivery.warehouse.codEmployee.confirmCodSuccess": "ប្រាក់ដែលបានទទួលត្រូវបានបញ្ជាក់ដោយជោគជ័យ។",</t>
        </is>
      </c>
      <c r="I1812" t="inlineStr">
        <is>
          <t>ប្រាក់ដែលបានទទួលត្រូវបានបញ្ជាក់ដោយជោគជ័យ។</t>
        </is>
      </c>
    </row>
    <row r="1813">
      <c r="A1813" s="3" t="inlineStr">
        <is>
          <t>delivery.warehouse.codEmployee.confirmDoneCod</t>
        </is>
      </c>
      <c r="B1813" s="3" t="inlineStr">
        <is>
          <t>Xác nhận thu tiền</t>
        </is>
      </c>
      <c r="C1813" s="3" t="inlineStr">
        <is>
          <t>Confirm payment</t>
        </is>
      </c>
      <c r="D1813" s="217">
        <f>IFERROR(__xludf.DUMMYFUNCTION("GOOGLETRANSLATE(C1813,""vi"",""km"")"),"បញ្ជាក់ការទូទាត់")</f>
        <v/>
      </c>
      <c r="E1813" s="3" t="n"/>
      <c r="F1813" s="3" t="inlineStr">
        <is>
          <t>បញ្ជាក់ការទូទាត់</t>
        </is>
      </c>
      <c r="G1813" s="3" t="n"/>
      <c r="H1813" s="217" t="inlineStr">
        <is>
          <t>"delivery.warehouse.codEmployee.confirmDoneCod": "បញ្ជាក់ការទូទាត់",</t>
        </is>
      </c>
      <c r="I1813" t="inlineStr">
        <is>
          <t>បញ្ជាក់ការទូទាត់</t>
        </is>
      </c>
    </row>
    <row r="1814">
      <c r="A1814" s="3" t="inlineStr">
        <is>
          <t>delivery.warehouse.codEmployee.confirmError</t>
        </is>
      </c>
      <c r="B1814" s="3" t="inlineStr">
        <is>
          <t>Chỉ user tạo bảng kê mới có quyền thực hiện thao tác này</t>
        </is>
      </c>
      <c r="C1814" s="3" t="inlineStr">
        <is>
          <t>Only the user who created the statement has the right to perform this operation.</t>
        </is>
      </c>
      <c r="D1814" s="217">
        <f>IFERROR(__xludf.DUMMYFUNCTION("GOOGLETRANSLATE(C1814,""vi"",""km"")"),"មានតែអ្នកប្រើប្រាស់ដែលបានបង្កើតសេចក្តីថ្លែងការណ៍ប៉ុណ្ណោះដែលមានសិទ្ធិអនុវត្តប្រតិបត្តិការនេះ។")</f>
        <v/>
      </c>
      <c r="E1814" s="3" t="n"/>
      <c r="F1814" s="3" t="inlineStr">
        <is>
          <t>មានតែអ្នកប្រើប្រាស់ដែលបានបង្កើតសេចក្តីថ្លែងការណ៍ប៉ុណ្ណោះដែលមានសិទ្ធិអនុវត្តប្រតិបត្តិការនេះ។</t>
        </is>
      </c>
      <c r="G1814" s="3" t="n"/>
      <c r="H1814" s="217" t="inlineStr">
        <is>
          <t>"delivery.warehouse.codEmployee.confirmError": "មានតែអ្នកប្រើប្រាស់ដែលបានបង្កើតសេចក្តីថ្លែងការណ៍ប៉ុណ្ណោះដែលមានសិទ្ធិអនុវត្តប្រតិបត្តិការនេះ។",</t>
        </is>
      </c>
      <c r="I1814" t="inlineStr">
        <is>
          <t>មានតែអ្នកប្រើប្រាស់ដែលបានបង្កើតសេចក្តីថ្លែងការណ៍ប៉ុណ្ណោះដែលមានសិទ្ធិអនុវត្តប្រតិបត្តិការនេះ។</t>
        </is>
      </c>
    </row>
    <row r="1815">
      <c r="A1815" s="3" t="inlineStr">
        <is>
          <t>delivery.warehouse.codEmployee.confirmLevel2</t>
        </is>
      </c>
      <c r="B1815" s="3" t="inlineStr">
        <is>
          <t>Nộp tiền</t>
        </is>
      </c>
      <c r="C1815" s="3" t="inlineStr">
        <is>
          <t>Pay</t>
        </is>
      </c>
      <c r="D1815" s="217">
        <f>IFERROR(__xludf.DUMMYFUNCTION("GOOGLETRANSLATE(C1815,""vi"",""km"")"),"បង់ប្រាក់")</f>
        <v/>
      </c>
      <c r="E1815" s="3" t="n"/>
      <c r="F1815" s="3" t="inlineStr">
        <is>
          <t>បង់ប្រាក់</t>
        </is>
      </c>
      <c r="G1815" s="3" t="n"/>
      <c r="H1815" s="217" t="inlineStr">
        <is>
          <t>"delivery.warehouse.codEmployee.confirmLevel2": "បង់ប្រាក់",</t>
        </is>
      </c>
      <c r="I1815" t="inlineStr">
        <is>
          <t>បង់ប្រាក់</t>
        </is>
      </c>
    </row>
    <row r="1816">
      <c r="A1816" s="3" t="inlineStr">
        <is>
          <t>delivery.warehouse.codEmployee.confirmSuccess</t>
        </is>
      </c>
      <c r="B1816" s="3" t="inlineStr">
        <is>
          <t>Chốt thu bảng kê thành công</t>
        </is>
      </c>
      <c r="C1816" s="3" t="inlineStr">
        <is>
          <t>The final settlement statement was successfully completed.</t>
        </is>
      </c>
      <c r="D1816" s="217">
        <f>IFERROR(__xludf.DUMMYFUNCTION("GOOGLETRANSLATE(C1816,""vi"",""km"")"),"សេចក្តីថ្លែងការណ៍ទូទាត់ចុងក្រោយត្រូវបានបញ្ចប់ដោយជោគជ័យ។")</f>
        <v/>
      </c>
      <c r="E1816" s="3" t="n"/>
      <c r="F1816" s="3" t="inlineStr">
        <is>
          <t>សេចក្តីថ្លែងការណ៍ទូទាត់ចុងក្រោយត្រូវបានបញ្ចប់ដោយជោគជ័យ។</t>
        </is>
      </c>
      <c r="G1816" s="3" t="n"/>
      <c r="H1816" s="217" t="inlineStr">
        <is>
          <t>"delivery.warehouse.codEmployee.confirmSuccess": "សេចក្តីថ្លែងការណ៍ទូទាត់ចុងក្រោយត្រូវបានបញ្ចប់ដោយជោគជ័យ។",</t>
        </is>
      </c>
      <c r="I1816" t="inlineStr">
        <is>
          <t>សេចក្តីថ្លែងការណ៍ទូទាត់ចុងក្រោយត្រូវបានបញ្ចប់ដោយជោគជ័យ។</t>
        </is>
      </c>
    </row>
    <row r="1817">
      <c r="A1817" s="3" t="inlineStr">
        <is>
          <t>delivery.warehouse.codEmployee.copy</t>
        </is>
      </c>
      <c r="B1817" s="3" t="inlineStr">
        <is>
          <t>Sao chép mã bảng kê thành công</t>
        </is>
      </c>
      <c r="C1817" s="3" t="inlineStr">
        <is>
          <t>The statement code was copied successfully.</t>
        </is>
      </c>
      <c r="D1817" s="217">
        <f>IFERROR(__xludf.DUMMYFUNCTION("GOOGLETRANSLATE(C1817,""vi"",""km"")"),"កូដ​សេចក្តីថ្លែងការណ៍​ត្រូវបានចម្លងដោយជោគជ័យ។")</f>
        <v/>
      </c>
      <c r="E1817" s="3" t="n"/>
      <c r="F1817" s="3" t="inlineStr">
        <is>
          <t>កូដសេចក្តីថ្លែងការណ៍ត្រូវបានចម្លងដោយជោគជ័យ។</t>
        </is>
      </c>
      <c r="G1817" s="3" t="n"/>
      <c r="H1817" s="217" t="inlineStr">
        <is>
          <t>"delivery.warehouse.codEmployee.copy": "កូដសេចក្តីថ្លែងការណ៍ត្រូវបានចម្លងដោយជោគជ័យ។",</t>
        </is>
      </c>
      <c r="I1817" t="inlineStr">
        <is>
          <t>កូដសេចក្តីថ្លែងការណ៍ត្រូវបានចម្លងដោយជោគជ័យ។</t>
        </is>
      </c>
    </row>
    <row r="1818">
      <c r="A1818" s="3" t="inlineStr">
        <is>
          <t>delivery.warehouse.codEmployee.createCod</t>
        </is>
      </c>
      <c r="B1818" s="3" t="inlineStr">
        <is>
          <t>Tạo bảng kê</t>
        </is>
      </c>
      <c r="C1818" s="3" t="inlineStr">
        <is>
          <t>Create a statement</t>
        </is>
      </c>
      <c r="D1818" s="217">
        <f>IFERROR(__xludf.DUMMYFUNCTION("GOOGLETRANSLATE(C1818,""vi"",""km"")"),"បង្កើតសេចក្តីថ្លែងការណ៍មួយ")</f>
        <v/>
      </c>
      <c r="E1818" s="3" t="n"/>
      <c r="F1818" s="3" t="inlineStr">
        <is>
          <t>បង្កើតសេចក្តីថ្លែងការណ៍មួយ</t>
        </is>
      </c>
      <c r="G1818" s="3" t="n"/>
      <c r="H1818" s="217" t="inlineStr">
        <is>
          <t>"delivery.warehouse.codEmployee.createCod": "បង្កើតសេចក្តីថ្លែងការណ៍មួយ",</t>
        </is>
      </c>
      <c r="I1818" t="inlineStr">
        <is>
          <t>បង្កើតសេចក្តីថ្លែងការណ៍មួយ</t>
        </is>
      </c>
    </row>
    <row r="1819">
      <c r="A1819" s="3" t="inlineStr">
        <is>
          <t>delivery.warehouse.codEmployee.createDate</t>
        </is>
      </c>
      <c r="B1819" s="3" t="inlineStr">
        <is>
          <t>Ngày tạo</t>
        </is>
      </c>
      <c r="C1819" s="3" t="inlineStr">
        <is>
          <t>Creation date</t>
        </is>
      </c>
      <c r="D1819" s="217">
        <f>IFERROR(__xludf.DUMMYFUNCTION("GOOGLETRANSLATE(C1819,""vi"",""km"")"),"កាលបរិច្ឆេទបង្កើត")</f>
        <v/>
      </c>
      <c r="E1819" s="3" t="n"/>
      <c r="F1819" s="3" t="inlineStr">
        <is>
          <t>កាលបរិច្ឆេទបង្កើត</t>
        </is>
      </c>
      <c r="G1819" s="3" t="n"/>
      <c r="H1819" s="217" t="inlineStr">
        <is>
          <t>"delivery.warehouse.codEmployee.createDate": "កាលបរិច្ឆេទបង្កើត",</t>
        </is>
      </c>
      <c r="I1819" t="inlineStr">
        <is>
          <t>កាលបរិច្ឆេទបង្កើត</t>
        </is>
      </c>
    </row>
    <row r="1820">
      <c r="A1820" s="3" t="inlineStr">
        <is>
          <t>delivery.warehouse.codEmployee.createSameEmployee</t>
        </is>
      </c>
      <c r="B1820" s="3" t="inlineStr">
        <is>
          <t>Vui lòng chỉ chọn 1 bưu tá để tạo bảng kê</t>
        </is>
      </c>
      <c r="C1820" s="3" t="inlineStr">
        <is>
          <t>Please select only one courier to create the manifest.</t>
        </is>
      </c>
      <c r="D1820" s="217">
        <f>IFERROR(__xludf.DUMMYFUNCTION("GOOGLETRANSLATE(C1820,""vi"",""km"")"),"សូមជ្រើសរើសអ្នកដឹកជញ្ជូនតែមួយប៉ុណ្ណោះ ដើម្បីបង្កើតបញ្ជីឯកសារ។")</f>
        <v/>
      </c>
      <c r="E1820" s="3" t="n"/>
      <c r="F1820" s="3" t="inlineStr">
        <is>
          <t>សូមជ្រើសរើសអ្នកដឹកជញ្ជូនតែមួយប៉ុណ្ណោះ ដើម្បីបង្កើតបញ្ជីឯកសារ។</t>
        </is>
      </c>
      <c r="G1820" s="3" t="n"/>
      <c r="H1820" s="217" t="inlineStr">
        <is>
          <t>"delivery.warehouse.codEmployee.createSameEmployee": "សូមជ្រើសរើសអ្នកដឹកជញ្ជូនតែមួយប៉ុណ្ណោះ ដើម្បីបង្កើតបញ្ជីឯកសារ។",</t>
        </is>
      </c>
      <c r="I1820" t="inlineStr">
        <is>
          <t>សូមជ្រើសរើសអ្នកដឹកជញ្ជូនតែមួយប៉ុណ្ណោះ ដើម្បីបង្កើតបញ្ជីឯកសារ។</t>
        </is>
      </c>
    </row>
    <row r="1821">
      <c r="A1821" s="3" t="inlineStr">
        <is>
          <t>delivery.warehouse.codEmployee.createdAt</t>
        </is>
      </c>
      <c r="B1821" s="3" t="inlineStr">
        <is>
          <t>Ngày tạo</t>
        </is>
      </c>
      <c r="C1821" s="3" t="inlineStr">
        <is>
          <t>Creation date</t>
        </is>
      </c>
      <c r="D1821" s="217">
        <f>IFERROR(__xludf.DUMMYFUNCTION("GOOGLETRANSLATE(C1821,""vi"",""km"")"),"កាលបរិច្ឆេទបង្កើត")</f>
        <v/>
      </c>
      <c r="E1821" s="3" t="n"/>
      <c r="F1821" s="3" t="inlineStr">
        <is>
          <t>កាលបរិច្ឆេទបង្កើត</t>
        </is>
      </c>
      <c r="G1821" s="3" t="n"/>
      <c r="H1821" s="217" t="inlineStr">
        <is>
          <t>"delivery.warehouse.codEmployee.createdAt": "កាលបរិច្ឆេទបង្កើត",</t>
        </is>
      </c>
      <c r="I1821" t="inlineStr">
        <is>
          <t>កាលបរិច្ឆេទបង្កើត</t>
        </is>
      </c>
    </row>
    <row r="1822">
      <c r="A1822" s="3" t="inlineStr">
        <is>
          <t>delivery.warehouse.codEmployee.createdBy</t>
        </is>
      </c>
      <c r="B1822" s="3" t="inlineStr">
        <is>
          <t>Người tạo</t>
        </is>
      </c>
      <c r="C1822" s="3" t="inlineStr">
        <is>
          <t>Creator</t>
        </is>
      </c>
      <c r="D1822" s="217">
        <f>IFERROR(__xludf.DUMMYFUNCTION("GOOGLETRANSLATE(C1822,""vi"",""km"")"),"បេតិកភណ្ឌ")</f>
        <v/>
      </c>
      <c r="E1822" s="3" t="n"/>
      <c r="F1822" s="3" t="inlineStr">
        <is>
          <t>អ្នកបង្កើត</t>
        </is>
      </c>
      <c r="G1822" s="3" t="n"/>
      <c r="H1822" s="217" t="inlineStr">
        <is>
          <t>"delivery.warehouse.codEmployee.createdBy": "អ្នកបង្កើត",</t>
        </is>
      </c>
      <c r="I1822" t="inlineStr">
        <is>
          <t>អ្នកបង្កើត</t>
        </is>
      </c>
    </row>
    <row r="1823">
      <c r="A1823" s="3" t="inlineStr">
        <is>
          <t>delivery.warehouse.codEmployee.dateBill</t>
        </is>
      </c>
      <c r="B1823" s="3" t="inlineStr">
        <is>
          <t>Ngày nhập máy</t>
        </is>
      </c>
      <c r="C1823" s="3" t="inlineStr">
        <is>
          <t>Date of machine entry</t>
        </is>
      </c>
      <c r="D1823" s="217">
        <f>IFERROR(__xludf.DUMMYFUNCTION("GOOGLETRANSLATE(C1823,""vi"",""km"")"),"កាលបរិច្ឆេទនៃការបញ្ចូលម៉ាស៊ីន")</f>
        <v/>
      </c>
      <c r="E1823" s="3" t="n"/>
      <c r="F1823" s="3" t="inlineStr">
        <is>
          <t>កាលបរិច្ឆេទបញ្ចូលប្រព័ន្ធ</t>
        </is>
      </c>
      <c r="G1823" s="3" t="n"/>
      <c r="H1823" s="217" t="inlineStr">
        <is>
          <t>"delivery.warehouse.codEmployee.dateBill": "កាលបរិច្ឆេទបញ្ចូលប្រព័ន្ធ",</t>
        </is>
      </c>
      <c r="I1823" t="inlineStr">
        <is>
          <t>កាលបរិច្ឆេទបញ្ចូលប្រព័ន្ធ</t>
        </is>
      </c>
    </row>
    <row r="1824">
      <c r="A1824" s="3" t="inlineStr">
        <is>
          <t>delivery.warehouse.codEmployee.dateDelivery</t>
        </is>
      </c>
      <c r="B1824" s="3" t="inlineStr">
        <is>
          <t>Ngày PTC</t>
        </is>
      </c>
      <c r="C1824" s="3" t="inlineStr">
        <is>
          <t>PTC Day</t>
        </is>
      </c>
      <c r="D1824" s="217">
        <f>IFERROR(__xludf.DUMMYFUNCTION("GOOGLETRANSLATE(C1824,""vi"",""km"")"),"ទិវា PTC")</f>
        <v/>
      </c>
      <c r="E1824" s="3" t="n"/>
      <c r="F1824" s="3" t="inlineStr">
        <is>
          <t>កាលបរិច្ឆេទដឹកជញ្ជូនជោគជ័យ</t>
        </is>
      </c>
      <c r="G1824" s="3" t="n"/>
      <c r="H1824" s="217" t="inlineStr">
        <is>
          <t>"delivery.warehouse.codEmployee.dateDelivery": "កាលបរិច្ឆេទដឹកជញ្ជូនជោគជ័យ",</t>
        </is>
      </c>
      <c r="I1824" t="inlineStr">
        <is>
          <t>កាលបរិច្ឆេទដឹកជញ្ជូនជោគជ័យ</t>
        </is>
      </c>
    </row>
    <row r="1825">
      <c r="A1825" s="3" t="inlineStr">
        <is>
          <t>delivery.warehouse.codEmployee.dateDeliveryBill</t>
        </is>
      </c>
      <c r="B1825" s="3" t="inlineStr">
        <is>
          <t>Ngày phát thành công</t>
        </is>
      </c>
      <c r="C1825" s="3" t="inlineStr">
        <is>
          <t>Successful release date</t>
        </is>
      </c>
      <c r="D1825" s="217">
        <f>IFERROR(__xludf.DUMMYFUNCTION("GOOGLETRANSLATE(C1825,""vi"",""km"")"),"កាលបរិច្ឆេទចេញផ្សាយដោយជោគជ័យ")</f>
        <v/>
      </c>
      <c r="E1825" s="3" t="n"/>
      <c r="F1825" s="3" t="inlineStr">
        <is>
          <t>កាលបរិច្ឆេទដឹកជញ្ជូនជោគជ័យ</t>
        </is>
      </c>
      <c r="G1825" s="3" t="n"/>
      <c r="H1825" s="217" t="inlineStr">
        <is>
          <t>"delivery.warehouse.codEmployee.dateDeliveryBill": "កាលបរិច្ឆេទដឹកជញ្ជូនជោគជ័យ",</t>
        </is>
      </c>
      <c r="I1825" t="inlineStr">
        <is>
          <t>កាលបរិច្ឆេទដឹកជញ្ជូនជោគជ័យ</t>
        </is>
      </c>
    </row>
    <row r="1826">
      <c r="A1826" s="3" t="inlineStr">
        <is>
          <t>delivery.warehouse.codEmployee.deleteBill</t>
        </is>
      </c>
      <c r="B1826" s="3" t="inlineStr">
        <is>
          <t>Xoá đơn khỏi bảng kê thành công</t>
        </is>
      </c>
      <c r="C1826" s="3" t="inlineStr">
        <is>
          <t>The invoice has been successfully removed from the statement.</t>
        </is>
      </c>
      <c r="D1826" s="217">
        <f>IFERROR(__xludf.DUMMYFUNCTION("GOOGLETRANSLATE(C1826,""vi"",""km"")"),"វិក្កយបត្រត្រូវបានដកចេញពីរបាយការណ៍ដោយជោគជ័យ។")</f>
        <v/>
      </c>
      <c r="E1826" s="3" t="n"/>
      <c r="F1826" s="3" t="inlineStr">
        <is>
          <t>វិក្កយបត្រត្រូវបានដកចេញពីរបាយការណ៍ដោយជោគជ័យ។</t>
        </is>
      </c>
      <c r="G1826" s="3" t="n"/>
      <c r="H1826" s="217" t="inlineStr">
        <is>
          <t>"delivery.warehouse.codEmployee.deleteBill": "វិក្កយបត្រត្រូវបានដកចេញពីរបាយការណ៍ដោយជោគជ័យ។",</t>
        </is>
      </c>
      <c r="I1826" t="inlineStr">
        <is>
          <t>វិក្កយបត្រត្រូវបានដកចេញពីរបាយការណ៍ដោយជោគជ័យ។</t>
        </is>
      </c>
    </row>
    <row r="1827">
      <c r="A1827" s="3" t="inlineStr">
        <is>
          <t>delivery.warehouse.codEmployee.deleteCod</t>
        </is>
      </c>
      <c r="B1827" s="3" t="inlineStr">
        <is>
          <t>Xoá bảng kê</t>
        </is>
      </c>
      <c r="C1827" s="3" t="inlineStr">
        <is>
          <t>Delete the statement</t>
        </is>
      </c>
      <c r="D1827" s="217">
        <f>IFERROR(__xludf.DUMMYFUNCTION("GOOGLETRANSLATE(C1827,""vi"",""km"")"),"លុប​សេចក្ដីថ្លែងការណ៍")</f>
        <v/>
      </c>
      <c r="E1827" s="3" t="n"/>
      <c r="F1827" s="3" t="inlineStr">
        <is>
          <t>លុបសេចក្ដីថ្លែងការណ៍</t>
        </is>
      </c>
      <c r="G1827" s="3" t="n"/>
      <c r="H1827" s="217" t="inlineStr">
        <is>
          <t>"delivery.warehouse.codEmployee.deleteCod": "លុបសេចក្ដីថ្លែងការណ៍",</t>
        </is>
      </c>
      <c r="I1827" t="inlineStr">
        <is>
          <t>លុបសេចក្ដីថ្លែងការណ៍</t>
        </is>
      </c>
    </row>
    <row r="1828">
      <c r="A1828" s="3" t="inlineStr">
        <is>
          <t>delivery.warehouse.codEmployee.deleteOrder</t>
        </is>
      </c>
      <c r="B1828" s="3" t="inlineStr">
        <is>
          <t>Loại vận đơn</t>
        </is>
      </c>
      <c r="C1828" s="3" t="inlineStr">
        <is>
          <t>Type of bill of lading</t>
        </is>
      </c>
      <c r="D1828" s="217">
        <f>IFERROR(__xludf.DUMMYFUNCTION("GOOGLETRANSLATE(C1828,""vi"",""km"")"),"ប្រភេទនៃវិក្កយបត្រដឹកជញ្ជូន")</f>
        <v/>
      </c>
      <c r="E1828" s="3" t="n"/>
      <c r="F1828" s="3" t="inlineStr">
        <is>
          <t>ប្រភេទនៃបុងបញ្ញើ</t>
        </is>
      </c>
      <c r="G1828" s="3" t="n"/>
      <c r="H1828" s="217" t="inlineStr">
        <is>
          <t>"delivery.warehouse.codEmployee.deleteOrder": "ប្រភេទនៃបុងបញ្ញើ",</t>
        </is>
      </c>
      <c r="I1828" t="inlineStr">
        <is>
          <t>ប្រភេទនៃបុងបញ្ញើ</t>
        </is>
      </c>
    </row>
    <row r="1829">
      <c r="A1829" s="3" t="inlineStr">
        <is>
          <t>delivery.warehouse.codEmployee.deleteSuccess</t>
        </is>
      </c>
      <c r="B1829" s="3" t="inlineStr">
        <is>
          <t>Xoá bảng kê thành công</t>
        </is>
      </c>
      <c r="C1829" s="3" t="inlineStr">
        <is>
          <t>Statement deleted successfully.</t>
        </is>
      </c>
      <c r="D1829" s="217">
        <f>IFERROR(__xludf.DUMMYFUNCTION("GOOGLETRANSLATE(C1829,""vi"",""km"")"),"បានលុបសេចក្តីថ្លែងការណ៍ដោយជោគជ័យ។")</f>
        <v/>
      </c>
      <c r="E1829" s="3" t="n"/>
      <c r="F1829" s="3" t="inlineStr">
        <is>
          <t>បានលុបសេចក្តីថ្លែងការណ៍ដោយជោគជ័យ។</t>
        </is>
      </c>
      <c r="G1829" s="3" t="n"/>
      <c r="H1829" s="217" t="inlineStr">
        <is>
          <t>"delivery.warehouse.codEmployee.deleteSuccess": "បានលុបសេចក្តីថ្លែងការណ៍ដោយជោគជ័យ។",</t>
        </is>
      </c>
      <c r="I1829" t="inlineStr">
        <is>
          <t>បានលុបសេចក្តីថ្លែងការណ៍ដោយជោគជ័យ។</t>
        </is>
      </c>
    </row>
    <row r="1830">
      <c r="A1830" s="3" t="inlineStr">
        <is>
          <t>delivery.warehouse.codEmployee.deliveredAt</t>
        </is>
      </c>
      <c r="B1830" s="3" t="inlineStr">
        <is>
          <t>Ngày phát thành công</t>
        </is>
      </c>
      <c r="C1830" s="3" t="inlineStr">
        <is>
          <t>Successful release date</t>
        </is>
      </c>
      <c r="D1830" s="217">
        <f>IFERROR(__xludf.DUMMYFUNCTION("GOOGLETRANSLATE(C1830,""vi"",""km"")"),"កាលបរិច្ឆេទចេញផ្សាយដោយជោគជ័យ")</f>
        <v/>
      </c>
      <c r="E1830" s="3" t="n"/>
      <c r="F1830" s="3" t="inlineStr">
        <is>
          <t>កាលបរិច្ឆេទដឹកជញ្ជូនជោគជ័យ</t>
        </is>
      </c>
      <c r="G1830" s="3" t="n"/>
      <c r="H1830" s="217" t="inlineStr">
        <is>
          <t>"delivery.warehouse.codEmployee.deliveredAt": "កាលបរិច្ឆេទដឹកជញ្ជូនជោគជ័យ",</t>
        </is>
      </c>
      <c r="I1830" t="inlineStr">
        <is>
          <t>កាលបរិច្ឆេទដឹកជញ្ជូនជោគជ័យ</t>
        </is>
      </c>
    </row>
    <row r="1831">
      <c r="A1831" s="3" t="inlineStr">
        <is>
          <t>delivery.warehouse.codEmployee.detailCod</t>
        </is>
      </c>
      <c r="B1831" s="3" t="inlineStr">
        <is>
          <t>Chi tiết bảng kê</t>
        </is>
      </c>
      <c r="C1831" s="3" t="inlineStr">
        <is>
          <t>Details of the statement</t>
        </is>
      </c>
      <c r="D1831" s="217">
        <f>IFERROR(__xludf.DUMMYFUNCTION("GOOGLETRANSLATE(C1831,""vi"",""km"")"),"ព័ត៌មានលម្អិតនៃសេចក្តីថ្លែងការណ៍")</f>
        <v/>
      </c>
      <c r="E1831" s="3" t="n"/>
      <c r="F1831" s="3" t="inlineStr">
        <is>
          <t>ព័ត៌មានលម្អិតនៃសេចក្តីថ្លែងការណ៍</t>
        </is>
      </c>
      <c r="G1831" s="3" t="n"/>
      <c r="H1831" s="217" t="inlineStr">
        <is>
          <t>"delivery.warehouse.codEmployee.detailCod": "ព័ត៌មានលម្អិតនៃសេចក្តីថ្លែងការណ៍",</t>
        </is>
      </c>
      <c r="I1831" t="inlineStr">
        <is>
          <t>ព័ត៌មានលម្អិតនៃសេចក្តីថ្លែងការណ៍</t>
        </is>
      </c>
    </row>
    <row r="1832">
      <c r="A1832" s="3" t="inlineStr">
        <is>
          <t>delivery.warehouse.codEmployee.detailDebt</t>
        </is>
      </c>
      <c r="B1832" s="3" t="inlineStr">
        <is>
          <t>Chi tiết bưu tá</t>
        </is>
      </c>
      <c r="C1832" s="3" t="inlineStr">
        <is>
          <t>Postal worker details</t>
        </is>
      </c>
      <c r="D1832" s="217">
        <f>IFERROR(__xludf.DUMMYFUNCTION("GOOGLETRANSLATE(C1832,""vi"",""km"")"),"ព័ត៌មានលម្អិតរបស់បុគ្គលិកប្រៃសណីយ៍")</f>
        <v/>
      </c>
      <c r="E1832" s="3" t="n"/>
      <c r="F1832" s="3" t="inlineStr">
        <is>
          <t>ព័ត៌មានលម្អិតរបស់បុគ្គលិកប្រៃសណីយ៍</t>
        </is>
      </c>
      <c r="G1832" s="3" t="n"/>
      <c r="H1832" s="217" t="inlineStr">
        <is>
          <t>"delivery.warehouse.codEmployee.detailDebt": "ព័ត៌មានលម្អិតរបស់បុគ្គលិកប្រៃសណីយ៍",</t>
        </is>
      </c>
      <c r="I1832" t="inlineStr">
        <is>
          <t>ព័ត៌មានលម្អិតរបស់បុគ្គលិកប្រៃសណីយ៍</t>
        </is>
      </c>
    </row>
    <row r="1833">
      <c r="A1833" s="3" t="inlineStr">
        <is>
          <t>delivery.warehouse.codEmployee.employeeCod</t>
        </is>
      </c>
      <c r="B1833" s="3" t="inlineStr">
        <is>
          <t>Xác nhận bảng kê thu COD</t>
        </is>
      </c>
      <c r="C1833" s="3" t="inlineStr">
        <is>
          <t>Confirm COD collection statement</t>
        </is>
      </c>
      <c r="D1833" s="217">
        <f>IFERROR(__xludf.DUMMYFUNCTION("GOOGLETRANSLATE(C1833,""vi"",""km"")"),"បញ្ជាក់សេចក្តីថ្លែងការណ៍ប្រមូល COD")</f>
        <v/>
      </c>
      <c r="E1833" s="3" t="n"/>
      <c r="F1833" s="3" t="inlineStr">
        <is>
          <t>បញ្ជាក់សេចក្តីថ្លែងការណ៍ប្រមូល COD</t>
        </is>
      </c>
      <c r="G1833" s="3" t="n"/>
      <c r="H1833" s="217" t="inlineStr">
        <is>
          <t>"delivery.warehouse.codEmployee.employeeCod": "បញ្ជាក់សេចក្តីថ្លែងការណ៍ប្រមូល COD",</t>
        </is>
      </c>
      <c r="I1833" t="inlineStr">
        <is>
          <t>បញ្ជាក់សេចក្តីថ្លែងការណ៍ប្រមូល COD</t>
        </is>
      </c>
    </row>
    <row r="1834">
      <c r="A1834" s="3" t="inlineStr">
        <is>
          <t>delivery.warehouse.codEmployee.employeeDebt</t>
        </is>
      </c>
      <c r="B1834" s="3" t="inlineStr">
        <is>
          <t>Bưu tá chưa tạo bảng kê</t>
        </is>
      </c>
      <c r="C1834" s="3" t="inlineStr">
        <is>
          <t>The postal worker has not created the order form.</t>
        </is>
      </c>
      <c r="D1834" s="217">
        <f>IFERROR(__xludf.DUMMYFUNCTION("GOOGLETRANSLATE(C1834,""vi"",""km"")"),"បុគ្គលិកប្រៃសណីយ៍មិនបានបង្កើតទម្រង់បញ្ជាទិញទេ។")</f>
        <v/>
      </c>
      <c r="E1834" s="3" t="n"/>
      <c r="F1834" s="3" t="inlineStr">
        <is>
          <t>បុគ្គលិកប្រៃសណីយ៍មិនបានបង្កើតទម្រង់បញ្ជាទិញទេ។</t>
        </is>
      </c>
      <c r="G1834" s="3" t="n"/>
      <c r="H1834" s="217" t="inlineStr">
        <is>
          <t>"delivery.warehouse.codEmployee.employeeDebt": "បុគ្គលិកប្រៃសណីយ៍មិនបានបង្កើតទម្រង់បញ្ជាទិញទេ។",</t>
        </is>
      </c>
      <c r="I1834" t="inlineStr">
        <is>
          <t>បុគ្គលិកប្រៃសណីយ៍មិនបានបង្កើតទម្រង់បញ្ជាទិញទេ។</t>
        </is>
      </c>
    </row>
    <row r="1835">
      <c r="A1835" s="3" t="inlineStr">
        <is>
          <t>delivery.warehouse.codEmployee.emptyBill</t>
        </is>
      </c>
      <c r="B1835" s="3" t="inlineStr">
        <is>
          <t>Không tìm thấy mã vận đơn phù hợp</t>
        </is>
      </c>
      <c r="C1835" s="3" t="inlineStr">
        <is>
          <t>No matching tracking number found.</t>
        </is>
      </c>
      <c r="D1835" s="217">
        <f>IFERROR(__xludf.DUMMYFUNCTION("GOOGLETRANSLATE(C1835,""vi"",""km"")"),"រកមិនឃើញលេខតាមដានដែលត្រូវគ្នាទេ។")</f>
        <v/>
      </c>
      <c r="E1835" s="3" t="n"/>
      <c r="F1835" s="3" t="inlineStr">
        <is>
          <t>រកមិនឃើញលេខតាមដានដែលត្រូវគ្នាទេ។</t>
        </is>
      </c>
      <c r="G1835" s="3" t="n"/>
      <c r="H1835" s="217" t="inlineStr">
        <is>
          <t>"delivery.warehouse.codEmployee.emptyBill": "រកមិនឃើញលេខតាមដានដែលត្រូវគ្នាទេ។",</t>
        </is>
      </c>
      <c r="I1835" t="inlineStr">
        <is>
          <t>រកមិនឃើញលេខតាមដានដែលត្រូវគ្នាទេ។</t>
        </is>
      </c>
    </row>
    <row r="1836">
      <c r="A1836" s="3" t="inlineStr">
        <is>
          <t>delivery.warehouse.codEmployee.emptyOrderCode</t>
        </is>
      </c>
      <c r="B1836" s="3" t="inlineStr">
        <is>
          <t>Vui lòng nhập mã vận đơn</t>
        </is>
      </c>
      <c r="C1836" s="3" t="inlineStr">
        <is>
          <t>Please enter the tracking number.</t>
        </is>
      </c>
      <c r="D1836" s="217">
        <f>IFERROR(__xludf.DUMMYFUNCTION("GOOGLETRANSLATE(C1836,""vi"",""km"")"),"សូមបញ្ចូលលេខតាមដាន។")</f>
        <v/>
      </c>
      <c r="E1836" s="3" t="n"/>
      <c r="F1836" s="3" t="inlineStr">
        <is>
          <t>សូមបញ្ចូលលេខតាមដាន។</t>
        </is>
      </c>
      <c r="G1836" s="3" t="n"/>
      <c r="H1836" s="217" t="inlineStr">
        <is>
          <t>"delivery.warehouse.codEmployee.emptyOrderCode": "សូមបញ្ចូលលេខតាមដាន។",</t>
        </is>
      </c>
      <c r="I1836" t="inlineStr">
        <is>
          <t>សូមបញ្ចូលលេខតាមដាន។</t>
        </is>
      </c>
    </row>
    <row r="1837">
      <c r="A1837" s="3" t="inlineStr">
        <is>
          <t>delivery.warehouse.codEmployee.emptySelectOrderCode</t>
        </is>
      </c>
      <c r="B1837" s="3" t="inlineStr">
        <is>
          <t>Vui lòng chọn đơn để loại bỏ</t>
        </is>
      </c>
      <c r="C1837" s="3" t="inlineStr">
        <is>
          <t>Please select the order to remove.</t>
        </is>
      </c>
      <c r="D1837" s="217">
        <f>IFERROR(__xludf.DUMMYFUNCTION("GOOGLETRANSLATE(C1837,""vi"",""km"")"),"សូមជ្រើសរើសលំដាប់ដើម្បីដកចេញ។")</f>
        <v/>
      </c>
      <c r="E1837" s="3" t="n"/>
      <c r="F1837" s="3" t="inlineStr">
        <is>
          <t>សូមជ្រើសរើសលំដាប់ដើម្បីដកចេញ។</t>
        </is>
      </c>
      <c r="G1837" s="3" t="n"/>
      <c r="H1837" s="217" t="inlineStr">
        <is>
          <t>"delivery.warehouse.codEmployee.emptySelectOrderCode": "សូមជ្រើសរើសលំដាប់ដើម្បីដកចេញ។",</t>
        </is>
      </c>
      <c r="I1837" t="inlineStr">
        <is>
          <t>សូមជ្រើសរើសលំដាប់ដើម្បីដកចេញ។</t>
        </is>
      </c>
    </row>
    <row r="1838">
      <c r="A1838" s="3" t="inlineStr">
        <is>
          <t>delivery.warehouse.codEmployee.endDate</t>
        </is>
      </c>
      <c r="B1838" s="3" t="inlineStr">
        <is>
          <t>Đến ngày</t>
        </is>
      </c>
      <c r="C1838" s="3" t="inlineStr">
        <is>
          <t>Until the day</t>
        </is>
      </c>
      <c r="D1838" s="217">
        <f>IFERROR(__xludf.DUMMYFUNCTION("GOOGLETRANSLATE(C1838,""vi"",""km"")"),"រហូតដល់ថ្ងៃ")</f>
        <v/>
      </c>
      <c r="E1838" s="3" t="n"/>
      <c r="F1838" s="3" t="inlineStr">
        <is>
          <t>រហូតដល់ថ្ងៃ</t>
        </is>
      </c>
      <c r="G1838" s="3" t="n"/>
      <c r="H1838" s="217" t="inlineStr">
        <is>
          <t>"delivery.warehouse.codEmployee.endDate": "រហូតដល់ថ្ងៃ",</t>
        </is>
      </c>
      <c r="I1838" t="inlineStr">
        <is>
          <t>រហូតដល់ថ្ងៃ</t>
        </is>
      </c>
    </row>
    <row r="1839">
      <c r="A1839" s="3" t="inlineStr">
        <is>
          <t>delivery.warehouse.codEmployee.enterOrderCode</t>
        </is>
      </c>
      <c r="B1839" s="3" t="inlineStr">
        <is>
          <t>Nhập mã vận đơn</t>
        </is>
      </c>
      <c r="C1839" s="3" t="inlineStr">
        <is>
          <t>Enter the tracking number</t>
        </is>
      </c>
      <c r="D1839" s="217">
        <f>IFERROR(__xludf.DUMMYFUNCTION("GOOGLETRANSLATE(C1839,""vi"",""km"")"),"បញ្ចូលលេខតាមដាន")</f>
        <v/>
      </c>
      <c r="E1839" s="3" t="n"/>
      <c r="F1839" s="3" t="inlineStr">
        <is>
          <t>បញ្ចូលលេខតាមដាន</t>
        </is>
      </c>
      <c r="G1839" s="3" t="n"/>
      <c r="H1839" s="217" t="inlineStr">
        <is>
          <t>"delivery.warehouse.codEmployee.enterOrderCode": "បញ្ចូលលេខតាមដាន",</t>
        </is>
      </c>
      <c r="I1839" t="inlineStr">
        <is>
          <t>បញ្ចូលលេខតាមដាន</t>
        </is>
      </c>
    </row>
    <row r="1840">
      <c r="A1840" s="3" t="inlineStr">
        <is>
          <t>delivery.warehouse.codEmployee.excel</t>
        </is>
      </c>
      <c r="B1840" s="3" t="inlineStr">
        <is>
          <t>Xuất Excel</t>
        </is>
      </c>
      <c r="C1840" s="3" t="inlineStr">
        <is>
          <t>Export to Excel</t>
        </is>
      </c>
      <c r="D1840" s="217">
        <f>IFERROR(__xludf.DUMMYFUNCTION("GOOGLETRANSLATE(C1840,""vi"",""km"")"),"នាំចេញទៅ Excel")</f>
        <v/>
      </c>
      <c r="E1840" s="3" t="n"/>
      <c r="F1840" s="3" t="inlineStr">
        <is>
          <t>នាំចេញទៅ Excel</t>
        </is>
      </c>
      <c r="G1840" s="3" t="n"/>
      <c r="H1840" s="217" t="inlineStr">
        <is>
          <t>"delivery.warehouse.codEmployee.excel": "នាំចេញទៅ Excel",</t>
        </is>
      </c>
      <c r="I1840" t="inlineStr">
        <is>
          <t>នាំចេញទៅ Excel</t>
        </is>
      </c>
    </row>
    <row r="1841">
      <c r="A1841" s="3" t="inlineStr">
        <is>
          <t>delivery.warehouse.codEmployee.excelSuccess</t>
        </is>
      </c>
      <c r="B1841" s="3" t="inlineStr">
        <is>
          <t>Xuất Excel thành công</t>
        </is>
      </c>
      <c r="C1841" s="3" t="inlineStr">
        <is>
          <t>Export to Excel successfully</t>
        </is>
      </c>
      <c r="D1841" s="217">
        <f>IFERROR(__xludf.DUMMYFUNCTION("GOOGLETRANSLATE(C1841,""vi"",""km"")"),"នាំចេញទៅ Excel")</f>
        <v/>
      </c>
      <c r="E1841" s="3" t="n"/>
      <c r="F1841" s="3" t="inlineStr">
        <is>
          <t>នាំចេញទៅ Excel</t>
        </is>
      </c>
      <c r="G1841" s="3" t="n"/>
      <c r="H1841" s="217" t="inlineStr">
        <is>
          <t>"delivery.warehouse.codEmployee.excelSuccess": "នាំចេញទៅ Excel",</t>
        </is>
      </c>
      <c r="I1841" t="inlineStr">
        <is>
          <t>នាំចេញទៅ Excel</t>
        </is>
      </c>
    </row>
    <row r="1842">
      <c r="A1842" s="3" t="inlineStr">
        <is>
          <t>delivery.warehouse.codEmployee.filterBranch</t>
        </is>
      </c>
      <c r="B1842" s="3" t="inlineStr">
        <is>
          <t>Chọn chi nhánh</t>
        </is>
      </c>
      <c r="C1842" s="3" t="inlineStr">
        <is>
          <t>Select a branch</t>
        </is>
      </c>
      <c r="D1842" s="217">
        <f>IFERROR(__xludf.DUMMYFUNCTION("GOOGLETRANSLATE(C1842,""vi"",""km"")"),"ជ្រើសរើសទ្រូងមួយ")</f>
        <v/>
      </c>
      <c r="E1842" s="3" t="n"/>
      <c r="F1842" s="3" t="inlineStr">
        <is>
          <t>ជ្រើសរើសទ្រូងមួយ</t>
        </is>
      </c>
      <c r="G1842" s="3" t="n"/>
      <c r="H1842" s="217" t="inlineStr">
        <is>
          <t>"delivery.warehouse.codEmployee.filterBranch": "ជ្រើសរើសទ្រូងមួយ",</t>
        </is>
      </c>
      <c r="I1842" t="inlineStr">
        <is>
          <t>ជ្រើសរើសទ្រូងមួយ</t>
        </is>
      </c>
    </row>
    <row r="1843">
      <c r="A1843" s="3" t="inlineStr">
        <is>
          <t>delivery.warehouse.codEmployee.filterPost</t>
        </is>
      </c>
      <c r="B1843" s="3" t="inlineStr">
        <is>
          <t>Chọn bưu cục</t>
        </is>
      </c>
      <c r="C1843" s="3" t="inlineStr">
        <is>
          <t>Select post office</t>
        </is>
      </c>
      <c r="D1843" s="217">
        <f>IFERROR(__xludf.DUMMYFUNCTION("GOOGLETRANSLATE(C1843,""vi"",""km"")"),"ជ្រើសរើសការិយាល័យប្រៃសណីយ៍")</f>
        <v/>
      </c>
      <c r="E1843" s="3" t="n"/>
      <c r="F1843" s="3" t="inlineStr">
        <is>
          <t>ជ្រើសរើសការិយាល័យប្រៃសណីយ៍</t>
        </is>
      </c>
      <c r="G1843" s="3" t="n"/>
      <c r="H1843" s="217" t="inlineStr">
        <is>
          <t>"delivery.warehouse.codEmployee.filterPost": "ជ្រើសរើសការិយាល័យប្រៃសណីយ៍",</t>
        </is>
      </c>
      <c r="I1843" t="inlineStr">
        <is>
          <t>ជ្រើសរើសការិយាល័យប្រៃសណីយ៍</t>
        </is>
      </c>
    </row>
    <row r="1844">
      <c r="A1844" s="3" t="inlineStr">
        <is>
          <t>delivery.warehouse.codEmployee.filterStatus</t>
        </is>
      </c>
      <c r="B1844" s="3" t="inlineStr">
        <is>
          <t>Chọn trạng thái</t>
        </is>
      </c>
      <c r="C1844" s="3" t="inlineStr">
        <is>
          <t>Select state</t>
        </is>
      </c>
      <c r="D1844" s="217">
        <f>IFERROR(__xludf.DUMMYFUNCTION("GOOGLETRANSLATE(C1844,""vi"",""km"")"),"ជ្រើសរើសរដ្ឋ")</f>
        <v/>
      </c>
      <c r="E1844" s="3" t="n"/>
      <c r="F1844" s="3" t="inlineStr">
        <is>
          <t>ជ្រើសរើសរដ្ឋ</t>
        </is>
      </c>
      <c r="G1844" s="3" t="n"/>
      <c r="H1844" s="217" t="inlineStr">
        <is>
          <t>"delivery.warehouse.codEmployee.filterStatus": "ជ្រើសរើសរដ្ឋ",</t>
        </is>
      </c>
      <c r="I1844" t="inlineStr">
        <is>
          <t>ជ្រើសរើសរដ្ឋ</t>
        </is>
      </c>
    </row>
    <row r="1845">
      <c r="A1845" s="3" t="inlineStr">
        <is>
          <t>delivery.warehouse.codEmployee.filterUser</t>
        </is>
      </c>
      <c r="B1845" s="3" t="inlineStr">
        <is>
          <t>Chọn nhân viên</t>
        </is>
      </c>
      <c r="C1845" s="3" t="inlineStr">
        <is>
          <t>Select employees</t>
        </is>
      </c>
      <c r="D1845" s="217">
        <f>IFERROR(__xludf.DUMMYFUNCTION("GOOGLETRANSLATE(C1845,""vi"",""km"")"),"ជ្រើសរើសបុគ្គលិក")</f>
        <v/>
      </c>
      <c r="E1845" s="3" t="n"/>
      <c r="F1845" s="3" t="inlineStr">
        <is>
          <t>ជ្រើសរើសបុគ្គលិក</t>
        </is>
      </c>
      <c r="G1845" s="3" t="n"/>
      <c r="H1845" s="217" t="inlineStr">
        <is>
          <t>"delivery.warehouse.codEmployee.filterUser": "ជ្រើសរើសបុគ្គលិក",</t>
        </is>
      </c>
      <c r="I1845" t="inlineStr">
        <is>
          <t>ជ្រើសរើសបុគ្គលិក</t>
        </is>
      </c>
    </row>
    <row r="1846">
      <c r="A1846" s="3" t="inlineStr">
        <is>
          <t>delivery.warehouse.codEmployee.forCod</t>
        </is>
      </c>
      <c r="B1846" s="3" t="inlineStr">
        <is>
          <t>cho bảng kê</t>
        </is>
      </c>
      <c r="C1846" s="3" t="inlineStr">
        <is>
          <t>for the statement</t>
        </is>
      </c>
      <c r="D1846" s="217">
        <f>IFERROR(__xludf.DUMMYFUNCTION("GOOGLETRANSLATE(C1846,""vi"",""km"")"),"ចំពោះសេចក្តីថ្លែងការណ៍")</f>
        <v/>
      </c>
      <c r="E1846" s="3" t="n"/>
      <c r="F1846" s="3" t="inlineStr">
        <is>
          <t>ចំពោះសេចក្តីថ្លែងការណ៍</t>
        </is>
      </c>
      <c r="G1846" s="3" t="n"/>
      <c r="H1846" s="217" t="inlineStr">
        <is>
          <t>"delivery.warehouse.codEmployee.forCod": "ចំពោះសេចក្តីថ្លែងការណ៍",</t>
        </is>
      </c>
      <c r="I1846" t="inlineStr">
        <is>
          <t>ចំពោះសេចក្តីថ្លែងការណ៍</t>
        </is>
      </c>
    </row>
    <row r="1847">
      <c r="A1847" s="3" t="inlineStr">
        <is>
          <t>delivery.warehouse.codEmployee.orderCode</t>
        </is>
      </c>
      <c r="B1847" s="3" t="inlineStr">
        <is>
          <t>Mã vận đơn</t>
        </is>
      </c>
      <c r="C1847" s="3" t="inlineStr">
        <is>
          <t>Tracking number</t>
        </is>
      </c>
      <c r="D1847" s="217">
        <f>IFERROR(__xludf.DUMMYFUNCTION("GOOGLETRANSLATE(C1847,""vi"",""km"")"),"លេខតាមដាន")</f>
        <v/>
      </c>
      <c r="E1847" s="3" t="n"/>
      <c r="F1847" s="3" t="inlineStr">
        <is>
          <t>លេខកូដបុងបញ្ញើ</t>
        </is>
      </c>
      <c r="G1847" s="3" t="n"/>
      <c r="H1847" s="217" t="inlineStr">
        <is>
          <t>"delivery.warehouse.codEmployee.orderCode": "លេខកូដបុងបញ្ញើ",</t>
        </is>
      </c>
      <c r="I1847" t="inlineStr">
        <is>
          <t>លេខកូដបុងបញ្ញើ</t>
        </is>
      </c>
    </row>
    <row r="1848">
      <c r="A1848" s="3" t="inlineStr">
        <is>
          <t>delivery.warehouse.codEmployee.payCod</t>
        </is>
      </c>
      <c r="B1848" s="3" t="inlineStr">
        <is>
          <t>Tiền phải thu</t>
        </is>
      </c>
      <c r="C1848" s="3" t="inlineStr">
        <is>
          <t>Accounts receivable</t>
        </is>
      </c>
      <c r="D1848" s="217">
        <f>IFERROR(__xludf.DUMMYFUNCTION("GOOGLETRANSLATE(C1848,""vi"",""km"")"),"គណនី​ទទួល​បាន")</f>
        <v/>
      </c>
      <c r="E1848" s="3" t="n"/>
      <c r="F1848" s="3" t="inlineStr">
        <is>
          <t>គណនីទទួលបាន</t>
        </is>
      </c>
      <c r="G1848" s="3" t="n"/>
      <c r="H1848" s="217" t="inlineStr">
        <is>
          <t>"delivery.warehouse.codEmployee.payCod": "គណនីទទួលបាន",</t>
        </is>
      </c>
      <c r="I1848" t="inlineStr">
        <is>
          <t>គណនីទទួលបាន</t>
        </is>
      </c>
    </row>
    <row r="1849">
      <c r="A1849" s="23" t="inlineStr">
        <is>
          <t>delivery.warehouse.codEmployee.post</t>
        </is>
      </c>
      <c r="B1849" s="3" t="inlineStr">
        <is>
          <t>Bưu cục</t>
        </is>
      </c>
      <c r="C1849" s="3" t="inlineStr">
        <is>
          <t>Post Office</t>
        </is>
      </c>
      <c r="D1849" s="217">
        <f>IFERROR(__xludf.DUMMYFUNCTION("GOOGLETRANSLATE(C1849,""vi"",""km"")"),"ការិយាល័យប្រៃសណីយ៍")</f>
        <v/>
      </c>
      <c r="E1849" s="3" t="n"/>
      <c r="F1849" s="3" t="inlineStr">
        <is>
          <t>ការិយាល័យប្រៃសណីយ៍</t>
        </is>
      </c>
      <c r="G1849" s="3" t="n"/>
      <c r="H1849" s="217" t="inlineStr">
        <is>
          <t>"delivery.warehouse.codEmployee.post": "ការិយាល័យប្រៃសណីយ៍",</t>
        </is>
      </c>
      <c r="I1849" t="inlineStr">
        <is>
          <t>ការិយាល័យប្រៃសណីយ៍</t>
        </is>
      </c>
    </row>
    <row r="1850">
      <c r="A1850" s="3" t="inlineStr">
        <is>
          <t>delivery.warehouse.codEmployee.postman</t>
        </is>
      </c>
      <c r="B1850" s="3" t="inlineStr">
        <is>
          <t>Bưu tá</t>
        </is>
      </c>
      <c r="C1850" s="3" t="inlineStr">
        <is>
          <t>Postman</t>
        </is>
      </c>
      <c r="D1850" s="217">
        <f>IFERROR(__xludf.DUMMYFUNCTION("GOOGLETRANSLATE(C1850,""vi"",""km"")"),"អ្នករត់សំបុត្រ")</f>
        <v/>
      </c>
      <c r="E1850" s="3" t="n"/>
      <c r="F1850" s="3" t="inlineStr">
        <is>
          <t>បុគ្គលិកដឹកជញ្ជូន</t>
        </is>
      </c>
      <c r="G1850" s="3" t="n"/>
      <c r="H1850" s="217" t="inlineStr">
        <is>
          <t>"delivery.warehouse.codEmployee.postman": "បុគ្គលិកដឹកជញ្ជូន",</t>
        </is>
      </c>
      <c r="I1850" t="inlineStr">
        <is>
          <t>បុគ្គលិកដឹកជញ្ជូន</t>
        </is>
      </c>
    </row>
    <row r="1851">
      <c r="A1851" s="3" t="inlineStr">
        <is>
          <t>delivery.warehouse.codEmployee.print</t>
        </is>
      </c>
      <c r="B1851" s="3" t="inlineStr">
        <is>
          <t>In</t>
        </is>
      </c>
      <c r="C1851" s="3" t="inlineStr">
        <is>
          <t>Print</t>
        </is>
      </c>
      <c r="D1851" s="217">
        <f>IFERROR(__xludf.DUMMYFUNCTION("GOOGLETRANSLATE(C1851,""vi"",""km"")"),"ជើងហោះហើរ")</f>
        <v/>
      </c>
      <c r="E1851" s="3" t="n"/>
      <c r="F1851" s="3" t="inlineStr">
        <is>
          <t>ព្រីន</t>
        </is>
      </c>
      <c r="G1851" s="3" t="n"/>
      <c r="H1851" s="217" t="inlineStr">
        <is>
          <t>"delivery.warehouse.codEmployee.print": "ព្រីន",</t>
        </is>
      </c>
      <c r="I1851" t="inlineStr">
        <is>
          <t>ព្រីន</t>
        </is>
      </c>
    </row>
    <row r="1852">
      <c r="A1852" s="3" t="inlineStr">
        <is>
          <t>delivery.warehouse.codEmployee.route</t>
        </is>
      </c>
      <c r="B1852" s="3" t="inlineStr">
        <is>
          <t>Tên tuyến</t>
        </is>
      </c>
      <c r="C1852" s="3" t="inlineStr">
        <is>
          <t>Route name</t>
        </is>
      </c>
      <c r="D1852" s="217">
        <f>IFERROR(__xludf.DUMMYFUNCTION("GOOGLETRANSLATE(C1852,""vi"",""km"")"),"ឈ្មោះផ្លូវ")</f>
        <v/>
      </c>
      <c r="E1852" s="3" t="n"/>
      <c r="F1852" s="3" t="inlineStr">
        <is>
          <t>ឈ្មោះផ្លូវ</t>
        </is>
      </c>
      <c r="G1852" s="3" t="n"/>
      <c r="H1852" s="217" t="inlineStr">
        <is>
          <t>"delivery.warehouse.codEmployee.route": "ឈ្មោះផ្លូវ",</t>
        </is>
      </c>
      <c r="I1852" t="inlineStr">
        <is>
          <t>ឈ្មោះផ្លូវ</t>
        </is>
      </c>
    </row>
    <row r="1853">
      <c r="A1853" s="3" t="inlineStr">
        <is>
          <t>delivery.warehouse.codEmployee.service</t>
        </is>
      </c>
      <c r="B1853" s="3" t="inlineStr">
        <is>
          <t>Dịch vụ</t>
        </is>
      </c>
      <c r="C1853" s="3" t="inlineStr">
        <is>
          <t>Service</t>
        </is>
      </c>
      <c r="D1853" s="217">
        <f>IFERROR(__xludf.DUMMYFUNCTION("GOOGLETRANSLATE(C1853,""vi"",""km"")"),"សេវាកម្ម")</f>
        <v/>
      </c>
      <c r="E1853" s="3" t="n"/>
      <c r="F1853" s="3" t="inlineStr">
        <is>
          <t>សេវាកម្ម</t>
        </is>
      </c>
      <c r="G1853" s="3" t="n"/>
      <c r="H1853" s="217" t="inlineStr">
        <is>
          <t>"delivery.warehouse.codEmployee.service": "សេវាកម្ម",</t>
        </is>
      </c>
      <c r="I1853" t="inlineStr">
        <is>
          <t>សេវាកម្ម</t>
        </is>
      </c>
    </row>
    <row r="1854">
      <c r="A1854" s="3" t="inlineStr">
        <is>
          <t>delivery.warehouse.codEmployee.staff</t>
        </is>
      </c>
      <c r="B1854" s="3" t="inlineStr">
        <is>
          <t>Nhân viên</t>
        </is>
      </c>
      <c r="C1854" s="3" t="inlineStr">
        <is>
          <t>Staff</t>
        </is>
      </c>
      <c r="D1854" s="217">
        <f>IFERROR(__xludf.DUMMYFUNCTION("GOOGLETRANSLATE(C1854,""vi"",""km"")"),"បុគ្គលិក")</f>
        <v/>
      </c>
      <c r="E1854" s="3" t="n"/>
      <c r="F1854" s="3" t="inlineStr">
        <is>
          <t>បុគ្គលិក</t>
        </is>
      </c>
      <c r="G1854" s="3" t="n"/>
      <c r="H1854" s="217" t="inlineStr">
        <is>
          <t>"delivery.warehouse.codEmployee.staff": "បុគ្គលិក",</t>
        </is>
      </c>
      <c r="I1854" t="inlineStr">
        <is>
          <t>បុគ្គលិក</t>
        </is>
      </c>
    </row>
    <row r="1855">
      <c r="A1855" s="3" t="inlineStr">
        <is>
          <t>delivery.warehouse.codEmployee.staffCod</t>
        </is>
      </c>
      <c r="B1855" s="3" t="inlineStr">
        <is>
          <t>Xác nhận tiền về</t>
        </is>
      </c>
      <c r="C1855" s="3" t="inlineStr">
        <is>
          <t>Confirm receipt of funds</t>
        </is>
      </c>
      <c r="D1855" s="217">
        <f>IFERROR(__xludf.DUMMYFUNCTION("GOOGLETRANSLATE(C1855,""vi"",""km"")"),"បញ្ជាក់ការទទួលប្រាក់")</f>
        <v/>
      </c>
      <c r="E1855" s="3" t="n"/>
      <c r="F1855" s="3" t="inlineStr">
        <is>
          <t>បញ្ជាក់ការទទួលប្រាក់</t>
        </is>
      </c>
      <c r="G1855" s="3" t="n"/>
      <c r="H1855" s="217" t="inlineStr">
        <is>
          <t>"delivery.warehouse.codEmployee.staffCod": "បញ្ជាក់ការទទួលប្រាក់",</t>
        </is>
      </c>
      <c r="I1855" t="inlineStr">
        <is>
          <t>បញ្ជាក់ការទទួលប្រាក់</t>
        </is>
      </c>
    </row>
    <row r="1856">
      <c r="A1856" s="3" t="inlineStr">
        <is>
          <t>delivery.warehouse.codEmployee.staffDebt</t>
        </is>
      </c>
      <c r="B1856" s="3" t="inlineStr">
        <is>
          <t>Danh sách chưa nộp tiền</t>
        </is>
      </c>
      <c r="C1856" s="3" t="inlineStr">
        <is>
          <t>List of unpaid bills</t>
        </is>
      </c>
      <c r="D1856" s="217">
        <f>IFERROR(__xludf.DUMMYFUNCTION("GOOGLETRANSLATE(C1856,""vi"",""km"")"),"បញ្ជីវិក្កយបត្រសម្រាប់មុន")</f>
        <v/>
      </c>
      <c r="E1856" s="3" t="n"/>
      <c r="F1856" s="3" t="inlineStr">
        <is>
          <t>បញ្ជីវិក្កយបត្រសម្រាប់មុន</t>
        </is>
      </c>
      <c r="G1856" s="3" t="n"/>
      <c r="H1856" s="217" t="inlineStr">
        <is>
          <t>"delivery.warehouse.codEmployee.staffDebt": "បញ្ជីវិក្កយបត្រសម្រាប់មុន",</t>
        </is>
      </c>
      <c r="I1856" t="inlineStr">
        <is>
          <t>បញ្ជីវិក្កយបត្រសម្រាប់មុន</t>
        </is>
      </c>
    </row>
    <row r="1857">
      <c r="A1857" s="3" t="inlineStr">
        <is>
          <t>delivery.warehouse.codEmployee.startDate</t>
        </is>
      </c>
      <c r="B1857" s="3" t="inlineStr">
        <is>
          <t>Từ ngày</t>
        </is>
      </c>
      <c r="C1857" s="3" t="inlineStr">
        <is>
          <t>From the date</t>
        </is>
      </c>
      <c r="D1857" s="217">
        <f>IFERROR(__xludf.DUMMYFUNCTION("GOOGLETRANSLATE(C1857,""vi"",""km"")"),"ចាប់ពីកាលបរិច្ឆេទ")</f>
        <v/>
      </c>
      <c r="E1857" s="3" t="n"/>
      <c r="F1857" s="3" t="inlineStr">
        <is>
          <t>ចាប់ពីកាលបរិច្ឆេទ</t>
        </is>
      </c>
      <c r="G1857" s="3" t="n"/>
      <c r="H1857" s="217" t="inlineStr">
        <is>
          <t>"delivery.warehouse.codEmployee.startDate": "ចាប់ពីកាលបរិច្ឆេទ",</t>
        </is>
      </c>
      <c r="I1857" t="inlineStr">
        <is>
          <t>ចាប់ពីកាលបរិច្ឆេទ</t>
        </is>
      </c>
    </row>
    <row r="1858">
      <c r="A1858" s="3" t="inlineStr">
        <is>
          <t>delivery.warehouse.codEmployee.status</t>
        </is>
      </c>
      <c r="B1858" s="3" t="inlineStr">
        <is>
          <t>Trạng thái</t>
        </is>
      </c>
      <c r="C1858" s="3" t="inlineStr">
        <is>
          <t>Status</t>
        </is>
      </c>
      <c r="D1858" s="217">
        <f>IFERROR(__xludf.DUMMYFUNCTION("GOOGLETRANSLATE(C1858,""vi"",""km"")"),"ស្ថានភាព")</f>
        <v/>
      </c>
      <c r="E1858" s="3" t="n"/>
      <c r="F1858" s="3" t="inlineStr">
        <is>
          <t>ស្ថានភាព</t>
        </is>
      </c>
      <c r="G1858" s="3" t="n"/>
      <c r="H1858" s="217" t="inlineStr">
        <is>
          <t>"delivery.warehouse.codEmployee.status": "ស្ថានភាព",</t>
        </is>
      </c>
      <c r="I1858" t="inlineStr">
        <is>
          <t>ស្ថានភាព</t>
        </is>
      </c>
    </row>
    <row r="1859">
      <c r="A1859" s="3" t="inlineStr">
        <is>
          <t>delivery.warehouse.codEmployee.success</t>
        </is>
      </c>
      <c r="B1859" s="3" t="inlineStr">
        <is>
          <t>thành công</t>
        </is>
      </c>
      <c r="C1859" s="3" t="inlineStr">
        <is>
          <t>success</t>
        </is>
      </c>
      <c r="D1859" s="217">
        <f>IFERROR(__xludf.DUMMYFUNCTION("GOOGLETRANSLATE(C1859,""vi"",""km"")"),"ភាពជោគជ័យ")</f>
        <v/>
      </c>
      <c r="E1859" s="3" t="n"/>
      <c r="F1859" s="3" t="inlineStr">
        <is>
          <t>ភាពជោគជ័យ</t>
        </is>
      </c>
      <c r="G1859" s="3" t="n"/>
      <c r="H1859" s="217" t="inlineStr">
        <is>
          <t>"delivery.warehouse.codEmployee.success": "ភាពជោគជ័យ",</t>
        </is>
      </c>
      <c r="I1859" t="inlineStr">
        <is>
          <t>ភាពជោគជ័យ</t>
        </is>
      </c>
    </row>
    <row r="1860">
      <c r="A1860" s="3" t="inlineStr">
        <is>
          <t>delivery.warehouse.codEmployee.totalCod</t>
        </is>
      </c>
      <c r="B1860" s="3" t="inlineStr">
        <is>
          <t>Tiền nộp</t>
        </is>
      </c>
      <c r="C1860" s="3" t="inlineStr">
        <is>
          <t>Payment</t>
        </is>
      </c>
      <c r="D1860" s="217">
        <f>IFERROR(__xludf.DUMMYFUNCTION("GOOGLETRANSLATE(C1860,""vi"",""km"")"),"ធីឃ្យូ")</f>
        <v/>
      </c>
      <c r="E1860" s="3" t="n"/>
      <c r="F1860" s="3" t="inlineStr">
        <is>
          <t>ធីឃ្យូ</t>
        </is>
      </c>
      <c r="G1860" s="3" t="n"/>
      <c r="H1860" s="217" t="inlineStr">
        <is>
          <t>"delivery.warehouse.codEmployee.totalCod": "ធីឃ្យូ",</t>
        </is>
      </c>
      <c r="I1860" t="inlineStr">
        <is>
          <t>ធីឃ្យូ</t>
        </is>
      </c>
    </row>
    <row r="1861">
      <c r="A1861" s="3" t="inlineStr">
        <is>
          <t>delivery.warehouse.codEmployee.totalMoney</t>
        </is>
      </c>
      <c r="B1861" s="3" t="inlineStr">
        <is>
          <t>Tổng tiền</t>
        </is>
      </c>
      <c r="C1861" s="3" t="inlineStr">
        <is>
          <t>Total amount</t>
        </is>
      </c>
      <c r="D1861" s="217">
        <f>IFERROR(__xludf.DUMMYFUNCTION("GOOGLETRANSLATE(C1861,""vi"",""km"")"),"ចំនួនទឹកប្រាក់សរុប")</f>
        <v/>
      </c>
      <c r="E1861" s="3" t="n"/>
      <c r="F1861" s="3" t="inlineStr">
        <is>
          <t>ចំនួនទឹកប្រាក់សរុប</t>
        </is>
      </c>
      <c r="G1861" s="3" t="n"/>
      <c r="H1861" s="217" t="inlineStr">
        <is>
          <t>"delivery.warehouse.codEmployee.totalMoney": "ចំនួនទឹកប្រាក់សរុប",</t>
        </is>
      </c>
      <c r="I1861" t="inlineStr">
        <is>
          <t>ចំនួនទឹកប្រាក់សរុប</t>
        </is>
      </c>
    </row>
    <row r="1862">
      <c r="A1862" s="3" t="inlineStr">
        <is>
          <t>delivery.warehouse.codEmployee.totalOrder</t>
        </is>
      </c>
      <c r="B1862" s="3" t="inlineStr">
        <is>
          <t>Tổng đơn</t>
        </is>
      </c>
      <c r="C1862" s="3" t="inlineStr">
        <is>
          <t>Total order</t>
        </is>
      </c>
      <c r="D1862" s="217">
        <f>IFERROR(__xludf.DUMMYFUNCTION("GOOGLETRANSLATE(C1862,""vi"",""km"")"),"ការបញ្ជាទិញសរុប")</f>
        <v/>
      </c>
      <c r="E1862" s="3" t="n"/>
      <c r="F1862" s="3" t="inlineStr">
        <is>
          <t>ការបញ្ជាទិញសរុប</t>
        </is>
      </c>
      <c r="G1862" s="3" t="n"/>
      <c r="H1862" s="217" t="inlineStr">
        <is>
          <t>"delivery.warehouse.codEmployee.totalOrder": "ការបញ្ជាទិញសរុប",</t>
        </is>
      </c>
      <c r="I1862" t="inlineStr">
        <is>
          <t>ការបញ្ជាទិញសរុប</t>
        </is>
      </c>
    </row>
    <row r="1863">
      <c r="A1863" s="3" t="inlineStr">
        <is>
          <t>delivery.warehouse.codEmployee.updatedAt</t>
        </is>
      </c>
      <c r="B1863" s="3" t="inlineStr">
        <is>
          <t>Ngày cập nhật</t>
        </is>
      </c>
      <c r="C1863" s="3" t="inlineStr">
        <is>
          <t>Date updated</t>
        </is>
      </c>
      <c r="D1863" s="217">
        <f>IFERROR(__xludf.DUMMYFUNCTION("GOOGLETRANSLATE(C1863,""vi"",""km"")"),"កាលបរិច្ឆេទ​ដែលបានធ្វើបច្ចុប្បន្នភាព")</f>
        <v/>
      </c>
      <c r="E1863" s="3" t="n"/>
      <c r="F1863" s="3" t="inlineStr">
        <is>
          <t>កាលបរិច្ឆេទដែលបានធ្វើបច្ចុប្បន្នភាព</t>
        </is>
      </c>
      <c r="G1863" s="3" t="n"/>
      <c r="H1863" s="217" t="inlineStr">
        <is>
          <t>"delivery.warehouse.codEmployee.updatedAt": "កាលបរិច្ឆេទដែលបានធ្វើបច្ចុប្បន្នភាព",</t>
        </is>
      </c>
      <c r="I1863" t="inlineStr">
        <is>
          <t>កាលបរិច្ឆេទដែលបានធ្វើបច្ចុប្បន្នភាព</t>
        </is>
      </c>
    </row>
    <row r="1864">
      <c r="A1864" s="3" t="inlineStr">
        <is>
          <t>delivery.warehouse.codEmployee.updatedBy</t>
        </is>
      </c>
      <c r="B1864" s="3" t="inlineStr">
        <is>
          <t>Người cập nhật</t>
        </is>
      </c>
      <c r="C1864" s="3" t="inlineStr">
        <is>
          <t>Updater</t>
        </is>
      </c>
      <c r="D1864" s="217">
        <f>IFERROR(__xludf.DUMMYFUNCTION("GOOGLETRANSLATE(C1864,""vi"",""km"")"),"កម្មវិធីធ្វើបច្ចុប្បន្នភាព")</f>
        <v/>
      </c>
      <c r="E1864" s="3" t="n"/>
      <c r="F1864" s="3" t="inlineStr">
        <is>
          <t>កម្មវិធីធ្វើបច្ចុប្បន្នភាព</t>
        </is>
      </c>
      <c r="G1864" s="3" t="n"/>
      <c r="H1864" s="217" t="inlineStr">
        <is>
          <t>"delivery.warehouse.codEmployee.updatedBy": "កម្មវិធីធ្វើបច្ចុប្បន្នភាព",</t>
        </is>
      </c>
      <c r="I1864" t="inlineStr">
        <is>
          <t>កម្មវិធីធ្វើបច្ចុប្បន្នភាព</t>
        </is>
      </c>
    </row>
    <row r="1865">
      <c r="A1865" s="3" t="inlineStr">
        <is>
          <t>delivery.warehouse.codEmployee.user</t>
        </is>
      </c>
      <c r="B1865" s="3" t="inlineStr">
        <is>
          <t>Nhân viên</t>
        </is>
      </c>
      <c r="C1865" s="3" t="inlineStr">
        <is>
          <t>Staff</t>
        </is>
      </c>
      <c r="D1865" s="217">
        <f>IFERROR(__xludf.DUMMYFUNCTION("GOOGLETRANSLATE(C1865,""vi"",""km"")"),"បុគ្គលិក")</f>
        <v/>
      </c>
      <c r="E1865" s="3" t="n"/>
      <c r="F1865" s="3" t="inlineStr">
        <is>
          <t>បុគ្គលិក</t>
        </is>
      </c>
      <c r="G1865" s="3" t="n"/>
      <c r="H1865" s="217" t="inlineStr">
        <is>
          <t>"delivery.warehouse.codEmployee.user": "បុគ្គលិក",</t>
        </is>
      </c>
      <c r="I1865" t="inlineStr">
        <is>
          <t>បុគ្គលិក</t>
        </is>
      </c>
    </row>
    <row r="1866">
      <c r="A1866" s="3" t="inlineStr">
        <is>
          <t>delivery.warehouse.codPrint.cancel</t>
        </is>
      </c>
      <c r="B1866" s="3" t="inlineStr">
        <is>
          <t>Huỷ bỏ</t>
        </is>
      </c>
      <c r="C1866" s="3" t="inlineStr">
        <is>
          <t>Cancel</t>
        </is>
      </c>
      <c r="D1866" s="217">
        <f>IFERROR(__xludf.DUMMYFUNCTION("GOOGLETRANSLATE(C1866,""vi"",""km"")"),"បោះបង់")</f>
        <v/>
      </c>
      <c r="E1866" s="3" t="n"/>
      <c r="F1866" s="3" t="inlineStr">
        <is>
          <t>បោះបង់</t>
        </is>
      </c>
      <c r="G1866" s="3" t="n"/>
      <c r="H1866" s="217" t="inlineStr">
        <is>
          <t>"delivery.warehouse.codPrint.cancel": "បោះបង់",</t>
        </is>
      </c>
      <c r="I1866" t="inlineStr">
        <is>
          <t>បោះបង់</t>
        </is>
      </c>
    </row>
    <row r="1867">
      <c r="A1867" s="3" t="inlineStr">
        <is>
          <t>delivery.warehouse.codPrint.codTotal</t>
        </is>
      </c>
      <c r="B1867" s="3" t="inlineStr">
        <is>
          <t>Tiền phải nộp</t>
        </is>
      </c>
      <c r="C1867" s="3" t="inlineStr">
        <is>
          <t>Amount payable</t>
        </is>
      </c>
      <c r="D1867" s="217">
        <f>IFERROR(__xludf.DUMMYFUNCTION("GOOGLETRANSLATE(C1867,""vi"",""km"")"),"ចំនួនទឹកប្រាក់ដែលត្រូវបង់")</f>
        <v/>
      </c>
      <c r="E1867" s="3" t="n"/>
      <c r="F1867" s="3" t="inlineStr">
        <is>
          <t>ចំនួនទឹកប្រាក់ដែលត្រូវបង់</t>
        </is>
      </c>
      <c r="G1867" s="3" t="n"/>
      <c r="H1867" s="217" t="inlineStr">
        <is>
          <t>"delivery.warehouse.codPrint.codTotal": "ចំនួនទឹកប្រាក់ដែលត្រូវបង់",</t>
        </is>
      </c>
      <c r="I1867" t="inlineStr">
        <is>
          <t>ចំនួនទឹកប្រាក់ដែលត្រូវបង់</t>
        </is>
      </c>
    </row>
    <row r="1868">
      <c r="A1868" s="3" t="inlineStr">
        <is>
          <t>delivery.warehouse.codPrint.collector</t>
        </is>
      </c>
      <c r="B1868" s="3" t="inlineStr">
        <is>
          <t>Người thu tiền</t>
        </is>
      </c>
      <c r="C1868" s="3" t="inlineStr">
        <is>
          <t>Cashier</t>
        </is>
      </c>
      <c r="D1868" s="217">
        <f>IFERROR(__xludf.DUMMYFUNCTION("GOOGLETRANSLATE(C1868,""vi"",""km"")"),"អ្នកគិតលុយ")</f>
        <v/>
      </c>
      <c r="E1868" s="3" t="n"/>
      <c r="F1868" s="3" t="inlineStr">
        <is>
          <t>អ្នកគិតលុយ</t>
        </is>
      </c>
      <c r="G1868" s="3" t="n"/>
      <c r="H1868" s="217" t="inlineStr">
        <is>
          <t>"delivery.warehouse.codPrint.collector": "អ្នកគិតលុយ",</t>
        </is>
      </c>
      <c r="I1868" t="inlineStr">
        <is>
          <t>អ្នកគិតលុយ</t>
        </is>
      </c>
    </row>
    <row r="1869">
      <c r="A1869" s="3" t="inlineStr">
        <is>
          <t>delivery.warehouse.codPrint.dateDelivery</t>
        </is>
      </c>
      <c r="B1869" s="3" t="inlineStr">
        <is>
          <t>Ngày PTC</t>
        </is>
      </c>
      <c r="C1869" s="3" t="inlineStr">
        <is>
          <t>PTC Day</t>
        </is>
      </c>
      <c r="D1869" s="217">
        <f>IFERROR(__xludf.DUMMYFUNCTION("GOOGLETRANSLATE(C1869,""vi"",""km"")"),"ទិវា PTC")</f>
        <v/>
      </c>
      <c r="E1869" s="3" t="n"/>
      <c r="F1869" s="3" t="inlineStr">
        <is>
          <t>កាលបរិច្ឆេទដឹកជញ្ជូនជោគជ័យ</t>
        </is>
      </c>
      <c r="G1869" s="3" t="n"/>
      <c r="H1869" s="217" t="inlineStr">
        <is>
          <t>"delivery.warehouse.codPrint.dateDelivery": "កាលបរិច្ឆេទដឹកជញ្ជូនជោគជ័យ",</t>
        </is>
      </c>
      <c r="I1869" t="inlineStr">
        <is>
          <t>កាលបរិច្ឆេទដឹកជញ្ជូនជោគជ័យ</t>
        </is>
      </c>
    </row>
    <row r="1870">
      <c r="A1870" s="3" t="inlineStr">
        <is>
          <t>delivery.warehouse.codPrint.datetime</t>
        </is>
      </c>
      <c r="B1870" s="3" t="inlineStr">
        <is>
          <t>Ngày {{date}} tháng {{month}} năm {{year}}</t>
        </is>
      </c>
      <c r="C1870" s="3" t="inlineStr">
        <is>
          <t>Date {{date}} month {{month}} year {{year}}</t>
        </is>
      </c>
      <c r="D1870" s="217">
        <f>IFERROR(__xludf.DUMMYFUNCTION("GOOGLETRANSLATE(C1870,""vi"",""km"")"),"កាលបរិច្ឆេទ {{date}} ខែ {{month}} ឆ្នាំ {{year}}")</f>
        <v/>
      </c>
      <c r="E1870" s="3" t="n"/>
      <c r="F1870" s="3" t="inlineStr">
        <is>
          <t>កាលបរិច្ឆេទ {{date}} ខែ {{month}} ឆ្នាំ {{year}}</t>
        </is>
      </c>
      <c r="G1870" s="3" t="n"/>
      <c r="H1870" s="217" t="inlineStr">
        <is>
          <t>"delivery.warehouse.codPrint.datetime": "កាលបរិច្ឆេទ {{date}} ខែ {{month}} ឆ្នាំ {{year}}",</t>
        </is>
      </c>
      <c r="I1870" t="inlineStr">
        <is>
          <t>កាលបរិច្ឆេទ {{date}} ខែ {{month}} ឆ្នាំ {{year}}</t>
        </is>
      </c>
    </row>
    <row r="1871">
      <c r="A1871" s="3" t="inlineStr">
        <is>
          <t>delivery.warehouse.codPrint.hours</t>
        </is>
      </c>
      <c r="B1871" s="3" t="inlineStr">
        <is>
          <t>Giờ {{hours}}</t>
        </is>
      </c>
      <c r="C1871" s="3" t="inlineStr">
        <is>
          <t>Hours</t>
        </is>
      </c>
      <c r="D1871" s="217">
        <f>IFERROR(__xludf.DUMMYFUNCTION("GOOGLETRANSLATE(C1871,""vi"",""km"")"),"ម៉ោង")</f>
        <v/>
      </c>
      <c r="E1871" s="3" t="n"/>
      <c r="F1871" s="3" t="inlineStr">
        <is>
          <t>ម៉ោង</t>
        </is>
      </c>
      <c r="G1871" s="3" t="n"/>
      <c r="H1871" s="217" t="inlineStr">
        <is>
          <t>"delivery.warehouse.codPrint.hours": "ម៉ោង",</t>
        </is>
      </c>
      <c r="I1871" t="inlineStr">
        <is>
          <t>ម៉ោង</t>
        </is>
      </c>
    </row>
    <row r="1872">
      <c r="A1872" s="3" t="inlineStr">
        <is>
          <t>delivery.warehouse.codPrint.leader</t>
        </is>
      </c>
      <c r="B1872" s="3" t="inlineStr">
        <is>
          <t>Trưởng bưu cục</t>
        </is>
      </c>
      <c r="C1872" s="3" t="inlineStr">
        <is>
          <t>Post office manager</t>
        </is>
      </c>
      <c r="D1872" s="217">
        <f>IFERROR(__xludf.DUMMYFUNCTION("GOOGLETRANSLATE(C1872,""vi"",""km"")"),"អ្នកគ្រប់គ្រងការិយាល័យប្រៃសណីយ៍")</f>
        <v/>
      </c>
      <c r="E1872" s="3" t="n"/>
      <c r="F1872" s="3" t="inlineStr">
        <is>
          <t>អ្នកគ្រប់គ្រងការិយាល័យប្រៃសណីយ៍</t>
        </is>
      </c>
      <c r="G1872" s="3" t="n"/>
      <c r="H1872" s="217" t="inlineStr">
        <is>
          <t>"delivery.warehouse.codPrint.leader": "អ្នកគ្រប់គ្រងការិយាល័យប្រៃសណីយ៍",</t>
        </is>
      </c>
      <c r="I1872" t="inlineStr">
        <is>
          <t>អ្នកគ្រប់គ្រងការិយាល័យប្រៃសណីយ៍</t>
        </is>
      </c>
    </row>
    <row r="1873">
      <c r="A1873" s="3" t="inlineStr">
        <is>
          <t>delivery.warehouse.codPrint.note</t>
        </is>
      </c>
      <c r="B1873" s="3" t="inlineStr">
        <is>
          <t>Ghi chú</t>
        </is>
      </c>
      <c r="C1873" s="3" t="inlineStr">
        <is>
          <t>Note</t>
        </is>
      </c>
      <c r="D1873" s="217">
        <f>IFERROR(__xludf.DUMMYFUNCTION("GOOGLETRANSLATE(C1873,""vi"",""km"")"),"កំណត់ចំណាំ")</f>
        <v/>
      </c>
      <c r="E1873" s="3" t="n"/>
      <c r="F1873" s="3" t="inlineStr">
        <is>
          <t>ចំណាំ</t>
        </is>
      </c>
      <c r="G1873" s="3" t="n"/>
      <c r="H1873" s="217" t="inlineStr">
        <is>
          <t>"delivery.warehouse.codPrint.note": "ចំណាំ",</t>
        </is>
      </c>
      <c r="I1873" t="inlineStr">
        <is>
          <t>ចំណាំ</t>
        </is>
      </c>
    </row>
    <row r="1874">
      <c r="A1874" s="3" t="inlineStr">
        <is>
          <t>delivery.warehouse.codPrint.orderCode</t>
        </is>
      </c>
      <c r="B1874" s="3" t="inlineStr">
        <is>
          <t>Mã vận đơn</t>
        </is>
      </c>
      <c r="C1874" s="3" t="inlineStr">
        <is>
          <t>Tracking number</t>
        </is>
      </c>
      <c r="D1874" s="217">
        <f>IFERROR(__xludf.DUMMYFUNCTION("GOOGLETRANSLATE(C1874,""vi"",""km"")"),"លេខតាមដាន")</f>
        <v/>
      </c>
      <c r="E1874" s="3" t="n"/>
      <c r="F1874" s="3" t="inlineStr">
        <is>
          <t>លេខកូដបុងបញ្ញើ</t>
        </is>
      </c>
      <c r="G1874" s="3" t="n"/>
      <c r="H1874" s="217" t="inlineStr">
        <is>
          <t>"delivery.warehouse.codPrint.orderCode": "លេខកូដបុងបញ្ញើ",</t>
        </is>
      </c>
      <c r="I1874" t="inlineStr">
        <is>
          <t>លេខកូដបុងបញ្ញើ</t>
        </is>
      </c>
    </row>
    <row r="1875">
      <c r="A1875" s="3" t="inlineStr">
        <is>
          <t>delivery.warehouse.codPrint.payer</t>
        </is>
      </c>
      <c r="B1875" s="3" t="inlineStr">
        <is>
          <t>Người nộp tiền</t>
        </is>
      </c>
      <c r="C1875" s="3" t="inlineStr">
        <is>
          <t>Payer</t>
        </is>
      </c>
      <c r="D1875" s="217">
        <f>IFERROR(__xludf.DUMMYFUNCTION("GOOGLETRANSLATE(C1875,""vi"",""km"")"),"អ្នកបង់ប្រាក់")</f>
        <v/>
      </c>
      <c r="E1875" s="3" t="n"/>
      <c r="F1875" s="3" t="inlineStr">
        <is>
          <t>អ្នកបង់ប្រាក់</t>
        </is>
      </c>
      <c r="G1875" s="3" t="n"/>
      <c r="H1875" s="217" t="inlineStr">
        <is>
          <t>"delivery.warehouse.codPrint.payer": "អ្នកបង់ប្រាក់",</t>
        </is>
      </c>
      <c r="I1875" t="inlineStr">
        <is>
          <t>អ្នកបង់ប្រាក់</t>
        </is>
      </c>
    </row>
    <row r="1876">
      <c r="A1876" s="3" t="inlineStr">
        <is>
          <t>delivery.warehouse.codPrint.postmanId</t>
        </is>
      </c>
      <c r="B1876" s="3" t="inlineStr">
        <is>
          <t>Mã bưu tá</t>
        </is>
      </c>
      <c r="C1876" s="3" t="inlineStr">
        <is>
          <t>Postal Code</t>
        </is>
      </c>
      <c r="D1876" s="217">
        <f>IFERROR(__xludf.DUMMYFUNCTION("GOOGLETRANSLATE(C1876,""vi"",""km"")"),"លេខកូដប្រៃសណីយ៍")</f>
        <v/>
      </c>
      <c r="E1876" s="3" t="n"/>
      <c r="F1876" s="3" t="inlineStr">
        <is>
          <t>លេខកូដប្រៃសណីយ៍</t>
        </is>
      </c>
      <c r="G1876" s="3" t="n"/>
      <c r="H1876" s="217" t="inlineStr">
        <is>
          <t>"delivery.warehouse.codPrint.postmanId": "លេខកូដប្រៃសណីយ៍",</t>
        </is>
      </c>
      <c r="I1876" t="inlineStr">
        <is>
          <t>លេខកូដប្រៃសណីយ៍</t>
        </is>
      </c>
    </row>
    <row r="1877">
      <c r="A1877" s="3" t="inlineStr">
        <is>
          <t>delivery.warehouse.codPrint.postnameName</t>
        </is>
      </c>
      <c r="B1877" s="3" t="inlineStr">
        <is>
          <t>Tên bưu tá</t>
        </is>
      </c>
      <c r="C1877" s="3" t="inlineStr">
        <is>
          <t>Postman's name</t>
        </is>
      </c>
      <c r="D1877" s="217">
        <f>IFERROR(__xludf.DUMMYFUNCTION("GOOGLETRANSLATE(C1877,""vi"",""km"")"),"ឈ្មោះអ្នកប្រៃសណីយ៍")</f>
        <v/>
      </c>
      <c r="E1877" s="3" t="n"/>
      <c r="F1877" s="3" t="inlineStr">
        <is>
          <t>ឈ្មោះអ្នកប្រៃសណីយ៍</t>
        </is>
      </c>
      <c r="G1877" s="3" t="n"/>
      <c r="H1877" s="217" t="inlineStr">
        <is>
          <t>"delivery.warehouse.codPrint.postnameName": "ឈ្មោះអ្នកប្រៃសណីយ៍",</t>
        </is>
      </c>
      <c r="I1877" t="inlineStr">
        <is>
          <t>ឈ្មោះអ្នកប្រៃសណីយ៍</t>
        </is>
      </c>
    </row>
    <row r="1878">
      <c r="A1878" s="3" t="inlineStr">
        <is>
          <t>delivery.warehouse.codPrint.print</t>
        </is>
      </c>
      <c r="B1878" s="3" t="inlineStr">
        <is>
          <t>In phiếu</t>
        </is>
      </c>
      <c r="C1878" s="3" t="inlineStr">
        <is>
          <t>Print receipts</t>
        </is>
      </c>
      <c r="D1878" s="217">
        <f>IFERROR(__xludf.DUMMYFUNCTION("GOOGLETRANSLATE(C1878,""vi"",""km"")"),"បោះពុម្ពបង្កាន់ដៃ")</f>
        <v/>
      </c>
      <c r="E1878" s="3" t="n"/>
      <c r="F1878" s="3" t="inlineStr">
        <is>
          <t>ព្រីនបុងបញ្ញើ</t>
        </is>
      </c>
      <c r="G1878" s="3" t="n"/>
      <c r="H1878" s="217" t="inlineStr">
        <is>
          <t>"delivery.warehouse.codPrint.print": "ព្រីនបុងបញ្ញើ",</t>
        </is>
      </c>
      <c r="I1878" t="inlineStr">
        <is>
          <t>ព្រីនបុងបញ្ញើ</t>
        </is>
      </c>
    </row>
    <row r="1879">
      <c r="A1879" s="3" t="inlineStr">
        <is>
          <t>delivery.warehouse.codPrint.title</t>
        </is>
      </c>
      <c r="B1879" s="3" t="inlineStr">
        <is>
          <t>BẢNG KÊ THU TIỀN</t>
        </is>
      </c>
      <c r="C1879" s="3" t="inlineStr">
        <is>
          <t>RECEIPT OF PAYMENTS</t>
        </is>
      </c>
      <c r="D1879" s="217">
        <f>IFERROR(__xludf.DUMMYFUNCTION("GOOGLETRANSLATE(C1879,""vi"",""km"")"),"បង្កាន់ដៃបង់ប្រាក់")</f>
        <v/>
      </c>
      <c r="E1879" s="3" t="n"/>
      <c r="F1879" s="3" t="inlineStr">
        <is>
          <t>បុងបញ្ញើបង់ប្រាក់</t>
        </is>
      </c>
      <c r="G1879" s="3" t="n"/>
      <c r="H1879" s="217" t="inlineStr">
        <is>
          <t>"delivery.warehouse.codPrint.title": "បុងបញ្ញើបង់ប្រាក់",</t>
        </is>
      </c>
      <c r="I1879" t="inlineStr">
        <is>
          <t>បុងបញ្ញើបង់ប្រាក់</t>
        </is>
      </c>
    </row>
    <row r="1880">
      <c r="A1880" s="3" t="inlineStr">
        <is>
          <t>delivery.warehouse.config.NotDefault</t>
        </is>
      </c>
      <c r="B1880" s="3" t="inlineStr">
        <is>
          <t>Không mặc định</t>
        </is>
      </c>
      <c r="C1880" s="3" t="inlineStr">
        <is>
          <t>Not default</t>
        </is>
      </c>
      <c r="D1880" s="217">
        <f>IFERROR(__xludf.DUMMYFUNCTION("GOOGLETRANSLATE(C1880,""vi"",""km"")"),"មិនមែនជាលំនាំដើមទេ")</f>
        <v/>
      </c>
      <c r="E1880" s="3" t="n"/>
      <c r="F1880" s="3" t="inlineStr">
        <is>
          <t>មិនកំណត់ជាលំនាំដើម</t>
        </is>
      </c>
      <c r="G1880" s="3" t="n"/>
      <c r="H1880" s="217" t="inlineStr">
        <is>
          <t>"delivery.warehouse.config.NotDefault": "មិនកំណត់ជាលំនាំដើម",</t>
        </is>
      </c>
      <c r="I1880" t="inlineStr">
        <is>
          <t>មិនកំណត់ជាលំនាំដើម</t>
        </is>
      </c>
    </row>
    <row r="1881">
      <c r="A1881" s="3" t="inlineStr">
        <is>
          <t>delivery.warehouse.config.default</t>
        </is>
      </c>
      <c r="B1881" s="3" t="inlineStr">
        <is>
          <t>Mặc định</t>
        </is>
      </c>
      <c r="C1881" s="3" t="inlineStr">
        <is>
          <t>Default</t>
        </is>
      </c>
      <c r="D1881" s="217">
        <f>IFERROR(__xludf.DUMMYFUNCTION("GOOGLETRANSLATE(C1881,""vi"",""km"")"),"លំនាំដើម")</f>
        <v/>
      </c>
      <c r="E1881" s="3" t="n"/>
      <c r="F1881" s="3" t="inlineStr">
        <is>
          <t>លំនាំដើម</t>
        </is>
      </c>
      <c r="G1881" s="3" t="n"/>
      <c r="H1881" s="217" t="inlineStr">
        <is>
          <t>"delivery.warehouse.config.default": "លំនាំដើម",</t>
        </is>
      </c>
      <c r="I1881" t="inlineStr">
        <is>
          <t>លំនាំដើម</t>
        </is>
      </c>
    </row>
    <row r="1882">
      <c r="A1882" s="3" t="inlineStr">
        <is>
          <t>delivery.warehouse.configDelivery.ACTIVE</t>
        </is>
      </c>
      <c r="B1882" s="3" t="inlineStr">
        <is>
          <t>Hoạt động</t>
        </is>
      </c>
      <c r="C1882" s="3" t="inlineStr">
        <is>
          <t>Active</t>
        </is>
      </c>
      <c r="D1882" s="217">
        <f>IFERROR(__xludf.DUMMYFUNCTION("GOOGLETRANSLATE(C1882,""vi"",""km"")"),"សកម្ម")</f>
        <v/>
      </c>
      <c r="E1882" s="3" t="n"/>
      <c r="F1882" s="3" t="inlineStr">
        <is>
          <t>ដំណើរការ</t>
        </is>
      </c>
      <c r="G1882" s="3" t="n"/>
      <c r="H1882" s="217" t="inlineStr">
        <is>
          <t>"delivery.warehouse.configDelivery.ACTIVE": "ដំណើរការ",</t>
        </is>
      </c>
      <c r="I1882" t="inlineStr">
        <is>
          <t>ដំណើរការ</t>
        </is>
      </c>
    </row>
    <row r="1883">
      <c r="A1883" s="3" t="inlineStr">
        <is>
          <t>delivery.warehouse.configDelivery.INACTIVE</t>
        </is>
      </c>
      <c r="B1883" s="3" t="inlineStr">
        <is>
          <t>Không hoạt động</t>
        </is>
      </c>
      <c r="C1883" s="3" t="inlineStr">
        <is>
          <t>Inactive</t>
        </is>
      </c>
      <c r="D1883" s="217">
        <f>IFERROR(__xludf.DUMMYFUNCTION("GOOGLETRANSLATE(C1883,""vi"",""km"")"),"អសកម្ម")</f>
        <v/>
      </c>
      <c r="E1883" s="3" t="n"/>
      <c r="F1883" s="3" t="inlineStr">
        <is>
          <t>អសកម្ម</t>
        </is>
      </c>
      <c r="G1883" s="3" t="n"/>
      <c r="H1883" s="217" t="inlineStr">
        <is>
          <t>"delivery.warehouse.configDelivery.INACTIVE": "អសកម្ម",</t>
        </is>
      </c>
      <c r="I1883" t="inlineStr">
        <is>
          <t>អសកម្ម</t>
        </is>
      </c>
    </row>
    <row r="1884">
      <c r="A1884" s="3" t="inlineStr">
        <is>
          <t>delivery.warehouse.configDelivery.box</t>
        </is>
      </c>
      <c r="B1884" s="3" t="inlineStr">
        <is>
          <t>Hộp</t>
        </is>
      </c>
      <c r="C1884" s="3" t="inlineStr">
        <is>
          <t>Box</t>
        </is>
      </c>
      <c r="D1884" s="217">
        <f>IFERROR(__xludf.DUMMYFUNCTION("GOOGLETRANSLATE(C1884,""vi"",""km"")"),"ប្រអប់")</f>
        <v/>
      </c>
      <c r="E1884" s="3" t="n"/>
      <c r="F1884" s="3" t="inlineStr">
        <is>
          <t>ប្រអប់</t>
        </is>
      </c>
      <c r="G1884" s="3" t="n"/>
      <c r="H1884" s="217" t="inlineStr">
        <is>
          <t>"delivery.warehouse.configDelivery.box": "ប្រអប់",</t>
        </is>
      </c>
      <c r="I1884" t="inlineStr">
        <is>
          <t>ប្រអប់</t>
        </is>
      </c>
    </row>
    <row r="1885">
      <c r="A1885" s="3" t="inlineStr">
        <is>
          <t>delivery.warehouse.configDelivery.getDetailFail</t>
        </is>
      </c>
      <c r="B1885" s="3" t="inlineStr">
        <is>
          <t>Lỗi dữ liệu chi tiết tuyến giao</t>
        </is>
      </c>
      <c r="C1885" s="3" t="inlineStr">
        <is>
          <t>Error in route detail data</t>
        </is>
      </c>
      <c r="D1885" s="217">
        <f>IFERROR(__xludf.DUMMYFUNCTION("GOOGLETRANSLATE(C1885,""vi"",""km"")"),"កំហុសក្នុងទិន្នន័យលម្អិតផ្លូវ")</f>
        <v/>
      </c>
      <c r="E1885" s="3" t="n"/>
      <c r="F1885" s="3" t="inlineStr">
        <is>
          <t>កំហុសក្នុងទិន្នន័យលម្អិតផ្លូវ</t>
        </is>
      </c>
      <c r="G1885" s="3" t="n"/>
      <c r="H1885" s="217" t="inlineStr">
        <is>
          <t>"delivery.warehouse.configDelivery.getDetailFail": "កំហុសក្នុងទិន្នន័យលម្អិតផ្លូវ",</t>
        </is>
      </c>
      <c r="I1885" t="inlineStr">
        <is>
          <t>កំហុសក្នុងទិន្នន័យលម្អិតផ្លូវ</t>
        </is>
      </c>
    </row>
    <row r="1886">
      <c r="A1886" s="3" t="inlineStr">
        <is>
          <t>delivery.warehouse.configDelivery.leaderRoute</t>
        </is>
      </c>
      <c r="B1886" s="3" t="inlineStr">
        <is>
          <t>Mặc định</t>
        </is>
      </c>
      <c r="C1886" s="3" t="inlineStr">
        <is>
          <t>Default</t>
        </is>
      </c>
      <c r="D1886" s="217">
        <f>IFERROR(__xludf.DUMMYFUNCTION("GOOGLETRANSLATE(C1886,""vi"",""km"")"),"លំនាំដើម")</f>
        <v/>
      </c>
      <c r="E1886" s="3" t="n"/>
      <c r="F1886" s="3" t="inlineStr">
        <is>
          <t>លំនាំដើម</t>
        </is>
      </c>
      <c r="G1886" s="3" t="n"/>
      <c r="H1886" s="217" t="inlineStr">
        <is>
          <t>"delivery.warehouse.configDelivery.leaderRoute": "លំនាំដើម",</t>
        </is>
      </c>
      <c r="I1886" t="inlineStr">
        <is>
          <t>លំនាំដើម</t>
        </is>
      </c>
    </row>
    <row r="1887">
      <c r="A1887" s="3" t="inlineStr">
        <is>
          <t>delivery.warehouse.configDelivery.nameRoute</t>
        </is>
      </c>
      <c r="B1887" s="3" t="inlineStr">
        <is>
          <t>Tuyến</t>
        </is>
      </c>
      <c r="C1887" s="3" t="inlineStr">
        <is>
          <t>Route</t>
        </is>
      </c>
      <c r="D1887" s="217">
        <f>IFERROR(__xludf.DUMMYFUNCTION("GOOGLETRANSLATE(C1887,""vi"",""km"")"),"ផ្លូវ")</f>
        <v/>
      </c>
      <c r="E1887" s="3" t="n"/>
      <c r="F1887" s="3" t="inlineStr">
        <is>
          <t>ផ្លូវ</t>
        </is>
      </c>
      <c r="G1887" s="3" t="n"/>
      <c r="H1887" s="217" t="inlineStr">
        <is>
          <t>"delivery.warehouse.configDelivery.nameRoute": "ផ្លូវ",</t>
        </is>
      </c>
      <c r="I1887" t="inlineStr">
        <is>
          <t>ផ្លូវ</t>
        </is>
      </c>
    </row>
    <row r="1888">
      <c r="A1888" s="3" t="inlineStr">
        <is>
          <t>delivery.warehouse.configDelivery.searchPlaceholder</t>
        </is>
      </c>
      <c r="B1888" s="3" t="inlineStr">
        <is>
          <t>Nhập tên tuyến hoặc số hộp</t>
        </is>
      </c>
      <c r="C1888" s="3" t="inlineStr">
        <is>
          <t>Enter route name or box number</t>
        </is>
      </c>
      <c r="D1888" s="217">
        <f>IFERROR(__xludf.DUMMYFUNCTION("GOOGLETRANSLATE(C1888,""vi"",""km"")"),"បញ្ចូលឈ្មោះផ្លូវ ឬលេខប្រអប់")</f>
        <v/>
      </c>
      <c r="E1888" s="3" t="n"/>
      <c r="F1888" s="3" t="inlineStr">
        <is>
          <t>បញ្ចូលឈ្មោះផ្លូវ ឬលេខប្រអប់</t>
        </is>
      </c>
      <c r="G1888" s="3" t="n"/>
      <c r="H1888" s="217" t="inlineStr">
        <is>
          <t>"delivery.warehouse.configDelivery.searchPlaceholder": "បញ្ចូលឈ្មោះផ្លូវ ឬលេខប្រអប់",</t>
        </is>
      </c>
      <c r="I1888" t="inlineStr">
        <is>
          <t>បញ្ចូលឈ្មោះផ្លូវ ឬលេខប្រអប់</t>
        </is>
      </c>
    </row>
    <row r="1889">
      <c r="A1889" s="3" t="inlineStr">
        <is>
          <t>delivery.warehouse.configDelivery.status</t>
        </is>
      </c>
      <c r="B1889" s="3" t="inlineStr">
        <is>
          <t>Trạng thái</t>
        </is>
      </c>
      <c r="C1889" s="3" t="inlineStr">
        <is>
          <t>Status</t>
        </is>
      </c>
      <c r="D1889" s="217">
        <f>IFERROR(__xludf.DUMMYFUNCTION("GOOGLETRANSLATE(C1889,""vi"",""km"")"),"ស្ថានភាព")</f>
        <v/>
      </c>
      <c r="E1889" s="3" t="n"/>
      <c r="F1889" s="3" t="inlineStr">
        <is>
          <t>ស្ថានភាព</t>
        </is>
      </c>
      <c r="G1889" s="3" t="n"/>
      <c r="H1889" s="217" t="inlineStr">
        <is>
          <t>"delivery.warehouse.configDelivery.status": "ស្ថានភាព",</t>
        </is>
      </c>
      <c r="I1889" t="inlineStr">
        <is>
          <t>ស្ថានភាព</t>
        </is>
      </c>
    </row>
    <row r="1890">
      <c r="A1890" s="3" t="inlineStr">
        <is>
          <t>delivery.warehouse.configDelivery.total</t>
        </is>
      </c>
      <c r="B1890" s="3" t="inlineStr">
        <is>
          <t>Tổng số tuyến giao</t>
        </is>
      </c>
      <c r="C1890" s="3" t="inlineStr">
        <is>
          <t>Total route</t>
        </is>
      </c>
      <c r="D1890" s="217">
        <f>IFERROR(__xludf.DUMMYFUNCTION("GOOGLETRANSLATE(C1890,""vi"",""km"")"),"ផ្លូវសរុប")</f>
        <v/>
      </c>
      <c r="E1890" s="3" t="n"/>
      <c r="F1890" s="3" t="inlineStr">
        <is>
          <t>ផ្លូវសរុប</t>
        </is>
      </c>
      <c r="G1890" s="3" t="n"/>
      <c r="H1890" s="217" t="inlineStr">
        <is>
          <t>"delivery.warehouse.configDelivery.total": "ផ្លូវសរុប",</t>
        </is>
      </c>
      <c r="I1890" t="inlineStr">
        <is>
          <t>ផ្លូវសរុប</t>
        </is>
      </c>
    </row>
    <row r="1891">
      <c r="A1891" s="3" t="inlineStr">
        <is>
          <t>delivery.warehouse.configDelivery.updateAt</t>
        </is>
      </c>
      <c r="B1891" s="3" t="inlineStr">
        <is>
          <t>Ngày cập nhật</t>
        </is>
      </c>
      <c r="C1891" s="3" t="inlineStr">
        <is>
          <t>Updated time</t>
        </is>
      </c>
      <c r="D1891" s="217">
        <f>IFERROR(__xludf.DUMMYFUNCTION("GOOGLETRANSLATE(C1891,""vi"",""km"")"),"ពេលវេលាដែលបានធ្វើបច្ចុប្បន្នភាព")</f>
        <v/>
      </c>
      <c r="E1891" s="3" t="n"/>
      <c r="F1891" s="3" t="inlineStr">
        <is>
          <t>ពេលវេលាដែលបានធ្វើបច្ចុប្បន្នភាព</t>
        </is>
      </c>
      <c r="G1891" s="3" t="n"/>
      <c r="H1891" s="217" t="inlineStr">
        <is>
          <t>"delivery.warehouse.configDelivery.updateAt": "ពេលវេលាដែលបានធ្វើបច្ចុប្បន្នភាព",</t>
        </is>
      </c>
      <c r="I1891" t="inlineStr">
        <is>
          <t>ពេលវេលាដែលបានធ្វើបច្ចុប្បន្នភាព</t>
        </is>
      </c>
    </row>
    <row r="1892">
      <c r="A1892" s="3" t="inlineStr">
        <is>
          <t>delivery.warehouse.configDelivery.updateBy</t>
        </is>
      </c>
      <c r="B1892" s="3" t="inlineStr">
        <is>
          <t>Người cập nhật</t>
        </is>
      </c>
      <c r="C1892" s="3" t="inlineStr">
        <is>
          <t>Updater</t>
        </is>
      </c>
      <c r="D1892" s="217">
        <f>IFERROR(__xludf.DUMMYFUNCTION("GOOGLETRANSLATE(C1892,""vi"",""km"")"),"កម្មវិធីធ្វើបច្ចុប្បន្នភាព")</f>
        <v/>
      </c>
      <c r="E1892" s="3" t="n"/>
      <c r="F1892" s="3" t="inlineStr">
        <is>
          <t>កម្មវិធីធ្វើបច្ចុប្បន្នភាព</t>
        </is>
      </c>
      <c r="G1892" s="3" t="n"/>
      <c r="H1892" s="217" t="inlineStr">
        <is>
          <t>"delivery.warehouse.configDelivery.updateBy": "កម្មវិធីធ្វើបច្ចុប្បន្នភាព",</t>
        </is>
      </c>
      <c r="I1892" t="inlineStr">
        <is>
          <t>កម្មវិធីធ្វើបច្ចុប្បន្នភាព</t>
        </is>
      </c>
    </row>
    <row r="1893">
      <c r="A1893" s="3" t="inlineStr">
        <is>
          <t>delivery.warehouse.configReceivingDelivery.delivery</t>
        </is>
      </c>
      <c r="B1893" s="3" t="inlineStr">
        <is>
          <t>Cấu hình tuyến giao</t>
        </is>
      </c>
      <c r="C1893" s="3" t="inlineStr">
        <is>
          <t>Config of delivery route</t>
        </is>
      </c>
      <c r="D1893" s="217">
        <f>IFERROR(__xludf.DUMMYFUNCTION("GOOGLETRANSLATE(C1893,""vi"",""km"")"),"ការកំណត់រចនាសម្ព័ន្ធផ្លូវដឹកជញ្ជូន")</f>
        <v/>
      </c>
      <c r="E1893" s="3" t="n"/>
      <c r="F1893" s="3" t="inlineStr">
        <is>
          <t>ការកំណត់រចនាសម្ព័ន្ធផ្លូវដឹកជញ្ជូន</t>
        </is>
      </c>
      <c r="G1893" s="3" t="n"/>
      <c r="H1893" s="217" t="inlineStr">
        <is>
          <t>"delivery.warehouse.configReceivingDelivery.delivery": "ការកំណត់រចនាសម្ព័ន្ធផ្លូវដឹកជញ្ជូន",</t>
        </is>
      </c>
      <c r="I1893" t="inlineStr">
        <is>
          <t>ការកំណត់រចនាសម្ព័ន្ធផ្លូវដឹកជញ្ជូន</t>
        </is>
      </c>
    </row>
    <row r="1894">
      <c r="A1894" s="3" t="inlineStr">
        <is>
          <t>delivery.warehouse.configReceivingDelivery.receiving</t>
        </is>
      </c>
      <c r="B1894" s="3" t="inlineStr">
        <is>
          <t>Cấu hình tuyến nhận</t>
        </is>
      </c>
      <c r="C1894" s="3" t="inlineStr">
        <is>
          <t>Config of receiving route</t>
        </is>
      </c>
      <c r="D1894" s="217">
        <f>IFERROR(__xludf.DUMMYFUNCTION("GOOGLETRANSLATE(C1894,""vi"",""km"")"),"ការកំណត់រចនាសម្ព័ន្ធផ្លូវទទួល")</f>
        <v/>
      </c>
      <c r="E1894" s="3" t="n"/>
      <c r="F1894" s="3" t="inlineStr">
        <is>
          <t>ការកំណត់រចនាសម្ព័ន្ធផ្លូវទទួល</t>
        </is>
      </c>
      <c r="G1894" s="3" t="n"/>
      <c r="H1894" s="217" t="inlineStr">
        <is>
          <t>"delivery.warehouse.configReceivingDelivery.receiving": "ការកំណត់រចនាសម្ព័ន្ធផ្លូវទទួល",</t>
        </is>
      </c>
      <c r="I1894" t="inlineStr">
        <is>
          <t>ការកំណត់រចនាសម្ព័ន្ធផ្លូវទទួល</t>
        </is>
      </c>
    </row>
    <row r="1895">
      <c r="A1895" s="3" t="inlineStr">
        <is>
          <t>delivery.warehouse.configRoute.area</t>
        </is>
      </c>
      <c r="B1895" s="3" t="inlineStr">
        <is>
          <t>Địa danh</t>
        </is>
      </c>
      <c r="C1895" s="3" t="inlineStr">
        <is>
          <t>Area</t>
        </is>
      </c>
      <c r="D1895" s="217">
        <f>IFERROR(__xludf.DUMMYFUNCTION("GOOGLETRANSLATE(C1895,""vi"",""km"")"),"បង្ហូរ")</f>
        <v/>
      </c>
      <c r="E1895" s="3" t="n"/>
      <c r="F1895" s="3" t="inlineStr">
        <is>
          <t>ទីតាំងភូមិសាស្ត្រ</t>
        </is>
      </c>
      <c r="G1895" s="3" t="n"/>
      <c r="H1895" s="217" t="inlineStr">
        <is>
          <t>"delivery.warehouse.configRoute.area": "ទីតាំងភូមិសាស្ត្រ",</t>
        </is>
      </c>
      <c r="I1895" t="inlineStr">
        <is>
          <t>ទីតាំងភូមិសាស្ត្រ</t>
        </is>
      </c>
    </row>
    <row r="1896">
      <c r="A1896" s="3" t="inlineStr">
        <is>
          <t>delivery.warehouse.configRoute.createConfig</t>
        </is>
      </c>
      <c r="B1896" s="3" t="inlineStr">
        <is>
          <t>Thêm mới cấu hình</t>
        </is>
      </c>
      <c r="C1896" s="3" t="inlineStr">
        <is>
          <t>Create new config</t>
        </is>
      </c>
      <c r="D1896" s="217">
        <f>IFERROR(__xludf.DUMMYFUNCTION("GOOGLETRANSLATE(C1896,""vi"",""km"")"),"បង្កើតការកំណត់រចនាសម្ព័ន្ធថ្មី")</f>
        <v/>
      </c>
      <c r="E1896" s="3" t="n"/>
      <c r="F1896" s="3" t="inlineStr">
        <is>
          <t>បន្ថែមការកំណត់ថ្មី</t>
        </is>
      </c>
      <c r="G1896" s="3" t="n"/>
      <c r="H1896" s="217" t="inlineStr">
        <is>
          <t>"delivery.warehouse.configRoute.createConfig": "បន្ថែមការកំណត់ថ្មី",</t>
        </is>
      </c>
      <c r="I1896" t="inlineStr">
        <is>
          <t>បន្ថែមការកំណត់ថ្មី</t>
        </is>
      </c>
    </row>
    <row r="1897">
      <c r="A1897" s="3" t="inlineStr">
        <is>
          <t>delivery.warehouse.configRoute.minKeyword</t>
        </is>
      </c>
      <c r="B1897" s="3" t="inlineStr">
        <is>
          <t>Tìm kiếm tối thiếu 2 kí tự</t>
        </is>
      </c>
      <c r="C1897" s="3" t="inlineStr">
        <is>
          <t>Minimum 2 characters for search pickup route</t>
        </is>
      </c>
      <c r="D1897" s="217">
        <f>IFERROR(__xludf.DUMMYFUNCTION("GOOGLETRANSLATE(C1897,""vi"",""km"")"),"យ៉ាងតិច 2 តួអក្សរសម្រាប់ផ្លូវស្វែងរក")</f>
        <v/>
      </c>
      <c r="E1897" s="3" t="n"/>
      <c r="F1897" s="3" t="inlineStr">
        <is>
          <t>យ៉ាងតិច 2 តួអក្សរសម្រាប់ផ្លូវស្វែងរក</t>
        </is>
      </c>
      <c r="G1897" s="3" t="n"/>
      <c r="H1897" s="217" t="inlineStr">
        <is>
          <t>"delivery.warehouse.configRoute.minKeyword": "យ៉ាងតិច 2 តួអក្សរសម្រាប់ផ្លូវស្វែងរក",</t>
        </is>
      </c>
      <c r="I1897" t="inlineStr">
        <is>
          <t>យ៉ាងតិច 2 តួអក្សរសម្រាប់ផ្លូវស្វែងរក</t>
        </is>
      </c>
    </row>
    <row r="1898">
      <c r="A1898" s="3" t="inlineStr">
        <is>
          <t>delivery.warehouse.configRoute.postman</t>
        </is>
      </c>
      <c r="B1898" s="3" t="inlineStr">
        <is>
          <t>Bưu tá</t>
        </is>
      </c>
      <c r="C1898" s="3" t="inlineStr">
        <is>
          <t>Postman</t>
        </is>
      </c>
      <c r="D1898" s="217">
        <f>IFERROR(__xludf.DUMMYFUNCTION("GOOGLETRANSLATE(C1898,""vi"",""km"")"),"អ្នករត់សំបុត្រ")</f>
        <v/>
      </c>
      <c r="E1898" s="3" t="n"/>
      <c r="F1898" s="3" t="inlineStr">
        <is>
          <t>បុគ្គលិកដឹកជញ្ជូន</t>
        </is>
      </c>
      <c r="G1898" s="3" t="n"/>
      <c r="H1898" s="217" t="inlineStr">
        <is>
          <t>"delivery.warehouse.configRoute.postman": "បុគ្គលិកដឹកជញ្ជូន",</t>
        </is>
      </c>
      <c r="I1898" t="inlineStr">
        <is>
          <t>បុគ្គលិកដឹកជញ្ជូន</t>
        </is>
      </c>
    </row>
    <row r="1899">
      <c r="A1899" s="3" t="inlineStr">
        <is>
          <t>delivery.warehouse.configRoute.route</t>
        </is>
      </c>
      <c r="B1899" s="3" t="inlineStr">
        <is>
          <t>Tuyến</t>
        </is>
      </c>
      <c r="C1899" s="3" t="inlineStr">
        <is>
          <t>Route</t>
        </is>
      </c>
      <c r="D1899" s="217">
        <f>IFERROR(__xludf.DUMMYFUNCTION("GOOGLETRANSLATE(C1899,""vi"",""km"")"),"ផ្លូវ")</f>
        <v/>
      </c>
      <c r="E1899" s="3" t="n"/>
      <c r="F1899" s="3" t="inlineStr">
        <is>
          <t>ផ្លូវ</t>
        </is>
      </c>
      <c r="G1899" s="3" t="n"/>
      <c r="H1899" s="217" t="inlineStr">
        <is>
          <t>"delivery.warehouse.configRoute.route": "ផ្លូវ",</t>
        </is>
      </c>
      <c r="I1899" t="inlineStr">
        <is>
          <t>ផ្លូវ</t>
        </is>
      </c>
    </row>
    <row r="1900">
      <c r="A1900" s="3" t="inlineStr">
        <is>
          <t>delivery.warehouse.configRoute.routeInformation</t>
        </is>
      </c>
      <c r="B1900" s="3" t="inlineStr">
        <is>
          <t>Thông tin tuyến</t>
        </is>
      </c>
      <c r="C1900" s="3" t="inlineStr">
        <is>
          <t>Route information</t>
        </is>
      </c>
      <c r="D1900" s="217">
        <f>IFERROR(__xludf.DUMMYFUNCTION("GOOGLETRANSLATE(C1900,""vi"",""km"")"),"ព័ត៌មានផ្លូវ")</f>
        <v/>
      </c>
      <c r="E1900" s="3" t="n"/>
      <c r="F1900" s="3" t="inlineStr">
        <is>
          <t>ព័ត៌មានផ្លូវ</t>
        </is>
      </c>
      <c r="G1900" s="3" t="n"/>
      <c r="H1900" s="217" t="inlineStr">
        <is>
          <t>"delivery.warehouse.configRoute.routeInformation": "ព័ត៌មានផ្លូវ",</t>
        </is>
      </c>
      <c r="I1900" t="inlineStr">
        <is>
          <t>ព័ត៌មានផ្លូវ</t>
        </is>
      </c>
    </row>
    <row r="1901">
      <c r="A1901" s="3" t="inlineStr">
        <is>
          <t>delivery.warehouse.configRoute.route_leader</t>
        </is>
      </c>
      <c r="B1901" s="3" t="inlineStr">
        <is>
          <t>Mặc định</t>
        </is>
      </c>
      <c r="C1901" s="3" t="inlineStr">
        <is>
          <t>Route Lead</t>
        </is>
      </c>
      <c r="D1901" s="217">
        <f>IFERROR(__xludf.DUMMYFUNCTION("GOOGLETRANSLATE(C1901,""vi"",""km"")"),"នាំមុខផ្លូវ")</f>
        <v/>
      </c>
      <c r="E1901" s="3" t="n"/>
      <c r="F1901" s="3" t="inlineStr">
        <is>
          <t>លំនាំដើម</t>
        </is>
      </c>
      <c r="G1901" s="3" t="n"/>
      <c r="H1901" s="217" t="inlineStr">
        <is>
          <t>"delivery.warehouse.configRoute.route_leader": "លំនាំដើម",</t>
        </is>
      </c>
      <c r="I1901" t="inlineStr">
        <is>
          <t>លំនាំដើម</t>
        </is>
      </c>
    </row>
    <row r="1902">
      <c r="A1902" s="3" t="inlineStr">
        <is>
          <t>delivery.warehouse.configRoute.searchKeyword</t>
        </is>
      </c>
      <c r="B1902" s="3" t="inlineStr">
        <is>
          <t>Tuyến nhận</t>
        </is>
      </c>
      <c r="C1902" s="3" t="inlineStr">
        <is>
          <t>Pickup route</t>
        </is>
      </c>
      <c r="D1902" s="217">
        <f>IFERROR(__xludf.DUMMYFUNCTION("GOOGLETRANSLATE(C1902,""vi"",""km"")"),"ផ្លូវទៅយក")</f>
        <v/>
      </c>
      <c r="E1902" s="3" t="n"/>
      <c r="F1902" s="3" t="inlineStr">
        <is>
          <t>ផ្លូវទៅយក</t>
        </is>
      </c>
      <c r="G1902" s="3" t="n"/>
      <c r="H1902" s="217" t="inlineStr">
        <is>
          <t>"delivery.warehouse.configRoute.searchKeyword": "ផ្លូវទៅយក",</t>
        </is>
      </c>
      <c r="I1902" t="inlineStr">
        <is>
          <t>ផ្លូវទៅយក</t>
        </is>
      </c>
    </row>
    <row r="1903">
      <c r="A1903" s="3" t="inlineStr">
        <is>
          <t>delivery.warehouse.configRoute.searchPlaceholder</t>
        </is>
      </c>
      <c r="B1903" s="3" t="inlineStr">
        <is>
          <t>Nhập tên tuyến</t>
        </is>
      </c>
      <c r="C1903" s="3" t="inlineStr">
        <is>
          <t>Enter pickup route</t>
        </is>
      </c>
      <c r="D1903" s="217">
        <f>IFERROR(__xludf.DUMMYFUNCTION("GOOGLETRANSLATE(C1903,""vi"",""km"")"),"បញ្ចូលផ្លូវទៅយក")</f>
        <v/>
      </c>
      <c r="E1903" s="3" t="n"/>
      <c r="F1903" s="3" t="inlineStr">
        <is>
          <t>បញ្ចូលផ្លូវទៅយក</t>
        </is>
      </c>
      <c r="G1903" s="3" t="n"/>
      <c r="H1903" s="217" t="inlineStr">
        <is>
          <t>"delivery.warehouse.configRoute.searchPlaceholder": "បញ្ចូលផ្លូវទៅយក",</t>
        </is>
      </c>
      <c r="I1903" t="inlineStr">
        <is>
          <t>បញ្ចូលផ្លូវទៅយក</t>
        </is>
      </c>
    </row>
    <row r="1904">
      <c r="A1904" s="3" t="inlineStr">
        <is>
          <t>delivery.warehouse.configRoute.timeUpdate</t>
        </is>
      </c>
      <c r="B1904" s="3" t="inlineStr">
        <is>
          <t>Ngày cập nhật</t>
        </is>
      </c>
      <c r="C1904" s="3" t="inlineStr">
        <is>
          <t>Update at</t>
        </is>
      </c>
      <c r="D1904" s="217">
        <f>IFERROR(__xludf.DUMMYFUNCTION("GOOGLETRANSLATE(C1904,""vi"",""km"")"),"ធ្វើបច្ចុប្បន្នភាពនៅ")</f>
        <v/>
      </c>
      <c r="E1904" s="3" t="n"/>
      <c r="F1904" s="3" t="inlineStr">
        <is>
          <t>ធ្វើបច្ចុប្បន្នភាពនៅ</t>
        </is>
      </c>
      <c r="G1904" s="3" t="n"/>
      <c r="H1904" s="217" t="inlineStr">
        <is>
          <t>"delivery.warehouse.configRoute.timeUpdate": "ធ្វើបច្ចុប្បន្នភាពនៅ",</t>
        </is>
      </c>
      <c r="I1904" t="inlineStr">
        <is>
          <t>ធ្វើបច្ចុប្បន្នភាពនៅ</t>
        </is>
      </c>
    </row>
    <row r="1905">
      <c r="A1905" s="3" t="inlineStr">
        <is>
          <t>delivery.warehouse.configRoute.total</t>
        </is>
      </c>
      <c r="B1905" s="3" t="inlineStr">
        <is>
          <t>Tổng số tuyến nhận</t>
        </is>
      </c>
      <c r="C1905" s="3" t="inlineStr">
        <is>
          <t>Total pickup routes</t>
        </is>
      </c>
      <c r="D1905" s="217">
        <f>IFERROR(__xludf.DUMMYFUNCTION("GOOGLETRANSLATE(C1905,""vi"",""km"")"),"ផ្លូវទៅយកសរុប")</f>
        <v/>
      </c>
      <c r="E1905" s="3" t="n"/>
      <c r="F1905" s="3" t="inlineStr">
        <is>
          <t>ផ្លូវទៅយកសរុប</t>
        </is>
      </c>
      <c r="G1905" s="3" t="n"/>
      <c r="H1905" s="217" t="inlineStr">
        <is>
          <t>"delivery.warehouse.configRoute.total": "ផ្លូវទៅយកសរុប",</t>
        </is>
      </c>
      <c r="I1905" t="inlineStr">
        <is>
          <t>ផ្លូវទៅយកសរុប</t>
        </is>
      </c>
    </row>
    <row r="1906">
      <c r="A1906" s="3" t="inlineStr">
        <is>
          <t>delivery.warehouse.configRoute.updateConfig</t>
        </is>
      </c>
      <c r="B1906" s="3" t="inlineStr">
        <is>
          <t>Chỉnh sửa cấu hình</t>
        </is>
      </c>
      <c r="C1906" s="3" t="inlineStr">
        <is>
          <t>Update config</t>
        </is>
      </c>
      <c r="D1906" s="217">
        <f>IFERROR(__xludf.DUMMYFUNCTION("GOOGLETRANSLATE(C1906,""vi"",""km"")"),"ធ្វើបច្ចុប្បន្នភាពការកំណត់រចនាសម្ព័ន្ធ")</f>
        <v/>
      </c>
      <c r="E1906" s="3" t="n"/>
      <c r="F1906" s="3" t="inlineStr">
        <is>
          <t>កែសម្រួលការកំណត់</t>
        </is>
      </c>
      <c r="G1906" s="3" t="n"/>
      <c r="H1906" s="217" t="inlineStr">
        <is>
          <t>"delivery.warehouse.configRoute.updateConfig": "កែសម្រួលការកំណត់",</t>
        </is>
      </c>
      <c r="I1906" t="inlineStr">
        <is>
          <t>កែសម្រួលការកំណត់</t>
        </is>
      </c>
    </row>
    <row r="1907">
      <c r="A1907" s="3" t="inlineStr">
        <is>
          <t>delivery.warehouse.configRoute.userUpdate</t>
        </is>
      </c>
      <c r="B1907" s="3" t="inlineStr">
        <is>
          <t>Người cập nhật</t>
        </is>
      </c>
      <c r="C1907" s="3" t="inlineStr">
        <is>
          <t>Update by</t>
        </is>
      </c>
      <c r="D1907" s="217">
        <f>IFERROR(__xludf.DUMMYFUNCTION("GOOGLETRANSLATE(C1907,""vi"",""km"")"),"ធ្វើបច្ចុប្បន្នភាពដោយ")</f>
        <v/>
      </c>
      <c r="E1907" s="3" t="n"/>
      <c r="F1907" s="3" t="inlineStr">
        <is>
          <t>ធ្វើបច្ចុប្បន្នភាពដោយ</t>
        </is>
      </c>
      <c r="G1907" s="3" t="n"/>
      <c r="H1907" s="217" t="inlineStr">
        <is>
          <t>"delivery.warehouse.configRoute.userUpdate": "ធ្វើបច្ចុប្បន្នភាពដោយ",</t>
        </is>
      </c>
      <c r="I1907" t="inlineStr">
        <is>
          <t>ធ្វើបច្ចុប្បន្នភាពដោយ</t>
        </is>
      </c>
    </row>
    <row r="1908">
      <c r="A1908" s="3" t="inlineStr">
        <is>
          <t>delivery.warehouse.delivery.customer.search.placeholder</t>
        </is>
      </c>
      <c r="B1908" s="3" t="inlineStr">
        <is>
          <t>Nhập số điện thoại hoặc email để tìm kiếm</t>
        </is>
      </c>
      <c r="C1908" s="3" t="inlineStr">
        <is>
          <t>Enter phone number or email to search</t>
        </is>
      </c>
      <c r="D1908" s="217">
        <f>IFERROR(__xludf.DUMMYFUNCTION("GOOGLETRANSLATE(C1908,""vi"",""km"")"),"បញ្ចូលលេខទូរស័ព្ទ ឬអ៊ីមែលដើម្បីស្វែងរក")</f>
        <v/>
      </c>
      <c r="E1908" s="3" t="n"/>
      <c r="F1908" s="3" t="inlineStr">
        <is>
          <t>បញ្ចូលលេខទូរស័ព្ទ ឬអ៊ីមែលដើម្បីស្វែងរក</t>
        </is>
      </c>
      <c r="G1908" s="3" t="n"/>
      <c r="H1908" s="217" t="inlineStr">
        <is>
          <t>"delivery.warehouse.delivery.customer.search.placeholder": "បញ្ចូលលេខទូរស័ព្ទ ឬអ៊ីមែលដើម្បីស្វែងរក",</t>
        </is>
      </c>
      <c r="I1908" t="inlineStr">
        <is>
          <t>បញ្ចូលលេខទូរស័ព្ទ ឬអ៊ីមែលដើម្បីស្វែងរក</t>
        </is>
      </c>
    </row>
    <row r="1909">
      <c r="A1909" s="3" t="inlineStr">
        <is>
          <t>delivery.warehouse.delivery.customer.table.address</t>
        </is>
      </c>
      <c r="B1909" s="3" t="inlineStr">
        <is>
          <t>Địa chỉ</t>
        </is>
      </c>
      <c r="C1909" s="3" t="inlineStr">
        <is>
          <t>Address</t>
        </is>
      </c>
      <c r="D1909" s="217">
        <f>IFERROR(__xludf.DUMMYFUNCTION("GOOGLETRANSLATE(C1909,""vi"",""km"")"),"មិនត្រឹមត្រូវ")</f>
        <v/>
      </c>
      <c r="E1909" s="3" t="n"/>
      <c r="F1909" s="3" t="inlineStr">
        <is>
          <t>អាសយដ្ឋាន</t>
        </is>
      </c>
      <c r="G1909" s="3" t="n"/>
      <c r="H1909" s="217" t="inlineStr">
        <is>
          <t>"delivery.warehouse.delivery.customer.table.address": "អាសយដ្ឋាន",</t>
        </is>
      </c>
      <c r="I1909" t="inlineStr">
        <is>
          <t>អាសយដ្ឋាន</t>
        </is>
      </c>
    </row>
    <row r="1910">
      <c r="A1910" s="3" t="inlineStr">
        <is>
          <t>delivery.warehouse.delivery.customer.table.email</t>
        </is>
      </c>
      <c r="B1910" s="3" t="inlineStr">
        <is>
          <t>Email</t>
        </is>
      </c>
      <c r="C1910" s="3" t="inlineStr">
        <is>
          <t>Email</t>
        </is>
      </c>
      <c r="D1910" s="217">
        <f>IFERROR(__xludf.DUMMYFUNCTION("GOOGLETRANSLATE(C1910,""vi"",""km"")"),"អ៊ីមែល")</f>
        <v/>
      </c>
      <c r="E1910" s="3" t="n"/>
      <c r="F1910" s="3" t="inlineStr">
        <is>
          <t>អ៊ីមែល</t>
        </is>
      </c>
      <c r="G1910" s="3" t="n"/>
      <c r="H1910" s="217" t="inlineStr">
        <is>
          <t>"delivery.warehouse.delivery.customer.table.email": "អ៊ីមែល",</t>
        </is>
      </c>
      <c r="I1910" t="inlineStr">
        <is>
          <t>អ៊ីមែល</t>
        </is>
      </c>
    </row>
    <row r="1911">
      <c r="A1911" s="3" t="inlineStr">
        <is>
          <t>delivery.warehouse.delivery.customer.table.file</t>
        </is>
      </c>
      <c r="B1911" s="3" t="inlineStr">
        <is>
          <t>Files</t>
        </is>
      </c>
      <c r="C1911" s="3" t="inlineStr">
        <is>
          <t>Solutions</t>
        </is>
      </c>
      <c r="D1911" s="217">
        <f>IFERROR(__xludf.DUMMYFUNCTION("GOOGLETRANSLATE(C1911,""vi"",""km"")"),"ប្រព័ន្ធ")</f>
        <v/>
      </c>
      <c r="E1911" s="3" t="n"/>
      <c r="F1911" s="3" t="inlineStr">
        <is>
          <t>ប្រព័ន្ធ</t>
        </is>
      </c>
      <c r="G1911" s="3" t="n"/>
      <c r="H1911" s="217" t="inlineStr">
        <is>
          <t>"delivery.warehouse.delivery.customer.table.file": "ប្រព័ន្ធ",</t>
        </is>
      </c>
      <c r="I1911" t="inlineStr">
        <is>
          <t>ប្រព័ន្ធ</t>
        </is>
      </c>
    </row>
    <row r="1912">
      <c r="A1912" s="23" t="inlineStr">
        <is>
          <t>delivery.warehouse.delivery.customer.table.name</t>
        </is>
      </c>
      <c r="B1912" s="3" t="inlineStr">
        <is>
          <t>Tên khách hàng</t>
        </is>
      </c>
      <c r="C1912" s="3" t="inlineStr">
        <is>
          <t>Customer name</t>
        </is>
      </c>
      <c r="D1912" s="217">
        <f>IFERROR(__xludf.DUMMYFUNCTION("GOOGLETRANSLATE(C1912,""vi"",""km"")"),"ឈ្មោះអតិថិជន")</f>
        <v/>
      </c>
      <c r="E1912" s="3" t="n"/>
      <c r="F1912" s="3" t="inlineStr">
        <is>
          <t>ឈ្មោះអតិថិជន</t>
        </is>
      </c>
      <c r="G1912" s="3" t="n"/>
      <c r="H1912" s="217" t="inlineStr">
        <is>
          <t>"delivery.warehouse.delivery.customer.table.name": "ឈ្មោះអតិថិជន",</t>
        </is>
      </c>
      <c r="I1912" t="inlineStr">
        <is>
          <t>ឈ្មោះអតិថិជន</t>
        </is>
      </c>
    </row>
    <row r="1913">
      <c r="A1913" s="3" t="inlineStr">
        <is>
          <t>delivery.warehouse.delivery.customer.table.paymentType</t>
        </is>
      </c>
      <c r="B1913" s="3" t="inlineStr">
        <is>
          <t>Loại thanh toán</t>
        </is>
      </c>
      <c r="C1913" s="3" t="inlineStr">
        <is>
          <t>Payment type</t>
        </is>
      </c>
      <c r="D1913" s="217">
        <f>IFERROR(__xludf.DUMMYFUNCTION("GOOGLETRANSLATE(C1913,""vi"",""km"")"),"ប្រភេទនៃការបង់ប្រាក់")</f>
        <v/>
      </c>
      <c r="E1913" s="3" t="n"/>
      <c r="F1913" s="3" t="inlineStr">
        <is>
          <t>ប្រភេទនៃការបង់ប្រាក់</t>
        </is>
      </c>
      <c r="G1913" s="3" t="n"/>
      <c r="H1913" s="217" t="inlineStr">
        <is>
          <t>"delivery.warehouse.delivery.customer.table.paymentType": "ប្រភេទនៃការបង់ប្រាក់",</t>
        </is>
      </c>
      <c r="I1913" t="inlineStr">
        <is>
          <t>ប្រភេទនៃការបង់ប្រាក់</t>
        </is>
      </c>
    </row>
    <row r="1914">
      <c r="A1914" s="3" t="inlineStr">
        <is>
          <t>delivery.warehouse.delivery.customer.table.phone</t>
        </is>
      </c>
      <c r="B1914" s="3" t="inlineStr">
        <is>
          <t>Số điện thoại</t>
        </is>
      </c>
      <c r="C1914" s="3" t="inlineStr">
        <is>
          <t>Mobile number</t>
        </is>
      </c>
      <c r="D1914" s="217">
        <f>IFERROR(__xludf.DUMMYFUNCTION("GOOGLETRANSLATE(C1914,""vi"",""km"")"),"លេខទូរស័ព្ទចល័ត")</f>
        <v/>
      </c>
      <c r="E1914" s="3" t="n"/>
      <c r="F1914" s="3" t="inlineStr">
        <is>
          <t>លេខទូរស័ព្ទ</t>
        </is>
      </c>
      <c r="G1914" s="3" t="n"/>
      <c r="H1914" s="217" t="inlineStr">
        <is>
          <t>"delivery.warehouse.delivery.customer.table.phone": "លេខទូរស័ព្ទ",</t>
        </is>
      </c>
      <c r="I1914" t="inlineStr">
        <is>
          <t>លេខទូរស័ព្ទ</t>
        </is>
      </c>
    </row>
    <row r="1915">
      <c r="A1915" s="3" t="inlineStr">
        <is>
          <t>delivery.warehouse.delivery.customer.table.status</t>
        </is>
      </c>
      <c r="B1915" s="3" t="inlineStr">
        <is>
          <t>Trạng thái</t>
        </is>
      </c>
      <c r="C1915" s="3" t="inlineStr">
        <is>
          <t>Status</t>
        </is>
      </c>
      <c r="D1915" s="217">
        <f>IFERROR(__xludf.DUMMYFUNCTION("GOOGLETRANSLATE(C1915,""vi"",""km"")"),"ស្ថានភាព")</f>
        <v/>
      </c>
      <c r="E1915" s="3" t="n"/>
      <c r="F1915" s="3" t="inlineStr">
        <is>
          <t>ស្ថានភាព</t>
        </is>
      </c>
      <c r="G1915" s="3" t="n"/>
      <c r="H1915" s="217" t="inlineStr">
        <is>
          <t>"delivery.warehouse.delivery.customer.table.status": "ស្ថានភាព",</t>
        </is>
      </c>
      <c r="I1915" t="inlineStr">
        <is>
          <t>ស្ថានភាព</t>
        </is>
      </c>
    </row>
    <row r="1916">
      <c r="A1916" s="3" t="inlineStr">
        <is>
          <t>delivery.warehouse.delivery.warehouse.modifyWarehouse.emptyPostcode</t>
        </is>
      </c>
      <c r="B1916" s="3" t="inlineStr">
        <is>
          <t>Kho không có bưu cục phục vụ, vui lòng cập nhật bưu cục phục vụ trước</t>
        </is>
      </c>
      <c r="C1916" s="3" t="inlineStr">
        <is>
          <t>The warehouse does not have any distributed post office, please update the post office first</t>
        </is>
      </c>
      <c r="D1916" s="217">
        <f>IFERROR(__xludf.DUMMYFUNCTION("GOOGLETRANSLATE(C1916,""vi"",""km"")"),"ឃ្លាំងនេះមិនមានការិយាល័យប្រៃសណីយ៍ចែកចាយទេ សូមធ្វើបច្ចុប្បន្នភាពការិយាល័យប្រៃសណីយ៍ជាមុនសិន។")</f>
        <v/>
      </c>
      <c r="E1916" s="3" t="n"/>
      <c r="F1916" s="3" t="inlineStr">
        <is>
          <t>ឃ្លាំងមិនទាន់មានការិយាល័យប្រៃសណីយ៍បម្រើការ សូមធ្វើបច្ចុប្បន្នភាពជាមុនសិន</t>
        </is>
      </c>
      <c r="G1916" s="3" t="n"/>
      <c r="H1916" s="217" t="inlineStr">
        <is>
          <t>"delivery.warehouse.delivery.warehouse.modifyWarehouse.emptyPostcode": "ឃ្លាំងមិនទាន់មានការិយាល័យប្រៃសណីយ៍បម្រើការ សូមធ្វើបច្ចុប្បន្នភាពជាមុនសិន",</t>
        </is>
      </c>
      <c r="I1916" t="inlineStr">
        <is>
          <t>ឃ្លាំងមិនទាន់មានការិយាល័យប្រៃសណីយ៍បម្រើការ សូមធ្វើបច្ចុប្បន្នភាពជាមុនសិន</t>
        </is>
      </c>
    </row>
    <row r="1917">
      <c r="A1917" s="3" t="inlineStr">
        <is>
          <t>delivery.warehouse.delivery.warehouse.modifyWarehouse.selectPostCode</t>
        </is>
      </c>
      <c r="B1917" s="3" t="inlineStr">
        <is>
          <t>Chọn bưu cục</t>
        </is>
      </c>
      <c r="C1917" s="3" t="inlineStr">
        <is>
          <t>Select Post office</t>
        </is>
      </c>
      <c r="D1917" s="217">
        <f>IFERROR(__xludf.DUMMYFUNCTION("GOOGLETRANSLATE(C1917,""vi"",""km"")"),"ជ្រើសរើសការិយាល័យប្រៃសណីយ៍")</f>
        <v/>
      </c>
      <c r="E1917" s="3" t="n"/>
      <c r="F1917" s="3" t="inlineStr">
        <is>
          <t>ជ្រើសរើសការិយាល័យប្រៃសណីយ៍</t>
        </is>
      </c>
      <c r="G1917" s="3" t="n"/>
      <c r="H1917" s="217" t="inlineStr">
        <is>
          <t>"delivery.warehouse.delivery.warehouse.modifyWarehouse.selectPostCode": "ជ្រើសរើសការិយាល័យប្រៃសណីយ៍",</t>
        </is>
      </c>
      <c r="I1917" t="inlineStr">
        <is>
          <t>ជ្រើសរើសការិយាល័យប្រៃសណីយ៍</t>
        </is>
      </c>
    </row>
    <row r="1918">
      <c r="A1918" s="3" t="inlineStr">
        <is>
          <t>delivery.warehouse.delivery.warehouse.modifyWarehouse.selectPostman</t>
        </is>
      </c>
      <c r="B1918" s="3" t="inlineStr">
        <is>
          <t>Chọn bưu tá</t>
        </is>
      </c>
      <c r="C1918" s="3" t="inlineStr">
        <is>
          <t>Select Postman</t>
        </is>
      </c>
      <c r="D1918" s="217">
        <f>IFERROR(__xludf.DUMMYFUNCTION("GOOGLETRANSLATE(C1918,""vi"",""km"")"),"ជ្រើសរើសអ្នករត់សំបុត្រ")</f>
        <v/>
      </c>
      <c r="E1918" s="3" t="n"/>
      <c r="F1918" s="3" t="inlineStr">
        <is>
          <t>ជ្រើសរើសអ្នកដឹកជញ្ជូន</t>
        </is>
      </c>
      <c r="G1918" s="3" t="n"/>
      <c r="H1918" s="217" t="inlineStr">
        <is>
          <t>"delivery.warehouse.delivery.warehouse.modifyWarehouse.selectPostman": "ជ្រើសរើសអ្នកដឹកជញ្ជូន",</t>
        </is>
      </c>
      <c r="I1918" t="inlineStr">
        <is>
          <t>ជ្រើសរើសអ្នកដឹកជញ្ជូន</t>
        </is>
      </c>
    </row>
    <row r="1919">
      <c r="A1919" s="3" t="inlineStr">
        <is>
          <t>delivery.warehouse.delivery.warehouse.modifyWarehouse.updateWarehouse</t>
        </is>
      </c>
      <c r="B1919" s="3" t="inlineStr">
        <is>
          <t>Cập nhật tuyến phục vụ kho</t>
        </is>
      </c>
      <c r="C1919" s="3" t="inlineStr">
        <is>
          <t>Update warehouse routes</t>
        </is>
      </c>
      <c r="D1919" s="217">
        <f>IFERROR(__xludf.DUMMYFUNCTION("GOOGLETRANSLATE(C1919,""vi"",""km"")"),"ធ្វើបច្ចុប្បន្នភាពផ្លូវឃ្លាំង")</f>
        <v/>
      </c>
      <c r="E1919" s="3" t="n"/>
      <c r="F1919" s="3" t="inlineStr">
        <is>
          <t>ធ្វើបច្ចុប្បន្នភាពខ្សែផ្លូវបម្រើការឃ្លាំង</t>
        </is>
      </c>
      <c r="G1919" s="3" t="n"/>
      <c r="H1919" s="217" t="inlineStr">
        <is>
          <t>"delivery.warehouse.delivery.warehouse.modifyWarehouse.updateWarehouse": "ធ្វើបច្ចុប្បន្នភាពខ្សែផ្លូវបម្រើការឃ្លាំង",</t>
        </is>
      </c>
      <c r="I1919" t="inlineStr">
        <is>
          <t>ធ្វើបច្ចុប្បន្នភាពខ្សែផ្លូវបម្រើការឃ្លាំង</t>
        </is>
      </c>
    </row>
    <row r="1920">
      <c r="A1920" s="3" t="inlineStr">
        <is>
          <t>delivery.warehouse.delivery.warehouse.search.placeholder</t>
        </is>
      </c>
      <c r="B1920" s="3" t="inlineStr">
        <is>
          <t>Nhập mã kho hoặc số điện thoại để tìm kiếm</t>
        </is>
      </c>
      <c r="C1920" s="3" t="inlineStr">
        <is>
          <t>Enter warehouse code or mobile number</t>
        </is>
      </c>
      <c r="D1920" s="217">
        <f>IFERROR(__xludf.DUMMYFUNCTION("GOOGLETRANSLATE(C1920,""vi"",""km"")"),"បញ្ចូលលេខកូដឃ្លាំង ឬលេខទូរស័ព្ទដៃ")</f>
        <v/>
      </c>
      <c r="E1920" s="3" t="n"/>
      <c r="F1920" s="3" t="inlineStr">
        <is>
          <t>បញ្ចូលលេខកូដឃ្លាំង ឬលេខទូរស័ព្ទដៃ</t>
        </is>
      </c>
      <c r="G1920" s="3" t="n"/>
      <c r="H1920" s="217" t="inlineStr">
        <is>
          <t>"delivery.warehouse.delivery.warehouse.search.placeholder": "បញ្ចូលលេខកូដឃ្លាំង ឬលេខទូរស័ព្ទដៃ",</t>
        </is>
      </c>
      <c r="I1920" t="inlineStr">
        <is>
          <t>បញ្ចូលលេខកូដឃ្លាំង ឬលេខទូរស័ព្ទដៃ</t>
        </is>
      </c>
    </row>
    <row r="1921">
      <c r="A1921" s="3" t="inlineStr">
        <is>
          <t>delivery.warehouse.delivery.warehouse.search.tabName</t>
        </is>
      </c>
      <c r="B1921" s="3" t="inlineStr">
        <is>
          <t>Thông tin kho</t>
        </is>
      </c>
      <c r="C1921" s="3" t="inlineStr">
        <is>
          <t>Warehouse infomation</t>
        </is>
      </c>
      <c r="D1921" s="217">
        <f>IFERROR(__xludf.DUMMYFUNCTION("GOOGLETRANSLATE(C1921,""vi"",""km"")"),"ព័ត៌មានឃ្លាំង")</f>
        <v/>
      </c>
      <c r="E1921" s="3" t="n"/>
      <c r="F1921" s="3" t="inlineStr">
        <is>
          <t>ព័ត៌មានឃ្លាំង</t>
        </is>
      </c>
      <c r="G1921" s="3" t="n"/>
      <c r="H1921" s="217" t="inlineStr">
        <is>
          <t>"delivery.warehouse.delivery.warehouse.search.tabName": "ព័ត៌មានឃ្លាំង",</t>
        </is>
      </c>
      <c r="I1921" t="inlineStr">
        <is>
          <t>ព័ត៌មានឃ្លាំង</t>
        </is>
      </c>
    </row>
    <row r="1922">
      <c r="A1922" s="3" t="inlineStr">
        <is>
          <t>delivery.warehouse.delivery.warehouse.table.HOME</t>
        </is>
      </c>
      <c r="B1922" s="3" t="inlineStr">
        <is>
          <t>Nhà riêng</t>
        </is>
      </c>
      <c r="C1922" s="3" t="inlineStr">
        <is>
          <t>Home</t>
        </is>
      </c>
      <c r="D1922" s="217">
        <f>IFERROR(__xludf.DUMMYFUNCTION("GOOGLETRANSLATE(C1922,""vi"",""km"")"),"ច្រកទ្វារ")</f>
        <v/>
      </c>
      <c r="E1922" s="3" t="n"/>
      <c r="F1922" s="3" t="inlineStr">
        <is>
          <t>ទំព័រដើម</t>
        </is>
      </c>
      <c r="G1922" s="3" t="n"/>
      <c r="H1922" s="217" t="inlineStr">
        <is>
          <t>"delivery.warehouse.delivery.warehouse.table.HOME": "ទំព័រដើម",</t>
        </is>
      </c>
      <c r="I1922" t="inlineStr">
        <is>
          <t>ទំព័រដើម</t>
        </is>
      </c>
    </row>
    <row r="1923">
      <c r="A1923" s="3" t="inlineStr">
        <is>
          <t>delivery.warehouse.delivery.warehouse.table.OFFICE</t>
        </is>
      </c>
      <c r="B1923" s="3" t="inlineStr">
        <is>
          <t>Văn phòng</t>
        </is>
      </c>
      <c r="C1923" s="3" t="inlineStr">
        <is>
          <t>Office</t>
        </is>
      </c>
      <c r="D1923" s="217">
        <f>IFERROR(__xludf.DUMMYFUNCTION("GOOGLETRANSLATE(C1923,""vi"",""km"")"),"ការិយាល័យ")</f>
        <v/>
      </c>
      <c r="E1923" s="3" t="n"/>
      <c r="F1923" s="3" t="inlineStr">
        <is>
          <t>ការិយាល័យ</t>
        </is>
      </c>
      <c r="G1923" s="3" t="n"/>
      <c r="H1923" s="217" t="inlineStr">
        <is>
          <t>"delivery.warehouse.delivery.warehouse.table.OFFICE": "ការិយាល័យ",</t>
        </is>
      </c>
      <c r="I1923" t="inlineStr">
        <is>
          <t>ការិយាល័យ</t>
        </is>
      </c>
    </row>
    <row r="1924">
      <c r="A1924" s="3" t="inlineStr">
        <is>
          <t>delivery.warehouse.delivery.warehouse.table.POSTOFFICE</t>
        </is>
      </c>
      <c r="B1924" s="3" t="inlineStr">
        <is>
          <t>Bưu cục</t>
        </is>
      </c>
      <c r="C1924" s="3" t="inlineStr">
        <is>
          <t>Post Office</t>
        </is>
      </c>
      <c r="D1924" s="217">
        <f>IFERROR(__xludf.DUMMYFUNCTION("GOOGLETRANSLATE(C1924,""vi"",""km"")"),"ការិយាល័យប្រៃសណីយ៍")</f>
        <v/>
      </c>
      <c r="E1924" s="3" t="n"/>
      <c r="F1924" s="3" t="inlineStr">
        <is>
          <t>ការិយាល័យប្រៃសណីយ៍</t>
        </is>
      </c>
      <c r="G1924" s="3" t="n"/>
      <c r="H1924" s="217" t="inlineStr">
        <is>
          <t>"delivery.warehouse.delivery.warehouse.table.POSTOFFICE": "ការិយាល័យប្រៃសណីយ៍",</t>
        </is>
      </c>
      <c r="I1924" t="inlineStr">
        <is>
          <t>ការិយាល័យប្រៃសណីយ៍</t>
        </is>
      </c>
    </row>
    <row r="1925">
      <c r="A1925" s="3" t="inlineStr">
        <is>
          <t>delivery.warehouse.delivery.warehouse.table.WAREHOUSE</t>
        </is>
      </c>
      <c r="B1925" s="3" t="inlineStr">
        <is>
          <t>Kho hàng</t>
        </is>
      </c>
      <c r="C1925" s="3" t="inlineStr">
        <is>
          <t>Warehouse</t>
        </is>
      </c>
      <c r="D1925" s="217">
        <f>IFERROR(__xludf.DUMMYFUNCTION("GOOGLETRANSLATE(C1925,""vi"",""km"")"),"ឪពុក")</f>
        <v/>
      </c>
      <c r="E1925" s="3" t="n"/>
      <c r="F1925" s="3" t="inlineStr">
        <is>
          <t>ឪពុក</t>
        </is>
      </c>
      <c r="G1925" s="3" t="n"/>
      <c r="H1925" s="217" t="inlineStr">
        <is>
          <t>"delivery.warehouse.delivery.warehouse.table.WAREHOUSE": "ឪពុក",</t>
        </is>
      </c>
      <c r="I1925" t="inlineStr">
        <is>
          <t>ឪពុក</t>
        </is>
      </c>
    </row>
    <row r="1926">
      <c r="A1926" s="3" t="inlineStr">
        <is>
          <t>delivery.warehouse.delivery.warehouse.table.address</t>
        </is>
      </c>
      <c r="B1926" s="3" t="inlineStr">
        <is>
          <t>Địa chỉ</t>
        </is>
      </c>
      <c r="C1926" s="3" t="inlineStr">
        <is>
          <t>Address</t>
        </is>
      </c>
      <c r="D1926" s="217">
        <f>IFERROR(__xludf.DUMMYFUNCTION("GOOGLETRANSLATE(C1926,""vi"",""km"")"),"មិនត្រឹមត្រូវ")</f>
        <v/>
      </c>
      <c r="E1926" s="3" t="n"/>
      <c r="F1926" s="3" t="inlineStr">
        <is>
          <t>អាសយដ្ឋាន</t>
        </is>
      </c>
      <c r="G1926" s="3" t="n"/>
      <c r="H1926" s="217" t="inlineStr">
        <is>
          <t>"delivery.warehouse.delivery.warehouse.table.address": "អាសយដ្ឋាន",</t>
        </is>
      </c>
      <c r="I1926" t="inlineStr">
        <is>
          <t>អាសយដ្ឋាន</t>
        </is>
      </c>
    </row>
    <row r="1927">
      <c r="A1927" s="3" t="inlineStr">
        <is>
          <t>delivery.warehouse.delivery.warehouse.table.addressType</t>
        </is>
      </c>
      <c r="B1927" s="3" t="inlineStr">
        <is>
          <t>Loại địa chỉ</t>
        </is>
      </c>
      <c r="C1927" s="3" t="inlineStr">
        <is>
          <t>Address Type</t>
        </is>
      </c>
      <c r="D1927" s="217">
        <f>IFERROR(__xludf.DUMMYFUNCTION("GOOGLETRANSLATE(C1927,""vi"",""km"")"),"ប្រភេទពិតប្រាកដ")</f>
        <v/>
      </c>
      <c r="E1927" s="3" t="n"/>
      <c r="F1927" s="3" t="inlineStr">
        <is>
          <t>ប្រភេទពិតប្រាកដ</t>
        </is>
      </c>
      <c r="G1927" s="3" t="n"/>
      <c r="H1927" s="217" t="inlineStr">
        <is>
          <t>"delivery.warehouse.delivery.warehouse.table.addressType": "ប្រភេទពិតប្រាកដ",</t>
        </is>
      </c>
      <c r="I1927" t="inlineStr">
        <is>
          <t>ប្រភេទពិតប្រាកដ</t>
        </is>
      </c>
    </row>
    <row r="1928">
      <c r="A1928" s="23" t="inlineStr">
        <is>
          <t>delivery.warehouse.delivery.warehouse.table.id</t>
        </is>
      </c>
      <c r="B1928" s="3" t="inlineStr">
        <is>
          <t>ID kho</t>
        </is>
      </c>
      <c r="C1928" s="3" t="inlineStr">
        <is>
          <t>ID Warehouse</t>
        </is>
      </c>
      <c r="D1928" s="217">
        <f>IFERROR(__xludf.DUMMYFUNCTION("GOOGLETRANSLATE(C1928,""vi"",""km"")"),"ធនាគារ​អត្តសញ្ញាណ")</f>
        <v/>
      </c>
      <c r="E1928" s="3" t="n"/>
      <c r="F1928" s="3" t="inlineStr">
        <is>
          <t>ធនាគារអត្តសញ្ញាណ</t>
        </is>
      </c>
      <c r="G1928" s="3" t="n"/>
      <c r="H1928" s="217" t="inlineStr">
        <is>
          <t>"delivery.warehouse.delivery.warehouse.table.id": "ធនាគារអត្តសញ្ញាណ",</t>
        </is>
      </c>
      <c r="I1928" t="inlineStr">
        <is>
          <t>ធនាគារអត្តសញ្ញាណ</t>
        </is>
      </c>
    </row>
    <row r="1929">
      <c r="A1929" s="23" t="inlineStr">
        <is>
          <t>delivery.warehouse.delivery.warehouse.table.name</t>
        </is>
      </c>
      <c r="B1929" s="3" t="inlineStr">
        <is>
          <t>Tên kho</t>
        </is>
      </c>
      <c r="C1929" s="3" t="inlineStr">
        <is>
          <t>Warehouse name</t>
        </is>
      </c>
      <c r="D1929" s="217">
        <f>IFERROR(__xludf.DUMMYFUNCTION("GOOGLETRANSLATE(C1929,""vi"",""km"")"),"ឈ្មោះឃ្លាំង")</f>
        <v/>
      </c>
      <c r="E1929" s="3" t="n"/>
      <c r="F1929" s="3" t="inlineStr">
        <is>
          <t>ឈ្មោះឃ្លាំង</t>
        </is>
      </c>
      <c r="G1929" s="3" t="n"/>
      <c r="H1929" s="217" t="inlineStr">
        <is>
          <t>"delivery.warehouse.delivery.warehouse.table.name": "ឈ្មោះឃ្លាំង",</t>
        </is>
      </c>
      <c r="I1929" t="inlineStr">
        <is>
          <t>ឈ្មោះឃ្លាំង</t>
        </is>
      </c>
    </row>
    <row r="1930">
      <c r="A1930" s="3" t="inlineStr">
        <is>
          <t>delivery.warehouse.delivery.warehouse.table.phone</t>
        </is>
      </c>
      <c r="B1930" s="3" t="inlineStr">
        <is>
          <t>Số điện thoại</t>
        </is>
      </c>
      <c r="C1930" s="3" t="inlineStr">
        <is>
          <t>Mobile number</t>
        </is>
      </c>
      <c r="D1930" s="217">
        <f>IFERROR(__xludf.DUMMYFUNCTION("GOOGLETRANSLATE(C1930,""vi"",""km"")"),"លេខទូរស័ព្ទចល័ត")</f>
        <v/>
      </c>
      <c r="E1930" s="3" t="n"/>
      <c r="F1930" s="3" t="inlineStr">
        <is>
          <t>លេខទូរស័ព្ទ</t>
        </is>
      </c>
      <c r="G1930" s="3" t="n"/>
      <c r="H1930" s="217" t="inlineStr">
        <is>
          <t>"delivery.warehouse.delivery.warehouse.table.phone": "លេខទូរស័ព្ទ",</t>
        </is>
      </c>
      <c r="I1930" t="inlineStr">
        <is>
          <t>លេខទូរស័ព្ទ</t>
        </is>
      </c>
    </row>
    <row r="1931">
      <c r="A1931" s="3" t="inlineStr">
        <is>
          <t>delivery.warehouse.delivery.warehouse.table.postCode</t>
        </is>
      </c>
      <c r="B1931" s="3" t="inlineStr">
        <is>
          <t>Bưu cục phục vụ</t>
        </is>
      </c>
      <c r="C1931" s="3" t="inlineStr">
        <is>
          <t>Post Code</t>
        </is>
      </c>
      <c r="D1931" s="217">
        <f>IFERROR(__xludf.DUMMYFUNCTION("GOOGLETRANSLATE(C1931,""vi"",""km"")"),"លេខកូដប្រៃសណីយ៍")</f>
        <v/>
      </c>
      <c r="E1931" s="3" t="n"/>
      <c r="F1931" s="3" t="inlineStr">
        <is>
          <t>លេខកូដប្រៃសណីយ៍</t>
        </is>
      </c>
      <c r="G1931" s="3" t="n"/>
      <c r="H1931" s="217" t="inlineStr">
        <is>
          <t>"delivery.warehouse.delivery.warehouse.table.postCode": "លេខកូដប្រៃសណីយ៍",</t>
        </is>
      </c>
      <c r="I1931" t="inlineStr">
        <is>
          <t>លេខកូដប្រៃសណីយ៍</t>
        </is>
      </c>
    </row>
    <row r="1932">
      <c r="A1932" s="3" t="inlineStr">
        <is>
          <t>delivery.warehouse.delivery.warehouse.table.postman</t>
        </is>
      </c>
      <c r="B1932" s="3" t="inlineStr">
        <is>
          <t>Tuyến bưu tá</t>
        </is>
      </c>
      <c r="C1932" s="3" t="inlineStr">
        <is>
          <t>Postman</t>
        </is>
      </c>
      <c r="D1932" s="217">
        <f>IFERROR(__xludf.DUMMYFUNCTION("GOOGLETRANSLATE(C1932,""vi"",""km"")"),"អ្នករត់សំបុត្រ")</f>
        <v/>
      </c>
      <c r="E1932" s="3" t="n"/>
      <c r="F1932" s="3" t="inlineStr">
        <is>
          <t>អ្នកដឹកជញ្ជូន</t>
        </is>
      </c>
      <c r="G1932" s="3" t="n"/>
      <c r="H1932" s="217" t="inlineStr">
        <is>
          <t>"delivery.warehouse.delivery.warehouse.table.postman": "អ្នកដឹកជញ្ជូន",</t>
        </is>
      </c>
      <c r="I1932" t="inlineStr">
        <is>
          <t>អ្នកដឹកជញ្ជូន</t>
        </is>
      </c>
    </row>
    <row r="1933">
      <c r="A1933" s="3" t="inlineStr">
        <is>
          <t>delivery.warehouse.delivery.warehouse.table.total</t>
        </is>
      </c>
      <c r="B1933" s="3" t="inlineStr">
        <is>
          <t>Tổng kho hàng</t>
        </is>
      </c>
      <c r="C1933" s="3" t="inlineStr">
        <is>
          <t>Total warehouse</t>
        </is>
      </c>
      <c r="D1933" s="217">
        <f>IFERROR(__xludf.DUMMYFUNCTION("GOOGLETRANSLATE(C1933,""vi"",""km"")"),"ឃ្លាំងសរុប")</f>
        <v/>
      </c>
      <c r="E1933" s="3" t="n"/>
      <c r="F1933" s="3" t="inlineStr">
        <is>
          <t>ឃ្លាំងសរុប</t>
        </is>
      </c>
      <c r="G1933" s="3" t="n"/>
      <c r="H1933" s="217" t="inlineStr">
        <is>
          <t>"delivery.warehouse.delivery.warehouse.table.total": "ឃ្លាំងសរុប",</t>
        </is>
      </c>
      <c r="I1933" t="inlineStr">
        <is>
          <t>ឃ្លាំងសរុប</t>
        </is>
      </c>
    </row>
    <row r="1934">
      <c r="A1934" s="3" t="inlineStr">
        <is>
          <t>delivery.warehouse.delivery.warehouse.table.update_at</t>
        </is>
      </c>
      <c r="B1934" s="3" t="inlineStr">
        <is>
          <t>Ngày cập nhật</t>
        </is>
      </c>
      <c r="C1934" s="3" t="inlineStr">
        <is>
          <t>Update at</t>
        </is>
      </c>
      <c r="D1934" s="217">
        <f>IFERROR(__xludf.DUMMYFUNCTION("GOOGLETRANSLATE(C1934,""vi"",""km"")"),"ធ្វើបច្ចុប្បន្នភាពនៅ")</f>
        <v/>
      </c>
      <c r="E1934" s="3" t="n"/>
      <c r="F1934" s="3" t="inlineStr">
        <is>
          <t>ធ្វើបច្ចុប្បន្នភាពនៅ</t>
        </is>
      </c>
      <c r="G1934" s="3" t="n"/>
      <c r="H1934" s="217" t="inlineStr">
        <is>
          <t>"delivery.warehouse.delivery.warehouse.table.update_at": "ធ្វើបច្ចុប្បន្នភាពនៅ",</t>
        </is>
      </c>
      <c r="I1934" t="inlineStr">
        <is>
          <t>ធ្វើបច្ចុប្បន្នភាពនៅ</t>
        </is>
      </c>
    </row>
    <row r="1935">
      <c r="A1935" s="3" t="inlineStr">
        <is>
          <t>delivery.warehouse.delivery.warehouse.table.update_by</t>
        </is>
      </c>
      <c r="B1935" s="3" t="inlineStr">
        <is>
          <t>Người cập nhật</t>
        </is>
      </c>
      <c r="C1935" s="3" t="inlineStr">
        <is>
          <t>Update By</t>
        </is>
      </c>
      <c r="D1935" s="217">
        <f>IFERROR(__xludf.DUMMYFUNCTION("GOOGLETRANSLATE(C1935,""vi"",""km"")"),"ធ្វើបច្ចុប្បន្នភាពដោយ")</f>
        <v/>
      </c>
      <c r="E1935" s="3" t="n"/>
      <c r="F1935" s="3" t="inlineStr">
        <is>
          <t>ធ្វើបច្ចុប្បន្នភាពដោយ</t>
        </is>
      </c>
      <c r="G1935" s="3" t="n"/>
      <c r="H1935" s="217" t="inlineStr">
        <is>
          <t>"delivery.warehouse.delivery.warehouse.table.update_by": "ធ្វើបច្ចុប្បន្នភាពដោយ",</t>
        </is>
      </c>
      <c r="I1935" t="inlineStr">
        <is>
          <t>ធ្វើបច្ចុប្បន្នភាពដោយ</t>
        </is>
      </c>
    </row>
    <row r="1936">
      <c r="A1936" s="3" t="inlineStr">
        <is>
          <t>delivery.warehouse.deliveryKpi.exportFail</t>
        </is>
      </c>
      <c r="B1936" s="3" t="inlineStr">
        <is>
          <t>Xuất excel thất bại</t>
        </is>
      </c>
      <c r="C1936" s="3" t="inlineStr">
        <is>
          <t>Export to Excel failed</t>
        </is>
      </c>
      <c r="D1936" s="217">
        <f>IFERROR(__xludf.DUMMYFUNCTION("GOOGLETRANSLATE(C1936,""vi"",""km"")"),"ការនាំចេញទៅ Excel បរាជ័យ")</f>
        <v/>
      </c>
      <c r="E1936" s="3" t="n"/>
      <c r="F1936" s="3" t="inlineStr">
        <is>
          <t>ការនាំចេញទៅ Excel បរាជ័យ</t>
        </is>
      </c>
      <c r="G1936" s="3" t="n"/>
      <c r="H1936" s="217" t="inlineStr">
        <is>
          <t>"delivery.warehouse.deliveryKpi.exportFail": "ការនាំចេញទៅ Excel បរាជ័យ",</t>
        </is>
      </c>
      <c r="I1936" t="inlineStr">
        <is>
          <t>ការនាំចេញទៅ Excel បរាជ័យ</t>
        </is>
      </c>
    </row>
    <row r="1937">
      <c r="A1937" s="3" t="inlineStr">
        <is>
          <t>delivery.warehouse.deliveryKpi.exportSuccess</t>
        </is>
      </c>
      <c r="B1937" s="3" t="inlineStr">
        <is>
          <t>Xuất excel thành công</t>
        </is>
      </c>
      <c r="C1937" s="3" t="inlineStr">
        <is>
          <t>Export to Excel successful</t>
        </is>
      </c>
      <c r="D1937" s="217">
        <f>IFERROR(__xludf.DUMMYFUNCTION("GOOGLETRANSLATE(C1937,""vi"",""km"")"),"នាំចេញទៅ Excel ដោយជោគជ័យ")</f>
        <v/>
      </c>
      <c r="E1937" s="3" t="n"/>
      <c r="F1937" s="3" t="inlineStr">
        <is>
          <t>នាំចេញទៅ Excel ដោយជោគជ័យ</t>
        </is>
      </c>
      <c r="G1937" s="3" t="n"/>
      <c r="H1937" s="217" t="inlineStr">
        <is>
          <t>"delivery.warehouse.deliveryKpi.exportSuccess": "នាំចេញទៅ Excel ដោយជោគជ័យ",</t>
        </is>
      </c>
      <c r="I1937" t="inlineStr">
        <is>
          <t>នាំចេញទៅ Excel ដោយជោគជ័យ</t>
        </is>
      </c>
    </row>
    <row r="1938">
      <c r="A1938" s="3" t="inlineStr">
        <is>
          <t>delivery.warehouse.deliveryKpi.fileNameExcel</t>
        </is>
      </c>
      <c r="B1938" s="3" t="inlineStr">
        <is>
          <t>BaocaoKPIphat</t>
        </is>
      </c>
      <c r="C1938" s="3" t="inlineStr">
        <is>
          <t>DeliveryKPIreport</t>
        </is>
      </c>
      <c r="D1938" s="217">
        <f>IFERROR(__xludf.DUMMYFUNCTION("GOOGLETRANSLATE(C1938,""vi"",""km"")"),"របាយការណ៍ DeliveryKPI")</f>
        <v/>
      </c>
      <c r="E1938" s="3" t="n"/>
      <c r="F1938" s="3" t="inlineStr">
        <is>
          <t>របាយការណ៍ DeliveryKPI</t>
        </is>
      </c>
      <c r="G1938" s="3" t="n"/>
      <c r="H1938" s="217" t="inlineStr">
        <is>
          <t>"delivery.warehouse.deliveryKpi.fileNameExcel": "របាយការណ៍ DeliveryKPI",</t>
        </is>
      </c>
      <c r="I1938" t="inlineStr">
        <is>
          <t>របាយការណ៍ DeliveryKPI</t>
        </is>
      </c>
    </row>
    <row r="1939">
      <c r="A1939" s="3" t="inlineStr">
        <is>
          <t>delivery.warehouse.deliveryKpi.fileNameExcelDetail</t>
        </is>
      </c>
      <c r="B1939" s="3" t="inlineStr">
        <is>
          <t>xuatchitiet_baocaoKPIphat</t>
        </is>
      </c>
      <c r="C1939" s="3" t="inlineStr">
        <is>
          <t>Exportdetails_DeliveryKPIreport</t>
        </is>
      </c>
      <c r="D1939" s="217">
        <f>IFERROR(__xludf.DUMMYFUNCTION("GOOGLETRANSLATE(C1939,""vi"",""km"")"),"របាយការណ៍​លម្អិត​នៃ​ការ​នាំចេញ_ការ​ដឹកជញ្ជូន KPI")</f>
        <v/>
      </c>
      <c r="E1939" s="3" t="n"/>
      <c r="F1939" s="3" t="inlineStr">
        <is>
          <t>របាយការណ៍លម្អិតនៃការនាំចេញ_ការដឹកជញ្ជូន KPI</t>
        </is>
      </c>
      <c r="G1939" s="3" t="n"/>
      <c r="H1939" s="217" t="inlineStr">
        <is>
          <t>"delivery.warehouse.deliveryKpi.fileNameExcelDetail": "របាយការណ៍លម្អិតនៃការនាំចេញ_ការដឹកជញ្ជូន KPI",</t>
        </is>
      </c>
      <c r="I1939" t="inlineStr">
        <is>
          <t>របាយការណ៍លម្អិតនៃការនាំចេញ_ការដឹកជញ្ជូន KPI</t>
        </is>
      </c>
    </row>
    <row r="1940">
      <c r="A1940" s="3" t="inlineStr">
        <is>
          <t>delivery.warehouse.departmentLookup.deliveryDepartment</t>
        </is>
      </c>
      <c r="B1940" s="3" t="inlineStr">
        <is>
          <t>Bưu cục giao</t>
        </is>
      </c>
      <c r="C1940" s="3" t="inlineStr">
        <is>
          <t>Bưu cục giao</t>
        </is>
      </c>
      <c r="D1940" s="217">
        <f>IFERROR(__xludf.DUMMYFUNCTION("GOOGLETRANSLATE(C1940,""vi"",""km"")"),"ការដឹកជញ្ជូនតាមប្រៃសណីយ៍")</f>
        <v/>
      </c>
      <c r="E1940" s="3" t="n"/>
      <c r="F1940" s="3" t="inlineStr">
        <is>
          <t>ការដឹកជញ្ជូនតាមប្រៃសណីយ៍</t>
        </is>
      </c>
      <c r="G1940" s="3" t="n"/>
      <c r="H1940" s="217" t="inlineStr">
        <is>
          <t>"delivery.warehouse.departmentLookup.deliveryDepartment": "ការដឹកជញ្ជូនតាមប្រៃសណីយ៍",</t>
        </is>
      </c>
      <c r="I1940" t="inlineStr">
        <is>
          <t>ការដឹកជញ្ជូនតាមប្រៃសណីយ៍</t>
        </is>
      </c>
    </row>
    <row r="1941">
      <c r="A1941" s="3" t="inlineStr">
        <is>
          <t>delivery.warehouse.departmentLookup.modifyDepartment</t>
        </is>
      </c>
      <c r="B1941" s="3" t="inlineStr">
        <is>
          <t>Sửa bưu cục phục vụ</t>
        </is>
      </c>
      <c r="C1941" s="3" t="inlineStr">
        <is>
          <t>Sửa bưu cục phục vụ</t>
        </is>
      </c>
      <c r="D1941" s="217">
        <f>IFERROR(__xludf.DUMMYFUNCTION("GOOGLETRANSLATE(C1941,""vi"",""km"")"),"ជួសជុលសេវាកម្មប្រៃសណីយ៍")</f>
        <v/>
      </c>
      <c r="E1941" s="3" t="n"/>
      <c r="F1941" s="3" t="inlineStr">
        <is>
          <t>ជួសជុលសេវាកម្មប្រៃសណីយ៍</t>
        </is>
      </c>
      <c r="G1941" s="3" t="n"/>
      <c r="H1941" s="217" t="inlineStr">
        <is>
          <t>"delivery.warehouse.departmentLookup.modifyDepartment": "ជួសជុលសេវាកម្មប្រៃសណីយ៍",</t>
        </is>
      </c>
      <c r="I1941" t="inlineStr">
        <is>
          <t>ជួសជុលសេវាកម្មប្រៃសណីយ៍</t>
        </is>
      </c>
    </row>
    <row r="1942">
      <c r="A1942" s="3" t="inlineStr">
        <is>
          <t>delivery.warehouse.departmentLookup.receivingDepartment</t>
        </is>
      </c>
      <c r="B1942" s="3" t="inlineStr">
        <is>
          <t>Bưu cục nhận</t>
        </is>
      </c>
      <c r="C1942" s="3" t="inlineStr">
        <is>
          <t>Bưu cục nhận</t>
        </is>
      </c>
      <c r="D1942" s="217">
        <f>IFERROR(__xludf.DUMMYFUNCTION("GOOGLETRANSLATE(C1942,""vi"",""km"")"),"ការិយាល័យប្រៃសណីយ៍ទទួល")</f>
        <v/>
      </c>
      <c r="E1942" s="3" t="n"/>
      <c r="F1942" s="3" t="inlineStr">
        <is>
          <t>ការិយាល័យប្រៃសណីយ៍ទទួល</t>
        </is>
      </c>
      <c r="G1942" s="3" t="n"/>
      <c r="H1942" s="217" t="inlineStr">
        <is>
          <t>"delivery.warehouse.departmentLookup.receivingDepartment": "ការិយាល័យប្រៃសណីយ៍ទទួល",</t>
        </is>
      </c>
      <c r="I1942" t="inlineStr">
        <is>
          <t>ការិយាល័យប្រៃសណីយ៍ទទួល</t>
        </is>
      </c>
    </row>
    <row r="1943">
      <c r="A1943" s="3" t="inlineStr">
        <is>
          <t>delivery.warehouse.departmentManager.branch</t>
        </is>
      </c>
      <c r="B1943" s="3" t="inlineStr">
        <is>
          <t>Chi nhánh</t>
        </is>
      </c>
      <c r="C1943" s="3" t="inlineStr">
        <is>
          <t>Branch</t>
        </is>
      </c>
      <c r="D1943" s="217">
        <f>IFERROR(__xludf.DUMMYFUNCTION("GOOGLETRANSLATE(C1943,""vi"",""km"")"),"គ្រួសារ")</f>
        <v/>
      </c>
      <c r="E1943" s="3" t="n"/>
      <c r="F1943" s="3" t="inlineStr">
        <is>
          <t>សាខា</t>
        </is>
      </c>
      <c r="G1943" s="3" t="n"/>
      <c r="H1943" s="217" t="inlineStr">
        <is>
          <t>"delivery.warehouse.departmentManager.branch": "សាខា",</t>
        </is>
      </c>
      <c r="I1943" t="inlineStr">
        <is>
          <t>សាខា</t>
        </is>
      </c>
    </row>
    <row r="1944">
      <c r="A1944" s="3" t="inlineStr">
        <is>
          <t>delivery.warehouse.departmentManager.createDepartment</t>
        </is>
      </c>
      <c r="B1944" s="3" t="inlineStr">
        <is>
          <t>Thêm mới bưu cục</t>
        </is>
      </c>
      <c r="C1944" s="3" t="inlineStr">
        <is>
          <t>Create post office</t>
        </is>
      </c>
      <c r="D1944" s="217">
        <f>IFERROR(__xludf.DUMMYFUNCTION("GOOGLETRANSLATE(C1944,""vi"",""km"")"),"បង្កើតការិយាល័យប្រៃសណីយ៍")</f>
        <v/>
      </c>
      <c r="E1944" s="3" t="n"/>
      <c r="F1944" s="3" t="inlineStr">
        <is>
          <t>បង្កើតការិយាល័យប្រៃសណីយ៍</t>
        </is>
      </c>
      <c r="G1944" s="3" t="n"/>
      <c r="H1944" s="217" t="inlineStr">
        <is>
          <t>"delivery.warehouse.departmentManager.createDepartment": "បង្កើតការិយាល័យប្រៃសណីយ៍",</t>
        </is>
      </c>
      <c r="I1944" t="inlineStr">
        <is>
          <t>បង្កើតការិយាល័យប្រៃសណីយ៍</t>
        </is>
      </c>
    </row>
    <row r="1945">
      <c r="A1945" s="3" t="inlineStr">
        <is>
          <t>delivery.warehouse.departmentManager.departmentCode</t>
        </is>
      </c>
      <c r="B1945" s="3" t="inlineStr">
        <is>
          <t>Mã bưu cục</t>
        </is>
      </c>
      <c r="C1945" s="3" t="inlineStr">
        <is>
          <t>Post code</t>
        </is>
      </c>
      <c r="D1945" s="217">
        <f>IFERROR(__xludf.DUMMYFUNCTION("GOOGLETRANSLATE(C1945,""vi"",""km"")"),"លេខកូដប្រៃសណីយ៍")</f>
        <v/>
      </c>
      <c r="E1945" s="3" t="n"/>
      <c r="F1945" s="3" t="inlineStr">
        <is>
          <t>លេខកូដប្រៃសណីយ៍</t>
        </is>
      </c>
      <c r="G1945" s="3" t="n"/>
      <c r="H1945" s="217" t="inlineStr">
        <is>
          <t>"delivery.warehouse.departmentManager.departmentCode": "លេខកូដប្រៃសណីយ៍",</t>
        </is>
      </c>
      <c r="I1945" t="inlineStr">
        <is>
          <t>លេខកូដប្រៃសណីយ៍</t>
        </is>
      </c>
    </row>
    <row r="1946">
      <c r="A1946" s="3" t="inlineStr">
        <is>
          <t>delivery.warehouse.departmentManager.departmentName</t>
        </is>
      </c>
      <c r="B1946" s="3" t="inlineStr">
        <is>
          <t>Tên bưu cục</t>
        </is>
      </c>
      <c r="C1946" s="3" t="inlineStr">
        <is>
          <t>Post office name</t>
        </is>
      </c>
      <c r="D1946" s="217">
        <f>IFERROR(__xludf.DUMMYFUNCTION("GOOGLETRANSLATE(C1946,""vi"",""km"")"),"ឈ្មោះ​ការិយាល័យ​ប្រៃសណីយ៍")</f>
        <v/>
      </c>
      <c r="E1946" s="3" t="n"/>
      <c r="F1946" s="3" t="inlineStr">
        <is>
          <t>ឈ្មោះការិយាល័យប្រៃសណីយ៍</t>
        </is>
      </c>
      <c r="G1946" s="3" t="n"/>
      <c r="H1946" s="217" t="inlineStr">
        <is>
          <t>"delivery.warehouse.departmentManager.departmentName": "ឈ្មោះការិយាល័យប្រៃសណីយ៍",</t>
        </is>
      </c>
      <c r="I1946" t="inlineStr">
        <is>
          <t>ឈ្មោះការិយាល័យប្រៃសណីយ៍</t>
        </is>
      </c>
    </row>
    <row r="1947">
      <c r="A1947" s="3" t="inlineStr">
        <is>
          <t>delivery.warehouse.departmentManager.detailDepartment</t>
        </is>
      </c>
      <c r="B1947" s="3" t="inlineStr">
        <is>
          <t>Thông tin bưu cục</t>
        </is>
      </c>
      <c r="C1947" s="3" t="inlineStr">
        <is>
          <t>Post office information</t>
        </is>
      </c>
      <c r="D1947" s="217">
        <f>IFERROR(__xludf.DUMMYFUNCTION("GOOGLETRANSLATE(C1947,""vi"",""km"")"),"ព័ត៌មាន​ការិយាល័យ​ប្រៃសណីយ៍")</f>
        <v/>
      </c>
      <c r="E1947" s="3" t="n"/>
      <c r="F1947" s="3" t="inlineStr">
        <is>
          <t>ព័ត៌មានការិយាល័យប្រៃសណីយ៍</t>
        </is>
      </c>
      <c r="G1947" s="3" t="n"/>
      <c r="H1947" s="217" t="inlineStr">
        <is>
          <t>"delivery.warehouse.departmentManager.detailDepartment": "ព័ត៌មានការិយាល័យប្រៃសណីយ៍",</t>
        </is>
      </c>
      <c r="I1947" t="inlineStr">
        <is>
          <t>ព័ត៌មានការិយាល័យប្រៃសណីយ៍</t>
        </is>
      </c>
    </row>
    <row r="1948">
      <c r="A1948" s="3" t="inlineStr">
        <is>
          <t>delivery.warehouse.departmentManager.level</t>
        </is>
      </c>
      <c r="B1948" s="3" t="inlineStr">
        <is>
          <t>Cấp bưu cục</t>
        </is>
      </c>
      <c r="C1948" s="3" t="inlineStr">
        <is>
          <t>Post office level</t>
        </is>
      </c>
      <c r="D1948" s="217">
        <f>IFERROR(__xludf.DUMMYFUNCTION("GOOGLETRANSLATE(C1948,""vi"",""km"")"),"កម្រិតការិយាល័យប្រៃសណីយ៍")</f>
        <v/>
      </c>
      <c r="E1948" s="3" t="n"/>
      <c r="F1948" s="3" t="inlineStr">
        <is>
          <t>កម្រិតការិយាល័យប្រៃសណីយ៍</t>
        </is>
      </c>
      <c r="G1948" s="3" t="n"/>
      <c r="H1948" s="217" t="inlineStr">
        <is>
          <t>"delivery.warehouse.departmentManager.level": "កម្រិតការិយាល័យប្រៃសណីយ៍",</t>
        </is>
      </c>
      <c r="I1948" t="inlineStr">
        <is>
          <t>កម្រិតការិយាល័យប្រៃសណីយ៍</t>
        </is>
      </c>
    </row>
    <row r="1949">
      <c r="A1949" s="3" t="inlineStr">
        <is>
          <t>delivery.warehouse.departmentManager.listdepartment</t>
        </is>
      </c>
      <c r="B1949" s="3" t="inlineStr">
        <is>
          <t>Danh sách bưu cục</t>
        </is>
      </c>
      <c r="C1949" s="3" t="inlineStr">
        <is>
          <t>Post office list</t>
        </is>
      </c>
      <c r="D1949" s="217">
        <f>IFERROR(__xludf.DUMMYFUNCTION("GOOGLETRANSLATE(C1949,""vi"",""km"")"),"ថ្ងៃធ្វើការប្រៃសណីយ៍")</f>
        <v/>
      </c>
      <c r="E1949" s="3" t="n"/>
      <c r="F1949" s="3" t="inlineStr">
        <is>
          <t>ថ្ងៃធ្វើការប្រៃសណីយ៍</t>
        </is>
      </c>
      <c r="G1949" s="3" t="n"/>
      <c r="H1949" s="217" t="inlineStr">
        <is>
          <t>"delivery.warehouse.departmentManager.listdepartment": "ថ្ងៃធ្វើការប្រៃសណីយ៍",</t>
        </is>
      </c>
      <c r="I1949" t="inlineStr">
        <is>
          <t>ថ្ងៃធ្វើការប្រៃសណីយ៍</t>
        </is>
      </c>
    </row>
    <row r="1950">
      <c r="A1950" s="3" t="inlineStr">
        <is>
          <t>delivery.warehouse.departmentManager.searchPlaceholder</t>
        </is>
      </c>
      <c r="B1950" s="3" t="inlineStr">
        <is>
          <t>Nhập mã hoặc tên bưu cục để tìm kiếm</t>
        </is>
      </c>
      <c r="C1950" s="3" t="inlineStr">
        <is>
          <t>Enter post office code or name to search</t>
        </is>
      </c>
      <c r="D1950" s="217">
        <f>IFERROR(__xludf.DUMMYFUNCTION("GOOGLETRANSLATE(C1950,""vi"",""km"")"),"បញ្ចូលលេខកូដប្រៃសណីយ៍ ឬឈ្មោះដើម្បីស្វែងរក")</f>
        <v/>
      </c>
      <c r="E1950" s="3" t="n"/>
      <c r="F1950" s="3" t="inlineStr">
        <is>
          <t>បញ្ចូលលេខកូដប្រៃសណីយ៍ ឬឈ្មោះដើម្បីស្វែងរក</t>
        </is>
      </c>
      <c r="G1950" s="3" t="n"/>
      <c r="H1950" s="217" t="inlineStr">
        <is>
          <t>"delivery.warehouse.departmentManager.searchPlaceholder": "បញ្ចូលលេខកូដប្រៃសណីយ៍ ឬឈ្មោះដើម្បីស្វែងរក",</t>
        </is>
      </c>
      <c r="I1950" t="inlineStr">
        <is>
          <t>បញ្ចូលលេខកូដប្រៃសណីយ៍ ឬឈ្មោះដើម្បីស្វែងរក</t>
        </is>
      </c>
    </row>
    <row r="1951">
      <c r="A1951" s="3" t="inlineStr">
        <is>
          <t>delivery.warehouse.departmentManager.status</t>
        </is>
      </c>
      <c r="B1951" s="3" t="inlineStr">
        <is>
          <t>Trạng thái</t>
        </is>
      </c>
      <c r="C1951" s="3" t="inlineStr">
        <is>
          <t>Status</t>
        </is>
      </c>
      <c r="D1951" s="217">
        <f>IFERROR(__xludf.DUMMYFUNCTION("GOOGLETRANSLATE(C1951,""vi"",""km"")"),"ស្ថានភាព")</f>
        <v/>
      </c>
      <c r="E1951" s="3" t="n"/>
      <c r="F1951" s="3" t="inlineStr">
        <is>
          <t>ស្ថានភាព</t>
        </is>
      </c>
      <c r="G1951" s="3" t="n"/>
      <c r="H1951" s="217" t="inlineStr">
        <is>
          <t>"delivery.warehouse.departmentManager.status": "ស្ថានភាព",</t>
        </is>
      </c>
      <c r="I1951" t="inlineStr">
        <is>
          <t>ស្ថានភាព</t>
        </is>
      </c>
    </row>
    <row r="1952">
      <c r="A1952" s="3" t="inlineStr">
        <is>
          <t>delivery.warehouse.departmentManager.updateAt</t>
        </is>
      </c>
      <c r="B1952" s="3" t="inlineStr">
        <is>
          <t>Ngày cập nhật</t>
        </is>
      </c>
      <c r="C1952" s="3" t="inlineStr">
        <is>
          <t>Updated date</t>
        </is>
      </c>
      <c r="D1952" s="217">
        <f>IFERROR(__xludf.DUMMYFUNCTION("GOOGLETRANSLATE(C1952,""vi"",""km"")"),"កាលបរិច្ឆេទដែលបានធ្វើបច្ចុប្បន្នភាព")</f>
        <v/>
      </c>
      <c r="E1952" s="3" t="n"/>
      <c r="F1952" s="3" t="inlineStr">
        <is>
          <t>កាលបរិច្ឆេទដែលបានធ្វើបច្ចុប្បន្នភាព</t>
        </is>
      </c>
      <c r="G1952" s="3" t="n"/>
      <c r="H1952" s="217" t="inlineStr">
        <is>
          <t>"delivery.warehouse.departmentManager.updateAt": "កាលបរិច្ឆេទដែលបានធ្វើបច្ចុប្បន្នភាព",</t>
        </is>
      </c>
      <c r="I1952" t="inlineStr">
        <is>
          <t>កាលបរិច្ឆេទដែលបានធ្វើបច្ចុប្បន្នភាព</t>
        </is>
      </c>
    </row>
    <row r="1953">
      <c r="A1953" s="3" t="inlineStr">
        <is>
          <t>delivery.warehouse.departmentManager.updateBy</t>
        </is>
      </c>
      <c r="B1953" s="3" t="inlineStr">
        <is>
          <t>Người cập nhật</t>
        </is>
      </c>
      <c r="C1953" s="3" t="inlineStr">
        <is>
          <t>Updater</t>
        </is>
      </c>
      <c r="D1953" s="217">
        <f>IFERROR(__xludf.DUMMYFUNCTION("GOOGLETRANSLATE(C1953,""vi"",""km"")"),"កម្មវិធីធ្វើបច្ចុប្បន្នភាព")</f>
        <v/>
      </c>
      <c r="E1953" s="3" t="n"/>
      <c r="F1953" s="3" t="inlineStr">
        <is>
          <t>កម្មវិធីធ្វើបច្ចុប្បន្នភាព</t>
        </is>
      </c>
      <c r="G1953" s="3" t="n"/>
      <c r="H1953" s="217" t="inlineStr">
        <is>
          <t>"delivery.warehouse.departmentManager.updateBy": "កម្មវិធីធ្វើបច្ចុប្បន្នភាព",</t>
        </is>
      </c>
      <c r="I1953" t="inlineStr">
        <is>
          <t>កម្មវិធីធ្វើបច្ចុប្បន្នភាព</t>
        </is>
      </c>
    </row>
    <row r="1954">
      <c r="A1954" s="3" t="inlineStr">
        <is>
          <t>delivery.warehouse.departmentManagerTab.departmentLookup</t>
        </is>
      </c>
      <c r="B1954" s="3" t="inlineStr">
        <is>
          <t>Tra cứu bưu cục phục vụ</t>
        </is>
      </c>
      <c r="C1954" s="3" t="inlineStr">
        <is>
          <t>Tra cứu bưu cục phục vụ</t>
        </is>
      </c>
      <c r="D1954" s="217">
        <f>IFERROR(__xludf.DUMMYFUNCTION("GOOGLETRANSLATE(C1954,""vi"",""km"")"),"សូមរកមើលការិយាល័យប្រៃសណីយ៍ដែលបម្រើអ្នក។")</f>
        <v/>
      </c>
      <c r="E1954" s="3" t="n"/>
      <c r="F1954" s="3" t="inlineStr">
        <is>
          <t>សូមរកមើលការិយាល័យប្រៃសណីយ៍ដែលបម្រើអ្នក។</t>
        </is>
      </c>
      <c r="G1954" s="3" t="n"/>
      <c r="H1954" s="217" t="inlineStr">
        <is>
          <t>"delivery.warehouse.departmentManagerTab.departmentLookup": "សូមរកមើលការិយាល័យប្រៃសណីយ៍ដែលបម្រើអ្នក។",</t>
        </is>
      </c>
      <c r="I1954" t="inlineStr">
        <is>
          <t>សូមរកមើលការិយាល័យប្រៃសណីយ៍ដែលបម្រើអ្នក។</t>
        </is>
      </c>
    </row>
    <row r="1955">
      <c r="A1955" s="3" t="inlineStr">
        <is>
          <t>delivery.warehouse.departmentManagerTab.departmentManager</t>
        </is>
      </c>
      <c r="B1955" s="3" t="inlineStr">
        <is>
          <t>Danh sách bưu cục</t>
        </is>
      </c>
      <c r="C1955" s="3" t="inlineStr">
        <is>
          <t>Danh sách bưu cục</t>
        </is>
      </c>
      <c r="D1955" s="217">
        <f>IFERROR(__xludf.DUMMYFUNCTION("GOOGLETRANSLATE(C1955,""vi"",""km"")"),"បញ្ជីការិយាល័យប្រៃសណីយ៍")</f>
        <v/>
      </c>
      <c r="E1955" s="3" t="n"/>
      <c r="F1955" s="3" t="inlineStr">
        <is>
          <t>បញ្ជីការិយាល័យប្រៃសណីយ៍</t>
        </is>
      </c>
      <c r="G1955" s="3" t="n"/>
      <c r="H1955" s="217" t="inlineStr">
        <is>
          <t>"delivery.warehouse.departmentManagerTab.departmentManager": "បញ្ជីការិយាល័យប្រៃសណីយ៍",</t>
        </is>
      </c>
      <c r="I1955" t="inlineStr">
        <is>
          <t>បញ្ជីការិយាល័យប្រៃសណីយ៍</t>
        </is>
      </c>
    </row>
    <row r="1956">
      <c r="A1956" s="3" t="inlineStr">
        <is>
          <t>delivery.warehouse.detailService.config</t>
        </is>
      </c>
      <c r="B1956" s="3" t="inlineStr">
        <is>
          <t>Cấu hình</t>
        </is>
      </c>
      <c r="C1956" s="3" t="inlineStr">
        <is>
          <t>Config</t>
        </is>
      </c>
      <c r="D1956" s="217">
        <f>IFERROR(__xludf.DUMMYFUNCTION("GOOGLETRANSLATE(C1956,""vi"",""km"")"),"កំណត់រចនាសម្ព័ន្ធ")</f>
        <v/>
      </c>
      <c r="E1956" s="3" t="n"/>
      <c r="F1956" s="3" t="inlineStr">
        <is>
          <t>កំណត់រចនាសម្ព័ន្ធ</t>
        </is>
      </c>
      <c r="G1956" s="3" t="n"/>
      <c r="H1956" s="217" t="inlineStr">
        <is>
          <t>"delivery.warehouse.detailService.config": "កំណត់រចនាសម្ព័ន្ធ",</t>
        </is>
      </c>
      <c r="I1956" t="inlineStr">
        <is>
          <t>កំណត់រចនាសម្ព័ន្ធ</t>
        </is>
      </c>
    </row>
    <row r="1957">
      <c r="A1957" s="3" t="inlineStr">
        <is>
          <t>delivery.warehouse.detailService.display</t>
        </is>
      </c>
      <c r="B1957" s="3" t="inlineStr">
        <is>
          <t>Hiển thị</t>
        </is>
      </c>
      <c r="C1957" s="3" t="inlineStr">
        <is>
          <t>Display</t>
        </is>
      </c>
      <c r="D1957" s="217">
        <f>IFERROR(__xludf.DUMMYFUNCTION("GOOGLETRANSLATE(C1957,""vi"",""km"")"),"ការបង្ហាញ")</f>
        <v/>
      </c>
      <c r="E1957" s="3" t="n"/>
      <c r="F1957" s="3" t="inlineStr">
        <is>
          <t>ការបង្ហាញ</t>
        </is>
      </c>
      <c r="G1957" s="3" t="n"/>
      <c r="H1957" s="217" t="inlineStr">
        <is>
          <t>"delivery.warehouse.detailService.display": "ការបង្ហាញ",</t>
        </is>
      </c>
      <c r="I1957" t="inlineStr">
        <is>
          <t>ការបង្ហាញ</t>
        </is>
      </c>
    </row>
    <row r="1958">
      <c r="A1958" s="3" t="inlineStr">
        <is>
          <t>delivery.warehouse.detailService.parameters</t>
        </is>
      </c>
      <c r="B1958" s="3" t="inlineStr">
        <is>
          <t>Chọn tham số</t>
        </is>
      </c>
      <c r="C1958" s="3" t="inlineStr">
        <is>
          <t>Select parameter</t>
        </is>
      </c>
      <c r="D1958" s="217">
        <f>IFERROR(__xludf.DUMMYFUNCTION("GOOGLETRANSLATE(C1958,""vi"",""km"")"),"ជ្រើសរើសប៉ារ៉ាម៉ែត្រ")</f>
        <v/>
      </c>
      <c r="E1958" s="3" t="n"/>
      <c r="F1958" s="3" t="inlineStr">
        <is>
          <t>ជ្រើសរើសប៉ារ៉ាម៉ែត្រ</t>
        </is>
      </c>
      <c r="G1958" s="3" t="n"/>
      <c r="H1958" s="217" t="inlineStr">
        <is>
          <t>"delivery.warehouse.detailService.parameters": "ជ្រើសរើសប៉ារ៉ាម៉ែត្រ",</t>
        </is>
      </c>
      <c r="I1958" t="inlineStr">
        <is>
          <t>ជ្រើសរើសប៉ារ៉ាម៉ែត្រ</t>
        </is>
      </c>
    </row>
    <row r="1959">
      <c r="A1959" s="3" t="inlineStr">
        <is>
          <t>delivery.warehouse.detailService.serivce</t>
        </is>
      </c>
      <c r="B1959" s="3" t="inlineStr">
        <is>
          <t>Chọn dịch vụ</t>
        </is>
      </c>
      <c r="C1959" s="3" t="inlineStr">
        <is>
          <t>Select service</t>
        </is>
      </c>
      <c r="D1959" s="217">
        <f>IFERROR(__xludf.DUMMYFUNCTION("GOOGLETRANSLATE(C1959,""vi"",""km"")"),"ជ្រើសរើសសេវាកម្ម")</f>
        <v/>
      </c>
      <c r="E1959" s="3" t="n"/>
      <c r="F1959" s="3" t="inlineStr">
        <is>
          <t>ជ្រើសរើសសេវាកម្ម</t>
        </is>
      </c>
      <c r="G1959" s="3" t="n"/>
      <c r="H1959" s="217" t="inlineStr">
        <is>
          <t>"delivery.warehouse.detailService.serivce": "ជ្រើសរើសសេវាកម្ម",</t>
        </is>
      </c>
      <c r="I1959" t="inlineStr">
        <is>
          <t>ជ្រើសរើសសេវាកម្ម</t>
        </is>
      </c>
    </row>
    <row r="1960">
      <c r="A1960" s="3" t="inlineStr">
        <is>
          <t>delivery.warehouse.detailService.typeApplication</t>
        </is>
      </c>
      <c r="B1960" s="3" t="inlineStr">
        <is>
          <t>Loại hình áp dụng</t>
        </is>
      </c>
      <c r="C1960" s="3" t="inlineStr">
        <is>
          <t>Application type</t>
        </is>
      </c>
      <c r="D1960" s="217">
        <f>IFERROR(__xludf.DUMMYFUNCTION("GOOGLETRANSLATE(C1960,""vi"",""km"")"),"ប្រភេទកម្មវិធី")</f>
        <v/>
      </c>
      <c r="E1960" s="3" t="n"/>
      <c r="F1960" s="3" t="inlineStr">
        <is>
          <t>ប្រភេទកម្មវិធី</t>
        </is>
      </c>
      <c r="G1960" s="3" t="n"/>
      <c r="H1960" s="217" t="inlineStr">
        <is>
          <t>"delivery.warehouse.detailService.typeApplication": "ប្រភេទកម្មវិធី",</t>
        </is>
      </c>
      <c r="I1960" t="inlineStr">
        <is>
          <t>ប្រភេទកម្មវិធី</t>
        </is>
      </c>
    </row>
    <row r="1961">
      <c r="A1961" s="3" t="inlineStr">
        <is>
          <t>delivery.warehouse.detailService.typeParameters</t>
        </is>
      </c>
      <c r="B1961" s="3" t="inlineStr">
        <is>
          <t>Loại tham số</t>
        </is>
      </c>
      <c r="C1961" s="3" t="inlineStr">
        <is>
          <t>Parameter type</t>
        </is>
      </c>
      <c r="D1961" s="217">
        <f>IFERROR(__xludf.DUMMYFUNCTION("GOOGLETRANSLATE(C1961,""vi"",""km"")"),"ប្រភេទប៉ារ៉ាម៉ែត្រ")</f>
        <v/>
      </c>
      <c r="E1961" s="3" t="n"/>
      <c r="F1961" s="3" t="inlineStr">
        <is>
          <t>ប្រភេទប៉ារ៉ាម៉ែត្រ</t>
        </is>
      </c>
      <c r="G1961" s="3" t="n"/>
      <c r="H1961" s="217" t="inlineStr">
        <is>
          <t>"delivery.warehouse.detailService.typeParameters": "ប្រភេទប៉ារ៉ាម៉ែត្រ",</t>
        </is>
      </c>
      <c r="I1961" t="inlineStr">
        <is>
          <t>ប្រភេទប៉ារ៉ាម៉ែត្រ</t>
        </is>
      </c>
    </row>
    <row r="1962">
      <c r="A1962" s="3" t="inlineStr">
        <is>
          <t>delivery.warehouse.detailsOperating.codeProvince</t>
        </is>
      </c>
      <c r="B1962" s="3" t="inlineStr">
        <is>
          <t>Mã tỉnh</t>
        </is>
      </c>
      <c r="C1962" s="3" t="inlineStr">
        <is>
          <t>Province Code</t>
        </is>
      </c>
      <c r="D1962" s="217">
        <f>IFERROR(__xludf.DUMMYFUNCTION("GOOGLETRANSLATE(C1962,""vi"",""km"")"),"លេខកូដខេត្ត")</f>
        <v/>
      </c>
      <c r="E1962" s="3" t="n"/>
      <c r="F1962" s="3" t="inlineStr">
        <is>
          <t>លេខកូដខេត្ត</t>
        </is>
      </c>
      <c r="G1962" s="3" t="n"/>
      <c r="H1962" s="217" t="inlineStr">
        <is>
          <t>"delivery.warehouse.detailsOperating.codeProvince": "លេខកូដខេត្ត",</t>
        </is>
      </c>
      <c r="I1962" t="inlineStr">
        <is>
          <t>លេខកូដខេត្ត</t>
        </is>
      </c>
    </row>
    <row r="1963">
      <c r="A1963" s="3" t="inlineStr">
        <is>
          <t>delivery.warehouse.detailsOperating.dateConfirm</t>
        </is>
      </c>
      <c r="B1963" s="3" t="inlineStr">
        <is>
          <t>Ngày duyệt</t>
        </is>
      </c>
      <c r="C1963" s="3" t="inlineStr">
        <is>
          <t>Confirmed on</t>
        </is>
      </c>
      <c r="D1963" s="217">
        <f>IFERROR(__xludf.DUMMYFUNCTION("GOOGLETRANSLATE(C1963,""vi"",""km"")"),"បានបញ្ជាក់នៅថ្ងៃទី")</f>
        <v/>
      </c>
      <c r="E1963" s="3" t="n"/>
      <c r="F1963" s="3" t="inlineStr">
        <is>
          <t>កាលបរិច្ឆេទអនុម័ត</t>
        </is>
      </c>
      <c r="G1963" s="3" t="n"/>
      <c r="H1963" s="217" t="inlineStr">
        <is>
          <t>"delivery.warehouse.detailsOperating.dateConfirm": "កាលបរិច្ឆេទអនុម័ត",</t>
        </is>
      </c>
      <c r="I1963" t="inlineStr">
        <is>
          <t>កាលបរិច្ឆេទអនុម័ត</t>
        </is>
      </c>
    </row>
    <row r="1964">
      <c r="A1964" s="3" t="inlineStr">
        <is>
          <t>delivery.warehouse.detailsOperating.dateImport</t>
        </is>
      </c>
      <c r="B1964" s="3" t="inlineStr">
        <is>
          <t>Ngày nhập máy</t>
        </is>
      </c>
      <c r="C1964" s="3" t="inlineStr">
        <is>
          <t>Imported on</t>
        </is>
      </c>
      <c r="D1964" s="217">
        <f>IFERROR(__xludf.DUMMYFUNCTION("GOOGLETRANSLATE(C1964,""vi"",""km"")"),"បាននាំចូលនៅថ្ងៃទី")</f>
        <v/>
      </c>
      <c r="E1964" s="3" t="n"/>
      <c r="F1964" s="3" t="inlineStr">
        <is>
          <t>កាលបរិច្ឆេទបញ្ចូលប្រព័ន្ធ</t>
        </is>
      </c>
      <c r="G1964" s="3" t="n"/>
      <c r="H1964" s="217" t="inlineStr">
        <is>
          <t>"delivery.warehouse.detailsOperating.dateImport": "កាលបរិច្ឆេទបញ្ចូលប្រព័ន្ធ",</t>
        </is>
      </c>
      <c r="I1964" t="inlineStr">
        <is>
          <t>កាលបរិច្ឆេទបញ្ចូលប្រព័ន្ធ</t>
        </is>
      </c>
    </row>
    <row r="1965">
      <c r="A1965" s="3" t="inlineStr">
        <is>
          <t>delivery.warehouse.detailsOperating.district</t>
        </is>
      </c>
      <c r="B1965" s="3" t="inlineStr">
        <is>
          <t>Quận/Huyện</t>
        </is>
      </c>
      <c r="C1965" s="3" t="inlineStr">
        <is>
          <t>District</t>
        </is>
      </c>
      <c r="D1965" s="217">
        <f>IFERROR(__xludf.DUMMYFUNCTION("GOOGLETRANSLATE(C1965,""vi"",""km"")"),"ស្រុក")</f>
        <v/>
      </c>
      <c r="E1965" s="3" t="n"/>
      <c r="F1965" s="3" t="inlineStr">
        <is>
          <t>ស្រុក/ខណ្ឌ</t>
        </is>
      </c>
      <c r="G1965" s="3" t="n"/>
      <c r="H1965" s="217" t="inlineStr">
        <is>
          <t>"delivery.warehouse.detailsOperating.district": "ស្រុក/ខណ្ឌ",</t>
        </is>
      </c>
      <c r="I1965" t="inlineStr">
        <is>
          <t>ស្រុក/ខណ្ឌ</t>
        </is>
      </c>
    </row>
    <row r="1966">
      <c r="A1966" s="3" t="inlineStr">
        <is>
          <t>delivery.warehouse.detailsOperating.domestic</t>
        </is>
      </c>
      <c r="B1966" s="3" t="inlineStr">
        <is>
          <t>Trong nước</t>
        </is>
      </c>
      <c r="C1966" s="3" t="inlineStr">
        <is>
          <t>Domestic</t>
        </is>
      </c>
      <c r="D1966" s="217">
        <f>IFERROR(__xludf.DUMMYFUNCTION("GOOGLETRANSLATE(C1966,""vi"",""km"")"),"ក្នុងស្រុក")</f>
        <v/>
      </c>
      <c r="E1966" s="3" t="n"/>
      <c r="F1966" s="3" t="inlineStr">
        <is>
          <t>ក្នុងស្រុក</t>
        </is>
      </c>
      <c r="G1966" s="3" t="n"/>
      <c r="H1966" s="217" t="inlineStr">
        <is>
          <t>"delivery.warehouse.detailsOperating.domestic": "ក្នុងស្រុក",</t>
        </is>
      </c>
      <c r="I1966" t="inlineStr">
        <is>
          <t>ក្នុងស្រុក</t>
        </is>
      </c>
    </row>
    <row r="1967">
      <c r="A1967" s="3" t="inlineStr">
        <is>
          <t>delivery.warehouse.detailsOperating.international</t>
        </is>
      </c>
      <c r="B1967" s="3" t="inlineStr">
        <is>
          <t>Quốc tế</t>
        </is>
      </c>
      <c r="C1967" s="3" t="inlineStr">
        <is>
          <t>International</t>
        </is>
      </c>
      <c r="D1967" s="217">
        <f>IFERROR(__xludf.DUMMYFUNCTION("GOOGLETRANSLATE(C1967,""vi"",""km"")"),"អន្តរជាតិ")</f>
        <v/>
      </c>
      <c r="E1967" s="3" t="n"/>
      <c r="F1967" s="3" t="inlineStr">
        <is>
          <t>អន្តរជាតិ</t>
        </is>
      </c>
      <c r="G1967" s="3" t="n"/>
      <c r="H1967" s="217" t="inlineStr">
        <is>
          <t>"delivery.warehouse.detailsOperating.international": "អន្តរជាតិ",</t>
        </is>
      </c>
      <c r="I1967" t="inlineStr">
        <is>
          <t>អន្តរជាតិ</t>
        </is>
      </c>
    </row>
    <row r="1968">
      <c r="A1968" s="3" t="inlineStr">
        <is>
          <t>delivery.warehouse.detailsOperating.orderCode</t>
        </is>
      </c>
      <c r="B1968" s="3" t="inlineStr">
        <is>
          <t>Mã vận đơn</t>
        </is>
      </c>
      <c r="C1968" s="3" t="inlineStr">
        <is>
          <t>Order code</t>
        </is>
      </c>
      <c r="D1968" s="217">
        <f>IFERROR(__xludf.DUMMYFUNCTION("GOOGLETRANSLATE(C1968,""vi"",""km"")"),"លេខកូដបញ្ជាទិញ")</f>
        <v/>
      </c>
      <c r="E1968" s="3" t="n"/>
      <c r="F1968" s="3" t="inlineStr">
        <is>
          <t>លេខកូដបុងបញ្ញើ</t>
        </is>
      </c>
      <c r="G1968" s="3" t="n"/>
      <c r="H1968" s="217" t="inlineStr">
        <is>
          <t>"delivery.warehouse.detailsOperating.orderCode": "លេខកូដបុងបញ្ញើ",</t>
        </is>
      </c>
      <c r="I1968" t="inlineStr">
        <is>
          <t>លេខកូដបុងបញ្ញើ</t>
        </is>
      </c>
    </row>
    <row r="1969">
      <c r="A1969" s="3" t="inlineStr">
        <is>
          <t>delivery.warehouse.detailsOperating.orderInfor</t>
        </is>
      </c>
      <c r="B1969" s="3" t="inlineStr">
        <is>
          <t>Thông tin đơn hàng</t>
        </is>
      </c>
      <c r="C1969" s="3" t="inlineStr">
        <is>
          <t>Order information</t>
        </is>
      </c>
      <c r="D1969" s="217">
        <f>IFERROR(__xludf.DUMMYFUNCTION("GOOGLETRANSLATE(C1969,""vi"",""km"")"),"ព័ត៌មានការបញ្ជាទិញ")</f>
        <v/>
      </c>
      <c r="E1969" s="3" t="n"/>
      <c r="F1969" s="3" t="inlineStr">
        <is>
          <t>ព័ត៌មានការបញ្ជាទិញ</t>
        </is>
      </c>
      <c r="G1969" s="3" t="n"/>
      <c r="H1969" s="217" t="inlineStr">
        <is>
          <t>"delivery.warehouse.detailsOperating.orderInfor": "ព័ត៌មានការបញ្ជាទិញ",</t>
        </is>
      </c>
      <c r="I1969" t="inlineStr">
        <is>
          <t>ព័ត៌មានការបញ្ជាទិញ</t>
        </is>
      </c>
    </row>
    <row r="1970">
      <c r="A1970" s="3" t="inlineStr">
        <is>
          <t>delivery.warehouse.detailsOperating.orderStatus</t>
        </is>
      </c>
      <c r="B1970" s="3" t="inlineStr">
        <is>
          <t>Trạng thái</t>
        </is>
      </c>
      <c r="C1970" s="3" t="inlineStr">
        <is>
          <t>Order status</t>
        </is>
      </c>
      <c r="D1970" s="217">
        <f>IFERROR(__xludf.DUMMYFUNCTION("GOOGLETRANSLATE(C1970,""vi"",""km"")"),"ស្ថានភាពបញ្ជាទិញ")</f>
        <v/>
      </c>
      <c r="E1970" s="3" t="n"/>
      <c r="F1970" s="3" t="inlineStr">
        <is>
          <t>ស្ថានភាព</t>
        </is>
      </c>
      <c r="G1970" s="3" t="n"/>
      <c r="H1970" s="217" t="inlineStr">
        <is>
          <t>"delivery.warehouse.detailsOperating.orderStatus": "ស្ថានភាព",</t>
        </is>
      </c>
      <c r="I1970" t="inlineStr">
        <is>
          <t>ស្ថានភាព</t>
        </is>
      </c>
    </row>
    <row r="1971">
      <c r="A1971" s="3" t="inlineStr">
        <is>
          <t>delivery.warehouse.detailsOperating.postOffice</t>
        </is>
      </c>
      <c r="B1971" s="3" t="inlineStr">
        <is>
          <t>Bưu cục nhận</t>
        </is>
      </c>
      <c r="C1971" s="3" t="inlineStr">
        <is>
          <t>Pickup station</t>
        </is>
      </c>
      <c r="D1971" s="217">
        <f>IFERROR(__xludf.DUMMYFUNCTION("GOOGLETRANSLATE(C1971,""vi"",""km"")"),"ស្ថានីយ​ទទួល")</f>
        <v/>
      </c>
      <c r="E1971" s="3" t="n"/>
      <c r="F1971" s="3" t="inlineStr">
        <is>
          <t>ស្ថានីយទទួល</t>
        </is>
      </c>
      <c r="G1971" s="3" t="n"/>
      <c r="H1971" s="217" t="inlineStr">
        <is>
          <t>"delivery.warehouse.detailsOperating.postOffice": "ស្ថានីយទទួល",</t>
        </is>
      </c>
      <c r="I1971" t="inlineStr">
        <is>
          <t>ស្ថានីយទទួល</t>
        </is>
      </c>
    </row>
    <row r="1972">
      <c r="A1972" s="3" t="inlineStr">
        <is>
          <t>delivery.warehouse.detailsOperating.postman</t>
        </is>
      </c>
      <c r="B1972" s="3" t="inlineStr">
        <is>
          <t>Tuyến nhận</t>
        </is>
      </c>
      <c r="C1972" s="3" t="inlineStr">
        <is>
          <t>Postman</t>
        </is>
      </c>
      <c r="D1972" s="217">
        <f>IFERROR(__xludf.DUMMYFUNCTION("GOOGLETRANSLATE(C1972,""vi"",""km"")"),"អ្នករត់សំបុត្រ")</f>
        <v/>
      </c>
      <c r="E1972" s="3" t="n"/>
      <c r="F1972" s="3" t="inlineStr">
        <is>
          <t>អ្នកដឹកជញ្ជូន</t>
        </is>
      </c>
      <c r="G1972" s="3" t="n"/>
      <c r="H1972" s="217" t="inlineStr">
        <is>
          <t>"delivery.warehouse.detailsOperating.postman": "អ្នកដឹកជញ្ជូន",</t>
        </is>
      </c>
      <c r="I1972" t="inlineStr">
        <is>
          <t>អ្នកដឹកជញ្ជូន</t>
        </is>
      </c>
    </row>
    <row r="1973">
      <c r="A1973" s="3" t="inlineStr">
        <is>
          <t>delivery.warehouse.detailsOperating.receiverInfor</t>
        </is>
      </c>
      <c r="B1973" s="3" t="inlineStr">
        <is>
          <t>Địa chỉ người nhận</t>
        </is>
      </c>
      <c r="C1973" s="3" t="inlineStr">
        <is>
          <t>Receiver address</t>
        </is>
      </c>
      <c r="D1973" s="217">
        <f>IFERROR(__xludf.DUMMYFUNCTION("GOOGLETRANSLATE(C1973,""vi"",""km"")"),"កាតទទួល")</f>
        <v/>
      </c>
      <c r="E1973" s="3" t="n"/>
      <c r="F1973" s="3" t="inlineStr">
        <is>
          <t>កាតទទួល</t>
        </is>
      </c>
      <c r="G1973" s="3" t="n"/>
      <c r="H1973" s="217" t="inlineStr">
        <is>
          <t>"delivery.warehouse.detailsOperating.receiverInfor": "កាតទទួល",</t>
        </is>
      </c>
      <c r="I1973" t="inlineStr">
        <is>
          <t>កាតទទួល</t>
        </is>
      </c>
    </row>
    <row r="1974">
      <c r="A1974" s="3" t="inlineStr">
        <is>
          <t>delivery.warehouse.detailsOperating.senderInfor</t>
        </is>
      </c>
      <c r="B1974" s="3" t="inlineStr">
        <is>
          <t>Địa chỉ người gửi</t>
        </is>
      </c>
      <c r="C1974" s="3" t="inlineStr">
        <is>
          <t>Sender address</t>
        </is>
      </c>
      <c r="D1974" s="217">
        <f>IFERROR(__xludf.DUMMYFUNCTION("GOOGLETRANSLATE(C1974,""vi"",""km"")"),"អាសយដ្ឋានអ្នកផ្ញើ")</f>
        <v/>
      </c>
      <c r="E1974" s="3" t="n"/>
      <c r="F1974" s="3" t="inlineStr">
        <is>
          <t>អាសយដ្ឋានអ្នកផ្ញើ</t>
        </is>
      </c>
      <c r="G1974" s="3" t="n"/>
      <c r="H1974" s="217" t="inlineStr">
        <is>
          <t>"delivery.warehouse.detailsOperating.senderInfor": "អាសយដ្ឋានអ្នកផ្ញើ",</t>
        </is>
      </c>
      <c r="I1974" t="inlineStr">
        <is>
          <t>អាសយដ្ឋានអ្នកផ្ញើ</t>
        </is>
      </c>
    </row>
    <row r="1975">
      <c r="A1975" s="3" t="inlineStr">
        <is>
          <t>delivery.warehouse.detailsOperating.total</t>
        </is>
      </c>
      <c r="B1975" s="3" t="inlineStr">
        <is>
          <t>Tổng đơn hàng</t>
        </is>
      </c>
      <c r="C1975" s="3" t="inlineStr">
        <is>
          <t>Total order</t>
        </is>
      </c>
      <c r="D1975" s="217">
        <f>IFERROR(__xludf.DUMMYFUNCTION("GOOGLETRANSLATE(C1975,""vi"",""km"")"),"ការបញ្ជាទិញសរុប")</f>
        <v/>
      </c>
      <c r="E1975" s="3" t="n"/>
      <c r="F1975" s="3" t="inlineStr">
        <is>
          <t>ការបញ្ជាទិញសរុប</t>
        </is>
      </c>
      <c r="G1975" s="3" t="n"/>
      <c r="H1975" s="217" t="inlineStr">
        <is>
          <t>"delivery.warehouse.detailsOperating.total": "ការបញ្ជាទិញសរុប",</t>
        </is>
      </c>
      <c r="I1975" t="inlineStr">
        <is>
          <t>ការបញ្ជាទិញសរុប</t>
        </is>
      </c>
    </row>
    <row r="1976">
      <c r="A1976" s="3" t="inlineStr">
        <is>
          <t>delivery.warehouse.display.display</t>
        </is>
      </c>
      <c r="B1976" s="3" t="inlineStr">
        <is>
          <t>Hiển thị</t>
        </is>
      </c>
      <c r="C1976" s="3" t="inlineStr">
        <is>
          <t>Display</t>
        </is>
      </c>
      <c r="D1976" s="217">
        <f>IFERROR(__xludf.DUMMYFUNCTION("GOOGLETRANSLATE(C1976,""vi"",""km"")"),"ការបង្ហាញ")</f>
        <v/>
      </c>
      <c r="E1976" s="3" t="n"/>
      <c r="F1976" s="3" t="inlineStr">
        <is>
          <t>ការបង្ហាញ</t>
        </is>
      </c>
      <c r="G1976" s="3" t="n"/>
      <c r="H1976" s="217" t="inlineStr">
        <is>
          <t>"delivery.warehouse.display.display": "ការបង្ហាញ",</t>
        </is>
      </c>
      <c r="I1976" t="inlineStr">
        <is>
          <t>ការបង្ហាញ</t>
        </is>
      </c>
    </row>
    <row r="1977">
      <c r="A1977" s="3" t="inlineStr">
        <is>
          <t>delivery.warehouse.display.none</t>
        </is>
      </c>
      <c r="B1977" s="3" t="inlineStr">
        <is>
          <t>Không hiển thị</t>
        </is>
      </c>
      <c r="C1977" s="3" t="inlineStr">
        <is>
          <t>None</t>
        </is>
      </c>
      <c r="D1977" s="217">
        <f>IFERROR(__xludf.DUMMYFUNCTION("GOOGLETRANSLATE(C1977,""vi"",""km"")"),"គ្មាន")</f>
        <v/>
      </c>
      <c r="E1977" s="3" t="n"/>
      <c r="F1977" s="3" t="inlineStr">
        <is>
          <t>គ្មាន</t>
        </is>
      </c>
      <c r="G1977" s="3" t="n"/>
      <c r="H1977" s="217" t="inlineStr">
        <is>
          <t>"delivery.warehouse.display.none": "គ្មាន",</t>
        </is>
      </c>
      <c r="I1977" t="inlineStr">
        <is>
          <t>គ្មាន</t>
        </is>
      </c>
    </row>
    <row r="1978">
      <c r="A1978" s="3" t="inlineStr">
        <is>
          <t>delivery.warehouse.headerLogin.service</t>
        </is>
      </c>
      <c r="B1978" s="3" t="inlineStr">
        <is>
          <t>Dịch vụ</t>
        </is>
      </c>
      <c r="C1978" s="3" t="inlineStr">
        <is>
          <t>Service</t>
        </is>
      </c>
      <c r="D1978" s="217">
        <f>IFERROR(__xludf.DUMMYFUNCTION("GOOGLETRANSLATE(C1978,""vi"",""km"")"),"សេវាកម្ម")</f>
        <v/>
      </c>
      <c r="E1978" s="3" t="n"/>
      <c r="F1978" s="3" t="inlineStr">
        <is>
          <t>សេវាកម្ម</t>
        </is>
      </c>
      <c r="G1978" s="3" t="n"/>
      <c r="H1978" s="217" t="inlineStr">
        <is>
          <t>"delivery.warehouse.headerLogin.service": "សេវាកម្ម",</t>
        </is>
      </c>
      <c r="I1978" t="inlineStr">
        <is>
          <t>សេវាកម្ម</t>
        </is>
      </c>
    </row>
    <row r="1979">
      <c r="A1979" s="3" t="inlineStr">
        <is>
          <t>delivery.warehouse.headerLogin.supportCustomer</t>
        </is>
      </c>
      <c r="B1979" s="3" t="inlineStr">
        <is>
          <t>Hỗ trợ khách hàng</t>
        </is>
      </c>
      <c r="C1979" s="3" t="inlineStr">
        <is>
          <t>Customer support</t>
        </is>
      </c>
      <c r="D1979" s="217">
        <f>IFERROR(__xludf.DUMMYFUNCTION("GOOGLETRANSLATE(C1979,""vi"",""km"")"),"ការគាំទ្រអតិថិជន")</f>
        <v/>
      </c>
      <c r="E1979" s="3" t="n"/>
      <c r="F1979" s="3" t="inlineStr">
        <is>
          <t>ការគាំទ្រអតិថិជន</t>
        </is>
      </c>
      <c r="G1979" s="3" t="n"/>
      <c r="H1979" s="217" t="inlineStr">
        <is>
          <t>"delivery.warehouse.headerLogin.supportCustomer": "ការគាំទ្រអតិថិជន",</t>
        </is>
      </c>
      <c r="I1979" t="inlineStr">
        <is>
          <t>ការគាំទ្រអតិថិជន</t>
        </is>
      </c>
    </row>
    <row r="1980">
      <c r="A1980" s="3" t="inlineStr">
        <is>
          <t>delivery.warehouse.historyDepartmentUser.actionAt</t>
        </is>
      </c>
      <c r="B1980" s="3" t="inlineStr">
        <is>
          <t>Thời gian kết thúc</t>
        </is>
      </c>
      <c r="C1980" s="3" t="inlineStr">
        <is>
          <t>Expiration date</t>
        </is>
      </c>
      <c r="D1980" s="217">
        <f>IFERROR(__xludf.DUMMYFUNCTION("GOOGLETRANSLATE(C1980,""vi"",""km"")"),"កាលបរិច្ឆេទផុតកំណត់")</f>
        <v/>
      </c>
      <c r="E1980" s="3" t="n"/>
      <c r="F1980" s="3" t="inlineStr">
        <is>
          <t>កាលបរិច្ឆេទផុតកំណត់</t>
        </is>
      </c>
      <c r="G1980" s="3" t="n"/>
      <c r="H1980" s="217" t="inlineStr">
        <is>
          <t>"delivery.warehouse.historyDepartmentUser.actionAt": "កាលបរិច្ឆេទផុតកំណត់",</t>
        </is>
      </c>
      <c r="I1980" t="inlineStr">
        <is>
          <t>កាលបរិច្ឆេទផុតកំណត់</t>
        </is>
      </c>
    </row>
    <row r="1981">
      <c r="A1981" s="3" t="inlineStr">
        <is>
          <t>delivery.warehouse.historyDepartmentUser.postOffice</t>
        </is>
      </c>
      <c r="B1981" s="3" t="inlineStr">
        <is>
          <t>Bưu cục</t>
        </is>
      </c>
      <c r="C1981" s="3" t="inlineStr">
        <is>
          <t>Post office</t>
        </is>
      </c>
      <c r="D1981" s="217">
        <f>IFERROR(__xludf.DUMMYFUNCTION("GOOGLETRANSLATE(C1981,""vi"",""km"")"),"ការិយាល័យប្រៃសណីយ៍")</f>
        <v/>
      </c>
      <c r="E1981" s="3" t="n"/>
      <c r="F1981" s="3" t="inlineStr">
        <is>
          <t>ការិយាល័យប្រៃសណីយ៍</t>
        </is>
      </c>
      <c r="G1981" s="3" t="n"/>
      <c r="H1981" s="217" t="inlineStr">
        <is>
          <t>"delivery.warehouse.historyDepartmentUser.postOffice": "ការិយាល័យប្រៃសណីយ៍",</t>
        </is>
      </c>
      <c r="I1981" t="inlineStr">
        <is>
          <t>ការិយាល័យប្រៃសណីយ៍</t>
        </is>
      </c>
    </row>
    <row r="1982">
      <c r="A1982" s="3" t="inlineStr">
        <is>
          <t>delivery.warehouse.historyDepartmentUser.role</t>
        </is>
      </c>
      <c r="B1982" s="3" t="inlineStr">
        <is>
          <t>Chức danh</t>
        </is>
      </c>
      <c r="C1982" s="3" t="inlineStr">
        <is>
          <t>Role</t>
        </is>
      </c>
      <c r="D1982" s="217">
        <f>IFERROR(__xludf.DUMMYFUNCTION("GOOGLETRANSLATE(C1982,""vi"",""km"")"),"តួនាទី")</f>
        <v/>
      </c>
      <c r="E1982" s="3" t="n"/>
      <c r="F1982" s="3" t="inlineStr">
        <is>
          <t>តួនាទី</t>
        </is>
      </c>
      <c r="G1982" s="3" t="n"/>
      <c r="H1982" s="217" t="inlineStr">
        <is>
          <t>"delivery.warehouse.historyDepartmentUser.role": "តួនាទី",</t>
        </is>
      </c>
      <c r="I1982" t="inlineStr">
        <is>
          <t>តួនាទី</t>
        </is>
      </c>
    </row>
    <row r="1983">
      <c r="A1983" s="3" t="inlineStr">
        <is>
          <t>delivery.warehouse.historyDepartmentUser.startAt</t>
        </is>
      </c>
      <c r="B1983" s="3" t="inlineStr">
        <is>
          <t>Thời gian bắt đầu</t>
        </is>
      </c>
      <c r="C1983" s="3" t="inlineStr">
        <is>
          <t>Effective time</t>
        </is>
      </c>
      <c r="D1983" s="217">
        <f>IFERROR(__xludf.DUMMYFUNCTION("GOOGLETRANSLATE(C1983,""vi"",""km"")"),"ពេលវេលាមានប្រសិទ្ធភាព")</f>
        <v/>
      </c>
      <c r="E1983" s="3" t="n"/>
      <c r="F1983" s="3" t="inlineStr">
        <is>
          <t>ពេលវេលាមានប្រសិទ្ធភាព</t>
        </is>
      </c>
      <c r="G1983" s="3" t="n"/>
      <c r="H1983" s="217" t="inlineStr">
        <is>
          <t>"delivery.warehouse.historyDepartmentUser.startAt": "ពេលវេលាមានប្រសិទ្ធភាព",</t>
        </is>
      </c>
      <c r="I1983" t="inlineStr">
        <is>
          <t>ពេលវេលាមានប្រសិទ្ធភាព</t>
        </is>
      </c>
    </row>
    <row r="1984">
      <c r="A1984" s="3" t="inlineStr">
        <is>
          <t>delivery.warehouse.historyDepartmentUser.status</t>
        </is>
      </c>
      <c r="B1984" s="3" t="inlineStr">
        <is>
          <t>Trạng thái</t>
        </is>
      </c>
      <c r="C1984" s="3" t="inlineStr">
        <is>
          <t>Status</t>
        </is>
      </c>
      <c r="D1984" s="217">
        <f>IFERROR(__xludf.DUMMYFUNCTION("GOOGLETRANSLATE(C1984,""vi"",""km"")"),"ស្ថានភាព")</f>
        <v/>
      </c>
      <c r="E1984" s="3" t="n"/>
      <c r="F1984" s="3" t="inlineStr">
        <is>
          <t>ស្ថានភាព</t>
        </is>
      </c>
      <c r="G1984" s="3" t="n"/>
      <c r="H1984" s="217" t="inlineStr">
        <is>
          <t>"delivery.warehouse.historyDepartmentUser.status": "ស្ថានភាព",</t>
        </is>
      </c>
      <c r="I1984" t="inlineStr">
        <is>
          <t>ស្ថានភាព</t>
        </is>
      </c>
    </row>
    <row r="1985">
      <c r="A1985" s="3" t="inlineStr">
        <is>
          <t>delivery.warehouse.inventory.branch</t>
        </is>
      </c>
      <c r="B1985" s="3" t="inlineStr">
        <is>
          <t>Chi nhánh</t>
        </is>
      </c>
      <c r="C1985" s="3" t="inlineStr">
        <is>
          <t>Branch</t>
        </is>
      </c>
      <c r="D1985" s="217">
        <f>IFERROR(__xludf.DUMMYFUNCTION("GOOGLETRANSLATE(C1985,""vi"",""km"")"),"គ្រួសារ")</f>
        <v/>
      </c>
      <c r="E1985" s="3" t="n"/>
      <c r="F1985" s="3" t="inlineStr">
        <is>
          <t>សាខា</t>
        </is>
      </c>
      <c r="G1985" s="3" t="n"/>
      <c r="H1985" s="217" t="inlineStr">
        <is>
          <t>"delivery.warehouse.inventory.branch": "សាខា",</t>
        </is>
      </c>
      <c r="I1985" t="inlineStr">
        <is>
          <t>សាខា</t>
        </is>
      </c>
    </row>
    <row r="1986">
      <c r="A1986" s="3" t="inlineStr">
        <is>
          <t>delivery.warehouse.inventory.fileName</t>
        </is>
      </c>
      <c r="B1986" s="3" t="inlineStr">
        <is>
          <t>Baocaotonthu</t>
        </is>
      </c>
      <c r="C1986" s="3" t="inlineStr">
        <is>
          <t>PickupInventoryReport</t>
        </is>
      </c>
      <c r="D1986" s="217">
        <f>IFERROR(__xludf.DUMMYFUNCTION("GOOGLETRANSLATE(C1986,""vi"",""km"")"),"របាយការណ៍ស្តុកទំនិញសម្រាប់ទទួលទំនិញ")</f>
        <v/>
      </c>
      <c r="E1986" s="3" t="n"/>
      <c r="F1986" s="3" t="inlineStr">
        <is>
          <t>របាយការណ៍បញ្ញើសេសសល់ត្រូវប្រមូល</t>
        </is>
      </c>
      <c r="G1986" s="3" t="n"/>
      <c r="H1986" s="217" t="inlineStr">
        <is>
          <t>"delivery.warehouse.inventory.fileName": "របាយការណ៍បញ្ញើសេសសល់ត្រូវប្រមូល",</t>
        </is>
      </c>
      <c r="I1986" t="inlineStr">
        <is>
          <t>របាយការណ៍បញ្ញើសេសសល់ត្រូវប្រមូល</t>
        </is>
      </c>
    </row>
    <row r="1987">
      <c r="A1987" s="3" t="inlineStr">
        <is>
          <t>delivery.warehouse.inventory.fileNameDetail</t>
        </is>
      </c>
      <c r="B1987" s="3" t="inlineStr">
        <is>
          <t>Chitietonthu</t>
        </is>
      </c>
      <c r="C1987" s="3" t="inlineStr">
        <is>
          <t>DetailPickupInventory</t>
        </is>
      </c>
      <c r="D1987" s="217">
        <f>IFERROR(__xludf.DUMMYFUNCTION("GOOGLETRANSLATE(C1987,""vi"",""km"")"),"ការជ្រើសរើសសារពើភ័ណ្ឌលម្អិត")</f>
        <v/>
      </c>
      <c r="E1987" s="3" t="n"/>
      <c r="F1987" s="3" t="inlineStr">
        <is>
          <t>ព័ត៌មានលម្អិតបញ្ញើសេសសល់ត្រូវប្រមូល</t>
        </is>
      </c>
      <c r="G1987" s="3" t="n"/>
      <c r="H1987" s="217" t="inlineStr">
        <is>
          <t>"delivery.warehouse.inventory.fileNameDetail": "ព័ត៌មានលម្អិតបញ្ញើសេសសល់ត្រូវប្រមូល",</t>
        </is>
      </c>
      <c r="I1987" t="inlineStr">
        <is>
          <t>ព័ត៌មានលម្អិតបញ្ញើសេសសល់ត្រូវប្រមូល</t>
        </is>
      </c>
    </row>
    <row r="1988">
      <c r="A1988" s="3" t="inlineStr">
        <is>
          <t>delivery.warehouse.inventory.ngayN</t>
        </is>
      </c>
      <c r="B1988" s="3" t="inlineStr">
        <is>
          <t>Ngày n</t>
        </is>
      </c>
      <c r="C1988" s="3" t="inlineStr">
        <is>
          <t>Day n</t>
        </is>
      </c>
      <c r="D1988" s="217">
        <f>IFERROR(__xludf.DUMMYFUNCTION("GOOGLETRANSLATE(C1988,""vi"",""km"")"),"ថ្ងៃ n")</f>
        <v/>
      </c>
      <c r="E1988" s="3" t="n"/>
      <c r="F1988" s="3" t="inlineStr">
        <is>
          <t>ថ្ងៃ n</t>
        </is>
      </c>
      <c r="G1988" s="3" t="n"/>
      <c r="H1988" s="217" t="inlineStr">
        <is>
          <t>"delivery.warehouse.inventory.ngayN": "ថ្ងៃ n",</t>
        </is>
      </c>
      <c r="I1988" t="inlineStr">
        <is>
          <t>ថ្ងៃ n</t>
        </is>
      </c>
    </row>
    <row r="1989">
      <c r="A1989" s="3" t="inlineStr">
        <is>
          <t>delivery.warehouse.inventory.ngayN1</t>
        </is>
      </c>
      <c r="B1989" s="3" t="inlineStr">
        <is>
          <t>Ngày n - 1</t>
        </is>
      </c>
      <c r="C1989" s="3" t="inlineStr">
        <is>
          <t>Day n - 1</t>
        </is>
      </c>
      <c r="D1989" s="217">
        <f>IFERROR(__xludf.DUMMYFUNCTION("GOOGLETRANSLATE(C1989,""vi"",""km"")"),"ថ្ងៃទី n - 1")</f>
        <v/>
      </c>
      <c r="E1989" s="3" t="n"/>
      <c r="F1989" s="3" t="inlineStr">
        <is>
          <t>ថ្ងៃទី n - 1</t>
        </is>
      </c>
      <c r="G1989" s="3" t="n"/>
      <c r="H1989" s="217" t="inlineStr">
        <is>
          <t>"delivery.warehouse.inventory.ngayN1": "ថ្ងៃទី n - 1",</t>
        </is>
      </c>
      <c r="I1989" t="inlineStr">
        <is>
          <t>ថ្ងៃទី n - 1</t>
        </is>
      </c>
    </row>
    <row r="1990">
      <c r="A1990" s="3" t="inlineStr">
        <is>
          <t>delivery.warehouse.inventory.ngayN2</t>
        </is>
      </c>
      <c r="B1990" s="3" t="inlineStr">
        <is>
          <t>Ngày n - 2</t>
        </is>
      </c>
      <c r="C1990" s="3" t="inlineStr">
        <is>
          <t>Day n - 2</t>
        </is>
      </c>
      <c r="D1990" s="217">
        <f>IFERROR(__xludf.DUMMYFUNCTION("GOOGLETRANSLATE(C1990,""vi"",""km"")"),"ថ្ងៃទី n - 2")</f>
        <v/>
      </c>
      <c r="E1990" s="3" t="n"/>
      <c r="F1990" s="3" t="inlineStr">
        <is>
          <t>ថ្ងៃទី n - 2</t>
        </is>
      </c>
      <c r="G1990" s="3" t="n"/>
      <c r="H1990" s="217" t="inlineStr">
        <is>
          <t>"delivery.warehouse.inventory.ngayN2": "ថ្ងៃទី n - 2",</t>
        </is>
      </c>
      <c r="I1990" t="inlineStr">
        <is>
          <t>ថ្ងៃទី n - 2</t>
        </is>
      </c>
    </row>
    <row r="1991">
      <c r="A1991" s="3" t="inlineStr">
        <is>
          <t>delivery.warehouse.inventory.ngayN3</t>
        </is>
      </c>
      <c r="B1991" s="3" t="inlineStr">
        <is>
          <t>Ngày n - 3</t>
        </is>
      </c>
      <c r="C1991" s="3" t="inlineStr">
        <is>
          <t>Day n - 3</t>
        </is>
      </c>
      <c r="D1991" s="217">
        <f>IFERROR(__xludf.DUMMYFUNCTION("GOOGLETRANSLATE(C1991,""vi"",""km"")"),"ថ្ងៃទី n - 3")</f>
        <v/>
      </c>
      <c r="E1991" s="3" t="n"/>
      <c r="F1991" s="3" t="inlineStr">
        <is>
          <t>ថ្ងៃទី n - 3</t>
        </is>
      </c>
      <c r="G1991" s="3" t="n"/>
      <c r="H1991" s="217" t="inlineStr">
        <is>
          <t>"delivery.warehouse.inventory.ngayN3": "ថ្ងៃទី n - 3",</t>
        </is>
      </c>
      <c r="I1991" t="inlineStr">
        <is>
          <t>ថ្ងៃទី n - 3</t>
        </is>
      </c>
    </row>
    <row r="1992">
      <c r="A1992" s="3" t="inlineStr">
        <is>
          <t>delivery.warehouse.inventory.ngayN4</t>
        </is>
      </c>
      <c r="B1992" s="3" t="inlineStr">
        <is>
          <t>Ngày n - 4</t>
        </is>
      </c>
      <c r="C1992" s="3" t="inlineStr">
        <is>
          <t>Day n - 4</t>
        </is>
      </c>
      <c r="D1992" s="217">
        <f>IFERROR(__xludf.DUMMYFUNCTION("GOOGLETRANSLATE(C1992,""vi"",""km"")"),"ថ្ងៃទី n - ៤")</f>
        <v/>
      </c>
      <c r="E1992" s="3" t="n"/>
      <c r="F1992" s="3" t="inlineStr">
        <is>
          <t>ថ្ងៃទី n - ៤</t>
        </is>
      </c>
      <c r="G1992" s="3" t="n"/>
      <c r="H1992" s="217" t="inlineStr">
        <is>
          <t>"delivery.warehouse.inventory.ngayN4": "ថ្ងៃទី n - ៤",</t>
        </is>
      </c>
      <c r="I1992" t="inlineStr">
        <is>
          <t>ថ្ងៃទី n - ៤</t>
        </is>
      </c>
    </row>
    <row r="1993">
      <c r="A1993" s="3" t="inlineStr">
        <is>
          <t>delivery.warehouse.inventory.pickupBranch</t>
        </is>
      </c>
      <c r="B1993" s="3" t="inlineStr">
        <is>
          <t>Chi nhánh nhận</t>
        </is>
      </c>
      <c r="C1993" s="3" t="inlineStr">
        <is>
          <t>Pickup branch</t>
        </is>
      </c>
      <c r="D1993" s="217">
        <f>IFERROR(__xludf.DUMMYFUNCTION("GOOGLETRANSLATE(C1993,""vi"",""km"")"),"សាខាទទួលទំនិញ")</f>
        <v/>
      </c>
      <c r="E1993" s="3" t="n"/>
      <c r="F1993" s="3" t="inlineStr">
        <is>
          <t>សាខាទទួលទំនិញ</t>
        </is>
      </c>
      <c r="G1993" s="3" t="n"/>
      <c r="H1993" s="217" t="inlineStr">
        <is>
          <t>"delivery.warehouse.inventory.pickupBranch": "សាខាទទួលទំនិញ",</t>
        </is>
      </c>
      <c r="I1993" t="inlineStr">
        <is>
          <t>សាខាទទួលទំនិញ</t>
        </is>
      </c>
    </row>
    <row r="1994">
      <c r="A1994" s="3" t="inlineStr">
        <is>
          <t>delivery.warehouse.inventory.pickupPostcode</t>
        </is>
      </c>
      <c r="B1994" s="3" t="inlineStr">
        <is>
          <t>Bưu cục nhận</t>
        </is>
      </c>
      <c r="C1994" s="3" t="inlineStr">
        <is>
          <t>Pickup postcode</t>
        </is>
      </c>
      <c r="D1994" s="217">
        <f>IFERROR(__xludf.DUMMYFUNCTION("GOOGLETRANSLATE(C1994,""vi"",""km"")"),"លេខកូដប្រៃសណីយ៍សម្រាប់ទទួល")</f>
        <v/>
      </c>
      <c r="E1994" s="3" t="n"/>
      <c r="F1994" s="3" t="inlineStr">
        <is>
          <t>លេខកូដប្រៃសណីយ៍សម្រាប់ទទួល</t>
        </is>
      </c>
      <c r="G1994" s="3" t="n"/>
      <c r="H1994" s="217" t="inlineStr">
        <is>
          <t>"delivery.warehouse.inventory.pickupPostcode": "លេខកូដប្រៃសណីយ៍សម្រាប់ទទួល",</t>
        </is>
      </c>
      <c r="I1994" t="inlineStr">
        <is>
          <t>លេខកូដប្រៃសណីយ៍សម្រាប់ទទួល</t>
        </is>
      </c>
    </row>
    <row r="1995">
      <c r="A1995" s="3" t="inlineStr">
        <is>
          <t>delivery.warehouse.inventory.pickupRoute</t>
        </is>
      </c>
      <c r="B1995" s="3" t="inlineStr">
        <is>
          <t>Tuyến bưu tá nhận</t>
        </is>
      </c>
      <c r="C1995" s="3" t="inlineStr">
        <is>
          <t>Pickup route</t>
        </is>
      </c>
      <c r="D1995" s="217">
        <f>IFERROR(__xludf.DUMMYFUNCTION("GOOGLETRANSLATE(C1995,""vi"",""km"")"),"ផ្លូវទៅយក")</f>
        <v/>
      </c>
      <c r="E1995" s="3" t="n"/>
      <c r="F1995" s="3" t="inlineStr">
        <is>
          <t>ផ្លូវទៅយក</t>
        </is>
      </c>
      <c r="G1995" s="3" t="n"/>
      <c r="H1995" s="217" t="inlineStr">
        <is>
          <t>"delivery.warehouse.inventory.pickupRoute": "ផ្លូវទៅយក",</t>
        </is>
      </c>
      <c r="I1995" t="inlineStr">
        <is>
          <t>ផ្លូវទៅយក</t>
        </is>
      </c>
    </row>
    <row r="1996">
      <c r="A1996" s="3" t="inlineStr">
        <is>
          <t>delivery.warehouse.inventory.popupTitle</t>
        </is>
      </c>
      <c r="B1996" s="3" t="inlineStr">
        <is>
          <t>Chi tiết bưu gửi tồn thu</t>
        </is>
      </c>
      <c r="C1996" s="3" t="inlineStr">
        <is>
          <t>Detail pickup backlog order</t>
        </is>
      </c>
      <c r="D1996" s="217">
        <f>IFERROR(__xludf.DUMMYFUNCTION("GOOGLETRANSLATE(C1996,""vi"",""km"")"),"ការបញ្ជាទិញ​ប្រមូល​ព័ត៌មាន​លម្អិត")</f>
        <v/>
      </c>
      <c r="E1996" s="3" t="n"/>
      <c r="F1996" s="3" t="inlineStr">
        <is>
          <t>ការបញ្ជាទិញប្រមូលព័ត៌មានលម្អិត</t>
        </is>
      </c>
      <c r="G1996" s="3" t="n"/>
      <c r="H1996" s="217" t="inlineStr">
        <is>
          <t>"delivery.warehouse.inventory.popupTitle": "ការបញ្ជាទិញប្រមូលព័ត៌មានលម្អិត",</t>
        </is>
      </c>
      <c r="I1996" t="inlineStr">
        <is>
          <t>ការបញ្ជាទិញប្រមូលព័ត៌មានលម្អិត</t>
        </is>
      </c>
    </row>
    <row r="1997">
      <c r="A1997" s="3" t="inlineStr">
        <is>
          <t>delivery.warehouse.inventory.postOffice</t>
        </is>
      </c>
      <c r="B1997" s="3" t="inlineStr">
        <is>
          <t>Bưu cục</t>
        </is>
      </c>
      <c r="C1997" s="3" t="inlineStr">
        <is>
          <t>Post office</t>
        </is>
      </c>
      <c r="D1997" s="217">
        <f>IFERROR(__xludf.DUMMYFUNCTION("GOOGLETRANSLATE(C1997,""vi"",""km"")"),"ការិយាល័យប្រៃសណីយ៍")</f>
        <v/>
      </c>
      <c r="E1997" s="3" t="n"/>
      <c r="F1997" s="3" t="inlineStr">
        <is>
          <t>ការិយាល័យប្រៃសណីយ៍</t>
        </is>
      </c>
      <c r="G1997" s="3" t="n"/>
      <c r="H1997" s="217" t="inlineStr">
        <is>
          <t>"delivery.warehouse.inventory.postOffice": "ការិយាល័យប្រៃសណីយ៍",</t>
        </is>
      </c>
      <c r="I1997" t="inlineStr">
        <is>
          <t>ការិយាល័យប្រៃសណីយ៍</t>
        </is>
      </c>
    </row>
    <row r="1998">
      <c r="A1998" s="3" t="inlineStr">
        <is>
          <t>delivery.warehouse.inventory.route</t>
        </is>
      </c>
      <c r="B1998" s="3" t="inlineStr">
        <is>
          <t>Tuyến</t>
        </is>
      </c>
      <c r="C1998" s="3" t="inlineStr">
        <is>
          <t>Route</t>
        </is>
      </c>
      <c r="D1998" s="217">
        <f>IFERROR(__xludf.DUMMYFUNCTION("GOOGLETRANSLATE(C1998,""vi"",""km"")"),"ផ្លូវ")</f>
        <v/>
      </c>
      <c r="E1998" s="3" t="n"/>
      <c r="F1998" s="3" t="inlineStr">
        <is>
          <t>ផ្លូវ</t>
        </is>
      </c>
      <c r="G1998" s="3" t="n"/>
      <c r="H1998" s="217" t="inlineStr">
        <is>
          <t>"delivery.warehouse.inventory.route": "ផ្លូវ",</t>
        </is>
      </c>
      <c r="I1998" t="inlineStr">
        <is>
          <t>ផ្លូវ</t>
        </is>
      </c>
    </row>
    <row r="1999">
      <c r="A1999" s="3" t="inlineStr">
        <is>
          <t>delivery.warehouse.inventory.selectBranch</t>
        </is>
      </c>
      <c r="B1999" s="3" t="inlineStr">
        <is>
          <t>Chọn chi nhánh</t>
        </is>
      </c>
      <c r="C1999" s="3" t="inlineStr">
        <is>
          <t>Select branch</t>
        </is>
      </c>
      <c r="D1999" s="217">
        <f>IFERROR(__xludf.DUMMYFUNCTION("GOOGLETRANSLATE(C1999,""vi"",""km"")"),"ជ្រើសរើសទ្រូង")</f>
        <v/>
      </c>
      <c r="E1999" s="3" t="n"/>
      <c r="F1999" s="3" t="inlineStr">
        <is>
          <t>ជ្រើសរើសទ្រូង</t>
        </is>
      </c>
      <c r="G1999" s="3" t="n"/>
      <c r="H1999" s="217" t="inlineStr">
        <is>
          <t>"delivery.warehouse.inventory.selectBranch": "ជ្រើសរើសទ្រូង",</t>
        </is>
      </c>
      <c r="I1999" t="inlineStr">
        <is>
          <t>ជ្រើសរើសទ្រូង</t>
        </is>
      </c>
    </row>
    <row r="2000">
      <c r="A2000" s="3" t="inlineStr">
        <is>
          <t>delivery.warehouse.inventory.selectPostOffice</t>
        </is>
      </c>
      <c r="B2000" s="3" t="inlineStr">
        <is>
          <t>Chọn bưu cục</t>
        </is>
      </c>
      <c r="C2000" s="3" t="inlineStr">
        <is>
          <t>Select postoffice</t>
        </is>
      </c>
      <c r="D2000" s="217">
        <f>IFERROR(__xludf.DUMMYFUNCTION("GOOGLETRANSLATE(C2000,""vi"",""km"")"),"ជ្រើសរើសការិយាល័យប្រៃសណីយ៍")</f>
        <v/>
      </c>
      <c r="E2000" s="3" t="n"/>
      <c r="F2000" s="3" t="inlineStr">
        <is>
          <t>ជ្រើសរើសការិយាល័យប្រៃសណីយ៍</t>
        </is>
      </c>
      <c r="G2000" s="3" t="n"/>
      <c r="H2000" s="217" t="inlineStr">
        <is>
          <t>"delivery.warehouse.inventory.selectPostOffice": "ជ្រើសរើសការិយាល័យប្រៃសណីយ៍",</t>
        </is>
      </c>
      <c r="I2000" t="inlineStr">
        <is>
          <t>ជ្រើសរើសការិយាល័យប្រៃសណីយ៍</t>
        </is>
      </c>
    </row>
    <row r="2001">
      <c r="A2001" s="3" t="inlineStr">
        <is>
          <t>delivery.warehouse.inventory.selectRoute</t>
        </is>
      </c>
      <c r="B2001" s="3" t="inlineStr">
        <is>
          <t>Chọn tuyến</t>
        </is>
      </c>
      <c r="C2001" s="3" t="inlineStr">
        <is>
          <t>Select route</t>
        </is>
      </c>
      <c r="D2001" s="217">
        <f>IFERROR(__xludf.DUMMYFUNCTION("GOOGLETRANSLATE(C2001,""vi"",""km"")"),"ជ្រើសរើសផ្លូវ")</f>
        <v/>
      </c>
      <c r="E2001" s="3" t="n"/>
      <c r="F2001" s="3" t="inlineStr">
        <is>
          <t>ជ្រើសរើសផ្លូវ</t>
        </is>
      </c>
      <c r="G2001" s="3" t="n"/>
      <c r="H2001" s="217" t="inlineStr">
        <is>
          <t>"delivery.warehouse.inventory.selectRoute": "ជ្រើសរើសផ្លូវ",</t>
        </is>
      </c>
      <c r="I2001" t="inlineStr">
        <is>
          <t>ជ្រើសរើសផ្លូវ</t>
        </is>
      </c>
    </row>
    <row r="2002">
      <c r="A2002" s="3" t="inlineStr">
        <is>
          <t>delivery.warehouse.inventory.totalInventory</t>
        </is>
      </c>
      <c r="B2002" s="3" t="inlineStr">
        <is>
          <t>Tổng tồn</t>
        </is>
      </c>
      <c r="C2002" s="3" t="inlineStr">
        <is>
          <t>Total inventory</t>
        </is>
      </c>
      <c r="D2002" s="217">
        <f>IFERROR(__xludf.DUMMYFUNCTION("GOOGLETRANSLATE(C2002,""vi"",""km"")"),"ស្តុកសរុប")</f>
        <v/>
      </c>
      <c r="E2002" s="3" t="n"/>
      <c r="F2002" s="3" t="inlineStr">
        <is>
          <t>ស្តុកសរុប</t>
        </is>
      </c>
      <c r="G2002" s="3" t="n"/>
      <c r="H2002" s="217" t="inlineStr">
        <is>
          <t>"delivery.warehouse.inventory.totalInventory": "ស្តុកសរុប",</t>
        </is>
      </c>
      <c r="I2002" t="inlineStr">
        <is>
          <t>ស្តុកសរុប</t>
        </is>
      </c>
    </row>
    <row r="2003">
      <c r="A2003" s="3" t="inlineStr">
        <is>
          <t>delivery.warehouse.layout.header.hello</t>
        </is>
      </c>
      <c r="B2003" s="3" t="inlineStr">
        <is>
          <t>Xin chào</t>
        </is>
      </c>
      <c r="C2003" s="3" t="inlineStr">
        <is>
          <t>Hello</t>
        </is>
      </c>
      <c r="D2003" s="217">
        <f>IFERROR(__xludf.DUMMYFUNCTION("GOOGLETRANSLATE(C2003,""vi"",""km"")"),"សួស្តី")</f>
        <v/>
      </c>
      <c r="E2003" s="3" t="n"/>
      <c r="F2003" s="3" t="inlineStr">
        <is>
          <t>សួស្តី</t>
        </is>
      </c>
      <c r="G2003" s="3" t="n"/>
      <c r="H2003" s="217" t="inlineStr">
        <is>
          <t>"delivery.warehouse.layout.header.hello": "សួស្តី",</t>
        </is>
      </c>
      <c r="I2003" t="inlineStr">
        <is>
          <t>សួស្តី</t>
        </is>
      </c>
    </row>
    <row r="2004">
      <c r="A2004" s="3" t="inlineStr">
        <is>
          <t>delivery.warehouse.layout.header.inforuser</t>
        </is>
      </c>
      <c r="B2004" s="3" t="inlineStr">
        <is>
          <t>Thông tin tài khoản</t>
        </is>
      </c>
      <c r="C2004" s="3" t="inlineStr">
        <is>
          <t>Account Information</t>
        </is>
      </c>
      <c r="D2004" s="217">
        <f>IFERROR(__xludf.DUMMYFUNCTION("GOOGLETRANSLATE(C2004,""vi"",""km"")"),"ព័ត៌មានគណនី")</f>
        <v/>
      </c>
      <c r="E2004" s="3" t="n"/>
      <c r="F2004" s="3" t="inlineStr">
        <is>
          <t>ព័ត៌មានគណនី</t>
        </is>
      </c>
      <c r="G2004" s="3" t="n"/>
      <c r="H2004" s="217" t="inlineStr">
        <is>
          <t>"delivery.warehouse.layout.header.inforuser": "ព័ត៌មានគណនី",</t>
        </is>
      </c>
      <c r="I2004" t="inlineStr">
        <is>
          <t>ព័ត៌មានគណនី</t>
        </is>
      </c>
    </row>
    <row r="2005">
      <c r="A2005" s="3" t="inlineStr">
        <is>
          <t>delivery.warehouse.layout.header.inputSearch</t>
        </is>
      </c>
      <c r="B2005" s="3" t="inlineStr">
        <is>
          <t>Nhập mã phiếu gửi</t>
        </is>
      </c>
      <c r="C2005" s="3" t="inlineStr">
        <is>
          <t>Enter waybill code</t>
        </is>
      </c>
      <c r="D2005" s="217">
        <f>IFERROR(__xludf.DUMMYFUNCTION("GOOGLETRANSLATE(C2005,""vi"",""km"")"),"បញ្ចូលលេខកូដវិក្កយបត្រ")</f>
        <v/>
      </c>
      <c r="E2005" s="3" t="n"/>
      <c r="F2005" s="3" t="inlineStr">
        <is>
          <t>បញ្ចូលលេខកូដវិក្កយបត្រ</t>
        </is>
      </c>
      <c r="G2005" s="3" t="n"/>
      <c r="H2005" s="217" t="inlineStr">
        <is>
          <t>"delivery.warehouse.layout.header.inputSearch": "បញ្ចូលលេខកូដវិក្កយបត្រ",</t>
        </is>
      </c>
      <c r="I2005" t="inlineStr">
        <is>
          <t>បញ្ចូលលេខកូដវិក្កយបត្រ</t>
        </is>
      </c>
    </row>
    <row r="2006">
      <c r="A2006" s="3" t="inlineStr">
        <is>
          <t>delivery.warehouse.layout.header.logout</t>
        </is>
      </c>
      <c r="B2006" s="3" t="inlineStr">
        <is>
          <t>Đăng xuất</t>
        </is>
      </c>
      <c r="C2006" s="3" t="inlineStr">
        <is>
          <t>Logout</t>
        </is>
      </c>
      <c r="D2006" s="217">
        <f>IFERROR(__xludf.DUMMYFUNCTION("GOOGLETRANSLATE(C2006,""vi"",""km"")"),"ចាកចេញ")</f>
        <v/>
      </c>
      <c r="E2006" s="3" t="n"/>
      <c r="F2006" s="3" t="inlineStr">
        <is>
          <t>ចាកចេញ</t>
        </is>
      </c>
      <c r="G2006" s="3" t="n"/>
      <c r="H2006" s="217" t="inlineStr">
        <is>
          <t>"delivery.warehouse.layout.header.logout": "ចាកចេញ",</t>
        </is>
      </c>
      <c r="I2006" t="inlineStr">
        <is>
          <t>ចាកចេញ</t>
        </is>
      </c>
    </row>
    <row r="2007">
      <c r="A2007" s="3" t="inlineStr">
        <is>
          <t>delivery.warehouse.layout.header.selectPost</t>
        </is>
      </c>
      <c r="B2007" s="3" t="inlineStr">
        <is>
          <t>Mã bưu cục</t>
        </is>
      </c>
      <c r="C2007" s="3" t="inlineStr">
        <is>
          <t>Post Office Code</t>
        </is>
      </c>
      <c r="D2007" s="217">
        <f>IFERROR(__xludf.DUMMYFUNCTION("GOOGLETRANSLATE(C2007,""vi"",""km"")"),"លេខកូដប្រៃសណីយ៍")</f>
        <v/>
      </c>
      <c r="E2007" s="3" t="n"/>
      <c r="F2007" s="3" t="inlineStr">
        <is>
          <t>លេខកូដប្រៃសណីយ៍</t>
        </is>
      </c>
      <c r="G2007" s="3" t="n"/>
      <c r="H2007" s="217" t="inlineStr">
        <is>
          <t>"delivery.warehouse.layout.header.selectPost": "លេខកូដប្រៃសណីយ៍",</t>
        </is>
      </c>
      <c r="I2007" t="inlineStr">
        <is>
          <t>លេខកូដប្រៃសណីយ៍</t>
        </is>
      </c>
    </row>
    <row r="2008">
      <c r="A2008" s="3" t="inlineStr">
        <is>
          <t>delivery.warehouse.listButton.deliveryPhote</t>
        </is>
      </c>
      <c r="B2008" s="3" t="inlineStr">
        <is>
          <t>Ảnh giao hàng</t>
        </is>
      </c>
      <c r="C2008" s="3" t="inlineStr">
        <is>
          <t>Delivery image</t>
        </is>
      </c>
      <c r="D2008" s="217">
        <f>IFERROR(__xludf.DUMMYFUNCTION("GOOGLETRANSLATE(C2008,""vi"",""km"")"),"រូបភាពដឹកជញ្ជូន")</f>
        <v/>
      </c>
      <c r="E2008" s="3" t="n"/>
      <c r="F2008" s="3" t="inlineStr">
        <is>
          <t>រូបភាពដឹកជញ្ជូន</t>
        </is>
      </c>
      <c r="G2008" s="3" t="n"/>
      <c r="H2008" s="217" t="inlineStr">
        <is>
          <t>"delivery.warehouse.listButton.deliveryPhote": "រូបភាពដឹកជញ្ជូន",</t>
        </is>
      </c>
      <c r="I2008" t="inlineStr">
        <is>
          <t>រូបភាពដឹកជញ្ជូន</t>
        </is>
      </c>
    </row>
    <row r="2009">
      <c r="A2009" s="3" t="inlineStr">
        <is>
          <t>delivery.warehouse.listButton.printOrder</t>
        </is>
      </c>
      <c r="B2009" s="3" t="inlineStr">
        <is>
          <t>In phiếu gửi</t>
        </is>
      </c>
      <c r="C2009" s="3" t="inlineStr">
        <is>
          <t>Print order</t>
        </is>
      </c>
      <c r="D2009" s="217">
        <f>IFERROR(__xludf.DUMMYFUNCTION("GOOGLETRANSLATE(C2009,""vi"",""km"")"),"ការបញ្ជាទិញបោះពុម្ព")</f>
        <v/>
      </c>
      <c r="E2009" s="3" t="n"/>
      <c r="F2009" s="3" t="inlineStr">
        <is>
          <t>ព្រីនបុងបញ្ញើ</t>
        </is>
      </c>
      <c r="G2009" s="3" t="n"/>
      <c r="H2009" s="217" t="inlineStr">
        <is>
          <t>"delivery.warehouse.listButton.printOrder": "ព្រីនបុងបញ្ញើ",</t>
        </is>
      </c>
      <c r="I2009" t="inlineStr">
        <is>
          <t>ព្រីនបុងបញ្ញើ</t>
        </is>
      </c>
    </row>
    <row r="2010">
      <c r="A2010" s="3" t="inlineStr">
        <is>
          <t>delivery.warehouse.listButton.printReturn</t>
        </is>
      </c>
      <c r="B2010" s="3" t="inlineStr">
        <is>
          <t>In phiếu hoàn</t>
        </is>
      </c>
      <c r="C2010" s="3" t="inlineStr">
        <is>
          <t>Print return order</t>
        </is>
      </c>
      <c r="D2010" s="217">
        <f>IFERROR(__xludf.DUMMYFUNCTION("GOOGLETRANSLATE(C2010,""vi"",""km"")"),"បោះពុម្ពការបញ្ជាទិញប្រគល់មកវិញ")</f>
        <v/>
      </c>
      <c r="E2010" s="3" t="n"/>
      <c r="F2010" s="3" t="inlineStr">
        <is>
          <t>ព្រីនការបញ្ជាទិញប្រគល់មកវិញ</t>
        </is>
      </c>
      <c r="G2010" s="3" t="n"/>
      <c r="H2010" s="217" t="inlineStr">
        <is>
          <t>"delivery.warehouse.listButton.printReturn": "ព្រីនការបញ្ជាទិញប្រគល់មកវិញ",</t>
        </is>
      </c>
      <c r="I2010" t="inlineStr">
        <is>
          <t>ព្រីនការបញ្ជាទិញប្រគល់មកវិញ</t>
        </is>
      </c>
    </row>
    <row r="2011">
      <c r="A2011" s="3" t="inlineStr">
        <is>
          <t>delivery.warehouse.listButton.shippingPhoto</t>
        </is>
      </c>
      <c r="B2011" s="3" t="inlineStr">
        <is>
          <t>Ảnh gửi hàng</t>
        </is>
      </c>
      <c r="C2011" s="3" t="inlineStr">
        <is>
          <t>Received image</t>
        </is>
      </c>
      <c r="D2011" s="217">
        <f>IFERROR(__xludf.DUMMYFUNCTION("GOOGLETRANSLATE(C2011,""vi"",""km"")"),"រូបភាពដែលបានរាយការណ៍")</f>
        <v/>
      </c>
      <c r="E2011" s="3" t="n"/>
      <c r="F2011" s="3" t="inlineStr">
        <is>
          <t>រូបភាពដែលបានរាយការណ៍</t>
        </is>
      </c>
      <c r="G2011" s="3" t="n"/>
      <c r="H2011" s="217" t="inlineStr">
        <is>
          <t>"delivery.warehouse.listButton.shippingPhoto": "រូបភាពដែលបានរាយការណ៍",</t>
        </is>
      </c>
      <c r="I2011" t="inlineStr">
        <is>
          <t>រូបភាពដែលបានរាយការណ៍</t>
        </is>
      </c>
    </row>
    <row r="2012">
      <c r="A2012" s="3" t="inlineStr">
        <is>
          <t>delivery.warehouse.listCaculation.ByCircumference</t>
        </is>
      </c>
      <c r="B2012" s="3" t="inlineStr">
        <is>
          <t>Tính theo chu vi</t>
        </is>
      </c>
      <c r="C2012" s="3" t="inlineStr">
        <is>
          <t>Perimeter calculation</t>
        </is>
      </c>
      <c r="D2012" s="217">
        <f>IFERROR(__xludf.DUMMYFUNCTION("GOOGLETRANSLATE(C2012,""vi"",""km"")"),"ការគណនាបរិវេណ")</f>
        <v/>
      </c>
      <c r="E2012" s="3" t="n"/>
      <c r="F2012" s="3" t="inlineStr">
        <is>
          <t>គិតតាមទំហំបរិមាត្រ</t>
        </is>
      </c>
      <c r="G2012" s="3" t="n"/>
      <c r="H2012" s="217" t="inlineStr">
        <is>
          <t>"delivery.warehouse.listCaculation.ByCircumference": "គិតតាមទំហំបរិមាត្រ",</t>
        </is>
      </c>
      <c r="I2012" t="inlineStr">
        <is>
          <t>គិតតាមទំហំបរិមាត្រ</t>
        </is>
      </c>
    </row>
    <row r="2013">
      <c r="A2013" s="3" t="inlineStr">
        <is>
          <t>delivery.warehouse.listCaculation.CollectToDelivery</t>
        </is>
      </c>
      <c r="B2013" s="3" t="inlineStr">
        <is>
          <t>Tiền thu hộ</t>
        </is>
      </c>
      <c r="C2013" s="3" t="inlineStr">
        <is>
          <t>COD</t>
        </is>
      </c>
      <c r="D2013" s="217">
        <f>IFERROR(__xludf.DUMMYFUNCTION("GOOGLETRANSLATE(C2013,""vi"",""km"")"),"ប្រតិបត្តិការ​ទូទាត់​ថ្លៃ​សេវា​ (COD)")</f>
        <v/>
      </c>
      <c r="E2013" s="3" t="n"/>
      <c r="F2013" s="3" t="inlineStr">
        <is>
          <t>ប្រាក់ប្រមូលជំនួស (COD)</t>
        </is>
      </c>
      <c r="G2013" s="3" t="n"/>
      <c r="H2013" s="217" t="inlineStr">
        <is>
          <t>"delivery.warehouse.listCaculation.CollectToDelivery": "ប្រាក់ប្រមូលជំនួស (COD)",</t>
        </is>
      </c>
      <c r="I2013" t="inlineStr">
        <is>
          <t>ប្រាក់ប្រមូលជំនួស (COD)</t>
        </is>
      </c>
    </row>
    <row r="2014">
      <c r="A2014" s="3" t="inlineStr">
        <is>
          <t>delivery.warehouse.listCaculation.Distance</t>
        </is>
      </c>
      <c r="B2014" s="3" t="inlineStr">
        <is>
          <t>Khoảng cách</t>
        </is>
      </c>
      <c r="C2014" s="3" t="inlineStr">
        <is>
          <t>Distance</t>
        </is>
      </c>
      <c r="D2014" s="217">
        <f>IFERROR(__xludf.DUMMYFUNCTION("GOOGLETRANSLATE(C2014,""vi"",""km"")"),"ចម្ងាយ")</f>
        <v/>
      </c>
      <c r="E2014" s="3" t="n"/>
      <c r="F2014" s="3" t="inlineStr">
        <is>
          <t>ចម្ងាយ</t>
        </is>
      </c>
      <c r="G2014" s="3" t="n"/>
      <c r="H2014" s="217" t="inlineStr">
        <is>
          <t>"delivery.warehouse.listCaculation.Distance": "ចម្ងាយ",</t>
        </is>
      </c>
      <c r="I2014" t="inlineStr">
        <is>
          <t>ចម្ងាយ</t>
        </is>
      </c>
    </row>
    <row r="2015">
      <c r="A2015" s="3" t="inlineStr">
        <is>
          <t>delivery.warehouse.listCaculation.Weight</t>
        </is>
      </c>
      <c r="B2015" s="3" t="inlineStr">
        <is>
          <t>Trọng lượng</t>
        </is>
      </c>
      <c r="C2015" s="3" t="inlineStr">
        <is>
          <t>Weight</t>
        </is>
      </c>
      <c r="D2015" s="217">
        <f>IFERROR(__xludf.DUMMYFUNCTION("GOOGLETRANSLATE(C2015,""vi"",""km"")"),"ទម្ងន់")</f>
        <v/>
      </c>
      <c r="E2015" s="3" t="n"/>
      <c r="F2015" s="3" t="inlineStr">
        <is>
          <t>ទម្ងន់</t>
        </is>
      </c>
      <c r="G2015" s="3" t="n"/>
      <c r="H2015" s="217" t="inlineStr">
        <is>
          <t>"delivery.warehouse.listCaculation.Weight": "ទម្ងន់",</t>
        </is>
      </c>
      <c r="I2015" t="inlineStr">
        <is>
          <t>ទម្ងន់</t>
        </is>
      </c>
    </row>
    <row r="2016">
      <c r="A2016" s="3" t="inlineStr">
        <is>
          <t>delivery.warehouse.listCaculationPrice.handCalculation</t>
        </is>
      </c>
      <c r="B2016" s="3" t="inlineStr">
        <is>
          <t>Tự tính tay</t>
        </is>
      </c>
      <c r="C2016" s="3" t="inlineStr">
        <is>
          <t>Manual pricing</t>
        </is>
      </c>
      <c r="D2016" s="217">
        <f>IFERROR(__xludf.DUMMYFUNCTION("GOOGLETRANSLATE(C2016,""vi"",""km"")"),"កំណត់តម្លៃដោយដៃ")</f>
        <v/>
      </c>
      <c r="E2016" s="3" t="n"/>
      <c r="F2016" s="3" t="inlineStr">
        <is>
          <t>កំណត់តម្លៃដោយដៃ</t>
        </is>
      </c>
      <c r="G2016" s="3" t="n"/>
      <c r="H2016" s="217" t="inlineStr">
        <is>
          <t>"delivery.warehouse.listCaculationPrice.handCalculation": "កំណត់តម្លៃដោយដៃ",</t>
        </is>
      </c>
      <c r="I2016" t="inlineStr">
        <is>
          <t>កំណត់តម្លៃដោយដៃ</t>
        </is>
      </c>
    </row>
    <row r="2017">
      <c r="A2017" s="3" t="inlineStr">
        <is>
          <t>delivery.warehouse.listCaculationPrice.priceListCalculation</t>
        </is>
      </c>
      <c r="B2017" s="3" t="inlineStr">
        <is>
          <t>Theo bảng giá</t>
        </is>
      </c>
      <c r="C2017" s="3" t="inlineStr">
        <is>
          <t>Pricing table Based</t>
        </is>
      </c>
      <c r="D2017" s="217">
        <f>IFERROR(__xludf.DUMMYFUNCTION("GOOGLETRANSLATE(C2017,""vi"",""km"")"),"តារាងតម្លៃផ្អែកលើ")</f>
        <v/>
      </c>
      <c r="E2017" s="3" t="n"/>
      <c r="F2017" s="3" t="inlineStr">
        <is>
          <t>តារាងតម្លៃផ្អែកលើ</t>
        </is>
      </c>
      <c r="G2017" s="3" t="n"/>
      <c r="H2017" s="217" t="inlineStr">
        <is>
          <t>"delivery.warehouse.listCaculationPrice.priceListCalculation": "តារាងតម្លៃផ្អែកលើ",</t>
        </is>
      </c>
      <c r="I2017" t="inlineStr">
        <is>
          <t>តារាងតម្លៃផ្អែកលើ</t>
        </is>
      </c>
    </row>
    <row r="2018">
      <c r="A2018" s="3" t="inlineStr">
        <is>
          <t>delivery.warehouse.listDepartmentUser.postOffice</t>
        </is>
      </c>
      <c r="B2018" s="3" t="inlineStr">
        <is>
          <t>Bưu cục</t>
        </is>
      </c>
      <c r="C2018" s="3" t="inlineStr">
        <is>
          <t>Post office</t>
        </is>
      </c>
      <c r="D2018" s="217">
        <f>IFERROR(__xludf.DUMMYFUNCTION("GOOGLETRANSLATE(C2018,""vi"",""km"")"),"ការិយាល័យប្រៃសណីយ៍")</f>
        <v/>
      </c>
      <c r="E2018" s="3" t="n"/>
      <c r="F2018" s="3" t="inlineStr">
        <is>
          <t>ការិយាល័យប្រៃសណីយ៍</t>
        </is>
      </c>
      <c r="G2018" s="3" t="n"/>
      <c r="H2018" s="217" t="inlineStr">
        <is>
          <t>"delivery.warehouse.listDepartmentUser.postOffice": "ការិយាល័យប្រៃសណីយ៍",</t>
        </is>
      </c>
      <c r="I2018" t="inlineStr">
        <is>
          <t>ការិយាល័យប្រៃសណីយ៍</t>
        </is>
      </c>
    </row>
    <row r="2019">
      <c r="A2019" s="3" t="inlineStr">
        <is>
          <t>delivery.warehouse.listDepartmentUser.role</t>
        </is>
      </c>
      <c r="B2019" s="3" t="inlineStr">
        <is>
          <t>Chức danh</t>
        </is>
      </c>
      <c r="C2019" s="3" t="inlineStr">
        <is>
          <t>Role</t>
        </is>
      </c>
      <c r="D2019" s="217">
        <f>IFERROR(__xludf.DUMMYFUNCTION("GOOGLETRANSLATE(C2019,""vi"",""km"")"),"តួនាទី")</f>
        <v/>
      </c>
      <c r="E2019" s="3" t="n"/>
      <c r="F2019" s="3" t="inlineStr">
        <is>
          <t>តួនាទី</t>
        </is>
      </c>
      <c r="G2019" s="3" t="n"/>
      <c r="H2019" s="217" t="inlineStr">
        <is>
          <t>"delivery.warehouse.listDepartmentUser.role": "តួនាទី",</t>
        </is>
      </c>
      <c r="I2019" t="inlineStr">
        <is>
          <t>តួនាទី</t>
        </is>
      </c>
    </row>
    <row r="2020">
      <c r="A2020" s="3" t="inlineStr">
        <is>
          <t>delivery.warehouse.listDepartmentUser.startAt</t>
        </is>
      </c>
      <c r="B2020" s="3" t="inlineStr">
        <is>
          <t>Thời gian bắt đầu</t>
        </is>
      </c>
      <c r="C2020" s="3" t="inlineStr">
        <is>
          <t>Effective time</t>
        </is>
      </c>
      <c r="D2020" s="217">
        <f>IFERROR(__xludf.DUMMYFUNCTION("GOOGLETRANSLATE(C2020,""vi"",""km"")"),"ពេលវេលាមានប្រសិទ្ធភាព")</f>
        <v/>
      </c>
      <c r="E2020" s="3" t="n"/>
      <c r="F2020" s="3" t="inlineStr">
        <is>
          <t>ពេលវេលាមានប្រសិទ្ធភាព</t>
        </is>
      </c>
      <c r="G2020" s="3" t="n"/>
      <c r="H2020" s="217" t="inlineStr">
        <is>
          <t>"delivery.warehouse.listDepartmentUser.startAt": "ពេលវេលាមានប្រសិទ្ធភាព",</t>
        </is>
      </c>
      <c r="I2020" t="inlineStr">
        <is>
          <t>ពេលវេលាមានប្រសិទ្ធភាព</t>
        </is>
      </c>
    </row>
    <row r="2021">
      <c r="A2021" s="3" t="inlineStr">
        <is>
          <t>delivery.warehouse.listDepartmentUser.status</t>
        </is>
      </c>
      <c r="B2021" s="3" t="inlineStr">
        <is>
          <t>Trạng thái</t>
        </is>
      </c>
      <c r="C2021" s="3" t="inlineStr">
        <is>
          <t>Status</t>
        </is>
      </c>
      <c r="D2021" s="217">
        <f>IFERROR(__xludf.DUMMYFUNCTION("GOOGLETRANSLATE(C2021,""vi"",""km"")"),"ស្ថានភាព")</f>
        <v/>
      </c>
      <c r="E2021" s="3" t="n"/>
      <c r="F2021" s="3" t="inlineStr">
        <is>
          <t>ស្ថានភាព</t>
        </is>
      </c>
      <c r="G2021" s="3" t="n"/>
      <c r="H2021" s="217" t="inlineStr">
        <is>
          <t>"delivery.warehouse.listDepartmentUser.status": "ស្ថានភាព",</t>
        </is>
      </c>
      <c r="I2021" t="inlineStr">
        <is>
          <t>ស្ថានភាព</t>
        </is>
      </c>
    </row>
    <row r="2022">
      <c r="A2022" s="3" t="inlineStr">
        <is>
          <t>delivery.warehouse.listFormality.All</t>
        </is>
      </c>
      <c r="B2022" s="3" t="inlineStr">
        <is>
          <t>Tất cả</t>
        </is>
      </c>
      <c r="C2022" s="3" t="inlineStr">
        <is>
          <t>All</t>
        </is>
      </c>
      <c r="D2022" s="217">
        <f>IFERROR(__xludf.DUMMYFUNCTION("GOOGLETRANSLATE(C2022,""vi"",""km"")"),"ទាំងអស់")</f>
        <v/>
      </c>
      <c r="E2022" s="3" t="n"/>
      <c r="F2022" s="3" t="inlineStr">
        <is>
          <t>ទាំងអស់</t>
        </is>
      </c>
      <c r="G2022" s="3" t="n"/>
      <c r="H2022" s="217" t="inlineStr">
        <is>
          <t>"delivery.warehouse.listFormality.All": "ទាំងអស់",</t>
        </is>
      </c>
      <c r="I2022" t="inlineStr">
        <is>
          <t>ទាំងអស់</t>
        </is>
      </c>
    </row>
    <row r="2023">
      <c r="A2023" s="3" t="inlineStr">
        <is>
          <t>delivery.warehouse.listFormality.COD</t>
        </is>
      </c>
      <c r="B2023" s="3" t="inlineStr">
        <is>
          <t>COD</t>
        </is>
      </c>
      <c r="C2023" s="3" t="inlineStr">
        <is>
          <t>COD</t>
        </is>
      </c>
      <c r="D2023" s="217">
        <f>IFERROR(__xludf.DUMMYFUNCTION("GOOGLETRANSLATE(C2023,""vi"",""km"")"),"ប្រតិបត្តិការ​ទូទាត់​ថ្លៃ​សេវា​ (COD)")</f>
        <v/>
      </c>
      <c r="E2023" s="3" t="n"/>
      <c r="F2023" s="3" t="inlineStr">
        <is>
          <t>ប្រតិបត្តិការទូទាត់ថ្លៃសេវា (COD)</t>
        </is>
      </c>
      <c r="G2023" s="3" t="n"/>
      <c r="H2023" s="217" t="inlineStr">
        <is>
          <t>"delivery.warehouse.listFormality.COD": "ប្រតិបត្តិការទូទាត់ថ្លៃសេវា (COD)",</t>
        </is>
      </c>
      <c r="I2023" t="inlineStr">
        <is>
          <t>ប្រតិបត្តិការទូទាត់ថ្លៃសេវា (COD)</t>
        </is>
      </c>
    </row>
    <row r="2024">
      <c r="A2024" s="3" t="inlineStr">
        <is>
          <t>delivery.warehouse.listFormality.CPTT</t>
        </is>
      </c>
      <c r="B2024" s="3" t="inlineStr">
        <is>
          <t>CPTT</t>
        </is>
      </c>
      <c r="C2024" s="3" t="inlineStr">
        <is>
          <t>CPTT</t>
        </is>
      </c>
      <c r="D2024" s="217">
        <f>IFERROR(__xludf.DUMMYFUNCTION("GOOGLETRANSLATE(C2024,""vi"",""km"")"),"CPTT")</f>
        <v/>
      </c>
      <c r="E2024" s="3" t="n"/>
      <c r="F2024" s="3" t="inlineStr">
        <is>
          <t>CPTT</t>
        </is>
      </c>
      <c r="G2024" s="3" t="n"/>
      <c r="H2024" s="217" t="inlineStr">
        <is>
          <t>"delivery.warehouse.listFormality.CPTT": "CPTT",</t>
        </is>
      </c>
      <c r="I2024" t="inlineStr">
        <is>
          <t>CPTT</t>
        </is>
      </c>
    </row>
    <row r="2025">
      <c r="A2025" s="3" t="inlineStr">
        <is>
          <t>delivery.warehouse.listKpi.All</t>
        </is>
      </c>
      <c r="B2025" s="3" t="inlineStr">
        <is>
          <t>Tất cả</t>
        </is>
      </c>
      <c r="C2025" s="3" t="inlineStr">
        <is>
          <t>All</t>
        </is>
      </c>
      <c r="D2025" s="217">
        <f>IFERROR(__xludf.DUMMYFUNCTION("GOOGLETRANSLATE(C2025,""vi"",""km"")"),"ទាំងអស់")</f>
        <v/>
      </c>
      <c r="E2025" s="3" t="n"/>
      <c r="F2025" s="3" t="inlineStr">
        <is>
          <t>ទាំងអស់</t>
        </is>
      </c>
      <c r="G2025" s="3" t="n"/>
      <c r="H2025" s="217" t="inlineStr">
        <is>
          <t>"delivery.warehouse.listKpi.All": "ទាំងអស់",</t>
        </is>
      </c>
      <c r="I2025" t="inlineStr">
        <is>
          <t>ទាំងអស់</t>
        </is>
      </c>
    </row>
    <row r="2026">
      <c r="A2026" s="3" t="inlineStr">
        <is>
          <t>delivery.warehouse.listKpi.Expedited</t>
        </is>
      </c>
      <c r="B2026" s="3" t="inlineStr">
        <is>
          <t>Hỏa tốc</t>
        </is>
      </c>
      <c r="C2026" s="3" t="inlineStr">
        <is>
          <t>Express</t>
        </is>
      </c>
      <c r="D2026" s="217">
        <f>IFERROR(__xludf.DUMMYFUNCTION("GOOGLETRANSLATE(C2026,""vi"",""km"")"),"រហ័ស")</f>
        <v/>
      </c>
      <c r="E2026" s="3" t="n"/>
      <c r="F2026" s="3" t="inlineStr">
        <is>
          <t>រហ័ស</t>
        </is>
      </c>
      <c r="G2026" s="3" t="n"/>
      <c r="H2026" s="217" t="inlineStr">
        <is>
          <t>"delivery.warehouse.listKpi.Expedited": "រហ័ស",</t>
        </is>
      </c>
      <c r="I2026" t="inlineStr">
        <is>
          <t>រហ័ស</t>
        </is>
      </c>
    </row>
    <row r="2027">
      <c r="A2027" s="3" t="inlineStr">
        <is>
          <t>delivery.warehouse.listKpi.Fast</t>
        </is>
      </c>
      <c r="B2027" s="3" t="inlineStr">
        <is>
          <t>Nhanh</t>
        </is>
      </c>
      <c r="C2027" s="3" t="inlineStr">
        <is>
          <t>Fast</t>
        </is>
      </c>
      <c r="D2027" s="217">
        <f>IFERROR(__xludf.DUMMYFUNCTION("GOOGLETRANSLATE(C2027,""vi"",""km"")"),"រថយន្ត")</f>
        <v/>
      </c>
      <c r="E2027" s="3" t="n"/>
      <c r="F2027" s="3" t="inlineStr">
        <is>
          <t>រថយន្ត</t>
        </is>
      </c>
      <c r="G2027" s="3" t="n"/>
      <c r="H2027" s="217" t="inlineStr">
        <is>
          <t>"delivery.warehouse.listKpi.Fast": "រថយន្ត",</t>
        </is>
      </c>
      <c r="I2027" t="inlineStr">
        <is>
          <t>រថយន្ត</t>
        </is>
      </c>
    </row>
    <row r="2028">
      <c r="A2028" s="3" t="inlineStr">
        <is>
          <t>delivery.warehouse.listKpi.Package</t>
        </is>
      </c>
      <c r="B2028" s="3" t="inlineStr">
        <is>
          <t>Hàng kiện</t>
        </is>
      </c>
      <c r="C2028" s="3" t="inlineStr">
        <is>
          <t>Package</t>
        </is>
      </c>
      <c r="D2028" s="217">
        <f>IFERROR(__xludf.DUMMYFUNCTION("GOOGLETRANSLATE(C2028,""vi"",""km"")"),"កញ្ចប់")</f>
        <v/>
      </c>
      <c r="E2028" s="3" t="n"/>
      <c r="F2028" s="3" t="inlineStr">
        <is>
          <t>កញ្ចប់</t>
        </is>
      </c>
      <c r="G2028" s="3" t="n"/>
      <c r="H2028" s="217" t="inlineStr">
        <is>
          <t>"delivery.warehouse.listKpi.Package": "កញ្ចប់",</t>
        </is>
      </c>
      <c r="I2028" t="inlineStr">
        <is>
          <t>កញ្ចប់</t>
        </is>
      </c>
    </row>
    <row r="2029">
      <c r="A2029" s="3" t="inlineStr">
        <is>
          <t>delivery.warehouse.listKpi.Save</t>
        </is>
      </c>
      <c r="B2029" s="3" t="inlineStr">
        <is>
          <t>Tiết kiệm</t>
        </is>
      </c>
      <c r="C2029" s="3" t="inlineStr">
        <is>
          <t>Eco</t>
        </is>
      </c>
      <c r="D2029" s="217">
        <f>IFERROR(__xludf.DUMMYFUNCTION("GOOGLETRANSLATE(C2029,""vi"",""km"")"),"អេកូ")</f>
        <v/>
      </c>
      <c r="E2029" s="3" t="n"/>
      <c r="F2029" s="3" t="inlineStr">
        <is>
          <t>អេកូ</t>
        </is>
      </c>
      <c r="G2029" s="3" t="n"/>
      <c r="H2029" s="217" t="inlineStr">
        <is>
          <t>"delivery.warehouse.listKpi.Save": "អេកូ",</t>
        </is>
      </c>
      <c r="I2029" t="inlineStr">
        <is>
          <t>អេកូ</t>
        </is>
      </c>
    </row>
    <row r="2030">
      <c r="A2030" s="3" t="inlineStr">
        <is>
          <t>delivery.warehouse.listOrderType.All</t>
        </is>
      </c>
      <c r="B2030" s="3" t="inlineStr">
        <is>
          <t>Tất cả</t>
        </is>
      </c>
      <c r="C2030" s="3" t="inlineStr">
        <is>
          <t>All</t>
        </is>
      </c>
      <c r="D2030" s="217">
        <f>IFERROR(__xludf.DUMMYFUNCTION("GOOGLETRANSLATE(C2030,""vi"",""km"")"),"ទាំងអស់")</f>
        <v/>
      </c>
      <c r="E2030" s="3" t="n"/>
      <c r="F2030" s="3" t="inlineStr">
        <is>
          <t>ទាំងអស់</t>
        </is>
      </c>
      <c r="G2030" s="3" t="n"/>
      <c r="H2030" s="217" t="inlineStr">
        <is>
          <t>"delivery.warehouse.listOrderType.All": "ទាំងអស់",</t>
        </is>
      </c>
      <c r="I2030" t="inlineStr">
        <is>
          <t>ទាំងអស់</t>
        </is>
      </c>
    </row>
    <row r="2031">
      <c r="A2031" s="3" t="inlineStr">
        <is>
          <t>delivery.warehouse.listOrderType.Domestic</t>
        </is>
      </c>
      <c r="B2031" s="3" t="inlineStr">
        <is>
          <t>Trong nước</t>
        </is>
      </c>
      <c r="C2031" s="3" t="inlineStr">
        <is>
          <t>Domestic</t>
        </is>
      </c>
      <c r="D2031" s="217">
        <f>IFERROR(__xludf.DUMMYFUNCTION("GOOGLETRANSLATE(C2031,""vi"",""km"")"),"ក្នុងស្រុក")</f>
        <v/>
      </c>
      <c r="E2031" s="3" t="n"/>
      <c r="F2031" s="3" t="inlineStr">
        <is>
          <t>ក្នុងស្រុក</t>
        </is>
      </c>
      <c r="G2031" s="3" t="n"/>
      <c r="H2031" s="217" t="inlineStr">
        <is>
          <t>"delivery.warehouse.listOrderType.Domestic": "ក្នុងស្រុក",</t>
        </is>
      </c>
      <c r="I2031" t="inlineStr">
        <is>
          <t>ក្នុងស្រុក</t>
        </is>
      </c>
    </row>
    <row r="2032">
      <c r="A2032" s="3" t="inlineStr">
        <is>
          <t>delivery.warehouse.listOrderType.International</t>
        </is>
      </c>
      <c r="B2032" s="3" t="inlineStr">
        <is>
          <t>Quốc tế</t>
        </is>
      </c>
      <c r="C2032" s="3" t="inlineStr">
        <is>
          <t>International</t>
        </is>
      </c>
      <c r="D2032" s="217">
        <f>IFERROR(__xludf.DUMMYFUNCTION("GOOGLETRANSLATE(C2032,""vi"",""km"")"),"អន្តរជាតិ")</f>
        <v/>
      </c>
      <c r="E2032" s="3" t="n"/>
      <c r="F2032" s="3" t="inlineStr">
        <is>
          <t>អន្តរជាតិ</t>
        </is>
      </c>
      <c r="G2032" s="3" t="n"/>
      <c r="H2032" s="217" t="inlineStr">
        <is>
          <t>"delivery.warehouse.listOrderType.International": "អន្តរជាតិ",</t>
        </is>
      </c>
      <c r="I2032" t="inlineStr">
        <is>
          <t>អន្តរជាតិ</t>
        </is>
      </c>
    </row>
    <row r="2033">
      <c r="A2033" s="3" t="inlineStr">
        <is>
          <t>delivery.warehouse.listOrderType.InternationalRoundTrip</t>
        </is>
      </c>
      <c r="B2033" s="3" t="inlineStr">
        <is>
          <t>Quốc tế chiều về</t>
        </is>
      </c>
      <c r="C2033" s="3" t="inlineStr">
        <is>
          <t>Return international</t>
        </is>
      </c>
      <c r="D2033" s="217">
        <f>IFERROR(__xludf.DUMMYFUNCTION("GOOGLETRANSLATE(C2033,""vi"",""km"")"),"ត្រឡប់ទៅអន្តរជាតិវិញ")</f>
        <v/>
      </c>
      <c r="E2033" s="3" t="n"/>
      <c r="F2033" s="3" t="inlineStr">
        <is>
          <t>ត្រឡប់ទៅអន្តរជាតិវិញ</t>
        </is>
      </c>
      <c r="G2033" s="3" t="n"/>
      <c r="H2033" s="217" t="inlineStr">
        <is>
          <t>"delivery.warehouse.listOrderType.InternationalRoundTrip": "ត្រឡប់ទៅអន្តរជាតិវិញ",</t>
        </is>
      </c>
      <c r="I2033" t="inlineStr">
        <is>
          <t>ត្រឡប់ទៅអន្តរជាតិវិញ</t>
        </is>
      </c>
    </row>
    <row r="2034">
      <c r="A2034" s="3" t="inlineStr">
        <is>
          <t>delivery.warehouse.listScope.Domestic</t>
        </is>
      </c>
      <c r="B2034" s="3" t="inlineStr">
        <is>
          <t>Trong nước</t>
        </is>
      </c>
      <c r="C2034" s="3" t="inlineStr">
        <is>
          <t>Domestic</t>
        </is>
      </c>
      <c r="D2034" s="217">
        <f>IFERROR(__xludf.DUMMYFUNCTION("GOOGLETRANSLATE(C2034,""vi"",""km"")"),"ក្នុងស្រុក")</f>
        <v/>
      </c>
      <c r="E2034" s="3" t="n"/>
      <c r="F2034" s="3" t="inlineStr">
        <is>
          <t>ក្នុងស្រុក</t>
        </is>
      </c>
      <c r="G2034" s="3" t="n"/>
      <c r="H2034" s="217" t="inlineStr">
        <is>
          <t>"delivery.warehouse.listScope.Domestic": "ក្នុងស្រុក",</t>
        </is>
      </c>
      <c r="I2034" t="inlineStr">
        <is>
          <t>ក្នុងស្រុក</t>
        </is>
      </c>
    </row>
    <row r="2035">
      <c r="A2035" s="3" t="inlineStr">
        <is>
          <t>delivery.warehouse.listScope.International</t>
        </is>
      </c>
      <c r="B2035" s="3" t="inlineStr">
        <is>
          <t>Quốc tế</t>
        </is>
      </c>
      <c r="C2035" s="3" t="inlineStr">
        <is>
          <t>International</t>
        </is>
      </c>
      <c r="D2035" s="217">
        <f>IFERROR(__xludf.DUMMYFUNCTION("GOOGLETRANSLATE(C2035,""vi"",""km"")"),"អន្តរជាតិ")</f>
        <v/>
      </c>
      <c r="E2035" s="3" t="n"/>
      <c r="F2035" s="3" t="inlineStr">
        <is>
          <t>អន្តរជាតិ</t>
        </is>
      </c>
      <c r="G2035" s="3" t="n"/>
      <c r="H2035" s="217" t="inlineStr">
        <is>
          <t>"delivery.warehouse.listScope.International": "អន្តរជាតិ",</t>
        </is>
      </c>
      <c r="I2035" t="inlineStr">
        <is>
          <t>អន្តរជាតិ</t>
        </is>
      </c>
    </row>
    <row r="2036">
      <c r="A2036" s="3" t="inlineStr">
        <is>
          <t>delivery.warehouse.listScope.InternationalRoundTrip</t>
        </is>
      </c>
      <c r="B2036" s="3" t="inlineStr">
        <is>
          <t>Quốc tế chiều về</t>
        </is>
      </c>
      <c r="C2036" s="3" t="inlineStr">
        <is>
          <t>International Return Shipping</t>
        </is>
      </c>
      <c r="D2036" s="217">
        <f>IFERROR(__xludf.DUMMYFUNCTION("GOOGLETRANSLATE(C2036,""vi"",""km"")"),"ការដឹកជញ្ជូនត្រឡប់មកវិញអន្តរជាតិ")</f>
        <v/>
      </c>
      <c r="E2036" s="3" t="n"/>
      <c r="F2036" s="3" t="inlineStr">
        <is>
          <t>ការដឹកជញ្ជូនត្រឡប់មកវិញអន្តរជាតិ</t>
        </is>
      </c>
      <c r="G2036" s="3" t="n"/>
      <c r="H2036" s="217" t="inlineStr">
        <is>
          <t>"delivery.warehouse.listScope.InternationalRoundTrip": "ការដឹកជញ្ជូនត្រឡប់មកវិញអន្តរជាតិ",</t>
        </is>
      </c>
      <c r="I2036" t="inlineStr">
        <is>
          <t>ការដឹកជញ្ជូនត្រឡប់មកវិញអន្តរជាតិ</t>
        </is>
      </c>
    </row>
    <row r="2037">
      <c r="A2037" s="3" t="inlineStr">
        <is>
          <t>delivery.warehouse.listServiceAssign.notSelected</t>
        </is>
      </c>
      <c r="B2037" s="3" t="inlineStr">
        <is>
          <t>Danh sách chưa chọn</t>
        </is>
      </c>
      <c r="C2037" s="3" t="inlineStr">
        <is>
          <t>none selected service list</t>
        </is>
      </c>
      <c r="D2037" s="217">
        <f>IFERROR(__xludf.DUMMYFUNCTION("GOOGLETRANSLATE(C2037,""vi"",""km"")"),"គ្មានបញ្ជីសេវាកម្មដែលបានជ្រើសរើសទេ")</f>
        <v/>
      </c>
      <c r="E2037" s="3" t="n"/>
      <c r="F2037" s="3" t="inlineStr">
        <is>
          <t>គ្មានបញ្ជីសេវាកម្មដែលបានជ្រើសរើសទេ</t>
        </is>
      </c>
      <c r="G2037" s="3" t="n"/>
      <c r="H2037" s="217" t="inlineStr">
        <is>
          <t>"delivery.warehouse.listServiceAssign.notSelected": "គ្មានបញ្ជីសេវាកម្មដែលបានជ្រើសរើសទេ",</t>
        </is>
      </c>
      <c r="I2037" t="inlineStr">
        <is>
          <t>គ្មានបញ្ជីសេវាកម្មដែលបានជ្រើសរើសទេ</t>
        </is>
      </c>
    </row>
    <row r="2038">
      <c r="A2038" s="3" t="inlineStr">
        <is>
          <t>delivery.warehouse.listServiceAssign.searchKeyword</t>
        </is>
      </c>
      <c r="B2038" s="3" t="inlineStr">
        <is>
          <t>Nhập từ khóa tìm kiếm</t>
        </is>
      </c>
      <c r="C2038" s="3" t="inlineStr">
        <is>
          <t>enter keyword</t>
        </is>
      </c>
      <c r="D2038" s="217">
        <f>IFERROR(__xludf.DUMMYFUNCTION("GOOGLETRANSLATE(C2038,""vi"",""km"")"),"បញ្ចូលពាក្យគន្លឹះ")</f>
        <v/>
      </c>
      <c r="E2038" s="3" t="n"/>
      <c r="F2038" s="3" t="inlineStr">
        <is>
          <t>បញ្ចូលពាក្យគន្លឹះ</t>
        </is>
      </c>
      <c r="G2038" s="3" t="n"/>
      <c r="H2038" s="217" t="inlineStr">
        <is>
          <t>"delivery.warehouse.listServiceAssign.searchKeyword": "បញ្ចូលពាក្យគន្លឹះ",</t>
        </is>
      </c>
      <c r="I2038" t="inlineStr">
        <is>
          <t>បញ្ចូលពាក្យគន្លឹះ</t>
        </is>
      </c>
    </row>
    <row r="2039">
      <c r="A2039" s="3" t="inlineStr">
        <is>
          <t>delivery.warehouse.listServiceAssign.searchKeywordPlaceholder</t>
        </is>
      </c>
      <c r="B2039" s="3" t="inlineStr">
        <is>
          <t>Nhập mã hoặc tên dịch vụ tìm kiếm</t>
        </is>
      </c>
      <c r="C2039" s="3" t="inlineStr">
        <is>
          <t>Enter service name or ID</t>
        </is>
      </c>
      <c r="D2039" s="217">
        <f>IFERROR(__xludf.DUMMYFUNCTION("GOOGLETRANSLATE(C2039,""vi"",""km"")"),"បញ្ចូលឈ្មោះ ឬលេខសម្គាល់សេវាកម្ម")</f>
        <v/>
      </c>
      <c r="E2039" s="3" t="n"/>
      <c r="F2039" s="3" t="inlineStr">
        <is>
          <t>បញ្ចូលឈ្មោះ ឬលេខសម្គាល់សេវាកម្ម</t>
        </is>
      </c>
      <c r="G2039" s="3" t="n"/>
      <c r="H2039" s="217" t="inlineStr">
        <is>
          <t>"delivery.warehouse.listServiceAssign.searchKeywordPlaceholder": "បញ្ចូលឈ្មោះ ឬលេខសម្គាល់សេវាកម្ម",</t>
        </is>
      </c>
      <c r="I2039" t="inlineStr">
        <is>
          <t>បញ្ចូលឈ្មោះ ឬលេខសម្គាល់សេវាកម្ម</t>
        </is>
      </c>
    </row>
    <row r="2040">
      <c r="A2040" s="3" t="inlineStr">
        <is>
          <t>delivery.warehouse.listServiceAssign.selected</t>
        </is>
      </c>
      <c r="B2040" s="3" t="inlineStr">
        <is>
          <t>Danh sách đã chọn</t>
        </is>
      </c>
      <c r="C2040" s="3" t="inlineStr">
        <is>
          <t>selected service list</t>
        </is>
      </c>
      <c r="D2040" s="217">
        <f>IFERROR(__xludf.DUMMYFUNCTION("GOOGLETRANSLATE(C2040,""vi"",""km"")"),"បញ្ជីសេវាកម្មដែលបានជ្រើសរើស")</f>
        <v/>
      </c>
      <c r="E2040" s="3" t="n"/>
      <c r="F2040" s="3" t="inlineStr">
        <is>
          <t>បញ្ជីសេវាកម្មដែលបានជ្រើសរើស</t>
        </is>
      </c>
      <c r="G2040" s="3" t="n"/>
      <c r="H2040" s="217" t="inlineStr">
        <is>
          <t>"delivery.warehouse.listServiceAssign.selected": "បញ្ជីសេវាកម្មដែលបានជ្រើសរើស",</t>
        </is>
      </c>
      <c r="I2040" t="inlineStr">
        <is>
          <t>បញ្ជីសេវាកម្មដែលបានជ្រើសរើស</t>
        </is>
      </c>
    </row>
    <row r="2041">
      <c r="A2041" s="3" t="inlineStr">
        <is>
          <t>delivery.warehouse.listServiceGroup.Expedited</t>
        </is>
      </c>
      <c r="B2041" s="3" t="inlineStr">
        <is>
          <t>Hỏa tốc</t>
        </is>
      </c>
      <c r="C2041" s="3" t="inlineStr">
        <is>
          <t>Express</t>
        </is>
      </c>
      <c r="D2041" s="217">
        <f>IFERROR(__xludf.DUMMYFUNCTION("GOOGLETRANSLATE(C2041,""vi"",""km"")"),"រហ័ស")</f>
        <v/>
      </c>
      <c r="E2041" s="3" t="n"/>
      <c r="F2041" s="3" t="inlineStr">
        <is>
          <t>រហ័ស</t>
        </is>
      </c>
      <c r="G2041" s="3" t="n"/>
      <c r="H2041" s="217" t="inlineStr">
        <is>
          <t>"delivery.warehouse.listServiceGroup.Expedited": "រហ័ស",</t>
        </is>
      </c>
      <c r="I2041" t="inlineStr">
        <is>
          <t>រហ័ស</t>
        </is>
      </c>
    </row>
    <row r="2042">
      <c r="A2042" s="3" t="inlineStr">
        <is>
          <t>delivery.warehouse.listServiceGroup.Fast</t>
        </is>
      </c>
      <c r="B2042" s="3" t="inlineStr">
        <is>
          <t>Nhanh</t>
        </is>
      </c>
      <c r="C2042" s="3" t="inlineStr">
        <is>
          <t>Fast</t>
        </is>
      </c>
      <c r="D2042" s="217">
        <f>IFERROR(__xludf.DUMMYFUNCTION("GOOGLETRANSLATE(C2042,""vi"",""km"")"),"រថយន្ត")</f>
        <v/>
      </c>
      <c r="E2042" s="3" t="n"/>
      <c r="F2042" s="3" t="inlineStr">
        <is>
          <t>រថយន្ត</t>
        </is>
      </c>
      <c r="G2042" s="3" t="n"/>
      <c r="H2042" s="217" t="inlineStr">
        <is>
          <t>"delivery.warehouse.listServiceGroup.Fast": "រថយន្ត",</t>
        </is>
      </c>
      <c r="I2042" t="inlineStr">
        <is>
          <t>រថយន្ត</t>
        </is>
      </c>
    </row>
    <row r="2043">
      <c r="A2043" s="3" t="inlineStr">
        <is>
          <t>delivery.warehouse.listServiceGroup.International</t>
        </is>
      </c>
      <c r="B2043" s="3" t="inlineStr">
        <is>
          <t>Quốc tế</t>
        </is>
      </c>
      <c r="C2043" s="3" t="inlineStr">
        <is>
          <t>International</t>
        </is>
      </c>
      <c r="D2043" s="217">
        <f>IFERROR(__xludf.DUMMYFUNCTION("GOOGLETRANSLATE(C2043,""vi"",""km"")"),"អន្តរជាតិ")</f>
        <v/>
      </c>
      <c r="E2043" s="3" t="n"/>
      <c r="F2043" s="3" t="inlineStr">
        <is>
          <t>អន្តរជាតិ</t>
        </is>
      </c>
      <c r="G2043" s="3" t="n"/>
      <c r="H2043" s="217" t="inlineStr">
        <is>
          <t>"delivery.warehouse.listServiceGroup.International": "អន្តរជាតិ",</t>
        </is>
      </c>
      <c r="I2043" t="inlineStr">
        <is>
          <t>អន្តរជាតិ</t>
        </is>
      </c>
    </row>
    <row r="2044">
      <c r="A2044" s="3" t="inlineStr">
        <is>
          <t>delivery.warehouse.listServiceGroup.Slow</t>
        </is>
      </c>
      <c r="B2044" s="3" t="inlineStr">
        <is>
          <t>Chậm</t>
        </is>
      </c>
      <c r="C2044" s="3" t="inlineStr">
        <is>
          <t>Eco</t>
        </is>
      </c>
      <c r="D2044" s="217">
        <f>IFERROR(__xludf.DUMMYFUNCTION("GOOGLETRANSLATE(C2044,""vi"",""km"")"),"អេកូ")</f>
        <v/>
      </c>
      <c r="E2044" s="3" t="n"/>
      <c r="F2044" s="3" t="inlineStr">
        <is>
          <t>អេកូ</t>
        </is>
      </c>
      <c r="G2044" s="3" t="n"/>
      <c r="H2044" s="217" t="inlineStr">
        <is>
          <t>"delivery.warehouse.listServiceGroup.Slow": "អេកូ",</t>
        </is>
      </c>
      <c r="I2044" t="inlineStr">
        <is>
          <t>អេកូ</t>
        </is>
      </c>
    </row>
    <row r="2045">
      <c r="A2045" s="3" t="inlineStr">
        <is>
          <t>delivery.warehouse.listServiceGroup.V24</t>
        </is>
      </c>
      <c r="B2045" s="3" t="inlineStr">
        <is>
          <t>V24</t>
        </is>
      </c>
      <c r="C2045" s="3" t="inlineStr">
        <is>
          <t>V24</t>
        </is>
      </c>
      <c r="D2045" s="217">
        <f>IFERROR(__xludf.DUMMYFUNCTION("GOOGLETRANSLATE(C2045,""vi"",""km"")"),"V24")</f>
        <v/>
      </c>
      <c r="E2045" s="3" t="n"/>
      <c r="F2045" s="3" t="inlineStr">
        <is>
          <t>V24</t>
        </is>
      </c>
      <c r="G2045" s="3" t="n"/>
      <c r="H2045" s="217" t="inlineStr">
        <is>
          <t>"delivery.warehouse.listServiceGroup.V24": "V24",</t>
        </is>
      </c>
      <c r="I2045" t="inlineStr">
        <is>
          <t>V24</t>
        </is>
      </c>
    </row>
    <row r="2046">
      <c r="A2046" s="3" t="inlineStr">
        <is>
          <t>delivery.warehouse.listServiceStatus.Active</t>
        </is>
      </c>
      <c r="B2046" s="3" t="inlineStr">
        <is>
          <t>Hoạt động</t>
        </is>
      </c>
      <c r="C2046" s="3" t="inlineStr">
        <is>
          <t>Active</t>
        </is>
      </c>
      <c r="D2046" s="217">
        <f>IFERROR(__xludf.DUMMYFUNCTION("GOOGLETRANSLATE(C2046,""vi"",""km"")"),"សកម្ម")</f>
        <v/>
      </c>
      <c r="E2046" s="3" t="n"/>
      <c r="F2046" s="3" t="inlineStr">
        <is>
          <t>ដំណើរការ</t>
        </is>
      </c>
      <c r="G2046" s="3" t="n"/>
      <c r="H2046" s="217" t="inlineStr">
        <is>
          <t>"delivery.warehouse.listServiceStatus.Active": "ដំណើរការ",</t>
        </is>
      </c>
      <c r="I2046" t="inlineStr">
        <is>
          <t>ដំណើរការ</t>
        </is>
      </c>
    </row>
    <row r="2047">
      <c r="A2047" s="3" t="inlineStr">
        <is>
          <t>delivery.warehouse.listServiceStatus.All</t>
        </is>
      </c>
      <c r="B2047" s="3" t="inlineStr">
        <is>
          <t>Tất cả</t>
        </is>
      </c>
      <c r="C2047" s="3" t="inlineStr">
        <is>
          <t>All</t>
        </is>
      </c>
      <c r="D2047" s="217">
        <f>IFERROR(__xludf.DUMMYFUNCTION("GOOGLETRANSLATE(C2047,""vi"",""km"")"),"ទាំងអស់")</f>
        <v/>
      </c>
      <c r="E2047" s="3" t="n"/>
      <c r="F2047" s="3" t="inlineStr">
        <is>
          <t>ទាំងអស់</t>
        </is>
      </c>
      <c r="G2047" s="3" t="n"/>
      <c r="H2047" s="217" t="inlineStr">
        <is>
          <t>"delivery.warehouse.listServiceStatus.All": "ទាំងអស់",</t>
        </is>
      </c>
      <c r="I2047" t="inlineStr">
        <is>
          <t>ទាំងអស់</t>
        </is>
      </c>
    </row>
    <row r="2048">
      <c r="A2048" s="3" t="inlineStr">
        <is>
          <t>delivery.warehouse.listServiceStatus.InActive</t>
        </is>
      </c>
      <c r="B2048" s="3" t="inlineStr">
        <is>
          <t>Dừng hoạt động</t>
        </is>
      </c>
      <c r="C2048" s="3" t="inlineStr">
        <is>
          <t>InActive</t>
        </is>
      </c>
      <c r="D2048" s="217">
        <f>IFERROR(__xludf.DUMMYFUNCTION("GOOGLETRANSLATE(C2048,""vi"",""km"")"),"អសកម្ម")</f>
        <v/>
      </c>
      <c r="E2048" s="3" t="n"/>
      <c r="F2048" s="3" t="inlineStr">
        <is>
          <t>អសកម្ម</t>
        </is>
      </c>
      <c r="G2048" s="3" t="n"/>
      <c r="H2048" s="217" t="inlineStr">
        <is>
          <t>"delivery.warehouse.listServiceStatus.InActive": "អសកម្ម",</t>
        </is>
      </c>
      <c r="I2048" t="inlineStr">
        <is>
          <t>អសកម្ម</t>
        </is>
      </c>
    </row>
    <row r="2049">
      <c r="A2049" s="3" t="inlineStr">
        <is>
          <t>delivery.warehouse.listServiceType.AdditionalServices</t>
        </is>
      </c>
      <c r="B2049" s="3" t="inlineStr">
        <is>
          <t>Dịch vụ cộng thêm</t>
        </is>
      </c>
      <c r="C2049" s="3" t="inlineStr">
        <is>
          <t>Additional service</t>
        </is>
      </c>
      <c r="D2049" s="217">
        <f>IFERROR(__xludf.DUMMYFUNCTION("GOOGLETRANSLATE(C2049,""vi"",""km"")"),"សេវាកម្មបន្ថែម")</f>
        <v/>
      </c>
      <c r="E2049" s="3" t="n"/>
      <c r="F2049" s="3" t="inlineStr">
        <is>
          <t>សេវាកម្មបន្ថែម</t>
        </is>
      </c>
      <c r="G2049" s="3" t="n"/>
      <c r="H2049" s="217" t="inlineStr">
        <is>
          <t>"delivery.warehouse.listServiceType.AdditionalServices": "សេវាកម្មបន្ថែម",</t>
        </is>
      </c>
      <c r="I2049" t="inlineStr">
        <is>
          <t>សេវាកម្មបន្ថែម</t>
        </is>
      </c>
    </row>
    <row r="2050">
      <c r="A2050" s="3" t="inlineStr">
        <is>
          <t>delivery.warehouse.listServiceType.GoodsCharacteristics</t>
        </is>
      </c>
      <c r="B2050" s="3" t="inlineStr">
        <is>
          <t>Đặc điểm hàng hóa</t>
        </is>
      </c>
      <c r="C2050" s="3" t="inlineStr">
        <is>
          <t>Special service</t>
        </is>
      </c>
      <c r="D2050" s="217">
        <f>IFERROR(__xludf.DUMMYFUNCTION("GOOGLETRANSLATE(C2050,""vi"",""km"")"),"សេវាកម្មពិសេស")</f>
        <v/>
      </c>
      <c r="E2050" s="3" t="n"/>
      <c r="F2050" s="3" t="inlineStr">
        <is>
          <t>សេវាកម្មពិសេស</t>
        </is>
      </c>
      <c r="G2050" s="3" t="n"/>
      <c r="H2050" s="217" t="inlineStr">
        <is>
          <t>"delivery.warehouse.listServiceType.GoodsCharacteristics": "សេវាកម្មពិសេស",</t>
        </is>
      </c>
      <c r="I2050" t="inlineStr">
        <is>
          <t>សេវាកម្មពិសេស</t>
        </is>
      </c>
    </row>
    <row r="2051">
      <c r="A2051" s="3" t="inlineStr">
        <is>
          <t>delivery.warehouse.listServiceType.service</t>
        </is>
      </c>
      <c r="B2051" s="3" t="inlineStr">
        <is>
          <t>Dịch vụ chính</t>
        </is>
      </c>
      <c r="C2051" s="3" t="inlineStr">
        <is>
          <t>Main service</t>
        </is>
      </c>
      <c r="D2051" s="217">
        <f>IFERROR(__xludf.DUMMYFUNCTION("GOOGLETRANSLATE(C2051,""vi"",""km"")"),"សេវាកម្មសំខាន់")</f>
        <v/>
      </c>
      <c r="E2051" s="3" t="n"/>
      <c r="F2051" s="3" t="inlineStr">
        <is>
          <t>សេវាកម្មសំខាន់</t>
        </is>
      </c>
      <c r="G2051" s="3" t="n"/>
      <c r="H2051" s="217" t="inlineStr">
        <is>
          <t>"delivery.warehouse.listServiceType.service": "សេវាកម្មសំខាន់",</t>
        </is>
      </c>
      <c r="I2051" t="inlineStr">
        <is>
          <t>សេវាកម្មសំខាន់</t>
        </is>
      </c>
    </row>
    <row r="2052">
      <c r="A2052" s="3" t="inlineStr">
        <is>
          <t>delivery.warehouse.listUser.CCCD</t>
        </is>
      </c>
      <c r="B2052" s="3" t="inlineStr">
        <is>
          <t>CCCD</t>
        </is>
      </c>
      <c r="C2052" s="3" t="inlineStr">
        <is>
          <t>Citizen identification</t>
        </is>
      </c>
      <c r="D2052" s="217">
        <f>IFERROR(__xludf.DUMMYFUNCTION("GOOGLETRANSLATE(C2052,""vi"",""km"")"),"ការជ្រើសរើសពលរដ្ឋ")</f>
        <v/>
      </c>
      <c r="E2052" s="3" t="n"/>
      <c r="F2052" s="3" t="inlineStr">
        <is>
          <t>អត្តសញ្ញាណប័ណ្ណ</t>
        </is>
      </c>
      <c r="G2052" s="3" t="n"/>
      <c r="H2052" s="217" t="inlineStr">
        <is>
          <t>"delivery.warehouse.listUser.CCCD": "អត្តសញ្ញាណប័ណ្ណ",</t>
        </is>
      </c>
      <c r="I2052" t="inlineStr">
        <is>
          <t>អត្តសញ្ញាណប័ណ្ណ</t>
        </is>
      </c>
    </row>
    <row r="2053">
      <c r="A2053" s="3" t="inlineStr">
        <is>
          <t>delivery.warehouse.listUser.active</t>
        </is>
      </c>
      <c r="B2053" s="3" t="inlineStr">
        <is>
          <t>Hiệu lực</t>
        </is>
      </c>
      <c r="C2053" s="3" t="inlineStr">
        <is>
          <t>Active</t>
        </is>
      </c>
      <c r="D2053" s="217">
        <f>IFERROR(__xludf.DUMMYFUNCTION("GOOGLETRANSLATE(C2053,""vi"",""km"")"),"សកម្ម")</f>
        <v/>
      </c>
      <c r="E2053" s="3" t="n"/>
      <c r="F2053" s="3" t="inlineStr">
        <is>
          <t>សកម្ម</t>
        </is>
      </c>
      <c r="G2053" s="3" t="n"/>
      <c r="H2053" s="217" t="inlineStr">
        <is>
          <t>"delivery.warehouse.listUser.active": "សកម្ម",</t>
        </is>
      </c>
      <c r="I2053" t="inlineStr">
        <is>
          <t>សកម្ម</t>
        </is>
      </c>
    </row>
    <row r="2054">
      <c r="A2054" s="3" t="inlineStr">
        <is>
          <t>delivery.warehouse.listUser.all</t>
        </is>
      </c>
      <c r="B2054" s="3" t="inlineStr">
        <is>
          <t>Tất cả</t>
        </is>
      </c>
      <c r="C2054" s="3" t="inlineStr">
        <is>
          <t>All</t>
        </is>
      </c>
      <c r="D2054" s="217">
        <f>IFERROR(__xludf.DUMMYFUNCTION("GOOGLETRANSLATE(C2054,""vi"",""km"")"),"ទាំងអស់")</f>
        <v/>
      </c>
      <c r="E2054" s="3" t="n"/>
      <c r="F2054" s="3" t="inlineStr">
        <is>
          <t>ទាំងអស់</t>
        </is>
      </c>
      <c r="G2054" s="3" t="n"/>
      <c r="H2054" s="217" t="inlineStr">
        <is>
          <t>"delivery.warehouse.listUser.all": "ទាំងអស់",</t>
        </is>
      </c>
      <c r="I2054" t="inlineStr">
        <is>
          <t>ទាំងអស់</t>
        </is>
      </c>
    </row>
    <row r="2055">
      <c r="A2055" s="3" t="inlineStr">
        <is>
          <t>delivery.warehouse.listUser.idNo</t>
        </is>
      </c>
      <c r="B2055" s="3" t="inlineStr">
        <is>
          <t>Mã NV</t>
        </is>
      </c>
      <c r="C2055" s="3" t="inlineStr">
        <is>
          <t>Employee ID</t>
        </is>
      </c>
      <c r="D2055" s="217">
        <f>IFERROR(__xludf.DUMMYFUNCTION("GOOGLETRANSLATE(C2055,""vi"",""km"")"),"អត្តសញ្ញាណបុគ្គលិក")</f>
        <v/>
      </c>
      <c r="E2055" s="3" t="n"/>
      <c r="F2055" s="3" t="inlineStr">
        <is>
          <t>អត្តសញ្ញាណបុគ្គលិក</t>
        </is>
      </c>
      <c r="G2055" s="3" t="n"/>
      <c r="H2055" s="217" t="inlineStr">
        <is>
          <t>"delivery.warehouse.listUser.idNo": "អត្តសញ្ញាណបុគ្គលិក",</t>
        </is>
      </c>
      <c r="I2055" t="inlineStr">
        <is>
          <t>អត្តសញ្ញាណបុគ្គលិក</t>
        </is>
      </c>
    </row>
    <row r="2056">
      <c r="A2056" s="3" t="inlineStr">
        <is>
          <t>delivery.warehouse.listUser.inactive</t>
        </is>
      </c>
      <c r="B2056" s="3" t="inlineStr">
        <is>
          <t>Hết hiệu lực</t>
        </is>
      </c>
      <c r="C2056" s="3" t="inlineStr">
        <is>
          <t>Inactive/deactive</t>
        </is>
      </c>
      <c r="D2056" s="217">
        <f>IFERROR(__xludf.DUMMYFUNCTION("GOOGLETRANSLATE(C2056,""vi"",""km"")"),"អសកម្ម/អសកម្ម")</f>
        <v/>
      </c>
      <c r="E2056" s="3" t="n"/>
      <c r="F2056" s="3" t="inlineStr">
        <is>
          <t>អសកម្ម</t>
        </is>
      </c>
      <c r="G2056" s="3" t="n"/>
      <c r="H2056" s="217" t="inlineStr">
        <is>
          <t>"delivery.warehouse.listUser.inactive": "អសកម្ម",</t>
        </is>
      </c>
      <c r="I2056" t="inlineStr">
        <is>
          <t>អសកម្ម</t>
        </is>
      </c>
    </row>
    <row r="2057">
      <c r="A2057" s="23" t="inlineStr">
        <is>
          <t>delivery.warehouse.listUser.name</t>
        </is>
      </c>
      <c r="B2057" s="3" t="inlineStr">
        <is>
          <t>Họ và tên</t>
        </is>
      </c>
      <c r="C2057" s="3" t="inlineStr">
        <is>
          <t>Fullname</t>
        </is>
      </c>
      <c r="D2057" s="217">
        <f>IFERROR(__xludf.DUMMYFUNCTION("GOOGLETRANSLATE(C2057,""vi"",""km"")"),"ឈ្មោះពេញ")</f>
        <v/>
      </c>
      <c r="E2057" s="3" t="n"/>
      <c r="F2057" s="3" t="inlineStr">
        <is>
          <t>ឈ្មោះពេញ</t>
        </is>
      </c>
      <c r="G2057" s="3" t="n"/>
      <c r="H2057" s="217" t="inlineStr">
        <is>
          <t>"delivery.warehouse.listUser.name": "ឈ្មោះពេញ",</t>
        </is>
      </c>
      <c r="I2057" t="inlineStr">
        <is>
          <t>ឈ្មោះពេញ</t>
        </is>
      </c>
    </row>
    <row r="2058">
      <c r="A2058" s="3" t="inlineStr">
        <is>
          <t>delivery.warehouse.listUser.phone</t>
        </is>
      </c>
      <c r="B2058" s="3" t="inlineStr">
        <is>
          <t>SĐT</t>
        </is>
      </c>
      <c r="C2058" s="3" t="inlineStr">
        <is>
          <t>Phone number</t>
        </is>
      </c>
      <c r="D2058" s="217">
        <f>IFERROR(__xludf.DUMMYFUNCTION("GOOGLETRANSLATE(C2058,""vi"",""km"")"),"លេខទូរស័ព្ទ")</f>
        <v/>
      </c>
      <c r="E2058" s="3" t="n"/>
      <c r="F2058" s="3" t="inlineStr">
        <is>
          <t>លេខទូរស័ព្ទ</t>
        </is>
      </c>
      <c r="G2058" s="3" t="n"/>
      <c r="H2058" s="217" t="inlineStr">
        <is>
          <t>"delivery.warehouse.listUser.phone": "លេខទូរស័ព្ទ",</t>
        </is>
      </c>
      <c r="I2058" t="inlineStr">
        <is>
          <t>លេខទូរស័ព្ទ</t>
        </is>
      </c>
    </row>
    <row r="2059">
      <c r="A2059" s="3" t="inlineStr">
        <is>
          <t>delivery.warehouse.listUser.searchPlaceholder</t>
        </is>
      </c>
      <c r="B2059" s="3" t="inlineStr">
        <is>
          <t>Tìm kiếm Mã NV, SĐT, Họ tên</t>
        </is>
      </c>
      <c r="C2059" s="3" t="inlineStr">
        <is>
          <t>Search for Employee ID, phone number, username, full name</t>
        </is>
      </c>
      <c r="D2059" s="217">
        <f>IFERROR(__xludf.DUMMYFUNCTION("GOOGLETRANSLATE(C2059,""vi"",""km"")"),"ស្វែងរកអត្តសញ្ញាណបុគ្គលិក លេខទូរស័ព្ទ ឈ្មោះអ្នកប្រើប្រាស់ ឈ្មោះពេញ")</f>
        <v/>
      </c>
      <c r="E2059" s="3" t="n"/>
      <c r="F2059" s="3" t="inlineStr">
        <is>
          <t>ស្វែងរកអត្តសញ្ញាណបុគ្គលិក លេខទូរស័ព្ទ ឈ្មោះអ្នកប្រើប្រាស់ ឈ្មោះពេញ</t>
        </is>
      </c>
      <c r="G2059" s="3" t="n"/>
      <c r="H2059" s="217" t="inlineStr">
        <is>
          <t>"delivery.warehouse.listUser.searchPlaceholder": "ស្វែងរកអត្តសញ្ញាណបុគ្គលិក លេខទូរស័ព្ទ ឈ្មោះអ្នកប្រើប្រាស់ ឈ្មោះពេញ",</t>
        </is>
      </c>
      <c r="I2059" t="inlineStr">
        <is>
          <t>ស្វែងរកអត្តសញ្ញាណបុគ្គលិក លេខទូរស័ព្ទ ឈ្មោះអ្នកប្រើប្រាស់ ឈ្មោះពេញ</t>
        </is>
      </c>
    </row>
    <row r="2060">
      <c r="A2060" s="3" t="inlineStr">
        <is>
          <t>delivery.warehouse.listUser.status</t>
        </is>
      </c>
      <c r="B2060" s="3" t="inlineStr">
        <is>
          <t>Trạng thái</t>
        </is>
      </c>
      <c r="C2060" s="3" t="inlineStr">
        <is>
          <t>Status</t>
        </is>
      </c>
      <c r="D2060" s="217">
        <f>IFERROR(__xludf.DUMMYFUNCTION("GOOGLETRANSLATE(C2060,""vi"",""km"")"),"ស្ថានភាព")</f>
        <v/>
      </c>
      <c r="E2060" s="3" t="n"/>
      <c r="F2060" s="3" t="inlineStr">
        <is>
          <t>ស្ថានភាព</t>
        </is>
      </c>
      <c r="G2060" s="3" t="n"/>
      <c r="H2060" s="217" t="inlineStr">
        <is>
          <t>"delivery.warehouse.listUser.status": "ស្ថានភាព",</t>
        </is>
      </c>
      <c r="I2060" t="inlineStr">
        <is>
          <t>ស្ថានភាព</t>
        </is>
      </c>
    </row>
    <row r="2061">
      <c r="A2061" s="3" t="inlineStr">
        <is>
          <t>delivery.warehouse.listUser.username</t>
        </is>
      </c>
      <c r="B2061" s="3" t="inlineStr">
        <is>
          <t>User</t>
        </is>
      </c>
      <c r="C2061" s="3" t="inlineStr">
        <is>
          <t>User</t>
        </is>
      </c>
      <c r="D2061" s="217">
        <f>IFERROR(__xludf.DUMMYFUNCTION("GOOGLETRANSLATE(C2061,""vi"",""km"")"),"អ្នកប្រើប្រាស់")</f>
        <v/>
      </c>
      <c r="E2061" s="3" t="n"/>
      <c r="F2061" s="3" t="inlineStr">
        <is>
          <t>អ្នកប្រើប្រាស់</t>
        </is>
      </c>
      <c r="G2061" s="3" t="n"/>
      <c r="H2061" s="217" t="inlineStr">
        <is>
          <t>"delivery.warehouse.listUser.username": "អ្នកប្រើប្រាស់",</t>
        </is>
      </c>
      <c r="I2061" t="inlineStr">
        <is>
          <t>អ្នកប្រើប្រាស់</t>
        </is>
      </c>
    </row>
    <row r="2062">
      <c r="A2062" s="3" t="inlineStr">
        <is>
          <t>delivery.warehouse.listZone.District</t>
        </is>
      </c>
      <c r="B2062" s="3" t="inlineStr">
        <is>
          <t>Huyện</t>
        </is>
      </c>
      <c r="C2062" s="3" t="inlineStr">
        <is>
          <t>District</t>
        </is>
      </c>
      <c r="D2062" s="217">
        <f>IFERROR(__xludf.DUMMYFUNCTION("GOOGLETRANSLATE(C2062,""vi"",""km"")"),"ស្រុក")</f>
        <v/>
      </c>
      <c r="E2062" s="3" t="n"/>
      <c r="F2062" s="3" t="inlineStr">
        <is>
          <t>ស្រុក</t>
        </is>
      </c>
      <c r="G2062" s="3" t="n"/>
      <c r="H2062" s="217" t="inlineStr">
        <is>
          <t>"delivery.warehouse.listZone.District": "ស្រុក",</t>
        </is>
      </c>
      <c r="I2062" t="inlineStr">
        <is>
          <t>ស្រុក</t>
        </is>
      </c>
    </row>
    <row r="2063">
      <c r="A2063" s="3" t="inlineStr">
        <is>
          <t>delivery.warehouse.listZone.National</t>
        </is>
      </c>
      <c r="B2063" s="3" t="inlineStr">
        <is>
          <t>Quốc gia</t>
        </is>
      </c>
      <c r="C2063" s="3" t="inlineStr">
        <is>
          <t>National</t>
        </is>
      </c>
      <c r="D2063" s="217">
        <f>IFERROR(__xludf.DUMMYFUNCTION("GOOGLETRANSLATE(C2063,""vi"",""km"")"),"ព័ត៌មាន")</f>
        <v/>
      </c>
      <c r="E2063" s="3" t="n"/>
      <c r="F2063" s="3" t="inlineStr">
        <is>
          <t>ព័ត៌មាន</t>
        </is>
      </c>
      <c r="G2063" s="3" t="n"/>
      <c r="H2063" s="217" t="inlineStr">
        <is>
          <t>"delivery.warehouse.listZone.National": "ព័ត៌មាន",</t>
        </is>
      </c>
      <c r="I2063" t="inlineStr">
        <is>
          <t>ព័ត៌មាន</t>
        </is>
      </c>
    </row>
    <row r="2064">
      <c r="A2064" s="3" t="inlineStr">
        <is>
          <t>delivery.warehouse.listZone.Province</t>
        </is>
      </c>
      <c r="B2064" s="3" t="inlineStr">
        <is>
          <t>Tỉnh</t>
        </is>
      </c>
      <c r="C2064" s="3" t="inlineStr">
        <is>
          <t>Province</t>
        </is>
      </c>
      <c r="D2064" s="217">
        <f>IFERROR(__xludf.DUMMYFUNCTION("GOOGLETRANSLATE(C2064,""vi"",""km"")"),"ខេត្ត")</f>
        <v/>
      </c>
      <c r="E2064" s="3" t="n"/>
      <c r="F2064" s="3" t="inlineStr">
        <is>
          <t>ខេត្ត</t>
        </is>
      </c>
      <c r="G2064" s="3" t="n"/>
      <c r="H2064" s="217" t="inlineStr">
        <is>
          <t>"delivery.warehouse.listZone.Province": "ខេត្ត",</t>
        </is>
      </c>
      <c r="I2064" t="inlineStr">
        <is>
          <t>ខេត្ត</t>
        </is>
      </c>
    </row>
    <row r="2065">
      <c r="A2065" s="3" t="inlineStr">
        <is>
          <t>delivery.warehouse.listZone.Ward</t>
        </is>
      </c>
      <c r="B2065" s="3" t="inlineStr">
        <is>
          <t>Phường/xã</t>
        </is>
      </c>
      <c r="C2065" s="3" t="inlineStr">
        <is>
          <t>Commune</t>
        </is>
      </c>
      <c r="D2065" s="217">
        <f>IFERROR(__xludf.DUMMYFUNCTION("GOOGLETRANSLATE(C2065,""vi"",""km"")"),"ឃុំ")</f>
        <v/>
      </c>
      <c r="E2065" s="3" t="n"/>
      <c r="F2065" s="3" t="inlineStr">
        <is>
          <t>ឃុំ</t>
        </is>
      </c>
      <c r="G2065" s="3" t="n"/>
      <c r="H2065" s="217" t="inlineStr">
        <is>
          <t>"delivery.warehouse.listZone.Ward": "ឃុំ",</t>
        </is>
      </c>
      <c r="I2065" t="inlineStr">
        <is>
          <t>ឃុំ</t>
        </is>
      </c>
    </row>
    <row r="2066">
      <c r="A2066" s="3" t="inlineStr">
        <is>
          <t>delivery.warehouse.listZoneType.All</t>
        </is>
      </c>
      <c r="B2066" s="3" t="inlineStr">
        <is>
          <t>Tất cả</t>
        </is>
      </c>
      <c r="C2066" s="3" t="inlineStr">
        <is>
          <t>All</t>
        </is>
      </c>
      <c r="D2066" s="217">
        <f>IFERROR(__xludf.DUMMYFUNCTION("GOOGLETRANSLATE(C2066,""vi"",""km"")"),"ទាំងអស់")</f>
        <v/>
      </c>
      <c r="E2066" s="3" t="n"/>
      <c r="F2066" s="3" t="inlineStr">
        <is>
          <t>ទាំងអស់</t>
        </is>
      </c>
      <c r="G2066" s="3" t="n"/>
      <c r="H2066" s="217" t="inlineStr">
        <is>
          <t>"delivery.warehouse.listZoneType.All": "ទាំងអស់",</t>
        </is>
      </c>
      <c r="I2066" t="inlineStr">
        <is>
          <t>ទាំងអស់</t>
        </is>
      </c>
    </row>
    <row r="2067">
      <c r="A2067" s="3" t="inlineStr">
        <is>
          <t>delivery.warehouse.listZoneType.priceListCalculation</t>
        </is>
      </c>
      <c r="B2067" s="3" t="inlineStr">
        <is>
          <t>Yêu cầu bảng giá</t>
        </is>
      </c>
      <c r="C2067" s="3" t="inlineStr">
        <is>
          <t>Price list requirement</t>
        </is>
      </c>
      <c r="D2067" s="217">
        <f>IFERROR(__xludf.DUMMYFUNCTION("GOOGLETRANSLATE(C2067,""vi"",""km"")"),"តម្រូវការបញ្ជីតម្លៃ")</f>
        <v/>
      </c>
      <c r="E2067" s="3" t="n"/>
      <c r="F2067" s="3" t="inlineStr">
        <is>
          <t>តម្រូវការបញ្ជីតម្លៃ</t>
        </is>
      </c>
      <c r="G2067" s="3" t="n"/>
      <c r="H2067" s="217" t="inlineStr">
        <is>
          <t>"delivery.warehouse.listZoneType.priceListCalculation": "តម្រូវការបញ្ជីតម្លៃ",</t>
        </is>
      </c>
      <c r="I2067" t="inlineStr">
        <is>
          <t>តម្រូវការបញ្ជីតម្លៃ</t>
        </is>
      </c>
    </row>
    <row r="2068">
      <c r="A2068" s="3" t="inlineStr">
        <is>
          <t>delivery.warehouse.locationDepartment.deleteLocation</t>
        </is>
      </c>
      <c r="B2068" s="3" t="inlineStr">
        <is>
          <t>Đồng chí có chắc chắn muốn xóa cấu hình địa danh này?</t>
        </is>
      </c>
      <c r="C2068" s="3" t="inlineStr">
        <is>
          <t>Đồng chí có chắc chắn muốn xóa cấu hình địa danh này?</t>
        </is>
      </c>
      <c r="D2068" s="217">
        <f>IFERROR(__xludf.DUMMYFUNCTION("GOOGLETRANSLATE(C2068,""vi"",""km"")"),"តើអ្នកពិតជាចង់លុបការកំណត់រចនាសម្ព័ន្ធឈ្មោះទីកន្លែងនេះមែនទេ?")</f>
        <v/>
      </c>
      <c r="E2068" s="3" t="n"/>
      <c r="F2068" s="3" t="inlineStr">
        <is>
          <t>តើអ្នកពិតជាចង់លុបការកំណត់រចនាសម្ព័ន្ធឈ្មោះទីកន្លែងនេះមែនទេ?</t>
        </is>
      </c>
      <c r="G2068" s="3" t="n"/>
      <c r="H2068" s="217" t="inlineStr">
        <is>
          <t>"delivery.warehouse.locationDepartment.deleteLocation": "តើអ្នកពិតជាចង់លុបការកំណត់រចនាសម្ព័ន្ធឈ្មោះទីកន្លែងនេះមែនទេ?",</t>
        </is>
      </c>
      <c r="I2068" t="inlineStr">
        <is>
          <t>តើអ្នកពិតជាចង់លុបការកំណត់រចនាសម្ព័ន្ធឈ្មោះទីកន្លែងនេះមែនទេ?</t>
        </is>
      </c>
    </row>
    <row r="2069">
      <c r="A2069" s="3" t="inlineStr">
        <is>
          <t>delivery.warehouse.locationDepartment.district</t>
        </is>
      </c>
      <c r="B2069" s="3" t="inlineStr">
        <is>
          <t>Huyện</t>
        </is>
      </c>
      <c r="C2069" s="3" t="inlineStr">
        <is>
          <t>Huyện</t>
        </is>
      </c>
      <c r="D2069" s="217">
        <f>IFERROR(__xludf.DUMMYFUNCTION("GOOGLETRANSLATE(C2069,""vi"",""km"")"),"ស្រុក")</f>
        <v/>
      </c>
      <c r="E2069" s="3" t="n"/>
      <c r="F2069" s="3" t="inlineStr">
        <is>
          <t>ស្រុក</t>
        </is>
      </c>
      <c r="G2069" s="3" t="n"/>
      <c r="H2069" s="217" t="inlineStr">
        <is>
          <t>"delivery.warehouse.locationDepartment.district": "ស្រុក",</t>
        </is>
      </c>
      <c r="I2069" t="inlineStr">
        <is>
          <t>ស្រុក</t>
        </is>
      </c>
    </row>
    <row r="2070">
      <c r="A2070" s="3" t="inlineStr">
        <is>
          <t>delivery.warehouse.locationDepartment.districtPlaceholder</t>
        </is>
      </c>
      <c r="B2070" s="3" t="inlineStr">
        <is>
          <t>Chọn huyện</t>
        </is>
      </c>
      <c r="C2070" s="3" t="inlineStr">
        <is>
          <t>Chọn huyện</t>
        </is>
      </c>
      <c r="D2070" s="217">
        <f>IFERROR(__xludf.DUMMYFUNCTION("GOOGLETRANSLATE(C2070,""vi"",""km"")"),"ជ្រើសរើសស្រុក")</f>
        <v/>
      </c>
      <c r="E2070" s="3" t="n"/>
      <c r="F2070" s="3" t="inlineStr">
        <is>
          <t>ជ្រើសរើសស្រុក</t>
        </is>
      </c>
      <c r="G2070" s="3" t="n"/>
      <c r="H2070" s="217" t="inlineStr">
        <is>
          <t>"delivery.warehouse.locationDepartment.districtPlaceholder": "ជ្រើសរើសស្រុក",</t>
        </is>
      </c>
      <c r="I2070" t="inlineStr">
        <is>
          <t>ជ្រើសរើសស្រុក</t>
        </is>
      </c>
    </row>
    <row r="2071">
      <c r="A2071" s="3" t="inlineStr">
        <is>
          <t>delivery.warehouse.locationDepartment.locationDelivery</t>
        </is>
      </c>
      <c r="B2071" s="3" t="inlineStr">
        <is>
          <t>Địa danh giao</t>
        </is>
      </c>
      <c r="C2071" s="3" t="inlineStr">
        <is>
          <t>Địa danh giao</t>
        </is>
      </c>
      <c r="D2071" s="217">
        <f>IFERROR(__xludf.DUMMYFUNCTION("GOOGLETRANSLATE(C2071,""vi"",""km"")"),"ចំណុចប្រសព្វឈ្មោះទីកន្លែង")</f>
        <v/>
      </c>
      <c r="E2071" s="3" t="n"/>
      <c r="F2071" s="3" t="inlineStr">
        <is>
          <t>ទីតាំងដឹកចែក</t>
        </is>
      </c>
      <c r="G2071" s="3" t="n"/>
      <c r="H2071" s="217" t="inlineStr">
        <is>
          <t>"delivery.warehouse.locationDepartment.locationDelivery": "ទីតាំងដឹកចែក",</t>
        </is>
      </c>
      <c r="I2071" t="inlineStr">
        <is>
          <t>ទីតាំងដឹកចែក</t>
        </is>
      </c>
    </row>
    <row r="2072">
      <c r="A2072" s="3" t="inlineStr">
        <is>
          <t>delivery.warehouse.locationDepartment.locationReceiving</t>
        </is>
      </c>
      <c r="B2072" s="3" t="inlineStr">
        <is>
          <t>Địa danh nhận</t>
        </is>
      </c>
      <c r="C2072" s="3" t="inlineStr">
        <is>
          <t>Địa danh nhận</t>
        </is>
      </c>
      <c r="D2072" s="217">
        <f>IFERROR(__xludf.DUMMYFUNCTION("GOOGLETRANSLATE(C2072,""vi"",""km"")"),"ឈ្មោះទីកន្លែង")</f>
        <v/>
      </c>
      <c r="E2072" s="3" t="n"/>
      <c r="F2072" s="3" t="inlineStr">
        <is>
          <t>ឈ្មោះទីកន្លែង</t>
        </is>
      </c>
      <c r="G2072" s="3" t="n"/>
      <c r="H2072" s="217" t="inlineStr">
        <is>
          <t>"delivery.warehouse.locationDepartment.locationReceiving": "ឈ្មោះទីកន្លែង",</t>
        </is>
      </c>
      <c r="I2072" t="inlineStr">
        <is>
          <t>ឈ្មោះទីកន្លែង</t>
        </is>
      </c>
    </row>
    <row r="2073">
      <c r="A2073" s="3" t="inlineStr">
        <is>
          <t>delivery.warehouse.locationDepartment.province</t>
        </is>
      </c>
      <c r="B2073" s="3" t="inlineStr">
        <is>
          <t>Liên bang/Vùng</t>
        </is>
      </c>
      <c r="C2073" s="3" t="inlineStr">
        <is>
          <t>Liên bang/Vùng</t>
        </is>
      </c>
      <c r="D2073" s="217">
        <f>IFERROR(__xludf.DUMMYFUNCTION("GOOGLETRANSLATE(C2073,""vi"",""km"")"),"សហព័ន្ធ/តំបន់")</f>
        <v/>
      </c>
      <c r="E2073" s="3" t="n"/>
      <c r="F2073" s="3" t="inlineStr">
        <is>
          <t>សហព័ន្ធ/តំបន់</t>
        </is>
      </c>
      <c r="G2073" s="3" t="n"/>
      <c r="H2073" s="217" t="inlineStr">
        <is>
          <t>"delivery.warehouse.locationDepartment.province": "សហព័ន្ធ/តំបន់",</t>
        </is>
      </c>
      <c r="I2073" t="inlineStr">
        <is>
          <t>សហព័ន្ធ/តំបន់</t>
        </is>
      </c>
    </row>
    <row r="2074">
      <c r="A2074" s="3" t="inlineStr">
        <is>
          <t>delivery.warehouse.locationDepartment.provincePlaceholder</t>
        </is>
      </c>
      <c r="B2074" s="3" t="inlineStr">
        <is>
          <t>Chọn liên bang/Vùng</t>
        </is>
      </c>
      <c r="C2074" s="3" t="inlineStr">
        <is>
          <t>Chọn liên bang/Vùng</t>
        </is>
      </c>
      <c r="D2074" s="217">
        <f>IFERROR(__xludf.DUMMYFUNCTION("GOOGLETRANSLATE(C2074,""vi"",""km"")"),"ជ្រើសរើសសហព័ន្ធ/តំបន់")</f>
        <v/>
      </c>
      <c r="E2074" s="3" t="n"/>
      <c r="F2074" s="3" t="inlineStr">
        <is>
          <t>ជ្រើសរើសសហព័ន្ធ/តំបន់</t>
        </is>
      </c>
      <c r="G2074" s="3" t="n"/>
      <c r="H2074" s="217" t="inlineStr">
        <is>
          <t>"delivery.warehouse.locationDepartment.provincePlaceholder": "ជ្រើសរើសសហព័ន្ធ/តំបន់",</t>
        </is>
      </c>
      <c r="I2074" t="inlineStr">
        <is>
          <t>ជ្រើសរើសសហព័ន្ធ/តំបន់</t>
        </is>
      </c>
    </row>
    <row r="2075">
      <c r="A2075" s="3" t="inlineStr">
        <is>
          <t>delivery.warehouse.locationDepartment.ward</t>
        </is>
      </c>
      <c r="B2075" s="3" t="inlineStr">
        <is>
          <t>Thị trấn</t>
        </is>
      </c>
      <c r="C2075" s="3" t="inlineStr">
        <is>
          <t>Thị trấn</t>
        </is>
      </c>
      <c r="D2075" s="217">
        <f>IFERROR(__xludf.DUMMYFUNCTION("GOOGLETRANSLATE(C2075,""vi"",""km"")"),"ទីក្រុង")</f>
        <v/>
      </c>
      <c r="E2075" s="3" t="n"/>
      <c r="F2075" s="3" t="inlineStr">
        <is>
          <t>ទីក្រុង</t>
        </is>
      </c>
      <c r="G2075" s="3" t="n"/>
      <c r="H2075" s="217" t="inlineStr">
        <is>
          <t>"delivery.warehouse.locationDepartment.ward": "ទីក្រុង",</t>
        </is>
      </c>
      <c r="I2075" t="inlineStr">
        <is>
          <t>ទីក្រុង</t>
        </is>
      </c>
    </row>
    <row r="2076">
      <c r="A2076" s="3" t="inlineStr">
        <is>
          <t>delivery.warehouse.locationDepartment.wardPlaceholder</t>
        </is>
      </c>
      <c r="B2076" s="3" t="inlineStr">
        <is>
          <t>Chọn thị trấn</t>
        </is>
      </c>
      <c r="C2076" s="3" t="inlineStr">
        <is>
          <t>Chọn thị trấn</t>
        </is>
      </c>
      <c r="D2076" s="217">
        <f>IFERROR(__xludf.DUMMYFUNCTION("GOOGLETRANSLATE(C2076,""vi"",""km"")"),"ជ្រើសរើសទីក្រុងមួយ")</f>
        <v/>
      </c>
      <c r="E2076" s="3" t="n"/>
      <c r="F2076" s="3" t="inlineStr">
        <is>
          <t>ជ្រើសរើសទីក្រុងមួយ</t>
        </is>
      </c>
      <c r="G2076" s="3" t="n"/>
      <c r="H2076" s="217" t="inlineStr">
        <is>
          <t>"delivery.warehouse.locationDepartment.wardPlaceholder": "ជ្រើសរើសទីក្រុងមួយ",</t>
        </is>
      </c>
      <c r="I2076" t="inlineStr">
        <is>
          <t>ជ្រើសរើសទីក្រុងមួយ</t>
        </is>
      </c>
    </row>
    <row r="2077">
      <c r="A2077" s="3" t="inlineStr">
        <is>
          <t>delivery.warehouse.lockDepartment.active</t>
        </is>
      </c>
      <c r="B2077" s="3" t="inlineStr">
        <is>
          <t>Mở hoạt động</t>
        </is>
      </c>
      <c r="C2077" s="3" t="inlineStr">
        <is>
          <t>Active</t>
        </is>
      </c>
      <c r="D2077" s="217">
        <f>IFERROR(__xludf.DUMMYFUNCTION("GOOGLETRANSLATE(C2077,""vi"",""km"")"),"សកម្ម")</f>
        <v/>
      </c>
      <c r="E2077" s="3" t="n"/>
      <c r="F2077" s="3" t="inlineStr">
        <is>
          <t>សកម្ម</t>
        </is>
      </c>
      <c r="G2077" s="3" t="n"/>
      <c r="H2077" s="217" t="inlineStr">
        <is>
          <t>"delivery.warehouse.lockDepartment.active": "សកម្ម",</t>
        </is>
      </c>
      <c r="I2077" t="inlineStr">
        <is>
          <t>សកម្ម</t>
        </is>
      </c>
    </row>
    <row r="2078">
      <c r="A2078" s="3" t="inlineStr">
        <is>
          <t>delivery.warehouse.lockDepartment.inActive</t>
        </is>
      </c>
      <c r="B2078" s="3" t="inlineStr">
        <is>
          <t>Ngưng hoạt động</t>
        </is>
      </c>
      <c r="C2078" s="3" t="inlineStr">
        <is>
          <t>Inactive</t>
        </is>
      </c>
      <c r="D2078" s="217">
        <f>IFERROR(__xludf.DUMMYFUNCTION("GOOGLETRANSLATE(C2078,""vi"",""km"")"),"អសកម្ម")</f>
        <v/>
      </c>
      <c r="E2078" s="3" t="n"/>
      <c r="F2078" s="3" t="inlineStr">
        <is>
          <t>ផ្អាកដំណើរការ</t>
        </is>
      </c>
      <c r="G2078" s="3" t="n"/>
      <c r="H2078" s="217" t="inlineStr">
        <is>
          <t>"delivery.warehouse.lockDepartment.inActive": "ផ្អាកដំណើរការ",</t>
        </is>
      </c>
      <c r="I2078" t="inlineStr">
        <is>
          <t>ផ្អាកដំណើរការ</t>
        </is>
      </c>
    </row>
    <row r="2079">
      <c r="A2079" s="3" t="inlineStr">
        <is>
          <t>delivery.warehouse.lockDepartment.success</t>
        </is>
      </c>
      <c r="B2079" s="3" t="inlineStr">
        <is>
          <t>Đổi trạng thái thành công</t>
        </is>
      </c>
      <c r="C2079" s="3" t="inlineStr">
        <is>
          <t>Change status successfully</t>
        </is>
      </c>
      <c r="D2079" s="217">
        <f>IFERROR(__xludf.DUMMYFUNCTION("GOOGLETRANSLATE(C2079,""vi"",""km"")"),"ផ្លាស់ប្តូរស្ថានភាព w")</f>
        <v/>
      </c>
      <c r="E2079" s="3" t="n"/>
      <c r="F2079" s="3" t="inlineStr">
        <is>
          <t>ផ្លាស់ប្តូរស្ថានភាព w</t>
        </is>
      </c>
      <c r="G2079" s="3" t="n"/>
      <c r="H2079" s="217" t="inlineStr">
        <is>
          <t>"delivery.warehouse.lockDepartment.success": "ផ្លាស់ប្តូរស្ថានភាព w",</t>
        </is>
      </c>
      <c r="I2079" t="inlineStr">
        <is>
          <t>ផ្លាស់ប្តូរស្ថានភាព w</t>
        </is>
      </c>
    </row>
    <row r="2080">
      <c r="A2080" s="3" t="inlineStr">
        <is>
          <t>delivery.warehouse.lockDepartment.textConfirm1</t>
        </is>
      </c>
      <c r="B2080" s="3" t="inlineStr">
        <is>
          <t>Quý khách có chắc chắn muốn</t>
        </is>
      </c>
      <c r="C2080" s="3" t="inlineStr">
        <is>
          <t>Are you sure you want to</t>
        </is>
      </c>
      <c r="D2080" s="217">
        <f>IFERROR(__xludf.DUMMYFUNCTION("GOOGLETRANSLATE(C2080,""vi"",""km"")"),"តើអ្នកប្រាកដទេថាអ្នកចង់")</f>
        <v/>
      </c>
      <c r="E2080" s="3" t="n"/>
      <c r="F2080" s="3" t="inlineStr">
        <is>
          <t>តើអ្នកប្រាកដទេថាអ្នកចង់</t>
        </is>
      </c>
      <c r="G2080" s="3" t="n"/>
      <c r="H2080" s="217" t="inlineStr">
        <is>
          <t>"delivery.warehouse.lockDepartment.textConfirm1": "តើអ្នកប្រាកដទេថាអ្នកចង់",</t>
        </is>
      </c>
      <c r="I2080" t="inlineStr">
        <is>
          <t>តើអ្នកប្រាកដទេថាអ្នកចង់</t>
        </is>
      </c>
    </row>
    <row r="2081">
      <c r="A2081" s="3" t="inlineStr">
        <is>
          <t>delivery.warehouse.lockDepartment.textConfirm2</t>
        </is>
      </c>
      <c r="B2081" s="3" t="inlineStr">
        <is>
          <t>bưu cục {{departmentCode}} này?</t>
        </is>
      </c>
      <c r="C2081" s="3" t="inlineStr">
        <is>
          <t>this post office {{departmentCode}}?</t>
        </is>
      </c>
      <c r="D2081" s="217">
        <f>IFERROR(__xludf.DUMMYFUNCTION("GOOGLETRANSLATE(C2081,""vi"",""km"")"),"ការិយាល័យប្រៃសណីយ៍នេះ {{departmentCode}}?")</f>
        <v/>
      </c>
      <c r="E2081" s="3" t="n"/>
      <c r="F2081" s="3" t="inlineStr">
        <is>
          <t>ការិយាល័យប្រៃសណីយ៍នេះ {{departmentCode}}?</t>
        </is>
      </c>
      <c r="G2081" s="3" t="n"/>
      <c r="H2081" s="217" t="inlineStr">
        <is>
          <t>"delivery.warehouse.lockDepartment.textConfirm2": "ការិយាល័យប្រៃសណីយ៍នេះ {{departmentCode}}?",</t>
        </is>
      </c>
      <c r="I2081" t="inlineStr">
        <is>
          <t>ការិយាល័យប្រៃសណីយ៍នេះ {{departmentCode}}?</t>
        </is>
      </c>
    </row>
    <row r="2082">
      <c r="A2082" s="3" t="inlineStr">
        <is>
          <t>delivery.warehouse.lockDepartment.title</t>
        </is>
      </c>
      <c r="B2082" s="3" t="inlineStr">
        <is>
          <t>Thông báo</t>
        </is>
      </c>
      <c r="C2082" s="3" t="inlineStr">
        <is>
          <t>Notification</t>
        </is>
      </c>
      <c r="D2082" s="217">
        <f>IFERROR(__xludf.DUMMYFUNCTION("GOOGLETRANSLATE(C2082,""vi"",""km"")"),"ការជូនដំណឹង")</f>
        <v/>
      </c>
      <c r="E2082" s="3" t="n"/>
      <c r="F2082" s="3" t="inlineStr">
        <is>
          <t>ការជូនដំណឹង</t>
        </is>
      </c>
      <c r="G2082" s="3" t="n"/>
      <c r="H2082" s="217" t="inlineStr">
        <is>
          <t>"delivery.warehouse.lockDepartment.title": "ការជូនដំណឹង",</t>
        </is>
      </c>
      <c r="I2082" t="inlineStr">
        <is>
          <t>ការជូនដំណឹង</t>
        </is>
      </c>
    </row>
    <row r="2083">
      <c r="A2083" s="3" t="inlineStr">
        <is>
          <t>delivery.warehouse.login.buttonLogin</t>
        </is>
      </c>
      <c r="B2083" s="3" t="inlineStr">
        <is>
          <t>Đăng nhập</t>
        </is>
      </c>
      <c r="C2083" s="3" t="inlineStr">
        <is>
          <t>Log in</t>
        </is>
      </c>
      <c r="D2083" s="217">
        <f>IFERROR(__xludf.DUMMYFUNCTION("GOOGLETRANSLATE(C2083,""vi"",""km"")"),"ចូល")</f>
        <v/>
      </c>
      <c r="E2083" s="3" t="n"/>
      <c r="F2083" s="3" t="inlineStr">
        <is>
          <t>ចូល</t>
        </is>
      </c>
      <c r="G2083" s="3" t="n"/>
      <c r="H2083" s="217" t="inlineStr">
        <is>
          <t>"delivery.warehouse.login.buttonLogin": "ចូល",</t>
        </is>
      </c>
      <c r="I2083" t="inlineStr">
        <is>
          <t>ចូល</t>
        </is>
      </c>
    </row>
    <row r="2084">
      <c r="A2084" s="3" t="inlineStr">
        <is>
          <t>delivery.warehouse.login.changePass</t>
        </is>
      </c>
      <c r="B2084" s="3" t="inlineStr">
        <is>
          <t>Đổi mật khẩu</t>
        </is>
      </c>
      <c r="C2084" s="3" t="inlineStr">
        <is>
          <t>Change password</t>
        </is>
      </c>
      <c r="D2084" s="217">
        <f>IFERROR(__xludf.DUMMYFUNCTION("GOOGLETRANSLATE(C2084,""vi"",""km"")"),"ប្តូរពាក្យសម្ងាត់")</f>
        <v/>
      </c>
      <c r="E2084" s="3" t="n"/>
      <c r="F2084" s="3" t="inlineStr">
        <is>
          <t>ប្តូរពាក្យសម្ងាត់</t>
        </is>
      </c>
      <c r="G2084" s="3" t="n"/>
      <c r="H2084" s="217" t="inlineStr">
        <is>
          <t>"delivery.warehouse.login.changePass": "ប្តូរពាក្យសម្ងាត់",</t>
        </is>
      </c>
      <c r="I2084" t="inlineStr">
        <is>
          <t>ប្តូរពាក្យសម្ងាត់</t>
        </is>
      </c>
    </row>
    <row r="2085">
      <c r="A2085" s="3" t="inlineStr">
        <is>
          <t>delivery.warehouse.login.descriptionRegister</t>
        </is>
      </c>
      <c r="B2085" s="3" t="inlineStr">
        <is>
          <t>Quý khách chưa có tài khoản?</t>
        </is>
      </c>
      <c r="C2085" s="3" t="inlineStr">
        <is>
          <t>New to Metfone Express?</t>
        </is>
      </c>
      <c r="D2085" s="217">
        <f>IFERROR(__xludf.DUMMYFUNCTION("GOOGLETRANSLATE(C2085,""vi"",""km"")"),"ទើបតែស្គាល់ Metfone Express?")</f>
        <v/>
      </c>
      <c r="E2085" s="3" t="n"/>
      <c r="F2085" s="3" t="inlineStr">
        <is>
          <t>ទើបតែស្គាល់ Metfone Express?</t>
        </is>
      </c>
      <c r="G2085" s="3" t="n"/>
      <c r="H2085" s="217" t="inlineStr">
        <is>
          <t>"delivery.warehouse.login.descriptionRegister": "ទើបតែស្គាល់ Metfone Express?",</t>
        </is>
      </c>
      <c r="I2085" t="inlineStr">
        <is>
          <t>ទើបតែស្គាល់ Metfone Express?</t>
        </is>
      </c>
    </row>
    <row r="2086">
      <c r="A2086" s="3" t="inlineStr">
        <is>
          <t>delivery.warehouse.login.forgotPassword</t>
        </is>
      </c>
      <c r="B2086" s="3" t="inlineStr">
        <is>
          <t>Quên mật khẩu</t>
        </is>
      </c>
      <c r="C2086" s="3" t="inlineStr">
        <is>
          <t>Forgot password</t>
        </is>
      </c>
      <c r="D2086" s="217">
        <f>IFERROR(__xludf.DUMMYFUNCTION("GOOGLETRANSLATE(C2086,""vi"",""km"")"),"ភ្លេចពាក្យសម្ងាត់")</f>
        <v/>
      </c>
      <c r="E2086" s="3" t="n"/>
      <c r="F2086" s="3" t="inlineStr">
        <is>
          <t>ភ្លេចពាក្យសម្ងាត់</t>
        </is>
      </c>
      <c r="G2086" s="3" t="n"/>
      <c r="H2086" s="217" t="inlineStr">
        <is>
          <t>"delivery.warehouse.login.forgotPassword": "ភ្លេចពាក្យសម្ងាត់",</t>
        </is>
      </c>
      <c r="I2086" t="inlineStr">
        <is>
          <t>ភ្លេចពាក្យសម្ងាត់</t>
        </is>
      </c>
    </row>
    <row r="2087">
      <c r="A2087" s="3" t="inlineStr">
        <is>
          <t>delivery.warehouse.login.inputPassword</t>
        </is>
      </c>
      <c r="B2087" s="3" t="inlineStr">
        <is>
          <t>Nhập mật khẩu</t>
        </is>
      </c>
      <c r="C2087" s="3" t="inlineStr">
        <is>
          <t>Enter password</t>
        </is>
      </c>
      <c r="D2087" s="217">
        <f>IFERROR(__xludf.DUMMYFUNCTION("GOOGLETRANSLATE(C2087,""vi"",""km"")"),"បញ្ចូលពាក្យសម្ងាត់")</f>
        <v/>
      </c>
      <c r="E2087" s="3" t="n"/>
      <c r="F2087" s="3" t="inlineStr">
        <is>
          <t>បញ្ចូលពាក្យសម្ងាត់</t>
        </is>
      </c>
      <c r="G2087" s="3" t="n"/>
      <c r="H2087" s="217" t="inlineStr">
        <is>
          <t>"delivery.warehouse.login.inputPassword": "បញ្ចូលពាក្យសម្ងាត់",</t>
        </is>
      </c>
      <c r="I2087" t="inlineStr">
        <is>
          <t>បញ្ចូលពាក្យសម្ងាត់</t>
        </is>
      </c>
    </row>
    <row r="2088">
      <c r="A2088" s="3" t="inlineStr">
        <is>
          <t>delivery.warehouse.login.inputUser</t>
        </is>
      </c>
      <c r="B2088" s="3" t="inlineStr">
        <is>
          <t>Nhập số điện thoại hoặc email</t>
        </is>
      </c>
      <c r="C2088" s="3" t="inlineStr">
        <is>
          <t>Enter mobile number or email</t>
        </is>
      </c>
      <c r="D2088" s="217">
        <f>IFERROR(__xludf.DUMMYFUNCTION("GOOGLETRANSLATE(C2088,""vi"",""km"")"),"បញ្ចូលលេខទូរស័ព្ទចល័ត ឬអ៊ីមែល")</f>
        <v/>
      </c>
      <c r="E2088" s="3" t="n"/>
      <c r="F2088" s="3" t="inlineStr">
        <is>
          <t>បញ្ចូលលេខទូរស័ព្ទចល័ត ឬអ៊ីមែល</t>
        </is>
      </c>
      <c r="G2088" s="3" t="n"/>
      <c r="H2088" s="217" t="inlineStr">
        <is>
          <t>"delivery.warehouse.login.inputUser": "បញ្ចូលលេខទូរស័ព្ទចល័ត ឬអ៊ីមែល",</t>
        </is>
      </c>
      <c r="I2088" t="inlineStr">
        <is>
          <t>បញ្ចូលលេខទូរស័ព្ទចល័ត ឬអ៊ីមែល</t>
        </is>
      </c>
    </row>
    <row r="2089">
      <c r="A2089" s="3" t="inlineStr">
        <is>
          <t>delivery.warehouse.login.register</t>
        </is>
      </c>
      <c r="B2089" s="3" t="inlineStr">
        <is>
          <t>Đăng ký ngay</t>
        </is>
      </c>
      <c r="C2089" s="3" t="inlineStr">
        <is>
          <t>Register now</t>
        </is>
      </c>
      <c r="D2089" s="217">
        <f>IFERROR(__xludf.DUMMYFUNCTION("GOOGLETRANSLATE(C2089,""vi"",""km"")"),"ចុះឈ្មោះឥឡូវនេះ")</f>
        <v/>
      </c>
      <c r="E2089" s="3" t="n"/>
      <c r="F2089" s="3" t="inlineStr">
        <is>
          <t>ចុះឈ្មោះឥឡូវនេះ</t>
        </is>
      </c>
      <c r="G2089" s="3" t="n"/>
      <c r="H2089" s="217" t="inlineStr">
        <is>
          <t>"delivery.warehouse.login.register": "ចុះឈ្មោះឥឡូវនេះ",</t>
        </is>
      </c>
      <c r="I2089" t="inlineStr">
        <is>
          <t>ចុះឈ្មោះឥឡូវនេះ</t>
        </is>
      </c>
    </row>
    <row r="2090">
      <c r="A2090" s="3" t="inlineStr">
        <is>
          <t>delivery.warehouse.login.title</t>
        </is>
      </c>
      <c r="B2090" s="3" t="inlineStr">
        <is>
          <t>Đăng nhập bằng mật khẩu</t>
        </is>
      </c>
      <c r="C2090" s="3" t="inlineStr">
        <is>
          <t>Log in by password</t>
        </is>
      </c>
      <c r="D2090" s="217">
        <f>IFERROR(__xludf.DUMMYFUNCTION("GOOGLETRANSLATE(C2090,""vi"",""km"")"),"ចូលដោយប្រើពាក្យសម្ងាត់")</f>
        <v/>
      </c>
      <c r="E2090" s="3" t="n"/>
      <c r="F2090" s="3" t="inlineStr">
        <is>
          <t>ចូលដោយប្រើពាក្យសម្ងាត់</t>
        </is>
      </c>
      <c r="G2090" s="3" t="n"/>
      <c r="H2090" s="217" t="inlineStr">
        <is>
          <t>"delivery.warehouse.login.title": "ចូលដោយប្រើពាក្យសម្ងាត់",</t>
        </is>
      </c>
      <c r="I2090" t="inlineStr">
        <is>
          <t>ចូលដោយប្រើពាក្យសម្ងាត់</t>
        </is>
      </c>
    </row>
    <row r="2091">
      <c r="A2091" s="3" t="inlineStr">
        <is>
          <t>delivery.warehouse.mainStatus.100</t>
        </is>
      </c>
      <c r="B2091" s="3" t="inlineStr">
        <is>
          <t>Tạo mới</t>
        </is>
      </c>
      <c r="C2091" s="3" t="inlineStr">
        <is>
          <t>New</t>
        </is>
      </c>
      <c r="D2091" s="217">
        <f>IFERROR(__xludf.DUMMYFUNCTION("GOOGLETRANSLATE(C2091,""vi"",""km"")"),"ថ្មី")</f>
        <v/>
      </c>
      <c r="E2091" s="3" t="n"/>
      <c r="F2091" s="3" t="inlineStr">
        <is>
          <t>បង្កើតថ្មី</t>
        </is>
      </c>
      <c r="G2091" s="3" t="n"/>
      <c r="H2091" s="217" t="inlineStr">
        <is>
          <t>"delivery.warehouse.mainStatus.100": "បង្កើតថ្មី",</t>
        </is>
      </c>
      <c r="I2091" t="inlineStr">
        <is>
          <t>បង្កើតថ្មី</t>
        </is>
      </c>
    </row>
    <row r="2092">
      <c r="A2092" s="3" t="inlineStr">
        <is>
          <t>delivery.warehouse.mainStatus.110</t>
        </is>
      </c>
      <c r="B2092" s="3" t="inlineStr">
        <is>
          <t>Chưa tiếp nhận</t>
        </is>
      </c>
      <c r="C2092" s="3" t="inlineStr">
        <is>
          <t>Confirmed</t>
        </is>
      </c>
      <c r="D2092" s="217">
        <f>IFERROR(__xludf.DUMMYFUNCTION("GOOGLETRANSLATE(C2092,""vi"",""km"")"),"បានបញ្ជាក់")</f>
        <v/>
      </c>
      <c r="E2092" s="3" t="n"/>
      <c r="F2092" s="3" t="inlineStr">
        <is>
          <t>មិនទាន់ទទួល</t>
        </is>
      </c>
      <c r="G2092" s="3" t="n"/>
      <c r="H2092" s="217" t="inlineStr">
        <is>
          <t>"delivery.warehouse.mainStatus.110": "មិនទាន់ទទួល",</t>
        </is>
      </c>
      <c r="I2092" t="inlineStr">
        <is>
          <t>មិនទាន់ទទួល</t>
        </is>
      </c>
    </row>
    <row r="2093">
      <c r="A2093" s="3" t="inlineStr">
        <is>
          <t>delivery.warehouse.mainStatus.120</t>
        </is>
      </c>
      <c r="B2093" s="3" t="inlineStr">
        <is>
          <t>Đã tiếp nhận</t>
        </is>
      </c>
      <c r="C2093" s="3" t="inlineStr">
        <is>
          <t>Waiting to receive</t>
        </is>
      </c>
      <c r="D2093" s="217">
        <f>IFERROR(__xludf.DUMMYFUNCTION("GOOGLETRANSLATE(C2093,""vi"",""km"")"),"កំពុងរង់ចាំទទួល")</f>
        <v/>
      </c>
      <c r="E2093" s="3" t="n"/>
      <c r="F2093" s="3" t="inlineStr">
        <is>
          <t>បានទទួល</t>
        </is>
      </c>
      <c r="G2093" s="3" t="n"/>
      <c r="H2093" s="217" t="inlineStr">
        <is>
          <t>"delivery.warehouse.mainStatus.120": "បានទទួល",</t>
        </is>
      </c>
      <c r="I2093" t="inlineStr">
        <is>
          <t>បានទទួល</t>
        </is>
      </c>
    </row>
    <row r="2094">
      <c r="A2094" s="3" t="inlineStr">
        <is>
          <t>delivery.warehouse.mainStatus.200</t>
        </is>
      </c>
      <c r="B2094" s="3" t="inlineStr">
        <is>
          <t>Đang lấy hàng</t>
        </is>
      </c>
      <c r="C2094" s="3" t="inlineStr">
        <is>
          <t>Receiving</t>
        </is>
      </c>
      <c r="D2094" s="217">
        <f>IFERROR(__xludf.DUMMYFUNCTION("GOOGLETRANSLATE(C2094,""vi"",""km"")"),"កំពុងទទួល")</f>
        <v/>
      </c>
      <c r="E2094" s="3" t="n"/>
      <c r="F2094" s="3" t="inlineStr">
        <is>
          <t>កំពុងទៅយកអីវ៉ាន់</t>
        </is>
      </c>
      <c r="G2094" s="3" t="n"/>
      <c r="H2094" s="217" t="inlineStr">
        <is>
          <t>"delivery.warehouse.mainStatus.200": "កំពុងទៅយកអីវ៉ាន់",</t>
        </is>
      </c>
      <c r="I2094" t="inlineStr">
        <is>
          <t>កំពុងទៅយកអីវ៉ាន់</t>
        </is>
      </c>
    </row>
    <row r="2095">
      <c r="A2095" s="3" t="inlineStr">
        <is>
          <t>delivery.warehouse.mainStatus.201</t>
        </is>
      </c>
      <c r="B2095" s="3" t="inlineStr">
        <is>
          <t>Hủy đơn</t>
        </is>
      </c>
      <c r="C2095" s="3" t="inlineStr">
        <is>
          <t>Cancelled</t>
        </is>
      </c>
      <c r="D2095" s="217">
        <f>IFERROR(__xludf.DUMMYFUNCTION("GOOGLETRANSLATE(C2095,""vi"",""km"")"),"បានលុបចោល")</f>
        <v/>
      </c>
      <c r="E2095" s="3" t="n"/>
      <c r="F2095" s="3" t="inlineStr">
        <is>
          <t>លុបបុងចោល</t>
        </is>
      </c>
      <c r="G2095" s="3" t="n"/>
      <c r="H2095" s="217" t="inlineStr">
        <is>
          <t>"delivery.warehouse.mainStatus.201": "លុបបុងចោល",</t>
        </is>
      </c>
      <c r="I2095" t="inlineStr">
        <is>
          <t>លុបបុងចោល</t>
        </is>
      </c>
    </row>
    <row r="2096">
      <c r="A2096" s="3" t="inlineStr">
        <is>
          <t>delivery.warehouse.mainStatus.210</t>
        </is>
      </c>
      <c r="B2096" s="3" t="inlineStr">
        <is>
          <t>Đã lấy hàng</t>
        </is>
      </c>
      <c r="C2096" s="3" t="inlineStr">
        <is>
          <t>Received</t>
        </is>
      </c>
      <c r="D2096" s="217">
        <f>IFERROR(__xludf.DUMMYFUNCTION("GOOGLETRANSLATE(C2096,""vi"",""km"")"),"បានទទួល")</f>
        <v/>
      </c>
      <c r="E2096" s="3" t="n"/>
      <c r="F2096" s="3" t="inlineStr">
        <is>
          <t>បានយកអីវ៉ាន់រួចរាល់</t>
        </is>
      </c>
      <c r="G2096" s="3" t="n"/>
      <c r="H2096" s="217" t="inlineStr">
        <is>
          <t>"delivery.warehouse.mainStatus.210": "បានយកអីវ៉ាន់រួចរាល់",</t>
        </is>
      </c>
      <c r="I2096" t="inlineStr">
        <is>
          <t>បានយកអីវ៉ាន់រួចរាល់</t>
        </is>
      </c>
    </row>
    <row r="2097">
      <c r="A2097" s="3" t="inlineStr">
        <is>
          <t>delivery.warehouse.mainStatus.220</t>
        </is>
      </c>
      <c r="B2097" s="3" t="inlineStr">
        <is>
          <t>Hẹn lấy lại</t>
        </is>
      </c>
      <c r="C2097" s="3" t="inlineStr">
        <is>
          <t>Receive again</t>
        </is>
      </c>
      <c r="D2097" s="217">
        <f>IFERROR(__xludf.DUMMYFUNCTION("GOOGLETRANSLATE(C2097,""vi"",""km"")"),"ទទួលបានម្តងទៀត")</f>
        <v/>
      </c>
      <c r="E2097" s="3" t="n"/>
      <c r="F2097" s="3" t="inlineStr">
        <is>
          <t>ណាត់ពេលទៅយកម្តងទៀត</t>
        </is>
      </c>
      <c r="G2097" s="3" t="n"/>
      <c r="H2097" s="217" t="inlineStr">
        <is>
          <t>"delivery.warehouse.mainStatus.220": "ណាត់ពេលទៅយកម្តងទៀត",</t>
        </is>
      </c>
      <c r="I2097" t="inlineStr">
        <is>
          <t>ណាត់ពេលទៅយកម្តងទៀត</t>
        </is>
      </c>
    </row>
    <row r="2098">
      <c r="A2098" s="3" t="inlineStr">
        <is>
          <t>delivery.warehouse.mainStatus.230</t>
        </is>
      </c>
      <c r="B2098" s="3" t="inlineStr">
        <is>
          <t>Không lấy được hàng</t>
        </is>
      </c>
      <c r="C2098" s="3" t="inlineStr">
        <is>
          <t>Receive failed</t>
        </is>
      </c>
      <c r="D2098" s="217">
        <f>IFERROR(__xludf.DUMMYFUNCTION("GOOGLETRANSLATE(C2098,""vi"",""km"")"),"ការទទួលបរាជ័យ")</f>
        <v/>
      </c>
      <c r="E2098" s="3" t="n"/>
      <c r="F2098" s="3" t="inlineStr">
        <is>
          <t>យកអីវ៉ាន់មិនបានសម្រេច</t>
        </is>
      </c>
      <c r="G2098" s="3" t="n"/>
      <c r="H2098" s="217" t="inlineStr">
        <is>
          <t>"delivery.warehouse.mainStatus.230": "យកអីវ៉ាន់មិនបានសម្រេច",</t>
        </is>
      </c>
      <c r="I2098" t="inlineStr">
        <is>
          <t>យកអីវ៉ាន់មិនបានសម្រេច</t>
        </is>
      </c>
    </row>
    <row r="2099">
      <c r="A2099" s="3" t="inlineStr">
        <is>
          <t>delivery.warehouse.mainStatus.300</t>
        </is>
      </c>
      <c r="B2099" s="3" t="inlineStr">
        <is>
          <t>Gán đơn vào tải</t>
        </is>
      </c>
      <c r="C2099" s="3" t="inlineStr">
        <is>
          <t>Assign order to sack</t>
        </is>
      </c>
      <c r="D2099" s="217">
        <f>IFERROR(__xludf.DUMMYFUNCTION("GOOGLETRANSLATE(C2099,""vi"",""km"")"),"ចាត់តាំងបញ្ជាឱ្យបណ្តេញចេញ")</f>
        <v/>
      </c>
      <c r="E2099" s="3" t="n"/>
      <c r="F2099" s="3" t="inlineStr">
        <is>
          <t>ចាត់តាំងបញ្ជាឱ្យបណ្តេញចេញ</t>
        </is>
      </c>
      <c r="G2099" s="3" t="n"/>
      <c r="H2099" s="217" t="inlineStr">
        <is>
          <t>"delivery.warehouse.mainStatus.300": "ចាត់តាំងបញ្ជាឱ្យបណ្តេញចេញ",</t>
        </is>
      </c>
      <c r="I2099" t="inlineStr">
        <is>
          <t>ចាត់តាំងបញ្ជាឱ្យបណ្តេញចេញ</t>
        </is>
      </c>
    </row>
    <row r="2100">
      <c r="A2100" s="3" t="inlineStr">
        <is>
          <t>delivery.warehouse.mainStatus.301</t>
        </is>
      </c>
      <c r="B2100" s="3" t="inlineStr">
        <is>
          <t>Loại bỏ đơn khỏi tải</t>
        </is>
      </c>
      <c r="C2100" s="3" t="inlineStr">
        <is>
          <t>Remove order from sack</t>
        </is>
      </c>
      <c r="D2100" s="217">
        <f>IFERROR(__xludf.DUMMYFUNCTION("GOOGLETRANSLATE(C2100,""vi"",""km"")"),"លុបការបញ្ជាទិញចេញពីថង់")</f>
        <v/>
      </c>
      <c r="E2100" s="3" t="n"/>
      <c r="F2100" s="3" t="inlineStr">
        <is>
          <t>ដកបុងចេញពីបាវ</t>
        </is>
      </c>
      <c r="G2100" s="3" t="n"/>
      <c r="H2100" s="217" t="inlineStr">
        <is>
          <t>"delivery.warehouse.mainStatus.301": "ដកបុងចេញពីបាវ",</t>
        </is>
      </c>
      <c r="I2100" t="inlineStr">
        <is>
          <t>ដកបុងចេញពីបាវ</t>
        </is>
      </c>
    </row>
    <row r="2101">
      <c r="A2101" s="3" t="inlineStr">
        <is>
          <t>delivery.warehouse.mainStatus.302</t>
        </is>
      </c>
      <c r="B2101" s="3" t="inlineStr">
        <is>
          <t>Hoàn thành tải</t>
        </is>
      </c>
      <c r="C2101" s="3" t="inlineStr">
        <is>
          <t>Sack completed</t>
        </is>
      </c>
      <c r="D2101" s="217">
        <f>IFERROR(__xludf.DUMMYFUNCTION("GOOGLETRANSLATE(C2101,""vi"",""km"")"),"បានបញ្ចប់ការវេចខ្ចប់")</f>
        <v/>
      </c>
      <c r="E2101" s="3" t="n"/>
      <c r="F2101" s="3" t="inlineStr">
        <is>
          <t>ច្រកបាវរួចរាល់</t>
        </is>
      </c>
      <c r="G2101" s="3" t="n"/>
      <c r="H2101" s="217" t="inlineStr">
        <is>
          <t>"delivery.warehouse.mainStatus.302": "ច្រកបាវរួចរាល់",</t>
        </is>
      </c>
      <c r="I2101" t="inlineStr">
        <is>
          <t>ច្រកបាវរួចរាល់</t>
        </is>
      </c>
    </row>
    <row r="2102">
      <c r="A2102" s="3" t="inlineStr">
        <is>
          <t>delivery.warehouse.mainStatus.303</t>
        </is>
      </c>
      <c r="B2102" s="3" t="inlineStr">
        <is>
          <t>Gửi yêu cầu vận tải</t>
        </is>
      </c>
      <c r="C2102" s="3" t="inlineStr">
        <is>
          <t>Send transport request</t>
        </is>
      </c>
      <c r="D2102" s="217">
        <f>IFERROR(__xludf.DUMMYFUNCTION("GOOGLETRANSLATE(C2102,""vi"",""km"")"),"ផ្ញើសំណើដឹកជញ្ជូន")</f>
        <v/>
      </c>
      <c r="E2102" s="3" t="n"/>
      <c r="F2102" s="3" t="inlineStr">
        <is>
          <t>ផ្ញើសំណើដឹកជញ្ជូន</t>
        </is>
      </c>
      <c r="G2102" s="3" t="n"/>
      <c r="H2102" s="217" t="inlineStr">
        <is>
          <t>"delivery.warehouse.mainStatus.303": "ផ្ញើសំណើដឹកជញ្ជូន",</t>
        </is>
      </c>
      <c r="I2102" t="inlineStr">
        <is>
          <t>ផ្ញើសំណើដឹកជញ្ជូន</t>
        </is>
      </c>
    </row>
    <row r="2103">
      <c r="A2103" s="3" t="inlineStr">
        <is>
          <t>delivery.warehouse.mainStatus.304</t>
        </is>
      </c>
      <c r="B2103" s="3" t="inlineStr">
        <is>
          <t>Xác nhận đến đơn vị (checkin)</t>
        </is>
      </c>
      <c r="C2103" s="3" t="inlineStr">
        <is>
          <t>Confirm arrival at unit</t>
        </is>
      </c>
      <c r="D2103" s="217">
        <f>IFERROR(__xludf.DUMMYFUNCTION("GOOGLETRANSLATE(C2103,""vi"",""km"")"),"បញ្ជាក់ការមកដល់អង្គភាព")</f>
        <v/>
      </c>
      <c r="E2103" s="3" t="n"/>
      <c r="F2103" s="3" t="inlineStr">
        <is>
          <t>បញ្ជាក់ការមកដល់អង្គភាព</t>
        </is>
      </c>
      <c r="G2103" s="3" t="n"/>
      <c r="H2103" s="217" t="inlineStr">
        <is>
          <t>"delivery.warehouse.mainStatus.304": "បញ្ជាក់ការមកដល់អង្គភាព",</t>
        </is>
      </c>
      <c r="I2103" t="inlineStr">
        <is>
          <t>បញ្ជាក់ការមកដល់អង្គភាព</t>
        </is>
      </c>
    </row>
    <row r="2104">
      <c r="A2104" s="3" t="inlineStr">
        <is>
          <t>delivery.warehouse.mainStatus.305</t>
        </is>
      </c>
      <c r="B2104" s="3" t="inlineStr">
        <is>
          <t>Tạo bàn giao</t>
        </is>
      </c>
      <c r="C2104" s="3" t="inlineStr">
        <is>
          <t>Create a new handover</t>
        </is>
      </c>
      <c r="D2104" s="217">
        <f>IFERROR(__xludf.DUMMYFUNCTION("GOOGLETRANSLATE(C2104,""vi"",""km"")"),"បង្កើតការប្រគល់ថ្មី")</f>
        <v/>
      </c>
      <c r="E2104" s="3" t="n"/>
      <c r="F2104" s="3" t="inlineStr">
        <is>
          <t>បង្កើតការប្រគល់ទទួល</t>
        </is>
      </c>
      <c r="G2104" s="3" t="n"/>
      <c r="H2104" s="217" t="inlineStr">
        <is>
          <t>"delivery.warehouse.mainStatus.305": "បង្កើតការប្រគល់ទទួល",</t>
        </is>
      </c>
      <c r="I2104" t="inlineStr">
        <is>
          <t>បង្កើតការប្រគល់ទទួល</t>
        </is>
      </c>
    </row>
    <row r="2105">
      <c r="A2105" s="3" t="inlineStr">
        <is>
          <t>delivery.warehouse.mainStatus.306</t>
        </is>
      </c>
      <c r="B2105" s="3" t="inlineStr">
        <is>
          <t>Nhận bàn giao</t>
        </is>
      </c>
      <c r="C2105" s="3" t="inlineStr">
        <is>
          <t>Accept handover</t>
        </is>
      </c>
      <c r="D2105" s="217">
        <f>IFERROR(__xludf.DUMMYFUNCTION("GOOGLETRANSLATE(C2105,""vi"",""km"")"),"ទទួលយកការប្រគល់")</f>
        <v/>
      </c>
      <c r="E2105" s="3" t="n"/>
      <c r="F2105" s="3" t="inlineStr">
        <is>
          <t>ទទួលការប្រគល់ទទួល</t>
        </is>
      </c>
      <c r="G2105" s="3" t="n"/>
      <c r="H2105" s="217" t="inlineStr">
        <is>
          <t>"delivery.warehouse.mainStatus.306": "ទទួលការប្រគល់ទទួល",</t>
        </is>
      </c>
      <c r="I2105" t="inlineStr">
        <is>
          <t>ទទួលការប្រគល់ទទួល</t>
        </is>
      </c>
    </row>
    <row r="2106">
      <c r="A2106" s="3" t="inlineStr">
        <is>
          <t>delivery.warehouse.mainStatus.307</t>
        </is>
      </c>
      <c r="B2106" s="3" t="inlineStr">
        <is>
          <t>Từ chối nhận bàn giao</t>
        </is>
      </c>
      <c r="C2106" s="3" t="inlineStr">
        <is>
          <t>Reject</t>
        </is>
      </c>
      <c r="D2106" s="217">
        <f>IFERROR(__xludf.DUMMYFUNCTION("GOOGLETRANSLATE(C2106,""vi"",""km"")"),"បដិសេធ")</f>
        <v/>
      </c>
      <c r="E2106" s="3" t="n"/>
      <c r="F2106" s="3" t="inlineStr">
        <is>
          <t>បដិសេធទទួលការប្រគល់</t>
        </is>
      </c>
      <c r="G2106" s="3" t="n"/>
      <c r="H2106" s="217" t="inlineStr">
        <is>
          <t>"delivery.warehouse.mainStatus.307": "បដិសេធទទួលការប្រគល់",</t>
        </is>
      </c>
      <c r="I2106" t="inlineStr">
        <is>
          <t>បដិសេធទទួលការប្រគល់</t>
        </is>
      </c>
    </row>
    <row r="2107">
      <c r="A2107" s="3" t="inlineStr">
        <is>
          <t>delivery.warehouse.mainStatus.308</t>
        </is>
      </c>
      <c r="B2107" s="3" t="inlineStr">
        <is>
          <t>Xác nhận rời đơn vị (checkout)</t>
        </is>
      </c>
      <c r="C2107" s="3" t="inlineStr">
        <is>
          <t>Confirm departure from unit</t>
        </is>
      </c>
      <c r="D2107" s="217">
        <f>IFERROR(__xludf.DUMMYFUNCTION("GOOGLETRANSLATE(C2107,""vi"",""km"")"),"បញ្ជាក់ការចាកចេញពីអង្គភាព")</f>
        <v/>
      </c>
      <c r="E2107" s="3" t="n"/>
      <c r="F2107" s="3" t="inlineStr">
        <is>
          <t>បញ្ជាក់ការចាកចេញពីអង្គភាព</t>
        </is>
      </c>
      <c r="G2107" s="3" t="n"/>
      <c r="H2107" s="217" t="inlineStr">
        <is>
          <t>"delivery.warehouse.mainStatus.308": "បញ្ជាក់ការចាកចេញពីអង្គភាព",</t>
        </is>
      </c>
      <c r="I2107" t="inlineStr">
        <is>
          <t>បញ្ជាក់ការចាកចេញពីអង្គភាព</t>
        </is>
      </c>
    </row>
    <row r="2108">
      <c r="A2108" s="3" t="inlineStr">
        <is>
          <t>delivery.warehouse.mainStatus.309</t>
        </is>
      </c>
      <c r="B2108" s="3" t="inlineStr">
        <is>
          <t>Nhận bưu gửi</t>
        </is>
      </c>
      <c r="C2108" s="3" t="inlineStr">
        <is>
          <t>Receive bill</t>
        </is>
      </c>
      <c r="D2108" s="217">
        <f>IFERROR(__xludf.DUMMYFUNCTION("GOOGLETRANSLATE(C2108,""vi"",""km"")"),"វិក្កយបត្របញ្ជាទិញ")</f>
        <v/>
      </c>
      <c r="E2108" s="3" t="n"/>
      <c r="F2108" s="3" t="inlineStr">
        <is>
          <t>ទទួលបុងបញ្ញើ</t>
        </is>
      </c>
      <c r="G2108" s="3" t="n"/>
      <c r="H2108" s="217" t="inlineStr">
        <is>
          <t>"delivery.warehouse.mainStatus.309": "ទទួលបុងបញ្ញើ",</t>
        </is>
      </c>
      <c r="I2108" t="inlineStr">
        <is>
          <t>ទទួលបុងបញ្ញើ</t>
        </is>
      </c>
    </row>
    <row r="2109">
      <c r="A2109" s="3" t="inlineStr">
        <is>
          <t>delivery.warehouse.mainStatus.400</t>
        </is>
      </c>
      <c r="B2109" s="3" t="inlineStr">
        <is>
          <t>Phân công giao - Chưa hoàn thành</t>
        </is>
      </c>
      <c r="C2109" s="3" t="inlineStr">
        <is>
          <t>Assigned to deliver - Not completed</t>
        </is>
      </c>
      <c r="D2109" s="217">
        <f>IFERROR(__xludf.DUMMYFUNCTION("GOOGLETRANSLATE(C2109,""vi"",""km"")"),"បានចាត់តាំងឱ្យដឹកជញ្ជូន - មិនទាន់បានបញ្ចប់")</f>
        <v/>
      </c>
      <c r="E2109" s="3" t="n"/>
      <c r="F2109" s="3" t="inlineStr">
        <is>
          <t>ចាត់តាំងការដឹកជញ្ជូន - មិនទាន់បញ្ចប់</t>
        </is>
      </c>
      <c r="G2109" s="3" t="n"/>
      <c r="H2109" s="217" t="inlineStr">
        <is>
          <t>"delivery.warehouse.mainStatus.400": "ចាត់តាំងការដឹកជញ្ជូន - មិនទាន់បញ្ចប់",</t>
        </is>
      </c>
      <c r="I2109" t="inlineStr">
        <is>
          <t>ចាត់តាំងការដឹកជញ្ជូន - មិនទាន់បញ្ចប់</t>
        </is>
      </c>
    </row>
    <row r="2110">
      <c r="A2110" s="3" t="inlineStr">
        <is>
          <t>delivery.warehouse.mainStatus.401</t>
        </is>
      </c>
      <c r="B2110" s="3" t="inlineStr">
        <is>
          <t>Phân công giao - Đã hoàn thành</t>
        </is>
      </c>
      <c r="C2110" s="3" t="inlineStr">
        <is>
          <t>Assigned to deliver</t>
        </is>
      </c>
      <c r="D2110" s="217">
        <f>IFERROR(__xludf.DUMMYFUNCTION("GOOGLETRANSLATE(C2110,""vi"",""km"")"),"បានចាត់តាំងឱ្យដឹកជញ្ជូន")</f>
        <v/>
      </c>
      <c r="E2110" s="3" t="n"/>
      <c r="F2110" s="3" t="inlineStr">
        <is>
          <t>ចាត់តាំងការដឹកជញ្ជូន - បានបញ្ចប់</t>
        </is>
      </c>
      <c r="G2110" s="3" t="n"/>
      <c r="H2110" s="217" t="inlineStr">
        <is>
          <t>"delivery.warehouse.mainStatus.401": "ចាត់តាំងការដឹកជញ្ជូន - បានបញ្ចប់",</t>
        </is>
      </c>
      <c r="I2110" t="inlineStr">
        <is>
          <t>ចាត់តាំងការដឹកជញ្ជូន - បានបញ្ចប់</t>
        </is>
      </c>
    </row>
    <row r="2111">
      <c r="A2111" s="3" t="inlineStr">
        <is>
          <t>delivery.warehouse.mainStatus.402</t>
        </is>
      </c>
      <c r="B2111" s="3" t="inlineStr">
        <is>
          <t>Xác nhận phân công</t>
        </is>
      </c>
      <c r="C2111" s="3" t="inlineStr">
        <is>
          <t>Assignment confirmation</t>
        </is>
      </c>
      <c r="D2111" s="217">
        <f>IFERROR(__xludf.DUMMYFUNCTION("GOOGLETRANSLATE(C2111,""vi"",""km"")"),"សំណើសុំការចាត់តាំង")</f>
        <v/>
      </c>
      <c r="E2111" s="3" t="n"/>
      <c r="F2111" s="3" t="inlineStr">
        <is>
          <t>បញ្ជាក់ការចាត់តាំងការងារ</t>
        </is>
      </c>
      <c r="G2111" s="3" t="n"/>
      <c r="H2111" s="217" t="inlineStr">
        <is>
          <t>"delivery.warehouse.mainStatus.402": "បញ្ជាក់ការចាត់តាំងការងារ",</t>
        </is>
      </c>
      <c r="I2111" t="inlineStr">
        <is>
          <t>បញ្ជាក់ការចាត់តាំងការងារ</t>
        </is>
      </c>
    </row>
    <row r="2112">
      <c r="A2112" s="3" t="inlineStr">
        <is>
          <t>delivery.warehouse.mainStatus.403</t>
        </is>
      </c>
      <c r="B2112" s="3" t="inlineStr">
        <is>
          <t>Đến địa chỉ giao</t>
        </is>
      </c>
      <c r="C2112" s="3" t="inlineStr">
        <is>
          <t>Arrived at delivery address</t>
        </is>
      </c>
      <c r="D2112" s="217">
        <f>IFERROR(__xludf.DUMMYFUNCTION("GOOGLETRANSLATE(C2112,""vi"",""km"")"),"បានមកដល់អាសយដ្ឋានដឹកជញ្ជូន")</f>
        <v/>
      </c>
      <c r="E2112" s="3" t="n"/>
      <c r="F2112" s="3" t="inlineStr">
        <is>
          <t>បានមកដល់អាសយដ្ឋានដឹកជញ្ជូន</t>
        </is>
      </c>
      <c r="G2112" s="3" t="n"/>
      <c r="H2112" s="217" t="inlineStr">
        <is>
          <t>"delivery.warehouse.mainStatus.403": "បានមកដល់អាសយដ្ឋានដឹកជញ្ជូន",</t>
        </is>
      </c>
      <c r="I2112" t="inlineStr">
        <is>
          <t>បានមកដល់អាសយដ្ឋានដឹកជញ្ជូន</t>
        </is>
      </c>
    </row>
    <row r="2113">
      <c r="A2113" s="3" t="inlineStr">
        <is>
          <t>delivery.warehouse.mainStatus.410</t>
        </is>
      </c>
      <c r="B2113" s="3" t="inlineStr">
        <is>
          <t>Giao thành công</t>
        </is>
      </c>
      <c r="C2113" s="3" t="inlineStr">
        <is>
          <t>Shipped</t>
        </is>
      </c>
      <c r="D2113" s="217">
        <f>IFERROR(__xludf.DUMMYFUNCTION("GOOGLETRANSLATE(C2113,""vi"",""km"")"),"បានដឹកជញ្ជូន")</f>
        <v/>
      </c>
      <c r="E2113" s="3" t="n"/>
      <c r="F2113" s="3" t="inlineStr">
        <is>
          <t>ដឹកជញ្ជូនជោគជ័យ</t>
        </is>
      </c>
      <c r="G2113" s="3" t="n"/>
      <c r="H2113" s="217" t="inlineStr">
        <is>
          <t>"delivery.warehouse.mainStatus.410": "ដឹកជញ្ជូនជោគជ័យ",</t>
        </is>
      </c>
      <c r="I2113" t="inlineStr">
        <is>
          <t>ដឹកជញ្ជូនជោគជ័យ</t>
        </is>
      </c>
    </row>
    <row r="2114">
      <c r="A2114" s="3" t="inlineStr">
        <is>
          <t>delivery.warehouse.mainStatus.420</t>
        </is>
      </c>
      <c r="B2114" s="3" t="inlineStr">
        <is>
          <t>Hẹn giao lại</t>
        </is>
      </c>
      <c r="C2114" s="3" t="inlineStr">
        <is>
          <t>Ship again</t>
        </is>
      </c>
      <c r="D2114" s="217">
        <f>IFERROR(__xludf.DUMMYFUNCTION("GOOGLETRANSLATE(C2114,""vi"",""km"")"),"កប៉ាល់ភ្លាមៗ")</f>
        <v/>
      </c>
      <c r="E2114" s="3" t="n"/>
      <c r="F2114" s="3" t="inlineStr">
        <is>
          <t>ណាត់ពេលដឹកជញ្ជូនម្តងទៀត</t>
        </is>
      </c>
      <c r="G2114" s="3" t="n"/>
      <c r="H2114" s="217" t="inlineStr">
        <is>
          <t>"delivery.warehouse.mainStatus.420": "ណាត់ពេលដឹកជញ្ជូនម្តងទៀត",</t>
        </is>
      </c>
      <c r="I2114" t="inlineStr">
        <is>
          <t>ណាត់ពេលដឹកជញ្ជូនម្តងទៀត</t>
        </is>
      </c>
    </row>
    <row r="2115">
      <c r="A2115" s="3" t="inlineStr">
        <is>
          <t>delivery.warehouse.mainStatus.430</t>
        </is>
      </c>
      <c r="B2115" s="3" t="inlineStr">
        <is>
          <t>Không giao được hàng</t>
        </is>
      </c>
      <c r="C2115" s="3" t="inlineStr">
        <is>
          <t>Ship failed</t>
        </is>
      </c>
      <c r="D2115" s="217">
        <f>IFERROR(__xludf.DUMMYFUNCTION("GOOGLETRANSLATE(C2115,""vi"",""km"")"),"ដឹកជញ្ជូនឱ្យបានត្រឹមត្រូវ")</f>
        <v/>
      </c>
      <c r="E2115" s="3" t="n"/>
      <c r="F2115" s="3" t="inlineStr">
        <is>
          <t>ដឹកជញ្ជូនមិនបានសម្រេច</t>
        </is>
      </c>
      <c r="G2115" s="3" t="n"/>
      <c r="H2115" s="217" t="inlineStr">
        <is>
          <t>"delivery.warehouse.mainStatus.430": "ដឹកជញ្ជូនមិនបានសម្រេច",</t>
        </is>
      </c>
      <c r="I2115" t="inlineStr">
        <is>
          <t>ដឹកជញ្ជូនមិនបានសម្រេច</t>
        </is>
      </c>
    </row>
    <row r="2116">
      <c r="A2116" s="3" t="inlineStr">
        <is>
          <t>delivery.warehouse.mainStatus.440</t>
        </is>
      </c>
      <c r="B2116" s="3" t="inlineStr">
        <is>
          <t>Yêu cầu giao 1 phần</t>
        </is>
      </c>
      <c r="C2116" s="3" t="inlineStr">
        <is>
          <t>Partial ship request</t>
        </is>
      </c>
      <c r="D2116" s="217">
        <f>IFERROR(__xludf.DUMMYFUNCTION("GOOGLETRANSLATE(C2116,""vi"",""km"")"),"សំណើសុំកប៉ាល់ដោយផ្នែក")</f>
        <v/>
      </c>
      <c r="E2116" s="3" t="n"/>
      <c r="F2116" s="3" t="inlineStr">
        <is>
          <t>ស្នើសុំដឹកជញ្ជូនមួយផ្នែក</t>
        </is>
      </c>
      <c r="G2116" s="3" t="n"/>
      <c r="H2116" s="217" t="inlineStr">
        <is>
          <t>"delivery.warehouse.mainStatus.440": "ស្នើសុំដឹកជញ្ជូនមួយផ្នែក",</t>
        </is>
      </c>
      <c r="I2116" t="inlineStr">
        <is>
          <t>ស្នើសុំដឹកជញ្ជូនមួយផ្នែក</t>
        </is>
      </c>
    </row>
    <row r="2117">
      <c r="A2117" s="3" t="inlineStr">
        <is>
          <t>delivery.warehouse.mainStatus.441</t>
        </is>
      </c>
      <c r="B2117" s="3" t="inlineStr">
        <is>
          <t>Giao thành công 1 phần</t>
        </is>
      </c>
      <c r="C2117" s="3" t="inlineStr">
        <is>
          <t>Partially shipped</t>
        </is>
      </c>
      <c r="D2117" s="217">
        <f>IFERROR(__xludf.DUMMYFUNCTION("GOOGLETRANSLATE(C2117,""vi"",""km"")"),"បានដឹកជញ្ជូនដោយផ្នែក")</f>
        <v/>
      </c>
      <c r="E2117" s="3" t="n"/>
      <c r="F2117" s="3" t="inlineStr">
        <is>
          <t>ដឹកជញ្ជូនជោគជ័យមួយផ្នែក</t>
        </is>
      </c>
      <c r="G2117" s="3" t="n"/>
      <c r="H2117" s="217" t="inlineStr">
        <is>
          <t>"delivery.warehouse.mainStatus.441": "ដឹកជញ្ជូនជោគជ័យមួយផ្នែក",</t>
        </is>
      </c>
      <c r="I2117" t="inlineStr">
        <is>
          <t>ដឹកជញ្ជូនជោគជ័យមួយផ្នែក</t>
        </is>
      </c>
    </row>
    <row r="2118">
      <c r="A2118" s="3" t="inlineStr">
        <is>
          <t>delivery.warehouse.mainStatus.450</t>
        </is>
      </c>
      <c r="B2118" s="3" t="inlineStr">
        <is>
          <t>Yêu cầu chuyển địa chỉ</t>
        </is>
      </c>
      <c r="C2118" s="3" t="inlineStr">
        <is>
          <t>Forward request</t>
        </is>
      </c>
      <c r="D2118" s="217">
        <f>IFERROR(__xludf.DUMMYFUNCTION("GOOGLETRANSLATE(C2118,""vi"",""km"")"),"សំណើរខាងមុខ")</f>
        <v/>
      </c>
      <c r="E2118" s="3" t="n"/>
      <c r="F2118" s="3" t="inlineStr">
        <is>
          <t>ស្នើសុំប្តូរអាសយដ្ឋានដឹកជញ្ជូន</t>
        </is>
      </c>
      <c r="G2118" s="3" t="n"/>
      <c r="H2118" s="217" t="inlineStr">
        <is>
          <t>"delivery.warehouse.mainStatus.450": "ស្នើសុំប្តូរអាសយដ្ឋានដឹកជញ្ជូន",</t>
        </is>
      </c>
      <c r="I2118" t="inlineStr">
        <is>
          <t>ស្នើសុំប្តូរអាសយដ្ឋានដឹកជញ្ជូន</t>
        </is>
      </c>
    </row>
    <row r="2119">
      <c r="A2119" s="3" t="inlineStr">
        <is>
          <t>delivery.warehouse.mainStatus.460</t>
        </is>
      </c>
      <c r="B2119" s="3" t="inlineStr">
        <is>
          <t>Thông báo chuyển hoàn</t>
        </is>
      </c>
      <c r="C2119" s="3" t="inlineStr">
        <is>
          <t>Return request</t>
        </is>
      </c>
      <c r="D2119" s="217">
        <f>IFERROR(__xludf.DUMMYFUNCTION("GOOGLETRANSLATE(C2119,""vi"",""km"")"),"សំណើសុំប្រគល់មកវិញ")</f>
        <v/>
      </c>
      <c r="E2119" s="3" t="n"/>
      <c r="F2119" s="3" t="inlineStr">
        <is>
          <t>ជូនដំណឹងអំពីការប្រគល់ត្រឡប់</t>
        </is>
      </c>
      <c r="G2119" s="3" t="n"/>
      <c r="H2119" s="217" t="inlineStr">
        <is>
          <t>"delivery.warehouse.mainStatus.460": "ជូនដំណឹងអំពីការប្រគល់ត្រឡប់",</t>
        </is>
      </c>
      <c r="I2119" t="inlineStr">
        <is>
          <t>ជូនដំណឹងអំពីការប្រគល់ត្រឡប់</t>
        </is>
      </c>
    </row>
    <row r="2120">
      <c r="A2120" s="3" t="inlineStr">
        <is>
          <t>delivery.warehouse.mainStatus.470</t>
        </is>
      </c>
      <c r="B2120" s="3" t="inlineStr">
        <is>
          <t>Đã duyệt hoàn</t>
        </is>
      </c>
      <c r="C2120" s="3" t="inlineStr">
        <is>
          <t>Return confirmed</t>
        </is>
      </c>
      <c r="D2120" s="217">
        <f>IFERROR(__xludf.DUMMYFUNCTION("GOOGLETRANSLATE(C2120,""vi"",""km"")"),"ការប្រគល់មកវិញត្រូវបានបញ្ជាក់")</f>
        <v/>
      </c>
      <c r="E2120" s="3" t="n"/>
      <c r="F2120" s="3" t="inlineStr">
        <is>
          <t>បានអនុម័តការប្រគល់ត្រឡប់</t>
        </is>
      </c>
      <c r="G2120" s="3" t="n"/>
      <c r="H2120" s="217" t="inlineStr">
        <is>
          <t>"delivery.warehouse.mainStatus.470": "បានអនុម័តការប្រគល់ត្រឡប់",</t>
        </is>
      </c>
      <c r="I2120" t="inlineStr">
        <is>
          <t>បានអនុម័តការប្រគល់ត្រឡប់</t>
        </is>
      </c>
    </row>
    <row r="2121">
      <c r="A2121" s="3" t="inlineStr">
        <is>
          <t>delivery.warehouse.mainStatus.471</t>
        </is>
      </c>
      <c r="B2121" s="3" t="inlineStr">
        <is>
          <t>Từ chối hoàn</t>
        </is>
      </c>
      <c r="C2121" s="3" t="inlineStr">
        <is>
          <t>Reject return request</t>
        </is>
      </c>
      <c r="D2121" s="217">
        <f>IFERROR(__xludf.DUMMYFUNCTION("GOOGLETRANSLATE(C2121,""vi"",""km"")"),"បដិសេធសំណើសុំប្រគល់មកវិញ")</f>
        <v/>
      </c>
      <c r="E2121" s="3" t="n"/>
      <c r="F2121" s="3" t="inlineStr">
        <is>
          <t>បដិសេធការប្រគល់ត្រឡប់</t>
        </is>
      </c>
      <c r="G2121" s="3" t="n"/>
      <c r="H2121" s="217" t="inlineStr">
        <is>
          <t>"delivery.warehouse.mainStatus.471": "បដិសេធការប្រគល់ត្រឡប់",</t>
        </is>
      </c>
      <c r="I2121" t="inlineStr">
        <is>
          <t>បដិសេធការប្រគល់ត្រឡប់</t>
        </is>
      </c>
    </row>
    <row r="2122">
      <c r="A2122" s="3" t="inlineStr">
        <is>
          <t>delivery.warehouse.mainStatus.472</t>
        </is>
      </c>
      <c r="B2122" s="3" t="inlineStr">
        <is>
          <t>Lưu kho</t>
        </is>
      </c>
      <c r="C2122" s="3" t="inlineStr">
        <is>
          <t>Store in warehouse</t>
        </is>
      </c>
      <c r="D2122" s="217">
        <f>IFERROR(__xludf.DUMMYFUNCTION("GOOGLETRANSLATE(C2122,""vi"",""km"")"),"ទិញទំនិញនៅក្នុងពន្ធនាគារ")</f>
        <v/>
      </c>
      <c r="E2122" s="3" t="n"/>
      <c r="F2122" s="3" t="inlineStr">
        <is>
          <t>រក្សាទុកក្នុងឃ្លាំង</t>
        </is>
      </c>
      <c r="G2122" s="3" t="n"/>
      <c r="H2122" s="217" t="inlineStr">
        <is>
          <t>"delivery.warehouse.mainStatus.472": "រក្សាទុកក្នុងឃ្លាំង",</t>
        </is>
      </c>
      <c r="I2122" t="inlineStr">
        <is>
          <t>រក្សាទុកក្នុងឃ្លាំង</t>
        </is>
      </c>
    </row>
    <row r="2123">
      <c r="A2123" s="3" t="inlineStr">
        <is>
          <t>delivery.warehouse.mainStatus.473</t>
        </is>
      </c>
      <c r="B2123" s="3" t="inlineStr">
        <is>
          <t>Phát tiếp</t>
        </is>
      </c>
      <c r="C2123" s="3" t="inlineStr">
        <is>
          <t>ReDelivery</t>
        </is>
      </c>
      <c r="D2123" s="217">
        <f>IFERROR(__xludf.DUMMYFUNCTION("GOOGLETRANSLATE(C2123,""vi"",""km"")"),"ការដឹកជញ្ជូនឡើងវិញ")</f>
        <v/>
      </c>
      <c r="E2123" s="3" t="n"/>
      <c r="F2123" s="3" t="inlineStr">
        <is>
          <t>ដឹកជញ្ជូនបន្ត</t>
        </is>
      </c>
      <c r="G2123" s="3" t="n"/>
      <c r="H2123" s="217" t="inlineStr">
        <is>
          <t>"delivery.warehouse.mainStatus.473": "ដឹកជញ្ជូនបន្ត",</t>
        </is>
      </c>
      <c r="I2123" t="inlineStr">
        <is>
          <t>ដឹកជញ្ជូនបន្ត</t>
        </is>
      </c>
    </row>
    <row r="2124">
      <c r="A2124" s="3" t="inlineStr">
        <is>
          <t>delivery.warehouse.mainStatus.480</t>
        </is>
      </c>
      <c r="B2124" s="3" t="inlineStr">
        <is>
          <t>Chuyển giao địa chỉ mới</t>
        </is>
      </c>
      <c r="C2124" s="3" t="inlineStr">
        <is>
          <t>Change address</t>
        </is>
      </c>
      <c r="D2124" s="217">
        <f>IFERROR(__xludf.DUMMYFUNCTION("GOOGLETRANSLATE(C2124,""vi"",""km"")"),"ផ្លាស់ប្តូរអាសយដ្ឋាន")</f>
        <v/>
      </c>
      <c r="E2124" s="3" t="n"/>
      <c r="F2124" s="3" t="inlineStr">
        <is>
          <t>ដឹកជញ្ជូនទៅកាន់អាសយដ្ឋានថ្មី</t>
        </is>
      </c>
      <c r="G2124" s="3" t="n"/>
      <c r="H2124" s="217" t="inlineStr">
        <is>
          <t>"delivery.warehouse.mainStatus.480": "ដឹកជញ្ជូនទៅកាន់អាសយដ្ឋានថ្មី",</t>
        </is>
      </c>
      <c r="I2124" t="inlineStr">
        <is>
          <t>ដឹកជញ្ជូនទៅកាន់អាសយដ្ឋានថ្មី</t>
        </is>
      </c>
    </row>
    <row r="2125">
      <c r="A2125" s="3" t="inlineStr">
        <is>
          <t>delivery.warehouse.mainStatus.500</t>
        </is>
      </c>
      <c r="B2125" s="3" t="inlineStr">
        <is>
          <t>Chuyển hoàn</t>
        </is>
      </c>
      <c r="C2125" s="3" t="inlineStr">
        <is>
          <t>Return request</t>
        </is>
      </c>
      <c r="D2125" s="217">
        <f>IFERROR(__xludf.DUMMYFUNCTION("GOOGLETRANSLATE(C2125,""vi"",""km"")"),"សំណើសុំប្រគល់មកវិញ")</f>
        <v/>
      </c>
      <c r="E2125" s="3" t="n"/>
      <c r="F2125" s="3" t="inlineStr">
        <is>
          <t>សំណើសុំប្រគល់មកវិញ</t>
        </is>
      </c>
      <c r="G2125" s="3" t="n"/>
      <c r="H2125" s="217" t="inlineStr">
        <is>
          <t>"delivery.warehouse.mainStatus.500": "សំណើសុំប្រគល់មកវិញ",</t>
        </is>
      </c>
      <c r="I2125" t="inlineStr">
        <is>
          <t>សំណើសុំប្រគល់មកវិញ</t>
        </is>
      </c>
    </row>
    <row r="2126">
      <c r="A2126" s="3" t="inlineStr">
        <is>
          <t>delivery.warehouse.mainStatus.510</t>
        </is>
      </c>
      <c r="B2126" s="3" t="inlineStr">
        <is>
          <t>Phân công giao hoàn - Chưa hoàn thành</t>
        </is>
      </c>
      <c r="C2126" s="3" t="inlineStr">
        <is>
          <t>Return assignment - Not completed</t>
        </is>
      </c>
      <c r="D2126" s="217">
        <f>IFERROR(__xludf.DUMMYFUNCTION("GOOGLETRANSLATE(C2126,""vi"",""km"")"),"កិច្ចការប្រគល់ជូនវិញ - មិនទាន់បានបញ្ចប់")</f>
        <v/>
      </c>
      <c r="E2126" s="3" t="n"/>
      <c r="F2126" s="3" t="inlineStr">
        <is>
          <t>កិច្ចការប្រគល់ជូនវិញ - មិនទាន់បានបញ្ចប់</t>
        </is>
      </c>
      <c r="G2126" s="3" t="n"/>
      <c r="H2126" s="217" t="inlineStr">
        <is>
          <t>"delivery.warehouse.mainStatus.510": "កិច្ចការប្រគល់ជូនវិញ - មិនទាន់បានបញ្ចប់",</t>
        </is>
      </c>
      <c r="I2126" t="inlineStr">
        <is>
          <t>កិច្ចការប្រគល់ជូនវិញ - មិនទាន់បានបញ្ចប់</t>
        </is>
      </c>
    </row>
    <row r="2127">
      <c r="A2127" s="3" t="inlineStr">
        <is>
          <t>delivery.warehouse.mainStatus.511</t>
        </is>
      </c>
      <c r="B2127" s="3" t="inlineStr">
        <is>
          <t>Phân công giao hoàn - Đã hoàn thành</t>
        </is>
      </c>
      <c r="C2127" s="3" t="inlineStr">
        <is>
          <t>Return assignment - Completed</t>
        </is>
      </c>
      <c r="D2127" s="217">
        <f>IFERROR(__xludf.DUMMYFUNCTION("GOOGLETRANSLATE(C2127,""vi"",""km"")"),"កិច្ចការប្រគល់ជូនវិញ - បានបញ្ចប់")</f>
        <v/>
      </c>
      <c r="E2127" s="3" t="n"/>
      <c r="F2127" s="3" t="inlineStr">
        <is>
          <t>កិច្ចការប្រគល់ជូនវិញ - បានបញ្ចប់</t>
        </is>
      </c>
      <c r="G2127" s="3" t="n"/>
      <c r="H2127" s="217" t="inlineStr">
        <is>
          <t>"delivery.warehouse.mainStatus.511": "កិច្ចការប្រគល់ជូនវិញ - បានបញ្ចប់",</t>
        </is>
      </c>
      <c r="I2127" t="inlineStr">
        <is>
          <t>កិច្ចការប្រគល់ជូនវិញ - បានបញ្ចប់</t>
        </is>
      </c>
    </row>
    <row r="2128">
      <c r="A2128" s="3" t="inlineStr">
        <is>
          <t>delivery.warehouse.mainStatus.512</t>
        </is>
      </c>
      <c r="B2128" s="3" t="inlineStr">
        <is>
          <t>Xác nhận phân công hoàn</t>
        </is>
      </c>
      <c r="C2128" s="3" t="inlineStr">
        <is>
          <t>Return assignment confirmation</t>
        </is>
      </c>
      <c r="D2128" s="217">
        <f>IFERROR(__xludf.DUMMYFUNCTION("GOOGLETRANSLATE(C2128,""vi"",""km"")"),"ការបញ្ជាក់ការប្រគល់ភារកិច្ចត្រឡប់មកវិញ")</f>
        <v/>
      </c>
      <c r="E2128" s="3" t="n"/>
      <c r="F2128" s="3" t="inlineStr">
        <is>
          <t>បញ្ជាក់ការចាត់តាំងប្រគល់ត្រឡប់</t>
        </is>
      </c>
      <c r="G2128" s="3" t="n"/>
      <c r="H2128" s="217" t="inlineStr">
        <is>
          <t>"delivery.warehouse.mainStatus.512": "បញ្ជាក់ការចាត់តាំងប្រគល់ត្រឡប់",</t>
        </is>
      </c>
      <c r="I2128" t="inlineStr">
        <is>
          <t>បញ្ជាក់ការចាត់តាំងប្រគល់ត្រឡប់</t>
        </is>
      </c>
    </row>
    <row r="2129">
      <c r="A2129" s="3" t="inlineStr">
        <is>
          <t>delivery.warehouse.mainStatus.513</t>
        </is>
      </c>
      <c r="B2129" s="3" t="inlineStr">
        <is>
          <t>Đến địa chỉ giao hoàn</t>
        </is>
      </c>
      <c r="C2129" s="3" t="inlineStr">
        <is>
          <t>Arrived at return address</t>
        </is>
      </c>
      <c r="D2129" s="217">
        <f>IFERROR(__xludf.DUMMYFUNCTION("GOOGLETRANSLATE(C2129,""vi"",""km"")"),"បានមកដល់អាសយដ្ឋានត្រឡប់មកវិញ")</f>
        <v/>
      </c>
      <c r="E2129" s="3" t="n"/>
      <c r="F2129" s="3" t="inlineStr">
        <is>
          <t>បានមកដល់អាសយដ្ឋានត្រឡប់មកវិញ</t>
        </is>
      </c>
      <c r="G2129" s="3" t="n"/>
      <c r="H2129" s="217" t="inlineStr">
        <is>
          <t>"delivery.warehouse.mainStatus.513": "បានមកដល់អាសយដ្ឋានត្រឡប់មកវិញ",</t>
        </is>
      </c>
      <c r="I2129" t="inlineStr">
        <is>
          <t>បានមកដល់អាសយដ្ឋានត្រឡប់មកវិញ</t>
        </is>
      </c>
    </row>
    <row r="2130">
      <c r="A2130" s="3" t="inlineStr">
        <is>
          <t>delivery.warehouse.mainStatus.520</t>
        </is>
      </c>
      <c r="B2130" s="3" t="inlineStr">
        <is>
          <t>Đã trả hàng</t>
        </is>
      </c>
      <c r="C2130" s="3" t="inlineStr">
        <is>
          <t>Return successful</t>
        </is>
      </c>
      <c r="D2130" s="217">
        <f>IFERROR(__xludf.DUMMYFUNCTION("GOOGLETRANSLATE(C2130,""vi"",""km"")"),"រចនាប័ទ្មដោយស្វ័យប្រវត្តិ")</f>
        <v/>
      </c>
      <c r="E2130" s="3" t="n"/>
      <c r="F2130" s="3" t="inlineStr">
        <is>
          <t>បានប្រគល់ត្រឡប់</t>
        </is>
      </c>
      <c r="G2130" s="3" t="n"/>
      <c r="H2130" s="217" t="inlineStr">
        <is>
          <t>"delivery.warehouse.mainStatus.520": "បានប្រគល់ត្រឡប់",</t>
        </is>
      </c>
      <c r="I2130" t="inlineStr">
        <is>
          <t>បានប្រគល់ត្រឡប់</t>
        </is>
      </c>
    </row>
    <row r="2131">
      <c r="A2131" s="3" t="inlineStr">
        <is>
          <t>delivery.warehouse.mainStatus.530</t>
        </is>
      </c>
      <c r="B2131" s="3" t="inlineStr">
        <is>
          <t>Hẹn trả hàng</t>
        </is>
      </c>
      <c r="C2131" s="3" t="inlineStr">
        <is>
          <t>Return again</t>
        </is>
      </c>
      <c r="D2131" s="217">
        <f>IFERROR(__xludf.DUMMYFUNCTION("GOOGLETRANSLATE(C2131,""vi"",""km"")"),"ចែករំលែកត្រឡប់មកវិញ")</f>
        <v/>
      </c>
      <c r="E2131" s="3" t="n"/>
      <c r="F2131" s="3" t="inlineStr">
        <is>
          <t>ណាត់ពេលប្រគល់ត្រឡប់ម្តងទៀត</t>
        </is>
      </c>
      <c r="G2131" s="3" t="n"/>
      <c r="H2131" s="217" t="inlineStr">
        <is>
          <t>"delivery.warehouse.mainStatus.530": "ណាត់ពេលប្រគល់ត្រឡប់ម្តងទៀត",</t>
        </is>
      </c>
      <c r="I2131" t="inlineStr">
        <is>
          <t>ណាត់ពេលប្រគល់ត្រឡប់ម្តងទៀត</t>
        </is>
      </c>
    </row>
    <row r="2132">
      <c r="A2132" s="3" t="inlineStr">
        <is>
          <t>delivery.warehouse.mainStatus.540</t>
        </is>
      </c>
      <c r="B2132" s="3" t="inlineStr">
        <is>
          <t>Không trả được hàng</t>
        </is>
      </c>
      <c r="C2132" s="3" t="inlineStr">
        <is>
          <t>Return failed</t>
        </is>
      </c>
      <c r="D2132" s="217">
        <f>IFERROR(__xludf.DUMMYFUNCTION("GOOGLETRANSLATE(C2132,""vi"",""km"")"),"ត្រឡប់មកវិញទាំងស្រុង")</f>
        <v/>
      </c>
      <c r="E2132" s="3" t="n"/>
      <c r="F2132" s="3" t="inlineStr">
        <is>
          <t>ប្រគល់ត្រឡប់មិនបានសម្រេច</t>
        </is>
      </c>
      <c r="G2132" s="3" t="n"/>
      <c r="H2132" s="217" t="inlineStr">
        <is>
          <t>"delivery.warehouse.mainStatus.540": "ប្រគល់ត្រឡប់មិនបានសម្រេច",</t>
        </is>
      </c>
      <c r="I2132" t="inlineStr">
        <is>
          <t>ប្រគល់ត្រឡប់មិនបានសម្រេច</t>
        </is>
      </c>
    </row>
    <row r="2133">
      <c r="A2133" s="3" t="inlineStr">
        <is>
          <t>delivery.warehouse.mainStatus.550</t>
        </is>
      </c>
      <c r="B2133" s="3" t="inlineStr">
        <is>
          <t>Hủy bưu gửi theo yêu cầu khách hàng</t>
        </is>
      </c>
      <c r="C2133" s="3" t="inlineStr">
        <is>
          <t>Cancel shipment per customer request</t>
        </is>
      </c>
      <c r="D2133" s="217">
        <f>IFERROR(__xludf.DUMMYFUNCTION("GOOGLETRANSLATE(C2133,""vi"",""km"")"),"លុបចោលការដឹកជញ្ជូនតាមសំណើរបស់អតិថិជន")</f>
        <v/>
      </c>
      <c r="E2133" s="3" t="n"/>
      <c r="F2133" s="3" t="inlineStr">
        <is>
          <t>លុបចោលការដឹកជញ្ជូនតាមសំណើរបស់អតិថិជន</t>
        </is>
      </c>
      <c r="G2133" s="3" t="n"/>
      <c r="H2133" s="217" t="inlineStr">
        <is>
          <t>"delivery.warehouse.mainStatus.550": "លុបចោលការដឹកជញ្ជូនតាមសំណើរបស់អតិថិជន",</t>
        </is>
      </c>
      <c r="I2133" t="inlineStr">
        <is>
          <t>លុបចោលការដឹកជញ្ជូនតាមសំណើរបស់អតិថិជន</t>
        </is>
      </c>
    </row>
    <row r="2134">
      <c r="A2134" s="3" t="inlineStr">
        <is>
          <t>delivery.warehouse.mainStatus.551</t>
        </is>
      </c>
      <c r="B2134" s="3" t="inlineStr">
        <is>
          <t>Hủy bưu gửi vô thừa nhận</t>
        </is>
      </c>
      <c r="C2134" s="3" t="inlineStr">
        <is>
          <t>Cancel unclaimed shipment</t>
        </is>
      </c>
      <c r="D2134" s="217">
        <f>IFERROR(__xludf.DUMMYFUNCTION("GOOGLETRANSLATE(C2134,""vi"",""km"")"),"លុបចោលការដឹកជញ្ជូនដែលមិនបានទាមទារ")</f>
        <v/>
      </c>
      <c r="E2134" s="3" t="n"/>
      <c r="F2134" s="3" t="inlineStr">
        <is>
          <t>លុបចោលការដឹកជញ្ជូនដែលមិនបានទាមទារ</t>
        </is>
      </c>
      <c r="G2134" s="3" t="n"/>
      <c r="H2134" s="217" t="inlineStr">
        <is>
          <t>"delivery.warehouse.mainStatus.551": "លុបចោលការដឹកជញ្ជូនដែលមិនបានទាមទារ",</t>
        </is>
      </c>
      <c r="I2134" t="inlineStr">
        <is>
          <t>លុបចោលការដឹកជញ្ជូនដែលមិនបានទាមទារ</t>
        </is>
      </c>
    </row>
    <row r="2135">
      <c r="A2135" s="3" t="inlineStr">
        <is>
          <t>delivery.warehouse.modalEmpty.close</t>
        </is>
      </c>
      <c r="B2135" s="3" t="inlineStr">
        <is>
          <t>Đóng</t>
        </is>
      </c>
      <c r="C2135" s="3" t="inlineStr">
        <is>
          <t>Close</t>
        </is>
      </c>
      <c r="D2135" s="217">
        <f>IFERROR(__xludf.DUMMYFUNCTION("GOOGLETRANSLATE(C2135,""vi"",""km"")"),"បិទ")</f>
        <v/>
      </c>
      <c r="E2135" s="3" t="n"/>
      <c r="F2135" s="3" t="inlineStr">
        <is>
          <t>បិទ</t>
        </is>
      </c>
      <c r="G2135" s="3" t="n"/>
      <c r="H2135" s="217" t="inlineStr">
        <is>
          <t>"delivery.warehouse.modalEmpty.close": "បិទ",</t>
        </is>
      </c>
      <c r="I2135" t="inlineStr">
        <is>
          <t>បិទ</t>
        </is>
      </c>
    </row>
    <row r="2136">
      <c r="A2136" s="3" t="inlineStr">
        <is>
          <t>delivery.warehouse.modalEmpty.descriptionEmpty</t>
        </is>
      </c>
      <c r="B2136" s="3" t="inlineStr">
        <is>
          <t>Mã phiếu gửi không tồn tại. Đồng chí vui lòng thử lại.</t>
        </is>
      </c>
      <c r="C2136" s="3" t="inlineStr">
        <is>
          <t>Waybill code does not exist! Please try again.</t>
        </is>
      </c>
      <c r="D2136" s="217">
        <f>IFERROR(__xludf.DUMMYFUNCTION("GOOGLETRANSLATE(C2136,""vi"",""km"")"),"លេខកូដ Waybill មិនមានទេ! សូមព្យាយាមម្តងទៀត។")</f>
        <v/>
      </c>
      <c r="E2136" s="3" t="n"/>
      <c r="F2136" s="3" t="inlineStr">
        <is>
          <t>លេខកូដ Waybill មិនមានទេ! សូមព្យាយាមម្តងទៀត។</t>
        </is>
      </c>
      <c r="G2136" s="3" t="n"/>
      <c r="H2136" s="217" t="inlineStr">
        <is>
          <t>"delivery.warehouse.modalEmpty.descriptionEmpty": "លេខកូដ Waybill មិនមានទេ! សូមព្យាយាមម្តងទៀត។",</t>
        </is>
      </c>
      <c r="I2136" t="inlineStr">
        <is>
          <t>លេខកូដ Waybill មិនមានទេ! សូមព្យាយាមម្តងទៀត។</t>
        </is>
      </c>
    </row>
    <row r="2137">
      <c r="A2137" s="3" t="inlineStr">
        <is>
          <t>delivery.warehouse.modalEmpty.notification</t>
        </is>
      </c>
      <c r="B2137" s="3" t="inlineStr">
        <is>
          <t>Thông báo</t>
        </is>
      </c>
      <c r="C2137" s="3" t="inlineStr">
        <is>
          <t>Notification</t>
        </is>
      </c>
      <c r="D2137" s="217">
        <f>IFERROR(__xludf.DUMMYFUNCTION("GOOGLETRANSLATE(C2137,""vi"",""km"")"),"ការជូនដំណឹង")</f>
        <v/>
      </c>
      <c r="E2137" s="3" t="n"/>
      <c r="F2137" s="3" t="inlineStr">
        <is>
          <t>ការជូនដំណឹង</t>
        </is>
      </c>
      <c r="G2137" s="3" t="n"/>
      <c r="H2137" s="217" t="inlineStr">
        <is>
          <t>"delivery.warehouse.modalEmpty.notification": "ការជូនដំណឹង",</t>
        </is>
      </c>
      <c r="I2137" t="inlineStr">
        <is>
          <t>ការជូនដំណឹង</t>
        </is>
      </c>
    </row>
    <row r="2138">
      <c r="A2138" s="3" t="inlineStr">
        <is>
          <t>delivery.warehouse.modalEmpty.titleEmpty</t>
        </is>
      </c>
      <c r="B2138" s="3" t="inlineStr">
        <is>
          <t>Mã phiếu gửi không tồn tại!</t>
        </is>
      </c>
      <c r="C2138" s="3" t="inlineStr">
        <is>
          <t>Waybill code does not exist!!</t>
        </is>
      </c>
      <c r="D2138" s="217">
        <f>IFERROR(__xludf.DUMMYFUNCTION("GOOGLETRANSLATE(C2138,""vi"",""km"")"),"លេខកូដ Waybill មិនមានទេ!!")</f>
        <v/>
      </c>
      <c r="E2138" s="3" t="n"/>
      <c r="F2138" s="3" t="inlineStr">
        <is>
          <t>លេខកូដ Waybill មិនមានទេ!!</t>
        </is>
      </c>
      <c r="G2138" s="3" t="n"/>
      <c r="H2138" s="217" t="inlineStr">
        <is>
          <t>"delivery.warehouse.modalEmpty.titleEmpty": "លេខកូដ Waybill មិនមានទេ!!",</t>
        </is>
      </c>
      <c r="I2138" t="inlineStr">
        <is>
          <t>លេខកូដ Waybill មិនមានទេ!!</t>
        </is>
      </c>
    </row>
    <row r="2139">
      <c r="A2139" s="3" t="inlineStr">
        <is>
          <t>delivery.warehouse.modalPrint.A5</t>
        </is>
      </c>
      <c r="B2139" s="3" t="inlineStr">
        <is>
          <t>A5</t>
        </is>
      </c>
      <c r="C2139" s="3" t="inlineStr">
        <is>
          <t>A5</t>
        </is>
      </c>
      <c r="D2139" s="217">
        <f>IFERROR(__xludf.DUMMYFUNCTION("GOOGLETRANSLATE(C2139,""vi"",""km"")"),"ក៥")</f>
        <v/>
      </c>
      <c r="E2139" s="3" t="n"/>
      <c r="F2139" s="3" t="inlineStr">
        <is>
          <t>ក៥</t>
        </is>
      </c>
      <c r="G2139" s="3" t="n"/>
      <c r="H2139" s="217" t="inlineStr">
        <is>
          <t>"delivery.warehouse.modalPrint.A5": "ក៥",</t>
        </is>
      </c>
      <c r="I2139" t="inlineStr">
        <is>
          <t>ក៥</t>
        </is>
      </c>
    </row>
    <row r="2140">
      <c r="A2140" s="3" t="inlineStr">
        <is>
          <t>delivery.warehouse.modalPrint.A6</t>
        </is>
      </c>
      <c r="B2140" s="3" t="inlineStr">
        <is>
          <t>A6</t>
        </is>
      </c>
      <c r="C2140" s="3" t="inlineStr">
        <is>
          <t>A6</t>
        </is>
      </c>
      <c r="D2140" s="217">
        <f>IFERROR(__xludf.DUMMYFUNCTION("GOOGLETRANSLATE(C2140,""vi"",""km"")"),"A6")</f>
        <v/>
      </c>
      <c r="E2140" s="3" t="n"/>
      <c r="F2140" s="3" t="inlineStr">
        <is>
          <t>A6</t>
        </is>
      </c>
      <c r="G2140" s="3" t="n"/>
      <c r="H2140" s="217" t="inlineStr">
        <is>
          <t>"delivery.warehouse.modalPrint.A6": "A6",</t>
        </is>
      </c>
      <c r="I2140" t="inlineStr">
        <is>
          <t>A6</t>
        </is>
      </c>
    </row>
    <row r="2141">
      <c r="A2141" s="3" t="inlineStr">
        <is>
          <t>delivery.warehouse.modalPrint.A7</t>
        </is>
      </c>
      <c r="B2141" s="3" t="inlineStr">
        <is>
          <t>A7</t>
        </is>
      </c>
      <c r="C2141" s="3" t="inlineStr">
        <is>
          <t>A7</t>
        </is>
      </c>
      <c r="D2141" s="217">
        <f>IFERROR(__xludf.DUMMYFUNCTION("GOOGLETRANSLATE(C2141,""vi"",""km"")"),"A7")</f>
        <v/>
      </c>
      <c r="E2141" s="3" t="n"/>
      <c r="F2141" s="3" t="inlineStr">
        <is>
          <t>A7</t>
        </is>
      </c>
      <c r="G2141" s="3" t="n"/>
      <c r="H2141" s="217" t="inlineStr">
        <is>
          <t>"delivery.warehouse.modalPrint.A7": "A7",</t>
        </is>
      </c>
      <c r="I2141" t="inlineStr">
        <is>
          <t>A7</t>
        </is>
      </c>
    </row>
    <row r="2142">
      <c r="A2142" s="3" t="inlineStr">
        <is>
          <t>delivery.warehouse.modalPrint.choosePagePrint</t>
        </is>
      </c>
      <c r="B2142" s="3" t="inlineStr">
        <is>
          <t>Vui lòng chọn trang in</t>
        </is>
      </c>
      <c r="C2142" s="3" t="inlineStr">
        <is>
          <t>Please select printing page</t>
        </is>
      </c>
      <c r="D2142" s="217">
        <f>IFERROR(__xludf.DUMMYFUNCTION("GOOGLETRANSLATE(C2142,""vi"",""km"")"),"សូមជ្រើសរើសទំព័របោះពុម្ព")</f>
        <v/>
      </c>
      <c r="E2142" s="3" t="n"/>
      <c r="F2142" s="3" t="inlineStr">
        <is>
          <t>សូមជ្រើសរើសទំព័រព្រីន</t>
        </is>
      </c>
      <c r="G2142" s="3" t="n"/>
      <c r="H2142" s="217" t="inlineStr">
        <is>
          <t>"delivery.warehouse.modalPrint.choosePagePrint": "សូមជ្រើសរើសទំព័រព្រីន",</t>
        </is>
      </c>
      <c r="I2142" t="inlineStr">
        <is>
          <t>សូមជ្រើសរើសទំព័រព្រីន</t>
        </is>
      </c>
    </row>
    <row r="2143">
      <c r="A2143" s="3" t="inlineStr">
        <is>
          <t>delivery.warehouse.modalPrint.description1</t>
        </is>
      </c>
      <c r="B2143" s="3" t="inlineStr">
        <is>
          <t>Số lượng phiếu gửi cần in quá lớn. Cần</t>
        </is>
      </c>
      <c r="C2143" s="3" t="inlineStr">
        <is>
          <t>The number of waybills to print is too large. Need</t>
        </is>
      </c>
      <c r="D2143" s="217">
        <f>IFERROR(__xludf.DUMMYFUNCTION("GOOGLETRANSLATE(C2143,""vi"",""km"")"),"ចំនួន​វិក្កយបត្រ​ដែល​ត្រូវ​បោះពុម្ព​មាន​ចំនួន​ច្រើន​ពេក។ ត្រូវការ")</f>
        <v/>
      </c>
      <c r="E2143" s="3" t="n"/>
      <c r="F2143" s="3" t="inlineStr">
        <is>
          <t>ចំនួនវិក្កយបត្រដែលត្រូវព្រីនមានចំនួនច្រើនពេក។ ត្រូវការ</t>
        </is>
      </c>
      <c r="G2143" s="3" t="n"/>
      <c r="H2143" s="217" t="inlineStr">
        <is>
          <t>"delivery.warehouse.modalPrint.description1": "ចំនួនវិក្កយបត្រដែលត្រូវព្រីនមានចំនួនច្រើនពេក។ ត្រូវការ",</t>
        </is>
      </c>
      <c r="I2143" t="inlineStr">
        <is>
          <t>ចំនួនវិក្កយបត្រដែលត្រូវព្រីនមានចំនួនច្រើនពេក។ ត្រូវការ</t>
        </is>
      </c>
    </row>
    <row r="2144">
      <c r="A2144" s="3" t="inlineStr">
        <is>
          <t>delivery.warehouse.modalPrint.description2</t>
        </is>
      </c>
      <c r="B2144" s="3" t="inlineStr">
        <is>
          <t>trang in để in toàn bộ phiếu gửi</t>
        </is>
      </c>
      <c r="C2144" s="3" t="inlineStr">
        <is>
          <t>printing pages to print the entire list</t>
        </is>
      </c>
      <c r="D2144" s="217">
        <f>IFERROR(__xludf.DUMMYFUNCTION("GOOGLETRANSLATE(C2144,""vi"",""km"")"),"ការបោះពុម្ពទំព័រដើម្បីបោះពុម្ពបញ្ជីទាំងមូល")</f>
        <v/>
      </c>
      <c r="E2144" s="3" t="n"/>
      <c r="F2144" s="3" t="inlineStr">
        <is>
          <t>ការព្រីនទំព័រដើម្បីព្រីនបញ្ជីទាំងមូល</t>
        </is>
      </c>
      <c r="G2144" s="3" t="n"/>
      <c r="H2144" s="217" t="inlineStr">
        <is>
          <t>"delivery.warehouse.modalPrint.description2": "ការព្រីនទំព័រដើម្បីព្រីនបញ្ជីទាំងមូល",</t>
        </is>
      </c>
      <c r="I2144" t="inlineStr">
        <is>
          <t>ការព្រីនទំព័រដើម្បីព្រីនបញ្ជីទាំងមូល</t>
        </is>
      </c>
    </row>
    <row r="2145">
      <c r="A2145" s="3" t="inlineStr">
        <is>
          <t>delivery.warehouse.modalPrint.note1</t>
        </is>
      </c>
      <c r="B2145" s="3" t="inlineStr">
        <is>
          <t>*Lưu ý: In phiếu gửi ở cả</t>
        </is>
      </c>
      <c r="C2145" s="3" t="inlineStr">
        <is>
          <t>*Note: Print the waybill on both</t>
        </is>
      </c>
      <c r="D2145" s="217">
        <f>IFERROR(__xludf.DUMMYFUNCTION("GOOGLETRANSLATE(C2145,""vi"",""km"")"),"*ចំណាំ៖ សូមបោះពុម្ពវិក្កយបត្រនៅលើទាំងពីរ")</f>
        <v/>
      </c>
      <c r="E2145" s="3" t="n"/>
      <c r="F2145" s="3" t="inlineStr">
        <is>
          <t>*ចំណាំ៖ សូមព្រីនវិក្កយបត្រនៅលើទាំងពីរ</t>
        </is>
      </c>
      <c r="G2145" s="3" t="n"/>
      <c r="H2145" s="217" t="inlineStr">
        <is>
          <t>"delivery.warehouse.modalPrint.note1": "*ចំណាំ៖ សូមព្រីនវិក្កយបត្រនៅលើទាំងពីរ",</t>
        </is>
      </c>
      <c r="I2145" t="inlineStr">
        <is>
          <t>*ចំណាំ៖ សូមព្រីនវិក្កយបត្រនៅលើទាំងពីរ</t>
        </is>
      </c>
    </row>
    <row r="2146">
      <c r="A2146" s="3" t="inlineStr">
        <is>
          <t>delivery.warehouse.modalPrint.note2</t>
        </is>
      </c>
      <c r="B2146" s="3" t="inlineStr">
        <is>
          <t>trang in để đảm bảo đủ số lượng phiếu gửi</t>
        </is>
      </c>
      <c r="C2146" s="3" t="inlineStr">
        <is>
          <t>pages to ensure there are enough</t>
        </is>
      </c>
      <c r="D2146" s="217">
        <f>IFERROR(__xludf.DUMMYFUNCTION("GOOGLETRANSLATE(C2146,""vi"",""km"")"),"ទំព័រដើម្បីធានាថាមានគ្រប់គ្រាន់")</f>
        <v/>
      </c>
      <c r="E2146" s="3" t="n"/>
      <c r="F2146" s="3" t="inlineStr">
        <is>
          <t>ទំព័រដើម្បីធានាថាមានគ្រប់គ្រាន់</t>
        </is>
      </c>
      <c r="G2146" s="3" t="n"/>
      <c r="H2146" s="217" t="inlineStr">
        <is>
          <t>"delivery.warehouse.modalPrint.note2": "ទំព័រដើម្បីធានាថាមានគ្រប់គ្រាន់",</t>
        </is>
      </c>
      <c r="I2146" t="inlineStr">
        <is>
          <t>ទំព័រដើម្បីធានាថាមានគ្រប់គ្រាន់</t>
        </is>
      </c>
    </row>
    <row r="2147">
      <c r="A2147" s="3" t="inlineStr">
        <is>
          <t>delivery.warehouse.modalPrint.pagePrint</t>
        </is>
      </c>
      <c r="B2147" s="3" t="inlineStr">
        <is>
          <t>Trang in</t>
        </is>
      </c>
      <c r="C2147" s="3" t="inlineStr">
        <is>
          <t>Page</t>
        </is>
      </c>
      <c r="D2147" s="217">
        <f>IFERROR(__xludf.DUMMYFUNCTION("GOOGLETRANSLATE(C2147,""vi"",""km"")"),"ទំព័រ")</f>
        <v/>
      </c>
      <c r="E2147" s="3" t="n"/>
      <c r="F2147" s="3" t="inlineStr">
        <is>
          <t>ទំព័រ</t>
        </is>
      </c>
      <c r="G2147" s="3" t="n"/>
      <c r="H2147" s="217" t="inlineStr">
        <is>
          <t>"delivery.warehouse.modalPrint.pagePrint": "ទំព័រ",</t>
        </is>
      </c>
      <c r="I2147" t="inlineStr">
        <is>
          <t>ទំព័រ</t>
        </is>
      </c>
    </row>
    <row r="2148">
      <c r="A2148" s="3" t="inlineStr">
        <is>
          <t>delivery.warehouse.modalPrint.print</t>
        </is>
      </c>
      <c r="B2148" s="3" t="inlineStr">
        <is>
          <t>In</t>
        </is>
      </c>
      <c r="C2148" s="3" t="inlineStr">
        <is>
          <t>Print</t>
        </is>
      </c>
      <c r="D2148" s="217">
        <f>IFERROR(__xludf.DUMMYFUNCTION("GOOGLETRANSLATE(C2148,""vi"",""km"")"),"ជើងហោះហើរ")</f>
        <v/>
      </c>
      <c r="E2148" s="3" t="n"/>
      <c r="F2148" s="3" t="inlineStr">
        <is>
          <t>ព្រីន</t>
        </is>
      </c>
      <c r="G2148" s="3" t="n"/>
      <c r="H2148" s="217" t="inlineStr">
        <is>
          <t>"delivery.warehouse.modalPrint.print": "ព្រីន",</t>
        </is>
      </c>
      <c r="I2148" t="inlineStr">
        <is>
          <t>ព្រីន</t>
        </is>
      </c>
    </row>
    <row r="2149">
      <c r="A2149" s="3" t="inlineStr">
        <is>
          <t>delivery.warehouse.modalPrint.printFail</t>
        </is>
      </c>
      <c r="B2149" s="3" t="inlineStr">
        <is>
          <t>Lỗi in đơn</t>
        </is>
      </c>
      <c r="C2149" s="3" t="inlineStr">
        <is>
          <t>Failed to print</t>
        </is>
      </c>
      <c r="D2149" s="217">
        <f>IFERROR(__xludf.DUMMYFUNCTION("GOOGLETRANSLATE(C2149,""vi"",""km"")"),"បរាជ័យក្នុងការបោះពុម្ព")</f>
        <v/>
      </c>
      <c r="E2149" s="3" t="n"/>
      <c r="F2149" s="3" t="inlineStr">
        <is>
          <t>បរាជ័យក្នុងការព្រីន</t>
        </is>
      </c>
      <c r="G2149" s="3" t="n"/>
      <c r="H2149" s="217" t="inlineStr">
        <is>
          <t>"delivery.warehouse.modalPrint.printFail": "បរាជ័យក្នុងការព្រីន",</t>
        </is>
      </c>
      <c r="I2149" t="inlineStr">
        <is>
          <t>បរាជ័យក្នុងការព្រីន</t>
        </is>
      </c>
    </row>
    <row r="2150">
      <c r="A2150" s="3" t="inlineStr">
        <is>
          <t>delivery.warehouse.modalPrint.selectPrint</t>
        </is>
      </c>
      <c r="B2150" s="3" t="inlineStr">
        <is>
          <t>Chọn kích thước in</t>
        </is>
      </c>
      <c r="C2150" s="3" t="inlineStr">
        <is>
          <t>Select print size</t>
        </is>
      </c>
      <c r="D2150" s="217">
        <f>IFERROR(__xludf.DUMMYFUNCTION("GOOGLETRANSLATE(C2150,""vi"",""km"")"),"ជ្រើសរើសទំហំបោះពុម្ព")</f>
        <v/>
      </c>
      <c r="E2150" s="3" t="n"/>
      <c r="F2150" s="3" t="inlineStr">
        <is>
          <t>ជ្រើសរើសទំហំព្រីន</t>
        </is>
      </c>
      <c r="G2150" s="3" t="n"/>
      <c r="H2150" s="217" t="inlineStr">
        <is>
          <t>"delivery.warehouse.modalPrint.selectPrint": "ជ្រើសរើសទំហំព្រីន",</t>
        </is>
      </c>
      <c r="I2150" t="inlineStr">
        <is>
          <t>ជ្រើសរើសទំហំព្រីន</t>
        </is>
      </c>
    </row>
    <row r="2151">
      <c r="A2151" s="3" t="inlineStr">
        <is>
          <t>delivery.warehouse.modalPrint.title</t>
        </is>
      </c>
      <c r="B2151" s="3" t="inlineStr">
        <is>
          <t>In phiếu gửi</t>
        </is>
      </c>
      <c r="C2151" s="3" t="inlineStr">
        <is>
          <t>Print bill of consigment</t>
        </is>
      </c>
      <c r="D2151" s="217">
        <f>IFERROR(__xludf.DUMMYFUNCTION("GOOGLETRANSLATE(C2151,""vi"",""km"")"),"បោះពុម្ពវិក្កយបត្របង់រំលស់")</f>
        <v/>
      </c>
      <c r="E2151" s="3" t="n"/>
      <c r="F2151" s="3" t="inlineStr">
        <is>
          <t>ព្រីនបុងបញ្ញើ</t>
        </is>
      </c>
      <c r="G2151" s="3" t="n"/>
      <c r="H2151" s="217" t="inlineStr">
        <is>
          <t>"delivery.warehouse.modalPrint.title": "ព្រីនបុងបញ្ញើ",</t>
        </is>
      </c>
      <c r="I2151" t="inlineStr">
        <is>
          <t>ព្រីនបុងបញ្ញើ</t>
        </is>
      </c>
    </row>
    <row r="2152">
      <c r="A2152" s="3" t="inlineStr">
        <is>
          <t>delivery.warehouse.modifyBranch.alreadyExist</t>
        </is>
      </c>
      <c r="B2152" s="3" t="inlineStr">
        <is>
          <t>đã tồn tại.</t>
        </is>
      </c>
      <c r="C2152" s="3" t="inlineStr">
        <is>
          <t>exist.</t>
        </is>
      </c>
      <c r="D2152" s="217">
        <f>IFERROR(__xludf.DUMMYFUNCTION("GOOGLETRANSLATE(C2152,""vi"",""km"")"),"មាន។")</f>
        <v/>
      </c>
      <c r="E2152" s="3" t="n"/>
      <c r="F2152" s="3" t="inlineStr">
        <is>
          <t>មានរួចហើយ។</t>
        </is>
      </c>
      <c r="G2152" s="3" t="n"/>
      <c r="H2152" s="217" t="inlineStr">
        <is>
          <t>"delivery.warehouse.modifyBranch.alreadyExist": "មានរួចហើយ។",</t>
        </is>
      </c>
      <c r="I2152" t="inlineStr">
        <is>
          <t>មានរួចហើយ។</t>
        </is>
      </c>
    </row>
    <row r="2153">
      <c r="A2153" s="3" t="inlineStr">
        <is>
          <t>delivery.warehouse.modifyBranch.branchCode</t>
        </is>
      </c>
      <c r="B2153" s="3" t="inlineStr">
        <is>
          <t>Mã chi nhánh</t>
        </is>
      </c>
      <c r="C2153" s="3" t="inlineStr">
        <is>
          <t>Branch code</t>
        </is>
      </c>
      <c r="D2153" s="217">
        <f>IFERROR(__xludf.DUMMYFUNCTION("GOOGLETRANSLATE(C2153,""vi"",""km"")"),"លេខកូដសាខា")</f>
        <v/>
      </c>
      <c r="E2153" s="3" t="n"/>
      <c r="F2153" s="3" t="inlineStr">
        <is>
          <t>លេខកូដសាខា</t>
        </is>
      </c>
      <c r="G2153" s="3" t="n"/>
      <c r="H2153" s="217" t="inlineStr">
        <is>
          <t>"delivery.warehouse.modifyBranch.branchCode": "លេខកូដសាខា",</t>
        </is>
      </c>
      <c r="I2153" t="inlineStr">
        <is>
          <t>លេខកូដសាខា</t>
        </is>
      </c>
    </row>
    <row r="2154">
      <c r="A2154" s="3" t="inlineStr">
        <is>
          <t>delivery.warehouse.modifyBranch.confirmTitle</t>
        </is>
      </c>
      <c r="B2154" s="3" t="inlineStr">
        <is>
          <t>Thông báo</t>
        </is>
      </c>
      <c r="C2154" s="3" t="inlineStr">
        <is>
          <t>Notification</t>
        </is>
      </c>
      <c r="D2154" s="217">
        <f>IFERROR(__xludf.DUMMYFUNCTION("GOOGLETRANSLATE(C2154,""vi"",""km"")"),"ការជូនដំណឹង")</f>
        <v/>
      </c>
      <c r="E2154" s="3" t="n"/>
      <c r="F2154" s="3" t="inlineStr">
        <is>
          <t>ការជូនដំណឹង</t>
        </is>
      </c>
      <c r="G2154" s="3" t="n"/>
      <c r="H2154" s="217" t="inlineStr">
        <is>
          <t>"delivery.warehouse.modifyBranch.confirmTitle": "ការជូនដំណឹង",</t>
        </is>
      </c>
      <c r="I2154" t="inlineStr">
        <is>
          <t>ការជូនដំណឹង</t>
        </is>
      </c>
    </row>
    <row r="2155">
      <c r="A2155" s="3" t="inlineStr">
        <is>
          <t>delivery.warehouse.modifyBranch.createSuccess</t>
        </is>
      </c>
      <c r="B2155" s="3" t="inlineStr">
        <is>
          <t>Thêm mới thông tin thành công</t>
        </is>
      </c>
      <c r="C2155" s="3" t="inlineStr">
        <is>
          <t>Create information succesfully</t>
        </is>
      </c>
      <c r="D2155" s="217">
        <f>IFERROR(__xludf.DUMMYFUNCTION("GOOGLETRANSLATE(C2155,""vi"",""km"")"),"បង្កើតព័ត៌មានដោយជោគជ័យ")</f>
        <v/>
      </c>
      <c r="E2155" s="3" t="n"/>
      <c r="F2155" s="3" t="inlineStr">
        <is>
          <t>បង្កើតព័ត៌មានដោយជោគជ័យ</t>
        </is>
      </c>
      <c r="G2155" s="3" t="n"/>
      <c r="H2155" s="217" t="inlineStr">
        <is>
          <t>"delivery.warehouse.modifyBranch.createSuccess": "បង្កើតព័ត៌មានដោយជោគជ័យ",</t>
        </is>
      </c>
      <c r="I2155" t="inlineStr">
        <is>
          <t>បង្កើតព័ត៌មានដោយជោគជ័យ</t>
        </is>
      </c>
    </row>
    <row r="2156">
      <c r="A2156" s="3" t="inlineStr">
        <is>
          <t>delivery.warehouse.modifyBranch.departmentCode</t>
        </is>
      </c>
      <c r="B2156" s="3" t="inlineStr">
        <is>
          <t>Mã bưu cục</t>
        </is>
      </c>
      <c r="C2156" s="3" t="inlineStr">
        <is>
          <t>Post office code</t>
        </is>
      </c>
      <c r="D2156" s="217">
        <f>IFERROR(__xludf.DUMMYFUNCTION("GOOGLETRANSLATE(C2156,""vi"",""km"")"),"លេខកូដប្រៃសណីយ៍")</f>
        <v/>
      </c>
      <c r="E2156" s="3" t="n"/>
      <c r="F2156" s="3" t="inlineStr">
        <is>
          <t>លេខកូដប្រៃសណីយ៍</t>
        </is>
      </c>
      <c r="G2156" s="3" t="n"/>
      <c r="H2156" s="217" t="inlineStr">
        <is>
          <t>"delivery.warehouse.modifyBranch.departmentCode": "លេខកូដប្រៃសណីយ៍",</t>
        </is>
      </c>
      <c r="I2156" t="inlineStr">
        <is>
          <t>លេខកូដប្រៃសណីយ៍</t>
        </is>
      </c>
    </row>
    <row r="2157">
      <c r="A2157" s="3" t="inlineStr">
        <is>
          <t>delivery.warehouse.modifyBranch.departmentName</t>
        </is>
      </c>
      <c r="B2157" s="3" t="inlineStr">
        <is>
          <t>Tên bưu cục</t>
        </is>
      </c>
      <c r="C2157" s="3" t="inlineStr">
        <is>
          <t>Post office name</t>
        </is>
      </c>
      <c r="D2157" s="217">
        <f>IFERROR(__xludf.DUMMYFUNCTION("GOOGLETRANSLATE(C2157,""vi"",""km"")"),"ឈ្មោះ​ការិយាល័យ​ប្រៃសណីយ៍")</f>
        <v/>
      </c>
      <c r="E2157" s="3" t="n"/>
      <c r="F2157" s="3" t="inlineStr">
        <is>
          <t>ឈ្មោះការិយាល័យប្រៃសណីយ៍</t>
        </is>
      </c>
      <c r="G2157" s="3" t="n"/>
      <c r="H2157" s="217" t="inlineStr">
        <is>
          <t>"delivery.warehouse.modifyBranch.departmentName": "ឈ្មោះការិយាល័យប្រៃសណីយ៍",</t>
        </is>
      </c>
      <c r="I2157" t="inlineStr">
        <is>
          <t>ឈ្មោះការិយាល័យប្រៃសណីយ៍</t>
        </is>
      </c>
    </row>
    <row r="2158">
      <c r="A2158" s="3" t="inlineStr">
        <is>
          <t>delivery.warehouse.modifyBranch.duplicateDepartment</t>
        </is>
      </c>
      <c r="B2158" s="3" t="inlineStr">
        <is>
          <t>trùng với mã bưu cục đã tồn tại.</t>
        </is>
      </c>
      <c r="C2158" s="3" t="inlineStr">
        <is>
          <t>matches an existing department code.</t>
        </is>
      </c>
      <c r="D2158" s="217">
        <f>IFERROR(__xludf.DUMMYFUNCTION("GOOGLETRANSLATE(C2158,""vi"",""km"")"),"ផ្គូផ្គងនឹងលេខកូដនាយកដ្ឋានដែលមានស្រាប់។")</f>
        <v/>
      </c>
      <c r="E2158" s="3" t="n"/>
      <c r="F2158" s="3" t="inlineStr">
        <is>
          <t>ផ្គូផ្គងនឹងលេខកូដនាយកដ្ឋានដែលមានស្រាប់។</t>
        </is>
      </c>
      <c r="G2158" s="3" t="n"/>
      <c r="H2158" s="217" t="inlineStr">
        <is>
          <t>"delivery.warehouse.modifyBranch.duplicateDepartment": "ផ្គូផ្គងនឹងលេខកូដនាយកដ្ឋានដែលមានស្រាប់។",</t>
        </is>
      </c>
      <c r="I2158" t="inlineStr">
        <is>
          <t>ផ្គូផ្គងនឹងលេខកូដនាយកដ្ឋានដែលមានស្រាប់។</t>
        </is>
      </c>
    </row>
    <row r="2159">
      <c r="A2159" s="3" t="inlineStr">
        <is>
          <t>delivery.warehouse.modifyBranch.emptyDate</t>
        </is>
      </c>
      <c r="B2159" s="3" t="inlineStr">
        <is>
          <t>Ngày tìm kiếm không được bỏ trống</t>
        </is>
      </c>
      <c r="C2159" s="3" t="inlineStr">
        <is>
          <t>Search date is required</t>
        </is>
      </c>
      <c r="D2159" s="217">
        <f>IFERROR(__xludf.DUMMYFUNCTION("GOOGLETRANSLATE(C2159,""vi"",""km"")"),"តម្រូវឲ្យមានកាលបរិច្ឆេទស្វែងរក")</f>
        <v/>
      </c>
      <c r="E2159" s="3" t="n"/>
      <c r="F2159" s="3" t="inlineStr">
        <is>
          <t>តម្រូវឲ្យមានកាលបរិច្ឆេទស្វែងរក</t>
        </is>
      </c>
      <c r="G2159" s="3" t="n"/>
      <c r="H2159" s="217" t="inlineStr">
        <is>
          <t>"delivery.warehouse.modifyBranch.emptyDate": "តម្រូវឲ្យមានកាលបរិច្ឆេទស្វែងរក",</t>
        </is>
      </c>
      <c r="I2159" t="inlineStr">
        <is>
          <t>តម្រូវឲ្យមានកាលបរិច្ឆេទស្វែងរក</t>
        </is>
      </c>
    </row>
    <row r="2160">
      <c r="A2160" s="3" t="inlineStr">
        <is>
          <t>delivery.warehouse.modifyBranch.endDate</t>
        </is>
      </c>
      <c r="B2160" s="3" t="inlineStr">
        <is>
          <t>Đến ngày</t>
        </is>
      </c>
      <c r="C2160" s="3" t="inlineStr">
        <is>
          <t>Expiration date</t>
        </is>
      </c>
      <c r="D2160" s="217">
        <f>IFERROR(__xludf.DUMMYFUNCTION("GOOGLETRANSLATE(C2160,""vi"",""km"")"),"កាលបរិច្ឆេទផុតកំណត់")</f>
        <v/>
      </c>
      <c r="E2160" s="3" t="n"/>
      <c r="F2160" s="3" t="inlineStr">
        <is>
          <t>កាលបរិច្ឆេទផុតកំណត់</t>
        </is>
      </c>
      <c r="G2160" s="3" t="n"/>
      <c r="H2160" s="217" t="inlineStr">
        <is>
          <t>"delivery.warehouse.modifyBranch.endDate": "កាលបរិច្ឆេទផុតកំណត់",</t>
        </is>
      </c>
      <c r="I2160" t="inlineStr">
        <is>
          <t>កាលបរិច្ឆេទផុតកំណត់</t>
        </is>
      </c>
    </row>
    <row r="2161">
      <c r="A2161" s="3" t="inlineStr">
        <is>
          <t>delivery.warehouse.modifyBranch.errorTitle</t>
        </is>
      </c>
      <c r="B2161" s="3" t="inlineStr">
        <is>
          <t>Cảnh báo</t>
        </is>
      </c>
      <c r="C2161" s="3" t="inlineStr">
        <is>
          <t>Alert</t>
        </is>
      </c>
      <c r="D2161" s="217">
        <f>IFERROR(__xludf.DUMMYFUNCTION("GOOGLETRANSLATE(C2161,""vi"",""km"")"),"ការជូនដំណឹង")</f>
        <v/>
      </c>
      <c r="E2161" s="3" t="n"/>
      <c r="F2161" s="3" t="inlineStr">
        <is>
          <t>ការជូនដំណឹង</t>
        </is>
      </c>
      <c r="G2161" s="3" t="n"/>
      <c r="H2161" s="217" t="inlineStr">
        <is>
          <t>"delivery.warehouse.modifyBranch.errorTitle": "ការជូនដំណឹង",</t>
        </is>
      </c>
      <c r="I2161" t="inlineStr">
        <is>
          <t>ការជូនដំណឹង</t>
        </is>
      </c>
    </row>
    <row r="2162">
      <c r="A2162" s="3" t="inlineStr">
        <is>
          <t>delivery.warehouse.modifyBranch.listDepartment</t>
        </is>
      </c>
      <c r="B2162" s="3" t="inlineStr">
        <is>
          <t>Danh sách bưu cục</t>
        </is>
      </c>
      <c r="C2162" s="3" t="inlineStr">
        <is>
          <t>Danh sách bưu cục</t>
        </is>
      </c>
      <c r="D2162" s="217">
        <f>IFERROR(__xludf.DUMMYFUNCTION("GOOGLETRANSLATE(C2162,""vi"",""km"")"),"បញ្ជីការិយាល័យប្រៃសណីយ៍")</f>
        <v/>
      </c>
      <c r="E2162" s="3" t="n"/>
      <c r="F2162" s="3" t="inlineStr">
        <is>
          <t>បញ្ជីការិយាល័យប្រៃសណីយ៍</t>
        </is>
      </c>
      <c r="G2162" s="3" t="n"/>
      <c r="H2162" s="217" t="inlineStr">
        <is>
          <t>"delivery.warehouse.modifyBranch.listDepartment": "បញ្ជីការិយាល័យប្រៃសណីយ៍",</t>
        </is>
      </c>
      <c r="I2162" t="inlineStr">
        <is>
          <t>បញ្ជីការិយាល័យប្រៃសណីយ៍</t>
        </is>
      </c>
    </row>
    <row r="2163">
      <c r="A2163" s="3" t="inlineStr">
        <is>
          <t>delivery.warehouse.modifyBranch.notification</t>
        </is>
      </c>
      <c r="B2163" s="3" t="inlineStr">
        <is>
          <t>Vui lòng khai báo mã chi nhánh khác!</t>
        </is>
      </c>
      <c r="C2163" s="3" t="inlineStr">
        <is>
          <t>Please declare another branch code!</t>
        </is>
      </c>
      <c r="D2163" s="217">
        <f>IFERROR(__xludf.DUMMYFUNCTION("GOOGLETRANSLATE(C2163,""vi"",""km"")"),"សូមប្រកាសលេខកូដសាខាមួយទៀត!")</f>
        <v/>
      </c>
      <c r="E2163" s="3" t="n"/>
      <c r="F2163" s="3" t="inlineStr">
        <is>
          <t>សូមប្រកាសលេខកូដសាខាមួយទៀត!</t>
        </is>
      </c>
      <c r="G2163" s="3" t="n"/>
      <c r="H2163" s="217" t="inlineStr">
        <is>
          <t>"delivery.warehouse.modifyBranch.notification": "សូមប្រកាសលេខកូដសាខាមួយទៀត!",</t>
        </is>
      </c>
      <c r="I2163" t="inlineStr">
        <is>
          <t>សូមប្រកាសលេខកូដសាខាមួយទៀត!</t>
        </is>
      </c>
    </row>
    <row r="2164">
      <c r="A2164" s="3" t="inlineStr">
        <is>
          <t>delivery.warehouse.modifyBranch.postOffice</t>
        </is>
      </c>
      <c r="B2164" s="3" t="inlineStr">
        <is>
          <t>Bưu cục</t>
        </is>
      </c>
      <c r="C2164" s="3" t="inlineStr">
        <is>
          <t>Department</t>
        </is>
      </c>
      <c r="D2164" s="217">
        <f>IFERROR(__xludf.DUMMYFUNCTION("GOOGLETRANSLATE(C2164,""vi"",""km"")"),"នាយកដ្ឋាន")</f>
        <v/>
      </c>
      <c r="E2164" s="3" t="n"/>
      <c r="F2164" s="3" t="inlineStr">
        <is>
          <t>ការិយាល័យប្រៃសណីយ៍</t>
        </is>
      </c>
      <c r="G2164" s="3" t="n"/>
      <c r="H2164" s="217" t="inlineStr">
        <is>
          <t>"delivery.warehouse.modifyBranch.postOffice": "ការិយាល័យប្រៃសណីយ៍",</t>
        </is>
      </c>
      <c r="I2164" t="inlineStr">
        <is>
          <t>ការិយាល័យប្រៃសណីយ៍</t>
        </is>
      </c>
    </row>
    <row r="2165">
      <c r="A2165" s="3" t="inlineStr">
        <is>
          <t>delivery.warehouse.modifyBranch.searchPostOffice</t>
        </is>
      </c>
      <c r="B2165" s="3" t="inlineStr">
        <is>
          <t>Nhập mã hoặc tên bưu cục</t>
        </is>
      </c>
      <c r="C2165" s="3" t="inlineStr">
        <is>
          <t>Enter post office ID</t>
        </is>
      </c>
      <c r="D2165" s="217">
        <f>IFERROR(__xludf.DUMMYFUNCTION("GOOGLETRANSLATE(C2165,""vi"",""km"")"),"បញ្ចូលលេខសម្គាល់ការិយាល័យប្រៃសណីយ៍")</f>
        <v/>
      </c>
      <c r="E2165" s="3" t="n"/>
      <c r="F2165" s="3" t="inlineStr">
        <is>
          <t>បញ្ចូលលេខសម្គាល់ការិយាល័យប្រៃសណីយ៍</t>
        </is>
      </c>
      <c r="G2165" s="3" t="n"/>
      <c r="H2165" s="217" t="inlineStr">
        <is>
          <t>"delivery.warehouse.modifyBranch.searchPostOffice": "បញ្ចូលលេខសម្គាល់ការិយាល័យប្រៃសណីយ៍",</t>
        </is>
      </c>
      <c r="I2165" t="inlineStr">
        <is>
          <t>បញ្ចូលលេខសម្គាល់ការិយាល័យប្រៃសណីយ៍</t>
        </is>
      </c>
    </row>
    <row r="2166">
      <c r="A2166" s="3" t="inlineStr">
        <is>
          <t>delivery.warehouse.modifyBranch.startDate</t>
        </is>
      </c>
      <c r="B2166" s="3" t="inlineStr">
        <is>
          <t>Từ ngày</t>
        </is>
      </c>
      <c r="C2166" s="3" t="inlineStr">
        <is>
          <t>Effective date</t>
        </is>
      </c>
      <c r="D2166" s="217">
        <f>IFERROR(__xludf.DUMMYFUNCTION("GOOGLETRANSLATE(C2166,""vi"",""km"")"),"កាលបរិច្ឆេទមានប្រសិទ្ធភាព")</f>
        <v/>
      </c>
      <c r="E2166" s="3" t="n"/>
      <c r="F2166" s="3" t="inlineStr">
        <is>
          <t>កាលបរិច្ឆេទមានប្រសិទ្ធភាព</t>
        </is>
      </c>
      <c r="G2166" s="3" t="n"/>
      <c r="H2166" s="217" t="inlineStr">
        <is>
          <t>"delivery.warehouse.modifyBranch.startDate": "កាលបរិច្ឆេទមានប្រសិទ្ធភាព",</t>
        </is>
      </c>
      <c r="I2166" t="inlineStr">
        <is>
          <t>កាលបរិច្ឆេទមានប្រសិទ្ធភាព</t>
        </is>
      </c>
    </row>
    <row r="2167">
      <c r="A2167" s="3" t="inlineStr">
        <is>
          <t>delivery.warehouse.modifyBranch.textConfirm</t>
        </is>
      </c>
      <c r="B2167" s="3" t="inlineStr">
        <is>
          <t>Quý khách có chắc chắn muốn lưu thông tin chi nhánh này?</t>
        </is>
      </c>
      <c r="C2167" s="3" t="inlineStr">
        <is>
          <t>Do you want to save the branch information?</t>
        </is>
      </c>
      <c r="D2167" s="217">
        <f>IFERROR(__xludf.DUMMYFUNCTION("GOOGLETRANSLATE(C2167,""vi"",""km"")"),"តើអ្នកចង់រក្សាទុកព័ត៌មានសាខាទេ?")</f>
        <v/>
      </c>
      <c r="E2167" s="3" t="n"/>
      <c r="F2167" s="3" t="inlineStr">
        <is>
          <t>តើអ្នកចង់រក្សាទុកព័ត៌មានសាខាទេ?</t>
        </is>
      </c>
      <c r="G2167" s="3" t="n"/>
      <c r="H2167" s="217" t="inlineStr">
        <is>
          <t>"delivery.warehouse.modifyBranch.textConfirm": "តើអ្នកចង់រក្សាទុកព័ត៌មានសាខាទេ?",</t>
        </is>
      </c>
      <c r="I2167" t="inlineStr">
        <is>
          <t>តើអ្នកចង់រក្សាទុកព័ត៌មានសាខាទេ?</t>
        </is>
      </c>
    </row>
    <row r="2168">
      <c r="A2168" s="3" t="inlineStr">
        <is>
          <t>delivery.warehouse.modifyBranch.updateSuccess</t>
        </is>
      </c>
      <c r="B2168" s="3" t="inlineStr">
        <is>
          <t>Cập nhật thông tin thành công</t>
        </is>
      </c>
      <c r="C2168" s="3" t="inlineStr">
        <is>
          <t>Update information succesfully</t>
        </is>
      </c>
      <c r="D2168" s="217">
        <f>IFERROR(__xludf.DUMMYFUNCTION("GOOGLETRANSLATE(C2168,""vi"",""km"")"),"ធ្វើបច្ចុប្បន្នភាពព័ត៌មានដោយជោគជ័យ")</f>
        <v/>
      </c>
      <c r="E2168" s="3" t="n"/>
      <c r="F2168" s="3" t="inlineStr">
        <is>
          <t>ធ្វើបច្ចុប្បន្នភាពព័ត៌មានដោយជោគជ័យ</t>
        </is>
      </c>
      <c r="G2168" s="3" t="n"/>
      <c r="H2168" s="217" t="inlineStr">
        <is>
          <t>"delivery.warehouse.modifyBranch.updateSuccess": "ធ្វើបច្ចុប្បន្នភាពព័ត៌មានដោយជោគជ័យ",</t>
        </is>
      </c>
      <c r="I2168" t="inlineStr">
        <is>
          <t>ធ្វើបច្ចុប្បន្នភាពព័ត៌មានដោយជោគជ័យ</t>
        </is>
      </c>
    </row>
    <row r="2169">
      <c r="A2169" s="3" t="inlineStr">
        <is>
          <t>delivery.warehouse.modifyBranch.updatedAt</t>
        </is>
      </c>
      <c r="B2169" s="3" t="inlineStr">
        <is>
          <t>Ngày thêm</t>
        </is>
      </c>
      <c r="C2169" s="3" t="inlineStr">
        <is>
          <t>Updated date</t>
        </is>
      </c>
      <c r="D2169" s="217">
        <f>IFERROR(__xludf.DUMMYFUNCTION("GOOGLETRANSLATE(C2169,""vi"",""km"")"),"កាលបរិច្ឆេទដែលបានធ្វើបច្ចុប្បន្នភាព")</f>
        <v/>
      </c>
      <c r="E2169" s="3" t="n"/>
      <c r="F2169" s="3" t="inlineStr">
        <is>
          <t>កាលបរិច្ឆេទដែលបានធ្វើបច្ចុប្បន្នភាព</t>
        </is>
      </c>
      <c r="G2169" s="3" t="n"/>
      <c r="H2169" s="217" t="inlineStr">
        <is>
          <t>"delivery.warehouse.modifyBranch.updatedAt": "កាលបរិច្ឆេទដែលបានធ្វើបច្ចុប្បន្នភាព",</t>
        </is>
      </c>
      <c r="I2169" t="inlineStr">
        <is>
          <t>កាលបរិច្ឆេទដែលបានធ្វើបច្ចុប្បន្នភាព</t>
        </is>
      </c>
    </row>
    <row r="2170">
      <c r="A2170" s="3" t="inlineStr">
        <is>
          <t>delivery.warehouse.modifyBranch.updatedBy</t>
        </is>
      </c>
      <c r="B2170" s="3" t="inlineStr">
        <is>
          <t>Người thêm</t>
        </is>
      </c>
      <c r="C2170" s="3" t="inlineStr">
        <is>
          <t>Updater</t>
        </is>
      </c>
      <c r="D2170" s="217">
        <f>IFERROR(__xludf.DUMMYFUNCTION("GOOGLETRANSLATE(C2170,""vi"",""km"")"),"កម្មវិធីធ្វើបច្ចុប្បន្នភាព")</f>
        <v/>
      </c>
      <c r="E2170" s="3" t="n"/>
      <c r="F2170" s="3" t="inlineStr">
        <is>
          <t>កម្មវិធីធ្វើបច្ចុប្បន្នភាព</t>
        </is>
      </c>
      <c r="G2170" s="3" t="n"/>
      <c r="H2170" s="217" t="inlineStr">
        <is>
          <t>"delivery.warehouse.modifyBranch.updatedBy": "កម្មវិធីធ្វើបច្ចុប្បន្នភាព",</t>
        </is>
      </c>
      <c r="I2170" t="inlineStr">
        <is>
          <t>កម្មវិធីធ្វើបច្ចុប្បន្នភាព</t>
        </is>
      </c>
    </row>
    <row r="2171">
      <c r="A2171" s="3" t="inlineStr">
        <is>
          <t>delivery.warehouse.modifyConfigDelivery.box</t>
        </is>
      </c>
      <c r="B2171" s="3" t="inlineStr">
        <is>
          <t>Hộp</t>
        </is>
      </c>
      <c r="C2171" s="3" t="inlineStr">
        <is>
          <t>Box</t>
        </is>
      </c>
      <c r="D2171" s="217">
        <f>IFERROR(__xludf.DUMMYFUNCTION("GOOGLETRANSLATE(C2171,""vi"",""km"")"),"ប្រអប់")</f>
        <v/>
      </c>
      <c r="E2171" s="3" t="n"/>
      <c r="F2171" s="3" t="inlineStr">
        <is>
          <t>ប្រអប់</t>
        </is>
      </c>
      <c r="G2171" s="3" t="n"/>
      <c r="H2171" s="217" t="inlineStr">
        <is>
          <t>"delivery.warehouse.modifyConfigDelivery.box": "ប្រអប់",</t>
        </is>
      </c>
      <c r="I2171" t="inlineStr">
        <is>
          <t>ប្រអប់</t>
        </is>
      </c>
    </row>
    <row r="2172">
      <c r="A2172" s="3" t="inlineStr">
        <is>
          <t>delivery.warehouse.modifyConfigDelivery.create</t>
        </is>
      </c>
      <c r="B2172" s="3" t="inlineStr">
        <is>
          <t>Thêm mới cấu hình</t>
        </is>
      </c>
      <c r="C2172" s="3" t="inlineStr">
        <is>
          <t>Create config</t>
        </is>
      </c>
      <c r="D2172" s="217">
        <f>IFERROR(__xludf.DUMMYFUNCTION("GOOGLETRANSLATE(C2172,""vi"",""km"")"),"បង្កើតការកំណត់រចនាសម្ព័ន្ធ")</f>
        <v/>
      </c>
      <c r="E2172" s="3" t="n"/>
      <c r="F2172" s="3" t="inlineStr">
        <is>
          <t>បន្ថែមការកំណត់ថ្មី</t>
        </is>
      </c>
      <c r="G2172" s="3" t="n"/>
      <c r="H2172" s="217" t="inlineStr">
        <is>
          <t>"delivery.warehouse.modifyConfigDelivery.create": "បន្ថែមការកំណត់ថ្មី",</t>
        </is>
      </c>
      <c r="I2172" t="inlineStr">
        <is>
          <t>បន្ថែមការកំណត់ថ្មី</t>
        </is>
      </c>
    </row>
    <row r="2173">
      <c r="A2173" s="3" t="inlineStr">
        <is>
          <t>delivery.warehouse.modifyConfigDelivery.route</t>
        </is>
      </c>
      <c r="B2173" s="3" t="inlineStr">
        <is>
          <t>Tuyến</t>
        </is>
      </c>
      <c r="C2173" s="3" t="inlineStr">
        <is>
          <t>Route</t>
        </is>
      </c>
      <c r="D2173" s="217">
        <f>IFERROR(__xludf.DUMMYFUNCTION("GOOGLETRANSLATE(C2173,""vi"",""km"")"),"ផ្លូវ")</f>
        <v/>
      </c>
      <c r="E2173" s="3" t="n"/>
      <c r="F2173" s="3" t="inlineStr">
        <is>
          <t>ផ្លូវ</t>
        </is>
      </c>
      <c r="G2173" s="3" t="n"/>
      <c r="H2173" s="217" t="inlineStr">
        <is>
          <t>"delivery.warehouse.modifyConfigDelivery.route": "ផ្លូវ",</t>
        </is>
      </c>
      <c r="I2173" t="inlineStr">
        <is>
          <t>ផ្លូវ</t>
        </is>
      </c>
    </row>
    <row r="2174">
      <c r="A2174" s="3" t="inlineStr">
        <is>
          <t>delivery.warehouse.modifyConfigDelivery.update</t>
        </is>
      </c>
      <c r="B2174" s="3" t="inlineStr">
        <is>
          <t>Cập nhật cấu hình</t>
        </is>
      </c>
      <c r="C2174" s="3" t="inlineStr">
        <is>
          <t>Update config</t>
        </is>
      </c>
      <c r="D2174" s="217">
        <f>IFERROR(__xludf.DUMMYFUNCTION("GOOGLETRANSLATE(C2174,""vi"",""km"")"),"ធ្វើបច្ចុប្បន្នភាពការកំណត់រចនាសម្ព័ន្ធ")</f>
        <v/>
      </c>
      <c r="E2174" s="3" t="n"/>
      <c r="F2174" s="3" t="inlineStr">
        <is>
          <t>ធ្វើបច្ចុប្បន្នភាពការកំណត់រចនាសម្ព័ន្ធ</t>
        </is>
      </c>
      <c r="G2174" s="3" t="n"/>
      <c r="H2174" s="217" t="inlineStr">
        <is>
          <t>"delivery.warehouse.modifyConfigDelivery.update": "ធ្វើបច្ចុប្បន្នភាពការកំណត់រចនាសម្ព័ន្ធ",</t>
        </is>
      </c>
      <c r="I2174" t="inlineStr">
        <is>
          <t>ធ្វើបច្ចុប្បន្នភាពការកំណត់រចនាសម្ព័ន្ធ</t>
        </is>
      </c>
    </row>
    <row r="2175">
      <c r="A2175" s="3" t="inlineStr">
        <is>
          <t>delivery.warehouse.modifyDepartment.ACTIVE</t>
        </is>
      </c>
      <c r="B2175" s="3" t="inlineStr">
        <is>
          <t>Hiệu lực</t>
        </is>
      </c>
      <c r="C2175" s="3" t="inlineStr">
        <is>
          <t>Valid</t>
        </is>
      </c>
      <c r="D2175" s="217">
        <f>IFERROR(__xludf.DUMMYFUNCTION("GOOGLETRANSLATE(C2175,""vi"",""km"")"),"មានសុពលភាព")</f>
        <v/>
      </c>
      <c r="E2175" s="3" t="n"/>
      <c r="F2175" s="3" t="inlineStr">
        <is>
          <t>សកម្ម</t>
        </is>
      </c>
      <c r="G2175" s="3" t="n"/>
      <c r="H2175" s="217" t="inlineStr">
        <is>
          <t>"delivery.warehouse.modifyDepartment.ACTIVE": "សកម្ម",</t>
        </is>
      </c>
      <c r="I2175" t="inlineStr">
        <is>
          <t>សកម្ម</t>
        </is>
      </c>
    </row>
    <row r="2176">
      <c r="A2176" s="3" t="inlineStr">
        <is>
          <t>delivery.warehouse.modifyDepartment.INACTIVE</t>
        </is>
      </c>
      <c r="B2176" s="3" t="inlineStr">
        <is>
          <t>Hết hiệu lực</t>
        </is>
      </c>
      <c r="C2176" s="3" t="inlineStr">
        <is>
          <t>Invalid</t>
        </is>
      </c>
      <c r="D2176" s="217">
        <f>IFERROR(__xludf.DUMMYFUNCTION("GOOGLETRANSLATE(C2176,""vi"",""km"")"),"អ៊ីនស្តាស៊ីដ")</f>
        <v/>
      </c>
      <c r="E2176" s="3" t="n"/>
      <c r="F2176" s="3" t="inlineStr">
        <is>
          <t>អសកម្ម</t>
        </is>
      </c>
      <c r="G2176" s="3" t="n"/>
      <c r="H2176" s="217" t="inlineStr">
        <is>
          <t>"delivery.warehouse.modifyDepartment.INACTIVE": "អសកម្ម",</t>
        </is>
      </c>
      <c r="I2176" t="inlineStr">
        <is>
          <t>អសកម្ម</t>
        </is>
      </c>
    </row>
    <row r="2177">
      <c r="A2177" s="3" t="inlineStr">
        <is>
          <t>delivery.warehouse.modifyDepartment.address</t>
        </is>
      </c>
      <c r="B2177" s="3" t="inlineStr">
        <is>
          <t>Địa chỉ</t>
        </is>
      </c>
      <c r="C2177" s="3" t="inlineStr">
        <is>
          <t>Address</t>
        </is>
      </c>
      <c r="D2177" s="217">
        <f>IFERROR(__xludf.DUMMYFUNCTION("GOOGLETRANSLATE(C2177,""vi"",""km"")"),"មិនត្រឹមត្រូវ")</f>
        <v/>
      </c>
      <c r="E2177" s="3" t="n"/>
      <c r="F2177" s="3" t="inlineStr">
        <is>
          <t>អាសយដ្ឋាន</t>
        </is>
      </c>
      <c r="G2177" s="3" t="n"/>
      <c r="H2177" s="217" t="inlineStr">
        <is>
          <t>"delivery.warehouse.modifyDepartment.address": "អាសយដ្ឋាន",</t>
        </is>
      </c>
      <c r="I2177" t="inlineStr">
        <is>
          <t>អាសយដ្ឋាន</t>
        </is>
      </c>
    </row>
    <row r="2178">
      <c r="A2178" s="3" t="inlineStr">
        <is>
          <t>delivery.warehouse.modifyDepartment.addressPlaceholder</t>
        </is>
      </c>
      <c r="B2178" s="3" t="inlineStr">
        <is>
          <t>Nhập địa chỉ bưu cục</t>
        </is>
      </c>
      <c r="C2178" s="3" t="inlineStr">
        <is>
          <t>Enter post office address</t>
        </is>
      </c>
      <c r="D2178" s="217">
        <f>IFERROR(__xludf.DUMMYFUNCTION("GOOGLETRANSLATE(C2178,""vi"",""km"")"),"បញ្ចូលអាសយដ្ឋានការិយាល័យប្រៃសណីយ៍")</f>
        <v/>
      </c>
      <c r="E2178" s="3" t="n"/>
      <c r="F2178" s="3" t="inlineStr">
        <is>
          <t>បញ្ចូលអាសយដ្ឋានការិយាល័យប្រៃសណីយ៍</t>
        </is>
      </c>
      <c r="G2178" s="3" t="n"/>
      <c r="H2178" s="217" t="inlineStr">
        <is>
          <t>"delivery.warehouse.modifyDepartment.addressPlaceholder": "បញ្ចូលអាសយដ្ឋានការិយាល័យប្រៃសណីយ៍",</t>
        </is>
      </c>
      <c r="I2178" t="inlineStr">
        <is>
          <t>បញ្ចូលអាសយដ្ឋានការិយាល័យប្រៃសណីយ៍</t>
        </is>
      </c>
    </row>
    <row r="2179">
      <c r="A2179" s="3" t="inlineStr">
        <is>
          <t>delivery.warehouse.modifyDepartment.alreadyExist</t>
        </is>
      </c>
      <c r="B2179" s="3" t="inlineStr">
        <is>
          <t>đã tồn tại.</t>
        </is>
      </c>
      <c r="C2179" s="3" t="inlineStr">
        <is>
          <t>Existed</t>
        </is>
      </c>
      <c r="D2179" s="217">
        <f>IFERROR(__xludf.DUMMYFUNCTION("GOOGLETRANSLATE(C2179,""vi"",""km"")"),"មានស្រាប់")</f>
        <v/>
      </c>
      <c r="E2179" s="3" t="n"/>
      <c r="F2179" s="3" t="inlineStr">
        <is>
          <t>មានរួចហើយ។</t>
        </is>
      </c>
      <c r="G2179" s="3" t="n"/>
      <c r="H2179" s="217" t="inlineStr">
        <is>
          <t>"delivery.warehouse.modifyDepartment.alreadyExist": "មានរួចហើយ។",</t>
        </is>
      </c>
      <c r="I2179" t="inlineStr">
        <is>
          <t>មានរួចហើយ។</t>
        </is>
      </c>
    </row>
    <row r="2180">
      <c r="A2180" s="3" t="inlineStr">
        <is>
          <t>delivery.warehouse.modifyDepartment.branchCode</t>
        </is>
      </c>
      <c r="B2180" s="3" t="inlineStr">
        <is>
          <t>Chi nhánh</t>
        </is>
      </c>
      <c r="C2180" s="3" t="inlineStr">
        <is>
          <t>Branch</t>
        </is>
      </c>
      <c r="D2180" s="217">
        <f>IFERROR(__xludf.DUMMYFUNCTION("GOOGLETRANSLATE(C2180,""vi"",""km"")"),"គ្រួសារ")</f>
        <v/>
      </c>
      <c r="E2180" s="3" t="n"/>
      <c r="F2180" s="3" t="inlineStr">
        <is>
          <t>សាខា</t>
        </is>
      </c>
      <c r="G2180" s="3" t="n"/>
      <c r="H2180" s="217" t="inlineStr">
        <is>
          <t>"delivery.warehouse.modifyDepartment.branchCode": "សាខា",</t>
        </is>
      </c>
      <c r="I2180" t="inlineStr">
        <is>
          <t>សាខា</t>
        </is>
      </c>
    </row>
    <row r="2181">
      <c r="A2181" s="3" t="inlineStr">
        <is>
          <t>delivery.warehouse.modifyDepartment.branchCodePlaceholder</t>
        </is>
      </c>
      <c r="B2181" s="3" t="inlineStr">
        <is>
          <t>Chọn chi nhánh</t>
        </is>
      </c>
      <c r="C2181" s="3" t="inlineStr">
        <is>
          <t>Select branch</t>
        </is>
      </c>
      <c r="D2181" s="217">
        <f>IFERROR(__xludf.DUMMYFUNCTION("GOOGLETRANSLATE(C2181,""vi"",""km"")"),"ជ្រើសរើសទ្រូង")</f>
        <v/>
      </c>
      <c r="E2181" s="3" t="n"/>
      <c r="F2181" s="3" t="inlineStr">
        <is>
          <t>ជ្រើសរើសទ្រូង</t>
        </is>
      </c>
      <c r="G2181" s="3" t="n"/>
      <c r="H2181" s="217" t="inlineStr">
        <is>
          <t>"delivery.warehouse.modifyDepartment.branchCodePlaceholder": "ជ្រើសរើសទ្រូង",</t>
        </is>
      </c>
      <c r="I2181" t="inlineStr">
        <is>
          <t>ជ្រើសរើសទ្រូង</t>
        </is>
      </c>
    </row>
    <row r="2182">
      <c r="A2182" s="3" t="inlineStr">
        <is>
          <t>delivery.warehouse.modifyDepartment.createSuccess</t>
        </is>
      </c>
      <c r="B2182" s="3" t="inlineStr">
        <is>
          <t>Thêm mới thông tin thành công</t>
        </is>
      </c>
      <c r="C2182" s="3" t="inlineStr">
        <is>
          <t>Created information successfully</t>
        </is>
      </c>
      <c r="D2182" s="217">
        <f>IFERROR(__xludf.DUMMYFUNCTION("GOOGLETRANSLATE(C2182,""vi"",""km"")"),"បានបង្កើតព័ត៌មានដោយជោគជ័យ")</f>
        <v/>
      </c>
      <c r="E2182" s="3" t="n"/>
      <c r="F2182" s="3" t="inlineStr">
        <is>
          <t>បានបង្កើតព័ត៌មានដោយជោគជ័យ</t>
        </is>
      </c>
      <c r="G2182" s="3" t="n"/>
      <c r="H2182" s="217" t="inlineStr">
        <is>
          <t>"delivery.warehouse.modifyDepartment.createSuccess": "បានបង្កើតព័ត៌មានដោយជោគជ័យ",</t>
        </is>
      </c>
      <c r="I2182" t="inlineStr">
        <is>
          <t>បានបង្កើតព័ត៌មានដោយជោគជ័យ</t>
        </is>
      </c>
    </row>
    <row r="2183">
      <c r="A2183" s="3" t="inlineStr">
        <is>
          <t>delivery.warehouse.modifyDepartment.departmentCode</t>
        </is>
      </c>
      <c r="B2183" s="3" t="inlineStr">
        <is>
          <t>Mã bưu cục</t>
        </is>
      </c>
      <c r="C2183" s="3" t="inlineStr">
        <is>
          <t>Postal code</t>
        </is>
      </c>
      <c r="D2183" s="217">
        <f>IFERROR(__xludf.DUMMYFUNCTION("GOOGLETRANSLATE(C2183,""vi"",""km"")"),"លេខកូដប្រៃសណីយ៍")</f>
        <v/>
      </c>
      <c r="E2183" s="3" t="n"/>
      <c r="F2183" s="3" t="inlineStr">
        <is>
          <t>លេខកូដប្រៃសណីយ៍</t>
        </is>
      </c>
      <c r="G2183" s="3" t="n"/>
      <c r="H2183" s="217" t="inlineStr">
        <is>
          <t>"delivery.warehouse.modifyDepartment.departmentCode": "លេខកូដប្រៃសណីយ៍",</t>
        </is>
      </c>
      <c r="I2183" t="inlineStr">
        <is>
          <t>លេខកូដប្រៃសណីយ៍</t>
        </is>
      </c>
    </row>
    <row r="2184">
      <c r="A2184" s="3" t="inlineStr">
        <is>
          <t>delivery.warehouse.modifyDepartment.departmentCodePlaceholder</t>
        </is>
      </c>
      <c r="B2184" s="3" t="inlineStr">
        <is>
          <t>Nhập mã bưu cục</t>
        </is>
      </c>
      <c r="C2184" s="3" t="inlineStr">
        <is>
          <t>Enter postal code</t>
        </is>
      </c>
      <c r="D2184" s="217">
        <f>IFERROR(__xludf.DUMMYFUNCTION("GOOGLETRANSLATE(C2184,""vi"",""km"")"),"បញ្ចូលលេខកូដប្រៃសណីយ៍")</f>
        <v/>
      </c>
      <c r="E2184" s="3" t="n"/>
      <c r="F2184" s="3" t="inlineStr">
        <is>
          <t>បញ្ចូលលេខកូដប្រៃសណីយ៍</t>
        </is>
      </c>
      <c r="G2184" s="3" t="n"/>
      <c r="H2184" s="217" t="inlineStr">
        <is>
          <t>"delivery.warehouse.modifyDepartment.departmentCodePlaceholder": "បញ្ចូលលេខកូដប្រៃសណីយ៍",</t>
        </is>
      </c>
      <c r="I2184" t="inlineStr">
        <is>
          <t>បញ្ចូលលេខកូដប្រៃសណីយ៍</t>
        </is>
      </c>
    </row>
    <row r="2185">
      <c r="A2185" s="3" t="inlineStr">
        <is>
          <t>delivery.warehouse.modifyDepartment.departmentNamePlaceholder</t>
        </is>
      </c>
      <c r="B2185" s="3" t="inlineStr">
        <is>
          <t>Nhập tên bưu cục</t>
        </is>
      </c>
      <c r="C2185" s="3" t="inlineStr">
        <is>
          <t>Enter post office name</t>
        </is>
      </c>
      <c r="D2185" s="217">
        <f>IFERROR(__xludf.DUMMYFUNCTION("GOOGLETRANSLATE(C2185,""vi"",""km"")"),"បញ្ចូលឈ្មោះការិយាល័យប្រៃសណីយ៍")</f>
        <v/>
      </c>
      <c r="E2185" s="3" t="n"/>
      <c r="F2185" s="3" t="inlineStr">
        <is>
          <t>បញ្ចូលឈ្មោះការិយាល័យប្រៃសណីយ៍</t>
        </is>
      </c>
      <c r="G2185" s="3" t="n"/>
      <c r="H2185" s="217" t="inlineStr">
        <is>
          <t>"delivery.warehouse.modifyDepartment.departmentNamePlaceholder": "បញ្ចូលឈ្មោះការិយាល័យប្រៃសណីយ៍",</t>
        </is>
      </c>
      <c r="I2185" t="inlineStr">
        <is>
          <t>បញ្ចូលឈ្មោះការិយាល័យប្រៃសណីយ៍</t>
        </is>
      </c>
    </row>
    <row r="2186">
      <c r="A2186" s="3" t="inlineStr">
        <is>
          <t>delivery.warehouse.modifyDepartment.departmentPhone</t>
        </is>
      </c>
      <c r="B2186" s="3" t="inlineStr">
        <is>
          <t>SĐT bưu cục</t>
        </is>
      </c>
      <c r="C2186" s="3" t="inlineStr">
        <is>
          <t>Post office phone number</t>
        </is>
      </c>
      <c r="D2186" s="217">
        <f>IFERROR(__xludf.DUMMYFUNCTION("GOOGLETRANSLATE(C2186,""vi"",""km"")"),"លេខទូរស័ព្ទប្រៃសណីយ៍")</f>
        <v/>
      </c>
      <c r="E2186" s="3" t="n"/>
      <c r="F2186" s="3" t="inlineStr">
        <is>
          <t>លេខទូរស័ព្ទប្រៃសណីយ៍</t>
        </is>
      </c>
      <c r="G2186" s="3" t="n"/>
      <c r="H2186" s="217" t="inlineStr">
        <is>
          <t>"delivery.warehouse.modifyDepartment.departmentPhone": "លេខទូរស័ព្ទប្រៃសណីយ៍",</t>
        </is>
      </c>
      <c r="I2186" t="inlineStr">
        <is>
          <t>លេខទូរស័ព្ទប្រៃសណីយ៍</t>
        </is>
      </c>
    </row>
    <row r="2187">
      <c r="A2187" s="3" t="inlineStr">
        <is>
          <t>delivery.warehouse.modifyDepartment.departmentPhonePlaceholder</t>
        </is>
      </c>
      <c r="B2187" s="3" t="inlineStr">
        <is>
          <t>Nhập SĐT</t>
        </is>
      </c>
      <c r="C2187" s="3" t="inlineStr">
        <is>
          <t>Enter phone number</t>
        </is>
      </c>
      <c r="D2187" s="217">
        <f>IFERROR(__xludf.DUMMYFUNCTION("GOOGLETRANSLATE(C2187,""vi"",""km"")"),"បញ្ចូលលេខទូរស័ព្ទ")</f>
        <v/>
      </c>
      <c r="E2187" s="3" t="n"/>
      <c r="F2187" s="3" t="inlineStr">
        <is>
          <t>បញ្ចូលលេខទូរស័ព្ទ</t>
        </is>
      </c>
      <c r="G2187" s="3" t="n"/>
      <c r="H2187" s="217" t="inlineStr">
        <is>
          <t>"delivery.warehouse.modifyDepartment.departmentPhonePlaceholder": "បញ្ចូលលេខទូរស័ព្ទ",</t>
        </is>
      </c>
      <c r="I2187" t="inlineStr">
        <is>
          <t>បញ្ចូលលេខទូរស័ព្ទ</t>
        </is>
      </c>
    </row>
    <row r="2188">
      <c r="A2188" s="3" t="inlineStr">
        <is>
          <t>delivery.warehouse.modifyDepartment.district</t>
        </is>
      </c>
      <c r="B2188" s="3" t="inlineStr">
        <is>
          <t>Huyện</t>
        </is>
      </c>
      <c r="C2188" s="3" t="inlineStr">
        <is>
          <t>District</t>
        </is>
      </c>
      <c r="D2188" s="217">
        <f>IFERROR(__xludf.DUMMYFUNCTION("GOOGLETRANSLATE(C2188,""vi"",""km"")"),"ស្រុក")</f>
        <v/>
      </c>
      <c r="E2188" s="3" t="n"/>
      <c r="F2188" s="3" t="inlineStr">
        <is>
          <t>ស្រុក</t>
        </is>
      </c>
      <c r="G2188" s="3" t="n"/>
      <c r="H2188" s="217" t="inlineStr">
        <is>
          <t>"delivery.warehouse.modifyDepartment.district": "ស្រុក",</t>
        </is>
      </c>
      <c r="I2188" t="inlineStr">
        <is>
          <t>ស្រុក</t>
        </is>
      </c>
    </row>
    <row r="2189">
      <c r="A2189" s="3" t="inlineStr">
        <is>
          <t>delivery.warehouse.modifyDepartment.districtPlaceholder</t>
        </is>
      </c>
      <c r="B2189" s="3" t="inlineStr">
        <is>
          <t>Chọn huyện</t>
        </is>
      </c>
      <c r="C2189" s="3" t="inlineStr">
        <is>
          <t>Enter district</t>
        </is>
      </c>
      <c r="D2189" s="217">
        <f>IFERROR(__xludf.DUMMYFUNCTION("GOOGLETRANSLATE(C2189,""vi"",""km"")"),"បញ្ចូលស្រុក")</f>
        <v/>
      </c>
      <c r="E2189" s="3" t="n"/>
      <c r="F2189" s="3" t="inlineStr">
        <is>
          <t>បញ្ចូលស្រុក</t>
        </is>
      </c>
      <c r="G2189" s="3" t="n"/>
      <c r="H2189" s="217" t="inlineStr">
        <is>
          <t>"delivery.warehouse.modifyDepartment.districtPlaceholder": "បញ្ចូលស្រុក",</t>
        </is>
      </c>
      <c r="I2189" t="inlineStr">
        <is>
          <t>បញ្ចូលស្រុក</t>
        </is>
      </c>
    </row>
    <row r="2190">
      <c r="A2190" s="3" t="inlineStr">
        <is>
          <t>delivery.warehouse.modifyDepartment.duplicateBranch</t>
        </is>
      </c>
      <c r="B2190" s="3" t="inlineStr">
        <is>
          <t>trùng với mã chi nhánh đã tồn tại.</t>
        </is>
      </c>
      <c r="C2190" s="3" t="inlineStr">
        <is>
          <t>Postal code already exists</t>
        </is>
      </c>
      <c r="D2190" s="217">
        <f>IFERROR(__xludf.DUMMYFUNCTION("GOOGLETRANSLATE(C2190,""vi"",""km"")"),"លេខកូដប្រៃសណីយ៍មានរួចហើយ")</f>
        <v/>
      </c>
      <c r="E2190" s="3" t="n"/>
      <c r="F2190" s="3" t="inlineStr">
        <is>
          <t>លេខកូដប្រៃសណីយ៍មានរួចហើយ</t>
        </is>
      </c>
      <c r="G2190" s="3" t="n"/>
      <c r="H2190" s="217" t="inlineStr">
        <is>
          <t>"delivery.warehouse.modifyDepartment.duplicateBranch": "លេខកូដប្រៃសណីយ៍មានរួចហើយ",</t>
        </is>
      </c>
      <c r="I2190" t="inlineStr">
        <is>
          <t>លេខកូដប្រៃសណីយ៍មានរួចហើយ</t>
        </is>
      </c>
    </row>
    <row r="2191">
      <c r="A2191" s="3" t="inlineStr">
        <is>
          <t>delivery.warehouse.modifyDepartment.endAt</t>
        </is>
      </c>
      <c r="B2191" s="3" t="inlineStr">
        <is>
          <t>Thời gian kết thúc</t>
        </is>
      </c>
      <c r="C2191" s="3" t="inlineStr">
        <is>
          <t>End time</t>
        </is>
      </c>
      <c r="D2191" s="217">
        <f>IFERROR(__xludf.DUMMYFUNCTION("GOOGLETRANSLATE(C2191,""vi"",""km"")"),"ពេលវេលាបញ្ចប់")</f>
        <v/>
      </c>
      <c r="E2191" s="3" t="n"/>
      <c r="F2191" s="3" t="inlineStr">
        <is>
          <t>ពេលវេលាបញ្ចប់</t>
        </is>
      </c>
      <c r="G2191" s="3" t="n"/>
      <c r="H2191" s="217" t="inlineStr">
        <is>
          <t>"delivery.warehouse.modifyDepartment.endAt": "ពេលវេលាបញ្ចប់",</t>
        </is>
      </c>
      <c r="I2191" t="inlineStr">
        <is>
          <t>ពេលវេលាបញ្ចប់</t>
        </is>
      </c>
    </row>
    <row r="2192">
      <c r="A2192" s="3" t="inlineStr">
        <is>
          <t>delivery.warehouse.modifyDepartment.enterLat</t>
        </is>
      </c>
      <c r="B2192" s="3" t="inlineStr">
        <is>
          <t>Nhập vĩ độ</t>
        </is>
      </c>
      <c r="C2192" s="3" t="inlineStr">
        <is>
          <t>Enter latitude</t>
        </is>
      </c>
      <c r="D2192" s="217">
        <f>IFERROR(__xludf.DUMMYFUNCTION("GOOGLETRANSLATE(C2192,""vi"",""km"")"),"បញ្ចូលរយៈទទឹង")</f>
        <v/>
      </c>
      <c r="E2192" s="3" t="n"/>
      <c r="F2192" s="3" t="inlineStr">
        <is>
          <t>បញ្ចូលរយៈទទឹង</t>
        </is>
      </c>
      <c r="G2192" s="3" t="n"/>
      <c r="H2192" s="217" t="inlineStr">
        <is>
          <t>"delivery.warehouse.modifyDepartment.enterLat": "បញ្ចូលរយៈទទឹង",</t>
        </is>
      </c>
      <c r="I2192" t="inlineStr">
        <is>
          <t>បញ្ចូលរយៈទទឹង</t>
        </is>
      </c>
    </row>
    <row r="2193">
      <c r="A2193" s="3" t="inlineStr">
        <is>
          <t>delivery.warehouse.modifyDepartment.enterLon</t>
        </is>
      </c>
      <c r="B2193" s="3" t="inlineStr">
        <is>
          <t>Nhập kinh độ</t>
        </is>
      </c>
      <c r="C2193" s="3" t="inlineStr">
        <is>
          <t>Enter longitude</t>
        </is>
      </c>
      <c r="D2193" s="217">
        <f>IFERROR(__xludf.DUMMYFUNCTION("GOOGLETRANSLATE(C2193,""vi"",""km"")"),"បញ្ចូលរយៈបណ្តោយ")</f>
        <v/>
      </c>
      <c r="E2193" s="3" t="n"/>
      <c r="F2193" s="3" t="inlineStr">
        <is>
          <t>បញ្ចូលរយៈបណ្តោយ</t>
        </is>
      </c>
      <c r="G2193" s="3" t="n"/>
      <c r="H2193" s="217" t="inlineStr">
        <is>
          <t>"delivery.warehouse.modifyDepartment.enterLon": "បញ្ចូលរយៈបណ្តោយ",</t>
        </is>
      </c>
      <c r="I2193" t="inlineStr">
        <is>
          <t>បញ្ចូលរយៈបណ្តោយ</t>
        </is>
      </c>
    </row>
    <row r="2194">
      <c r="A2194" s="3" t="inlineStr">
        <is>
          <t>delivery.warehouse.modifyDepartment.errorGetData</t>
        </is>
      </c>
      <c r="B2194" s="3" t="inlineStr">
        <is>
          <t>Lỗi khi lấy dữ liệu thông tin bưu cục</t>
        </is>
      </c>
      <c r="C2194" s="3" t="inlineStr">
        <is>
          <t>Error when retrieving post office information data</t>
        </is>
      </c>
      <c r="D2194" s="217">
        <f>IFERROR(__xludf.DUMMYFUNCTION("GOOGLETRANSLATE(C2194,""vi"",""km"")"),"កំហុសនៅពេលទាញយកទិន្នន័យព័ត៌មានការិយាល័យប្រៃសណីយ៍")</f>
        <v/>
      </c>
      <c r="E2194" s="3" t="n"/>
      <c r="F2194" s="3" t="inlineStr">
        <is>
          <t>កំហុសនៅពេលទាញយកទិន្នន័យព័ត៌មានការិយាល័យប្រៃសណីយ៍</t>
        </is>
      </c>
      <c r="G2194" s="3" t="n"/>
      <c r="H2194" s="217" t="inlineStr">
        <is>
          <t>"delivery.warehouse.modifyDepartment.errorGetData": "កំហុសនៅពេលទាញយកទិន្នន័យព័ត៌មានការិយាល័យប្រៃសណីយ៍",</t>
        </is>
      </c>
      <c r="I2194" t="inlineStr">
        <is>
          <t>កំហុសនៅពេលទាញយកទិន្នន័យព័ត៌មានការិយាល័យប្រៃសណីយ៍</t>
        </is>
      </c>
    </row>
    <row r="2195">
      <c r="A2195" s="3" t="inlineStr">
        <is>
          <t>delivery.warehouse.modifyDepartment.getListBranchError</t>
        </is>
      </c>
      <c r="B2195" s="3" t="inlineStr">
        <is>
          <t>Lỗi danh sách chi nhánh</t>
        </is>
      </c>
      <c r="C2195" s="3" t="inlineStr">
        <is>
          <t>Error branch list</t>
        </is>
      </c>
      <c r="D2195" s="217">
        <f>IFERROR(__xludf.DUMMYFUNCTION("GOOGLETRANSLATE(C2195,""vi"",""km"")"),"បញ្ជីសាខាកំហុស")</f>
        <v/>
      </c>
      <c r="E2195" s="3" t="n"/>
      <c r="F2195" s="3" t="inlineStr">
        <is>
          <t>បញ្ជីសាខាកំហុស</t>
        </is>
      </c>
      <c r="G2195" s="3" t="n"/>
      <c r="H2195" s="217" t="inlineStr">
        <is>
          <t>"delivery.warehouse.modifyDepartment.getListBranchError": "បញ្ជីសាខាកំហុស",</t>
        </is>
      </c>
      <c r="I2195" t="inlineStr">
        <is>
          <t>បញ្ជីសាខាកំហុស</t>
        </is>
      </c>
    </row>
    <row r="2196">
      <c r="A2196" s="3" t="inlineStr">
        <is>
          <t>delivery.warehouse.modifyDepartment.headPost</t>
        </is>
      </c>
      <c r="B2196" s="3" t="inlineStr">
        <is>
          <t>Trưởng bưu cục</t>
        </is>
      </c>
      <c r="C2196" s="3" t="inlineStr">
        <is>
          <t>Postmaster</t>
        </is>
      </c>
      <c r="D2196" s="217">
        <f>IFERROR(__xludf.DUMMYFUNCTION("GOOGLETRANSLATE(C2196,""vi"",""km"")"),"នាយប៉ុស្តិ៍")</f>
        <v/>
      </c>
      <c r="E2196" s="3" t="n"/>
      <c r="F2196" s="3" t="inlineStr">
        <is>
          <t>នាយប៉ុស្តិ៍</t>
        </is>
      </c>
      <c r="G2196" s="3" t="n"/>
      <c r="H2196" s="217" t="inlineStr">
        <is>
          <t>"delivery.warehouse.modifyDepartment.headPost": "នាយប៉ុស្តិ៍",</t>
        </is>
      </c>
      <c r="I2196" t="inlineStr">
        <is>
          <t>នាយប៉ុស្តិ៍</t>
        </is>
      </c>
    </row>
    <row r="2197">
      <c r="A2197" s="3" t="inlineStr">
        <is>
          <t>delivery.warehouse.modifyDepartment.historyDepartment</t>
        </is>
      </c>
      <c r="B2197" s="3" t="inlineStr">
        <is>
          <t>Lịch sử bưu cục</t>
        </is>
      </c>
      <c r="C2197" s="3" t="inlineStr">
        <is>
          <t>Post office history</t>
        </is>
      </c>
      <c r="D2197" s="217">
        <f>IFERROR(__xludf.DUMMYFUNCTION("GOOGLETRANSLATE(C2197,""vi"",""km"")"),"ប្រវត្តិ​ការិយាល័យ​ប្រៃសណីយ៍")</f>
        <v/>
      </c>
      <c r="E2197" s="3" t="n"/>
      <c r="F2197" s="3" t="inlineStr">
        <is>
          <t>ប្រវត្តិការិយាល័យប្រៃសណីយ៍</t>
        </is>
      </c>
      <c r="G2197" s="3" t="n"/>
      <c r="H2197" s="217" t="inlineStr">
        <is>
          <t>"delivery.warehouse.modifyDepartment.historyDepartment": "ប្រវត្តិការិយាល័យប្រៃសណីយ៍",</t>
        </is>
      </c>
      <c r="I2197" t="inlineStr">
        <is>
          <t>ប្រវត្តិការិយាល័យប្រៃសណីយ៍</t>
        </is>
      </c>
    </row>
    <row r="2198">
      <c r="A2198" s="3" t="inlineStr">
        <is>
          <t>delivery.warehouse.modifyDepartment.lat</t>
        </is>
      </c>
      <c r="B2198" s="3" t="inlineStr">
        <is>
          <t>Vĩ độ</t>
        </is>
      </c>
      <c r="C2198" s="3" t="inlineStr">
        <is>
          <t>Latitude</t>
        </is>
      </c>
      <c r="D2198" s="217">
        <f>IFERROR(__xludf.DUMMYFUNCTION("GOOGLETRANSLATE(C2198,""vi"",""km"")"),"រយៈទទឹង")</f>
        <v/>
      </c>
      <c r="E2198" s="3" t="n"/>
      <c r="F2198" s="3" t="inlineStr">
        <is>
          <t>រយៈទទឹង</t>
        </is>
      </c>
      <c r="G2198" s="3" t="n"/>
      <c r="H2198" s="217" t="inlineStr">
        <is>
          <t>"delivery.warehouse.modifyDepartment.lat": "រយៈទទឹង",</t>
        </is>
      </c>
      <c r="I2198" t="inlineStr">
        <is>
          <t>រយៈទទឹង</t>
        </is>
      </c>
    </row>
    <row r="2199">
      <c r="A2199" s="3" t="inlineStr">
        <is>
          <t>delivery.warehouse.modifyDepartment.level</t>
        </is>
      </c>
      <c r="B2199" s="3" t="inlineStr">
        <is>
          <t>Chọn cấp bưu cục</t>
        </is>
      </c>
      <c r="C2199" s="3" t="inlineStr">
        <is>
          <t>Select post office level</t>
        </is>
      </c>
      <c r="D2199" s="217">
        <f>IFERROR(__xludf.DUMMYFUNCTION("GOOGLETRANSLATE(C2199,""vi"",""km"")"),"ជ្រើសរើសកម្រិតការិយាល័យប្រៃសណីយ៍")</f>
        <v/>
      </c>
      <c r="E2199" s="3" t="n"/>
      <c r="F2199" s="3" t="inlineStr">
        <is>
          <t>ជ្រើសរើសកម្រិតការិយាល័យប្រៃសណីយ៍</t>
        </is>
      </c>
      <c r="G2199" s="3" t="n"/>
      <c r="H2199" s="217" t="inlineStr">
        <is>
          <t>"delivery.warehouse.modifyDepartment.level": "ជ្រើសរើសកម្រិតការិយាល័យប្រៃសណីយ៍",</t>
        </is>
      </c>
      <c r="I2199" t="inlineStr">
        <is>
          <t>ជ្រើសរើសកម្រិតការិយាល័យប្រៃសណីយ៍</t>
        </is>
      </c>
    </row>
    <row r="2200">
      <c r="A2200" s="3" t="inlineStr">
        <is>
          <t>delivery.warehouse.modifyDepartment.lon</t>
        </is>
      </c>
      <c r="B2200" s="3" t="inlineStr">
        <is>
          <t>Kinh độ</t>
        </is>
      </c>
      <c r="C2200" s="3" t="inlineStr">
        <is>
          <t>Longitude</t>
        </is>
      </c>
      <c r="D2200" s="217">
        <f>IFERROR(__xludf.DUMMYFUNCTION("GOOGLETRANSLATE(C2200,""vi"",""km"")"),"រយៈបណ្តោយ")</f>
        <v/>
      </c>
      <c r="E2200" s="3" t="n"/>
      <c r="F2200" s="3" t="inlineStr">
        <is>
          <t>រយៈបណ្តោយ</t>
        </is>
      </c>
      <c r="G2200" s="3" t="n"/>
      <c r="H2200" s="217" t="inlineStr">
        <is>
          <t>"delivery.warehouse.modifyDepartment.lon": "រយៈបណ្តោយ",</t>
        </is>
      </c>
      <c r="I2200" t="inlineStr">
        <is>
          <t>រយៈបណ្តោយ</t>
        </is>
      </c>
    </row>
    <row r="2201">
      <c r="A2201" s="3" t="inlineStr">
        <is>
          <t>delivery.warehouse.modifyDepartment.nation</t>
        </is>
      </c>
      <c r="B2201" s="3" t="inlineStr">
        <is>
          <t>Quốc gia</t>
        </is>
      </c>
      <c r="C2201" s="3" t="inlineStr">
        <is>
          <t>Country</t>
        </is>
      </c>
      <c r="D2201" s="217">
        <f>IFERROR(__xludf.DUMMYFUNCTION("GOOGLETRANSLATE(C2201,""vi"",""km"")"),"ប្រទេស")</f>
        <v/>
      </c>
      <c r="E2201" s="3" t="n"/>
      <c r="F2201" s="3" t="inlineStr">
        <is>
          <t>ប្រទេស</t>
        </is>
      </c>
      <c r="G2201" s="3" t="n"/>
      <c r="H2201" s="217" t="inlineStr">
        <is>
          <t>"delivery.warehouse.modifyDepartment.nation": "ប្រទេស",</t>
        </is>
      </c>
      <c r="I2201" t="inlineStr">
        <is>
          <t>ប្រទេស</t>
        </is>
      </c>
    </row>
    <row r="2202">
      <c r="A2202" s="3" t="inlineStr">
        <is>
          <t>delivery.warehouse.modifyDepartment.notification</t>
        </is>
      </c>
      <c r="B2202" s="3" t="inlineStr">
        <is>
          <t>Vui lòng khai báo mã bưu cục khác!</t>
        </is>
      </c>
      <c r="C2202" s="3" t="inlineStr">
        <is>
          <t>Please declare another postal code!</t>
        </is>
      </c>
      <c r="D2202" s="217">
        <f>IFERROR(__xludf.DUMMYFUNCTION("GOOGLETRANSLATE(C2202,""vi"",""km"")"),"សូមប្រកាសលេខកូដប្រៃសណីយ៍មួយផ្សេងទៀត!")</f>
        <v/>
      </c>
      <c r="E2202" s="3" t="n"/>
      <c r="F2202" s="3" t="inlineStr">
        <is>
          <t>សូមប្រកាសលេខកូដប្រៃសណីយ៍មួយផ្សេងទៀត!</t>
        </is>
      </c>
      <c r="G2202" s="3" t="n"/>
      <c r="H2202" s="217" t="inlineStr">
        <is>
          <t>"delivery.warehouse.modifyDepartment.notification": "សូមប្រកាសលេខកូដប្រៃសណីយ៍មួយផ្សេងទៀត!",</t>
        </is>
      </c>
      <c r="I2202" t="inlineStr">
        <is>
          <t>សូមប្រកាសលេខកូដប្រៃសណីយ៍មួយផ្សេងទៀត!</t>
        </is>
      </c>
    </row>
    <row r="2203">
      <c r="A2203" s="3" t="inlineStr">
        <is>
          <t>delivery.warehouse.modifyDepartment.province</t>
        </is>
      </c>
      <c r="B2203" s="3" t="inlineStr">
        <is>
          <t>Liên bang/Vùng</t>
        </is>
      </c>
      <c r="C2203" s="3" t="inlineStr">
        <is>
          <t>Province</t>
        </is>
      </c>
      <c r="D2203" s="217">
        <f>IFERROR(__xludf.DUMMYFUNCTION("GOOGLETRANSLATE(C2203,""vi"",""km"")"),"ខេត្ត")</f>
        <v/>
      </c>
      <c r="E2203" s="3" t="n"/>
      <c r="F2203" s="3" t="inlineStr">
        <is>
          <t>ខេត្ត</t>
        </is>
      </c>
      <c r="G2203" s="3" t="n"/>
      <c r="H2203" s="217" t="inlineStr">
        <is>
          <t>"delivery.warehouse.modifyDepartment.province": "ខេត្ត",</t>
        </is>
      </c>
      <c r="I2203" t="inlineStr">
        <is>
          <t>ខេត្ត</t>
        </is>
      </c>
    </row>
    <row r="2204">
      <c r="A2204" s="3" t="inlineStr">
        <is>
          <t>delivery.warehouse.modifyDepartment.provincePlaceholder</t>
        </is>
      </c>
      <c r="B2204" s="3" t="inlineStr">
        <is>
          <t>Chọn liên bang/vùng</t>
        </is>
      </c>
      <c r="C2204" s="3" t="inlineStr">
        <is>
          <t>Enter province</t>
        </is>
      </c>
      <c r="D2204" s="217">
        <f>IFERROR(__xludf.DUMMYFUNCTION("GOOGLETRANSLATE(C2204,""vi"",""km"")"),"សាកល្បងខេត្ត")</f>
        <v/>
      </c>
      <c r="E2204" s="3" t="n"/>
      <c r="F2204" s="3" t="inlineStr">
        <is>
          <t>សាកល្បងខេត្ត</t>
        </is>
      </c>
      <c r="G2204" s="3" t="n"/>
      <c r="H2204" s="217" t="inlineStr">
        <is>
          <t>"delivery.warehouse.modifyDepartment.provincePlaceholder": "សាកល្បងខេត្ត",</t>
        </is>
      </c>
      <c r="I2204" t="inlineStr">
        <is>
          <t>សាកល្បងខេត្ត</t>
        </is>
      </c>
    </row>
    <row r="2205">
      <c r="A2205" s="3" t="inlineStr">
        <is>
          <t>delivery.warehouse.modifyDepartment.startAt</t>
        </is>
      </c>
      <c r="B2205" s="3" t="inlineStr">
        <is>
          <t>Thời gian bắt đầu</t>
        </is>
      </c>
      <c r="C2205" s="3" t="inlineStr">
        <is>
          <t>Start time</t>
        </is>
      </c>
      <c r="D2205" s="217">
        <f>IFERROR(__xludf.DUMMYFUNCTION("GOOGLETRANSLATE(C2205,""vi"",""km"")"),"ពេលវេលាចាប់ផ្តើម")</f>
        <v/>
      </c>
      <c r="E2205" s="3" t="n"/>
      <c r="F2205" s="3" t="inlineStr">
        <is>
          <t>ពេលវេលាចាប់ផ្តើម</t>
        </is>
      </c>
      <c r="G2205" s="3" t="n"/>
      <c r="H2205" s="217" t="inlineStr">
        <is>
          <t>"delivery.warehouse.modifyDepartment.startAt": "ពេលវេលាចាប់ផ្តើម",</t>
        </is>
      </c>
      <c r="I2205" t="inlineStr">
        <is>
          <t>ពេលវេលាចាប់ផ្តើម</t>
        </is>
      </c>
    </row>
    <row r="2206">
      <c r="A2206" s="3" t="inlineStr">
        <is>
          <t>delivery.warehouse.modifyDepartment.textConfirm</t>
        </is>
      </c>
      <c r="B2206" s="3" t="inlineStr">
        <is>
          <t>Quý khách có chắc chắn muốn lưu thông tin bưu cục này?</t>
        </is>
      </c>
      <c r="C2206" s="3" t="inlineStr">
        <is>
          <t>Are you sure you want to save postal information?</t>
        </is>
      </c>
      <c r="D2206" s="217">
        <f>IFERROR(__xludf.DUMMYFUNCTION("GOOGLETRANSLATE(C2206,""vi"",""km"")"),"តើអ្នកពិតជាចង់រក្សាទុកព័ត៌មានប្រៃសណីយ៍មែនទេ?")</f>
        <v/>
      </c>
      <c r="E2206" s="3" t="n"/>
      <c r="F2206" s="3" t="inlineStr">
        <is>
          <t>តើអ្នកពិតជាចង់រក្សាទុកព័ត៌មានប្រៃសណីយ៍មែនទេ?</t>
        </is>
      </c>
      <c r="G2206" s="3" t="n"/>
      <c r="H2206" s="217" t="inlineStr">
        <is>
          <t>"delivery.warehouse.modifyDepartment.textConfirm": "តើអ្នកពិតជាចង់រក្សាទុកព័ត៌មានប្រៃសណីយ៍មែនទេ?",</t>
        </is>
      </c>
      <c r="I2206" t="inlineStr">
        <is>
          <t>តើអ្នកពិតជាចង់រក្សាទុកព័ត៌មានប្រៃសណីយ៍មែនទេ?</t>
        </is>
      </c>
    </row>
    <row r="2207">
      <c r="A2207" s="3" t="inlineStr">
        <is>
          <t>delivery.warehouse.modifyDepartment.updateSuccess</t>
        </is>
      </c>
      <c r="B2207" s="3" t="inlineStr">
        <is>
          <t>Cập nhật thông tin thành công</t>
        </is>
      </c>
      <c r="C2207" s="3" t="inlineStr">
        <is>
          <t>Updated information successfully</t>
        </is>
      </c>
      <c r="D2207" s="217">
        <f>IFERROR(__xludf.DUMMYFUNCTION("GOOGLETRANSLATE(C2207,""vi"",""km"")"),"បានធ្វើបច្ចុប្បន្នភាពព័ត៌មានដោយជោគជ័យ")</f>
        <v/>
      </c>
      <c r="E2207" s="3" t="n"/>
      <c r="F2207" s="3" t="inlineStr">
        <is>
          <t>បានធ្វើបច្ចុប្បន្នភាពព័ត៌មានដោយជោគជ័យ</t>
        </is>
      </c>
      <c r="G2207" s="3" t="n"/>
      <c r="H2207" s="217" t="inlineStr">
        <is>
          <t>"delivery.warehouse.modifyDepartment.updateSuccess": "បានធ្វើបច្ចុប្បន្នភាពព័ត៌មានដោយជោគជ័យ",</t>
        </is>
      </c>
      <c r="I2207" t="inlineStr">
        <is>
          <t>បានធ្វើបច្ចុប្បន្នភាពព័ត៌មានដោយជោគជ័យ</t>
        </is>
      </c>
    </row>
    <row r="2208">
      <c r="A2208" s="3" t="inlineStr">
        <is>
          <t>delivery.warehouse.modifyDepartment.userManagement</t>
        </is>
      </c>
      <c r="B2208" s="3" t="inlineStr">
        <is>
          <t>Người quản lý</t>
        </is>
      </c>
      <c r="C2208" s="3" t="inlineStr">
        <is>
          <t>Branch Manager</t>
        </is>
      </c>
      <c r="D2208" s="217">
        <f>IFERROR(__xludf.DUMMYFUNCTION("GOOGLETRANSLATE(C2208,""vi"",""km"")"),"អ្នកគ្រប់គ្រងសាខា")</f>
        <v/>
      </c>
      <c r="E2208" s="3" t="n"/>
      <c r="F2208" s="3" t="inlineStr">
        <is>
          <t>អ្នកគ្រប់គ្រងសាខា</t>
        </is>
      </c>
      <c r="G2208" s="3" t="n"/>
      <c r="H2208" s="217" t="inlineStr">
        <is>
          <t>"delivery.warehouse.modifyDepartment.userManagement": "អ្នកគ្រប់គ្រងសាខា",</t>
        </is>
      </c>
      <c r="I2208" t="inlineStr">
        <is>
          <t>អ្នកគ្រប់គ្រងសាខា</t>
        </is>
      </c>
    </row>
    <row r="2209">
      <c r="A2209" s="3" t="inlineStr">
        <is>
          <t>delivery.warehouse.modifyDepartment.ward</t>
        </is>
      </c>
      <c r="B2209" s="3" t="inlineStr">
        <is>
          <t>Thị trấn</t>
        </is>
      </c>
      <c r="C2209" s="3" t="inlineStr">
        <is>
          <t>Commune</t>
        </is>
      </c>
      <c r="D2209" s="217">
        <f>IFERROR(__xludf.DUMMYFUNCTION("GOOGLETRANSLATE(C2209,""vi"",""km"")"),"ឃុំ")</f>
        <v/>
      </c>
      <c r="E2209" s="3" t="n"/>
      <c r="F2209" s="3" t="inlineStr">
        <is>
          <t>ឃុំ</t>
        </is>
      </c>
      <c r="G2209" s="3" t="n"/>
      <c r="H2209" s="217" t="inlineStr">
        <is>
          <t>"delivery.warehouse.modifyDepartment.ward": "ឃុំ",</t>
        </is>
      </c>
      <c r="I2209" t="inlineStr">
        <is>
          <t>ឃុំ</t>
        </is>
      </c>
    </row>
    <row r="2210">
      <c r="A2210" s="3" t="inlineStr">
        <is>
          <t>delivery.warehouse.modifyDepartment.wardPlaceholder</t>
        </is>
      </c>
      <c r="B2210" s="3" t="inlineStr">
        <is>
          <t>Chọn thị trấn</t>
        </is>
      </c>
      <c r="C2210" s="3" t="inlineStr">
        <is>
          <t>Enter commune</t>
        </is>
      </c>
      <c r="D2210" s="217">
        <f>IFERROR(__xludf.DUMMYFUNCTION("GOOGLETRANSLATE(C2210,""vi"",""km"")"),"ចូលឃុំ")</f>
        <v/>
      </c>
      <c r="E2210" s="3" t="n"/>
      <c r="F2210" s="3" t="inlineStr">
        <is>
          <t>ចូលឃុំ</t>
        </is>
      </c>
      <c r="G2210" s="3" t="n"/>
      <c r="H2210" s="217" t="inlineStr">
        <is>
          <t>"delivery.warehouse.modifyDepartment.wardPlaceholder": "ចូលឃុំ",</t>
        </is>
      </c>
      <c r="I2210" t="inlineStr">
        <is>
          <t>ចូលឃុំ</t>
        </is>
      </c>
    </row>
    <row r="2211">
      <c r="A2211" s="3" t="inlineStr">
        <is>
          <t>delivery.warehouse.modifyListDepartment.changeStatus</t>
        </is>
      </c>
      <c r="B2211" s="3" t="inlineStr">
        <is>
          <t>Bạn có chắc chắn muốn thay đổi trạng thái ở bưu cục "{{name}}" thành "{{status}}" không?</t>
        </is>
      </c>
      <c r="C2211" s="3" t="inlineStr">
        <is>
          <t>Do you want to switch user status to {{status}} for {{name}}</t>
        </is>
      </c>
      <c r="D2211" s="217">
        <f>IFERROR(__xludf.DUMMYFUNCTION("GOOGLETRANSLATE(C2211,""vi"",""km"")"),"តើអ្នកចង់ប្តូរស្ថានភាពអ្នកប្រើប្រាស់ទៅ {{status}} សម្រាប់ {{name}} ដែរឬទេ?")</f>
        <v/>
      </c>
      <c r="E2211" s="3" t="n"/>
      <c r="F2211" s="3" t="inlineStr">
        <is>
          <t>តើអ្នកចង់ប្តូរស្ថានភាពអ្នកប្រើប្រាស់ទៅ {{status}} សម្រាប់ {{name}} ដែរឬទេ?</t>
        </is>
      </c>
      <c r="G2211" s="3" t="n"/>
      <c r="H2211" s="217" t="inlineStr">
        <is>
          <t>"delivery.warehouse.modifyListDepartment.changeStatus": "តើអ្នកចង់ប្តូរស្ថានភាពអ្នកប្រើប្រាស់ទៅ {{status}} សម្រាប់ {{name}} ដែរឬទេ?",</t>
        </is>
      </c>
      <c r="I2211" t="inlineStr">
        <is>
          <t>តើអ្នកចង់ប្តូរស្ថានភាពអ្នកប្រើប្រាស់ទៅ {{status}} សម្រាប់ {{name}} ដែរឬទេ?</t>
        </is>
      </c>
    </row>
    <row r="2212">
      <c r="A2212" s="3" t="inlineStr">
        <is>
          <t>delivery.warehouse.modifyListDepartment.departmentCode</t>
        </is>
      </c>
      <c r="B2212" s="3" t="inlineStr">
        <is>
          <t>Bưu cục</t>
        </is>
      </c>
      <c r="C2212" s="3" t="inlineStr">
        <is>
          <t>Post office</t>
        </is>
      </c>
      <c r="D2212" s="217">
        <f>IFERROR(__xludf.DUMMYFUNCTION("GOOGLETRANSLATE(C2212,""vi"",""km"")"),"ការិយាល័យប្រៃសណីយ៍")</f>
        <v/>
      </c>
      <c r="E2212" s="3" t="n"/>
      <c r="F2212" s="3" t="inlineStr">
        <is>
          <t>ការិយាល័យប្រៃសណីយ៍</t>
        </is>
      </c>
      <c r="G2212" s="3" t="n"/>
      <c r="H2212" s="217" t="inlineStr">
        <is>
          <t>"delivery.warehouse.modifyListDepartment.departmentCode": "ការិយាល័យប្រៃសណីយ៍",</t>
        </is>
      </c>
      <c r="I2212" t="inlineStr">
        <is>
          <t>ការិយាល័យប្រៃសណីយ៍</t>
        </is>
      </c>
    </row>
    <row r="2213">
      <c r="A2213" s="3" t="inlineStr">
        <is>
          <t>delivery.warehouse.modifyListDepartment.messageNotice</t>
        </is>
      </c>
      <c r="B2213" s="3" t="inlineStr">
        <is>
          <t>Tất cả bưu cục đã được phân quyền. Không thêm được bưu cục nào.</t>
        </is>
      </c>
      <c r="C2213" s="3" t="inlineStr">
        <is>
          <t>All post offices have been granted access. No more post offices can be added.</t>
        </is>
      </c>
      <c r="D2213" s="217">
        <f>IFERROR(__xludf.DUMMYFUNCTION("GOOGLETRANSLATE(C2213,""vi"",""km"")"),"ការិយាល័យប្រៃសណីយ៍ទាំងអស់ត្រូវបានផ្តល់សិទ្ធិចូលប្រើប្រាស់។ មិនអាចបន្ថែមការិយាល័យប្រៃសណីយ៍បន្ថែមទៀតបានទេ។")</f>
        <v/>
      </c>
      <c r="E2213" s="3" t="n"/>
      <c r="F2213" s="3" t="inlineStr">
        <is>
          <t>ការិយាល័យប្រៃសណីយ៍ទាំងអស់ត្រូវបានផ្តល់សិទ្ធិចូលប្រើប្រាស់។ មិនអាចបន្ថែមការិយាល័យប្រៃសណីយ៍បន្ថែមទៀតបានទេ។</t>
        </is>
      </c>
      <c r="G2213" s="3" t="n"/>
      <c r="H2213" s="217" t="inlineStr">
        <is>
          <t>"delivery.warehouse.modifyListDepartment.messageNotice": "ការិយាល័យប្រៃសណីយ៍ទាំងអស់ត្រូវបានផ្តល់សិទ្ធិចូលប្រើប្រាស់។ មិនអាចបន្ថែមការិយាល័យប្រៃសណីយ៍បន្ថែមទៀតបានទេ។",</t>
        </is>
      </c>
      <c r="I2213" t="inlineStr">
        <is>
          <t>ការិយាល័យប្រៃសណីយ៍ទាំងអស់ត្រូវបានផ្តល់សិទ្ធិចូលប្រើប្រាស់។ មិនអាចបន្ថែមការិយាល័យប្រៃសណីយ៍បន្ថែមទៀតបានទេ។</t>
        </is>
      </c>
    </row>
    <row r="2214">
      <c r="A2214" s="3" t="inlineStr">
        <is>
          <t>delivery.warehouse.modifyListDepartment.roleCode</t>
        </is>
      </c>
      <c r="B2214" s="3" t="inlineStr">
        <is>
          <t>Chức danh</t>
        </is>
      </c>
      <c r="C2214" s="3" t="inlineStr">
        <is>
          <t>Role</t>
        </is>
      </c>
      <c r="D2214" s="217">
        <f>IFERROR(__xludf.DUMMYFUNCTION("GOOGLETRANSLATE(C2214,""vi"",""km"")"),"តួនាទី")</f>
        <v/>
      </c>
      <c r="E2214" s="3" t="n"/>
      <c r="F2214" s="3" t="inlineStr">
        <is>
          <t>តួនាទី</t>
        </is>
      </c>
      <c r="G2214" s="3" t="n"/>
      <c r="H2214" s="217" t="inlineStr">
        <is>
          <t>"delivery.warehouse.modifyListDepartment.roleCode": "តួនាទី",</t>
        </is>
      </c>
      <c r="I2214" t="inlineStr">
        <is>
          <t>តួនាទី</t>
        </is>
      </c>
    </row>
    <row r="2215">
      <c r="A2215" s="3" t="inlineStr">
        <is>
          <t>delivery.warehouse.modifyListDepartment.title</t>
        </is>
      </c>
      <c r="B2215" s="3" t="inlineStr">
        <is>
          <t>Thông tin đơn vị</t>
        </is>
      </c>
      <c r="C2215" s="3" t="inlineStr">
        <is>
          <t>Unit information</t>
        </is>
      </c>
      <c r="D2215" s="217">
        <f>IFERROR(__xludf.DUMMYFUNCTION("GOOGLETRANSLATE(C2215,""vi"",""km"")"),"ព័ត៌មានអង្គភាព")</f>
        <v/>
      </c>
      <c r="E2215" s="3" t="n"/>
      <c r="F2215" s="3" t="inlineStr">
        <is>
          <t>ព័ត៌មានអង្គភាព</t>
        </is>
      </c>
      <c r="G2215" s="3" t="n"/>
      <c r="H2215" s="217" t="inlineStr">
        <is>
          <t>"delivery.warehouse.modifyListDepartment.title": "ព័ត៌មានអង្គភាព",</t>
        </is>
      </c>
      <c r="I2215" t="inlineStr">
        <is>
          <t>ព័ត៌មានអង្គភាព</t>
        </is>
      </c>
    </row>
    <row r="2216">
      <c r="A2216" s="3" t="inlineStr">
        <is>
          <t>delivery.warehouse.modifyListDepartment.titleAll</t>
        </is>
      </c>
      <c r="B2216" s="3" t="inlineStr">
        <is>
          <t>Thêm tất cả thông tin đơn vị</t>
        </is>
      </c>
      <c r="C2216" s="3" t="inlineStr">
        <is>
          <t>Add all unit information</t>
        </is>
      </c>
      <c r="D2216" s="217">
        <f>IFERROR(__xludf.DUMMYFUNCTION("GOOGLETRANSLATE(C2216,""vi"",""km"")"),"បន្ថែមព័ត៌មានអង្គភាពទាំងអស់")</f>
        <v/>
      </c>
      <c r="E2216" s="3" t="n"/>
      <c r="F2216" s="3" t="inlineStr">
        <is>
          <t>បន្ថែមព័ត៌មានអង្គភាពទាំងអស់</t>
        </is>
      </c>
      <c r="G2216" s="3" t="n"/>
      <c r="H2216" s="217" t="inlineStr">
        <is>
          <t>"delivery.warehouse.modifyListDepartment.titleAll": "បន្ថែមព័ត៌មានអង្គភាពទាំងអស់",</t>
        </is>
      </c>
      <c r="I2216" t="inlineStr">
        <is>
          <t>បន្ថែមព័ត៌មានអង្គភាពទាំងអស់</t>
        </is>
      </c>
    </row>
    <row r="2217">
      <c r="A2217" s="3" t="inlineStr">
        <is>
          <t>delivery.warehouse.modifyListUser.checkOnlyNumber</t>
        </is>
      </c>
      <c r="B2217" s="3" t="inlineStr">
        <is>
          <t>Vui lòng chỉ nhập số</t>
        </is>
      </c>
      <c r="C2217" s="3" t="inlineStr">
        <is>
          <t>Enter number only</t>
        </is>
      </c>
      <c r="D2217" s="217">
        <f>IFERROR(__xludf.DUMMYFUNCTION("GOOGLETRANSLATE(C2217,""vi"",""km"")"),"បញ្ចូលតែលេខប៉ុណ្ណោះ")</f>
        <v/>
      </c>
      <c r="E2217" s="3" t="n"/>
      <c r="F2217" s="3" t="inlineStr">
        <is>
          <t>បញ្ចូលតែលេខប៉ុណ្ណោះ</t>
        </is>
      </c>
      <c r="G2217" s="3" t="n"/>
      <c r="H2217" s="217" t="inlineStr">
        <is>
          <t>"delivery.warehouse.modifyListUser.checkOnlyNumber": "បញ្ចូលតែលេខប៉ុណ្ណោះ",</t>
        </is>
      </c>
      <c r="I2217" t="inlineStr">
        <is>
          <t>បញ្ចូលតែលេខប៉ុណ្ណោះ</t>
        </is>
      </c>
    </row>
    <row r="2218">
      <c r="A2218" s="3" t="inlineStr">
        <is>
          <t>delivery.warehouse.modifyListUser.containsSpecialCharacters</t>
        </is>
      </c>
      <c r="B2218" s="3" t="inlineStr">
        <is>
          <t>Không được phép nhập ký tự đặc biệt</t>
        </is>
      </c>
      <c r="C2218" s="3" t="inlineStr">
        <is>
          <t>Special characters are not allowed</t>
        </is>
      </c>
      <c r="D2218" s="217">
        <f>IFERROR(__xludf.DUMMYFUNCTION("GOOGLETRANSLATE(C2218,""vi"",""km"")"),"មិនអនុញ្ញាតឲ្យមានតួអក្សរពិសេសទេ")</f>
        <v/>
      </c>
      <c r="E2218" s="3" t="n"/>
      <c r="F2218" s="3" t="inlineStr">
        <is>
          <t>មិនអនុញ្ញាតឲ្យមានតួអក្សរពិសេសទេ</t>
        </is>
      </c>
      <c r="G2218" s="3" t="n"/>
      <c r="H2218" s="217" t="inlineStr">
        <is>
          <t>"delivery.warehouse.modifyListUser.containsSpecialCharacters": "មិនអនុញ្ញាតឲ្យមានតួអក្សរពិសេសទេ",</t>
        </is>
      </c>
      <c r="I2218" t="inlineStr">
        <is>
          <t>មិនអនុញ្ញាតឲ្យមានតួអក្សរពិសេសទេ</t>
        </is>
      </c>
    </row>
    <row r="2219">
      <c r="A2219" s="3" t="inlineStr">
        <is>
          <t>delivery.warehouse.modifyListUser.containsWhitespace</t>
        </is>
      </c>
      <c r="B2219" s="3" t="inlineStr">
        <is>
          <t>Không được phép chứa khoảng trắng</t>
        </is>
      </c>
      <c r="C2219" s="3" t="inlineStr">
        <is>
          <t>Spaces are not allowed</t>
        </is>
      </c>
      <c r="D2219" s="217">
        <f>IFERROR(__xludf.DUMMYFUNCTION("GOOGLETRANSLATE(C2219,""vi"",""km"")"),"មិនអនុញ្ញាតឱ្យមានចន្លោះទេ")</f>
        <v/>
      </c>
      <c r="E2219" s="3" t="n"/>
      <c r="F2219" s="3" t="inlineStr">
        <is>
          <t>មិនអនុញ្ញាតឱ្យមានចន្លោះទេ</t>
        </is>
      </c>
      <c r="G2219" s="3" t="n"/>
      <c r="H2219" s="217" t="inlineStr">
        <is>
          <t>"delivery.warehouse.modifyListUser.containsWhitespace": "មិនអនុញ្ញាតឱ្យមានចន្លោះទេ",</t>
        </is>
      </c>
      <c r="I2219" t="inlineStr">
        <is>
          <t>មិនអនុញ្ញាតឱ្យមានចន្លោះទេ</t>
        </is>
      </c>
    </row>
    <row r="2220">
      <c r="A2220" s="3" t="inlineStr">
        <is>
          <t>delivery.warehouse.modifyListUser.contractType</t>
        </is>
      </c>
      <c r="B2220" s="3" t="inlineStr">
        <is>
          <t>Loại hợp đồng</t>
        </is>
      </c>
      <c r="C2220" s="3" t="inlineStr">
        <is>
          <t>Contract type</t>
        </is>
      </c>
      <c r="D2220" s="217">
        <f>IFERROR(__xludf.DUMMYFUNCTION("GOOGLETRANSLATE(C2220,""vi"",""km"")"),"ប្រភេទកិច្ចសន្យា")</f>
        <v/>
      </c>
      <c r="E2220" s="3" t="n"/>
      <c r="F2220" s="3" t="inlineStr">
        <is>
          <t>ប្រភេទកិច្ចសន្យា</t>
        </is>
      </c>
      <c r="G2220" s="3" t="n"/>
      <c r="H2220" s="217" t="inlineStr">
        <is>
          <t>"delivery.warehouse.modifyListUser.contractType": "ប្រភេទកិច្ចសន្យា",</t>
        </is>
      </c>
      <c r="I2220" t="inlineStr">
        <is>
          <t>ប្រភេទកិច្ចសន្យា</t>
        </is>
      </c>
    </row>
    <row r="2221">
      <c r="A2221" s="3" t="inlineStr">
        <is>
          <t>delivery.warehouse.modifyListUser.dateOfBirth</t>
        </is>
      </c>
      <c r="B2221" s="3" t="inlineStr">
        <is>
          <t>Ngày sinh</t>
        </is>
      </c>
      <c r="C2221" s="3" t="inlineStr">
        <is>
          <t>Date of birth</t>
        </is>
      </c>
      <c r="D2221" s="217">
        <f>IFERROR(__xludf.DUMMYFUNCTION("GOOGLETRANSLATE(C2221,""vi"",""km"")"),"ថ្ងៃខែឆ្នាំកំណើត")</f>
        <v/>
      </c>
      <c r="E2221" s="3" t="n"/>
      <c r="F2221" s="3" t="inlineStr">
        <is>
          <t>ថ្ងៃខែឆ្នាំកំណើត</t>
        </is>
      </c>
      <c r="G2221" s="3" t="n"/>
      <c r="H2221" s="217" t="inlineStr">
        <is>
          <t>"delivery.warehouse.modifyListUser.dateOfBirth": "ថ្ងៃខែឆ្នាំកំណើត",</t>
        </is>
      </c>
      <c r="I2221" t="inlineStr">
        <is>
          <t>ថ្ងៃខែឆ្នាំកំណើត</t>
        </is>
      </c>
    </row>
    <row r="2222">
      <c r="A2222" s="3" t="inlineStr">
        <is>
          <t>delivery.warehouse.modifyListUser.duplicateUser</t>
        </is>
      </c>
      <c r="B2222" s="3" t="inlineStr">
        <is>
          <t>Người dùng đã có trên hệ thống</t>
        </is>
      </c>
      <c r="C2222" s="3" t="inlineStr">
        <is>
          <t>User already exists.</t>
        </is>
      </c>
      <c r="D2222" s="217">
        <f>IFERROR(__xludf.DUMMYFUNCTION("GOOGLETRANSLATE(C2222,""vi"",""km"")"),"អ្នកប្រើប្រាស់មានរួចហើយ។")</f>
        <v/>
      </c>
      <c r="E2222" s="3" t="n"/>
      <c r="F2222" s="3" t="inlineStr">
        <is>
          <t>អ្នកប្រើប្រាស់មានរួចហើយ។</t>
        </is>
      </c>
      <c r="G2222" s="3" t="n"/>
      <c r="H2222" s="217" t="inlineStr">
        <is>
          <t>"delivery.warehouse.modifyListUser.duplicateUser": "អ្នកប្រើប្រាស់មានរួចហើយ។",</t>
        </is>
      </c>
      <c r="I2222" t="inlineStr">
        <is>
          <t>អ្នកប្រើប្រាស់មានរួចហើយ។</t>
        </is>
      </c>
    </row>
    <row r="2223">
      <c r="A2223" s="3" t="inlineStr">
        <is>
          <t>delivery.warehouse.modifyListUser.email</t>
        </is>
      </c>
      <c r="B2223" s="3" t="inlineStr">
        <is>
          <t>Email</t>
        </is>
      </c>
      <c r="C2223" s="3" t="inlineStr">
        <is>
          <t>Email</t>
        </is>
      </c>
      <c r="D2223" s="217">
        <f>IFERROR(__xludf.DUMMYFUNCTION("GOOGLETRANSLATE(C2223,""vi"",""km"")"),"អ៊ីមែល")</f>
        <v/>
      </c>
      <c r="E2223" s="3" t="n"/>
      <c r="F2223" s="3" t="inlineStr">
        <is>
          <t>អ៊ីមែល</t>
        </is>
      </c>
      <c r="G2223" s="3" t="n"/>
      <c r="H2223" s="217" t="inlineStr">
        <is>
          <t>"delivery.warehouse.modifyListUser.email": "អ៊ីមែល",</t>
        </is>
      </c>
      <c r="I2223" t="inlineStr">
        <is>
          <t>អ៊ីមែល</t>
        </is>
      </c>
    </row>
    <row r="2224">
      <c r="A2224" s="3" t="inlineStr">
        <is>
          <t>delivery.warehouse.modifyListUser.empty</t>
        </is>
      </c>
      <c r="B2224" s="3" t="inlineStr">
        <is>
          <t>Nhập sai định dạng</t>
        </is>
      </c>
      <c r="C2224" s="3" t="inlineStr">
        <is>
          <t>invalid format</t>
        </is>
      </c>
      <c r="D2224" s="217">
        <f>IFERROR(__xludf.DUMMYFUNCTION("GOOGLETRANSLATE(C2224,""vi"",""km"")"),"ទម្រង់មិនត្រឹមត្រូវ")</f>
        <v/>
      </c>
      <c r="E2224" s="3" t="n"/>
      <c r="F2224" s="3" t="inlineStr">
        <is>
          <t>ទម្រង់មិនត្រឹមត្រូវ</t>
        </is>
      </c>
      <c r="G2224" s="3" t="n"/>
      <c r="H2224" s="217" t="inlineStr">
        <is>
          <t>"delivery.warehouse.modifyListUser.empty": "ទម្រង់មិនត្រឹមត្រូវ",</t>
        </is>
      </c>
      <c r="I2224" t="inlineStr">
        <is>
          <t>ទម្រង់មិនត្រឹមត្រូវ</t>
        </is>
      </c>
    </row>
    <row r="2225">
      <c r="A2225" s="3" t="inlineStr">
        <is>
          <t>delivery.warehouse.modifyListUser.firstName</t>
        </is>
      </c>
      <c r="B2225" s="3" t="inlineStr">
        <is>
          <t>Tên</t>
        </is>
      </c>
      <c r="C2225" s="3" t="inlineStr">
        <is>
          <t>Last name</t>
        </is>
      </c>
      <c r="D2225" s="217">
        <f>IFERROR(__xludf.DUMMYFUNCTION("GOOGLETRANSLATE(C2225,""vi"",""km"")"),"នាមត្រកូល")</f>
        <v/>
      </c>
      <c r="E2225" s="3" t="n"/>
      <c r="F2225" s="3" t="inlineStr">
        <is>
          <t>នាមត្រកូល</t>
        </is>
      </c>
      <c r="G2225" s="3" t="n"/>
      <c r="H2225" s="217" t="inlineStr">
        <is>
          <t>"delivery.warehouse.modifyListUser.firstName": "នាមត្រកូល",</t>
        </is>
      </c>
      <c r="I2225" t="inlineStr">
        <is>
          <t>នាមត្រកូល</t>
        </is>
      </c>
    </row>
    <row r="2226">
      <c r="A2226" s="3" t="inlineStr">
        <is>
          <t>delivery.warehouse.modifyListUser.gender</t>
        </is>
      </c>
      <c r="B2226" s="3" t="inlineStr">
        <is>
          <t>Giới tính</t>
        </is>
      </c>
      <c r="C2226" s="3" t="inlineStr">
        <is>
          <t>Gender</t>
        </is>
      </c>
      <c r="D2226" s="217">
        <f>IFERROR(__xludf.DUMMYFUNCTION("GOOGLETRANSLATE(C2226,""vi"",""km"")"),"ប្រាក់កម្ចី")</f>
        <v/>
      </c>
      <c r="E2226" s="3" t="n"/>
      <c r="F2226" s="3" t="inlineStr">
        <is>
          <t>ប្រាក់កម្ចី</t>
        </is>
      </c>
      <c r="G2226" s="3" t="n"/>
      <c r="H2226" s="217" t="inlineStr">
        <is>
          <t>"delivery.warehouse.modifyListUser.gender": "ប្រាក់កម្ចី",</t>
        </is>
      </c>
      <c r="I2226" t="inlineStr">
        <is>
          <t>ប្រាក់កម្ចី</t>
        </is>
      </c>
    </row>
    <row r="2227">
      <c r="A2227" s="3" t="inlineStr">
        <is>
          <t>delivery.warehouse.modifyListUser.idNo</t>
        </is>
      </c>
      <c r="B2227" s="3" t="inlineStr">
        <is>
          <t>Mã công dân</t>
        </is>
      </c>
      <c r="C2227" s="3" t="inlineStr">
        <is>
          <t>Citizen identification code</t>
        </is>
      </c>
      <c r="D2227" s="217">
        <f>IFERROR(__xludf.DUMMYFUNCTION("GOOGLETRANSLATE(C2227,""vi"",""km"")"),"លេខកូដសម្គាល់ពលរដ្ឋ")</f>
        <v/>
      </c>
      <c r="E2227" s="3" t="n"/>
      <c r="F2227" s="3" t="inlineStr">
        <is>
          <t>លេខកូដសម្គាល់ពលរដ្ឋ</t>
        </is>
      </c>
      <c r="G2227" s="3" t="n"/>
      <c r="H2227" s="217" t="inlineStr">
        <is>
          <t>"delivery.warehouse.modifyListUser.idNo": "លេខកូដសម្គាល់ពលរដ្ឋ",</t>
        </is>
      </c>
      <c r="I2227" t="inlineStr">
        <is>
          <t>លេខកូដសម្គាល់ពលរដ្ឋ</t>
        </is>
      </c>
    </row>
    <row r="2228">
      <c r="A2228" s="3" t="inlineStr">
        <is>
          <t>delivery.warehouse.modifyListUser.idNohint</t>
        </is>
      </c>
      <c r="B2228" s="3" t="inlineStr">
        <is>
          <t>CCCD/CMT</t>
        </is>
      </c>
      <c r="C2228" s="3" t="inlineStr">
        <is>
          <t>Citizen identification</t>
        </is>
      </c>
      <c r="D2228" s="217">
        <f>IFERROR(__xludf.DUMMYFUNCTION("GOOGLETRANSLATE(C2228,""vi"",""km"")"),"ការជ្រើសរើសពលរដ្ឋ")</f>
        <v/>
      </c>
      <c r="E2228" s="3" t="n"/>
      <c r="F2228" s="3" t="inlineStr">
        <is>
          <t>អត្តសញ្ញាណប័ណ្ណ</t>
        </is>
      </c>
      <c r="G2228" s="3" t="n"/>
      <c r="H2228" s="217" t="inlineStr">
        <is>
          <t>"delivery.warehouse.modifyListUser.idNohint": "អត្តសញ្ញាណប័ណ្ណ",</t>
        </is>
      </c>
      <c r="I2228" t="inlineStr">
        <is>
          <t>អត្តសញ្ញាណប័ណ្ណ</t>
        </is>
      </c>
    </row>
    <row r="2229">
      <c r="A2229" s="3" t="inlineStr">
        <is>
          <t>delivery.warehouse.modifyListUser.lastName</t>
        </is>
      </c>
      <c r="B2229" s="3" t="inlineStr">
        <is>
          <t>Họ &amp; tên đệm</t>
        </is>
      </c>
      <c r="C2229" s="3" t="inlineStr">
        <is>
          <t>First &amp; Middle Name</t>
        </is>
      </c>
      <c r="D2229" s="217">
        <f>IFERROR(__xludf.DUMMYFUNCTION("GOOGLETRANSLATE(C2229,""vi"",""km"")"),"ឈ្មោះ និងឈ្មោះកណ្តាល")</f>
        <v/>
      </c>
      <c r="E2229" s="3" t="n"/>
      <c r="F2229" s="3" t="inlineStr">
        <is>
          <t>ឈ្មោះ និងឈ្មោះកណ្តាល</t>
        </is>
      </c>
      <c r="G2229" s="3" t="n"/>
      <c r="H2229" s="217" t="inlineStr">
        <is>
          <t>"delivery.warehouse.modifyListUser.lastName": "ឈ្មោះ និងឈ្មោះកណ្តាល",</t>
        </is>
      </c>
      <c r="I2229" t="inlineStr">
        <is>
          <t>ឈ្មោះ និងឈ្មោះកណ្តាល</t>
        </is>
      </c>
    </row>
    <row r="2230">
      <c r="A2230" s="3" t="inlineStr">
        <is>
          <t>delivery.warehouse.modifyListUser.max100</t>
        </is>
      </c>
      <c r="B2230" s="3" t="inlineStr">
        <is>
          <t>Nhập tối đa 100 ký tự</t>
        </is>
      </c>
      <c r="C2230" s="3" t="inlineStr">
        <is>
          <t>Enter 100 characters max</t>
        </is>
      </c>
      <c r="D2230" s="217">
        <f>IFERROR(__xludf.DUMMYFUNCTION("GOOGLETRANSLATE(C2230,""vi"",""km"")"),"បញ្ចូលតួអក្សរអតិបរមា 100 តួអក្សរ។")</f>
        <v/>
      </c>
      <c r="E2230" s="3" t="n"/>
      <c r="F2230" s="3" t="inlineStr">
        <is>
          <t>បញ្ចូលតួអក្សរអតិបរមា 100 តួអក្សរ។</t>
        </is>
      </c>
      <c r="G2230" s="3" t="n"/>
      <c r="H2230" s="217" t="inlineStr">
        <is>
          <t>"delivery.warehouse.modifyListUser.max100": "បញ្ចូលតួអក្សរអតិបរមា 100 តួអក្សរ។",</t>
        </is>
      </c>
      <c r="I2230" t="inlineStr">
        <is>
          <t>បញ្ចូលតួអក្សរអតិបរមា 100 តួអក្សរ។</t>
        </is>
      </c>
    </row>
    <row r="2231">
      <c r="A2231" s="3" t="inlineStr">
        <is>
          <t>delivery.warehouse.modifyListUser.max20</t>
        </is>
      </c>
      <c r="B2231" s="3" t="inlineStr">
        <is>
          <t>Nhập tối đa 20 ký tự</t>
        </is>
      </c>
      <c r="C2231" s="3" t="inlineStr">
        <is>
          <t>Enter 20 characters max</t>
        </is>
      </c>
      <c r="D2231" s="217">
        <f>IFERROR(__xludf.DUMMYFUNCTION("GOOGLETRANSLATE(C2231,""vi"",""km"")"),"បញ្ចូលតួអក្សរអតិបរមា 20 តួអក្សរ។")</f>
        <v/>
      </c>
      <c r="E2231" s="3" t="n"/>
      <c r="F2231" s="3" t="inlineStr">
        <is>
          <t>បញ្ចូលតួអក្សរអតិបរមា 20 តួអក្សរ។</t>
        </is>
      </c>
      <c r="G2231" s="3" t="n"/>
      <c r="H2231" s="217" t="inlineStr">
        <is>
          <t>"delivery.warehouse.modifyListUser.max20": "បញ្ចូលតួអក្សរអតិបរមា 20 តួអក្សរ។",</t>
        </is>
      </c>
      <c r="I2231" t="inlineStr">
        <is>
          <t>បញ្ចូលតួអក្សរអតិបរមា 20 តួអក្សរ។</t>
        </is>
      </c>
    </row>
    <row r="2232">
      <c r="A2232" s="3" t="inlineStr">
        <is>
          <t>delivery.warehouse.modifyListUser.max30</t>
        </is>
      </c>
      <c r="B2232" s="3" t="inlineStr">
        <is>
          <t>Nhập mã công dân tối đa 30 ký tự</t>
        </is>
      </c>
      <c r="C2232" s="3" t="inlineStr">
        <is>
          <t>Enter citizen ID 30 characters max.</t>
        </is>
      </c>
      <c r="D2232" s="217">
        <f>IFERROR(__xludf.DUMMYFUNCTION("GOOGLETRANSLATE(C2232,""vi"",""km"")"),"បញ្ចូលអត្តសញ្ញាណប័ណ្ណពលរដ្ឋអតិបរមា ៣០ តួអក្សរ។")</f>
        <v/>
      </c>
      <c r="E2232" s="3" t="n"/>
      <c r="F2232" s="3" t="inlineStr">
        <is>
          <t>បញ្ចូលអត្តសញ្ញាណប័ណ្ណពលរដ្ឋអតិបរមា ៣០ តួអក្សរ។</t>
        </is>
      </c>
      <c r="G2232" s="3" t="n"/>
      <c r="H2232" s="217" t="inlineStr">
        <is>
          <t>"delivery.warehouse.modifyListUser.max30": "បញ្ចូលអត្តសញ្ញាណប័ណ្ណពលរដ្ឋអតិបរមា ៣០ តួអក្សរ។",</t>
        </is>
      </c>
      <c r="I2232" t="inlineStr">
        <is>
          <t>បញ្ចូលអត្តសញ្ញាណប័ណ្ណពលរដ្ឋអតិបរមា ៣០ តួអក្សរ។</t>
        </is>
      </c>
    </row>
    <row r="2233">
      <c r="A2233" s="3" t="inlineStr">
        <is>
          <t>delivery.warehouse.modifyListUser.max50</t>
        </is>
      </c>
      <c r="B2233" s="3" t="inlineStr">
        <is>
          <t>Nhập tối đa 50 ký tự</t>
        </is>
      </c>
      <c r="C2233" s="3" t="inlineStr">
        <is>
          <t>Enter 50 characters max</t>
        </is>
      </c>
      <c r="D2233" s="217">
        <f>IFERROR(__xludf.DUMMYFUNCTION("GOOGLETRANSLATE(C2233,""vi"",""km"")"),"បញ្ចូលតួអក្សរអតិបរមា 50 តួអក្សរ។")</f>
        <v/>
      </c>
      <c r="E2233" s="3" t="n"/>
      <c r="F2233" s="3" t="inlineStr">
        <is>
          <t>បញ្ចូលតួអក្សរអតិបរមា 50 តួអក្សរ។</t>
        </is>
      </c>
      <c r="G2233" s="3" t="n"/>
      <c r="H2233" s="217" t="inlineStr">
        <is>
          <t>"delivery.warehouse.modifyListUser.max50": "បញ្ចូលតួអក្សរអតិបរមា 50 តួអក្សរ។",</t>
        </is>
      </c>
      <c r="I2233" t="inlineStr">
        <is>
          <t>បញ្ចូលតួអក្សរអតិបរមា 50 តួអក្សរ។</t>
        </is>
      </c>
    </row>
    <row r="2234">
      <c r="A2234" s="3" t="inlineStr">
        <is>
          <t>delivery.warehouse.modifyListUser.max6</t>
        </is>
      </c>
      <c r="B2234" s="3" t="inlineStr">
        <is>
          <t>Nhập tối đa 6 ký tự</t>
        </is>
      </c>
      <c r="C2234" s="3" t="inlineStr">
        <is>
          <t>Enter 6 characters max</t>
        </is>
      </c>
      <c r="D2234" s="217">
        <f>IFERROR(__xludf.DUMMYFUNCTION("GOOGLETRANSLATE(C2234,""vi"",""km"")"),"បញ្ចូលតួអក្សរអតិបរមា ៦ តួអក្សរ។")</f>
        <v/>
      </c>
      <c r="E2234" s="3" t="n"/>
      <c r="F2234" s="3" t="inlineStr">
        <is>
          <t>បញ្ចូលតួអក្សរអតិបរមា ៦ តួអក្សរ។</t>
        </is>
      </c>
      <c r="G2234" s="3" t="n"/>
      <c r="H2234" s="217" t="inlineStr">
        <is>
          <t>"delivery.warehouse.modifyListUser.max6": "បញ្ចូលតួអក្សរអតិបរមា ៦ តួអក្សរ។",</t>
        </is>
      </c>
      <c r="I2234" t="inlineStr">
        <is>
          <t>បញ្ចូលតួអក្សរអតិបរមា ៦ តួអក្សរ។</t>
        </is>
      </c>
    </row>
    <row r="2235">
      <c r="A2235" s="3" t="inlineStr">
        <is>
          <t>delivery.warehouse.modifyListUser.max9</t>
        </is>
      </c>
      <c r="B2235" s="3" t="inlineStr">
        <is>
          <t>Nhập tối đa 9 ký tự</t>
        </is>
      </c>
      <c r="C2235" s="3" t="inlineStr">
        <is>
          <t>Enter a maximum of 9 characters.</t>
        </is>
      </c>
      <c r="D2235" s="217">
        <f>IFERROR(__xludf.DUMMYFUNCTION("GOOGLETRANSLATE(C2235,""vi"",""km"")"),"បញ្ចូលតួអក្សរអតិបរមា ៩ តួអក្សរ។")</f>
        <v/>
      </c>
      <c r="E2235" s="3" t="n"/>
      <c r="F2235" s="3" t="inlineStr">
        <is>
          <t>បញ្ចូលតួអក្សរអតិបរមា ៩ តួអក្សរ។</t>
        </is>
      </c>
      <c r="G2235" s="3" t="n"/>
      <c r="H2235" s="217" t="inlineStr">
        <is>
          <t>"delivery.warehouse.modifyListUser.max9": "បញ្ចូលតួអក្សរអតិបរមា ៩ តួអក្សរ។",</t>
        </is>
      </c>
      <c r="I2235" t="inlineStr">
        <is>
          <t>បញ្ចូលតួអក្សរអតិបរមា ៩ តួអក្សរ។</t>
        </is>
      </c>
    </row>
    <row r="2236">
      <c r="A2236" s="3" t="inlineStr">
        <is>
          <t>delivery.warehouse.modifyListUser.phone</t>
        </is>
      </c>
      <c r="B2236" s="3" t="inlineStr">
        <is>
          <t>Số điện thoại</t>
        </is>
      </c>
      <c r="C2236" s="3" t="inlineStr">
        <is>
          <t>Phone number</t>
        </is>
      </c>
      <c r="D2236" s="217">
        <f>IFERROR(__xludf.DUMMYFUNCTION("GOOGLETRANSLATE(C2236,""vi"",""km"")"),"លេខទូរស័ព្ទ")</f>
        <v/>
      </c>
      <c r="E2236" s="3" t="n"/>
      <c r="F2236" s="3" t="inlineStr">
        <is>
          <t>លេខទូរស័ព្ទ</t>
        </is>
      </c>
      <c r="G2236" s="3" t="n"/>
      <c r="H2236" s="217" t="inlineStr">
        <is>
          <t>"delivery.warehouse.modifyListUser.phone": "លេខទូរស័ព្ទ",</t>
        </is>
      </c>
      <c r="I2236" t="inlineStr">
        <is>
          <t>លេខទូរស័ព្ទ</t>
        </is>
      </c>
    </row>
    <row r="2237">
      <c r="A2237" s="3" t="inlineStr">
        <is>
          <t>delivery.warehouse.modifyListUser.remark</t>
        </is>
      </c>
      <c r="B2237" s="3" t="inlineStr">
        <is>
          <t>Ghi chú</t>
        </is>
      </c>
      <c r="C2237" s="3" t="inlineStr">
        <is>
          <t>Note</t>
        </is>
      </c>
      <c r="D2237" s="217">
        <f>IFERROR(__xludf.DUMMYFUNCTION("GOOGLETRANSLATE(C2237,""vi"",""km"")"),"កំណត់ចំណាំ")</f>
        <v/>
      </c>
      <c r="E2237" s="3" t="n"/>
      <c r="F2237" s="3" t="inlineStr">
        <is>
          <t>ចំណាំ</t>
        </is>
      </c>
      <c r="G2237" s="3" t="n"/>
      <c r="H2237" s="217" t="inlineStr">
        <is>
          <t>"delivery.warehouse.modifyListUser.remark": "ចំណាំ",</t>
        </is>
      </c>
      <c r="I2237" t="inlineStr">
        <is>
          <t>ចំណាំ</t>
        </is>
      </c>
    </row>
    <row r="2238">
      <c r="A2238" s="3" t="inlineStr">
        <is>
          <t>delivery.warehouse.modifyListUser.remarkHint</t>
        </is>
      </c>
      <c r="B2238" s="3" t="inlineStr">
        <is>
          <t>Nhập ghi chú</t>
        </is>
      </c>
      <c r="C2238" s="3" t="inlineStr">
        <is>
          <t>Enter note</t>
        </is>
      </c>
      <c r="D2238" s="217">
        <f>IFERROR(__xludf.DUMMYFUNCTION("GOOGLETRANSLATE(C2238,""vi"",""km"")"),"បញ្ចូលកំណត់ចំណាំ")</f>
        <v/>
      </c>
      <c r="E2238" s="3" t="n"/>
      <c r="F2238" s="3" t="inlineStr">
        <is>
          <t>បញ្ចូលកំណត់ចំណាំ</t>
        </is>
      </c>
      <c r="G2238" s="3" t="n"/>
      <c r="H2238" s="217" t="inlineStr">
        <is>
          <t>"delivery.warehouse.modifyListUser.remarkHint": "បញ្ចូលកំណត់ចំណាំ",</t>
        </is>
      </c>
      <c r="I2238" t="inlineStr">
        <is>
          <t>បញ្ចូលកំណត់ចំណាំ</t>
        </is>
      </c>
    </row>
    <row r="2239">
      <c r="A2239" s="3" t="inlineStr">
        <is>
          <t>delivery.warehouse.modifyListUser.staffCode</t>
        </is>
      </c>
      <c r="B2239" s="3" t="inlineStr">
        <is>
          <t>Mã nhân viên</t>
        </is>
      </c>
      <c r="C2239" s="3" t="inlineStr">
        <is>
          <t>Employee ID</t>
        </is>
      </c>
      <c r="D2239" s="217">
        <f>IFERROR(__xludf.DUMMYFUNCTION("GOOGLETRANSLATE(C2239,""vi"",""km"")"),"អត្តសញ្ញាណបុគ្គលិក")</f>
        <v/>
      </c>
      <c r="E2239" s="3" t="n"/>
      <c r="F2239" s="3" t="inlineStr">
        <is>
          <t>លេខកូដបុគ្គលិក</t>
        </is>
      </c>
      <c r="G2239" s="3" t="n"/>
      <c r="H2239" s="217" t="inlineStr">
        <is>
          <t>"delivery.warehouse.modifyListUser.staffCode": "លេខកូដបុគ្គលិក",</t>
        </is>
      </c>
      <c r="I2239" t="inlineStr">
        <is>
          <t>លេខកូដបុគ្គលិក</t>
        </is>
      </c>
    </row>
    <row r="2240">
      <c r="A2240" s="3" t="inlineStr">
        <is>
          <t>delivery.warehouse.modifyListUser.startWithSpace</t>
        </is>
      </c>
      <c r="B2240" s="3" t="inlineStr">
        <is>
          <t>Không được bắt đầu bằng khoảng trắng</t>
        </is>
      </c>
      <c r="C2240" s="3" t="inlineStr">
        <is>
          <t>Cannot start with a space.</t>
        </is>
      </c>
      <c r="D2240" s="217">
        <f>IFERROR(__xludf.DUMMYFUNCTION("GOOGLETRANSLATE(C2240,""vi"",""km"")"),"មិនអាចចាប់ផ្តើមដោយចន្លោះបានទេ។")</f>
        <v/>
      </c>
      <c r="E2240" s="3" t="n"/>
      <c r="F2240" s="3" t="inlineStr">
        <is>
          <t>មិនអាចចាប់ផ្តើមដោយចន្លោះបានទេ។</t>
        </is>
      </c>
      <c r="G2240" s="3" t="n"/>
      <c r="H2240" s="217" t="inlineStr">
        <is>
          <t>"delivery.warehouse.modifyListUser.startWithSpace": "មិនអាចចាប់ផ្តើមដោយចន្លោះបានទេ។",</t>
        </is>
      </c>
      <c r="I2240" t="inlineStr">
        <is>
          <t>មិនអាចចាប់ផ្តើមដោយចន្លោះបានទេ។</t>
        </is>
      </c>
    </row>
    <row r="2241">
      <c r="A2241" s="3" t="inlineStr">
        <is>
          <t>delivery.warehouse.modifyListUser.title</t>
        </is>
      </c>
      <c r="B2241" s="3" t="inlineStr">
        <is>
          <t>Thông tin tài khoản người dùng</t>
        </is>
      </c>
      <c r="C2241" s="3" t="inlineStr">
        <is>
          <t>User information</t>
        </is>
      </c>
      <c r="D2241" s="217">
        <f>IFERROR(__xludf.DUMMYFUNCTION("GOOGLETRANSLATE(C2241,""vi"",""km"")"),"ព័ត៌មានអ្នកប្រើប្រាស់")</f>
        <v/>
      </c>
      <c r="E2241" s="3" t="n"/>
      <c r="F2241" s="3" t="inlineStr">
        <is>
          <t>ព័ត៌មានអ្នកប្រើប្រាស់</t>
        </is>
      </c>
      <c r="G2241" s="3" t="n"/>
      <c r="H2241" s="217" t="inlineStr">
        <is>
          <t>"delivery.warehouse.modifyListUser.title": "ព័ត៌មានអ្នកប្រើប្រាស់",</t>
        </is>
      </c>
      <c r="I2241" t="inlineStr">
        <is>
          <t>ព័ត៌មានអ្នកប្រើប្រាស់</t>
        </is>
      </c>
    </row>
    <row r="2242">
      <c r="A2242" s="3" t="inlineStr">
        <is>
          <t>delivery.warehouse.modifyOrder.addAddress</t>
        </is>
      </c>
      <c r="B2242" s="3" t="inlineStr">
        <is>
          <t>Thêm địa chỉ gửi hàng khác</t>
        </is>
      </c>
      <c r="C2242" s="3" t="inlineStr">
        <is>
          <t>Add new address</t>
        </is>
      </c>
      <c r="D2242" s="217">
        <f>IFERROR(__xludf.DUMMYFUNCTION("GOOGLETRANSLATE(C2242,""vi"",""km"")"),"បន្ថែមអាសយដ្ឋានថ្មី")</f>
        <v/>
      </c>
      <c r="E2242" s="3" t="n"/>
      <c r="F2242" s="3" t="inlineStr">
        <is>
          <t>បន្ថែមអាសយដ្ឋានថ្មី</t>
        </is>
      </c>
      <c r="G2242" s="3" t="n"/>
      <c r="H2242" s="217" t="inlineStr">
        <is>
          <t>"delivery.warehouse.modifyOrder.addAddress": "បន្ថែមអាសយដ្ឋានថ្មី",</t>
        </is>
      </c>
      <c r="I2242" t="inlineStr">
        <is>
          <t>បន្ថែមអាសយដ្ឋានថ្មី</t>
        </is>
      </c>
    </row>
    <row r="2243">
      <c r="A2243" s="3" t="inlineStr">
        <is>
          <t>delivery.warehouse.modifyOrder.addAlternativePhones</t>
        </is>
      </c>
      <c r="B2243" s="3" t="inlineStr">
        <is>
          <t>Thêm SĐT phụ</t>
        </is>
      </c>
      <c r="C2243" s="3" t="inlineStr">
        <is>
          <t>Additional phone number</t>
        </is>
      </c>
      <c r="D2243" s="217">
        <f>IFERROR(__xludf.DUMMYFUNCTION("GOOGLETRANSLATE(C2243,""vi"",""km"")"),"លេខទូរស័ព្ទបន្ថែម")</f>
        <v/>
      </c>
      <c r="E2243" s="3" t="n"/>
      <c r="F2243" s="3" t="inlineStr">
        <is>
          <t>លេខទូរស័ព្ទបន្ថែម</t>
        </is>
      </c>
      <c r="G2243" s="3" t="n"/>
      <c r="H2243" s="217" t="inlineStr">
        <is>
          <t>"delivery.warehouse.modifyOrder.addAlternativePhones": "លេខទូរស័ព្ទបន្ថែម",</t>
        </is>
      </c>
      <c r="I2243" t="inlineStr">
        <is>
          <t>លេខទូរស័ព្ទបន្ថែម</t>
        </is>
      </c>
    </row>
    <row r="2244">
      <c r="A2244" s="3" t="inlineStr">
        <is>
          <t>delivery.warehouse.modifyOrder.address</t>
        </is>
      </c>
      <c r="B2244" s="3" t="inlineStr">
        <is>
          <t>Địa chỉ</t>
        </is>
      </c>
      <c r="C2244" s="3" t="inlineStr">
        <is>
          <t>Address</t>
        </is>
      </c>
      <c r="D2244" s="217">
        <f>IFERROR(__xludf.DUMMYFUNCTION("GOOGLETRANSLATE(C2244,""vi"",""km"")"),"មិនត្រឹមត្រូវ")</f>
        <v/>
      </c>
      <c r="E2244" s="3" t="n"/>
      <c r="F2244" s="3" t="inlineStr">
        <is>
          <t>អាសយដ្ឋាន</t>
        </is>
      </c>
      <c r="G2244" s="3" t="n"/>
      <c r="H2244" s="217" t="inlineStr">
        <is>
          <t>"delivery.warehouse.modifyOrder.address": "អាសយដ្ឋាន",</t>
        </is>
      </c>
      <c r="I2244" t="inlineStr">
        <is>
          <t>អាសយដ្ឋាន</t>
        </is>
      </c>
    </row>
    <row r="2245">
      <c r="A2245" s="3" t="inlineStr">
        <is>
          <t>delivery.warehouse.modifyOrder.addressName</t>
        </is>
      </c>
      <c r="B2245" s="3" t="inlineStr">
        <is>
          <t>Tên địa chỉ</t>
        </is>
      </c>
      <c r="C2245" s="3" t="inlineStr">
        <is>
          <t>Address name</t>
        </is>
      </c>
      <c r="D2245" s="217">
        <f>IFERROR(__xludf.DUMMYFUNCTION("GOOGLETRANSLATE(C2245,""vi"",""km"")"),"អាសយដ្ឋាន")</f>
        <v/>
      </c>
      <c r="E2245" s="3" t="n"/>
      <c r="F2245" s="3" t="inlineStr">
        <is>
          <t>អាសយដ្ឋាន</t>
        </is>
      </c>
      <c r="G2245" s="3" t="n"/>
      <c r="H2245" s="217" t="inlineStr">
        <is>
          <t>"delivery.warehouse.modifyOrder.addressName": "អាសយដ្ឋាន",</t>
        </is>
      </c>
      <c r="I2245" t="inlineStr">
        <is>
          <t>អាសយដ្ឋាន</t>
        </is>
      </c>
    </row>
    <row r="2246">
      <c r="A2246" s="3" t="inlineStr">
        <is>
          <t>delivery.warehouse.modifyOrder.addressNamePlace</t>
        </is>
      </c>
      <c r="B2246" s="3" t="inlineStr">
        <is>
          <t>Nhập tên địa chỉ</t>
        </is>
      </c>
      <c r="C2246" s="3" t="inlineStr">
        <is>
          <t>Enter address name</t>
        </is>
      </c>
      <c r="D2246" s="217">
        <f>IFERROR(__xludf.DUMMYFUNCTION("GOOGLETRANSLATE(C2246,""vi"",""km"")"),"បញ្ចូលឈ្មោះអាសយដ្ឋាន")</f>
        <v/>
      </c>
      <c r="E2246" s="3" t="n"/>
      <c r="F2246" s="3" t="inlineStr">
        <is>
          <t>បញ្ចូលឈ្មោះអាសយដ្ឋាន</t>
        </is>
      </c>
      <c r="G2246" s="3" t="n"/>
      <c r="H2246" s="217" t="inlineStr">
        <is>
          <t>"delivery.warehouse.modifyOrder.addressNamePlace": "បញ្ចូលឈ្មោះអាសយដ្ឋាន",</t>
        </is>
      </c>
      <c r="I2246" t="inlineStr">
        <is>
          <t>បញ្ចូលឈ្មោះអាសយដ្ឋាន</t>
        </is>
      </c>
    </row>
    <row r="2247">
      <c r="A2247" s="3" t="inlineStr">
        <is>
          <t>delivery.warehouse.modifyOrder.addressNew</t>
        </is>
      </c>
      <c r="B2247" s="3" t="inlineStr">
        <is>
          <t>Địa chỉ mới</t>
        </is>
      </c>
      <c r="C2247" s="3" t="inlineStr">
        <is>
          <t>New address</t>
        </is>
      </c>
      <c r="D2247" s="217">
        <f>IFERROR(__xludf.DUMMYFUNCTION("GOOGLETRANSLATE(C2247,""vi"",""km"")"),"អាសយដ្ឋានថ្មី")</f>
        <v/>
      </c>
      <c r="E2247" s="3" t="n"/>
      <c r="F2247" s="3" t="inlineStr">
        <is>
          <t>អាសយដ្ឋានថ្មី</t>
        </is>
      </c>
      <c r="G2247" s="3" t="n"/>
      <c r="H2247" s="217" t="inlineStr">
        <is>
          <t>"delivery.warehouse.modifyOrder.addressNew": "អាសយដ្ឋានថ្មី",</t>
        </is>
      </c>
      <c r="I2247" t="inlineStr">
        <is>
          <t>អាសយដ្ឋានថ្មី</t>
        </is>
      </c>
    </row>
    <row r="2248">
      <c r="A2248" s="3" t="inlineStr">
        <is>
          <t>delivery.warehouse.modifyOrder.addressPlaceholder</t>
        </is>
      </c>
      <c r="B2248" s="3" t="inlineStr">
        <is>
          <t>Nhập địa chỉ</t>
        </is>
      </c>
      <c r="C2248" s="3" t="inlineStr">
        <is>
          <t>Enter address</t>
        </is>
      </c>
      <c r="D2248" s="217">
        <f>IFERROR(__xludf.DUMMYFUNCTION("GOOGLETRANSLATE(C2248,""vi"",""km"")"),"បញ្ចូលអាសយដ្ឋាន")</f>
        <v/>
      </c>
      <c r="E2248" s="3" t="n"/>
      <c r="F2248" s="3" t="inlineStr">
        <is>
          <t>បញ្ចូលអាសយដ្ឋាន</t>
        </is>
      </c>
      <c r="G2248" s="3" t="n"/>
      <c r="H2248" s="217" t="inlineStr">
        <is>
          <t>"delivery.warehouse.modifyOrder.addressPlaceholder": "បញ្ចូលអាសយដ្ឋាន",</t>
        </is>
      </c>
      <c r="I2248" t="inlineStr">
        <is>
          <t>បញ្ចូលអាសយដ្ឋាន</t>
        </is>
      </c>
    </row>
    <row r="2249">
      <c r="A2249" s="3" t="inlineStr">
        <is>
          <t>delivery.warehouse.modifyOrder.afternoon</t>
        </is>
      </c>
      <c r="B2249" s="3" t="inlineStr">
        <is>
          <t>Chiều (13h30 - 18h00)</t>
        </is>
      </c>
      <c r="C2249" s="3" t="inlineStr">
        <is>
          <t>Afternoon (13:30 - 18:00)</t>
        </is>
      </c>
      <c r="D2249" s="217">
        <f>IFERROR(__xludf.DUMMYFUNCTION("GOOGLETRANSLATE(C2249,""vi"",""km"")"),"ពេលរសៀល (ម៉ោង ១:៣០ រសៀល - ៦:០០ ល្ងាច)")</f>
        <v/>
      </c>
      <c r="E2249" s="3" t="n"/>
      <c r="F2249" s="3" t="inlineStr">
        <is>
          <t>ពេលរសៀល (ម៉ោង ១:៣០ រសៀល - ៦:០០ ល្ងាច)</t>
        </is>
      </c>
      <c r="G2249" s="3" t="n"/>
      <c r="H2249" s="217" t="inlineStr">
        <is>
          <t>"delivery.warehouse.modifyOrder.afternoon": "ពេលរសៀល (ម៉ោង ១:៣០ រសៀល - ៦:០០ ល្ងាច)",</t>
        </is>
      </c>
      <c r="I2249" t="inlineStr">
        <is>
          <t>ពេលរសៀល (ម៉ោង ១:៣០ រសៀល - ៦:០០ ល្ងាច)</t>
        </is>
      </c>
    </row>
    <row r="2250">
      <c r="A2250" s="3" t="inlineStr">
        <is>
          <t>delivery.warehouse.modifyOrder.all_day</t>
        </is>
      </c>
      <c r="B2250" s="3" t="inlineStr">
        <is>
          <t>Cả ngày</t>
        </is>
      </c>
      <c r="C2250" s="3" t="inlineStr">
        <is>
          <t>All day</t>
        </is>
      </c>
      <c r="D2250" s="217">
        <f>IFERROR(__xludf.DUMMYFUNCTION("GOOGLETRANSLATE(C2250,""vi"",""km"")"),"ពេញមួយថ្ងៃ")</f>
        <v/>
      </c>
      <c r="E2250" s="3" t="n"/>
      <c r="F2250" s="3" t="inlineStr">
        <is>
          <t>ពេញមួយថ្ងៃ</t>
        </is>
      </c>
      <c r="G2250" s="3" t="n"/>
      <c r="H2250" s="217" t="inlineStr">
        <is>
          <t>"delivery.warehouse.modifyOrder.all_day": "ពេញមួយថ្ងៃ",</t>
        </is>
      </c>
      <c r="I2250" t="inlineStr">
        <is>
          <t>ពេញមួយថ្ងៃ</t>
        </is>
      </c>
    </row>
    <row r="2251">
      <c r="A2251" s="3" t="inlineStr">
        <is>
          <t>delivery.warehouse.modifyOrder.alternativePhones</t>
        </is>
      </c>
      <c r="B2251" s="3" t="inlineStr">
        <is>
          <t>Điện thoại phụ</t>
        </is>
      </c>
      <c r="C2251" s="3" t="inlineStr">
        <is>
          <t>Additional phone number</t>
        </is>
      </c>
      <c r="D2251" s="217">
        <f>IFERROR(__xludf.DUMMYFUNCTION("GOOGLETRANSLATE(C2251,""vi"",""km"")"),"លេខទូរស័ព្ទបន្ថែម")</f>
        <v/>
      </c>
      <c r="E2251" s="3" t="n"/>
      <c r="F2251" s="3" t="inlineStr">
        <is>
          <t>លេខទូរស័ព្ទបន្ថែម</t>
        </is>
      </c>
      <c r="G2251" s="3" t="n"/>
      <c r="H2251" s="217" t="inlineStr">
        <is>
          <t>"delivery.warehouse.modifyOrder.alternativePhones": "លេខទូរស័ព្ទបន្ថែម",</t>
        </is>
      </c>
      <c r="I2251" t="inlineStr">
        <is>
          <t>លេខទូរស័ព្ទបន្ថែម</t>
        </is>
      </c>
    </row>
    <row r="2252">
      <c r="A2252" s="3" t="inlineStr">
        <is>
          <t>delivery.warehouse.modifyOrder.alternativePhonesNote</t>
        </is>
      </c>
      <c r="B2252" s="3" t="inlineStr">
        <is>
          <t>*Lưu ý: Số điện thoại phụ sẽ được phân cách bởi dấu phẩy.</t>
        </is>
      </c>
      <c r="C2252" s="3" t="inlineStr">
        <is>
          <t>Note: Additional phone numbers should be separated by commas.</t>
        </is>
      </c>
      <c r="D2252" s="217">
        <f>IFERROR(__xludf.DUMMYFUNCTION("GOOGLETRANSLATE(C2252,""vi"",""km"")"),"ចំណាំ៖ លេខទូរស័ព្ទបន្ថែមគួរតែត្រូវបានបំបែកដោយសញ្ញាក្បៀស។")</f>
        <v/>
      </c>
      <c r="E2252" s="3" t="n"/>
      <c r="F2252" s="3" t="inlineStr">
        <is>
          <t>ចំណាំ៖ លេខទូរស័ព្ទបន្ថែមគួរតែត្រូវបានបំបែកដោយសញ្ញាក្បៀស។</t>
        </is>
      </c>
      <c r="G2252" s="3" t="n"/>
      <c r="H2252" s="217" t="inlineStr">
        <is>
          <t>"delivery.warehouse.modifyOrder.alternativePhonesNote": "ចំណាំ៖ លេខទូរស័ព្ទបន្ថែមគួរតែត្រូវបានបំបែកដោយសញ្ញាក្បៀស។",</t>
        </is>
      </c>
      <c r="I2252" t="inlineStr">
        <is>
          <t>ចំណាំ៖ លេខទូរស័ព្ទបន្ថែមគួរតែត្រូវបានបំបែកដោយសញ្ញាក្បៀស។</t>
        </is>
      </c>
    </row>
    <row r="2253">
      <c r="A2253" s="3" t="inlineStr">
        <is>
          <t>delivery.warehouse.modifyOrder.alternativePhonesPlaceholder</t>
        </is>
      </c>
      <c r="B2253" s="3" t="inlineStr">
        <is>
          <t>Nhập số điện thoại phụ</t>
        </is>
      </c>
      <c r="C2253" s="3" t="inlineStr">
        <is>
          <t>Enter additional phone number</t>
        </is>
      </c>
      <c r="D2253" s="217">
        <f>IFERROR(__xludf.DUMMYFUNCTION("GOOGLETRANSLATE(C2253,""vi"",""km"")"),"បញ្ចូលលេខទូរស័ព្ទបន្ថែម")</f>
        <v/>
      </c>
      <c r="E2253" s="3" t="n"/>
      <c r="F2253" s="3" t="inlineStr">
        <is>
          <t>បញ្ចូលលេខទូរស័ព្ទបន្ថែម</t>
        </is>
      </c>
      <c r="G2253" s="3" t="n"/>
      <c r="H2253" s="217" t="inlineStr">
        <is>
          <t>"delivery.warehouse.modifyOrder.alternativePhonesPlaceholder": "បញ្ចូលលេខទូរស័ព្ទបន្ថែម",</t>
        </is>
      </c>
      <c r="I2253" t="inlineStr">
        <is>
          <t>បញ្ចូលលេខទូរស័ព្ទបន្ថែម</t>
        </is>
      </c>
    </row>
    <row r="2254">
      <c r="A2254" s="3" t="inlineStr">
        <is>
          <t>delivery.warehouse.modifyOrder.appointment</t>
        </is>
      </c>
      <c r="B2254" s="3" t="inlineStr">
        <is>
          <t>Thời gian dự kiến</t>
        </is>
      </c>
      <c r="C2254" s="3" t="inlineStr">
        <is>
          <t>Expected time</t>
        </is>
      </c>
      <c r="D2254" s="217">
        <f>IFERROR(__xludf.DUMMYFUNCTION("GOOGLETRANSLATE(C2254,""vi"",""km"")"),"ពេលវេលារំពឹងទុក")</f>
        <v/>
      </c>
      <c r="E2254" s="3" t="n"/>
      <c r="F2254" s="3" t="inlineStr">
        <is>
          <t>ពេលវេលារំពឹងទុក</t>
        </is>
      </c>
      <c r="G2254" s="3" t="n"/>
      <c r="H2254" s="217" t="inlineStr">
        <is>
          <t>"delivery.warehouse.modifyOrder.appointment": "ពេលវេលារំពឹងទុក",</t>
        </is>
      </c>
      <c r="I2254" t="inlineStr">
        <is>
          <t>ពេលវេលារំពឹងទុក</t>
        </is>
      </c>
    </row>
    <row r="2255">
      <c r="A2255" s="3" t="inlineStr">
        <is>
          <t>delivery.warehouse.modifyOrder.calculatorPricing</t>
        </is>
      </c>
      <c r="B2255" s="3" t="inlineStr">
        <is>
          <t>Khối lượng tính cước</t>
        </is>
      </c>
      <c r="C2255" s="3" t="inlineStr">
        <is>
          <t>Chargeable weight</t>
        </is>
      </c>
      <c r="D2255" s="217">
        <f>IFERROR(__xludf.DUMMYFUNCTION("GOOGLETRANSLATE(C2255,""vi"",""km"")"),"ទម្ងន់ដែលអាចគិតថ្លៃបាន")</f>
        <v/>
      </c>
      <c r="E2255" s="3" t="n"/>
      <c r="F2255" s="3" t="inlineStr">
        <is>
          <t>ទម្ងន់ដែលអាចគិតថ្លៃបាន</t>
        </is>
      </c>
      <c r="G2255" s="3" t="n"/>
      <c r="H2255" s="217" t="inlineStr">
        <is>
          <t>"delivery.warehouse.modifyOrder.calculatorPricing": "ទម្ងន់ដែលអាចគិតថ្លៃបាន",</t>
        </is>
      </c>
      <c r="I2255" t="inlineStr">
        <is>
          <t>ទម្ងន់ដែលអាចគិតថ្លៃបាន</t>
        </is>
      </c>
    </row>
    <row r="2256">
      <c r="A2256" s="3" t="inlineStr">
        <is>
          <t>delivery.warehouse.modifyOrder.calculatorSize</t>
        </is>
      </c>
      <c r="B2256" s="3" t="inlineStr">
        <is>
          <t>Tổng kích thước (cm)</t>
        </is>
      </c>
      <c r="C2256" s="3" t="inlineStr">
        <is>
          <t>Total dimensions (cm)</t>
        </is>
      </c>
      <c r="D2256" s="217">
        <f>IFERROR(__xludf.DUMMYFUNCTION("GOOGLETRANSLATE(C2256,""vi"",""km"")"),"វិមាត្រសរុប (សង់ទីម៉ែត្រ)")</f>
        <v/>
      </c>
      <c r="E2256" s="3" t="n"/>
      <c r="F2256" s="3" t="inlineStr">
        <is>
          <t>វិមាត្រសរុប (សង់ទីម៉ែត្រ)</t>
        </is>
      </c>
      <c r="G2256" s="3" t="n"/>
      <c r="H2256" s="217" t="inlineStr">
        <is>
          <t>"delivery.warehouse.modifyOrder.calculatorSize": "វិមាត្រសរុប (សង់ទីម៉ែត្រ)",</t>
        </is>
      </c>
      <c r="I2256" t="inlineStr">
        <is>
          <t>វិមាត្រសរុប (សង់ទីម៉ែត្រ)</t>
        </is>
      </c>
    </row>
    <row r="2257">
      <c r="A2257" s="3" t="inlineStr">
        <is>
          <t>delivery.warehouse.modifyOrder.calculatorWeight</t>
        </is>
      </c>
      <c r="B2257" s="3" t="inlineStr">
        <is>
          <t>Quy đổi (g)</t>
        </is>
      </c>
      <c r="C2257" s="3" t="inlineStr">
        <is>
          <t>Converted (g)</t>
        </is>
      </c>
      <c r="D2257" s="217">
        <f>IFERROR(__xludf.DUMMYFUNCTION("GOOGLETRANSLATE(C2257,""vi"",""km"")"),"បានបម្លែង (ក្រាម)")</f>
        <v/>
      </c>
      <c r="E2257" s="3" t="n"/>
      <c r="F2257" s="3" t="inlineStr">
        <is>
          <t>បានបម្លែង (ក្រាម)</t>
        </is>
      </c>
      <c r="G2257" s="3" t="n"/>
      <c r="H2257" s="217" t="inlineStr">
        <is>
          <t>"delivery.warehouse.modifyOrder.calculatorWeight": "បានបម្លែង (ក្រាម)",</t>
        </is>
      </c>
      <c r="I2257" t="inlineStr">
        <is>
          <t>បានបម្លែង (ក្រាម)</t>
        </is>
      </c>
    </row>
    <row r="2258">
      <c r="A2258" s="3" t="inlineStr">
        <is>
          <t>delivery.warehouse.modifyOrder.cash</t>
        </is>
      </c>
      <c r="B2258" s="3" t="inlineStr">
        <is>
          <t>Thanh toán ngay</t>
        </is>
      </c>
      <c r="C2258" s="3" t="inlineStr">
        <is>
          <t>Cash</t>
        </is>
      </c>
      <c r="D2258" s="217">
        <f>IFERROR(__xludf.DUMMYFUNCTION("GOOGLETRANSLATE(C2258,""vi"",""km"")"),"ប្រយុទ្ធ")</f>
        <v/>
      </c>
      <c r="E2258" s="3" t="n"/>
      <c r="F2258" s="3" t="inlineStr">
        <is>
          <t>ប្រយុទ្ធ</t>
        </is>
      </c>
      <c r="G2258" s="3" t="n"/>
      <c r="H2258" s="217" t="inlineStr">
        <is>
          <t>"delivery.warehouse.modifyOrder.cash": "ប្រយុទ្ធ",</t>
        </is>
      </c>
      <c r="I2258" t="inlineStr">
        <is>
          <t>ប្រយុទ្ធ</t>
        </is>
      </c>
    </row>
    <row r="2259">
      <c r="A2259" s="3" t="inlineStr">
        <is>
          <t>delivery.warehouse.modifyOrder.changeWeight</t>
        </is>
      </c>
      <c r="B2259" s="3" t="inlineStr">
        <is>
          <t>Quy đổi</t>
        </is>
      </c>
      <c r="C2259" s="3" t="inlineStr">
        <is>
          <t>Convert</t>
        </is>
      </c>
      <c r="D2259" s="217">
        <f>IFERROR(__xludf.DUMMYFUNCTION("GOOGLETRANSLATE(C2259,""vi"",""km"")"),"បម្លែង")</f>
        <v/>
      </c>
      <c r="E2259" s="3" t="n"/>
      <c r="F2259" s="3" t="inlineStr">
        <is>
          <t>បម្លែង</t>
        </is>
      </c>
      <c r="G2259" s="3" t="n"/>
      <c r="H2259" s="217" t="inlineStr">
        <is>
          <t>"delivery.warehouse.modifyOrder.changeWeight": "បម្លែង",</t>
        </is>
      </c>
      <c r="I2259" t="inlineStr">
        <is>
          <t>បម្លែង</t>
        </is>
      </c>
    </row>
    <row r="2260">
      <c r="A2260" s="3" t="inlineStr">
        <is>
          <t>delivery.warehouse.modifyOrder.changeWeightNote</t>
        </is>
      </c>
      <c r="B2260" s="3" t="inlineStr">
        <is>
          <t>Khối lượng quy đổi từ kích thước hàng hóa</t>
        </is>
      </c>
      <c r="C2260" s="3" t="inlineStr">
        <is>
          <t>Weight converted from parcel dimensions</t>
        </is>
      </c>
      <c r="D2260" s="217">
        <f>IFERROR(__xludf.DUMMYFUNCTION("GOOGLETRANSLATE(C2260,""vi"",""km"")"),"ទម្ងន់បានបម្លែងពីវិមាត្រកញ្ចប់")</f>
        <v/>
      </c>
      <c r="E2260" s="3" t="n"/>
      <c r="F2260" s="3" t="inlineStr">
        <is>
          <t>ទម្ងន់បានបម្លែងពីវិមាត្រកញ្ចប់</t>
        </is>
      </c>
      <c r="G2260" s="3" t="n"/>
      <c r="H2260" s="217" t="inlineStr">
        <is>
          <t>"delivery.warehouse.modifyOrder.changeWeightNote": "ទម្ងន់បានបម្លែងពីវិមាត្រកញ្ចប់",</t>
        </is>
      </c>
      <c r="I2260" t="inlineStr">
        <is>
          <t>ទម្ងន់បានបម្លែងពីវិមាត្រកញ្ចប់</t>
        </is>
      </c>
    </row>
    <row r="2261">
      <c r="A2261" s="3" t="inlineStr">
        <is>
          <t>delivery.warehouse.modifyOrder.codInParcel</t>
        </is>
      </c>
      <c r="B2261" s="3" t="inlineStr">
        <is>
          <t>Thu hộ bằng tiền hàng</t>
        </is>
      </c>
      <c r="C2261" s="3" t="inlineStr">
        <is>
          <t>Cash on Delivery</t>
        </is>
      </c>
      <c r="D2261" s="217">
        <f>IFERROR(__xludf.DUMMYFUNCTION("GOOGLETRANSLATE(C2261,""vi"",""km"")"),"បង់ប្រាក់ពេលទទួលទំនិញ")</f>
        <v/>
      </c>
      <c r="E2261" s="3" t="n"/>
      <c r="F2261" s="3" t="inlineStr">
        <is>
          <t>បង់ប្រាក់ពេលទទួលទំនិញ</t>
        </is>
      </c>
      <c r="G2261" s="3" t="n"/>
      <c r="H2261" s="217" t="inlineStr">
        <is>
          <t>"delivery.warehouse.modifyOrder.codInParcel": "បង់ប្រាក់ពេលទទួលទំនិញ",</t>
        </is>
      </c>
      <c r="I2261" t="inlineStr">
        <is>
          <t>បង់ប្រាក់ពេលទទួលទំនិញ</t>
        </is>
      </c>
    </row>
    <row r="2262">
      <c r="A2262" s="3" t="inlineStr">
        <is>
          <t>delivery.warehouse.modifyOrder.collectionSender</t>
        </is>
      </c>
      <c r="B2262" s="3" t="inlineStr">
        <is>
          <t>Tiền thu người gửi</t>
        </is>
      </c>
      <c r="C2262" s="3" t="inlineStr">
        <is>
          <t>Sender's charges</t>
        </is>
      </c>
      <c r="D2262" s="217">
        <f>IFERROR(__xludf.DUMMYFUNCTION("GOOGLETRANSLATE(C2262,""vi"",""km"")"),"ថ្លៃសេវារបស់អ្នកផ្ញើ")</f>
        <v/>
      </c>
      <c r="E2262" s="3" t="n"/>
      <c r="F2262" s="3" t="inlineStr">
        <is>
          <t>ថ្លៃសេវារបស់អ្នកផ្ញើ</t>
        </is>
      </c>
      <c r="G2262" s="3" t="n"/>
      <c r="H2262" s="217" t="inlineStr">
        <is>
          <t>"delivery.warehouse.modifyOrder.collectionSender": "ថ្លៃសេវារបស់អ្នកផ្ញើ",</t>
        </is>
      </c>
      <c r="I2262" t="inlineStr">
        <is>
          <t>ថ្លៃសេវារបស់អ្នកផ្ញើ</t>
        </is>
      </c>
    </row>
    <row r="2263">
      <c r="A2263" s="3" t="inlineStr">
        <is>
          <t>delivery.warehouse.modifyOrder.consignee</t>
        </is>
      </c>
      <c r="B2263" s="3" t="inlineStr">
        <is>
          <t>Người nhận</t>
        </is>
      </c>
      <c r="C2263" s="3" t="inlineStr">
        <is>
          <t>Recipient information</t>
        </is>
      </c>
      <c r="D2263" s="217">
        <f>IFERROR(__xludf.DUMMYFUNCTION("GOOGLETRANSLATE(C2263,""vi"",""km"")"),"ព័ត៌មានអ្នកទទួល")</f>
        <v/>
      </c>
      <c r="E2263" s="3" t="n"/>
      <c r="F2263" s="3" t="inlineStr">
        <is>
          <t>អ្នកទទួល</t>
        </is>
      </c>
      <c r="G2263" s="3" t="n"/>
      <c r="H2263" s="217" t="inlineStr">
        <is>
          <t>"delivery.warehouse.modifyOrder.consignee": "អ្នកទទួល",</t>
        </is>
      </c>
      <c r="I2263" t="inlineStr">
        <is>
          <t>អ្នកទទួល</t>
        </is>
      </c>
    </row>
    <row r="2264">
      <c r="A2264" s="3" t="inlineStr">
        <is>
          <t>delivery.warehouse.modifyOrder.contract</t>
        </is>
      </c>
      <c r="B2264" s="3" t="inlineStr">
        <is>
          <t>Thanh toán theo hợp đồng</t>
        </is>
      </c>
      <c r="C2264" s="3" t="inlineStr">
        <is>
          <t>Pay by Contract Details</t>
        </is>
      </c>
      <c r="D2264" s="217">
        <f>IFERROR(__xludf.DUMMYFUNCTION("GOOGLETRANSLATE(C2264,""vi"",""km"")"),"បង់ប្រាក់តាមព័ត៌មានលម្អិតនៃកិច្ចសន្យា")</f>
        <v/>
      </c>
      <c r="E2264" s="3" t="n"/>
      <c r="F2264" s="3" t="inlineStr">
        <is>
          <t>បង់ប្រាក់តាមព័ត៌មានលម្អិតនៃកិច្ចសន្យា</t>
        </is>
      </c>
      <c r="G2264" s="3" t="n"/>
      <c r="H2264" s="217" t="inlineStr">
        <is>
          <t>"delivery.warehouse.modifyOrder.contract": "បង់ប្រាក់តាមព័ត៌មានលម្អិតនៃកិច្ចសន្យា",</t>
        </is>
      </c>
      <c r="I2264" t="inlineStr">
        <is>
          <t>បង់ប្រាក់តាមព័ត៌មានលម្អិតនៃកិច្ចសន្យា</t>
        </is>
      </c>
    </row>
    <row r="2265">
      <c r="A2265" s="3" t="inlineStr">
        <is>
          <t>delivery.warehouse.modifyOrder.createOrderDomestic</t>
        </is>
      </c>
      <c r="B2265" s="3" t="inlineStr">
        <is>
          <t>Trong nước</t>
        </is>
      </c>
      <c r="C2265" s="3" t="inlineStr">
        <is>
          <t>Domestic order</t>
        </is>
      </c>
      <c r="D2265" s="217">
        <f>IFERROR(__xludf.DUMMYFUNCTION("GOOGLETRANSLATE(C2265,""vi"",""km"")"),"ការបញ្ជាទិញក្នុងស្រុក")</f>
        <v/>
      </c>
      <c r="E2265" s="3" t="n"/>
      <c r="F2265" s="3" t="inlineStr">
        <is>
          <t>ការបញ្ជាទិញក្នុងស្រុក</t>
        </is>
      </c>
      <c r="G2265" s="3" t="n"/>
      <c r="H2265" s="217" t="inlineStr">
        <is>
          <t>"delivery.warehouse.modifyOrder.createOrderDomestic": "ការបញ្ជាទិញក្នុងស្រុក",</t>
        </is>
      </c>
      <c r="I2265" t="inlineStr">
        <is>
          <t>ការបញ្ជាទិញក្នុងស្រុក</t>
        </is>
      </c>
    </row>
    <row r="2266">
      <c r="A2266" s="3" t="inlineStr">
        <is>
          <t>delivery.warehouse.modifyOrder.createOrderInternational</t>
        </is>
      </c>
      <c r="B2266" s="3" t="inlineStr">
        <is>
          <t>Quốc tế</t>
        </is>
      </c>
      <c r="C2266" s="3" t="inlineStr">
        <is>
          <t>International order</t>
        </is>
      </c>
      <c r="D2266" s="217">
        <f>IFERROR(__xludf.DUMMYFUNCTION("GOOGLETRANSLATE(C2266,""vi"",""km"")"),"លំដាប់អន្តរជាតិ")</f>
        <v/>
      </c>
      <c r="E2266" s="3" t="n"/>
      <c r="F2266" s="3" t="inlineStr">
        <is>
          <t>លំដាប់អន្តរជាតិ</t>
        </is>
      </c>
      <c r="G2266" s="3" t="n"/>
      <c r="H2266" s="217" t="inlineStr">
        <is>
          <t>"delivery.warehouse.modifyOrder.createOrderInternational": "លំដាប់អន្តរជាតិ",</t>
        </is>
      </c>
      <c r="I2266" t="inlineStr">
        <is>
          <t>លំដាប់អន្តរជាតិ</t>
        </is>
      </c>
    </row>
    <row r="2267">
      <c r="A2267" s="3" t="inlineStr">
        <is>
          <t>delivery.warehouse.modifyOrder.createSuccess</t>
        </is>
      </c>
      <c r="B2267" s="3" t="inlineStr">
        <is>
          <t>Tạo đơn thành công!</t>
        </is>
      </c>
      <c r="C2267" s="3" t="inlineStr">
        <is>
          <t>Order created successfully</t>
        </is>
      </c>
      <c r="D2267" s="217">
        <f>IFERROR(__xludf.DUMMYFUNCTION("GOOGLETRANSLATE(C2267,""vi"",""km"")"),"ការបញ្ជាទិញត្រូវបានបង្កើតឡើងដោយជោគជ័យ")</f>
        <v/>
      </c>
      <c r="E2267" s="3" t="n"/>
      <c r="F2267" s="3" t="inlineStr">
        <is>
          <t>ការបញ្ជាទិញត្រូវបានបង្កើតឡើងដោយជោគជ័យ</t>
        </is>
      </c>
      <c r="G2267" s="3" t="n"/>
      <c r="H2267" s="217" t="inlineStr">
        <is>
          <t>"delivery.warehouse.modifyOrder.createSuccess": "ការបញ្ជាទិញត្រូវបានបង្កើតឡើងដោយជោគជ័យ",</t>
        </is>
      </c>
      <c r="I2267" t="inlineStr">
        <is>
          <t>ការបញ្ជាទិញត្រូវបានបង្កើតឡើងដោយជោគជ័យ</t>
        </is>
      </c>
    </row>
    <row r="2268">
      <c r="A2268" s="3" t="inlineStr">
        <is>
          <t>delivery.warehouse.modifyOrder.day</t>
        </is>
      </c>
      <c r="B2268" s="3" t="inlineStr">
        <is>
          <t>Ngày</t>
        </is>
      </c>
      <c r="C2268" s="3" t="inlineStr">
        <is>
          <t>Day</t>
        </is>
      </c>
      <c r="D2268" s="217">
        <f>IFERROR(__xludf.DUMMYFUNCTION("GOOGLETRANSLATE(C2268,""vi"",""km"")"),"ថ្ងៃ")</f>
        <v/>
      </c>
      <c r="E2268" s="3" t="n"/>
      <c r="F2268" s="3" t="inlineStr">
        <is>
          <t>ថ្ងៃ</t>
        </is>
      </c>
      <c r="G2268" s="3" t="n"/>
      <c r="H2268" s="217" t="inlineStr">
        <is>
          <t>"delivery.warehouse.modifyOrder.day": "ថ្ងៃ",</t>
        </is>
      </c>
      <c r="I2268" t="inlineStr">
        <is>
          <t>ថ្ងៃ</t>
        </is>
      </c>
    </row>
    <row r="2269">
      <c r="A2269" s="3" t="inlineStr">
        <is>
          <t>delivery.warehouse.modifyOrder.deliveryAppointment</t>
        </is>
      </c>
      <c r="B2269" s="3" t="inlineStr">
        <is>
          <t>Thời gian hẹn giao</t>
        </is>
      </c>
      <c r="C2269" s="3" t="inlineStr">
        <is>
          <t>Delivery time</t>
        </is>
      </c>
      <c r="D2269" s="217">
        <f>IFERROR(__xludf.DUMMYFUNCTION("GOOGLETRANSLATE(C2269,""vi"",""km"")"),"ពេលវេលាដឹកជញ្ជូន")</f>
        <v/>
      </c>
      <c r="E2269" s="3" t="n"/>
      <c r="F2269" s="3" t="inlineStr">
        <is>
          <t>ពេលវេលាដឹកជញ្ជូន</t>
        </is>
      </c>
      <c r="G2269" s="3" t="n"/>
      <c r="H2269" s="217" t="inlineStr">
        <is>
          <t>"delivery.warehouse.modifyOrder.deliveryAppointment": "ពេលវេលាដឹកជញ្ជូន",</t>
        </is>
      </c>
      <c r="I2269" t="inlineStr">
        <is>
          <t>ពេលវេលាដឹកជញ្ជូន</t>
        </is>
      </c>
    </row>
    <row r="2270">
      <c r="A2270" s="3" t="inlineStr">
        <is>
          <t>delivery.warehouse.modifyOrder.deliveryStore</t>
        </is>
      </c>
      <c r="B2270" s="3" t="inlineStr">
        <is>
          <t>Cửa hàng giao</t>
        </is>
      </c>
      <c r="C2270" s="3" t="inlineStr">
        <is>
          <t>Delivery Store</t>
        </is>
      </c>
      <c r="D2270" s="217">
        <f>IFERROR(__xludf.DUMMYFUNCTION("GOOGLETRANSLATE(C2270,""vi"",""km"")"),"ហាងដឹកជញ្ជូន")</f>
        <v/>
      </c>
      <c r="E2270" s="3" t="n"/>
      <c r="F2270" s="3" t="inlineStr">
        <is>
          <t>ហាងដឹកជញ្ជូន</t>
        </is>
      </c>
      <c r="G2270" s="3" t="n"/>
      <c r="H2270" s="217" t="inlineStr">
        <is>
          <t>"delivery.warehouse.modifyOrder.deliveryStore": "ហាងដឹកជញ្ជូន",</t>
        </is>
      </c>
      <c r="I2270" t="inlineStr">
        <is>
          <t>ហាងដឹកជញ្ជូន</t>
        </is>
      </c>
    </row>
    <row r="2271">
      <c r="A2271" s="3" t="inlineStr">
        <is>
          <t>delivery.warehouse.modifyOrder.dimensionsAreRequired</t>
        </is>
      </c>
      <c r="B2271" s="3" t="inlineStr">
        <is>
          <t>Kích thước không được để trống</t>
        </is>
      </c>
      <c r="C2271" s="3" t="inlineStr">
        <is>
          <t>Dimensions are required</t>
        </is>
      </c>
      <c r="D2271" s="217">
        <f>IFERROR(__xludf.DUMMYFUNCTION("GOOGLETRANSLATE(C2271,""vi"",""km"")"),"តម្រូវឲ្យមានវិមាត្រ")</f>
        <v/>
      </c>
      <c r="E2271" s="3" t="n"/>
      <c r="F2271" s="3" t="inlineStr">
        <is>
          <t>តម្រូវឲ្យមានវិមាត្រ</t>
        </is>
      </c>
      <c r="G2271" s="3" t="n"/>
      <c r="H2271" s="217" t="inlineStr">
        <is>
          <t>"delivery.warehouse.modifyOrder.dimensionsAreRequired": "តម្រូវឲ្យមានវិមាត្រ",</t>
        </is>
      </c>
      <c r="I2271" t="inlineStr">
        <is>
          <t>តម្រូវឲ្យមានវិមាត្រ</t>
        </is>
      </c>
    </row>
    <row r="2272">
      <c r="A2272" s="3" t="inlineStr">
        <is>
          <t>delivery.warehouse.modifyOrder.document</t>
        </is>
      </c>
      <c r="B2272" s="3" t="inlineStr">
        <is>
          <t>Tài liệu</t>
        </is>
      </c>
      <c r="C2272" s="3" t="inlineStr">
        <is>
          <t>Documents</t>
        </is>
      </c>
      <c r="D2272" s="217">
        <f>IFERROR(__xludf.DUMMYFUNCTION("GOOGLETRANSLATE(C2272,""vi"",""km"")"),"ឯកសារ")</f>
        <v/>
      </c>
      <c r="E2272" s="3" t="n"/>
      <c r="F2272" s="3" t="inlineStr">
        <is>
          <t>ឯកសារ</t>
        </is>
      </c>
      <c r="G2272" s="3" t="n"/>
      <c r="H2272" s="217" t="inlineStr">
        <is>
          <t>"delivery.warehouse.modifyOrder.document": "ឯកសារ",</t>
        </is>
      </c>
      <c r="I2272" t="inlineStr">
        <is>
          <t>ឯកសារ</t>
        </is>
      </c>
    </row>
    <row r="2273">
      <c r="A2273" s="3" t="inlineStr">
        <is>
          <t>delivery.warehouse.modifyOrder.emptyMainService</t>
        </is>
      </c>
      <c r="B2273" s="3" t="inlineStr">
        <is>
          <t>Không tìm thấy mã dịch vụ</t>
        </is>
      </c>
      <c r="C2273" s="3" t="inlineStr">
        <is>
          <t>Service code not found</t>
        </is>
      </c>
      <c r="D2273" s="217">
        <f>IFERROR(__xludf.DUMMYFUNCTION("GOOGLETRANSLATE(C2273,""vi"",""km"")"),"រកមិនឃើញលេខកូដសេវាកម្មទេ")</f>
        <v/>
      </c>
      <c r="E2273" s="3" t="n"/>
      <c r="F2273" s="3" t="inlineStr">
        <is>
          <t>រកមិនឃើញលេខកូដសេវាកម្មទេ</t>
        </is>
      </c>
      <c r="G2273" s="3" t="n"/>
      <c r="H2273" s="217" t="inlineStr">
        <is>
          <t>"delivery.warehouse.modifyOrder.emptyMainService": "រកមិនឃើញលេខកូដសេវាកម្មទេ",</t>
        </is>
      </c>
      <c r="I2273" t="inlineStr">
        <is>
          <t>រកមិនឃើញលេខកូដសេវាកម្មទេ</t>
        </is>
      </c>
    </row>
    <row r="2274">
      <c r="A2274" s="3" t="inlineStr">
        <is>
          <t>delivery.warehouse.modifyOrder.emptyPricing</t>
        </is>
      </c>
      <c r="B2274" s="3" t="inlineStr">
        <is>
          <t>Không tìm thấy giá</t>
        </is>
      </c>
      <c r="C2274" s="3" t="inlineStr">
        <is>
          <t>Pricing not found</t>
        </is>
      </c>
      <c r="D2274" s="217">
        <f>IFERROR(__xludf.DUMMYFUNCTION("GOOGLETRANSLATE(C2274,""vi"",""km"")"),"រកមិនឃើញតម្លៃ")</f>
        <v/>
      </c>
      <c r="E2274" s="3" t="n"/>
      <c r="F2274" s="3" t="inlineStr">
        <is>
          <t>រកមិនឃើញតម្លៃ</t>
        </is>
      </c>
      <c r="G2274" s="3" t="n"/>
      <c r="H2274" s="217" t="inlineStr">
        <is>
          <t>"delivery.warehouse.modifyOrder.emptyPricing": "រកមិនឃើញតម្លៃ",</t>
        </is>
      </c>
      <c r="I2274" t="inlineStr">
        <is>
          <t>រកមិនឃើញតម្លៃ</t>
        </is>
      </c>
    </row>
    <row r="2275">
      <c r="A2275" s="3" t="inlineStr">
        <is>
          <t>delivery.warehouse.modifyOrder.emptySurcharge</t>
        </is>
      </c>
      <c r="B2275" s="3" t="inlineStr">
        <is>
          <t>Vui lòng nhập phụ phí</t>
        </is>
      </c>
      <c r="C2275" s="3" t="inlineStr">
        <is>
          <t>Please enter surcharges</t>
        </is>
      </c>
      <c r="D2275" s="217">
        <f>IFERROR(__xludf.DUMMYFUNCTION("GOOGLETRANSLATE(C2275,""vi"",""km"")"),"សូមបញ្ចូលថ្លៃបន្ថែម")</f>
        <v/>
      </c>
      <c r="E2275" s="3" t="n"/>
      <c r="F2275" s="3" t="inlineStr">
        <is>
          <t>សូមបញ្ចូលថ្លៃបន្ថែម</t>
        </is>
      </c>
      <c r="G2275" s="3" t="n"/>
      <c r="H2275" s="217" t="inlineStr">
        <is>
          <t>"delivery.warehouse.modifyOrder.emptySurcharge": "សូមបញ្ចូលថ្លៃបន្ថែម",</t>
        </is>
      </c>
      <c r="I2275" t="inlineStr">
        <is>
          <t>សូមបញ្ចូលថ្លៃបន្ថែម</t>
        </is>
      </c>
    </row>
    <row r="2276">
      <c r="A2276" s="3" t="inlineStr">
        <is>
          <t>delivery.warehouse.modifyOrder.enterPositiveInteger</t>
        </is>
      </c>
      <c r="B2276" s="3" t="inlineStr">
        <is>
          <t>Chỉ được nhập số nguyên dương</t>
        </is>
      </c>
      <c r="C2276" s="3" t="inlineStr">
        <is>
          <t>Only positive integers can be entered</t>
        </is>
      </c>
      <c r="D2276" s="217">
        <f>IFERROR(__xludf.DUMMYFUNCTION("GOOGLETRANSLATE(C2276,""vi"",""km"")"),"អាចបញ្ចូលបានតែចំនួនគត់វិជ្ជមានប៉ុណ្ណោះ")</f>
        <v/>
      </c>
      <c r="E2276" s="3" t="n"/>
      <c r="F2276" s="3" t="inlineStr">
        <is>
          <t>អាចបញ្ចូលបានតែចំនួនគត់វិជ្ជមានប៉ុណ្ណោះ</t>
        </is>
      </c>
      <c r="G2276" s="3" t="n"/>
      <c r="H2276" s="217" t="inlineStr">
        <is>
          <t>"delivery.warehouse.modifyOrder.enterPositiveInteger": "អាចបញ្ចូលបានតែចំនួនគត់វិជ្ជមានប៉ុណ្ណោះ",</t>
        </is>
      </c>
      <c r="I2276" t="inlineStr">
        <is>
          <t>អាចបញ្ចូលបានតែចំនួនគត់វិជ្ជមានប៉ុណ្ណោះ</t>
        </is>
      </c>
    </row>
    <row r="2277">
      <c r="A2277" s="3" t="inlineStr">
        <is>
          <t>delivery.warehouse.modifyOrder.extraPrices</t>
        </is>
      </c>
      <c r="B2277" s="3" t="inlineStr">
        <is>
          <t>Dịch vụ cộng thêm</t>
        </is>
      </c>
      <c r="C2277" s="3" t="inlineStr">
        <is>
          <t>Extra prices</t>
        </is>
      </c>
      <c r="D2277" s="217">
        <f>IFERROR(__xludf.DUMMYFUNCTION("GOOGLETRANSLATE(C2277,""vi"",""km"")"),"តម្លៃបន្ថែម")</f>
        <v/>
      </c>
      <c r="E2277" s="3" t="n"/>
      <c r="F2277" s="3" t="inlineStr">
        <is>
          <t>សេវាកម្មបន្ថែម</t>
        </is>
      </c>
      <c r="G2277" s="3" t="n"/>
      <c r="H2277" s="217" t="inlineStr">
        <is>
          <t>"delivery.warehouse.modifyOrder.extraPrices": "សេវាកម្មបន្ថែម",</t>
        </is>
      </c>
      <c r="I2277" t="inlineStr">
        <is>
          <t>សេវាកម្មបន្ថែម</t>
        </is>
      </c>
    </row>
    <row r="2278">
      <c r="A2278" s="3" t="inlineStr">
        <is>
          <t>delivery.warehouse.modifyOrder.goods</t>
        </is>
      </c>
      <c r="B2278" s="3" t="inlineStr">
        <is>
          <t>Bưu phẩm</t>
        </is>
      </c>
      <c r="C2278" s="3" t="inlineStr">
        <is>
          <t>Parcel</t>
        </is>
      </c>
      <c r="D2278" s="217">
        <f>IFERROR(__xludf.DUMMYFUNCTION("GOOGLETRANSLATE(C2278,""vi"",""km"")"),"កញ្ចប់")</f>
        <v/>
      </c>
      <c r="E2278" s="3" t="n"/>
      <c r="F2278" s="3" t="inlineStr">
        <is>
          <t>កញ្ចប់</t>
        </is>
      </c>
      <c r="G2278" s="3" t="n"/>
      <c r="H2278" s="217" t="inlineStr">
        <is>
          <t>"delivery.warehouse.modifyOrder.goods": "កញ្ចប់",</t>
        </is>
      </c>
      <c r="I2278" t="inlineStr">
        <is>
          <t>កញ្ចប់</t>
        </is>
      </c>
    </row>
    <row r="2279">
      <c r="A2279" s="3" t="inlineStr">
        <is>
          <t>delivery.warehouse.modifyOrder.height</t>
        </is>
      </c>
      <c r="B2279" s="3" t="inlineStr">
        <is>
          <t>Cao</t>
        </is>
      </c>
      <c r="C2279" s="3" t="inlineStr">
        <is>
          <t>Height</t>
        </is>
      </c>
      <c r="D2279" s="217">
        <f>IFERROR(__xludf.DUMMYFUNCTION("GOOGLETRANSLATE(C2279,""vi"",""km"")"),"កម្ពស់")</f>
        <v/>
      </c>
      <c r="E2279" s="3" t="n"/>
      <c r="F2279" s="3" t="inlineStr">
        <is>
          <t>កម្ពស់</t>
        </is>
      </c>
      <c r="G2279" s="3" t="n"/>
      <c r="H2279" s="217" t="inlineStr">
        <is>
          <t>"delivery.warehouse.modifyOrder.height": "កម្ពស់",</t>
        </is>
      </c>
      <c r="I2279" t="inlineStr">
        <is>
          <t>កម្ពស់</t>
        </is>
      </c>
    </row>
    <row r="2280">
      <c r="A2280" s="3" t="inlineStr">
        <is>
          <t>delivery.warehouse.modifyOrder.informationOrder</t>
        </is>
      </c>
      <c r="B2280" s="3" t="inlineStr">
        <is>
          <t>Thông tin phiếu gửi</t>
        </is>
      </c>
      <c r="C2280" s="3" t="inlineStr">
        <is>
          <t>Postal slip details</t>
        </is>
      </c>
      <c r="D2280" s="217">
        <f>IFERROR(__xludf.DUMMYFUNCTION("GOOGLETRANSLATE(C2280,""vi"",""km"")"),"ព័ត៌មានលម្អិតអំពីសំបុត្រប្រៃសណីយ៍")</f>
        <v/>
      </c>
      <c r="E2280" s="3" t="n"/>
      <c r="F2280" s="3" t="inlineStr">
        <is>
          <t>ព័ត៌មានលម្អិតអំពីបុងបញ្ញើ</t>
        </is>
      </c>
      <c r="G2280" s="3" t="n"/>
      <c r="H2280" s="217" t="inlineStr">
        <is>
          <t>"delivery.warehouse.modifyOrder.informationOrder": "ព័ត៌មានលម្អិតអំពីបុងបញ្ញើ",</t>
        </is>
      </c>
      <c r="I2280" t="inlineStr">
        <is>
          <t>ព័ត៌មានលម្អិតអំពីបុងបញ្ញើ</t>
        </is>
      </c>
    </row>
    <row r="2281">
      <c r="A2281" s="3" t="inlineStr">
        <is>
          <t>delivery.warehouse.modifyOrder.invalOrder</t>
        </is>
      </c>
      <c r="B2281" s="3" t="inlineStr">
        <is>
          <t>Không tìm thấy mã phiếu gửi</t>
        </is>
      </c>
      <c r="C2281" s="3" t="inlineStr">
        <is>
          <t>No postal slip found</t>
        </is>
      </c>
      <c r="D2281" s="217">
        <f>IFERROR(__xludf.DUMMYFUNCTION("GOOGLETRANSLATE(C2281,""vi"",""km"")"),"រកមិនឃើញសំបុត្រប្រៃសណីយ៍ទេ")</f>
        <v/>
      </c>
      <c r="E2281" s="3" t="n"/>
      <c r="F2281" s="3" t="inlineStr">
        <is>
          <t>រកមិនឃើញបុងបញ្ញើទេ</t>
        </is>
      </c>
      <c r="G2281" s="3" t="n"/>
      <c r="H2281" s="217" t="inlineStr">
        <is>
          <t>"delivery.warehouse.modifyOrder.invalOrder": "រកមិនឃើញបុងបញ្ញើទេ",</t>
        </is>
      </c>
      <c r="I2281" t="inlineStr">
        <is>
          <t>រកមិនឃើញបុងបញ្ញើទេ</t>
        </is>
      </c>
    </row>
    <row r="2282">
      <c r="A2282" s="3" t="inlineStr">
        <is>
          <t>delivery.warehouse.modifyOrder.invoice</t>
        </is>
      </c>
      <c r="B2282" s="3" t="inlineStr">
        <is>
          <t>Yêu cầu xuất hoá đơn</t>
        </is>
      </c>
      <c r="C2282" s="3" t="inlineStr">
        <is>
          <t>Request Invoice</t>
        </is>
      </c>
      <c r="D2282" s="217">
        <f>IFERROR(__xludf.DUMMYFUNCTION("GOOGLETRANSLATE(C2282,""vi"",""km"")"),"ស្នើសុំវិក្កយបត្រ")</f>
        <v/>
      </c>
      <c r="E2282" s="3" t="n"/>
      <c r="F2282" s="3" t="inlineStr">
        <is>
          <t>ស្នើសុំវិក្កយបត្រ</t>
        </is>
      </c>
      <c r="G2282" s="3" t="n"/>
      <c r="H2282" s="217" t="inlineStr">
        <is>
          <t>"delivery.warehouse.modifyOrder.invoice": "ស្នើសុំវិក្កយបត្រ",</t>
        </is>
      </c>
      <c r="I2282" t="inlineStr">
        <is>
          <t>ស្នើសុំវិក្កយបត្រ</t>
        </is>
      </c>
    </row>
    <row r="2283">
      <c r="A2283" s="3" t="inlineStr">
        <is>
          <t>delivery.warehouse.modifyOrder.invoiceByReceiver</t>
        </is>
      </c>
      <c r="B2283" s="3" t="inlineStr">
        <is>
          <t>Xuất hóa đơn theo thông tin người nhận</t>
        </is>
      </c>
      <c r="C2283" s="3" t="inlineStr">
        <is>
          <t>Issue invoice based on receiver information</t>
        </is>
      </c>
      <c r="D2283" s="217">
        <f>IFERROR(__xludf.DUMMYFUNCTION("GOOGLETRANSLATE(C2283,""vi"",""km"")"),"ចេញវិក្កយបត្រដោយផ្អែកលើព័ត៌មានអ្នកទទួល")</f>
        <v/>
      </c>
      <c r="E2283" s="3" t="n"/>
      <c r="F2283" s="3" t="inlineStr">
        <is>
          <t>ចេញវិក្កយបត្រដោយផ្អែកលើព័ត៌មានអ្នកទទួល</t>
        </is>
      </c>
      <c r="G2283" s="3" t="n"/>
      <c r="H2283" s="217" t="inlineStr">
        <is>
          <t>"delivery.warehouse.modifyOrder.invoiceByReceiver": "ចេញវិក្កយបត្រដោយផ្អែកលើព័ត៌មានអ្នកទទួល",</t>
        </is>
      </c>
      <c r="I2283" t="inlineStr">
        <is>
          <t>ចេញវិក្កយបត្រដោយផ្អែកលើព័ត៌មានអ្នកទទួល</t>
        </is>
      </c>
    </row>
    <row r="2284">
      <c r="A2284" s="3" t="inlineStr">
        <is>
          <t>delivery.warehouse.modifyOrder.invoiceBySender</t>
        </is>
      </c>
      <c r="B2284" s="3" t="inlineStr">
        <is>
          <t>Xuất hóa đơn theo thông tin người gửi</t>
        </is>
      </c>
      <c r="C2284" s="3" t="inlineStr">
        <is>
          <t>Issue invoice based on sender information</t>
        </is>
      </c>
      <c r="D2284" s="217">
        <f>IFERROR(__xludf.DUMMYFUNCTION("GOOGLETRANSLATE(C2284,""vi"",""km"")"),"ចេញវិក្កយបត្រដោយផ្អែកលើព័ត៌មានអ្នកផ្ញើ")</f>
        <v/>
      </c>
      <c r="E2284" s="3" t="n"/>
      <c r="F2284" s="3" t="inlineStr">
        <is>
          <t>ចេញវិក្កយបត្រដោយផ្អែកលើព័ត៌មានអ្នកផ្ញើ</t>
        </is>
      </c>
      <c r="G2284" s="3" t="n"/>
      <c r="H2284" s="217" t="inlineStr">
        <is>
          <t>"delivery.warehouse.modifyOrder.invoiceBySender": "ចេញវិក្កយបត្រដោយផ្អែកលើព័ត៌មានអ្នកផ្ញើ",</t>
        </is>
      </c>
      <c r="I2284" t="inlineStr">
        <is>
          <t>ចេញវិក្កយបត្រដោយផ្អែកលើព័ត៌មានអ្នកផ្ញើ</t>
        </is>
      </c>
    </row>
    <row r="2285">
      <c r="A2285" s="3" t="inlineStr">
        <is>
          <t>delivery.warehouse.modifyOrder.length</t>
        </is>
      </c>
      <c r="B2285" s="3" t="inlineStr">
        <is>
          <t>Dài</t>
        </is>
      </c>
      <c r="C2285" s="3" t="inlineStr">
        <is>
          <t>Length</t>
        </is>
      </c>
      <c r="D2285" s="217">
        <f>IFERROR(__xludf.DUMMYFUNCTION("GOOGLETRANSLATE(C2285,""vi"",""km"")"),"ប្រវែង")</f>
        <v/>
      </c>
      <c r="E2285" s="3" t="n"/>
      <c r="F2285" s="3" t="inlineStr">
        <is>
          <t>បណ្តោយ</t>
        </is>
      </c>
      <c r="G2285" s="3" t="n"/>
      <c r="H2285" s="217" t="inlineStr">
        <is>
          <t>"delivery.warehouse.modifyOrder.length": "បណ្តោយ",</t>
        </is>
      </c>
      <c r="I2285" t="inlineStr">
        <is>
          <t>បណ្តោយ</t>
        </is>
      </c>
    </row>
    <row r="2286">
      <c r="A2286" s="3" t="inlineStr">
        <is>
          <t>delivery.warehouse.modifyOrder.mainService</t>
        </is>
      </c>
      <c r="B2286" s="3" t="inlineStr">
        <is>
          <t>Dịch vụ chính</t>
        </is>
      </c>
      <c r="C2286" s="3" t="inlineStr">
        <is>
          <t>Main service</t>
        </is>
      </c>
      <c r="D2286" s="217">
        <f>IFERROR(__xludf.DUMMYFUNCTION("GOOGLETRANSLATE(C2286,""vi"",""km"")"),"សេវាកម្មសំខាន់")</f>
        <v/>
      </c>
      <c r="E2286" s="3" t="n"/>
      <c r="F2286" s="3" t="inlineStr">
        <is>
          <t>សេវាកម្មសំខាន់</t>
        </is>
      </c>
      <c r="G2286" s="3" t="n"/>
      <c r="H2286" s="217" t="inlineStr">
        <is>
          <t>"delivery.warehouse.modifyOrder.mainService": "សេវាកម្មសំខាន់",</t>
        </is>
      </c>
      <c r="I2286" t="inlineStr">
        <is>
          <t>សេវាកម្មសំខាន់</t>
        </is>
      </c>
    </row>
    <row r="2287">
      <c r="A2287" s="3" t="inlineStr">
        <is>
          <t>delivery.warehouse.modifyOrder.materials</t>
        </is>
      </c>
      <c r="B2287" s="3" t="inlineStr">
        <is>
          <t>Phụ phí nguyên vật liệu</t>
        </is>
      </c>
      <c r="C2287" s="3" t="inlineStr">
        <is>
          <t>Materials charge</t>
        </is>
      </c>
      <c r="D2287" s="217">
        <f>IFERROR(__xludf.DUMMYFUNCTION("GOOGLETRANSLATE(C2287,""vi"",""km"")"),"ថ្លៃសម្ភារៈ")</f>
        <v/>
      </c>
      <c r="E2287" s="3" t="n"/>
      <c r="F2287" s="3" t="inlineStr">
        <is>
          <t>ថ្លៃសម្ភារៈ</t>
        </is>
      </c>
      <c r="G2287" s="3" t="n"/>
      <c r="H2287" s="217" t="inlineStr">
        <is>
          <t>"delivery.warehouse.modifyOrder.materials": "ថ្លៃសម្ភារៈ",</t>
        </is>
      </c>
      <c r="I2287" t="inlineStr">
        <is>
          <t>ថ្លៃសម្ភារៈ</t>
        </is>
      </c>
    </row>
    <row r="2288">
      <c r="A2288" s="3" t="inlineStr">
        <is>
          <t>delivery.warehouse.modifyOrder.moneyCollection</t>
        </is>
      </c>
      <c r="B2288" s="3" t="inlineStr">
        <is>
          <t>Tiền thu hộ COD ({{money_unit}})</t>
        </is>
      </c>
      <c r="C2288" s="3" t="inlineStr">
        <is>
          <t>COD ({{money_unit}})</t>
        </is>
      </c>
      <c r="D2288" s="217">
        <f>IFERROR(__xludf.DUMMYFUNCTION("GOOGLETRANSLATE(C2288,""vi"",""km"")"),"COD (ឯកតា_ប្រាក់)")</f>
        <v/>
      </c>
      <c r="E2288" s="3" t="n"/>
      <c r="F2288" s="3" t="inlineStr">
        <is>
          <t>Tiền thu hộ COD ({{money_unit}})</t>
        </is>
      </c>
      <c r="G2288" s="3" t="n"/>
      <c r="H2288" s="217" t="inlineStr">
        <is>
          <t>"delivery.warehouse.modifyOrder.moneyCollection": "Tiền thu hộ COD ({{money_unit}})",</t>
        </is>
      </c>
      <c r="I2288" t="inlineStr">
        <is>
          <t>Tiền thu hộ COD ({{money_unit}})</t>
        </is>
      </c>
      <c r="N2288" s="217" t="inlineStr">
        <is>
          <t>COD ({{money_unit}})</t>
        </is>
      </c>
    </row>
    <row r="2289">
      <c r="A2289" s="3" t="inlineStr">
        <is>
          <t>delivery.warehouse.modifyOrder.moneyCollectionFooter</t>
        </is>
      </c>
      <c r="B2289" s="3" t="inlineStr">
        <is>
          <t>Tiền thu hộ</t>
        </is>
      </c>
      <c r="C2289" s="3" t="inlineStr">
        <is>
          <t>COD</t>
        </is>
      </c>
      <c r="D2289" s="217">
        <f>IFERROR(__xludf.DUMMYFUNCTION("GOOGLETRANSLATE(C2289,""vi"",""km"")"),"ប្រតិបត្តិការ​ទូទាត់​ថ្លៃ​សេវា​ (COD)")</f>
        <v/>
      </c>
      <c r="E2289" s="3" t="n"/>
      <c r="F2289" s="3" t="inlineStr">
        <is>
          <t>ប្រាក់ប្រមូលជំនួស (COD)</t>
        </is>
      </c>
      <c r="G2289" s="3" t="n"/>
      <c r="H2289" s="217" t="inlineStr">
        <is>
          <t>"delivery.warehouse.modifyOrder.moneyCollectionFooter": "ប្រាក់ប្រមូលជំនួស (COD)",</t>
        </is>
      </c>
      <c r="I2289" t="inlineStr">
        <is>
          <t>ប្រាក់ប្រមូលជំនួស (COD)</t>
        </is>
      </c>
    </row>
    <row r="2290">
      <c r="A2290" s="3" t="inlineStr">
        <is>
          <t>delivery.warehouse.modifyOrder.moneyCollectionPlaceholder</t>
        </is>
      </c>
      <c r="B2290" s="3" t="inlineStr">
        <is>
          <t>Nhập tiền thu hộ</t>
        </is>
      </c>
      <c r="C2290" s="3" t="inlineStr">
        <is>
          <t>Enter COD</t>
        </is>
      </c>
      <c r="D2290" s="217">
        <f>IFERROR(__xludf.DUMMYFUNCTION("GOOGLETRANSLATE(C2290,""vi"",""km"")"),"បញ្ចូលលេខកូដ")</f>
        <v/>
      </c>
      <c r="E2290" s="3" t="n"/>
      <c r="F2290" s="3" t="inlineStr">
        <is>
          <t>បញ្ចូលលេខកូដ</t>
        </is>
      </c>
      <c r="G2290" s="3" t="n"/>
      <c r="H2290" s="217" t="inlineStr">
        <is>
          <t>"delivery.warehouse.modifyOrder.moneyCollectionPlaceholder": "បញ្ចូលលេខកូដ",</t>
        </is>
      </c>
      <c r="I2290" t="inlineStr">
        <is>
          <t>បញ្ចូលលេខកូដ</t>
        </is>
      </c>
    </row>
    <row r="2291">
      <c r="A2291" s="3" t="inlineStr">
        <is>
          <t>delivery.warehouse.modifyOrder.morning</t>
        </is>
      </c>
      <c r="B2291" s="3" t="inlineStr">
        <is>
          <t>Sáng (7h30 - 12h00)</t>
        </is>
      </c>
      <c r="C2291" s="3" t="inlineStr">
        <is>
          <t>Morning (7:30 - 12:00)</t>
        </is>
      </c>
      <c r="D2291" s="217">
        <f>IFERROR(__xludf.DUMMYFUNCTION("GOOGLETRANSLATE(C2291,""vi"",""km"")"),"ពេលព្រឹក (៧:៣០ - ១២:០០)")</f>
        <v/>
      </c>
      <c r="E2291" s="3" t="n"/>
      <c r="F2291" s="3" t="inlineStr">
        <is>
          <t>ពេលព្រឹក (៧:៣០ - ១២:០០)</t>
        </is>
      </c>
      <c r="G2291" s="3" t="n"/>
      <c r="H2291" s="217" t="inlineStr">
        <is>
          <t>"delivery.warehouse.modifyOrder.morning": "ពេលព្រឹក (៧:៣០ - ១២:០០)",</t>
        </is>
      </c>
      <c r="I2291" t="inlineStr">
        <is>
          <t>ពេលព្រឹក (៧:៣០ - ១២:០០)</t>
        </is>
      </c>
    </row>
    <row r="2292">
      <c r="A2292" s="23" t="inlineStr">
        <is>
          <t>delivery.warehouse.modifyOrder.name</t>
        </is>
      </c>
      <c r="B2292" s="3" t="inlineStr">
        <is>
          <t>Họ tên</t>
        </is>
      </c>
      <c r="C2292" s="3" t="inlineStr">
        <is>
          <t>Full name</t>
        </is>
      </c>
      <c r="D2292" s="217">
        <f>IFERROR(__xludf.DUMMYFUNCTION("GOOGLETRANSLATE(C2292,""vi"",""km"")"),"ឈ្មោះពេញ")</f>
        <v/>
      </c>
      <c r="E2292" s="3" t="n"/>
      <c r="F2292" s="3" t="inlineStr">
        <is>
          <t>ឈ្មោះពេញ</t>
        </is>
      </c>
      <c r="G2292" s="3" t="n"/>
      <c r="H2292" s="217" t="inlineStr">
        <is>
          <t>"delivery.warehouse.modifyOrder.name": "ឈ្មោះពេញ",</t>
        </is>
      </c>
      <c r="I2292" t="inlineStr">
        <is>
          <t>ឈ្មោះពេញ</t>
        </is>
      </c>
    </row>
    <row r="2293">
      <c r="A2293" s="3" t="inlineStr">
        <is>
          <t>delivery.warehouse.modifyOrder.nameConsignee</t>
        </is>
      </c>
      <c r="B2293" s="3" t="inlineStr">
        <is>
          <t>Họ tên người nhận</t>
        </is>
      </c>
      <c r="C2293" s="3" t="inlineStr">
        <is>
          <t>Consignee full name</t>
        </is>
      </c>
      <c r="D2293" s="217">
        <f>IFERROR(__xludf.DUMMYFUNCTION("GOOGLETRANSLATE(C2293,""vi"",""km"")"),"ឈ្មោះពេញរបស់អ្នកទទួលទំនិញ")</f>
        <v/>
      </c>
      <c r="E2293" s="3" t="n"/>
      <c r="F2293" s="3" t="inlineStr">
        <is>
          <t>ឈ្មោះពេញរបស់អ្នកទទួលទំនិញ</t>
        </is>
      </c>
      <c r="G2293" s="3" t="n"/>
      <c r="H2293" s="217" t="inlineStr">
        <is>
          <t>"delivery.warehouse.modifyOrder.nameConsignee": "ឈ្មោះពេញរបស់អ្នកទទួលទំនិញ",</t>
        </is>
      </c>
      <c r="I2293" t="inlineStr">
        <is>
          <t>ឈ្មោះពេញរបស់អ្នកទទួលទំនិញ</t>
        </is>
      </c>
    </row>
    <row r="2294">
      <c r="A2294" s="3" t="inlineStr">
        <is>
          <t>delivery.warehouse.modifyOrder.namePlaceholder</t>
        </is>
      </c>
      <c r="B2294" s="3" t="inlineStr">
        <is>
          <t>Nhập họ tên</t>
        </is>
      </c>
      <c r="C2294" s="3" t="inlineStr">
        <is>
          <t>Enter your name</t>
        </is>
      </c>
      <c r="D2294" s="217">
        <f>IFERROR(__xludf.DUMMYFUNCTION("GOOGLETRANSLATE(C2294,""vi"",""km"")"),"បញ្ចូលឈ្មោះរបស់អ្នក")</f>
        <v/>
      </c>
      <c r="E2294" s="3" t="n"/>
      <c r="F2294" s="3" t="inlineStr">
        <is>
          <t>បញ្ចូលឈ្មោះរបស់អ្នក</t>
        </is>
      </c>
      <c r="G2294" s="3" t="n"/>
      <c r="H2294" s="217" t="inlineStr">
        <is>
          <t>"delivery.warehouse.modifyOrder.namePlaceholder": "បញ្ចូលឈ្មោះរបស់អ្នក",</t>
        </is>
      </c>
      <c r="I2294" t="inlineStr">
        <is>
          <t>បញ្ចូលឈ្មោះរបស់អ្នក</t>
        </is>
      </c>
    </row>
    <row r="2295">
      <c r="A2295" s="3" t="inlineStr">
        <is>
          <t>delivery.warehouse.modifyOrder.nameSender</t>
        </is>
      </c>
      <c r="B2295" s="3" t="inlineStr">
        <is>
          <t>Họ tên người gửi</t>
        </is>
      </c>
      <c r="C2295" s="3" t="inlineStr">
        <is>
          <t>Sender full name</t>
        </is>
      </c>
      <c r="D2295" s="217">
        <f>IFERROR(__xludf.DUMMYFUNCTION("GOOGLETRANSLATE(C2295,""vi"",""km"")"),"ឈ្មោះពេញរបស់អ្នកផ្ញើ")</f>
        <v/>
      </c>
      <c r="E2295" s="3" t="n"/>
      <c r="F2295" s="3" t="inlineStr">
        <is>
          <t>ឈ្មោះពេញរបស់អ្នកផ្ញើ</t>
        </is>
      </c>
      <c r="G2295" s="3" t="n"/>
      <c r="H2295" s="217" t="inlineStr">
        <is>
          <t>"delivery.warehouse.modifyOrder.nameSender": "ឈ្មោះពេញរបស់អ្នកផ្ញើ",</t>
        </is>
      </c>
      <c r="I2295" t="inlineStr">
        <is>
          <t>ឈ្មោះពេញរបស់អ្នកផ្ញើ</t>
        </is>
      </c>
    </row>
    <row r="2296">
      <c r="A2296" s="3" t="inlineStr">
        <is>
          <t>delivery.warehouse.modifyOrder.newCustomer</t>
        </is>
      </c>
      <c r="B2296" s="3" t="inlineStr">
        <is>
          <t>Số điện thoại chưa tồn tại trong hệ thống</t>
        </is>
      </c>
      <c r="C2296" s="3" t="inlineStr">
        <is>
          <t>This phone number does not exist in out system</t>
        </is>
      </c>
      <c r="D2296" s="217">
        <f>IFERROR(__xludf.DUMMYFUNCTION("GOOGLETRANSLATE(C2296,""vi"",""km"")"),"លេខទូរស័ព្ទនេះមិនមាននៅក្នុងប្រព័ន្ធខាងក្រៅទេ")</f>
        <v/>
      </c>
      <c r="E2296" s="3" t="n"/>
      <c r="F2296" s="3" t="inlineStr">
        <is>
          <t>លេខទូរស័ព្ទនេះមិនមាននៅក្នុងប្រព័ន្ធខាងក្រៅទេ</t>
        </is>
      </c>
      <c r="G2296" s="3" t="n"/>
      <c r="H2296" s="217" t="inlineStr">
        <is>
          <t>"delivery.warehouse.modifyOrder.newCustomer": "លេខទូរស័ព្ទនេះមិនមាននៅក្នុងប្រព័ន្ធខាងក្រៅទេ",</t>
        </is>
      </c>
      <c r="I2296" t="inlineStr">
        <is>
          <t>លេខទូរស័ព្ទនេះមិនមាននៅក្នុងប្រព័ន្ធខាងក្រៅទេ</t>
        </is>
      </c>
    </row>
    <row r="2297">
      <c r="A2297" s="3" t="inlineStr">
        <is>
          <t>delivery.warehouse.modifyOrder.night</t>
        </is>
      </c>
      <c r="B2297" s="3" t="inlineStr">
        <is>
          <t>Tối (18h00 - 21h00)</t>
        </is>
      </c>
      <c r="C2297" s="3" t="inlineStr">
        <is>
          <t>Evening (18:00 - 21:00)</t>
        </is>
      </c>
      <c r="D2297" s="217">
        <f>IFERROR(__xludf.DUMMYFUNCTION("GOOGLETRANSLATE(C2297,""vi"",""km"")"),"ល្ងាច (ម៉ោង ៦:០០ ល្ងាច - ៩:០០ យប់)")</f>
        <v/>
      </c>
      <c r="E2297" s="3" t="n"/>
      <c r="F2297" s="3" t="inlineStr">
        <is>
          <t>ល្ងាច (ម៉ោង ៦:០០ ល្ងាច - ៩:០០ យប់)</t>
        </is>
      </c>
      <c r="G2297" s="3" t="n"/>
      <c r="H2297" s="217" t="inlineStr">
        <is>
          <t>"delivery.warehouse.modifyOrder.night": "ល្ងាច (ម៉ោង ៦:០០ ល្ងាច - ៩:០០ យប់)",</t>
        </is>
      </c>
      <c r="I2297" t="inlineStr">
        <is>
          <t>ល្ងាច (ម៉ោង ៦:០០ ល្ងាច - ៩:០០ យប់)</t>
        </is>
      </c>
    </row>
    <row r="2298">
      <c r="A2298" s="3" t="inlineStr">
        <is>
          <t>delivery.warehouse.modifyOrder.note</t>
        </is>
      </c>
      <c r="B2298" s="3" t="inlineStr">
        <is>
          <t>*Lưu ý: Mọi dữ liệu hiện tại sẽ bị mất</t>
        </is>
      </c>
      <c r="C2298" s="3" t="inlineStr">
        <is>
          <t>*Note: Your current data will no longer exist</t>
        </is>
      </c>
      <c r="D2298" s="217">
        <f>IFERROR(__xludf.DUMMYFUNCTION("GOOGLETRANSLATE(C2298,""vi"",""km"")"),"*ចំណាំ៖ ទិន្នន័យបច្ចុប្បន្នរបស់អ្នកនឹងលែងមានទៀតហើយ")</f>
        <v/>
      </c>
      <c r="E2298" s="3" t="n"/>
      <c r="F2298" s="3" t="inlineStr">
        <is>
          <t>*ចំណាំ៖ ទិន្នន័យបច្ចុប្បន្នរបស់អ្នកនឹងលែងមានទៀតហើយ</t>
        </is>
      </c>
      <c r="G2298" s="3" t="n"/>
      <c r="H2298" s="217" t="inlineStr">
        <is>
          <t>"delivery.warehouse.modifyOrder.note": "*ចំណាំ៖ ទិន្នន័យបច្ចុប្បន្នរបស់អ្នកនឹងលែងមានទៀតហើយ",</t>
        </is>
      </c>
      <c r="I2298" t="inlineStr">
        <is>
          <t>*ចំណាំ៖ ទិន្នន័យបច្ចុប្បន្នរបស់អ្នកនឹងលែងមានទៀតហើយ</t>
        </is>
      </c>
    </row>
    <row r="2299">
      <c r="A2299" s="3" t="inlineStr">
        <is>
          <t>delivery.warehouse.modifyOrder.office_hours</t>
        </is>
      </c>
      <c r="B2299" s="3" t="inlineStr">
        <is>
          <t>Giờ hành chính (7h30 - 11h30, 13h00 - 17h30)</t>
        </is>
      </c>
      <c r="C2299" s="3" t="inlineStr">
        <is>
          <t>Office hours (7:30 - 11:30, 13:00 - 17:30)</t>
        </is>
      </c>
      <c r="D2299" s="217">
        <f>IFERROR(__xludf.DUMMYFUNCTION("GOOGLETRANSLATE(C2299,""vi"",""km"")"),"ម៉ោងធ្វើការ (៧:៣០ - ១១:៣០, ១៣:០០ - ១៧:៣០)")</f>
        <v/>
      </c>
      <c r="E2299" s="3" t="n"/>
      <c r="F2299" s="3" t="inlineStr">
        <is>
          <t>ម៉ោងធ្វើការ (៧:៣០ - ១១:៣០, ១៣:០០ - ១៧:៣០)</t>
        </is>
      </c>
      <c r="G2299" s="3" t="n"/>
      <c r="H2299" s="217" t="inlineStr">
        <is>
          <t>"delivery.warehouse.modifyOrder.office_hours": "ម៉ោងធ្វើការ (៧:៣០ - ១១:៣០, ១៣:០០ - ១៧:៣០)",</t>
        </is>
      </c>
      <c r="I2299" t="inlineStr">
        <is>
          <t>ម៉ោងធ្វើការ (៧:៣០ - ១១:៣០, ១៣:០០ - ១៧:៣០)</t>
        </is>
      </c>
    </row>
    <row r="2300">
      <c r="A2300" s="3" t="inlineStr">
        <is>
          <t>delivery.warehouse.modifyOrder.orderCanceled</t>
        </is>
      </c>
      <c r="B2300" s="3" t="inlineStr">
        <is>
          <t>Mã phiếu gửi {{orderCode}} đã bị hủy. Vui lòng nhập mã khác</t>
        </is>
      </c>
      <c r="C2300" s="3" t="inlineStr">
        <is>
          <t>The postal slip {{orderCode}} has been canceled. Please enter a different one.</t>
        </is>
      </c>
      <c r="D2300" s="217">
        <f>IFERROR(__xludf.DUMMYFUNCTION("GOOGLETRANSLATE(C2300,""vi"",""km"")"),"បង្កាន់ដៃប្រៃសណីយ៍ {{orderCode}} ត្រូវបានលុបចោល។ សូមបញ្ចូលបង្កាន់ដៃផ្សេង។")</f>
        <v/>
      </c>
      <c r="E2300" s="3" t="n"/>
      <c r="F2300" s="3" t="inlineStr">
        <is>
          <t>បុងបញ្ញើប្រៃសណីយ៍ {{orderCode}} ត្រូវបានលុបចោល។ សូមបញ្ចូលបុងបញ្ញើផ្សេង។</t>
        </is>
      </c>
      <c r="G2300" s="3" t="n"/>
      <c r="H2300" s="217" t="inlineStr">
        <is>
          <t>"delivery.warehouse.modifyOrder.orderCanceled": "បុងបញ្ញើប្រៃសណីយ៍ {{orderCode}} ត្រូវបានលុបចោល។ សូមបញ្ចូលបុងបញ្ញើផ្សេង។",</t>
        </is>
      </c>
      <c r="I2300" t="inlineStr">
        <is>
          <t>បុងបញ្ញើប្រៃសណីយ៍ {{orderCode}} ត្រូវបានលុបចោល។ សូមបញ្ចូលបុងបញ្ញើផ្សេង។</t>
        </is>
      </c>
    </row>
    <row r="2301">
      <c r="A2301" s="3" t="inlineStr">
        <is>
          <t>delivery.warehouse.modifyOrder.orderCode</t>
        </is>
      </c>
      <c r="B2301" s="3" t="inlineStr">
        <is>
          <t>Mã phiếu gửi</t>
        </is>
      </c>
      <c r="C2301" s="3" t="inlineStr">
        <is>
          <t>Enter the postal slip ID</t>
        </is>
      </c>
      <c r="D2301" s="217">
        <f>IFERROR(__xludf.DUMMYFUNCTION("GOOGLETRANSLATE(C2301,""vi"",""km"")"),"បញ្ចូលលេខសម្គាល់សំបុត្រប្រៃសណីយ៍")</f>
        <v/>
      </c>
      <c r="E2301" s="3" t="n"/>
      <c r="F2301" s="3" t="inlineStr">
        <is>
          <t>លេខកូដបុងបញ្ញើ</t>
        </is>
      </c>
      <c r="G2301" s="3" t="n"/>
      <c r="H2301" s="217" t="inlineStr">
        <is>
          <t>"delivery.warehouse.modifyOrder.orderCode": "លេខកូដបុងបញ្ញើ",</t>
        </is>
      </c>
      <c r="I2301" t="inlineStr">
        <is>
          <t>លេខកូដបុងបញ្ញើ</t>
        </is>
      </c>
    </row>
    <row r="2302">
      <c r="A2302" s="3" t="inlineStr">
        <is>
          <t>delivery.warehouse.modifyOrder.orderCodePlaceholder</t>
        </is>
      </c>
      <c r="B2302" s="3" t="inlineStr">
        <is>
          <t>Nhập mã phiếu gửi</t>
        </is>
      </c>
      <c r="C2302" s="3" t="inlineStr">
        <is>
          <t>Enter postal slip's code</t>
        </is>
      </c>
      <c r="D2302" s="217">
        <f>IFERROR(__xludf.DUMMYFUNCTION("GOOGLETRANSLATE(C2302,""vi"",""km"")"),"បញ្ចូលលេខកូដប្រៃសណីយ៍")</f>
        <v/>
      </c>
      <c r="E2302" s="3" t="n"/>
      <c r="F2302" s="3" t="inlineStr">
        <is>
          <t>បញ្ចូលលេខកូដប្រៃសណីយ៍</t>
        </is>
      </c>
      <c r="G2302" s="3" t="n"/>
      <c r="H2302" s="217" t="inlineStr">
        <is>
          <t>"delivery.warehouse.modifyOrder.orderCodePlaceholder": "បញ្ចូលលេខកូដប្រៃសណីយ៍",</t>
        </is>
      </c>
      <c r="I2302" t="inlineStr">
        <is>
          <t>បញ្ចូលលេខកូដប្រៃសណីយ៍</t>
        </is>
      </c>
    </row>
    <row r="2303">
      <c r="A2303" s="3" t="inlineStr">
        <is>
          <t>delivery.warehouse.modifyOrder.orderExisted</t>
        </is>
      </c>
      <c r="B2303" s="3" t="inlineStr">
        <is>
          <t>Nhập mã có sẵn</t>
        </is>
      </c>
      <c r="C2303" s="3" t="inlineStr">
        <is>
          <t>Enter an existing code</t>
        </is>
      </c>
      <c r="D2303" s="217">
        <f>IFERROR(__xludf.DUMMYFUNCTION("GOOGLETRANSLATE(C2303,""vi"",""km"")"),"បញ្ចូលលេខកូដដែលមានស្រាប់")</f>
        <v/>
      </c>
      <c r="E2303" s="3" t="n"/>
      <c r="F2303" s="3" t="inlineStr">
        <is>
          <t>បញ្ចូលលេខកូដដែលមានស្រាប់</t>
        </is>
      </c>
      <c r="G2303" s="3" t="n"/>
      <c r="H2303" s="217" t="inlineStr">
        <is>
          <t>"delivery.warehouse.modifyOrder.orderExisted": "បញ្ចូលលេខកូដដែលមានស្រាប់",</t>
        </is>
      </c>
      <c r="I2303" t="inlineStr">
        <is>
          <t>បញ្ចូលលេខកូដដែលមានស្រាប់</t>
        </is>
      </c>
    </row>
    <row r="2304">
      <c r="A2304" s="3" t="inlineStr">
        <is>
          <t>delivery.warehouse.modifyOrder.orderExistedInList</t>
        </is>
      </c>
      <c r="B2304" s="3" t="inlineStr">
        <is>
          <t>Mã phiếu gửi {{orderCode}} đã tồn tại trong danh sách. Vui lòng kiểm tra lại</t>
        </is>
      </c>
      <c r="C2304" s="3" t="inlineStr">
        <is>
          <t>The postal slip {{orderCode}} has already been found. Please double-check</t>
        </is>
      </c>
      <c r="D2304" s="217">
        <f>IFERROR(__xludf.DUMMYFUNCTION("GOOGLETRANSLATE(C2304,""vi"",""km"")"),"សន្លឹកប្រៃសណីយ៍ {{orderCode}} ត្រូវបានរកឃើញរួចហើយ។ សូមពិនិត្យឡើងវិញ។")</f>
        <v/>
      </c>
      <c r="E2304" s="3" t="n"/>
      <c r="F2304" s="3" t="inlineStr">
        <is>
          <t>សន្លឹកប្រៃសណីយ៍ {{orderCode}} ត្រូវបានរកឃើញរួចហើយ។ សូមពិនិត្យឡើងវិញ។</t>
        </is>
      </c>
      <c r="G2304" s="3" t="n"/>
      <c r="H2304" s="217" t="inlineStr">
        <is>
          <t>"delivery.warehouse.modifyOrder.orderExistedInList": "សន្លឹកប្រៃសណីយ៍ {{orderCode}} ត្រូវបានរកឃើញរួចហើយ។ សូមពិនិត្យឡើងវិញ។",</t>
        </is>
      </c>
      <c r="I2304" t="inlineStr">
        <is>
          <t>សន្លឹកប្រៃសណីយ៍ {{orderCode}} ត្រូវបានរកឃើញរួចហើយ។ សូមពិនិត្យឡើងវិញ។</t>
        </is>
      </c>
    </row>
    <row r="2305">
      <c r="A2305" s="3" t="inlineStr">
        <is>
          <t>delivery.warehouse.modifyOrder.other</t>
        </is>
      </c>
      <c r="B2305" s="3" t="inlineStr">
        <is>
          <t>Phụ phí khác</t>
        </is>
      </c>
      <c r="C2305" s="3" t="inlineStr">
        <is>
          <t>Other</t>
        </is>
      </c>
      <c r="D2305" s="217">
        <f>IFERROR(__xludf.DUMMYFUNCTION("GOOGLETRANSLATE(C2305,""vi"",""km"")"),"ផ្សេងៗ")</f>
        <v/>
      </c>
      <c r="E2305" s="3" t="n"/>
      <c r="F2305" s="3" t="inlineStr">
        <is>
          <t>ផ្សេងៗ</t>
        </is>
      </c>
      <c r="G2305" s="3" t="n"/>
      <c r="H2305" s="217" t="inlineStr">
        <is>
          <t>"delivery.warehouse.modifyOrder.other": "ផ្សេងៗ",</t>
        </is>
      </c>
      <c r="I2305" t="inlineStr">
        <is>
          <t>ផ្សេងៗ</t>
        </is>
      </c>
    </row>
    <row r="2306">
      <c r="A2306" s="3" t="inlineStr">
        <is>
          <t>delivery.warehouse.modifyOrder.otherInfomation</t>
        </is>
      </c>
      <c r="B2306" s="3" t="inlineStr">
        <is>
          <t>Thông tin khác</t>
        </is>
      </c>
      <c r="C2306" s="3" t="inlineStr">
        <is>
          <t>Other Information</t>
        </is>
      </c>
      <c r="D2306" s="217">
        <f>IFERROR(__xludf.DUMMYFUNCTION("GOOGLETRANSLATE(C2306,""vi"",""km"")"),"ព័ត៌មានផ្សេងទៀត")</f>
        <v/>
      </c>
      <c r="E2306" s="3" t="n"/>
      <c r="F2306" s="3" t="inlineStr">
        <is>
          <t>ព័ត៌មានផ្សេងទៀត</t>
        </is>
      </c>
      <c r="G2306" s="3" t="n"/>
      <c r="H2306" s="217" t="inlineStr">
        <is>
          <t>"delivery.warehouse.modifyOrder.otherInfomation": "ព័ត៌មានផ្សេងទៀត",</t>
        </is>
      </c>
      <c r="I2306" t="inlineStr">
        <is>
          <t>ព័ត៌មានផ្សេងទៀត</t>
        </is>
      </c>
    </row>
    <row r="2307">
      <c r="A2307" s="3" t="inlineStr">
        <is>
          <t>delivery.warehouse.modifyOrder.packaging</t>
        </is>
      </c>
      <c r="B2307" s="3" t="inlineStr">
        <is>
          <t>Phụ phí đóng gói</t>
        </is>
      </c>
      <c r="C2307" s="3" t="inlineStr">
        <is>
          <t>Packing charge</t>
        </is>
      </c>
      <c r="D2307" s="217">
        <f>IFERROR(__xludf.DUMMYFUNCTION("GOOGLETRANSLATE(C2307,""vi"",""km"")"),"ថ្លៃវេចខ្ចប់")</f>
        <v/>
      </c>
      <c r="E2307" s="3" t="n"/>
      <c r="F2307" s="3" t="inlineStr">
        <is>
          <t>ថ្លៃវេចខ្ចប់</t>
        </is>
      </c>
      <c r="G2307" s="3" t="n"/>
      <c r="H2307" s="217" t="inlineStr">
        <is>
          <t>"delivery.warehouse.modifyOrder.packaging": "ថ្លៃវេចខ្ចប់",</t>
        </is>
      </c>
      <c r="I2307" t="inlineStr">
        <is>
          <t>ថ្លៃវេចខ្ចប់</t>
        </is>
      </c>
    </row>
    <row r="2308">
      <c r="A2308" s="3" t="inlineStr">
        <is>
          <t>delivery.warehouse.modifyOrder.page1</t>
        </is>
      </c>
      <c r="B2308" s="3" t="inlineStr">
        <is>
          <t>1 liên</t>
        </is>
      </c>
      <c r="C2308" s="3" t="inlineStr">
        <is>
          <t>1 page</t>
        </is>
      </c>
      <c r="D2308" s="217">
        <f>IFERROR(__xludf.DUMMYFUNCTION("GOOGLETRANSLATE(C2308,""vi"",""km"")"),"១ ទំព័រ")</f>
        <v/>
      </c>
      <c r="E2308" s="3" t="n"/>
      <c r="F2308" s="3" t="inlineStr">
        <is>
          <t>១ ទំព័រ</t>
        </is>
      </c>
      <c r="G2308" s="3" t="n"/>
      <c r="H2308" s="217" t="inlineStr">
        <is>
          <t>"delivery.warehouse.modifyOrder.page1": "១ ទំព័រ",</t>
        </is>
      </c>
      <c r="I2308" t="inlineStr">
        <is>
          <t>១ ទំព័រ</t>
        </is>
      </c>
    </row>
    <row r="2309">
      <c r="A2309" s="3" t="inlineStr">
        <is>
          <t>delivery.warehouse.modifyOrder.page2</t>
        </is>
      </c>
      <c r="B2309" s="3" t="inlineStr">
        <is>
          <t>2 liên</t>
        </is>
      </c>
      <c r="C2309" s="3" t="inlineStr">
        <is>
          <t>2 pages</t>
        </is>
      </c>
      <c r="D2309" s="217">
        <f>IFERROR(__xludf.DUMMYFUNCTION("GOOGLETRANSLATE(C2309,""vi"",""km"")"),"២ ទំព័រ")</f>
        <v/>
      </c>
      <c r="E2309" s="3" t="n"/>
      <c r="F2309" s="3" t="inlineStr">
        <is>
          <t>២ ទំព័រ</t>
        </is>
      </c>
      <c r="G2309" s="3" t="n"/>
      <c r="H2309" s="217" t="inlineStr">
        <is>
          <t>"delivery.warehouse.modifyOrder.page2": "២ ទំព័រ",</t>
        </is>
      </c>
      <c r="I2309" t="inlineStr">
        <is>
          <t>២ ទំព័រ</t>
        </is>
      </c>
    </row>
    <row r="2310">
      <c r="A2310" s="3" t="inlineStr">
        <is>
          <t>delivery.warehouse.modifyOrder.parcel</t>
        </is>
      </c>
      <c r="B2310" s="3" t="inlineStr">
        <is>
          <t>Hàng hoá</t>
        </is>
      </c>
      <c r="C2310" s="3" t="inlineStr">
        <is>
          <t>Freight</t>
        </is>
      </c>
      <c r="D2310" s="217">
        <f>IFERROR(__xludf.DUMMYFUNCTION("GOOGLETRANSLATE(C2310,""vi"",""km"")"),"ការដឹកជញ្ជូនទំនិញ")</f>
        <v/>
      </c>
      <c r="E2310" s="3" t="n"/>
      <c r="F2310" s="3" t="inlineStr">
        <is>
          <t>ការដឹកជញ្ជូនទំនិញ</t>
        </is>
      </c>
      <c r="G2310" s="3" t="n"/>
      <c r="H2310" s="217" t="inlineStr">
        <is>
          <t>"delivery.warehouse.modifyOrder.parcel": "ការដឹកជញ្ជូនទំនិញ",</t>
        </is>
      </c>
      <c r="I2310" t="inlineStr">
        <is>
          <t>ការដឹកជញ្ជូនទំនិញ</t>
        </is>
      </c>
    </row>
    <row r="2311">
      <c r="A2311" s="3" t="inlineStr">
        <is>
          <t>delivery.warehouse.modifyOrder.parcelDescription</t>
        </is>
      </c>
      <c r="B2311" s="3" t="inlineStr">
        <is>
          <t>Ghi chú</t>
        </is>
      </c>
      <c r="C2311" s="3" t="inlineStr">
        <is>
          <t>Note</t>
        </is>
      </c>
      <c r="D2311" s="217">
        <f>IFERROR(__xludf.DUMMYFUNCTION("GOOGLETRANSLATE(C2311,""vi"",""km"")"),"កំណត់ចំណាំ")</f>
        <v/>
      </c>
      <c r="E2311" s="3" t="n"/>
      <c r="F2311" s="3" t="inlineStr">
        <is>
          <t>ចំណាំ</t>
        </is>
      </c>
      <c r="G2311" s="3" t="n"/>
      <c r="H2311" s="217" t="inlineStr">
        <is>
          <t>"delivery.warehouse.modifyOrder.parcelDescription": "ចំណាំ",</t>
        </is>
      </c>
      <c r="I2311" t="inlineStr">
        <is>
          <t>ចំណាំ</t>
        </is>
      </c>
    </row>
    <row r="2312">
      <c r="A2312" s="3" t="inlineStr">
        <is>
          <t>delivery.warehouse.modifyOrder.parcelDescriptionPlaceholder</t>
        </is>
      </c>
      <c r="B2312" s="3" t="inlineStr">
        <is>
          <t>Nhập ghi chú</t>
        </is>
      </c>
      <c r="C2312" s="3" t="inlineStr">
        <is>
          <t>Enter note</t>
        </is>
      </c>
      <c r="D2312" s="217">
        <f>IFERROR(__xludf.DUMMYFUNCTION("GOOGLETRANSLATE(C2312,""vi"",""km"")"),"បញ្ចូលកំណត់ចំណាំ")</f>
        <v/>
      </c>
      <c r="E2312" s="3" t="n"/>
      <c r="F2312" s="3" t="inlineStr">
        <is>
          <t>បញ្ចូលកំណត់ចំណាំ</t>
        </is>
      </c>
      <c r="G2312" s="3" t="n"/>
      <c r="H2312" s="217" t="inlineStr">
        <is>
          <t>"delivery.warehouse.modifyOrder.parcelDescriptionPlaceholder": "បញ្ចូលកំណត់ចំណាំ",</t>
        </is>
      </c>
      <c r="I2312" t="inlineStr">
        <is>
          <t>បញ្ចូលកំណត់ចំណាំ</t>
        </is>
      </c>
    </row>
    <row r="2313">
      <c r="A2313" s="3" t="inlineStr">
        <is>
          <t>delivery.warehouse.modifyOrder.parcelName</t>
        </is>
      </c>
      <c r="B2313" s="3" t="inlineStr">
        <is>
          <t>Tên hàng hoá</t>
        </is>
      </c>
      <c r="C2313" s="3" t="inlineStr">
        <is>
          <t>Parcel description</t>
        </is>
      </c>
      <c r="D2313" s="217">
        <f>IFERROR(__xludf.DUMMYFUNCTION("GOOGLETRANSLATE(C2313,""vi"",""km"")"),"ការពិពណ៌នាអំពីកញ្ចប់")</f>
        <v/>
      </c>
      <c r="E2313" s="3" t="n"/>
      <c r="F2313" s="3" t="inlineStr">
        <is>
          <t>ការពិពណ៌នាអំពីកញ្ចប់</t>
        </is>
      </c>
      <c r="G2313" s="3" t="n"/>
      <c r="H2313" s="217" t="inlineStr">
        <is>
          <t>"delivery.warehouse.modifyOrder.parcelName": "ការពិពណ៌នាអំពីកញ្ចប់",</t>
        </is>
      </c>
      <c r="I2313" t="inlineStr">
        <is>
          <t>ការពិពណ៌នាអំពីកញ្ចប់</t>
        </is>
      </c>
    </row>
    <row r="2314">
      <c r="A2314" s="3" t="inlineStr">
        <is>
          <t>delivery.warehouse.modifyOrder.parcelQuantity</t>
        </is>
      </c>
      <c r="B2314" s="3" t="inlineStr">
        <is>
          <t>Số lượng</t>
        </is>
      </c>
      <c r="C2314" s="3" t="inlineStr">
        <is>
          <t>Quantity</t>
        </is>
      </c>
      <c r="D2314" s="217">
        <f>IFERROR(__xludf.DUMMYFUNCTION("GOOGLETRANSLATE(C2314,""vi"",""km"")"),"វត្ថុ")</f>
        <v/>
      </c>
      <c r="E2314" s="3" t="n"/>
      <c r="F2314" s="3" t="inlineStr">
        <is>
          <t>វត្ថុ</t>
        </is>
      </c>
      <c r="G2314" s="3" t="n"/>
      <c r="H2314" s="217" t="inlineStr">
        <is>
          <t>"delivery.warehouse.modifyOrder.parcelQuantity": "វត្ថុ",</t>
        </is>
      </c>
      <c r="I2314" t="inlineStr">
        <is>
          <t>វត្ថុ</t>
        </is>
      </c>
    </row>
    <row r="2315">
      <c r="A2315" s="3" t="inlineStr">
        <is>
          <t>delivery.warehouse.modifyOrder.parcelType</t>
        </is>
      </c>
      <c r="B2315" s="3" t="inlineStr">
        <is>
          <t>Loại hàng hoá</t>
        </is>
      </c>
      <c r="C2315" s="3" t="inlineStr">
        <is>
          <t>Goods categories</t>
        </is>
      </c>
      <c r="D2315" s="217">
        <f>IFERROR(__xludf.DUMMYFUNCTION("GOOGLETRANSLATE(C2315,""vi"",""km"")"),"ប្រភេទទំនិញ")</f>
        <v/>
      </c>
      <c r="E2315" s="3" t="n"/>
      <c r="F2315" s="3" t="inlineStr">
        <is>
          <t>ប្រភេទទំនិញ</t>
        </is>
      </c>
      <c r="G2315" s="3" t="n"/>
      <c r="H2315" s="217" t="inlineStr">
        <is>
          <t>"delivery.warehouse.modifyOrder.parcelType": "ប្រភេទទំនិញ",</t>
        </is>
      </c>
      <c r="I2315" t="inlineStr">
        <is>
          <t>ប្រភេទទំនិញ</t>
        </is>
      </c>
    </row>
    <row r="2316">
      <c r="A2316" s="3" t="inlineStr">
        <is>
          <t>delivery.warehouse.modifyOrder.parcelValue</t>
        </is>
      </c>
      <c r="B2316" s="3" t="inlineStr">
        <is>
          <t>Giá trị ({{countryMoney}})</t>
        </is>
      </c>
      <c r="C2316" s="3" t="inlineStr">
        <is>
          <t>Freight value ({{countryMoney}})</t>
        </is>
      </c>
      <c r="D2316" s="217">
        <f>IFERROR(__xludf.DUMMYFUNCTION("GOOGLETRANSLATE(C2316,""vi"",""km"")"),"តម្លៃដឹកជញ្ជូន ({{countryMoney}})")</f>
        <v/>
      </c>
      <c r="E2316" s="3" t="n"/>
      <c r="F2316" s="3" t="inlineStr">
        <is>
          <t>តម្លៃដឹកជញ្ជូន ({{countryMoney}})</t>
        </is>
      </c>
      <c r="G2316" s="3" t="n"/>
      <c r="H2316" s="217" t="inlineStr">
        <is>
          <t>"delivery.warehouse.modifyOrder.parcelValue": "តម្លៃដឹកជញ្ជូន ({{countryMoney}})",</t>
        </is>
      </c>
      <c r="I2316" t="inlineStr">
        <is>
          <t>តម្លៃដឹកជញ្ជូន ({{countryMoney}})</t>
        </is>
      </c>
    </row>
    <row r="2317">
      <c r="A2317" s="3" t="inlineStr">
        <is>
          <t>delivery.warehouse.modifyOrder.parcelWeight</t>
        </is>
      </c>
      <c r="B2317" s="3" t="inlineStr">
        <is>
          <t>Khối lượng (g)</t>
        </is>
      </c>
      <c r="C2317" s="3" t="inlineStr">
        <is>
          <t>Weight (g)</t>
        </is>
      </c>
      <c r="D2317" s="217">
        <f>IFERROR(__xludf.DUMMYFUNCTION("GOOGLETRANSLATE(C2317,""vi"",""km"")"),"ទម្ងន់ (ក្រាម)")</f>
        <v/>
      </c>
      <c r="E2317" s="3" t="n"/>
      <c r="F2317" s="3" t="inlineStr">
        <is>
          <t>ទម្ងន់ (ក្រាម)</t>
        </is>
      </c>
      <c r="G2317" s="3" t="n"/>
      <c r="H2317" s="217" t="inlineStr">
        <is>
          <t>"delivery.warehouse.modifyOrder.parcelWeight": "ទម្ងន់ (ក្រាម)",</t>
        </is>
      </c>
      <c r="I2317" t="inlineStr">
        <is>
          <t>ទម្ងន់ (ក្រាម)</t>
        </is>
      </c>
    </row>
    <row r="2318">
      <c r="A2318" s="3" t="inlineStr">
        <is>
          <t>delivery.warehouse.modifyOrder.parcelWeightLabel</t>
        </is>
      </c>
      <c r="B2318" s="3" t="inlineStr">
        <is>
          <t>Trọng lượng</t>
        </is>
      </c>
      <c r="C2318" s="3" t="inlineStr">
        <is>
          <t>Weight</t>
        </is>
      </c>
      <c r="D2318" s="217">
        <f>IFERROR(__xludf.DUMMYFUNCTION("GOOGLETRANSLATE(C2318,""vi"",""km"")"),"ទម្ងន់")</f>
        <v/>
      </c>
      <c r="E2318" s="3" t="n"/>
      <c r="F2318" s="3" t="inlineStr">
        <is>
          <t>ទម្ងន់</t>
        </is>
      </c>
      <c r="G2318" s="3" t="n"/>
      <c r="H2318" s="217" t="inlineStr">
        <is>
          <t>"delivery.warehouse.modifyOrder.parcelWeightLabel": "ទម្ងន់",</t>
        </is>
      </c>
      <c r="I2318" t="inlineStr">
        <is>
          <t>ទម្ងន់</t>
        </is>
      </c>
    </row>
    <row r="2319">
      <c r="A2319" s="3" t="inlineStr">
        <is>
          <t>delivery.warehouse.modifyOrder.payerType</t>
        </is>
      </c>
      <c r="B2319" s="3" t="inlineStr">
        <is>
          <t>Người trả cước</t>
        </is>
      </c>
      <c r="C2319" s="3" t="inlineStr">
        <is>
          <t>Payer</t>
        </is>
      </c>
      <c r="D2319" s="217">
        <f>IFERROR(__xludf.DUMMYFUNCTION("GOOGLETRANSLATE(C2319,""vi"",""km"")"),"អ្នកបង់ប្រាក់")</f>
        <v/>
      </c>
      <c r="E2319" s="3" t="n"/>
      <c r="F2319" s="3" t="inlineStr">
        <is>
          <t>អ្នកបង់ប្រាក់</t>
        </is>
      </c>
      <c r="G2319" s="3" t="n"/>
      <c r="H2319" s="217" t="inlineStr">
        <is>
          <t>"delivery.warehouse.modifyOrder.payerType": "អ្នកបង់ប្រាក់",</t>
        </is>
      </c>
      <c r="I2319" t="inlineStr">
        <is>
          <t>អ្នកបង់ប្រាក់</t>
        </is>
      </c>
    </row>
    <row r="2320">
      <c r="A2320" s="3" t="inlineStr">
        <is>
          <t>delivery.warehouse.modifyOrder.paymentType</t>
        </is>
      </c>
      <c r="B2320" s="3" t="inlineStr">
        <is>
          <t>Hình thức thanh toán cước</t>
        </is>
      </c>
      <c r="C2320" s="3" t="inlineStr">
        <is>
          <t>Payment categories</t>
        </is>
      </c>
      <c r="D2320" s="217">
        <f>IFERROR(__xludf.DUMMYFUNCTION("GOOGLETRANSLATE(C2320,""vi"",""km"")"),"អ្នកសរសេរការទូទាត់")</f>
        <v/>
      </c>
      <c r="E2320" s="3" t="n"/>
      <c r="F2320" s="3" t="inlineStr">
        <is>
          <t>អ្នកសរសេរការទូទាត់</t>
        </is>
      </c>
      <c r="G2320" s="3" t="n"/>
      <c r="H2320" s="217" t="inlineStr">
        <is>
          <t>"delivery.warehouse.modifyOrder.paymentType": "អ្នកសរសេរការទូទាត់",</t>
        </is>
      </c>
      <c r="I2320" t="inlineStr">
        <is>
          <t>អ្នកសរសេរការទូទាត់</t>
        </is>
      </c>
    </row>
    <row r="2321">
      <c r="A2321" s="3" t="inlineStr">
        <is>
          <t>delivery.warehouse.modifyOrder.phone</t>
        </is>
      </c>
      <c r="B2321" s="3" t="inlineStr">
        <is>
          <t>Số điện thoại</t>
        </is>
      </c>
      <c r="C2321" s="3" t="inlineStr">
        <is>
          <t>Phone number</t>
        </is>
      </c>
      <c r="D2321" s="217">
        <f>IFERROR(__xludf.DUMMYFUNCTION("GOOGLETRANSLATE(C2321,""vi"",""km"")"),"លេខទូរស័ព្ទ")</f>
        <v/>
      </c>
      <c r="E2321" s="3" t="n"/>
      <c r="F2321" s="3" t="inlineStr">
        <is>
          <t>លេខទូរស័ព្ទ</t>
        </is>
      </c>
      <c r="G2321" s="3" t="n"/>
      <c r="H2321" s="217" t="inlineStr">
        <is>
          <t>"delivery.warehouse.modifyOrder.phone": "លេខទូរស័ព្ទ",</t>
        </is>
      </c>
      <c r="I2321" t="inlineStr">
        <is>
          <t>លេខទូរស័ព្ទ</t>
        </is>
      </c>
    </row>
    <row r="2322">
      <c r="A2322" s="3" t="inlineStr">
        <is>
          <t>delivery.warehouse.modifyOrder.phonePlaceholder</t>
        </is>
      </c>
      <c r="B2322" s="3" t="inlineStr">
        <is>
          <t>Nhập số điện thoại</t>
        </is>
      </c>
      <c r="C2322" s="3" t="inlineStr">
        <is>
          <t>Enter the phone number</t>
        </is>
      </c>
      <c r="D2322" s="217">
        <f>IFERROR(__xludf.DUMMYFUNCTION("GOOGLETRANSLATE(C2322,""vi"",""km"")"),"បញ្ចូលលេខទូរស័ព្ទ")</f>
        <v/>
      </c>
      <c r="E2322" s="3" t="n"/>
      <c r="F2322" s="3" t="inlineStr">
        <is>
          <t>បញ្ចូលលេខទូរស័ព្ទ</t>
        </is>
      </c>
      <c r="G2322" s="3" t="n"/>
      <c r="H2322" s="217" t="inlineStr">
        <is>
          <t>"delivery.warehouse.modifyOrder.phonePlaceholder": "បញ្ចូលលេខទូរស័ព្ទ",</t>
        </is>
      </c>
      <c r="I2322" t="inlineStr">
        <is>
          <t>បញ្ចូលលេខទូរស័ព្ទ</t>
        </is>
      </c>
    </row>
    <row r="2323">
      <c r="A2323" s="3" t="inlineStr">
        <is>
          <t>delivery.warehouse.modifyOrder.pleaseEnterHeight</t>
        </is>
      </c>
      <c r="B2323" s="3" t="inlineStr">
        <is>
          <t>Vui lòng nhập chiều cao</t>
        </is>
      </c>
      <c r="C2323" s="3" t="inlineStr">
        <is>
          <t>Please enter height</t>
        </is>
      </c>
      <c r="D2323" s="217">
        <f>IFERROR(__xludf.DUMMYFUNCTION("GOOGLETRANSLATE(C2323,""vi"",""km"")"),"សូមបញ្ចូលកម្ពស់")</f>
        <v/>
      </c>
      <c r="E2323" s="3" t="n"/>
      <c r="F2323" s="3" t="inlineStr">
        <is>
          <t>សូមបញ្ចូលកម្ពស់</t>
        </is>
      </c>
      <c r="G2323" s="3" t="n"/>
      <c r="H2323" s="217" t="inlineStr">
        <is>
          <t>"delivery.warehouse.modifyOrder.pleaseEnterHeight": "សូមបញ្ចូលកម្ពស់",</t>
        </is>
      </c>
      <c r="I2323" t="inlineStr">
        <is>
          <t>សូមបញ្ចូលកម្ពស់</t>
        </is>
      </c>
    </row>
    <row r="2324">
      <c r="A2324" s="3" t="inlineStr">
        <is>
          <t>delivery.warehouse.modifyOrder.pleaseEnterLength</t>
        </is>
      </c>
      <c r="B2324" s="3" t="inlineStr">
        <is>
          <t>Vui lòng nhập chiều dài</t>
        </is>
      </c>
      <c r="C2324" s="3" t="inlineStr">
        <is>
          <t>Please enter length</t>
        </is>
      </c>
      <c r="D2324" s="217">
        <f>IFERROR(__xludf.DUMMYFUNCTION("GOOGLETRANSLATE(C2324,""vi"",""km"")"),"សូមបញ្ចូលប្រវែង")</f>
        <v/>
      </c>
      <c r="E2324" s="3" t="n"/>
      <c r="F2324" s="3" t="inlineStr">
        <is>
          <t>សូមបញ្ចូលប្រវែង</t>
        </is>
      </c>
      <c r="G2324" s="3" t="n"/>
      <c r="H2324" s="217" t="inlineStr">
        <is>
          <t>"delivery.warehouse.modifyOrder.pleaseEnterLength": "សូមបញ្ចូលប្រវែង",</t>
        </is>
      </c>
      <c r="I2324" t="inlineStr">
        <is>
          <t>សូមបញ្ចូលប្រវែង</t>
        </is>
      </c>
    </row>
    <row r="2325">
      <c r="A2325" s="3" t="inlineStr">
        <is>
          <t>delivery.warehouse.modifyOrder.pleaseEnterWidth</t>
        </is>
      </c>
      <c r="B2325" s="3" t="inlineStr">
        <is>
          <t>Vui lòng nhập chiều rộng</t>
        </is>
      </c>
      <c r="C2325" s="3" t="inlineStr">
        <is>
          <t>Please enter width</t>
        </is>
      </c>
      <c r="D2325" s="217">
        <f>IFERROR(__xludf.DUMMYFUNCTION("GOOGLETRANSLATE(C2325,""vi"",""km"")"),"សូមបញ្ចូលទទឹង")</f>
        <v/>
      </c>
      <c r="E2325" s="3" t="n"/>
      <c r="F2325" s="3" t="inlineStr">
        <is>
          <t>សូមបញ្ចូលទទឹង</t>
        </is>
      </c>
      <c r="G2325" s="3" t="n"/>
      <c r="H2325" s="217" t="inlineStr">
        <is>
          <t>"delivery.warehouse.modifyOrder.pleaseEnterWidth": "សូមបញ្ចូលទទឹង",</t>
        </is>
      </c>
      <c r="I2325" t="inlineStr">
        <is>
          <t>សូមបញ្ចូលទទឹង</t>
        </is>
      </c>
    </row>
    <row r="2326">
      <c r="A2326" s="3" t="inlineStr">
        <is>
          <t>delivery.warehouse.modifyOrder.printOrder</t>
        </is>
      </c>
      <c r="B2326" s="3" t="inlineStr">
        <is>
          <t>Số liên cần in trên một đơn</t>
        </is>
      </c>
      <c r="C2326" s="3" t="inlineStr">
        <is>
          <t>Number of page required per order</t>
        </is>
      </c>
      <c r="D2326" s="217">
        <f>IFERROR(__xludf.DUMMYFUNCTION("GOOGLETRANSLATE(C2326,""vi"",""km"")"),"ចំនួនទំព័រដែលត្រូវការក្នុងមួយការបញ្ជាទិញ")</f>
        <v/>
      </c>
      <c r="E2326" s="3" t="n"/>
      <c r="F2326" s="3" t="inlineStr">
        <is>
          <t>ចំនួនទំព័រដែលត្រូវការក្នុងមួយការបញ្ជាទិញ</t>
        </is>
      </c>
      <c r="G2326" s="3" t="n"/>
      <c r="H2326" s="217" t="inlineStr">
        <is>
          <t>"delivery.warehouse.modifyOrder.printOrder": "ចំនួនទំព័រដែលត្រូវការក្នុងមួយការបញ្ជាទិញ",</t>
        </is>
      </c>
      <c r="I2326" t="inlineStr">
        <is>
          <t>ចំនួនទំព័រដែលត្រូវការក្នុងមួយការបញ្ជាទិញ</t>
        </is>
      </c>
    </row>
    <row r="2327">
      <c r="A2327" s="3" t="inlineStr">
        <is>
          <t>delivery.warehouse.modifyOrder.refresh</t>
        </is>
      </c>
      <c r="B2327" s="3" t="inlineStr">
        <is>
          <t>Làm mới</t>
        </is>
      </c>
      <c r="C2327" s="3" t="inlineStr">
        <is>
          <t>Refresh</t>
        </is>
      </c>
      <c r="D2327" s="217">
        <f>IFERROR(__xludf.DUMMYFUNCTION("GOOGLETRANSLATE(C2327,""vi"",""km"")"),"ធ្វើឱ្យស្រស់ឡើងវិញ")</f>
        <v/>
      </c>
      <c r="E2327" s="3" t="n"/>
      <c r="F2327" s="3" t="inlineStr">
        <is>
          <t>ផ្ទុកឡើងវិញ</t>
        </is>
      </c>
      <c r="G2327" s="3" t="n"/>
      <c r="H2327" s="217" t="inlineStr">
        <is>
          <t>"delivery.warehouse.modifyOrder.refresh": "ផ្ទុកឡើងវិញ",</t>
        </is>
      </c>
      <c r="I2327" t="inlineStr">
        <is>
          <t>ផ្ទុកឡើងវិញ</t>
        </is>
      </c>
    </row>
    <row r="2328">
      <c r="A2328" s="3" t="inlineStr">
        <is>
          <t>delivery.warehouse.modifyOrder.searchDeliveryStore</t>
        </is>
      </c>
      <c r="B2328" s="3" t="inlineStr">
        <is>
          <t>Tìm kiếm cửa hàng</t>
        </is>
      </c>
      <c r="C2328" s="3" t="inlineStr">
        <is>
          <t>Search Store</t>
        </is>
      </c>
      <c r="D2328" s="217">
        <f>IFERROR(__xludf.DUMMYFUNCTION("GOOGLETRANSLATE(C2328,""vi"",""km"")"),"ស្វែងរកហាង")</f>
        <v/>
      </c>
      <c r="E2328" s="3" t="n"/>
      <c r="F2328" s="3" t="inlineStr">
        <is>
          <t>ស្វែងរកហាង</t>
        </is>
      </c>
      <c r="G2328" s="3" t="n"/>
      <c r="H2328" s="217" t="inlineStr">
        <is>
          <t>"delivery.warehouse.modifyOrder.searchDeliveryStore": "ស្វែងរកហាង",</t>
        </is>
      </c>
      <c r="I2328" t="inlineStr">
        <is>
          <t>ស្វែងរកហាង</t>
        </is>
      </c>
    </row>
    <row r="2329">
      <c r="A2329" s="3" t="inlineStr">
        <is>
          <t>delivery.warehouse.modifyOrder.seller</t>
        </is>
      </c>
      <c r="B2329" s="3" t="inlineStr">
        <is>
          <t>Người gửi</t>
        </is>
      </c>
      <c r="C2329" s="3" t="inlineStr">
        <is>
          <t>Sender</t>
        </is>
      </c>
      <c r="D2329" s="217">
        <f>IFERROR(__xludf.DUMMYFUNCTION("GOOGLETRANSLATE(C2329,""vi"",""km"")"),"អ្នកផ្ញើ")</f>
        <v/>
      </c>
      <c r="E2329" s="3" t="n"/>
      <c r="F2329" s="3" t="inlineStr">
        <is>
          <t>អ្នកផ្ញើ</t>
        </is>
      </c>
      <c r="G2329" s="3" t="n"/>
      <c r="H2329" s="217" t="inlineStr">
        <is>
          <t>"delivery.warehouse.modifyOrder.seller": "អ្នកផ្ញើ",</t>
        </is>
      </c>
      <c r="I2329" t="inlineStr">
        <is>
          <t>អ្នកផ្ញើ</t>
        </is>
      </c>
    </row>
    <row r="2330">
      <c r="A2330" s="3" t="inlineStr">
        <is>
          <t>delivery.warehouse.modifyOrder.sender</t>
        </is>
      </c>
      <c r="B2330" s="3" t="inlineStr">
        <is>
          <t>Người gửi</t>
        </is>
      </c>
      <c r="C2330" s="3" t="inlineStr">
        <is>
          <t>Sender</t>
        </is>
      </c>
      <c r="D2330" s="217">
        <f>IFERROR(__xludf.DUMMYFUNCTION("GOOGLETRANSLATE(C2330,""vi"",""km"")"),"អ្នកផ្ញើ")</f>
        <v/>
      </c>
      <c r="E2330" s="3" t="n"/>
      <c r="F2330" s="3" t="inlineStr">
        <is>
          <t>អ្នកផ្ញើ</t>
        </is>
      </c>
      <c r="G2330" s="3" t="n"/>
      <c r="H2330" s="217" t="inlineStr">
        <is>
          <t>"delivery.warehouse.modifyOrder.sender": "អ្នកផ្ញើ",</t>
        </is>
      </c>
      <c r="I2330" t="inlineStr">
        <is>
          <t>អ្នកផ្ញើ</t>
        </is>
      </c>
    </row>
    <row r="2331">
      <c r="A2331" s="3" t="inlineStr">
        <is>
          <t>delivery.warehouse.modifyOrder.services</t>
        </is>
      </c>
      <c r="B2331" s="3" t="inlineStr">
        <is>
          <t>Dịch vụ</t>
        </is>
      </c>
      <c r="C2331" s="3" t="inlineStr">
        <is>
          <t>Service</t>
        </is>
      </c>
      <c r="D2331" s="217">
        <f>IFERROR(__xludf.DUMMYFUNCTION("GOOGLETRANSLATE(C2331,""vi"",""km"")"),"សេវាកម្ម")</f>
        <v/>
      </c>
      <c r="E2331" s="3" t="n"/>
      <c r="F2331" s="3" t="inlineStr">
        <is>
          <t>សេវាកម្ម</t>
        </is>
      </c>
      <c r="G2331" s="3" t="n"/>
      <c r="H2331" s="217" t="inlineStr">
        <is>
          <t>"delivery.warehouse.modifyOrder.services": "សេវាកម្ម",</t>
        </is>
      </c>
      <c r="I2331" t="inlineStr">
        <is>
          <t>សេវាកម្ម</t>
        </is>
      </c>
    </row>
    <row r="2332">
      <c r="A2332" s="3" t="inlineStr">
        <is>
          <t>delivery.warehouse.modifyOrder.shipping</t>
        </is>
      </c>
      <c r="B2332" s="3" t="inlineStr">
        <is>
          <t>Phụ phí bốc xếp</t>
        </is>
      </c>
      <c r="C2332" s="3" t="inlineStr">
        <is>
          <t>Handling charge</t>
        </is>
      </c>
      <c r="D2332" s="217">
        <f>IFERROR(__xludf.DUMMYFUNCTION("GOOGLETRANSLATE(C2332,""vi"",""km"")"),"ថ្លៃសេវាដោះស្រាយ")</f>
        <v/>
      </c>
      <c r="E2332" s="3" t="n"/>
      <c r="F2332" s="3" t="inlineStr">
        <is>
          <t>ថ្លៃសេវាដោះស្រាយ</t>
        </is>
      </c>
      <c r="G2332" s="3" t="n"/>
      <c r="H2332" s="217" t="inlineStr">
        <is>
          <t>"delivery.warehouse.modifyOrder.shipping": "ថ្លៃសេវាដោះស្រាយ",</t>
        </is>
      </c>
      <c r="I2332" t="inlineStr">
        <is>
          <t>ថ្លៃសេវាដោះស្រាយ</t>
        </is>
      </c>
    </row>
    <row r="2333">
      <c r="A2333" s="3" t="inlineStr">
        <is>
          <t>delivery.warehouse.modifyOrder.shippingDate</t>
        </is>
      </c>
      <c r="B2333" s="3" t="inlineStr">
        <is>
          <t>Ngày gửi</t>
        </is>
      </c>
      <c r="C2333" s="3" t="inlineStr">
        <is>
          <t>Sent date</t>
        </is>
      </c>
      <c r="D2333" s="217">
        <f>IFERROR(__xludf.DUMMYFUNCTION("GOOGLETRANSLATE(C2333,""vi"",""km"")"),"កាលបរិច្ឆេទដែលបានផ្ញើ")</f>
        <v/>
      </c>
      <c r="E2333" s="3" t="n"/>
      <c r="F2333" s="3" t="inlineStr">
        <is>
          <t>កាលបរិច្ឆេទផ្ញើ</t>
        </is>
      </c>
      <c r="G2333" s="3" t="n"/>
      <c r="H2333" s="217" t="inlineStr">
        <is>
          <t>"delivery.warehouse.modifyOrder.shippingDate": "កាលបរិច្ឆេទផ្ញើ",</t>
        </is>
      </c>
      <c r="I2333" t="inlineStr">
        <is>
          <t>កាលបរិច្ឆេទផ្ញើ</t>
        </is>
      </c>
    </row>
    <row r="2334">
      <c r="A2334" s="3" t="inlineStr">
        <is>
          <t>delivery.warehouse.modifyOrder.shippingFee</t>
        </is>
      </c>
      <c r="B2334" s="3" t="inlineStr">
        <is>
          <t>Cước phí</t>
        </is>
      </c>
      <c r="C2334" s="3" t="inlineStr">
        <is>
          <t>Shipping fee</t>
        </is>
      </c>
      <c r="D2334" s="217">
        <f>IFERROR(__xludf.DUMMYFUNCTION("GOOGLETRANSLATE(C2334,""vi"",""km"")"),"ថ្លៃដឹកជញ្ជូន")</f>
        <v/>
      </c>
      <c r="E2334" s="3" t="n"/>
      <c r="F2334" s="3" t="inlineStr">
        <is>
          <t>ថ្លៃដឹកជញ្ជូន</t>
        </is>
      </c>
      <c r="G2334" s="3" t="n"/>
      <c r="H2334" s="217" t="inlineStr">
        <is>
          <t>"delivery.warehouse.modifyOrder.shippingFee": "ថ្លៃដឹកជញ្ជូន",</t>
        </is>
      </c>
      <c r="I2334" t="inlineStr">
        <is>
          <t>ថ្លៃដឹកជញ្ជូន</t>
        </is>
      </c>
    </row>
    <row r="2335">
      <c r="A2335" s="3" t="inlineStr">
        <is>
          <t>delivery.warehouse.modifyOrder.size</t>
        </is>
      </c>
      <c r="B2335" s="3" t="inlineStr">
        <is>
          <t>Kích thước (DxRxC) (cm)</t>
        </is>
      </c>
      <c r="C2335" s="3" t="inlineStr">
        <is>
          <t>Size (LxWxH) (cm)</t>
        </is>
      </c>
      <c r="D2335" s="217">
        <f>IFERROR(__xludf.DUMMYFUNCTION("GOOGLETRANSLATE(C2335,""vi"",""km"")"),"ទំហំ (បណ្តោយ x ទទឹង x កម្ពស់) (សង់ទីម៉ែត្រ)")</f>
        <v/>
      </c>
      <c r="E2335" s="3" t="n"/>
      <c r="F2335" s="3" t="inlineStr">
        <is>
          <t>ទំហំ (បណ្តោយ x ទទឹង x កម្ពស់) (សង់ទីម៉ែត្រ)</t>
        </is>
      </c>
      <c r="G2335" s="3" t="n"/>
      <c r="H2335" s="217" t="inlineStr">
        <is>
          <t>"delivery.warehouse.modifyOrder.size": "ទំហំ (បណ្តោយ x ទទឹង x កម្ពស់) (សង់ទីម៉ែត្រ)",</t>
        </is>
      </c>
      <c r="I2335" t="inlineStr">
        <is>
          <t>ទំហំ (បណ្តោយ x ទទឹង x កម្ពស់) (សង់ទីម៉ែត្រ)</t>
        </is>
      </c>
    </row>
    <row r="2336">
      <c r="A2336" s="3" t="inlineStr">
        <is>
          <t>delivery.warehouse.modifyOrder.sizePlaceholder</t>
        </is>
      </c>
      <c r="B2336" s="3" t="inlineStr">
        <is>
          <t>Nhập Dài + Rộng + Cao</t>
        </is>
      </c>
      <c r="C2336" s="3" t="inlineStr">
        <is>
          <t>Enter Length + Width + Height</t>
        </is>
      </c>
      <c r="D2336" s="217">
        <f>IFERROR(__xludf.DUMMYFUNCTION("GOOGLETRANSLATE(C2336,""vi"",""km"")"),"បញ្ចូលប្រវែង + ទទឹង + កម្ពស់")</f>
        <v/>
      </c>
      <c r="E2336" s="3" t="n"/>
      <c r="F2336" s="3" t="inlineStr">
        <is>
          <t>បញ្ចូលប្រវែង + ទទឹង + កម្ពស់</t>
        </is>
      </c>
      <c r="G2336" s="3" t="n"/>
      <c r="H2336" s="217" t="inlineStr">
        <is>
          <t>"delivery.warehouse.modifyOrder.sizePlaceholder": "បញ្ចូលប្រវែង + ទទឹង + កម្ពស់",</t>
        </is>
      </c>
      <c r="I2336" t="inlineStr">
        <is>
          <t>បញ្ចូលប្រវែង + ទទឹង + កម្ពស់</t>
        </is>
      </c>
    </row>
    <row r="2337">
      <c r="A2337" s="3" t="inlineStr">
        <is>
          <t>delivery.warehouse.modifyOrder.successDescription</t>
        </is>
      </c>
      <c r="B2337" s="3" t="inlineStr">
        <is>
          <t>Tạo và gửi duyệt thành công đơn hàng</t>
        </is>
      </c>
      <c r="C2337" s="3" t="inlineStr">
        <is>
          <t>Order submitted successfully</t>
        </is>
      </c>
      <c r="D2337" s="217">
        <f>IFERROR(__xludf.DUMMYFUNCTION("GOOGLETRANSLATE(C2337,""vi"",""km"")"),"ការបញ្ជាទិញត្រូវបានដាក់ស្នើដោយជោគជ័យ")</f>
        <v/>
      </c>
      <c r="E2337" s="3" t="n"/>
      <c r="F2337" s="3" t="inlineStr">
        <is>
          <t>ការបញ្ជាទិញត្រូវបានដាក់ស្នើដោយជោគជ័យ</t>
        </is>
      </c>
      <c r="G2337" s="3" t="n"/>
      <c r="H2337" s="217" t="inlineStr">
        <is>
          <t>"delivery.warehouse.modifyOrder.successDescription": "ការបញ្ជាទិញត្រូវបានដាក់ស្នើដោយជោគជ័យ",</t>
        </is>
      </c>
      <c r="I2337" t="inlineStr">
        <is>
          <t>ការបញ្ជាទិញត្រូវបានដាក់ស្នើដោយជោគជ័យ</t>
        </is>
      </c>
    </row>
    <row r="2338">
      <c r="A2338" s="3" t="inlineStr">
        <is>
          <t>delivery.warehouse.modifyOrder.sunday</t>
        </is>
      </c>
      <c r="B2338" s="3" t="inlineStr">
        <is>
          <t>Chủ nhật</t>
        </is>
      </c>
      <c r="C2338" s="3" t="inlineStr">
        <is>
          <t>Sunday</t>
        </is>
      </c>
      <c r="D2338" s="217">
        <f>IFERROR(__xludf.DUMMYFUNCTION("GOOGLETRANSLATE(C2338,""vi"",""km"")"),"ថ្ងៃអាទិត្យ")</f>
        <v/>
      </c>
      <c r="E2338" s="3" t="n"/>
      <c r="F2338" s="3" t="inlineStr">
        <is>
          <t>ថ្ងៃអាទិត្យ</t>
        </is>
      </c>
      <c r="G2338" s="3" t="n"/>
      <c r="H2338" s="217" t="inlineStr">
        <is>
          <t>"delivery.warehouse.modifyOrder.sunday": "ថ្ងៃអាទិត្យ",</t>
        </is>
      </c>
      <c r="I2338" t="inlineStr">
        <is>
          <t>ថ្ងៃអាទិត្យ</t>
        </is>
      </c>
    </row>
    <row r="2339">
      <c r="A2339" s="3" t="inlineStr">
        <is>
          <t>delivery.warehouse.modifyOrder.surcharge</t>
        </is>
      </c>
      <c r="B2339" s="3" t="inlineStr">
        <is>
          <t>Phụ phí</t>
        </is>
      </c>
      <c r="C2339" s="3" t="inlineStr">
        <is>
          <t>Surcharge</t>
        </is>
      </c>
      <c r="D2339" s="217">
        <f>IFERROR(__xludf.DUMMYFUNCTION("GOOGLETRANSLATE(C2339,""vi"",""km"")"),"នាវាមុជទឹក")</f>
        <v/>
      </c>
      <c r="E2339" s="3" t="n"/>
      <c r="F2339" s="3" t="inlineStr">
        <is>
          <t>ថ្លៃសេវាបន្ថែម</t>
        </is>
      </c>
      <c r="G2339" s="3" t="n"/>
      <c r="H2339" s="217" t="inlineStr">
        <is>
          <t>"delivery.warehouse.modifyOrder.surcharge": "ថ្លៃសេវាបន្ថែម",</t>
        </is>
      </c>
      <c r="I2339" t="inlineStr">
        <is>
          <t>ថ្លៃសេវាបន្ថែម</t>
        </is>
      </c>
    </row>
    <row r="2340">
      <c r="A2340" s="3" t="inlineStr">
        <is>
          <t>delivery.warehouse.modifyOrder.surchargeType</t>
        </is>
      </c>
      <c r="B2340" s="3" t="inlineStr">
        <is>
          <t>Loại phụ phí</t>
        </is>
      </c>
      <c r="C2340" s="3" t="inlineStr">
        <is>
          <t>Surcharge categories</t>
        </is>
      </c>
      <c r="D2340" s="217">
        <f>IFERROR(__xludf.DUMMYFUNCTION("GOOGLETRANSLATE(C2340,""vi"",""km"")"),"ប្រភេទមូលហេតុគួរឱ្យសង្ស័យ")</f>
        <v/>
      </c>
      <c r="E2340" s="3" t="n"/>
      <c r="F2340" s="3" t="inlineStr">
        <is>
          <t>ប្រភេទមូលហេតុគួរឱ្យសង្ស័យ</t>
        </is>
      </c>
      <c r="G2340" s="3" t="n"/>
      <c r="H2340" s="217" t="inlineStr">
        <is>
          <t>"delivery.warehouse.modifyOrder.surchargeType": "ប្រភេទមូលហេតុគួរឱ្យសង្ស័យ",</t>
        </is>
      </c>
      <c r="I2340" t="inlineStr">
        <is>
          <t>ប្រភេទមូលហេតុគួរឱ្យសង្ស័យ</t>
        </is>
      </c>
    </row>
    <row r="2341">
      <c r="A2341" s="3" t="inlineStr">
        <is>
          <t>delivery.warehouse.modifyOrder.titleAlternativePhones</t>
        </is>
      </c>
      <c r="B2341" s="3" t="inlineStr">
        <is>
          <t>Thêm số điện thoại phụ</t>
        </is>
      </c>
      <c r="C2341" s="3" t="inlineStr">
        <is>
          <t>Additional phone number</t>
        </is>
      </c>
      <c r="D2341" s="217">
        <f>IFERROR(__xludf.DUMMYFUNCTION("GOOGLETRANSLATE(C2341,""vi"",""km"")"),"លេខទូរស័ព្ទបន្ថែម")</f>
        <v/>
      </c>
      <c r="E2341" s="3" t="n"/>
      <c r="F2341" s="3" t="inlineStr">
        <is>
          <t>លេខទូរស័ព្ទបន្ថែម</t>
        </is>
      </c>
      <c r="G2341" s="3" t="n"/>
      <c r="H2341" s="217" t="inlineStr">
        <is>
          <t>"delivery.warehouse.modifyOrder.titleAlternativePhones": "លេខទូរស័ព្ទបន្ថែម",</t>
        </is>
      </c>
      <c r="I2341" t="inlineStr">
        <is>
          <t>លេខទូរស័ព្ទបន្ថែម</t>
        </is>
      </c>
    </row>
    <row r="2342">
      <c r="A2342" s="3" t="inlineStr">
        <is>
          <t>delivery.warehouse.modifyOrder.titleRefresh</t>
        </is>
      </c>
      <c r="B2342" s="3" t="inlineStr">
        <is>
          <t>Quý khách có chắc chắn muốn tạo một đơn hàng khác?</t>
        </is>
      </c>
      <c r="C2342" s="3" t="inlineStr">
        <is>
          <t>Are you sure you want to create another order?</t>
        </is>
      </c>
      <c r="D2342" s="217">
        <f>IFERROR(__xludf.DUMMYFUNCTION("GOOGLETRANSLATE(C2342,""vi"",""km"")"),"តើអ្នកពិតជាចង់បង្កើតការបញ្ជាទិញមួយផ្សេងទៀតមែនទេ?")</f>
        <v/>
      </c>
      <c r="E2342" s="3" t="n"/>
      <c r="F2342" s="3" t="inlineStr">
        <is>
          <t>តើអ្នកពិតជាចង់បង្កើតការបញ្ជាទិញមួយផ្សេងទៀតមែនទេ?</t>
        </is>
      </c>
      <c r="G2342" s="3" t="n"/>
      <c r="H2342" s="217" t="inlineStr">
        <is>
          <t>"delivery.warehouse.modifyOrder.titleRefresh": "តើអ្នកពិតជាចង់បង្កើតការបញ្ជាទិញមួយផ្សេងទៀតមែនទេ?",</t>
        </is>
      </c>
      <c r="I2342" t="inlineStr">
        <is>
          <t>តើអ្នកពិតជាចង់បង្កើតការបញ្ជាទិញមួយផ្សេងទៀតមែនទេ?</t>
        </is>
      </c>
    </row>
    <row r="2343">
      <c r="A2343" s="3" t="inlineStr">
        <is>
          <t>delivery.warehouse.modifyOrder.titleSubmit</t>
        </is>
      </c>
      <c r="B2343" s="3" t="inlineStr">
        <is>
          <t>Đồng chí có chắc chắn muốn tạo đơn hàng này?</t>
        </is>
      </c>
      <c r="C2343" s="3" t="inlineStr">
        <is>
          <t>Are you sure you want to create this order?</t>
        </is>
      </c>
      <c r="D2343" s="217">
        <f>IFERROR(__xludf.DUMMYFUNCTION("GOOGLETRANSLATE(C2343,""vi"",""km"")"),"តើអ្នកពិតជាចង់បង្កើតការបញ្ជាទិញនេះមែនទេ?")</f>
        <v/>
      </c>
      <c r="E2343" s="3" t="n"/>
      <c r="F2343" s="3" t="inlineStr">
        <is>
          <t>តើអ្នកពិតជាចង់បង្កើតការបញ្ជាទិញនេះមែនទេ?</t>
        </is>
      </c>
      <c r="G2343" s="3" t="n"/>
      <c r="H2343" s="217" t="inlineStr">
        <is>
          <t>"delivery.warehouse.modifyOrder.titleSubmit": "តើអ្នកពិតជាចង់បង្កើតការបញ្ជាទិញនេះមែនទេ?",</t>
        </is>
      </c>
      <c r="I2343" t="inlineStr">
        <is>
          <t>តើអ្នកពិតជាចង់បង្កើតការបញ្ជាទិញនេះមែនទេ?</t>
        </is>
      </c>
    </row>
    <row r="2344">
      <c r="A2344" s="3" t="inlineStr">
        <is>
          <t>delivery.warehouse.modifyOrder.totalFee</t>
        </is>
      </c>
      <c r="B2344" s="3" t="inlineStr">
        <is>
          <t>Tổng cước</t>
        </is>
      </c>
      <c r="C2344" s="3" t="inlineStr">
        <is>
          <t>Total fee</t>
        </is>
      </c>
      <c r="D2344" s="217">
        <f>IFERROR(__xludf.DUMMYFUNCTION("GOOGLETRANSLATE(C2344,""vi"",""km"")"),"ថ្លៃសេវាសរុប")</f>
        <v/>
      </c>
      <c r="E2344" s="3" t="n"/>
      <c r="F2344" s="3" t="inlineStr">
        <is>
          <t>ថ្លៃដឹកជញ្ជូនសរុប</t>
        </is>
      </c>
      <c r="G2344" s="3" t="n"/>
      <c r="H2344" s="217" t="inlineStr">
        <is>
          <t>"delivery.warehouse.modifyOrder.totalFee": "ថ្លៃដឹកជញ្ជូនសរុប",</t>
        </is>
      </c>
      <c r="I2344" t="inlineStr">
        <is>
          <t>ថ្លៃដឹកជញ្ជូនសរុប</t>
        </is>
      </c>
    </row>
    <row r="2345">
      <c r="A2345" s="3" t="inlineStr">
        <is>
          <t>delivery.warehouse.modifyOrder.updateOrder</t>
        </is>
      </c>
      <c r="B2345" s="3" t="inlineStr">
        <is>
          <t>Sửa đơn</t>
        </is>
      </c>
      <c r="C2345" s="3" t="inlineStr">
        <is>
          <t>Order modification</t>
        </is>
      </c>
      <c r="D2345" s="217">
        <f>IFERROR(__xludf.DUMMYFUNCTION("GOOGLETRANSLATE(C2345,""vi"",""km"")"),"លំដាប់សមស្រប")</f>
        <v/>
      </c>
      <c r="E2345" s="3" t="n"/>
      <c r="F2345" s="3" t="inlineStr">
        <is>
          <t>លំដាប់សមស្រប</t>
        </is>
      </c>
      <c r="G2345" s="3" t="n"/>
      <c r="H2345" s="217" t="inlineStr">
        <is>
          <t>"delivery.warehouse.modifyOrder.updateOrder": "លំដាប់សមស្រប",</t>
        </is>
      </c>
      <c r="I2345" t="inlineStr">
        <is>
          <t>លំដាប់សមស្រប</t>
        </is>
      </c>
    </row>
    <row r="2346">
      <c r="A2346" s="3" t="inlineStr">
        <is>
          <t>delivery.warehouse.modifyOrder.value</t>
        </is>
      </c>
      <c r="B2346" s="3" t="inlineStr">
        <is>
          <t>Giá trị</t>
        </is>
      </c>
      <c r="C2346" s="3" t="inlineStr">
        <is>
          <t>Value</t>
        </is>
      </c>
      <c r="D2346" s="217">
        <f>IFERROR(__xludf.DUMMYFUNCTION("GOOGLETRANSLATE(C2346,""vi"",""km"")"),"តម្លៃ")</f>
        <v/>
      </c>
      <c r="E2346" s="3" t="n"/>
      <c r="F2346" s="3" t="inlineStr">
        <is>
          <t>តម្លៃ</t>
        </is>
      </c>
      <c r="G2346" s="3" t="n"/>
      <c r="H2346" s="217" t="inlineStr">
        <is>
          <t>"delivery.warehouse.modifyOrder.value": "តម្លៃ",</t>
        </is>
      </c>
      <c r="I2346" t="inlineStr">
        <is>
          <t>តម្លៃ</t>
        </is>
      </c>
    </row>
    <row r="2347">
      <c r="A2347" s="3" t="inlineStr">
        <is>
          <t>delivery.warehouse.modifyOrder.width</t>
        </is>
      </c>
      <c r="B2347" s="3" t="inlineStr">
        <is>
          <t>Rộng</t>
        </is>
      </c>
      <c r="C2347" s="3" t="inlineStr">
        <is>
          <t>Width</t>
        </is>
      </c>
      <c r="D2347" s="217">
        <f>IFERROR(__xludf.DUMMYFUNCTION("GOOGLETRANSLATE(C2347,""vi"",""km"")"),"ទទឹង")</f>
        <v/>
      </c>
      <c r="E2347" s="3" t="n"/>
      <c r="F2347" s="3" t="inlineStr">
        <is>
          <t>ទទឹង</t>
        </is>
      </c>
      <c r="G2347" s="3" t="n"/>
      <c r="H2347" s="217" t="inlineStr">
        <is>
          <t>"delivery.warehouse.modifyOrder.width": "ទទឹង",</t>
        </is>
      </c>
      <c r="I2347" t="inlineStr">
        <is>
          <t>ទទឹង</t>
        </is>
      </c>
    </row>
    <row r="2348">
      <c r="A2348" s="3" t="inlineStr">
        <is>
          <t>delivery.warehouse.modifyPriceZone.ListZoneData</t>
        </is>
      </c>
      <c r="B2348" s="3" t="inlineStr">
        <is>
          <t>Danh sách chi tiết cấu hình zone</t>
        </is>
      </c>
      <c r="C2348" s="3" t="inlineStr">
        <is>
          <t>Detail List of Zone data</t>
        </is>
      </c>
      <c r="D2348" s="217">
        <f>IFERROR(__xludf.DUMMYFUNCTION("GOOGLETRANSLATE(C2348,""vi"",""km"")"),"បញ្ជីលម្អិតនៃទិន្នន័យតំបន់")</f>
        <v/>
      </c>
      <c r="E2348" s="3" t="n"/>
      <c r="F2348" s="3" t="inlineStr">
        <is>
          <t>បញ្ជីលម្អិតនៃទិន្នន័យតំបន់</t>
        </is>
      </c>
      <c r="G2348" s="3" t="n"/>
      <c r="H2348" s="217" t="inlineStr">
        <is>
          <t>"delivery.warehouse.modifyPriceZone.ListZoneData": "បញ្ជីលម្អិតនៃទិន្នន័យតំបន់",</t>
        </is>
      </c>
      <c r="I2348" t="inlineStr">
        <is>
          <t>បញ្ជីលម្អិតនៃទិន្នន័យតំបន់</t>
        </is>
      </c>
    </row>
    <row r="2349">
      <c r="A2349" s="3" t="inlineStr">
        <is>
          <t>delivery.warehouse.modifyPriceZone.configZone</t>
        </is>
      </c>
      <c r="B2349" s="3" t="inlineStr">
        <is>
          <t>Cấu hình zone</t>
        </is>
      </c>
      <c r="C2349" s="3" t="inlineStr">
        <is>
          <t>Zone config</t>
        </is>
      </c>
      <c r="D2349" s="217">
        <f>IFERROR(__xludf.DUMMYFUNCTION("GOOGLETRANSLATE(C2349,""vi"",""km"")"),"ការកំណត់រចនាសម្ព័ន្ធតំបន់")</f>
        <v/>
      </c>
      <c r="E2349" s="3" t="n"/>
      <c r="F2349" s="3" t="inlineStr">
        <is>
          <t>ការកំណត់រចនាសម្ព័ន្ធតំបន់</t>
        </is>
      </c>
      <c r="G2349" s="3" t="n"/>
      <c r="H2349" s="217" t="inlineStr">
        <is>
          <t>"delivery.warehouse.modifyPriceZone.configZone": "ការកំណត់រចនាសម្ព័ន្ធតំបន់",</t>
        </is>
      </c>
      <c r="I2349" t="inlineStr">
        <is>
          <t>ការកំណត់រចនាសម្ព័ន្ធតំបន់</t>
        </is>
      </c>
    </row>
    <row r="2350">
      <c r="A2350" s="3" t="inlineStr">
        <is>
          <t>delivery.warehouse.modifyPriceZone.createZone</t>
        </is>
      </c>
      <c r="B2350" s="3" t="inlineStr">
        <is>
          <t>Thêm mới zone</t>
        </is>
      </c>
      <c r="C2350" s="3" t="inlineStr">
        <is>
          <t>Add new zone</t>
        </is>
      </c>
      <c r="D2350" s="217">
        <f>IFERROR(__xludf.DUMMYFUNCTION("GOOGLETRANSLATE(C2350,""vi"",""km"")"),"បន្ថែមតំបន់ថ្មី")</f>
        <v/>
      </c>
      <c r="E2350" s="3" t="n"/>
      <c r="F2350" s="3" t="inlineStr">
        <is>
          <t>បន្ថែមតំបន់ថ្មី</t>
        </is>
      </c>
      <c r="G2350" s="3" t="n"/>
      <c r="H2350" s="217" t="inlineStr">
        <is>
          <t>"delivery.warehouse.modifyPriceZone.createZone": "បន្ថែមតំបន់ថ្មី",</t>
        </is>
      </c>
      <c r="I2350" t="inlineStr">
        <is>
          <t>បន្ថែមតំបន់ថ្មី</t>
        </is>
      </c>
    </row>
    <row r="2351">
      <c r="A2351" s="3" t="inlineStr">
        <is>
          <t>delivery.warehouse.modifyPriceZone.deliveryZone</t>
        </is>
      </c>
      <c r="B2351" s="3" t="inlineStr">
        <is>
          <t>Vùng đi</t>
        </is>
      </c>
      <c r="C2351" s="3" t="inlineStr">
        <is>
          <t>Destination area</t>
        </is>
      </c>
      <c r="D2351" s="217">
        <f>IFERROR(__xludf.DUMMYFUNCTION("GOOGLETRANSLATE(C2351,""vi"",""km"")"),"តំបន់គោលដៅ")</f>
        <v/>
      </c>
      <c r="E2351" s="3" t="n"/>
      <c r="F2351" s="3" t="inlineStr">
        <is>
          <t>តំបន់គោលដៅ</t>
        </is>
      </c>
      <c r="G2351" s="3" t="n"/>
      <c r="H2351" s="217" t="inlineStr">
        <is>
          <t>"delivery.warehouse.modifyPriceZone.deliveryZone": "តំបន់គោលដៅ",</t>
        </is>
      </c>
      <c r="I2351" t="inlineStr">
        <is>
          <t>តំបន់គោលដៅ</t>
        </is>
      </c>
    </row>
    <row r="2352">
      <c r="A2352" s="3" t="inlineStr">
        <is>
          <t>delivery.warehouse.modifyPriceZone.exportExcel</t>
        </is>
      </c>
      <c r="B2352" s="3" t="inlineStr">
        <is>
          <t>Xuất Excel</t>
        </is>
      </c>
      <c r="C2352" s="3" t="inlineStr">
        <is>
          <t>Export Excel/ Export (.xlxs)</t>
        </is>
      </c>
      <c r="D2352" s="217">
        <f>IFERROR(__xludf.DUMMYFUNCTION("GOOGLETRANSLATE(C2352,""vi"",""km"")"),"នាំចេញ Excel/នាំចេញ (.xlxs)")</f>
        <v/>
      </c>
      <c r="E2352" s="3" t="n"/>
      <c r="F2352" s="3" t="inlineStr">
        <is>
          <t>នាំចេញ Excel/នាំចេញ (.xlxs)</t>
        </is>
      </c>
      <c r="G2352" s="3" t="n"/>
      <c r="H2352" s="217" t="inlineStr">
        <is>
          <t>"delivery.warehouse.modifyPriceZone.exportExcel": "នាំចេញ Excel/នាំចេញ (.xlxs)",</t>
        </is>
      </c>
      <c r="I2352" t="inlineStr">
        <is>
          <t>នាំចេញ Excel/នាំចេញ (.xlxs)</t>
        </is>
      </c>
    </row>
    <row r="2353">
      <c r="A2353" s="3" t="inlineStr">
        <is>
          <t>delivery.warehouse.modifyPriceZone.receivingZone</t>
        </is>
      </c>
      <c r="B2353" s="3" t="inlineStr">
        <is>
          <t>Vùng đến</t>
        </is>
      </c>
      <c r="C2353" s="3" t="inlineStr">
        <is>
          <t>Origin zone</t>
        </is>
      </c>
      <c r="D2353" s="217">
        <f>IFERROR(__xludf.DUMMYFUNCTION("GOOGLETRANSLATE(C2353,""vi"",""km"")"),"តំបន់ដើម")</f>
        <v/>
      </c>
      <c r="E2353" s="3" t="n"/>
      <c r="F2353" s="3" t="inlineStr">
        <is>
          <t>តំបន់ដើម</t>
        </is>
      </c>
      <c r="G2353" s="3" t="n"/>
      <c r="H2353" s="217" t="inlineStr">
        <is>
          <t>"delivery.warehouse.modifyPriceZone.receivingZone": "តំបន់ដើម",</t>
        </is>
      </c>
      <c r="I2353" t="inlineStr">
        <is>
          <t>តំបន់ដើម</t>
        </is>
      </c>
    </row>
    <row r="2354">
      <c r="A2354" s="3" t="inlineStr">
        <is>
          <t>delivery.warehouse.modifyRoute.containsSpecialCharacters</t>
        </is>
      </c>
      <c r="B2354" s="3" t="inlineStr">
        <is>
          <t>Tên tuyến không được chứa ký tự đặc biệt</t>
        </is>
      </c>
      <c r="C2354" s="3" t="inlineStr">
        <is>
          <t>Not allow for using special characters in route name</t>
        </is>
      </c>
      <c r="D2354" s="217">
        <f>IFERROR(__xludf.DUMMYFUNCTION("GOOGLETRANSLATE(C2354,""vi"",""km"")"),"មិនអនុញ្ញាតឱ្យប្រើតួអក្សរពិសេសក្នុងឈ្មោះផ្លូវទេ")</f>
        <v/>
      </c>
      <c r="E2354" s="3" t="n"/>
      <c r="F2354" s="3" t="inlineStr">
        <is>
          <t>មិនអនុញ្ញាតឱ្យប្រើតួអក្សរពិសេសក្នុងឈ្មោះផ្លូវទេ</t>
        </is>
      </c>
      <c r="G2354" s="3" t="n"/>
      <c r="H2354" s="217" t="inlineStr">
        <is>
          <t>"delivery.warehouse.modifyRoute.containsSpecialCharacters": "មិនអនុញ្ញាតឱ្យប្រើតួអក្សរពិសេសក្នុងឈ្មោះផ្លូវទេ",</t>
        </is>
      </c>
      <c r="I2354" t="inlineStr">
        <is>
          <t>មិនអនុញ្ញាតឱ្យប្រើតួអក្សរពិសេសក្នុងឈ្មោះផ្លូវទេ</t>
        </is>
      </c>
    </row>
    <row r="2355">
      <c r="A2355" s="3" t="inlineStr">
        <is>
          <t>delivery.warehouse.modifyRoute.routeNameMax</t>
        </is>
      </c>
      <c r="B2355" s="3" t="inlineStr">
        <is>
          <t>Tên tuyến tối đa 200 ký tự</t>
        </is>
      </c>
      <c r="C2355" s="3" t="inlineStr">
        <is>
          <t>Maximum 200 characters for route name</t>
        </is>
      </c>
      <c r="D2355" s="217">
        <f>IFERROR(__xludf.DUMMYFUNCTION("GOOGLETRANSLATE(C2355,""vi"",""km"")"),"ឈ្មោះផ្លូវអតិបរមា ២០០ តួអក្សរ")</f>
        <v/>
      </c>
      <c r="E2355" s="3" t="n"/>
      <c r="F2355" s="3" t="inlineStr">
        <is>
          <t>ឈ្មោះផ្លូវអតិបរមា ២០០ តួអក្សរ</t>
        </is>
      </c>
      <c r="G2355" s="3" t="n"/>
      <c r="H2355" s="217" t="inlineStr">
        <is>
          <t>"delivery.warehouse.modifyRoute.routeNameMax": "ឈ្មោះផ្លូវអតិបរមា ២០០ តួអក្សរ",</t>
        </is>
      </c>
      <c r="I2355" t="inlineStr">
        <is>
          <t>ឈ្មោះផ្លូវអតិបរមា ២០០ តួអក្សរ</t>
        </is>
      </c>
    </row>
    <row r="2356">
      <c r="A2356" s="3" t="inlineStr">
        <is>
          <t>delivery.warehouse.modifyRoute.routeNameMin</t>
        </is>
      </c>
      <c r="B2356" s="3" t="inlineStr">
        <is>
          <t>Tên tuyến tối thiểu 1 ký tự</t>
        </is>
      </c>
      <c r="C2356" s="3" t="inlineStr">
        <is>
          <t>Minimum 1 character for route name</t>
        </is>
      </c>
      <c r="D2356" s="217">
        <f>IFERROR(__xludf.DUMMYFUNCTION("GOOGLETRANSLATE(C2356,""vi"",""km"")"),"យ៉ាងតិច 1 តួអក្សរសម្រាប់ឈ្មោះផ្លូវ")</f>
        <v/>
      </c>
      <c r="E2356" s="3" t="n"/>
      <c r="F2356" s="3" t="inlineStr">
        <is>
          <t>យ៉ាងតិច 1 តួអក្សរសម្រាប់ឈ្មោះផ្លូវ</t>
        </is>
      </c>
      <c r="G2356" s="3" t="n"/>
      <c r="H2356" s="217" t="inlineStr">
        <is>
          <t>"delivery.warehouse.modifyRoute.routeNameMin": "យ៉ាងតិច 1 តួអក្សរសម្រាប់ឈ្មោះផ្លូវ",</t>
        </is>
      </c>
      <c r="I2356" t="inlineStr">
        <is>
          <t>យ៉ាងតិច 1 តួអក្សរសម្រាប់ឈ្មោះផ្លូវ</t>
        </is>
      </c>
    </row>
    <row r="2357">
      <c r="A2357" s="3" t="inlineStr">
        <is>
          <t>delivery.warehouse.orderStatusReport.branch</t>
        </is>
      </c>
      <c r="B2357" s="3" t="inlineStr">
        <is>
          <t>Chi nhánh</t>
        </is>
      </c>
      <c r="C2357" s="3" t="inlineStr">
        <is>
          <t>Branch</t>
        </is>
      </c>
      <c r="D2357" s="217">
        <f>IFERROR(__xludf.DUMMYFUNCTION("GOOGLETRANSLATE(C2357,""vi"",""km"")"),"គ្រួសារ")</f>
        <v/>
      </c>
      <c r="E2357" s="3" t="n"/>
      <c r="F2357" s="3" t="inlineStr">
        <is>
          <t>សាខា</t>
        </is>
      </c>
      <c r="G2357" s="3" t="n"/>
      <c r="H2357" s="217" t="inlineStr">
        <is>
          <t>"delivery.warehouse.orderStatusReport.branch": "សាខា",</t>
        </is>
      </c>
      <c r="I2357" t="inlineStr">
        <is>
          <t>សាខា</t>
        </is>
      </c>
    </row>
    <row r="2358">
      <c r="A2358" s="3" t="inlineStr">
        <is>
          <t>delivery.warehouse.orderStatusReport.cod</t>
        </is>
      </c>
      <c r="B2358" s="3" t="inlineStr">
        <is>
          <t>COD</t>
        </is>
      </c>
      <c r="C2358" s="3" t="inlineStr">
        <is>
          <t>COD</t>
        </is>
      </c>
      <c r="D2358" s="217">
        <f>IFERROR(__xludf.DUMMYFUNCTION("GOOGLETRANSLATE(C2358,""vi"",""km"")"),"ប្រតិបត្តិការ​ទូទាត់​ថ្លៃ​សេវា​ (COD)")</f>
        <v/>
      </c>
      <c r="E2358" s="3" t="n"/>
      <c r="F2358" s="3" t="inlineStr">
        <is>
          <t>ប្រតិបត្តិការទូទាត់ថ្លៃសេវា (COD)</t>
        </is>
      </c>
      <c r="G2358" s="3" t="n"/>
      <c r="H2358" s="217" t="inlineStr">
        <is>
          <t>"delivery.warehouse.orderStatusReport.cod": "ប្រតិបត្តិការទូទាត់ថ្លៃសេវា (COD)",</t>
        </is>
      </c>
      <c r="I2358" t="inlineStr">
        <is>
          <t>ប្រតិបត្តិការទូទាត់ថ្លៃសេវា (COD)</t>
        </is>
      </c>
    </row>
    <row r="2359">
      <c r="A2359" s="3" t="inlineStr">
        <is>
          <t>delivery.warehouse.orderStatusReport.delivery</t>
        </is>
      </c>
      <c r="B2359" s="3" t="inlineStr">
        <is>
          <t>Khâu phát</t>
        </is>
      </c>
      <c r="C2359" s="3" t="inlineStr">
        <is>
          <t>Last-mile</t>
        </is>
      </c>
      <c r="D2359" s="217">
        <f>IFERROR(__xludf.DUMMYFUNCTION("GOOGLETRANSLATE(C2359,""vi"",""km"")"),"ម៉ាយចុងក្រោយ")</f>
        <v/>
      </c>
      <c r="E2359" s="3" t="n"/>
      <c r="F2359" s="3" t="inlineStr">
        <is>
          <t>ម៉ាយចុងក្រោយ</t>
        </is>
      </c>
      <c r="G2359" s="3" t="n"/>
      <c r="H2359" s="217" t="inlineStr">
        <is>
          <t>"delivery.warehouse.orderStatusReport.delivery": "ម៉ាយចុងក្រោយ",</t>
        </is>
      </c>
      <c r="I2359" t="inlineStr">
        <is>
          <t>ម៉ាយចុងក្រោយ</t>
        </is>
      </c>
    </row>
    <row r="2360">
      <c r="A2360" s="3" t="inlineStr">
        <is>
          <t>delivery.warehouse.orderStatusReport.department</t>
        </is>
      </c>
      <c r="B2360" s="3" t="inlineStr">
        <is>
          <t>Bưu cục</t>
        </is>
      </c>
      <c r="C2360" s="3" t="inlineStr">
        <is>
          <t>Post office</t>
        </is>
      </c>
      <c r="D2360" s="217">
        <f>IFERROR(__xludf.DUMMYFUNCTION("GOOGLETRANSLATE(C2360,""vi"",""km"")"),"ការិយាល័យប្រៃសណីយ៍")</f>
        <v/>
      </c>
      <c r="E2360" s="3" t="n"/>
      <c r="F2360" s="3" t="inlineStr">
        <is>
          <t>ការិយាល័យប្រៃសណីយ៍</t>
        </is>
      </c>
      <c r="G2360" s="3" t="n"/>
      <c r="H2360" s="217" t="inlineStr">
        <is>
          <t>"delivery.warehouse.orderStatusReport.department": "ការិយាល័យប្រៃសណីយ៍",</t>
        </is>
      </c>
      <c r="I2360" t="inlineStr">
        <is>
          <t>ការិយាល័យប្រៃសណីយ៍</t>
        </is>
      </c>
    </row>
    <row r="2361">
      <c r="A2361" s="3" t="inlineStr">
        <is>
          <t>delivery.warehouse.orderStatusReport.exportDetail</t>
        </is>
      </c>
      <c r="B2361" s="3" t="inlineStr">
        <is>
          <t>Xuất chi tiết</t>
        </is>
      </c>
      <c r="C2361" s="3" t="inlineStr">
        <is>
          <t>Export detail report</t>
        </is>
      </c>
      <c r="D2361" s="217">
        <f>IFERROR(__xludf.DUMMYFUNCTION("GOOGLETRANSLATE(C2361,""vi"",""km"")"),"នាំចេញរបាយការណ៍លម្អិត")</f>
        <v/>
      </c>
      <c r="E2361" s="3" t="n"/>
      <c r="F2361" s="3" t="inlineStr">
        <is>
          <t>នាំចេញរបាយការណ៍លម្អិត</t>
        </is>
      </c>
      <c r="G2361" s="3" t="n"/>
      <c r="H2361" s="217" t="inlineStr">
        <is>
          <t>"delivery.warehouse.orderStatusReport.exportDetail": "នាំចេញរបាយការណ៍លម្អិត",</t>
        </is>
      </c>
      <c r="I2361" t="inlineStr">
        <is>
          <t>នាំចេញរបាយការណ៍លម្អិត</t>
        </is>
      </c>
    </row>
    <row r="2362">
      <c r="A2362" s="3" t="inlineStr">
        <is>
          <t>delivery.warehouse.orderStatusReport.exportSuccess</t>
        </is>
      </c>
      <c r="B2362" s="3" t="inlineStr">
        <is>
          <t>Xuất excel thành công</t>
        </is>
      </c>
      <c r="C2362" s="3" t="inlineStr">
        <is>
          <t>Export sucessfully</t>
        </is>
      </c>
      <c r="D2362" s="217">
        <f>IFERROR(__xludf.DUMMYFUNCTION("GOOGLETRANSLATE(C2362,""vi"",""km"")"),"នាំចេញដោយជោគជ័យ")</f>
        <v/>
      </c>
      <c r="E2362" s="3" t="n"/>
      <c r="F2362" s="3" t="inlineStr">
        <is>
          <t>នាំចេញដោយជោគជ័យ</t>
        </is>
      </c>
      <c r="G2362" s="3" t="n"/>
      <c r="H2362" s="217" t="inlineStr">
        <is>
          <t>"delivery.warehouse.orderStatusReport.exportSuccess": "នាំចេញដោយជោគជ័យ",</t>
        </is>
      </c>
      <c r="I2362" t="inlineStr">
        <is>
          <t>នាំចេញដោយជោគជ័យ</t>
        </is>
      </c>
    </row>
    <row r="2363">
      <c r="A2363" s="3" t="inlineStr">
        <is>
          <t>delivery.warehouse.orderStatusReport.exportSumary</t>
        </is>
      </c>
      <c r="B2363" s="3" t="inlineStr">
        <is>
          <t>Xuất tổng hợp</t>
        </is>
      </c>
      <c r="C2363" s="3" t="inlineStr">
        <is>
          <t>Export summary report</t>
        </is>
      </c>
      <c r="D2363" s="217">
        <f>IFERROR(__xludf.DUMMYFUNCTION("GOOGLETRANSLATE(C2363,""vi"",""km"")"),"របាយការណ៍​ផ្គូផ្គង​ឆ្លង")</f>
        <v/>
      </c>
      <c r="E2363" s="3" t="n"/>
      <c r="F2363" s="3" t="inlineStr">
        <is>
          <t>របាយការណ៍ផ្គូផ្គងឆ្លង</t>
        </is>
      </c>
      <c r="G2363" s="3" t="n"/>
      <c r="H2363" s="217" t="inlineStr">
        <is>
          <t>"delivery.warehouse.orderStatusReport.exportSumary": "របាយការណ៍ផ្គូផ្គងឆ្លង",</t>
        </is>
      </c>
      <c r="I2363" t="inlineStr">
        <is>
          <t>របាយការណ៍ផ្គូផ្គងឆ្លង</t>
        </is>
      </c>
    </row>
    <row r="2364">
      <c r="A2364" s="3" t="inlineStr">
        <is>
          <t>delivery.warehouse.orderStatusReport.fileNameDetail</t>
        </is>
      </c>
      <c r="B2364" s="3" t="inlineStr">
        <is>
          <t>Detail_order status report</t>
        </is>
      </c>
      <c r="C2364" s="3" t="inlineStr">
        <is>
          <t>Detail_order status report</t>
        </is>
      </c>
      <c r="D2364" s="217">
        <f>IFERROR(__xludf.DUMMYFUNCTION("GOOGLETRANSLATE(C2364,""vi"",""km"")"),"របាយការណ៍ស្ថានភាពការបញ្ជាទិញលម្អិត")</f>
        <v/>
      </c>
      <c r="E2364" s="3" t="n"/>
      <c r="F2364" s="3" t="inlineStr">
        <is>
          <t>របាយការណ៍ស្ថានភាពការបញ្ជាទិញលម្អិត</t>
        </is>
      </c>
      <c r="G2364" s="3" t="n"/>
      <c r="H2364" s="217" t="inlineStr">
        <is>
          <t>"delivery.warehouse.orderStatusReport.fileNameDetail": "របាយការណ៍ស្ថានភាពការបញ្ជាទិញលម្អិត",</t>
        </is>
      </c>
      <c r="I2364" t="inlineStr">
        <is>
          <t>របាយការណ៍ស្ថានភាពការបញ្ជាទិញលម្អិត</t>
        </is>
      </c>
    </row>
    <row r="2365">
      <c r="A2365" s="3" t="inlineStr">
        <is>
          <t>delivery.warehouse.orderStatusReport.fileNameSumary</t>
        </is>
      </c>
      <c r="B2365" s="3" t="inlineStr">
        <is>
          <t>Summary_order status report</t>
        </is>
      </c>
      <c r="C2365" s="3" t="inlineStr">
        <is>
          <t>Summary_order status report</t>
        </is>
      </c>
      <c r="D2365" s="217">
        <f>IFERROR(__xludf.DUMMYFUNCTION("GOOGLETRANSLATE(C2365,""vi"",""km"")"),"របាយការណ៍ស្ថានភាពការបញ្ជាទិញសង្ខេប")</f>
        <v/>
      </c>
      <c r="E2365" s="3" t="n"/>
      <c r="F2365" s="3" t="inlineStr">
        <is>
          <t>របាយការណ៍ស្ថានភាពការបញ្ជាទិញសង្ខេប</t>
        </is>
      </c>
      <c r="G2365" s="3" t="n"/>
      <c r="H2365" s="217" t="inlineStr">
        <is>
          <t>"delivery.warehouse.orderStatusReport.fileNameSumary": "របាយការណ៍ស្ថានភាពការបញ្ជាទិញសង្ខេប",</t>
        </is>
      </c>
      <c r="I2365" t="inlineStr">
        <is>
          <t>របាយការណ៍ស្ថានភាពការបញ្ជាទិញសង្ខេប</t>
        </is>
      </c>
    </row>
    <row r="2366">
      <c r="A2366" s="3" t="inlineStr">
        <is>
          <t>delivery.warehouse.orderStatusReport.filterbranch</t>
        </is>
      </c>
      <c r="B2366" s="3" t="inlineStr">
        <is>
          <t>Chọn chi nhánh</t>
        </is>
      </c>
      <c r="C2366" s="3" t="inlineStr">
        <is>
          <t>Select branch</t>
        </is>
      </c>
      <c r="D2366" s="217">
        <f>IFERROR(__xludf.DUMMYFUNCTION("GOOGLETRANSLATE(C2366,""vi"",""km"")"),"ជ្រើសរើសទ្រូង")</f>
        <v/>
      </c>
      <c r="E2366" s="3" t="n"/>
      <c r="F2366" s="3" t="inlineStr">
        <is>
          <t>ជ្រើសរើសទ្រូង</t>
        </is>
      </c>
      <c r="G2366" s="3" t="n"/>
      <c r="H2366" s="217" t="inlineStr">
        <is>
          <t>"delivery.warehouse.orderStatusReport.filterbranch": "ជ្រើសរើសទ្រូង",</t>
        </is>
      </c>
      <c r="I2366" t="inlineStr">
        <is>
          <t>ជ្រើសរើសទ្រូង</t>
        </is>
      </c>
    </row>
    <row r="2367">
      <c r="A2367" s="3" t="inlineStr">
        <is>
          <t>delivery.warehouse.orderStatusReport.fromDate</t>
        </is>
      </c>
      <c r="B2367" s="3" t="inlineStr">
        <is>
          <t>Từ ngày</t>
        </is>
      </c>
      <c r="C2367" s="3" t="inlineStr">
        <is>
          <t>From date</t>
        </is>
      </c>
      <c r="D2367" s="217">
        <f>IFERROR(__xludf.DUMMYFUNCTION("GOOGLETRANSLATE(C2367,""vi"",""km"")"),"ចាប់ពីកាលបរិច្ឆេទ")</f>
        <v/>
      </c>
      <c r="E2367" s="3" t="n"/>
      <c r="F2367" s="3" t="inlineStr">
        <is>
          <t>ចាប់ពីកាលបរិច្ឆេទ</t>
        </is>
      </c>
      <c r="G2367" s="3" t="n"/>
      <c r="H2367" s="217" t="inlineStr">
        <is>
          <t>"delivery.warehouse.orderStatusReport.fromDate": "ចាប់ពីកាលបរិច្ឆេទ",</t>
        </is>
      </c>
      <c r="I2367" t="inlineStr">
        <is>
          <t>ចាប់ពីកាលបរិច្ឆេទ</t>
        </is>
      </c>
    </row>
    <row r="2368">
      <c r="A2368" s="3" t="inlineStr">
        <is>
          <t>delivery.warehouse.orderStatusReport.notAssigned</t>
        </is>
      </c>
      <c r="B2368" s="3" t="inlineStr">
        <is>
          <t>Bưu cục chưa được phân công</t>
        </is>
      </c>
      <c r="C2368" s="3" t="inlineStr">
        <is>
          <t>Post office not assigned</t>
        </is>
      </c>
      <c r="D2368" s="217">
        <f>IFERROR(__xludf.DUMMYFUNCTION("GOOGLETRANSLATE(C2368,""vi"",""km"")"),"ការិយាល័យប្រៃសណីយ៍មិនត្រូវបានចាត់តាំងទេ")</f>
        <v/>
      </c>
      <c r="E2368" s="3" t="n"/>
      <c r="F2368" s="3" t="inlineStr">
        <is>
          <t>ការិយាល័យប្រៃសណីយ៍មិនត្រូវបានចាត់តាំងទេ</t>
        </is>
      </c>
      <c r="G2368" s="3" t="n"/>
      <c r="H2368" s="217" t="inlineStr">
        <is>
          <t>"delivery.warehouse.orderStatusReport.notAssigned": "ការិយាល័យប្រៃសណីយ៍មិនត្រូវបានចាត់តាំងទេ",</t>
        </is>
      </c>
      <c r="I2368" t="inlineStr">
        <is>
          <t>ការិយាល័យប្រៃសណីយ៍មិនត្រូវបានចាត់តាំងទេ</t>
        </is>
      </c>
    </row>
    <row r="2369">
      <c r="A2369" s="3" t="inlineStr">
        <is>
          <t>delivery.warehouse.orderStatusReport.orderStatusDetailReport</t>
        </is>
      </c>
      <c r="B2369" s="3" t="inlineStr">
        <is>
          <t>Bao cao chi tiet don hang theo trang thai</t>
        </is>
      </c>
      <c r="C2369" s="3" t="inlineStr">
        <is>
          <t>Order status detail report</t>
        </is>
      </c>
      <c r="D2369" s="217">
        <f>IFERROR(__xludf.DUMMYFUNCTION("GOOGLETRANSLATE(C2369,""vi"",""km"")"),"របាយការណ៍លម្អិតអំពីស្ថានភាពបញ្ជាទិញ")</f>
        <v/>
      </c>
      <c r="E2369" s="3" t="n"/>
      <c r="F2369" s="3" t="inlineStr">
        <is>
          <t>របាយការណ៍លម្អិតអំពីស្ថានភាពបញ្ជាទិញ</t>
        </is>
      </c>
      <c r="G2369" s="3" t="n"/>
      <c r="H2369" s="217" t="inlineStr">
        <is>
          <t>"delivery.warehouse.orderStatusReport.orderStatusDetailReport": "របាយការណ៍លម្អិតអំពីស្ថានភាពបញ្ជាទិញ",</t>
        </is>
      </c>
      <c r="I2369" t="inlineStr">
        <is>
          <t>របាយការណ៍លម្អិតអំពីស្ថានភាពបញ្ជាទិញ</t>
        </is>
      </c>
    </row>
    <row r="2370">
      <c r="A2370" s="3" t="inlineStr">
        <is>
          <t>delivery.warehouse.orderStatusReport.receiving</t>
        </is>
      </c>
      <c r="B2370" s="3" t="inlineStr">
        <is>
          <t>Khâu nhận</t>
        </is>
      </c>
      <c r="C2370" s="3" t="inlineStr">
        <is>
          <t>First-mile</t>
        </is>
      </c>
      <c r="D2370" s="217">
        <f>IFERROR(__xludf.DUMMYFUNCTION("GOOGLETRANSLATE(C2370,""vi"",""km"")"),"ម៉ាយល៍ដំបូង")</f>
        <v/>
      </c>
      <c r="E2370" s="3" t="n"/>
      <c r="F2370" s="3" t="inlineStr">
        <is>
          <t>ម៉ាយល៍ដំបូង</t>
        </is>
      </c>
      <c r="G2370" s="3" t="n"/>
      <c r="H2370" s="217" t="inlineStr">
        <is>
          <t>"delivery.warehouse.orderStatusReport.receiving": "ម៉ាយល៍ដំបូង",</t>
        </is>
      </c>
      <c r="I2370" t="inlineStr">
        <is>
          <t>ម៉ាយល៍ដំបូង</t>
        </is>
      </c>
    </row>
    <row r="2371">
      <c r="A2371" s="3" t="inlineStr">
        <is>
          <t>delivery.warehouse.orderStatusReport.route</t>
        </is>
      </c>
      <c r="B2371" s="3" t="inlineStr">
        <is>
          <t>Tuyến</t>
        </is>
      </c>
      <c r="C2371" s="3" t="inlineStr">
        <is>
          <t>Route</t>
        </is>
      </c>
      <c r="D2371" s="217">
        <f>IFERROR(__xludf.DUMMYFUNCTION("GOOGLETRANSLATE(C2371,""vi"",""km"")"),"ផ្លូវ")</f>
        <v/>
      </c>
      <c r="E2371" s="3" t="n"/>
      <c r="F2371" s="3" t="inlineStr">
        <is>
          <t>ផ្លូវ</t>
        </is>
      </c>
      <c r="G2371" s="3" t="n"/>
      <c r="H2371" s="217" t="inlineStr">
        <is>
          <t>"delivery.warehouse.orderStatusReport.route": "ផ្លូវ",</t>
        </is>
      </c>
      <c r="I2371" t="inlineStr">
        <is>
          <t>ផ្លូវ</t>
        </is>
      </c>
    </row>
    <row r="2372">
      <c r="A2372" s="3" t="inlineStr">
        <is>
          <t>delivery.warehouse.orderStatusReport.selectDate</t>
        </is>
      </c>
      <c r="B2372" s="3" t="inlineStr">
        <is>
          <t>Chọn ngày</t>
        </is>
      </c>
      <c r="C2372" s="3" t="inlineStr">
        <is>
          <t>Select time</t>
        </is>
      </c>
      <c r="D2372" s="217">
        <f>IFERROR(__xludf.DUMMYFUNCTION("GOOGLETRANSLATE(C2372,""vi"",""km"")"),"ជ្រើសរើសពេលវេលា")</f>
        <v/>
      </c>
      <c r="E2372" s="3" t="n"/>
      <c r="F2372" s="3" t="inlineStr">
        <is>
          <t>ជ្រើសរើសពេលវេលា</t>
        </is>
      </c>
      <c r="G2372" s="3" t="n"/>
      <c r="H2372" s="217" t="inlineStr">
        <is>
          <t>"delivery.warehouse.orderStatusReport.selectDate": "ជ្រើសរើសពេលវេលា",</t>
        </is>
      </c>
      <c r="I2372" t="inlineStr">
        <is>
          <t>ជ្រើសរើសពេលវេលា</t>
        </is>
      </c>
    </row>
    <row r="2373">
      <c r="A2373" s="3" t="inlineStr">
        <is>
          <t>delivery.warehouse.orderStatusReport.selectPostOffice</t>
        </is>
      </c>
      <c r="B2373" s="3" t="inlineStr">
        <is>
          <t>Chọn bưu cục</t>
        </is>
      </c>
      <c r="C2373" s="3" t="inlineStr">
        <is>
          <t>Select post office</t>
        </is>
      </c>
      <c r="D2373" s="217">
        <f>IFERROR(__xludf.DUMMYFUNCTION("GOOGLETRANSLATE(C2373,""vi"",""km"")"),"ជ្រើសរើសការិយាល័យប្រៃសណីយ៍")</f>
        <v/>
      </c>
      <c r="E2373" s="3" t="n"/>
      <c r="F2373" s="3" t="inlineStr">
        <is>
          <t>ជ្រើសរើសការិយាល័យប្រៃសណីយ៍</t>
        </is>
      </c>
      <c r="G2373" s="3" t="n"/>
      <c r="H2373" s="217" t="inlineStr">
        <is>
          <t>"delivery.warehouse.orderStatusReport.selectPostOffice": "ជ្រើសរើសការិយាល័យប្រៃសណីយ៍",</t>
        </is>
      </c>
      <c r="I2373" t="inlineStr">
        <is>
          <t>ជ្រើសរើសការិយាល័យប្រៃសណីយ៍</t>
        </is>
      </c>
    </row>
    <row r="2374">
      <c r="A2374" s="3" t="inlineStr">
        <is>
          <t>delivery.warehouse.orderStatusReport.sumaryReport</t>
        </is>
      </c>
      <c r="B2374" s="3" t="inlineStr">
        <is>
          <t>Bao cao tong hop don hang</t>
        </is>
      </c>
      <c r="C2374" s="3" t="inlineStr">
        <is>
          <t>Summary report</t>
        </is>
      </c>
      <c r="D2374" s="217">
        <f>IFERROR(__xludf.DUMMYFUNCTION("GOOGLETRANSLATE(C2374,""vi"",""km"")"),"របាយការណ៍សង្ខេប")</f>
        <v/>
      </c>
      <c r="E2374" s="3" t="n"/>
      <c r="F2374" s="3" t="inlineStr">
        <is>
          <t>របាយការណ៍សង្ខេប</t>
        </is>
      </c>
      <c r="G2374" s="3" t="n"/>
      <c r="H2374" s="217" t="inlineStr">
        <is>
          <t>"delivery.warehouse.orderStatusReport.sumaryReport": "របាយការណ៍សង្ខេប",</t>
        </is>
      </c>
      <c r="I2374" t="inlineStr">
        <is>
          <t>របាយការណ៍សង្ខេប</t>
        </is>
      </c>
    </row>
    <row r="2375">
      <c r="A2375" s="3" t="inlineStr">
        <is>
          <t>delivery.warehouse.orderStatusReport.toDate</t>
        </is>
      </c>
      <c r="B2375" s="3" t="inlineStr">
        <is>
          <t>Đến ngày</t>
        </is>
      </c>
      <c r="C2375" s="3" t="inlineStr">
        <is>
          <t>To date</t>
        </is>
      </c>
      <c r="D2375" s="217">
        <f>IFERROR(__xludf.DUMMYFUNCTION("GOOGLETRANSLATE(C2375,""vi"",""km"")"),"រហូតមកដល់បច្ចុប្បន្ន")</f>
        <v/>
      </c>
      <c r="E2375" s="3" t="n"/>
      <c r="F2375" s="3" t="inlineStr">
        <is>
          <t>រហូតមកដល់បច្ចុប្បន្ន</t>
        </is>
      </c>
      <c r="G2375" s="3" t="n"/>
      <c r="H2375" s="217" t="inlineStr">
        <is>
          <t>"delivery.warehouse.orderStatusReport.toDate": "រហូតមកដល់បច្ចុប្បន្ន",</t>
        </is>
      </c>
      <c r="I2375" t="inlineStr">
        <is>
          <t>រហូតមកដល់បច្ចុប្បន្ន</t>
        </is>
      </c>
    </row>
    <row r="2376">
      <c r="A2376" s="3" t="inlineStr">
        <is>
          <t>delivery.warehouse.orderStatusReport.totalFee</t>
        </is>
      </c>
      <c r="B2376" s="3" t="inlineStr">
        <is>
          <t>Tổng cước</t>
        </is>
      </c>
      <c r="C2376" s="3" t="inlineStr">
        <is>
          <t>Total fee</t>
        </is>
      </c>
      <c r="D2376" s="217">
        <f>IFERROR(__xludf.DUMMYFUNCTION("GOOGLETRANSLATE(C2376,""vi"",""km"")"),"ថ្លៃសេវាសរុប")</f>
        <v/>
      </c>
      <c r="E2376" s="3" t="n"/>
      <c r="F2376" s="3" t="inlineStr">
        <is>
          <t>ថ្លៃដឹកជញ្ជូនសរុប</t>
        </is>
      </c>
      <c r="G2376" s="3" t="n"/>
      <c r="H2376" s="217" t="inlineStr">
        <is>
          <t>"delivery.warehouse.orderStatusReport.totalFee": "ថ្លៃដឹកជញ្ជូនសរុប",</t>
        </is>
      </c>
      <c r="I2376" t="inlineStr">
        <is>
          <t>ថ្លៃដឹកជញ្ជូនសរុប</t>
        </is>
      </c>
    </row>
    <row r="2377">
      <c r="A2377" s="3" t="inlineStr">
        <is>
          <t>delivery.warehouse.orderStatusReport.totalOrder</t>
        </is>
      </c>
      <c r="B2377" s="3" t="inlineStr">
        <is>
          <t>Tổng đơn</t>
        </is>
      </c>
      <c r="C2377" s="3" t="inlineStr">
        <is>
          <t>Total number of order</t>
        </is>
      </c>
      <c r="D2377" s="217">
        <f>IFERROR(__xludf.DUMMYFUNCTION("GOOGLETRANSLATE(C2377,""vi"",""km"")"),"ចំនួនសរុបនៃការបញ្ជាទិញ")</f>
        <v/>
      </c>
      <c r="E2377" s="3" t="n"/>
      <c r="F2377" s="3" t="inlineStr">
        <is>
          <t>ចំនួនសរុបនៃការបញ្ជាទិញ</t>
        </is>
      </c>
      <c r="G2377" s="3" t="n"/>
      <c r="H2377" s="217" t="inlineStr">
        <is>
          <t>"delivery.warehouse.orderStatusReport.totalOrder": "ចំនួនសរុបនៃការបញ្ជាទិញ",</t>
        </is>
      </c>
      <c r="I2377" t="inlineStr">
        <is>
          <t>ចំនួនសរុបនៃការបញ្ជាទិញ</t>
        </is>
      </c>
    </row>
    <row r="2378">
      <c r="A2378" s="3" t="inlineStr">
        <is>
          <t>delivery.warehouse.orderStatusReport.transit</t>
        </is>
      </c>
      <c r="B2378" s="3" t="inlineStr">
        <is>
          <t>Khâu trung chuyển</t>
        </is>
      </c>
      <c r="C2378" s="3" t="inlineStr">
        <is>
          <t>Middle-mile</t>
        </is>
      </c>
      <c r="D2378" s="217">
        <f>IFERROR(__xludf.DUMMYFUNCTION("GOOGLETRANSLATE(C2378,""vi"",""km"")"),"ម៉ាយល៍កណ្តាល")</f>
        <v/>
      </c>
      <c r="E2378" s="3" t="n"/>
      <c r="F2378" s="3" t="inlineStr">
        <is>
          <t>ម៉ាយល៍កណ្តាល</t>
        </is>
      </c>
      <c r="G2378" s="3" t="n"/>
      <c r="H2378" s="217" t="inlineStr">
        <is>
          <t>"delivery.warehouse.orderStatusReport.transit": "ម៉ាយល៍កណ្តាល",</t>
        </is>
      </c>
      <c r="I2378" t="inlineStr">
        <is>
          <t>ម៉ាយល៍កណ្តាល</t>
        </is>
      </c>
    </row>
    <row r="2379">
      <c r="A2379" s="3" t="inlineStr">
        <is>
          <t>delivery.warehouse.outstandingDebtReport.CODOutstandingDebt</t>
        </is>
      </c>
      <c r="B2379" s="3" t="inlineStr">
        <is>
          <t>Công nợ COD bưu tá</t>
        </is>
      </c>
      <c r="C2379" s="3" t="inlineStr">
        <is>
          <t>COD</t>
        </is>
      </c>
      <c r="D2379" s="217">
        <f>IFERROR(__xludf.DUMMYFUNCTION("GOOGLETRANSLATE(C2379,""vi"",""km"")"),"ប្រតិបត្តិការ​ទូទាត់​ថ្លៃ​សេវា​ (COD)")</f>
        <v/>
      </c>
      <c r="E2379" s="3" t="n"/>
      <c r="F2379" s="3" t="inlineStr">
        <is>
          <t>ប្រតិបត្តិការទូទាត់ថ្លៃសេវា (COD)</t>
        </is>
      </c>
      <c r="G2379" s="3" t="n"/>
      <c r="H2379" s="217" t="inlineStr">
        <is>
          <t>"delivery.warehouse.outstandingDebtReport.CODOutstandingDebt": "ប្រតិបត្តិការទូទាត់ថ្លៃសេវា (COD)",</t>
        </is>
      </c>
      <c r="I2379" t="inlineStr">
        <is>
          <t>ប្រតិបត្តិការទូទាត់ថ្លៃសេវា (COD)</t>
        </is>
      </c>
    </row>
    <row r="2380">
      <c r="A2380" s="3" t="inlineStr">
        <is>
          <t>delivery.warehouse.outstandingDebtReport.FeeOutstandingDebt</t>
        </is>
      </c>
      <c r="B2380" s="3" t="inlineStr">
        <is>
          <t>Công nợ cước bưu tá</t>
        </is>
      </c>
      <c r="C2380" s="3" t="inlineStr">
        <is>
          <t>Postman fee</t>
        </is>
      </c>
      <c r="D2380" s="217">
        <f>IFERROR(__xludf.DUMMYFUNCTION("GOOGLETRANSLATE(C2380,""vi"",""km"")"),"ថ្លៃសេវាអ្នកប្រៃសណីយ៍")</f>
        <v/>
      </c>
      <c r="E2380" s="3" t="n"/>
      <c r="F2380" s="3" t="inlineStr">
        <is>
          <t>ថ្លៃសេវាអ្នកប្រៃសណីយ៍</t>
        </is>
      </c>
      <c r="G2380" s="3" t="n"/>
      <c r="H2380" s="217" t="inlineStr">
        <is>
          <t>"delivery.warehouse.outstandingDebtReport.FeeOutstandingDebt": "ថ្លៃសេវាអ្នកប្រៃសណីយ៍",</t>
        </is>
      </c>
      <c r="I2380" t="inlineStr">
        <is>
          <t>ថ្លៃសេវាអ្នកប្រៃសណីយ៍</t>
        </is>
      </c>
    </row>
    <row r="2381">
      <c r="A2381" s="3" t="inlineStr">
        <is>
          <t>delivery.warehouse.outstandingDebtReport.branch</t>
        </is>
      </c>
      <c r="B2381" s="3" t="inlineStr">
        <is>
          <t>Chi nhánh</t>
        </is>
      </c>
      <c r="C2381" s="3" t="inlineStr">
        <is>
          <t>Branch</t>
        </is>
      </c>
      <c r="D2381" s="217">
        <f>IFERROR(__xludf.DUMMYFUNCTION("GOOGLETRANSLATE(C2381,""vi"",""km"")"),"គ្រួសារ")</f>
        <v/>
      </c>
      <c r="E2381" s="3" t="n"/>
      <c r="F2381" s="3" t="inlineStr">
        <is>
          <t>សាខា</t>
        </is>
      </c>
      <c r="G2381" s="3" t="n"/>
      <c r="H2381" s="217" t="inlineStr">
        <is>
          <t>"delivery.warehouse.outstandingDebtReport.branch": "សាខា",</t>
        </is>
      </c>
      <c r="I2381" t="inlineStr">
        <is>
          <t>សាខា</t>
        </is>
      </c>
    </row>
    <row r="2382">
      <c r="A2382" s="3" t="inlineStr">
        <is>
          <t>delivery.warehouse.outstandingDebtReport.branchPlaceholder</t>
        </is>
      </c>
      <c r="B2382" s="3" t="inlineStr">
        <is>
          <t>Chọn chi nhánh</t>
        </is>
      </c>
      <c r="C2382" s="3" t="inlineStr">
        <is>
          <t>Select branch</t>
        </is>
      </c>
      <c r="D2382" s="217">
        <f>IFERROR(__xludf.DUMMYFUNCTION("GOOGLETRANSLATE(C2382,""vi"",""km"")"),"ជ្រើសរើសទ្រូង")</f>
        <v/>
      </c>
      <c r="E2382" s="3" t="n"/>
      <c r="F2382" s="3" t="inlineStr">
        <is>
          <t>ជ្រើសរើសទ្រូង</t>
        </is>
      </c>
      <c r="G2382" s="3" t="n"/>
      <c r="H2382" s="217" t="inlineStr">
        <is>
          <t>"delivery.warehouse.outstandingDebtReport.branchPlaceholder": "ជ្រើសរើសទ្រូង",</t>
        </is>
      </c>
      <c r="I2382" t="inlineStr">
        <is>
          <t>ជ្រើសរើសទ្រូង</t>
        </is>
      </c>
    </row>
    <row r="2383">
      <c r="A2383" s="3" t="inlineStr">
        <is>
          <t>delivery.warehouse.outstandingDebtReport.collection</t>
        </is>
      </c>
      <c r="B2383" s="3" t="inlineStr">
        <is>
          <t>Tiền thu hộ</t>
        </is>
      </c>
      <c r="C2383" s="3" t="inlineStr">
        <is>
          <t>COD</t>
        </is>
      </c>
      <c r="D2383" s="217">
        <f>IFERROR(__xludf.DUMMYFUNCTION("GOOGLETRANSLATE(C2383,""vi"",""km"")"),"ប្រតិបត្តិការ​ទូទាត់​ថ្លៃ​សេវា​ (COD)")</f>
        <v/>
      </c>
      <c r="E2383" s="3" t="n"/>
      <c r="F2383" s="3" t="inlineStr">
        <is>
          <t>ប្រាក់ប្រមូលជំនួស (COD)</t>
        </is>
      </c>
      <c r="G2383" s="3" t="n"/>
      <c r="H2383" s="217" t="inlineStr">
        <is>
          <t>"delivery.warehouse.outstandingDebtReport.collection": "ប្រាក់ប្រមូលជំនួស (COD)",</t>
        </is>
      </c>
      <c r="I2383" t="inlineStr">
        <is>
          <t>ប្រាក់ប្រមូលជំនួស (COD)</t>
        </is>
      </c>
    </row>
    <row r="2384">
      <c r="A2384" s="3" t="inlineStr">
        <is>
          <t>delivery.warehouse.outstandingDebtReport.collectionCOD</t>
        </is>
      </c>
      <c r="B2384" s="3" t="inlineStr">
        <is>
          <t>Tiền COD ({{ unit }})</t>
        </is>
      </c>
      <c r="C2384" s="3" t="inlineStr">
        <is>
          <t>COD amount ({{ unit }})</t>
        </is>
      </c>
      <c r="D2384" s="217">
        <f>IFERROR(__xludf.DUMMYFUNCTION("GOOGLETRANSLATE(C2384,""vi"",""km"")"),"ចំនួនទឹកប្រាក់ COD ({{ unit }})")</f>
        <v/>
      </c>
      <c r="E2384" s="3" t="n"/>
      <c r="F2384" s="3" t="inlineStr">
        <is>
          <t>ចំនួនទឹកប្រាក់ COD ({{ unit }})</t>
        </is>
      </c>
      <c r="G2384" s="3" t="n"/>
      <c r="H2384" s="217" t="inlineStr">
        <is>
          <t>"delivery.warehouse.outstandingDebtReport.collectionCOD": "ចំនួនទឹកប្រាក់ COD ({{ unit }})",</t>
        </is>
      </c>
      <c r="I2384" t="inlineStr">
        <is>
          <t>ចំនួនទឹកប្រាក់ COD ({{ unit }})</t>
        </is>
      </c>
    </row>
    <row r="2385">
      <c r="A2385" s="3" t="inlineStr">
        <is>
          <t>delivery.warehouse.outstandingDebtReport.company</t>
        </is>
      </c>
      <c r="B2385" s="3" t="inlineStr">
        <is>
          <t>Công ty</t>
        </is>
      </c>
      <c r="C2385" s="3" t="inlineStr">
        <is>
          <t>Company</t>
        </is>
      </c>
      <c r="D2385" s="217">
        <f>IFERROR(__xludf.DUMMYFUNCTION("GOOGLETRANSLATE(C2385,""vi"",""km"")"),"ក្រុមហ៊ុន")</f>
        <v/>
      </c>
      <c r="E2385" s="3" t="n"/>
      <c r="F2385" s="3" t="inlineStr">
        <is>
          <t>ក្រុមហ៊ុន</t>
        </is>
      </c>
      <c r="G2385" s="3" t="n"/>
      <c r="H2385" s="217" t="inlineStr">
        <is>
          <t>"delivery.warehouse.outstandingDebtReport.company": "ក្រុមហ៊ុន",</t>
        </is>
      </c>
      <c r="I2385" t="inlineStr">
        <is>
          <t>ក្រុមហ៊ុន</t>
        </is>
      </c>
    </row>
    <row r="2386">
      <c r="A2386" s="3" t="inlineStr">
        <is>
          <t>delivery.warehouse.outstandingDebtReport.createAt</t>
        </is>
      </c>
      <c r="B2386" s="3" t="inlineStr">
        <is>
          <t>Ngày tạo</t>
        </is>
      </c>
      <c r="C2386" s="3" t="inlineStr">
        <is>
          <t>Created at</t>
        </is>
      </c>
      <c r="D2386" s="217">
        <f>IFERROR(__xludf.DUMMYFUNCTION("GOOGLETRANSLATE(C2386,""vi"",""km"")"),"បង្កើតឡើងនៅ")</f>
        <v/>
      </c>
      <c r="E2386" s="3" t="n"/>
      <c r="F2386" s="3" t="inlineStr">
        <is>
          <t>កាលបរិច្ឆេទបង្កើត</t>
        </is>
      </c>
      <c r="G2386" s="3" t="n"/>
      <c r="H2386" s="217" t="inlineStr">
        <is>
          <t>"delivery.warehouse.outstandingDebtReport.createAt": "កាលបរិច្ឆេទបង្កើត",</t>
        </is>
      </c>
      <c r="I2386" t="inlineStr">
        <is>
          <t>កាលបរិច្ឆេទបង្កើត</t>
        </is>
      </c>
    </row>
    <row r="2387">
      <c r="A2387" s="3" t="inlineStr">
        <is>
          <t>delivery.warehouse.outstandingDebtReport.customer</t>
        </is>
      </c>
      <c r="B2387" s="3" t="inlineStr">
        <is>
          <t>Khách hàng</t>
        </is>
      </c>
      <c r="C2387" s="3" t="inlineStr">
        <is>
          <t>Customer</t>
        </is>
      </c>
      <c r="D2387" s="217">
        <f>IFERROR(__xludf.DUMMYFUNCTION("GOOGLETRANSLATE(C2387,""vi"",""km"")"),"បុគ្គលិកលក្ខណៈ")</f>
        <v/>
      </c>
      <c r="E2387" s="3" t="n"/>
      <c r="F2387" s="3" t="inlineStr">
        <is>
          <t>បុគ្គលិកលក្ខណៈ</t>
        </is>
      </c>
      <c r="G2387" s="3" t="n"/>
      <c r="H2387" s="217" t="inlineStr">
        <is>
          <t>"delivery.warehouse.outstandingDebtReport.customer": "បុគ្គលិកលក្ខណៈ",</t>
        </is>
      </c>
      <c r="I2387" t="inlineStr">
        <is>
          <t>បុគ្គលិកលក្ខណៈ</t>
        </is>
      </c>
    </row>
    <row r="2388">
      <c r="A2388" s="3" t="inlineStr">
        <is>
          <t>delivery.warehouse.outstandingDebtReport.customerFeeOutstandingDebt</t>
        </is>
      </c>
      <c r="B2388" s="3" t="inlineStr">
        <is>
          <t>Công nợ cước khách hàng</t>
        </is>
      </c>
      <c r="C2388" s="3" t="inlineStr">
        <is>
          <t>Customer fee</t>
        </is>
      </c>
      <c r="D2388" s="217">
        <f>IFERROR(__xludf.DUMMYFUNCTION("GOOGLETRANSLATE(C2388,""vi"",""km"")"),"ថ្លៃសេវាអតិថិជន")</f>
        <v/>
      </c>
      <c r="E2388" s="3" t="n"/>
      <c r="F2388" s="3" t="inlineStr">
        <is>
          <t>ថ្លៃសេវាអតិថិជន</t>
        </is>
      </c>
      <c r="G2388" s="3" t="n"/>
      <c r="H2388" s="217" t="inlineStr">
        <is>
          <t>"delivery.warehouse.outstandingDebtReport.customerFeeOutstandingDebt": "ថ្លៃសេវាអតិថិជន",</t>
        </is>
      </c>
      <c r="I2388" t="inlineStr">
        <is>
          <t>ថ្លៃសេវាអតិថិជន</t>
        </is>
      </c>
    </row>
    <row r="2389">
      <c r="A2389" s="3" t="inlineStr">
        <is>
          <t>delivery.warehouse.outstandingDebtReport.customerTotal</t>
        </is>
      </c>
      <c r="B2389" s="3" t="inlineStr">
        <is>
          <t>Tổng số KH</t>
        </is>
      </c>
      <c r="C2389" s="3" t="inlineStr">
        <is>
          <t>Total customers</t>
        </is>
      </c>
      <c r="D2389" s="217">
        <f>IFERROR(__xludf.DUMMYFUNCTION("GOOGLETRANSLATE(C2389,""vi"",""km"")"),"អតិថិជនសរុប")</f>
        <v/>
      </c>
      <c r="E2389" s="3" t="n"/>
      <c r="F2389" s="3" t="inlineStr">
        <is>
          <t>អតិថិជនសរុប</t>
        </is>
      </c>
      <c r="G2389" s="3" t="n"/>
      <c r="H2389" s="217" t="inlineStr">
        <is>
          <t>"delivery.warehouse.outstandingDebtReport.customerTotal": "អតិថិជនសរុប",</t>
        </is>
      </c>
      <c r="I2389" t="inlineStr">
        <is>
          <t>អតិថិជនសរុប</t>
        </is>
      </c>
    </row>
    <row r="2390">
      <c r="A2390" s="3" t="inlineStr">
        <is>
          <t>delivery.warehouse.outstandingDebtReport.dateN</t>
        </is>
      </c>
      <c r="B2390" s="3" t="inlineStr">
        <is>
          <t>Ngày N</t>
        </is>
      </c>
      <c r="C2390" s="3" t="inlineStr">
        <is>
          <t>Date N</t>
        </is>
      </c>
      <c r="D2390" s="217">
        <f>IFERROR(__xludf.DUMMYFUNCTION("GOOGLETRANSLATE(C2390,""vi"",""km"")"),"កាលបរិច្ឆេទ N")</f>
        <v/>
      </c>
      <c r="E2390" s="3" t="n"/>
      <c r="F2390" s="3" t="inlineStr">
        <is>
          <t>កាលបរិច្ឆេទ N</t>
        </is>
      </c>
      <c r="G2390" s="3" t="n"/>
      <c r="H2390" s="217" t="inlineStr">
        <is>
          <t>"delivery.warehouse.outstandingDebtReport.dateN": "កាលបរិច្ឆេទ N",</t>
        </is>
      </c>
      <c r="I2390" t="inlineStr">
        <is>
          <t>កាលបរិច្ឆេទ N</t>
        </is>
      </c>
    </row>
    <row r="2391">
      <c r="A2391" s="3" t="inlineStr">
        <is>
          <t>delivery.warehouse.outstandingDebtReport.dateN1</t>
        </is>
      </c>
      <c r="B2391" s="3" t="inlineStr">
        <is>
          <t>Ngày N - 1</t>
        </is>
      </c>
      <c r="C2391" s="3" t="inlineStr">
        <is>
          <t>Date N - 1</t>
        </is>
      </c>
      <c r="D2391" s="217">
        <f>IFERROR(__xludf.DUMMYFUNCTION("GOOGLETRANSLATE(C2391,""vi"",""km"")"),"កាលបរិច្ឆេទ N - 1")</f>
        <v/>
      </c>
      <c r="E2391" s="3" t="n"/>
      <c r="F2391" s="3" t="inlineStr">
        <is>
          <t>កាលបរិច្ឆេទ N - 1</t>
        </is>
      </c>
      <c r="G2391" s="3" t="n"/>
      <c r="H2391" s="217" t="inlineStr">
        <is>
          <t>"delivery.warehouse.outstandingDebtReport.dateN1": "កាលបរិច្ឆេទ N - 1",</t>
        </is>
      </c>
      <c r="I2391" t="inlineStr">
        <is>
          <t>កាលបរិច្ឆេទ N - 1</t>
        </is>
      </c>
    </row>
    <row r="2392">
      <c r="A2392" s="3" t="inlineStr">
        <is>
          <t>delivery.warehouse.outstandingDebtReport.dateN2</t>
        </is>
      </c>
      <c r="B2392" s="3" t="inlineStr">
        <is>
          <t>Ngày N - 2...</t>
        </is>
      </c>
      <c r="C2392" s="3" t="inlineStr">
        <is>
          <t>Date N - 2...</t>
        </is>
      </c>
      <c r="D2392" s="217">
        <f>IFERROR(__xludf.DUMMYFUNCTION("GOOGLETRANSLATE(C2392,""vi"",""km"")"),"កាលបរិច្ឆេទ N - 2...")</f>
        <v/>
      </c>
      <c r="E2392" s="3" t="n"/>
      <c r="F2392" s="3" t="inlineStr">
        <is>
          <t>កាលបរិច្ឆេទ N - 2...</t>
        </is>
      </c>
      <c r="G2392" s="3" t="n"/>
      <c r="H2392" s="217" t="inlineStr">
        <is>
          <t>"delivery.warehouse.outstandingDebtReport.dateN2": "កាលបរិច្ឆេទ N - 2...",</t>
        </is>
      </c>
      <c r="I2392" t="inlineStr">
        <is>
          <t>កាលបរិច្ឆេទ N - 2...</t>
        </is>
      </c>
    </row>
    <row r="2393">
      <c r="A2393" s="3" t="inlineStr">
        <is>
          <t>delivery.warehouse.outstandingDebtReport.dateOfOccurrence</t>
        </is>
      </c>
      <c r="B2393" s="3" t="inlineStr">
        <is>
          <t>Ngày phát sinh</t>
        </is>
      </c>
      <c r="C2393" s="3" t="inlineStr">
        <is>
          <t>Occurrence date</t>
        </is>
      </c>
      <c r="D2393" s="217">
        <f>IFERROR(__xludf.DUMMYFUNCTION("GOOGLETRANSLATE(C2393,""vi"",""km"")"),"កាលបរិច្ឆេទកើតឡើង")</f>
        <v/>
      </c>
      <c r="E2393" s="3" t="n"/>
      <c r="F2393" s="3" t="inlineStr">
        <is>
          <t>កាលបរិច្ឆេទកើតឡើង</t>
        </is>
      </c>
      <c r="G2393" s="3" t="n"/>
      <c r="H2393" s="217" t="inlineStr">
        <is>
          <t>"delivery.warehouse.outstandingDebtReport.dateOfOccurrence": "កាលបរិច្ឆេទកើតឡើង",</t>
        </is>
      </c>
      <c r="I2393" t="inlineStr">
        <is>
          <t>កាលបរិច្ឆេទកើតឡើង</t>
        </is>
      </c>
    </row>
    <row r="2394">
      <c r="A2394" s="3" t="inlineStr">
        <is>
          <t>delivery.warehouse.outstandingDebtReport.datePtc</t>
        </is>
      </c>
      <c r="B2394" s="3" t="inlineStr">
        <is>
          <t>Ngày phát thành công</t>
        </is>
      </c>
      <c r="C2394" s="3" t="inlineStr">
        <is>
          <t>Successful delivery date</t>
        </is>
      </c>
      <c r="D2394" s="217">
        <f>IFERROR(__xludf.DUMMYFUNCTION("GOOGLETRANSLATE(C2394,""vi"",""km"")"),"កាលបរិច្ឆេទដឹកជញ្ជូនជោគជ័យ")</f>
        <v/>
      </c>
      <c r="E2394" s="3" t="n"/>
      <c r="F2394" s="3" t="inlineStr">
        <is>
          <t>កាលបរិច្ឆេទដឹកជញ្ជូនជោគជ័យ</t>
        </is>
      </c>
      <c r="G2394" s="3" t="n"/>
      <c r="H2394" s="217" t="inlineStr">
        <is>
          <t>"delivery.warehouse.outstandingDebtReport.datePtc": "កាលបរិច្ឆេទដឹកជញ្ជូនជោគជ័យ",</t>
        </is>
      </c>
      <c r="I2394" t="inlineStr">
        <is>
          <t>កាលបរិច្ឆេទដឹកជញ្ជូនជោគជ័យ</t>
        </is>
      </c>
    </row>
    <row r="2395">
      <c r="A2395" s="3" t="inlineStr">
        <is>
          <t>delivery.warehouse.outstandingDebtReport.detailBranchInfo</t>
        </is>
      </c>
      <c r="B2395" s="3" t="inlineStr">
        <is>
          <t>Thông tin chi tiết của chi nhánh: {{ branchCode }}</t>
        </is>
      </c>
      <c r="C2395" s="3" t="inlineStr">
        <is>
          <t>Branch detail information: {{ branchCode }}</t>
        </is>
      </c>
      <c r="D2395" s="217">
        <f>IFERROR(__xludf.DUMMYFUNCTION("GOOGLETRANSLATE(C2395,""vi"",""km"")"),"ព័ត៌មានលម្អិតអំពីសាខា៖ {{ branchCode }}")</f>
        <v/>
      </c>
      <c r="E2395" s="3" t="n"/>
      <c r="F2395" s="3" t="inlineStr">
        <is>
          <t>ព័ត៌មានលម្អិតអំពីសាខា៖ {{ branchCode }}</t>
        </is>
      </c>
      <c r="G2395" s="3" t="n"/>
      <c r="H2395" s="217" t="inlineStr">
        <is>
          <t>"delivery.warehouse.outstandingDebtReport.detailBranchInfo": "ព័ត៌មានលម្អិតអំពីសាខា៖ {{ branchCode }}",</t>
        </is>
      </c>
      <c r="I2395" t="inlineStr">
        <is>
          <t>ព័ត៌មានលម្អិតអំពីសាខា៖ {{ branchCode }}</t>
        </is>
      </c>
    </row>
    <row r="2396">
      <c r="A2396" s="3" t="inlineStr">
        <is>
          <t>delivery.warehouse.outstandingDebtReport.detailCustomer</t>
        </is>
      </c>
      <c r="B2396" s="3" t="inlineStr">
        <is>
          <t>Chi tiết đơn thu cước khách hàng: {{ name }}</t>
        </is>
      </c>
      <c r="C2396" s="3" t="inlineStr">
        <is>
          <t>Fee receivable order details of customer: {{ name }}</t>
        </is>
      </c>
      <c r="D2396" s="217">
        <f>IFERROR(__xludf.DUMMYFUNCTION("GOOGLETRANSLATE(C2396,""vi"",""km"")"),"ព័ត៌មានលម្អិតនៃការបញ្ជាទិញថ្លៃសេវាដែលត្រូវទទួលរបស់អតិថិជន៖ {{ name }}")</f>
        <v/>
      </c>
      <c r="E2396" s="3" t="n"/>
      <c r="F2396" s="3" t="inlineStr">
        <is>
          <t>ព័ត៌មានលម្អិតនៃការបញ្ជាទិញថ្លៃសេវាដែលត្រូវទទួលរបស់អតិថិជន៖ {{ name }}</t>
        </is>
      </c>
      <c r="G2396" s="3" t="n"/>
      <c r="H2396" s="217" t="inlineStr">
        <is>
          <t>"delivery.warehouse.outstandingDebtReport.detailCustomer": "ព័ត៌មានលម្អិតនៃការបញ្ជាទិញថ្លៃសេវាដែលត្រូវទទួលរបស់អតិថិជន៖ {{ name }}",</t>
        </is>
      </c>
      <c r="I2396" t="inlineStr">
        <is>
          <t>ព័ត៌មានលម្អិតនៃការបញ្ជាទិញថ្លៃសេវាដែលត្រូវទទួលរបស់អតិថិជន៖ {{ name }}</t>
        </is>
      </c>
    </row>
    <row r="2397">
      <c r="A2397" s="3" t="inlineStr">
        <is>
          <t>delivery.warehouse.outstandingDebtReport.detailCustomerCod</t>
        </is>
      </c>
      <c r="B2397" s="3" t="inlineStr">
        <is>
          <t>Chi tiết đơn thu COD bưu tá: {{ name }}</t>
        </is>
      </c>
      <c r="C2397" s="3" t="inlineStr">
        <is>
          <t>COD receivable order details of postman: {{ name }}</t>
        </is>
      </c>
      <c r="D2397" s="217">
        <f>IFERROR(__xludf.DUMMYFUNCTION("GOOGLETRANSLATE(C2397,""vi"",""km"")"),"ព័ត៌មានលម្អិតនៃការបញ្ជាទិញ COD របស់អ្នកប្រៃសណីយ៍៖ {{ name }}")</f>
        <v/>
      </c>
      <c r="E2397" s="3" t="n"/>
      <c r="F2397" s="3" t="inlineStr">
        <is>
          <t>ព័ត៌មានលម្អិតនៃការបញ្ជាទិញ COD របស់អ្នកប្រៃសណីយ៍៖ {{ name }}</t>
        </is>
      </c>
      <c r="G2397" s="3" t="n"/>
      <c r="H2397" s="217" t="inlineStr">
        <is>
          <t>"delivery.warehouse.outstandingDebtReport.detailCustomerCod": "ព័ត៌មានលម្អិតនៃការបញ្ជាទិញ COD របស់អ្នកប្រៃសណីយ៍៖ {{ name }}",</t>
        </is>
      </c>
      <c r="I2397" t="inlineStr">
        <is>
          <t>ព័ត៌មានលម្អិតនៃការបញ្ជាទិញ COD របស់អ្នកប្រៃសណីយ៍៖ {{ name }}</t>
        </is>
      </c>
    </row>
    <row r="2398">
      <c r="A2398" s="3" t="inlineStr">
        <is>
          <t>delivery.warehouse.outstandingDebtReport.detailCustomerFee</t>
        </is>
      </c>
      <c r="B2398" s="3" t="inlineStr">
        <is>
          <t>Chi tiết đơn thu cước bưu tá: {{ name }}</t>
        </is>
      </c>
      <c r="C2398" s="3" t="inlineStr">
        <is>
          <t>Fee receivable order details of postman: {{ name }}</t>
        </is>
      </c>
      <c r="D2398" s="217">
        <f>IFERROR(__xludf.DUMMYFUNCTION("GOOGLETRANSLATE(C2398,""vi"",""km"")"),"ព័ត៌មានលម្អិតអំពីការបញ្ជាទិញថ្លៃសេវារបស់អ្នកប្រៃសណីយ៍៖ {{ name }}")</f>
        <v/>
      </c>
      <c r="E2398" s="3" t="n"/>
      <c r="F2398" s="3" t="inlineStr">
        <is>
          <t>ព័ត៌មានលម្អិតអំពីការបញ្ជាទិញថ្លៃសេវារបស់អ្នកប្រៃសណីយ៍៖ {{ name }}</t>
        </is>
      </c>
      <c r="G2398" s="3" t="n"/>
      <c r="H2398" s="217" t="inlineStr">
        <is>
          <t>"delivery.warehouse.outstandingDebtReport.detailCustomerFee": "ព័ត៌មានលម្អិតអំពីការបញ្ជាទិញថ្លៃសេវារបស់អ្នកប្រៃសណីយ៍៖ {{ name }}",</t>
        </is>
      </c>
      <c r="I2398" t="inlineStr">
        <is>
          <t>ព័ត៌មានលម្អិតអំពីការបញ្ជាទិញថ្លៃសេវារបស់អ្នកប្រៃសណីយ៍៖ {{ name }}</t>
        </is>
      </c>
    </row>
    <row r="2399">
      <c r="A2399" s="3" t="inlineStr">
        <is>
          <t>delivery.warehouse.outstandingDebtReport.detailPostInfo</t>
        </is>
      </c>
      <c r="B2399" s="3" t="inlineStr">
        <is>
          <t>Thông tin chi tiết bưu cục: {{ postCode }}</t>
        </is>
      </c>
      <c r="C2399" s="3" t="inlineStr">
        <is>
          <t>Post office detail information: {{ postCode }}</t>
        </is>
      </c>
      <c r="D2399" s="217">
        <f>IFERROR(__xludf.DUMMYFUNCTION("GOOGLETRANSLATE(C2399,""vi"",""km"")"),"ព័ត៌មានលម្អិតអំពីការិយាល័យប្រៃសណីយ៍៖ {{ postCode }}")</f>
        <v/>
      </c>
      <c r="E2399" s="3" t="n"/>
      <c r="F2399" s="3" t="inlineStr">
        <is>
          <t>ព័ត៌មានលម្អិតអំពីការិយាល័យប្រៃសណីយ៍៖ {{ postCode }}</t>
        </is>
      </c>
      <c r="G2399" s="3" t="n"/>
      <c r="H2399" s="217" t="inlineStr">
        <is>
          <t>"delivery.warehouse.outstandingDebtReport.detailPostInfo": "ព័ត៌មានលម្អិតអំពីការិយាល័យប្រៃសណីយ៍៖ {{ postCode }}",</t>
        </is>
      </c>
      <c r="I2399" t="inlineStr">
        <is>
          <t>ព័ត៌មានលម្អិតអំពីការិយាល័យប្រៃសណីយ៍៖ {{ postCode }}</t>
        </is>
      </c>
    </row>
    <row r="2400">
      <c r="A2400" s="3" t="inlineStr">
        <is>
          <t>delivery.warehouse.outstandingDebtReport.employee</t>
        </is>
      </c>
      <c r="B2400" s="3" t="inlineStr">
        <is>
          <t>Tuyến bưu tá</t>
        </is>
      </c>
      <c r="C2400" s="3" t="inlineStr">
        <is>
          <t>Employee</t>
        </is>
      </c>
      <c r="D2400" s="217">
        <f>IFERROR(__xludf.DUMMYFUNCTION("GOOGLETRANSLATE(C2400,""vi"",""km"")"),"បុគ្គលិក")</f>
        <v/>
      </c>
      <c r="E2400" s="3" t="n"/>
      <c r="F2400" s="3" t="inlineStr">
        <is>
          <t>បុគ្គលិក</t>
        </is>
      </c>
      <c r="G2400" s="3" t="n"/>
      <c r="H2400" s="217" t="inlineStr">
        <is>
          <t>"delivery.warehouse.outstandingDebtReport.employee": "បុគ្គលិក",</t>
        </is>
      </c>
      <c r="I2400" t="inlineStr">
        <is>
          <t>បុគ្គលិក</t>
        </is>
      </c>
    </row>
    <row r="2401">
      <c r="A2401" s="3" t="inlineStr">
        <is>
          <t>delivery.warehouse.outstandingDebtReport.exportDetail</t>
        </is>
      </c>
      <c r="B2401" s="3" t="inlineStr">
        <is>
          <t>Xuất chi tiết</t>
        </is>
      </c>
      <c r="C2401" s="3" t="inlineStr">
        <is>
          <t>Export details</t>
        </is>
      </c>
      <c r="D2401" s="217">
        <f>IFERROR(__xludf.DUMMYFUNCTION("GOOGLETRANSLATE(C2401,""vi"",""km"")"),"នាំចេញព័ត៌មានលម្អិត")</f>
        <v/>
      </c>
      <c r="E2401" s="3" t="n"/>
      <c r="F2401" s="3" t="inlineStr">
        <is>
          <t>នាំចេញព័ត៌មានលម្អិត</t>
        </is>
      </c>
      <c r="G2401" s="3" t="n"/>
      <c r="H2401" s="217" t="inlineStr">
        <is>
          <t>"delivery.warehouse.outstandingDebtReport.exportDetail": "នាំចេញព័ត៌មានលម្អិត",</t>
        </is>
      </c>
      <c r="I2401" t="inlineStr">
        <is>
          <t>នាំចេញព័ត៌មានលម្អិត</t>
        </is>
      </c>
    </row>
    <row r="2402">
      <c r="A2402" s="3" t="inlineStr">
        <is>
          <t>delivery.warehouse.outstandingDebtReport.exportExcel</t>
        </is>
      </c>
      <c r="B2402" s="3" t="inlineStr">
        <is>
          <t>Xuất Excel</t>
        </is>
      </c>
      <c r="C2402" s="3" t="inlineStr">
        <is>
          <t>Export Excel</t>
        </is>
      </c>
      <c r="D2402" s="217">
        <f>IFERROR(__xludf.DUMMYFUNCTION("GOOGLETRANSLATE(C2402,""vi"",""km"")"),"រីករាលដាល Excel")</f>
        <v/>
      </c>
      <c r="E2402" s="3" t="n"/>
      <c r="F2402" s="3" t="inlineStr">
        <is>
          <t>រីករាលដាល Excel</t>
        </is>
      </c>
      <c r="G2402" s="3" t="n"/>
      <c r="H2402" s="217" t="inlineStr">
        <is>
          <t>"delivery.warehouse.outstandingDebtReport.exportExcel": "រីករាលដាល Excel",</t>
        </is>
      </c>
      <c r="I2402" t="inlineStr">
        <is>
          <t>រីករាលដាល Excel</t>
        </is>
      </c>
    </row>
    <row r="2403">
      <c r="A2403" s="3" t="inlineStr">
        <is>
          <t>delivery.warehouse.outstandingDebtReport.fee</t>
        </is>
      </c>
      <c r="B2403" s="3" t="inlineStr">
        <is>
          <t>Tiền cước ({{ unit }})</t>
        </is>
      </c>
      <c r="C2403" s="3" t="inlineStr">
        <is>
          <t>Fee amount ({{ unit }})</t>
        </is>
      </c>
      <c r="D2403" s="217">
        <f>IFERROR(__xludf.DUMMYFUNCTION("GOOGLETRANSLATE(C2403,""vi"",""km"")"),"ចំនួនទឹកប្រាក់ថ្លៃសេវា ({{ unit }})")</f>
        <v/>
      </c>
      <c r="E2403" s="3" t="n"/>
      <c r="F2403" s="3" t="inlineStr">
        <is>
          <t>ចំនួនទឹកប្រាក់ថ្លៃសេវា ({{ unit }})</t>
        </is>
      </c>
      <c r="G2403" s="3" t="n"/>
      <c r="H2403" s="217" t="inlineStr">
        <is>
          <t>"delivery.warehouse.outstandingDebtReport.fee": "ចំនួនទឹកប្រាក់ថ្លៃសេវា ({{ unit }})",</t>
        </is>
      </c>
      <c r="I2403" t="inlineStr">
        <is>
          <t>ចំនួនទឹកប្រាក់ថ្លៃសេវា ({{ unit }})</t>
        </is>
      </c>
    </row>
    <row r="2404">
      <c r="A2404" s="3" t="inlineStr">
        <is>
          <t>delivery.warehouse.outstandingDebtReport.feeTotal</t>
        </is>
      </c>
      <c r="B2404" s="3" t="inlineStr">
        <is>
          <t>Tổng cước ({{ unit }})</t>
        </is>
      </c>
      <c r="C2404" s="3" t="inlineStr">
        <is>
          <t>Total fee ({{ unit }})</t>
        </is>
      </c>
      <c r="D2404" s="217">
        <f>IFERROR(__xludf.DUMMYFUNCTION("GOOGLETRANSLATE(C2404,""vi"",""km"")"),"ថ្លៃសេវាសរុប (ឯកតា)")</f>
        <v/>
      </c>
      <c r="E2404" s="3" t="n"/>
      <c r="F2404" s="3" t="inlineStr">
        <is>
          <t>ថ្លៃសេវាសរុប (ឯកតា)</t>
        </is>
      </c>
      <c r="G2404" s="3" t="n"/>
      <c r="H2404" s="217" t="inlineStr">
        <is>
          <t>"delivery.warehouse.outstandingDebtReport.feeTotal": "ថ្លៃសេវាសរុប (ឯកតា)",</t>
        </is>
      </c>
      <c r="I2404" t="inlineStr">
        <is>
          <t>ថ្លៃសេវាសរុប (ឯកតា)</t>
        </is>
      </c>
    </row>
    <row r="2405">
      <c r="A2405" s="3" t="inlineStr">
        <is>
          <t>delivery.warehouse.outstandingDebtReport.fileNameExcel</t>
        </is>
      </c>
      <c r="B2405" s="3" t="inlineStr">
        <is>
          <t>Báo cáo công nợ</t>
        </is>
      </c>
      <c r="C2405" s="3" t="inlineStr">
        <is>
          <t>Baocaocongno</t>
        </is>
      </c>
      <c r="D2405" s="217">
        <f>IFERROR(__xludf.DUMMYFUNCTION("GOOGLETRANSLATE(C2405,""vi"",""km"")"),"Baocaocongno")</f>
        <v/>
      </c>
      <c r="E2405" s="3" t="n"/>
      <c r="F2405" s="3" t="inlineStr">
        <is>
          <t>របាយការណ៍công nợ</t>
        </is>
      </c>
      <c r="G2405" s="3" t="n"/>
      <c r="H2405" s="217" t="inlineStr">
        <is>
          <t>"delivery.warehouse.outstandingDebtReport.fileNameExcel": "របាយការណ៍công nợ",</t>
        </is>
      </c>
      <c r="I2405" t="inlineStr">
        <is>
          <t>របាយការណ៍công nợ</t>
        </is>
      </c>
    </row>
    <row r="2406">
      <c r="A2406" s="3" t="inlineStr">
        <is>
          <t>delivery.warehouse.outstandingDebtReport.fileNameExcelCOD</t>
        </is>
      </c>
      <c r="B2406" s="3" t="inlineStr">
        <is>
          <t>Báo cáo công nợ – COD</t>
        </is>
      </c>
      <c r="C2406" s="3" t="inlineStr">
        <is>
          <t>Outstanding debt report – COD</t>
        </is>
      </c>
      <c r="D2406" s="217">
        <f>IFERROR(__xludf.DUMMYFUNCTION("GOOGLETRANSLATE(C2406,""vi"",""km"")"),"របាយការណ៍បំណុលដែលមិនទាន់សង - COD")</f>
        <v/>
      </c>
      <c r="E2406" s="3" t="n"/>
      <c r="F2406" s="3" t="inlineStr">
        <is>
          <t>របាយការណ៍បំណុលសេសសល់ – ប្រាក់ COD</t>
        </is>
      </c>
      <c r="G2406" s="3" t="n"/>
      <c r="H2406" s="217" t="inlineStr">
        <is>
          <t>"delivery.warehouse.outstandingDebtReport.fileNameExcelCOD": "របាយការណ៍បំណុលសេសសល់ – ប្រាក់ COD",</t>
        </is>
      </c>
      <c r="I2406" t="inlineStr">
        <is>
          <t>របាយការណ៍បំណុលសេសសល់ – ប្រាក់ COD</t>
        </is>
      </c>
    </row>
    <row r="2407">
      <c r="A2407" s="3" t="inlineStr">
        <is>
          <t>delivery.warehouse.outstandingDebtReport.fileNameExcelCustomer</t>
        </is>
      </c>
      <c r="B2407" s="3" t="inlineStr">
        <is>
          <t>Báo cáo công nợ – Cước khách hàng</t>
        </is>
      </c>
      <c r="C2407" s="3" t="inlineStr">
        <is>
          <t>Outstanding debt report – Customer fees</t>
        </is>
      </c>
      <c r="D2407" s="217">
        <f>IFERROR(__xludf.DUMMYFUNCTION("GOOGLETRANSLATE(C2407,""vi"",""km"")"),"របាយការណ៍បំណុលដែលមិនទាន់សង - ថ្លៃសេវាអតិថិជន")</f>
        <v/>
      </c>
      <c r="E2407" s="3" t="n"/>
      <c r="F2407" s="3" t="inlineStr">
        <is>
          <t>របាយការណ៍បំណុលសេសសល់ – ថ្លៃសេវាអតិថិជន</t>
        </is>
      </c>
      <c r="G2407" s="3" t="n"/>
      <c r="H2407" s="217" t="inlineStr">
        <is>
          <t>"delivery.warehouse.outstandingDebtReport.fileNameExcelCustomer": "របាយការណ៍បំណុលសេសសល់ – ថ្លៃសេវាអតិថិជន",</t>
        </is>
      </c>
      <c r="I2407" t="inlineStr">
        <is>
          <t>របាយការណ៍បំណុលសេសសល់ – ថ្លៃសេវាអតិថិជន</t>
        </is>
      </c>
    </row>
    <row r="2408">
      <c r="A2408" s="3" t="inlineStr">
        <is>
          <t>delivery.warehouse.outstandingDebtReport.fileNameExcelDetail</t>
        </is>
      </c>
      <c r="B2408" s="3" t="inlineStr">
        <is>
          <t>Chi tiết báo cáo công nợ</t>
        </is>
      </c>
      <c r="C2408" s="3" t="inlineStr">
        <is>
          <t>Chitietbaocaocongno</t>
        </is>
      </c>
      <c r="D2408" s="217">
        <f>IFERROR(__xludf.DUMMYFUNCTION("GOOGLETRANSLATE(C2408,""vi"",""km"")"),"ឈីទីតបាវកូកុងណូ")</f>
        <v/>
      </c>
      <c r="E2408" s="3" t="n"/>
      <c r="F2408" s="3" t="inlineStr">
        <is>
          <t>ឈីទីតបាវកូកុងណូ</t>
        </is>
      </c>
      <c r="G2408" s="3" t="n"/>
      <c r="H2408" s="217" t="inlineStr">
        <is>
          <t>"delivery.warehouse.outstandingDebtReport.fileNameExcelDetail": "ឈីទីតបាវកូកុងណូ",</t>
        </is>
      </c>
      <c r="I2408" t="inlineStr">
        <is>
          <t>ឈីទីតបាវកូកុងណូ</t>
        </is>
      </c>
    </row>
    <row r="2409">
      <c r="A2409" s="3" t="inlineStr">
        <is>
          <t>delivery.warehouse.outstandingDebtReport.fileNameExcelDetailCOD</t>
        </is>
      </c>
      <c r="B2409" s="3" t="inlineStr">
        <is>
          <t>Chi tiết báo cáo công nợ – COD</t>
        </is>
      </c>
      <c r="C2409" s="3" t="inlineStr">
        <is>
          <t>Outstanding debt report details – COD</t>
        </is>
      </c>
      <c r="D2409" s="217">
        <f>IFERROR(__xludf.DUMMYFUNCTION("GOOGLETRANSLATE(C2409,""vi"",""km"")"),"ព័ត៌មានលម្អិតអំពីរបាយការណ៍បំណុលដែលមិនទាន់សង – COD")</f>
        <v/>
      </c>
      <c r="E2409" s="3" t="n"/>
      <c r="F2409" s="3" t="inlineStr">
        <is>
          <t>ព័ត៌មានលម្អិតរបាយការណ៍បំណុលសេសសល់ – ប្រាក់ COD</t>
        </is>
      </c>
      <c r="G2409" s="3" t="n"/>
      <c r="H2409" s="217" t="inlineStr">
        <is>
          <t>"delivery.warehouse.outstandingDebtReport.fileNameExcelDetailCOD": "ព័ត៌មានលម្អិតរបាយការណ៍បំណុលសេសសល់ – ប្រាក់ COD",</t>
        </is>
      </c>
      <c r="I2409" t="inlineStr">
        <is>
          <t>ព័ត៌មានលម្អិតរបាយការណ៍បំណុលសេសសល់ – ប្រាក់ COD</t>
        </is>
      </c>
    </row>
    <row r="2410">
      <c r="A2410" s="3" t="inlineStr">
        <is>
          <t>delivery.warehouse.outstandingDebtReport.fileNameExcelDetailCustomer</t>
        </is>
      </c>
      <c r="B2410" s="3" t="inlineStr">
        <is>
          <t>Chi tiết báo cáo công nợ – Cước khách hàng</t>
        </is>
      </c>
      <c r="C2410" s="3" t="inlineStr">
        <is>
          <t>Outstanding debt report details – Customer fees</t>
        </is>
      </c>
      <c r="D2410" s="217">
        <f>IFERROR(__xludf.DUMMYFUNCTION("GOOGLETRANSLATE(C2410,""vi"",""km"")"),"ព័ត៌មានលម្អិតអំពីរបាយការណ៍បំណុលដែលមិនទាន់សង - ថ្លៃសេវាអតិថិជន")</f>
        <v/>
      </c>
      <c r="E2410" s="3" t="n"/>
      <c r="F2410" s="3" t="inlineStr">
        <is>
          <t>ព័ត៌មានលម្អិតរបាយការណ៍បំណុលសេសសល់ – ថ្លៃសេវាអតិថិជន</t>
        </is>
      </c>
      <c r="G2410" s="3" t="n"/>
      <c r="H2410" s="217" t="inlineStr">
        <is>
          <t>"delivery.warehouse.outstandingDebtReport.fileNameExcelDetailCustomer": "ព័ត៌មានលម្អិតរបាយការណ៍បំណុលសេសសល់ – ថ្លៃសេវាអតិថិជន",</t>
        </is>
      </c>
      <c r="I2410" t="inlineStr">
        <is>
          <t>ព័ត៌មានលម្អិតរបាយការណ៍បំណុលសេសសល់ – ថ្លៃសេវាអតិថិជន</t>
        </is>
      </c>
    </row>
    <row r="2411">
      <c r="A2411" s="3" t="inlineStr">
        <is>
          <t>delivery.warehouse.outstandingDebtReport.fileNameExcelDetailFEE</t>
        </is>
      </c>
      <c r="B2411" s="3" t="inlineStr">
        <is>
          <t>Chi tiết báo cáo công nợ – Cước bưu tá</t>
        </is>
      </c>
      <c r="C2411" s="3" t="inlineStr">
        <is>
          <t>Outstanding debt report details – Postman fees</t>
        </is>
      </c>
      <c r="D2411" s="217">
        <f>IFERROR(__xludf.DUMMYFUNCTION("GOOGLETRANSLATE(C2411,""vi"",""km"")"),"ព័ត៌មានលម្អិតអំពីរបាយការណ៍បំណុលដែលមិនទាន់សង - ថ្លៃសេវាប្រៃសណីយ៍")</f>
        <v/>
      </c>
      <c r="E2411" s="3" t="n"/>
      <c r="F2411" s="3" t="inlineStr">
        <is>
          <t>ព័ត៌មានលម្អិតរបាយការណ៍បំណុលសេសសល់ – ថ្លៃសេវាបុគ្គលិកដឹកជញ្ជូន</t>
        </is>
      </c>
      <c r="G2411" s="3" t="n"/>
      <c r="H2411" s="217" t="inlineStr">
        <is>
          <t>"delivery.warehouse.outstandingDebtReport.fileNameExcelDetailFEE": "ព័ត៌មានលម្អិតរបាយការណ៍បំណុលសេសសល់ – ថ្លៃសេវាបុគ្គលិកដឹកជញ្ជូន",</t>
        </is>
      </c>
      <c r="I2411" t="inlineStr">
        <is>
          <t>ព័ត៌មានលម្អិតរបាយការណ៍បំណុលសេសសល់ – ថ្លៃសេវាបុគ្គលិកដឹកជញ្ជូន</t>
        </is>
      </c>
    </row>
    <row r="2412">
      <c r="A2412" s="3" t="inlineStr">
        <is>
          <t>delivery.warehouse.outstandingDebtReport.fileNameExcelFEE</t>
        </is>
      </c>
      <c r="B2412" s="3" t="inlineStr">
        <is>
          <t>Báo cáo công nợ – Cước bưu tá</t>
        </is>
      </c>
      <c r="C2412" s="3" t="inlineStr">
        <is>
          <t>Outstanding debt report – Postman fees</t>
        </is>
      </c>
      <c r="D2412" s="217">
        <f>IFERROR(__xludf.DUMMYFUNCTION("GOOGLETRANSLATE(C2412,""vi"",""km"")"),"របាយការណ៍បំណុលដែលមិនទាន់សង - ថ្លៃសេវាប្រៃសណីយ៍")</f>
        <v/>
      </c>
      <c r="E2412" s="3" t="n"/>
      <c r="F2412" s="3" t="inlineStr">
        <is>
          <t>របាយការណ៍បំណុលសេសសល់ – ថ្លៃសេវាបុគ្គលិកដឹកជញ្ជូន</t>
        </is>
      </c>
      <c r="G2412" s="3" t="n"/>
      <c r="H2412" s="217" t="inlineStr">
        <is>
          <t>"delivery.warehouse.outstandingDebtReport.fileNameExcelFEE": "របាយការណ៍បំណុលសេសសល់ – ថ្លៃសេវាបុគ្គលិកដឹកជញ្ជូន",</t>
        </is>
      </c>
      <c r="I2412" t="inlineStr">
        <is>
          <t>របាយការណ៍បំណុលសេសសល់ – ថ្លៃសេវាបុគ្គលិកដឹកជញ្ជូន</t>
        </is>
      </c>
    </row>
    <row r="2413">
      <c r="A2413" s="3" t="inlineStr">
        <is>
          <t>delivery.warehouse.outstandingDebtReport.orderBill</t>
        </is>
      </c>
      <c r="B2413" s="3" t="inlineStr">
        <is>
          <t>Tổng bill</t>
        </is>
      </c>
      <c r="C2413" s="3" t="inlineStr">
        <is>
          <t>Total bill</t>
        </is>
      </c>
      <c r="D2413" s="217">
        <f>IFERROR(__xludf.DUMMYFUNCTION("GOOGLETRANSLATE(C2413,""vi"",""km"")"),"វិក្កយបត្រសរុប")</f>
        <v/>
      </c>
      <c r="E2413" s="3" t="n"/>
      <c r="F2413" s="3" t="inlineStr">
        <is>
          <t>វិក្កយបត្រសរុប</t>
        </is>
      </c>
      <c r="G2413" s="3" t="n"/>
      <c r="H2413" s="217" t="inlineStr">
        <is>
          <t>"delivery.warehouse.outstandingDebtReport.orderBill": "វិក្កយបត្រសរុប",</t>
        </is>
      </c>
      <c r="I2413" t="inlineStr">
        <is>
          <t>វិក្កយបត្រសរុប</t>
        </is>
      </c>
    </row>
    <row r="2414">
      <c r="A2414" s="3" t="inlineStr">
        <is>
          <t>delivery.warehouse.outstandingDebtReport.orderCode</t>
        </is>
      </c>
      <c r="B2414" s="3" t="inlineStr">
        <is>
          <t>Mã đơn</t>
        </is>
      </c>
      <c r="C2414" s="3" t="inlineStr">
        <is>
          <t>Order ID</t>
        </is>
      </c>
      <c r="D2414" s="217">
        <f>IFERROR(__xludf.DUMMYFUNCTION("GOOGLETRANSLATE(C2414,""vi"",""km"")"),"លេខសម្គាល់ការបញ្ជាទិញ")</f>
        <v/>
      </c>
      <c r="E2414" s="3" t="n"/>
      <c r="F2414" s="3" t="inlineStr">
        <is>
          <t>លេខសម្គាល់ការបញ្ជាទិញ</t>
        </is>
      </c>
      <c r="G2414" s="3" t="n"/>
      <c r="H2414" s="217" t="inlineStr">
        <is>
          <t>"delivery.warehouse.outstandingDebtReport.orderCode": "លេខសម្គាល់ការបញ្ជាទិញ",</t>
        </is>
      </c>
      <c r="I2414" t="inlineStr">
        <is>
          <t>លេខសម្គាល់ការបញ្ជាទិញ</t>
        </is>
      </c>
    </row>
    <row r="2415">
      <c r="A2415" s="3" t="inlineStr">
        <is>
          <t>delivery.warehouse.outstandingDebtReport.orderCodePlaceholder</t>
        </is>
      </c>
      <c r="B2415" s="3" t="inlineStr">
        <is>
          <t>Nhập mã đơn</t>
        </is>
      </c>
      <c r="C2415" s="3" t="inlineStr">
        <is>
          <t>Enter order ID</t>
        </is>
      </c>
      <c r="D2415" s="217">
        <f>IFERROR(__xludf.DUMMYFUNCTION("GOOGLETRANSLATE(C2415,""vi"",""km"")"),"បញ្ចូលលេខសម្គាល់ការបញ្ជាទិញ")</f>
        <v/>
      </c>
      <c r="E2415" s="3" t="n"/>
      <c r="F2415" s="3" t="inlineStr">
        <is>
          <t>បញ្ចូលលេខសម្គាល់ការបញ្ជាទិញ</t>
        </is>
      </c>
      <c r="G2415" s="3" t="n"/>
      <c r="H2415" s="217" t="inlineStr">
        <is>
          <t>"delivery.warehouse.outstandingDebtReport.orderCodePlaceholder": "បញ្ចូលលេខសម្គាល់ការបញ្ជាទិញ",</t>
        </is>
      </c>
      <c r="I2415" t="inlineStr">
        <is>
          <t>បញ្ចូលលេខសម្គាល់ការបញ្ជាទិញ</t>
        </is>
      </c>
    </row>
    <row r="2416">
      <c r="A2416" s="3" t="inlineStr">
        <is>
          <t>delivery.warehouse.outstandingDebtReport.orderTotal</t>
        </is>
      </c>
      <c r="B2416" s="3" t="inlineStr">
        <is>
          <t>Tổng số đơn</t>
        </is>
      </c>
      <c r="C2416" s="3" t="inlineStr">
        <is>
          <t>Total orders</t>
        </is>
      </c>
      <c r="D2416" s="217">
        <f>IFERROR(__xludf.DUMMYFUNCTION("GOOGLETRANSLATE(C2416,""vi"",""km"")"),"ការបញ្ជាទិញសរុប")</f>
        <v/>
      </c>
      <c r="E2416" s="3" t="n"/>
      <c r="F2416" s="3" t="inlineStr">
        <is>
          <t>ការបញ្ជាទិញសរុប</t>
        </is>
      </c>
      <c r="G2416" s="3" t="n"/>
      <c r="H2416" s="217" t="inlineStr">
        <is>
          <t>"delivery.warehouse.outstandingDebtReport.orderTotal": "ការបញ្ជាទិញសរុប",</t>
        </is>
      </c>
      <c r="I2416" t="inlineStr">
        <is>
          <t>ការបញ្ជាទិញសរុប</t>
        </is>
      </c>
    </row>
    <row r="2417">
      <c r="A2417" s="3" t="inlineStr">
        <is>
          <t>delivery.warehouse.outstandingDebtReport.pleaseSearch</t>
        </is>
      </c>
      <c r="B2417" s="3" t="inlineStr">
        <is>
          <t>Nhập để tìm kiếm</t>
        </is>
      </c>
      <c r="C2417" s="3" t="inlineStr">
        <is>
          <t>Type to search</t>
        </is>
      </c>
      <c r="D2417" s="217">
        <f>IFERROR(__xludf.DUMMYFUNCTION("GOOGLETRANSLATE(C2417,""vi"",""km"")"),"វាយបញ្ចូលដើម្បីស្វែងរក")</f>
        <v/>
      </c>
      <c r="E2417" s="3" t="n"/>
      <c r="F2417" s="3" t="inlineStr">
        <is>
          <t>វាយបញ្ចូលដើម្បីស្វែងរក</t>
        </is>
      </c>
      <c r="G2417" s="3" t="n"/>
      <c r="H2417" s="217" t="inlineStr">
        <is>
          <t>"delivery.warehouse.outstandingDebtReport.pleaseSearch": "វាយបញ្ចូលដើម្បីស្វែងរក",</t>
        </is>
      </c>
      <c r="I2417" t="inlineStr">
        <is>
          <t>វាយបញ្ចូលដើម្បីស្វែងរក</t>
        </is>
      </c>
    </row>
    <row r="2418">
      <c r="A2418" s="3" t="inlineStr">
        <is>
          <t>delivery.warehouse.outstandingDebtReport.postOffice</t>
        </is>
      </c>
      <c r="B2418" s="3" t="inlineStr">
        <is>
          <t>Bưu cục</t>
        </is>
      </c>
      <c r="C2418" s="3" t="inlineStr">
        <is>
          <t>Post office</t>
        </is>
      </c>
      <c r="D2418" s="217">
        <f>IFERROR(__xludf.DUMMYFUNCTION("GOOGLETRANSLATE(C2418,""vi"",""km"")"),"ការិយាល័យប្រៃសណីយ៍")</f>
        <v/>
      </c>
      <c r="E2418" s="3" t="n"/>
      <c r="F2418" s="3" t="inlineStr">
        <is>
          <t>ការិយាល័យប្រៃសណីយ៍</t>
        </is>
      </c>
      <c r="G2418" s="3" t="n"/>
      <c r="H2418" s="217" t="inlineStr">
        <is>
          <t>"delivery.warehouse.outstandingDebtReport.postOffice": "ការិយាល័យប្រៃសណីយ៍",</t>
        </is>
      </c>
      <c r="I2418" t="inlineStr">
        <is>
          <t>ការិយាល័យប្រៃសណីយ៍</t>
        </is>
      </c>
    </row>
    <row r="2419">
      <c r="A2419" s="3" t="inlineStr">
        <is>
          <t>delivery.warehouse.outstandingDebtReport.postOfficePlaceholder</t>
        </is>
      </c>
      <c r="B2419" s="3" t="inlineStr">
        <is>
          <t>Chọn bưu cục</t>
        </is>
      </c>
      <c r="C2419" s="3" t="inlineStr">
        <is>
          <t>Select Post office</t>
        </is>
      </c>
      <c r="D2419" s="217">
        <f>IFERROR(__xludf.DUMMYFUNCTION("GOOGLETRANSLATE(C2419,""vi"",""km"")"),"ជ្រើសរើសការិយាល័យប្រៃសណីយ៍")</f>
        <v/>
      </c>
      <c r="E2419" s="3" t="n"/>
      <c r="F2419" s="3" t="inlineStr">
        <is>
          <t>ជ្រើសរើសការិយាល័យប្រៃសណីយ៍</t>
        </is>
      </c>
      <c r="G2419" s="3" t="n"/>
      <c r="H2419" s="217" t="inlineStr">
        <is>
          <t>"delivery.warehouse.outstandingDebtReport.postOfficePlaceholder": "ជ្រើសរើសការិយាល័យប្រៃសណីយ៍",</t>
        </is>
      </c>
      <c r="I2419" t="inlineStr">
        <is>
          <t>ជ្រើសរើសការិយាល័យប្រៃសណីយ៍</t>
        </is>
      </c>
    </row>
    <row r="2420">
      <c r="A2420" s="3" t="inlineStr">
        <is>
          <t>delivery.warehouse.outstandingDebtReport.receiptOrderDate</t>
        </is>
      </c>
      <c r="B2420" s="3" t="inlineStr">
        <is>
          <t>Ngày nhận đơn</t>
        </is>
      </c>
      <c r="C2420" s="3" t="inlineStr">
        <is>
          <t>Order received date</t>
        </is>
      </c>
      <c r="D2420" s="217">
        <f>IFERROR(__xludf.DUMMYFUNCTION("GOOGLETRANSLATE(C2420,""vi"",""km"")"),"កាលបរិច្ឆេទទទួលការបញ្ជាទិញ")</f>
        <v/>
      </c>
      <c r="E2420" s="3" t="n"/>
      <c r="F2420" s="3" t="inlineStr">
        <is>
          <t>កាលបរិច្ឆេទទទួលការបញ្ជាទិញ</t>
        </is>
      </c>
      <c r="G2420" s="3" t="n"/>
      <c r="H2420" s="217" t="inlineStr">
        <is>
          <t>"delivery.warehouse.outstandingDebtReport.receiptOrderDate": "កាលបរិច្ឆេទទទួលការបញ្ជាទិញ",</t>
        </is>
      </c>
      <c r="I2420" t="inlineStr">
        <is>
          <t>កាលបរិច្ឆេទទទួលការបញ្ជាទិញ</t>
        </is>
      </c>
    </row>
    <row r="2421">
      <c r="A2421" s="3" t="inlineStr">
        <is>
          <t>delivery.warehouse.outstandingDebtReport.revenueDate</t>
        </is>
      </c>
      <c r="B2421" s="3" t="inlineStr">
        <is>
          <t>Ngày nhập doanh thu</t>
        </is>
      </c>
      <c r="C2421" s="3" t="inlineStr">
        <is>
          <t>Revenue entry date</t>
        </is>
      </c>
      <c r="D2421" s="217">
        <f>IFERROR(__xludf.DUMMYFUNCTION("GOOGLETRANSLATE(C2421,""vi"",""km"")"),"កាលបរិច្ឆេទបញ្ចូលចំណូល")</f>
        <v/>
      </c>
      <c r="E2421" s="3" t="n"/>
      <c r="F2421" s="3" t="inlineStr">
        <is>
          <t>កាលបរិច្ឆេទបញ្ចូលចំណូល</t>
        </is>
      </c>
      <c r="G2421" s="3" t="n"/>
      <c r="H2421" s="217" t="inlineStr">
        <is>
          <t>"delivery.warehouse.outstandingDebtReport.revenueDate": "កាលបរិច្ឆេទបញ្ចូលចំណូល",</t>
        </is>
      </c>
      <c r="I2421" t="inlineStr">
        <is>
          <t>កាលបរិច្ឆេទបញ្ចូលចំណូល</t>
        </is>
      </c>
    </row>
    <row r="2422">
      <c r="A2422" s="3" t="inlineStr">
        <is>
          <t>delivery.warehouse.outstandingDebtReport.updateAt</t>
        </is>
      </c>
      <c r="B2422" s="3" t="inlineStr">
        <is>
          <t>Thời gian cập nhật</t>
        </is>
      </c>
      <c r="C2422" s="3" t="inlineStr">
        <is>
          <t>Updated time</t>
        </is>
      </c>
      <c r="D2422" s="217">
        <f>IFERROR(__xludf.DUMMYFUNCTION("GOOGLETRANSLATE(C2422,""vi"",""km"")"),"ពេលវេលាដែលបានធ្វើបច្ចុប្បន្នភាព")</f>
        <v/>
      </c>
      <c r="E2422" s="3" t="n"/>
      <c r="F2422" s="3" t="inlineStr">
        <is>
          <t>ពេលវេលាដែលបានធ្វើបច្ចុប្បន្នភាព</t>
        </is>
      </c>
      <c r="G2422" s="3" t="n"/>
      <c r="H2422" s="217" t="inlineStr">
        <is>
          <t>"delivery.warehouse.outstandingDebtReport.updateAt": "ពេលវេលាដែលបានធ្វើបច្ចុប្បន្នភាព",</t>
        </is>
      </c>
      <c r="I2422" t="inlineStr">
        <is>
          <t>ពេលវេលាដែលបានធ្វើបច្ចុប្បន្នភាព</t>
        </is>
      </c>
    </row>
    <row r="2423">
      <c r="A2423" s="3" t="inlineStr">
        <is>
          <t>delivery.warehouse.outstandingDebtReport.updateListTime</t>
        </is>
      </c>
      <c r="B2423" s="3" t="inlineStr">
        <is>
          <t>Cập nhật báo cáo lần cuối lúc {{ dateTime }}</t>
        </is>
      </c>
      <c r="C2423" s="3" t="inlineStr">
        <is>
          <t>Report last updated at {{ dateTime }}</t>
        </is>
      </c>
      <c r="D2423" s="217">
        <f>IFERROR(__xludf.DUMMYFUNCTION("GOOGLETRANSLATE(C2423,""vi"",""km"")"),"របាយការណ៍​ត្រូវ​បាន​ធ្វើ​បច្ចុប្បន្នភាព​ចុងក្រោយ​នៅ {{ dateTime }}")</f>
        <v/>
      </c>
      <c r="E2423" s="3" t="n"/>
      <c r="F2423" s="3" t="inlineStr">
        <is>
          <t>របាយការណ៍ត្រូវបានធ្វើបច្ចុប្បន្នភាពចុងក្រោយនៅ {{ dateTime }}</t>
        </is>
      </c>
      <c r="G2423" s="3" t="n"/>
      <c r="H2423" s="217" t="inlineStr">
        <is>
          <t>"delivery.warehouse.outstandingDebtReport.updateListTime": "របាយការណ៍ត្រូវបានធ្វើបច្ចុប្បន្នភាពចុងក្រោយនៅ {{ dateTime }}",</t>
        </is>
      </c>
      <c r="I2423" t="inlineStr">
        <is>
          <t>របាយការណ៍ត្រូវបានធ្វើបច្ចុប្បន្នភាពចុងក្រោយនៅ {{ dateTime }}</t>
        </is>
      </c>
    </row>
    <row r="2424">
      <c r="A2424" s="3" t="inlineStr">
        <is>
          <t>delivery.warehouse.packing.DOCUMENT</t>
        </is>
      </c>
      <c r="B2424" s="3" t="inlineStr">
        <is>
          <t>Thư</t>
        </is>
      </c>
      <c r="C2424" s="3" t="inlineStr">
        <is>
          <t>Documents</t>
        </is>
      </c>
      <c r="D2424" s="217">
        <f>IFERROR(__xludf.DUMMYFUNCTION("GOOGLETRANSLATE(C2424,""vi"",""km"")"),"ឯកសារ")</f>
        <v/>
      </c>
      <c r="E2424" s="3" t="n"/>
      <c r="F2424" s="3" t="inlineStr">
        <is>
          <t>ឯកសារ</t>
        </is>
      </c>
      <c r="G2424" s="3" t="n"/>
      <c r="H2424" s="217" t="inlineStr">
        <is>
          <t>"delivery.warehouse.packing.DOCUMENT": "ឯកសារ",</t>
        </is>
      </c>
      <c r="I2424" t="inlineStr">
        <is>
          <t>ឯកសារ</t>
        </is>
      </c>
    </row>
    <row r="2425">
      <c r="A2425" s="3" t="inlineStr">
        <is>
          <t>delivery.warehouse.packing.GOODS</t>
        </is>
      </c>
      <c r="B2425" s="3" t="inlineStr">
        <is>
          <t>Hàng nhỏ</t>
        </is>
      </c>
      <c r="C2425" s="3" t="inlineStr">
        <is>
          <t>Small-sized</t>
        </is>
      </c>
      <c r="D2425" s="217">
        <f>IFERROR(__xludf.DUMMYFUNCTION("GOOGLETRANSLATE(C2425,""vi"",""km"")"),"ទំហំតូច")</f>
        <v/>
      </c>
      <c r="E2425" s="3" t="n"/>
      <c r="F2425" s="3" t="inlineStr">
        <is>
          <t>ទំហំតូច</t>
        </is>
      </c>
      <c r="G2425" s="3" t="n"/>
      <c r="H2425" s="217" t="inlineStr">
        <is>
          <t>"delivery.warehouse.packing.GOODS": "ទំហំតូច",</t>
        </is>
      </c>
      <c r="I2425" t="inlineStr">
        <is>
          <t>ទំហំតូច</t>
        </is>
      </c>
    </row>
    <row r="2426">
      <c r="A2426" s="3" t="inlineStr">
        <is>
          <t>delivery.warehouse.packing.addOrder</t>
        </is>
      </c>
      <c r="B2426" s="3" t="inlineStr">
        <is>
          <t>Thêm đơn hàng</t>
        </is>
      </c>
      <c r="C2426" s="3" t="inlineStr">
        <is>
          <t>Add more order</t>
        </is>
      </c>
      <c r="D2426" s="217">
        <f>IFERROR(__xludf.DUMMYFUNCTION("GOOGLETRANSLATE(C2426,""vi"",""km"")"),"បន្ថែមការបញ្ជាទិញបន្ថែមទៀត")</f>
        <v/>
      </c>
      <c r="E2426" s="3" t="n"/>
      <c r="F2426" s="3" t="inlineStr">
        <is>
          <t>បន្ថែមការបញ្ជាទិញបន្ថែមទៀត</t>
        </is>
      </c>
      <c r="G2426" s="3" t="n"/>
      <c r="H2426" s="217" t="inlineStr">
        <is>
          <t>"delivery.warehouse.packing.addOrder": "បន្ថែមការបញ្ជាទិញបន្ថែមទៀត",</t>
        </is>
      </c>
      <c r="I2426" t="inlineStr">
        <is>
          <t>បន្ថែមការបញ្ជាទិញបន្ថែមទៀត</t>
        </is>
      </c>
    </row>
    <row r="2427">
      <c r="A2427" s="3" t="inlineStr">
        <is>
          <t>delivery.warehouse.packing.addOrderSuccess</t>
        </is>
      </c>
      <c r="B2427" s="3" t="inlineStr">
        <is>
          <t>Thêm đơn thành công</t>
        </is>
      </c>
      <c r="C2427" s="3" t="inlineStr">
        <is>
          <t>Add more order sucessfully</t>
        </is>
      </c>
      <c r="D2427" s="217">
        <f>IFERROR(__xludf.DUMMYFUNCTION("GOOGLETRANSLATE(C2427,""vi"",""km"")"),"បន្ថែមការបញ្ជាទិញបន្ថែមទៀតដោយជោគជ័យ")</f>
        <v/>
      </c>
      <c r="E2427" s="3" t="n"/>
      <c r="F2427" s="3" t="inlineStr">
        <is>
          <t>បន្ថែមការបញ្ជាទិញបន្ថែមទៀតដោយជោគជ័យ</t>
        </is>
      </c>
      <c r="G2427" s="3" t="n"/>
      <c r="H2427" s="217" t="inlineStr">
        <is>
          <t>"delivery.warehouse.packing.addOrderSuccess": "បន្ថែមការបញ្ជាទិញបន្ថែមទៀតដោយជោគជ័យ",</t>
        </is>
      </c>
      <c r="I2427" t="inlineStr">
        <is>
          <t>បន្ថែមការបញ្ជាទិញបន្ថែមទៀតដោយជោគជ័យ</t>
        </is>
      </c>
    </row>
    <row r="2428">
      <c r="A2428" s="3" t="inlineStr">
        <is>
          <t>delivery.warehouse.packing.addSuccess</t>
        </is>
      </c>
      <c r="B2428" s="3" t="inlineStr">
        <is>
          <t>Gom thành công</t>
        </is>
      </c>
      <c r="C2428" s="3" t="inlineStr">
        <is>
          <t>Successfully collected</t>
        </is>
      </c>
      <c r="D2428" s="217">
        <f>IFERROR(__xludf.DUMMYFUNCTION("GOOGLETRANSLATE(C2428,""vi"",""km"")"),"បានប្រមូលដោយជោគជ័យ")</f>
        <v/>
      </c>
      <c r="E2428" s="3" t="n"/>
      <c r="F2428" s="3" t="inlineStr">
        <is>
          <t>បានប្រមូលដោយជោគជ័យ</t>
        </is>
      </c>
      <c r="G2428" s="3" t="n"/>
      <c r="H2428" s="217" t="inlineStr">
        <is>
          <t>"delivery.warehouse.packing.addSuccess": "បានប្រមូលដោយជោគជ័យ",</t>
        </is>
      </c>
      <c r="I2428" t="inlineStr">
        <is>
          <t>បានប្រមូលដោយជោគជ័យ</t>
        </is>
      </c>
    </row>
    <row r="2429">
      <c r="A2429" s="3" t="inlineStr">
        <is>
          <t>delivery.warehouse.packing.address</t>
        </is>
      </c>
      <c r="B2429" s="3" t="inlineStr">
        <is>
          <t>Địa chỉ</t>
        </is>
      </c>
      <c r="C2429" s="3" t="inlineStr">
        <is>
          <t>Address</t>
        </is>
      </c>
      <c r="D2429" s="217">
        <f>IFERROR(__xludf.DUMMYFUNCTION("GOOGLETRANSLATE(C2429,""vi"",""km"")"),"មិនត្រឹមត្រូវ")</f>
        <v/>
      </c>
      <c r="E2429" s="3" t="n"/>
      <c r="F2429" s="3" t="inlineStr">
        <is>
          <t>អាសយដ្ឋាន</t>
        </is>
      </c>
      <c r="G2429" s="3" t="n"/>
      <c r="H2429" s="217" t="inlineStr">
        <is>
          <t>"delivery.warehouse.packing.address": "អាសយដ្ឋាន",</t>
        </is>
      </c>
      <c r="I2429" t="inlineStr">
        <is>
          <t>អាសយដ្ឋាន</t>
        </is>
      </c>
    </row>
    <row r="2430">
      <c r="A2430" s="3" t="inlineStr">
        <is>
          <t>delivery.warehouse.packing.all</t>
        </is>
      </c>
      <c r="B2430" s="3" t="inlineStr">
        <is>
          <t>Tất cả</t>
        </is>
      </c>
      <c r="C2430" s="3" t="inlineStr">
        <is>
          <t>All</t>
        </is>
      </c>
      <c r="D2430" s="217">
        <f>IFERROR(__xludf.DUMMYFUNCTION("GOOGLETRANSLATE(C2430,""vi"",""km"")"),"ទាំងអស់")</f>
        <v/>
      </c>
      <c r="E2430" s="3" t="n"/>
      <c r="F2430" s="3" t="inlineStr">
        <is>
          <t>ទាំងអស់</t>
        </is>
      </c>
      <c r="G2430" s="3" t="n"/>
      <c r="H2430" s="217" t="inlineStr">
        <is>
          <t>"delivery.warehouse.packing.all": "ទាំងអស់",</t>
        </is>
      </c>
      <c r="I2430" t="inlineStr">
        <is>
          <t>ទាំងអស់</t>
        </is>
      </c>
    </row>
    <row r="2431">
      <c r="A2431" s="3" t="inlineStr">
        <is>
          <t>delivery.warehouse.packing.allStatus</t>
        </is>
      </c>
      <c r="B2431" s="3" t="inlineStr">
        <is>
          <t>Tất cả trạng thái</t>
        </is>
      </c>
      <c r="C2431" s="3" t="inlineStr">
        <is>
          <t>All status</t>
        </is>
      </c>
      <c r="D2431" s="217">
        <f>IFERROR(__xludf.DUMMYFUNCTION("GOOGLETRANSLATE(C2431,""vi"",""km"")"),"ស្ថានភាពទាំងអស់")</f>
        <v/>
      </c>
      <c r="E2431" s="3" t="n"/>
      <c r="F2431" s="3" t="inlineStr">
        <is>
          <t>ស្ថានភាពទាំងអស់</t>
        </is>
      </c>
      <c r="G2431" s="3" t="n"/>
      <c r="H2431" s="217" t="inlineStr">
        <is>
          <t>"delivery.warehouse.packing.allStatus": "ស្ថានភាពទាំងអស់",</t>
        </is>
      </c>
      <c r="I2431" t="inlineStr">
        <is>
          <t>ស្ថានភាពទាំងអស់</t>
        </is>
      </c>
    </row>
    <row r="2432">
      <c r="A2432" s="3" t="inlineStr">
        <is>
          <t>delivery.warehouse.packing.billCode</t>
        </is>
      </c>
      <c r="B2432" s="3" t="inlineStr">
        <is>
          <t>Mã bill</t>
        </is>
      </c>
      <c r="C2432" s="3" t="inlineStr">
        <is>
          <t>Bill code</t>
        </is>
      </c>
      <c r="D2432" s="217">
        <f>IFERROR(__xludf.DUMMYFUNCTION("GOOGLETRANSLATE(C2432,""vi"",""km"")"),"លេខកូដវិក្កយបត្រ")</f>
        <v/>
      </c>
      <c r="E2432" s="3" t="n"/>
      <c r="F2432" s="3" t="inlineStr">
        <is>
          <t>លេខកូដវិក្កយបត្រ</t>
        </is>
      </c>
      <c r="G2432" s="3" t="n"/>
      <c r="H2432" s="217" t="inlineStr">
        <is>
          <t>"delivery.warehouse.packing.billCode": "លេខកូដវិក្កយបត្រ",</t>
        </is>
      </c>
      <c r="I2432" t="inlineStr">
        <is>
          <t>លេខកូដវិក្កយបត្រ</t>
        </is>
      </c>
    </row>
    <row r="2433">
      <c r="A2433" s="3" t="inlineStr">
        <is>
          <t>delivery.warehouse.packing.complete</t>
        </is>
      </c>
      <c r="B2433" s="3" t="inlineStr">
        <is>
          <t>Hoàn thành</t>
        </is>
      </c>
      <c r="C2433" s="3" t="inlineStr">
        <is>
          <t>Complete</t>
        </is>
      </c>
      <c r="D2433" s="217">
        <f>IFERROR(__xludf.DUMMYFUNCTION("GOOGLETRANSLATE(C2433,""vi"",""km"")"),"ឯកសារ")</f>
        <v/>
      </c>
      <c r="E2433" s="3" t="n"/>
      <c r="F2433" s="3" t="inlineStr">
        <is>
          <t>បានបញ្ចប់</t>
        </is>
      </c>
      <c r="G2433" s="3" t="n"/>
      <c r="H2433" s="217" t="inlineStr">
        <is>
          <t>"delivery.warehouse.packing.complete": "បានបញ្ចប់",</t>
        </is>
      </c>
      <c r="I2433" t="inlineStr">
        <is>
          <t>បានបញ្ចប់</t>
        </is>
      </c>
    </row>
    <row r="2434">
      <c r="A2434" s="3" t="inlineStr">
        <is>
          <t>delivery.warehouse.packing.completePacking</t>
        </is>
      </c>
      <c r="B2434" s="3" t="inlineStr">
        <is>
          <t>Hoàn thành tải thành công</t>
        </is>
      </c>
      <c r="C2434" s="3" t="inlineStr">
        <is>
          <t>Pack up the package successfully</t>
        </is>
      </c>
      <c r="D2434" s="217">
        <f>IFERROR(__xludf.DUMMYFUNCTION("GOOGLETRANSLATE(C2434,""vi"",""km"")"),"វេចខ្ចប់កញ្ចប់ដោយជោគជ័យ")</f>
        <v/>
      </c>
      <c r="E2434" s="3" t="n"/>
      <c r="F2434" s="3" t="inlineStr">
        <is>
          <t>វេចខ្ចប់កញ្ចប់ដោយជោគជ័យ</t>
        </is>
      </c>
      <c r="G2434" s="3" t="n"/>
      <c r="H2434" s="217" t="inlineStr">
        <is>
          <t>"delivery.warehouse.packing.completePacking": "វេចខ្ចប់កញ្ចប់ដោយជោគជ័យ",</t>
        </is>
      </c>
      <c r="I2434" t="inlineStr">
        <is>
          <t>វេចខ្ចប់កញ្ចប់ដោយជោគជ័យ</t>
        </is>
      </c>
    </row>
    <row r="2435">
      <c r="A2435" s="3" t="inlineStr">
        <is>
          <t>delivery.warehouse.packing.completePackingSuccess</t>
        </is>
      </c>
      <c r="B2435" s="3" t="inlineStr">
        <is>
          <t>Gom tải thành công!</t>
        </is>
      </c>
      <c r="C2435" s="3" t="inlineStr">
        <is>
          <t>Group package successful!</t>
        </is>
      </c>
      <c r="D2435" s="217">
        <f>IFERROR(__xludf.DUMMYFUNCTION("GOOGLETRANSLATE(C2435,""vi"",""km"")"),"កញ្ចប់​ក្រុម​ទទួល​បាន​ជោគជ័យ!")</f>
        <v/>
      </c>
      <c r="E2435" s="3" t="n"/>
      <c r="F2435" s="3" t="inlineStr">
        <is>
          <t>កញ្ចប់ក្រុមទទួលបានជោគជ័យ!</t>
        </is>
      </c>
      <c r="G2435" s="3" t="n"/>
      <c r="H2435" s="217" t="inlineStr">
        <is>
          <t>"delivery.warehouse.packing.completePackingSuccess": "កញ្ចប់ក្រុមទទួលបានជោគជ័យ!",</t>
        </is>
      </c>
      <c r="I2435" t="inlineStr">
        <is>
          <t>កញ្ចប់ក្រុមទទួលបានជោគជ័យ!</t>
        </is>
      </c>
    </row>
    <row r="2436">
      <c r="A2436" s="3" t="inlineStr">
        <is>
          <t>delivery.warehouse.packing.confirmWeight</t>
        </is>
      </c>
      <c r="B2436" s="3" t="inlineStr">
        <is>
          <t>Xác nhận trọng lượng</t>
        </is>
      </c>
      <c r="C2436" s="3" t="inlineStr">
        <is>
          <t>Weight confirmation</t>
        </is>
      </c>
      <c r="D2436" s="217">
        <f>IFERROR(__xludf.DUMMYFUNCTION("GOOGLETRANSLATE(C2436,""vi"",""km"")"),"ការបញ្ជាក់ទម្ងន់")</f>
        <v/>
      </c>
      <c r="E2436" s="3" t="n"/>
      <c r="F2436" s="3" t="inlineStr">
        <is>
          <t>ការបញ្ជាក់ទម្ងន់</t>
        </is>
      </c>
      <c r="G2436" s="3" t="n"/>
      <c r="H2436" s="217" t="inlineStr">
        <is>
          <t>"delivery.warehouse.packing.confirmWeight": "ការបញ្ជាក់ទម្ងន់",</t>
        </is>
      </c>
      <c r="I2436" t="inlineStr">
        <is>
          <t>ការបញ្ជាក់ទម្ងន់</t>
        </is>
      </c>
    </row>
    <row r="2437">
      <c r="A2437" s="3" t="inlineStr">
        <is>
          <t>delivery.warehouse.packing.createdAt</t>
        </is>
      </c>
      <c r="B2437" s="3" t="inlineStr">
        <is>
          <t>Thời gian tạo</t>
        </is>
      </c>
      <c r="C2437" s="3" t="inlineStr">
        <is>
          <t>Creation time</t>
        </is>
      </c>
      <c r="D2437" s="217">
        <f>IFERROR(__xludf.DUMMYFUNCTION("GOOGLETRANSLATE(C2437,""vi"",""km"")"),"ពេលវេលាបង្កើត")</f>
        <v/>
      </c>
      <c r="E2437" s="3" t="n"/>
      <c r="F2437" s="3" t="inlineStr">
        <is>
          <t>ពេលវេលាបង្កើត</t>
        </is>
      </c>
      <c r="G2437" s="3" t="n"/>
      <c r="H2437" s="217" t="inlineStr">
        <is>
          <t>"delivery.warehouse.packing.createdAt": "ពេលវេលាបង្កើត",</t>
        </is>
      </c>
      <c r="I2437" t="inlineStr">
        <is>
          <t>ពេលវេលាបង្កើត</t>
        </is>
      </c>
    </row>
    <row r="2438">
      <c r="A2438" s="3" t="inlineStr">
        <is>
          <t>delivery.warehouse.packing.createdBy</t>
        </is>
      </c>
      <c r="B2438" s="3" t="inlineStr">
        <is>
          <t>Người tác động</t>
        </is>
      </c>
      <c r="C2438" s="3" t="inlineStr">
        <is>
          <t>Actor</t>
        </is>
      </c>
      <c r="D2438" s="217">
        <f>IFERROR(__xludf.DUMMYFUNCTION("GOOGLETRANSLATE(C2438,""vi"",""km"")"),"តារាសម្តែង")</f>
        <v/>
      </c>
      <c r="E2438" s="3" t="n"/>
      <c r="F2438" s="3" t="inlineStr">
        <is>
          <t>អ្នកធ្វើប្រតិបត្តិការ</t>
        </is>
      </c>
      <c r="G2438" s="3" t="n"/>
      <c r="H2438" s="217" t="inlineStr">
        <is>
          <t>"delivery.warehouse.packing.createdBy": "អ្នកធ្វើប្រតិបត្តិការ",</t>
        </is>
      </c>
      <c r="I2438" t="inlineStr">
        <is>
          <t>អ្នកធ្វើប្រតិបត្តិការ</t>
        </is>
      </c>
    </row>
    <row r="2439">
      <c r="A2439" s="3" t="inlineStr">
        <is>
          <t>delivery.warehouse.packing.dateUpdate</t>
        </is>
      </c>
      <c r="B2439" s="3" t="inlineStr">
        <is>
          <t>Ngày tác động</t>
        </is>
      </c>
      <c r="C2439" s="3" t="inlineStr">
        <is>
          <t>Modification date</t>
        </is>
      </c>
      <c r="D2439" s="217">
        <f>IFERROR(__xludf.DUMMYFUNCTION("GOOGLETRANSLATE(C2439,""vi"",""km"")"),"កាលបរិច្ឆេទកែប្រែ")</f>
        <v/>
      </c>
      <c r="E2439" s="3" t="n"/>
      <c r="F2439" s="3" t="inlineStr">
        <is>
          <t>កាលបរិច្ឆេទកែប្រែ</t>
        </is>
      </c>
      <c r="G2439" s="3" t="n"/>
      <c r="H2439" s="217" t="inlineStr">
        <is>
          <t>"delivery.warehouse.packing.dateUpdate": "កាលបរិច្ឆេទកែប្រែ",</t>
        </is>
      </c>
      <c r="I2439" t="inlineStr">
        <is>
          <t>កាលបរិច្ឆេទកែប្រែ</t>
        </is>
      </c>
    </row>
    <row r="2440">
      <c r="A2440" s="3" t="inlineStr">
        <is>
          <t>delivery.warehouse.packing.delayTime</t>
        </is>
      </c>
      <c r="B2440" s="3" t="inlineStr">
        <is>
          <t>Thời gian tồn</t>
        </is>
      </c>
      <c r="C2440" s="3" t="inlineStr">
        <is>
          <t>Storage time</t>
        </is>
      </c>
      <c r="D2440" s="217">
        <f>IFERROR(__xludf.DUMMYFUNCTION("GOOGLETRANSLATE(C2440,""vi"",""km"")"),"រយៈពេលផ្ទុក")</f>
        <v/>
      </c>
      <c r="E2440" s="3" t="n"/>
      <c r="F2440" s="3" t="inlineStr">
        <is>
          <t>រយៈពេលផ្ទុក</t>
        </is>
      </c>
      <c r="G2440" s="3" t="n"/>
      <c r="H2440" s="217" t="inlineStr">
        <is>
          <t>"delivery.warehouse.packing.delayTime": "រយៈពេលផ្ទុក",</t>
        </is>
      </c>
      <c r="I2440" t="inlineStr">
        <is>
          <t>រយៈពេលផ្ទុក</t>
        </is>
      </c>
    </row>
    <row r="2441">
      <c r="A2441" s="3" t="inlineStr">
        <is>
          <t>delivery.warehouse.packing.deleteDescription</t>
        </is>
      </c>
      <c r="B2441" s="3" t="inlineStr">
        <is>
          <t>Đồng chí có chắc chắn muốn xóa phiếu gửi</t>
        </is>
      </c>
      <c r="C2441" s="3" t="inlineStr">
        <is>
          <t>Are you sure to report these postal slips</t>
        </is>
      </c>
      <c r="D2441" s="217">
        <f>IFERROR(__xludf.DUMMYFUNCTION("GOOGLETRANSLATE(C2441,""vi"",""km"")"),"តើអ្នកពិតជារាយការណ៍ពីសំបុត្រប្រៃសណីយ៍ទាំងនេះមែនទេ?")</f>
        <v/>
      </c>
      <c r="E2441" s="3" t="n"/>
      <c r="F2441" s="3" t="inlineStr">
        <is>
          <t>តើអ្នកពិតជារាយការណ៍ពីបុងបញ្ញើទាំងនេះមែនទេ?</t>
        </is>
      </c>
      <c r="G2441" s="3" t="n"/>
      <c r="H2441" s="217" t="inlineStr">
        <is>
          <t>"delivery.warehouse.packing.deleteDescription": "តើអ្នកពិតជារាយការណ៍ពីបុងបញ្ញើទាំងនេះមែនទេ?",</t>
        </is>
      </c>
      <c r="I2441" t="inlineStr">
        <is>
          <t>តើអ្នកពិតជារាយការណ៍ពីបុងបញ្ញើទាំងនេះមែនទេ?</t>
        </is>
      </c>
    </row>
    <row r="2442">
      <c r="A2442" s="3" t="inlineStr">
        <is>
          <t>delivery.warehouse.packing.deleteOrder</t>
        </is>
      </c>
      <c r="B2442" s="3" t="inlineStr">
        <is>
          <t>Loại bỏ</t>
        </is>
      </c>
      <c r="C2442" s="3" t="inlineStr">
        <is>
          <t>Remove</t>
        </is>
      </c>
      <c r="D2442" s="217">
        <f>IFERROR(__xludf.DUMMYFUNCTION("GOOGLETRANSLATE(C2442,""vi"",""km"")"),"ដ៏ធំសម្បើម")</f>
        <v/>
      </c>
      <c r="E2442" s="3" t="n"/>
      <c r="F2442" s="3" t="inlineStr">
        <is>
          <t>ដ៏ធំសម្បើម</t>
        </is>
      </c>
      <c r="G2442" s="3" t="n"/>
      <c r="H2442" s="217" t="inlineStr">
        <is>
          <t>"delivery.warehouse.packing.deleteOrder": "ដ៏ធំសម្បើម",</t>
        </is>
      </c>
      <c r="I2442" t="inlineStr">
        <is>
          <t>ដ៏ធំសម្បើម</t>
        </is>
      </c>
    </row>
    <row r="2443">
      <c r="A2443" s="3" t="inlineStr">
        <is>
          <t>delivery.warehouse.packing.deleteSelectedOrder</t>
        </is>
      </c>
      <c r="B2443" s="3" t="inlineStr">
        <is>
          <t>Xoá đơn đã chọn</t>
        </is>
      </c>
      <c r="C2443" s="3" t="inlineStr">
        <is>
          <t>Delete selected order</t>
        </is>
      </c>
      <c r="D2443" s="217">
        <f>IFERROR(__xludf.DUMMYFUNCTION("GOOGLETRANSLATE(C2443,""vi"",""km"")"),"លុបការបញ្ជាទិញដែលបានជ្រើសរើស")</f>
        <v/>
      </c>
      <c r="E2443" s="3" t="n"/>
      <c r="F2443" s="3" t="inlineStr">
        <is>
          <t>លុបការបញ្ជាទិញដែលបានជ្រើសរើស</t>
        </is>
      </c>
      <c r="G2443" s="3" t="n"/>
      <c r="H2443" s="217" t="inlineStr">
        <is>
          <t>"delivery.warehouse.packing.deleteSelectedOrder": "លុបការបញ្ជាទិញដែលបានជ្រើសរើស",</t>
        </is>
      </c>
      <c r="I2443" t="inlineStr">
        <is>
          <t>លុបការបញ្ជាទិញដែលបានជ្រើសរើស</t>
        </is>
      </c>
    </row>
    <row r="2444">
      <c r="A2444" s="3" t="inlineStr">
        <is>
          <t>delivery.warehouse.packing.destination</t>
        </is>
      </c>
      <c r="B2444" s="3" t="inlineStr">
        <is>
          <t>Điểm đến</t>
        </is>
      </c>
      <c r="C2444" s="3" t="inlineStr">
        <is>
          <t>Destination</t>
        </is>
      </c>
      <c r="D2444" s="217">
        <f>IFERROR(__xludf.DUMMYFUNCTION("GOOGLETRANSLATE(C2444,""vi"",""km"")"),"គោលដៅ")</f>
        <v/>
      </c>
      <c r="E2444" s="3" t="n"/>
      <c r="F2444" s="3" t="inlineStr">
        <is>
          <t>គោលដៅ</t>
        </is>
      </c>
      <c r="G2444" s="3" t="n"/>
      <c r="H2444" s="217" t="inlineStr">
        <is>
          <t>"delivery.warehouse.packing.destination": "គោលដៅ",</t>
        </is>
      </c>
      <c r="I2444" t="inlineStr">
        <is>
          <t>គោលដៅ</t>
        </is>
      </c>
    </row>
    <row r="2445">
      <c r="A2445" s="3" t="inlineStr">
        <is>
          <t>delivery.warehouse.packing.detailDestination</t>
        </is>
      </c>
      <c r="B2445" s="3" t="inlineStr">
        <is>
          <t>Chi tiết điểm đến</t>
        </is>
      </c>
      <c r="C2445" s="3" t="inlineStr">
        <is>
          <t>Destination details</t>
        </is>
      </c>
      <c r="D2445" s="217">
        <f>IFERROR(__xludf.DUMMYFUNCTION("GOOGLETRANSLATE(C2445,""vi"",""km"")"),"ព័ត៌មានលម្អិតអំពីគោលដៅ")</f>
        <v/>
      </c>
      <c r="E2445" s="3" t="n"/>
      <c r="F2445" s="3" t="inlineStr">
        <is>
          <t>ព័ត៌មានលម្អិតអំពីគោលដៅ</t>
        </is>
      </c>
      <c r="G2445" s="3" t="n"/>
      <c r="H2445" s="217" t="inlineStr">
        <is>
          <t>"delivery.warehouse.packing.detailDestination": "ព័ត៌មានលម្អិតអំពីគោលដៅ",</t>
        </is>
      </c>
      <c r="I2445" t="inlineStr">
        <is>
          <t>ព័ត៌មានលម្អិតអំពីគោលដៅ</t>
        </is>
      </c>
    </row>
    <row r="2446">
      <c r="A2446" s="3" t="inlineStr">
        <is>
          <t>delivery.warehouse.packing.detailPacking</t>
        </is>
      </c>
      <c r="B2446" s="3" t="inlineStr">
        <is>
          <t>Chi tiết tải</t>
        </is>
      </c>
      <c r="C2446" s="3" t="inlineStr">
        <is>
          <t>Package details</t>
        </is>
      </c>
      <c r="D2446" s="217">
        <f>IFERROR(__xludf.DUMMYFUNCTION("GOOGLETRANSLATE(C2446,""vi"",""km"")"),"ព័ត៌មានលម្អិតអំពីកញ្ចប់")</f>
        <v/>
      </c>
      <c r="E2446" s="3" t="n"/>
      <c r="F2446" s="3" t="inlineStr">
        <is>
          <t>ព័ត៌មានលម្អិតអំពីកញ្ចប់</t>
        </is>
      </c>
      <c r="G2446" s="3" t="n"/>
      <c r="H2446" s="217" t="inlineStr">
        <is>
          <t>"delivery.warehouse.packing.detailPacking": "ព័ត៌មានលម្អិតអំពីកញ្ចប់",</t>
        </is>
      </c>
      <c r="I2446" t="inlineStr">
        <is>
          <t>ព័ត៌មានលម្អិតអំពីកញ្ចប់</t>
        </is>
      </c>
    </row>
    <row r="2447">
      <c r="A2447" s="3" t="inlineStr">
        <is>
          <t>delivery.warehouse.packing.direct</t>
        </is>
      </c>
      <c r="B2447" s="3" t="inlineStr">
        <is>
          <t>Trực tiếp</t>
        </is>
      </c>
      <c r="C2447" s="3" t="inlineStr">
        <is>
          <t>On-site</t>
        </is>
      </c>
      <c r="D2447" s="217">
        <f>IFERROR(__xludf.DUMMYFUNCTION("GOOGLETRANSLATE(C2447,""vi"",""km"")"),"នៅនឹងកន្លែង")</f>
        <v/>
      </c>
      <c r="E2447" s="3" t="n"/>
      <c r="F2447" s="3" t="inlineStr">
        <is>
          <t>នៅនឹងកន្លែង</t>
        </is>
      </c>
      <c r="G2447" s="3" t="n"/>
      <c r="H2447" s="217" t="inlineStr">
        <is>
          <t>"delivery.warehouse.packing.direct": "នៅនឹងកន្លែង",</t>
        </is>
      </c>
      <c r="I2447" t="inlineStr">
        <is>
          <t>នៅនឹងកន្លែង</t>
        </is>
      </c>
    </row>
    <row r="2448">
      <c r="A2448" s="3" t="inlineStr">
        <is>
          <t>delivery.warehouse.packing.emptyAddOrder</t>
        </is>
      </c>
      <c r="B2448" s="3" t="inlineStr">
        <is>
          <t>Vui lòng nhập mã phiếu gửi</t>
        </is>
      </c>
      <c r="C2448" s="3" t="inlineStr">
        <is>
          <t>Please enter the postal slip code</t>
        </is>
      </c>
      <c r="D2448" s="217">
        <f>IFERROR(__xludf.DUMMYFUNCTION("GOOGLETRANSLATE(C2448,""vi"",""km"")"),"សូមបញ្ចូលលេខកូដប្រៃសណីយ៍")</f>
        <v/>
      </c>
      <c r="E2448" s="3" t="n"/>
      <c r="F2448" s="3" t="inlineStr">
        <is>
          <t>សូមបញ្ចូលលេខកូដប្រៃសណីយ៍</t>
        </is>
      </c>
      <c r="G2448" s="3" t="n"/>
      <c r="H2448" s="217" t="inlineStr">
        <is>
          <t>"delivery.warehouse.packing.emptyAddOrder": "សូមបញ្ចូលលេខកូដប្រៃសណីយ៍",</t>
        </is>
      </c>
      <c r="I2448" t="inlineStr">
        <is>
          <t>សូមបញ្ចូលលេខកូដប្រៃសណីយ៍</t>
        </is>
      </c>
    </row>
    <row r="2449">
      <c r="A2449" s="3" t="inlineStr">
        <is>
          <t>delivery.warehouse.packing.emptyOrder</t>
        </is>
      </c>
      <c r="B2449" s="3" t="inlineStr">
        <is>
          <t>Vui lòng chọn đơn cần in</t>
        </is>
      </c>
      <c r="C2449" s="3" t="inlineStr">
        <is>
          <t>Please select the order to print</t>
        </is>
      </c>
      <c r="D2449" s="217">
        <f>IFERROR(__xludf.DUMMYFUNCTION("GOOGLETRANSLATE(C2449,""vi"",""km"")"),"សូមជ្រើសរើសការបញ្ជាទិញដើម្បីបោះពុម្ព")</f>
        <v/>
      </c>
      <c r="E2449" s="3" t="n"/>
      <c r="F2449" s="3" t="inlineStr">
        <is>
          <t>សូមជ្រើសរើសការបញ្ជាទិញដើម្បីព្រីន</t>
        </is>
      </c>
      <c r="G2449" s="3" t="n"/>
      <c r="H2449" s="217" t="inlineStr">
        <is>
          <t>"delivery.warehouse.packing.emptyOrder": "សូមជ្រើសរើសការបញ្ជាទិញដើម្បីព្រីន",</t>
        </is>
      </c>
      <c r="I2449" t="inlineStr">
        <is>
          <t>សូមជ្រើសរើសការបញ្ជាទិញដើម្បីព្រីន</t>
        </is>
      </c>
    </row>
    <row r="2450">
      <c r="A2450" s="3" t="inlineStr">
        <is>
          <t>delivery.warehouse.packing.emptyPacking</t>
        </is>
      </c>
      <c r="B2450" s="3" t="inlineStr">
        <is>
          <t>Vui lòng chọn tải cần in</t>
        </is>
      </c>
      <c r="C2450" s="3" t="inlineStr">
        <is>
          <t>Please select the package to print</t>
        </is>
      </c>
      <c r="D2450" s="217">
        <f>IFERROR(__xludf.DUMMYFUNCTION("GOOGLETRANSLATE(C2450,""vi"",""km"")"),"សូមជ្រើសរើសកញ្ចប់ដើម្បីបោះពុម្ព")</f>
        <v/>
      </c>
      <c r="E2450" s="3" t="n"/>
      <c r="F2450" s="3" t="inlineStr">
        <is>
          <t>សូមជ្រើសរើសកញ្ចប់ដើម្បីព្រីន</t>
        </is>
      </c>
      <c r="G2450" s="3" t="n"/>
      <c r="H2450" s="217" t="inlineStr">
        <is>
          <t>"delivery.warehouse.packing.emptyPacking": "សូមជ្រើសរើសកញ្ចប់ដើម្បីព្រីន",</t>
        </is>
      </c>
      <c r="I2450" t="inlineStr">
        <is>
          <t>សូមជ្រើសរើសកញ្ចប់ដើម្បីព្រីន</t>
        </is>
      </c>
    </row>
    <row r="2451">
      <c r="A2451" s="3" t="inlineStr">
        <is>
          <t>delivery.warehouse.packing.enterDestination</t>
        </is>
      </c>
      <c r="B2451" s="3" t="inlineStr">
        <is>
          <t>Nhập điểm đến</t>
        </is>
      </c>
      <c r="C2451" s="3" t="inlineStr">
        <is>
          <t>Enter destination</t>
        </is>
      </c>
      <c r="D2451" s="217">
        <f>IFERROR(__xludf.DUMMYFUNCTION("GOOGLETRANSLATE(C2451,""vi"",""km"")"),"បញ្ចូលគោលដៅ")</f>
        <v/>
      </c>
      <c r="E2451" s="3" t="n"/>
      <c r="F2451" s="3" t="inlineStr">
        <is>
          <t>បញ្ចូលគោលដៅ</t>
        </is>
      </c>
      <c r="G2451" s="3" t="n"/>
      <c r="H2451" s="217" t="inlineStr">
        <is>
          <t>"delivery.warehouse.packing.enterDestination": "បញ្ចូលគោលដៅ",</t>
        </is>
      </c>
      <c r="I2451" t="inlineStr">
        <is>
          <t>បញ្ចូលគោលដៅ</t>
        </is>
      </c>
    </row>
    <row r="2452">
      <c r="A2452" s="3" t="inlineStr">
        <is>
          <t>delivery.warehouse.packing.enterNote</t>
        </is>
      </c>
      <c r="B2452" s="3" t="inlineStr">
        <is>
          <t>Nhập nội dung ghi chú</t>
        </is>
      </c>
      <c r="C2452" s="3" t="inlineStr">
        <is>
          <t>Note here</t>
        </is>
      </c>
      <c r="D2452" s="217">
        <f>IFERROR(__xludf.DUMMYFUNCTION("GOOGLETRANSLATE(C2452,""vi"",""km"")"),"ចំណាំនៅទីនេះ")</f>
        <v/>
      </c>
      <c r="E2452" s="3" t="n"/>
      <c r="F2452" s="3" t="inlineStr">
        <is>
          <t>ចំណាំនៅទីនេះ</t>
        </is>
      </c>
      <c r="G2452" s="3" t="n"/>
      <c r="H2452" s="217" t="inlineStr">
        <is>
          <t>"delivery.warehouse.packing.enterNote": "ចំណាំនៅទីនេះ",</t>
        </is>
      </c>
      <c r="I2452" t="inlineStr">
        <is>
          <t>ចំណាំនៅទីនេះ</t>
        </is>
      </c>
    </row>
    <row r="2453">
      <c r="A2453" s="3" t="inlineStr">
        <is>
          <t>delivery.warehouse.packing.enterOrderAndDestination</t>
        </is>
      </c>
      <c r="B2453" s="3" t="inlineStr">
        <is>
          <t>Nhập điểm đến, mã tải</t>
        </is>
      </c>
      <c r="C2453" s="3" t="inlineStr">
        <is>
          <t>Enter destination, package code</t>
        </is>
      </c>
      <c r="D2453" s="217">
        <f>IFERROR(__xludf.DUMMYFUNCTION("GOOGLETRANSLATE(C2453,""vi"",""km"")"),"បញ្ចូលគោលដៅ និងលេខកូដកញ្ចប់")</f>
        <v/>
      </c>
      <c r="E2453" s="3" t="n"/>
      <c r="F2453" s="3" t="inlineStr">
        <is>
          <t>បញ្ចូលគោលដៅ និងលេខកូដកញ្ចប់</t>
        </is>
      </c>
      <c r="G2453" s="3" t="n"/>
      <c r="H2453" s="217" t="inlineStr">
        <is>
          <t>"delivery.warehouse.packing.enterOrderAndDestination": "បញ្ចូលគោលដៅ និងលេខកូដកញ្ចប់",</t>
        </is>
      </c>
      <c r="I2453" t="inlineStr">
        <is>
          <t>បញ្ចូលគោលដៅ និងលេខកូដកញ្ចប់</t>
        </is>
      </c>
    </row>
    <row r="2454">
      <c r="A2454" s="3" t="inlineStr">
        <is>
          <t>delivery.warehouse.packing.enterOrderCode</t>
        </is>
      </c>
      <c r="B2454" s="3" t="inlineStr">
        <is>
          <t>Nhập mã phiếu gửi</t>
        </is>
      </c>
      <c r="C2454" s="3" t="inlineStr">
        <is>
          <t>Enter postal slip code</t>
        </is>
      </c>
      <c r="D2454" s="217">
        <f>IFERROR(__xludf.DUMMYFUNCTION("GOOGLETRANSLATE(C2454,""vi"",""km"")"),"បញ្ចូលលេខកូដប្រៃសណីយ៍")</f>
        <v/>
      </c>
      <c r="E2454" s="3" t="n"/>
      <c r="F2454" s="3" t="inlineStr">
        <is>
          <t>បញ្ចូលលេខកូដប្រៃសណីយ៍</t>
        </is>
      </c>
      <c r="G2454" s="3" t="n"/>
      <c r="H2454" s="217" t="inlineStr">
        <is>
          <t>"delivery.warehouse.packing.enterOrderCode": "បញ្ចូលលេខកូដប្រៃសណីយ៍",</t>
        </is>
      </c>
      <c r="I2454" t="inlineStr">
        <is>
          <t>បញ្ចូលលេខកូដប្រៃសណីយ៍</t>
        </is>
      </c>
    </row>
    <row r="2455">
      <c r="A2455" s="3" t="inlineStr">
        <is>
          <t>delivery.warehouse.packing.enterOrderCodeToAdd</t>
        </is>
      </c>
      <c r="B2455" s="3" t="inlineStr">
        <is>
          <t>Nhập mã phiếu gửi để quét</t>
        </is>
      </c>
      <c r="C2455" s="3" t="inlineStr">
        <is>
          <t>Enter postal slip code to scan</t>
        </is>
      </c>
      <c r="D2455" s="217">
        <f>IFERROR(__xludf.DUMMYFUNCTION("GOOGLETRANSLATE(C2455,""vi"",""km"")"),"បញ្ចូលលេខកូដប្រៃសណីយ៍ដើម្បីស្កេន")</f>
        <v/>
      </c>
      <c r="E2455" s="3" t="n"/>
      <c r="F2455" s="3" t="inlineStr">
        <is>
          <t>បញ្ចូលលេខកូដប្រៃសណីយ៍ដើម្បីស្កេន</t>
        </is>
      </c>
      <c r="G2455" s="3" t="n"/>
      <c r="H2455" s="217" t="inlineStr">
        <is>
          <t>"delivery.warehouse.packing.enterOrderCodeToAdd": "បញ្ចូលលេខកូដប្រៃសណីយ៍ដើម្បីស្កេន",</t>
        </is>
      </c>
      <c r="I2455" t="inlineStr">
        <is>
          <t>បញ្ចូលលេខកូដប្រៃសណីយ៍ដើម្បីស្កេន</t>
        </is>
      </c>
    </row>
    <row r="2456">
      <c r="A2456" s="3" t="inlineStr">
        <is>
          <t>delivery.warehouse.packing.enterPackageAndDestination</t>
        </is>
      </c>
      <c r="B2456" s="3" t="inlineStr">
        <is>
          <t>Nhập mã tải hoặc điểm đến</t>
        </is>
      </c>
      <c r="C2456" s="3" t="inlineStr">
        <is>
          <t>Enter the package code or destination</t>
        </is>
      </c>
      <c r="D2456" s="217">
        <f>IFERROR(__xludf.DUMMYFUNCTION("GOOGLETRANSLATE(C2456,""vi"",""km"")"),"បញ្ចូលលេខកូដកញ្ចប់ ឬគោលដៅ")</f>
        <v/>
      </c>
      <c r="E2456" s="3" t="n"/>
      <c r="F2456" s="3" t="inlineStr">
        <is>
          <t>បញ្ចូលលេខកូដកញ្ចប់ ឬគោលដៅ</t>
        </is>
      </c>
      <c r="G2456" s="3" t="n"/>
      <c r="H2456" s="217" t="inlineStr">
        <is>
          <t>"delivery.warehouse.packing.enterPackageAndDestination": "បញ្ចូលលេខកូដកញ្ចប់ ឬគោលដៅ",</t>
        </is>
      </c>
      <c r="I2456" t="inlineStr">
        <is>
          <t>បញ្ចូលលេខកូដកញ្ចប់ ឬគោលដៅ</t>
        </is>
      </c>
    </row>
    <row r="2457">
      <c r="A2457" s="3" t="inlineStr">
        <is>
          <t>delivery.warehouse.packing.groupService</t>
        </is>
      </c>
      <c r="B2457" s="3" t="inlineStr">
        <is>
          <t>Nhóm dịch vụ</t>
        </is>
      </c>
      <c r="C2457" s="3" t="inlineStr">
        <is>
          <t>Service Group</t>
        </is>
      </c>
      <c r="D2457" s="217">
        <f>IFERROR(__xludf.DUMMYFUNCTION("GOOGLETRANSLATE(C2457,""vi"",""km"")"),"ក្រុមសេវាកម្ម")</f>
        <v/>
      </c>
      <c r="E2457" s="3" t="n"/>
      <c r="F2457" s="3" t="inlineStr">
        <is>
          <t>ក្រុមសេវាកម្ម</t>
        </is>
      </c>
      <c r="G2457" s="3" t="n"/>
      <c r="H2457" s="217" t="inlineStr">
        <is>
          <t>"delivery.warehouse.packing.groupService": "ក្រុមសេវាកម្ម",</t>
        </is>
      </c>
      <c r="I2457" t="inlineStr">
        <is>
          <t>ក្រុមសេវាកម្ម</t>
        </is>
      </c>
    </row>
    <row r="2458">
      <c r="A2458" s="3" t="inlineStr">
        <is>
          <t>delivery.warehouse.packing.groupmanually</t>
        </is>
      </c>
      <c r="B2458" s="3" t="inlineStr">
        <is>
          <t>Gom bưu</t>
        </is>
      </c>
      <c r="C2458" s="3" t="inlineStr">
        <is>
          <t>Group order</t>
        </is>
      </c>
      <c r="D2458" s="217">
        <f>IFERROR(__xludf.DUMMYFUNCTION("GOOGLETRANSLATE(C2458,""vi"",""km"")"),"លំដាប់ក្រុម")</f>
        <v/>
      </c>
      <c r="E2458" s="3" t="n"/>
      <c r="F2458" s="3" t="inlineStr">
        <is>
          <t>ប្រមូលផ្តុំកញ្ចប់បញ្ញើ</t>
        </is>
      </c>
      <c r="G2458" s="3" t="n"/>
      <c r="H2458" s="217" t="inlineStr">
        <is>
          <t>"delivery.warehouse.packing.groupmanually": "ប្រមូលផ្តុំកញ្ចប់បញ្ញើ",</t>
        </is>
      </c>
      <c r="I2458" t="inlineStr">
        <is>
          <t>ប្រមូលផ្តុំកញ្ចប់បញ្ញើ</t>
        </is>
      </c>
    </row>
    <row r="2459">
      <c r="A2459" s="3" t="inlineStr">
        <is>
          <t>delivery.warehouse.packing.line</t>
        </is>
      </c>
      <c r="B2459" s="3" t="inlineStr">
        <is>
          <t>Cấu hình</t>
        </is>
      </c>
      <c r="C2459" s="3" t="inlineStr">
        <is>
          <t>Configuration</t>
        </is>
      </c>
      <c r="D2459" s="217">
        <f>IFERROR(__xludf.DUMMYFUNCTION("GOOGLETRANSLATE(C2459,""vi"",""km"")"),"ការកំណត់រចនាសម្ព័ន្ធ")</f>
        <v/>
      </c>
      <c r="E2459" s="3" t="n"/>
      <c r="F2459" s="3" t="inlineStr">
        <is>
          <t>ការកំណត់រចនាសម្ព័ន្ធ</t>
        </is>
      </c>
      <c r="G2459" s="3" t="n"/>
      <c r="H2459" s="217" t="inlineStr">
        <is>
          <t>"delivery.warehouse.packing.line": "ការកំណត់រចនាសម្ព័ន្ធ",</t>
        </is>
      </c>
      <c r="I2459" t="inlineStr">
        <is>
          <t>ការកំណត់រចនាសម្ព័ន្ធ</t>
        </is>
      </c>
    </row>
    <row r="2460">
      <c r="A2460" s="3" t="inlineStr">
        <is>
          <t>delivery.warehouse.packing.listType</t>
        </is>
      </c>
      <c r="B2460" s="3" t="inlineStr">
        <is>
          <t>Loại bảng kê</t>
        </is>
      </c>
      <c r="C2460" s="3" t="inlineStr">
        <is>
          <t>Checklist type</t>
        </is>
      </c>
      <c r="D2460" s="217">
        <f>IFERROR(__xludf.DUMMYFUNCTION("GOOGLETRANSLATE(C2460,""vi"",""km"")"),"ប្រភេទបញ្ជីត្រួតពិនិត្យ")</f>
        <v/>
      </c>
      <c r="E2460" s="3" t="n"/>
      <c r="F2460" s="3" t="inlineStr">
        <is>
          <t>ប្រភេទបញ្ជីត្រួតពិនិត្យ</t>
        </is>
      </c>
      <c r="G2460" s="3" t="n"/>
      <c r="H2460" s="217" t="inlineStr">
        <is>
          <t>"delivery.warehouse.packing.listType": "ប្រភេទបញ្ជីត្រួតពិនិត្យ",</t>
        </is>
      </c>
      <c r="I2460" t="inlineStr">
        <is>
          <t>ប្រភេទបញ្ជីត្រួតពិនិត្យ</t>
        </is>
      </c>
    </row>
    <row r="2461">
      <c r="A2461" s="3" t="inlineStr">
        <is>
          <t>delivery.warehouse.packing.note</t>
        </is>
      </c>
      <c r="B2461" s="3" t="inlineStr">
        <is>
          <t>Ghi chú</t>
        </is>
      </c>
      <c r="C2461" s="3" t="inlineStr">
        <is>
          <t>Note</t>
        </is>
      </c>
      <c r="D2461" s="217">
        <f>IFERROR(__xludf.DUMMYFUNCTION("GOOGLETRANSLATE(C2461,""vi"",""km"")"),"កំណត់ចំណាំ")</f>
        <v/>
      </c>
      <c r="E2461" s="3" t="n"/>
      <c r="F2461" s="3" t="inlineStr">
        <is>
          <t>ចំណាំ</t>
        </is>
      </c>
      <c r="G2461" s="3" t="n"/>
      <c r="H2461" s="217" t="inlineStr">
        <is>
          <t>"delivery.warehouse.packing.note": "ចំណាំ",</t>
        </is>
      </c>
      <c r="I2461" t="inlineStr">
        <is>
          <t>ចំណាំ</t>
        </is>
      </c>
    </row>
    <row r="2462">
      <c r="A2462" s="3" t="inlineStr">
        <is>
          <t>delivery.warehouse.packing.orderCode</t>
        </is>
      </c>
      <c r="B2462" s="3" t="inlineStr">
        <is>
          <t>Mã phiếu gửi</t>
        </is>
      </c>
      <c r="C2462" s="3" t="inlineStr">
        <is>
          <t>Postal slip code</t>
        </is>
      </c>
      <c r="D2462" s="217">
        <f>IFERROR(__xludf.DUMMYFUNCTION("GOOGLETRANSLATE(C2462,""vi"",""km"")"),"លេខកូដប្រៃសណីយ៍")</f>
        <v/>
      </c>
      <c r="E2462" s="3" t="n"/>
      <c r="F2462" s="3" t="inlineStr">
        <is>
          <t>លេខកូដបុងបញ្ញើ</t>
        </is>
      </c>
      <c r="G2462" s="3" t="n"/>
      <c r="H2462" s="217" t="inlineStr">
        <is>
          <t>"delivery.warehouse.packing.orderCode": "លេខកូដបុងបញ្ញើ",</t>
        </is>
      </c>
      <c r="I2462" t="inlineStr">
        <is>
          <t>លេខកូដបុងបញ្ញើ</t>
        </is>
      </c>
    </row>
    <row r="2463">
      <c r="A2463" s="3" t="inlineStr">
        <is>
          <t>delivery.warehouse.packing.orderType</t>
        </is>
      </c>
      <c r="B2463" s="3" t="inlineStr">
        <is>
          <t>Loại hàng hoá</t>
        </is>
      </c>
      <c r="C2463" s="3" t="inlineStr">
        <is>
          <t>Freight types</t>
        </is>
      </c>
      <c r="D2463" s="217">
        <f>IFERROR(__xludf.DUMMYFUNCTION("GOOGLETRANSLATE(C2463,""vi"",""km"")"),"ប្រភេទទំនិញ")</f>
        <v/>
      </c>
      <c r="E2463" s="3" t="n"/>
      <c r="F2463" s="3" t="inlineStr">
        <is>
          <t>ប្រភេទទំនិញ</t>
        </is>
      </c>
      <c r="G2463" s="3" t="n"/>
      <c r="H2463" s="217" t="inlineStr">
        <is>
          <t>"delivery.warehouse.packing.orderType": "ប្រភេទទំនិញ",</t>
        </is>
      </c>
      <c r="I2463" t="inlineStr">
        <is>
          <t>ប្រភេទទំនិញ</t>
        </is>
      </c>
    </row>
    <row r="2464">
      <c r="A2464" s="3" t="inlineStr">
        <is>
          <t>delivery.warehouse.packing.packageComplete</t>
        </is>
      </c>
      <c r="B2464" s="3" t="inlineStr">
        <is>
          <t>Đã đóng</t>
        </is>
      </c>
      <c r="C2464" s="3" t="inlineStr">
        <is>
          <t>Packed</t>
        </is>
      </c>
      <c r="D2464" s="217">
        <f>IFERROR(__xludf.DUMMYFUNCTION("GOOGLETRANSLATE(C2464,""vi"",""km"")"),"វេចខ្ចប់រួច")</f>
        <v/>
      </c>
      <c r="E2464" s="3" t="n"/>
      <c r="F2464" s="3" t="inlineStr">
        <is>
          <t>បានច្រកបាវរួចរាល់</t>
        </is>
      </c>
      <c r="G2464" s="3" t="n"/>
      <c r="H2464" s="217" t="inlineStr">
        <is>
          <t>"delivery.warehouse.packing.packageComplete": "បានច្រកបាវរួចរាល់",</t>
        </is>
      </c>
      <c r="I2464" t="inlineStr">
        <is>
          <t>បានច្រកបាវរួចរាល់</t>
        </is>
      </c>
    </row>
    <row r="2465">
      <c r="A2465" s="3" t="inlineStr">
        <is>
          <t>delivery.warehouse.packing.packageIncomplete</t>
        </is>
      </c>
      <c r="B2465" s="3" t="inlineStr">
        <is>
          <t>Chưa đóng</t>
        </is>
      </c>
      <c r="C2465" s="3" t="inlineStr">
        <is>
          <t>Incomplete</t>
        </is>
      </c>
      <c r="D2465" s="217">
        <f>IFERROR(__xludf.DUMMYFUNCTION("GOOGLETRANSLATE(C2465,""vi"",""km"")"),"មិនពេញលេញ")</f>
        <v/>
      </c>
      <c r="E2465" s="3" t="n"/>
      <c r="F2465" s="3" t="inlineStr">
        <is>
          <t>មិនទាន់ច្រកបាវ</t>
        </is>
      </c>
      <c r="G2465" s="3" t="n"/>
      <c r="H2465" s="217" t="inlineStr">
        <is>
          <t>"delivery.warehouse.packing.packageIncomplete": "មិនទាន់ច្រកបាវ",</t>
        </is>
      </c>
      <c r="I2465" t="inlineStr">
        <is>
          <t>មិនទាន់ច្រកបាវ</t>
        </is>
      </c>
    </row>
    <row r="2466">
      <c r="A2466" s="3" t="inlineStr">
        <is>
          <t>delivery.warehouse.packing.packageIncompleteList</t>
        </is>
      </c>
      <c r="B2466" s="3" t="inlineStr">
        <is>
          <t>Danh sách chưa đóng</t>
        </is>
      </c>
      <c r="C2466" s="3" t="inlineStr">
        <is>
          <t>Incomplete list</t>
        </is>
      </c>
      <c r="D2466" s="217">
        <f>IFERROR(__xludf.DUMMYFUNCTION("GOOGLETRANSLATE(C2466,""vi"",""km"")"),"បញ្ជីមិនពេញលេញ")</f>
        <v/>
      </c>
      <c r="E2466" s="3" t="n"/>
      <c r="F2466" s="3" t="inlineStr">
        <is>
          <t>បញ្ជីមិនពេញលេញ</t>
        </is>
      </c>
      <c r="G2466" s="3" t="n"/>
      <c r="H2466" s="217" t="inlineStr">
        <is>
          <t>"delivery.warehouse.packing.packageIncompleteList": "បញ្ជីមិនពេញលេញ",</t>
        </is>
      </c>
      <c r="I2466" t="inlineStr">
        <is>
          <t>បញ្ជីមិនពេញលេញ</t>
        </is>
      </c>
    </row>
    <row r="2467">
      <c r="A2467" s="3" t="inlineStr">
        <is>
          <t>delivery.warehouse.packing.packageProgress</t>
        </is>
      </c>
      <c r="B2467" s="3" t="inlineStr">
        <is>
          <t>Đang đóng</t>
        </is>
      </c>
      <c r="C2467" s="3" t="inlineStr">
        <is>
          <t>Packup in progress</t>
        </is>
      </c>
      <c r="D2467" s="217">
        <f>IFERROR(__xludf.DUMMYFUNCTION("GOOGLETRANSLATE(C2467,""vi"",""km"")"),"ការដំឡើងកំពុងដំណើរការ")</f>
        <v/>
      </c>
      <c r="E2467" s="3" t="n"/>
      <c r="F2467" s="3" t="inlineStr">
        <is>
          <t>កំពុងច្រកបាវ</t>
        </is>
      </c>
      <c r="G2467" s="3" t="n"/>
      <c r="H2467" s="217" t="inlineStr">
        <is>
          <t>"delivery.warehouse.packing.packageProgress": "កំពុងច្រកបាវ",</t>
        </is>
      </c>
      <c r="I2467" t="inlineStr">
        <is>
          <t>កំពុងច្រកបាវ</t>
        </is>
      </c>
    </row>
    <row r="2468">
      <c r="A2468" s="3" t="inlineStr">
        <is>
          <t>delivery.warehouse.packing.parcel</t>
        </is>
      </c>
      <c r="B2468" s="3" t="inlineStr">
        <is>
          <t>Hàng hoá</t>
        </is>
      </c>
      <c r="C2468" s="3" t="inlineStr">
        <is>
          <t>Goods</t>
        </is>
      </c>
      <c r="D2468" s="217">
        <f>IFERROR(__xludf.DUMMYFUNCTION("GOOGLETRANSLATE(C2468,""vi"",""km"")"),"ទំនិញ")</f>
        <v/>
      </c>
      <c r="E2468" s="3" t="n"/>
      <c r="F2468" s="3" t="inlineStr">
        <is>
          <t>ទំនិញ</t>
        </is>
      </c>
      <c r="G2468" s="3" t="n"/>
      <c r="H2468" s="217" t="inlineStr">
        <is>
          <t>"delivery.warehouse.packing.parcel": "ទំនិញ",</t>
        </is>
      </c>
      <c r="I2468" t="inlineStr">
        <is>
          <t>ទំនិញ</t>
        </is>
      </c>
    </row>
    <row r="2469">
      <c r="A2469" s="3" t="inlineStr">
        <is>
          <t>delivery.warehouse.packing.parcelCode</t>
        </is>
      </c>
      <c r="B2469" s="3" t="inlineStr">
        <is>
          <t>Mã tải</t>
        </is>
      </c>
      <c r="C2469" s="3" t="inlineStr">
        <is>
          <t>Pack code</t>
        </is>
      </c>
      <c r="D2469" s="217">
        <f>IFERROR(__xludf.DUMMYFUNCTION("GOOGLETRANSLATE(C2469,""vi"",""km"")"),"លេខកូដកញ្ចប់")</f>
        <v/>
      </c>
      <c r="E2469" s="3" t="n"/>
      <c r="F2469" s="3" t="inlineStr">
        <is>
          <t>លេខកូដកញ្ចប់</t>
        </is>
      </c>
      <c r="G2469" s="3" t="n"/>
      <c r="H2469" s="217" t="inlineStr">
        <is>
          <t>"delivery.warehouse.packing.parcelCode": "លេខកូដកញ្ចប់",</t>
        </is>
      </c>
      <c r="I2469" t="inlineStr">
        <is>
          <t>លេខកូដកញ្ចប់</t>
        </is>
      </c>
    </row>
    <row r="2470">
      <c r="A2470" s="3" t="inlineStr">
        <is>
          <t>delivery.warehouse.packing.parcelSackCode</t>
        </is>
      </c>
      <c r="B2470" s="3" t="inlineStr">
        <is>
          <t>Mã tải kiện</t>
        </is>
      </c>
      <c r="C2470" s="3" t="inlineStr">
        <is>
          <t>Package code</t>
        </is>
      </c>
      <c r="D2470" s="217">
        <f>IFERROR(__xludf.DUMMYFUNCTION("GOOGLETRANSLATE(C2470,""vi"",""km"")"),"លេខកូដកញ្ចប់")</f>
        <v/>
      </c>
      <c r="E2470" s="3" t="n"/>
      <c r="F2470" s="3" t="inlineStr">
        <is>
          <t>លេខកូដកញ្ចប់</t>
        </is>
      </c>
      <c r="G2470" s="3" t="n"/>
      <c r="H2470" s="217" t="inlineStr">
        <is>
          <t>"delivery.warehouse.packing.parcelSackCode": "លេខកូដកញ្ចប់",</t>
        </is>
      </c>
      <c r="I2470" t="inlineStr">
        <is>
          <t>លេខកូដកញ្ចប់</t>
        </is>
      </c>
    </row>
    <row r="2471">
      <c r="A2471" s="3" t="inlineStr">
        <is>
          <t>delivery.warehouse.packing.parcelType</t>
        </is>
      </c>
      <c r="B2471" s="3" t="inlineStr">
        <is>
          <t>Loại hàng hoá</t>
        </is>
      </c>
      <c r="C2471" s="3" t="inlineStr">
        <is>
          <t>Freight types</t>
        </is>
      </c>
      <c r="D2471" s="217">
        <f>IFERROR(__xludf.DUMMYFUNCTION("GOOGLETRANSLATE(C2471,""vi"",""km"")"),"ប្រភេទទំនិញ")</f>
        <v/>
      </c>
      <c r="E2471" s="3" t="n"/>
      <c r="F2471" s="3" t="inlineStr">
        <is>
          <t>ប្រភេទទំនិញ</t>
        </is>
      </c>
      <c r="G2471" s="3" t="n"/>
      <c r="H2471" s="217" t="inlineStr">
        <is>
          <t>"delivery.warehouse.packing.parcelType": "ប្រភេទទំនិញ",</t>
        </is>
      </c>
      <c r="I2471" t="inlineStr">
        <is>
          <t>ប្រភេទទំនិញ</t>
        </is>
      </c>
    </row>
    <row r="2472">
      <c r="A2472" s="3" t="inlineStr">
        <is>
          <t>delivery.warehouse.packing.postalCodeAddress</t>
        </is>
      </c>
      <c r="B2472" s="3" t="inlineStr">
        <is>
          <t>Bưu cục đến</t>
        </is>
      </c>
      <c r="C2472" s="3" t="inlineStr">
        <is>
          <t>Receiving post office</t>
        </is>
      </c>
      <c r="D2472" s="217">
        <f>IFERROR(__xludf.DUMMYFUNCTION("GOOGLETRANSLATE(C2472,""vi"",""km"")"),"ទទួលសំបុត្រប្រៃសណីយ៍")</f>
        <v/>
      </c>
      <c r="E2472" s="3" t="n"/>
      <c r="F2472" s="3" t="inlineStr">
        <is>
          <t>ការិយាល័យប្រៃសណីយ៍គោលដៅ</t>
        </is>
      </c>
      <c r="G2472" s="3" t="n"/>
      <c r="H2472" s="217" t="inlineStr">
        <is>
          <t>"delivery.warehouse.packing.postalCodeAddress": "ការិយាល័យប្រៃសណីយ៍គោលដៅ",</t>
        </is>
      </c>
      <c r="I2472" t="inlineStr">
        <is>
          <t>ការិយាល័យប្រៃសណីយ៍គោលដៅ</t>
        </is>
      </c>
    </row>
    <row r="2473">
      <c r="A2473" s="3" t="inlineStr">
        <is>
          <t>delivery.warehouse.packing.print</t>
        </is>
      </c>
      <c r="B2473" s="3" t="inlineStr">
        <is>
          <t>In đơn</t>
        </is>
      </c>
      <c r="C2473" s="3" t="inlineStr">
        <is>
          <t>Print</t>
        </is>
      </c>
      <c r="D2473" s="217">
        <f>IFERROR(__xludf.DUMMYFUNCTION("GOOGLETRANSLATE(C2473,""vi"",""km"")"),"ជើងហោះហើរ")</f>
        <v/>
      </c>
      <c r="E2473" s="3" t="n"/>
      <c r="F2473" s="3" t="inlineStr">
        <is>
          <t>ជើងហោះហើរ</t>
        </is>
      </c>
      <c r="G2473" s="3" t="n"/>
      <c r="H2473" s="217" t="inlineStr">
        <is>
          <t>"delivery.warehouse.packing.print": "ជើងហោះហើរ",</t>
        </is>
      </c>
      <c r="I2473" t="inlineStr">
        <is>
          <t>ជើងហោះហើរ</t>
        </is>
      </c>
    </row>
    <row r="2474">
      <c r="A2474" s="3" t="inlineStr">
        <is>
          <t>delivery.warehouse.packing.printDescription1</t>
        </is>
      </c>
      <c r="B2474" s="3" t="inlineStr">
        <is>
          <t>Bạn đã chọn</t>
        </is>
      </c>
      <c r="C2474" s="3" t="inlineStr">
        <is>
          <t>You have selected</t>
        </is>
      </c>
      <c r="D2474" s="217">
        <f>IFERROR(__xludf.DUMMYFUNCTION("GOOGLETRANSLATE(C2474,""vi"",""km"")"),"អ្នកបានជ្រើសរើស")</f>
        <v/>
      </c>
      <c r="E2474" s="3" t="n"/>
      <c r="F2474" s="3" t="inlineStr">
        <is>
          <t>អ្នកបានជ្រើសរើស</t>
        </is>
      </c>
      <c r="G2474" s="3" t="n"/>
      <c r="H2474" s="217" t="inlineStr">
        <is>
          <t>"delivery.warehouse.packing.printDescription1": "អ្នកបានជ្រើសរើស",</t>
        </is>
      </c>
      <c r="I2474" t="inlineStr">
        <is>
          <t>អ្នកបានជ្រើសរើស</t>
        </is>
      </c>
    </row>
    <row r="2475">
      <c r="A2475" s="3" t="inlineStr">
        <is>
          <t>delivery.warehouse.packing.printDescription2</t>
        </is>
      </c>
      <c r="B2475" s="3" t="inlineStr">
        <is>
          <t>trong tổng số</t>
        </is>
      </c>
      <c r="C2475" s="3" t="inlineStr">
        <is>
          <t>orders out of</t>
        </is>
      </c>
      <c r="D2475" s="217">
        <f>IFERROR(__xludf.DUMMYFUNCTION("GOOGLETRANSLATE(C2475,""vi"",""km"")"),"ការបញ្ជាទិញចេញពី")</f>
        <v/>
      </c>
      <c r="E2475" s="3" t="n"/>
      <c r="F2475" s="3" t="inlineStr">
        <is>
          <t>ការបញ្ជាទិញចេញពី</t>
        </is>
      </c>
      <c r="G2475" s="3" t="n"/>
      <c r="H2475" s="217" t="inlineStr">
        <is>
          <t>"delivery.warehouse.packing.printDescription2": "ការបញ្ជាទិញចេញពី",</t>
        </is>
      </c>
      <c r="I2475" t="inlineStr">
        <is>
          <t>ការបញ្ជាទិញចេញពី</t>
        </is>
      </c>
    </row>
    <row r="2476">
      <c r="A2476" s="3" t="inlineStr">
        <is>
          <t>delivery.warehouse.packing.printDescription3</t>
        </is>
      </c>
      <c r="B2476" s="3" t="inlineStr">
        <is>
          <t>đơn</t>
        </is>
      </c>
      <c r="C2476" s="3" t="inlineStr">
        <is>
          <t>order</t>
        </is>
      </c>
      <c r="D2476" s="217">
        <f>IFERROR(__xludf.DUMMYFUNCTION("GOOGLETRANSLATE(C2476,""vi"",""km"")"),"លំដាប់")</f>
        <v/>
      </c>
      <c r="E2476" s="3" t="n"/>
      <c r="F2476" s="3" t="inlineStr">
        <is>
          <t>លំដាប់</t>
        </is>
      </c>
      <c r="G2476" s="3" t="n"/>
      <c r="H2476" s="217" t="inlineStr">
        <is>
          <t>"delivery.warehouse.packing.printDescription3": "លំដាប់",</t>
        </is>
      </c>
      <c r="I2476" t="inlineStr">
        <is>
          <t>លំដាប់</t>
        </is>
      </c>
    </row>
    <row r="2477">
      <c r="A2477" s="3" t="inlineStr">
        <is>
          <t>delivery.warehouse.packing.printDescriptionOverflow</t>
        </is>
      </c>
      <c r="B2477" s="3" t="inlineStr">
        <is>
          <t>Số lượng phiếu in quá lớn, cần {{page}} trang in để in toàn bộ phiếu gửi</t>
        </is>
      </c>
      <c r="C2477" s="3" t="inlineStr">
        <is>
          <t>Too many slips to print. {{page}} pages needed to print all</t>
        </is>
      </c>
      <c r="D2477" s="217">
        <f>IFERROR(__xludf.DUMMYFUNCTION("GOOGLETRANSLATE(C2477,""vi"",""km"")"),"មានសន្លឹកច្រើនពេកមិនអាចបោះពុម្ពបាន។ ត្រូវការទំព័រ {{page}} ដើម្បីបោះពុម្ពទាំងអស់")</f>
        <v/>
      </c>
      <c r="E2477" s="3" t="n"/>
      <c r="F2477" s="3" t="inlineStr">
        <is>
          <t>មានសន្លឹកច្រើនពេកមិនអាចព្រីនបាន។ ត្រូវការទំព័រ {{page}} ដើម្បីព្រីនទាំងអស់</t>
        </is>
      </c>
      <c r="G2477" s="3" t="n"/>
      <c r="H2477" s="217" t="inlineStr">
        <is>
          <t>"delivery.warehouse.packing.printDescriptionOverflow": "មានសន្លឹកច្រើនពេកមិនអាចព្រីនបាន។ ត្រូវការទំព័រ {{page}} ដើម្បីព្រីនទាំងអស់",</t>
        </is>
      </c>
      <c r="I2477" t="inlineStr">
        <is>
          <t>មានសន្លឹកច្រើនពេកមិនអាចព្រីនបាន។ ត្រូវការទំព័រ {{page}} ដើម្បីព្រីនទាំងអស់</t>
        </is>
      </c>
    </row>
    <row r="2478">
      <c r="A2478" s="3" t="inlineStr">
        <is>
          <t>delivery.warehouse.packing.printFail</t>
        </is>
      </c>
      <c r="B2478" s="3" t="inlineStr">
        <is>
          <t>In mã tải thất bại</t>
        </is>
      </c>
      <c r="C2478" s="3" t="inlineStr">
        <is>
          <t>Print failed</t>
        </is>
      </c>
      <c r="D2478" s="217">
        <f>IFERROR(__xludf.DUMMYFUNCTION("GOOGLETRANSLATE(C2478,""vi"",""km"")"),"ការបោះពុម្ពបរាជ័យ")</f>
        <v/>
      </c>
      <c r="E2478" s="3" t="n"/>
      <c r="F2478" s="3" t="inlineStr">
        <is>
          <t>ការព្រីនបរាជ័យ</t>
        </is>
      </c>
      <c r="G2478" s="3" t="n"/>
      <c r="H2478" s="217" t="inlineStr">
        <is>
          <t>"delivery.warehouse.packing.printFail": "ការព្រីនបរាជ័យ",</t>
        </is>
      </c>
      <c r="I2478" t="inlineStr">
        <is>
          <t>ការព្រីនបរាជ័យ</t>
        </is>
      </c>
    </row>
    <row r="2479">
      <c r="A2479" s="3" t="inlineStr">
        <is>
          <t>delivery.warehouse.packing.printNote</t>
        </is>
      </c>
      <c r="B2479" s="3" t="inlineStr">
        <is>
          <t>Lưu ý: mỗi trang in gồm {{maxSize}} đơn</t>
        </is>
      </c>
      <c r="C2479" s="3" t="inlineStr">
        <is>
          <t>Note: A printed page contains {{maxSize}} orders.</t>
        </is>
      </c>
      <c r="D2479" s="217">
        <f>IFERROR(__xludf.DUMMYFUNCTION("GOOGLETRANSLATE(C2479,""vi"",""km"")"),"ចំណាំ៖ ទំព័រដែលបានបោះពុម្ពមានការបញ្ជាទិញចំនួន {{maxSize}}។")</f>
        <v/>
      </c>
      <c r="E2479" s="3" t="n"/>
      <c r="F2479" s="3" t="inlineStr">
        <is>
          <t>ចំណាំ៖ ទំព័រដែលបានព្រីនមានការបញ្ជាទិញចំនួន {{maxSize}}។</t>
        </is>
      </c>
      <c r="G2479" s="3" t="n"/>
      <c r="H2479" s="217" t="inlineStr">
        <is>
          <t>"delivery.warehouse.packing.printNote": "ចំណាំ៖ ទំព័រដែលបានព្រីនមានការបញ្ជាទិញចំនួន {{maxSize}}។",</t>
        </is>
      </c>
      <c r="I2479" t="inlineStr">
        <is>
          <t>ចំណាំ៖ ទំព័រដែលបានព្រីនមានការបញ្ជាទិញចំនួន {{maxSize}}។</t>
        </is>
      </c>
    </row>
    <row r="2480">
      <c r="A2480" s="3" t="inlineStr">
        <is>
          <t>delivery.warehouse.packing.printOrderSameStatus</t>
        </is>
      </c>
      <c r="B2480" s="3" t="inlineStr">
        <is>
          <t>Vui lòng chọn đơn cùng trạng thái để in nhiều</t>
        </is>
      </c>
      <c r="C2480" s="3" t="inlineStr">
        <is>
          <t>Please select orders with the same status to print multiple</t>
        </is>
      </c>
      <c r="D2480" s="217">
        <f>IFERROR(__xludf.DUMMYFUNCTION("GOOGLETRANSLATE(C2480,""vi"",""km"")"),"សូមជ្រើសរើសការបញ្ជាទិញដែលមានស្ថានភាពដូចគ្នា ដើម្បីបោះពុម្ពច្រើន")</f>
        <v/>
      </c>
      <c r="E2480" s="3" t="n"/>
      <c r="F2480" s="3" t="inlineStr">
        <is>
          <t>សូមជ្រើសរើសការបញ្ជាទិញដែលមានស្ថានភាពដូចគ្នា ដើម្បីព្រីនច្រើន</t>
        </is>
      </c>
      <c r="G2480" s="3" t="n"/>
      <c r="H2480" s="217" t="inlineStr">
        <is>
          <t>"delivery.warehouse.packing.printOrderSameStatus": "សូមជ្រើសរើសការបញ្ជាទិញដែលមានស្ថានភាពដូចគ្នា ដើម្បីព្រីនច្រើន",</t>
        </is>
      </c>
      <c r="I2480" t="inlineStr">
        <is>
          <t>សូមជ្រើសរើសការបញ្ជាទិញដែលមានស្ថានភាពដូចគ្នា ដើម្បីព្រីនច្រើន</t>
        </is>
      </c>
    </row>
    <row r="2481">
      <c r="A2481" s="3" t="inlineStr">
        <is>
          <t>delivery.warehouse.packing.printPacking</t>
        </is>
      </c>
      <c r="B2481" s="3" t="inlineStr">
        <is>
          <t>In mã tải</t>
        </is>
      </c>
      <c r="C2481" s="3" t="inlineStr">
        <is>
          <t>Print code</t>
        </is>
      </c>
      <c r="D2481" s="217">
        <f>IFERROR(__xludf.DUMMYFUNCTION("GOOGLETRANSLATE(C2481,""vi"",""km"")"),"បោះពុម្ពលេខកូដ")</f>
        <v/>
      </c>
      <c r="E2481" s="3" t="n"/>
      <c r="F2481" s="3" t="inlineStr">
        <is>
          <t>ព្រីនលេខកូដ</t>
        </is>
      </c>
      <c r="G2481" s="3" t="n"/>
      <c r="H2481" s="217" t="inlineStr">
        <is>
          <t>"delivery.warehouse.packing.printPacking": "ព្រីនលេខកូដ",</t>
        </is>
      </c>
      <c r="I2481" t="inlineStr">
        <is>
          <t>ព្រីនលេខកូដ</t>
        </is>
      </c>
    </row>
    <row r="2482">
      <c r="A2482" s="3" t="inlineStr">
        <is>
          <t>delivery.warehouse.packing.quantity</t>
        </is>
      </c>
      <c r="B2482" s="3" t="inlineStr">
        <is>
          <t>Số lượng bưu phẩm</t>
        </is>
      </c>
      <c r="C2482" s="3" t="inlineStr">
        <is>
          <t>Quantity of parcels</t>
        </is>
      </c>
      <c r="D2482" s="217">
        <f>IFERROR(__xludf.DUMMYFUNCTION("GOOGLETRANSLATE(C2482,""vi"",""km"")"),"បរិមាណ​នៃ​ក្បាលដី")</f>
        <v/>
      </c>
      <c r="E2482" s="3" t="n"/>
      <c r="F2482" s="3" t="inlineStr">
        <is>
          <t>បរិមាណនៃក្បាលដី</t>
        </is>
      </c>
      <c r="G2482" s="3" t="n"/>
      <c r="H2482" s="217" t="inlineStr">
        <is>
          <t>"delivery.warehouse.packing.quantity": "បរិមាណនៃក្បាលដី",</t>
        </is>
      </c>
      <c r="I2482" t="inlineStr">
        <is>
          <t>បរិមាណនៃក្បាលដី</t>
        </is>
      </c>
    </row>
    <row r="2483">
      <c r="A2483" s="3" t="inlineStr">
        <is>
          <t>delivery.warehouse.packing.removeOrderFail</t>
        </is>
      </c>
      <c r="B2483" s="3" t="inlineStr">
        <is>
          <t>Xoá đơn khỏi tải thất bại</t>
        </is>
      </c>
      <c r="C2483" s="3" t="inlineStr">
        <is>
          <t>Failed to remove order from package</t>
        </is>
      </c>
      <c r="D2483" s="217">
        <f>IFERROR(__xludf.DUMMYFUNCTION("GOOGLETRANSLATE(C2483,""vi"",""km"")"),"បរាជ័យក្នុងការលុបការបញ្ជាទិញចេញពីកញ្ចប់")</f>
        <v/>
      </c>
      <c r="E2483" s="3" t="n"/>
      <c r="F2483" s="3" t="inlineStr">
        <is>
          <t>បរាជ័យក្នុងការលុបការបញ្ជាទិញចេញពីកញ្ចប់</t>
        </is>
      </c>
      <c r="G2483" s="3" t="n"/>
      <c r="H2483" s="217" t="inlineStr">
        <is>
          <t>"delivery.warehouse.packing.removeOrderFail": "បរាជ័យក្នុងការលុបការបញ្ជាទិញចេញពីកញ្ចប់",</t>
        </is>
      </c>
      <c r="I2483" t="inlineStr">
        <is>
          <t>បរាជ័យក្នុងការលុបការបញ្ជាទិញចេញពីកញ្ចប់</t>
        </is>
      </c>
    </row>
    <row r="2484">
      <c r="A2484" s="3" t="inlineStr">
        <is>
          <t>delivery.warehouse.packing.removeOrderSuccess</t>
        </is>
      </c>
      <c r="B2484" s="3" t="inlineStr">
        <is>
          <t>Xoá đơn khỏi tải thành công</t>
        </is>
      </c>
      <c r="C2484" s="3" t="inlineStr">
        <is>
          <t>Successfully removed order from package</t>
        </is>
      </c>
      <c r="D2484" s="217">
        <f>IFERROR(__xludf.DUMMYFUNCTION("GOOGLETRANSLATE(C2484,""vi"",""km"")"),"បានលុបការបញ្ជាទិញចេញពីកញ្ចប់ដោយជោគជ័យ")</f>
        <v/>
      </c>
      <c r="E2484" s="3" t="n"/>
      <c r="F2484" s="3" t="inlineStr">
        <is>
          <t>បានលុបការបញ្ជាទិញចេញពីកញ្ចប់ដោយជោគជ័យ</t>
        </is>
      </c>
      <c r="G2484" s="3" t="n"/>
      <c r="H2484" s="217" t="inlineStr">
        <is>
          <t>"delivery.warehouse.packing.removeOrderSuccess": "បានលុបការបញ្ជាទិញចេញពីកញ្ចប់ដោយជោគជ័យ",</t>
        </is>
      </c>
      <c r="I2484" t="inlineStr">
        <is>
          <t>បានលុបការបញ្ជាទិញចេញពីកញ្ចប់ដោយជោគជ័យ</t>
        </is>
      </c>
    </row>
    <row r="2485">
      <c r="A2485" s="3" t="inlineStr">
        <is>
          <t>delivery.warehouse.packing.selectToAddress</t>
        </is>
      </c>
      <c r="B2485" s="3" t="inlineStr">
        <is>
          <t>Chọn nơi đến</t>
        </is>
      </c>
      <c r="C2485" s="3" t="inlineStr">
        <is>
          <t>Select destination</t>
        </is>
      </c>
      <c r="D2485" s="217">
        <f>IFERROR(__xludf.DUMMYFUNCTION("GOOGLETRANSLATE(C2485,""vi"",""km"")"),"ឆ្នាំដែលអាចប្រើប្រាស់ឡើងវិញបាន")</f>
        <v/>
      </c>
      <c r="E2485" s="3" t="n"/>
      <c r="F2485" s="3" t="inlineStr">
        <is>
          <t>ឆ្នាំដែលអាចប្រើប្រាស់ឡើងវិញបាន</t>
        </is>
      </c>
      <c r="G2485" s="3" t="n"/>
      <c r="H2485" s="217" t="inlineStr">
        <is>
          <t>"delivery.warehouse.packing.selectToAddress": "ឆ្នាំដែលអាចប្រើប្រាស់ឡើងវិញបាន",</t>
        </is>
      </c>
      <c r="I2485" t="inlineStr">
        <is>
          <t>ឆ្នាំដែលអាចប្រើប្រាស់ឡើងវិញបាន</t>
        </is>
      </c>
    </row>
    <row r="2486">
      <c r="A2486" s="3" t="inlineStr">
        <is>
          <t>delivery.warehouse.packing.selected</t>
        </is>
      </c>
      <c r="B2486" s="3" t="inlineStr">
        <is>
          <t>Đã chọn</t>
        </is>
      </c>
      <c r="C2486" s="3" t="inlineStr">
        <is>
          <t>Selected</t>
        </is>
      </c>
      <c r="D2486" s="217">
        <f>IFERROR(__xludf.DUMMYFUNCTION("GOOGLETRANSLATE(C2486,""vi"",""km"")"),"បានជ្រើសរើស")</f>
        <v/>
      </c>
      <c r="E2486" s="3" t="n"/>
      <c r="F2486" s="3" t="inlineStr">
        <is>
          <t>បានជ្រើសរើស</t>
        </is>
      </c>
      <c r="G2486" s="3" t="n"/>
      <c r="H2486" s="217" t="inlineStr">
        <is>
          <t>"delivery.warehouse.packing.selected": "បានជ្រើសរើស",</t>
        </is>
      </c>
      <c r="I2486" t="inlineStr">
        <is>
          <t>បានជ្រើសរើស</t>
        </is>
      </c>
    </row>
    <row r="2487">
      <c r="A2487" s="3" t="inlineStr">
        <is>
          <t>delivery.warehouse.packing.service</t>
        </is>
      </c>
      <c r="B2487" s="3" t="inlineStr">
        <is>
          <t>Dịch vụ</t>
        </is>
      </c>
      <c r="C2487" s="3" t="inlineStr">
        <is>
          <t>Service</t>
        </is>
      </c>
      <c r="D2487" s="217">
        <f>IFERROR(__xludf.DUMMYFUNCTION("GOOGLETRANSLATE(C2487,""vi"",""km"")"),"សេវាកម្ម")</f>
        <v/>
      </c>
      <c r="E2487" s="3" t="n"/>
      <c r="F2487" s="3" t="inlineStr">
        <is>
          <t>សេវាកម្ម</t>
        </is>
      </c>
      <c r="G2487" s="3" t="n"/>
      <c r="H2487" s="217" t="inlineStr">
        <is>
          <t>"delivery.warehouse.packing.service": "សេវាកម្ម",</t>
        </is>
      </c>
      <c r="I2487" t="inlineStr">
        <is>
          <t>សេវាកម្ម</t>
        </is>
      </c>
    </row>
    <row r="2488">
      <c r="A2488" s="3" t="inlineStr">
        <is>
          <t>delivery.warehouse.packing.status</t>
        </is>
      </c>
      <c r="B2488" s="3" t="inlineStr">
        <is>
          <t>Trạng thái</t>
        </is>
      </c>
      <c r="C2488" s="3" t="inlineStr">
        <is>
          <t>Status</t>
        </is>
      </c>
      <c r="D2488" s="217">
        <f>IFERROR(__xludf.DUMMYFUNCTION("GOOGLETRANSLATE(C2488,""vi"",""km"")"),"ស្ថានភាព")</f>
        <v/>
      </c>
      <c r="E2488" s="3" t="n"/>
      <c r="F2488" s="3" t="inlineStr">
        <is>
          <t>ស្ថានភាព</t>
        </is>
      </c>
      <c r="G2488" s="3" t="n"/>
      <c r="H2488" s="217" t="inlineStr">
        <is>
          <t>"delivery.warehouse.packing.status": "ស្ថានភាព",</t>
        </is>
      </c>
      <c r="I2488" t="inlineStr">
        <is>
          <t>ស្ថានភាព</t>
        </is>
      </c>
    </row>
    <row r="2489">
      <c r="A2489" s="3" t="inlineStr">
        <is>
          <t>delivery.warehouse.packing.toAddress</t>
        </is>
      </c>
      <c r="B2489" s="3" t="inlineStr">
        <is>
          <t>Nơi đến</t>
        </is>
      </c>
      <c r="C2489" s="3" t="inlineStr">
        <is>
          <t>Destination</t>
        </is>
      </c>
      <c r="D2489" s="217">
        <f>IFERROR(__xludf.DUMMYFUNCTION("GOOGLETRANSLATE(C2489,""vi"",""km"")"),"គោលដៅ")</f>
        <v/>
      </c>
      <c r="E2489" s="3" t="n"/>
      <c r="F2489" s="3" t="inlineStr">
        <is>
          <t>គោលដៅ</t>
        </is>
      </c>
      <c r="G2489" s="3" t="n"/>
      <c r="H2489" s="217" t="inlineStr">
        <is>
          <t>"delivery.warehouse.packing.toAddress": "គោលដៅ",</t>
        </is>
      </c>
      <c r="I2489" t="inlineStr">
        <is>
          <t>គោលដៅ</t>
        </is>
      </c>
    </row>
    <row r="2490">
      <c r="A2490" s="3" t="inlineStr">
        <is>
          <t>delivery.warehouse.packing.totalOrder</t>
        </is>
      </c>
      <c r="B2490" s="3" t="inlineStr">
        <is>
          <t>Tổng đơn</t>
        </is>
      </c>
      <c r="C2490" s="3" t="inlineStr">
        <is>
          <t>Total order</t>
        </is>
      </c>
      <c r="D2490" s="217">
        <f>IFERROR(__xludf.DUMMYFUNCTION("GOOGLETRANSLATE(C2490,""vi"",""km"")"),"ការបញ្ជាទិញសរុប")</f>
        <v/>
      </c>
      <c r="E2490" s="3" t="n"/>
      <c r="F2490" s="3" t="inlineStr">
        <is>
          <t>ការបញ្ជាទិញសរុប</t>
        </is>
      </c>
      <c r="G2490" s="3" t="n"/>
      <c r="H2490" s="217" t="inlineStr">
        <is>
          <t>"delivery.warehouse.packing.totalOrder": "ការបញ្ជាទិញសរុប",</t>
        </is>
      </c>
      <c r="I2490" t="inlineStr">
        <is>
          <t>ការបញ្ជាទិញសរុប</t>
        </is>
      </c>
    </row>
    <row r="2491">
      <c r="A2491" s="3" t="inlineStr">
        <is>
          <t>delivery.warehouse.packing.totalPackage</t>
        </is>
      </c>
      <c r="B2491" s="3" t="inlineStr">
        <is>
          <t>Tổng tải</t>
        </is>
      </c>
      <c r="C2491" s="3" t="inlineStr">
        <is>
          <t>Total package</t>
        </is>
      </c>
      <c r="D2491" s="217">
        <f>IFERROR(__xludf.DUMMYFUNCTION("GOOGLETRANSLATE(C2491,""vi"",""km"")"),"កញ្ចប់សរុប")</f>
        <v/>
      </c>
      <c r="E2491" s="3" t="n"/>
      <c r="F2491" s="3" t="inlineStr">
        <is>
          <t>កញ្ចប់សរុប</t>
        </is>
      </c>
      <c r="G2491" s="3" t="n"/>
      <c r="H2491" s="217" t="inlineStr">
        <is>
          <t>"delivery.warehouse.packing.totalPackage": "កញ្ចប់សរុប",</t>
        </is>
      </c>
      <c r="I2491" t="inlineStr">
        <is>
          <t>កញ្ចប់សរុប</t>
        </is>
      </c>
    </row>
    <row r="2492">
      <c r="A2492" s="3" t="inlineStr">
        <is>
          <t>delivery.warehouse.packing.totalPackages</t>
        </is>
      </c>
      <c r="B2492" s="3" t="inlineStr">
        <is>
          <t>Số lượng bưu phẩm</t>
        </is>
      </c>
      <c r="C2492" s="3" t="inlineStr">
        <is>
          <t>Quantity of parcels</t>
        </is>
      </c>
      <c r="D2492" s="217">
        <f>IFERROR(__xludf.DUMMYFUNCTION("GOOGLETRANSLATE(C2492,""vi"",""km"")"),"បរិមាណ​នៃ​ក្បាលដី")</f>
        <v/>
      </c>
      <c r="E2492" s="3" t="n"/>
      <c r="F2492" s="3" t="inlineStr">
        <is>
          <t>បរិមាណនៃក្បាលដី</t>
        </is>
      </c>
      <c r="G2492" s="3" t="n"/>
      <c r="H2492" s="217" t="inlineStr">
        <is>
          <t>"delivery.warehouse.packing.totalPackages": "បរិមាណនៃក្បាលដី",</t>
        </is>
      </c>
      <c r="I2492" t="inlineStr">
        <is>
          <t>បរិមាណនៃក្បាលដី</t>
        </is>
      </c>
    </row>
    <row r="2493">
      <c r="A2493" s="3" t="inlineStr">
        <is>
          <t>delivery.warehouse.packing.totalParcel</t>
        </is>
      </c>
      <c r="B2493" s="3" t="inlineStr">
        <is>
          <t>Tổng bưu phẩm</t>
        </is>
      </c>
      <c r="C2493" s="3" t="inlineStr">
        <is>
          <t>Total parcels</t>
        </is>
      </c>
      <c r="D2493" s="217">
        <f>IFERROR(__xludf.DUMMYFUNCTION("GOOGLETRANSLATE(C2493,""vi"",""km"")"),"កញ្ចប់សរុប")</f>
        <v/>
      </c>
      <c r="E2493" s="3" t="n"/>
      <c r="F2493" s="3" t="inlineStr">
        <is>
          <t>កញ្ចប់សរុប</t>
        </is>
      </c>
      <c r="G2493" s="3" t="n"/>
      <c r="H2493" s="217" t="inlineStr">
        <is>
          <t>"delivery.warehouse.packing.totalParcel": "កញ្ចប់សរុប",</t>
        </is>
      </c>
      <c r="I2493" t="inlineStr">
        <is>
          <t>កញ្ចប់សរុប</t>
        </is>
      </c>
    </row>
    <row r="2494">
      <c r="A2494" s="3" t="inlineStr">
        <is>
          <t>delivery.warehouse.packing.totalWarehouse</t>
        </is>
      </c>
      <c r="B2494" s="3" t="inlineStr">
        <is>
          <t>Tổng kho hàng</t>
        </is>
      </c>
      <c r="C2494" s="3" t="inlineStr">
        <is>
          <t>Total warehouse</t>
        </is>
      </c>
      <c r="D2494" s="217">
        <f>IFERROR(__xludf.DUMMYFUNCTION("GOOGLETRANSLATE(C2494,""vi"",""km"")"),"ឃ្លាំងសរុប")</f>
        <v/>
      </c>
      <c r="E2494" s="3" t="n"/>
      <c r="F2494" s="3" t="inlineStr">
        <is>
          <t>ឃ្លាំងសរុប</t>
        </is>
      </c>
      <c r="G2494" s="3" t="n"/>
      <c r="H2494" s="217" t="inlineStr">
        <is>
          <t>"delivery.warehouse.packing.totalWarehouse": "ឃ្លាំងសរុប",</t>
        </is>
      </c>
      <c r="I2494" t="inlineStr">
        <is>
          <t>ឃ្លាំងសរុប</t>
        </is>
      </c>
    </row>
    <row r="2495">
      <c r="A2495" s="3" t="inlineStr">
        <is>
          <t>delivery.warehouse.packing.totalWeight</t>
        </is>
      </c>
      <c r="B2495" s="3" t="inlineStr">
        <is>
          <t>Tổng trọng lượng</t>
        </is>
      </c>
      <c r="C2495" s="3" t="inlineStr">
        <is>
          <t>Total weight</t>
        </is>
      </c>
      <c r="D2495" s="217">
        <f>IFERROR(__xludf.DUMMYFUNCTION("GOOGLETRANSLATE(C2495,""vi"",""km"")"),"ទម្ងន់សរុប")</f>
        <v/>
      </c>
      <c r="E2495" s="3" t="n"/>
      <c r="F2495" s="3" t="inlineStr">
        <is>
          <t>ទម្ងន់សរុប</t>
        </is>
      </c>
      <c r="G2495" s="3" t="n"/>
      <c r="H2495" s="217" t="inlineStr">
        <is>
          <t>"delivery.warehouse.packing.totalWeight": "ទម្ងន់សរុប",</t>
        </is>
      </c>
      <c r="I2495" t="inlineStr">
        <is>
          <t>ទម្ងន់សរុប</t>
        </is>
      </c>
    </row>
    <row r="2496">
      <c r="A2496" s="3" t="inlineStr">
        <is>
          <t>delivery.warehouse.packing.typeAll</t>
        </is>
      </c>
      <c r="B2496" s="3" t="inlineStr">
        <is>
          <t>Tất cả</t>
        </is>
      </c>
      <c r="C2496" s="3" t="inlineStr">
        <is>
          <t>All</t>
        </is>
      </c>
      <c r="D2496" s="217">
        <f>IFERROR(__xludf.DUMMYFUNCTION("GOOGLETRANSLATE(C2496,""vi"",""km"")"),"ទាំងអស់")</f>
        <v/>
      </c>
      <c r="E2496" s="3" t="n"/>
      <c r="F2496" s="3" t="inlineStr">
        <is>
          <t>ទាំងអស់</t>
        </is>
      </c>
      <c r="G2496" s="3" t="n"/>
      <c r="H2496" s="217" t="inlineStr">
        <is>
          <t>"delivery.warehouse.packing.typeAll": "ទាំងអស់",</t>
        </is>
      </c>
      <c r="I2496" t="inlineStr">
        <is>
          <t>ទាំងអស់</t>
        </is>
      </c>
    </row>
    <row r="2497">
      <c r="A2497" s="3" t="inlineStr">
        <is>
          <t>delivery.warehouse.packing.typeDocument</t>
        </is>
      </c>
      <c r="B2497" s="3" t="inlineStr">
        <is>
          <t>Thư</t>
        </is>
      </c>
      <c r="C2497" s="3" t="inlineStr">
        <is>
          <t>Documents</t>
        </is>
      </c>
      <c r="D2497" s="217">
        <f>IFERROR(__xludf.DUMMYFUNCTION("GOOGLETRANSLATE(C2497,""vi"",""km"")"),"ឯកសារ")</f>
        <v/>
      </c>
      <c r="E2497" s="3" t="n"/>
      <c r="F2497" s="3" t="inlineStr">
        <is>
          <t>ឯកសារ</t>
        </is>
      </c>
      <c r="G2497" s="3" t="n"/>
      <c r="H2497" s="217" t="inlineStr">
        <is>
          <t>"delivery.warehouse.packing.typeDocument": "ឯកសារ",</t>
        </is>
      </c>
      <c r="I2497" t="inlineStr">
        <is>
          <t>ឯកសារ</t>
        </is>
      </c>
    </row>
    <row r="2498">
      <c r="A2498" s="3" t="inlineStr">
        <is>
          <t>delivery.warehouse.packing.typeGood</t>
        </is>
      </c>
      <c r="B2498" s="3" t="inlineStr">
        <is>
          <t>Hàng nhỏ</t>
        </is>
      </c>
      <c r="C2498" s="3" t="inlineStr">
        <is>
          <t>Small-sized</t>
        </is>
      </c>
      <c r="D2498" s="217">
        <f>IFERROR(__xludf.DUMMYFUNCTION("GOOGLETRANSLATE(C2498,""vi"",""km"")"),"ទំហំតូច")</f>
        <v/>
      </c>
      <c r="E2498" s="3" t="n"/>
      <c r="F2498" s="3" t="inlineStr">
        <is>
          <t>ទំហំតូច</t>
        </is>
      </c>
      <c r="G2498" s="3" t="n"/>
      <c r="H2498" s="217" t="inlineStr">
        <is>
          <t>"delivery.warehouse.packing.typeGood": "ទំហំតូច",</t>
        </is>
      </c>
      <c r="I2498" t="inlineStr">
        <is>
          <t>ទំហំតូច</t>
        </is>
      </c>
    </row>
    <row r="2499">
      <c r="A2499" s="3" t="inlineStr">
        <is>
          <t>delivery.warehouse.packing.weight</t>
        </is>
      </c>
      <c r="B2499" s="3" t="inlineStr">
        <is>
          <t>Trọng lượng (g)</t>
        </is>
      </c>
      <c r="C2499" s="3" t="inlineStr">
        <is>
          <t>Weight (g)</t>
        </is>
      </c>
      <c r="D2499" s="217">
        <f>IFERROR(__xludf.DUMMYFUNCTION("GOOGLETRANSLATE(C2499,""vi"",""km"")"),"ទម្ងន់ (ក្រាម)")</f>
        <v/>
      </c>
      <c r="E2499" s="3" t="n"/>
      <c r="F2499" s="3" t="inlineStr">
        <is>
          <t>ទម្ងន់ (ក្រាម)</t>
        </is>
      </c>
      <c r="G2499" s="3" t="n"/>
      <c r="H2499" s="217" t="inlineStr">
        <is>
          <t>"delivery.warehouse.packing.weight": "ទម្ងន់ (ក្រាម)",</t>
        </is>
      </c>
      <c r="I2499" t="inlineStr">
        <is>
          <t>ទម្ងន់ (ក្រាម)</t>
        </is>
      </c>
    </row>
    <row r="2500">
      <c r="A2500" s="3" t="inlineStr">
        <is>
          <t>delivery.warehouse.packing.weightRequired</t>
        </is>
      </c>
      <c r="B2500" s="3" t="inlineStr">
        <is>
          <t>Vui lòng điền trọng lượng</t>
        </is>
      </c>
      <c r="C2500" s="3" t="inlineStr">
        <is>
          <t>Please enter the weight</t>
        </is>
      </c>
      <c r="D2500" s="217">
        <f>IFERROR(__xludf.DUMMYFUNCTION("GOOGLETRANSLATE(C2500,""vi"",""km"")"),"សូមបញ្ចូលទម្ងន់")</f>
        <v/>
      </c>
      <c r="E2500" s="3" t="n"/>
      <c r="F2500" s="3" t="inlineStr">
        <is>
          <t>សូមបញ្ចូលទម្ងន់</t>
        </is>
      </c>
      <c r="G2500" s="3" t="n"/>
      <c r="H2500" s="217" t="inlineStr">
        <is>
          <t>"delivery.warehouse.packing.weightRequired": "សូមបញ្ចូលទម្ងន់",</t>
        </is>
      </c>
      <c r="I2500" t="inlineStr">
        <is>
          <t>សូមបញ្ចូលទម្ងន់</t>
        </is>
      </c>
    </row>
    <row r="2501">
      <c r="A2501" s="3" t="inlineStr">
        <is>
          <t>delivery.warehouse.postmanConfig.LEADER</t>
        </is>
      </c>
      <c r="B2501" s="3" t="inlineStr">
        <is>
          <t>Trưởng tuyến</t>
        </is>
      </c>
      <c r="C2501" s="3" t="inlineStr">
        <is>
          <t>Route Leader</t>
        </is>
      </c>
      <c r="D2501" s="217">
        <f>IFERROR(__xludf.DUMMYFUNCTION("GOOGLETRANSLATE(C2501,""vi"",""km"")"),"អ្នកដឹកនាំផ្លូវ")</f>
        <v/>
      </c>
      <c r="E2501" s="3" t="n"/>
      <c r="F2501" s="3" t="inlineStr">
        <is>
          <t>អ្នកដឹកនាំផ្លូវ</t>
        </is>
      </c>
      <c r="G2501" s="3" t="n"/>
      <c r="H2501" s="217" t="inlineStr">
        <is>
          <t>"delivery.warehouse.postmanConfig.LEADER": "អ្នកដឹកនាំផ្លូវ",</t>
        </is>
      </c>
      <c r="I2501" t="inlineStr">
        <is>
          <t>អ្នកដឹកនាំផ្លូវ</t>
        </is>
      </c>
    </row>
    <row r="2502">
      <c r="A2502" s="3" t="inlineStr">
        <is>
          <t>delivery.warehouse.postmanConfig.MEMBER</t>
        </is>
      </c>
      <c r="B2502" s="3" t="inlineStr">
        <is>
          <t>Tuyến nhận</t>
        </is>
      </c>
      <c r="C2502" s="3" t="inlineStr">
        <is>
          <t>Member</t>
        </is>
      </c>
      <c r="D2502" s="217">
        <f>IFERROR(__xludf.DUMMYFUNCTION("GOOGLETRANSLATE(C2502,""vi"",""km"")"),"ទូក")</f>
        <v/>
      </c>
      <c r="E2502" s="3" t="n"/>
      <c r="F2502" s="3" t="inlineStr">
        <is>
          <t>ទូក</t>
        </is>
      </c>
      <c r="G2502" s="3" t="n"/>
      <c r="H2502" s="217" t="inlineStr">
        <is>
          <t>"delivery.warehouse.postmanConfig.MEMBER": "ទូក",</t>
        </is>
      </c>
      <c r="I2502" t="inlineStr">
        <is>
          <t>ទូក</t>
        </is>
      </c>
    </row>
    <row r="2503">
      <c r="A2503" s="3" t="inlineStr">
        <is>
          <t>delivery.warehouse.postmanConfig.active</t>
        </is>
      </c>
      <c r="B2503" s="3" t="inlineStr">
        <is>
          <t>Hoạt động</t>
        </is>
      </c>
      <c r="C2503" s="3" t="inlineStr">
        <is>
          <t>Active</t>
        </is>
      </c>
      <c r="D2503" s="217">
        <f>IFERROR(__xludf.DUMMYFUNCTION("GOOGLETRANSLATE(C2503,""vi"",""km"")"),"សកម្ម")</f>
        <v/>
      </c>
      <c r="E2503" s="3" t="n"/>
      <c r="F2503" s="3" t="inlineStr">
        <is>
          <t>ដំណើរការ</t>
        </is>
      </c>
      <c r="G2503" s="3" t="n"/>
      <c r="H2503" s="217" t="inlineStr">
        <is>
          <t>"delivery.warehouse.postmanConfig.active": "ដំណើរការ",</t>
        </is>
      </c>
      <c r="I2503" t="inlineStr">
        <is>
          <t>ដំណើរការ</t>
        </is>
      </c>
    </row>
    <row r="2504">
      <c r="A2504" s="3" t="inlineStr">
        <is>
          <t>delivery.warehouse.postmanConfig.assignLeader</t>
        </is>
      </c>
      <c r="B2504" s="3" t="inlineStr">
        <is>
          <t>Gán mặc định</t>
        </is>
      </c>
      <c r="C2504" s="3" t="inlineStr">
        <is>
          <t>Assign leader route</t>
        </is>
      </c>
      <c r="D2504" s="217">
        <f>IFERROR(__xludf.DUMMYFUNCTION("GOOGLETRANSLATE(C2504,""vi"",""km"")"),"កំណត់ផ្លូវដឹកនាំ")</f>
        <v/>
      </c>
      <c r="E2504" s="3" t="n"/>
      <c r="F2504" s="3" t="inlineStr">
        <is>
          <t>កំណត់ជាលំនាំដើម</t>
        </is>
      </c>
      <c r="G2504" s="3" t="n"/>
      <c r="H2504" s="217" t="inlineStr">
        <is>
          <t>"delivery.warehouse.postmanConfig.assignLeader": "កំណត់ជាលំនាំដើម",</t>
        </is>
      </c>
      <c r="I2504" t="inlineStr">
        <is>
          <t>កំណត់ជាលំនាំដើម</t>
        </is>
      </c>
    </row>
    <row r="2505">
      <c r="A2505" s="3" t="inlineStr">
        <is>
          <t>delivery.warehouse.postmanConfig.inActive</t>
        </is>
      </c>
      <c r="B2505" s="3" t="inlineStr">
        <is>
          <t>Không hoạt động</t>
        </is>
      </c>
      <c r="C2505" s="3" t="inlineStr">
        <is>
          <t>Inactive</t>
        </is>
      </c>
      <c r="D2505" s="217">
        <f>IFERROR(__xludf.DUMMYFUNCTION("GOOGLETRANSLATE(C2505,""vi"",""km"")"),"អសកម្ម")</f>
        <v/>
      </c>
      <c r="E2505" s="3" t="n"/>
      <c r="F2505" s="3" t="inlineStr">
        <is>
          <t>អសកម្ម</t>
        </is>
      </c>
      <c r="G2505" s="3" t="n"/>
      <c r="H2505" s="217" t="inlineStr">
        <is>
          <t>"delivery.warehouse.postmanConfig.inActive": "អសកម្ម",</t>
        </is>
      </c>
      <c r="I2505" t="inlineStr">
        <is>
          <t>អសកម្ម</t>
        </is>
      </c>
    </row>
    <row r="2506">
      <c r="A2506" s="3" t="inlineStr">
        <is>
          <t>delivery.warehouse.postmanConfig.postmanRoute</t>
        </is>
      </c>
      <c r="B2506" s="3" t="inlineStr">
        <is>
          <t>Bưu tá</t>
        </is>
      </c>
      <c r="C2506" s="3" t="inlineStr">
        <is>
          <t>Postman route</t>
        </is>
      </c>
      <c r="D2506" s="217">
        <f>IFERROR(__xludf.DUMMYFUNCTION("GOOGLETRANSLATE(C2506,""vi"",""km"")"),"ផ្លូវអ្នកប្រៃសណីយ៍")</f>
        <v/>
      </c>
      <c r="E2506" s="3" t="n"/>
      <c r="F2506" s="3" t="inlineStr">
        <is>
          <t>បុគ្គលិកដឹកជញ្ជូន</t>
        </is>
      </c>
      <c r="G2506" s="3" t="n"/>
      <c r="H2506" s="217" t="inlineStr">
        <is>
          <t>"delivery.warehouse.postmanConfig.postmanRoute": "បុគ្គលិកដឹកជញ្ជូន",</t>
        </is>
      </c>
      <c r="I2506" t="inlineStr">
        <is>
          <t>បុគ្គលិកដឹកជញ្ជូន</t>
        </is>
      </c>
    </row>
    <row r="2507">
      <c r="A2507" s="3" t="inlineStr">
        <is>
          <t>delivery.warehouse.postmanConfig.postmanRoutePlaceholder</t>
        </is>
      </c>
      <c r="B2507" s="3" t="inlineStr">
        <is>
          <t>Chọn tuyến bưu tá</t>
        </is>
      </c>
      <c r="C2507" s="3" t="inlineStr">
        <is>
          <t>Enter Postman route</t>
        </is>
      </c>
      <c r="D2507" s="217">
        <f>IFERROR(__xludf.DUMMYFUNCTION("GOOGLETRANSLATE(C2507,""vi"",""km"")"),"បញ្ចូលផ្លូវ Postman")</f>
        <v/>
      </c>
      <c r="E2507" s="3" t="n"/>
      <c r="F2507" s="3" t="inlineStr">
        <is>
          <t>បញ្ចូលផ្លូវ Postman</t>
        </is>
      </c>
      <c r="G2507" s="3" t="n"/>
      <c r="H2507" s="217" t="inlineStr">
        <is>
          <t>"delivery.warehouse.postmanConfig.postmanRoutePlaceholder": "បញ្ចូលផ្លូវ Postman",</t>
        </is>
      </c>
      <c r="I2507" t="inlineStr">
        <is>
          <t>បញ្ចូលផ្លូវ Postman</t>
        </is>
      </c>
    </row>
    <row r="2508">
      <c r="A2508" s="3" t="inlineStr">
        <is>
          <t>delivery.warehouse.postmanConfig.role</t>
        </is>
      </c>
      <c r="B2508" s="3" t="inlineStr">
        <is>
          <t>Cấu hình</t>
        </is>
      </c>
      <c r="C2508" s="3" t="inlineStr">
        <is>
          <t>Role</t>
        </is>
      </c>
      <c r="D2508" s="217">
        <f>IFERROR(__xludf.DUMMYFUNCTION("GOOGLETRANSLATE(C2508,""vi"",""km"")"),"តួនាទី")</f>
        <v/>
      </c>
      <c r="E2508" s="3" t="n"/>
      <c r="F2508" s="3" t="inlineStr">
        <is>
          <t>តួនាទី</t>
        </is>
      </c>
      <c r="G2508" s="3" t="n"/>
      <c r="H2508" s="217" t="inlineStr">
        <is>
          <t>"delivery.warehouse.postmanConfig.role": "តួនាទី",</t>
        </is>
      </c>
      <c r="I2508" t="inlineStr">
        <is>
          <t>តួនាទី</t>
        </is>
      </c>
    </row>
    <row r="2509">
      <c r="A2509" s="3" t="inlineStr">
        <is>
          <t>delivery.warehouse.postmanConfig.searchRoute</t>
        </is>
      </c>
      <c r="B2509" s="3" t="inlineStr">
        <is>
          <t>Tìm kiếm tuyến</t>
        </is>
      </c>
      <c r="C2509" s="3" t="inlineStr">
        <is>
          <t>Search for route</t>
        </is>
      </c>
      <c r="D2509" s="217">
        <f>IFERROR(__xludf.DUMMYFUNCTION("GOOGLETRANSLATE(C2509,""vi"",""km"")"),"ស្វែងរកផ្លូវ")</f>
        <v/>
      </c>
      <c r="E2509" s="3" t="n"/>
      <c r="F2509" s="3" t="inlineStr">
        <is>
          <t>ស្វែងរកផ្លូវ</t>
        </is>
      </c>
      <c r="G2509" s="3" t="n"/>
      <c r="H2509" s="217" t="inlineStr">
        <is>
          <t>"delivery.warehouse.postmanConfig.searchRoute": "ស្វែងរកផ្លូវ",</t>
        </is>
      </c>
      <c r="I2509" t="inlineStr">
        <is>
          <t>ស្វែងរកផ្លូវ</t>
        </is>
      </c>
    </row>
    <row r="2510">
      <c r="A2510" s="3" t="inlineStr">
        <is>
          <t>delivery.warehouse.postmanConfig.searchRoutePlaceholder</t>
        </is>
      </c>
      <c r="B2510" s="3" t="inlineStr">
        <is>
          <t>Nhập tên tuyến</t>
        </is>
      </c>
      <c r="C2510" s="3" t="inlineStr">
        <is>
          <t>Enter route</t>
        </is>
      </c>
      <c r="D2510" s="217">
        <f>IFERROR(__xludf.DUMMYFUNCTION("GOOGLETRANSLATE(C2510,""vi"",""km"")"),"បញ្ចូលផ្លូវ")</f>
        <v/>
      </c>
      <c r="E2510" s="3" t="n"/>
      <c r="F2510" s="3" t="inlineStr">
        <is>
          <t>បញ្ចូលផ្លូវ</t>
        </is>
      </c>
      <c r="G2510" s="3" t="n"/>
      <c r="H2510" s="217" t="inlineStr">
        <is>
          <t>"delivery.warehouse.postmanConfig.searchRoutePlaceholder": "បញ្ចូលផ្លូវ",</t>
        </is>
      </c>
      <c r="I2510" t="inlineStr">
        <is>
          <t>បញ្ចូលផ្លូវ</t>
        </is>
      </c>
    </row>
    <row r="2511">
      <c r="A2511" s="3" t="inlineStr">
        <is>
          <t>delivery.warehouse.postmanConfig.shift</t>
        </is>
      </c>
      <c r="B2511" s="3" t="inlineStr">
        <is>
          <t>Ca làm việc</t>
        </is>
      </c>
      <c r="C2511" s="3" t="inlineStr">
        <is>
          <t>Working shift</t>
        </is>
      </c>
      <c r="D2511" s="217">
        <f>IFERROR(__xludf.DUMMYFUNCTION("GOOGLETRANSLATE(C2511,""vi"",""km"")"),"វេនធ្វើការ")</f>
        <v/>
      </c>
      <c r="E2511" s="3" t="n"/>
      <c r="F2511" s="3" t="inlineStr">
        <is>
          <t>វេនធ្វើការ</t>
        </is>
      </c>
      <c r="G2511" s="3" t="n"/>
      <c r="H2511" s="217" t="inlineStr">
        <is>
          <t>"delivery.warehouse.postmanConfig.shift": "វេនធ្វើការ",</t>
        </is>
      </c>
      <c r="I2511" t="inlineStr">
        <is>
          <t>វេនធ្វើការ</t>
        </is>
      </c>
    </row>
    <row r="2512">
      <c r="A2512" s="3" t="inlineStr">
        <is>
          <t>delivery.warehouse.postmanConfig.shiftPlaceholder</t>
        </is>
      </c>
      <c r="B2512" s="3" t="inlineStr">
        <is>
          <t>Chọn ca làm việc</t>
        </is>
      </c>
      <c r="C2512" s="3" t="inlineStr">
        <is>
          <t>Select Working shift</t>
        </is>
      </c>
      <c r="D2512" s="217">
        <f>IFERROR(__xludf.DUMMYFUNCTION("GOOGLETRANSLATE(C2512,""vi"",""km"")"),"ជ្រើសរើសវេនធ្វើការ")</f>
        <v/>
      </c>
      <c r="E2512" s="3" t="n"/>
      <c r="F2512" s="3" t="inlineStr">
        <is>
          <t>ជ្រើសរើសវេនធ្វើការ</t>
        </is>
      </c>
      <c r="G2512" s="3" t="n"/>
      <c r="H2512" s="217" t="inlineStr">
        <is>
          <t>"delivery.warehouse.postmanConfig.shiftPlaceholder": "ជ្រើសរើសវេនធ្វើការ",</t>
        </is>
      </c>
      <c r="I2512" t="inlineStr">
        <is>
          <t>ជ្រើសរើសវេនធ្វើការ</t>
        </is>
      </c>
    </row>
    <row r="2513">
      <c r="A2513" s="3" t="inlineStr">
        <is>
          <t>delivery.warehouse.postmanConfig.toolHandle.changeStatus</t>
        </is>
      </c>
      <c r="B2513" s="3" t="inlineStr">
        <is>
          <t>Đổi trạng thái tuyến bưu tá</t>
        </is>
      </c>
      <c r="C2513" s="3" t="inlineStr">
        <is>
          <t>Change route status</t>
        </is>
      </c>
      <c r="D2513" s="217">
        <f>IFERROR(__xludf.DUMMYFUNCTION("GOOGLETRANSLATE(C2513,""vi"",""km"")"),"ផ្លាស់ប្តូរស្ថានភាពផ្លូវ")</f>
        <v/>
      </c>
      <c r="E2513" s="3" t="n"/>
      <c r="F2513" s="3" t="inlineStr">
        <is>
          <t>ផ្លាស់ប្តូរស្ថានភាពផ្លូវ</t>
        </is>
      </c>
      <c r="G2513" s="3" t="n"/>
      <c r="H2513" s="217" t="inlineStr">
        <is>
          <t>"delivery.warehouse.postmanConfig.toolHandle.changeStatus": "ផ្លាស់ប្តូរស្ថានភាពផ្លូវ",</t>
        </is>
      </c>
      <c r="I2513" t="inlineStr">
        <is>
          <t>ផ្លាស់ប្តូរស្ថានភាពផ្លូវ</t>
        </is>
      </c>
    </row>
    <row r="2514">
      <c r="A2514" s="3" t="inlineStr">
        <is>
          <t>delivery.warehouse.postmanConfig.toolHandle.titleModal</t>
        </is>
      </c>
      <c r="B2514" s="3" t="inlineStr">
        <is>
          <t>Bạn có chắc chắn muốn thay đổi trạng thái tuyến bưu tá hay không?</t>
        </is>
      </c>
      <c r="C2514" s="3" t="inlineStr">
        <is>
          <t>Are you sure to change route status?</t>
        </is>
      </c>
      <c r="D2514" s="217">
        <f>IFERROR(__xludf.DUMMYFUNCTION("GOOGLETRANSLATE(C2514,""vi"",""km"")"),"តើអ្នកពិតជាចង់ផ្លាស់ប្តូរស្ថានភាពផ្លូវមែនទេ?")</f>
        <v/>
      </c>
      <c r="E2514" s="3" t="n"/>
      <c r="F2514" s="3" t="inlineStr">
        <is>
          <t>តើអ្នកពិតជាចង់ផ្លាស់ប្តូរស្ថានភាពផ្លូវមែនទេ?</t>
        </is>
      </c>
      <c r="G2514" s="3" t="n"/>
      <c r="H2514" s="217" t="inlineStr">
        <is>
          <t>"delivery.warehouse.postmanConfig.toolHandle.titleModal": "តើអ្នកពិតជាចង់ផ្លាស់ប្តូរស្ថានភាពផ្លូវមែនទេ?",</t>
        </is>
      </c>
      <c r="I2514" t="inlineStr">
        <is>
          <t>តើអ្នកពិតជាចង់ផ្លាស់ប្តូរស្ថានភាពផ្លូវមែនទេ?</t>
        </is>
      </c>
    </row>
    <row r="2515">
      <c r="A2515" s="3" t="inlineStr">
        <is>
          <t>delivery.warehouse.postmanConfig.total</t>
        </is>
      </c>
      <c r="B2515" s="3" t="inlineStr">
        <is>
          <t>Tổng tuyến bưu tá</t>
        </is>
      </c>
      <c r="C2515" s="3" t="inlineStr">
        <is>
          <t>Total postman routes</t>
        </is>
      </c>
      <c r="D2515" s="217">
        <f>IFERROR(__xludf.DUMMYFUNCTION("GOOGLETRANSLATE(C2515,""vi"",""km"")"),"ផ្លូវអ្នកប្រៃសណីយ៍សរុប")</f>
        <v/>
      </c>
      <c r="E2515" s="3" t="n"/>
      <c r="F2515" s="3" t="inlineStr">
        <is>
          <t>ផ្លូវអ្នកប្រៃសណីយ៍សរុប</t>
        </is>
      </c>
      <c r="G2515" s="3" t="n"/>
      <c r="H2515" s="217" t="inlineStr">
        <is>
          <t>"delivery.warehouse.postmanConfig.total": "ផ្លូវអ្នកប្រៃសណីយ៍សរុប",</t>
        </is>
      </c>
      <c r="I2515" t="inlineStr">
        <is>
          <t>ផ្លូវអ្នកប្រៃសណីយ៍សរុប</t>
        </is>
      </c>
    </row>
    <row r="2516">
      <c r="A2516" s="3" t="inlineStr">
        <is>
          <t>delivery.warehouse.postmanDelivery.NotDefaultUser</t>
        </is>
      </c>
      <c r="B2516" s="3" t="inlineStr">
        <is>
          <t>Không mặc định</t>
        </is>
      </c>
      <c r="C2516" s="3" t="inlineStr">
        <is>
          <t>Not default</t>
        </is>
      </c>
      <c r="D2516" s="217">
        <f>IFERROR(__xludf.DUMMYFUNCTION("GOOGLETRANSLATE(C2516,""vi"",""km"")"),"មិនមែនជាលំនាំដើមទេ")</f>
        <v/>
      </c>
      <c r="E2516" s="3" t="n"/>
      <c r="F2516" s="3" t="inlineStr">
        <is>
          <t>មិនកំណត់ជាលំនាំដើម</t>
        </is>
      </c>
      <c r="G2516" s="3" t="n"/>
      <c r="H2516" s="217" t="inlineStr">
        <is>
          <t>"delivery.warehouse.postmanDelivery.NotDefaultUser": "មិនកំណត់ជាលំនាំដើម",</t>
        </is>
      </c>
      <c r="I2516" t="inlineStr">
        <is>
          <t>មិនកំណត់ជាលំនាំដើម</t>
        </is>
      </c>
    </row>
    <row r="2517">
      <c r="A2517" s="3" t="inlineStr">
        <is>
          <t>delivery.warehouse.postmanDelivery.changStatusSuccess</t>
        </is>
      </c>
      <c r="B2517" s="3" t="inlineStr">
        <is>
          <t>Thay đổi trạng thái thành công</t>
        </is>
      </c>
      <c r="C2517" s="3" t="inlineStr">
        <is>
          <t>Change status successfully</t>
        </is>
      </c>
      <c r="D2517" s="217">
        <f>IFERROR(__xludf.DUMMYFUNCTION("GOOGLETRANSLATE(C2517,""vi"",""km"")"),"ផ្លាស់ប្តូរស្ថានភាព w")</f>
        <v/>
      </c>
      <c r="E2517" s="3" t="n"/>
      <c r="F2517" s="3" t="inlineStr">
        <is>
          <t>ផ្លាស់ប្តូរស្ថានភាព w</t>
        </is>
      </c>
      <c r="G2517" s="3" t="n"/>
      <c r="H2517" s="217" t="inlineStr">
        <is>
          <t>"delivery.warehouse.postmanDelivery.changStatusSuccess": "ផ្លាស់ប្តូរស្ថានភាព w",</t>
        </is>
      </c>
      <c r="I2517" t="inlineStr">
        <is>
          <t>ផ្លាស់ប្តូរស្ថានភាព w</t>
        </is>
      </c>
    </row>
    <row r="2518">
      <c r="A2518" s="3" t="inlineStr">
        <is>
          <t>delivery.warehouse.postmanDelivery.defaultUser</t>
        </is>
      </c>
      <c r="B2518" s="3" t="inlineStr">
        <is>
          <t>Mặc định</t>
        </is>
      </c>
      <c r="C2518" s="3" t="inlineStr">
        <is>
          <t>Default</t>
        </is>
      </c>
      <c r="D2518" s="217">
        <f>IFERROR(__xludf.DUMMYFUNCTION("GOOGLETRANSLATE(C2518,""vi"",""km"")"),"លំនាំដើម")</f>
        <v/>
      </c>
      <c r="E2518" s="3" t="n"/>
      <c r="F2518" s="3" t="inlineStr">
        <is>
          <t>លំនាំដើម</t>
        </is>
      </c>
      <c r="G2518" s="3" t="n"/>
      <c r="H2518" s="217" t="inlineStr">
        <is>
          <t>"delivery.warehouse.postmanDelivery.defaultUser": "លំនាំដើម",</t>
        </is>
      </c>
      <c r="I2518" t="inlineStr">
        <is>
          <t>លំនាំដើម</t>
        </is>
      </c>
    </row>
    <row r="2519">
      <c r="A2519" s="3" t="inlineStr">
        <is>
          <t>delivery.warehouse.postmanDelivery.notiChangeStatus</t>
        </is>
      </c>
      <c r="B2519" s="3" t="inlineStr">
        <is>
          <t>Bạn có chắc chắn muốn thay đổi trạng thái tuyến bưu tá hay không</t>
        </is>
      </c>
      <c r="C2519" s="3" t="inlineStr">
        <is>
          <t>Are you sure you want to update the status postal route?</t>
        </is>
      </c>
      <c r="D2519" s="217">
        <f>IFERROR(__xludf.DUMMYFUNCTION("GOOGLETRANSLATE(C2519,""vi"",""km"")"),"តើអ្នកពិតជាចង់ធ្វើបច្ចុប្បន្នភាពស្ថានភាពផ្លូវប្រៃសណីយ៍មែនទេ?")</f>
        <v/>
      </c>
      <c r="E2519" s="3" t="n"/>
      <c r="F2519" s="3" t="inlineStr">
        <is>
          <t>តើអ្នកពិតជាចង់ធ្វើបច្ចុប្បន្នភាពស្ថានភាពផ្លូវប្រៃសណីយ៍មែនទេ?</t>
        </is>
      </c>
      <c r="G2519" s="3" t="n"/>
      <c r="H2519" s="217" t="inlineStr">
        <is>
          <t>"delivery.warehouse.postmanDelivery.notiChangeStatus": "តើអ្នកពិតជាចង់ធ្វើបច្ចុប្បន្នភាពស្ថានភាពផ្លូវប្រៃសណីយ៍មែនទេ?",</t>
        </is>
      </c>
      <c r="I2519" t="inlineStr">
        <is>
          <t>តើអ្នកពិតជាចង់ធ្វើបច្ចុប្បន្នភាពស្ថានភាពផ្លូវប្រៃសណីយ៍មែនទេ?</t>
        </is>
      </c>
    </row>
    <row r="2520">
      <c r="A2520" s="3" t="inlineStr">
        <is>
          <t>delivery.warehouse.postmanDelivery.searchPostman</t>
        </is>
      </c>
      <c r="B2520" s="3" t="inlineStr">
        <is>
          <t>Nhập tên bưu tá</t>
        </is>
      </c>
      <c r="C2520" s="3" t="inlineStr">
        <is>
          <t>Enter postman</t>
        </is>
      </c>
      <c r="D2520" s="217">
        <f>IFERROR(__xludf.DUMMYFUNCTION("GOOGLETRANSLATE(C2520,""vi"",""km"")"),"បញ្ចូលអ្នករត់សំបុត្រ")</f>
        <v/>
      </c>
      <c r="E2520" s="3" t="n"/>
      <c r="F2520" s="3" t="inlineStr">
        <is>
          <t>បញ្ចូលអ្នកដឹកជញ្ជូន</t>
        </is>
      </c>
      <c r="G2520" s="3" t="n"/>
      <c r="H2520" s="217" t="inlineStr">
        <is>
          <t>"delivery.warehouse.postmanDelivery.searchPostman": "បញ្ចូលអ្នកដឹកជញ្ជូន",</t>
        </is>
      </c>
      <c r="I2520" t="inlineStr">
        <is>
          <t>បញ្ចូលអ្នកដឹកជញ្ជូន</t>
        </is>
      </c>
    </row>
    <row r="2521">
      <c r="A2521" s="3" t="inlineStr">
        <is>
          <t>delivery.warehouse.priceManager.orderType</t>
        </is>
      </c>
      <c r="B2521" s="3" t="inlineStr">
        <is>
          <t>Loại phiếu gửi</t>
        </is>
      </c>
      <c r="C2521" s="3" t="inlineStr">
        <is>
          <t>Order type</t>
        </is>
      </c>
      <c r="D2521" s="217">
        <f>IFERROR(__xludf.DUMMYFUNCTION("GOOGLETRANSLATE(C2521,""vi"",""km"")"),"ប្រភេទការបញ្ជាទិញ")</f>
        <v/>
      </c>
      <c r="E2521" s="3" t="n"/>
      <c r="F2521" s="3" t="inlineStr">
        <is>
          <t>ប្រភេទការបញ្ជាទិញ</t>
        </is>
      </c>
      <c r="G2521" s="3" t="n"/>
      <c r="H2521" s="217" t="inlineStr">
        <is>
          <t>"delivery.warehouse.priceManager.orderType": "ប្រភេទការបញ្ជាទិញ",</t>
        </is>
      </c>
      <c r="I2521" t="inlineStr">
        <is>
          <t>ប្រភេទការបញ្ជាទិញ</t>
        </is>
      </c>
    </row>
    <row r="2522">
      <c r="A2522" s="3" t="inlineStr">
        <is>
          <t>delivery.warehouse.priceManager.orderTypePlaceholder</t>
        </is>
      </c>
      <c r="B2522" s="3" t="inlineStr">
        <is>
          <t>Chọn loại phiếu gửi</t>
        </is>
      </c>
      <c r="C2522" s="3" t="inlineStr">
        <is>
          <t>Select Order type</t>
        </is>
      </c>
      <c r="D2522" s="217">
        <f>IFERROR(__xludf.DUMMYFUNCTION("GOOGLETRANSLATE(C2522,""vi"",""km"")"),"ជ្រើសរើសប្រភេទការបញ្ជាទិញ")</f>
        <v/>
      </c>
      <c r="E2522" s="3" t="n"/>
      <c r="F2522" s="3" t="inlineStr">
        <is>
          <t>ជ្រើសរើសប្រភេទការបញ្ជាទិញ</t>
        </is>
      </c>
      <c r="G2522" s="3" t="n"/>
      <c r="H2522" s="217" t="inlineStr">
        <is>
          <t>"delivery.warehouse.priceManager.orderTypePlaceholder": "ជ្រើសរើសប្រភេទការបញ្ជាទិញ",</t>
        </is>
      </c>
      <c r="I2522" t="inlineStr">
        <is>
          <t>ជ្រើសរើសប្រភេទការបញ្ជាទិញ</t>
        </is>
      </c>
    </row>
    <row r="2523">
      <c r="A2523" s="3" t="inlineStr">
        <is>
          <t>delivery.warehouse.priceManager.price</t>
        </is>
      </c>
      <c r="B2523" s="3" t="inlineStr">
        <is>
          <t>Quản lý bảng tính</t>
        </is>
      </c>
      <c r="C2523" s="3" t="inlineStr">
        <is>
          <t>Shipping price management</t>
        </is>
      </c>
      <c r="D2523" s="217">
        <f>IFERROR(__xludf.DUMMYFUNCTION("GOOGLETRANSLATE(C2523,""vi"",""km"")"),"ការគ្រប់គ្រងតម្លៃដឹកជញ្ជូន")</f>
        <v/>
      </c>
      <c r="E2523" s="3" t="n"/>
      <c r="F2523" s="3" t="inlineStr">
        <is>
          <t>ការគ្រប់គ្រងតម្លៃដឹកជញ្ជូន</t>
        </is>
      </c>
      <c r="G2523" s="3" t="n"/>
      <c r="H2523" s="217" t="inlineStr">
        <is>
          <t>"delivery.warehouse.priceManager.price": "ការគ្រប់គ្រងតម្លៃដឹកជញ្ជូន",</t>
        </is>
      </c>
      <c r="I2523" t="inlineStr">
        <is>
          <t>ការគ្រប់គ្រងតម្លៃដឹកជញ្ជូន</t>
        </is>
      </c>
    </row>
    <row r="2524">
      <c r="A2524" s="3" t="inlineStr">
        <is>
          <t>delivery.warehouse.priceManager.priceManager</t>
        </is>
      </c>
      <c r="B2524" s="3" t="inlineStr">
        <is>
          <t>Quản lý bảng giá</t>
        </is>
      </c>
      <c r="C2524" s="3" t="inlineStr">
        <is>
          <t>Pricing management</t>
        </is>
      </c>
      <c r="D2524" s="217">
        <f>IFERROR(__xludf.DUMMYFUNCTION("GOOGLETRANSLATE(C2524,""vi"",""km"")"),"ក្រុមហ៊ុនកំណត់តម្លៃ")</f>
        <v/>
      </c>
      <c r="E2524" s="3" t="n"/>
      <c r="F2524" s="3" t="inlineStr">
        <is>
          <t>ក្រុមហ៊ុនកំណត់តម្លៃ</t>
        </is>
      </c>
      <c r="G2524" s="3" t="n"/>
      <c r="H2524" s="217" t="inlineStr">
        <is>
          <t>"delivery.warehouse.priceManager.priceManager": "ក្រុមហ៊ុនកំណត់តម្លៃ",</t>
        </is>
      </c>
      <c r="I2524" t="inlineStr">
        <is>
          <t>ក្រុមហ៊ុនកំណត់តម្លៃ</t>
        </is>
      </c>
    </row>
    <row r="2525">
      <c r="A2525" s="3" t="inlineStr">
        <is>
          <t>delivery.warehouse.priceManager.pricePricing</t>
        </is>
      </c>
      <c r="B2525" s="3" t="inlineStr">
        <is>
          <t>Bảng tính giá</t>
        </is>
      </c>
      <c r="C2525" s="3" t="inlineStr">
        <is>
          <t>Pricing Information Table</t>
        </is>
      </c>
      <c r="D2525" s="217">
        <f>IFERROR(__xludf.DUMMYFUNCTION("GOOGLETRANSLATE(C2525,""vi"",""km"")"),"តារាងព័ត៌មានអំពីតម្លៃ")</f>
        <v/>
      </c>
      <c r="E2525" s="3" t="n"/>
      <c r="F2525" s="3" t="inlineStr">
        <is>
          <t>តារាងព័ត៌មានអំពីតម្លៃ</t>
        </is>
      </c>
      <c r="G2525" s="3" t="n"/>
      <c r="H2525" s="217" t="inlineStr">
        <is>
          <t>"delivery.warehouse.priceManager.pricePricing": "តារាងព័ត៌មានអំពីតម្លៃ",</t>
        </is>
      </c>
      <c r="I2525" t="inlineStr">
        <is>
          <t>តារាងព័ត៌មានអំពីតម្លៃ</t>
        </is>
      </c>
    </row>
    <row r="2526">
      <c r="A2526" s="3" t="inlineStr">
        <is>
          <t>delivery.warehouse.priceManager.pricezone</t>
        </is>
      </c>
      <c r="B2526" s="3" t="inlineStr">
        <is>
          <t>Zone giá</t>
        </is>
      </c>
      <c r="C2526" s="3" t="inlineStr">
        <is>
          <t>Price zone</t>
        </is>
      </c>
      <c r="D2526" s="217">
        <f>IFERROR(__xludf.DUMMYFUNCTION("GOOGLETRANSLATE(C2526,""vi"",""km"")"),"តំបន់តម្លៃ")</f>
        <v/>
      </c>
      <c r="E2526" s="3" t="n"/>
      <c r="F2526" s="3" t="inlineStr">
        <is>
          <t>តំបន់គិតតម្លៃ (Zone)</t>
        </is>
      </c>
      <c r="G2526" s="3" t="n"/>
      <c r="H2526" s="217" t="inlineStr">
        <is>
          <t>"delivery.warehouse.priceManager.pricezone": "តំបន់គិតតម្លៃ (Zone)",</t>
        </is>
      </c>
      <c r="I2526" t="inlineStr">
        <is>
          <t>តំបន់គិតតម្លៃ (Zone)</t>
        </is>
      </c>
    </row>
    <row r="2527">
      <c r="A2527" s="3" t="inlineStr">
        <is>
          <t>delivery.warehouse.priceManager.searchKeyword</t>
        </is>
      </c>
      <c r="B2527" s="3" t="inlineStr">
        <is>
          <t>Nhập từ khóa tìm kiếm</t>
        </is>
      </c>
      <c r="C2527" s="3" t="inlineStr">
        <is>
          <t>Enter keywords</t>
        </is>
      </c>
      <c r="D2527" s="217">
        <f>IFERROR(__xludf.DUMMYFUNCTION("GOOGLETRANSLATE(C2527,""vi"",""km"")"),"គ្រាប់ចុចបញ្ចូល")</f>
        <v/>
      </c>
      <c r="E2527" s="3" t="n"/>
      <c r="F2527" s="3" t="inlineStr">
        <is>
          <t>គ្រាប់ចុចបញ្ចូល</t>
        </is>
      </c>
      <c r="G2527" s="3" t="n"/>
      <c r="H2527" s="217" t="inlineStr">
        <is>
          <t>"delivery.warehouse.priceManager.searchKeyword": "គ្រាប់ចុចបញ្ចូល",</t>
        </is>
      </c>
      <c r="I2527" t="inlineStr">
        <is>
          <t>គ្រាប់ចុចបញ្ចូល</t>
        </is>
      </c>
    </row>
    <row r="2528">
      <c r="A2528" s="3" t="inlineStr">
        <is>
          <t>delivery.warehouse.priceManager.searchPlaceholder</t>
        </is>
      </c>
      <c r="B2528" s="3" t="inlineStr">
        <is>
          <t>Nhập mã dịch vụ tìm kiếm</t>
        </is>
      </c>
      <c r="C2528" s="3" t="inlineStr">
        <is>
          <t>Enter service code</t>
        </is>
      </c>
      <c r="D2528" s="217">
        <f>IFERROR(__xludf.DUMMYFUNCTION("GOOGLETRANSLATE(C2528,""vi"",""km"")"),"បញ្ចូលលេខកូដសេវាកម្ម")</f>
        <v/>
      </c>
      <c r="E2528" s="3" t="n"/>
      <c r="F2528" s="3" t="inlineStr">
        <is>
          <t>បញ្ចូលលេខកូដសេវាកម្ម</t>
        </is>
      </c>
      <c r="G2528" s="3" t="n"/>
      <c r="H2528" s="217" t="inlineStr">
        <is>
          <t>"delivery.warehouse.priceManager.searchPlaceholder": "បញ្ចូលលេខកូដសេវាកម្ម",</t>
        </is>
      </c>
      <c r="I2528" t="inlineStr">
        <is>
          <t>បញ្ចូលលេខកូដសេវាកម្ម</t>
        </is>
      </c>
    </row>
    <row r="2529">
      <c r="A2529" s="3" t="inlineStr">
        <is>
          <t>delivery.warehouse.priceManager.service</t>
        </is>
      </c>
      <c r="B2529" s="3" t="inlineStr">
        <is>
          <t>Quản lý dịch vụ</t>
        </is>
      </c>
      <c r="C2529" s="3" t="inlineStr">
        <is>
          <t>Service management</t>
        </is>
      </c>
      <c r="D2529" s="217">
        <f>IFERROR(__xludf.DUMMYFUNCTION("GOOGLETRANSLATE(C2529,""vi"",""km"")"),"សេវាកម្មអាជីវកម្ម")</f>
        <v/>
      </c>
      <c r="E2529" s="3" t="n"/>
      <c r="F2529" s="3" t="inlineStr">
        <is>
          <t>សេវាកម្មអាជីវកម្ម</t>
        </is>
      </c>
      <c r="G2529" s="3" t="n"/>
      <c r="H2529" s="217" t="inlineStr">
        <is>
          <t>"delivery.warehouse.priceManager.service": "សេវាកម្មអាជីវកម្ម",</t>
        </is>
      </c>
      <c r="I2529" t="inlineStr">
        <is>
          <t>សេវាកម្មអាជីវកម្ម</t>
        </is>
      </c>
    </row>
    <row r="2530">
      <c r="A2530" s="3" t="inlineStr">
        <is>
          <t>delivery.warehouse.priceManager.serviceCode</t>
        </is>
      </c>
      <c r="B2530" s="3" t="inlineStr">
        <is>
          <t>Mã dịch vụ</t>
        </is>
      </c>
      <c r="C2530" s="3" t="inlineStr">
        <is>
          <t>Service code</t>
        </is>
      </c>
      <c r="D2530" s="217">
        <f>IFERROR(__xludf.DUMMYFUNCTION("GOOGLETRANSLATE(C2530,""vi"",""km"")"),"លេខកូដសេវាកម្ម")</f>
        <v/>
      </c>
      <c r="E2530" s="3" t="n"/>
      <c r="F2530" s="3" t="inlineStr">
        <is>
          <t>លេខកូដសេវាកម្ម</t>
        </is>
      </c>
      <c r="G2530" s="3" t="n"/>
      <c r="H2530" s="217" t="inlineStr">
        <is>
          <t>"delivery.warehouse.priceManager.serviceCode": "លេខកូដសេវាកម្ម",</t>
        </is>
      </c>
      <c r="I2530" t="inlineStr">
        <is>
          <t>លេខកូដសេវាកម្ម</t>
        </is>
      </c>
    </row>
    <row r="2531">
      <c r="A2531" s="3" t="inlineStr">
        <is>
          <t>delivery.warehouse.priceManager.serviceGroup</t>
        </is>
      </c>
      <c r="B2531" s="3" t="inlineStr">
        <is>
          <t>Nhóm dịch vụ</t>
        </is>
      </c>
      <c r="C2531" s="3" t="inlineStr">
        <is>
          <t>Service group</t>
        </is>
      </c>
      <c r="D2531" s="217">
        <f>IFERROR(__xludf.DUMMYFUNCTION("GOOGLETRANSLATE(C2531,""vi"",""km"")"),"ក្រុមសេវាកម្ម")</f>
        <v/>
      </c>
      <c r="E2531" s="3" t="n"/>
      <c r="F2531" s="3" t="inlineStr">
        <is>
          <t>ក្រុមសេវាកម្ម</t>
        </is>
      </c>
      <c r="G2531" s="3" t="n"/>
      <c r="H2531" s="217" t="inlineStr">
        <is>
          <t>"delivery.warehouse.priceManager.serviceGroup": "ក្រុមសេវាកម្ម",</t>
        </is>
      </c>
      <c r="I2531" t="inlineStr">
        <is>
          <t>ក្រុមសេវាកម្ម</t>
        </is>
      </c>
    </row>
    <row r="2532">
      <c r="A2532" s="3" t="inlineStr">
        <is>
          <t>delivery.warehouse.priceManager.serviceType</t>
        </is>
      </c>
      <c r="B2532" s="3" t="inlineStr">
        <is>
          <t>Loại dịch vụ</t>
        </is>
      </c>
      <c r="C2532" s="3" t="inlineStr">
        <is>
          <t>Service type</t>
        </is>
      </c>
      <c r="D2532" s="217">
        <f>IFERROR(__xludf.DUMMYFUNCTION("GOOGLETRANSLATE(C2532,""vi"",""km"")"),"ប្រភេទសេវាកម្ម")</f>
        <v/>
      </c>
      <c r="E2532" s="3" t="n"/>
      <c r="F2532" s="3" t="inlineStr">
        <is>
          <t>ប្រភេទសេវាកម្ម</t>
        </is>
      </c>
      <c r="G2532" s="3" t="n"/>
      <c r="H2532" s="217" t="inlineStr">
        <is>
          <t>"delivery.warehouse.priceManager.serviceType": "ប្រភេទសេវាកម្ម",</t>
        </is>
      </c>
      <c r="I2532" t="inlineStr">
        <is>
          <t>ប្រភេទសេវាកម្ម</t>
        </is>
      </c>
    </row>
    <row r="2533">
      <c r="A2533" s="3" t="inlineStr">
        <is>
          <t>delivery.warehouse.priceManager.serviceTypePlaceholder</t>
        </is>
      </c>
      <c r="B2533" s="3" t="inlineStr">
        <is>
          <t>Chọn loại dịch vụ</t>
        </is>
      </c>
      <c r="C2533" s="3" t="inlineStr">
        <is>
          <t>Select service type</t>
        </is>
      </c>
      <c r="D2533" s="217">
        <f>IFERROR(__xludf.DUMMYFUNCTION("GOOGLETRANSLATE(C2533,""vi"",""km"")"),"ជ្រើសរើសប្រភេទសេវាកម្ម")</f>
        <v/>
      </c>
      <c r="E2533" s="3" t="n"/>
      <c r="F2533" s="3" t="inlineStr">
        <is>
          <t>ជ្រើសរើសប្រភេទសេវាកម្ម</t>
        </is>
      </c>
      <c r="G2533" s="3" t="n"/>
      <c r="H2533" s="217" t="inlineStr">
        <is>
          <t>"delivery.warehouse.priceManager.serviceTypePlaceholder": "ជ្រើសរើសប្រភេទសេវាកម្ម",</t>
        </is>
      </c>
      <c r="I2533" t="inlineStr">
        <is>
          <t>ជ្រើសរើសប្រភេទសេវាកម្ម</t>
        </is>
      </c>
    </row>
    <row r="2534">
      <c r="A2534" s="3" t="inlineStr">
        <is>
          <t>delivery.warehouse.priceManager.status</t>
        </is>
      </c>
      <c r="B2534" s="3" t="inlineStr">
        <is>
          <t>Trạng thái</t>
        </is>
      </c>
      <c r="C2534" s="3" t="inlineStr">
        <is>
          <t>Status</t>
        </is>
      </c>
      <c r="D2534" s="217">
        <f>IFERROR(__xludf.DUMMYFUNCTION("GOOGLETRANSLATE(C2534,""vi"",""km"")"),"ស្ថានភាព")</f>
        <v/>
      </c>
      <c r="E2534" s="3" t="n"/>
      <c r="F2534" s="3" t="inlineStr">
        <is>
          <t>ស្ថានភាព</t>
        </is>
      </c>
      <c r="G2534" s="3" t="n"/>
      <c r="H2534" s="217" t="inlineStr">
        <is>
          <t>"delivery.warehouse.priceManager.status": "ស្ថានភាព",</t>
        </is>
      </c>
      <c r="I2534" t="inlineStr">
        <is>
          <t>ស្ថានភាព</t>
        </is>
      </c>
    </row>
    <row r="2535">
      <c r="A2535" s="23" t="inlineStr">
        <is>
          <t>delivery.warehouse.pricezone.id</t>
        </is>
      </c>
      <c r="B2535" s="3" t="inlineStr">
        <is>
          <t>ID</t>
        </is>
      </c>
      <c r="C2535" s="3" t="inlineStr">
        <is>
          <t>ID</t>
        </is>
      </c>
      <c r="D2535" s="217">
        <f>IFERROR(__xludf.DUMMYFUNCTION("GOOGLETRANSLATE(C2535,""vi"",""km"")"),"អត្តសញ្ញាណ")</f>
        <v/>
      </c>
      <c r="E2535" s="3" t="n"/>
      <c r="F2535" s="3" t="inlineStr">
        <is>
          <t>អត្តសញ្ញាណ</t>
        </is>
      </c>
      <c r="G2535" s="3" t="n"/>
      <c r="H2535" s="217" t="inlineStr">
        <is>
          <t>"delivery.warehouse.pricezone.id": "អត្តសញ្ញាណ",</t>
        </is>
      </c>
      <c r="I2535" t="inlineStr">
        <is>
          <t>អត្តសញ្ញាណ</t>
        </is>
      </c>
    </row>
    <row r="2536">
      <c r="A2536" s="3" t="inlineStr">
        <is>
          <t>delivery.warehouse.pricezone.zoneName</t>
        </is>
      </c>
      <c r="B2536" s="3" t="inlineStr">
        <is>
          <t>Tên zone</t>
        </is>
      </c>
      <c r="C2536" s="3" t="inlineStr">
        <is>
          <t>Zone name</t>
        </is>
      </c>
      <c r="D2536" s="217">
        <f>IFERROR(__xludf.DUMMYFUNCTION("GOOGLETRANSLATE(C2536,""vi"",""km"")"),"ឈ្មោះតំបន់")</f>
        <v/>
      </c>
      <c r="E2536" s="3" t="n"/>
      <c r="F2536" s="3" t="inlineStr">
        <is>
          <t>ឈ្មោះតំបន់</t>
        </is>
      </c>
      <c r="G2536" s="3" t="n"/>
      <c r="H2536" s="217" t="inlineStr">
        <is>
          <t>"delivery.warehouse.pricezone.zoneName": "ឈ្មោះតំបន់",</t>
        </is>
      </c>
      <c r="I2536" t="inlineStr">
        <is>
          <t>ឈ្មោះតំបន់</t>
        </is>
      </c>
    </row>
    <row r="2537">
      <c r="A2537" s="3" t="inlineStr">
        <is>
          <t>delivery.warehouse.pricezone.zoneType</t>
        </is>
      </c>
      <c r="B2537" s="3" t="inlineStr">
        <is>
          <t>Loại zone</t>
        </is>
      </c>
      <c r="C2537" s="3" t="inlineStr">
        <is>
          <t>Zone type</t>
        </is>
      </c>
      <c r="D2537" s="217">
        <f>IFERROR(__xludf.DUMMYFUNCTION("GOOGLETRANSLATE(C2537,""vi"",""km"")"),"ប្រភេទតំបន់")</f>
        <v/>
      </c>
      <c r="E2537" s="3" t="n"/>
      <c r="F2537" s="3" t="inlineStr">
        <is>
          <t>ប្រភេទតំបន់</t>
        </is>
      </c>
      <c r="G2537" s="3" t="n"/>
      <c r="H2537" s="217" t="inlineStr">
        <is>
          <t>"delivery.warehouse.pricezone.zoneType": "ប្រភេទតំបន់",</t>
        </is>
      </c>
      <c r="I2537" t="inlineStr">
        <is>
          <t>ប្រភេទតំបន់</t>
        </is>
      </c>
    </row>
    <row r="2538">
      <c r="A2538" s="3" t="inlineStr">
        <is>
          <t>delivery.warehouse.process.box</t>
        </is>
      </c>
      <c r="B2538" s="3" t="inlineStr">
        <is>
          <t>Hộp</t>
        </is>
      </c>
      <c r="C2538" s="3" t="inlineStr">
        <is>
          <t>Box</t>
        </is>
      </c>
      <c r="D2538" s="217">
        <f>IFERROR(__xludf.DUMMYFUNCTION("GOOGLETRANSLATE(C2538,""vi"",""km"")"),"ប្រអប់")</f>
        <v/>
      </c>
      <c r="E2538" s="3" t="n"/>
      <c r="F2538" s="3" t="inlineStr">
        <is>
          <t>ប្រអប់</t>
        </is>
      </c>
      <c r="G2538" s="3" t="n"/>
      <c r="H2538" s="217" t="inlineStr">
        <is>
          <t>"delivery.warehouse.process.box": "ប្រអប់",</t>
        </is>
      </c>
      <c r="I2538" t="inlineStr">
        <is>
          <t>ប្រអប់</t>
        </is>
      </c>
    </row>
    <row r="2539">
      <c r="A2539" s="3" t="inlineStr">
        <is>
          <t>delivery.warehouse.process.closePostal</t>
        </is>
      </c>
      <c r="B2539" s="3" t="inlineStr">
        <is>
          <t>Bưu cục đóng đến</t>
        </is>
      </c>
      <c r="C2539" s="3" t="inlineStr">
        <is>
          <t>Completed sack to post office</t>
        </is>
      </c>
      <c r="D2539" s="217">
        <f>IFERROR(__xludf.DUMMYFUNCTION("GOOGLETRANSLATE(C2539,""vi"",""km"")"),"បានបញ្ចប់ការវេចខ្ចប់ទៅការិយាល័យប្រៃសណីយ៍")</f>
        <v/>
      </c>
      <c r="E2539" s="3" t="n"/>
      <c r="F2539" s="3" t="inlineStr">
        <is>
          <t>បានបញ្ចប់ការវេចខ្ចប់ទៅការិយាល័យប្រៃសណីយ៍</t>
        </is>
      </c>
      <c r="G2539" s="3" t="n"/>
      <c r="H2539" s="217" t="inlineStr">
        <is>
          <t>"delivery.warehouse.process.closePostal": "បានបញ្ចប់ការវេចខ្ចប់ទៅការិយាល័យប្រៃសណីយ៍",</t>
        </is>
      </c>
      <c r="I2539" t="inlineStr">
        <is>
          <t>បានបញ្ចប់ការវេចខ្ចប់ទៅការិយាល័យប្រៃសណីយ៍</t>
        </is>
      </c>
    </row>
    <row r="2540">
      <c r="A2540" s="3" t="inlineStr">
        <is>
          <t>delivery.warehouse.process.confirmMissing</t>
        </is>
      </c>
      <c r="B2540" s="3" t="inlineStr">
        <is>
          <t>Đồng chí có chắc chắn muốn báo thiếu các phiếu gửi này?</t>
        </is>
      </c>
      <c r="C2540" s="3" t="inlineStr">
        <is>
          <t>Are you sure to report these postal slips?</t>
        </is>
      </c>
      <c r="D2540" s="217">
        <f>IFERROR(__xludf.DUMMYFUNCTION("GOOGLETRANSLATE(C2540,""vi"",""km"")"),"តើអ្នកប្រាកដណាស់ថានឹងរាយការណ៍ពីសំបុត្រប្រៃសណីយ៍ទាំងនេះមែនទេ?")</f>
        <v/>
      </c>
      <c r="E2540" s="3" t="n"/>
      <c r="F2540" s="3" t="inlineStr">
        <is>
          <t>តើអ្នកប្រាកដណាស់ថានឹងរាយការណ៍ពីបុងបញ្ញើទាំងនេះមែនទេ?</t>
        </is>
      </c>
      <c r="G2540" s="3" t="n"/>
      <c r="H2540" s="217" t="inlineStr">
        <is>
          <t>"delivery.warehouse.process.confirmMissing": "តើអ្នកប្រាកដណាស់ថានឹងរាយការណ៍ពីបុងបញ្ញើទាំងនេះមែនទេ?",</t>
        </is>
      </c>
      <c r="I2540" t="inlineStr">
        <is>
          <t>តើអ្នកប្រាកដណាស់ថានឹងរាយការណ៍ពីបុងបញ្ញើទាំងនេះមែនទេ?</t>
        </is>
      </c>
    </row>
    <row r="2541">
      <c r="A2541" s="3" t="inlineStr">
        <is>
          <t>delivery.warehouse.process.detailAddress</t>
        </is>
      </c>
      <c r="B2541" s="3" t="inlineStr">
        <is>
          <t>Địa chỉ chi tiết</t>
        </is>
      </c>
      <c r="C2541" s="3" t="inlineStr">
        <is>
          <t>Address details</t>
        </is>
      </c>
      <c r="D2541" s="217">
        <f>IFERROR(__xludf.DUMMYFUNCTION("GOOGLETRANSLATE(C2541,""vi"",""km"")"),"ព័ត៌មានលម្អិតប្រាកដនិយម")</f>
        <v/>
      </c>
      <c r="E2541" s="3" t="n"/>
      <c r="F2541" s="3" t="inlineStr">
        <is>
          <t>ព័ត៌មានលម្អិតប្រាកដនិយម</t>
        </is>
      </c>
      <c r="G2541" s="3" t="n"/>
      <c r="H2541" s="217" t="inlineStr">
        <is>
          <t>"delivery.warehouse.process.detailAddress": "ព័ត៌មានលម្អិតប្រាកដនិយម",</t>
        </is>
      </c>
      <c r="I2541" t="inlineStr">
        <is>
          <t>ព័ត៌មានលម្អិតប្រាកដនិយម</t>
        </is>
      </c>
    </row>
    <row r="2542">
      <c r="A2542" s="3" t="inlineStr">
        <is>
          <t>delivery.warehouse.process.districtDelivery</t>
        </is>
      </c>
      <c r="B2542" s="3" t="inlineStr">
        <is>
          <t>{{district}} phát</t>
        </is>
      </c>
      <c r="C2542" s="3" t="inlineStr">
        <is>
          <t>Delivery district</t>
        </is>
      </c>
      <c r="D2542" s="217">
        <f>IFERROR(__xludf.DUMMYFUNCTION("GOOGLETRANSLATE(C2542,""vi"",""km"")"),"ស្រុកដឹកជញ្ជូន")</f>
        <v/>
      </c>
      <c r="E2542" s="3" t="n"/>
      <c r="F2542" s="3" t="inlineStr">
        <is>
          <t>ស្រុកដឹកជញ្ជូន</t>
        </is>
      </c>
      <c r="G2542" s="3" t="n"/>
      <c r="H2542" s="217" t="inlineStr">
        <is>
          <t>"delivery.warehouse.process.districtDelivery": "ស្រុកដឹកជញ្ជូន",</t>
        </is>
      </c>
      <c r="I2542" t="inlineStr">
        <is>
          <t>ស្រុកដឹកជញ្ជូន</t>
        </is>
      </c>
    </row>
    <row r="2543">
      <c r="A2543" s="3" t="inlineStr">
        <is>
          <t>delivery.warehouse.process.emptySelectedOrderMissing</t>
        </is>
      </c>
      <c r="B2543" s="3" t="inlineStr">
        <is>
          <t>Vui lòng chọn đơn để báo thiếu</t>
        </is>
      </c>
      <c r="C2543" s="3" t="inlineStr">
        <is>
          <t>Please select the postal slip to report missing</t>
        </is>
      </c>
      <c r="D2543" s="217">
        <f>IFERROR(__xludf.DUMMYFUNCTION("GOOGLETRANSLATE(C2543,""vi"",""km"")"),"សូមជ្រើសរើសសន្លឹកប្រៃសណីយ៍ដើម្បីរាយការណ៍ពីការបាត់")</f>
        <v/>
      </c>
      <c r="E2543" s="3" t="n"/>
      <c r="F2543" s="3" t="inlineStr">
        <is>
          <t>សូមជ្រើសរើសសន្លឹកប្រៃសណីយ៍ដើម្បីរាយការណ៍ពីការបាត់</t>
        </is>
      </c>
      <c r="G2543" s="3" t="n"/>
      <c r="H2543" s="217" t="inlineStr">
        <is>
          <t>"delivery.warehouse.process.emptySelectedOrderMissing": "សូមជ្រើសរើសសន្លឹកប្រៃសណីយ៍ដើម្បីរាយការណ៍ពីការបាត់",</t>
        </is>
      </c>
      <c r="I2543" t="inlineStr">
        <is>
          <t>សូមជ្រើសរើសសន្លឹកប្រៃសណីយ៍ដើម្បីរាយការណ៍ពីការបាត់</t>
        </is>
      </c>
    </row>
    <row r="2544">
      <c r="A2544" s="3" t="inlineStr">
        <is>
          <t>delivery.warehouse.process.emptySelectedOrderReceiver</t>
        </is>
      </c>
      <c r="B2544" s="3" t="inlineStr">
        <is>
          <t>Vui lòng chọn đơn để nhận</t>
        </is>
      </c>
      <c r="C2544" s="3" t="inlineStr">
        <is>
          <t>Please select the postal slip to receive</t>
        </is>
      </c>
      <c r="D2544" s="217">
        <f>IFERROR(__xludf.DUMMYFUNCTION("GOOGLETRANSLATE(C2544,""vi"",""km"")"),"សូមជ្រើសរើសសំបុត្រប្រៃសណីយ៍ដើម្បីទទួល")</f>
        <v/>
      </c>
      <c r="E2544" s="3" t="n"/>
      <c r="F2544" s="3" t="inlineStr">
        <is>
          <t>សូមជ្រើសរើសបុងបញ្ញើដើម្បីទទួល</t>
        </is>
      </c>
      <c r="G2544" s="3" t="n"/>
      <c r="H2544" s="217" t="inlineStr">
        <is>
          <t>"delivery.warehouse.process.emptySelectedOrderReceiver": "សូមជ្រើសរើសបុងបញ្ញើដើម្បីទទួល",</t>
        </is>
      </c>
      <c r="I2544" t="inlineStr">
        <is>
          <t>សូមជ្រើសរើសបុងបញ្ញើដើម្បីទទួល</t>
        </is>
      </c>
    </row>
    <row r="2545">
      <c r="A2545" s="3" t="inlineStr">
        <is>
          <t>delivery.warehouse.process.enterAddress</t>
        </is>
      </c>
      <c r="B2545" s="3" t="inlineStr">
        <is>
          <t>Nhập địa chỉ</t>
        </is>
      </c>
      <c r="C2545" s="3" t="inlineStr">
        <is>
          <t>Enter address</t>
        </is>
      </c>
      <c r="D2545" s="217">
        <f>IFERROR(__xludf.DUMMYFUNCTION("GOOGLETRANSLATE(C2545,""vi"",""km"")"),"បញ្ចូលអាសយដ្ឋាន")</f>
        <v/>
      </c>
      <c r="E2545" s="3" t="n"/>
      <c r="F2545" s="3" t="inlineStr">
        <is>
          <t>បញ្ចូលអាសយដ្ឋាន</t>
        </is>
      </c>
      <c r="G2545" s="3" t="n"/>
      <c r="H2545" s="217" t="inlineStr">
        <is>
          <t>"delivery.warehouse.process.enterAddress": "បញ្ចូលអាសយដ្ឋាន",</t>
        </is>
      </c>
      <c r="I2545" t="inlineStr">
        <is>
          <t>បញ្ចូលអាសយដ្ឋាន</t>
        </is>
      </c>
    </row>
    <row r="2546">
      <c r="A2546" s="3" t="inlineStr">
        <is>
          <t>delivery.warehouse.process.enterOrderCode</t>
        </is>
      </c>
      <c r="B2546" s="3" t="inlineStr">
        <is>
          <t>Nhập mã phiếu gửi</t>
        </is>
      </c>
      <c r="C2546" s="3" t="inlineStr">
        <is>
          <t>Enter postal slip's code</t>
        </is>
      </c>
      <c r="D2546" s="217">
        <f>IFERROR(__xludf.DUMMYFUNCTION("GOOGLETRANSLATE(C2546,""vi"",""km"")"),"បញ្ចូលលេខកូដប្រៃសណីយ៍")</f>
        <v/>
      </c>
      <c r="E2546" s="3" t="n"/>
      <c r="F2546" s="3" t="inlineStr">
        <is>
          <t>បញ្ចូលលេខកូដប្រៃសណីយ៍</t>
        </is>
      </c>
      <c r="G2546" s="3" t="n"/>
      <c r="H2546" s="217" t="inlineStr">
        <is>
          <t>"delivery.warehouse.process.enterOrderCode": "បញ្ចូលលេខកូដប្រៃសណីយ៍",</t>
        </is>
      </c>
      <c r="I2546" t="inlineStr">
        <is>
          <t>បញ្ចូលលេខកូដប្រៃសណីយ៍</t>
        </is>
      </c>
    </row>
    <row r="2547">
      <c r="A2547" s="3" t="inlineStr">
        <is>
          <t>delivery.warehouse.process.enterPackageCode</t>
        </is>
      </c>
      <c r="B2547" s="3" t="inlineStr">
        <is>
          <t>Nhập mã tải kiện</t>
        </is>
      </c>
      <c r="C2547" s="3" t="inlineStr">
        <is>
          <t>Enter package code</t>
        </is>
      </c>
      <c r="D2547" s="217">
        <f>IFERROR(__xludf.DUMMYFUNCTION("GOOGLETRANSLATE(C2547,""vi"",""km"")"),"បញ្ចូលលេខកូដកញ្ចប់")</f>
        <v/>
      </c>
      <c r="E2547" s="3" t="n"/>
      <c r="F2547" s="3" t="inlineStr">
        <is>
          <t>បញ្ចូលលេខកូដកញ្ចប់</t>
        </is>
      </c>
      <c r="G2547" s="3" t="n"/>
      <c r="H2547" s="217" t="inlineStr">
        <is>
          <t>"delivery.warehouse.process.enterPackageCode": "បញ្ចូលលេខកូដកញ្ចប់",</t>
        </is>
      </c>
      <c r="I2547" t="inlineStr">
        <is>
          <t>បញ្ចូលលេខកូដកញ្ចប់</t>
        </is>
      </c>
    </row>
    <row r="2548">
      <c r="A2548" s="3" t="inlineStr">
        <is>
          <t>delivery.warehouse.process.fromPostal</t>
        </is>
      </c>
      <c r="B2548" s="3" t="inlineStr">
        <is>
          <t>Bưu cục gốc</t>
        </is>
      </c>
      <c r="C2548" s="3" t="inlineStr">
        <is>
          <t>Original post office</t>
        </is>
      </c>
      <c r="D2548" s="217">
        <f>IFERROR(__xludf.DUMMYFUNCTION("GOOGLETRANSLATE(C2548,""vi"",""km"")"),"ការិយាល័យប្រៃសណីយ៍ដើម")</f>
        <v/>
      </c>
      <c r="E2548" s="3" t="n"/>
      <c r="F2548" s="3" t="inlineStr">
        <is>
          <t>ការិយាល័យប្រៃសណីយ៍ដើម</t>
        </is>
      </c>
      <c r="G2548" s="3" t="n"/>
      <c r="H2548" s="217" t="inlineStr">
        <is>
          <t>"delivery.warehouse.process.fromPostal": "ការិយាល័យប្រៃសណីយ៍ដើម",</t>
        </is>
      </c>
      <c r="I2548" t="inlineStr">
        <is>
          <t>ការិយាល័យប្រៃសណីយ៍ដើម</t>
        </is>
      </c>
    </row>
    <row r="2549">
      <c r="A2549" s="3" t="inlineStr">
        <is>
          <t>delivery.warehouse.process.missingOrder</t>
        </is>
      </c>
      <c r="B2549" s="3" t="inlineStr">
        <is>
          <t>Báo thiếu</t>
        </is>
      </c>
      <c r="C2549" s="3" t="inlineStr">
        <is>
          <t>Report missing</t>
        </is>
      </c>
      <c r="D2549" s="217">
        <f>IFERROR(__xludf.DUMMYFUNCTION("GOOGLETRANSLATE(C2549,""vi"",""km"")"),"របាយការណ៍បាត់")</f>
        <v/>
      </c>
      <c r="E2549" s="3" t="n"/>
      <c r="F2549" s="3" t="inlineStr">
        <is>
          <t>របាយការណ៍បាត់</t>
        </is>
      </c>
      <c r="G2549" s="3" t="n"/>
      <c r="H2549" s="217" t="inlineStr">
        <is>
          <t>"delivery.warehouse.process.missingOrder": "របាយការណ៍បាត់",</t>
        </is>
      </c>
      <c r="I2549" t="inlineStr">
        <is>
          <t>របាយការណ៍បាត់</t>
        </is>
      </c>
    </row>
    <row r="2550">
      <c r="A2550" s="3" t="inlineStr">
        <is>
          <t>delivery.warehouse.process.onMissingSuccess</t>
        </is>
      </c>
      <c r="B2550" s="3" t="inlineStr">
        <is>
          <t>Đồng chí đã báo thiếu phiếu gửi thành công</t>
        </is>
      </c>
      <c r="C2550" s="3" t="inlineStr">
        <is>
          <t>Report missing postal slip successfully</t>
        </is>
      </c>
      <c r="D2550" s="217">
        <f>IFERROR(__xludf.DUMMYFUNCTION("GOOGLETRANSLATE(C2550,""vi"",""km"")"),"រាយការណ៍ពីសំបុត្រប្រៃសណីយ៍ដែលបាត់ដោយជោគជ័យ")</f>
        <v/>
      </c>
      <c r="E2550" s="3" t="n"/>
      <c r="F2550" s="3" t="inlineStr">
        <is>
          <t>រាយការណ៍ពីបុងបញ្ញើដែលបាត់ដោយជោគជ័យ</t>
        </is>
      </c>
      <c r="G2550" s="3" t="n"/>
      <c r="H2550" s="217" t="inlineStr">
        <is>
          <t>"delivery.warehouse.process.onMissingSuccess": "រាយការណ៍ពីបុងបញ្ញើដែលបាត់ដោយជោគជ័យ",</t>
        </is>
      </c>
      <c r="I2550" t="inlineStr">
        <is>
          <t>រាយការណ៍ពីបុងបញ្ញើដែលបាត់ដោយជោគជ័យ</t>
        </is>
      </c>
    </row>
    <row r="2551">
      <c r="A2551" s="3" t="inlineStr">
        <is>
          <t>delivery.warehouse.process.onReceiveOrderSuccess</t>
        </is>
      </c>
      <c r="B2551" s="3" t="inlineStr">
        <is>
          <t>Đồng chí đã nhận phiếu gửi thành công</t>
        </is>
      </c>
      <c r="C2551" s="3" t="inlineStr">
        <is>
          <t>Receive postal slip successfully</t>
        </is>
      </c>
      <c r="D2551" s="217">
        <f>IFERROR(__xludf.DUMMYFUNCTION("GOOGLETRANSLATE(C2551,""vi"",""km"")"),"ទទួលបានសំបុត្រប្រៃសណីយ៍ដោយជោគជ័យ")</f>
        <v/>
      </c>
      <c r="E2551" s="3" t="n"/>
      <c r="F2551" s="3" t="inlineStr">
        <is>
          <t>ទទួលបានបុងបញ្ញើដោយជោគជ័យ</t>
        </is>
      </c>
      <c r="G2551" s="3" t="n"/>
      <c r="H2551" s="217" t="inlineStr">
        <is>
          <t>"delivery.warehouse.process.onReceiveOrderSuccess": "ទទួលបានបុងបញ្ញើដោយជោគជ័យ",</t>
        </is>
      </c>
      <c r="I2551" t="inlineStr">
        <is>
          <t>ទទួលបានបុងបញ្ញើដោយជោគជ័យ</t>
        </is>
      </c>
    </row>
    <row r="2552">
      <c r="A2552" s="3" t="inlineStr">
        <is>
          <t>delivery.warehouse.process.orderCode</t>
        </is>
      </c>
      <c r="B2552" s="3" t="inlineStr">
        <is>
          <t>Mã phiếu gửi</t>
        </is>
      </c>
      <c r="C2552" s="3" t="inlineStr">
        <is>
          <t>Postal slip code</t>
        </is>
      </c>
      <c r="D2552" s="217">
        <f>IFERROR(__xludf.DUMMYFUNCTION("GOOGLETRANSLATE(C2552,""vi"",""km"")"),"លេខកូដប្រៃសណីយ៍")</f>
        <v/>
      </c>
      <c r="E2552" s="3" t="n"/>
      <c r="F2552" s="3" t="inlineStr">
        <is>
          <t>លេខកូដបុងបញ្ញើ</t>
        </is>
      </c>
      <c r="G2552" s="3" t="n"/>
      <c r="H2552" s="217" t="inlineStr">
        <is>
          <t>"delivery.warehouse.process.orderCode": "លេខកូដបុងបញ្ញើ",</t>
        </is>
      </c>
      <c r="I2552" t="inlineStr">
        <is>
          <t>លេខកូដបុងបញ្ញើ</t>
        </is>
      </c>
    </row>
    <row r="2553">
      <c r="A2553" s="3" t="inlineStr">
        <is>
          <t>delivery.warehouse.process.orderDetail</t>
        </is>
      </c>
      <c r="B2553" s="3" t="inlineStr">
        <is>
          <t>Chi tiết đơn</t>
        </is>
      </c>
      <c r="C2553" s="3" t="inlineStr">
        <is>
          <t>Order details</t>
        </is>
      </c>
      <c r="D2553" s="217">
        <f>IFERROR(__xludf.DUMMYFUNCTION("GOOGLETRANSLATE(C2553,""vi"",""km"")"),"ព័ត៌មានលម្អិតអំពីការបញ្ជាទិញ")</f>
        <v/>
      </c>
      <c r="E2553" s="3" t="n"/>
      <c r="F2553" s="3" t="inlineStr">
        <is>
          <t>ព័ត៌មានលម្អិតអំពីការបញ្ជាទិញ</t>
        </is>
      </c>
      <c r="G2553" s="3" t="n"/>
      <c r="H2553" s="217" t="inlineStr">
        <is>
          <t>"delivery.warehouse.process.orderDetail": "ព័ត៌មានលម្អិតអំពីការបញ្ជាទិញ",</t>
        </is>
      </c>
      <c r="I2553" t="inlineStr">
        <is>
          <t>ព័ត៌មានលម្អិតអំពីការបញ្ជាទិញ</t>
        </is>
      </c>
    </row>
    <row r="2554">
      <c r="A2554" s="3" t="inlineStr">
        <is>
          <t>delivery.warehouse.process.packageCode</t>
        </is>
      </c>
      <c r="B2554" s="3" t="inlineStr">
        <is>
          <t>Mã tải</t>
        </is>
      </c>
      <c r="C2554" s="3" t="inlineStr">
        <is>
          <t>Package code</t>
        </is>
      </c>
      <c r="D2554" s="217">
        <f>IFERROR(__xludf.DUMMYFUNCTION("GOOGLETRANSLATE(C2554,""vi"",""km"")"),"លេខកូដកញ្ចប់")</f>
        <v/>
      </c>
      <c r="E2554" s="3" t="n"/>
      <c r="F2554" s="3" t="inlineStr">
        <is>
          <t>លេខកូដកញ្ចប់</t>
        </is>
      </c>
      <c r="G2554" s="3" t="n"/>
      <c r="H2554" s="217" t="inlineStr">
        <is>
          <t>"delivery.warehouse.process.packageCode": "លេខកូដកញ្ចប់",</t>
        </is>
      </c>
      <c r="I2554" t="inlineStr">
        <is>
          <t>លេខកូដកញ្ចប់</t>
        </is>
      </c>
    </row>
    <row r="2555">
      <c r="A2555" s="3" t="inlineStr">
        <is>
          <t>delivery.warehouse.process.packageCodeOrder</t>
        </is>
      </c>
      <c r="B2555" s="3" t="inlineStr">
        <is>
          <t>Mã tải kiện</t>
        </is>
      </c>
      <c r="C2555" s="3" t="inlineStr">
        <is>
          <t>Package code</t>
        </is>
      </c>
      <c r="D2555" s="217">
        <f>IFERROR(__xludf.DUMMYFUNCTION("GOOGLETRANSLATE(C2555,""vi"",""km"")"),"លេខកូដកញ្ចប់")</f>
        <v/>
      </c>
      <c r="E2555" s="3" t="n"/>
      <c r="F2555" s="3" t="inlineStr">
        <is>
          <t>លេខកូដកញ្ចប់</t>
        </is>
      </c>
      <c r="G2555" s="3" t="n"/>
      <c r="H2555" s="217" t="inlineStr">
        <is>
          <t>"delivery.warehouse.process.packageCodeOrder": "លេខកូដកញ្ចប់",</t>
        </is>
      </c>
      <c r="I2555" t="inlineStr">
        <is>
          <t>លេខកូដកញ្ចប់</t>
        </is>
      </c>
    </row>
    <row r="2556">
      <c r="A2556" s="3" t="inlineStr">
        <is>
          <t>delivery.warehouse.process.packageDetail</t>
        </is>
      </c>
      <c r="B2556" s="3" t="inlineStr">
        <is>
          <t>Chi tiết tải</t>
        </is>
      </c>
      <c r="C2556" s="3" t="inlineStr">
        <is>
          <t>Package detail</t>
        </is>
      </c>
      <c r="D2556" s="217">
        <f>IFERROR(__xludf.DUMMYFUNCTION("GOOGLETRANSLATE(C2556,""vi"",""km"")"),"ព័ត៌មានលម្អិតអំពីកញ្ចប់")</f>
        <v/>
      </c>
      <c r="E2556" s="3" t="n"/>
      <c r="F2556" s="3" t="inlineStr">
        <is>
          <t>ព័ត៌មានលម្អិតអំពីកញ្ចប់</t>
        </is>
      </c>
      <c r="G2556" s="3" t="n"/>
      <c r="H2556" s="217" t="inlineStr">
        <is>
          <t>"delivery.warehouse.process.packageDetail": "ព័ត៌មានលម្អិតអំពីកញ្ចប់",</t>
        </is>
      </c>
      <c r="I2556" t="inlineStr">
        <is>
          <t>ព័ត៌មានលម្អិតអំពីកញ្ចប់</t>
        </is>
      </c>
    </row>
    <row r="2557">
      <c r="A2557" s="3" t="inlineStr">
        <is>
          <t>delivery.warehouse.process.packageExploited</t>
        </is>
      </c>
      <c r="B2557" s="3" t="inlineStr">
        <is>
          <t>Đã khai thác</t>
        </is>
      </c>
      <c r="C2557" s="3" t="inlineStr">
        <is>
          <t>Processed</t>
        </is>
      </c>
      <c r="D2557" s="217">
        <f>IFERROR(__xludf.DUMMYFUNCTION("GOOGLETRANSLATE(C2557,""vi"",""km"")"),"បានដំណើរការ")</f>
        <v/>
      </c>
      <c r="E2557" s="3" t="n"/>
      <c r="F2557" s="3" t="inlineStr">
        <is>
          <t>បានដំណើរការ</t>
        </is>
      </c>
      <c r="G2557" s="3" t="n"/>
      <c r="H2557" s="217" t="inlineStr">
        <is>
          <t>"delivery.warehouse.process.packageExploited": "បានដំណើរការ",</t>
        </is>
      </c>
      <c r="I2557" t="inlineStr">
        <is>
          <t>បានដំណើរការ</t>
        </is>
      </c>
    </row>
    <row r="2558">
      <c r="A2558" s="3" t="inlineStr">
        <is>
          <t>delivery.warehouse.process.packageUnexploited</t>
        </is>
      </c>
      <c r="B2558" s="3" t="inlineStr">
        <is>
          <t>Chưa khai thác</t>
        </is>
      </c>
      <c r="C2558" s="3" t="inlineStr">
        <is>
          <t>Process pending</t>
        </is>
      </c>
      <c r="D2558" s="217">
        <f>IFERROR(__xludf.DUMMYFUNCTION("GOOGLETRANSLATE(C2558,""vi"",""km"")"),"ដំណើរការកំពុងរង់ចាំ")</f>
        <v/>
      </c>
      <c r="E2558" s="3" t="n"/>
      <c r="F2558" s="3" t="inlineStr">
        <is>
          <t>ដំណើរការកំពុងរង់ចាំ</t>
        </is>
      </c>
      <c r="G2558" s="3" t="n"/>
      <c r="H2558" s="217" t="inlineStr">
        <is>
          <t>"delivery.warehouse.process.packageUnexploited": "ដំណើរការកំពុងរង់ចាំ",</t>
        </is>
      </c>
      <c r="I2558" t="inlineStr">
        <is>
          <t>ដំណើរការកំពុងរង់ចាំ</t>
        </is>
      </c>
    </row>
    <row r="2559">
      <c r="A2559" s="3" t="inlineStr">
        <is>
          <t>delivery.warehouse.process.parcelSackCode</t>
        </is>
      </c>
      <c r="B2559" s="3" t="inlineStr">
        <is>
          <t>Mã tải kiện</t>
        </is>
      </c>
      <c r="C2559" s="3" t="inlineStr">
        <is>
          <t>Package code</t>
        </is>
      </c>
      <c r="D2559" s="217">
        <f>IFERROR(__xludf.DUMMYFUNCTION("GOOGLETRANSLATE(C2559,""vi"",""km"")"),"លេខកូដកញ្ចប់")</f>
        <v/>
      </c>
      <c r="E2559" s="3" t="n"/>
      <c r="F2559" s="3" t="inlineStr">
        <is>
          <t>លេខកូដកញ្ចប់</t>
        </is>
      </c>
      <c r="G2559" s="3" t="n"/>
      <c r="H2559" s="217" t="inlineStr">
        <is>
          <t>"delivery.warehouse.process.parcelSackCode": "លេខកូដកញ្ចប់",</t>
        </is>
      </c>
      <c r="I2559" t="inlineStr">
        <is>
          <t>លេខកូដកញ្ចប់</t>
        </is>
      </c>
    </row>
    <row r="2560">
      <c r="A2560" s="3" t="inlineStr">
        <is>
          <t>delivery.warehouse.process.parcelType</t>
        </is>
      </c>
      <c r="B2560" s="3" t="inlineStr">
        <is>
          <t>Loại hàng hoá</t>
        </is>
      </c>
      <c r="C2560" s="3" t="inlineStr">
        <is>
          <t>Freight types</t>
        </is>
      </c>
      <c r="D2560" s="217">
        <f>IFERROR(__xludf.DUMMYFUNCTION("GOOGLETRANSLATE(C2560,""vi"",""km"")"),"ប្រភេទទំនិញ")</f>
        <v/>
      </c>
      <c r="E2560" s="3" t="n"/>
      <c r="F2560" s="3" t="inlineStr">
        <is>
          <t>ប្រភេទទំនិញ</t>
        </is>
      </c>
      <c r="G2560" s="3" t="n"/>
      <c r="H2560" s="217" t="inlineStr">
        <is>
          <t>"delivery.warehouse.process.parcelType": "ប្រភេទទំនិញ",</t>
        </is>
      </c>
      <c r="I2560" t="inlineStr">
        <is>
          <t>ប្រភេទទំនិញ</t>
        </is>
      </c>
    </row>
    <row r="2561">
      <c r="A2561" s="3" t="inlineStr">
        <is>
          <t>delivery.warehouse.process.price</t>
        </is>
      </c>
      <c r="B2561" s="3" t="inlineStr">
        <is>
          <t>Tổng cước ({{money_unit}})</t>
        </is>
      </c>
      <c r="C2561" s="3" t="inlineStr">
        <is>
          <t>Total fee ({{money_unit}})</t>
        </is>
      </c>
      <c r="D2561" s="217">
        <f>IFERROR(__xludf.DUMMYFUNCTION("GOOGLETRANSLATE(C2561,""vi"",""km"")"),"ថ្លៃសេវាសរុប ({{money_unit}})")</f>
        <v/>
      </c>
      <c r="E2561" s="3" t="n"/>
      <c r="F2561" s="3" t="inlineStr">
        <is>
          <t>ថ្លៃសេវាសរុប ({{money_unit}})</t>
        </is>
      </c>
      <c r="G2561" s="3" t="n"/>
      <c r="H2561" s="217" t="inlineStr">
        <is>
          <t>"delivery.warehouse.process.price": "ថ្លៃសេវាសរុប ({{money_unit}})",</t>
        </is>
      </c>
      <c r="I2561" t="inlineStr">
        <is>
          <t>ថ្លៃសេវាសរុប ({{money_unit}})</t>
        </is>
      </c>
    </row>
    <row r="2562">
      <c r="A2562" s="3" t="inlineStr">
        <is>
          <t>delivery.warehouse.process.priceOrder</t>
        </is>
      </c>
      <c r="B2562" s="3" t="inlineStr">
        <is>
          <t>Tổng cước</t>
        </is>
      </c>
      <c r="C2562" s="3" t="inlineStr">
        <is>
          <t>Total fee</t>
        </is>
      </c>
      <c r="D2562" s="217">
        <f>IFERROR(__xludf.DUMMYFUNCTION("GOOGLETRANSLATE(C2562,""vi"",""km"")"),"ថ្លៃសេវាសរុប")</f>
        <v/>
      </c>
      <c r="E2562" s="3" t="n"/>
      <c r="F2562" s="3" t="inlineStr">
        <is>
          <t>ថ្លៃដឹកជញ្ជូនសរុប</t>
        </is>
      </c>
      <c r="G2562" s="3" t="n"/>
      <c r="H2562" s="217" t="inlineStr">
        <is>
          <t>"delivery.warehouse.process.priceOrder": "ថ្លៃដឹកជញ្ជូនសរុប",</t>
        </is>
      </c>
      <c r="I2562" t="inlineStr">
        <is>
          <t>ថ្លៃដឹកជញ្ជូនសរុប</t>
        </is>
      </c>
    </row>
    <row r="2563">
      <c r="A2563" s="3" t="inlineStr">
        <is>
          <t>delivery.warehouse.process.processForward</t>
        </is>
      </c>
      <c r="B2563" s="3" t="inlineStr">
        <is>
          <t>Chuyển tiếp</t>
        </is>
      </c>
      <c r="C2563" s="3" t="inlineStr">
        <is>
          <t>Forward</t>
        </is>
      </c>
      <c r="D2563" s="217">
        <f>IFERROR(__xludf.DUMMYFUNCTION("GOOGLETRANSLATE(C2563,""vi"",""km"")"),"ព័ត៌មាន")</f>
        <v/>
      </c>
      <c r="E2563" s="3" t="n"/>
      <c r="F2563" s="3" t="inlineStr">
        <is>
          <t>ព័ត៌មាន</t>
        </is>
      </c>
      <c r="G2563" s="3" t="n"/>
      <c r="H2563" s="217" t="inlineStr">
        <is>
          <t>"delivery.warehouse.process.processForward": "ព័ត៌មាន",</t>
        </is>
      </c>
      <c r="I2563" t="inlineStr">
        <is>
          <t>ព័ត៌មាន</t>
        </is>
      </c>
    </row>
    <row r="2564">
      <c r="A2564" s="3" t="inlineStr">
        <is>
          <t>delivery.warehouse.process.processMissing</t>
        </is>
      </c>
      <c r="B2564" s="3" t="inlineStr">
        <is>
          <t>Đơn thiếu</t>
        </is>
      </c>
      <c r="C2564" s="3" t="inlineStr">
        <is>
          <t>Missing order</t>
        </is>
      </c>
      <c r="D2564" s="217">
        <f>IFERROR(__xludf.DUMMYFUNCTION("GOOGLETRANSLATE(C2564,""vi"",""km"")"),"ការបញ្ជាទិញដែលបាត់")</f>
        <v/>
      </c>
      <c r="E2564" s="3" t="n"/>
      <c r="F2564" s="3" t="inlineStr">
        <is>
          <t>ការបញ្ជាទិញដែលបាត់</t>
        </is>
      </c>
      <c r="G2564" s="3" t="n"/>
      <c r="H2564" s="217" t="inlineStr">
        <is>
          <t>"delivery.warehouse.process.processMissing": "ការបញ្ជាទិញដែលបាត់",</t>
        </is>
      </c>
      <c r="I2564" t="inlineStr">
        <is>
          <t>ការបញ្ជាទិញដែលបាត់</t>
        </is>
      </c>
    </row>
    <row r="2565">
      <c r="A2565" s="3" t="inlineStr">
        <is>
          <t>delivery.warehouse.process.processPackage</t>
        </is>
      </c>
      <c r="B2565" s="3" t="inlineStr">
        <is>
          <t>Tải kiện</t>
        </is>
      </c>
      <c r="C2565" s="3" t="inlineStr">
        <is>
          <t>Package</t>
        </is>
      </c>
      <c r="D2565" s="217">
        <f>IFERROR(__xludf.DUMMYFUNCTION("GOOGLETRANSLATE(C2565,""vi"",""km"")"),"កញ្ចប់")</f>
        <v/>
      </c>
      <c r="E2565" s="3" t="n"/>
      <c r="F2565" s="3" t="inlineStr">
        <is>
          <t>កញ្ចប់</t>
        </is>
      </c>
      <c r="G2565" s="3" t="n"/>
      <c r="H2565" s="217" t="inlineStr">
        <is>
          <t>"delivery.warehouse.process.processPackage": "កញ្ចប់",</t>
        </is>
      </c>
      <c r="I2565" t="inlineStr">
        <is>
          <t>កញ្ចប់</t>
        </is>
      </c>
    </row>
    <row r="2566">
      <c r="A2566" s="3" t="inlineStr">
        <is>
          <t>delivery.warehouse.process.processReceived</t>
        </is>
      </c>
      <c r="B2566" s="3" t="inlineStr">
        <is>
          <t>Đơn đã nhận</t>
        </is>
      </c>
      <c r="C2566" s="3" t="inlineStr">
        <is>
          <t>Arrived order</t>
        </is>
      </c>
      <c r="D2566" s="217">
        <f>IFERROR(__xludf.DUMMYFUNCTION("GOOGLETRANSLATE(C2566,""vi"",""km"")"),"ការបញ្ជាទិញបានមកដល់")</f>
        <v/>
      </c>
      <c r="E2566" s="3" t="n"/>
      <c r="F2566" s="3" t="inlineStr">
        <is>
          <t>ការបញ្ជាទិញបានមកដល់</t>
        </is>
      </c>
      <c r="G2566" s="3" t="n"/>
      <c r="H2566" s="217" t="inlineStr">
        <is>
          <t>"delivery.warehouse.process.processReceived": "ការបញ្ជាទិញបានមកដល់",</t>
        </is>
      </c>
      <c r="I2566" t="inlineStr">
        <is>
          <t>ការបញ្ជាទិញបានមកដល់</t>
        </is>
      </c>
    </row>
    <row r="2567">
      <c r="A2567" s="3" t="inlineStr">
        <is>
          <t>delivery.warehouse.process.provinceDelivery</t>
        </is>
      </c>
      <c r="B2567" s="3" t="inlineStr">
        <is>
          <t>{{province}} phát</t>
        </is>
      </c>
      <c r="C2567" s="3" t="inlineStr">
        <is>
          <t>Delivery province</t>
        </is>
      </c>
      <c r="D2567" s="217">
        <f>IFERROR(__xludf.DUMMYFUNCTION("GOOGLETRANSLATE(C2567,""vi"",""km"")"),"ខេត្តដឹកជញ្ជូន")</f>
        <v/>
      </c>
      <c r="E2567" s="3" t="n"/>
      <c r="F2567" s="3" t="inlineStr">
        <is>
          <t>ខេត្តដឹកជញ្ជូន</t>
        </is>
      </c>
      <c r="G2567" s="3" t="n"/>
      <c r="H2567" s="217" t="inlineStr">
        <is>
          <t>"delivery.warehouse.process.provinceDelivery": "ខេត្តដឹកជញ្ជូន",</t>
        </is>
      </c>
      <c r="I2567" t="inlineStr">
        <is>
          <t>ខេត្តដឹកជញ្ជូន</t>
        </is>
      </c>
    </row>
    <row r="2568">
      <c r="A2568" s="3" t="inlineStr">
        <is>
          <t>delivery.warehouse.process.quantity</t>
        </is>
      </c>
      <c r="B2568" s="3" t="inlineStr">
        <is>
          <t>Số lượng bưu phẩm</t>
        </is>
      </c>
      <c r="C2568" s="3" t="inlineStr">
        <is>
          <t>Quantity of parcels</t>
        </is>
      </c>
      <c r="D2568" s="217">
        <f>IFERROR(__xludf.DUMMYFUNCTION("GOOGLETRANSLATE(C2568,""vi"",""km"")"),"បរិមាណ​នៃ​ក្បាលដី")</f>
        <v/>
      </c>
      <c r="E2568" s="3" t="n"/>
      <c r="F2568" s="3" t="inlineStr">
        <is>
          <t>បរិមាណនៃក្បាលដី</t>
        </is>
      </c>
      <c r="G2568" s="3" t="n"/>
      <c r="H2568" s="217" t="inlineStr">
        <is>
          <t>"delivery.warehouse.process.quantity": "បរិមាណនៃក្បាលដី",</t>
        </is>
      </c>
      <c r="I2568" t="inlineStr">
        <is>
          <t>បរិមាណនៃក្បាលដី</t>
        </is>
      </c>
    </row>
    <row r="2569">
      <c r="A2569" s="3" t="inlineStr">
        <is>
          <t>delivery.warehouse.process.receiveOrder</t>
        </is>
      </c>
      <c r="B2569" s="3" t="inlineStr">
        <is>
          <t>Nhận phiếu gửi</t>
        </is>
      </c>
      <c r="C2569" s="3" t="inlineStr">
        <is>
          <t>Receive postal slip</t>
        </is>
      </c>
      <c r="D2569" s="217">
        <f>IFERROR(__xludf.DUMMYFUNCTION("GOOGLETRANSLATE(C2569,""vi"",""km"")"),"ទទួល​ស្លាក់​សំបុត្រ")</f>
        <v/>
      </c>
      <c r="E2569" s="3" t="n"/>
      <c r="F2569" s="3" t="inlineStr">
        <is>
          <t>ទទួលស្លាក់សំបុត្រ</t>
        </is>
      </c>
      <c r="G2569" s="3" t="n"/>
      <c r="H2569" s="217" t="inlineStr">
        <is>
          <t>"delivery.warehouse.process.receiveOrder": "ទទួលស្លាក់សំបុត្រ",</t>
        </is>
      </c>
      <c r="I2569" t="inlineStr">
        <is>
          <t>ទទួលស្លាក់សំបុត្រ</t>
        </is>
      </c>
    </row>
    <row r="2570">
      <c r="A2570" s="3" t="inlineStr">
        <is>
          <t>delivery.warehouse.process.receivePo</t>
        </is>
      </c>
      <c r="B2570" s="3" t="inlineStr">
        <is>
          <t>Bưu cục đến</t>
        </is>
      </c>
      <c r="C2570" s="3" t="inlineStr">
        <is>
          <t>Receiving post office</t>
        </is>
      </c>
      <c r="D2570" s="217">
        <f>IFERROR(__xludf.DUMMYFUNCTION("GOOGLETRANSLATE(C2570,""vi"",""km"")"),"ទទួលសំបុត្រប្រៃសណីយ៍")</f>
        <v/>
      </c>
      <c r="E2570" s="3" t="n"/>
      <c r="F2570" s="3" t="inlineStr">
        <is>
          <t>ការិយាល័យប្រៃសណីយ៍គោលដៅ</t>
        </is>
      </c>
      <c r="G2570" s="3" t="n"/>
      <c r="H2570" s="217" t="inlineStr">
        <is>
          <t>"delivery.warehouse.process.receivePo": "ការិយាល័យប្រៃសណីយ៍គោលដៅ",</t>
        </is>
      </c>
      <c r="I2570" t="inlineStr">
        <is>
          <t>ការិយាល័យប្រៃសណីយ៍គោលដៅ</t>
        </is>
      </c>
    </row>
    <row r="2571">
      <c r="A2571" s="3" t="inlineStr">
        <is>
          <t>delivery.warehouse.process.receiveUser</t>
        </is>
      </c>
      <c r="B2571" s="3" t="inlineStr">
        <is>
          <t>Người nhận</t>
        </is>
      </c>
      <c r="C2571" s="3" t="inlineStr">
        <is>
          <t>Recipient</t>
        </is>
      </c>
      <c r="D2571" s="217">
        <f>IFERROR(__xludf.DUMMYFUNCTION("GOOGLETRANSLATE(C2571,""vi"",""km"")"),"តម្រូវការ")</f>
        <v/>
      </c>
      <c r="E2571" s="3" t="n"/>
      <c r="F2571" s="3" t="inlineStr">
        <is>
          <t>អ្នកទទួល</t>
        </is>
      </c>
      <c r="G2571" s="3" t="n"/>
      <c r="H2571" s="217" t="inlineStr">
        <is>
          <t>"delivery.warehouse.process.receiveUser": "អ្នកទទួល",</t>
        </is>
      </c>
      <c r="I2571" t="inlineStr">
        <is>
          <t>អ្នកទទួល</t>
        </is>
      </c>
    </row>
    <row r="2572">
      <c r="A2572" s="3" t="inlineStr">
        <is>
          <t>delivery.warehouse.process.receivedAt</t>
        </is>
      </c>
      <c r="B2572" s="3" t="inlineStr">
        <is>
          <t>Ngày nhận</t>
        </is>
      </c>
      <c r="C2572" s="3" t="inlineStr">
        <is>
          <t>Received date</t>
        </is>
      </c>
      <c r="D2572" s="217">
        <f>IFERROR(__xludf.DUMMYFUNCTION("GOOGLETRANSLATE(C2572,""vi"",""km"")"),"កាលបរិច្ឆេទទទួលបាន")</f>
        <v/>
      </c>
      <c r="E2572" s="3" t="n"/>
      <c r="F2572" s="3" t="inlineStr">
        <is>
          <t>កាលបរិច្ឆេទទទួល</t>
        </is>
      </c>
      <c r="G2572" s="3" t="n"/>
      <c r="H2572" s="217" t="inlineStr">
        <is>
          <t>"delivery.warehouse.process.receivedAt": "កាលបរិច្ឆេទទទួល",</t>
        </is>
      </c>
      <c r="I2572" t="inlineStr">
        <is>
          <t>កាលបរិច្ឆេទទទួល</t>
        </is>
      </c>
    </row>
    <row r="2573">
      <c r="A2573" s="3" t="inlineStr">
        <is>
          <t>delivery.warehouse.process.receivedByName</t>
        </is>
      </c>
      <c r="B2573" s="3" t="inlineStr">
        <is>
          <t>Người nhận tải</t>
        </is>
      </c>
      <c r="C2573" s="3" t="inlineStr">
        <is>
          <t>Package recipient</t>
        </is>
      </c>
      <c r="D2573" s="217">
        <f>IFERROR(__xludf.DUMMYFUNCTION("GOOGLETRANSLATE(C2573,""vi"",""km"")"),"កញ្ចប់រួមបញ្ចូល")</f>
        <v/>
      </c>
      <c r="E2573" s="3" t="n"/>
      <c r="F2573" s="3" t="inlineStr">
        <is>
          <t>កញ្ចប់រួមបញ្ចូល</t>
        </is>
      </c>
      <c r="G2573" s="3" t="n"/>
      <c r="H2573" s="217" t="inlineStr">
        <is>
          <t>"delivery.warehouse.process.receivedByName": "កញ្ចប់រួមបញ្ចូល",</t>
        </is>
      </c>
      <c r="I2573" t="inlineStr">
        <is>
          <t>កញ្ចប់រួមបញ្ចូល</t>
        </is>
      </c>
    </row>
    <row r="2574">
      <c r="A2574" s="3" t="inlineStr">
        <is>
          <t>delivery.warehouse.process.receivedDifferentLocation</t>
        </is>
      </c>
      <c r="B2574" s="3" t="inlineStr">
        <is>
          <t>Phiếu gửi {{orderCode}} sai địa danh phát, sang tab "Chuyển tiếp" để xử lý</t>
        </is>
      </c>
      <c r="C2574" s="3" t="inlineStr">
        <is>
          <t>The postal slip {{orderCode}} has the wrong delivery address. Go to the "Forwarding" tab to process it</t>
        </is>
      </c>
      <c r="D2574" s="217">
        <f>IFERROR(__xludf.DUMMYFUNCTION("GOOGLETRANSLATE(C2574,""vi"",""km"")"),"បង្កាន់ដៃប្រៃសណីយ៍ {{orderCode}} មានអាសយដ្ឋានដឹកជញ្ជូនមិនត្រឹមត្រូវ។ សូមចូលទៅកាន់ផ្ទាំង ""បញ្ជូនបន្ត"" ដើម្បីដំណើរការវា។")</f>
        <v/>
      </c>
      <c r="E2574" s="3" t="n"/>
      <c r="F2574" s="3" t="inlineStr">
        <is>
          <t>បុងបញ្ញើប្រៃសណីយ៍ {{orderCode}} មានអាសយដ្ឋានដឹកជញ្ជូនមិនត្រឹមត្រូវ។ សូមចូលទៅកាន់ផ្ទាំង "បញ្ជូនបន្ត" ដើម្បីដំណើរការវា។</t>
        </is>
      </c>
      <c r="G2574" s="3" t="n"/>
      <c r="H2574" s="217" t="inlineStr">
        <is>
          <t>"delivery.warehouse.process.receivedDifferentLocation": "បុងបញ្ញើប្រៃសណីយ៍ {{orderCode}} មានអាសយដ្ឋានដឹកជញ្ជូនមិនត្រឹមត្រូវ។ សូមចូលទៅកាន់ផ្ទាំង "បញ្ជូនបន្ត" ដើម្បីដំណើរការវា។",</t>
        </is>
      </c>
      <c r="I2574" t="inlineStr">
        <is>
          <t>បុងបញ្ញើប្រៃសណីយ៍ {{orderCode}} មានអាសយដ្ឋានដឹកជញ្ជូនមិនត្រឹមត្រូវ។ សូមចូលទៅកាន់ផ្ទាំង "បញ្ជូនបន្ត" ដើម្បីដំណើរការវា។</t>
        </is>
      </c>
    </row>
    <row r="2575">
      <c r="A2575" s="3" t="inlineStr">
        <is>
          <t>delivery.warehouse.process.receivedDifferentMultiple</t>
        </is>
      </c>
      <c r="B2575" s="3" t="inlineStr">
        <is>
          <t>Đồng chí đã nhận {{sameLength}} phiếu gửi thành công. {{diffLength}} phiếu gửi sai địa danh phát, đồng chí sang tab "Chuyển tiếp" để xử lý</t>
        </is>
      </c>
      <c r="C2575" s="3" t="inlineStr">
        <is>
          <t>You have successfully received {{sameLength}} postal slips. {{diffLength}} postal slips have the wrong delivery address. Please go to the 'Forwarding' tab to process them</t>
        </is>
      </c>
      <c r="D2575" s="217">
        <f>IFERROR(__xludf.DUMMYFUNCTION("GOOGLETRANSLATE(C2575,""vi"",""km"")"),"អ្នកបានទទួលសំបុត្រប្រៃសណីយ៍ {{sameLength}} ដោយជោគជ័យ។ សំបុត្រប្រៃសណីយ៍ {{diffLength}} មានអាសយដ្ឋានដឹកជញ្ជូនមិនត្រឹមត្រូវ។ សូមចូលទៅកាន់ផ្ទាំង 'បញ្ជូនបន្ត' ដើម្បីដំណើរការវា។")</f>
        <v/>
      </c>
      <c r="E2575" s="3" t="n"/>
      <c r="F2575" s="3" t="inlineStr">
        <is>
          <t>អ្នកបានទទួលបុងបញ្ញើប្រៃសណីយ៍ {{sameLength}} ដោយជោគជ័យ។ បុងបញ្ញើ {{diffLength}} មានអាសយដ្ឋានដឹកជញ្ជូនមិនត្រឹមត្រូវ។ សូមចូលទៅកាន់ផ្ទាំង 'បញ្ជូនបន្ត' ដើម្បីដំណើរការវា។</t>
        </is>
      </c>
      <c r="G2575" s="3" t="n"/>
      <c r="H2575" s="217" t="inlineStr">
        <is>
          <t>"delivery.warehouse.process.receivedDifferentMultiple": "អ្នកបានទទួលបុងបញ្ញើប្រៃសណីយ៍ {{sameLength}} ដោយជោគជ័យ។ បុងបញ្ញើ {{diffLength}} មានអាសយដ្ឋានដឹកជញ្ជូនមិនត្រឹមត្រូវ។ សូមចូលទៅកាន់ផ្ទាំង 'បញ្ជូនបន្ត' ដើម្បីដំណើរការវា។",</t>
        </is>
      </c>
      <c r="I2575" t="inlineStr">
        <is>
          <t>អ្នកបានទទួលបុងបញ្ញើប្រៃសណីយ៍ {{sameLength}} ដោយជោគជ័យ។ បុងបញ្ញើ {{diffLength}} មានអាសយដ្ឋានដឹកជញ្ជូនមិនត្រឹមត្រូវ។ សូមចូលទៅកាន់ផ្ទាំង 'បញ្ជូនបន្ត' ដើម្បីដំណើរការវា។</t>
        </is>
      </c>
    </row>
    <row r="2576">
      <c r="A2576" s="3" t="inlineStr">
        <is>
          <t>delivery.warehouse.process.receivedSuccess</t>
        </is>
      </c>
      <c r="B2576" s="3" t="inlineStr">
        <is>
          <t>Đồng chí đã nhận phiếu gửi thành công</t>
        </is>
      </c>
      <c r="C2576" s="3" t="inlineStr">
        <is>
          <t>Receive postal slip successfully</t>
        </is>
      </c>
      <c r="D2576" s="217">
        <f>IFERROR(__xludf.DUMMYFUNCTION("GOOGLETRANSLATE(C2576,""vi"",""km"")"),"ទទួលបានសំបុត្រប្រៃសណីយ៍ដោយជោគជ័យ")</f>
        <v/>
      </c>
      <c r="E2576" s="3" t="n"/>
      <c r="F2576" s="3" t="inlineStr">
        <is>
          <t>ទទួលបានបុងបញ្ញើដោយជោគជ័យ</t>
        </is>
      </c>
      <c r="G2576" s="3" t="n"/>
      <c r="H2576" s="217" t="inlineStr">
        <is>
          <t>"delivery.warehouse.process.receivedSuccess": "ទទួលបានបុងបញ្ញើដោយជោគជ័យ",</t>
        </is>
      </c>
      <c r="I2576" t="inlineStr">
        <is>
          <t>ទទួលបានបុងបញ្ញើដោយជោគជ័យ</t>
        </is>
      </c>
    </row>
    <row r="2577">
      <c r="A2577" s="3" t="inlineStr">
        <is>
          <t>delivery.warehouse.process.selected</t>
        </is>
      </c>
      <c r="B2577" s="3" t="inlineStr">
        <is>
          <t>Đã chọn</t>
        </is>
      </c>
      <c r="C2577" s="3" t="inlineStr">
        <is>
          <t>Selected</t>
        </is>
      </c>
      <c r="D2577" s="217">
        <f>IFERROR(__xludf.DUMMYFUNCTION("GOOGLETRANSLATE(C2577,""vi"",""km"")"),"បានជ្រើសរើស")</f>
        <v/>
      </c>
      <c r="E2577" s="3" t="n"/>
      <c r="F2577" s="3" t="inlineStr">
        <is>
          <t>បានជ្រើសរើស</t>
        </is>
      </c>
      <c r="G2577" s="3" t="n"/>
      <c r="H2577" s="217" t="inlineStr">
        <is>
          <t>"delivery.warehouse.process.selected": "បានជ្រើសរើស",</t>
        </is>
      </c>
      <c r="I2577" t="inlineStr">
        <is>
          <t>បានជ្រើសរើស</t>
        </is>
      </c>
    </row>
    <row r="2578">
      <c r="A2578" s="3" t="inlineStr">
        <is>
          <t>delivery.warehouse.process.sendDate</t>
        </is>
      </c>
      <c r="B2578" s="3" t="inlineStr">
        <is>
          <t>Ngày gửi</t>
        </is>
      </c>
      <c r="C2578" s="3" t="inlineStr">
        <is>
          <t>Sent date</t>
        </is>
      </c>
      <c r="D2578" s="217">
        <f>IFERROR(__xludf.DUMMYFUNCTION("GOOGLETRANSLATE(C2578,""vi"",""km"")"),"កាលបរិច្ឆេទដែលបានផ្ញើ")</f>
        <v/>
      </c>
      <c r="E2578" s="3" t="n"/>
      <c r="F2578" s="3" t="inlineStr">
        <is>
          <t>កាលបរិច្ឆេទផ្ញើ</t>
        </is>
      </c>
      <c r="G2578" s="3" t="n"/>
      <c r="H2578" s="217" t="inlineStr">
        <is>
          <t>"delivery.warehouse.process.sendDate": "កាលបរិច្ឆេទផ្ញើ",</t>
        </is>
      </c>
      <c r="I2578" t="inlineStr">
        <is>
          <t>កាលបរិច្ឆេទផ្ញើ</t>
        </is>
      </c>
    </row>
    <row r="2579">
      <c r="A2579" s="3" t="inlineStr">
        <is>
          <t>delivery.warehouse.process.sendPO</t>
        </is>
      </c>
      <c r="B2579" s="3" t="inlineStr">
        <is>
          <t>Bưu cục đi</t>
        </is>
      </c>
      <c r="C2579" s="3" t="inlineStr">
        <is>
          <t>From post office</t>
        </is>
      </c>
      <c r="D2579" s="217">
        <f>IFERROR(__xludf.DUMMYFUNCTION("GOOGLETRANSLATE(C2579,""vi"",""km"")"),"ពីការិយាល័យប្រៃសណីយ៍")</f>
        <v/>
      </c>
      <c r="E2579" s="3" t="n"/>
      <c r="F2579" s="3" t="inlineStr">
        <is>
          <t>ពីការិយាល័យប្រៃសណីយ៍</t>
        </is>
      </c>
      <c r="G2579" s="3" t="n"/>
      <c r="H2579" s="217" t="inlineStr">
        <is>
          <t>"delivery.warehouse.process.sendPO": "ពីការិយាល័យប្រៃសណីយ៍",</t>
        </is>
      </c>
      <c r="I2579" t="inlineStr">
        <is>
          <t>ពីការិយាល័យប្រៃសណីយ៍</t>
        </is>
      </c>
    </row>
    <row r="2580">
      <c r="A2580" s="3" t="inlineStr">
        <is>
          <t>delivery.warehouse.process.service</t>
        </is>
      </c>
      <c r="B2580" s="3" t="inlineStr">
        <is>
          <t>Dịch vụ</t>
        </is>
      </c>
      <c r="C2580" s="3" t="inlineStr">
        <is>
          <t>Service</t>
        </is>
      </c>
      <c r="D2580" s="217">
        <f>IFERROR(__xludf.DUMMYFUNCTION("GOOGLETRANSLATE(C2580,""vi"",""km"")"),"សេវាកម្ម")</f>
        <v/>
      </c>
      <c r="E2580" s="3" t="n"/>
      <c r="F2580" s="3" t="inlineStr">
        <is>
          <t>សេវាកម្ម</t>
        </is>
      </c>
      <c r="G2580" s="3" t="n"/>
      <c r="H2580" s="217" t="inlineStr">
        <is>
          <t>"delivery.warehouse.process.service": "សេវាកម្ម",</t>
        </is>
      </c>
      <c r="I2580" t="inlineStr">
        <is>
          <t>សេវាកម្ម</t>
        </is>
      </c>
    </row>
    <row r="2581">
      <c r="A2581" s="3" t="inlineStr">
        <is>
          <t>delivery.warehouse.process.toPostal</t>
        </is>
      </c>
      <c r="B2581" s="3" t="inlineStr">
        <is>
          <t>Bưu cục phát</t>
        </is>
      </c>
      <c r="C2581" s="3" t="inlineStr">
        <is>
          <t>Delivery post office</t>
        </is>
      </c>
      <c r="D2581" s="217">
        <f>IFERROR(__xludf.DUMMYFUNCTION("GOOGLETRANSLATE(C2581,""vi"",""km"")"),"ការិយាល័យប្រៃសណីយ៍ដឹកជញ្ជូន")</f>
        <v/>
      </c>
      <c r="E2581" s="3" t="n"/>
      <c r="F2581" s="3" t="inlineStr">
        <is>
          <t>ការិយាល័យប្រៃសណីយ៍ដឹកចែក</t>
        </is>
      </c>
      <c r="G2581" s="3" t="n"/>
      <c r="H2581" s="217" t="inlineStr">
        <is>
          <t>"delivery.warehouse.process.toPostal": "ការិយាល័យប្រៃសណីយ៍ដឹកចែក",</t>
        </is>
      </c>
      <c r="I2581" t="inlineStr">
        <is>
          <t>ការិយាល័យប្រៃសណីយ៍ដឹកចែក</t>
        </is>
      </c>
    </row>
    <row r="2582">
      <c r="A2582" s="3" t="inlineStr">
        <is>
          <t>delivery.warehouse.process.toProvince</t>
        </is>
      </c>
      <c r="B2582" s="3" t="inlineStr">
        <is>
          <t>Tỉnh đến</t>
        </is>
      </c>
      <c r="C2582" s="3" t="inlineStr">
        <is>
          <t>Receiving province</t>
        </is>
      </c>
      <c r="D2582" s="217">
        <f>IFERROR(__xludf.DUMMYFUNCTION("GOOGLETRANSLATE(C2582,""vi"",""km"")"),"ខេត្តប្រុស")</f>
        <v/>
      </c>
      <c r="E2582" s="3" t="n"/>
      <c r="F2582" s="3" t="inlineStr">
        <is>
          <t>ខេត្តប្រុស</t>
        </is>
      </c>
      <c r="G2582" s="3" t="n"/>
      <c r="H2582" s="217" t="inlineStr">
        <is>
          <t>"delivery.warehouse.process.toProvince": "ខេត្តប្រុស",</t>
        </is>
      </c>
      <c r="I2582" t="inlineStr">
        <is>
          <t>ខេត្តប្រុស</t>
        </is>
      </c>
    </row>
    <row r="2583">
      <c r="A2583" s="3" t="inlineStr">
        <is>
          <t>delivery.warehouse.process.totalOrder</t>
        </is>
      </c>
      <c r="B2583" s="3" t="inlineStr">
        <is>
          <t>Tổng đơn</t>
        </is>
      </c>
      <c r="C2583" s="3" t="inlineStr">
        <is>
          <t>Total order</t>
        </is>
      </c>
      <c r="D2583" s="217">
        <f>IFERROR(__xludf.DUMMYFUNCTION("GOOGLETRANSLATE(C2583,""vi"",""km"")"),"ការបញ្ជាទិញសរុប")</f>
        <v/>
      </c>
      <c r="E2583" s="3" t="n"/>
      <c r="F2583" s="3" t="inlineStr">
        <is>
          <t>ការបញ្ជាទិញសរុប</t>
        </is>
      </c>
      <c r="G2583" s="3" t="n"/>
      <c r="H2583" s="217" t="inlineStr">
        <is>
          <t>"delivery.warehouse.process.totalOrder": "ការបញ្ជាទិញសរុប",</t>
        </is>
      </c>
      <c r="I2583" t="inlineStr">
        <is>
          <t>ការបញ្ជាទិញសរុប</t>
        </is>
      </c>
    </row>
    <row r="2584">
      <c r="A2584" s="3" t="inlineStr">
        <is>
          <t>delivery.warehouse.process.totalOrderReceived</t>
        </is>
      </c>
      <c r="B2584" s="3" t="inlineStr">
        <is>
          <t>Tổng đơn đã nhận</t>
        </is>
      </c>
      <c r="C2584" s="3" t="inlineStr">
        <is>
          <t>Total received orders</t>
        </is>
      </c>
      <c r="D2584" s="217">
        <f>IFERROR(__xludf.DUMMYFUNCTION("GOOGLETRANSLATE(C2584,""vi"",""km"")"),"ការបញ្ជាទិញសរុបដែលបានទទួល")</f>
        <v/>
      </c>
      <c r="E2584" s="3" t="n"/>
      <c r="F2584" s="3" t="inlineStr">
        <is>
          <t>ការបញ្ជាទិញសរុបដែលបានទទួល</t>
        </is>
      </c>
      <c r="G2584" s="3" t="n"/>
      <c r="H2584" s="217" t="inlineStr">
        <is>
          <t>"delivery.warehouse.process.totalOrderReceived": "ការបញ្ជាទិញសរុបដែលបានទទួល",</t>
        </is>
      </c>
      <c r="I2584" t="inlineStr">
        <is>
          <t>ការបញ្ជាទិញសរុបដែលបានទទួល</t>
        </is>
      </c>
    </row>
    <row r="2585">
      <c r="A2585" s="3" t="inlineStr">
        <is>
          <t>delivery.warehouse.process.totalPackage</t>
        </is>
      </c>
      <c r="B2585" s="3" t="inlineStr">
        <is>
          <t>Tổng tải kiện</t>
        </is>
      </c>
      <c r="C2585" s="3" t="inlineStr">
        <is>
          <t>Total package</t>
        </is>
      </c>
      <c r="D2585" s="217">
        <f>IFERROR(__xludf.DUMMYFUNCTION("GOOGLETRANSLATE(C2585,""vi"",""km"")"),"កញ្ចប់សរុប")</f>
        <v/>
      </c>
      <c r="E2585" s="3" t="n"/>
      <c r="F2585" s="3" t="inlineStr">
        <is>
          <t>កញ្ចប់សរុប</t>
        </is>
      </c>
      <c r="G2585" s="3" t="n"/>
      <c r="H2585" s="217" t="inlineStr">
        <is>
          <t>"delivery.warehouse.process.totalPackage": "កញ្ចប់សរុប",</t>
        </is>
      </c>
      <c r="I2585" t="inlineStr">
        <is>
          <t>កញ្ចប់សរុប</t>
        </is>
      </c>
    </row>
    <row r="2586">
      <c r="A2586" s="3" t="inlineStr">
        <is>
          <t>delivery.warehouse.process.updateAt</t>
        </is>
      </c>
      <c r="B2586" s="3" t="n"/>
      <c r="C2586" s="3" t="inlineStr">
        <is>
          <t>Updated time</t>
        </is>
      </c>
      <c r="D2586" s="217">
        <f>IFERROR(__xludf.DUMMYFUNCTION("GOOGLETRANSLATE(C2586,""vi"",""km"")"),"ពេលវេលាដែលបានធ្វើបច្ចុប្បន្នភាព")</f>
        <v/>
      </c>
      <c r="E2586" s="3" t="n"/>
      <c r="F2586" s="3" t="inlineStr">
        <is>
          <t>ពេលវេលាដែលបានធ្វើបច្ចុប្បន្នភាព</t>
        </is>
      </c>
      <c r="G2586" s="3" t="n"/>
      <c r="H2586" s="217" t="inlineStr">
        <is>
          <t>"delivery.warehouse.process.updateAt": "ពេលវេលាដែលបានធ្វើបច្ចុប្បន្នភាព",</t>
        </is>
      </c>
      <c r="I2586" t="inlineStr">
        <is>
          <t>ពេលវេលាដែលបានធ្វើបច្ចុប្បន្នភាព</t>
        </is>
      </c>
    </row>
    <row r="2587">
      <c r="A2587" s="3" t="inlineStr">
        <is>
          <t>delivery.warehouse.process.updateAtMissing</t>
        </is>
      </c>
      <c r="B2587" s="3" t="inlineStr">
        <is>
          <t>Ngày báo thiếu</t>
        </is>
      </c>
      <c r="C2587" s="3" t="inlineStr">
        <is>
          <t>Report missing date</t>
        </is>
      </c>
      <c r="D2587" s="217">
        <f>IFERROR(__xludf.DUMMYFUNCTION("GOOGLETRANSLATE(C2587,""vi"",""km"")"),"រាយការណ៍ពីកាលបរិច្ឆេទដែលបាត់")</f>
        <v/>
      </c>
      <c r="E2587" s="3" t="n"/>
      <c r="F2587" s="3" t="inlineStr">
        <is>
          <t>រាយការណ៍ពីកាលបរិច្ឆេទដែលបាត់</t>
        </is>
      </c>
      <c r="G2587" s="3" t="n"/>
      <c r="H2587" s="217" t="inlineStr">
        <is>
          <t>"delivery.warehouse.process.updateAtMissing": "រាយការណ៍ពីកាលបរិច្ឆេទដែលបាត់",</t>
        </is>
      </c>
      <c r="I2587" t="inlineStr">
        <is>
          <t>រាយការណ៍ពីកាលបរិច្ឆេទដែលបាត់</t>
        </is>
      </c>
    </row>
    <row r="2588">
      <c r="A2588" s="3" t="inlineStr">
        <is>
          <t>delivery.warehouse.process.updateByMissing</t>
        </is>
      </c>
      <c r="B2588" s="3" t="inlineStr">
        <is>
          <t>Người báo thiếu</t>
        </is>
      </c>
      <c r="C2588" s="3" t="inlineStr">
        <is>
          <t>Report missing user</t>
        </is>
      </c>
      <c r="D2588" s="217">
        <f>IFERROR(__xludf.DUMMYFUNCTION("GOOGLETRANSLATE(C2588,""vi"",""km"")"),"រាយការណ៍អ្នកប្រើប្រាស់ដែលបាត់")</f>
        <v/>
      </c>
      <c r="E2588" s="3" t="n"/>
      <c r="F2588" s="3" t="inlineStr">
        <is>
          <t>រាយការណ៍អ្នកប្រើប្រាស់ដែលបាត់</t>
        </is>
      </c>
      <c r="G2588" s="3" t="n"/>
      <c r="H2588" s="217" t="inlineStr">
        <is>
          <t>"delivery.warehouse.process.updateByMissing": "រាយការណ៍អ្នកប្រើប្រាស់ដែលបាត់",</t>
        </is>
      </c>
      <c r="I2588" t="inlineStr">
        <is>
          <t>រាយការណ៍អ្នកប្រើប្រាស់ដែលបាត់</t>
        </is>
      </c>
    </row>
    <row r="2589">
      <c r="A2589" s="3" t="inlineStr">
        <is>
          <t>delivery.warehouse.process.updateByName</t>
        </is>
      </c>
      <c r="B2589" s="3" t="n"/>
      <c r="C2589" s="3" t="inlineStr">
        <is>
          <t>Updater</t>
        </is>
      </c>
      <c r="D2589" s="217">
        <f>IFERROR(__xludf.DUMMYFUNCTION("GOOGLETRANSLATE(C2589,""vi"",""km"")"),"កម្មវិធីធ្វើបច្ចុប្បន្នភាព")</f>
        <v/>
      </c>
      <c r="E2589" s="3" t="n"/>
      <c r="F2589" s="3" t="inlineStr">
        <is>
          <t>កម្មវិធីធ្វើបច្ចុប្បន្នភាព</t>
        </is>
      </c>
      <c r="G2589" s="3" t="n"/>
      <c r="H2589" s="217" t="inlineStr">
        <is>
          <t>"delivery.warehouse.process.updateByName": "កម្មវិធីធ្វើបច្ចុប្បន្នភាព",</t>
        </is>
      </c>
      <c r="I2589" t="inlineStr">
        <is>
          <t>កម្មវិធីធ្វើបច្ចុប្បន្នភាព</t>
        </is>
      </c>
    </row>
    <row r="2590">
      <c r="A2590" s="3" t="inlineStr">
        <is>
          <t>delivery.warehouse.process.updateFail</t>
        </is>
      </c>
      <c r="B2590" s="3" t="inlineStr">
        <is>
          <t>Cập nhật địa chỉ thất bại</t>
        </is>
      </c>
      <c r="C2590" s="3" t="inlineStr">
        <is>
          <t>Fail to update address</t>
        </is>
      </c>
      <c r="D2590" s="217">
        <f>IFERROR(__xludf.DUMMYFUNCTION("GOOGLETRANSLATE(C2590,""vi"",""km"")"),"មិនអាចធ្វើបច្ចុប្បន្នភាពអាសយដ្ឋានបានទេ")</f>
        <v/>
      </c>
      <c r="E2590" s="3" t="n"/>
      <c r="F2590" s="3" t="inlineStr">
        <is>
          <t>មិនអាចធ្វើបច្ចុប្បន្នភាពអាសយដ្ឋានបានទេ</t>
        </is>
      </c>
      <c r="G2590" s="3" t="n"/>
      <c r="H2590" s="217" t="inlineStr">
        <is>
          <t>"delivery.warehouse.process.updateFail": "មិនអាចធ្វើបច្ចុប្បន្នភាពអាសយដ្ឋានបានទេ",</t>
        </is>
      </c>
      <c r="I2590" t="inlineStr">
        <is>
          <t>មិនអាចធ្វើបច្ចុប្បន្នភាពអាសយដ្ឋានបានទេ</t>
        </is>
      </c>
    </row>
    <row r="2591">
      <c r="A2591" s="3" t="inlineStr">
        <is>
          <t>delivery.warehouse.process.updateLocation</t>
        </is>
      </c>
      <c r="B2591" s="3" t="inlineStr">
        <is>
          <t>Cập nhật địa chỉ</t>
        </is>
      </c>
      <c r="C2591" s="3" t="inlineStr">
        <is>
          <t>Address update</t>
        </is>
      </c>
      <c r="D2591" s="217">
        <f>IFERROR(__xludf.DUMMYFUNCTION("GOOGLETRANSLATE(C2591,""vi"",""km"")"),"ការអាប់ដេតមិនត្រឹមត្រូវ")</f>
        <v/>
      </c>
      <c r="E2591" s="3" t="n"/>
      <c r="F2591" s="3" t="inlineStr">
        <is>
          <t>ការអាប់ដេតមិនត្រឹមត្រូវ</t>
        </is>
      </c>
      <c r="G2591" s="3" t="n"/>
      <c r="H2591" s="217" t="inlineStr">
        <is>
          <t>"delivery.warehouse.process.updateLocation": "ការអាប់ដេតមិនត្រឹមត្រូវ",</t>
        </is>
      </c>
      <c r="I2591" t="inlineStr">
        <is>
          <t>ការអាប់ដេតមិនត្រឹមត្រូវ</t>
        </is>
      </c>
    </row>
    <row r="2592">
      <c r="A2592" s="3" t="inlineStr">
        <is>
          <t>delivery.warehouse.process.wardDelivery</t>
        </is>
      </c>
      <c r="B2592" s="3" t="inlineStr">
        <is>
          <t>{{ward}} phát</t>
        </is>
      </c>
      <c r="C2592" s="3" t="inlineStr">
        <is>
          <t>Delivery ward</t>
        </is>
      </c>
      <c r="D2592" s="217">
        <f>IFERROR(__xludf.DUMMYFUNCTION("GOOGLETRANSLATE(C2592,""vi"",""km"")"),"វួដ​ដឹកជញ្ជូន")</f>
        <v/>
      </c>
      <c r="E2592" s="3" t="n"/>
      <c r="F2592" s="3" t="inlineStr">
        <is>
          <t>វួដដឹកជញ្ជូន</t>
        </is>
      </c>
      <c r="G2592" s="3" t="n"/>
      <c r="H2592" s="217" t="inlineStr">
        <is>
          <t>"delivery.warehouse.process.wardDelivery": "វួដដឹកជញ្ជូន",</t>
        </is>
      </c>
      <c r="I2592" t="inlineStr">
        <is>
          <t>វួដដឹកជញ្ជូន</t>
        </is>
      </c>
    </row>
    <row r="2593">
      <c r="A2593" s="3" t="inlineStr">
        <is>
          <t>delivery.warehouse.process.weight</t>
        </is>
      </c>
      <c r="B2593" s="3" t="inlineStr">
        <is>
          <t>Trọng lượng (g)</t>
        </is>
      </c>
      <c r="C2593" s="3" t="inlineStr">
        <is>
          <t>Weight</t>
        </is>
      </c>
      <c r="D2593" s="217">
        <f>IFERROR(__xludf.DUMMYFUNCTION("GOOGLETRANSLATE(C2593,""vi"",""km"")"),"ទម្ងន់")</f>
        <v/>
      </c>
      <c r="E2593" s="3" t="n"/>
      <c r="F2593" s="3" t="inlineStr">
        <is>
          <t>ទម្ងន់</t>
        </is>
      </c>
      <c r="G2593" s="3" t="n"/>
      <c r="H2593" s="217" t="inlineStr">
        <is>
          <t>"delivery.warehouse.process.weight": "ទម្ងន់",</t>
        </is>
      </c>
      <c r="I2593" t="inlineStr">
        <is>
          <t>ទម្ងន់</t>
        </is>
      </c>
    </row>
    <row r="2594">
      <c r="A2594" s="3" t="inlineStr">
        <is>
          <t>delivery.warehouse.process.weightOrder</t>
        </is>
      </c>
      <c r="B2594" s="3" t="inlineStr">
        <is>
          <t>Trọng lượng</t>
        </is>
      </c>
      <c r="C2594" s="3" t="inlineStr">
        <is>
          <t>Weight</t>
        </is>
      </c>
      <c r="D2594" s="217">
        <f>IFERROR(__xludf.DUMMYFUNCTION("GOOGLETRANSLATE(C2594,""vi"",""km"")"),"ទម្ងន់")</f>
        <v/>
      </c>
      <c r="E2594" s="3" t="n"/>
      <c r="F2594" s="3" t="inlineStr">
        <is>
          <t>ទម្ងន់</t>
        </is>
      </c>
      <c r="G2594" s="3" t="n"/>
      <c r="H2594" s="217" t="inlineStr">
        <is>
          <t>"delivery.warehouse.process.weightOrder": "ទម្ងន់",</t>
        </is>
      </c>
      <c r="I2594" t="inlineStr">
        <is>
          <t>ទម្ងន់</t>
        </is>
      </c>
    </row>
    <row r="2595">
      <c r="A2595" s="3" t="inlineStr">
        <is>
          <t>delivery.warehouse.progressAssign.assignDone</t>
        </is>
      </c>
      <c r="B2595" s="3" t="inlineStr">
        <is>
          <t>Gán đơn kho thành công!</t>
        </is>
      </c>
      <c r="C2595" s="3" t="inlineStr">
        <is>
          <t>Assigned total order in warehouse successfully!</t>
        </is>
      </c>
      <c r="D2595" s="217">
        <f>IFERROR(__xludf.DUMMYFUNCTION("GOOGLETRANSLATE(C2595,""vi"",""km"")"),"បានកំណត់ការបញ្ជាទិញសរុបនៅក្នុងឃ្លាំងដោយជោគជ័យ!")</f>
        <v/>
      </c>
      <c r="E2595" s="3" t="n"/>
      <c r="F2595" s="3" t="inlineStr">
        <is>
          <t>ចាត់តាំងបញ្ញើក្នុងឃ្លាំងជោគជ័យ!</t>
        </is>
      </c>
      <c r="G2595" s="3" t="n"/>
      <c r="H2595" s="217" t="inlineStr">
        <is>
          <t>"delivery.warehouse.progressAssign.assignDone": "ចាត់តាំងបញ្ញើក្នុងឃ្លាំងជោគជ័យ!",</t>
        </is>
      </c>
      <c r="I2595" t="inlineStr">
        <is>
          <t>ចាត់តាំងបញ្ញើក្នុងឃ្លាំងជោគជ័យ!</t>
        </is>
      </c>
    </row>
    <row r="2596">
      <c r="A2596" s="3" t="inlineStr">
        <is>
          <t>delivery.warehouse.progressAssign.getOrderFail</t>
        </is>
      </c>
      <c r="B2596" s="3" t="inlineStr">
        <is>
          <t>Lỗi lấy danh sách đơn của kho</t>
        </is>
      </c>
      <c r="C2596" s="3" t="inlineStr">
        <is>
          <t>Error getting list of warehouse orders</t>
        </is>
      </c>
      <c r="D2596" s="217">
        <f>IFERROR(__xludf.DUMMYFUNCTION("GOOGLETRANSLATE(C2596,""vi"",""km"")"),"កំហុសក្នុងការទទួលបានបញ្ជីការបញ្ជាទិញឃ្លាំង")</f>
        <v/>
      </c>
      <c r="E2596" s="3" t="n"/>
      <c r="F2596" s="3" t="inlineStr">
        <is>
          <t>មានបញ្ហាក្នុងការទាញយកបញ្ជីបញ្ញើរបស់ឃ្លាំង</t>
        </is>
      </c>
      <c r="G2596" s="3" t="n"/>
      <c r="H2596" s="217" t="inlineStr">
        <is>
          <t>"delivery.warehouse.progressAssign.getOrderFail": "មានបញ្ហាក្នុងការទាញយកបញ្ជីបញ្ញើរបស់ឃ្លាំង",</t>
        </is>
      </c>
      <c r="I2596" t="inlineStr">
        <is>
          <t>មានបញ្ហាក្នុងការទាញយកបញ្ជីបញ្ញើរបស់ឃ្លាំង</t>
        </is>
      </c>
    </row>
    <row r="2597">
      <c r="A2597" s="3" t="inlineStr">
        <is>
          <t>delivery.warehouse.progressAssign.orderFail</t>
        </is>
      </c>
      <c r="B2597" s="3" t="inlineStr">
        <is>
          <t>Đơn gán thất bại</t>
        </is>
      </c>
      <c r="C2597" s="3" t="inlineStr">
        <is>
          <t>Assigned order failed!</t>
        </is>
      </c>
      <c r="D2597" s="217">
        <f>IFERROR(__xludf.DUMMYFUNCTION("GOOGLETRANSLATE(C2597,""vi"",""km"")"),"ការបញ្ជាទិញដែលបានកំណត់បានបរាជ័យ!")</f>
        <v/>
      </c>
      <c r="E2597" s="3" t="n"/>
      <c r="F2597" s="3" t="inlineStr">
        <is>
          <t>ការបញ្ជាទិញដែលបានកំណត់បានបរាជ័យ!</t>
        </is>
      </c>
      <c r="G2597" s="3" t="n"/>
      <c r="H2597" s="217" t="inlineStr">
        <is>
          <t>"delivery.warehouse.progressAssign.orderFail": "ការបញ្ជាទិញដែលបានកំណត់បានបរាជ័យ!",</t>
        </is>
      </c>
      <c r="I2597" t="inlineStr">
        <is>
          <t>ការបញ្ជាទិញដែលបានកំណត់បានបរាជ័យ!</t>
        </is>
      </c>
    </row>
    <row r="2598">
      <c r="A2598" s="3" t="inlineStr">
        <is>
          <t>delivery.warehouse.progressAssign.orderSuccess</t>
        </is>
      </c>
      <c r="B2598" s="3" t="inlineStr">
        <is>
          <t>Đơn gán thành công</t>
        </is>
      </c>
      <c r="C2598" s="3" t="inlineStr">
        <is>
          <t>Assigned order successfully!</t>
        </is>
      </c>
      <c r="D2598" s="217">
        <f>IFERROR(__xludf.DUMMYFUNCTION("GOOGLETRANSLATE(C2598,""vi"",""km"")"),"បានកំណត់ការបញ្ជាទិញដោយជោគជ័យ!")</f>
        <v/>
      </c>
      <c r="E2598" s="3" t="n"/>
      <c r="F2598" s="3" t="inlineStr">
        <is>
          <t>បានកំណត់ការបញ្ជាទិញដោយជោគជ័យ!</t>
        </is>
      </c>
      <c r="G2598" s="3" t="n"/>
      <c r="H2598" s="217" t="inlineStr">
        <is>
          <t>"delivery.warehouse.progressAssign.orderSuccess": "បានកំណត់ការបញ្ជាទិញដោយជោគជ័យ!",</t>
        </is>
      </c>
      <c r="I2598" t="inlineStr">
        <is>
          <t>បានកំណត់ការបញ្ជាទិញដោយជោគជ័យ!</t>
        </is>
      </c>
    </row>
    <row r="2599">
      <c r="A2599" s="3" t="inlineStr">
        <is>
          <t>delivery.warehouse.progressAssign.pregressing</t>
        </is>
      </c>
      <c r="B2599" s="3" t="inlineStr">
        <is>
          <t>Đang gán đơn</t>
        </is>
      </c>
      <c r="C2599" s="3" t="inlineStr">
        <is>
          <t>Assigning orders</t>
        </is>
      </c>
      <c r="D2599" s="217">
        <f>IFERROR(__xludf.DUMMYFUNCTION("GOOGLETRANSLATE(C2599,""vi"",""km"")"),"ការចាត់តាំងការបញ្ជាទិញ")</f>
        <v/>
      </c>
      <c r="E2599" s="3" t="n"/>
      <c r="F2599" s="3" t="inlineStr">
        <is>
          <t>កំពុងចាត់តាំងបញ្ញើ</t>
        </is>
      </c>
      <c r="G2599" s="3" t="n"/>
      <c r="H2599" s="217" t="inlineStr">
        <is>
          <t>"delivery.warehouse.progressAssign.pregressing": "កំពុងចាត់តាំងបញ្ញើ",</t>
        </is>
      </c>
      <c r="I2599" t="inlineStr">
        <is>
          <t>កំពុងចាត់តាំងបញ្ញើ</t>
        </is>
      </c>
    </row>
    <row r="2600">
      <c r="A2600" s="3" t="inlineStr">
        <is>
          <t>delivery.warehouse.receivingKpi.branch</t>
        </is>
      </c>
      <c r="B2600" s="3" t="inlineStr">
        <is>
          <t>Chi nhánh</t>
        </is>
      </c>
      <c r="C2600" s="3" t="inlineStr">
        <is>
          <t>Branch</t>
        </is>
      </c>
      <c r="D2600" s="217">
        <f>IFERROR(__xludf.DUMMYFUNCTION("GOOGLETRANSLATE(C2600,""vi"",""km"")"),"គ្រួសារ")</f>
        <v/>
      </c>
      <c r="E2600" s="3" t="n"/>
      <c r="F2600" s="3" t="inlineStr">
        <is>
          <t>សាខា</t>
        </is>
      </c>
      <c r="G2600" s="3" t="n"/>
      <c r="H2600" s="217" t="inlineStr">
        <is>
          <t>"delivery.warehouse.receivingKpi.branch": "សាខា",</t>
        </is>
      </c>
      <c r="I2600" t="inlineStr">
        <is>
          <t>សាខា</t>
        </is>
      </c>
    </row>
    <row r="2601">
      <c r="A2601" s="3" t="inlineStr">
        <is>
          <t>delivery.warehouse.receivingKpi.calculateDate</t>
        </is>
      </c>
      <c r="B2601" s="3" t="inlineStr">
        <is>
          <t>Luỹ kế ngày</t>
        </is>
      </c>
      <c r="C2601" s="3" t="inlineStr">
        <is>
          <t>Day-to-date</t>
        </is>
      </c>
      <c r="D2601" s="217">
        <f>IFERROR(__xludf.DUMMYFUNCTION("GOOGLETRANSLATE(C2601,""vi"",""km"")"),"ប្រចាំថ្ងៃ")</f>
        <v/>
      </c>
      <c r="E2601" s="3" t="n"/>
      <c r="F2601" s="3" t="inlineStr">
        <is>
          <t>ប្រចាំថ្ងៃ</t>
        </is>
      </c>
      <c r="G2601" s="3" t="n"/>
      <c r="H2601" s="217" t="inlineStr">
        <is>
          <t>"delivery.warehouse.receivingKpi.calculateDate": "ប្រចាំថ្ងៃ",</t>
        </is>
      </c>
      <c r="I2601" t="inlineStr">
        <is>
          <t>ប្រចាំថ្ងៃ</t>
        </is>
      </c>
    </row>
    <row r="2602">
      <c r="A2602" s="3" t="inlineStr">
        <is>
          <t>delivery.warehouse.receivingKpi.calculateMonth</t>
        </is>
      </c>
      <c r="B2602" s="3" t="inlineStr">
        <is>
          <t>Luỹ kế tháng</t>
        </is>
      </c>
      <c r="C2602" s="3" t="inlineStr">
        <is>
          <t>Month-to-date</t>
        </is>
      </c>
      <c r="D2602" s="217">
        <f>IFERROR(__xludf.DUMMYFUNCTION("GOOGLETRANSLATE(C2602,""vi"",""km"")"),"ប្រចាំខែរហូតមកដល់បច្ចុប្បន្ន")</f>
        <v/>
      </c>
      <c r="E2602" s="3" t="n"/>
      <c r="F2602" s="3" t="inlineStr">
        <is>
          <t>ប្រចាំខែរហូតមកដល់បច្ចុប្បន្ន</t>
        </is>
      </c>
      <c r="G2602" s="3" t="n"/>
      <c r="H2602" s="217" t="inlineStr">
        <is>
          <t>"delivery.warehouse.receivingKpi.calculateMonth": "ប្រចាំខែរហូតមកដល់បច្ចុប្បន្ន",</t>
        </is>
      </c>
      <c r="I2602" t="inlineStr">
        <is>
          <t>ប្រចាំខែរហូតមកដល់បច្ចុប្បន្ន</t>
        </is>
      </c>
    </row>
    <row r="2603">
      <c r="A2603" s="3" t="inlineStr">
        <is>
          <t>delivery.warehouse.receivingKpi.customer</t>
        </is>
      </c>
      <c r="B2603" s="3" t="inlineStr">
        <is>
          <t>Khách hàng</t>
        </is>
      </c>
      <c r="C2603" s="3" t="inlineStr">
        <is>
          <t>Customer</t>
        </is>
      </c>
      <c r="D2603" s="217">
        <f>IFERROR(__xludf.DUMMYFUNCTION("GOOGLETRANSLATE(C2603,""vi"",""km"")"),"បុគ្គលិកលក្ខណៈ")</f>
        <v/>
      </c>
      <c r="E2603" s="3" t="n"/>
      <c r="F2603" s="3" t="inlineStr">
        <is>
          <t>បុគ្គលិកលក្ខណៈ</t>
        </is>
      </c>
      <c r="G2603" s="3" t="n"/>
      <c r="H2603" s="217" t="inlineStr">
        <is>
          <t>"delivery.warehouse.receivingKpi.customer": "បុគ្គលិកលក្ខណៈ",</t>
        </is>
      </c>
      <c r="I2603" t="inlineStr">
        <is>
          <t>បុគ្គលិកលក្ខណៈ</t>
        </is>
      </c>
    </row>
    <row r="2604">
      <c r="A2604" s="3" t="inlineStr">
        <is>
          <t>delivery.warehouse.receivingKpi.deliveryBranch</t>
        </is>
      </c>
      <c r="B2604" s="3" t="inlineStr">
        <is>
          <t>Chi nhánh phát</t>
        </is>
      </c>
      <c r="C2604" s="3" t="inlineStr">
        <is>
          <t>Delivery branch</t>
        </is>
      </c>
      <c r="D2604" s="217">
        <f>IFERROR(__xludf.DUMMYFUNCTION("GOOGLETRANSLATE(C2604,""vi"",""km"")"),"សាខាដឹកជញ្ជូន")</f>
        <v/>
      </c>
      <c r="E2604" s="3" t="n"/>
      <c r="F2604" s="3" t="inlineStr">
        <is>
          <t>សាខាដឹកជញ្ជូន</t>
        </is>
      </c>
      <c r="G2604" s="3" t="n"/>
      <c r="H2604" s="217" t="inlineStr">
        <is>
          <t>"delivery.warehouse.receivingKpi.deliveryBranch": "សាខាដឹកជញ្ជូន",</t>
        </is>
      </c>
      <c r="I2604" t="inlineStr">
        <is>
          <t>សាខាដឹកជញ្ជូន</t>
        </is>
      </c>
    </row>
    <row r="2605">
      <c r="A2605" s="3" t="inlineStr">
        <is>
          <t>delivery.warehouse.receivingKpi.deliveryPostOffice</t>
        </is>
      </c>
      <c r="B2605" s="3" t="inlineStr">
        <is>
          <t>Bưu cục phát</t>
        </is>
      </c>
      <c r="C2605" s="3" t="inlineStr">
        <is>
          <t>Delivery post office</t>
        </is>
      </c>
      <c r="D2605" s="217">
        <f>IFERROR(__xludf.DUMMYFUNCTION("GOOGLETRANSLATE(C2605,""vi"",""km"")"),"ការិយាល័យប្រៃសណីយ៍ដឹកជញ្ជូន")</f>
        <v/>
      </c>
      <c r="E2605" s="3" t="n"/>
      <c r="F2605" s="3" t="inlineStr">
        <is>
          <t>ការិយាល័យប្រៃសណីយ៍ដឹកចែក</t>
        </is>
      </c>
      <c r="G2605" s="3" t="n"/>
      <c r="H2605" s="217" t="inlineStr">
        <is>
          <t>"delivery.warehouse.receivingKpi.deliveryPostOffice": "ការិយាល័យប្រៃសណីយ៍ដឹកចែក",</t>
        </is>
      </c>
      <c r="I2605" t="inlineStr">
        <is>
          <t>ការិយាល័យប្រៃសណីយ៍ដឹកចែក</t>
        </is>
      </c>
    </row>
    <row r="2606">
      <c r="A2606" s="3" t="inlineStr">
        <is>
          <t>delivery.warehouse.receivingKpi.deliveryPostman</t>
        </is>
      </c>
      <c r="B2606" s="3" t="inlineStr">
        <is>
          <t>Tuyến bưu tá phát</t>
        </is>
      </c>
      <c r="C2606" s="3" t="inlineStr">
        <is>
          <t>Delivery route</t>
        </is>
      </c>
      <c r="D2606" s="217">
        <f>IFERROR(__xludf.DUMMYFUNCTION("GOOGLETRANSLATE(C2606,""vi"",""km"")"),"ផ្លូវដឹកជញ្ជូន")</f>
        <v/>
      </c>
      <c r="E2606" s="3" t="n"/>
      <c r="F2606" s="3" t="inlineStr">
        <is>
          <t>ផ្លូវដឹកជញ្ជូន</t>
        </is>
      </c>
      <c r="G2606" s="3" t="n"/>
      <c r="H2606" s="217" t="inlineStr">
        <is>
          <t>"delivery.warehouse.receivingKpi.deliveryPostman": "ផ្លូវដឹកជញ្ជូន",</t>
        </is>
      </c>
      <c r="I2606" t="inlineStr">
        <is>
          <t>ផ្លូវដឹកជញ្ជូន</t>
        </is>
      </c>
    </row>
    <row r="2607">
      <c r="A2607" s="3" t="inlineStr">
        <is>
          <t>delivery.warehouse.receivingKpi.deliverySuccessRate</t>
        </is>
      </c>
      <c r="B2607" s="3" t="inlineStr">
        <is>
          <t>Tỷ lệ phát thành công</t>
        </is>
      </c>
      <c r="C2607" s="3" t="inlineStr">
        <is>
          <t>Successful delivery rate</t>
        </is>
      </c>
      <c r="D2607" s="217">
        <f>IFERROR(__xludf.DUMMYFUNCTION("GOOGLETRANSLATE(C2607,""vi"",""km"")"),"អត្រាចែកចាយជោគជ័យ")</f>
        <v/>
      </c>
      <c r="E2607" s="3" t="n"/>
      <c r="F2607" s="3" t="inlineStr">
        <is>
          <t>អត្រាចែកចាយជោគជ័យ</t>
        </is>
      </c>
      <c r="G2607" s="3" t="n"/>
      <c r="H2607" s="217" t="inlineStr">
        <is>
          <t>"delivery.warehouse.receivingKpi.deliverySuccessRate": "អត្រាចែកចាយជោគជ័យ",</t>
        </is>
      </c>
      <c r="I2607" t="inlineStr">
        <is>
          <t>អត្រាចែកចាយជោគជ័យ</t>
        </is>
      </c>
    </row>
    <row r="2608">
      <c r="A2608" s="3" t="inlineStr">
        <is>
          <t>delivery.warehouse.receivingKpi.deliveryTotal</t>
        </is>
      </c>
      <c r="B2608" s="3" t="inlineStr">
        <is>
          <t>Tổng đơn phải phát</t>
        </is>
      </c>
      <c r="C2608" s="3" t="inlineStr">
        <is>
          <t>Total orders for delivery</t>
        </is>
      </c>
      <c r="D2608" s="217">
        <f>IFERROR(__xludf.DUMMYFUNCTION("GOOGLETRANSLATE(C2608,""vi"",""km"")"),"ការបញ្ជាទិញសរុបសម្រាប់ការដឹកជញ្ជូន")</f>
        <v/>
      </c>
      <c r="E2608" s="3" t="n"/>
      <c r="F2608" s="3" t="inlineStr">
        <is>
          <t>ការបញ្ជាទិញសរុបសម្រាប់ការដឹកជញ្ជូន</t>
        </is>
      </c>
      <c r="G2608" s="3" t="n"/>
      <c r="H2608" s="217" t="inlineStr">
        <is>
          <t>"delivery.warehouse.receivingKpi.deliveryTotal": "ការបញ្ជាទិញសរុបសម្រាប់ការដឹកជញ្ជូន",</t>
        </is>
      </c>
      <c r="I2608" t="inlineStr">
        <is>
          <t>ការបញ្ជាទិញសរុបសម្រាប់ការដឹកជញ្ជូន</t>
        </is>
      </c>
    </row>
    <row r="2609">
      <c r="A2609" s="3" t="inlineStr">
        <is>
          <t>delivery.warehouse.receivingKpi.deliveryTotalSuccess</t>
        </is>
      </c>
      <c r="B2609" s="3" t="inlineStr">
        <is>
          <t>Tổng đơn phát thành công</t>
        </is>
      </c>
      <c r="C2609" s="3" t="inlineStr">
        <is>
          <t>Total successfully delivered orders</t>
        </is>
      </c>
      <c r="D2609" s="217">
        <f>IFERROR(__xludf.DUMMYFUNCTION("GOOGLETRANSLATE(C2609,""vi"",""km"")"),"ការបញ្ជាទិញសរុបដែលបានដឹកជញ្ជូនដោយជោគជ័យ")</f>
        <v/>
      </c>
      <c r="E2609" s="3" t="n"/>
      <c r="F2609" s="3" t="inlineStr">
        <is>
          <t>ការបញ្ជាទិញសរុបដែលបានដឹកជញ្ជូនដោយជោគជ័យ</t>
        </is>
      </c>
      <c r="G2609" s="3" t="n"/>
      <c r="H2609" s="217" t="inlineStr">
        <is>
          <t>"delivery.warehouse.receivingKpi.deliveryTotalSuccess": "ការបញ្ជាទិញសរុបដែលបានដឹកជញ្ជូនដោយជោគជ័យ",</t>
        </is>
      </c>
      <c r="I2609" t="inlineStr">
        <is>
          <t>ការបញ្ជាទិញសរុបដែលបានដឹកជញ្ជូនដោយជោគជ័យ</t>
        </is>
      </c>
    </row>
    <row r="2610">
      <c r="A2610" s="3" t="inlineStr">
        <is>
          <t>delivery.warehouse.receivingKpi.exportDetail</t>
        </is>
      </c>
      <c r="B2610" s="3" t="inlineStr">
        <is>
          <t>Xuất chi tiết</t>
        </is>
      </c>
      <c r="C2610" s="3" t="inlineStr">
        <is>
          <t>Export details</t>
        </is>
      </c>
      <c r="D2610" s="217">
        <f>IFERROR(__xludf.DUMMYFUNCTION("GOOGLETRANSLATE(C2610,""vi"",""km"")"),"នាំចេញព័ត៌មានលម្អិត")</f>
        <v/>
      </c>
      <c r="E2610" s="3" t="n"/>
      <c r="F2610" s="3" t="inlineStr">
        <is>
          <t>នាំចេញព័ត៌មានលម្អិត</t>
        </is>
      </c>
      <c r="G2610" s="3" t="n"/>
      <c r="H2610" s="217" t="inlineStr">
        <is>
          <t>"delivery.warehouse.receivingKpi.exportDetail": "នាំចេញព័ត៌មានលម្អិត",</t>
        </is>
      </c>
      <c r="I2610" t="inlineStr">
        <is>
          <t>នាំចេញព័ត៌មានលម្អិត</t>
        </is>
      </c>
    </row>
    <row r="2611">
      <c r="A2611" s="3" t="inlineStr">
        <is>
          <t>delivery.warehouse.receivingKpi.exportExcel</t>
        </is>
      </c>
      <c r="B2611" s="3" t="inlineStr">
        <is>
          <t>Xuất excel</t>
        </is>
      </c>
      <c r="C2611" s="3" t="inlineStr">
        <is>
          <t>Export to excel</t>
        </is>
      </c>
      <c r="D2611" s="217">
        <f>IFERROR(__xludf.DUMMYFUNCTION("GOOGLETRANSLATE(C2611,""vi"",""km"")"),"នាំចេញទៅ Excel")</f>
        <v/>
      </c>
      <c r="E2611" s="3" t="n"/>
      <c r="F2611" s="3" t="inlineStr">
        <is>
          <t>នាំចេញទៅ Excel</t>
        </is>
      </c>
      <c r="G2611" s="3" t="n"/>
      <c r="H2611" s="217" t="inlineStr">
        <is>
          <t>"delivery.warehouse.receivingKpi.exportExcel": "នាំចេញទៅ Excel",</t>
        </is>
      </c>
      <c r="I2611" t="inlineStr">
        <is>
          <t>នាំចេញទៅ Excel</t>
        </is>
      </c>
    </row>
    <row r="2612">
      <c r="A2612" s="3" t="inlineStr">
        <is>
          <t>delivery.warehouse.receivingKpi.exportFail</t>
        </is>
      </c>
      <c r="B2612" s="3" t="inlineStr">
        <is>
          <t>Xuất excel thất bại</t>
        </is>
      </c>
      <c r="C2612" s="3" t="inlineStr">
        <is>
          <t>Export to Excel failed</t>
        </is>
      </c>
      <c r="D2612" s="217">
        <f>IFERROR(__xludf.DUMMYFUNCTION("GOOGLETRANSLATE(C2612,""vi"",""km"")"),"ការនាំចេញទៅ Excel បរាជ័យ")</f>
        <v/>
      </c>
      <c r="E2612" s="3" t="n"/>
      <c r="F2612" s="3" t="inlineStr">
        <is>
          <t>ការនាំចេញទៅ Excel បរាជ័យ</t>
        </is>
      </c>
      <c r="G2612" s="3" t="n"/>
      <c r="H2612" s="217" t="inlineStr">
        <is>
          <t>"delivery.warehouse.receivingKpi.exportFail": "ការនាំចេញទៅ Excel បរាជ័យ",</t>
        </is>
      </c>
      <c r="I2612" t="inlineStr">
        <is>
          <t>ការនាំចេញទៅ Excel បរាជ័យ</t>
        </is>
      </c>
    </row>
    <row r="2613">
      <c r="A2613" s="3" t="inlineStr">
        <is>
          <t>delivery.warehouse.receivingKpi.exportSuccess</t>
        </is>
      </c>
      <c r="B2613" s="3" t="inlineStr">
        <is>
          <t>Xuất excel thành công</t>
        </is>
      </c>
      <c r="C2613" s="3" t="inlineStr">
        <is>
          <t>Export to Excel successful</t>
        </is>
      </c>
      <c r="D2613" s="217">
        <f>IFERROR(__xludf.DUMMYFUNCTION("GOOGLETRANSLATE(C2613,""vi"",""km"")"),"នាំចេញទៅ Excel ដោយជោគជ័យ")</f>
        <v/>
      </c>
      <c r="E2613" s="3" t="n"/>
      <c r="F2613" s="3" t="inlineStr">
        <is>
          <t>នាំចេញទៅ Excel ដោយជោគជ័យ</t>
        </is>
      </c>
      <c r="G2613" s="3" t="n"/>
      <c r="H2613" s="217" t="inlineStr">
        <is>
          <t>"delivery.warehouse.receivingKpi.exportSuccess": "នាំចេញទៅ Excel ដោយជោគជ័យ",</t>
        </is>
      </c>
      <c r="I2613" t="inlineStr">
        <is>
          <t>នាំចេញទៅ Excel ដោយជោគជ័យ</t>
        </is>
      </c>
    </row>
    <row r="2614">
      <c r="A2614" s="3" t="inlineStr">
        <is>
          <t>delivery.warehouse.receivingKpi.fileNameExcel</t>
        </is>
      </c>
      <c r="B2614" s="3" t="inlineStr">
        <is>
          <t>BaocaoKPIthu</t>
        </is>
      </c>
      <c r="C2614" s="3" t="inlineStr">
        <is>
          <t>RecevingKPIreport</t>
        </is>
      </c>
      <c r="D2614" s="217">
        <f>IFERROR(__xludf.DUMMYFUNCTION("GOOGLETRANSLATE(C2614,""vi"",""km"")"),"កំពុងទទួលរបាយការណ៍ KPI")</f>
        <v/>
      </c>
      <c r="E2614" s="3" t="n"/>
      <c r="F2614" s="3" t="inlineStr">
        <is>
          <t>កំពុងទទួលរបាយការណ៍ KPI</t>
        </is>
      </c>
      <c r="G2614" s="3" t="n"/>
      <c r="H2614" s="217" t="inlineStr">
        <is>
          <t>"delivery.warehouse.receivingKpi.fileNameExcel": "កំពុងទទួលរបាយការណ៍ KPI",</t>
        </is>
      </c>
      <c r="I2614" t="inlineStr">
        <is>
          <t>កំពុងទទួលរបាយការណ៍ KPI</t>
        </is>
      </c>
    </row>
    <row r="2615">
      <c r="A2615" s="3" t="inlineStr">
        <is>
          <t>delivery.warehouse.receivingKpi.fileNameExcelDetail</t>
        </is>
      </c>
      <c r="B2615" s="3" t="inlineStr">
        <is>
          <t>xuatchitiet_baocaoKPIthu</t>
        </is>
      </c>
      <c r="C2615" s="3" t="inlineStr">
        <is>
          <t>Exportdetails_RecevingKPIreport</t>
        </is>
      </c>
      <c r="D2615" s="217">
        <f>IFERROR(__xludf.DUMMYFUNCTION("GOOGLETRANSLATE(C2615,""vi"",""km"")"),"នាំចេញព័ត៌មានលម្អិត_របាយការណ៍ KPI ទទួល")</f>
        <v/>
      </c>
      <c r="E2615" s="3" t="n"/>
      <c r="F2615" s="3" t="inlineStr">
        <is>
          <t>នាំចេញព័ត៌មានលម្អិត_របាយការណ៍ KPI ទទួល</t>
        </is>
      </c>
      <c r="G2615" s="3" t="n"/>
      <c r="H2615" s="217" t="inlineStr">
        <is>
          <t>"delivery.warehouse.receivingKpi.fileNameExcelDetail": "នាំចេញព័ត៌មានលម្អិត_របាយការណ៍ KPI ទទួល",</t>
        </is>
      </c>
      <c r="I2615" t="inlineStr">
        <is>
          <t>នាំចេញព័ត៌មានលម្អិត_របាយការណ៍ KPI ទទួល</t>
        </is>
      </c>
    </row>
    <row r="2616">
      <c r="A2616" s="3" t="inlineStr">
        <is>
          <t>delivery.warehouse.receivingKpi.orderCode</t>
        </is>
      </c>
      <c r="B2616" s="3" t="inlineStr">
        <is>
          <t>Mã phiếu gửi</t>
        </is>
      </c>
      <c r="C2616" s="3" t="inlineStr">
        <is>
          <t>Order ID</t>
        </is>
      </c>
      <c r="D2616" s="217">
        <f>IFERROR(__xludf.DUMMYFUNCTION("GOOGLETRANSLATE(C2616,""vi"",""km"")"),"លេខសម្គាល់ការបញ្ជាទិញ")</f>
        <v/>
      </c>
      <c r="E2616" s="3" t="n"/>
      <c r="F2616" s="3" t="inlineStr">
        <is>
          <t>លេខកូដបុងបញ្ញើ</t>
        </is>
      </c>
      <c r="G2616" s="3" t="n"/>
      <c r="H2616" s="217" t="inlineStr">
        <is>
          <t>"delivery.warehouse.receivingKpi.orderCode": "លេខកូដបុងបញ្ញើ",</t>
        </is>
      </c>
      <c r="I2616" t="inlineStr">
        <is>
          <t>លេខកូដបុងបញ្ញើ</t>
        </is>
      </c>
    </row>
    <row r="2617">
      <c r="A2617" s="3" t="inlineStr">
        <is>
          <t>delivery.warehouse.receivingKpi.popupTitle</t>
        </is>
      </c>
      <c r="B2617" s="3" t="inlineStr">
        <is>
          <t>Chi tiết bưu gửi</t>
        </is>
      </c>
      <c r="C2617" s="3" t="inlineStr">
        <is>
          <t>Postal slip details</t>
        </is>
      </c>
      <c r="D2617" s="217">
        <f>IFERROR(__xludf.DUMMYFUNCTION("GOOGLETRANSLATE(C2617,""vi"",""km"")"),"ព័ត៌មានលម្អិតអំពីសំបុត្រប្រៃសណីយ៍")</f>
        <v/>
      </c>
      <c r="E2617" s="3" t="n"/>
      <c r="F2617" s="3" t="inlineStr">
        <is>
          <t>ព័ត៌មានលម្អិតអំពីបុងបញ្ញើ</t>
        </is>
      </c>
      <c r="G2617" s="3" t="n"/>
      <c r="H2617" s="217" t="inlineStr">
        <is>
          <t>"delivery.warehouse.receivingKpi.popupTitle": "ព័ត៌មានលម្អិតអំពីបុងបញ្ញើ",</t>
        </is>
      </c>
      <c r="I2617" t="inlineStr">
        <is>
          <t>ព័ត៌មានលម្អិតអំពីបុងបញ្ញើ</t>
        </is>
      </c>
    </row>
    <row r="2618">
      <c r="A2618" s="3" t="inlineStr">
        <is>
          <t>delivery.warehouse.receivingKpi.postOffice</t>
        </is>
      </c>
      <c r="B2618" s="3" t="inlineStr">
        <is>
          <t>Bưu cục</t>
        </is>
      </c>
      <c r="C2618" s="3" t="inlineStr">
        <is>
          <t>Post office</t>
        </is>
      </c>
      <c r="D2618" s="217">
        <f>IFERROR(__xludf.DUMMYFUNCTION("GOOGLETRANSLATE(C2618,""vi"",""km"")"),"ការិយាល័យប្រៃសណីយ៍")</f>
        <v/>
      </c>
      <c r="E2618" s="3" t="n"/>
      <c r="F2618" s="3" t="inlineStr">
        <is>
          <t>ការិយាល័យប្រៃសណីយ៍</t>
        </is>
      </c>
      <c r="G2618" s="3" t="n"/>
      <c r="H2618" s="217" t="inlineStr">
        <is>
          <t>"delivery.warehouse.receivingKpi.postOffice": "ការិយាល័យប្រៃសណីយ៍",</t>
        </is>
      </c>
      <c r="I2618" t="inlineStr">
        <is>
          <t>ការិយាល័យប្រៃសណីយ៍</t>
        </is>
      </c>
    </row>
    <row r="2619">
      <c r="A2619" s="3" t="inlineStr">
        <is>
          <t>delivery.warehouse.receivingKpi.postman</t>
        </is>
      </c>
      <c r="B2619" s="3" t="inlineStr">
        <is>
          <t>Tuyến</t>
        </is>
      </c>
      <c r="C2619" s="3" t="inlineStr">
        <is>
          <t>Route</t>
        </is>
      </c>
      <c r="D2619" s="217">
        <f>IFERROR(__xludf.DUMMYFUNCTION("GOOGLETRANSLATE(C2619,""vi"",""km"")"),"ផ្លូវ")</f>
        <v/>
      </c>
      <c r="E2619" s="3" t="n"/>
      <c r="F2619" s="3" t="inlineStr">
        <is>
          <t>ផ្លូវ</t>
        </is>
      </c>
      <c r="G2619" s="3" t="n"/>
      <c r="H2619" s="217" t="inlineStr">
        <is>
          <t>"delivery.warehouse.receivingKpi.postman": "ផ្លូវ",</t>
        </is>
      </c>
      <c r="I2619" t="inlineStr">
        <is>
          <t>ផ្លូវ</t>
        </is>
      </c>
    </row>
    <row r="2620">
      <c r="A2620" s="3" t="inlineStr">
        <is>
          <t>delivery.warehouse.receivingKpi.receivingBranch</t>
        </is>
      </c>
      <c r="B2620" s="3" t="inlineStr">
        <is>
          <t>Chi nhánh nhận</t>
        </is>
      </c>
      <c r="C2620" s="3" t="inlineStr">
        <is>
          <t>Receiving branch</t>
        </is>
      </c>
      <c r="D2620" s="217">
        <f>IFERROR(__xludf.DUMMYFUNCTION("GOOGLETRANSLATE(C2620,""vi"",""km"")"),"សាខាទទួល")</f>
        <v/>
      </c>
      <c r="E2620" s="3" t="n"/>
      <c r="F2620" s="3" t="inlineStr">
        <is>
          <t>សាខាទទួល</t>
        </is>
      </c>
      <c r="G2620" s="3" t="n"/>
      <c r="H2620" s="217" t="inlineStr">
        <is>
          <t>"delivery.warehouse.receivingKpi.receivingBranch": "សាខាទទួល",</t>
        </is>
      </c>
      <c r="I2620" t="inlineStr">
        <is>
          <t>សាខាទទួល</t>
        </is>
      </c>
    </row>
    <row r="2621">
      <c r="A2621" s="3" t="inlineStr">
        <is>
          <t>delivery.warehouse.receivingKpi.receivingPostOffice</t>
        </is>
      </c>
      <c r="B2621" s="3" t="inlineStr">
        <is>
          <t>Bưu cục nhận</t>
        </is>
      </c>
      <c r="C2621" s="3" t="inlineStr">
        <is>
          <t>Receiving post office</t>
        </is>
      </c>
      <c r="D2621" s="217">
        <f>IFERROR(__xludf.DUMMYFUNCTION("GOOGLETRANSLATE(C2621,""vi"",""km"")"),"ទទួលសំបុត្រប្រៃសណីយ៍")</f>
        <v/>
      </c>
      <c r="E2621" s="3" t="n"/>
      <c r="F2621" s="3" t="inlineStr">
        <is>
          <t>ទទួលបុងបញ្ញើប្រៃសណីយ៍</t>
        </is>
      </c>
      <c r="G2621" s="3" t="n"/>
      <c r="H2621" s="217" t="inlineStr">
        <is>
          <t>"delivery.warehouse.receivingKpi.receivingPostOffice": "ទទួលបុងបញ្ញើប្រៃសណីយ៍",</t>
        </is>
      </c>
      <c r="I2621" t="inlineStr">
        <is>
          <t>ទទួលបុងបញ្ញើប្រៃសណីយ៍</t>
        </is>
      </c>
    </row>
    <row r="2622">
      <c r="A2622" s="3" t="inlineStr">
        <is>
          <t>delivery.warehouse.receivingKpi.receivingPostman</t>
        </is>
      </c>
      <c r="B2622" s="3" t="inlineStr">
        <is>
          <t>Tuyến bưu tá nhận</t>
        </is>
      </c>
      <c r="C2622" s="3" t="inlineStr">
        <is>
          <t>Receiving route</t>
        </is>
      </c>
      <c r="D2622" s="217">
        <f>IFERROR(__xludf.DUMMYFUNCTION("GOOGLETRANSLATE(C2622,""vi"",""km"")"),"ផ្លូវ​លាមក")</f>
        <v/>
      </c>
      <c r="E2622" s="3" t="n"/>
      <c r="F2622" s="3" t="inlineStr">
        <is>
          <t>ផ្លូវលាមក</t>
        </is>
      </c>
      <c r="G2622" s="3" t="n"/>
      <c r="H2622" s="217" t="inlineStr">
        <is>
          <t>"delivery.warehouse.receivingKpi.receivingPostman": "ផ្លូវលាមក",</t>
        </is>
      </c>
      <c r="I2622" t="inlineStr">
        <is>
          <t>ផ្លូវលាមក</t>
        </is>
      </c>
    </row>
    <row r="2623">
      <c r="A2623" s="3" t="inlineStr">
        <is>
          <t>delivery.warehouse.receivingKpi.selectBranch</t>
        </is>
      </c>
      <c r="B2623" s="3" t="inlineStr">
        <is>
          <t>Chọn chi nhánh</t>
        </is>
      </c>
      <c r="C2623" s="3" t="inlineStr">
        <is>
          <t>Select branch</t>
        </is>
      </c>
      <c r="D2623" s="217">
        <f>IFERROR(__xludf.DUMMYFUNCTION("GOOGLETRANSLATE(C2623,""vi"",""km"")"),"ជ្រើសរើសទ្រូង")</f>
        <v/>
      </c>
      <c r="E2623" s="3" t="n"/>
      <c r="F2623" s="3" t="inlineStr">
        <is>
          <t>ជ្រើសរើសទ្រូង</t>
        </is>
      </c>
      <c r="G2623" s="3" t="n"/>
      <c r="H2623" s="217" t="inlineStr">
        <is>
          <t>"delivery.warehouse.receivingKpi.selectBranch": "ជ្រើសរើសទ្រូង",</t>
        </is>
      </c>
      <c r="I2623" t="inlineStr">
        <is>
          <t>ជ្រើសរើសទ្រូង</t>
        </is>
      </c>
    </row>
    <row r="2624">
      <c r="A2624" s="3" t="inlineStr">
        <is>
          <t>delivery.warehouse.receivingKpi.selectCustomer</t>
        </is>
      </c>
      <c r="B2624" s="3" t="inlineStr">
        <is>
          <t>Chọn khách hàng</t>
        </is>
      </c>
      <c r="C2624" s="3" t="inlineStr">
        <is>
          <t>Select customer</t>
        </is>
      </c>
      <c r="D2624" s="217">
        <f>IFERROR(__xludf.DUMMYFUNCTION("GOOGLETRANSLATE(C2624,""vi"",""km"")"),"ជ្រើសរើសអតិថិជន")</f>
        <v/>
      </c>
      <c r="E2624" s="3" t="n"/>
      <c r="F2624" s="3" t="inlineStr">
        <is>
          <t>ជ្រើសរើសអតិថិជន</t>
        </is>
      </c>
      <c r="G2624" s="3" t="n"/>
      <c r="H2624" s="217" t="inlineStr">
        <is>
          <t>"delivery.warehouse.receivingKpi.selectCustomer": "ជ្រើសរើសអតិថិជន",</t>
        </is>
      </c>
      <c r="I2624" t="inlineStr">
        <is>
          <t>ជ្រើសរើសអតិថិជន</t>
        </is>
      </c>
    </row>
    <row r="2625">
      <c r="A2625" s="3" t="inlineStr">
        <is>
          <t>delivery.warehouse.receivingKpi.selectDate</t>
        </is>
      </c>
      <c r="B2625" s="3" t="inlineStr">
        <is>
          <t>Chọn ngày</t>
        </is>
      </c>
      <c r="C2625" s="3" t="inlineStr">
        <is>
          <t>Select date</t>
        </is>
      </c>
      <c r="D2625" s="217">
        <f>IFERROR(__xludf.DUMMYFUNCTION("GOOGLETRANSLATE(C2625,""vi"",""km"")"),"កាលបរិច្ឆេទដែលបានជ្រើសរើស")</f>
        <v/>
      </c>
      <c r="E2625" s="3" t="n"/>
      <c r="F2625" s="3" t="inlineStr">
        <is>
          <t>កាលបរិច្ឆេទដែលបានជ្រើសរើស</t>
        </is>
      </c>
      <c r="G2625" s="3" t="n"/>
      <c r="H2625" s="217" t="inlineStr">
        <is>
          <t>"delivery.warehouse.receivingKpi.selectDate": "កាលបរិច្ឆេទដែលបានជ្រើសរើស",</t>
        </is>
      </c>
      <c r="I2625" t="inlineStr">
        <is>
          <t>កាលបរិច្ឆេទដែលបានជ្រើសរើស</t>
        </is>
      </c>
    </row>
    <row r="2626">
      <c r="A2626" s="3" t="inlineStr">
        <is>
          <t>delivery.warehouse.receivingKpi.selectOneDate</t>
        </is>
      </c>
      <c r="B2626" s="3" t="inlineStr">
        <is>
          <t>Vui lòng chọn 1 ngày</t>
        </is>
      </c>
      <c r="C2626" s="3" t="inlineStr">
        <is>
          <t>Please select a date</t>
        </is>
      </c>
      <c r="D2626" s="217">
        <f>IFERROR(__xludf.DUMMYFUNCTION("GOOGLETRANSLATE(C2626,""vi"",""km"")"),"សូមជ្រើសរើសកាលបរិច្ឆេទ")</f>
        <v/>
      </c>
      <c r="E2626" s="3" t="n"/>
      <c r="F2626" s="3" t="inlineStr">
        <is>
          <t>សូមជ្រើសរើសកាលបរិច្ឆេទ</t>
        </is>
      </c>
      <c r="G2626" s="3" t="n"/>
      <c r="H2626" s="217" t="inlineStr">
        <is>
          <t>"delivery.warehouse.receivingKpi.selectOneDate": "សូមជ្រើសរើសកាលបរិច្ឆេទ",</t>
        </is>
      </c>
      <c r="I2626" t="inlineStr">
        <is>
          <t>សូមជ្រើសរើសកាលបរិច្ឆេទ</t>
        </is>
      </c>
    </row>
    <row r="2627">
      <c r="A2627" s="3" t="inlineStr">
        <is>
          <t>delivery.warehouse.receivingKpi.selectPostOffice</t>
        </is>
      </c>
      <c r="B2627" s="3" t="inlineStr">
        <is>
          <t>Chọn bưu cục</t>
        </is>
      </c>
      <c r="C2627" s="3" t="inlineStr">
        <is>
          <t>Select post office</t>
        </is>
      </c>
      <c r="D2627" s="217">
        <f>IFERROR(__xludf.DUMMYFUNCTION("GOOGLETRANSLATE(C2627,""vi"",""km"")"),"ជ្រើសរើសការិយាល័យប្រៃសណីយ៍")</f>
        <v/>
      </c>
      <c r="E2627" s="3" t="n"/>
      <c r="F2627" s="3" t="inlineStr">
        <is>
          <t>ជ្រើសរើសការិយាល័យប្រៃសណីយ៍</t>
        </is>
      </c>
      <c r="G2627" s="3" t="n"/>
      <c r="H2627" s="217" t="inlineStr">
        <is>
          <t>"delivery.warehouse.receivingKpi.selectPostOffice": "ជ្រើសរើសការិយាល័យប្រៃសណីយ៍",</t>
        </is>
      </c>
      <c r="I2627" t="inlineStr">
        <is>
          <t>ជ្រើសរើសការិយាល័យប្រៃសណីយ៍</t>
        </is>
      </c>
    </row>
    <row r="2628">
      <c r="A2628" s="3" t="inlineStr">
        <is>
          <t>delivery.warehouse.receivingKpi.selectPostman</t>
        </is>
      </c>
      <c r="B2628" s="3" t="inlineStr">
        <is>
          <t>Chọn tuyến</t>
        </is>
      </c>
      <c r="C2628" s="3" t="inlineStr">
        <is>
          <t>Select route</t>
        </is>
      </c>
      <c r="D2628" s="217">
        <f>IFERROR(__xludf.DUMMYFUNCTION("GOOGLETRANSLATE(C2628,""vi"",""km"")"),"ជ្រើសរើសផ្លូវ")</f>
        <v/>
      </c>
      <c r="E2628" s="3" t="n"/>
      <c r="F2628" s="3" t="inlineStr">
        <is>
          <t>ជ្រើសរើសផ្លូវ</t>
        </is>
      </c>
      <c r="G2628" s="3" t="n"/>
      <c r="H2628" s="217" t="inlineStr">
        <is>
          <t>"delivery.warehouse.receivingKpi.selectPostman": "ជ្រើសរើសផ្លូវ",</t>
        </is>
      </c>
      <c r="I2628" t="inlineStr">
        <is>
          <t>ជ្រើសរើសផ្លូវ</t>
        </is>
      </c>
    </row>
    <row r="2629">
      <c r="A2629" s="3" t="inlineStr">
        <is>
          <t>delivery.warehouse.receivingKpi.selectService</t>
        </is>
      </c>
      <c r="B2629" s="3" t="inlineStr">
        <is>
          <t>Chọn dịch vụ</t>
        </is>
      </c>
      <c r="C2629" s="3" t="inlineStr">
        <is>
          <t>Select service</t>
        </is>
      </c>
      <c r="D2629" s="217">
        <f>IFERROR(__xludf.DUMMYFUNCTION("GOOGLETRANSLATE(C2629,""vi"",""km"")"),"ជ្រើសរើសសេវាកម្ម")</f>
        <v/>
      </c>
      <c r="E2629" s="3" t="n"/>
      <c r="F2629" s="3" t="inlineStr">
        <is>
          <t>ជ្រើសរើសសេវាកម្ម</t>
        </is>
      </c>
      <c r="G2629" s="3" t="n"/>
      <c r="H2629" s="217" t="inlineStr">
        <is>
          <t>"delivery.warehouse.receivingKpi.selectService": "ជ្រើសរើសសេវាកម្ម",</t>
        </is>
      </c>
      <c r="I2629" t="inlineStr">
        <is>
          <t>ជ្រើសរើសសេវាកម្ម</t>
        </is>
      </c>
    </row>
    <row r="2630">
      <c r="A2630" s="3" t="inlineStr">
        <is>
          <t>delivery.warehouse.receivingKpi.service</t>
        </is>
      </c>
      <c r="B2630" s="3" t="inlineStr">
        <is>
          <t>Dịch vụ</t>
        </is>
      </c>
      <c r="C2630" s="3" t="inlineStr">
        <is>
          <t>Service</t>
        </is>
      </c>
      <c r="D2630" s="217">
        <f>IFERROR(__xludf.DUMMYFUNCTION("GOOGLETRANSLATE(C2630,""vi"",""km"")"),"សេវាកម្ម")</f>
        <v/>
      </c>
      <c r="E2630" s="3" t="n"/>
      <c r="F2630" s="3" t="inlineStr">
        <is>
          <t>សេវាកម្ម</t>
        </is>
      </c>
      <c r="G2630" s="3" t="n"/>
      <c r="H2630" s="217" t="inlineStr">
        <is>
          <t>"delivery.warehouse.receivingKpi.service": "សេវាកម្ម",</t>
        </is>
      </c>
      <c r="I2630" t="inlineStr">
        <is>
          <t>សេវាកម្ម</t>
        </is>
      </c>
    </row>
    <row r="2631">
      <c r="A2631" s="3" t="inlineStr">
        <is>
          <t>delivery.warehouse.receivingKpi.status</t>
        </is>
      </c>
      <c r="B2631" s="3" t="inlineStr">
        <is>
          <t>Trạng thái</t>
        </is>
      </c>
      <c r="C2631" s="3" t="inlineStr">
        <is>
          <t>Status</t>
        </is>
      </c>
      <c r="D2631" s="217">
        <f>IFERROR(__xludf.DUMMYFUNCTION("GOOGLETRANSLATE(C2631,""vi"",""km"")"),"ស្ថានភាព")</f>
        <v/>
      </c>
      <c r="E2631" s="3" t="n"/>
      <c r="F2631" s="3" t="inlineStr">
        <is>
          <t>ស្ថានភាព</t>
        </is>
      </c>
      <c r="G2631" s="3" t="n"/>
      <c r="H2631" s="217" t="inlineStr">
        <is>
          <t>"delivery.warehouse.receivingKpi.status": "ស្ថានភាព",</t>
        </is>
      </c>
      <c r="I2631" t="inlineStr">
        <is>
          <t>ស្ថានភាព</t>
        </is>
      </c>
    </row>
    <row r="2632">
      <c r="A2632" s="3" t="inlineStr">
        <is>
          <t>delivery.warehouse.receivingKpi.successRate</t>
        </is>
      </c>
      <c r="B2632" s="3" t="inlineStr">
        <is>
          <t>Tỷ lệ thu thành công</t>
        </is>
      </c>
      <c r="C2632" s="3" t="inlineStr">
        <is>
          <t>Successful receiving rate</t>
        </is>
      </c>
      <c r="D2632" s="217">
        <f>IFERROR(__xludf.DUMMYFUNCTION("GOOGLETRANSLATE(C2632,""vi"",""km"")"),"អត្រាទទួលជោគជ័យ")</f>
        <v/>
      </c>
      <c r="E2632" s="3" t="n"/>
      <c r="F2632" s="3" t="inlineStr">
        <is>
          <t>អត្រាទទួលជោគជ័យ</t>
        </is>
      </c>
      <c r="G2632" s="3" t="n"/>
      <c r="H2632" s="217" t="inlineStr">
        <is>
          <t>"delivery.warehouse.receivingKpi.successRate": "អត្រាទទួលជោគជ័យ",</t>
        </is>
      </c>
      <c r="I2632" t="inlineStr">
        <is>
          <t>អត្រាទទួលជោគជ័យ</t>
        </is>
      </c>
    </row>
    <row r="2633">
      <c r="A2633" s="3" t="inlineStr">
        <is>
          <t>delivery.warehouse.receivingKpi.tooltipDay</t>
        </is>
      </c>
      <c r="B2633" s="3" t="inlineStr">
        <is>
          <t>Tổng đơn phát thành công: là các đơn giao thành công (410, 441, 550, 551) trong ngày N, có thời gian phát sinh phải giao trong ngày N ( thời gian trạng thái 306 (Đối với trường hợp Bưu cục nhận bàn giao = Bưu cục phát dự kiến) hoặc thời gian trạng thái 400 (đối với trường hợp bưu cục phát khác bưu cục dự kiến phát</t>
        </is>
      </c>
      <c r="C2633" s="3" t="inlineStr">
        <is>
          <t>The Successful Delivery Total refers to all shipments successfully delivered (statuses 410, 441, 550, 551) on day N, with a required delivery date falling on day N. This includes: (i) shipments with status 306 (for cases where the receiving post office is the same as the expected delivery post office), and (ii) shipments with status 400 (for cases where the actual delivery post office is different from the expected delivery post office)</t>
        </is>
      </c>
      <c r="D2633" s="217">
        <f>IFERROR(__xludf.DUMMYFUNCTION("GOOGLETRANSLATE(C2633,""vi"",""km"")"),"ចំនួនសរុបនៃការដឹកជញ្ជូនដោយជោគជ័យសំដៅទៅលើការដឹកជញ្ជូនទាំងអស់ដែលបានដឹកជញ្ជូនដោយជោគជ័យ (ស្ថានភាព 410, 441, 550, 551) នៅថ្ងៃទី N ដោយកាលបរិច្ឆេទដឹកជញ្ជូនដែលតម្រូវឱ្យធ្លាក់នៅថ្ងៃ N។ នេះរួមមាន៖ (i) ការដឹកជញ្ជូនដែលមានស្ថានភាព 306 (សម្រាប់ករណីដែលការិយាល័យប្រៃសណីយ៍"&amp;"ទទួលគឺដូចគ្នានឹងការិយាល័យប្រៃសណីយ៍ដឹកជញ្ជូនដែលរំពឹងទុក) និង (ii) ការដឹកជញ្ជូនដែលមានស្ថានភាព 400 (សម្រាប់ករណីដែលការិយាល័យប្រៃសណីយ៍ដឹកជញ្ជូនពិតប្រាកដគឺខុសពីការិយាល័យប្រៃសណីយ៍ដឹកជញ្ជូនដែលរំពឹងទុក)")</f>
        <v/>
      </c>
      <c r="E2633" s="3" t="n"/>
      <c r="F2633" s="3" t="inlineStr">
        <is>
          <t>ចំនួនសរុបនៃការដឹកជញ្ជូនដោយជោគជ័យសំដៅទៅលើការដឹកជញ្ជូនទាំងអស់ដែលបានដឹកជញ្ជូនដោយជោគជ័យ (ស្ថានភាព 410, 441, 550, 551) នៅថ្ងៃទី N ដោយកាលបរិច្ឆេទដឹកជញ្ជូនដែលតម្រូវឱ្យធ្លាក់នៅថ្ងៃ N។ នេះរួមមាន៖ (i) ការដឹកជញ្ជូនដែលមានស្ថានភាព 306 (សម្រាប់ករណីដែលការិយាល័យប្រៃសណីយ៍ទទួលគឺដូចគ្នានឹងការិយាល័យប្រៃសណីយ៍ដឹកជញ្ជូនដែលរំពឹងទុក) និង (ii) ការដឹកជញ្ជូនដែលមានស្ថានភាព 400 (សម្រាប់ករណីដែលការិយាល័យប្រៃសណីយ៍ដឹកជញ្ជូនពិតប្រាកដគឺខុសពីការិយាល័យប្រៃសណីយ៍ដឹកជញ្ជូនដែលរំពឹងទុក)</t>
        </is>
      </c>
      <c r="G2633" s="3" t="n"/>
      <c r="H2633" s="217" t="inlineStr">
        <is>
          <t>"delivery.warehouse.receivingKpi.tooltipDay": "ចំនួនសរុបនៃការដឹកជញ្ជូនដោយជោគជ័យសំដៅទៅលើការដឹកជញ្ជូនទាំងអស់ដែលបានដឹកជញ្ជូនដោយជោគជ័យ (ស្ថានភាព 410, 441, 550, 551) នៅថ្ងៃទី N ដោយកាលបរិច្ឆេទដឹកជញ្ជូនដែលតម្រូវឱ្យធ្លាក់នៅថ្ងៃ N។ នេះរួមមាន៖ (i) ការដឹកជញ្ជូនដែលមានស្ថានភាព 306 (សម្រាប់ករណីដែលការិយាល័យប្រៃសណីយ៍ទទួលគឺដូចគ្នានឹងការិយាល័យប្រៃសណីយ៍ដឹកជញ្ជូនដែលរំពឹងទុក) និង (ii) ការដឹកជញ្ជូនដែលមានស្ថានភាព 400 (សម្រាប់ករណីដែលការិយាល័យប្រៃសណីយ៍ដឹកជញ្ជូនពិតប្រាកដគឺខុសពីការិយាល័យប្រៃសណីយ៍ដឹកជញ្ជូនដែលរំពឹងទុក)",</t>
        </is>
      </c>
      <c r="I2633" t="inlineStr">
        <is>
          <t>ចំនួនសរុបនៃការដឹកជញ្ជូនដោយជោគជ័យសំដៅទៅលើការដឹកជញ្ជូនទាំងអស់ដែលបានដឹកជញ្ជូនដោយជោគជ័យ (ស្ថានភាព 410, 441, 550, 551) នៅថ្ងៃទី N ដោយកាលបរិច្ឆេទដឹកជញ្ជូនដែលតម្រូវឱ្យធ្លាក់នៅថ្ងៃ N។ នេះរួមមាន៖ (i) ការដឹកជញ្ជូនដែលមានស្ថានភាព 306 (សម្រាប់ករណីដែលការិយាល័យប្រៃសណីយ៍ទទួលគឺដូចគ្នានឹងការិយាល័យប្រៃសណីយ៍ដឹកជញ្ជូនដែលរំពឹងទុក) និង (ii) ការដឹកជញ្ជូនដែលមានស្ថានភាព 400 (សម្រាប់ករណីដែលការិយាល័យប្រៃសណីយ៍ដឹកជញ្ជូនពិតប្រាកដគឺខុសពីការិយាល័យប្រៃសណីយ៍ដឹកជញ្ជូនដែលរំពឹងទុក)</t>
        </is>
      </c>
    </row>
    <row r="2634">
      <c r="A2634" s="3" t="inlineStr">
        <is>
          <t>delivery.warehouse.receivingKpi.tooltipMonth</t>
        </is>
      </c>
      <c r="B2634" s="3" t="inlineStr">
        <is>
          <t>Tổng đơn phát thành công: Là các đơn giao thành công (410, 441, 550, 551) trong tháng T đến ngày 3 của tháng T + 1 có thời gian phát sinh phải giao trong tháng T ( thời gian trạng thái 306 (Đối với trường hợp Bưu cục nhận bàn giao = Bưu cục phát dự kiến) hoặc thời gian trạng thái 400 (đối với trường hợp bưu cục phát khác bưu cục dự kiến phát)</t>
        </is>
      </c>
      <c r="C2634" s="3" t="inlineStr">
        <is>
          <t>The Successful Delivery Total refers to all shipments successfully delivered (statuses 410, 441, 550, 551) from month T up to the 3rd day of month T+1, with a required delivery date falling within month T. This includes: (i) shipments with status 306 (for cases where the receiving post office is the same as the expected delivery post office), and (ii) shipments with status 400 (for cases where the actual delivery post office is different from the expected delivery post office)</t>
        </is>
      </c>
      <c r="D2634" s="217">
        <f>IFERROR(__xludf.DUMMYFUNCTION("GOOGLETRANSLATE(C2634,""vi"",""km"")"),"ចំនួនសរុបនៃការដឹកជញ្ជូនដោយជោគជ័យសំដៅទៅលើការដឹកជញ្ជូនទាំងអស់ដែលបានដឹកជញ្ជូនដោយជោគជ័យ (ស្ថានភាព 410, 441, 550, 551) ចាប់ពីខែ T រហូតដល់ថ្ងៃទី 3 នៃខែ T+1 ដែលមានកាលបរិច្ឆេទដឹកជញ្ជូនដែលតម្រូវឱ្យធ្លាក់ក្នុងខែ T។ នេះរួមមាន៖ (i) ការដឹកជញ្ជូនដែលមានស្ថានភាព 306 (សម្"&amp;"រាប់ករណីដែលការិយាល័យប្រៃសណីយ៍ទទួលគឺដូចគ្នានឹងការិយាល័យប្រៃសណីយ៍ដឹកជញ្ជូនដែលរំពឹងទុក) និង (ii) ការដឹកជញ្ជូនដែលមានស្ថានភាព 400 (សម្រាប់ករណីដែលការិយាល័យប្រៃសណីយ៍ដឹកជញ្ជូនពិតប្រាកដគឺខុសពីការិយាល័យប្រៃសណីយ៍ដឹកជញ្ជូនដែលរំពឹងទុក)")</f>
        <v/>
      </c>
      <c r="E2634" s="3" t="n"/>
      <c r="F2634" s="3" t="inlineStr">
        <is>
          <t>ចំនួនសរុបនៃការដឹកជញ្ជូនដោយជោគជ័យសំដៅទៅលើការដឹកជញ្ជូនទាំងអស់ដែលបានដឹកជញ្ជូនដោយជោគជ័យ (ស្ថានភាព 410, 441, 550, 551) ចាប់ពីខែ T រហូតដល់ថ្ងៃទី 3 នៃខែ T+1 ដែលមានកាលបរិច្ឆេទដឹកជញ្ជូនដែលតម្រូវឱ្យធ្លាក់ក្នុងខែ T។ នេះរួមមាន៖ (i) ការដឹកជញ្ជូនដែលមានស្ថានភាព 306 (សម្រាប់ករណីដែលការិយាល័យប្រៃសណីយ៍ទទួលគឺដូចគ្នានឹងការិយាល័យប្រៃសណីយ៍ដឹកជញ្ជូនដែលរំពឹងទុក) និង (ii) ការដឹកជញ្ជូនដែលមានស្ថានភាព 400 (សម្រាប់ករណីដែលការិយាល័យប្រៃសណីយ៍ដឹកជញ្ជូនពិតប្រាកដគឺខុសពីការិយាល័យប្រៃសណីយ៍ដឹកជញ្ជូនដែលរំពឹងទុក)</t>
        </is>
      </c>
      <c r="G2634" s="3" t="n"/>
      <c r="H2634" s="217" t="inlineStr">
        <is>
          <t>"delivery.warehouse.receivingKpi.tooltipMonth": "ចំនួនសរុបនៃការដឹកជញ្ជូនដោយជោគជ័យសំដៅទៅលើការដឹកជញ្ជូនទាំងអស់ដែលបានដឹកជញ្ជូនដោយជោគជ័យ (ស្ថានភាព 410, 441, 550, 551) ចាប់ពីខែ T រហូតដល់ថ្ងៃទី 3 នៃខែ T+1 ដែលមានកាលបរិច្ឆេទដឹកជញ្ជូនដែលតម្រូវឱ្យធ្លាក់ក្នុងខែ T។ នេះរួមមាន៖ (i) ការដឹកជញ្ជូនដែលមានស្ថានភាព 306 (សម្រាប់ករណីដែលការិយាល័យប្រៃសណីយ៍ទទួលគឺដូចគ្នានឹងការិយាល័យប្រៃសណីយ៍ដឹកជញ្ជូនដែលរំពឹងទុក) និង (ii) ការដឹកជញ្ជូនដែលមានស្ថានភាព 400 (សម្រាប់ករណីដែលការិយាល័យប្រៃសណីយ៍ដឹកជញ្ជូនពិតប្រាកដគឺខុសពីការិយាល័យប្រៃសណីយ៍ដឹកជញ្ជូនដែលរំពឹងទុក)",</t>
        </is>
      </c>
      <c r="I2634" t="inlineStr">
        <is>
          <t>ចំនួនសរុបនៃការដឹកជញ្ជូនដោយជោគជ័យសំដៅទៅលើការដឹកជញ្ជូនទាំងអស់ដែលបានដឹកជញ្ជូនដោយជោគជ័យ (ស្ថានភាព 410, 441, 550, 551) ចាប់ពីខែ T រហូតដល់ថ្ងៃទី 3 នៃខែ T+1 ដែលមានកាលបរិច្ឆេទដឹកជញ្ជូនដែលតម្រូវឱ្យធ្លាក់ក្នុងខែ T។ នេះរួមមាន៖ (i) ការដឹកជញ្ជូនដែលមានស្ថានភាព 306 (សម្រាប់ករណីដែលការិយាល័យប្រៃសណីយ៍ទទួលគឺដូចគ្នានឹងការិយាល័យប្រៃសណីយ៍ដឹកជញ្ជូនដែលរំពឹងទុក) និង (ii) ការដឹកជញ្ជូនដែលមានស្ថានភាព 400 (សម្រាប់ករណីដែលការិយាល័យប្រៃសណីយ៍ដឹកជញ្ជូនពិតប្រាកដគឺខុសពីការិយាល័យប្រៃសណីយ៍ដឹកជញ្ជូនដែលរំពឹងទុក)</t>
        </is>
      </c>
    </row>
    <row r="2635">
      <c r="A2635" s="3" t="inlineStr">
        <is>
          <t>delivery.warehouse.receivingKpi.total</t>
        </is>
      </c>
      <c r="B2635" s="3" t="inlineStr">
        <is>
          <t>Tổng đơn phải nhận</t>
        </is>
      </c>
      <c r="C2635" s="3" t="inlineStr">
        <is>
          <t>Total orders to receive</t>
        </is>
      </c>
      <c r="D2635" s="217">
        <f>IFERROR(__xludf.DUMMYFUNCTION("GOOGLETRANSLATE(C2635,""vi"",""km"")"),"ការបញ្ជាទិញសរុបដែលត្រូវទទួល")</f>
        <v/>
      </c>
      <c r="E2635" s="3" t="n"/>
      <c r="F2635" s="3" t="inlineStr">
        <is>
          <t>ការបញ្ជាទិញសរុបដែលត្រូវទទួល</t>
        </is>
      </c>
      <c r="G2635" s="3" t="n"/>
      <c r="H2635" s="217" t="inlineStr">
        <is>
          <t>"delivery.warehouse.receivingKpi.total": "ការបញ្ជាទិញសរុបដែលត្រូវទទួល",</t>
        </is>
      </c>
      <c r="I2635" t="inlineStr">
        <is>
          <t>ការបញ្ជាទិញសរុបដែលត្រូវទទួល</t>
        </is>
      </c>
    </row>
    <row r="2636">
      <c r="A2636" s="3" t="inlineStr">
        <is>
          <t>delivery.warehouse.receivingKpi.totalDropoff</t>
        </is>
      </c>
      <c r="B2636" s="3" t="inlineStr">
        <is>
          <t>Đơn dropoff</t>
        </is>
      </c>
      <c r="C2636" s="3" t="inlineStr">
        <is>
          <t>Drop-off order</t>
        </is>
      </c>
      <c r="D2636" s="217">
        <f>IFERROR(__xludf.DUMMYFUNCTION("GOOGLETRANSLATE(C2636,""vi"",""km"")"),"ការបញ្ជាទិញទម្លាក់ចោល")</f>
        <v/>
      </c>
      <c r="E2636" s="3" t="n"/>
      <c r="F2636" s="3" t="inlineStr">
        <is>
          <t>ការបញ្ជាទិញទម្លាក់ចោល</t>
        </is>
      </c>
      <c r="G2636" s="3" t="n"/>
      <c r="H2636" s="217" t="inlineStr">
        <is>
          <t>"delivery.warehouse.receivingKpi.totalDropoff": "ការបញ្ជាទិញទម្លាក់ចោល",</t>
        </is>
      </c>
      <c r="I2636" t="inlineStr">
        <is>
          <t>ការបញ្ជាទិញទម្លាក់ចោល</t>
        </is>
      </c>
    </row>
    <row r="2637">
      <c r="A2637" s="3" t="inlineStr">
        <is>
          <t>delivery.warehouse.receivingKpi.totalOrder</t>
        </is>
      </c>
      <c r="B2637" s="3" t="inlineStr">
        <is>
          <t>Số lượng phát sinh</t>
        </is>
      </c>
      <c r="C2637" s="3" t="inlineStr">
        <is>
          <t>Generated quantity</t>
        </is>
      </c>
      <c r="D2637" s="217">
        <f>IFERROR(__xludf.DUMMYFUNCTION("GOOGLETRANSLATE(C2637,""vi"",""km"")"),"បរិមាណដែលបានបង្កើត")</f>
        <v/>
      </c>
      <c r="E2637" s="3" t="n"/>
      <c r="F2637" s="3" t="inlineStr">
        <is>
          <t>បរិមាណដែលបានបង្កើត</t>
        </is>
      </c>
      <c r="G2637" s="3" t="n"/>
      <c r="H2637" s="217" t="inlineStr">
        <is>
          <t>"delivery.warehouse.receivingKpi.totalOrder": "បរិមាណដែលបានបង្កើត",</t>
        </is>
      </c>
      <c r="I2637" t="inlineStr">
        <is>
          <t>បរិមាណដែលបានបង្កើត</t>
        </is>
      </c>
    </row>
    <row r="2638">
      <c r="A2638" s="3" t="inlineStr">
        <is>
          <t>delivery.warehouse.receivingKpi.totalSuccess</t>
        </is>
      </c>
      <c r="B2638" s="3" t="inlineStr">
        <is>
          <t>Tổng đơn nhận thành công</t>
        </is>
      </c>
      <c r="C2638" s="3" t="inlineStr">
        <is>
          <t>Total successfully received orders</t>
        </is>
      </c>
      <c r="D2638" s="217">
        <f>IFERROR(__xludf.DUMMYFUNCTION("GOOGLETRANSLATE(C2638,""vi"",""km"")"),"ការបញ្ជាទិញសរុបដែលបានទទួលដោយជោគជ័យ")</f>
        <v/>
      </c>
      <c r="E2638" s="3" t="n"/>
      <c r="F2638" s="3" t="inlineStr">
        <is>
          <t>ការបញ្ជាទិញសរុបដែលបានទទួលដោយជោគជ័យ</t>
        </is>
      </c>
      <c r="G2638" s="3" t="n"/>
      <c r="H2638" s="217" t="inlineStr">
        <is>
          <t>"delivery.warehouse.receivingKpi.totalSuccess": "ការបញ្ជាទិញសរុបដែលបានទទួលដោយជោគជ័យ",</t>
        </is>
      </c>
      <c r="I2638" t="inlineStr">
        <is>
          <t>ការបញ្ជាទិញសរុបដែលបានទទួលដោយជោគជ័យ</t>
        </is>
      </c>
    </row>
    <row r="2639">
      <c r="A2639" s="3" t="inlineStr">
        <is>
          <t>delivery.warehouse.receivingKpi.totalSuccessDropoff</t>
        </is>
      </c>
      <c r="B2639" s="3" t="inlineStr">
        <is>
          <t>Đơn dropoff</t>
        </is>
      </c>
      <c r="C2639" s="3" t="inlineStr">
        <is>
          <t>Drop-off order</t>
        </is>
      </c>
      <c r="D2639" s="217">
        <f>IFERROR(__xludf.DUMMYFUNCTION("GOOGLETRANSLATE(C2639,""vi"",""km"")"),"ការបញ្ជាទិញទម្លាក់ចោល")</f>
        <v/>
      </c>
      <c r="E2639" s="3" t="n"/>
      <c r="F2639" s="3" t="inlineStr">
        <is>
          <t>ការបញ្ជាទិញទម្លាក់ចោល</t>
        </is>
      </c>
      <c r="G2639" s="3" t="n"/>
      <c r="H2639" s="217" t="inlineStr">
        <is>
          <t>"delivery.warehouse.receivingKpi.totalSuccessDropoff": "ការបញ្ជាទិញទម្លាក់ចោល",</t>
        </is>
      </c>
      <c r="I2639" t="inlineStr">
        <is>
          <t>ការបញ្ជាទិញទម្លាក់ចោល</t>
        </is>
      </c>
    </row>
    <row r="2640">
      <c r="A2640" s="3" t="inlineStr">
        <is>
          <t>delivery.warehouse.receivingKpi.totalSuccessOrder</t>
        </is>
      </c>
      <c r="B2640" s="3" t="inlineStr">
        <is>
          <t>Số lượng nhận thành công</t>
        </is>
      </c>
      <c r="C2640" s="3" t="inlineStr">
        <is>
          <t>Successfully received quantity</t>
        </is>
      </c>
      <c r="D2640" s="217">
        <f>IFERROR(__xludf.DUMMYFUNCTION("GOOGLETRANSLATE(C2640,""vi"",""km"")"),"បរិមាណដែលទទួលបានដោយជោគជ័យ")</f>
        <v/>
      </c>
      <c r="E2640" s="3" t="n"/>
      <c r="F2640" s="3" t="inlineStr">
        <is>
          <t>បរិមាណដែលទទួលបានដោយជោគជ័យ</t>
        </is>
      </c>
      <c r="G2640" s="3" t="n"/>
      <c r="H2640" s="217" t="inlineStr">
        <is>
          <t>"delivery.warehouse.receivingKpi.totalSuccessOrder": "បរិមាណដែលទទួលបានដោយជោគជ័យ",</t>
        </is>
      </c>
      <c r="I2640" t="inlineStr">
        <is>
          <t>បរិមាណដែលទទួលបានដោយជោគជ័យ</t>
        </is>
      </c>
    </row>
    <row r="2641">
      <c r="A2641" s="3" t="inlineStr">
        <is>
          <t>delivery.warehouse.receivingKpi.valueAddService</t>
        </is>
      </c>
      <c r="B2641" s="3" t="inlineStr">
        <is>
          <t>Dịch vụ cộng thêm</t>
        </is>
      </c>
      <c r="C2641" s="3" t="inlineStr">
        <is>
          <t>Value-added service</t>
        </is>
      </c>
      <c r="D2641" s="217">
        <f>IFERROR(__xludf.DUMMYFUNCTION("GOOGLETRANSLATE(C2641,""vi"",""km"")"),"សេវាកម្មបន្ថែមតម្លៃ")</f>
        <v/>
      </c>
      <c r="E2641" s="3" t="n"/>
      <c r="F2641" s="3" t="inlineStr">
        <is>
          <t>សេវាកម្មបន្ថែម</t>
        </is>
      </c>
      <c r="G2641" s="3" t="n"/>
      <c r="H2641" s="217" t="inlineStr">
        <is>
          <t>"delivery.warehouse.receivingKpi.valueAddService": "សេវាកម្មបន្ថែម",</t>
        </is>
      </c>
      <c r="I2641" t="inlineStr">
        <is>
          <t>សេវាកម្មបន្ថែម</t>
        </is>
      </c>
    </row>
    <row r="2642">
      <c r="A2642" s="3" t="inlineStr">
        <is>
          <t>delivery.warehouse.register.descriptionLogin</t>
        </is>
      </c>
      <c r="B2642" s="3" t="inlineStr">
        <is>
          <t>Quý khách đã có tài khoản?</t>
        </is>
      </c>
      <c r="C2642" s="3" t="inlineStr">
        <is>
          <t>Sign in with existing account?</t>
        </is>
      </c>
      <c r="D2642" s="217">
        <f>IFERROR(__xludf.DUMMYFUNCTION("GOOGLETRANSLATE(C2642,""vi"",""km"")"),"ចូលដោយប្រើគណនីដែលមានស្រាប់?")</f>
        <v/>
      </c>
      <c r="E2642" s="3" t="n"/>
      <c r="F2642" s="3" t="inlineStr">
        <is>
          <t>ចូលដោយប្រើគណនីដែលមានស្រាប់?</t>
        </is>
      </c>
      <c r="G2642" s="3" t="n"/>
      <c r="H2642" s="217" t="inlineStr">
        <is>
          <t>"delivery.warehouse.register.descriptionLogin": "ចូលដោយប្រើគណនីដែលមានស្រាប់?",</t>
        </is>
      </c>
      <c r="I2642" t="inlineStr">
        <is>
          <t>ចូលដោយប្រើគណនីដែលមានស្រាប់?</t>
        </is>
      </c>
    </row>
    <row r="2643">
      <c r="A2643" s="3" t="inlineStr">
        <is>
          <t>delivery.warehouse.register.descriptionSupport</t>
        </is>
      </c>
      <c r="B2643" s="3" t="inlineStr">
        <is>
          <t>Nếu quý khách không đăng ký được thông tin tài khoản, vui lòng liên hệ Chăm sóc khách hàng của Metfone Express</t>
        </is>
      </c>
      <c r="C2643" s="3" t="inlineStr">
        <is>
          <t>If you cannot register your account information, please contact Metfone Express Customer Service</t>
        </is>
      </c>
      <c r="D2643" s="217">
        <f>IFERROR(__xludf.DUMMYFUNCTION("GOOGLETRANSLATE(C2643,""vi"",""km"")"),"ប្រសិនបើអ្នកមិនអាចចុះឈ្មោះព័ត៌មានគណនីរបស់អ្នកបានទេ សូមទាក់ទងសេវាបម្រើអតិថិជន Metfone Express")</f>
        <v/>
      </c>
      <c r="E2643" s="3" t="n"/>
      <c r="F2643" s="3" t="inlineStr">
        <is>
          <t>ប្រសិនបើអ្នកមិនអាចចុះឈ្មោះព័ត៌មានគណនីរបស់អ្នកបានទេ សូមទាក់ទងសេវាបម្រើអតិថិជន Metfone Express</t>
        </is>
      </c>
      <c r="G2643" s="3" t="n"/>
      <c r="H2643" s="217" t="inlineStr">
        <is>
          <t>"delivery.warehouse.register.descriptionSupport": "ប្រសិនបើអ្នកមិនអាចចុះឈ្មោះព័ត៌មានគណនីរបស់អ្នកបានទេ សូមទាក់ទងសេវាបម្រើអតិថិជន Metfone Express",</t>
        </is>
      </c>
      <c r="I2643" t="inlineStr">
        <is>
          <t>ប្រសិនបើអ្នកមិនអាចចុះឈ្មោះព័ត៌មានគណនីរបស់អ្នកបានទេ សូមទាក់ទងសេវាបម្រើអតិថិជន Metfone Express</t>
        </is>
      </c>
    </row>
    <row r="2644">
      <c r="A2644" s="3" t="inlineStr">
        <is>
          <t>delivery.warehouse.register.errorConfirmPassword</t>
        </is>
      </c>
      <c r="B2644" s="3" t="inlineStr">
        <is>
          <t>Mật khẩu và nhập lại mật khẩu không khớp!</t>
        </is>
      </c>
      <c r="C2644" s="3" t="inlineStr">
        <is>
          <t>Password and re-entered password do not match!!</t>
        </is>
      </c>
      <c r="D2644" s="217">
        <f>IFERROR(__xludf.DUMMYFUNCTION("GOOGLETRANSLATE(C2644,""vi"",""km"")"),"ពាក្យសម្ងាត់ និងពាក្យសម្ងាត់ដែលបានបញ្ចូលឡើងវិញមិនត្រូវគ្នាទេ!!")</f>
        <v/>
      </c>
      <c r="E2644" s="3" t="n"/>
      <c r="F2644" s="3" t="inlineStr">
        <is>
          <t>ពាក្យសម្ងាត់ និងពាក្យសម្ងាត់ដែលបានបញ្ចូលឡើងវិញមិនត្រូវគ្នាទេ!!</t>
        </is>
      </c>
      <c r="G2644" s="3" t="n"/>
      <c r="H2644" s="217" t="inlineStr">
        <is>
          <t>"delivery.warehouse.register.errorConfirmPassword": "ពាក្យសម្ងាត់ និងពាក្យសម្ងាត់ដែលបានបញ្ចូលឡើងវិញមិនត្រូវគ្នាទេ!!",</t>
        </is>
      </c>
      <c r="I2644" t="inlineStr">
        <is>
          <t>ពាក្យសម្ងាត់ និងពាក្យសម្ងាត់ដែលបានបញ្ចូលឡើងវិញមិនត្រូវគ្នាទេ!!</t>
        </is>
      </c>
    </row>
    <row r="2645">
      <c r="A2645" s="3" t="inlineStr">
        <is>
          <t>delivery.warehouse.register.inputName</t>
        </is>
      </c>
      <c r="B2645" s="3" t="inlineStr">
        <is>
          <t>Nhập họ và tên</t>
        </is>
      </c>
      <c r="C2645" s="3" t="inlineStr">
        <is>
          <t>Fullname</t>
        </is>
      </c>
      <c r="D2645" s="217">
        <f>IFERROR(__xludf.DUMMYFUNCTION("GOOGLETRANSLATE(C2645,""vi"",""km"")"),"ឈ្មោះពេញ")</f>
        <v/>
      </c>
      <c r="E2645" s="3" t="n"/>
      <c r="F2645" s="3" t="inlineStr">
        <is>
          <t>ឈ្មោះពេញ</t>
        </is>
      </c>
      <c r="G2645" s="3" t="n"/>
      <c r="H2645" s="217" t="inlineStr">
        <is>
          <t>"delivery.warehouse.register.inputName": "ឈ្មោះពេញ",</t>
        </is>
      </c>
      <c r="I2645" t="inlineStr">
        <is>
          <t>ឈ្មោះពេញ</t>
        </is>
      </c>
    </row>
    <row r="2646">
      <c r="A2646" s="3" t="inlineStr">
        <is>
          <t>delivery.warehouse.register.inputPassword</t>
        </is>
      </c>
      <c r="B2646" s="3" t="inlineStr">
        <is>
          <t>Nhập mật khẩu</t>
        </is>
      </c>
      <c r="C2646" s="3" t="inlineStr">
        <is>
          <t>Enter password</t>
        </is>
      </c>
      <c r="D2646" s="217">
        <f>IFERROR(__xludf.DUMMYFUNCTION("GOOGLETRANSLATE(C2646,""vi"",""km"")"),"បញ្ចូលពាក្យសម្ងាត់")</f>
        <v/>
      </c>
      <c r="E2646" s="3" t="n"/>
      <c r="F2646" s="3" t="inlineStr">
        <is>
          <t>បញ្ចូលពាក្យសម្ងាត់</t>
        </is>
      </c>
      <c r="G2646" s="3" t="n"/>
      <c r="H2646" s="217" t="inlineStr">
        <is>
          <t>"delivery.warehouse.register.inputPassword": "បញ្ចូលពាក្យសម្ងាត់",</t>
        </is>
      </c>
      <c r="I2646" t="inlineStr">
        <is>
          <t>បញ្ចូលពាក្យសម្ងាត់</t>
        </is>
      </c>
    </row>
    <row r="2647">
      <c r="A2647" s="3" t="inlineStr">
        <is>
          <t>delivery.warehouse.register.inputPasswordConfirm</t>
        </is>
      </c>
      <c r="B2647" s="3" t="inlineStr">
        <is>
          <t>Nhập lại mật khẩu</t>
        </is>
      </c>
      <c r="C2647" s="3" t="inlineStr">
        <is>
          <t>Re-enter password</t>
        </is>
      </c>
      <c r="D2647" s="217">
        <f>IFERROR(__xludf.DUMMYFUNCTION("GOOGLETRANSLATE(C2647,""vi"",""km"")"),"បញ្ចូលពាក្យសម្ងាត់ឡើងវិញ")</f>
        <v/>
      </c>
      <c r="E2647" s="3" t="n"/>
      <c r="F2647" s="3" t="inlineStr">
        <is>
          <t>បញ្ចូលពាក្យសម្ងាត់ឡើងវិញ</t>
        </is>
      </c>
      <c r="G2647" s="3" t="n"/>
      <c r="H2647" s="217" t="inlineStr">
        <is>
          <t>"delivery.warehouse.register.inputPasswordConfirm": "បញ្ចូលពាក្យសម្ងាត់ឡើងវិញ",</t>
        </is>
      </c>
      <c r="I2647" t="inlineStr">
        <is>
          <t>បញ្ចូលពាក្យសម្ងាត់ឡើងវិញ</t>
        </is>
      </c>
    </row>
    <row r="2648">
      <c r="A2648" s="3" t="inlineStr">
        <is>
          <t>delivery.warehouse.register.inputPhoneEmail</t>
        </is>
      </c>
      <c r="B2648" s="3" t="inlineStr">
        <is>
          <t>Nhập số điện thoại hoặc email</t>
        </is>
      </c>
      <c r="C2648" s="3" t="inlineStr">
        <is>
          <t>Mobile number or Email</t>
        </is>
      </c>
      <c r="D2648" s="217">
        <f>IFERROR(__xludf.DUMMYFUNCTION("GOOGLETRANSLATE(C2648,""vi"",""km"")"),"លេខទូរស័ព្ទចល័ត ឬអ៊ីមែល")</f>
        <v/>
      </c>
      <c r="E2648" s="3" t="n"/>
      <c r="F2648" s="3" t="inlineStr">
        <is>
          <t>លេខទូរស័ព្ទចល័ត ឬអ៊ីមែល</t>
        </is>
      </c>
      <c r="G2648" s="3" t="n"/>
      <c r="H2648" s="217" t="inlineStr">
        <is>
          <t>"delivery.warehouse.register.inputPhoneEmail": "លេខទូរស័ព្ទចល័ត ឬអ៊ីមែល",</t>
        </is>
      </c>
      <c r="I2648" t="inlineStr">
        <is>
          <t>លេខទូរស័ព្ទចល័ត ឬអ៊ីមែល</t>
        </is>
      </c>
    </row>
    <row r="2649">
      <c r="A2649" s="3" t="inlineStr">
        <is>
          <t>delivery.warehouse.register.login</t>
        </is>
      </c>
      <c r="B2649" s="3" t="inlineStr">
        <is>
          <t>Đăng nhập ngay</t>
        </is>
      </c>
      <c r="C2649" s="3" t="inlineStr">
        <is>
          <t>Login now</t>
        </is>
      </c>
      <c r="D2649" s="217">
        <f>IFERROR(__xludf.DUMMYFUNCTION("GOOGLETRANSLATE(C2649,""vi"",""km"")"),"ចូលឥឡូវនេះ")</f>
        <v/>
      </c>
      <c r="E2649" s="3" t="n"/>
      <c r="F2649" s="3" t="inlineStr">
        <is>
          <t>ចូលឥឡូវនេះ</t>
        </is>
      </c>
      <c r="G2649" s="3" t="n"/>
      <c r="H2649" s="217" t="inlineStr">
        <is>
          <t>"delivery.warehouse.register.login": "ចូលឥឡូវនេះ",</t>
        </is>
      </c>
      <c r="I2649" t="inlineStr">
        <is>
          <t>ចូលឥឡូវនេះ</t>
        </is>
      </c>
    </row>
    <row r="2650">
      <c r="A2650" s="3" t="inlineStr">
        <is>
          <t>delivery.warehouse.register.loginSocial</t>
        </is>
      </c>
      <c r="B2650" s="3" t="inlineStr">
        <is>
          <t>Hoặc đăng nhập bằng</t>
        </is>
      </c>
      <c r="C2650" s="3" t="inlineStr">
        <is>
          <t>Login with</t>
        </is>
      </c>
      <c r="D2650" s="217">
        <f>IFERROR(__xludf.DUMMYFUNCTION("GOOGLETRANSLATE(C2650,""vi"",""km"")"),"ចូលជាមួយ")</f>
        <v/>
      </c>
      <c r="E2650" s="3" t="n"/>
      <c r="F2650" s="3" t="inlineStr">
        <is>
          <t>ចូលជាមួយ</t>
        </is>
      </c>
      <c r="G2650" s="3" t="n"/>
      <c r="H2650" s="217" t="inlineStr">
        <is>
          <t>"delivery.warehouse.register.loginSocial": "ចូលជាមួយ",</t>
        </is>
      </c>
      <c r="I2650" t="inlineStr">
        <is>
          <t>ចូលជាមួយ</t>
        </is>
      </c>
    </row>
    <row r="2651">
      <c r="A2651" s="3" t="inlineStr">
        <is>
          <t>delivery.warehouse.register.policy_1</t>
        </is>
      </c>
      <c r="B2651" s="3" t="inlineStr">
        <is>
          <t>Khi nhấn Đăng ký, bạn đã đồng ý thực hiện mọi giao dịch mua bán theo</t>
        </is>
      </c>
      <c r="C2651" s="3" t="inlineStr">
        <is>
          <t>When you click Register, you agree to carry out all purchases and sale transactions according to</t>
        </is>
      </c>
      <c r="D2651" s="217">
        <f>IFERROR(__xludf.DUMMYFUNCTION("GOOGLETRANSLATE(C2651,""vi"",""km"")"),"នៅពេលអ្នកចុចចុះឈ្មោះ អ្នកយល់ព្រមអនុវត្តប្រតិបត្តិការទិញ និងលក់ទាំងអស់ស្របតាម")</f>
        <v/>
      </c>
      <c r="E2651" s="3" t="n"/>
      <c r="F2651" s="3" t="inlineStr">
        <is>
          <t>នៅពេលអ្នកចុចចុះឈ្មោះ អ្នកយល់ព្រមអនុវត្តប្រតិបត្តិការទិញ និងលក់ទាំងអស់ស្របតាម</t>
        </is>
      </c>
      <c r="G2651" s="3" t="n"/>
      <c r="H2651" s="217" t="inlineStr">
        <is>
          <t>"delivery.warehouse.register.policy_1": "នៅពេលអ្នកចុចចុះឈ្មោះ អ្នកយល់ព្រមអនុវត្តប្រតិបត្តិការទិញ និងលក់ទាំងអស់ស្របតាម",</t>
        </is>
      </c>
      <c r="I2651" t="inlineStr">
        <is>
          <t>នៅពេលអ្នកចុចចុះឈ្មោះ អ្នកយល់ព្រមអនុវត្តប្រតិបត្តិការទិញ និងលក់ទាំងអស់ស្របតាម</t>
        </is>
      </c>
    </row>
    <row r="2652">
      <c r="A2652" s="3" t="inlineStr">
        <is>
          <t>delivery.warehouse.register.policy_2</t>
        </is>
      </c>
      <c r="B2652" s="3" t="inlineStr">
        <is>
          <t>Điều kiện sử dụng &amp; Chính sách</t>
        </is>
      </c>
      <c r="C2652" s="3" t="inlineStr">
        <is>
          <t>Metfone Express's Term of Use &amp; Policies</t>
        </is>
      </c>
      <c r="D2652" s="217">
        <f>IFERROR(__xludf.DUMMYFUNCTION("GOOGLETRANSLATE(C2652,""vi"",""km"")"),"លក្ខខណ្ឌនៃការប្រើប្រាស់ និងគោលការណ៍របស់ Metfone Express")</f>
        <v/>
      </c>
      <c r="E2652" s="3" t="n"/>
      <c r="F2652" s="3" t="inlineStr">
        <is>
          <t>លក្ខខណ្ឌនៃការប្រើប្រាស់ និងគោលការណ៍របស់ Metfone Express</t>
        </is>
      </c>
      <c r="G2652" s="3" t="n"/>
      <c r="H2652" s="217" t="inlineStr">
        <is>
          <t>"delivery.warehouse.register.policy_2": "លក្ខខណ្ឌនៃការប្រើប្រាស់ និងគោលការណ៍របស់ Metfone Express",</t>
        </is>
      </c>
      <c r="I2652" t="inlineStr">
        <is>
          <t>លក្ខខណ្ឌនៃការប្រើប្រាស់ និងគោលការណ៍របស់ Metfone Express</t>
        </is>
      </c>
    </row>
    <row r="2653">
      <c r="A2653" s="3" t="inlineStr">
        <is>
          <t>delivery.warehouse.register.policy_3</t>
        </is>
      </c>
      <c r="B2653" s="3" t="inlineStr">
        <is>
          <t>của bưu chính Metfone Express.</t>
        </is>
      </c>
      <c r="C2653" s="3" t="inlineStr">
        <is>
          <t>of Metfone Express</t>
        </is>
      </c>
      <c r="D2653" s="217">
        <f>IFERROR(__xludf.DUMMYFUNCTION("GOOGLETRANSLATE(C2653,""vi"",""km"")"),"របស់ Metfone Express")</f>
        <v/>
      </c>
      <c r="E2653" s="3" t="n"/>
      <c r="F2653" s="3" t="inlineStr">
        <is>
          <t>របស់ Metfone Express</t>
        </is>
      </c>
      <c r="G2653" s="3" t="n"/>
      <c r="H2653" s="217" t="inlineStr">
        <is>
          <t>"delivery.warehouse.register.policy_3": "របស់ Metfone Express",</t>
        </is>
      </c>
      <c r="I2653" t="inlineStr">
        <is>
          <t>របស់ Metfone Express</t>
        </is>
      </c>
    </row>
    <row r="2654">
      <c r="A2654" s="3" t="inlineStr">
        <is>
          <t>delivery.warehouse.register.register</t>
        </is>
      </c>
      <c r="B2654" s="3" t="inlineStr">
        <is>
          <t>Đăng ký ngay</t>
        </is>
      </c>
      <c r="C2654" s="3" t="inlineStr">
        <is>
          <t>Register</t>
        </is>
      </c>
      <c r="D2654" s="217">
        <f>IFERROR(__xludf.DUMMYFUNCTION("GOOGLETRANSLATE(C2654,""vi"",""km"")"),"ចុះឈ្មោះ")</f>
        <v/>
      </c>
      <c r="E2654" s="3" t="n"/>
      <c r="F2654" s="3" t="inlineStr">
        <is>
          <t>ចុះឈ្មោះ</t>
        </is>
      </c>
      <c r="G2654" s="3" t="n"/>
      <c r="H2654" s="217" t="inlineStr">
        <is>
          <t>"delivery.warehouse.register.register": "ចុះឈ្មោះ",</t>
        </is>
      </c>
      <c r="I2654" t="inlineStr">
        <is>
          <t>ចុះឈ្មោះ</t>
        </is>
      </c>
    </row>
    <row r="2655">
      <c r="A2655" s="3" t="inlineStr">
        <is>
          <t>delivery.warehouse.register.support</t>
        </is>
      </c>
      <c r="B2655" s="3" t="inlineStr">
        <is>
          <t>để được hỗ trợ</t>
        </is>
      </c>
      <c r="C2655" s="3" t="inlineStr">
        <is>
          <t>Get support</t>
        </is>
      </c>
      <c r="D2655" s="217">
        <f>IFERROR(__xludf.DUMMYFUNCTION("GOOGLETRANSLATE(C2655,""vi"",""km"")"),"ទទួលបានការគាំទ្រ")</f>
        <v/>
      </c>
      <c r="E2655" s="3" t="n"/>
      <c r="F2655" s="3" t="inlineStr">
        <is>
          <t>ទទួលបានការគាំទ្រ</t>
        </is>
      </c>
      <c r="G2655" s="3" t="n"/>
      <c r="H2655" s="217" t="inlineStr">
        <is>
          <t>"delivery.warehouse.register.support": "ទទួលបានការគាំទ្រ",</t>
        </is>
      </c>
      <c r="I2655" t="inlineStr">
        <is>
          <t>ទទួលបានការគាំទ្រ</t>
        </is>
      </c>
    </row>
    <row r="2656">
      <c r="A2656" s="3" t="inlineStr">
        <is>
          <t>delivery.warehouse.register.title</t>
        </is>
      </c>
      <c r="B2656" s="3" t="inlineStr">
        <is>
          <t>Tạo tài khoản mới</t>
        </is>
      </c>
      <c r="C2656" s="3" t="inlineStr">
        <is>
          <t>Creater new account</t>
        </is>
      </c>
      <c r="D2656" s="217">
        <f>IFERROR(__xludf.DUMMYFUNCTION("GOOGLETRANSLATE(C2656,""vi"",""km"")"),"បង្កើតគណនីថ្មី")</f>
        <v/>
      </c>
      <c r="E2656" s="3" t="n"/>
      <c r="F2656" s="3" t="inlineStr">
        <is>
          <t>បង្កើតគណនីថ្មី</t>
        </is>
      </c>
      <c r="G2656" s="3" t="n"/>
      <c r="H2656" s="217" t="inlineStr">
        <is>
          <t>"delivery.warehouse.register.title": "បង្កើតគណនីថ្មី",</t>
        </is>
      </c>
      <c r="I2656" t="inlineStr">
        <is>
          <t>បង្កើតគណនីថ្មី</t>
        </is>
      </c>
    </row>
    <row r="2657">
      <c r="A2657" s="3" t="inlineStr">
        <is>
          <t>delivery.warehouse.revenueManagement.NOT_SYNC_STATUS</t>
        </is>
      </c>
      <c r="B2657" s="3" t="inlineStr">
        <is>
          <t>Chưa đồng bộ</t>
        </is>
      </c>
      <c r="C2657" s="3" t="inlineStr">
        <is>
          <t>Not synchronized</t>
        </is>
      </c>
      <c r="D2657" s="217">
        <f>IFERROR(__xludf.DUMMYFUNCTION("GOOGLETRANSLATE(C2657,""vi"",""km"")"),"មិនបានធ្វើសមកាលកម្មទេ")</f>
        <v/>
      </c>
      <c r="E2657" s="3" t="n"/>
      <c r="F2657" s="3" t="inlineStr">
        <is>
          <t>មិនបានធ្វើសមកាលកម្មទេ</t>
        </is>
      </c>
      <c r="G2657" s="3" t="n"/>
      <c r="H2657" s="217" t="inlineStr">
        <is>
          <t>"delivery.warehouse.revenueManagement.NOT_SYNC_STATUS": "មិនបានធ្វើសមកាលកម្មទេ",</t>
        </is>
      </c>
      <c r="I2657" t="inlineStr">
        <is>
          <t>មិនបានធ្វើសមកាលកម្មទេ</t>
        </is>
      </c>
    </row>
    <row r="2658">
      <c r="A2658" s="3" t="inlineStr">
        <is>
          <t>delivery.warehouse.revenueManagement.SYNCED_STATUS</t>
        </is>
      </c>
      <c r="B2658" s="3" t="inlineStr">
        <is>
          <t>Đã đồng bộ</t>
        </is>
      </c>
      <c r="C2658" s="3" t="inlineStr">
        <is>
          <t>Synchronized</t>
        </is>
      </c>
      <c r="D2658" s="217">
        <f>IFERROR(__xludf.DUMMYFUNCTION("GOOGLETRANSLATE(C2658,""vi"",""km"")"),"បានធ្វើសមកាលកម្ម")</f>
        <v/>
      </c>
      <c r="E2658" s="3" t="n"/>
      <c r="F2658" s="3" t="inlineStr">
        <is>
          <t>បានធ្វើសមកាលកម្ម</t>
        </is>
      </c>
      <c r="G2658" s="3" t="n"/>
      <c r="H2658" s="217" t="inlineStr">
        <is>
          <t>"delivery.warehouse.revenueManagement.SYNCED_STATUS": "បានធ្វើសមកាលកម្ម",</t>
        </is>
      </c>
      <c r="I2658" t="inlineStr">
        <is>
          <t>បានធ្វើសមកាលកម្ម</t>
        </is>
      </c>
    </row>
    <row r="2659">
      <c r="A2659" s="3" t="inlineStr">
        <is>
          <t>delivery.warehouse.revenueManagement.acronymCustomerName</t>
        </is>
      </c>
      <c r="B2659" s="3" t="inlineStr">
        <is>
          <t>Tên KH</t>
        </is>
      </c>
      <c r="C2659" s="3" t="inlineStr">
        <is>
          <t>Customer Name</t>
        </is>
      </c>
      <c r="D2659" s="217">
        <f>IFERROR(__xludf.DUMMYFUNCTION("GOOGLETRANSLATE(C2659,""vi"",""km"")"),"នាមត្រកូល")</f>
        <v/>
      </c>
      <c r="E2659" s="3" t="n"/>
      <c r="F2659" s="3" t="inlineStr">
        <is>
          <t>នាមត្រកូល</t>
        </is>
      </c>
      <c r="G2659" s="3" t="n"/>
      <c r="H2659" s="217" t="inlineStr">
        <is>
          <t>"delivery.warehouse.revenueManagement.acronymCustomerName": "នាមត្រកូល",</t>
        </is>
      </c>
      <c r="I2659" t="inlineStr">
        <is>
          <t>នាមត្រកូល</t>
        </is>
      </c>
    </row>
    <row r="2660">
      <c r="A2660" s="3" t="inlineStr">
        <is>
          <t>delivery.warehouse.revenueManagement.actionAt</t>
        </is>
      </c>
      <c r="B2660" s="3" t="inlineStr">
        <is>
          <t>Thời gian kết thúc</t>
        </is>
      </c>
      <c r="C2660" s="3" t="inlineStr">
        <is>
          <t>End time</t>
        </is>
      </c>
      <c r="D2660" s="217">
        <f>IFERROR(__xludf.DUMMYFUNCTION("GOOGLETRANSLATE(C2660,""vi"",""km"")"),"ពេលវេលាបញ្ចប់")</f>
        <v/>
      </c>
      <c r="E2660" s="3" t="n"/>
      <c r="F2660" s="3" t="inlineStr">
        <is>
          <t>ពេលវេលាបញ្ចប់</t>
        </is>
      </c>
      <c r="G2660" s="3" t="n"/>
      <c r="H2660" s="217" t="inlineStr">
        <is>
          <t>"delivery.warehouse.revenueManagement.actionAt": "ពេលវេលាបញ្ចប់",</t>
        </is>
      </c>
      <c r="I2660" t="inlineStr">
        <is>
          <t>ពេលវេលាបញ្ចប់</t>
        </is>
      </c>
    </row>
    <row r="2661">
      <c r="A2661" s="3" t="inlineStr">
        <is>
          <t>delivery.warehouse.revenueManagement.addressDetail</t>
        </is>
      </c>
      <c r="B2661" s="3" t="inlineStr">
        <is>
          <t>Địa chỉ chi tiết</t>
        </is>
      </c>
      <c r="C2661" s="3" t="inlineStr">
        <is>
          <t>Detailed address</t>
        </is>
      </c>
      <c r="D2661" s="217">
        <f>IFERROR(__xludf.DUMMYFUNCTION("GOOGLETRANSLATE(C2661,""vi"",""km"")"),"អាសយដ្ឋានរដ្ឋបាល")</f>
        <v/>
      </c>
      <c r="E2661" s="3" t="n"/>
      <c r="F2661" s="3" t="inlineStr">
        <is>
          <t>អាសយដ្ឋានរដ្ឋបាល</t>
        </is>
      </c>
      <c r="G2661" s="3" t="n"/>
      <c r="H2661" s="217" t="inlineStr">
        <is>
          <t>"delivery.warehouse.revenueManagement.addressDetail": "អាសយដ្ឋានរដ្ឋបាល",</t>
        </is>
      </c>
      <c r="I2661" t="inlineStr">
        <is>
          <t>អាសយដ្ឋានរដ្ឋបាល</t>
        </is>
      </c>
    </row>
    <row r="2662">
      <c r="A2662" s="3" t="inlineStr">
        <is>
          <t>delivery.warehouse.revenueManagement.afterTax</t>
        </is>
      </c>
      <c r="B2662" s="3" t="inlineStr">
        <is>
          <t>Tiền sau thuế</t>
        </is>
      </c>
      <c r="C2662" s="3" t="inlineStr">
        <is>
          <t>Cash after tax</t>
        </is>
      </c>
      <c r="D2662" s="217">
        <f>IFERROR(__xludf.DUMMYFUNCTION("GOOGLETRANSLATE(C2662,""vi"",""km"")"),"សាច់ប្រាក់បន្ទាប់ពីបង់ពន្ធ")</f>
        <v/>
      </c>
      <c r="E2662" s="3" t="n"/>
      <c r="F2662" s="3" t="inlineStr">
        <is>
          <t>សាច់ប្រាក់បន្ទាប់ពីបង់ពន្ធ</t>
        </is>
      </c>
      <c r="G2662" s="3" t="n"/>
      <c r="H2662" s="217" t="inlineStr">
        <is>
          <t>"delivery.warehouse.revenueManagement.afterTax": "សាច់ប្រាក់បន្ទាប់ពីបង់ពន្ធ",</t>
        </is>
      </c>
      <c r="I2662" t="inlineStr">
        <is>
          <t>សាច់ប្រាក់បន្ទាប់ពីបង់ពន្ធ</t>
        </is>
      </c>
    </row>
    <row r="2663">
      <c r="A2663" s="3" t="inlineStr">
        <is>
          <t>delivery.warehouse.revenueManagement.bankAccount</t>
        </is>
      </c>
      <c r="B2663" s="3" t="inlineStr">
        <is>
          <t>Số tài khoản</t>
        </is>
      </c>
      <c r="C2663" s="3" t="inlineStr">
        <is>
          <t>Account number</t>
        </is>
      </c>
      <c r="D2663" s="217">
        <f>IFERROR(__xludf.DUMMYFUNCTION("GOOGLETRANSLATE(C2663,""vi"",""km"")"),"លេខគណនី")</f>
        <v/>
      </c>
      <c r="E2663" s="3" t="n"/>
      <c r="F2663" s="3" t="inlineStr">
        <is>
          <t>លេខគណនីធនាគារ</t>
        </is>
      </c>
      <c r="G2663" s="3" t="n"/>
      <c r="H2663" s="217" t="inlineStr">
        <is>
          <t>"delivery.warehouse.revenueManagement.bankAccount": "លេខគណនីធនាគារ",</t>
        </is>
      </c>
      <c r="I2663" t="inlineStr">
        <is>
          <t>លេខគណនីធនាគារ</t>
        </is>
      </c>
    </row>
    <row r="2664">
      <c r="A2664" s="3" t="inlineStr">
        <is>
          <t>delivery.warehouse.revenueManagement.bankBranch</t>
        </is>
      </c>
      <c r="B2664" s="3" t="inlineStr">
        <is>
          <t>Chi nhánh ngân hàng</t>
        </is>
      </c>
      <c r="C2664" s="3" t="inlineStr">
        <is>
          <t>Bank branch</t>
        </is>
      </c>
      <c r="D2664" s="217">
        <f>IFERROR(__xludf.DUMMYFUNCTION("GOOGLETRANSLATE(C2664,""vi"",""km"")"),"សាខាធនាគារ")</f>
        <v/>
      </c>
      <c r="E2664" s="3" t="n"/>
      <c r="F2664" s="3" t="inlineStr">
        <is>
          <t>សាខាធនាគារ</t>
        </is>
      </c>
      <c r="G2664" s="3" t="n"/>
      <c r="H2664" s="217" t="inlineStr">
        <is>
          <t>"delivery.warehouse.revenueManagement.bankBranch": "សាខាធនាគារ",</t>
        </is>
      </c>
      <c r="I2664" t="inlineStr">
        <is>
          <t>សាខាធនាគារ</t>
        </is>
      </c>
    </row>
    <row r="2665">
      <c r="A2665" s="3" t="inlineStr">
        <is>
          <t>delivery.warehouse.revenueManagement.bankName</t>
        </is>
      </c>
      <c r="B2665" s="3" t="inlineStr">
        <is>
          <t>Ngân hàng</t>
        </is>
      </c>
      <c r="C2665" s="3" t="inlineStr">
        <is>
          <t>Bank</t>
        </is>
      </c>
      <c r="D2665" s="217">
        <f>IFERROR(__xludf.DUMMYFUNCTION("GOOGLETRANSLATE(C2665,""vi"",""km"")"),"ធនាគារ")</f>
        <v/>
      </c>
      <c r="E2665" s="3" t="n"/>
      <c r="F2665" s="3" t="inlineStr">
        <is>
          <t>ធនាគារ</t>
        </is>
      </c>
      <c r="G2665" s="3" t="n"/>
      <c r="H2665" s="217" t="inlineStr">
        <is>
          <t>"delivery.warehouse.revenueManagement.bankName": "ធនាគារ",</t>
        </is>
      </c>
      <c r="I2665" t="inlineStr">
        <is>
          <t>ធនាគារ</t>
        </is>
      </c>
    </row>
    <row r="2666">
      <c r="A2666" s="3" t="inlineStr">
        <is>
          <t>delivery.warehouse.revenueManagement.branch</t>
        </is>
      </c>
      <c r="B2666" s="3" t="inlineStr">
        <is>
          <t>Chi nhánh</t>
        </is>
      </c>
      <c r="C2666" s="3" t="inlineStr">
        <is>
          <t>Branch</t>
        </is>
      </c>
      <c r="D2666" s="217">
        <f>IFERROR(__xludf.DUMMYFUNCTION("GOOGLETRANSLATE(C2666,""vi"",""km"")"),"គ្រួសារ")</f>
        <v/>
      </c>
      <c r="E2666" s="3" t="n"/>
      <c r="F2666" s="3" t="inlineStr">
        <is>
          <t>សាខា</t>
        </is>
      </c>
      <c r="G2666" s="3" t="n"/>
      <c r="H2666" s="217" t="inlineStr">
        <is>
          <t>"delivery.warehouse.revenueManagement.branch": "សាខា",</t>
        </is>
      </c>
      <c r="I2666" t="inlineStr">
        <is>
          <t>សាខា</t>
        </is>
      </c>
    </row>
    <row r="2667">
      <c r="A2667" s="3" t="inlineStr">
        <is>
          <t>delivery.warehouse.revenueManagement.cancel</t>
        </is>
      </c>
      <c r="B2667" s="3" t="inlineStr">
        <is>
          <t>Huỷ</t>
        </is>
      </c>
      <c r="C2667" s="3" t="inlineStr">
        <is>
          <t>Cancel</t>
        </is>
      </c>
      <c r="D2667" s="217">
        <f>IFERROR(__xludf.DUMMYFUNCTION("GOOGLETRANSLATE(C2667,""vi"",""km"")"),"បោះបង់")</f>
        <v/>
      </c>
      <c r="E2667" s="3" t="n"/>
      <c r="F2667" s="3" t="inlineStr">
        <is>
          <t>បោះបង់</t>
        </is>
      </c>
      <c r="G2667" s="3" t="n"/>
      <c r="H2667" s="217" t="inlineStr">
        <is>
          <t>"delivery.warehouse.revenueManagement.cancel": "បោះបង់",</t>
        </is>
      </c>
      <c r="I2667" t="inlineStr">
        <is>
          <t>បោះបង់</t>
        </is>
      </c>
    </row>
    <row r="2668">
      <c r="A2668" s="3" t="inlineStr">
        <is>
          <t>delivery.warehouse.revenueManagement.city</t>
        </is>
      </c>
      <c r="B2668" s="3" t="inlineStr">
        <is>
          <t>Tỉnh/TP</t>
        </is>
      </c>
      <c r="C2668" s="3" t="inlineStr">
        <is>
          <t>Province/City</t>
        </is>
      </c>
      <c r="D2668" s="217">
        <f>IFERROR(__xludf.DUMMYFUNCTION("GOOGLETRANSLATE(C2668,""vi"",""km"")"),"ខេត្ត/ក្រុង")</f>
        <v/>
      </c>
      <c r="E2668" s="3" t="n"/>
      <c r="F2668" s="3" t="inlineStr">
        <is>
          <t>ខេត្ត/ក្រុង</t>
        </is>
      </c>
      <c r="G2668" s="3" t="n"/>
      <c r="H2668" s="217" t="inlineStr">
        <is>
          <t>"delivery.warehouse.revenueManagement.city": "ខេត្ត/ក្រុង",</t>
        </is>
      </c>
      <c r="I2668" t="inlineStr">
        <is>
          <t>ខេត្ត/ក្រុង</t>
        </is>
      </c>
    </row>
    <row r="2669">
      <c r="A2669" s="3" t="inlineStr">
        <is>
          <t>delivery.warehouse.revenueManagement.cod</t>
        </is>
      </c>
      <c r="B2669" s="3" t="inlineStr">
        <is>
          <t>Tiền COD</t>
        </is>
      </c>
      <c r="C2669" s="3" t="inlineStr">
        <is>
          <t>Cash on Delivery (COD)</t>
        </is>
      </c>
      <c r="D2669" s="217">
        <f>IFERROR(__xludf.DUMMYFUNCTION("GOOGLETRANSLATE(C2669,""vi"",""km"")"),"បង់ប្រាក់ពេលទទួលទំនិញ (COD)")</f>
        <v/>
      </c>
      <c r="E2669" s="3" t="n"/>
      <c r="F2669" s="3" t="inlineStr">
        <is>
          <t>ប្រាក់ COD</t>
        </is>
      </c>
      <c r="G2669" s="3" t="n"/>
      <c r="H2669" s="217" t="inlineStr">
        <is>
          <t>"delivery.warehouse.revenueManagement.cod": "ប្រាក់ COD",</t>
        </is>
      </c>
      <c r="I2669" t="inlineStr">
        <is>
          <t>ប្រាក់ COD</t>
        </is>
      </c>
    </row>
    <row r="2670">
      <c r="A2670" s="3" t="inlineStr">
        <is>
          <t>delivery.warehouse.revenueManagement.companyCode</t>
        </is>
      </c>
      <c r="B2670" s="3" t="inlineStr">
        <is>
          <t>Company Code</t>
        </is>
      </c>
      <c r="C2670" s="3" t="inlineStr">
        <is>
          <t>Company Code</t>
        </is>
      </c>
      <c r="D2670" s="217">
        <f>IFERROR(__xludf.DUMMYFUNCTION("GOOGLETRANSLATE(C2670,""vi"",""km"")"),"លេខកូដក្រុមហ៊ុន")</f>
        <v/>
      </c>
      <c r="E2670" s="3" t="n"/>
      <c r="F2670" s="3" t="inlineStr">
        <is>
          <t>លេខកូដក្រុមហ៊ុន</t>
        </is>
      </c>
      <c r="G2670" s="3" t="n"/>
      <c r="H2670" s="217" t="inlineStr">
        <is>
          <t>"delivery.warehouse.revenueManagement.companyCode": "លេខកូដក្រុមហ៊ុន",</t>
        </is>
      </c>
      <c r="I2670" t="inlineStr">
        <is>
          <t>លេខកូដក្រុមហ៊ុន</t>
        </is>
      </c>
    </row>
    <row r="2671">
      <c r="A2671" s="3" t="inlineStr">
        <is>
          <t>delivery.warehouse.revenueManagement.confirm</t>
        </is>
      </c>
      <c r="B2671" s="3" t="inlineStr">
        <is>
          <t>Xác nhận</t>
        </is>
      </c>
      <c r="C2671" s="3" t="inlineStr">
        <is>
          <t>Confirm</t>
        </is>
      </c>
      <c r="D2671" s="217">
        <f>IFERROR(__xludf.DUMMYFUNCTION("GOOGLETRANSLATE(C2671,""vi"",""km"")"),"បញ្ជាក់")</f>
        <v/>
      </c>
      <c r="E2671" s="3" t="n"/>
      <c r="F2671" s="3" t="inlineStr">
        <is>
          <t>បញ្ជាក់</t>
        </is>
      </c>
      <c r="G2671" s="3" t="n"/>
      <c r="H2671" s="217" t="inlineStr">
        <is>
          <t>"delivery.warehouse.revenueManagement.confirm": "បញ្ជាក់",</t>
        </is>
      </c>
      <c r="I2671" t="inlineStr">
        <is>
          <t>បញ្ជាក់</t>
        </is>
      </c>
    </row>
    <row r="2672">
      <c r="A2672" s="3" t="inlineStr">
        <is>
          <t>delivery.warehouse.revenueManagement.createStatementXHD</t>
        </is>
      </c>
      <c r="B2672" s="3" t="inlineStr">
        <is>
          <t>Tạo bảng kê XHĐ</t>
        </is>
      </c>
      <c r="C2672" s="3" t="inlineStr">
        <is>
          <t>Create a Social Security statement</t>
        </is>
      </c>
      <c r="D2672" s="217">
        <f>IFERROR(__xludf.DUMMYFUNCTION("GOOGLETRANSLATE(C2672,""vi"",""km"")"),"បង្កើតសេចក្តីថ្លែងការណ៍សន្តិសុខសង្គម")</f>
        <v/>
      </c>
      <c r="E2672" s="3" t="n"/>
      <c r="F2672" s="3" t="inlineStr">
        <is>
          <t>បង្កើតសេចក្តីថ្លែងការណ៍សន្តិសុខសង្គម</t>
        </is>
      </c>
      <c r="G2672" s="3" t="n"/>
      <c r="H2672" s="217" t="inlineStr">
        <is>
          <t>"delivery.warehouse.revenueManagement.createStatementXHD": "បង្កើតសេចក្តីថ្លែងការណ៍សន្តិសុខសង្គម",</t>
        </is>
      </c>
      <c r="I2672" t="inlineStr">
        <is>
          <t>បង្កើតសេចក្តីថ្លែងការណ៍សន្តិសុខសង្គម</t>
        </is>
      </c>
    </row>
    <row r="2673">
      <c r="A2673" s="3" t="inlineStr">
        <is>
          <t>delivery.warehouse.revenueManagement.createStatementXHDModal</t>
        </is>
      </c>
      <c r="B2673" s="3" t="inlineStr">
        <is>
          <t>Tạo bảng kê xuất hoá đơn</t>
        </is>
      </c>
      <c r="C2673" s="3" t="inlineStr">
        <is>
          <t>Create an invoice statement.</t>
        </is>
      </c>
      <c r="D2673" s="217">
        <f>IFERROR(__xludf.DUMMYFUNCTION("GOOGLETRANSLATE(C2673,""vi"",""km"")"),"បង្កើតសេចក្តីថ្លែងការណ៍វិក្កយបត្រ។")</f>
        <v/>
      </c>
      <c r="E2673" s="3" t="n"/>
      <c r="F2673" s="3" t="inlineStr">
        <is>
          <t>បង្កើតសេចក្តីថ្លែងការណ៍វិក្កយបត្រ។</t>
        </is>
      </c>
      <c r="G2673" s="3" t="n"/>
      <c r="H2673" s="217" t="inlineStr">
        <is>
          <t>"delivery.warehouse.revenueManagement.createStatementXHDModal": "បង្កើតសេចក្តីថ្លែងការណ៍វិក្កយបត្រ។",</t>
        </is>
      </c>
      <c r="I2673" t="inlineStr">
        <is>
          <t>បង្កើតសេចក្តីថ្លែងការណ៍វិក្កយបត្រ។</t>
        </is>
      </c>
    </row>
    <row r="2674">
      <c r="A2674" s="3" t="inlineStr">
        <is>
          <t>delivery.warehouse.revenueManagement.createdAt</t>
        </is>
      </c>
      <c r="B2674" s="3" t="inlineStr">
        <is>
          <t>Ngày tạo</t>
        </is>
      </c>
      <c r="C2674" s="3" t="inlineStr">
        <is>
          <t>Creation date</t>
        </is>
      </c>
      <c r="D2674" s="217">
        <f>IFERROR(__xludf.DUMMYFUNCTION("GOOGLETRANSLATE(C2674,""vi"",""km"")"),"កាលបរិច្ឆេទបង្កើត")</f>
        <v/>
      </c>
      <c r="E2674" s="3" t="n"/>
      <c r="F2674" s="3" t="inlineStr">
        <is>
          <t>កាលបរិច្ឆេទបង្កើត</t>
        </is>
      </c>
      <c r="G2674" s="3" t="n"/>
      <c r="H2674" s="217" t="inlineStr">
        <is>
          <t>"delivery.warehouse.revenueManagement.createdAt": "កាលបរិច្ឆេទបង្កើត",</t>
        </is>
      </c>
      <c r="I2674" t="inlineStr">
        <is>
          <t>កាលបរិច្ឆេទបង្កើត</t>
        </is>
      </c>
    </row>
    <row r="2675">
      <c r="A2675" s="3" t="inlineStr">
        <is>
          <t>delivery.warehouse.revenueManagement.cusiId</t>
        </is>
      </c>
      <c r="B2675" s="3" t="inlineStr">
        <is>
          <t>CusiId</t>
        </is>
      </c>
      <c r="C2675" s="3" t="inlineStr">
        <is>
          <t>CusiId</t>
        </is>
      </c>
      <c r="D2675" s="217">
        <f>IFERROR(__xludf.DUMMYFUNCTION("GOOGLETRANSLATE(C2675,""vi"",""km"")"),"លេខសម្គាល់​អតិថិជន")</f>
        <v/>
      </c>
      <c r="E2675" s="3" t="n"/>
      <c r="F2675" s="3" t="inlineStr">
        <is>
          <t>លេខសម្គាល់អតិថិជន</t>
        </is>
      </c>
      <c r="G2675" s="3" t="n"/>
      <c r="H2675" s="217" t="inlineStr">
        <is>
          <t>"delivery.warehouse.revenueManagement.cusiId": "លេខសម្គាល់អតិថិជន",</t>
        </is>
      </c>
      <c r="I2675" t="inlineStr">
        <is>
          <t>លេខសម្គាល់អតិថិជន</t>
        </is>
      </c>
    </row>
    <row r="2676">
      <c r="A2676" s="3" t="inlineStr">
        <is>
          <t>delivery.warehouse.revenueManagement.customerCode</t>
        </is>
      </c>
      <c r="B2676" s="3" t="inlineStr">
        <is>
          <t>Mã KH</t>
        </is>
      </c>
      <c r="C2676" s="3" t="inlineStr">
        <is>
          <t>Customer Code</t>
        </is>
      </c>
      <c r="D2676" s="217">
        <f>IFERROR(__xludf.DUMMYFUNCTION("GOOGLETRANSLATE(C2676,""vi"",""km"")"),"លេខកូដផ្ទះ")</f>
        <v/>
      </c>
      <c r="E2676" s="3" t="n"/>
      <c r="F2676" s="3" t="inlineStr">
        <is>
          <t>លេខកូដផ្ទះ</t>
        </is>
      </c>
      <c r="G2676" s="3" t="n"/>
      <c r="H2676" s="217" t="inlineStr">
        <is>
          <t>"delivery.warehouse.revenueManagement.customerCode": "លេខកូដផ្ទះ",</t>
        </is>
      </c>
      <c r="I2676" t="inlineStr">
        <is>
          <t>លេខកូដផ្ទះ</t>
        </is>
      </c>
    </row>
    <row r="2677">
      <c r="A2677" s="3" t="inlineStr">
        <is>
          <t>delivery.warehouse.revenueManagement.customerName</t>
        </is>
      </c>
      <c r="B2677" s="3" t="inlineStr">
        <is>
          <t>Tên khách hàng</t>
        </is>
      </c>
      <c r="C2677" s="3" t="inlineStr">
        <is>
          <t>Customer name</t>
        </is>
      </c>
      <c r="D2677" s="217">
        <f>IFERROR(__xludf.DUMMYFUNCTION("GOOGLETRANSLATE(C2677,""vi"",""km"")"),"ឈ្មោះអតិថិជន")</f>
        <v/>
      </c>
      <c r="E2677" s="3" t="n"/>
      <c r="F2677" s="3" t="inlineStr">
        <is>
          <t>ឈ្មោះអតិថិជន</t>
        </is>
      </c>
      <c r="G2677" s="3" t="n"/>
      <c r="H2677" s="217" t="inlineStr">
        <is>
          <t>"delivery.warehouse.revenueManagement.customerName": "ឈ្មោះអតិថិជន",</t>
        </is>
      </c>
      <c r="I2677" t="inlineStr">
        <is>
          <t>ឈ្មោះអតិថិជន</t>
        </is>
      </c>
    </row>
    <row r="2678">
      <c r="A2678" s="3" t="inlineStr">
        <is>
          <t>delivery.warehouse.revenueManagement.customerSearchPlaceholder</t>
        </is>
      </c>
      <c r="B2678" s="3" t="inlineStr">
        <is>
          <t>Mã KH, tên KH</t>
        </is>
      </c>
      <c r="C2678" s="3" t="inlineStr">
        <is>
          <t>Customer Code, Customer Name</t>
        </is>
      </c>
      <c r="D2678" s="217">
        <f>IFERROR(__xludf.DUMMYFUNCTION("GOOGLETRANSLATE(C2678,""vi"",""km"")"),"លេខកូដអតិថិជន, ឈ្មោះអតិថិជន")</f>
        <v/>
      </c>
      <c r="E2678" s="3" t="n"/>
      <c r="F2678" s="3" t="inlineStr">
        <is>
          <t>លេខកូដអតិថិជន, ឈ្មោះអតិថិជន</t>
        </is>
      </c>
      <c r="G2678" s="3" t="n"/>
      <c r="H2678" s="217" t="inlineStr">
        <is>
          <t>"delivery.warehouse.revenueManagement.customerSearchPlaceholder": "លេខកូដអតិថិជន, ឈ្មោះអតិថិជន",</t>
        </is>
      </c>
      <c r="I2678" t="inlineStr">
        <is>
          <t>លេខកូដអតិថិជន, ឈ្មោះអតិថិជន</t>
        </is>
      </c>
    </row>
    <row r="2679">
      <c r="A2679" s="3" t="inlineStr">
        <is>
          <t>delivery.warehouse.revenueManagement.discount</t>
        </is>
      </c>
      <c r="B2679" s="3" t="inlineStr">
        <is>
          <t>Giảm giá</t>
        </is>
      </c>
      <c r="C2679" s="3" t="inlineStr">
        <is>
          <t>Discount</t>
        </is>
      </c>
      <c r="D2679" s="217">
        <f>IFERROR(__xludf.DUMMYFUNCTION("GOOGLETRANSLATE(C2679,""vi"",""km"")"),"បញ្ចុះតម្លៃ")</f>
        <v/>
      </c>
      <c r="E2679" s="3" t="n"/>
      <c r="F2679" s="3" t="inlineStr">
        <is>
          <t>បញ្ចុះតម្លៃ</t>
        </is>
      </c>
      <c r="G2679" s="3" t="n"/>
      <c r="H2679" s="217" t="inlineStr">
        <is>
          <t>"delivery.warehouse.revenueManagement.discount": "បញ្ចុះតម្លៃ",</t>
        </is>
      </c>
      <c r="I2679" t="inlineStr">
        <is>
          <t>បញ្ចុះតម្លៃ</t>
        </is>
      </c>
    </row>
    <row r="2680">
      <c r="A2680" s="3" t="inlineStr">
        <is>
          <t>delivery.warehouse.revenueManagement.district</t>
        </is>
      </c>
      <c r="B2680" s="3" t="inlineStr">
        <is>
          <t>Quận/Huyện</t>
        </is>
      </c>
      <c r="C2680" s="3" t="inlineStr">
        <is>
          <t>District/County</t>
        </is>
      </c>
      <c r="D2680" s="217">
        <f>IFERROR(__xludf.DUMMYFUNCTION("GOOGLETRANSLATE(C2680,""vi"",""km"")"),"ស្រុក/ខេត្ត")</f>
        <v/>
      </c>
      <c r="E2680" s="3" t="n"/>
      <c r="F2680" s="3" t="inlineStr">
        <is>
          <t>ស្រុក/ខណ្ឌ</t>
        </is>
      </c>
      <c r="G2680" s="3" t="n"/>
      <c r="H2680" s="217" t="inlineStr">
        <is>
          <t>"delivery.warehouse.revenueManagement.district": "ស្រុក/ខណ្ឌ",</t>
        </is>
      </c>
      <c r="I2680" t="inlineStr">
        <is>
          <t>ស្រុក/ខណ្ឌ</t>
        </is>
      </c>
    </row>
    <row r="2681">
      <c r="A2681" s="3" t="inlineStr">
        <is>
          <t>delivery.warehouse.revenueManagement.email</t>
        </is>
      </c>
      <c r="B2681" s="3" t="inlineStr">
        <is>
          <t>Email</t>
        </is>
      </c>
      <c r="C2681" s="3" t="inlineStr">
        <is>
          <t>E-mail</t>
        </is>
      </c>
      <c r="D2681" s="217">
        <f>IFERROR(__xludf.DUMMYFUNCTION("GOOGLETRANSLATE(C2681,""vi"",""km"")"),"អ៊ីមែល")</f>
        <v/>
      </c>
      <c r="E2681" s="3" t="n"/>
      <c r="F2681" s="3" t="inlineStr">
        <is>
          <t>អ៊ីមែល</t>
        </is>
      </c>
      <c r="G2681" s="3" t="n"/>
      <c r="H2681" s="217" t="inlineStr">
        <is>
          <t>"delivery.warehouse.revenueManagement.email": "អ៊ីមែល",</t>
        </is>
      </c>
      <c r="I2681" t="inlineStr">
        <is>
          <t>អ៊ីមែល</t>
        </is>
      </c>
    </row>
    <row r="2682">
      <c r="A2682" s="3" t="inlineStr">
        <is>
          <t>delivery.warehouse.revenueManagement.endDate</t>
        </is>
      </c>
      <c r="B2682" s="3" t="inlineStr">
        <is>
          <t>Ngày kết thúc</t>
        </is>
      </c>
      <c r="C2682" s="3" t="inlineStr">
        <is>
          <t>End date</t>
        </is>
      </c>
      <c r="D2682" s="217">
        <f>IFERROR(__xludf.DUMMYFUNCTION("GOOGLETRANSLATE(C2682,""vi"",""km"")"),"កាលបរិច្ឆេទបញ្ចប់")</f>
        <v/>
      </c>
      <c r="E2682" s="3" t="n"/>
      <c r="F2682" s="3" t="inlineStr">
        <is>
          <t>កាលបរិច្ឆេទបញ្ចប់</t>
        </is>
      </c>
      <c r="G2682" s="3" t="n"/>
      <c r="H2682" s="217" t="inlineStr">
        <is>
          <t>"delivery.warehouse.revenueManagement.endDate": "កាលបរិច្ឆេទបញ្ចប់",</t>
        </is>
      </c>
      <c r="I2682" t="inlineStr">
        <is>
          <t>កាលបរិច្ឆេទបញ្ចប់</t>
        </is>
      </c>
    </row>
    <row r="2683">
      <c r="A2683" s="3" t="inlineStr">
        <is>
          <t>delivery.warehouse.revenueManagement.exportExcel</t>
        </is>
      </c>
      <c r="B2683" s="3" t="inlineStr">
        <is>
          <t>Xuất Excel</t>
        </is>
      </c>
      <c r="C2683" s="3" t="inlineStr">
        <is>
          <t>Export to Excel</t>
        </is>
      </c>
      <c r="D2683" s="217">
        <f>IFERROR(__xludf.DUMMYFUNCTION("GOOGLETRANSLATE(C2683,""vi"",""km"")"),"នាំចេញទៅ Excel")</f>
        <v/>
      </c>
      <c r="E2683" s="3" t="n"/>
      <c r="F2683" s="3" t="inlineStr">
        <is>
          <t>នាំចេញទៅ Excel</t>
        </is>
      </c>
      <c r="G2683" s="3" t="n"/>
      <c r="H2683" s="217" t="inlineStr">
        <is>
          <t>"delivery.warehouse.revenueManagement.exportExcel": "នាំចេញទៅ Excel",</t>
        </is>
      </c>
      <c r="I2683" t="inlineStr">
        <is>
          <t>នាំចេញទៅ Excel</t>
        </is>
      </c>
    </row>
    <row r="2684">
      <c r="A2684" s="3" t="inlineStr">
        <is>
          <t>delivery.warehouse.revenueManagement.fee</t>
        </is>
      </c>
      <c r="B2684" s="3" t="inlineStr">
        <is>
          <t>Cước phí</t>
        </is>
      </c>
      <c r="C2684" s="3" t="inlineStr">
        <is>
          <t>Shipping fees</t>
        </is>
      </c>
      <c r="D2684" s="217">
        <f>IFERROR(__xludf.DUMMYFUNCTION("GOOGLETRANSLATE(C2684,""vi"",""km"")"),"ថ្លៃដឹកជញ្ជូន")</f>
        <v/>
      </c>
      <c r="E2684" s="3" t="n"/>
      <c r="F2684" s="3" t="inlineStr">
        <is>
          <t>ថ្លៃដឹកជញ្ជូន</t>
        </is>
      </c>
      <c r="G2684" s="3" t="n"/>
      <c r="H2684" s="217" t="inlineStr">
        <is>
          <t>"delivery.warehouse.revenueManagement.fee": "ថ្លៃដឹកជញ្ជូន",</t>
        </is>
      </c>
      <c r="I2684" t="inlineStr">
        <is>
          <t>ថ្លៃដឹកជញ្ជូន</t>
        </is>
      </c>
    </row>
    <row r="2685">
      <c r="A2685" s="3" t="inlineStr">
        <is>
          <t>delivery.warehouse.revenueManagement.field</t>
        </is>
      </c>
      <c r="B2685" s="3" t="inlineStr">
        <is>
          <t>Lĩnh vực</t>
        </is>
      </c>
      <c r="C2685" s="3" t="inlineStr">
        <is>
          <t>Field</t>
        </is>
      </c>
      <c r="D2685" s="217">
        <f>IFERROR(__xludf.DUMMYFUNCTION("GOOGLETRANSLATE(C2685,""vi"",""km"")"),"វាល")</f>
        <v/>
      </c>
      <c r="E2685" s="3" t="n"/>
      <c r="F2685" s="3" t="inlineStr">
        <is>
          <t>វាល</t>
        </is>
      </c>
      <c r="G2685" s="3" t="n"/>
      <c r="H2685" s="217" t="inlineStr">
        <is>
          <t>"delivery.warehouse.revenueManagement.field": "វាល",</t>
        </is>
      </c>
      <c r="I2685" t="inlineStr">
        <is>
          <t>វាល</t>
        </is>
      </c>
    </row>
    <row r="2686">
      <c r="A2686" s="3" t="inlineStr">
        <is>
          <t>delivery.warehouse.revenueManagement.filterBranch</t>
        </is>
      </c>
      <c r="B2686" s="3" t="inlineStr">
        <is>
          <t>Chọn chi nhánh</t>
        </is>
      </c>
      <c r="C2686" s="3" t="inlineStr">
        <is>
          <t>Select a branch</t>
        </is>
      </c>
      <c r="D2686" s="217">
        <f>IFERROR(__xludf.DUMMYFUNCTION("GOOGLETRANSLATE(C2686,""vi"",""km"")"),"ជ្រើសរើសទ្រូងមួយ")</f>
        <v/>
      </c>
      <c r="E2686" s="3" t="n"/>
      <c r="F2686" s="3" t="inlineStr">
        <is>
          <t>ជ្រើសរើសទ្រូងមួយ</t>
        </is>
      </c>
      <c r="G2686" s="3" t="n"/>
      <c r="H2686" s="217" t="inlineStr">
        <is>
          <t>"delivery.warehouse.revenueManagement.filterBranch": "ជ្រើសរើសទ្រូងមួយ",</t>
        </is>
      </c>
      <c r="I2686" t="inlineStr">
        <is>
          <t>ជ្រើសរើសទ្រូងមួយ</t>
        </is>
      </c>
    </row>
    <row r="2687">
      <c r="A2687" s="3" t="inlineStr">
        <is>
          <t>delivery.warehouse.revenueManagement.handle</t>
        </is>
      </c>
      <c r="B2687" s="3" t="inlineStr">
        <is>
          <t>Thao tác</t>
        </is>
      </c>
      <c r="C2687" s="3" t="inlineStr">
        <is>
          <t>Operation</t>
        </is>
      </c>
      <c r="D2687" s="217">
        <f>IFERROR(__xludf.DUMMYFUNCTION("GOOGLETRANSLATE(C2687,""vi"",""km"")"),"ប្រតិបត្តិការ")</f>
        <v/>
      </c>
      <c r="E2687" s="3" t="n"/>
      <c r="F2687" s="3" t="inlineStr">
        <is>
          <t>ប្រតិបត្តិការ</t>
        </is>
      </c>
      <c r="G2687" s="3" t="n"/>
      <c r="H2687" s="217" t="inlineStr">
        <is>
          <t>"delivery.warehouse.revenueManagement.handle": "ប្រតិបត្តិការ",</t>
        </is>
      </c>
      <c r="I2687" t="inlineStr">
        <is>
          <t>ប្រតិបត្តិការ</t>
        </is>
      </c>
    </row>
    <row r="2688">
      <c r="A2688" s="3" t="inlineStr">
        <is>
          <t>delivery.warehouse.revenueManagement.keywordSearch</t>
        </is>
      </c>
      <c r="B2688" s="3" t="inlineStr">
        <is>
          <t>Từ khoá</t>
        </is>
      </c>
      <c r="C2688" s="3" t="inlineStr">
        <is>
          <t>Keywords</t>
        </is>
      </c>
      <c r="D2688" s="217">
        <f>IFERROR(__xludf.DUMMYFUNCTION("GOOGLETRANSLATE(C2688,""vi"",""km"")"),"ពាក្យគន្លឹះ")</f>
        <v/>
      </c>
      <c r="E2688" s="3" t="n"/>
      <c r="F2688" s="3" t="inlineStr">
        <is>
          <t>ពាក្យគន្លឹះ</t>
        </is>
      </c>
      <c r="G2688" s="3" t="n"/>
      <c r="H2688" s="217" t="inlineStr">
        <is>
          <t>"delivery.warehouse.revenueManagement.keywordSearch": "ពាក្យគន្លឹះ",</t>
        </is>
      </c>
      <c r="I2688" t="inlineStr">
        <is>
          <t>ពាក្យគន្លឹះ</t>
        </is>
      </c>
    </row>
    <row r="2689">
      <c r="A2689" s="3" t="inlineStr">
        <is>
          <t>delivery.warehouse.revenueManagement.keywordSearchPlaceholder</t>
        </is>
      </c>
      <c r="B2689" s="3" t="inlineStr">
        <is>
          <t>Mã đơn hàng, mã KH, mã dịch vụ</t>
        </is>
      </c>
      <c r="C2689" s="3" t="inlineStr">
        <is>
          <t>Order code, customer code, service code</t>
        </is>
      </c>
      <c r="D2689" s="217">
        <f>IFERROR(__xludf.DUMMYFUNCTION("GOOGLETRANSLATE(C2689,""vi"",""km"")"),"លេខកូដបញ្ជាទិញ លេខកូដអតិថិជន លេខកូដសេវាកម្ម")</f>
        <v/>
      </c>
      <c r="E2689" s="3" t="n"/>
      <c r="F2689" s="3" t="inlineStr">
        <is>
          <t>លេខកូដបញ្ជាទិញ លេខកូដអតិថិជន លេខកូដសេវាកម្ម</t>
        </is>
      </c>
      <c r="G2689" s="3" t="n"/>
      <c r="H2689" s="217" t="inlineStr">
        <is>
          <t>"delivery.warehouse.revenueManagement.keywordSearchPlaceholder": "លេខកូដបញ្ជាទិញ លេខកូដអតិថិជន លេខកូដសេវាកម្ម",</t>
        </is>
      </c>
      <c r="I2689" t="inlineStr">
        <is>
          <t>លេខកូដបញ្ជាទិញ លេខកូដអតិថិជន លេខកូដសេវាកម្ម</t>
        </is>
      </c>
    </row>
    <row r="2690">
      <c r="A2690" s="3" t="inlineStr">
        <is>
          <t>delivery.warehouse.revenueManagement.noteSms</t>
        </is>
      </c>
      <c r="B2690" s="3" t="inlineStr">
        <is>
          <t>Lưu ý: Bạn chỉ có thể nhận tối đa 5 SMS/giờ</t>
        </is>
      </c>
      <c r="C2690" s="3" t="inlineStr">
        <is>
          <t>Note: You can only receive up to 5 SMS/hour</t>
        </is>
      </c>
      <c r="D2690" s="217">
        <f>IFERROR(__xludf.DUMMYFUNCTION("GOOGLETRANSLATE(C2690,""vi"",""km"")"),"ចំណាំ៖ អ្នកអាចទទួលបានសារ SMS ត្រឹមតែ 5 សារក្នុងមួយម៉ោងប៉ុណ្ណោះ")</f>
        <v/>
      </c>
      <c r="E2690" s="3" t="n"/>
      <c r="F2690" s="3" t="inlineStr">
        <is>
          <t>ចំណាំ៖ អ្នកអាចទទួលបានសារ SMS ត្រឹមតែ 5 សារក្នុងមួយម៉ោងប៉ុណ្ណោះ</t>
        </is>
      </c>
      <c r="G2690" s="3" t="n"/>
      <c r="H2690" s="217" t="inlineStr">
        <is>
          <t>"delivery.warehouse.revenueManagement.noteSms": "ចំណាំ៖ អ្នកអាចទទួលបានសារ SMS ត្រឹមតែ 5 សារក្នុងមួយម៉ោងប៉ុណ្ណោះ",</t>
        </is>
      </c>
      <c r="I2690" t="inlineStr">
        <is>
          <t>ចំណាំ៖ អ្នកអាចទទួលបានសារ SMS ត្រឹមតែ 5 សារក្នុងមួយម៉ោងប៉ុណ្ណោះ</t>
        </is>
      </c>
    </row>
    <row r="2691">
      <c r="A2691" s="3" t="inlineStr">
        <is>
          <t>delivery.warehouse.revenueManagement.orderCode</t>
        </is>
      </c>
      <c r="B2691" s="3" t="inlineStr">
        <is>
          <t>Mã đơn hàng</t>
        </is>
      </c>
      <c r="C2691" s="3" t="inlineStr">
        <is>
          <t>Order code</t>
        </is>
      </c>
      <c r="D2691" s="217">
        <f>IFERROR(__xludf.DUMMYFUNCTION("GOOGLETRANSLATE(C2691,""vi"",""km"")"),"លេខកូដបញ្ជាទិញ")</f>
        <v/>
      </c>
      <c r="E2691" s="3" t="n"/>
      <c r="F2691" s="3" t="inlineStr">
        <is>
          <t>លេខកូដបុងបញ្ញើ</t>
        </is>
      </c>
      <c r="G2691" s="3" t="n"/>
      <c r="H2691" s="217" t="inlineStr">
        <is>
          <t>"delivery.warehouse.revenueManagement.orderCode": "លេខកូដបុងបញ្ញើ",</t>
        </is>
      </c>
      <c r="I2691" t="inlineStr">
        <is>
          <t>លេខកូដបុងបញ្ញើ</t>
        </is>
      </c>
    </row>
    <row r="2692">
      <c r="A2692" s="3" t="inlineStr">
        <is>
          <t>delivery.warehouse.revenueManagement.orderStatus</t>
        </is>
      </c>
      <c r="B2692" s="3" t="inlineStr">
        <is>
          <t>Trạng thái đơn</t>
        </is>
      </c>
      <c r="C2692" s="3" t="inlineStr">
        <is>
          <t>Single state</t>
        </is>
      </c>
      <c r="D2692" s="217">
        <f>IFERROR(__xludf.DUMMYFUNCTION("GOOGLETRANSLATE(C2692,""vi"",""km"")"),"រដ្ឋតែមួយ")</f>
        <v/>
      </c>
      <c r="E2692" s="3" t="n"/>
      <c r="F2692" s="3" t="inlineStr">
        <is>
          <t>រដ្ឋតែមួយ</t>
        </is>
      </c>
      <c r="G2692" s="3" t="n"/>
      <c r="H2692" s="217" t="inlineStr">
        <is>
          <t>"delivery.warehouse.revenueManagement.orderStatus": "រដ្ឋតែមួយ",</t>
        </is>
      </c>
      <c r="I2692" t="inlineStr">
        <is>
          <t>រដ្ឋតែមួយ</t>
        </is>
      </c>
    </row>
    <row r="2693">
      <c r="A2693" s="3" t="inlineStr">
        <is>
          <t>delivery.warehouse.revenueManagement.phoneNumber</t>
        </is>
      </c>
      <c r="B2693" s="3" t="inlineStr">
        <is>
          <t>SĐT</t>
        </is>
      </c>
      <c r="C2693" s="3" t="inlineStr">
        <is>
          <t>Phone number</t>
        </is>
      </c>
      <c r="D2693" s="217">
        <f>IFERROR(__xludf.DUMMYFUNCTION("GOOGLETRANSLATE(C2693,""vi"",""km"")"),"លេខទូរស័ព្ទ")</f>
        <v/>
      </c>
      <c r="E2693" s="3" t="n"/>
      <c r="F2693" s="3" t="inlineStr">
        <is>
          <t>លេខទូរស័ព្ទ</t>
        </is>
      </c>
      <c r="G2693" s="3" t="n"/>
      <c r="H2693" s="217" t="inlineStr">
        <is>
          <t>"delivery.warehouse.revenueManagement.phoneNumber": "លេខទូរស័ព្ទ",</t>
        </is>
      </c>
      <c r="I2693" t="inlineStr">
        <is>
          <t>លេខទូរស័ព្ទ</t>
        </is>
      </c>
    </row>
    <row r="2694">
      <c r="A2694" s="3" t="inlineStr">
        <is>
          <t>delivery.warehouse.revenueManagement.postOffice</t>
        </is>
      </c>
      <c r="B2694" s="3" t="inlineStr">
        <is>
          <t>Bưu cục</t>
        </is>
      </c>
      <c r="C2694" s="3" t="inlineStr">
        <is>
          <t>Post Office</t>
        </is>
      </c>
      <c r="D2694" s="217">
        <f>IFERROR(__xludf.DUMMYFUNCTION("GOOGLETRANSLATE(C2694,""vi"",""km"")"),"ការិយាល័យប្រៃសណីយ៍")</f>
        <v/>
      </c>
      <c r="E2694" s="3" t="n"/>
      <c r="F2694" s="3" t="inlineStr">
        <is>
          <t>ការិយាល័យប្រៃសណីយ៍</t>
        </is>
      </c>
      <c r="G2694" s="3" t="n"/>
      <c r="H2694" s="217" t="inlineStr">
        <is>
          <t>"delivery.warehouse.revenueManagement.postOffice": "ការិយាល័យប្រៃសណីយ៍",</t>
        </is>
      </c>
      <c r="I2694" t="inlineStr">
        <is>
          <t>ការិយាល័យប្រៃសណីយ៍</t>
        </is>
      </c>
    </row>
    <row r="2695">
      <c r="A2695" s="3" t="inlineStr">
        <is>
          <t>delivery.warehouse.revenueManagement.pusBackOrder</t>
        </is>
      </c>
      <c r="B2695" s="3" t="inlineStr">
        <is>
          <t>Đẩy lại đơn hàng</t>
        </is>
      </c>
      <c r="C2695" s="3" t="inlineStr">
        <is>
          <t>Resume the order</t>
        </is>
      </c>
      <c r="D2695" s="217">
        <f>IFERROR(__xludf.DUMMYFUNCTION("GOOGLETRANSLATE(C2695,""vi"",""km"")"),"បន្តការបញ្ជាទិញ")</f>
        <v/>
      </c>
      <c r="E2695" s="3" t="n"/>
      <c r="F2695" s="3" t="inlineStr">
        <is>
          <t>បន្តការបញ្ជាទិញ</t>
        </is>
      </c>
      <c r="G2695" s="3" t="n"/>
      <c r="H2695" s="217" t="inlineStr">
        <is>
          <t>"delivery.warehouse.revenueManagement.pusBackOrder": "បន្តការបញ្ជាទិញ",</t>
        </is>
      </c>
      <c r="I2695" t="inlineStr">
        <is>
          <t>បន្តការបញ្ជាទិញ</t>
        </is>
      </c>
    </row>
    <row r="2696">
      <c r="A2696" s="3" t="inlineStr">
        <is>
          <t>delivery.warehouse.revenueManagement.pusBackOrderConfirm</t>
        </is>
      </c>
      <c r="B2696" s="3" t="inlineStr">
        <is>
          <t>Bạn có chắc chắn muốn thực hiện đẩy lại đơn hàng sang BCCS không</t>
        </is>
      </c>
      <c r="C2696" s="3" t="inlineStr">
        <is>
          <t>Are you sure you want to push the order back to BCCS?</t>
        </is>
      </c>
      <c r="D2696" s="217">
        <f>IFERROR(__xludf.DUMMYFUNCTION("GOOGLETRANSLATE(C2696,""vi"",""km"")"),"តើអ្នកពិតជាចង់បញ្ជូនការបញ្ជាទិញត្រឡប់ទៅ BCCS វិញមែនទេ?")</f>
        <v/>
      </c>
      <c r="E2696" s="3" t="n"/>
      <c r="F2696" s="3" t="inlineStr">
        <is>
          <t>តើអ្នកពិតជាចង់បញ្ជូនការបញ្ជាទិញត្រឡប់ទៅ BCCS វិញមែនទេ?</t>
        </is>
      </c>
      <c r="G2696" s="3" t="n"/>
      <c r="H2696" s="217" t="inlineStr">
        <is>
          <t>"delivery.warehouse.revenueManagement.pusBackOrderConfirm": "តើអ្នកពិតជាចង់បញ្ជូនការបញ្ជាទិញត្រឡប់ទៅ BCCS វិញមែនទេ?",</t>
        </is>
      </c>
      <c r="I2696" t="inlineStr">
        <is>
          <t>តើអ្នកពិតជាចង់បញ្ជូនការបញ្ជាទិញត្រឡប់ទៅ BCCS វិញមែនទេ?</t>
        </is>
      </c>
    </row>
    <row r="2697">
      <c r="A2697" s="3" t="inlineStr">
        <is>
          <t>delivery.warehouse.revenueManagement.referencesId</t>
        </is>
      </c>
      <c r="B2697" s="3" t="inlineStr">
        <is>
          <t>Mã tham chiếu</t>
        </is>
      </c>
      <c r="C2697" s="3" t="inlineStr">
        <is>
          <t>Reference code</t>
        </is>
      </c>
      <c r="D2697" s="217">
        <f>IFERROR(__xludf.DUMMYFUNCTION("GOOGLETRANSLATE(C2697,""vi"",""km"")"),"លេខកូដយោង")</f>
        <v/>
      </c>
      <c r="E2697" s="3" t="n"/>
      <c r="F2697" s="3" t="inlineStr">
        <is>
          <t>លេខកូដយោង</t>
        </is>
      </c>
      <c r="G2697" s="3" t="n"/>
      <c r="H2697" s="217" t="inlineStr">
        <is>
          <t>"delivery.warehouse.revenueManagement.referencesId": "លេខកូដយោង",</t>
        </is>
      </c>
      <c r="I2697" t="inlineStr">
        <is>
          <t>លេខកូដយោង</t>
        </is>
      </c>
    </row>
    <row r="2698">
      <c r="A2698" s="3" t="inlineStr">
        <is>
          <t>delivery.warehouse.revenueManagement.revenueAfterDiscount</t>
        </is>
      </c>
      <c r="B2698" s="3" t="inlineStr">
        <is>
          <t>Doanh thu sau giảm giá</t>
        </is>
      </c>
      <c r="C2698" s="3" t="inlineStr">
        <is>
          <t>Revenue after discounts</t>
        </is>
      </c>
      <c r="D2698" s="217">
        <f>IFERROR(__xludf.DUMMYFUNCTION("GOOGLETRANSLATE(C2698,""vi"",""km"")"),"បន្ទាប់ពីការបញ្ចុះតម្លៃ")</f>
        <v/>
      </c>
      <c r="E2698" s="3" t="n"/>
      <c r="F2698" s="3" t="inlineStr">
        <is>
          <t>បន្ទាប់ពីការបញ្ចុះតម្លៃ</t>
        </is>
      </c>
      <c r="G2698" s="3" t="n"/>
      <c r="H2698" s="217" t="inlineStr">
        <is>
          <t>"delivery.warehouse.revenueManagement.revenueAfterDiscount": "បន្ទាប់ពីការបញ្ចុះតម្លៃ",</t>
        </is>
      </c>
      <c r="I2698" t="inlineStr">
        <is>
          <t>បន្ទាប់ពីការបញ្ចុះតម្លៃ</t>
        </is>
      </c>
    </row>
    <row r="2699">
      <c r="A2699" s="3" t="inlineStr">
        <is>
          <t>delivery.warehouse.revenueManagement.search</t>
        </is>
      </c>
      <c r="B2699" s="3" t="inlineStr">
        <is>
          <t>Tìm kiếm</t>
        </is>
      </c>
      <c r="C2699" s="3" t="inlineStr">
        <is>
          <t>Search</t>
        </is>
      </c>
      <c r="D2699" s="217">
        <f>IFERROR(__xludf.DUMMYFUNCTION("GOOGLETRANSLATE(C2699,""vi"",""km"")"),"ស្វែងរក")</f>
        <v/>
      </c>
      <c r="E2699" s="3" t="n"/>
      <c r="F2699" s="3" t="inlineStr">
        <is>
          <t>ស្វែងរក</t>
        </is>
      </c>
      <c r="G2699" s="3" t="n"/>
      <c r="H2699" s="217" t="inlineStr">
        <is>
          <t>"delivery.warehouse.revenueManagement.search": "ស្វែងរក",</t>
        </is>
      </c>
      <c r="I2699" t="inlineStr">
        <is>
          <t>ស្វែងរក</t>
        </is>
      </c>
    </row>
    <row r="2700">
      <c r="A2700" s="3" t="inlineStr">
        <is>
          <t>delivery.warehouse.revenueManagement.serviceCode</t>
        </is>
      </c>
      <c r="B2700" s="3" t="inlineStr">
        <is>
          <t>Mã dịch vụ</t>
        </is>
      </c>
      <c r="C2700" s="3" t="inlineStr">
        <is>
          <t>Service code</t>
        </is>
      </c>
      <c r="D2700" s="217">
        <f>IFERROR(__xludf.DUMMYFUNCTION("GOOGLETRANSLATE(C2700,""vi"",""km"")"),"លេខកូដសេវាកម្ម")</f>
        <v/>
      </c>
      <c r="E2700" s="3" t="n"/>
      <c r="F2700" s="3" t="inlineStr">
        <is>
          <t>លេខកូដសេវាកម្ម</t>
        </is>
      </c>
      <c r="G2700" s="3" t="n"/>
      <c r="H2700" s="217" t="inlineStr">
        <is>
          <t>"delivery.warehouse.revenueManagement.serviceCode": "លេខកូដសេវាកម្ម",</t>
        </is>
      </c>
      <c r="I2700" t="inlineStr">
        <is>
          <t>លេខកូដសេវាកម្ម</t>
        </is>
      </c>
    </row>
    <row r="2701">
      <c r="A2701" s="3" t="inlineStr">
        <is>
          <t>delivery.warehouse.revenueManagement.shippingFee</t>
        </is>
      </c>
      <c r="B2701" s="3" t="inlineStr">
        <is>
          <t>Tiền Cước</t>
        </is>
      </c>
      <c r="C2701" s="3" t="inlineStr">
        <is>
          <t>Fare</t>
        </is>
      </c>
      <c r="D2701" s="217">
        <f>IFERROR(__xludf.DUMMYFUNCTION("GOOGLETRANSLATE(C2701,""vi"",""km"")"),"តម្លៃសំបុត្រ")</f>
        <v/>
      </c>
      <c r="E2701" s="3" t="n"/>
      <c r="F2701" s="3" t="inlineStr">
        <is>
          <t>តម្លៃសំបុត្រ</t>
        </is>
      </c>
      <c r="G2701" s="3" t="n"/>
      <c r="H2701" s="217" t="inlineStr">
        <is>
          <t>"delivery.warehouse.revenueManagement.shippingFee": "តម្លៃសំបុត្រ",</t>
        </is>
      </c>
      <c r="I2701" t="inlineStr">
        <is>
          <t>តម្លៃសំបុត្រ</t>
        </is>
      </c>
    </row>
    <row r="2702">
      <c r="A2702" s="3" t="inlineStr">
        <is>
          <t>delivery.warehouse.revenueManagement.source</t>
        </is>
      </c>
      <c r="B2702" s="3" t="inlineStr">
        <is>
          <t>Nguồn</t>
        </is>
      </c>
      <c r="C2702" s="3" t="inlineStr">
        <is>
          <t>Source</t>
        </is>
      </c>
      <c r="D2702" s="217">
        <f>IFERROR(__xludf.DUMMYFUNCTION("GOOGLETRANSLATE(C2702,""vi"",""km"")"),"ប្រភពដើម")</f>
        <v/>
      </c>
      <c r="E2702" s="3" t="n"/>
      <c r="F2702" s="3" t="inlineStr">
        <is>
          <t>ប្រភពដើម</t>
        </is>
      </c>
      <c r="G2702" s="3" t="n"/>
      <c r="H2702" s="217" t="inlineStr">
        <is>
          <t>"delivery.warehouse.revenueManagement.source": "ប្រភពដើម",</t>
        </is>
      </c>
      <c r="I2702" t="inlineStr">
        <is>
          <t>ប្រភពដើម</t>
        </is>
      </c>
    </row>
    <row r="2703">
      <c r="A2703" s="3" t="inlineStr">
        <is>
          <t>delivery.warehouse.revenueManagement.startAt</t>
        </is>
      </c>
      <c r="B2703" s="3" t="inlineStr">
        <is>
          <t>Thời gian bắt đầu</t>
        </is>
      </c>
      <c r="C2703" s="3" t="inlineStr">
        <is>
          <t>Start time</t>
        </is>
      </c>
      <c r="D2703" s="217">
        <f>IFERROR(__xludf.DUMMYFUNCTION("GOOGLETRANSLATE(C2703,""vi"",""km"")"),"ពេលវេលាចាប់ផ្តើម")</f>
        <v/>
      </c>
      <c r="E2703" s="3" t="n"/>
      <c r="F2703" s="3" t="inlineStr">
        <is>
          <t>ពេលវេលាចាប់ផ្តើម</t>
        </is>
      </c>
      <c r="G2703" s="3" t="n"/>
      <c r="H2703" s="217" t="inlineStr">
        <is>
          <t>"delivery.warehouse.revenueManagement.startAt": "ពេលវេលាចាប់ផ្តើម",</t>
        </is>
      </c>
      <c r="I2703" t="inlineStr">
        <is>
          <t>ពេលវេលាចាប់ផ្តើម</t>
        </is>
      </c>
    </row>
    <row r="2704">
      <c r="A2704" s="3" t="inlineStr">
        <is>
          <t>delivery.warehouse.revenueManagement.startDate</t>
        </is>
      </c>
      <c r="B2704" s="3" t="inlineStr">
        <is>
          <t>Ngày bắt đầu</t>
        </is>
      </c>
      <c r="C2704" s="3" t="inlineStr">
        <is>
          <t>Start date</t>
        </is>
      </c>
      <c r="D2704" s="217">
        <f>IFERROR(__xludf.DUMMYFUNCTION("GOOGLETRANSLATE(C2704,""vi"",""km"")"),"កាលបរិច្ឆេទចាប់ផ្តើម")</f>
        <v/>
      </c>
      <c r="E2704" s="3" t="n"/>
      <c r="F2704" s="3" t="inlineStr">
        <is>
          <t>កាលបរិច្ឆេទចាប់ផ្តើម</t>
        </is>
      </c>
      <c r="G2704" s="3" t="n"/>
      <c r="H2704" s="217" t="inlineStr">
        <is>
          <t>"delivery.warehouse.revenueManagement.startDate": "កាលបរិច្ឆេទចាប់ផ្តើម",</t>
        </is>
      </c>
      <c r="I2704" t="inlineStr">
        <is>
          <t>កាលបរិច្ឆេទចាប់ផ្តើម</t>
        </is>
      </c>
    </row>
    <row r="2705">
      <c r="A2705" s="3" t="inlineStr">
        <is>
          <t>delivery.warehouse.revenueManagement.statementId</t>
        </is>
      </c>
      <c r="B2705" s="3" t="inlineStr">
        <is>
          <t>Mã bảng kê</t>
        </is>
      </c>
      <c r="C2705" s="3" t="inlineStr">
        <is>
          <t>Statement code</t>
        </is>
      </c>
      <c r="D2705" s="217">
        <f>IFERROR(__xludf.DUMMYFUNCTION("GOOGLETRANSLATE(C2705,""vi"",""km"")"),"កូដ​សេចក្តីថ្លែងការណ៍")</f>
        <v/>
      </c>
      <c r="E2705" s="3" t="n"/>
      <c r="F2705" s="3" t="inlineStr">
        <is>
          <t>កូដសេចក្តីថ្លែងការណ៍</t>
        </is>
      </c>
      <c r="G2705" s="3" t="n"/>
      <c r="H2705" s="217" t="inlineStr">
        <is>
          <t>"delivery.warehouse.revenueManagement.statementId": "កូដសេចក្តីថ្លែងការណ៍",</t>
        </is>
      </c>
      <c r="I2705" t="inlineStr">
        <is>
          <t>កូដសេចក្តីថ្លែងការណ៍</t>
        </is>
      </c>
    </row>
    <row r="2706">
      <c r="A2706" s="3" t="inlineStr">
        <is>
          <t>delivery.warehouse.revenueManagement.syncStatus</t>
        </is>
      </c>
      <c r="B2706" s="3" t="inlineStr">
        <is>
          <t>Trạng thái đồng bộ</t>
        </is>
      </c>
      <c r="C2706" s="3" t="inlineStr">
        <is>
          <t>Synchronization state</t>
        </is>
      </c>
      <c r="D2706" s="217">
        <f>IFERROR(__xludf.DUMMYFUNCTION("GOOGLETRANSLATE(C2706,""vi"",""km"")"),"ស្ថានភាព​ធ្វើសមកាលកម្ម")</f>
        <v/>
      </c>
      <c r="E2706" s="3" t="n"/>
      <c r="F2706" s="3" t="inlineStr">
        <is>
          <t>ស្ថានភាពធ្វើសមកាលកម្ម</t>
        </is>
      </c>
      <c r="G2706" s="3" t="n"/>
      <c r="H2706" s="217" t="inlineStr">
        <is>
          <t>"delivery.warehouse.revenueManagement.syncStatus": "ស្ថានភាពធ្វើសមកាលកម្ម",</t>
        </is>
      </c>
      <c r="I2706" t="inlineStr">
        <is>
          <t>ស្ថានភាពធ្វើសមកាលកម្ម</t>
        </is>
      </c>
    </row>
    <row r="2707">
      <c r="A2707" s="3" t="inlineStr">
        <is>
          <t>delivery.warehouse.revenueManagement.taxCode</t>
        </is>
      </c>
      <c r="B2707" s="3" t="inlineStr">
        <is>
          <t>MST</t>
        </is>
      </c>
      <c r="C2707" s="3" t="inlineStr">
        <is>
          <t>MST</t>
        </is>
      </c>
      <c r="D2707" s="217">
        <f>IFERROR(__xludf.DUMMYFUNCTION("GOOGLETRANSLATE(C2707,""vi"",""km"")"),"MST")</f>
        <v/>
      </c>
      <c r="E2707" s="3" t="n"/>
      <c r="F2707" s="3" t="inlineStr">
        <is>
          <t>MST</t>
        </is>
      </c>
      <c r="G2707" s="3" t="n"/>
      <c r="H2707" s="217" t="inlineStr">
        <is>
          <t>"delivery.warehouse.revenueManagement.taxCode": "MST",</t>
        </is>
      </c>
      <c r="I2707" t="inlineStr">
        <is>
          <t>MST</t>
        </is>
      </c>
    </row>
    <row r="2708">
      <c r="A2708" s="3" t="inlineStr">
        <is>
          <t>delivery.warehouse.revenueManagement.time</t>
        </is>
      </c>
      <c r="B2708" s="3" t="inlineStr">
        <is>
          <t>Thời gian</t>
        </is>
      </c>
      <c r="C2708" s="3" t="inlineStr">
        <is>
          <t>Time</t>
        </is>
      </c>
      <c r="D2708" s="217">
        <f>IFERROR(__xludf.DUMMYFUNCTION("GOOGLETRANSLATE(C2708,""vi"",""km"")"),"កាលបរិច្ឆេទ")</f>
        <v/>
      </c>
      <c r="E2708" s="3" t="n"/>
      <c r="F2708" s="3" t="inlineStr">
        <is>
          <t>ពេលវេលា</t>
        </is>
      </c>
      <c r="G2708" s="3" t="n"/>
      <c r="H2708" s="217" t="inlineStr">
        <is>
          <t>"delivery.warehouse.revenueManagement.time": "ពេលវេលា",</t>
        </is>
      </c>
      <c r="I2708" t="inlineStr">
        <is>
          <t>ពេលវេលា</t>
        </is>
      </c>
    </row>
    <row r="2709">
      <c r="A2709" s="3" t="inlineStr">
        <is>
          <t>delivery.warehouse.revenueManagement.updatedAt</t>
        </is>
      </c>
      <c r="B2709" s="3" t="inlineStr">
        <is>
          <t>Ngày cập nhật</t>
        </is>
      </c>
      <c r="C2709" s="3" t="inlineStr">
        <is>
          <t>Date updated</t>
        </is>
      </c>
      <c r="D2709" s="217">
        <f>IFERROR(__xludf.DUMMYFUNCTION("GOOGLETRANSLATE(C2709,""vi"",""km"")"),"កាលបរិច្ឆេទ​ដែលបានធ្វើបច្ចុប្បន្នភាព")</f>
        <v/>
      </c>
      <c r="E2709" s="3" t="n"/>
      <c r="F2709" s="3" t="inlineStr">
        <is>
          <t>កាលបរិច្ឆេទដែលបានធ្វើបច្ចុប្បន្នភាព</t>
        </is>
      </c>
      <c r="G2709" s="3" t="n"/>
      <c r="H2709" s="217" t="inlineStr">
        <is>
          <t>"delivery.warehouse.revenueManagement.updatedAt": "កាលបរិច្ឆេទដែលបានធ្វើបច្ចុប្បន្នភាព",</t>
        </is>
      </c>
      <c r="I2709" t="inlineStr">
        <is>
          <t>កាលបរិច្ឆេទដែលបានធ្វើបច្ចុប្បន្នភាព</t>
        </is>
      </c>
    </row>
    <row r="2710">
      <c r="A2710" s="3" t="inlineStr">
        <is>
          <t>delivery.warehouse.revenueManagement.vat</t>
        </is>
      </c>
      <c r="B2710" s="3" t="inlineStr">
        <is>
          <t>VAT</t>
        </is>
      </c>
      <c r="C2710" s="3" t="inlineStr">
        <is>
          <t>VAT</t>
        </is>
      </c>
      <c r="D2710" s="217">
        <f>IFERROR(__xludf.DUMMYFUNCTION("GOOGLETRANSLATE(C2710,""vi"",""km"")"),"អាករលើតម្លៃបន្ថែម")</f>
        <v/>
      </c>
      <c r="E2710" s="3" t="n"/>
      <c r="F2710" s="3" t="inlineStr">
        <is>
          <t>អាករលើតម្លៃបន្ថែម</t>
        </is>
      </c>
      <c r="G2710" s="3" t="n"/>
      <c r="H2710" s="217" t="inlineStr">
        <is>
          <t>"delivery.warehouse.revenueManagement.vat": "អាករលើតម្លៃបន្ថែម",</t>
        </is>
      </c>
      <c r="I2710" t="inlineStr">
        <is>
          <t>អាករលើតម្លៃបន្ថែម</t>
        </is>
      </c>
    </row>
    <row r="2711">
      <c r="A2711" s="3" t="inlineStr">
        <is>
          <t>delivery.warehouse.revenueManagement.ward</t>
        </is>
      </c>
      <c r="B2711" s="3" t="inlineStr">
        <is>
          <t>Phường/Xã</t>
        </is>
      </c>
      <c r="C2711" s="3" t="inlineStr">
        <is>
          <t>Ward/Commune</t>
        </is>
      </c>
      <c r="D2711" s="217">
        <f>IFERROR(__xludf.DUMMYFUNCTION("GOOGLETRANSLATE(C2711,""vi"",""km"")"),"វួដ/ឃុំ")</f>
        <v/>
      </c>
      <c r="E2711" s="3" t="n"/>
      <c r="F2711" s="3" t="inlineStr">
        <is>
          <t>ឃុំ/សង្កាត់</t>
        </is>
      </c>
      <c r="G2711" s="3" t="n"/>
      <c r="H2711" s="217" t="inlineStr">
        <is>
          <t>"delivery.warehouse.revenueManagement.ward": "ឃុំ/សង្កាត់",</t>
        </is>
      </c>
      <c r="I2711" t="inlineStr">
        <is>
          <t>ឃុំ/សង្កាត់</t>
        </is>
      </c>
    </row>
    <row r="2712">
      <c r="A2712" s="3" t="inlineStr">
        <is>
          <t>delivery.warehouse.revenueManagement.weight</t>
        </is>
      </c>
      <c r="B2712" s="3" t="inlineStr">
        <is>
          <t>Trọng lượng (g)</t>
        </is>
      </c>
      <c r="C2712" s="3" t="inlineStr">
        <is>
          <t>Weight (g)</t>
        </is>
      </c>
      <c r="D2712" s="217">
        <f>IFERROR(__xludf.DUMMYFUNCTION("GOOGLETRANSLATE(C2712,""vi"",""km"")"),"ទម្ងន់ (ក្រាម)")</f>
        <v/>
      </c>
      <c r="E2712" s="3" t="n"/>
      <c r="F2712" s="3" t="inlineStr">
        <is>
          <t>ទម្ងន់ (ក្រាម)</t>
        </is>
      </c>
      <c r="G2712" s="3" t="n"/>
      <c r="H2712" s="217" t="inlineStr">
        <is>
          <t>"delivery.warehouse.revenueManagement.weight": "ទម្ងន់ (ក្រាម)",</t>
        </is>
      </c>
      <c r="I2712" t="inlineStr">
        <is>
          <t>ទម្ងន់ (ក្រាម)</t>
        </is>
      </c>
    </row>
    <row r="2713">
      <c r="A2713" s="3" t="inlineStr">
        <is>
          <t>delivery.warehouse.revenueOutput.Quantity</t>
        </is>
      </c>
      <c r="B2713" s="3" t="inlineStr">
        <is>
          <t>Sản lượng</t>
        </is>
      </c>
      <c r="C2713" s="3" t="inlineStr">
        <is>
          <t>Quantity Order</t>
        </is>
      </c>
      <c r="D2713" s="217">
        <f>IFERROR(__xludf.DUMMYFUNCTION("GOOGLETRANSLATE(C2713,""vi"",""km"")"),"លំដាប់បរិមាណ")</f>
        <v/>
      </c>
      <c r="E2713" s="3" t="n"/>
      <c r="F2713" s="3" t="inlineStr">
        <is>
          <t>លំដាប់បរិមាណ</t>
        </is>
      </c>
      <c r="G2713" s="3" t="n"/>
      <c r="H2713" s="217" t="inlineStr">
        <is>
          <t>"delivery.warehouse.revenueOutput.Quantity": "លំដាប់បរិមាណ",</t>
        </is>
      </c>
      <c r="I2713" t="inlineStr">
        <is>
          <t>លំដាប់បរិមាណ</t>
        </is>
      </c>
    </row>
    <row r="2714">
      <c r="A2714" s="3" t="inlineStr">
        <is>
          <t>delivery.warehouse.revenueOutput.accumulatedDay</t>
        </is>
      </c>
      <c r="B2714" s="3" t="inlineStr">
        <is>
          <t>Luỹ kế ngày</t>
        </is>
      </c>
      <c r="C2714" s="3" t="inlineStr">
        <is>
          <t>Daily accumulated</t>
        </is>
      </c>
      <c r="D2714" s="217">
        <f>IFERROR(__xludf.DUMMYFUNCTION("GOOGLETRANSLATE(C2714,""vi"",""km"")"),"ពណ៌ប្រផេះប្រចាំថ្ងៃ")</f>
        <v/>
      </c>
      <c r="E2714" s="3" t="n"/>
      <c r="F2714" s="3" t="inlineStr">
        <is>
          <t>ពណ៌ប្រផេះប្រចាំថ្ងៃ</t>
        </is>
      </c>
      <c r="G2714" s="3" t="n"/>
      <c r="H2714" s="217" t="inlineStr">
        <is>
          <t>"delivery.warehouse.revenueOutput.accumulatedDay": "ពណ៌ប្រផេះប្រចាំថ្ងៃ",</t>
        </is>
      </c>
      <c r="I2714" t="inlineStr">
        <is>
          <t>ពណ៌ប្រផេះប្រចាំថ្ងៃ</t>
        </is>
      </c>
    </row>
    <row r="2715">
      <c r="A2715" s="3" t="inlineStr">
        <is>
          <t>delivery.warehouse.revenueOutput.accumulatedMonth</t>
        </is>
      </c>
      <c r="B2715" s="3" t="inlineStr">
        <is>
          <t>Luỹ kế tháng</t>
        </is>
      </c>
      <c r="C2715" s="3" t="inlineStr">
        <is>
          <t>Monthly accumulated</t>
        </is>
      </c>
      <c r="D2715" s="217">
        <f>IFERROR(__xludf.DUMMYFUNCTION("GOOGLETRANSLATE(C2715,""vi"",""km"")"),"អិលស៊ីអិលស៊ី")</f>
        <v/>
      </c>
      <c r="E2715" s="3" t="n"/>
      <c r="F2715" s="3" t="inlineStr">
        <is>
          <t>អិលស៊ីអិលស៊ី</t>
        </is>
      </c>
      <c r="G2715" s="3" t="n"/>
      <c r="H2715" s="217" t="inlineStr">
        <is>
          <t>"delivery.warehouse.revenueOutput.accumulatedMonth": "អិលស៊ីអិលស៊ី",</t>
        </is>
      </c>
      <c r="I2715" t="inlineStr">
        <is>
          <t>អិលស៊ីអិលស៊ី</t>
        </is>
      </c>
    </row>
    <row r="2716">
      <c r="A2716" s="3" t="inlineStr">
        <is>
          <t>delivery.warehouse.revenueOutput.branch</t>
        </is>
      </c>
      <c r="B2716" s="3" t="inlineStr">
        <is>
          <t>Chi nhánh</t>
        </is>
      </c>
      <c r="C2716" s="3" t="inlineStr">
        <is>
          <t>Branch</t>
        </is>
      </c>
      <c r="D2716" s="217">
        <f>IFERROR(__xludf.DUMMYFUNCTION("GOOGLETRANSLATE(C2716,""vi"",""km"")"),"គ្រួសារ")</f>
        <v/>
      </c>
      <c r="E2716" s="3" t="n"/>
      <c r="F2716" s="3" t="inlineStr">
        <is>
          <t>សាខា</t>
        </is>
      </c>
      <c r="G2716" s="3" t="n"/>
      <c r="H2716" s="217" t="inlineStr">
        <is>
          <t>"delivery.warehouse.revenueOutput.branch": "សាខា",</t>
        </is>
      </c>
      <c r="I2716" t="inlineStr">
        <is>
          <t>សាខា</t>
        </is>
      </c>
    </row>
    <row r="2717">
      <c r="A2717" s="3" t="inlineStr">
        <is>
          <t>delivery.warehouse.revenueOutput.branchTab</t>
        </is>
      </c>
      <c r="B2717" s="3" t="inlineStr">
        <is>
          <t>Chi nhánh</t>
        </is>
      </c>
      <c r="C2717" s="3" t="inlineStr">
        <is>
          <t>Branch</t>
        </is>
      </c>
      <c r="D2717" s="217">
        <f>IFERROR(__xludf.DUMMYFUNCTION("GOOGLETRANSLATE(C2717,""vi"",""km"")"),"គ្រួសារ")</f>
        <v/>
      </c>
      <c r="E2717" s="3" t="n"/>
      <c r="F2717" s="3" t="inlineStr">
        <is>
          <t>សាខា</t>
        </is>
      </c>
      <c r="G2717" s="3" t="n"/>
      <c r="H2717" s="217" t="inlineStr">
        <is>
          <t>"delivery.warehouse.revenueOutput.branchTab": "សាខា",</t>
        </is>
      </c>
      <c r="I2717" t="inlineStr">
        <is>
          <t>សាខា</t>
        </is>
      </c>
    </row>
    <row r="2718">
      <c r="A2718" s="3" t="inlineStr">
        <is>
          <t>delivery.warehouse.revenueOutput.companyTab</t>
        </is>
      </c>
      <c r="B2718" s="3" t="inlineStr">
        <is>
          <t>Công ty</t>
        </is>
      </c>
      <c r="C2718" s="3" t="inlineStr">
        <is>
          <t>Company</t>
        </is>
      </c>
      <c r="D2718" s="217">
        <f>IFERROR(__xludf.DUMMYFUNCTION("GOOGLETRANSLATE(C2718,""vi"",""km"")"),"ក្រុមហ៊ុន")</f>
        <v/>
      </c>
      <c r="E2718" s="3" t="n"/>
      <c r="F2718" s="3" t="inlineStr">
        <is>
          <t>ក្រុមហ៊ុន</t>
        </is>
      </c>
      <c r="G2718" s="3" t="n"/>
      <c r="H2718" s="217" t="inlineStr">
        <is>
          <t>"delivery.warehouse.revenueOutput.companyTab": "ក្រុមហ៊ុន",</t>
        </is>
      </c>
      <c r="I2718" t="inlineStr">
        <is>
          <t>ក្រុមហ៊ុន</t>
        </is>
      </c>
    </row>
    <row r="2719">
      <c r="A2719" s="3" t="inlineStr">
        <is>
          <t>delivery.warehouse.revenueOutput.cumulativeOuput</t>
        </is>
      </c>
      <c r="B2719" s="3" t="inlineStr">
        <is>
          <t>Tăng trưởng tháng</t>
        </is>
      </c>
      <c r="C2719" s="3" t="inlineStr">
        <is>
          <t>Monthly growth</t>
        </is>
      </c>
      <c r="D2719" s="217">
        <f>IFERROR(__xludf.DUMMYFUNCTION("GOOGLETRANSLATE(C2719,""vi"",""km"")"),"កំណើនប្រចាំខែ")</f>
        <v/>
      </c>
      <c r="E2719" s="3" t="n"/>
      <c r="F2719" s="3" t="inlineStr">
        <is>
          <t>កំណើនប្រចាំខែ</t>
        </is>
      </c>
      <c r="G2719" s="3" t="n"/>
      <c r="H2719" s="217" t="inlineStr">
        <is>
          <t>"delivery.warehouse.revenueOutput.cumulativeOuput": "កំណើនប្រចាំខែ",</t>
        </is>
      </c>
      <c r="I2719" t="inlineStr">
        <is>
          <t>កំណើនប្រចាំខែ</t>
        </is>
      </c>
    </row>
    <row r="2720">
      <c r="A2720" s="3" t="inlineStr">
        <is>
          <t>delivery.warehouse.revenueOutput.cumulativeRevenue</t>
        </is>
      </c>
      <c r="B2720" s="3" t="inlineStr">
        <is>
          <t>Lũy kế tháng</t>
        </is>
      </c>
      <c r="C2720" s="3" t="inlineStr">
        <is>
          <t>Monthly cumulative</t>
        </is>
      </c>
      <c r="D2720" s="217">
        <f>IFERROR(__xludf.DUMMYFUNCTION("GOOGLETRANSLATE(C2720,""vi"",""km"")"),"ការតភ្ជាប់")</f>
        <v/>
      </c>
      <c r="E2720" s="3" t="n"/>
      <c r="F2720" s="3" t="inlineStr">
        <is>
          <t>ការតភ្ជាប់</t>
        </is>
      </c>
      <c r="G2720" s="3" t="n"/>
      <c r="H2720" s="217" t="inlineStr">
        <is>
          <t>"delivery.warehouse.revenueOutput.cumulativeRevenue": "ការតភ្ជាប់",</t>
        </is>
      </c>
      <c r="I2720" t="inlineStr">
        <is>
          <t>ការតភ្ជាប់</t>
        </is>
      </c>
    </row>
    <row r="2721">
      <c r="A2721" s="3" t="inlineStr">
        <is>
          <t>delivery.warehouse.revenueOutput.customer</t>
        </is>
      </c>
      <c r="B2721" s="3" t="inlineStr">
        <is>
          <t>Khách hàng</t>
        </is>
      </c>
      <c r="C2721" s="3" t="inlineStr">
        <is>
          <t>Customer</t>
        </is>
      </c>
      <c r="D2721" s="217">
        <f>IFERROR(__xludf.DUMMYFUNCTION("GOOGLETRANSLATE(C2721,""vi"",""km"")"),"បុគ្គលិកលក្ខណៈ")</f>
        <v/>
      </c>
      <c r="E2721" s="3" t="n"/>
      <c r="F2721" s="3" t="inlineStr">
        <is>
          <t>បុគ្គលិកលក្ខណៈ</t>
        </is>
      </c>
      <c r="G2721" s="3" t="n"/>
      <c r="H2721" s="217" t="inlineStr">
        <is>
          <t>"delivery.warehouse.revenueOutput.customer": "បុគ្គលិកលក្ខណៈ",</t>
        </is>
      </c>
      <c r="I2721" t="inlineStr">
        <is>
          <t>បុគ្គលិកលក្ខណៈ</t>
        </is>
      </c>
    </row>
    <row r="2722">
      <c r="A2722" s="3" t="inlineStr">
        <is>
          <t>delivery.warehouse.revenueOutput.customerFilter</t>
        </is>
      </c>
      <c r="B2722" s="3" t="inlineStr">
        <is>
          <t>Chọn khách hàng</t>
        </is>
      </c>
      <c r="C2722" s="3" t="inlineStr">
        <is>
          <t>Select customer</t>
        </is>
      </c>
      <c r="D2722" s="217">
        <f>IFERROR(__xludf.DUMMYFUNCTION("GOOGLETRANSLATE(C2722,""vi"",""km"")"),"ជ្រើសរើសអតិថិជន")</f>
        <v/>
      </c>
      <c r="E2722" s="3" t="n"/>
      <c r="F2722" s="3" t="inlineStr">
        <is>
          <t>ជ្រើសរើសអតិថិជន</t>
        </is>
      </c>
      <c r="G2722" s="3" t="n"/>
      <c r="H2722" s="217" t="inlineStr">
        <is>
          <t>"delivery.warehouse.revenueOutput.customerFilter": "ជ្រើសរើសអតិថិជន",</t>
        </is>
      </c>
      <c r="I2722" t="inlineStr">
        <is>
          <t>ជ្រើសរើសអតិថិជន</t>
        </is>
      </c>
    </row>
    <row r="2723">
      <c r="A2723" s="3" t="inlineStr">
        <is>
          <t>delivery.warehouse.revenueOutput.customerTab</t>
        </is>
      </c>
      <c r="B2723" s="3" t="inlineStr">
        <is>
          <t>Khách hàng</t>
        </is>
      </c>
      <c r="C2723" s="3" t="inlineStr">
        <is>
          <t>Customer</t>
        </is>
      </c>
      <c r="D2723" s="217">
        <f>IFERROR(__xludf.DUMMYFUNCTION("GOOGLETRANSLATE(C2723,""vi"",""km"")"),"បុគ្គលិកលក្ខណៈ")</f>
        <v/>
      </c>
      <c r="E2723" s="3" t="n"/>
      <c r="F2723" s="3" t="inlineStr">
        <is>
          <t>បុគ្គលិកលក្ខណៈ</t>
        </is>
      </c>
      <c r="G2723" s="3" t="n"/>
      <c r="H2723" s="217" t="inlineStr">
        <is>
          <t>"delivery.warehouse.revenueOutput.customerTab": "បុគ្គលិកលក្ខណៈ",</t>
        </is>
      </c>
      <c r="I2723" t="inlineStr">
        <is>
          <t>បុគ្គលិកលក្ខណៈ</t>
        </is>
      </c>
    </row>
    <row r="2724">
      <c r="A2724" s="3" t="inlineStr">
        <is>
          <t>delivery.warehouse.revenueOutput.dailyOutput</t>
        </is>
      </c>
      <c r="B2724" s="3" t="inlineStr">
        <is>
          <t>Lũy kế tháng</t>
        </is>
      </c>
      <c r="C2724" s="3" t="inlineStr">
        <is>
          <t>Monthly cumulative</t>
        </is>
      </c>
      <c r="D2724" s="217">
        <f>IFERROR(__xludf.DUMMYFUNCTION("GOOGLETRANSLATE(C2724,""vi"",""km"")"),"ការតភ្ជាប់")</f>
        <v/>
      </c>
      <c r="E2724" s="3" t="n"/>
      <c r="F2724" s="3" t="inlineStr">
        <is>
          <t>ការតភ្ជាប់</t>
        </is>
      </c>
      <c r="G2724" s="3" t="n"/>
      <c r="H2724" s="217" t="inlineStr">
        <is>
          <t>"delivery.warehouse.revenueOutput.dailyOutput": "ការតភ្ជាប់",</t>
        </is>
      </c>
      <c r="I2724" t="inlineStr">
        <is>
          <t>ការតភ្ជាប់</t>
        </is>
      </c>
    </row>
    <row r="2725">
      <c r="A2725" s="3" t="inlineStr">
        <is>
          <t>delivery.warehouse.revenueOutput.dailyRevenue</t>
        </is>
      </c>
      <c r="B2725" s="3" t="inlineStr">
        <is>
          <t>Doanh thu ngày</t>
        </is>
      </c>
      <c r="C2725" s="3" t="inlineStr">
        <is>
          <t>Daily revenue</t>
        </is>
      </c>
      <c r="D2725" s="217">
        <f>IFERROR(__xludf.DUMMYFUNCTION("GOOGLETRANSLATE(C2725,""vi"",""km"")"),"ប្រាក់ចំណូលប្រចាំថ្ងៃ")</f>
        <v/>
      </c>
      <c r="E2725" s="3" t="n"/>
      <c r="F2725" s="3" t="inlineStr">
        <is>
          <t>ប្រាក់ចំណូលប្រចាំថ្ងៃ</t>
        </is>
      </c>
      <c r="G2725" s="3" t="n"/>
      <c r="H2725" s="217" t="inlineStr">
        <is>
          <t>"delivery.warehouse.revenueOutput.dailyRevenue": "ប្រាក់ចំណូលប្រចាំថ្ងៃ",</t>
        </is>
      </c>
      <c r="I2725" t="inlineStr">
        <is>
          <t>ប្រាក់ចំណូលប្រចាំថ្ងៃ</t>
        </is>
      </c>
    </row>
    <row r="2726">
      <c r="A2726" s="3" t="inlineStr">
        <is>
          <t>delivery.warehouse.revenueOutput.employee</t>
        </is>
      </c>
      <c r="B2726" s="3" t="inlineStr">
        <is>
          <t>Nhân viên</t>
        </is>
      </c>
      <c r="C2726" s="3" t="inlineStr">
        <is>
          <t>Employee</t>
        </is>
      </c>
      <c r="D2726" s="217">
        <f>IFERROR(__xludf.DUMMYFUNCTION("GOOGLETRANSLATE(C2726,""vi"",""km"")"),"បុគ្គលិក")</f>
        <v/>
      </c>
      <c r="E2726" s="3" t="n"/>
      <c r="F2726" s="3" t="inlineStr">
        <is>
          <t>បុគ្គលិក</t>
        </is>
      </c>
      <c r="G2726" s="3" t="n"/>
      <c r="H2726" s="217" t="inlineStr">
        <is>
          <t>"delivery.warehouse.revenueOutput.employee": "បុគ្គលិក",</t>
        </is>
      </c>
      <c r="I2726" t="inlineStr">
        <is>
          <t>បុគ្គលិក</t>
        </is>
      </c>
    </row>
    <row r="2727">
      <c r="A2727" s="3" t="inlineStr">
        <is>
          <t>delivery.warehouse.revenueOutput.emptyDate</t>
        </is>
      </c>
      <c r="B2727" s="3" t="inlineStr">
        <is>
          <t>Ngày tìm kiếm chưa được nhập</t>
        </is>
      </c>
      <c r="C2727" s="3" t="inlineStr">
        <is>
          <t>Search day is empty</t>
        </is>
      </c>
      <c r="D2727" s="217">
        <f>IFERROR(__xludf.DUMMYFUNCTION("GOOGLETRANSLATE(C2727,""vi"",""km"")"),"ថ្ងៃស្វែងរកគឺទទេ")</f>
        <v/>
      </c>
      <c r="E2727" s="3" t="n"/>
      <c r="F2727" s="3" t="inlineStr">
        <is>
          <t>ថ្ងៃស្វែងរកគឺទទេ</t>
        </is>
      </c>
      <c r="G2727" s="3" t="n"/>
      <c r="H2727" s="217" t="inlineStr">
        <is>
          <t>"delivery.warehouse.revenueOutput.emptyDate": "ថ្ងៃស្វែងរកគឺទទេ",</t>
        </is>
      </c>
      <c r="I2727" t="inlineStr">
        <is>
          <t>ថ្ងៃស្វែងរកគឺទទេ</t>
        </is>
      </c>
    </row>
    <row r="2728">
      <c r="A2728" s="3" t="inlineStr">
        <is>
          <t>delivery.warehouse.revenueOutput.endDate</t>
        </is>
      </c>
      <c r="B2728" s="3" t="inlineStr">
        <is>
          <t>Đến ngày</t>
        </is>
      </c>
      <c r="C2728" s="3" t="inlineStr">
        <is>
          <t>End Date</t>
        </is>
      </c>
      <c r="D2728" s="217">
        <f>IFERROR(__xludf.DUMMYFUNCTION("GOOGLETRANSLATE(C2728,""vi"",""km"")"),"កាលបរិច្ឆេទបញ្ចប់")</f>
        <v/>
      </c>
      <c r="E2728" s="3" t="n"/>
      <c r="F2728" s="3" t="inlineStr">
        <is>
          <t>កាលបរិច្ឆេទបញ្ចប់</t>
        </is>
      </c>
      <c r="G2728" s="3" t="n"/>
      <c r="H2728" s="217" t="inlineStr">
        <is>
          <t>"delivery.warehouse.revenueOutput.endDate": "កាលបរិច្ឆេទបញ្ចប់",</t>
        </is>
      </c>
      <c r="I2728" t="inlineStr">
        <is>
          <t>កាលបរិច្ឆេទបញ្ចប់</t>
        </is>
      </c>
    </row>
    <row r="2729">
      <c r="A2729" s="3" t="inlineStr">
        <is>
          <t>delivery.warehouse.revenueOutput.exportDetail</t>
        </is>
      </c>
      <c r="B2729" s="3" t="inlineStr">
        <is>
          <t>Xuất chi tiết</t>
        </is>
      </c>
      <c r="C2729" s="3" t="inlineStr">
        <is>
          <t>Export detail report</t>
        </is>
      </c>
      <c r="D2729" s="217">
        <f>IFERROR(__xludf.DUMMYFUNCTION("GOOGLETRANSLATE(C2729,""vi"",""km"")"),"នាំចេញរបាយការណ៍លម្អិត")</f>
        <v/>
      </c>
      <c r="E2729" s="3" t="n"/>
      <c r="F2729" s="3" t="inlineStr">
        <is>
          <t>នាំចេញរបាយការណ៍លម្អិត</t>
        </is>
      </c>
      <c r="G2729" s="3" t="n"/>
      <c r="H2729" s="217" t="inlineStr">
        <is>
          <t>"delivery.warehouse.revenueOutput.exportDetail": "នាំចេញរបាយការណ៍លម្អិត",</t>
        </is>
      </c>
      <c r="I2729" t="inlineStr">
        <is>
          <t>នាំចេញរបាយការណ៍លម្អិត</t>
        </is>
      </c>
    </row>
    <row r="2730">
      <c r="A2730" s="3" t="inlineStr">
        <is>
          <t>delivery.warehouse.revenueOutput.exportExcel</t>
        </is>
      </c>
      <c r="B2730" s="3" t="inlineStr">
        <is>
          <t>Xuất Excel</t>
        </is>
      </c>
      <c r="C2730" s="3" t="inlineStr">
        <is>
          <t>Export Excel</t>
        </is>
      </c>
      <c r="D2730" s="217">
        <f>IFERROR(__xludf.DUMMYFUNCTION("GOOGLETRANSLATE(C2730,""vi"",""km"")"),"រីករាលដាល Excel")</f>
        <v/>
      </c>
      <c r="E2730" s="3" t="n"/>
      <c r="F2730" s="3" t="inlineStr">
        <is>
          <t>រីករាលដាល Excel</t>
        </is>
      </c>
      <c r="G2730" s="3" t="n"/>
      <c r="H2730" s="217" t="inlineStr">
        <is>
          <t>"delivery.warehouse.revenueOutput.exportExcel": "រីករាលដាល Excel",</t>
        </is>
      </c>
      <c r="I2730" t="inlineStr">
        <is>
          <t>រីករាលដាល Excel</t>
        </is>
      </c>
    </row>
    <row r="2731">
      <c r="A2731" s="3" t="inlineStr">
        <is>
          <t>delivery.warehouse.revenueOutput.exportFail</t>
        </is>
      </c>
      <c r="B2731" s="3" t="inlineStr">
        <is>
          <t>Xuất excel thất bại</t>
        </is>
      </c>
      <c r="C2731" s="3" t="inlineStr">
        <is>
          <t>Export excel failed</t>
        </is>
      </c>
      <c r="D2731" s="217">
        <f>IFERROR(__xludf.DUMMYFUNCTION("GOOGLETRANSLATE(C2731,""vi"",""km"")"),"ការនាំចេញ Excel បរាជ័យ")</f>
        <v/>
      </c>
      <c r="E2731" s="3" t="n"/>
      <c r="F2731" s="3" t="inlineStr">
        <is>
          <t>ការនាំចេញ Excel បរាជ័យ</t>
        </is>
      </c>
      <c r="G2731" s="3" t="n"/>
      <c r="H2731" s="217" t="inlineStr">
        <is>
          <t>"delivery.warehouse.revenueOutput.exportFail": "ការនាំចេញ Excel បរាជ័យ",</t>
        </is>
      </c>
      <c r="I2731" t="inlineStr">
        <is>
          <t>ការនាំចេញ Excel បរាជ័យ</t>
        </is>
      </c>
    </row>
    <row r="2732">
      <c r="A2732" s="3" t="inlineStr">
        <is>
          <t>delivery.warehouse.revenueOutput.exportSuccess</t>
        </is>
      </c>
      <c r="B2732" s="3" t="inlineStr">
        <is>
          <t>Xuất excel thành công</t>
        </is>
      </c>
      <c r="C2732" s="3" t="inlineStr">
        <is>
          <t>Export excel successfully</t>
        </is>
      </c>
      <c r="D2732" s="217">
        <f>IFERROR(__xludf.DUMMYFUNCTION("GOOGLETRANSLATE(C2732,""vi"",""km"")"),"នាំចេញ Excel")</f>
        <v/>
      </c>
      <c r="E2732" s="3" t="n"/>
      <c r="F2732" s="3" t="inlineStr">
        <is>
          <t>នាំចេញ Excel</t>
        </is>
      </c>
      <c r="G2732" s="3" t="n"/>
      <c r="H2732" s="217" t="inlineStr">
        <is>
          <t>"delivery.warehouse.revenueOutput.exportSuccess": "នាំចេញ Excel",</t>
        </is>
      </c>
      <c r="I2732" t="inlineStr">
        <is>
          <t>នាំចេញ Excel</t>
        </is>
      </c>
    </row>
    <row r="2733">
      <c r="A2733" s="3" t="inlineStr">
        <is>
          <t>delivery.warehouse.revenueOutput.fileNameExcel</t>
        </is>
      </c>
      <c r="B2733" s="3" t="inlineStr">
        <is>
          <t>Baocaodoanhthu_sanluong</t>
        </is>
      </c>
      <c r="C2733" s="3" t="inlineStr">
        <is>
          <t>Revenue_ProductionReport</t>
        </is>
      </c>
      <c r="D2733" s="217">
        <f>IFERROR(__xludf.DUMMYFUNCTION("GOOGLETRANSLATE(C2733,""vi"",""km"")"),"របាយការណ៍​ចំណូល_ផលិតកម្ម")</f>
        <v/>
      </c>
      <c r="E2733" s="3" t="n"/>
      <c r="F2733" s="3" t="inlineStr">
        <is>
          <t>របាយការណ៍ចំណូល និងបរិមាណបញ្ញើ</t>
        </is>
      </c>
      <c r="G2733" s="3" t="n"/>
      <c r="H2733" s="217" t="inlineStr">
        <is>
          <t>"delivery.warehouse.revenueOutput.fileNameExcel": "របាយការណ៍ចំណូល និងបរិមាណបញ្ញើ",</t>
        </is>
      </c>
      <c r="I2733" t="inlineStr">
        <is>
          <t>របាយការណ៍ចំណូល និងបរិមាណបញ្ញើ</t>
        </is>
      </c>
    </row>
    <row r="2734">
      <c r="A2734" s="3" t="inlineStr">
        <is>
          <t>delivery.warehouse.revenueOutput.fileNameExcelDetail</t>
        </is>
      </c>
      <c r="B2734" s="3" t="inlineStr">
        <is>
          <t>Chitietbaocaodoanhthu</t>
        </is>
      </c>
      <c r="C2734" s="3" t="inlineStr">
        <is>
          <t>RevenueReportDetails</t>
        </is>
      </c>
      <c r="D2734" s="217">
        <f>IFERROR(__xludf.DUMMYFUNCTION("GOOGLETRANSLATE(C2734,""vi"",""km"")"),"ព័ត៌មានលម្អិតអំពីរបាយការណ៍ប្រាក់ចំណូល")</f>
        <v/>
      </c>
      <c r="E2734" s="3" t="n"/>
      <c r="F2734" s="3" t="inlineStr">
        <is>
          <t>ព័ត៌មានលម្អិតរបាយការណ៍ចំណូល</t>
        </is>
      </c>
      <c r="G2734" s="3" t="n"/>
      <c r="H2734" s="217" t="inlineStr">
        <is>
          <t>"delivery.warehouse.revenueOutput.fileNameExcelDetail": "ព័ត៌មានលម្អិតរបាយការណ៍ចំណូល",</t>
        </is>
      </c>
      <c r="I2734" t="inlineStr">
        <is>
          <t>ព័ត៌មានលម្អិតរបាយការណ៍ចំណូល</t>
        </is>
      </c>
    </row>
    <row r="2735">
      <c r="A2735" s="3" t="inlineStr">
        <is>
          <t>delivery.warehouse.revenueOutput.filterDate</t>
        </is>
      </c>
      <c r="B2735" s="3" t="inlineStr">
        <is>
          <t>Chọn ngày</t>
        </is>
      </c>
      <c r="C2735" s="3" t="inlineStr">
        <is>
          <t>Select date</t>
        </is>
      </c>
      <c r="D2735" s="217">
        <f>IFERROR(__xludf.DUMMYFUNCTION("GOOGLETRANSLATE(C2735,""vi"",""km"")"),"កាលបរិច្ឆេទដែលបានជ្រើសរើស")</f>
        <v/>
      </c>
      <c r="E2735" s="3" t="n"/>
      <c r="F2735" s="3" t="inlineStr">
        <is>
          <t>កាលបរិច្ឆេទដែលបានជ្រើសរើស</t>
        </is>
      </c>
      <c r="G2735" s="3" t="n"/>
      <c r="H2735" s="217" t="inlineStr">
        <is>
          <t>"delivery.warehouse.revenueOutput.filterDate": "កាលបរិច្ឆេទដែលបានជ្រើសរើស",</t>
        </is>
      </c>
      <c r="I2735" t="inlineStr">
        <is>
          <t>កាលបរិច្ឆេទដែលបានជ្រើសរើស</t>
        </is>
      </c>
    </row>
    <row r="2736">
      <c r="A2736" s="3" t="inlineStr">
        <is>
          <t>delivery.warehouse.revenueOutput.filterEmployee</t>
        </is>
      </c>
      <c r="B2736" s="3" t="inlineStr">
        <is>
          <t>Chọn nhân viên</t>
        </is>
      </c>
      <c r="C2736" s="3" t="inlineStr">
        <is>
          <t>Select employee</t>
        </is>
      </c>
      <c r="D2736" s="217">
        <f>IFERROR(__xludf.DUMMYFUNCTION("GOOGLETRANSLATE(C2736,""vi"",""km"")"),"ជ្រើសរើសការចេញផ្សាយ")</f>
        <v/>
      </c>
      <c r="E2736" s="3" t="n"/>
      <c r="F2736" s="3" t="inlineStr">
        <is>
          <t>ជ្រើសរើសការចេញផ្សាយ</t>
        </is>
      </c>
      <c r="G2736" s="3" t="n"/>
      <c r="H2736" s="217" t="inlineStr">
        <is>
          <t>"delivery.warehouse.revenueOutput.filterEmployee": "ជ្រើសរើសការចេញផ្សាយ",</t>
        </is>
      </c>
      <c r="I2736" t="inlineStr">
        <is>
          <t>ជ្រើសរើសការចេញផ្សាយ</t>
        </is>
      </c>
    </row>
    <row r="2737">
      <c r="A2737" s="3" t="inlineStr">
        <is>
          <t>delivery.warehouse.revenueOutput.filterPostOfice</t>
        </is>
      </c>
      <c r="B2737" s="3" t="inlineStr">
        <is>
          <t>Chọn bưu cục</t>
        </is>
      </c>
      <c r="C2737" s="3" t="inlineStr">
        <is>
          <t>Select post Office</t>
        </is>
      </c>
      <c r="D2737" s="217">
        <f>IFERROR(__xludf.DUMMYFUNCTION("GOOGLETRANSLATE(C2737,""vi"",""km"")"),"ជ្រើសរើសការិយាល័យប្រៃសណីយ៍")</f>
        <v/>
      </c>
      <c r="E2737" s="3" t="n"/>
      <c r="F2737" s="3" t="inlineStr">
        <is>
          <t>ជ្រើសរើសការិយាល័យប្រៃសណីយ៍</t>
        </is>
      </c>
      <c r="G2737" s="3" t="n"/>
      <c r="H2737" s="217" t="inlineStr">
        <is>
          <t>"delivery.warehouse.revenueOutput.filterPostOfice": "ជ្រើសរើសការិយាល័យប្រៃសណីយ៍",</t>
        </is>
      </c>
      <c r="I2737" t="inlineStr">
        <is>
          <t>ជ្រើសរើសការិយាល័យប្រៃសណីយ៍</t>
        </is>
      </c>
    </row>
    <row r="2738">
      <c r="A2738" s="3" t="inlineStr">
        <is>
          <t>delivery.warehouse.revenueOutput.filterRoute</t>
        </is>
      </c>
      <c r="B2738" s="3" t="inlineStr">
        <is>
          <t>Chọn tuyến</t>
        </is>
      </c>
      <c r="C2738" s="3" t="inlineStr">
        <is>
          <t>Select route</t>
        </is>
      </c>
      <c r="D2738" s="217">
        <f>IFERROR(__xludf.DUMMYFUNCTION("GOOGLETRANSLATE(C2738,""vi"",""km"")"),"ជ្រើសរើសផ្លូវ")</f>
        <v/>
      </c>
      <c r="E2738" s="3" t="n"/>
      <c r="F2738" s="3" t="inlineStr">
        <is>
          <t>ជ្រើសរើសផ្លូវ</t>
        </is>
      </c>
      <c r="G2738" s="3" t="n"/>
      <c r="H2738" s="217" t="inlineStr">
        <is>
          <t>"delivery.warehouse.revenueOutput.filterRoute": "ជ្រើសរើសផ្លូវ",</t>
        </is>
      </c>
      <c r="I2738" t="inlineStr">
        <is>
          <t>ជ្រើសរើសផ្លូវ</t>
        </is>
      </c>
    </row>
    <row r="2739">
      <c r="A2739" s="3" t="inlineStr">
        <is>
          <t>delivery.warehouse.revenueOutput.filterService</t>
        </is>
      </c>
      <c r="B2739" s="3" t="inlineStr">
        <is>
          <t>Chọn dịch vụ</t>
        </is>
      </c>
      <c r="C2739" s="3" t="inlineStr">
        <is>
          <t>Select service</t>
        </is>
      </c>
      <c r="D2739" s="217">
        <f>IFERROR(__xludf.DUMMYFUNCTION("GOOGLETRANSLATE(C2739,""vi"",""km"")"),"ជ្រើសរើសសេវាកម្ម")</f>
        <v/>
      </c>
      <c r="E2739" s="3" t="n"/>
      <c r="F2739" s="3" t="inlineStr">
        <is>
          <t>ជ្រើសរើសសេវាកម្ម</t>
        </is>
      </c>
      <c r="G2739" s="3" t="n"/>
      <c r="H2739" s="217" t="inlineStr">
        <is>
          <t>"delivery.warehouse.revenueOutput.filterService": "ជ្រើសរើសសេវាកម្ម",</t>
        </is>
      </c>
      <c r="I2739" t="inlineStr">
        <is>
          <t>ជ្រើសរើសសេវាកម្ម</t>
        </is>
      </c>
    </row>
    <row r="2740">
      <c r="A2740" s="3" t="inlineStr">
        <is>
          <t>delivery.warehouse.revenueOutput.filterbranch</t>
        </is>
      </c>
      <c r="B2740" s="3" t="inlineStr">
        <is>
          <t>Chọn chi nhánh</t>
        </is>
      </c>
      <c r="C2740" s="3" t="inlineStr">
        <is>
          <t>Branch</t>
        </is>
      </c>
      <c r="D2740" s="217">
        <f>IFERROR(__xludf.DUMMYFUNCTION("GOOGLETRANSLATE(C2740,""vi"",""km"")"),"គ្រួសារ")</f>
        <v/>
      </c>
      <c r="E2740" s="3" t="n"/>
      <c r="F2740" s="3" t="inlineStr">
        <is>
          <t>គ្រួសារ</t>
        </is>
      </c>
      <c r="G2740" s="3" t="n"/>
      <c r="H2740" s="217" t="inlineStr">
        <is>
          <t>"delivery.warehouse.revenueOutput.filterbranch": "គ្រួសារ",</t>
        </is>
      </c>
      <c r="I2740" t="inlineStr">
        <is>
          <t>គ្រួសារ</t>
        </is>
      </c>
    </row>
    <row r="2741">
      <c r="A2741" s="3" t="inlineStr">
        <is>
          <t>delivery.warehouse.revenueOutput.monthlyGrowth</t>
        </is>
      </c>
      <c r="B2741" s="3" t="inlineStr">
        <is>
          <t>Tăng trưởng tháng</t>
        </is>
      </c>
      <c r="C2741" s="3" t="inlineStr">
        <is>
          <t>Monthly growth</t>
        </is>
      </c>
      <c r="D2741" s="217">
        <f>IFERROR(__xludf.DUMMYFUNCTION("GOOGLETRANSLATE(C2741,""vi"",""km"")"),"កំណើនប្រចាំខែ")</f>
        <v/>
      </c>
      <c r="E2741" s="3" t="n"/>
      <c r="F2741" s="3" t="inlineStr">
        <is>
          <t>កំណើនប្រចាំខែ</t>
        </is>
      </c>
      <c r="G2741" s="3" t="n"/>
      <c r="H2741" s="217" t="inlineStr">
        <is>
          <t>"delivery.warehouse.revenueOutput.monthlyGrowth": "កំណើនប្រចាំខែ",</t>
        </is>
      </c>
      <c r="I2741" t="inlineStr">
        <is>
          <t>កំណើនប្រចាំខែ</t>
        </is>
      </c>
    </row>
    <row r="2742">
      <c r="A2742" s="3" t="inlineStr">
        <is>
          <t>delivery.warehouse.revenueOutput.overExcel</t>
        </is>
      </c>
      <c r="B2742" s="3" t="inlineStr">
        <is>
          <t>Số lượng đơn không vượt quá {{length}} đơn</t>
        </is>
      </c>
      <c r="C2742" s="3" t="inlineStr">
        <is>
          <t>The order quantity must not exceed {{length}}</t>
        </is>
      </c>
      <c r="D2742" s="217">
        <f>IFERROR(__xludf.DUMMYFUNCTION("GOOGLETRANSLATE(C2742,""vi"",""km"")"),"បរិមាណបញ្ជាទិញមិនត្រូវលើសពី {{length}} ទេ")</f>
        <v/>
      </c>
      <c r="E2742" s="3" t="n"/>
      <c r="F2742" s="3" t="inlineStr">
        <is>
          <t>បរិមាណបញ្ជាទិញមិនត្រូវលើសពី {{length}} ទេ</t>
        </is>
      </c>
      <c r="G2742" s="3" t="n"/>
      <c r="H2742" s="217" t="inlineStr">
        <is>
          <t>"delivery.warehouse.revenueOutput.overExcel": "បរិមាណបញ្ជាទិញមិនត្រូវលើសពី {{length}} ទេ",</t>
        </is>
      </c>
      <c r="I2742" t="inlineStr">
        <is>
          <t>បរិមាណបញ្ជាទិញមិនត្រូវលើសពី {{length}} ទេ</t>
        </is>
      </c>
    </row>
    <row r="2743">
      <c r="A2743" s="3" t="inlineStr">
        <is>
          <t>delivery.warehouse.revenueOutput.parcelType</t>
        </is>
      </c>
      <c r="B2743" s="3" t="inlineStr">
        <is>
          <t>Loại hàng</t>
        </is>
      </c>
      <c r="C2743" s="3" t="inlineStr">
        <is>
          <t>Freight type</t>
        </is>
      </c>
      <c r="D2743" s="217">
        <f>IFERROR(__xludf.DUMMYFUNCTION("GOOGLETRANSLATE(C2743,""vi"",""km"")"),"ប្រភេទទំនិញ")</f>
        <v/>
      </c>
      <c r="E2743" s="3" t="n"/>
      <c r="F2743" s="3" t="inlineStr">
        <is>
          <t>ប្រភេទទំនិញ</t>
        </is>
      </c>
      <c r="G2743" s="3" t="n"/>
      <c r="H2743" s="217" t="inlineStr">
        <is>
          <t>"delivery.warehouse.revenueOutput.parcelType": "ប្រភេទទំនិញ",</t>
        </is>
      </c>
      <c r="I2743" t="inlineStr">
        <is>
          <t>ប្រភេទទំនិញ</t>
        </is>
      </c>
    </row>
    <row r="2744">
      <c r="A2744" s="3" t="inlineStr">
        <is>
          <t>delivery.warehouse.revenueOutput.postCode</t>
        </is>
      </c>
      <c r="B2744" s="3" t="inlineStr">
        <is>
          <t>Bưu cục</t>
        </is>
      </c>
      <c r="C2744" s="3" t="inlineStr">
        <is>
          <t>Post Office</t>
        </is>
      </c>
      <c r="D2744" s="217">
        <f>IFERROR(__xludf.DUMMYFUNCTION("GOOGLETRANSLATE(C2744,""vi"",""km"")"),"ការិយាល័យប្រៃសណីយ៍")</f>
        <v/>
      </c>
      <c r="E2744" s="3" t="n"/>
      <c r="F2744" s="3" t="inlineStr">
        <is>
          <t>ការិយាល័យប្រៃសណីយ៍</t>
        </is>
      </c>
      <c r="G2744" s="3" t="n"/>
      <c r="H2744" s="217" t="inlineStr">
        <is>
          <t>"delivery.warehouse.revenueOutput.postCode": "ការិយាល័យប្រៃសណីយ៍",</t>
        </is>
      </c>
      <c r="I2744" t="inlineStr">
        <is>
          <t>ការិយាល័យប្រៃសណីយ៍</t>
        </is>
      </c>
    </row>
    <row r="2745">
      <c r="A2745" s="3" t="inlineStr">
        <is>
          <t>delivery.warehouse.revenueOutput.postOfficeTab</t>
        </is>
      </c>
      <c r="B2745" s="3" t="inlineStr">
        <is>
          <t>Bưu cục</t>
        </is>
      </c>
      <c r="C2745" s="3" t="inlineStr">
        <is>
          <t>Post Office</t>
        </is>
      </c>
      <c r="D2745" s="217">
        <f>IFERROR(__xludf.DUMMYFUNCTION("GOOGLETRANSLATE(C2745,""vi"",""km"")"),"ការិយាល័យប្រៃសណីយ៍")</f>
        <v/>
      </c>
      <c r="E2745" s="3" t="n"/>
      <c r="F2745" s="3" t="inlineStr">
        <is>
          <t>ការិយាល័យប្រៃសណីយ៍</t>
        </is>
      </c>
      <c r="G2745" s="3" t="n"/>
      <c r="H2745" s="217" t="inlineStr">
        <is>
          <t>"delivery.warehouse.revenueOutput.postOfficeTab": "ការិយាល័យប្រៃសណីយ៍",</t>
        </is>
      </c>
      <c r="I2745" t="inlineStr">
        <is>
          <t>ការិយាល័យប្រៃសណីយ៍</t>
        </is>
      </c>
    </row>
    <row r="2746">
      <c r="A2746" s="3" t="inlineStr">
        <is>
          <t>delivery.warehouse.revenueOutput.quantityDay</t>
        </is>
      </c>
      <c r="B2746" s="3" t="inlineStr">
        <is>
          <t>Sản lượng ngày</t>
        </is>
      </c>
      <c r="C2746" s="3" t="inlineStr">
        <is>
          <t>Quantity day</t>
        </is>
      </c>
      <c r="D2746" s="217">
        <f>IFERROR(__xludf.DUMMYFUNCTION("GOOGLETRANSLATE(C2746,""vi"",""km"")"),"បរិមាណក្នុងមួយថ្ងៃ")</f>
        <v/>
      </c>
      <c r="E2746" s="3" t="n"/>
      <c r="F2746" s="3" t="inlineStr">
        <is>
          <t>បរិមាណក្នុងមួយថ្ងៃ</t>
        </is>
      </c>
      <c r="G2746" s="3" t="n"/>
      <c r="H2746" s="217" t="inlineStr">
        <is>
          <t>"delivery.warehouse.revenueOutput.quantityDay": "បរិមាណក្នុងមួយថ្ងៃ",</t>
        </is>
      </c>
      <c r="I2746" t="inlineStr">
        <is>
          <t>បរិមាណក្នុងមួយថ្ងៃ</t>
        </is>
      </c>
    </row>
    <row r="2747">
      <c r="A2747" s="3" t="inlineStr">
        <is>
          <t>delivery.warehouse.revenueOutput.revenue</t>
        </is>
      </c>
      <c r="B2747" s="3" t="inlineStr">
        <is>
          <t>Doanh thu</t>
        </is>
      </c>
      <c r="C2747" s="3" t="inlineStr">
        <is>
          <t>Revenue</t>
        </is>
      </c>
      <c r="D2747" s="217">
        <f>IFERROR(__xludf.DUMMYFUNCTION("GOOGLETRANSLATE(C2747,""vi"",""km"")"),"រូបិយប័ណ្ណ")</f>
        <v/>
      </c>
      <c r="E2747" s="3" t="n"/>
      <c r="F2747" s="3" t="inlineStr">
        <is>
          <t>រូបិយប័ណ្ណ</t>
        </is>
      </c>
      <c r="G2747" s="3" t="n"/>
      <c r="H2747" s="217" t="inlineStr">
        <is>
          <t>"delivery.warehouse.revenueOutput.revenue": "រូបិយប័ណ្ណ",</t>
        </is>
      </c>
      <c r="I2747" t="inlineStr">
        <is>
          <t>រូបិយប័ណ្ណ</t>
        </is>
      </c>
    </row>
    <row r="2748">
      <c r="A2748" s="3" t="inlineStr">
        <is>
          <t>delivery.warehouse.revenueOutput.revenueDelivery</t>
        </is>
      </c>
      <c r="B2748" s="3" t="inlineStr">
        <is>
          <t>Doanh thu giao</t>
        </is>
      </c>
      <c r="C2748" s="3" t="inlineStr">
        <is>
          <t>Delivery revenue</t>
        </is>
      </c>
      <c r="D2748" s="217">
        <f>IFERROR(__xludf.DUMMYFUNCTION("GOOGLETRANSLATE(C2748,""vi"",""km"")"),"ប្រាក់ចំណូលពីការដឹកជញ្ជូន")</f>
        <v/>
      </c>
      <c r="E2748" s="3" t="n"/>
      <c r="F2748" s="3" t="inlineStr">
        <is>
          <t>ប្រាក់ចំណូលពីការដឹកជញ្ជូន</t>
        </is>
      </c>
      <c r="G2748" s="3" t="n"/>
      <c r="H2748" s="217" t="inlineStr">
        <is>
          <t>"delivery.warehouse.revenueOutput.revenueDelivery": "ប្រាក់ចំណូលពីការដឹកជញ្ជូន",</t>
        </is>
      </c>
      <c r="I2748" t="inlineStr">
        <is>
          <t>ប្រាក់ចំណូលពីការដឹកជញ្ជូន</t>
        </is>
      </c>
    </row>
    <row r="2749">
      <c r="A2749" s="3" t="inlineStr">
        <is>
          <t>delivery.warehouse.revenueOutput.revenuePickup</t>
        </is>
      </c>
      <c r="B2749" s="3" t="inlineStr">
        <is>
          <t>Doanh thu nhận</t>
        </is>
      </c>
      <c r="C2749" s="3" t="inlineStr">
        <is>
          <t>Pickup revenue</t>
        </is>
      </c>
      <c r="D2749" s="217">
        <f>IFERROR(__xludf.DUMMYFUNCTION("GOOGLETRANSLATE(C2749,""vi"",""km"")"),"ប្រាក់ចំណូលពីការទៅយក")</f>
        <v/>
      </c>
      <c r="E2749" s="3" t="n"/>
      <c r="F2749" s="3" t="inlineStr">
        <is>
          <t>ប្រាក់ចំណូលពីការទៅយក</t>
        </is>
      </c>
      <c r="G2749" s="3" t="n"/>
      <c r="H2749" s="217" t="inlineStr">
        <is>
          <t>"delivery.warehouse.revenueOutput.revenuePickup": "ប្រាក់ចំណូលពីការទៅយក",</t>
        </is>
      </c>
      <c r="I2749" t="inlineStr">
        <is>
          <t>ប្រាក់ចំណូលពីការទៅយក</t>
        </is>
      </c>
    </row>
    <row r="2750">
      <c r="A2750" s="3" t="inlineStr">
        <is>
          <t>delivery.warehouse.revenueOutput.route</t>
        </is>
      </c>
      <c r="B2750" s="3" t="inlineStr">
        <is>
          <t>Tuyến</t>
        </is>
      </c>
      <c r="C2750" s="3" t="inlineStr">
        <is>
          <t>Route</t>
        </is>
      </c>
      <c r="D2750" s="217">
        <f>IFERROR(__xludf.DUMMYFUNCTION("GOOGLETRANSLATE(C2750,""vi"",""km"")"),"ផ្លូវ")</f>
        <v/>
      </c>
      <c r="E2750" s="3" t="n"/>
      <c r="F2750" s="3" t="inlineStr">
        <is>
          <t>ផ្លូវ</t>
        </is>
      </c>
      <c r="G2750" s="3" t="n"/>
      <c r="H2750" s="217" t="inlineStr">
        <is>
          <t>"delivery.warehouse.revenueOutput.route": "ផ្លូវ",</t>
        </is>
      </c>
      <c r="I2750" t="inlineStr">
        <is>
          <t>ផ្លូវ</t>
        </is>
      </c>
    </row>
    <row r="2751">
      <c r="A2751" s="3" t="inlineStr">
        <is>
          <t>delivery.warehouse.revenueOutput.selectParcelType</t>
        </is>
      </c>
      <c r="B2751" s="3" t="inlineStr">
        <is>
          <t>Chọn loại hàng</t>
        </is>
      </c>
      <c r="C2751" s="3" t="inlineStr">
        <is>
          <t>Select</t>
        </is>
      </c>
      <c r="D2751" s="217">
        <f>IFERROR(__xludf.DUMMYFUNCTION("GOOGLETRANSLATE(C2751,""vi"",""km"")"),"តម្រៀប")</f>
        <v/>
      </c>
      <c r="E2751" s="3" t="n"/>
      <c r="F2751" s="3" t="inlineStr">
        <is>
          <t>តម្រៀប</t>
        </is>
      </c>
      <c r="G2751" s="3" t="n"/>
      <c r="H2751" s="217" t="inlineStr">
        <is>
          <t>"delivery.warehouse.revenueOutput.selectParcelType": "តម្រៀប",</t>
        </is>
      </c>
      <c r="I2751" t="inlineStr">
        <is>
          <t>តម្រៀប</t>
        </is>
      </c>
    </row>
    <row r="2752">
      <c r="A2752" s="3" t="inlineStr">
        <is>
          <t>delivery.warehouse.revenueOutput.selectService</t>
        </is>
      </c>
      <c r="B2752" s="3" t="inlineStr">
        <is>
          <t>Chọn mã dịch vụ</t>
        </is>
      </c>
      <c r="C2752" s="3" t="inlineStr">
        <is>
          <t>Select service</t>
        </is>
      </c>
      <c r="D2752" s="217">
        <f>IFERROR(__xludf.DUMMYFUNCTION("GOOGLETRANSLATE(C2752,""vi"",""km"")"),"ជ្រើសរើសសេវាកម្ម")</f>
        <v/>
      </c>
      <c r="E2752" s="3" t="n"/>
      <c r="F2752" s="3" t="inlineStr">
        <is>
          <t>ជ្រើសរើសសេវាកម្ម</t>
        </is>
      </c>
      <c r="G2752" s="3" t="n"/>
      <c r="H2752" s="217" t="inlineStr">
        <is>
          <t>"delivery.warehouse.revenueOutput.selectService": "ជ្រើសរើសសេវាកម្ម",</t>
        </is>
      </c>
      <c r="I2752" t="inlineStr">
        <is>
          <t>ជ្រើសរើសសេវាកម្ម</t>
        </is>
      </c>
    </row>
    <row r="2753">
      <c r="A2753" s="3" t="inlineStr">
        <is>
          <t>delivery.warehouse.revenueOutput.selectStatus</t>
        </is>
      </c>
      <c r="B2753" s="3" t="inlineStr">
        <is>
          <t>Chọn trạng thái</t>
        </is>
      </c>
      <c r="C2753" s="3" t="inlineStr">
        <is>
          <t>Select Status</t>
        </is>
      </c>
      <c r="D2753" s="217">
        <f>IFERROR(__xludf.DUMMYFUNCTION("GOOGLETRANSLATE(C2753,""vi"",""km"")"),"ជ្រើសរើសស្ថានភាព")</f>
        <v/>
      </c>
      <c r="E2753" s="3" t="n"/>
      <c r="F2753" s="3" t="inlineStr">
        <is>
          <t>ជ្រើសរើសស្ថានភាព</t>
        </is>
      </c>
      <c r="G2753" s="3" t="n"/>
      <c r="H2753" s="217" t="inlineStr">
        <is>
          <t>"delivery.warehouse.revenueOutput.selectStatus": "ជ្រើសរើសស្ថានភាព",</t>
        </is>
      </c>
      <c r="I2753" t="inlineStr">
        <is>
          <t>ជ្រើសរើសស្ថានភាព</t>
        </is>
      </c>
    </row>
    <row r="2754">
      <c r="A2754" s="3" t="inlineStr">
        <is>
          <t>delivery.warehouse.revenueOutput.selectTime</t>
        </is>
      </c>
      <c r="B2754" s="3" t="inlineStr">
        <is>
          <t>Chọn thời gian</t>
        </is>
      </c>
      <c r="C2754" s="3" t="inlineStr">
        <is>
          <t>Select time</t>
        </is>
      </c>
      <c r="D2754" s="217">
        <f>IFERROR(__xludf.DUMMYFUNCTION("GOOGLETRANSLATE(C2754,""vi"",""km"")"),"ជ្រើសរើសពេលវេលា")</f>
        <v/>
      </c>
      <c r="E2754" s="3" t="n"/>
      <c r="F2754" s="3" t="inlineStr">
        <is>
          <t>ជ្រើសរើសពេលវេលា</t>
        </is>
      </c>
      <c r="G2754" s="3" t="n"/>
      <c r="H2754" s="217" t="inlineStr">
        <is>
          <t>"delivery.warehouse.revenueOutput.selectTime": "ជ្រើសរើសពេលវេលា",</t>
        </is>
      </c>
      <c r="I2754" t="inlineStr">
        <is>
          <t>ជ្រើសរើសពេលវេលា</t>
        </is>
      </c>
    </row>
    <row r="2755">
      <c r="A2755" s="3" t="inlineStr">
        <is>
          <t>delivery.warehouse.revenueOutput.service</t>
        </is>
      </c>
      <c r="B2755" s="3" t="inlineStr">
        <is>
          <t>Dịch vụ</t>
        </is>
      </c>
      <c r="C2755" s="3" t="inlineStr">
        <is>
          <t>Service</t>
        </is>
      </c>
      <c r="D2755" s="217">
        <f>IFERROR(__xludf.DUMMYFUNCTION("GOOGLETRANSLATE(C2755,""vi"",""km"")"),"សេវាកម្ម")</f>
        <v/>
      </c>
      <c r="E2755" s="3" t="n"/>
      <c r="F2755" s="3" t="inlineStr">
        <is>
          <t>សេវាកម្ម</t>
        </is>
      </c>
      <c r="G2755" s="3" t="n"/>
      <c r="H2755" s="217" t="inlineStr">
        <is>
          <t>"delivery.warehouse.revenueOutput.service": "សេវាកម្ម",</t>
        </is>
      </c>
      <c r="I2755" t="inlineStr">
        <is>
          <t>សេវាកម្ម</t>
        </is>
      </c>
    </row>
    <row r="2756">
      <c r="A2756" s="3" t="inlineStr">
        <is>
          <t>delivery.warehouse.revenueOutput.serviceCode</t>
        </is>
      </c>
      <c r="B2756" s="3" t="inlineStr">
        <is>
          <t>Mã dịch vụ</t>
        </is>
      </c>
      <c r="C2756" s="3" t="inlineStr">
        <is>
          <t>Service</t>
        </is>
      </c>
      <c r="D2756" s="217">
        <f>IFERROR(__xludf.DUMMYFUNCTION("GOOGLETRANSLATE(C2756,""vi"",""km"")"),"សេវាកម្ម")</f>
        <v/>
      </c>
      <c r="E2756" s="3" t="n"/>
      <c r="F2756" s="3" t="inlineStr">
        <is>
          <t>សេវាកម្ម</t>
        </is>
      </c>
      <c r="G2756" s="3" t="n"/>
      <c r="H2756" s="217" t="inlineStr">
        <is>
          <t>"delivery.warehouse.revenueOutput.serviceCode": "សេវាកម្ម",</t>
        </is>
      </c>
      <c r="I2756" t="inlineStr">
        <is>
          <t>សេវាកម្ម</t>
        </is>
      </c>
    </row>
    <row r="2757">
      <c r="A2757" s="3" t="inlineStr">
        <is>
          <t>delivery.warehouse.revenueOutput.startDate</t>
        </is>
      </c>
      <c r="B2757" s="3" t="inlineStr">
        <is>
          <t>Từ ngày</t>
        </is>
      </c>
      <c r="C2757" s="3" t="inlineStr">
        <is>
          <t>Start Date</t>
        </is>
      </c>
      <c r="D2757" s="217">
        <f>IFERROR(__xludf.DUMMYFUNCTION("GOOGLETRANSLATE(C2757,""vi"",""km"")"),"កាលបរិច្ឆេទចាប់ផ្តើម")</f>
        <v/>
      </c>
      <c r="E2757" s="3" t="n"/>
      <c r="F2757" s="3" t="inlineStr">
        <is>
          <t>កាលបរិច្ឆេទចាប់ផ្តើម</t>
        </is>
      </c>
      <c r="G2757" s="3" t="n"/>
      <c r="H2757" s="217" t="inlineStr">
        <is>
          <t>"delivery.warehouse.revenueOutput.startDate": "កាលបរិច្ឆេទចាប់ផ្តើម",</t>
        </is>
      </c>
      <c r="I2757" t="inlineStr">
        <is>
          <t>កាលបរិច្ឆេទចាប់ផ្តើម</t>
        </is>
      </c>
    </row>
    <row r="2758">
      <c r="A2758" s="3" t="inlineStr">
        <is>
          <t>delivery.warehouse.revenueOutput.status</t>
        </is>
      </c>
      <c r="B2758" s="3" t="inlineStr">
        <is>
          <t>Trạng thái</t>
        </is>
      </c>
      <c r="C2758" s="3" t="inlineStr">
        <is>
          <t>Status</t>
        </is>
      </c>
      <c r="D2758" s="217">
        <f>IFERROR(__xludf.DUMMYFUNCTION("GOOGLETRANSLATE(C2758,""vi"",""km"")"),"ស្ថានភាព")</f>
        <v/>
      </c>
      <c r="E2758" s="3" t="n"/>
      <c r="F2758" s="3" t="inlineStr">
        <is>
          <t>ស្ថានភាព</t>
        </is>
      </c>
      <c r="G2758" s="3" t="n"/>
      <c r="H2758" s="217" t="inlineStr">
        <is>
          <t>"delivery.warehouse.revenueOutput.status": "ស្ថានភាព",</t>
        </is>
      </c>
      <c r="I2758" t="inlineStr">
        <is>
          <t>ស្ថានភាព</t>
        </is>
      </c>
    </row>
    <row r="2759">
      <c r="A2759" s="3" t="inlineStr">
        <is>
          <t>delivery.warehouse.serviceCode.calculation</t>
        </is>
      </c>
      <c r="B2759" s="3" t="inlineStr">
        <is>
          <t>Cách tính</t>
        </is>
      </c>
      <c r="C2759" s="3" t="inlineStr">
        <is>
          <t>Calculation</t>
        </is>
      </c>
      <c r="D2759" s="217">
        <f>IFERROR(__xludf.DUMMYFUNCTION("GOOGLETRANSLATE(C2759,""vi"",""km"")"),"ការគណនា")</f>
        <v/>
      </c>
      <c r="E2759" s="3" t="n"/>
      <c r="F2759" s="3" t="inlineStr">
        <is>
          <t>ការគណនា</t>
        </is>
      </c>
      <c r="G2759" s="3" t="n"/>
      <c r="H2759" s="217" t="inlineStr">
        <is>
          <t>"delivery.warehouse.serviceCode.calculation": "ការគណនា",</t>
        </is>
      </c>
      <c r="I2759" t="inlineStr">
        <is>
          <t>ការគណនា</t>
        </is>
      </c>
    </row>
    <row r="2760">
      <c r="A2760" s="3" t="inlineStr">
        <is>
          <t>delivery.warehouse.serviceCode.deliveryZoneType</t>
        </is>
      </c>
      <c r="B2760" s="3" t="inlineStr">
        <is>
          <t>Loại vùng đi</t>
        </is>
      </c>
      <c r="C2760" s="3" t="inlineStr">
        <is>
          <t>Depart zone</t>
        </is>
      </c>
      <c r="D2760" s="217">
        <f>IFERROR(__xludf.DUMMYFUNCTION("GOOGLETRANSLATE(C2760,""vi"",""km"")"),"តំបន់ចេញដំណើរ")</f>
        <v/>
      </c>
      <c r="E2760" s="3" t="n"/>
      <c r="F2760" s="3" t="inlineStr">
        <is>
          <t>តំបន់ចេញដំណើរ</t>
        </is>
      </c>
      <c r="G2760" s="3" t="n"/>
      <c r="H2760" s="217" t="inlineStr">
        <is>
          <t>"delivery.warehouse.serviceCode.deliveryZoneType": "តំបន់ចេញដំណើរ",</t>
        </is>
      </c>
      <c r="I2760" t="inlineStr">
        <is>
          <t>តំបន់ចេញដំណើរ</t>
        </is>
      </c>
    </row>
    <row r="2761">
      <c r="A2761" s="3" t="inlineStr">
        <is>
          <t>delivery.warehouse.serviceCode.formality</t>
        </is>
      </c>
      <c r="B2761" s="3" t="inlineStr">
        <is>
          <t>Hình thức áp dụng</t>
        </is>
      </c>
      <c r="C2761" s="3" t="inlineStr">
        <is>
          <t>Application method</t>
        </is>
      </c>
      <c r="D2761" s="217">
        <f>IFERROR(__xludf.DUMMYFUNCTION("GOOGLETRANSLATE(C2761,""vi"",""km"")"),"វិធីសាស្រ្តដាក់ពាក្យ")</f>
        <v/>
      </c>
      <c r="E2761" s="3" t="n"/>
      <c r="F2761" s="3" t="inlineStr">
        <is>
          <t>វិធីសាស្រ្តដាក់ពាក្យ</t>
        </is>
      </c>
      <c r="G2761" s="3" t="n"/>
      <c r="H2761" s="217" t="inlineStr">
        <is>
          <t>"delivery.warehouse.serviceCode.formality": "វិធីសាស្រ្តដាក់ពាក្យ",</t>
        </is>
      </c>
      <c r="I2761" t="inlineStr">
        <is>
          <t>វិធីសាស្រ្តដាក់ពាក្យ</t>
        </is>
      </c>
    </row>
    <row r="2762">
      <c r="A2762" s="3" t="inlineStr">
        <is>
          <t>delivery.warehouse.serviceCode.modify.KPI</t>
        </is>
      </c>
      <c r="B2762" s="3" t="inlineStr">
        <is>
          <t>Nhóm KPI</t>
        </is>
      </c>
      <c r="C2762" s="3" t="inlineStr">
        <is>
          <t>ក្រុម KPI</t>
        </is>
      </c>
      <c r="D2762" s="217">
        <f>IFERROR(__xludf.DUMMYFUNCTION("GOOGLETRANSLATE(C2762,""vi"",""km"")"),"សូចនាករ​វាយតម្លៃ​គុណភាព​អប់រំ (KPI)")</f>
        <v/>
      </c>
      <c r="E2762" s="3" t="n"/>
      <c r="F2762" s="3" t="inlineStr">
        <is>
          <t>សូចនាករវាយតម្លៃគុណភាពអប់រំ (KPI)</t>
        </is>
      </c>
      <c r="G2762" s="3" t="n"/>
      <c r="H2762" s="217" t="inlineStr">
        <is>
          <t>"delivery.warehouse.serviceCode.modify.KPI": "សូចនាករវាយតម្លៃគុណភាពអប់រំ (KPI)",</t>
        </is>
      </c>
      <c r="I2762" t="inlineStr">
        <is>
          <t>សូចនាករវាយតម្លៃគុណភាពអប់រំ (KPI)</t>
        </is>
      </c>
    </row>
    <row r="2763">
      <c r="A2763" s="3" t="inlineStr">
        <is>
          <t>delivery.warehouse.serviceCode.modify.VAT</t>
        </is>
      </c>
      <c r="B2763" s="3" t="inlineStr">
        <is>
          <t>Thuế VAT</t>
        </is>
      </c>
      <c r="C2763" s="3" t="inlineStr">
        <is>
          <t>VAT 10%</t>
        </is>
      </c>
      <c r="D2763" s="217">
        <f>IFERROR(__xludf.DUMMYFUNCTION("GOOGLETRANSLATE(C2763,""vi"",""km"")"),"អាករលើតម្លៃបន្ថែម ១០%")</f>
        <v/>
      </c>
      <c r="E2763" s="3" t="n"/>
      <c r="F2763" s="3" t="inlineStr">
        <is>
          <t>អាករលើតម្លៃបន្ថែម ១០%</t>
        </is>
      </c>
      <c r="G2763" s="3" t="n"/>
      <c r="H2763" s="217" t="inlineStr">
        <is>
          <t>"delivery.warehouse.serviceCode.modify.VAT": "អាករលើតម្លៃបន្ថែម ១០%",</t>
        </is>
      </c>
      <c r="I2763" t="inlineStr">
        <is>
          <t>អាករលើតម្លៃបន្ថែម ១០%</t>
        </is>
      </c>
    </row>
    <row r="2764">
      <c r="A2764" s="3" t="inlineStr">
        <is>
          <t>delivery.warehouse.serviceCode.modify.caculationPrice</t>
        </is>
      </c>
      <c r="B2764" s="3" t="inlineStr">
        <is>
          <t>Cách tính giá</t>
        </is>
      </c>
      <c r="C2764" s="3" t="inlineStr">
        <is>
          <t>វិធីគិតតម្លៃ</t>
        </is>
      </c>
      <c r="D2764" s="217">
        <f>IFERROR(__xludf.DUMMYFUNCTION("GOOGLETRANSLATE(C2764,""vi"",""km"")"),"វិធីគិតតម្លៃ")</f>
        <v/>
      </c>
      <c r="E2764" s="3" t="n"/>
      <c r="F2764" s="3" t="inlineStr">
        <is>
          <t>វិធីគិតតម្លៃ</t>
        </is>
      </c>
      <c r="G2764" s="3" t="n"/>
      <c r="H2764" s="217" t="inlineStr">
        <is>
          <t>"delivery.warehouse.serviceCode.modify.caculationPrice": "វិធីគិតតម្លៃ",</t>
        </is>
      </c>
      <c r="I2764" t="inlineStr">
        <is>
          <t>វិធីគិតតម្លៃ</t>
        </is>
      </c>
    </row>
    <row r="2765">
      <c r="A2765" s="3" t="inlineStr">
        <is>
          <t>delivery.warehouse.serviceCode.modify.calculation</t>
        </is>
      </c>
      <c r="B2765" s="3" t="inlineStr">
        <is>
          <t>Cách tính</t>
        </is>
      </c>
      <c r="C2765" s="3" t="inlineStr">
        <is>
          <t>វិធីគិត</t>
        </is>
      </c>
      <c r="D2765" s="217">
        <f>IFERROR(__xludf.DUMMYFUNCTION("GOOGLETRANSLATE(C2765,""vi"",""km"")"),"វិធីគិត")</f>
        <v/>
      </c>
      <c r="E2765" s="3" t="n"/>
      <c r="F2765" s="3" t="inlineStr">
        <is>
          <t>វិធីគិត</t>
        </is>
      </c>
      <c r="G2765" s="3" t="n"/>
      <c r="H2765" s="217" t="inlineStr">
        <is>
          <t>"delivery.warehouse.serviceCode.modify.calculation": "វិធីគិត",</t>
        </is>
      </c>
      <c r="I2765" t="inlineStr">
        <is>
          <t>វិធីគិត</t>
        </is>
      </c>
    </row>
    <row r="2766">
      <c r="A2766" s="3" t="inlineStr">
        <is>
          <t>delivery.warehouse.serviceCode.modify.containsSpecialCharacters</t>
        </is>
      </c>
      <c r="B2766" s="3" t="inlineStr">
        <is>
          <t>không được chứa ký tự đặc biệt</t>
        </is>
      </c>
      <c r="C2766" s="3" t="inlineStr">
        <is>
          <t>មិនអាចមានតួអក្សរពិសេសបានទេ។</t>
        </is>
      </c>
      <c r="D2766" s="217">
        <f>IFERROR(__xludf.DUMMYFUNCTION("GOOGLETRANSLATE(C2766,""vi"",""km"")"),"មិន​មាន​លក្ខណៈ​ពិសេស")</f>
        <v/>
      </c>
      <c r="E2766" s="3" t="n"/>
      <c r="F2766" s="3" t="inlineStr">
        <is>
          <t>មិនមានលក្ខណៈពិសេស</t>
        </is>
      </c>
      <c r="G2766" s="3" t="n"/>
      <c r="H2766" s="217" t="inlineStr">
        <is>
          <t>"delivery.warehouse.serviceCode.modify.containsSpecialCharacters": "មិនមានលក្ខណៈពិសេស",</t>
        </is>
      </c>
      <c r="I2766" t="inlineStr">
        <is>
          <t>មិនមានលក្ខណៈពិសេស</t>
        </is>
      </c>
    </row>
    <row r="2767">
      <c r="A2767" s="3" t="inlineStr">
        <is>
          <t>delivery.warehouse.serviceCode.modify.convertedWeight</t>
        </is>
      </c>
      <c r="B2767" s="3" t="inlineStr">
        <is>
          <t>Tham số trọng lượng quy đổi</t>
        </is>
      </c>
      <c r="C2767" s="3" t="inlineStr">
        <is>
          <t>ប៉ារ៉ាម៉ែត្របំប្លែងទម្ងន់</t>
        </is>
      </c>
      <c r="D2767" s="217">
        <f>IFERROR(__xludf.DUMMYFUNCTION("GOOGLETRANSLATE(C2767,""vi"",""km"")"),"បំរែបំរួលទម្ងន់")</f>
        <v/>
      </c>
      <c r="E2767" s="3" t="n"/>
      <c r="F2767" s="3" t="inlineStr">
        <is>
          <t>បំរែបំរួលទម្ងន់</t>
        </is>
      </c>
      <c r="G2767" s="3" t="n"/>
      <c r="H2767" s="217" t="inlineStr">
        <is>
          <t>"delivery.warehouse.serviceCode.modify.convertedWeight": "បំរែបំរួលទម្ងន់",</t>
        </is>
      </c>
      <c r="I2767" t="inlineStr">
        <is>
          <t>បំរែបំរួលទម្ងន់</t>
        </is>
      </c>
    </row>
    <row r="2768">
      <c r="A2768" s="3" t="inlineStr">
        <is>
          <t>delivery.warehouse.serviceCode.modify.formality</t>
        </is>
      </c>
      <c r="B2768" s="3" t="inlineStr">
        <is>
          <t>Hình thức áp dụng</t>
        </is>
      </c>
      <c r="C2768" s="3" t="inlineStr">
        <is>
          <t>ទម្រង់នៃការអនុវត្ត</t>
        </is>
      </c>
      <c r="D2768" s="217">
        <f>IFERROR(__xludf.DUMMYFUNCTION("GOOGLETRANSLATE(C2768,""vi"",""km"")"),"លក្ខណៈនៃការអនុវត្ត")</f>
        <v/>
      </c>
      <c r="E2768" s="3" t="n"/>
      <c r="F2768" s="3" t="inlineStr">
        <is>
          <t>លក្ខណៈនៃការអនុវត្ត</t>
        </is>
      </c>
      <c r="G2768" s="3" t="n"/>
      <c r="H2768" s="217" t="inlineStr">
        <is>
          <t>"delivery.warehouse.serviceCode.modify.formality": "លក្ខណៈនៃការអនុវត្ត",</t>
        </is>
      </c>
      <c r="I2768" t="inlineStr">
        <is>
          <t>លក្ខណៈនៃការអនុវត្ត</t>
        </is>
      </c>
    </row>
    <row r="2769">
      <c r="A2769" s="3" t="inlineStr">
        <is>
          <t>delivery.warehouse.serviceCode.modify.max100</t>
        </is>
      </c>
      <c r="B2769" s="3" t="inlineStr">
        <is>
          <t>tối đa 100 ký tự</t>
        </is>
      </c>
      <c r="C2769" s="3" t="inlineStr">
        <is>
          <t>អតិបរមា 100 តួអក្សរ</t>
        </is>
      </c>
      <c r="D2769" s="217">
        <f>IFERROR(__xludf.DUMMYFUNCTION("GOOGLETRANSLATE(C2769,""vi"",""km"")"),"100 ភី")</f>
        <v/>
      </c>
      <c r="E2769" s="3" t="n"/>
      <c r="F2769" s="3" t="inlineStr">
        <is>
          <t>100 ភី</t>
        </is>
      </c>
      <c r="G2769" s="3" t="n"/>
      <c r="H2769" s="217" t="inlineStr">
        <is>
          <t>"delivery.warehouse.serviceCode.modify.max100": "100 ភី",</t>
        </is>
      </c>
      <c r="I2769" t="inlineStr">
        <is>
          <t>100 ភី</t>
        </is>
      </c>
    </row>
    <row r="2770">
      <c r="A2770" s="3" t="inlineStr">
        <is>
          <t>delivery.warehouse.serviceCode.modify.onlyNumber</t>
        </is>
      </c>
      <c r="B2770" s="3" t="inlineStr">
        <is>
          <t>chỉ nhập số</t>
        </is>
      </c>
      <c r="C2770" s="3" t="inlineStr">
        <is>
          <t>បញ្ចូលលេខតែប៉ុណ្ណោះ</t>
        </is>
      </c>
      <c r="D2770" s="217">
        <f>IFERROR(__xludf.DUMMYFUNCTION("GOOGLETRANSLATE(C2770,""vi"",""km"")"),"បញ្ចូលលេខ")</f>
        <v/>
      </c>
      <c r="E2770" s="3" t="n"/>
      <c r="F2770" s="3" t="inlineStr">
        <is>
          <t>បញ្ចូលលេខ</t>
        </is>
      </c>
      <c r="G2770" s="3" t="n"/>
      <c r="H2770" s="217" t="inlineStr">
        <is>
          <t>"delivery.warehouse.serviceCode.modify.onlyNumber": "បញ្ចូលលេខ",</t>
        </is>
      </c>
      <c r="I2770" t="inlineStr">
        <is>
          <t>បញ្ចូលលេខ</t>
        </is>
      </c>
    </row>
    <row r="2771">
      <c r="A2771" s="3" t="inlineStr">
        <is>
          <t>delivery.warehouse.serviceCode.modify.scope</t>
        </is>
      </c>
      <c r="B2771" s="3" t="inlineStr">
        <is>
          <t>Phạm vi áp dụng</t>
        </is>
      </c>
      <c r="C2771" s="3" t="inlineStr">
        <is>
          <t>វិសាលភាពនៃការអនុវត្ត</t>
        </is>
      </c>
      <c r="D2771" s="217">
        <f>IFERROR(__xludf.DUMMYFUNCTION("GOOGLETRANSLATE(C2771,""vi"",""km"")"),"វិសាលភាពនៃការអនុវត្ត")</f>
        <v/>
      </c>
      <c r="E2771" s="3" t="n"/>
      <c r="F2771" s="3" t="inlineStr">
        <is>
          <t>វិសាលភាពនៃការអនុវត្ត</t>
        </is>
      </c>
      <c r="G2771" s="3" t="n"/>
      <c r="H2771" s="217" t="inlineStr">
        <is>
          <t>"delivery.warehouse.serviceCode.modify.scope": "វិសាលភាពនៃការអនុវត្ត",</t>
        </is>
      </c>
      <c r="I2771" t="inlineStr">
        <is>
          <t>វិសាលភាពនៃការអនុវត្ត</t>
        </is>
      </c>
    </row>
    <row r="2772">
      <c r="A2772" s="3" t="inlineStr">
        <is>
          <t>delivery.warehouse.serviceCode.receivingZoneType</t>
        </is>
      </c>
      <c r="B2772" s="3" t="inlineStr">
        <is>
          <t>Loại vùng đến</t>
        </is>
      </c>
      <c r="C2772" s="3" t="inlineStr">
        <is>
          <t>Arrival zone</t>
        </is>
      </c>
      <c r="D2772" s="217">
        <f>IFERROR(__xludf.DUMMYFUNCTION("GOOGLETRANSLATE(C2772,""vi"",""km"")"),"តំបន់ចេញ")</f>
        <v/>
      </c>
      <c r="E2772" s="3" t="n"/>
      <c r="F2772" s="3" t="inlineStr">
        <is>
          <t>តំបន់ចេញ</t>
        </is>
      </c>
      <c r="G2772" s="3" t="n"/>
      <c r="H2772" s="217" t="inlineStr">
        <is>
          <t>"delivery.warehouse.serviceCode.receivingZoneType": "តំបន់ចេញ",</t>
        </is>
      </c>
      <c r="I2772" t="inlineStr">
        <is>
          <t>តំបន់ចេញ</t>
        </is>
      </c>
    </row>
    <row r="2773">
      <c r="A2773" s="3" t="inlineStr">
        <is>
          <t>delivery.warehouse.serviceCode.serviceCode</t>
        </is>
      </c>
      <c r="B2773" s="3" t="inlineStr">
        <is>
          <t>Mã dịch vụ</t>
        </is>
      </c>
      <c r="C2773" s="3" t="inlineStr">
        <is>
          <t>Service Code</t>
        </is>
      </c>
      <c r="D2773" s="217">
        <f>IFERROR(__xludf.DUMMYFUNCTION("GOOGLETRANSLATE(C2773,""vi"",""km"")"),"លេខកូដសេវាកម្ម")</f>
        <v/>
      </c>
      <c r="E2773" s="3" t="n"/>
      <c r="F2773" s="3" t="inlineStr">
        <is>
          <t>លេខកូដសេវាកម្ម</t>
        </is>
      </c>
      <c r="G2773" s="3" t="n"/>
      <c r="H2773" s="217" t="inlineStr">
        <is>
          <t>"delivery.warehouse.serviceCode.serviceCode": "លេខកូដសេវាកម្ម",</t>
        </is>
      </c>
      <c r="I2773" t="inlineStr">
        <is>
          <t>លេខកូដសេវាកម្ម</t>
        </is>
      </c>
    </row>
    <row r="2774">
      <c r="A2774" s="3" t="inlineStr">
        <is>
          <t>delivery.warehouse.serviceCode.serviceName</t>
        </is>
      </c>
      <c r="B2774" s="3" t="inlineStr">
        <is>
          <t>Tên dịch vụ</t>
        </is>
      </c>
      <c r="C2774" s="3" t="inlineStr">
        <is>
          <t>Service name</t>
        </is>
      </c>
      <c r="D2774" s="217">
        <f>IFERROR(__xludf.DUMMYFUNCTION("GOOGLETRANSLATE(C2774,""vi"",""km"")"),"ឈ្មោះសេវាកម្ម")</f>
        <v/>
      </c>
      <c r="E2774" s="3" t="n"/>
      <c r="F2774" s="3" t="inlineStr">
        <is>
          <t>ឈ្មោះសេវាកម្ម</t>
        </is>
      </c>
      <c r="G2774" s="3" t="n"/>
      <c r="H2774" s="217" t="inlineStr">
        <is>
          <t>"delivery.warehouse.serviceCode.serviceName": "ឈ្មោះសេវាកម្ម",</t>
        </is>
      </c>
      <c r="I2774" t="inlineStr">
        <is>
          <t>ឈ្មោះសេវាកម្ម</t>
        </is>
      </c>
    </row>
    <row r="2775">
      <c r="A2775" s="3" t="inlineStr">
        <is>
          <t>delivery.warehouse.serviceCode.status</t>
        </is>
      </c>
      <c r="B2775" s="3" t="inlineStr">
        <is>
          <t>Trạng thái</t>
        </is>
      </c>
      <c r="C2775" s="3" t="inlineStr">
        <is>
          <t>Status</t>
        </is>
      </c>
      <c r="D2775" s="217">
        <f>IFERROR(__xludf.DUMMYFUNCTION("GOOGLETRANSLATE(C2775,""vi"",""km"")"),"ស្ថានភាព")</f>
        <v/>
      </c>
      <c r="E2775" s="3" t="n"/>
      <c r="F2775" s="3" t="inlineStr">
        <is>
          <t>ស្ថានភាព</t>
        </is>
      </c>
      <c r="G2775" s="3" t="n"/>
      <c r="H2775" s="217" t="inlineStr">
        <is>
          <t>"delivery.warehouse.serviceCode.status": "ស្ថានភាព",</t>
        </is>
      </c>
      <c r="I2775" t="inlineStr">
        <is>
          <t>ស្ថានភាព</t>
        </is>
      </c>
    </row>
    <row r="2776">
      <c r="A2776" s="3" t="inlineStr">
        <is>
          <t>delivery.warehouse.serviceCode.total</t>
        </is>
      </c>
      <c r="B2776" s="3" t="inlineStr">
        <is>
          <t>Tổng đơn hàng</t>
        </is>
      </c>
      <c r="C2776" s="3" t="inlineStr">
        <is>
          <t>Total</t>
        </is>
      </c>
      <c r="D2776" s="217">
        <f>IFERROR(__xludf.DUMMYFUNCTION("GOOGLETRANSLATE(C2776,""vi"",""km"")"),"សរុប")</f>
        <v/>
      </c>
      <c r="E2776" s="3" t="n"/>
      <c r="F2776" s="3" t="inlineStr">
        <is>
          <t>សរុប</t>
        </is>
      </c>
      <c r="G2776" s="3" t="n"/>
      <c r="H2776" s="217" t="inlineStr">
        <is>
          <t>"delivery.warehouse.serviceCode.total": "សរុប",</t>
        </is>
      </c>
      <c r="I2776" t="inlineStr">
        <is>
          <t>សរុប</t>
        </is>
      </c>
    </row>
    <row r="2777">
      <c r="A2777" s="3" t="inlineStr">
        <is>
          <t>delivery.warehouse.serviceCode.vat</t>
        </is>
      </c>
      <c r="B2777" s="3" t="inlineStr">
        <is>
          <t>Thuế VAT(%)</t>
        </is>
      </c>
      <c r="C2777" s="3" t="inlineStr">
        <is>
          <t>VAT (%)</t>
        </is>
      </c>
      <c r="D2777" s="217">
        <f>IFERROR(__xludf.DUMMYFUNCTION("GOOGLETRANSLATE(C2777,""vi"",""km"")"),"អាករលើតម្លៃបន្ថែម (%)")</f>
        <v/>
      </c>
      <c r="E2777" s="3" t="n"/>
      <c r="F2777" s="3" t="inlineStr">
        <is>
          <t>អាករលើតម្លៃបន្ថែម (%)</t>
        </is>
      </c>
      <c r="G2777" s="3" t="n"/>
      <c r="H2777" s="217" t="inlineStr">
        <is>
          <t>"delivery.warehouse.serviceCode.vat": "អាករលើតម្លៃបន្ថែម (%)",</t>
        </is>
      </c>
      <c r="I2777" t="inlineStr">
        <is>
          <t>អាករលើតម្លៃបន្ថែម (%)</t>
        </is>
      </c>
    </row>
    <row r="2778">
      <c r="A2778" s="3" t="inlineStr">
        <is>
          <t>delivery.warehouse.serviceGroup.createGroup</t>
        </is>
      </c>
      <c r="B2778" s="3" t="inlineStr">
        <is>
          <t>Thêm mới nhóm dịch vụ</t>
        </is>
      </c>
      <c r="C2778" s="3" t="inlineStr">
        <is>
          <t>Create service group</t>
        </is>
      </c>
      <c r="D2778" s="217">
        <f>IFERROR(__xludf.DUMMYFUNCTION("GOOGLETRANSLATE(C2778,""vi"",""km"")"),"បង្កើតក្រុមសេវាកម្ម")</f>
        <v/>
      </c>
      <c r="E2778" s="3" t="n"/>
      <c r="F2778" s="3" t="inlineStr">
        <is>
          <t>បង្កើតក្រុមសេវាកម្ម</t>
        </is>
      </c>
      <c r="G2778" s="3" t="n"/>
      <c r="H2778" s="217" t="inlineStr">
        <is>
          <t>"delivery.warehouse.serviceGroup.createGroup": "បង្កើតក្រុមសេវាកម្ម",</t>
        </is>
      </c>
      <c r="I2778" t="inlineStr">
        <is>
          <t>បង្កើតក្រុមសេវាកម្ម</t>
        </is>
      </c>
    </row>
    <row r="2779">
      <c r="A2779" s="3" t="inlineStr">
        <is>
          <t>delivery.warehouse.serviceGroup.groupName</t>
        </is>
      </c>
      <c r="B2779" s="3" t="inlineStr">
        <is>
          <t>Tên nhóm dịch vụ</t>
        </is>
      </c>
      <c r="C2779" s="3" t="inlineStr">
        <is>
          <t>Service group name</t>
        </is>
      </c>
      <c r="D2779" s="217">
        <f>IFERROR(__xludf.DUMMYFUNCTION("GOOGLETRANSLATE(C2779,""vi"",""km"")"),"ឈ្មោះក្រុមសេវាកម្ម")</f>
        <v/>
      </c>
      <c r="E2779" s="3" t="n"/>
      <c r="F2779" s="3" t="inlineStr">
        <is>
          <t>ឈ្មោះក្រុមសេវាកម្ម</t>
        </is>
      </c>
      <c r="G2779" s="3" t="n"/>
      <c r="H2779" s="217" t="inlineStr">
        <is>
          <t>"delivery.warehouse.serviceGroup.groupName": "ឈ្មោះក្រុមសេវាកម្ម",</t>
        </is>
      </c>
      <c r="I2779" t="inlineStr">
        <is>
          <t>ឈ្មោះក្រុមសេវាកម្ម</t>
        </is>
      </c>
    </row>
    <row r="2780">
      <c r="A2780" s="3" t="inlineStr">
        <is>
          <t>delivery.warehouse.serviceGroup.informationServiceGroup</t>
        </is>
      </c>
      <c r="B2780" s="3" t="inlineStr">
        <is>
          <t>Thông tin nhóm dịch vụ</t>
        </is>
      </c>
      <c r="C2780" s="3" t="inlineStr">
        <is>
          <t>Service group information</t>
        </is>
      </c>
      <c r="D2780" s="217">
        <f>IFERROR(__xludf.DUMMYFUNCTION("GOOGLETRANSLATE(C2780,""vi"",""km"")"),"ព័ត៌មានក្រុមសេវាកម្ម")</f>
        <v/>
      </c>
      <c r="E2780" s="3" t="n"/>
      <c r="F2780" s="3" t="inlineStr">
        <is>
          <t>ព័ត៌មានក្រុមសេវាកម្ម</t>
        </is>
      </c>
      <c r="G2780" s="3" t="n"/>
      <c r="H2780" s="217" t="inlineStr">
        <is>
          <t>"delivery.warehouse.serviceGroup.informationServiceGroup": "ព័ត៌មានក្រុមសេវាកម្ម",</t>
        </is>
      </c>
      <c r="I2780" t="inlineStr">
        <is>
          <t>ព័ត៌មានក្រុមសេវាកម្ម</t>
        </is>
      </c>
    </row>
    <row r="2781">
      <c r="A2781" s="3" t="inlineStr">
        <is>
          <t>delivery.warehouse.serviceGroup.listService</t>
        </is>
      </c>
      <c r="B2781" s="3" t="inlineStr">
        <is>
          <t>Danh sách dịch vụ</t>
        </is>
      </c>
      <c r="C2781" s="3" t="inlineStr">
        <is>
          <t>Service list</t>
        </is>
      </c>
      <c r="D2781" s="217">
        <f>IFERROR(__xludf.DUMMYFUNCTION("GOOGLETRANSLATE(C2781,""vi"",""km"")"),"បញ្ជីសេវាកម្ម")</f>
        <v/>
      </c>
      <c r="E2781" s="3" t="n"/>
      <c r="F2781" s="3" t="inlineStr">
        <is>
          <t>បញ្ជីសេវាកម្ម</t>
        </is>
      </c>
      <c r="G2781" s="3" t="n"/>
      <c r="H2781" s="217" t="inlineStr">
        <is>
          <t>"delivery.warehouse.serviceGroup.listService": "បញ្ជីសេវាកម្ម",</t>
        </is>
      </c>
      <c r="I2781" t="inlineStr">
        <is>
          <t>បញ្ជីសេវាកម្ម</t>
        </is>
      </c>
    </row>
    <row r="2782">
      <c r="A2782" s="3" t="inlineStr">
        <is>
          <t>delivery.warehouse.serviceGroup.listServiceAssignGroup</t>
        </is>
      </c>
      <c r="B2782" s="3" t="inlineStr">
        <is>
          <t>Danh sách dịch vụ gán cho loại bảng giá</t>
        </is>
      </c>
      <c r="C2782" s="3" t="inlineStr">
        <is>
          <t>Service list assign pricing table</t>
        </is>
      </c>
      <c r="D2782" s="217">
        <f>IFERROR(__xludf.DUMMYFUNCTION("GOOGLETRANSLATE(C2782,""vi"",""km"")"),"តារាងកំណត់តម្លៃសម្រាប់បញ្ជីសេវាកម្ម")</f>
        <v/>
      </c>
      <c r="E2782" s="3" t="n"/>
      <c r="F2782" s="3" t="inlineStr">
        <is>
          <t>តារាងកំណត់តម្លៃសម្រាប់បញ្ជីសេវាកម្ម</t>
        </is>
      </c>
      <c r="G2782" s="3" t="n"/>
      <c r="H2782" s="217" t="inlineStr">
        <is>
          <t>"delivery.warehouse.serviceGroup.listServiceAssignGroup": "តារាងកំណត់តម្លៃសម្រាប់បញ្ជីសេវាកម្ម",</t>
        </is>
      </c>
      <c r="I2782" t="inlineStr">
        <is>
          <t>តារាងកំណត់តម្លៃសម្រាប់បញ្ជីសេវាកម្ម</t>
        </is>
      </c>
    </row>
    <row r="2783">
      <c r="A2783" s="3" t="inlineStr">
        <is>
          <t>delivery.warehouse.serviceGroup.nameServiceGroup</t>
        </is>
      </c>
      <c r="B2783" s="3" t="inlineStr">
        <is>
          <t>Tên nhóm dịch vụ</t>
        </is>
      </c>
      <c r="C2783" s="3" t="inlineStr">
        <is>
          <t>Service group name</t>
        </is>
      </c>
      <c r="D2783" s="217">
        <f>IFERROR(__xludf.DUMMYFUNCTION("GOOGLETRANSLATE(C2783,""vi"",""km"")"),"ឈ្មោះក្រុមសេវាកម្ម")</f>
        <v/>
      </c>
      <c r="E2783" s="3" t="n"/>
      <c r="F2783" s="3" t="inlineStr">
        <is>
          <t>ឈ្មោះក្រុមសេវាកម្ម</t>
        </is>
      </c>
      <c r="G2783" s="3" t="n"/>
      <c r="H2783" s="217" t="inlineStr">
        <is>
          <t>"delivery.warehouse.serviceGroup.nameServiceGroup": "ឈ្មោះក្រុមសេវាកម្ម",</t>
        </is>
      </c>
      <c r="I2783" t="inlineStr">
        <is>
          <t>ឈ្មោះក្រុមសេវាកម្ម</t>
        </is>
      </c>
    </row>
    <row r="2784">
      <c r="A2784" s="3" t="inlineStr">
        <is>
          <t>delivery.warehouse.shift.active</t>
        </is>
      </c>
      <c r="B2784" s="3" t="inlineStr">
        <is>
          <t>Hoạt động</t>
        </is>
      </c>
      <c r="C2784" s="3" t="inlineStr">
        <is>
          <t>Active</t>
        </is>
      </c>
      <c r="D2784" s="217">
        <f>IFERROR(__xludf.DUMMYFUNCTION("GOOGLETRANSLATE(C2784,""vi"",""km"")"),"សកម្ម")</f>
        <v/>
      </c>
      <c r="E2784" s="3" t="n"/>
      <c r="F2784" s="3" t="inlineStr">
        <is>
          <t>ដំណើរការ</t>
        </is>
      </c>
      <c r="G2784" s="3" t="n"/>
      <c r="H2784" s="217" t="inlineStr">
        <is>
          <t>"delivery.warehouse.shift.active": "ដំណើរការ",</t>
        </is>
      </c>
      <c r="I2784" t="inlineStr">
        <is>
          <t>ដំណើរការ</t>
        </is>
      </c>
    </row>
    <row r="2785">
      <c r="A2785" s="3" t="inlineStr">
        <is>
          <t>delivery.warehouse.shift.createShift</t>
        </is>
      </c>
      <c r="B2785" s="3" t="inlineStr">
        <is>
          <t>Thêm mới ca làm việc</t>
        </is>
      </c>
      <c r="C2785" s="3" t="inlineStr">
        <is>
          <t>Create new shift</t>
        </is>
      </c>
      <c r="D2785" s="217">
        <f>IFERROR(__xludf.DUMMYFUNCTION("GOOGLETRANSLATE(C2785,""vi"",""km"")"),"បង្កើតវេនថ្មី")</f>
        <v/>
      </c>
      <c r="E2785" s="3" t="n"/>
      <c r="F2785" s="3" t="inlineStr">
        <is>
          <t>បង្កើតវេនថ្មី</t>
        </is>
      </c>
      <c r="G2785" s="3" t="n"/>
      <c r="H2785" s="217" t="inlineStr">
        <is>
          <t>"delivery.warehouse.shift.createShift": "បង្កើតវេនថ្មី",</t>
        </is>
      </c>
      <c r="I2785" t="inlineStr">
        <is>
          <t>បង្កើតវេនថ្មី</t>
        </is>
      </c>
    </row>
    <row r="2786">
      <c r="A2786" s="3" t="inlineStr">
        <is>
          <t>delivery.warehouse.shift.finishTime</t>
        </is>
      </c>
      <c r="B2786" s="3" t="inlineStr">
        <is>
          <t>Giờ kết thúc</t>
        </is>
      </c>
      <c r="C2786" s="3" t="inlineStr">
        <is>
          <t>End hour</t>
        </is>
      </c>
      <c r="D2786" s="217">
        <f>IFERROR(__xludf.DUMMYFUNCTION("GOOGLETRANSLATE(C2786,""vi"",""km"")"),"ចប់ម៉ោង")</f>
        <v/>
      </c>
      <c r="E2786" s="3" t="n"/>
      <c r="F2786" s="3" t="inlineStr">
        <is>
          <t>ចប់ម៉ោង</t>
        </is>
      </c>
      <c r="G2786" s="3" t="n"/>
      <c r="H2786" s="217" t="inlineStr">
        <is>
          <t>"delivery.warehouse.shift.finishTime": "ចប់ម៉ោង",</t>
        </is>
      </c>
      <c r="I2786" t="inlineStr">
        <is>
          <t>ចប់ម៉ោង</t>
        </is>
      </c>
    </row>
    <row r="2787">
      <c r="A2787" s="3" t="inlineStr">
        <is>
          <t>delivery.warehouse.shift.inactive</t>
        </is>
      </c>
      <c r="B2787" s="3" t="inlineStr">
        <is>
          <t>Không hoạt động</t>
        </is>
      </c>
      <c r="C2787" s="3" t="inlineStr">
        <is>
          <t>InActive</t>
        </is>
      </c>
      <c r="D2787" s="217">
        <f>IFERROR(__xludf.DUMMYFUNCTION("GOOGLETRANSLATE(C2787,""vi"",""km"")"),"អសកម្ម")</f>
        <v/>
      </c>
      <c r="E2787" s="3" t="n"/>
      <c r="F2787" s="3" t="inlineStr">
        <is>
          <t>អសកម្ម</t>
        </is>
      </c>
      <c r="G2787" s="3" t="n"/>
      <c r="H2787" s="217" t="inlineStr">
        <is>
          <t>"delivery.warehouse.shift.inactive": "អសកម្ម",</t>
        </is>
      </c>
      <c r="I2787" t="inlineStr">
        <is>
          <t>អសកម្ម</t>
        </is>
      </c>
    </row>
    <row r="2788">
      <c r="A2788" s="3" t="inlineStr">
        <is>
          <t>delivery.warehouse.shift.lockTitle</t>
        </is>
      </c>
      <c r="B2788" s="3" t="inlineStr">
        <is>
          <t>Khóa/mở ca làm việc</t>
        </is>
      </c>
      <c r="C2788" s="3" t="inlineStr">
        <is>
          <t>Lock/unlock working shift</t>
        </is>
      </c>
      <c r="D2788" s="217">
        <f>IFERROR(__xludf.DUMMYFUNCTION("GOOGLETRANSLATE(C2788,""vi"",""km"")"),"ចាក់សោ/ដោះសោរវេនធ្វើការ")</f>
        <v/>
      </c>
      <c r="E2788" s="3" t="n"/>
      <c r="F2788" s="3" t="inlineStr">
        <is>
          <t>ចាក់សោ/ដោះសោរវេនធ្វើការ</t>
        </is>
      </c>
      <c r="G2788" s="3" t="n"/>
      <c r="H2788" s="217" t="inlineStr">
        <is>
          <t>"delivery.warehouse.shift.lockTitle": "ចាក់សោ/ដោះសោរវេនធ្វើការ",</t>
        </is>
      </c>
      <c r="I2788" t="inlineStr">
        <is>
          <t>ចាក់សោ/ដោះសោរវេនធ្វើការ</t>
        </is>
      </c>
    </row>
    <row r="2789">
      <c r="A2789" s="3" t="inlineStr">
        <is>
          <t>delivery.warehouse.shift.lockUnlock</t>
        </is>
      </c>
      <c r="B2789" s="3" t="inlineStr">
        <is>
          <t>Bạn có chắc chắn muốn khóa/mở ca làm việc hay không?</t>
        </is>
      </c>
      <c r="C2789" s="3" t="inlineStr">
        <is>
          <t>Are you sure to lock/unlock working shift?</t>
        </is>
      </c>
      <c r="D2789" s="217">
        <f>IFERROR(__xludf.DUMMYFUNCTION("GOOGLETRANSLATE(C2789,""vi"",""km"")"),"តើអ្នកប្រាកដទេថាចង់ចាក់សោ/ដោះសោរពេលធ្វើការ?")</f>
        <v/>
      </c>
      <c r="E2789" s="3" t="n"/>
      <c r="F2789" s="3" t="inlineStr">
        <is>
          <t>តើអ្នកប្រាកដទេថាចង់ចាក់សោ/ដោះសោរពេលធ្វើការ?</t>
        </is>
      </c>
      <c r="G2789" s="3" t="n"/>
      <c r="H2789" s="217" t="inlineStr">
        <is>
          <t>"delivery.warehouse.shift.lockUnlock": "តើអ្នកប្រាកដទេថាចង់ចាក់សោ/ដោះសោរពេលធ្វើការ?",</t>
        </is>
      </c>
      <c r="I2789" t="inlineStr">
        <is>
          <t>តើអ្នកប្រាកដទេថាចង់ចាក់សោ/ដោះសោរពេលធ្វើការ?</t>
        </is>
      </c>
    </row>
    <row r="2790">
      <c r="A2790" s="3" t="inlineStr">
        <is>
          <t>delivery.warehouse.shift.modify.containsSpecialCharacters</t>
        </is>
      </c>
      <c r="B2790" s="3" t="inlineStr">
        <is>
          <t>Tên ca không được chứa ký tự đặc biệt</t>
        </is>
      </c>
      <c r="C2790" s="3" t="inlineStr">
        <is>
          <t>Not allow for using special characters in Shift name</t>
        </is>
      </c>
      <c r="D2790" s="217">
        <f>IFERROR(__xludf.DUMMYFUNCTION("GOOGLETRANSLATE(C2790,""vi"",""km"")"),"មិនអនុញ្ញាតឱ្យប្រើតួអក្សរពិសេសនៅក្នុងឈ្មោះ Shift ទេ")</f>
        <v/>
      </c>
      <c r="E2790" s="3" t="n"/>
      <c r="F2790" s="3" t="inlineStr">
        <is>
          <t>ឈ្មោះវេនការងារមិនអាចមានតួអក្សរពិសេសទេ</t>
        </is>
      </c>
      <c r="G2790" s="3" t="n"/>
      <c r="H2790" s="217" t="inlineStr">
        <is>
          <t>"delivery.warehouse.shift.modify.containsSpecialCharacters": "ឈ្មោះវេនការងារមិនអាចមានតួអក្សរពិសេសទេ",</t>
        </is>
      </c>
      <c r="I2790" t="inlineStr">
        <is>
          <t>ឈ្មោះវេនការងារមិនអាចមានតួអក្សរពិសេសទេ</t>
        </is>
      </c>
    </row>
    <row r="2791">
      <c r="A2791" s="3" t="inlineStr">
        <is>
          <t>delivery.warehouse.shift.modify.empty</t>
        </is>
      </c>
      <c r="B2791" s="3" t="inlineStr">
        <is>
          <t>Tên ca làm việc sai định dạng</t>
        </is>
      </c>
      <c r="C2791" s="3" t="inlineStr">
        <is>
          <t>The shift name was entered in the wrong format</t>
        </is>
      </c>
      <c r="D2791" s="217">
        <f>IFERROR(__xludf.DUMMYFUNCTION("GOOGLETRANSLATE(C2791,""vi"",""km"")"),"ឈ្មោះវេនត្រូវបានបញ្ចូលក្នុងទម្រង់ខុស")</f>
        <v/>
      </c>
      <c r="E2791" s="3" t="n"/>
      <c r="F2791" s="3" t="inlineStr">
        <is>
          <t>ឈ្មោះវេនត្រូវបានបញ្ចូលក្នុងទម្រង់ខុស</t>
        </is>
      </c>
      <c r="G2791" s="3" t="n"/>
      <c r="H2791" s="217" t="inlineStr">
        <is>
          <t>"delivery.warehouse.shift.modify.empty": "ឈ្មោះវេនត្រូវបានបញ្ចូលក្នុងទម្រង់ខុស",</t>
        </is>
      </c>
      <c r="I2791" t="inlineStr">
        <is>
          <t>ឈ្មោះវេនត្រូវបានបញ្ចូលក្នុងទម្រង់ខុស</t>
        </is>
      </c>
    </row>
    <row r="2792">
      <c r="A2792" s="3" t="inlineStr">
        <is>
          <t>delivery.warehouse.shift.modify.endTime</t>
        </is>
      </c>
      <c r="B2792" s="3" t="inlineStr">
        <is>
          <t>Giờ kết thúc</t>
        </is>
      </c>
      <c r="C2792" s="3" t="inlineStr">
        <is>
          <t>End hour</t>
        </is>
      </c>
      <c r="D2792" s="217">
        <f>IFERROR(__xludf.DUMMYFUNCTION("GOOGLETRANSLATE(C2792,""vi"",""km"")"),"ចប់ម៉ោង")</f>
        <v/>
      </c>
      <c r="E2792" s="3" t="n"/>
      <c r="F2792" s="3" t="inlineStr">
        <is>
          <t>ចប់ម៉ោង</t>
        </is>
      </c>
      <c r="G2792" s="3" t="n"/>
      <c r="H2792" s="217" t="inlineStr">
        <is>
          <t>"delivery.warehouse.shift.modify.endTime": "ចប់ម៉ោង",</t>
        </is>
      </c>
      <c r="I2792" t="inlineStr">
        <is>
          <t>ចប់ម៉ោង</t>
        </is>
      </c>
    </row>
    <row r="2793">
      <c r="A2793" s="3" t="inlineStr">
        <is>
          <t>delivery.warehouse.shift.modify.max100</t>
        </is>
      </c>
      <c r="B2793" s="3" t="inlineStr">
        <is>
          <t>Tên ca tối đa 100 ký tự</t>
        </is>
      </c>
      <c r="C2793" s="3" t="inlineStr">
        <is>
          <t>Maximum 100 characters for shift name</t>
        </is>
      </c>
      <c r="D2793" s="217">
        <f>IFERROR(__xludf.DUMMYFUNCTION("GOOGLETRANSLATE(C2793,""vi"",""km"")"),"អតិបរមា 100 តួអក្សរសម្រាប់ឈ្មោះវេន")</f>
        <v/>
      </c>
      <c r="E2793" s="3" t="n"/>
      <c r="F2793" s="3" t="inlineStr">
        <is>
          <t>អតិបរមា 100 តួអក្សរសម្រាប់ឈ្មោះវេន</t>
        </is>
      </c>
      <c r="G2793" s="3" t="n"/>
      <c r="H2793" s="217" t="inlineStr">
        <is>
          <t>"delivery.warehouse.shift.modify.max100": "អតិបរមា 100 តួអក្សរសម្រាប់ឈ្មោះវេន",</t>
        </is>
      </c>
      <c r="I2793" t="inlineStr">
        <is>
          <t>អតិបរមា 100 តួអក្សរសម្រាប់ឈ្មោះវេន</t>
        </is>
      </c>
    </row>
    <row r="2794">
      <c r="A2794" s="23" t="inlineStr">
        <is>
          <t>delivery.warehouse.shift.modify.name</t>
        </is>
      </c>
      <c r="B2794" s="3" t="inlineStr">
        <is>
          <t>Tên ca</t>
        </is>
      </c>
      <c r="C2794" s="3" t="inlineStr">
        <is>
          <t>Shift name</t>
        </is>
      </c>
      <c r="D2794" s="217">
        <f>IFERROR(__xludf.DUMMYFUNCTION("GOOGLETRANSLATE(C2794,""vi"",""km"")"),"ឈ្មោះវេន")</f>
        <v/>
      </c>
      <c r="E2794" s="3" t="n"/>
      <c r="F2794" s="3" t="inlineStr">
        <is>
          <t>ឈ្មោះវេន</t>
        </is>
      </c>
      <c r="G2794" s="3" t="n"/>
      <c r="H2794" s="217" t="inlineStr">
        <is>
          <t>"delivery.warehouse.shift.modify.name": "ឈ្មោះវេន",</t>
        </is>
      </c>
      <c r="I2794" t="inlineStr">
        <is>
          <t>ឈ្មោះវេន</t>
        </is>
      </c>
    </row>
    <row r="2795">
      <c r="A2795" s="3" t="inlineStr">
        <is>
          <t>delivery.warehouse.shift.modify.namePlaceholder</t>
        </is>
      </c>
      <c r="B2795" s="3" t="inlineStr">
        <is>
          <t>Nhập tên ca</t>
        </is>
      </c>
      <c r="C2795" s="3" t="inlineStr">
        <is>
          <t>Enter shift name</t>
        </is>
      </c>
      <c r="D2795" s="217">
        <f>IFERROR(__xludf.DUMMYFUNCTION("GOOGLETRANSLATE(C2795,""vi"",""km"")"),"បញ្ចូលឈ្មោះវេន")</f>
        <v/>
      </c>
      <c r="E2795" s="3" t="n"/>
      <c r="F2795" s="3" t="inlineStr">
        <is>
          <t>បញ្ចូលឈ្មោះវេន</t>
        </is>
      </c>
      <c r="G2795" s="3" t="n"/>
      <c r="H2795" s="217" t="inlineStr">
        <is>
          <t>"delivery.warehouse.shift.modify.namePlaceholder": "បញ្ចូលឈ្មោះវេន",</t>
        </is>
      </c>
      <c r="I2795" t="inlineStr">
        <is>
          <t>បញ្ចូលឈ្មោះវេន</t>
        </is>
      </c>
    </row>
    <row r="2796">
      <c r="A2796" s="3" t="inlineStr">
        <is>
          <t>delivery.warehouse.shift.modify.startTime</t>
        </is>
      </c>
      <c r="B2796" s="3" t="inlineStr">
        <is>
          <t>Giờ bắt đầu</t>
        </is>
      </c>
      <c r="C2796" s="3" t="inlineStr">
        <is>
          <t>Start hour</t>
        </is>
      </c>
      <c r="D2796" s="217">
        <f>IFERROR(__xludf.DUMMYFUNCTION("GOOGLETRANSLATE(C2796,""vi"",""km"")"),"ម៉ោងចាប់ផ្តើម")</f>
        <v/>
      </c>
      <c r="E2796" s="3" t="n"/>
      <c r="F2796" s="3" t="inlineStr">
        <is>
          <t>ម៉ោងចាប់ផ្តើម</t>
        </is>
      </c>
      <c r="G2796" s="3" t="n"/>
      <c r="H2796" s="217" t="inlineStr">
        <is>
          <t>"delivery.warehouse.shift.modify.startTime": "ម៉ោងចាប់ផ្តើម",</t>
        </is>
      </c>
      <c r="I2796" t="inlineStr">
        <is>
          <t>ម៉ោងចាប់ផ្តើម</t>
        </is>
      </c>
    </row>
    <row r="2797">
      <c r="A2797" s="3" t="inlineStr">
        <is>
          <t>delivery.warehouse.shift.modify.validateTime</t>
        </is>
      </c>
      <c r="B2797" s="3" t="inlineStr">
        <is>
          <t>Thời gian kết thúc phải lớn hơn thời gian bắt đầu</t>
        </is>
      </c>
      <c r="C2797" s="3" t="inlineStr">
        <is>
          <t>Ending time must be later than starting time</t>
        </is>
      </c>
      <c r="D2797" s="217">
        <f>IFERROR(__xludf.DUMMYFUNCTION("GOOGLETRANSLATE(C2797,""vi"",""km"")"),"ពេលវេលាបញ្ចប់ត្រូវតែយឺតជាងពេលវេលាចាប់ផ្តើម")</f>
        <v/>
      </c>
      <c r="E2797" s="3" t="n"/>
      <c r="F2797" s="3" t="inlineStr">
        <is>
          <t>ពេលវេលាបញ្ចប់ត្រូវតែយឺតជាងពេលវេលាចាប់ផ្តើម</t>
        </is>
      </c>
      <c r="G2797" s="3" t="n"/>
      <c r="H2797" s="217" t="inlineStr">
        <is>
          <t>"delivery.warehouse.shift.modify.validateTime": "ពេលវេលាបញ្ចប់ត្រូវតែយឺតជាងពេលវេលាចាប់ផ្តើម",</t>
        </is>
      </c>
      <c r="I2797" t="inlineStr">
        <is>
          <t>ពេលវេលាបញ្ចប់ត្រូវតែយឺតជាងពេលវេលាចាប់ផ្តើម</t>
        </is>
      </c>
    </row>
    <row r="2798">
      <c r="A2798" s="3" t="inlineStr">
        <is>
          <t>delivery.warehouse.shift.nameShift</t>
        </is>
      </c>
      <c r="B2798" s="3" t="inlineStr">
        <is>
          <t>Tên ca</t>
        </is>
      </c>
      <c r="C2798" s="3" t="inlineStr">
        <is>
          <t>Shift name</t>
        </is>
      </c>
      <c r="D2798" s="217">
        <f>IFERROR(__xludf.DUMMYFUNCTION("GOOGLETRANSLATE(C2798,""vi"",""km"")"),"ឈ្មោះវេន")</f>
        <v/>
      </c>
      <c r="E2798" s="3" t="n"/>
      <c r="F2798" s="3" t="inlineStr">
        <is>
          <t>ឈ្មោះវេន</t>
        </is>
      </c>
      <c r="G2798" s="3" t="n"/>
      <c r="H2798" s="217" t="inlineStr">
        <is>
          <t>"delivery.warehouse.shift.nameShift": "ឈ្មោះវេន",</t>
        </is>
      </c>
      <c r="I2798" t="inlineStr">
        <is>
          <t>ឈ្មោះវេន</t>
        </is>
      </c>
    </row>
    <row r="2799">
      <c r="A2799" s="3" t="inlineStr">
        <is>
          <t>delivery.warehouse.shift.searchKeyword</t>
        </is>
      </c>
      <c r="B2799" s="3" t="inlineStr">
        <is>
          <t>Ca làm việc</t>
        </is>
      </c>
      <c r="C2799" s="3" t="inlineStr">
        <is>
          <t>Seach for shift</t>
        </is>
      </c>
      <c r="D2799" s="217">
        <f>IFERROR(__xludf.DUMMYFUNCTION("GOOGLETRANSLATE(C2799,""vi"",""km"")"),"ស្វែងរកវេន")</f>
        <v/>
      </c>
      <c r="E2799" s="3" t="n"/>
      <c r="F2799" s="3" t="inlineStr">
        <is>
          <t>ស្វែងរកវេន</t>
        </is>
      </c>
      <c r="G2799" s="3" t="n"/>
      <c r="H2799" s="217" t="inlineStr">
        <is>
          <t>"delivery.warehouse.shift.searchKeyword": "ស្វែងរកវេន",</t>
        </is>
      </c>
      <c r="I2799" t="inlineStr">
        <is>
          <t>ស្វែងរកវេន</t>
        </is>
      </c>
    </row>
    <row r="2800">
      <c r="A2800" s="3" t="inlineStr">
        <is>
          <t>delivery.warehouse.shift.searchPlaceholder</t>
        </is>
      </c>
      <c r="B2800" s="3" t="inlineStr">
        <is>
          <t>Nhập tên ca làm việc</t>
        </is>
      </c>
      <c r="C2800" s="3" t="inlineStr">
        <is>
          <t>Enter shift name</t>
        </is>
      </c>
      <c r="D2800" s="217">
        <f>IFERROR(__xludf.DUMMYFUNCTION("GOOGLETRANSLATE(C2800,""vi"",""km"")"),"បញ្ចូលឈ្មោះវេន")</f>
        <v/>
      </c>
      <c r="E2800" s="3" t="n"/>
      <c r="F2800" s="3" t="inlineStr">
        <is>
          <t>បញ្ចូលឈ្មោះវេន</t>
        </is>
      </c>
      <c r="G2800" s="3" t="n"/>
      <c r="H2800" s="217" t="inlineStr">
        <is>
          <t>"delivery.warehouse.shift.searchPlaceholder": "បញ្ចូលឈ្មោះវេន",</t>
        </is>
      </c>
      <c r="I2800" t="inlineStr">
        <is>
          <t>បញ្ចូលឈ្មោះវេន</t>
        </is>
      </c>
    </row>
    <row r="2801">
      <c r="A2801" s="3" t="inlineStr">
        <is>
          <t>delivery.warehouse.shift.startTime</t>
        </is>
      </c>
      <c r="B2801" s="3" t="inlineStr">
        <is>
          <t>Giờ bắt đầu</t>
        </is>
      </c>
      <c r="C2801" s="3" t="inlineStr">
        <is>
          <t>Start hour</t>
        </is>
      </c>
      <c r="D2801" s="217">
        <f>IFERROR(__xludf.DUMMYFUNCTION("GOOGLETRANSLATE(C2801,""vi"",""km"")"),"ម៉ោងចាប់ផ្តើម")</f>
        <v/>
      </c>
      <c r="E2801" s="3" t="n"/>
      <c r="F2801" s="3" t="inlineStr">
        <is>
          <t>ម៉ោងចាប់ផ្តើម</t>
        </is>
      </c>
      <c r="G2801" s="3" t="n"/>
      <c r="H2801" s="217" t="inlineStr">
        <is>
          <t>"delivery.warehouse.shift.startTime": "ម៉ោងចាប់ផ្តើម",</t>
        </is>
      </c>
      <c r="I2801" t="inlineStr">
        <is>
          <t>ម៉ោងចាប់ផ្តើម</t>
        </is>
      </c>
    </row>
    <row r="2802">
      <c r="A2802" s="3" t="inlineStr">
        <is>
          <t>delivery.warehouse.shift.status</t>
        </is>
      </c>
      <c r="B2802" s="3" t="inlineStr">
        <is>
          <t>Trạng thái</t>
        </is>
      </c>
      <c r="C2802" s="3" t="inlineStr">
        <is>
          <t>Status</t>
        </is>
      </c>
      <c r="D2802" s="217">
        <f>IFERROR(__xludf.DUMMYFUNCTION("GOOGLETRANSLATE(C2802,""vi"",""km"")"),"ស្ថានភាព")</f>
        <v/>
      </c>
      <c r="E2802" s="3" t="n"/>
      <c r="F2802" s="3" t="inlineStr">
        <is>
          <t>ស្ថានភាព</t>
        </is>
      </c>
      <c r="G2802" s="3" t="n"/>
      <c r="H2802" s="217" t="inlineStr">
        <is>
          <t>"delivery.warehouse.shift.status": "ស្ថានភាព",</t>
        </is>
      </c>
      <c r="I2802" t="inlineStr">
        <is>
          <t>ស្ថានភាព</t>
        </is>
      </c>
    </row>
    <row r="2803">
      <c r="A2803" s="3" t="inlineStr">
        <is>
          <t>delivery.warehouse.shift.timeUpdate</t>
        </is>
      </c>
      <c r="B2803" s="3" t="inlineStr">
        <is>
          <t>Ngày cập nhật</t>
        </is>
      </c>
      <c r="C2803" s="3" t="inlineStr">
        <is>
          <t>Update at</t>
        </is>
      </c>
      <c r="D2803" s="217">
        <f>IFERROR(__xludf.DUMMYFUNCTION("GOOGLETRANSLATE(C2803,""vi"",""km"")"),"ធ្វើបច្ចុប្បន្នភាពនៅ")</f>
        <v/>
      </c>
      <c r="E2803" s="3" t="n"/>
      <c r="F2803" s="3" t="inlineStr">
        <is>
          <t>ធ្វើបច្ចុប្បន្នភាពនៅ</t>
        </is>
      </c>
      <c r="G2803" s="3" t="n"/>
      <c r="H2803" s="217" t="inlineStr">
        <is>
          <t>"delivery.warehouse.shift.timeUpdate": "ធ្វើបច្ចុប្បន្នភាពនៅ",</t>
        </is>
      </c>
      <c r="I2803" t="inlineStr">
        <is>
          <t>ធ្វើបច្ចុប្បន្នភាពនៅ</t>
        </is>
      </c>
    </row>
    <row r="2804">
      <c r="A2804" s="3" t="inlineStr">
        <is>
          <t>delivery.warehouse.shift.total</t>
        </is>
      </c>
      <c r="B2804" s="3" t="inlineStr">
        <is>
          <t>Tổng ca làm việc</t>
        </is>
      </c>
      <c r="C2804" s="3" t="inlineStr">
        <is>
          <t>Total shift</t>
        </is>
      </c>
      <c r="D2804" s="217">
        <f>IFERROR(__xludf.DUMMYFUNCTION("GOOGLETRANSLATE(C2804,""vi"",""km"")"),"ការផ្លាស់ប្តូរសរុប")</f>
        <v/>
      </c>
      <c r="E2804" s="3" t="n"/>
      <c r="F2804" s="3" t="inlineStr">
        <is>
          <t>ការផ្លាស់ប្តូរសរុប</t>
        </is>
      </c>
      <c r="G2804" s="3" t="n"/>
      <c r="H2804" s="217" t="inlineStr">
        <is>
          <t>"delivery.warehouse.shift.total": "ការផ្លាស់ប្តូរសរុប",</t>
        </is>
      </c>
      <c r="I2804" t="inlineStr">
        <is>
          <t>ការផ្លាស់ប្តូរសរុប</t>
        </is>
      </c>
    </row>
    <row r="2805">
      <c r="A2805" s="3" t="inlineStr">
        <is>
          <t>delivery.warehouse.shift.updateShift</t>
        </is>
      </c>
      <c r="B2805" s="3" t="inlineStr">
        <is>
          <t>Chỉnh sửa ca làm việc</t>
        </is>
      </c>
      <c r="C2805" s="3" t="inlineStr">
        <is>
          <t>Update shift</t>
        </is>
      </c>
      <c r="D2805" s="217">
        <f>IFERROR(__xludf.DUMMYFUNCTION("GOOGLETRANSLATE(C2805,""vi"",""km"")"),"ធ្វើបច្ចុប្បន្នភាពវេន")</f>
        <v/>
      </c>
      <c r="E2805" s="3" t="n"/>
      <c r="F2805" s="3" t="inlineStr">
        <is>
          <t>ធ្វើបច្ចុប្បន្នភាពវេន</t>
        </is>
      </c>
      <c r="G2805" s="3" t="n"/>
      <c r="H2805" s="217" t="inlineStr">
        <is>
          <t>"delivery.warehouse.shift.updateShift": "ធ្វើបច្ចុប្បន្នភាពវេន",</t>
        </is>
      </c>
      <c r="I2805" t="inlineStr">
        <is>
          <t>ធ្វើបច្ចុប្បន្នភាពវេន</t>
        </is>
      </c>
    </row>
    <row r="2806">
      <c r="A2806" s="3" t="inlineStr">
        <is>
          <t>delivery.warehouse.shift.userUpdate</t>
        </is>
      </c>
      <c r="B2806" s="3" t="inlineStr">
        <is>
          <t>Người cập nhật</t>
        </is>
      </c>
      <c r="C2806" s="3" t="inlineStr">
        <is>
          <t>Update by</t>
        </is>
      </c>
      <c r="D2806" s="217">
        <f>IFERROR(__xludf.DUMMYFUNCTION("GOOGLETRANSLATE(C2806,""vi"",""km"")"),"ធ្វើបច្ចុប្បន្នភាពដោយ")</f>
        <v/>
      </c>
      <c r="E2806" s="3" t="n"/>
      <c r="F2806" s="3" t="inlineStr">
        <is>
          <t>ធ្វើបច្ចុប្បន្នភាពដោយ</t>
        </is>
      </c>
      <c r="G2806" s="3" t="n"/>
      <c r="H2806" s="217" t="inlineStr">
        <is>
          <t>"delivery.warehouse.shift.userUpdate": "ធ្វើបច្ចុប្បន្នភាពដោយ",</t>
        </is>
      </c>
      <c r="I2806" t="inlineStr">
        <is>
          <t>ធ្វើបច្ចុប្បន្នភាពដោយ</t>
        </is>
      </c>
    </row>
    <row r="2807">
      <c r="A2807" s="3" t="inlineStr">
        <is>
          <t>delivery.warehouse.slider.BacklogReport</t>
        </is>
      </c>
      <c r="B2807" s="3" t="inlineStr">
        <is>
          <t>Báo cáo tồn giao</t>
        </is>
      </c>
      <c r="C2807" s="3" t="inlineStr">
        <is>
          <t>Inventory of delivery report</t>
        </is>
      </c>
      <c r="D2807" s="217">
        <f>IFERROR(__xludf.DUMMYFUNCTION("GOOGLETRANSLATE(C2807,""vi"",""km"")"),"របាយការណ៍ស្តុកទំនិញ")</f>
        <v/>
      </c>
      <c r="E2807" s="3" t="n"/>
      <c r="F2807" s="3" t="inlineStr">
        <is>
          <t>របាយការណ៍ស្តុកទំនិញ</t>
        </is>
      </c>
      <c r="G2807" s="3" t="n"/>
      <c r="H2807" s="217" t="inlineStr">
        <is>
          <t>"delivery.warehouse.slider.BacklogReport": "របាយការណ៍ស្តុកទំនិញ",</t>
        </is>
      </c>
      <c r="I2807" t="inlineStr">
        <is>
          <t>របាយការណ៍ស្តុកទំនិញ</t>
        </is>
      </c>
    </row>
    <row r="2808">
      <c r="A2808" s="3" t="inlineStr">
        <is>
          <t>delivery.warehouse.slider.BranchManager</t>
        </is>
      </c>
      <c r="B2808" s="3" t="inlineStr">
        <is>
          <t>Quản lý chi nhánh</t>
        </is>
      </c>
      <c r="C2808" s="3" t="inlineStr">
        <is>
          <t>Branch management</t>
        </is>
      </c>
      <c r="D2808" s="217">
        <f>IFERROR(__xludf.DUMMYFUNCTION("GOOGLETRANSLATE(C2808,""vi"",""km"")"),"ការគ្រប់គ្រងសាខា")</f>
        <v/>
      </c>
      <c r="E2808" s="3" t="n"/>
      <c r="F2808" s="3" t="inlineStr">
        <is>
          <t>ការគ្រប់គ្រងសាខា</t>
        </is>
      </c>
      <c r="G2808" s="3" t="n"/>
      <c r="H2808" s="217" t="inlineStr">
        <is>
          <t>"delivery.warehouse.slider.BranchManager": "ការគ្រប់គ្រងសាខា",</t>
        </is>
      </c>
      <c r="I2808" t="inlineStr">
        <is>
          <t>ការគ្រប់គ្រងសាខា</t>
        </is>
      </c>
    </row>
    <row r="2809">
      <c r="A2809" s="3" t="inlineStr">
        <is>
          <t>delivery.warehouse.slider.BranchOperating</t>
        </is>
      </c>
      <c r="B2809" s="3" t="inlineStr">
        <is>
          <t>Điều hành chi nhánh</t>
        </is>
      </c>
      <c r="C2809" s="3" t="inlineStr">
        <is>
          <t>Branch Operation</t>
        </is>
      </c>
      <c r="D2809" s="217">
        <f>IFERROR(__xludf.DUMMYFUNCTION("GOOGLETRANSLATE(C2809,""vi"",""km"")"),"ប្រតិបត្តិការសាខា")</f>
        <v/>
      </c>
      <c r="E2809" s="3" t="n"/>
      <c r="F2809" s="3" t="inlineStr">
        <is>
          <t>ប្រតិបត្តិការសាខា</t>
        </is>
      </c>
      <c r="G2809" s="3" t="n"/>
      <c r="H2809" s="217" t="inlineStr">
        <is>
          <t>"delivery.warehouse.slider.BranchOperating": "ប្រតិបត្តិការសាខា",</t>
        </is>
      </c>
      <c r="I2809" t="inlineStr">
        <is>
          <t>ប្រតិបត្តិការសាខា</t>
        </is>
      </c>
    </row>
    <row r="2810">
      <c r="A2810" s="3" t="inlineStr">
        <is>
          <t>delivery.warehouse.slider.BusinessWrap</t>
        </is>
      </c>
      <c r="B2810" s="3" t="inlineStr">
        <is>
          <t>Kinh doanh</t>
        </is>
      </c>
      <c r="C2810" s="3" t="inlineStr">
        <is>
          <t>Business</t>
        </is>
      </c>
      <c r="D2810" s="217">
        <f>IFERROR(__xludf.DUMMYFUNCTION("GOOGLETRANSLATE(C2810,""vi"",""km"")"),"អាជីវកម្ម")</f>
        <v/>
      </c>
      <c r="E2810" s="3" t="n"/>
      <c r="F2810" s="3" t="inlineStr">
        <is>
          <t>អាជីវកម្ម</t>
        </is>
      </c>
      <c r="G2810" s="3" t="n"/>
      <c r="H2810" s="217" t="inlineStr">
        <is>
          <t>"delivery.warehouse.slider.BusinessWrap": "អាជីវកម្ម",</t>
        </is>
      </c>
      <c r="I2810" t="inlineStr">
        <is>
          <t>អាជីវកម្ម</t>
        </is>
      </c>
    </row>
    <row r="2811">
      <c r="A2811" s="3" t="inlineStr">
        <is>
          <t>delivery.warehouse.slider.Category</t>
        </is>
      </c>
      <c r="B2811" s="3" t="inlineStr">
        <is>
          <t>Danh mục</t>
        </is>
      </c>
      <c r="C2811" s="3" t="inlineStr">
        <is>
          <t>Category</t>
        </is>
      </c>
      <c r="D2811" s="217">
        <f>IFERROR(__xludf.DUMMYFUNCTION("GOOGLETRANSLATE(C2811,""vi"",""km"")"),"ថ្នាក់")</f>
        <v/>
      </c>
      <c r="E2811" s="3" t="n"/>
      <c r="F2811" s="3" t="inlineStr">
        <is>
          <t>ថ្នាក់</t>
        </is>
      </c>
      <c r="G2811" s="3" t="n"/>
      <c r="H2811" s="217" t="inlineStr">
        <is>
          <t>"delivery.warehouse.slider.Category": "ថ្នាក់",</t>
        </is>
      </c>
      <c r="I2811" t="inlineStr">
        <is>
          <t>ថ្នាក់</t>
        </is>
      </c>
    </row>
    <row r="2812">
      <c r="A2812" s="3" t="inlineStr">
        <is>
          <t>delivery.warehouse.slider.ChangePass</t>
        </is>
      </c>
      <c r="B2812" s="3" t="inlineStr">
        <is>
          <t>Đổi mật khẩu</t>
        </is>
      </c>
      <c r="C2812" s="3" t="inlineStr">
        <is>
          <t>Change password</t>
        </is>
      </c>
      <c r="D2812" s="217">
        <f>IFERROR(__xludf.DUMMYFUNCTION("GOOGLETRANSLATE(C2812,""vi"",""km"")"),"ប្តូរពាក្យសម្ងាត់")</f>
        <v/>
      </c>
      <c r="E2812" s="3" t="n"/>
      <c r="F2812" s="3" t="inlineStr">
        <is>
          <t>ប្តូរពាក្យសម្ងាត់</t>
        </is>
      </c>
      <c r="G2812" s="3" t="n"/>
      <c r="H2812" s="217" t="inlineStr">
        <is>
          <t>"delivery.warehouse.slider.ChangePass": "ប្តូរពាក្យសម្ងាត់",</t>
        </is>
      </c>
      <c r="I2812" t="inlineStr">
        <is>
          <t>ប្តូរពាក្យសម្ងាត់</t>
        </is>
      </c>
    </row>
    <row r="2813">
      <c r="A2813" s="3" t="inlineStr">
        <is>
          <t>delivery.warehouse.slider.Config</t>
        </is>
      </c>
      <c r="B2813" s="3" t="inlineStr">
        <is>
          <t>Cấu hình</t>
        </is>
      </c>
      <c r="C2813" s="3" t="inlineStr">
        <is>
          <t>Config</t>
        </is>
      </c>
      <c r="D2813" s="217">
        <f>IFERROR(__xludf.DUMMYFUNCTION("GOOGLETRANSLATE(C2813,""vi"",""km"")"),"កំណត់រចនាសម្ព័ន្ធ")</f>
        <v/>
      </c>
      <c r="E2813" s="3" t="n"/>
      <c r="F2813" s="3" t="inlineStr">
        <is>
          <t>កំណត់រចនាសម្ព័ន្ធ</t>
        </is>
      </c>
      <c r="G2813" s="3" t="n"/>
      <c r="H2813" s="217" t="inlineStr">
        <is>
          <t>"delivery.warehouse.slider.Config": "កំណត់រចនាសម្ព័ន្ធ",</t>
        </is>
      </c>
      <c r="I2813" t="inlineStr">
        <is>
          <t>កំណត់រចនាសម្ព័ន្ធ</t>
        </is>
      </c>
    </row>
    <row r="2814">
      <c r="A2814" s="3" t="inlineStr">
        <is>
          <t>delivery.warehouse.slider.ConfigDelivery</t>
        </is>
      </c>
      <c r="B2814" s="3" t="inlineStr">
        <is>
          <t>Cấu hình tuyến giao</t>
        </is>
      </c>
      <c r="C2814" s="3" t="inlineStr">
        <is>
          <t>Config delivery</t>
        </is>
      </c>
      <c r="D2814" s="217">
        <f>IFERROR(__xludf.DUMMYFUNCTION("GOOGLETRANSLATE(C2814,""vi"",""km"")"),"ការចែកចាយកំណត់រចនាសម្ព័ន្ធ")</f>
        <v/>
      </c>
      <c r="E2814" s="3" t="n"/>
      <c r="F2814" s="3" t="inlineStr">
        <is>
          <t>ការចែកចាយកំណត់រចនាសម្ព័ន្ធ</t>
        </is>
      </c>
      <c r="G2814" s="3" t="n"/>
      <c r="H2814" s="217" t="inlineStr">
        <is>
          <t>"delivery.warehouse.slider.ConfigDelivery": "ការចែកចាយកំណត់រចនាសម្ព័ន្ធ",</t>
        </is>
      </c>
      <c r="I2814" t="inlineStr">
        <is>
          <t>ការចែកចាយកំណត់រចនាសម្ព័ន្ធ</t>
        </is>
      </c>
    </row>
    <row r="2815">
      <c r="A2815" s="3" t="inlineStr">
        <is>
          <t>delivery.warehouse.slider.ConfigReceivingDelivery</t>
        </is>
      </c>
      <c r="B2815" s="3" t="inlineStr">
        <is>
          <t>Cấu hình tuyến nhận-giao</t>
        </is>
      </c>
      <c r="C2815" s="3" t="inlineStr">
        <is>
          <t>Config route-delivery</t>
        </is>
      </c>
      <c r="D2815" s="217">
        <f>IFERROR(__xludf.DUMMYFUNCTION("GOOGLETRANSLATE(C2815,""vi"",""km"")"),"កំណត់រចនាសម្ព័ន្ធការដឹកជញ្ជូនផ្លូវ")</f>
        <v/>
      </c>
      <c r="E2815" s="3" t="n"/>
      <c r="F2815" s="3" t="inlineStr">
        <is>
          <t>កំណត់រចនាសម្ព័ន្ធការដឹកជញ្ជូនផ្លូវ</t>
        </is>
      </c>
      <c r="G2815" s="3" t="n"/>
      <c r="H2815" s="217" t="inlineStr">
        <is>
          <t>"delivery.warehouse.slider.ConfigReceivingDelivery": "កំណត់រចនាសម្ព័ន្ធការដឹកជញ្ជូនផ្លូវ",</t>
        </is>
      </c>
      <c r="I2815" t="inlineStr">
        <is>
          <t>កំណត់រចនាសម្ព័ន្ធការដឹកជញ្ជូនផ្លូវ</t>
        </is>
      </c>
    </row>
    <row r="2816">
      <c r="A2816" s="3" t="inlineStr">
        <is>
          <t>delivery.warehouse.slider.ConfigRoute</t>
        </is>
      </c>
      <c r="B2816" s="3" t="inlineStr">
        <is>
          <t>Cấu hình tuyến nhận</t>
        </is>
      </c>
      <c r="C2816" s="3" t="inlineStr">
        <is>
          <t>Route config</t>
        </is>
      </c>
      <c r="D2816" s="217">
        <f>IFERROR(__xludf.DUMMYFUNCTION("GOOGLETRANSLATE(C2816,""vi"",""km"")"),"ការកំណត់រចនាសម្ព័ន្ធផ្លូវ")</f>
        <v/>
      </c>
      <c r="E2816" s="3" t="n"/>
      <c r="F2816" s="3" t="inlineStr">
        <is>
          <t>ការកំណត់រចនាសម្ព័ន្ធផ្លូវ</t>
        </is>
      </c>
      <c r="G2816" s="3" t="n"/>
      <c r="H2816" s="217" t="inlineStr">
        <is>
          <t>"delivery.warehouse.slider.ConfigRoute": "ការកំណត់រចនាសម្ព័ន្ធផ្លូវ",</t>
        </is>
      </c>
      <c r="I2816" t="inlineStr">
        <is>
          <t>ការកំណត់រចនាសម្ព័ន្ធផ្លូវ</t>
        </is>
      </c>
    </row>
    <row r="2817">
      <c r="A2817" s="3" t="inlineStr">
        <is>
          <t>delivery.warehouse.slider.Controller</t>
        </is>
      </c>
      <c r="B2817" s="3" t="inlineStr">
        <is>
          <t>Vận hành</t>
        </is>
      </c>
      <c r="C2817" s="3" t="inlineStr">
        <is>
          <t>Controller</t>
        </is>
      </c>
      <c r="D2817" s="217">
        <f>IFERROR(__xludf.DUMMYFUNCTION("GOOGLETRANSLATE(C2817,""vi"",""km"")"),"មន្ត្រី")</f>
        <v/>
      </c>
      <c r="E2817" s="3" t="n"/>
      <c r="F2817" s="3" t="inlineStr">
        <is>
          <t>មន្ត្រី</t>
        </is>
      </c>
      <c r="G2817" s="3" t="n"/>
      <c r="H2817" s="217" t="inlineStr">
        <is>
          <t>"delivery.warehouse.slider.Controller": "មន្ត្រី",</t>
        </is>
      </c>
      <c r="I2817" t="inlineStr">
        <is>
          <t>មន្ត្រី</t>
        </is>
      </c>
    </row>
    <row r="2818">
      <c r="A2818" s="3" t="inlineStr">
        <is>
          <t>delivery.warehouse.slider.DeliveryKpiReport</t>
        </is>
      </c>
      <c r="B2818" s="3" t="inlineStr">
        <is>
          <t>Báo cáo KPI phát</t>
        </is>
      </c>
      <c r="C2818" s="3" t="inlineStr">
        <is>
          <t>Delivery KPI report</t>
        </is>
      </c>
      <c r="D2818" s="217">
        <f>IFERROR(__xludf.DUMMYFUNCTION("GOOGLETRANSLATE(C2818,""vi"",""km"")"),"របាយការណ៍ KPI នៃការដឹកជញ្ជូន")</f>
        <v/>
      </c>
      <c r="E2818" s="3" t="n"/>
      <c r="F2818" s="3" t="inlineStr">
        <is>
          <t>របាយការណ៍ KPI នៃការដឹកជញ្ជូន</t>
        </is>
      </c>
      <c r="G2818" s="3" t="n"/>
      <c r="H2818" s="217" t="inlineStr">
        <is>
          <t>"delivery.warehouse.slider.DeliveryKpiReport": "របាយការណ៍ KPI នៃការដឹកជញ្ជូន",</t>
        </is>
      </c>
      <c r="I2818" t="inlineStr">
        <is>
          <t>របាយការណ៍ KPI នៃការដឹកជញ្ជូន</t>
        </is>
      </c>
    </row>
    <row r="2819">
      <c r="A2819" s="3" t="inlineStr">
        <is>
          <t>delivery.warehouse.slider.DepartmentManager</t>
        </is>
      </c>
      <c r="B2819" s="3" t="inlineStr">
        <is>
          <t>Quản lý bưu cục</t>
        </is>
      </c>
      <c r="C2819" s="3" t="inlineStr">
        <is>
          <t>Post office management</t>
        </is>
      </c>
      <c r="D2819" s="217">
        <f>IFERROR(__xludf.DUMMYFUNCTION("GOOGLETRANSLATE(C2819,""vi"",""km"")"),"ការគ្រប់គ្រងការិយាល័យប្រៃសណីយ៍")</f>
        <v/>
      </c>
      <c r="E2819" s="3" t="n"/>
      <c r="F2819" s="3" t="inlineStr">
        <is>
          <t>ការគ្រប់គ្រងការិយាល័យប្រៃសណីយ៍</t>
        </is>
      </c>
      <c r="G2819" s="3" t="n"/>
      <c r="H2819" s="217" t="inlineStr">
        <is>
          <t>"delivery.warehouse.slider.DepartmentManager": "ការគ្រប់គ្រងការិយាល័យប្រៃសណីយ៍",</t>
        </is>
      </c>
      <c r="I2819" t="inlineStr">
        <is>
          <t>ការគ្រប់គ្រងការិយាល័យប្រៃសណីយ៍</t>
        </is>
      </c>
    </row>
    <row r="2820">
      <c r="A2820" s="3" t="inlineStr">
        <is>
          <t>delivery.warehouse.slider.DetailDelivery</t>
        </is>
      </c>
      <c r="B2820" s="3" t="inlineStr">
        <is>
          <t>Chi tiết tuyến giao</t>
        </is>
      </c>
      <c r="C2820" s="3" t="inlineStr">
        <is>
          <t>Detail config delivery</t>
        </is>
      </c>
      <c r="D2820" s="217">
        <f>IFERROR(__xludf.DUMMYFUNCTION("GOOGLETRANSLATE(C2820,""vi"",""km"")"),"ការបញ្ជូនការកំណត់រចនាសម្ព័ន្ធលម្អិត")</f>
        <v/>
      </c>
      <c r="E2820" s="3" t="n"/>
      <c r="F2820" s="3" t="inlineStr">
        <is>
          <t>ការបញ្ជូនការកំណត់រចនាសម្ព័ន្ធលម្អិត</t>
        </is>
      </c>
      <c r="G2820" s="3" t="n"/>
      <c r="H2820" s="217" t="inlineStr">
        <is>
          <t>"delivery.warehouse.slider.DetailDelivery": "ការបញ្ជូនការកំណត់រចនាសម្ព័ន្ធលម្អិត",</t>
        </is>
      </c>
      <c r="I2820" t="inlineStr">
        <is>
          <t>ការបញ្ជូនការកំណត់រចនាសម្ព័ន្ធលម្អិត</t>
        </is>
      </c>
    </row>
    <row r="2821">
      <c r="A2821" s="3" t="inlineStr">
        <is>
          <t>delivery.warehouse.slider.DetailPacking</t>
        </is>
      </c>
      <c r="B2821" s="3" t="inlineStr">
        <is>
          <t>Chi tiết tải</t>
        </is>
      </c>
      <c r="C2821" s="3" t="inlineStr">
        <is>
          <t>Package detail</t>
        </is>
      </c>
      <c r="D2821" s="217">
        <f>IFERROR(__xludf.DUMMYFUNCTION("GOOGLETRANSLATE(C2821,""vi"",""km"")"),"ព័ត៌មានលម្អិតអំពីកញ្ចប់")</f>
        <v/>
      </c>
      <c r="E2821" s="3" t="n"/>
      <c r="F2821" s="3" t="inlineStr">
        <is>
          <t>ព័ត៌មានលម្អិតអំពីកញ្ចប់</t>
        </is>
      </c>
      <c r="G2821" s="3" t="n"/>
      <c r="H2821" s="217" t="inlineStr">
        <is>
          <t>"delivery.warehouse.slider.DetailPacking": "ព័ត៌មានលម្អិតអំពីកញ្ចប់",</t>
        </is>
      </c>
      <c r="I2821" t="inlineStr">
        <is>
          <t>ព័ត៌មានលម្អិតអំពីកញ្ចប់</t>
        </is>
      </c>
    </row>
    <row r="2822">
      <c r="A2822" s="3" t="inlineStr">
        <is>
          <t>delivery.warehouse.slider.DetailsRoute</t>
        </is>
      </c>
      <c r="B2822" s="3" t="inlineStr">
        <is>
          <t>Chi tiết tuyến nhận</t>
        </is>
      </c>
      <c r="C2822" s="3" t="inlineStr">
        <is>
          <t>Route details</t>
        </is>
      </c>
      <c r="D2822" s="217">
        <f>IFERROR(__xludf.DUMMYFUNCTION("GOOGLETRANSLATE(C2822,""vi"",""km"")"),"ផ្លូវបិទជិត")</f>
        <v/>
      </c>
      <c r="E2822" s="3" t="n"/>
      <c r="F2822" s="3" t="inlineStr">
        <is>
          <t>ផ្លូវបិទជិត</t>
        </is>
      </c>
      <c r="G2822" s="3" t="n"/>
      <c r="H2822" s="217" t="inlineStr">
        <is>
          <t>"delivery.warehouse.slider.DetailsRoute": "ផ្លូវបិទជិត",</t>
        </is>
      </c>
      <c r="I2822" t="inlineStr">
        <is>
          <t>ផ្លូវបិទជិត</t>
        </is>
      </c>
    </row>
    <row r="2823">
      <c r="A2823" s="3" t="inlineStr">
        <is>
          <t>delivery.warehouse.slider.DetailsService</t>
        </is>
      </c>
      <c r="B2823" s="3" t="inlineStr">
        <is>
          <t>Chi tiết dịch vụ</t>
        </is>
      </c>
      <c r="C2823" s="3" t="inlineStr">
        <is>
          <t>Detail service</t>
        </is>
      </c>
      <c r="D2823" s="217">
        <f>IFERROR(__xludf.DUMMYFUNCTION("GOOGLETRANSLATE(C2823,""vi"",""km"")"),"សេវាកម្មលម្អិត")</f>
        <v/>
      </c>
      <c r="E2823" s="3" t="n"/>
      <c r="F2823" s="3" t="inlineStr">
        <is>
          <t>សេវាកម្មលម្អិត</t>
        </is>
      </c>
      <c r="G2823" s="3" t="n"/>
      <c r="H2823" s="217" t="inlineStr">
        <is>
          <t>"delivery.warehouse.slider.DetailsService": "សេវាកម្មលម្អិត",</t>
        </is>
      </c>
      <c r="I2823" t="inlineStr">
        <is>
          <t>សេវាកម្មលម្អិត</t>
        </is>
      </c>
    </row>
    <row r="2824">
      <c r="A2824" s="3" t="inlineStr">
        <is>
          <t>delivery.warehouse.slider.FinanceWrap</t>
        </is>
      </c>
      <c r="B2824" s="3" t="inlineStr">
        <is>
          <t>Tài chính</t>
        </is>
      </c>
      <c r="C2824" s="3" t="inlineStr">
        <is>
          <t>Finance</t>
        </is>
      </c>
      <c r="D2824" s="217">
        <f>IFERROR(__xludf.DUMMYFUNCTION("GOOGLETRANSLATE(C2824,""vi"",""km"")"),"ហិរញ្ញវត្ថុ")</f>
        <v/>
      </c>
      <c r="E2824" s="3" t="n"/>
      <c r="F2824" s="3" t="inlineStr">
        <is>
          <t>ហិរញ្ញវត្ថុ</t>
        </is>
      </c>
      <c r="G2824" s="3" t="n"/>
      <c r="H2824" s="217" t="inlineStr">
        <is>
          <t>"delivery.warehouse.slider.FinanceWrap": "ហិរញ្ញវត្ថុ",</t>
        </is>
      </c>
      <c r="I2824" t="inlineStr">
        <is>
          <t>ហិរញ្ញវត្ថុ</t>
        </is>
      </c>
    </row>
    <row r="2825">
      <c r="A2825" s="3" t="inlineStr">
        <is>
          <t>delivery.warehouse.slider.InventoryReport</t>
        </is>
      </c>
      <c r="B2825" s="3" t="inlineStr">
        <is>
          <t>Báo cáo tồn thu</t>
        </is>
      </c>
      <c r="C2825" s="3" t="inlineStr">
        <is>
          <t>Inventory of receiving report</t>
        </is>
      </c>
      <c r="D2825" s="217">
        <f>IFERROR(__xludf.DUMMYFUNCTION("GOOGLETRANSLATE(C2825,""vi"",""km"")"),"សារពើភ័ណ្ឌនៃរបាយការណ៍ទទួល")</f>
        <v/>
      </c>
      <c r="E2825" s="3" t="n"/>
      <c r="F2825" s="3" t="inlineStr">
        <is>
          <t>សារពើភ័ណ្ឌនៃរបាយការណ៍ទទួល</t>
        </is>
      </c>
      <c r="G2825" s="3" t="n"/>
      <c r="H2825" s="217" t="inlineStr">
        <is>
          <t>"delivery.warehouse.slider.InventoryReport": "សារពើភ័ណ្ឌនៃរបាយការណ៍ទទួល",</t>
        </is>
      </c>
      <c r="I2825" t="inlineStr">
        <is>
          <t>សារពើភ័ណ្ឌនៃរបាយការណ៍ទទួល</t>
        </is>
      </c>
    </row>
    <row r="2826">
      <c r="A2826" s="3" t="inlineStr">
        <is>
          <t>delivery.warehouse.slider.KpiReport</t>
        </is>
      </c>
      <c r="B2826" s="3" t="inlineStr">
        <is>
          <t>Báo cáo KPI</t>
        </is>
      </c>
      <c r="C2826" s="3" t="inlineStr">
        <is>
          <t>KPI report</t>
        </is>
      </c>
      <c r="D2826" s="217">
        <f>IFERROR(__xludf.DUMMYFUNCTION("GOOGLETRANSLATE(C2826,""vi"",""km"")"),"របាយការណ៍ KPI")</f>
        <v/>
      </c>
      <c r="E2826" s="3" t="n"/>
      <c r="F2826" s="3" t="inlineStr">
        <is>
          <t>របាយការណ៍ KPI</t>
        </is>
      </c>
      <c r="G2826" s="3" t="n"/>
      <c r="H2826" s="217" t="inlineStr">
        <is>
          <t>"delivery.warehouse.slider.KpiReport": "របាយការណ៍ KPI",</t>
        </is>
      </c>
      <c r="I2826" t="inlineStr">
        <is>
          <t>របាយការណ៍ KPI</t>
        </is>
      </c>
    </row>
    <row r="2827">
      <c r="A2827" s="3" t="inlineStr">
        <is>
          <t>delivery.warehouse.slider.ListOrderOfPacking</t>
        </is>
      </c>
      <c r="B2827" s="3" t="inlineStr">
        <is>
          <t>Chi tiết điểm đến</t>
        </is>
      </c>
      <c r="C2827" s="3" t="inlineStr">
        <is>
          <t>Detail destination</t>
        </is>
      </c>
      <c r="D2827" s="217">
        <f>IFERROR(__xludf.DUMMYFUNCTION("GOOGLETRANSLATE(C2827,""vi"",""km"")"),"ផ្នែកខាងមុខបន្ទប់ទឹក")</f>
        <v/>
      </c>
      <c r="E2827" s="3" t="n"/>
      <c r="F2827" s="3" t="inlineStr">
        <is>
          <t>ផ្នែកខាងមុខបន្ទប់ទឹក</t>
        </is>
      </c>
      <c r="G2827" s="3" t="n"/>
      <c r="H2827" s="217" t="inlineStr">
        <is>
          <t>"delivery.warehouse.slider.ListOrderOfPacking": "ផ្នែកខាងមុខបន្ទប់ទឹក",</t>
        </is>
      </c>
      <c r="I2827" t="inlineStr">
        <is>
          <t>ផ្នែកខាងមុខបន្ទប់ទឹក</t>
        </is>
      </c>
    </row>
    <row r="2828">
      <c r="A2828" s="3" t="inlineStr">
        <is>
          <t>delivery.warehouse.slider.LookupCustomer</t>
        </is>
      </c>
      <c r="B2828" s="3" t="inlineStr">
        <is>
          <t>Tra cứu khách hàng</t>
        </is>
      </c>
      <c r="C2828" s="3" t="inlineStr">
        <is>
          <t>Find customers</t>
        </is>
      </c>
      <c r="D2828" s="217">
        <f>IFERROR(__xludf.DUMMYFUNCTION("GOOGLETRANSLATE(C2828,""vi"",""km"")"),"ស្វែងរករូបភាព")</f>
        <v/>
      </c>
      <c r="E2828" s="3" t="n"/>
      <c r="F2828" s="3" t="inlineStr">
        <is>
          <t>ស្វែងរករូបភាព</t>
        </is>
      </c>
      <c r="G2828" s="3" t="n"/>
      <c r="H2828" s="217" t="inlineStr">
        <is>
          <t>"delivery.warehouse.slider.LookupCustomer": "ស្វែងរករូបភាព",</t>
        </is>
      </c>
      <c r="I2828" t="inlineStr">
        <is>
          <t>ស្វែងរករូបភាព</t>
        </is>
      </c>
    </row>
    <row r="2829">
      <c r="A2829" s="3" t="inlineStr">
        <is>
          <t>delivery.warehouse.slider.ModifyOrder</t>
        </is>
      </c>
      <c r="B2829" s="3" t="inlineStr">
        <is>
          <t>Tiếp nhận đơn</t>
        </is>
      </c>
      <c r="C2829" s="3" t="inlineStr">
        <is>
          <t>Accept order</t>
        </is>
      </c>
      <c r="D2829" s="217">
        <f>IFERROR(__xludf.DUMMYFUNCTION("GOOGLETRANSLATE(C2829,""vi"",""km"")"),"ទទួលយកការបញ្ជាទិញ")</f>
        <v/>
      </c>
      <c r="E2829" s="3" t="n"/>
      <c r="F2829" s="3" t="inlineStr">
        <is>
          <t>ទទួលយកការបញ្ជាទិញ</t>
        </is>
      </c>
      <c r="G2829" s="3" t="n"/>
      <c r="H2829" s="217" t="inlineStr">
        <is>
          <t>"delivery.warehouse.slider.ModifyOrder": "ទទួលយកការបញ្ជាទិញ",</t>
        </is>
      </c>
      <c r="I2829" t="inlineStr">
        <is>
          <t>ទទួលយកការបញ្ជាទិញ</t>
        </is>
      </c>
    </row>
    <row r="2830">
      <c r="A2830" s="3" t="inlineStr">
        <is>
          <t>delivery.warehouse.slider.OperateWrap</t>
        </is>
      </c>
      <c r="B2830" s="3" t="inlineStr">
        <is>
          <t>Vận hành</t>
        </is>
      </c>
      <c r="C2830" s="3" t="inlineStr">
        <is>
          <t>Operate</t>
        </is>
      </c>
      <c r="D2830" s="217">
        <f>IFERROR(__xludf.DUMMYFUNCTION("GOOGLETRANSLATE(C2830,""vi"",""km"")"),"ប្រតិបត្តិការ")</f>
        <v/>
      </c>
      <c r="E2830" s="3" t="n"/>
      <c r="F2830" s="3" t="inlineStr">
        <is>
          <t>ប្រតិបត្តិការ</t>
        </is>
      </c>
      <c r="G2830" s="3" t="n"/>
      <c r="H2830" s="217" t="inlineStr">
        <is>
          <t>"delivery.warehouse.slider.OperateWrap": "ប្រតិបត្តិការ",</t>
        </is>
      </c>
      <c r="I2830" t="inlineStr">
        <is>
          <t>ប្រតិបត្តិការ</t>
        </is>
      </c>
    </row>
    <row r="2831">
      <c r="A2831" s="3" t="inlineStr">
        <is>
          <t>delivery.warehouse.slider.Operating</t>
        </is>
      </c>
      <c r="B2831" s="3" t="inlineStr">
        <is>
          <t>Điều hành</t>
        </is>
      </c>
      <c r="C2831" s="3" t="inlineStr">
        <is>
          <t>Operation</t>
        </is>
      </c>
      <c r="D2831" s="217">
        <f>IFERROR(__xludf.DUMMYFUNCTION("GOOGLETRANSLATE(C2831,""vi"",""km"")"),"ប្រតិបត្តិការ")</f>
        <v/>
      </c>
      <c r="E2831" s="3" t="n"/>
      <c r="F2831" s="3" t="inlineStr">
        <is>
          <t>ប្រតិបត្តិការ</t>
        </is>
      </c>
      <c r="G2831" s="3" t="n"/>
      <c r="H2831" s="217" t="inlineStr">
        <is>
          <t>"delivery.warehouse.slider.Operating": "ប្រតិបត្តិការ",</t>
        </is>
      </c>
      <c r="I2831" t="inlineStr">
        <is>
          <t>ប្រតិបត្តិការ</t>
        </is>
      </c>
    </row>
    <row r="2832">
      <c r="A2832" s="3" t="inlineStr">
        <is>
          <t>delivery.warehouse.slider.OrderStatusReport</t>
        </is>
      </c>
      <c r="B2832" s="3" t="inlineStr">
        <is>
          <t>Báo cáo đơn hàng theo trạng thái</t>
        </is>
      </c>
      <c r="C2832" s="3" t="inlineStr">
        <is>
          <t>Order status report</t>
        </is>
      </c>
      <c r="D2832" s="217">
        <f>IFERROR(__xludf.DUMMYFUNCTION("GOOGLETRANSLATE(C2832,""vi"",""km"")"),"របាយការណ៍ស្ថានភាពការបញ្ជាទិញ")</f>
        <v/>
      </c>
      <c r="E2832" s="3" t="n"/>
      <c r="F2832" s="3" t="inlineStr">
        <is>
          <t>របាយការណ៍ស្ថានភាពការបញ្ជាទិញ</t>
        </is>
      </c>
      <c r="G2832" s="3" t="n"/>
      <c r="H2832" s="217" t="inlineStr">
        <is>
          <t>"delivery.warehouse.slider.OrderStatusReport": "របាយការណ៍ស្ថានភាពការបញ្ជាទិញ",</t>
        </is>
      </c>
      <c r="I2832" t="inlineStr">
        <is>
          <t>របាយការណ៍ស្ថានភាពការបញ្ជាទិញ</t>
        </is>
      </c>
    </row>
    <row r="2833">
      <c r="A2833" s="3" t="inlineStr">
        <is>
          <t>delivery.warehouse.slider.OrderStatusReportLabel</t>
        </is>
      </c>
      <c r="B2833" s="3" t="inlineStr">
        <is>
          <t>Đơn hàng theo trạng thái</t>
        </is>
      </c>
      <c r="C2833" s="3" t="inlineStr">
        <is>
          <t>Order status report</t>
        </is>
      </c>
      <c r="D2833" s="217">
        <f>IFERROR(__xludf.DUMMYFUNCTION("GOOGLETRANSLATE(C2833,""vi"",""km"")"),"របាយការណ៍ស្ថានភាពការបញ្ជាទិញ")</f>
        <v/>
      </c>
      <c r="E2833" s="3" t="n"/>
      <c r="F2833" s="3" t="inlineStr">
        <is>
          <t>របាយការណ៍ស្ថានភាពការបញ្ជាទិញ</t>
        </is>
      </c>
      <c r="G2833" s="3" t="n"/>
      <c r="H2833" s="217" t="inlineStr">
        <is>
          <t>"delivery.warehouse.slider.OrderStatusReportLabel": "របាយការណ៍ស្ថានភាពការបញ្ជាទិញ",</t>
        </is>
      </c>
      <c r="I2833" t="inlineStr">
        <is>
          <t>របាយការណ៍ស្ថានភាពការបញ្ជាទិញ</t>
        </is>
      </c>
    </row>
    <row r="2834">
      <c r="A2834" s="3" t="inlineStr">
        <is>
          <t>delivery.warehouse.slider.OrderStatusReportLabelV2</t>
        </is>
      </c>
      <c r="B2834" s="3" t="inlineStr">
        <is>
          <t>Đơn hàng theo trạng thái</t>
        </is>
      </c>
      <c r="C2834" s="3" t="inlineStr">
        <is>
          <t>Order status report</t>
        </is>
      </c>
      <c r="D2834" s="217">
        <f>IFERROR(__xludf.DUMMYFUNCTION("GOOGLETRANSLATE(C2834,""vi"",""km"")"),"របាយការណ៍ស្ថានភាពការបញ្ជាទិញ")</f>
        <v/>
      </c>
      <c r="E2834" s="3" t="n"/>
      <c r="F2834" s="3" t="inlineStr">
        <is>
          <t>របាយការណ៍ស្ថានភាពការបញ្ជាទិញ</t>
        </is>
      </c>
      <c r="G2834" s="3" t="n"/>
      <c r="H2834" s="217" t="inlineStr">
        <is>
          <t>"delivery.warehouse.slider.OrderStatusReportLabelV2": "របាយការណ៍ស្ថានភាពការបញ្ជាទិញ",</t>
        </is>
      </c>
      <c r="I2834" t="inlineStr">
        <is>
          <t>របាយការណ៍ស្ថានភាពការបញ្ជាទិញ</t>
        </is>
      </c>
    </row>
    <row r="2835">
      <c r="A2835" s="3" t="inlineStr">
        <is>
          <t>delivery.warehouse.slider.OrderStatusReportV2</t>
        </is>
      </c>
      <c r="B2835" s="3" t="inlineStr">
        <is>
          <t>Báo cáo đơn hàng theo trạng thái</t>
        </is>
      </c>
      <c r="C2835" s="3" t="inlineStr">
        <is>
          <t>Order status report</t>
        </is>
      </c>
      <c r="D2835" s="217">
        <f>IFERROR(__xludf.DUMMYFUNCTION("GOOGLETRANSLATE(C2835,""vi"",""km"")"),"របាយការណ៍ស្ថានភាពការបញ្ជាទិញ")</f>
        <v/>
      </c>
      <c r="E2835" s="3" t="n"/>
      <c r="F2835" s="3" t="inlineStr">
        <is>
          <t>របាយការណ៍ស្ថានភាពការបញ្ជាទិញ</t>
        </is>
      </c>
      <c r="G2835" s="3" t="n"/>
      <c r="H2835" s="217" t="inlineStr">
        <is>
          <t>"delivery.warehouse.slider.OrderStatusReportV2": "របាយការណ៍ស្ថានភាពការបញ្ជាទិញ",</t>
        </is>
      </c>
      <c r="I2835" t="inlineStr">
        <is>
          <t>របាយការណ៍ស្ថានភាពការបញ្ជាទិញ</t>
        </is>
      </c>
    </row>
    <row r="2836">
      <c r="A2836" s="3" t="inlineStr">
        <is>
          <t>delivery.warehouse.slider.OutstandingDebtReport</t>
        </is>
      </c>
      <c r="B2836" s="3" t="inlineStr">
        <is>
          <t>Báo cáo tồn công nợ</t>
        </is>
      </c>
      <c r="C2836" s="3" t="inlineStr">
        <is>
          <t>Outstanding debt report</t>
        </is>
      </c>
      <c r="D2836" s="217">
        <f>IFERROR(__xludf.DUMMYFUNCTION("GOOGLETRANSLATE(C2836,""vi"",""km"")"),"របាយការណ៍បំណុលដែលមិនទាន់សង")</f>
        <v/>
      </c>
      <c r="E2836" s="3" t="n"/>
      <c r="F2836" s="3" t="inlineStr">
        <is>
          <t>របាយការណ៍បំណុលដែលមិនទាន់សង</t>
        </is>
      </c>
      <c r="G2836" s="3" t="n"/>
      <c r="H2836" s="217" t="inlineStr">
        <is>
          <t>"delivery.warehouse.slider.OutstandingDebtReport": "របាយការណ៍បំណុលដែលមិនទាន់សង",</t>
        </is>
      </c>
      <c r="I2836" t="inlineStr">
        <is>
          <t>របាយការណ៍បំណុលដែលមិនទាន់សង</t>
        </is>
      </c>
    </row>
    <row r="2837">
      <c r="A2837" s="3" t="inlineStr">
        <is>
          <t>delivery.warehouse.slider.Packing</t>
        </is>
      </c>
      <c r="B2837" s="3" t="inlineStr">
        <is>
          <t>Đóng tải</t>
        </is>
      </c>
      <c r="C2837" s="3" t="inlineStr">
        <is>
          <t>Packup</t>
        </is>
      </c>
      <c r="D2837" s="217">
        <f>IFERROR(__xludf.DUMMYFUNCTION("GOOGLETRANSLATE(C2837,""vi"",""km"")"),"ការវេចខ្ចប់")</f>
        <v/>
      </c>
      <c r="E2837" s="3" t="n"/>
      <c r="F2837" s="3" t="inlineStr">
        <is>
          <t>ការវេចខ្ចប់</t>
        </is>
      </c>
      <c r="G2837" s="3" t="n"/>
      <c r="H2837" s="217" t="inlineStr">
        <is>
          <t>"delivery.warehouse.slider.Packing": "ការវេចខ្ចប់",</t>
        </is>
      </c>
      <c r="I2837" t="inlineStr">
        <is>
          <t>ការវេចខ្ចប់</t>
        </is>
      </c>
    </row>
    <row r="2838">
      <c r="A2838" s="3" t="inlineStr">
        <is>
          <t>delivery.warehouse.slider.Personnel</t>
        </is>
      </c>
      <c r="B2838" s="3" t="inlineStr">
        <is>
          <t>Nhân sự</t>
        </is>
      </c>
      <c r="C2838" s="3" t="inlineStr">
        <is>
          <t>Human resource</t>
        </is>
      </c>
      <c r="D2838" s="217">
        <f>IFERROR(__xludf.DUMMYFUNCTION("GOOGLETRANSLATE(C2838,""vi"",""km"")"),"ធនធានមនុស្ស")</f>
        <v/>
      </c>
      <c r="E2838" s="3" t="n"/>
      <c r="F2838" s="3" t="inlineStr">
        <is>
          <t>ធនធានមនុស្ស</t>
        </is>
      </c>
      <c r="G2838" s="3" t="n"/>
      <c r="H2838" s="217" t="inlineStr">
        <is>
          <t>"delivery.warehouse.slider.Personnel": "ធនធានមនុស្ស",</t>
        </is>
      </c>
      <c r="I2838" t="inlineStr">
        <is>
          <t>ធនធានមនុស្ស</t>
        </is>
      </c>
    </row>
    <row r="2839">
      <c r="A2839" s="3" t="inlineStr">
        <is>
          <t>delivery.warehouse.slider.PostofficeOperating</t>
        </is>
      </c>
      <c r="B2839" s="3" t="inlineStr">
        <is>
          <t>Điều hành bưu cục</t>
        </is>
      </c>
      <c r="C2839" s="3" t="inlineStr">
        <is>
          <t>Post Office Operation</t>
        </is>
      </c>
      <c r="D2839" s="217">
        <f>IFERROR(__xludf.DUMMYFUNCTION("GOOGLETRANSLATE(C2839,""vi"",""km"")"),"ប្រតិបត្តិការការិយាល័យប្រៃសណីយ៍")</f>
        <v/>
      </c>
      <c r="E2839" s="3" t="n"/>
      <c r="F2839" s="3" t="inlineStr">
        <is>
          <t>ប្រតិបត្តិការការិយាល័យប្រៃសណីយ៍</t>
        </is>
      </c>
      <c r="G2839" s="3" t="n"/>
      <c r="H2839" s="217" t="inlineStr">
        <is>
          <t>"delivery.warehouse.slider.PostofficeOperating": "ប្រតិបត្តិការការិយាល័យប្រៃសណីយ៍",</t>
        </is>
      </c>
      <c r="I2839" t="inlineStr">
        <is>
          <t>ប្រតិបត្តិការការិយាល័យប្រៃសណីយ៍</t>
        </is>
      </c>
    </row>
    <row r="2840">
      <c r="A2840" s="3" t="inlineStr">
        <is>
          <t>delivery.warehouse.slider.PriceManager</t>
        </is>
      </c>
      <c r="B2840" s="3" t="inlineStr">
        <is>
          <t>Quản lý bảng giá</t>
        </is>
      </c>
      <c r="C2840" s="3" t="inlineStr">
        <is>
          <t>Price manager</t>
        </is>
      </c>
      <c r="D2840" s="217">
        <f>IFERROR(__xludf.DUMMYFUNCTION("GOOGLETRANSLATE(C2840,""vi"",""km"")"),"អ្នកគ្រប់គ្រងតម្លៃ")</f>
        <v/>
      </c>
      <c r="E2840" s="3" t="n"/>
      <c r="F2840" s="3" t="inlineStr">
        <is>
          <t>អ្នកគ្រប់គ្រងតម្លៃ</t>
        </is>
      </c>
      <c r="G2840" s="3" t="n"/>
      <c r="H2840" s="217" t="inlineStr">
        <is>
          <t>"delivery.warehouse.slider.PriceManager": "អ្នកគ្រប់គ្រងតម្លៃ",</t>
        </is>
      </c>
      <c r="I2840" t="inlineStr">
        <is>
          <t>អ្នកគ្រប់គ្រងតម្លៃ</t>
        </is>
      </c>
    </row>
    <row r="2841">
      <c r="A2841" s="3" t="inlineStr">
        <is>
          <t>delivery.warehouse.slider.Process</t>
        </is>
      </c>
      <c r="B2841" s="3" t="inlineStr">
        <is>
          <t>Khai thác đến</t>
        </is>
      </c>
      <c r="C2841" s="3" t="inlineStr">
        <is>
          <t>Process</t>
        </is>
      </c>
      <c r="D2841" s="217">
        <f>IFERROR(__xludf.DUMMYFUNCTION("GOOGLETRANSLATE(C2841,""vi"",""km"")"),"ដំណើរការ")</f>
        <v/>
      </c>
      <c r="E2841" s="3" t="n"/>
      <c r="F2841" s="3" t="inlineStr">
        <is>
          <t>ដំណើរការ</t>
        </is>
      </c>
      <c r="G2841" s="3" t="n"/>
      <c r="H2841" s="217" t="inlineStr">
        <is>
          <t>"delivery.warehouse.slider.Process": "ដំណើរការ",</t>
        </is>
      </c>
      <c r="I2841" t="inlineStr">
        <is>
          <t>ដំណើរការ</t>
        </is>
      </c>
    </row>
    <row r="2842">
      <c r="A2842" s="3" t="inlineStr">
        <is>
          <t>delivery.warehouse.slider.ReceivingKpiReport</t>
        </is>
      </c>
      <c r="B2842" s="3" t="inlineStr">
        <is>
          <t>Báo cáo KPI thu</t>
        </is>
      </c>
      <c r="C2842" s="3" t="inlineStr">
        <is>
          <t>Receving KPI report</t>
        </is>
      </c>
      <c r="D2842" s="217">
        <f>IFERROR(__xludf.DUMMYFUNCTION("GOOGLETRANSLATE(C2842,""vi"",""km"")"),"កំពុងទទួលរបាយការណ៍ KPI")</f>
        <v/>
      </c>
      <c r="E2842" s="3" t="n"/>
      <c r="F2842" s="3" t="inlineStr">
        <is>
          <t>កំពុងទទួលរបាយការណ៍ KPI</t>
        </is>
      </c>
      <c r="G2842" s="3" t="n"/>
      <c r="H2842" s="217" t="inlineStr">
        <is>
          <t>"delivery.warehouse.slider.ReceivingKpiReport": "កំពុងទទួលរបាយការណ៍ KPI",</t>
        </is>
      </c>
      <c r="I2842" t="inlineStr">
        <is>
          <t>កំពុងទទួលរបាយការណ៍ KPI</t>
        </is>
      </c>
    </row>
    <row r="2843">
      <c r="A2843" s="3" t="inlineStr">
        <is>
          <t>delivery.warehouse.slider.ReportManager</t>
        </is>
      </c>
      <c r="B2843" s="3" t="inlineStr">
        <is>
          <t>Báo cáo</t>
        </is>
      </c>
      <c r="C2843" s="3" t="inlineStr">
        <is>
          <t>Report</t>
        </is>
      </c>
      <c r="D2843" s="217">
        <f>IFERROR(__xludf.DUMMYFUNCTION("GOOGLETRANSLATE(C2843,""vi"",""km"")"),"រាយការណ៍")</f>
        <v/>
      </c>
      <c r="E2843" s="3" t="n"/>
      <c r="F2843" s="3" t="inlineStr">
        <is>
          <t>របាយការណ៍</t>
        </is>
      </c>
      <c r="G2843" s="3" t="n"/>
      <c r="H2843" s="217" t="inlineStr">
        <is>
          <t>"delivery.warehouse.slider.ReportManager": "របាយការណ៍",</t>
        </is>
      </c>
      <c r="I2843" t="inlineStr">
        <is>
          <t>របាយការណ៍</t>
        </is>
      </c>
    </row>
    <row r="2844">
      <c r="A2844" s="3" t="inlineStr">
        <is>
          <t>delivery.warehouse.slider.Revenue</t>
        </is>
      </c>
      <c r="B2844" s="3" t="inlineStr">
        <is>
          <t>Doanh thu</t>
        </is>
      </c>
      <c r="C2844" s="3" t="inlineStr">
        <is>
          <t>Revenue</t>
        </is>
      </c>
      <c r="D2844" s="217">
        <f>IFERROR(__xludf.DUMMYFUNCTION("GOOGLETRANSLATE(C2844,""vi"",""km"")"),"រូបិយប័ណ្ណ")</f>
        <v/>
      </c>
      <c r="E2844" s="3" t="n"/>
      <c r="F2844" s="3" t="inlineStr">
        <is>
          <t>រូបិយប័ណ្ណ</t>
        </is>
      </c>
      <c r="G2844" s="3" t="n"/>
      <c r="H2844" s="217" t="inlineStr">
        <is>
          <t>"delivery.warehouse.slider.Revenue": "រូបិយប័ណ្ណ",</t>
        </is>
      </c>
      <c r="I2844" t="inlineStr">
        <is>
          <t>រូបិយប័ណ្ណ</t>
        </is>
      </c>
    </row>
    <row r="2845">
      <c r="A2845" s="3" t="inlineStr">
        <is>
          <t>delivery.warehouse.slider.RevenueManagement</t>
        </is>
      </c>
      <c r="B2845" s="3" t="inlineStr">
        <is>
          <t>Quản lý doanh thu</t>
        </is>
      </c>
      <c r="C2845" s="3" t="inlineStr">
        <is>
          <t>Revenue management</t>
        </is>
      </c>
      <c r="D2845" s="217">
        <f>IFERROR(__xludf.DUMMYFUNCTION("GOOGLETRANSLATE(C2845,""vi"",""km"")"),"ការគ្រប់គ្រងការស្តារឡើងវិញ")</f>
        <v/>
      </c>
      <c r="E2845" s="3" t="n"/>
      <c r="F2845" s="3" t="inlineStr">
        <is>
          <t>ការគ្រប់គ្រងការស្តារឡើងវិញ</t>
        </is>
      </c>
      <c r="G2845" s="3" t="n"/>
      <c r="H2845" s="217" t="inlineStr">
        <is>
          <t>"delivery.warehouse.slider.RevenueManagement": "ការគ្រប់គ្រងការស្តារឡើងវិញ",</t>
        </is>
      </c>
      <c r="I2845" t="inlineStr">
        <is>
          <t>ការគ្រប់គ្រងការស្តារឡើងវិញ</t>
        </is>
      </c>
    </row>
    <row r="2846">
      <c r="A2846" s="3" t="inlineStr">
        <is>
          <t>delivery.warehouse.slider.RevenueOutput</t>
        </is>
      </c>
      <c r="B2846" s="3" t="inlineStr">
        <is>
          <t>Doanh thu sản lượng</t>
        </is>
      </c>
      <c r="C2846" s="3" t="inlineStr">
        <is>
          <t>Revenue Report</t>
        </is>
      </c>
      <c r="D2846" s="217">
        <f>IFERROR(__xludf.DUMMYFUNCTION("GOOGLETRANSLATE(C2846,""vi"",""km"")"),"របាយការណ៍ប្រាក់ចំណូល")</f>
        <v/>
      </c>
      <c r="E2846" s="3" t="n"/>
      <c r="F2846" s="3" t="inlineStr">
        <is>
          <t>របាយការណ៍ប្រាក់ចំណូល</t>
        </is>
      </c>
      <c r="G2846" s="3" t="n"/>
      <c r="H2846" s="217" t="inlineStr">
        <is>
          <t>"delivery.warehouse.slider.RevenueOutput": "របាយការណ៍ប្រាក់ចំណូល",</t>
        </is>
      </c>
      <c r="I2846" t="inlineStr">
        <is>
          <t>របាយការណ៍ប្រាក់ចំណូល</t>
        </is>
      </c>
    </row>
    <row r="2847">
      <c r="A2847" s="3" t="inlineStr">
        <is>
          <t>delivery.warehouse.slider.RevenueOutputNew</t>
        </is>
      </c>
      <c r="B2847" s="3" t="inlineStr">
        <is>
          <t>Doanh thu sản lượng mới</t>
        </is>
      </c>
      <c r="C2847" s="3" t="inlineStr">
        <is>
          <t>New production revenue</t>
        </is>
      </c>
      <c r="D2847" s="217">
        <f>IFERROR(__xludf.DUMMYFUNCTION("GOOGLETRANSLATE(C2847,""vi"",""km"")"),"ប្រាក់ចំណូលផលិតកម្មថ្មី")</f>
        <v/>
      </c>
      <c r="E2847" s="3" t="n"/>
      <c r="F2847" s="3" t="inlineStr">
        <is>
          <t>ប្រាក់ចំណូលផលិតកម្មថ្មី</t>
        </is>
      </c>
      <c r="G2847" s="3" t="n"/>
      <c r="H2847" s="217" t="inlineStr">
        <is>
          <t>"delivery.warehouse.slider.RevenueOutputNew": "ប្រាក់ចំណូលផលិតកម្មថ្មី",</t>
        </is>
      </c>
      <c r="I2847" t="inlineStr">
        <is>
          <t>ប្រាក់ចំណូលផលិតកម្មថ្មី</t>
        </is>
      </c>
    </row>
    <row r="2848">
      <c r="A2848" s="3" t="inlineStr">
        <is>
          <t>delivery.warehouse.slider.RevenueOutputV2</t>
        </is>
      </c>
      <c r="B2848" s="3" t="inlineStr">
        <is>
          <t>Doanh thu sản lượng</t>
        </is>
      </c>
      <c r="C2848" s="3" t="inlineStr">
        <is>
          <t>Revenue Report</t>
        </is>
      </c>
      <c r="D2848" s="217">
        <f>IFERROR(__xludf.DUMMYFUNCTION("GOOGLETRANSLATE(C2848,""vi"",""km"")"),"របាយការណ៍ប្រាក់ចំណូល")</f>
        <v/>
      </c>
      <c r="E2848" s="3" t="n"/>
      <c r="F2848" s="3" t="inlineStr">
        <is>
          <t>របាយការណ៍ប្រាក់ចំណូល</t>
        </is>
      </c>
      <c r="G2848" s="3" t="n"/>
      <c r="H2848" s="217" t="inlineStr">
        <is>
          <t>"delivery.warehouse.slider.RevenueOutputV2": "របាយការណ៍ប្រាក់ចំណូល",</t>
        </is>
      </c>
      <c r="I2848" t="inlineStr">
        <is>
          <t>របាយការណ៍ប្រាក់ចំណូល</t>
        </is>
      </c>
    </row>
    <row r="2849">
      <c r="A2849" s="3" t="inlineStr">
        <is>
          <t>delivery.warehouse.slider.Shift</t>
        </is>
      </c>
      <c r="B2849" s="3" t="inlineStr">
        <is>
          <t>Ca làm việc</t>
        </is>
      </c>
      <c r="C2849" s="3" t="inlineStr">
        <is>
          <t>Shift</t>
        </is>
      </c>
      <c r="D2849" s="217">
        <f>IFERROR(__xludf.DUMMYFUNCTION("GOOGLETRANSLATE(C2849,""vi"",""km"")"),"វេន")</f>
        <v/>
      </c>
      <c r="E2849" s="3" t="n"/>
      <c r="F2849" s="3" t="inlineStr">
        <is>
          <t>វេន</t>
        </is>
      </c>
      <c r="G2849" s="3" t="n"/>
      <c r="H2849" s="217" t="inlineStr">
        <is>
          <t>"delivery.warehouse.slider.Shift": "វេន",</t>
        </is>
      </c>
      <c r="I2849" t="inlineStr">
        <is>
          <t>វេន</t>
        </is>
      </c>
    </row>
    <row r="2850">
      <c r="A2850" s="3" t="inlineStr">
        <is>
          <t>delivery.warehouse.slider.SortingScreen</t>
        </is>
      </c>
      <c r="B2850" s="3" t="inlineStr">
        <is>
          <t>Cấu hình chia chọn</t>
        </is>
      </c>
      <c r="C2850" s="3" t="inlineStr">
        <is>
          <t>Split configuration</t>
        </is>
      </c>
      <c r="D2850" s="217">
        <f>IFERROR(__xludf.DUMMYFUNCTION("GOOGLETRANSLATE(C2850,""vi"",""km"")"),"ការកំណត់រចនាសម្ព័ន្ធបំបែក")</f>
        <v/>
      </c>
      <c r="E2850" s="3" t="n"/>
      <c r="F2850" s="3" t="inlineStr">
        <is>
          <t>ការកំណត់រចនាសម្ព័ន្ធបំបែក</t>
        </is>
      </c>
      <c r="G2850" s="3" t="n"/>
      <c r="H2850" s="217" t="inlineStr">
        <is>
          <t>"delivery.warehouse.slider.SortingScreen": "ការកំណត់រចនាសម្ព័ន្ធបំបែក",</t>
        </is>
      </c>
      <c r="I2850" t="inlineStr">
        <is>
          <t>ការកំណត់រចនាសម្ព័ន្ធបំបែក</t>
        </is>
      </c>
    </row>
    <row r="2851">
      <c r="A2851" s="3" t="inlineStr">
        <is>
          <t>delivery.warehouse.slider.TrackingOrder</t>
        </is>
      </c>
      <c r="B2851" s="3" t="inlineStr">
        <is>
          <t>Tra cứu hành trình</t>
        </is>
      </c>
      <c r="C2851" s="3" t="inlineStr">
        <is>
          <t>Tracking Order</t>
        </is>
      </c>
      <c r="D2851" s="217">
        <f>IFERROR(__xludf.DUMMYFUNCTION("GOOGLETRANSLATE(C2851,""vi"",""km"")"),"ការបញ្ជាទិញតាមដាន")</f>
        <v/>
      </c>
      <c r="E2851" s="3" t="n"/>
      <c r="F2851" s="3" t="inlineStr">
        <is>
          <t>ការបញ្ជាទិញតាមដាន</t>
        </is>
      </c>
      <c r="G2851" s="3" t="n"/>
      <c r="H2851" s="217" t="inlineStr">
        <is>
          <t>"delivery.warehouse.slider.TrackingOrder": "ការបញ្ជាទិញតាមដាន",</t>
        </is>
      </c>
      <c r="I2851" t="inlineStr">
        <is>
          <t>ការបញ្ជាទិញតាមដាន</t>
        </is>
      </c>
    </row>
    <row r="2852">
      <c r="A2852" s="3" t="inlineStr">
        <is>
          <t>delivery.warehouse.slider.UserManagement</t>
        </is>
      </c>
      <c r="B2852" s="3" t="inlineStr">
        <is>
          <t>Quản lý nhân viên</t>
        </is>
      </c>
      <c r="C2852" s="3" t="inlineStr">
        <is>
          <t>User management</t>
        </is>
      </c>
      <c r="D2852" s="217">
        <f>IFERROR(__xludf.DUMMYFUNCTION("GOOGLETRANSLATE(C2852,""vi"",""km"")"),"ការថែរក្សាស្បែករបស់អ្នកប្រើប្រាស់")</f>
        <v/>
      </c>
      <c r="E2852" s="3" t="n"/>
      <c r="F2852" s="3" t="inlineStr">
        <is>
          <t>ការថែរក្សាស្បែករបស់អ្នកប្រើប្រាស់</t>
        </is>
      </c>
      <c r="G2852" s="3" t="n"/>
      <c r="H2852" s="217" t="inlineStr">
        <is>
          <t>"delivery.warehouse.slider.UserManagement": "ការថែរក្សាស្បែករបស់អ្នកប្រើប្រាស់",</t>
        </is>
      </c>
      <c r="I2852" t="inlineStr">
        <is>
          <t>ការថែរក្សាស្បែករបស់អ្នកប្រើប្រាស់</t>
        </is>
      </c>
    </row>
    <row r="2853">
      <c r="A2853" s="3" t="inlineStr">
        <is>
          <t>delivery.warehouse.slider.packageComplete</t>
        </is>
      </c>
      <c r="B2853" s="3" t="inlineStr">
        <is>
          <t>Đã đóng</t>
        </is>
      </c>
      <c r="C2853" s="3" t="inlineStr">
        <is>
          <t>Completed</t>
        </is>
      </c>
      <c r="D2853" s="217">
        <f>IFERROR(__xludf.DUMMYFUNCTION("GOOGLETRANSLATE(C2853,""vi"",""km"")"),"បានគ្រោងទុក")</f>
        <v/>
      </c>
      <c r="E2853" s="3" t="n"/>
      <c r="F2853" s="3" t="inlineStr">
        <is>
          <t>បានច្រកបាវរួចរាល់</t>
        </is>
      </c>
      <c r="G2853" s="3" t="n"/>
      <c r="H2853" s="217" t="inlineStr">
        <is>
          <t>"delivery.warehouse.slider.packageComplete": "បានច្រកបាវរួចរាល់",</t>
        </is>
      </c>
      <c r="I2853" t="inlineStr">
        <is>
          <t>បានច្រកបាវរួចរាល់</t>
        </is>
      </c>
    </row>
    <row r="2854">
      <c r="A2854" s="3" t="inlineStr">
        <is>
          <t>delivery.warehouse.slider.packageIncomplete</t>
        </is>
      </c>
      <c r="B2854" s="3" t="inlineStr">
        <is>
          <t>Chưa đóng</t>
        </is>
      </c>
      <c r="C2854" s="3" t="inlineStr">
        <is>
          <t>Incomplete</t>
        </is>
      </c>
      <c r="D2854" s="217">
        <f>IFERROR(__xludf.DUMMYFUNCTION("GOOGLETRANSLATE(C2854,""vi"",""km"")"),"មិនពេញលេញ")</f>
        <v/>
      </c>
      <c r="E2854" s="3" t="n"/>
      <c r="F2854" s="3" t="inlineStr">
        <is>
          <t>មិនទាន់ច្រកបាវ</t>
        </is>
      </c>
      <c r="G2854" s="3" t="n"/>
      <c r="H2854" s="217" t="inlineStr">
        <is>
          <t>"delivery.warehouse.slider.packageIncomplete": "មិនទាន់ច្រកបាវ",</t>
        </is>
      </c>
      <c r="I2854" t="inlineStr">
        <is>
          <t>មិនទាន់ច្រកបាវ</t>
        </is>
      </c>
    </row>
    <row r="2855">
      <c r="A2855" s="3" t="inlineStr">
        <is>
          <t>delivery.warehouse.slider.packageProcess</t>
        </is>
      </c>
      <c r="B2855" s="3" t="inlineStr">
        <is>
          <t>Đang đóng</t>
        </is>
      </c>
      <c r="C2855" s="3" t="inlineStr">
        <is>
          <t>Packup in progress</t>
        </is>
      </c>
      <c r="D2855" s="217">
        <f>IFERROR(__xludf.DUMMYFUNCTION("GOOGLETRANSLATE(C2855,""vi"",""km"")"),"ការដំឡើងកំពុងដំណើរការ")</f>
        <v/>
      </c>
      <c r="E2855" s="3" t="n"/>
      <c r="F2855" s="3" t="inlineStr">
        <is>
          <t>កំពុងច្រកបាវ</t>
        </is>
      </c>
      <c r="G2855" s="3" t="n"/>
      <c r="H2855" s="217" t="inlineStr">
        <is>
          <t>"delivery.warehouse.slider.packageProcess": "កំពុងច្រកបាវ",</t>
        </is>
      </c>
      <c r="I2855" t="inlineStr">
        <is>
          <t>កំពុងច្រកបាវ</t>
        </is>
      </c>
    </row>
    <row r="2856">
      <c r="A2856" s="3" t="inlineStr">
        <is>
          <t>delivery.warehouse.sorting.ACTIVE</t>
        </is>
      </c>
      <c r="B2856" s="3" t="inlineStr">
        <is>
          <t>Hiệu lực</t>
        </is>
      </c>
      <c r="C2856" s="3" t="inlineStr">
        <is>
          <t>Validity</t>
        </is>
      </c>
      <c r="D2856" s="217">
        <f>IFERROR(__xludf.DUMMYFUNCTION("GOOGLETRANSLATE(C2856,""vi"",""km"")"),"សុពលភាព")</f>
        <v/>
      </c>
      <c r="E2856" s="3" t="n"/>
      <c r="F2856" s="3" t="inlineStr">
        <is>
          <t>សកម្ម</t>
        </is>
      </c>
      <c r="G2856" s="3" t="n"/>
      <c r="H2856" s="217" t="inlineStr">
        <is>
          <t>"delivery.warehouse.sorting.ACTIVE": "សកម្ម",</t>
        </is>
      </c>
      <c r="I2856" t="inlineStr">
        <is>
          <t>សកម្ម</t>
        </is>
      </c>
    </row>
    <row r="2857">
      <c r="A2857" s="3" t="inlineStr">
        <is>
          <t>delivery.warehouse.sorting.DOCUMENT</t>
        </is>
      </c>
      <c r="B2857" s="3" t="inlineStr">
        <is>
          <t>Thư</t>
        </is>
      </c>
      <c r="C2857" s="3" t="inlineStr">
        <is>
          <t>Letters</t>
        </is>
      </c>
      <c r="D2857" s="217">
        <f>IFERROR(__xludf.DUMMYFUNCTION("GOOGLETRANSLATE(C2857,""vi"",""km"")"),"សំបុត្រ")</f>
        <v/>
      </c>
      <c r="E2857" s="3" t="n"/>
      <c r="F2857" s="3" t="inlineStr">
        <is>
          <t>សំបុត្រ</t>
        </is>
      </c>
      <c r="G2857" s="3" t="n"/>
      <c r="H2857" s="217" t="inlineStr">
        <is>
          <t>"delivery.warehouse.sorting.DOCUMENT": "សំបុត្រ",</t>
        </is>
      </c>
      <c r="I2857" t="inlineStr">
        <is>
          <t>សំបុត្រ</t>
        </is>
      </c>
    </row>
    <row r="2858">
      <c r="A2858" s="3" t="inlineStr">
        <is>
          <t>delivery.warehouse.sorting.EnterboxCode</t>
        </is>
      </c>
      <c r="B2858" s="3" t="inlineStr">
        <is>
          <t>Nhập số hộp</t>
        </is>
      </c>
      <c r="C2858" s="3" t="inlineStr">
        <is>
          <t>Enter the number of boxes</t>
        </is>
      </c>
      <c r="D2858" s="217">
        <f>IFERROR(__xludf.DUMMYFUNCTION("GOOGLETRANSLATE(C2858,""vi"",""km"")"),"បញ្ចូលចំនួនប្រអប់")</f>
        <v/>
      </c>
      <c r="E2858" s="3" t="n"/>
      <c r="F2858" s="3" t="inlineStr">
        <is>
          <t>បញ្ចូលចំនួនប្រអប់</t>
        </is>
      </c>
      <c r="G2858" s="3" t="n"/>
      <c r="H2858" s="217" t="inlineStr">
        <is>
          <t>"delivery.warehouse.sorting.EnterboxCode": "បញ្ចូលចំនួនប្រអប់",</t>
        </is>
      </c>
      <c r="I2858" t="inlineStr">
        <is>
          <t>បញ្ចូលចំនួនប្រអប់</t>
        </is>
      </c>
    </row>
    <row r="2859">
      <c r="A2859" s="3" t="inlineStr">
        <is>
          <t>delivery.warehouse.sorting.GOODS</t>
        </is>
      </c>
      <c r="B2859" s="3" t="inlineStr">
        <is>
          <t>Hàng nhỏ</t>
        </is>
      </c>
      <c r="C2859" s="3" t="inlineStr">
        <is>
          <t>Small items</t>
        </is>
      </c>
      <c r="D2859" s="217">
        <f>IFERROR(__xludf.DUMMYFUNCTION("GOOGLETRANSLATE(C2859,""vi"",""km"")"),"របស់របរតូចៗ")</f>
        <v/>
      </c>
      <c r="E2859" s="3" t="n"/>
      <c r="F2859" s="3" t="inlineStr">
        <is>
          <t>របស់របរតូចៗ</t>
        </is>
      </c>
      <c r="G2859" s="3" t="n"/>
      <c r="H2859" s="217" t="inlineStr">
        <is>
          <t>"delivery.warehouse.sorting.GOODS": "របស់របរតូចៗ",</t>
        </is>
      </c>
      <c r="I2859" t="inlineStr">
        <is>
          <t>របស់របរតូចៗ</t>
        </is>
      </c>
    </row>
    <row r="2860">
      <c r="A2860" s="3" t="inlineStr">
        <is>
          <t>delivery.warehouse.sorting.INACTIVE</t>
        </is>
      </c>
      <c r="B2860" s="3" t="inlineStr">
        <is>
          <t>Hết hiệu lực</t>
        </is>
      </c>
      <c r="C2860" s="3" t="inlineStr">
        <is>
          <t>Expire</t>
        </is>
      </c>
      <c r="D2860" s="217">
        <f>IFERROR(__xludf.DUMMYFUNCTION("GOOGLETRANSLATE(C2860,""vi"",""km"")"),"ផុតកំណត់")</f>
        <v/>
      </c>
      <c r="E2860" s="3" t="n"/>
      <c r="F2860" s="3" t="inlineStr">
        <is>
          <t>អសកម្ម</t>
        </is>
      </c>
      <c r="G2860" s="3" t="n"/>
      <c r="H2860" s="217" t="inlineStr">
        <is>
          <t>"delivery.warehouse.sorting.INACTIVE": "អសកម្ម",</t>
        </is>
      </c>
      <c r="I2860" t="inlineStr">
        <is>
          <t>អសកម្ម</t>
        </is>
      </c>
    </row>
    <row r="2861">
      <c r="A2861" s="3" t="inlineStr">
        <is>
          <t>delivery.warehouse.sorting.addServiceFail</t>
        </is>
      </c>
      <c r="B2861" s="3" t="inlineStr">
        <is>
          <t>Thêm dịch vụ vào nhóm dịch vụ thất bại</t>
        </is>
      </c>
      <c r="C2861" s="3" t="inlineStr">
        <is>
          <t>Adding a service to a service group failed.</t>
        </is>
      </c>
      <c r="D2861" s="217">
        <f>IFERROR(__xludf.DUMMYFUNCTION("GOOGLETRANSLATE(C2861,""vi"",""km"")"),"ការបន្ថែមសេវាកម្មទៅក្នុងក្រុមសេវាកម្មបានបរាជ័យ។")</f>
        <v/>
      </c>
      <c r="E2861" s="3" t="n"/>
      <c r="F2861" s="3" t="inlineStr">
        <is>
          <t>ការបន្ថែមសេវាកម្មទៅក្នុងក្រុមសេវាកម្មបានបរាជ័យ។</t>
        </is>
      </c>
      <c r="G2861" s="3" t="n"/>
      <c r="H2861" s="217" t="inlineStr">
        <is>
          <t>"delivery.warehouse.sorting.addServiceFail": "ការបន្ថែមសេវាកម្មទៅក្នុងក្រុមសេវាកម្មបានបរាជ័យ។",</t>
        </is>
      </c>
      <c r="I2861" t="inlineStr">
        <is>
          <t>ការបន្ថែមសេវាកម្មទៅក្នុងក្រុមសេវាកម្មបានបរាជ័យ។</t>
        </is>
      </c>
    </row>
    <row r="2862">
      <c r="A2862" s="3" t="inlineStr">
        <is>
          <t>delivery.warehouse.sorting.addServiceSuccess</t>
        </is>
      </c>
      <c r="B2862" s="3" t="inlineStr">
        <is>
          <t>Thêm dịch vụ vào nhóm dịch vụ thành công</t>
        </is>
      </c>
      <c r="C2862" s="3" t="inlineStr">
        <is>
          <t>Service added to service group successfully.</t>
        </is>
      </c>
      <c r="D2862" s="217">
        <f>IFERROR(__xludf.DUMMYFUNCTION("GOOGLETRANSLATE(C2862,""vi"",""km"")"),"សេវាកម្មត្រូវបានបន្ថែមទៅក្រុមសេវាកម្មដោយជោគជ័យ។")</f>
        <v/>
      </c>
      <c r="E2862" s="3" t="n"/>
      <c r="F2862" s="3" t="inlineStr">
        <is>
          <t>សេវាកម្មត្រូវបានបន្ថែមទៅក្រុមសេវាកម្មដោយជោគជ័យ។</t>
        </is>
      </c>
      <c r="G2862" s="3" t="n"/>
      <c r="H2862" s="217" t="inlineStr">
        <is>
          <t>"delivery.warehouse.sorting.addServiceSuccess": "សេវាកម្មត្រូវបានបន្ថែមទៅក្រុមសេវាកម្មដោយជោគជ័យ។",</t>
        </is>
      </c>
      <c r="I2862" t="inlineStr">
        <is>
          <t>សេវាកម្មត្រូវបានបន្ថែមទៅក្រុមសេវាកម្មដោយជោគជ័យ។</t>
        </is>
      </c>
    </row>
    <row r="2863">
      <c r="A2863" s="3" t="inlineStr">
        <is>
          <t>delivery.warehouse.sorting.boxCode</t>
        </is>
      </c>
      <c r="B2863" s="3" t="inlineStr">
        <is>
          <t>Số hộp</t>
        </is>
      </c>
      <c r="C2863" s="3" t="inlineStr">
        <is>
          <t>Number of boxes</t>
        </is>
      </c>
      <c r="D2863" s="217">
        <f>IFERROR(__xludf.DUMMYFUNCTION("GOOGLETRANSLATE(C2863,""vi"",""km"")"),"ចំនួនប្រអប់")</f>
        <v/>
      </c>
      <c r="E2863" s="3" t="n"/>
      <c r="F2863" s="3" t="inlineStr">
        <is>
          <t>ចំនួនប្រអប់</t>
        </is>
      </c>
      <c r="G2863" s="3" t="n"/>
      <c r="H2863" s="217" t="inlineStr">
        <is>
          <t>"delivery.warehouse.sorting.boxCode": "ចំនួនប្រអប់",</t>
        </is>
      </c>
      <c r="I2863" t="inlineStr">
        <is>
          <t>ចំនួនប្រអប់</t>
        </is>
      </c>
    </row>
    <row r="2864">
      <c r="A2864" s="3" t="inlineStr">
        <is>
          <t>delivery.warehouse.sorting.configName</t>
        </is>
      </c>
      <c r="B2864" s="3" t="inlineStr">
        <is>
          <t>Tên cấu hình</t>
        </is>
      </c>
      <c r="C2864" s="3" t="inlineStr">
        <is>
          <t>Configuration name</t>
        </is>
      </c>
      <c r="D2864" s="217">
        <f>IFERROR(__xludf.DUMMYFUNCTION("GOOGLETRANSLATE(C2864,""vi"",""km"")"),"ឈ្មោះ​ការកំណត់​រចនាសម្ព័ន្ធ")</f>
        <v/>
      </c>
      <c r="E2864" s="3" t="n"/>
      <c r="F2864" s="3" t="inlineStr">
        <is>
          <t>ឈ្មោះការកំណត់រចនាសម្ព័ន្ធ</t>
        </is>
      </c>
      <c r="G2864" s="3" t="n"/>
      <c r="H2864" s="217" t="inlineStr">
        <is>
          <t>"delivery.warehouse.sorting.configName": "ឈ្មោះការកំណត់រចនាសម្ព័ន្ធ",</t>
        </is>
      </c>
      <c r="I2864" t="inlineStr">
        <is>
          <t>ឈ្មោះការកំណត់រចនាសម្ព័ន្ធ</t>
        </is>
      </c>
    </row>
    <row r="2865">
      <c r="A2865" s="3" t="inlineStr">
        <is>
          <t>delivery.warehouse.sorting.configService</t>
        </is>
      </c>
      <c r="B2865" s="3" t="inlineStr">
        <is>
          <t>Cấu hình nhóm dịch vụ</t>
        </is>
      </c>
      <c r="C2865" s="3" t="inlineStr">
        <is>
          <t>Configure service groups</t>
        </is>
      </c>
      <c r="D2865" s="217">
        <f>IFERROR(__xludf.DUMMYFUNCTION("GOOGLETRANSLATE(C2865,""vi"",""km"")"),"កំណត់រចនាសម្ព័ន្ធក្រុមសេវាកម្ម")</f>
        <v/>
      </c>
      <c r="E2865" s="3" t="n"/>
      <c r="F2865" s="3" t="inlineStr">
        <is>
          <t>កំណត់រចនាសម្ព័ន្ធក្រុមសេវាកម្ម</t>
        </is>
      </c>
      <c r="G2865" s="3" t="n"/>
      <c r="H2865" s="217" t="inlineStr">
        <is>
          <t>"delivery.warehouse.sorting.configService": "កំណត់រចនាសម្ព័ន្ធក្រុមសេវាកម្ម",</t>
        </is>
      </c>
      <c r="I2865" t="inlineStr">
        <is>
          <t>កំណត់រចនាសម្ព័ន្ធក្រុមសេវាកម្ម</t>
        </is>
      </c>
    </row>
    <row r="2866">
      <c r="A2866" s="3" t="inlineStr">
        <is>
          <t>delivery.warehouse.sorting.configSorting</t>
        </is>
      </c>
      <c r="B2866" s="3" t="inlineStr">
        <is>
          <t>Cấu hình chia chọn</t>
        </is>
      </c>
      <c r="C2866" s="3" t="inlineStr">
        <is>
          <t>Split configuration</t>
        </is>
      </c>
      <c r="D2866" s="217">
        <f>IFERROR(__xludf.DUMMYFUNCTION("GOOGLETRANSLATE(C2866,""vi"",""km"")"),"ការកំណត់រចនាសម្ព័ន្ធបំបែក")</f>
        <v/>
      </c>
      <c r="E2866" s="3" t="n"/>
      <c r="F2866" s="3" t="inlineStr">
        <is>
          <t>ការកំណត់រចនាសម្ព័ន្ធបំបែក</t>
        </is>
      </c>
      <c r="G2866" s="3" t="n"/>
      <c r="H2866" s="217" t="inlineStr">
        <is>
          <t>"delivery.warehouse.sorting.configSorting": "ការកំណត់រចនាសម្ព័ន្ធបំបែក",</t>
        </is>
      </c>
      <c r="I2866" t="inlineStr">
        <is>
          <t>ការកំណត់រចនាសម្ព័ន្ធបំបែក</t>
        </is>
      </c>
    </row>
    <row r="2867">
      <c r="A2867" s="3" t="inlineStr">
        <is>
          <t>delivery.warehouse.sorting.configZone</t>
        </is>
      </c>
      <c r="B2867" s="3" t="inlineStr">
        <is>
          <t>Cấu hình vùng đi, vùng đến</t>
        </is>
      </c>
      <c r="C2867" s="3" t="inlineStr">
        <is>
          <t>Configure departure and arrival zones.</t>
        </is>
      </c>
      <c r="D2867" s="217">
        <f>IFERROR(__xludf.DUMMYFUNCTION("GOOGLETRANSLATE(C2867,""vi"",""km"")"),"កំណត់រចនាសម្ព័ន្ធតំបន់ចេញដំណើរ និងតំបន់មកដល់។")</f>
        <v/>
      </c>
      <c r="E2867" s="3" t="n"/>
      <c r="F2867" s="3" t="inlineStr">
        <is>
          <t>កំណត់រចនាសម្ព័ន្ធតំបន់ចេញដំណើរ និងតំបន់មកដល់។</t>
        </is>
      </c>
      <c r="G2867" s="3" t="n"/>
      <c r="H2867" s="217" t="inlineStr">
        <is>
          <t>"delivery.warehouse.sorting.configZone": "កំណត់រចនាសម្ព័ន្ធតំបន់ចេញដំណើរ និងតំបន់មកដល់។",</t>
        </is>
      </c>
      <c r="I2867" t="inlineStr">
        <is>
          <t>កំណត់រចនាសម្ព័ន្ធតំបន់ចេញដំណើរ និងតំបន់មកដល់។</t>
        </is>
      </c>
    </row>
    <row r="2868">
      <c r="A2868" s="3" t="inlineStr">
        <is>
          <t>delivery.warehouse.sorting.confirmChangeStatus</t>
        </is>
      </c>
      <c r="B2868" s="3" t="inlineStr">
        <is>
          <t>Quý khách có chắc chắn muốn {{status}} nhóm dịch vụ</t>
        </is>
      </c>
      <c r="C2868" s="3" t="inlineStr">
        <is>
          <t>Are you sure you want {{status}} service group</t>
        </is>
      </c>
      <c r="D2868" s="217">
        <f>IFERROR(__xludf.DUMMYFUNCTION("GOOGLETRANSLATE(C2868,""vi"",""km"")"),"តើអ្នកពិតជាចង់បានក្រុមសេវាកម្ម {{status}} មែនទេ?")</f>
        <v/>
      </c>
      <c r="E2868" s="3" t="n"/>
      <c r="F2868" s="3" t="inlineStr">
        <is>
          <t>តើអ្នកពិតជាចង់បានក្រុមសេវាកម្ម {{status}} មែនទេ?</t>
        </is>
      </c>
      <c r="G2868" s="3" t="n"/>
      <c r="H2868" s="217" t="inlineStr">
        <is>
          <t>"delivery.warehouse.sorting.confirmChangeStatus": "តើអ្នកពិតជាចង់បានក្រុមសេវាកម្ម {{status}} មែនទេ?",</t>
        </is>
      </c>
      <c r="I2868" t="inlineStr">
        <is>
          <t>តើអ្នកពិតជាចង់បានក្រុមសេវាកម្ម {{status}} មែនទេ?</t>
        </is>
      </c>
    </row>
    <row r="2869">
      <c r="A2869" s="3" t="inlineStr">
        <is>
          <t>delivery.warehouse.sorting.confirmChangeStatusSorting</t>
        </is>
      </c>
      <c r="B2869" s="3" t="inlineStr">
        <is>
          <t>Quý khách có chắc chắn muốn {{status}} tuyến</t>
        </is>
      </c>
      <c r="C2869" s="3" t="inlineStr">
        <is>
          <t>Are you sure you want the {{status}} route?</t>
        </is>
      </c>
      <c r="D2869" s="217">
        <f>IFERROR(__xludf.DUMMYFUNCTION("GOOGLETRANSLATE(C2869,""vi"",""km"")"),"តើអ្នកពិតជាចង់បានផ្លូវ {{status}} មែនទេ?")</f>
        <v/>
      </c>
      <c r="E2869" s="3" t="n"/>
      <c r="F2869" s="3" t="inlineStr">
        <is>
          <t>តើអ្នកពិតជាចង់បានផ្លូវ {{status}} មែនទេ?</t>
        </is>
      </c>
      <c r="G2869" s="3" t="n"/>
      <c r="H2869" s="217" t="inlineStr">
        <is>
          <t>"delivery.warehouse.sorting.confirmChangeStatusSorting": "តើអ្នកពិតជាចង់បានផ្លូវ {{status}} មែនទេ?",</t>
        </is>
      </c>
      <c r="I2869" t="inlineStr">
        <is>
          <t>តើអ្នកពិតជាចង់បានផ្លូវ {{status}} មែនទេ?</t>
        </is>
      </c>
    </row>
    <row r="2870">
      <c r="A2870" s="3" t="inlineStr">
        <is>
          <t>delivery.warehouse.sorting.confirmChangeStatusZone</t>
        </is>
      </c>
      <c r="B2870" s="3" t="inlineStr">
        <is>
          <t>Quý khách có chắc chắn muốn {{status}} tuyến</t>
        </is>
      </c>
      <c r="C2870" s="3" t="inlineStr">
        <is>
          <t>Are you sure you want the {{status}} route?</t>
        </is>
      </c>
      <c r="D2870" s="217">
        <f>IFERROR(__xludf.DUMMYFUNCTION("GOOGLETRANSLATE(C2870,""vi"",""km"")"),"តើអ្នកពិតជាចង់បានផ្លូវ {{status}} មែនទេ?")</f>
        <v/>
      </c>
      <c r="E2870" s="3" t="n"/>
      <c r="F2870" s="3" t="inlineStr">
        <is>
          <t>តើអ្នកពិតជាចង់បានផ្លូវ {{status}} មែនទេ?</t>
        </is>
      </c>
      <c r="G2870" s="3" t="n"/>
      <c r="H2870" s="217" t="inlineStr">
        <is>
          <t>"delivery.warehouse.sorting.confirmChangeStatusZone": "តើអ្នកពិតជាចង់បានផ្លូវ {{status}} មែនទេ?",</t>
        </is>
      </c>
      <c r="I2870" t="inlineStr">
        <is>
          <t>តើអ្នកពិតជាចង់បានផ្លូវ {{status}} មែនទេ?</t>
        </is>
      </c>
    </row>
    <row r="2871">
      <c r="A2871" s="3" t="inlineStr">
        <is>
          <t>delivery.warehouse.sorting.createConfigSorting</t>
        </is>
      </c>
      <c r="B2871" s="3" t="inlineStr">
        <is>
          <t>Tạo mới cấu hình thành công</t>
        </is>
      </c>
      <c r="C2871" s="3" t="inlineStr">
        <is>
          <t>Configuration created successfully.</t>
        </is>
      </c>
      <c r="D2871" s="217">
        <f>IFERROR(__xludf.DUMMYFUNCTION("GOOGLETRANSLATE(C2871,""vi"",""km"")"),"ការកំណត់រចនាសម្ព័ន្ធត្រូវបានបង្កើតដោយជោគជ័យ។")</f>
        <v/>
      </c>
      <c r="E2871" s="3" t="n"/>
      <c r="F2871" s="3" t="inlineStr">
        <is>
          <t>ការកំណត់រចនាសម្ព័ន្ធត្រូវបានបង្កើតដោយជោគជ័យ។</t>
        </is>
      </c>
      <c r="G2871" s="3" t="n"/>
      <c r="H2871" s="217" t="inlineStr">
        <is>
          <t>"delivery.warehouse.sorting.createConfigSorting": "ការកំណត់រចនាសម្ព័ន្ធត្រូវបានបង្កើតដោយជោគជ័យ។",</t>
        </is>
      </c>
      <c r="I2871" t="inlineStr">
        <is>
          <t>ការកំណត់រចនាសម្ព័ន្ធត្រូវបានបង្កើតដោយជោគជ័យ។</t>
        </is>
      </c>
    </row>
    <row r="2872">
      <c r="A2872" s="3" t="inlineStr">
        <is>
          <t>delivery.warehouse.sorting.createConfigZone</t>
        </is>
      </c>
      <c r="B2872" s="3" t="inlineStr">
        <is>
          <t>Thêm mới cấu hình thành công!</t>
        </is>
      </c>
      <c r="C2872" s="3" t="inlineStr">
        <is>
          <t>New configuration added successfully!</t>
        </is>
      </c>
      <c r="D2872" s="217">
        <f>IFERROR(__xludf.DUMMYFUNCTION("GOOGLETRANSLATE(C2872,""vi"",""km"")"),"បានបន្ថែមការកំណត់រចនាសម្ព័ន្ធថ្មីដោយជោគជ័យ!")</f>
        <v/>
      </c>
      <c r="E2872" s="3" t="n"/>
      <c r="F2872" s="3" t="inlineStr">
        <is>
          <t>បានបន្ថែមការកំណត់រចនាសម្ព័ន្ធថ្មីដោយជោគជ័យ!</t>
        </is>
      </c>
      <c r="G2872" s="3" t="n"/>
      <c r="H2872" s="217" t="inlineStr">
        <is>
          <t>"delivery.warehouse.sorting.createConfigZone": "បានបន្ថែមការកំណត់រចនាសម្ព័ន្ធថ្មីដោយជោគជ័យ!",</t>
        </is>
      </c>
      <c r="I2872" t="inlineStr">
        <is>
          <t>បានបន្ថែមការកំណត់រចនាសម្ព័ន្ធថ្មីដោយជោគជ័យ!</t>
        </is>
      </c>
    </row>
    <row r="2873">
      <c r="A2873" s="3" t="inlineStr">
        <is>
          <t>delivery.warehouse.sorting.createService</t>
        </is>
      </c>
      <c r="B2873" s="3" t="inlineStr">
        <is>
          <t>Thêm mới nhóm dịch vụ</t>
        </is>
      </c>
      <c r="C2873" s="3" t="inlineStr">
        <is>
          <t>Add a new service group.</t>
        </is>
      </c>
      <c r="D2873" s="217">
        <f>IFERROR(__xludf.DUMMYFUNCTION("GOOGLETRANSLATE(C2873,""vi"",""km"")"),"បន្ថែមក្រុមសេវាកម្មថ្មី។")</f>
        <v/>
      </c>
      <c r="E2873" s="3" t="n"/>
      <c r="F2873" s="3" t="inlineStr">
        <is>
          <t>បន្ថែមក្រុមសេវាកម្មថ្មី។</t>
        </is>
      </c>
      <c r="G2873" s="3" t="n"/>
      <c r="H2873" s="217" t="inlineStr">
        <is>
          <t>"delivery.warehouse.sorting.createService": "បន្ថែមក្រុមសេវាកម្មថ្មី។",</t>
        </is>
      </c>
      <c r="I2873" t="inlineStr">
        <is>
          <t>បន្ថែមក្រុមសេវាកម្មថ្មី។</t>
        </is>
      </c>
    </row>
    <row r="2874">
      <c r="A2874" s="3" t="inlineStr">
        <is>
          <t>delivery.warehouse.sorting.createServiceGroup</t>
        </is>
      </c>
      <c r="B2874" s="3" t="inlineStr">
        <is>
          <t>Thêm mới nhóm dịch vụ thành công!</t>
        </is>
      </c>
      <c r="C2874" s="3" t="inlineStr">
        <is>
          <t>New service group added successfully!</t>
        </is>
      </c>
      <c r="D2874" s="217">
        <f>IFERROR(__xludf.DUMMYFUNCTION("GOOGLETRANSLATE(C2874,""vi"",""km"")"),"បានបន្ថែមក្រុមសេវាកម្មថ្មីដោយជោគជ័យ!")</f>
        <v/>
      </c>
      <c r="E2874" s="3" t="n"/>
      <c r="F2874" s="3" t="inlineStr">
        <is>
          <t>បានបន្ថែមក្រុមសេវាកម្មថ្មីដោយជោគជ័យ!</t>
        </is>
      </c>
      <c r="G2874" s="3" t="n"/>
      <c r="H2874" s="217" t="inlineStr">
        <is>
          <t>"delivery.warehouse.sorting.createServiceGroup": "បានបន្ថែមក្រុមសេវាកម្មថ្មីដោយជោគជ័យ!",</t>
        </is>
      </c>
      <c r="I2874" t="inlineStr">
        <is>
          <t>បានបន្ថែមក្រុមសេវាកម្មថ្មីដោយជោគជ័យ!</t>
        </is>
      </c>
    </row>
    <row r="2875">
      <c r="A2875" s="3" t="inlineStr">
        <is>
          <t>delivery.warehouse.sorting.createServiceGroupFail</t>
        </is>
      </c>
      <c r="B2875" s="3" t="inlineStr">
        <is>
          <t>Thêm mới nhóm dịch vụ thất bại</t>
        </is>
      </c>
      <c r="C2875" s="3" t="inlineStr">
        <is>
          <t>Add a new group of failed services.</t>
        </is>
      </c>
      <c r="D2875" s="217">
        <f>IFERROR(__xludf.DUMMYFUNCTION("GOOGLETRANSLATE(C2875,""vi"",""km"")"),"បន្ថែមក្រុមសេវាកម្មដែលបរាជ័យថ្មីមួយ។")</f>
        <v/>
      </c>
      <c r="E2875" s="3" t="n"/>
      <c r="F2875" s="3" t="inlineStr">
        <is>
          <t>បន្ថែមក្រុមសេវាកម្មដែលបរាជ័យថ្មីមួយ។</t>
        </is>
      </c>
      <c r="G2875" s="3" t="n"/>
      <c r="H2875" s="217" t="inlineStr">
        <is>
          <t>"delivery.warehouse.sorting.createServiceGroupFail": "បន្ថែមក្រុមសេវាកម្មដែលបរាជ័យថ្មីមួយ។",</t>
        </is>
      </c>
      <c r="I2875" t="inlineStr">
        <is>
          <t>បន្ថែមក្រុមសេវាកម្មដែលបរាជ័យថ្មីមួយ។</t>
        </is>
      </c>
    </row>
    <row r="2876">
      <c r="A2876" s="3" t="inlineStr">
        <is>
          <t>delivery.warehouse.sorting.createSorting</t>
        </is>
      </c>
      <c r="B2876" s="3" t="inlineStr">
        <is>
          <t>Thêm mới cấu hình</t>
        </is>
      </c>
      <c r="C2876" s="3" t="inlineStr">
        <is>
          <t>Add a new configuration</t>
        </is>
      </c>
      <c r="D2876" s="217">
        <f>IFERROR(__xludf.DUMMYFUNCTION("GOOGLETRANSLATE(C2876,""vi"",""km"")"),"បន្ថែមការកំណត់រចនាសម្ព័ន្ធថ្មី")</f>
        <v/>
      </c>
      <c r="E2876" s="3" t="n"/>
      <c r="F2876" s="3" t="inlineStr">
        <is>
          <t>បន្ថែមការកំណត់ថ្មី</t>
        </is>
      </c>
      <c r="G2876" s="3" t="n"/>
      <c r="H2876" s="217" t="inlineStr">
        <is>
          <t>"delivery.warehouse.sorting.createSorting": "បន្ថែមការកំណត់ថ្មី",</t>
        </is>
      </c>
      <c r="I2876" t="inlineStr">
        <is>
          <t>បន្ថែមការកំណត់ថ្មី</t>
        </is>
      </c>
    </row>
    <row r="2877">
      <c r="A2877" s="3" t="inlineStr">
        <is>
          <t>delivery.warehouse.sorting.createZone</t>
        </is>
      </c>
      <c r="B2877" s="3" t="inlineStr">
        <is>
          <t>Thêm mới cấu hình</t>
        </is>
      </c>
      <c r="C2877" s="3" t="inlineStr">
        <is>
          <t>Add a new configuration</t>
        </is>
      </c>
      <c r="D2877" s="217">
        <f>IFERROR(__xludf.DUMMYFUNCTION("GOOGLETRANSLATE(C2877,""vi"",""km"")"),"បន្ថែមការកំណត់រចនាសម្ព័ន្ធថ្មី")</f>
        <v/>
      </c>
      <c r="E2877" s="3" t="n"/>
      <c r="F2877" s="3" t="inlineStr">
        <is>
          <t>បន្ថែមការកំណត់ថ្មី</t>
        </is>
      </c>
      <c r="G2877" s="3" t="n"/>
      <c r="H2877" s="217" t="inlineStr">
        <is>
          <t>"delivery.warehouse.sorting.createZone": "បន្ថែមការកំណត់ថ្មី",</t>
        </is>
      </c>
      <c r="I2877" t="inlineStr">
        <is>
          <t>បន្ថែមការកំណត់ថ្មី</t>
        </is>
      </c>
    </row>
    <row r="2878">
      <c r="A2878" s="3" t="inlineStr">
        <is>
          <t>delivery.warehouse.sorting.createZoneSuccess</t>
        </is>
      </c>
      <c r="B2878" s="3" t="inlineStr">
        <is>
          <t>Thêm mới chi tiết cấu hình thành công!</t>
        </is>
      </c>
      <c r="C2878" s="3" t="inlineStr">
        <is>
          <t>New configuration details added successfully!</t>
        </is>
      </c>
      <c r="D2878" s="217">
        <f>IFERROR(__xludf.DUMMYFUNCTION("GOOGLETRANSLATE(C2878,""vi"",""km"")"),"ព័ត៌មានលម្អិតអំពីការកំណត់រចនាសម្ព័ន្ធថ្មីត្រូវបានបន្ថែមដោយជោគជ័យ!")</f>
        <v/>
      </c>
      <c r="E2878" s="3" t="n"/>
      <c r="F2878" s="3" t="inlineStr">
        <is>
          <t>ព័ត៌មានលម្អិតអំពីការកំណត់រចនាសម្ព័ន្ធថ្មីត្រូវបានបន្ថែមដោយជោគជ័យ!</t>
        </is>
      </c>
      <c r="G2878" s="3" t="n"/>
      <c r="H2878" s="217" t="inlineStr">
        <is>
          <t>"delivery.warehouse.sorting.createZoneSuccess": "ព័ត៌មានលម្អិតអំពីការកំណត់រចនាសម្ព័ន្ធថ្មីត្រូវបានបន្ថែមដោយជោគជ័យ!",</t>
        </is>
      </c>
      <c r="I2878" t="inlineStr">
        <is>
          <t>ព័ត៌មានលម្អិតអំពីការកំណត់រចនាសម្ព័ន្ធថ្មីត្រូវបានបន្ថែមដោយជោគជ័យ!</t>
        </is>
      </c>
    </row>
    <row r="2879">
      <c r="A2879" s="3" t="inlineStr">
        <is>
          <t>delivery.warehouse.sorting.deleteService</t>
        </is>
      </c>
      <c r="B2879" s="3" t="inlineStr">
        <is>
          <t>Quý khách có chắc chắn muốn xoá dịch vụ</t>
        </is>
      </c>
      <c r="C2879" s="3" t="inlineStr">
        <is>
          <t>Are you sure you want to cancel the service?</t>
        </is>
      </c>
      <c r="D2879" s="217">
        <f>IFERROR(__xludf.DUMMYFUNCTION("GOOGLETRANSLATE(C2879,""vi"",""km"")"),"តើអ្នកពិតជាចង់លុបចោលសេវាកម្មមែនទេ?")</f>
        <v/>
      </c>
      <c r="E2879" s="3" t="n"/>
      <c r="F2879" s="3" t="inlineStr">
        <is>
          <t>តើអ្នកពិតជាចង់លុបចោលសេវាកម្មមែនទេ?</t>
        </is>
      </c>
      <c r="G2879" s="3" t="n"/>
      <c r="H2879" s="217" t="inlineStr">
        <is>
          <t>"delivery.warehouse.sorting.deleteService": "តើអ្នកពិតជាចង់លុបចោលសេវាកម្មមែនទេ?",</t>
        </is>
      </c>
      <c r="I2879" t="inlineStr">
        <is>
          <t>តើអ្នកពិតជាចង់លុបចោលសេវាកម្មមែនទេ?</t>
        </is>
      </c>
    </row>
    <row r="2880">
      <c r="A2880" s="3" t="inlineStr">
        <is>
          <t>delivery.warehouse.sorting.deleteServiceFail</t>
        </is>
      </c>
      <c r="B2880" s="3" t="inlineStr">
        <is>
          <t>Loại bỏ dịch vụ thất bại</t>
        </is>
      </c>
      <c r="C2880" s="3" t="inlineStr">
        <is>
          <t>Eliminate failed services</t>
        </is>
      </c>
      <c r="D2880" s="217">
        <f>IFERROR(__xludf.DUMMYFUNCTION("GOOGLETRANSLATE(C2880,""vi"",""km"")"),"លុបបំបាត់សេវាកម្មដែលមានបញ្ហា")</f>
        <v/>
      </c>
      <c r="E2880" s="3" t="n"/>
      <c r="F2880" s="3" t="inlineStr">
        <is>
          <t>លុបបំបាត់សេវាកម្មដែលមានបញ្ហា</t>
        </is>
      </c>
      <c r="G2880" s="3" t="n"/>
      <c r="H2880" s="217" t="inlineStr">
        <is>
          <t>"delivery.warehouse.sorting.deleteServiceFail": "លុបបំបាត់សេវាកម្មដែលមានបញ្ហា",</t>
        </is>
      </c>
      <c r="I2880" t="inlineStr">
        <is>
          <t>លុបបំបាត់សេវាកម្មដែលមានបញ្ហា</t>
        </is>
      </c>
    </row>
    <row r="2881">
      <c r="A2881" s="3" t="inlineStr">
        <is>
          <t>delivery.warehouse.sorting.deleteServiceSuccess</t>
        </is>
      </c>
      <c r="B2881" s="3" t="inlineStr">
        <is>
          <t>Loại bỏ dịch vụ thành công</t>
        </is>
      </c>
      <c r="C2881" s="3" t="inlineStr">
        <is>
          <t>Service removed successfully.</t>
        </is>
      </c>
      <c r="D2881" s="217">
        <f>IFERROR(__xludf.DUMMYFUNCTION("GOOGLETRANSLATE(C2881,""vi"",""km"")"),"សេវាកម្មត្រូវបានដកចេញដោយជោគជ័យ។")</f>
        <v/>
      </c>
      <c r="E2881" s="3" t="n"/>
      <c r="F2881" s="3" t="inlineStr">
        <is>
          <t>សេវាកម្មត្រូវបានដកចេញដោយជោគជ័យ។</t>
        </is>
      </c>
      <c r="G2881" s="3" t="n"/>
      <c r="H2881" s="217" t="inlineStr">
        <is>
          <t>"delivery.warehouse.sorting.deleteServiceSuccess": "សេវាកម្មត្រូវបានដកចេញដោយជោគជ័យ។",</t>
        </is>
      </c>
      <c r="I2881" t="inlineStr">
        <is>
          <t>សេវាកម្មត្រូវបានដកចេញដោយជោគជ័យ។</t>
        </is>
      </c>
    </row>
    <row r="2882">
      <c r="A2882" s="3" t="inlineStr">
        <is>
          <t>delivery.warehouse.sorting.deliveryListZone</t>
        </is>
      </c>
      <c r="B2882" s="3" t="inlineStr">
        <is>
          <t>Danh sách vùng đến</t>
        </is>
      </c>
      <c r="C2882" s="3" t="inlineStr">
        <is>
          <t>List of destinations</t>
        </is>
      </c>
      <c r="D2882" s="217">
        <f>IFERROR(__xludf.DUMMYFUNCTION("GOOGLETRANSLATE(C2882,""vi"",""km"")"),"បញ្ជីគោលដៅ")</f>
        <v/>
      </c>
      <c r="E2882" s="3" t="n"/>
      <c r="F2882" s="3" t="inlineStr">
        <is>
          <t>បញ្ជីគោលដៅ</t>
        </is>
      </c>
      <c r="G2882" s="3" t="n"/>
      <c r="H2882" s="217" t="inlineStr">
        <is>
          <t>"delivery.warehouse.sorting.deliveryListZone": "បញ្ជីគោលដៅ",</t>
        </is>
      </c>
      <c r="I2882" t="inlineStr">
        <is>
          <t>បញ្ជីគោលដៅ</t>
        </is>
      </c>
    </row>
    <row r="2883">
      <c r="A2883" s="3" t="inlineStr">
        <is>
          <t>delivery.warehouse.sorting.deliveryZone</t>
        </is>
      </c>
      <c r="B2883" s="3" t="inlineStr">
        <is>
          <t>Vùng đến</t>
        </is>
      </c>
      <c r="C2883" s="3" t="inlineStr">
        <is>
          <t>Destination area</t>
        </is>
      </c>
      <c r="D2883" s="217">
        <f>IFERROR(__xludf.DUMMYFUNCTION("GOOGLETRANSLATE(C2883,""vi"",""km"")"),"តំបន់គោលដៅ")</f>
        <v/>
      </c>
      <c r="E2883" s="3" t="n"/>
      <c r="F2883" s="3" t="inlineStr">
        <is>
          <t>តំបន់គោលដៅ</t>
        </is>
      </c>
      <c r="G2883" s="3" t="n"/>
      <c r="H2883" s="217" t="inlineStr">
        <is>
          <t>"delivery.warehouse.sorting.deliveryZone": "តំបន់គោលដៅ",</t>
        </is>
      </c>
      <c r="I2883" t="inlineStr">
        <is>
          <t>តំបន់គោលដៅ</t>
        </is>
      </c>
    </row>
    <row r="2884">
      <c r="A2884" s="3" t="inlineStr">
        <is>
          <t>delivery.warehouse.sorting.deliveryZoneType</t>
        </is>
      </c>
      <c r="B2884" s="3" t="inlineStr">
        <is>
          <t>Loại vùng đến</t>
        </is>
      </c>
      <c r="C2884" s="3" t="inlineStr">
        <is>
          <t>Type of destination</t>
        </is>
      </c>
      <c r="D2884" s="217">
        <f>IFERROR(__xludf.DUMMYFUNCTION("GOOGLETRANSLATE(C2884,""vi"",""km"")"),"ប្រភេទបងប្រុស")</f>
        <v/>
      </c>
      <c r="E2884" s="3" t="n"/>
      <c r="F2884" s="3" t="inlineStr">
        <is>
          <t>ប្រភេទបងប្រុស</t>
        </is>
      </c>
      <c r="G2884" s="3" t="n"/>
      <c r="H2884" s="217" t="inlineStr">
        <is>
          <t>"delivery.warehouse.sorting.deliveryZoneType": "ប្រភេទបងប្រុស",</t>
        </is>
      </c>
      <c r="I2884" t="inlineStr">
        <is>
          <t>ប្រភេទបងប្រុស</t>
        </is>
      </c>
    </row>
    <row r="2885">
      <c r="A2885" s="3" t="inlineStr">
        <is>
          <t>delivery.warehouse.sorting.destination</t>
        </is>
      </c>
      <c r="B2885" s="3" t="inlineStr">
        <is>
          <t>Điểm đến</t>
        </is>
      </c>
      <c r="C2885" s="3" t="inlineStr">
        <is>
          <t>Destination</t>
        </is>
      </c>
      <c r="D2885" s="217">
        <f>IFERROR(__xludf.DUMMYFUNCTION("GOOGLETRANSLATE(C2885,""vi"",""km"")"),"គោលដៅ")</f>
        <v/>
      </c>
      <c r="E2885" s="3" t="n"/>
      <c r="F2885" s="3" t="inlineStr">
        <is>
          <t>គោលដៅ</t>
        </is>
      </c>
      <c r="G2885" s="3" t="n"/>
      <c r="H2885" s="217" t="inlineStr">
        <is>
          <t>"delivery.warehouse.sorting.destination": "គោលដៅ",</t>
        </is>
      </c>
      <c r="I2885" t="inlineStr">
        <is>
          <t>គោលដៅ</t>
        </is>
      </c>
    </row>
    <row r="2886">
      <c r="A2886" s="3" t="inlineStr">
        <is>
          <t>delivery.warehouse.sorting.detailService</t>
        </is>
      </c>
      <c r="B2886" s="3" t="inlineStr">
        <is>
          <t>Thông tin nhóm dịch vụ</t>
        </is>
      </c>
      <c r="C2886" s="3" t="inlineStr">
        <is>
          <t>Service group information</t>
        </is>
      </c>
      <c r="D2886" s="217">
        <f>IFERROR(__xludf.DUMMYFUNCTION("GOOGLETRANSLATE(C2886,""vi"",""km"")"),"ព័ត៌មានក្រុមសេវាកម្ម")</f>
        <v/>
      </c>
      <c r="E2886" s="3" t="n"/>
      <c r="F2886" s="3" t="inlineStr">
        <is>
          <t>ព័ត៌មានក្រុមសេវាកម្ម</t>
        </is>
      </c>
      <c r="G2886" s="3" t="n"/>
      <c r="H2886" s="217" t="inlineStr">
        <is>
          <t>"delivery.warehouse.sorting.detailService": "ព័ត៌មានក្រុមសេវាកម្ម",</t>
        </is>
      </c>
      <c r="I2886" t="inlineStr">
        <is>
          <t>ព័ត៌មានក្រុមសេវាកម្ម</t>
        </is>
      </c>
    </row>
    <row r="2887">
      <c r="A2887" s="3" t="inlineStr">
        <is>
          <t>delivery.warehouse.sorting.detailSorting</t>
        </is>
      </c>
      <c r="B2887" s="3" t="inlineStr">
        <is>
          <t>Thông tin cấu hình</t>
        </is>
      </c>
      <c r="C2887" s="3" t="inlineStr">
        <is>
          <t>Configuration information</t>
        </is>
      </c>
      <c r="D2887" s="217">
        <f>IFERROR(__xludf.DUMMYFUNCTION("GOOGLETRANSLATE(C2887,""vi"",""km"")"),"ព័ត៌មានការកំណត់រចនាសម្ព័ន្ធ")</f>
        <v/>
      </c>
      <c r="E2887" s="3" t="n"/>
      <c r="F2887" s="3" t="inlineStr">
        <is>
          <t>ព័ត៌មានការកំណត់រចនាសម្ព័ន្ធ</t>
        </is>
      </c>
      <c r="G2887" s="3" t="n"/>
      <c r="H2887" s="217" t="inlineStr">
        <is>
          <t>"delivery.warehouse.sorting.detailSorting": "ព័ត៌មានការកំណត់រចនាសម្ព័ន្ធ",</t>
        </is>
      </c>
      <c r="I2887" t="inlineStr">
        <is>
          <t>ព័ត៌មានការកំណត់រចនាសម្ព័ន្ធ</t>
        </is>
      </c>
    </row>
    <row r="2888">
      <c r="A2888" s="3" t="inlineStr">
        <is>
          <t>delivery.warehouse.sorting.detailZone</t>
        </is>
      </c>
      <c r="B2888" s="3" t="inlineStr">
        <is>
          <t>Thông tin cấu hình</t>
        </is>
      </c>
      <c r="C2888" s="3" t="inlineStr">
        <is>
          <t>Configuration information</t>
        </is>
      </c>
      <c r="D2888" s="217">
        <f>IFERROR(__xludf.DUMMYFUNCTION("GOOGLETRANSLATE(C2888,""vi"",""km"")"),"ព័ត៌មានការកំណត់រចនាសម្ព័ន្ធ")</f>
        <v/>
      </c>
      <c r="E2888" s="3" t="n"/>
      <c r="F2888" s="3" t="inlineStr">
        <is>
          <t>ព័ត៌មានការកំណត់រចនាសម្ព័ន្ធ</t>
        </is>
      </c>
      <c r="G2888" s="3" t="n"/>
      <c r="H2888" s="217" t="inlineStr">
        <is>
          <t>"delivery.warehouse.sorting.detailZone": "ព័ត៌មានការកំណត់រចនាសម្ព័ន្ធ",</t>
        </is>
      </c>
      <c r="I2888" t="inlineStr">
        <is>
          <t>ព័ត៌មានការកំណត់រចនាសម្ព័ន្ធ</t>
        </is>
      </c>
    </row>
    <row r="2889">
      <c r="A2889" s="3" t="inlineStr">
        <is>
          <t>delivery.warehouse.sorting.emptyDeliveryZone</t>
        </is>
      </c>
      <c r="B2889" s="3" t="inlineStr">
        <is>
          <t>Vui lòng chọn vùng đến!</t>
        </is>
      </c>
      <c r="C2889" s="3" t="inlineStr">
        <is>
          <t>Please select your destination!</t>
        </is>
      </c>
      <c r="D2889" s="217">
        <f>IFERROR(__xludf.DUMMYFUNCTION("GOOGLETRANSLATE(C2889,""vi"",""km"")"),"សូមជ្រើសរើសគោលដៅរបស់អ្នក!")</f>
        <v/>
      </c>
      <c r="E2889" s="3" t="n"/>
      <c r="F2889" s="3" t="inlineStr">
        <is>
          <t>សូមជ្រើសរើសគោលដៅរបស់អ្នក!</t>
        </is>
      </c>
      <c r="G2889" s="3" t="n"/>
      <c r="H2889" s="217" t="inlineStr">
        <is>
          <t>"delivery.warehouse.sorting.emptyDeliveryZone": "សូមជ្រើសរើសគោលដៅរបស់អ្នក!",</t>
        </is>
      </c>
      <c r="I2889" t="inlineStr">
        <is>
          <t>សូមជ្រើសរើសគោលដៅរបស់អ្នក!</t>
        </is>
      </c>
    </row>
    <row r="2890">
      <c r="A2890" s="3" t="inlineStr">
        <is>
          <t>delivery.warehouse.sorting.emptyNameZone</t>
        </is>
      </c>
      <c r="B2890" s="3" t="inlineStr">
        <is>
          <t>Vui lòng nhập tên cấu hình vùng đi, đến</t>
        </is>
      </c>
      <c r="C2890" s="3" t="inlineStr">
        <is>
          <t>Please enter the name of the departure and arrival zones.</t>
        </is>
      </c>
      <c r="D2890" s="217">
        <f>IFERROR(__xludf.DUMMYFUNCTION("GOOGLETRANSLATE(C2890,""vi"",""km"")"),"សូមបញ្ចូលឈ្មោះតំបន់ចេញដំណើរ និងតំបន់មកដល់។")</f>
        <v/>
      </c>
      <c r="E2890" s="3" t="n"/>
      <c r="F2890" s="3" t="inlineStr">
        <is>
          <t>សូមបញ្ចូលឈ្មោះតំបន់ចេញដំណើរ និងតំបន់មកដល់។</t>
        </is>
      </c>
      <c r="G2890" s="3" t="n"/>
      <c r="H2890" s="217" t="inlineStr">
        <is>
          <t>"delivery.warehouse.sorting.emptyNameZone": "សូមបញ្ចូលឈ្មោះតំបន់ចេញដំណើរ និងតំបន់មកដល់។",</t>
        </is>
      </c>
      <c r="I2890" t="inlineStr">
        <is>
          <t>សូមបញ្ចូលឈ្មោះតំបន់ចេញដំណើរ និងតំបន់មកដល់។</t>
        </is>
      </c>
    </row>
    <row r="2891">
      <c r="A2891" s="3" t="inlineStr">
        <is>
          <t>delivery.warehouse.sorting.emptyReceivingZone</t>
        </is>
      </c>
      <c r="B2891" s="3" t="inlineStr">
        <is>
          <t>Vui lòng chọn vùng đi!</t>
        </is>
      </c>
      <c r="C2891" s="3" t="inlineStr">
        <is>
          <t>Please select your destination area!</t>
        </is>
      </c>
      <c r="D2891" s="217">
        <f>IFERROR(__xludf.DUMMYFUNCTION("GOOGLETRANSLATE(C2891,""vi"",""km"")"),"សូមជ្រើសរើសតំបន់គោលដៅរបស់អ្នក!")</f>
        <v/>
      </c>
      <c r="E2891" s="3" t="n"/>
      <c r="F2891" s="3" t="inlineStr">
        <is>
          <t>សូមជ្រើសរើសតំបន់គោលដៅរបស់អ្នក!</t>
        </is>
      </c>
      <c r="G2891" s="3" t="n"/>
      <c r="H2891" s="217" t="inlineStr">
        <is>
          <t>"delivery.warehouse.sorting.emptyReceivingZone": "សូមជ្រើសរើសតំបន់គោលដៅរបស់អ្នក!",</t>
        </is>
      </c>
      <c r="I2891" t="inlineStr">
        <is>
          <t>សូមជ្រើសរើសតំបន់គោលដៅរបស់អ្នក!</t>
        </is>
      </c>
    </row>
    <row r="2892">
      <c r="A2892" s="3" t="inlineStr">
        <is>
          <t>delivery.warehouse.sorting.emptyService</t>
        </is>
      </c>
      <c r="B2892" s="3" t="inlineStr">
        <is>
          <t>Vui lòng chọn dịch vụ</t>
        </is>
      </c>
      <c r="C2892" s="3" t="inlineStr">
        <is>
          <t>Please select a service</t>
        </is>
      </c>
      <c r="D2892" s="217">
        <f>IFERROR(__xludf.DUMMYFUNCTION("GOOGLETRANSLATE(C2892,""vi"",""km"")"),"សូមជ្រើសរើសសេវាកម្មមួយ")</f>
        <v/>
      </c>
      <c r="E2892" s="3" t="n"/>
      <c r="F2892" s="3" t="inlineStr">
        <is>
          <t>សូមជ្រើសរើសសេវាកម្មមួយ</t>
        </is>
      </c>
      <c r="G2892" s="3" t="n"/>
      <c r="H2892" s="217" t="inlineStr">
        <is>
          <t>"delivery.warehouse.sorting.emptyService": "សូមជ្រើសរើសសេវាកម្មមួយ",</t>
        </is>
      </c>
      <c r="I2892" t="inlineStr">
        <is>
          <t>សូមជ្រើសរើសសេវាកម្មមួយ</t>
        </is>
      </c>
    </row>
    <row r="2893">
      <c r="A2893" s="3" t="inlineStr">
        <is>
          <t>delivery.warehouse.sorting.enterConfigName</t>
        </is>
      </c>
      <c r="B2893" s="3" t="inlineStr">
        <is>
          <t>Nhập tên cấu hình</t>
        </is>
      </c>
      <c r="C2893" s="3" t="inlineStr">
        <is>
          <t>Enter the configuration name</t>
        </is>
      </c>
      <c r="D2893" s="217">
        <f>IFERROR(__xludf.DUMMYFUNCTION("GOOGLETRANSLATE(C2893,""vi"",""km"")"),"បញ្ចូលឈ្មោះការកំណត់រចនាសម្ព័ន្ធ")</f>
        <v/>
      </c>
      <c r="E2893" s="3" t="n"/>
      <c r="F2893" s="3" t="inlineStr">
        <is>
          <t>បញ្ចូលឈ្មោះការកំណត់រចនាសម្ព័ន្ធ</t>
        </is>
      </c>
      <c r="G2893" s="3" t="n"/>
      <c r="H2893" s="217" t="inlineStr">
        <is>
          <t>"delivery.warehouse.sorting.enterConfigName": "បញ្ចូលឈ្មោះការកំណត់រចនាសម្ព័ន្ធ",</t>
        </is>
      </c>
      <c r="I2893" t="inlineStr">
        <is>
          <t>បញ្ចូលឈ្មោះការកំណត់រចនាសម្ព័ន្ធ</t>
        </is>
      </c>
    </row>
    <row r="2894">
      <c r="A2894" s="3" t="inlineStr">
        <is>
          <t>delivery.warehouse.sorting.enterDestination</t>
        </is>
      </c>
      <c r="B2894" s="3" t="inlineStr">
        <is>
          <t>Nhập điểm đến</t>
        </is>
      </c>
      <c r="C2894" s="3" t="inlineStr">
        <is>
          <t>Enter destination</t>
        </is>
      </c>
      <c r="D2894" s="217">
        <f>IFERROR(__xludf.DUMMYFUNCTION("GOOGLETRANSLATE(C2894,""vi"",""km"")"),"បញ្ចូលគោលដៅ")</f>
        <v/>
      </c>
      <c r="E2894" s="3" t="n"/>
      <c r="F2894" s="3" t="inlineStr">
        <is>
          <t>បញ្ចូលគោលដៅ</t>
        </is>
      </c>
      <c r="G2894" s="3" t="n"/>
      <c r="H2894" s="217" t="inlineStr">
        <is>
          <t>"delivery.warehouse.sorting.enterDestination": "បញ្ចូលគោលដៅ",</t>
        </is>
      </c>
      <c r="I2894" t="inlineStr">
        <is>
          <t>បញ្ចូលគោលដៅ</t>
        </is>
      </c>
    </row>
    <row r="2895">
      <c r="A2895" s="3" t="inlineStr">
        <is>
          <t>delivery.warehouse.sorting.filterService</t>
        </is>
      </c>
      <c r="B2895" s="3" t="inlineStr">
        <is>
          <t>Nhập mã nhóm dịch vụ, tên dịch vụ để tìm kiếm</t>
        </is>
      </c>
      <c r="C2895" s="3" t="inlineStr">
        <is>
          <t>Enter the service group code and service name to search.</t>
        </is>
      </c>
      <c r="D2895" s="217">
        <f>IFERROR(__xludf.DUMMYFUNCTION("GOOGLETRANSLATE(C2895,""vi"",""km"")"),"បញ្ចូលលេខកូដក្រុមសេវាកម្ម និងឈ្មោះសេវាកម្មដើម្បីស្វែងរក។")</f>
        <v/>
      </c>
      <c r="E2895" s="3" t="n"/>
      <c r="F2895" s="3" t="inlineStr">
        <is>
          <t>បញ្ចូលលេខកូដក្រុមសេវាកម្ម និងឈ្មោះសេវាកម្មដើម្បីស្វែងរក។</t>
        </is>
      </c>
      <c r="G2895" s="3" t="n"/>
      <c r="H2895" s="217" t="inlineStr">
        <is>
          <t>"delivery.warehouse.sorting.filterService": "បញ្ចូលលេខកូដក្រុមសេវាកម្ម និងឈ្មោះសេវាកម្មដើម្បីស្វែងរក។",</t>
        </is>
      </c>
      <c r="I2895" t="inlineStr">
        <is>
          <t>បញ្ចូលលេខកូដក្រុមសេវាកម្ម និងឈ្មោះសេវាកម្មដើម្បីស្វែងរក។</t>
        </is>
      </c>
    </row>
    <row r="2896">
      <c r="A2896" s="3" t="inlineStr">
        <is>
          <t>delivery.warehouse.sorting.filterZone</t>
        </is>
      </c>
      <c r="B2896" s="3" t="inlineStr">
        <is>
          <t>Nhập tên tuyến để tìm kiếm</t>
        </is>
      </c>
      <c r="C2896" s="3" t="inlineStr">
        <is>
          <t>Enter the route name to search.</t>
        </is>
      </c>
      <c r="D2896" s="217">
        <f>IFERROR(__xludf.DUMMYFUNCTION("GOOGLETRANSLATE(C2896,""vi"",""km"")"),"បញ្ចូលឈ្មោះផ្លូវដើម្បីស្វែងរក។")</f>
        <v/>
      </c>
      <c r="E2896" s="3" t="n"/>
      <c r="F2896" s="3" t="inlineStr">
        <is>
          <t>បញ្ចូលឈ្មោះផ្លូវដើម្បីស្វែងរក។</t>
        </is>
      </c>
      <c r="G2896" s="3" t="n"/>
      <c r="H2896" s="217" t="inlineStr">
        <is>
          <t>"delivery.warehouse.sorting.filterZone": "បញ្ចូលឈ្មោះផ្លូវដើម្បីស្វែងរក។",</t>
        </is>
      </c>
      <c r="I2896" t="inlineStr">
        <is>
          <t>បញ្ចូលឈ្មោះផ្លូវដើម្បីស្វែងរក។</t>
        </is>
      </c>
    </row>
    <row r="2897">
      <c r="A2897" s="3" t="inlineStr">
        <is>
          <t>delivery.warehouse.sorting.groupService</t>
        </is>
      </c>
      <c r="B2897" s="3" t="inlineStr">
        <is>
          <t>Nhóm dịch vụ</t>
        </is>
      </c>
      <c r="C2897" s="3" t="inlineStr">
        <is>
          <t>Service Group</t>
        </is>
      </c>
      <c r="D2897" s="217">
        <f>IFERROR(__xludf.DUMMYFUNCTION("GOOGLETRANSLATE(C2897,""vi"",""km"")"),"ក្រុមសេវាកម្ម")</f>
        <v/>
      </c>
      <c r="E2897" s="3" t="n"/>
      <c r="F2897" s="3" t="inlineStr">
        <is>
          <t>ក្រុមសេវាកម្ម</t>
        </is>
      </c>
      <c r="G2897" s="3" t="n"/>
      <c r="H2897" s="217" t="inlineStr">
        <is>
          <t>"delivery.warehouse.sorting.groupService": "ក្រុមសេវាកម្ម",</t>
        </is>
      </c>
      <c r="I2897" t="inlineStr">
        <is>
          <t>ក្រុមសេវាកម្ម</t>
        </is>
      </c>
    </row>
    <row r="2898">
      <c r="A2898" s="3" t="inlineStr">
        <is>
          <t>delivery.warehouse.sorting.groupServiceName</t>
        </is>
      </c>
      <c r="B2898" s="3" t="inlineStr">
        <is>
          <t>Tên nhóm dịch vụ</t>
        </is>
      </c>
      <c r="C2898" s="3" t="inlineStr">
        <is>
          <t>Service group name</t>
        </is>
      </c>
      <c r="D2898" s="217">
        <f>IFERROR(__xludf.DUMMYFUNCTION("GOOGLETRANSLATE(C2898,""vi"",""km"")"),"ឈ្មោះក្រុមសេវាកម្ម")</f>
        <v/>
      </c>
      <c r="E2898" s="3" t="n"/>
      <c r="F2898" s="3" t="inlineStr">
        <is>
          <t>ឈ្មោះក្រុមសេវាកម្ម</t>
        </is>
      </c>
      <c r="G2898" s="3" t="n"/>
      <c r="H2898" s="217" t="inlineStr">
        <is>
          <t>"delivery.warehouse.sorting.groupServiceName": "ឈ្មោះក្រុមសេវាកម្ម",</t>
        </is>
      </c>
      <c r="I2898" t="inlineStr">
        <is>
          <t>ឈ្មោះក្រុមសេវាកម្ម</t>
        </is>
      </c>
    </row>
    <row r="2899">
      <c r="A2899" s="3" t="inlineStr">
        <is>
          <t>delivery.warehouse.sorting.groupZone</t>
        </is>
      </c>
      <c r="B2899" s="3" t="inlineStr">
        <is>
          <t>Tên cấu hình</t>
        </is>
      </c>
      <c r="C2899" s="3" t="inlineStr">
        <is>
          <t>Configuration name</t>
        </is>
      </c>
      <c r="D2899" s="217">
        <f>IFERROR(__xludf.DUMMYFUNCTION("GOOGLETRANSLATE(C2899,""vi"",""km"")"),"ឈ្មោះ​ការកំណត់​រចនាសម្ព័ន្ធ")</f>
        <v/>
      </c>
      <c r="E2899" s="3" t="n"/>
      <c r="F2899" s="3" t="inlineStr">
        <is>
          <t>ឈ្មោះការកំណត់រចនាសម្ព័ន្ធ</t>
        </is>
      </c>
      <c r="G2899" s="3" t="n"/>
      <c r="H2899" s="217" t="inlineStr">
        <is>
          <t>"delivery.warehouse.sorting.groupZone": "ឈ្មោះការកំណត់រចនាសម្ព័ន្ធ",</t>
        </is>
      </c>
      <c r="I2899" t="inlineStr">
        <is>
          <t>ឈ្មោះការកំណត់រចនាសម្ព័ន្ធ</t>
        </is>
      </c>
    </row>
    <row r="2900">
      <c r="A2900" s="3" t="inlineStr">
        <is>
          <t>delivery.warehouse.sorting.groupZonePlaceholder</t>
        </is>
      </c>
      <c r="B2900" s="3" t="inlineStr">
        <is>
          <t>Nhập tên cấu hình</t>
        </is>
      </c>
      <c r="C2900" s="3" t="inlineStr">
        <is>
          <t>Enter the configuration name</t>
        </is>
      </c>
      <c r="D2900" s="217">
        <f>IFERROR(__xludf.DUMMYFUNCTION("GOOGLETRANSLATE(C2900,""vi"",""km"")"),"បញ្ចូលឈ្មោះការកំណត់រចនាសម្ព័ន្ធ")</f>
        <v/>
      </c>
      <c r="E2900" s="3" t="n"/>
      <c r="F2900" s="3" t="inlineStr">
        <is>
          <t>បញ្ចូលឈ្មោះការកំណត់រចនាសម្ព័ន្ធ</t>
        </is>
      </c>
      <c r="G2900" s="3" t="n"/>
      <c r="H2900" s="217" t="inlineStr">
        <is>
          <t>"delivery.warehouse.sorting.groupZonePlaceholder": "បញ្ចូលឈ្មោះការកំណត់រចនាសម្ព័ន្ធ",</t>
        </is>
      </c>
      <c r="I2900" t="inlineStr">
        <is>
          <t>បញ្ចូលឈ្មោះការកំណត់រចនាសម្ព័ន្ធ</t>
        </is>
      </c>
    </row>
    <row r="2901">
      <c r="A2901" s="3" t="inlineStr">
        <is>
          <t>delivery.warehouse.sorting.listConfigSorting</t>
        </is>
      </c>
      <c r="B2901" s="3" t="inlineStr">
        <is>
          <t>Danh sách tuyến chia chọn</t>
        </is>
      </c>
      <c r="C2901" s="3" t="inlineStr">
        <is>
          <t>Route selection list</t>
        </is>
      </c>
      <c r="D2901" s="217">
        <f>IFERROR(__xludf.DUMMYFUNCTION("GOOGLETRANSLATE(C2901,""vi"",""km"")"),"បញ្ជីជម្រើសផ្លូវ")</f>
        <v/>
      </c>
      <c r="E2901" s="3" t="n"/>
      <c r="F2901" s="3" t="inlineStr">
        <is>
          <t>បញ្ជីជម្រើសផ្លូវ</t>
        </is>
      </c>
      <c r="G2901" s="3" t="n"/>
      <c r="H2901" s="217" t="inlineStr">
        <is>
          <t>"delivery.warehouse.sorting.listConfigSorting": "បញ្ជីជម្រើសផ្លូវ",</t>
        </is>
      </c>
      <c r="I2901" t="inlineStr">
        <is>
          <t>បញ្ជីជម្រើសផ្លូវ</t>
        </is>
      </c>
    </row>
    <row r="2902">
      <c r="A2902" s="3" t="inlineStr">
        <is>
          <t>delivery.warehouse.sorting.listDetailZone</t>
        </is>
      </c>
      <c r="B2902" s="3" t="inlineStr">
        <is>
          <t>Danh sách chi tiết vùng đi, vùng đến</t>
        </is>
      </c>
      <c r="C2902" s="3" t="inlineStr">
        <is>
          <t>Detailed list of departure and arrival areas</t>
        </is>
      </c>
      <c r="D2902" s="217">
        <f>IFERROR(__xludf.DUMMYFUNCTION("GOOGLETRANSLATE(C2902,""vi"",""km"")"),"បញ្ជីលម្អិតនៃតំបន់ចេញដំណើរ និងមកដល់")</f>
        <v/>
      </c>
      <c r="E2902" s="3" t="n"/>
      <c r="F2902" s="3" t="inlineStr">
        <is>
          <t>បញ្ជីលម្អិតនៃតំបន់ចេញដំណើរ និងមកដល់</t>
        </is>
      </c>
      <c r="G2902" s="3" t="n"/>
      <c r="H2902" s="217" t="inlineStr">
        <is>
          <t>"delivery.warehouse.sorting.listDetailZone": "បញ្ជីលម្អិតនៃតំបន់ចេញដំណើរ និងមកដល់",</t>
        </is>
      </c>
      <c r="I2902" t="inlineStr">
        <is>
          <t>បញ្ជីលម្អិតនៃតំបន់ចេញដំណើរ និងមកដល់</t>
        </is>
      </c>
    </row>
    <row r="2903">
      <c r="A2903" s="3" t="inlineStr">
        <is>
          <t>delivery.warehouse.sorting.listService</t>
        </is>
      </c>
      <c r="B2903" s="3" t="inlineStr">
        <is>
          <t>Danh sách nhóm dịch vụ</t>
        </is>
      </c>
      <c r="C2903" s="3" t="inlineStr">
        <is>
          <t>List of service groups</t>
        </is>
      </c>
      <c r="D2903" s="217">
        <f>IFERROR(__xludf.DUMMYFUNCTION("GOOGLETRANSLATE(C2903,""vi"",""km"")"),"បញ្ជីក្រុមសេវាកម្ម")</f>
        <v/>
      </c>
      <c r="E2903" s="3" t="n"/>
      <c r="F2903" s="3" t="inlineStr">
        <is>
          <t>បញ្ជីក្រុមសេវាកម្ម</t>
        </is>
      </c>
      <c r="G2903" s="3" t="n"/>
      <c r="H2903" s="217" t="inlineStr">
        <is>
          <t>"delivery.warehouse.sorting.listService": "បញ្ជីក្រុមសេវាកម្ម",</t>
        </is>
      </c>
      <c r="I2903" t="inlineStr">
        <is>
          <t>បញ្ជីក្រុមសេវាកម្ម</t>
        </is>
      </c>
    </row>
    <row r="2904">
      <c r="A2904" s="3" t="inlineStr">
        <is>
          <t>delivery.warehouse.sorting.listZone</t>
        </is>
      </c>
      <c r="B2904" s="3" t="inlineStr">
        <is>
          <t>Danh sách tuyến</t>
        </is>
      </c>
      <c r="C2904" s="3" t="inlineStr">
        <is>
          <t>Route list</t>
        </is>
      </c>
      <c r="D2904" s="217">
        <f>IFERROR(__xludf.DUMMYFUNCTION("GOOGLETRANSLATE(C2904,""vi"",""km"")"),"បញ្ជីផ្លូវ")</f>
        <v/>
      </c>
      <c r="E2904" s="3" t="n"/>
      <c r="F2904" s="3" t="inlineStr">
        <is>
          <t>បញ្ជីផ្លូវ</t>
        </is>
      </c>
      <c r="G2904" s="3" t="n"/>
      <c r="H2904" s="217" t="inlineStr">
        <is>
          <t>"delivery.warehouse.sorting.listZone": "បញ្ជីផ្លូវ",</t>
        </is>
      </c>
      <c r="I2904" t="inlineStr">
        <is>
          <t>បញ្ជីផ្លូវ</t>
        </is>
      </c>
    </row>
    <row r="2905">
      <c r="A2905" s="3" t="inlineStr">
        <is>
          <t>delivery.warehouse.sorting.lock</t>
        </is>
      </c>
      <c r="B2905" s="3" t="inlineStr">
        <is>
          <t>Khoá</t>
        </is>
      </c>
      <c r="C2905" s="3" t="inlineStr">
        <is>
          <t>Lock</t>
        </is>
      </c>
      <c r="D2905" s="217">
        <f>IFERROR(__xludf.DUMMYFUNCTION("GOOGLETRANSLATE(C2905,""vi"",""km"")"),"ចាក់សោ")</f>
        <v/>
      </c>
      <c r="E2905" s="3" t="n"/>
      <c r="F2905" s="3" t="inlineStr">
        <is>
          <t>ចាក់សោ</t>
        </is>
      </c>
      <c r="G2905" s="3" t="n"/>
      <c r="H2905" s="217" t="inlineStr">
        <is>
          <t>"delivery.warehouse.sorting.lock": "ចាក់សោ",</t>
        </is>
      </c>
      <c r="I2905" t="inlineStr">
        <is>
          <t>ចាក់សោ</t>
        </is>
      </c>
    </row>
    <row r="2906">
      <c r="A2906" s="3" t="inlineStr">
        <is>
          <t>delivery.warehouse.sorting.nameService</t>
        </is>
      </c>
      <c r="B2906" s="3" t="inlineStr">
        <is>
          <t>Tên nhóm dịch vụ</t>
        </is>
      </c>
      <c r="C2906" s="3" t="inlineStr">
        <is>
          <t>Service group name</t>
        </is>
      </c>
      <c r="D2906" s="217">
        <f>IFERROR(__xludf.DUMMYFUNCTION("GOOGLETRANSLATE(C2906,""vi"",""km"")"),"ឈ្មោះក្រុមសេវាកម្ម")</f>
        <v/>
      </c>
      <c r="E2906" s="3" t="n"/>
      <c r="F2906" s="3" t="inlineStr">
        <is>
          <t>ឈ្មោះក្រុមសេវាកម្ម</t>
        </is>
      </c>
      <c r="G2906" s="3" t="n"/>
      <c r="H2906" s="217" t="inlineStr">
        <is>
          <t>"delivery.warehouse.sorting.nameService": "ឈ្មោះក្រុមសេវាកម្ម",</t>
        </is>
      </c>
      <c r="I2906" t="inlineStr">
        <is>
          <t>ឈ្មោះក្រុមសេវាកម្ម</t>
        </is>
      </c>
    </row>
    <row r="2907">
      <c r="A2907" s="3" t="inlineStr">
        <is>
          <t>delivery.warehouse.sorting.nameServicePlaceholder</t>
        </is>
      </c>
      <c r="B2907" s="3" t="inlineStr">
        <is>
          <t>Nhập tên nhóm dịch vụ</t>
        </is>
      </c>
      <c r="C2907" s="3" t="inlineStr">
        <is>
          <t>Enter the service group name</t>
        </is>
      </c>
      <c r="D2907" s="217">
        <f>IFERROR(__xludf.DUMMYFUNCTION("GOOGLETRANSLATE(C2907,""vi"",""km"")"),"បញ្ចូលឈ្មោះក្រុមសេវាកម្ម")</f>
        <v/>
      </c>
      <c r="E2907" s="3" t="n"/>
      <c r="F2907" s="3" t="inlineStr">
        <is>
          <t>បញ្ចូលឈ្មោះក្រុមសេវាកម្ម</t>
        </is>
      </c>
      <c r="G2907" s="3" t="n"/>
      <c r="H2907" s="217" t="inlineStr">
        <is>
          <t>"delivery.warehouse.sorting.nameServicePlaceholder": "បញ្ចូលឈ្មោះក្រុមសេវាកម្ម",</t>
        </is>
      </c>
      <c r="I2907" t="inlineStr">
        <is>
          <t>បញ្ចូលឈ្មោះក្រុមសេវាកម្ម</t>
        </is>
      </c>
    </row>
    <row r="2908">
      <c r="A2908" s="3" t="inlineStr">
        <is>
          <t>delivery.warehouse.sorting.note</t>
        </is>
      </c>
      <c r="B2908" s="3" t="inlineStr">
        <is>
          <t>Ghi chú</t>
        </is>
      </c>
      <c r="C2908" s="3" t="inlineStr">
        <is>
          <t>Note</t>
        </is>
      </c>
      <c r="D2908" s="217">
        <f>IFERROR(__xludf.DUMMYFUNCTION("GOOGLETRANSLATE(C2908,""vi"",""km"")"),"កំណត់ចំណាំ")</f>
        <v/>
      </c>
      <c r="E2908" s="3" t="n"/>
      <c r="F2908" s="3" t="inlineStr">
        <is>
          <t>ចំណាំ</t>
        </is>
      </c>
      <c r="G2908" s="3" t="n"/>
      <c r="H2908" s="217" t="inlineStr">
        <is>
          <t>"delivery.warehouse.sorting.note": "ចំណាំ",</t>
        </is>
      </c>
      <c r="I2908" t="inlineStr">
        <is>
          <t>ចំណាំ</t>
        </is>
      </c>
    </row>
    <row r="2909">
      <c r="A2909" s="3" t="inlineStr">
        <is>
          <t>delivery.warehouse.sorting.notePlaceholder</t>
        </is>
      </c>
      <c r="B2909" s="3" t="inlineStr">
        <is>
          <t>Nhập ghi chú</t>
        </is>
      </c>
      <c r="C2909" s="3" t="inlineStr">
        <is>
          <t>Enter notes</t>
        </is>
      </c>
      <c r="D2909" s="217">
        <f>IFERROR(__xludf.DUMMYFUNCTION("GOOGLETRANSLATE(C2909,""vi"",""km"")"),"បញ្ចូលកំណត់ចំណាំ")</f>
        <v/>
      </c>
      <c r="E2909" s="3" t="n"/>
      <c r="F2909" s="3" t="inlineStr">
        <is>
          <t>បញ្ចូលកំណត់ចំណាំ</t>
        </is>
      </c>
      <c r="G2909" s="3" t="n"/>
      <c r="H2909" s="217" t="inlineStr">
        <is>
          <t>"delivery.warehouse.sorting.notePlaceholder": "បញ្ចូលកំណត់ចំណាំ",</t>
        </is>
      </c>
      <c r="I2909" t="inlineStr">
        <is>
          <t>បញ្ចូលកំណត់ចំណាំ</t>
        </is>
      </c>
    </row>
    <row r="2910">
      <c r="A2910" s="3" t="inlineStr">
        <is>
          <t>delivery.warehouse.sorting.parcelType</t>
        </is>
      </c>
      <c r="B2910" s="3" t="inlineStr">
        <is>
          <t>Loại hàng hoá</t>
        </is>
      </c>
      <c r="C2910" s="3" t="inlineStr">
        <is>
          <t>Type of goods</t>
        </is>
      </c>
      <c r="D2910" s="217">
        <f>IFERROR(__xludf.DUMMYFUNCTION("GOOGLETRANSLATE(C2910,""vi"",""km"")"),"ប្រភេទទំនិញ")</f>
        <v/>
      </c>
      <c r="E2910" s="3" t="n"/>
      <c r="F2910" s="3" t="inlineStr">
        <is>
          <t>ប្រភេទទំនិញ</t>
        </is>
      </c>
      <c r="G2910" s="3" t="n"/>
      <c r="H2910" s="217" t="inlineStr">
        <is>
          <t>"delivery.warehouse.sorting.parcelType": "ប្រភេទទំនិញ",</t>
        </is>
      </c>
      <c r="I2910" t="inlineStr">
        <is>
          <t>ប្រភេទទំនិញ</t>
        </is>
      </c>
    </row>
    <row r="2911">
      <c r="A2911" s="3" t="inlineStr">
        <is>
          <t>delivery.warehouse.sorting.quantity</t>
        </is>
      </c>
      <c r="B2911" s="3" t="inlineStr">
        <is>
          <t>Số lượng</t>
        </is>
      </c>
      <c r="C2911" s="3" t="inlineStr">
        <is>
          <t>Quantity</t>
        </is>
      </c>
      <c r="D2911" s="217">
        <f>IFERROR(__xludf.DUMMYFUNCTION("GOOGLETRANSLATE(C2911,""vi"",""km"")"),"វត្ថុ")</f>
        <v/>
      </c>
      <c r="E2911" s="3" t="n"/>
      <c r="F2911" s="3" t="inlineStr">
        <is>
          <t>វត្ថុ</t>
        </is>
      </c>
      <c r="G2911" s="3" t="n"/>
      <c r="H2911" s="217" t="inlineStr">
        <is>
          <t>"delivery.warehouse.sorting.quantity": "វត្ថុ",</t>
        </is>
      </c>
      <c r="I2911" t="inlineStr">
        <is>
          <t>វត្ថុ</t>
        </is>
      </c>
    </row>
    <row r="2912">
      <c r="A2912" s="3" t="inlineStr">
        <is>
          <t>delivery.warehouse.sorting.receivingListZone</t>
        </is>
      </c>
      <c r="B2912" s="3" t="inlineStr">
        <is>
          <t>Danh sách vùng đi</t>
        </is>
      </c>
      <c r="C2912" s="3" t="inlineStr">
        <is>
          <t>List of travel areas</t>
        </is>
      </c>
      <c r="D2912" s="217">
        <f>IFERROR(__xludf.DUMMYFUNCTION("GOOGLETRANSLATE(C2912,""vi"",""km"")"),"បញ្ជីតំបន់ទេសចរណ៍")</f>
        <v/>
      </c>
      <c r="E2912" s="3" t="n"/>
      <c r="F2912" s="3" t="inlineStr">
        <is>
          <t>បញ្ជីតំបន់ទេសចរណ៍</t>
        </is>
      </c>
      <c r="G2912" s="3" t="n"/>
      <c r="H2912" s="217" t="inlineStr">
        <is>
          <t>"delivery.warehouse.sorting.receivingListZone": "បញ្ជីតំបន់ទេសចរណ៍",</t>
        </is>
      </c>
      <c r="I2912" t="inlineStr">
        <is>
          <t>បញ្ជីតំបន់ទេសចរណ៍</t>
        </is>
      </c>
    </row>
    <row r="2913">
      <c r="A2913" s="3" t="inlineStr">
        <is>
          <t>delivery.warehouse.sorting.receivingZone</t>
        </is>
      </c>
      <c r="B2913" s="3" t="inlineStr">
        <is>
          <t>Vùng đi</t>
        </is>
      </c>
      <c r="C2913" s="3" t="inlineStr">
        <is>
          <t>Travel area</t>
        </is>
      </c>
      <c r="D2913" s="217">
        <f>IFERROR(__xludf.DUMMYFUNCTION("GOOGLETRANSLATE(C2913,""vi"",""km"")"),"តំបន់ធ្វើដំណើរ")</f>
        <v/>
      </c>
      <c r="E2913" s="3" t="n"/>
      <c r="F2913" s="3" t="inlineStr">
        <is>
          <t>តំបន់ធ្វើដំណើរ</t>
        </is>
      </c>
      <c r="G2913" s="3" t="n"/>
      <c r="H2913" s="217" t="inlineStr">
        <is>
          <t>"delivery.warehouse.sorting.receivingZone": "តំបន់ធ្វើដំណើរ",</t>
        </is>
      </c>
      <c r="I2913" t="inlineStr">
        <is>
          <t>តំបន់ធ្វើដំណើរ</t>
        </is>
      </c>
    </row>
    <row r="2914">
      <c r="A2914" s="3" t="inlineStr">
        <is>
          <t>delivery.warehouse.sorting.receivingZoneType</t>
        </is>
      </c>
      <c r="B2914" s="3" t="inlineStr">
        <is>
          <t>Loại vùng đi</t>
        </is>
      </c>
      <c r="C2914" s="3" t="inlineStr">
        <is>
          <t>Type of travel area</t>
        </is>
      </c>
      <c r="D2914" s="217">
        <f>IFERROR(__xludf.DUMMYFUNCTION("GOOGLETRANSLATE(C2914,""vi"",""km"")"),"ប្រភេទតំបន់ទេសចរណ៍")</f>
        <v/>
      </c>
      <c r="E2914" s="3" t="n"/>
      <c r="F2914" s="3" t="inlineStr">
        <is>
          <t>ប្រភេទតំបន់ទេសចរណ៍</t>
        </is>
      </c>
      <c r="G2914" s="3" t="n"/>
      <c r="H2914" s="217" t="inlineStr">
        <is>
          <t>"delivery.warehouse.sorting.receivingZoneType": "ប្រភេទតំបន់ទេសចរណ៍",</t>
        </is>
      </c>
      <c r="I2914" t="inlineStr">
        <is>
          <t>ប្រភេទតំបន់ទេសចរណ៍</t>
        </is>
      </c>
    </row>
    <row r="2915">
      <c r="A2915" s="3" t="inlineStr">
        <is>
          <t>delivery.warehouse.sorting.searchZone</t>
        </is>
      </c>
      <c r="B2915" s="3" t="inlineStr">
        <is>
          <t>Nhập tên tuyến để tìm kiếm</t>
        </is>
      </c>
      <c r="C2915" s="3" t="inlineStr">
        <is>
          <t>Enter the route name to search.</t>
        </is>
      </c>
      <c r="D2915" s="217">
        <f>IFERROR(__xludf.DUMMYFUNCTION("GOOGLETRANSLATE(C2915,""vi"",""km"")"),"បញ្ចូលឈ្មោះផ្លូវដើម្បីស្វែងរក។")</f>
        <v/>
      </c>
      <c r="E2915" s="3" t="n"/>
      <c r="F2915" s="3" t="inlineStr">
        <is>
          <t>បញ្ចូលឈ្មោះផ្លូវដើម្បីស្វែងរក។</t>
        </is>
      </c>
      <c r="G2915" s="3" t="n"/>
      <c r="H2915" s="217" t="inlineStr">
        <is>
          <t>"delivery.warehouse.sorting.searchZone": "បញ្ចូលឈ្មោះផ្លូវដើម្បីស្វែងរក។",</t>
        </is>
      </c>
      <c r="I2915" t="inlineStr">
        <is>
          <t>បញ្ចូលឈ្មោះផ្លូវដើម្បីស្វែងរក។</t>
        </is>
      </c>
    </row>
    <row r="2916">
      <c r="A2916" s="3" t="inlineStr">
        <is>
          <t>delivery.warehouse.sorting.selectDeliveryZone</t>
        </is>
      </c>
      <c r="B2916" s="3" t="inlineStr">
        <is>
          <t>Chọn vùng đến</t>
        </is>
      </c>
      <c r="C2916" s="3" t="inlineStr">
        <is>
          <t>Select destination</t>
        </is>
      </c>
      <c r="D2916" s="217">
        <f>IFERROR(__xludf.DUMMYFUNCTION("GOOGLETRANSLATE(C2916,""vi"",""km"")"),"ឆ្នាំដែលអាចប្រើប្រាស់ឡើងវិញបាន")</f>
        <v/>
      </c>
      <c r="E2916" s="3" t="n"/>
      <c r="F2916" s="3" t="inlineStr">
        <is>
          <t>ឆ្នាំដែលអាចប្រើប្រាស់ឡើងវិញបាន</t>
        </is>
      </c>
      <c r="G2916" s="3" t="n"/>
      <c r="H2916" s="217" t="inlineStr">
        <is>
          <t>"delivery.warehouse.sorting.selectDeliveryZone": "ឆ្នាំដែលអាចប្រើប្រាស់ឡើងវិញបាន",</t>
        </is>
      </c>
      <c r="I2916" t="inlineStr">
        <is>
          <t>ឆ្នាំដែលអាចប្រើប្រាស់ឡើងវិញបាន</t>
        </is>
      </c>
    </row>
    <row r="2917">
      <c r="A2917" s="3" t="inlineStr">
        <is>
          <t>delivery.warehouse.sorting.selectReceivingZone</t>
        </is>
      </c>
      <c r="B2917" s="3" t="inlineStr">
        <is>
          <t>Chọn vùng đi</t>
        </is>
      </c>
      <c r="C2917" s="3" t="inlineStr">
        <is>
          <t>Choose your destination area</t>
        </is>
      </c>
      <c r="D2917" s="217">
        <f>IFERROR(__xludf.DUMMYFUNCTION("GOOGLETRANSLATE(C2917,""vi"",""km"")"),"ស្វែងរកតំបន់មើលរបស់អ្នក")</f>
        <v/>
      </c>
      <c r="E2917" s="3" t="n"/>
      <c r="F2917" s="3" t="inlineStr">
        <is>
          <t>ស្វែងរកតំបន់មើលរបស់អ្នក</t>
        </is>
      </c>
      <c r="G2917" s="3" t="n"/>
      <c r="H2917" s="217" t="inlineStr">
        <is>
          <t>"delivery.warehouse.sorting.selectReceivingZone": "ស្វែងរកតំបន់មើលរបស់អ្នក",</t>
        </is>
      </c>
      <c r="I2917" t="inlineStr">
        <is>
          <t>ស្វែងរកតំបន់មើលរបស់អ្នក</t>
        </is>
      </c>
    </row>
    <row r="2918">
      <c r="A2918" s="3" t="inlineStr">
        <is>
          <t>delivery.warehouse.sorting.service</t>
        </is>
      </c>
      <c r="B2918" s="3" t="inlineStr">
        <is>
          <t>Dịch vụ</t>
        </is>
      </c>
      <c r="C2918" s="3" t="inlineStr">
        <is>
          <t>Service</t>
        </is>
      </c>
      <c r="D2918" s="217">
        <f>IFERROR(__xludf.DUMMYFUNCTION("GOOGLETRANSLATE(C2918,""vi"",""km"")"),"សេវាកម្ម")</f>
        <v/>
      </c>
      <c r="E2918" s="3" t="n"/>
      <c r="F2918" s="3" t="inlineStr">
        <is>
          <t>សេវាកម្ម</t>
        </is>
      </c>
      <c r="G2918" s="3" t="n"/>
      <c r="H2918" s="217" t="inlineStr">
        <is>
          <t>"delivery.warehouse.sorting.service": "សេវាកម្ម",</t>
        </is>
      </c>
      <c r="I2918" t="inlineStr">
        <is>
          <t>សេវាកម្ម</t>
        </is>
      </c>
    </row>
    <row r="2919">
      <c r="A2919" s="3" t="inlineStr">
        <is>
          <t>delivery.warehouse.sorting.serviceCode</t>
        </is>
      </c>
      <c r="B2919" s="3" t="inlineStr">
        <is>
          <t>Mã dịch vụ</t>
        </is>
      </c>
      <c r="C2919" s="3" t="inlineStr">
        <is>
          <t>Service code</t>
        </is>
      </c>
      <c r="D2919" s="217">
        <f>IFERROR(__xludf.DUMMYFUNCTION("GOOGLETRANSLATE(C2919,""vi"",""km"")"),"លេខកូដសេវាកម្ម")</f>
        <v/>
      </c>
      <c r="E2919" s="3" t="n"/>
      <c r="F2919" s="3" t="inlineStr">
        <is>
          <t>លេខកូដសេវាកម្ម</t>
        </is>
      </c>
      <c r="G2919" s="3" t="n"/>
      <c r="H2919" s="217" t="inlineStr">
        <is>
          <t>"delivery.warehouse.sorting.serviceCode": "លេខកូដសេវាកម្ម",</t>
        </is>
      </c>
      <c r="I2919" t="inlineStr">
        <is>
          <t>លេខកូដសេវាកម្ម</t>
        </is>
      </c>
    </row>
    <row r="2920">
      <c r="A2920" s="3" t="inlineStr">
        <is>
          <t>delivery.warehouse.sorting.serviceOfGroup</t>
        </is>
      </c>
      <c r="B2920" s="3" t="inlineStr">
        <is>
          <t>Danh sách dịch vụ trong nhóm</t>
        </is>
      </c>
      <c r="C2920" s="3" t="inlineStr">
        <is>
          <t>List of services in the group</t>
        </is>
      </c>
      <c r="D2920" s="217">
        <f>IFERROR(__xludf.DUMMYFUNCTION("GOOGLETRANSLATE(C2920,""vi"",""km"")"),"បញ្ជីសេវាកម្មនៅក្នុងក្រុម")</f>
        <v/>
      </c>
      <c r="E2920" s="3" t="n"/>
      <c r="F2920" s="3" t="inlineStr">
        <is>
          <t>បញ្ជីសេវាកម្មនៅក្នុងក្រុម</t>
        </is>
      </c>
      <c r="G2920" s="3" t="n"/>
      <c r="H2920" s="217" t="inlineStr">
        <is>
          <t>"delivery.warehouse.sorting.serviceOfGroup": "បញ្ជីសេវាកម្មនៅក្នុងក្រុម",</t>
        </is>
      </c>
      <c r="I2920" t="inlineStr">
        <is>
          <t>បញ្ជីសេវាកម្មនៅក្នុងក្រុម</t>
        </is>
      </c>
    </row>
    <row r="2921">
      <c r="A2921" s="3" t="inlineStr">
        <is>
          <t>delivery.warehouse.sorting.servicePlaceholder</t>
        </is>
      </c>
      <c r="B2921" s="3" t="inlineStr">
        <is>
          <t>Chọn dịch vụ</t>
        </is>
      </c>
      <c r="C2921" s="3" t="inlineStr">
        <is>
          <t>Select a service</t>
        </is>
      </c>
      <c r="D2921" s="217">
        <f>IFERROR(__xludf.DUMMYFUNCTION("GOOGLETRANSLATE(C2921,""vi"",""km"")"),"ជ្រើសរើសសេវាកម្មមួយ")</f>
        <v/>
      </c>
      <c r="E2921" s="3" t="n"/>
      <c r="F2921" s="3" t="inlineStr">
        <is>
          <t>ជ្រើសរើសសេវាកម្មមួយ</t>
        </is>
      </c>
      <c r="G2921" s="3" t="n"/>
      <c r="H2921" s="217" t="inlineStr">
        <is>
          <t>"delivery.warehouse.sorting.servicePlaceholder": "ជ្រើសរើសសេវាកម្មមួយ",</t>
        </is>
      </c>
      <c r="I2921" t="inlineStr">
        <is>
          <t>ជ្រើសរើសសេវាកម្មមួយ</t>
        </is>
      </c>
    </row>
    <row r="2922">
      <c r="A2922" s="3" t="inlineStr">
        <is>
          <t>delivery.warehouse.sorting.soringSearch</t>
        </is>
      </c>
      <c r="B2922" s="3" t="inlineStr">
        <is>
          <t>Nhập tên tuyến chia chọn để tìm kiếm</t>
        </is>
      </c>
      <c r="C2922" s="3" t="inlineStr">
        <is>
          <t>Enter the route name to search.</t>
        </is>
      </c>
      <c r="D2922" s="217">
        <f>IFERROR(__xludf.DUMMYFUNCTION("GOOGLETRANSLATE(C2922,""vi"",""km"")"),"បញ្ចូលឈ្មោះផ្លូវដើម្បីស្វែងរក។")</f>
        <v/>
      </c>
      <c r="E2922" s="3" t="n"/>
      <c r="F2922" s="3" t="inlineStr">
        <is>
          <t>បញ្ចូលឈ្មោះផ្លូវដើម្បីស្វែងរក។</t>
        </is>
      </c>
      <c r="G2922" s="3" t="n"/>
      <c r="H2922" s="217" t="inlineStr">
        <is>
          <t>"delivery.warehouse.sorting.soringSearch": "បញ្ចូលឈ្មោះផ្លូវដើម្បីស្វែងរក។",</t>
        </is>
      </c>
      <c r="I2922" t="inlineStr">
        <is>
          <t>បញ្ចូលឈ្មោះផ្លូវដើម្បីស្វែងរក។</t>
        </is>
      </c>
    </row>
    <row r="2923">
      <c r="A2923" s="3" t="inlineStr">
        <is>
          <t>delivery.warehouse.sorting.status</t>
        </is>
      </c>
      <c r="B2923" s="3" t="inlineStr">
        <is>
          <t>Trạng thái</t>
        </is>
      </c>
      <c r="C2923" s="3" t="inlineStr">
        <is>
          <t>Status</t>
        </is>
      </c>
      <c r="D2923" s="217">
        <f>IFERROR(__xludf.DUMMYFUNCTION("GOOGLETRANSLATE(C2923,""vi"",""km"")"),"ស្ថានភាព")</f>
        <v/>
      </c>
      <c r="E2923" s="3" t="n"/>
      <c r="F2923" s="3" t="inlineStr">
        <is>
          <t>ស្ថានភាព</t>
        </is>
      </c>
      <c r="G2923" s="3" t="n"/>
      <c r="H2923" s="217" t="inlineStr">
        <is>
          <t>"delivery.warehouse.sorting.status": "ស្ថានភាព",</t>
        </is>
      </c>
      <c r="I2923" t="inlineStr">
        <is>
          <t>ស្ថានភាព</t>
        </is>
      </c>
    </row>
    <row r="2924">
      <c r="A2924" s="3" t="inlineStr">
        <is>
          <t>delivery.warehouse.sorting.unlock</t>
        </is>
      </c>
      <c r="B2924" s="3" t="inlineStr">
        <is>
          <t>Mở khoá</t>
        </is>
      </c>
      <c r="C2924" s="3" t="inlineStr">
        <is>
          <t>Unlock</t>
        </is>
      </c>
      <c r="D2924" s="217">
        <f>IFERROR(__xludf.DUMMYFUNCTION("GOOGLETRANSLATE(C2924,""vi"",""km"")"),"ដោះសោ")</f>
        <v/>
      </c>
      <c r="E2924" s="3" t="n"/>
      <c r="F2924" s="3" t="inlineStr">
        <is>
          <t>ដោះសោ</t>
        </is>
      </c>
      <c r="G2924" s="3" t="n"/>
      <c r="H2924" s="217" t="inlineStr">
        <is>
          <t>"delivery.warehouse.sorting.unlock": "ដោះសោ",</t>
        </is>
      </c>
      <c r="I2924" t="inlineStr">
        <is>
          <t>ដោះសោ</t>
        </is>
      </c>
    </row>
    <row r="2925">
      <c r="A2925" s="3" t="inlineStr">
        <is>
          <t>delivery.warehouse.sorting.update</t>
        </is>
      </c>
      <c r="B2925" s="3" t="inlineStr">
        <is>
          <t>Cập nhật</t>
        </is>
      </c>
      <c r="C2925" s="3" t="inlineStr">
        <is>
          <t>Update</t>
        </is>
      </c>
      <c r="D2925" s="217">
        <f>IFERROR(__xludf.DUMMYFUNCTION("GOOGLETRANSLATE(C2925,""vi"",""km"")"),"ធ្វើបច្ចុប្បន្នភាព")</f>
        <v/>
      </c>
      <c r="E2925" s="3" t="n"/>
      <c r="F2925" s="3" t="inlineStr">
        <is>
          <t>ធ្វើបច្ចុប្បន្នភាព</t>
        </is>
      </c>
      <c r="G2925" s="3" t="n"/>
      <c r="H2925" s="217" t="inlineStr">
        <is>
          <t>"delivery.warehouse.sorting.update": "ធ្វើបច្ចុប្បន្នភាព",</t>
        </is>
      </c>
      <c r="I2925" t="inlineStr">
        <is>
          <t>ធ្វើបច្ចុប្បន្នភាព</t>
        </is>
      </c>
    </row>
    <row r="2926">
      <c r="A2926" s="3" t="inlineStr">
        <is>
          <t>delivery.warehouse.sorting.updateAt</t>
        </is>
      </c>
      <c r="B2926" s="3" t="inlineStr">
        <is>
          <t>Ngày tác động</t>
        </is>
      </c>
      <c r="C2926" s="3" t="inlineStr">
        <is>
          <t>Impact date</t>
        </is>
      </c>
      <c r="D2926" s="217">
        <f>IFERROR(__xludf.DUMMYFUNCTION("GOOGLETRANSLATE(C2926,""vi"",""km"")"),"កាលបរិច្ឆេទនៃផលប៉ះពាល់")</f>
        <v/>
      </c>
      <c r="E2926" s="3" t="n"/>
      <c r="F2926" s="3" t="inlineStr">
        <is>
          <t>កាលបរិច្ឆេទនៃផលប៉ះពាល់</t>
        </is>
      </c>
      <c r="G2926" s="3" t="n"/>
      <c r="H2926" s="217" t="inlineStr">
        <is>
          <t>"delivery.warehouse.sorting.updateAt": "កាលបរិច្ឆេទនៃផលប៉ះពាល់",</t>
        </is>
      </c>
      <c r="I2926" t="inlineStr">
        <is>
          <t>កាលបរិច្ឆេទនៃផលប៉ះពាល់</t>
        </is>
      </c>
    </row>
    <row r="2927">
      <c r="A2927" s="3" t="inlineStr">
        <is>
          <t>delivery.warehouse.sorting.updateConfigSorting</t>
        </is>
      </c>
      <c r="B2927" s="3" t="inlineStr">
        <is>
          <t>Cập nhật cấu hình thành công</t>
        </is>
      </c>
      <c r="C2927" s="3" t="inlineStr">
        <is>
          <t>Configuration update successful</t>
        </is>
      </c>
      <c r="D2927" s="217">
        <f>IFERROR(__xludf.DUMMYFUNCTION("GOOGLETRANSLATE(C2927,""vi"",""km"")"),"ការអាប់ដេតការកំណត់រចនាសម្ព័ន្ធបានជោគជ័យ")</f>
        <v/>
      </c>
      <c r="E2927" s="3" t="n"/>
      <c r="F2927" s="3" t="inlineStr">
        <is>
          <t>ការអាប់ដេតការកំណត់រចនាសម្ព័ន្ធបានជោគជ័យ</t>
        </is>
      </c>
      <c r="G2927" s="3" t="n"/>
      <c r="H2927" s="217" t="inlineStr">
        <is>
          <t>"delivery.warehouse.sorting.updateConfigSorting": "ការអាប់ដេតការកំណត់រចនាសម្ព័ន្ធបានជោគជ័យ",</t>
        </is>
      </c>
      <c r="I2927" t="inlineStr">
        <is>
          <t>ការអាប់ដេតការកំណត់រចនាសម្ព័ន្ធបានជោគជ័យ</t>
        </is>
      </c>
    </row>
    <row r="2928">
      <c r="A2928" s="3" t="inlineStr">
        <is>
          <t>delivery.warehouse.sorting.updateConfigZone</t>
        </is>
      </c>
      <c r="B2928" s="3" t="inlineStr">
        <is>
          <t>Cập nhật cấu hình thành công</t>
        </is>
      </c>
      <c r="C2928" s="3" t="inlineStr">
        <is>
          <t>Configuration update successful</t>
        </is>
      </c>
      <c r="D2928" s="217">
        <f>IFERROR(__xludf.DUMMYFUNCTION("GOOGLETRANSLATE(C2928,""vi"",""km"")"),"ការអាប់ដេតការកំណត់រចនាសម្ព័ន្ធបានជោគជ័យ")</f>
        <v/>
      </c>
      <c r="E2928" s="3" t="n"/>
      <c r="F2928" s="3" t="inlineStr">
        <is>
          <t>ការអាប់ដេតការកំណត់រចនាសម្ព័ន្ធបានជោគជ័យ</t>
        </is>
      </c>
      <c r="G2928" s="3" t="n"/>
      <c r="H2928" s="217" t="inlineStr">
        <is>
          <t>"delivery.warehouse.sorting.updateConfigZone": "ការអាប់ដេតការកំណត់រចនាសម្ព័ន្ធបានជោគជ័យ",</t>
        </is>
      </c>
      <c r="I2928" t="inlineStr">
        <is>
          <t>ការអាប់ដេតការកំណត់រចនាសម្ព័ន្ធបានជោគជ័យ</t>
        </is>
      </c>
    </row>
    <row r="2929">
      <c r="A2929" s="3" t="inlineStr">
        <is>
          <t>delivery.warehouse.sorting.updateServiceGroup</t>
        </is>
      </c>
      <c r="B2929" s="3" t="inlineStr">
        <is>
          <t>Cập nhật thông tin thành công!</t>
        </is>
      </c>
      <c r="C2929" s="3" t="inlineStr">
        <is>
          <t>Information updated successfully!</t>
        </is>
      </c>
      <c r="D2929" s="217">
        <f>IFERROR(__xludf.DUMMYFUNCTION("GOOGLETRANSLATE(C2929,""vi"",""km"")"),"ព័ត៌មានត្រូវបានធ្វើបច្ចុប្បន្នភាពដោយជោគជ័យ!")</f>
        <v/>
      </c>
      <c r="E2929" s="3" t="n"/>
      <c r="F2929" s="3" t="inlineStr">
        <is>
          <t>ព័ត៌មានត្រូវបានធ្វើបច្ចុប្បន្នភាពដោយជោគជ័យ!</t>
        </is>
      </c>
      <c r="G2929" s="3" t="n"/>
      <c r="H2929" s="217" t="inlineStr">
        <is>
          <t>"delivery.warehouse.sorting.updateServiceGroup": "ព័ត៌មានត្រូវបានធ្វើបច្ចុប្បន្នភាពដោយជោគជ័យ!",</t>
        </is>
      </c>
      <c r="I2929" t="inlineStr">
        <is>
          <t>ព័ត៌មានត្រូវបានធ្វើបច្ចុប្បន្នភាពដោយជោគជ័យ!</t>
        </is>
      </c>
    </row>
    <row r="2930">
      <c r="A2930" s="3" t="inlineStr">
        <is>
          <t>delivery.warehouse.sorting.updateServiceGroupFail</t>
        </is>
      </c>
      <c r="B2930" s="3" t="inlineStr">
        <is>
          <t>Cập nhật thông tin thất bại</t>
        </is>
      </c>
      <c r="C2930" s="3" t="inlineStr">
        <is>
          <t>Update failure information</t>
        </is>
      </c>
      <c r="D2930" s="217">
        <f>IFERROR(__xludf.DUMMYFUNCTION("GOOGLETRANSLATE(C2930,""vi"",""km"")"),"ធ្វើបច្ចុប្បន្នភាពព័ត៌មានអំពីការបរាជ័យ")</f>
        <v/>
      </c>
      <c r="E2930" s="3" t="n"/>
      <c r="F2930" s="3" t="inlineStr">
        <is>
          <t>ធ្វើបច្ចុប្បន្នភាពព័ត៌មានអំពីការបរាជ័យ</t>
        </is>
      </c>
      <c r="G2930" s="3" t="n"/>
      <c r="H2930" s="217" t="inlineStr">
        <is>
          <t>"delivery.warehouse.sorting.updateServiceGroupFail": "ធ្វើបច្ចុប្បន្នភាពព័ត៌មានអំពីការបរាជ័យ",</t>
        </is>
      </c>
      <c r="I2930" t="inlineStr">
        <is>
          <t>ធ្វើបច្ចុប្បន្នភាពព័ត៌មានអំពីការបរាជ័យ</t>
        </is>
      </c>
    </row>
    <row r="2931">
      <c r="A2931" s="3" t="inlineStr">
        <is>
          <t>delivery.warehouse.sorting.updateSuccess</t>
        </is>
      </c>
      <c r="B2931" s="3" t="inlineStr">
        <is>
          <t>Cập nhật thông tin thành công!</t>
        </is>
      </c>
      <c r="C2931" s="3" t="inlineStr">
        <is>
          <t>Information updated successfully!</t>
        </is>
      </c>
      <c r="D2931" s="217">
        <f>IFERROR(__xludf.DUMMYFUNCTION("GOOGLETRANSLATE(C2931,""vi"",""km"")"),"ព័ត៌មានត្រូវបានធ្វើបច្ចុប្បន្នភាពដោយជោគជ័យ!")</f>
        <v/>
      </c>
      <c r="E2931" s="3" t="n"/>
      <c r="F2931" s="3" t="inlineStr">
        <is>
          <t>ព័ត៌មានត្រូវបានធ្វើបច្ចុប្បន្នភាពដោយជោគជ័យ!</t>
        </is>
      </c>
      <c r="G2931" s="3" t="n"/>
      <c r="H2931" s="217" t="inlineStr">
        <is>
          <t>"delivery.warehouse.sorting.updateSuccess": "ព័ត៌មានត្រូវបានធ្វើបច្ចុប្បន្នភាពដោយជោគជ័យ!",</t>
        </is>
      </c>
      <c r="I2931" t="inlineStr">
        <is>
          <t>ព័ត៌មានត្រូវបានធ្វើបច្ចុប្បន្នភាពដោយជោគជ័យ!</t>
        </is>
      </c>
    </row>
    <row r="2932">
      <c r="A2932" s="3" t="inlineStr">
        <is>
          <t>delivery.warehouse.sorting.updateZoneSuccess</t>
        </is>
      </c>
      <c r="B2932" s="3" t="inlineStr">
        <is>
          <t>Cập nhật chi tiết cấu hình thành công</t>
        </is>
      </c>
      <c r="C2932" s="3" t="inlineStr">
        <is>
          <t>Configuration details updated successfully.</t>
        </is>
      </c>
      <c r="D2932" s="217">
        <f>IFERROR(__xludf.DUMMYFUNCTION("GOOGLETRANSLATE(C2932,""vi"",""km"")"),"ព័ត៌មានលម្អិតអំពីការកំណត់រចនាសម្ព័ន្ធត្រូវបានធ្វើបច្ចុប្បន្នភាពដោយជោគជ័យ។")</f>
        <v/>
      </c>
      <c r="E2932" s="3" t="n"/>
      <c r="F2932" s="3" t="inlineStr">
        <is>
          <t>ព័ត៌មានលម្អិតអំពីការកំណត់រចនាសម្ព័ន្ធត្រូវបានធ្វើបច្ចុប្បន្នភាពដោយជោគជ័យ។</t>
        </is>
      </c>
      <c r="G2932" s="3" t="n"/>
      <c r="H2932" s="217" t="inlineStr">
        <is>
          <t>"delivery.warehouse.sorting.updateZoneSuccess": "ព័ត៌មានលម្អិតអំពីការកំណត់រចនាសម្ព័ន្ធត្រូវបានធ្វើបច្ចុប្បន្នភាពដោយជោគជ័យ។",</t>
        </is>
      </c>
      <c r="I2932" t="inlineStr">
        <is>
          <t>ព័ត៌មានលម្អិតអំពីការកំណត់រចនាសម្ព័ន្ធត្រូវបានធ្វើបច្ចុប្បន្នភាពដោយជោគជ័យ។</t>
        </is>
      </c>
    </row>
    <row r="2933">
      <c r="A2933" s="3" t="inlineStr">
        <is>
          <t>delivery.warehouse.sorting.updatedAt</t>
        </is>
      </c>
      <c r="B2933" s="3" t="inlineStr">
        <is>
          <t>Ngày cập nhật</t>
        </is>
      </c>
      <c r="C2933" s="3" t="inlineStr">
        <is>
          <t>Date updated</t>
        </is>
      </c>
      <c r="D2933" s="217">
        <f>IFERROR(__xludf.DUMMYFUNCTION("GOOGLETRANSLATE(C2933,""vi"",""km"")"),"កាលបរិច្ឆេទ​ដែលបានធ្វើបច្ចុប្បន្នភាព")</f>
        <v/>
      </c>
      <c r="E2933" s="3" t="n"/>
      <c r="F2933" s="3" t="inlineStr">
        <is>
          <t>កាលបរិច្ឆេទដែលបានធ្វើបច្ចុប្បន្នភាព</t>
        </is>
      </c>
      <c r="G2933" s="3" t="n"/>
      <c r="H2933" s="217" t="inlineStr">
        <is>
          <t>"delivery.warehouse.sorting.updatedAt": "កាលបរិច្ឆេទដែលបានធ្វើបច្ចុប្បន្នភាព",</t>
        </is>
      </c>
      <c r="I2933" t="inlineStr">
        <is>
          <t>កាលបរិច្ឆេទដែលបានធ្វើបច្ចុប្បន្នភាព</t>
        </is>
      </c>
    </row>
    <row r="2934">
      <c r="A2934" s="3" t="inlineStr">
        <is>
          <t>delivery.warehouse.sorting.updatedBy</t>
        </is>
      </c>
      <c r="B2934" s="3" t="inlineStr">
        <is>
          <t>Người cập nhật</t>
        </is>
      </c>
      <c r="C2934" s="3" t="inlineStr">
        <is>
          <t>Updater</t>
        </is>
      </c>
      <c r="D2934" s="217">
        <f>IFERROR(__xludf.DUMMYFUNCTION("GOOGLETRANSLATE(C2934,""vi"",""km"")"),"កម្មវិធីធ្វើបច្ចុប្បន្នភាព")</f>
        <v/>
      </c>
      <c r="E2934" s="3" t="n"/>
      <c r="F2934" s="3" t="inlineStr">
        <is>
          <t>កម្មវិធីធ្វើបច្ចុប្បន្នភាព</t>
        </is>
      </c>
      <c r="G2934" s="3" t="n"/>
      <c r="H2934" s="217" t="inlineStr">
        <is>
          <t>"delivery.warehouse.sorting.updatedBy": "កម្មវិធីធ្វើបច្ចុប្បន្នភាព",</t>
        </is>
      </c>
      <c r="I2934" t="inlineStr">
        <is>
          <t>កម្មវិធីធ្វើបច្ចុប្បន្នភាព</t>
        </is>
      </c>
    </row>
    <row r="2935">
      <c r="A2935" s="3" t="inlineStr">
        <is>
          <t>delivery.warehouse.sorting.zone</t>
        </is>
      </c>
      <c r="B2935" s="3" t="inlineStr">
        <is>
          <t>Vùng đi - vùng đến</t>
        </is>
      </c>
      <c r="C2935" s="3" t="inlineStr">
        <is>
          <t>Origin zone - destination zone</t>
        </is>
      </c>
      <c r="D2935" s="217">
        <f>IFERROR(__xludf.DUMMYFUNCTION("GOOGLETRANSLATE(C2935,""vi"",""km"")"),"តំបន់ដើម - តំបន់គោលដៅ")</f>
        <v/>
      </c>
      <c r="E2935" s="3" t="n"/>
      <c r="F2935" s="3" t="inlineStr">
        <is>
          <t>តំបន់ដើម - តំបន់គោលដៅ</t>
        </is>
      </c>
      <c r="G2935" s="3" t="n"/>
      <c r="H2935" s="217" t="inlineStr">
        <is>
          <t>"delivery.warehouse.sorting.zone": "តំបន់ដើម - តំបន់គោលដៅ",</t>
        </is>
      </c>
      <c r="I2935" t="inlineStr">
        <is>
          <t>តំបន់ដើម - តំបន់គោលដៅ</t>
        </is>
      </c>
    </row>
    <row r="2936">
      <c r="A2936" s="3" t="inlineStr">
        <is>
          <t>delivery.warehouse.sorting.zoneInfo</t>
        </is>
      </c>
      <c r="B2936" s="3" t="inlineStr">
        <is>
          <t>Thông tin tuyến vùng đi, vùng đến</t>
        </is>
      </c>
      <c r="C2936" s="3" t="inlineStr">
        <is>
          <t>Information on the departure and arrival routes.</t>
        </is>
      </c>
      <c r="D2936" s="217">
        <f>IFERROR(__xludf.DUMMYFUNCTION("GOOGLETRANSLATE(C2936,""vi"",""km"")"),"ព័ត៌មានអំពីផ្លូវចេញដំណើរ និងផ្លូវមកដល់។")</f>
        <v/>
      </c>
      <c r="E2936" s="3" t="n"/>
      <c r="F2936" s="3" t="inlineStr">
        <is>
          <t>ព័ត៌មានអំពីផ្លូវចេញដំណើរ និងផ្លូវមកដល់។</t>
        </is>
      </c>
      <c r="G2936" s="3" t="n"/>
      <c r="H2936" s="217" t="inlineStr">
        <is>
          <t>"delivery.warehouse.sorting.zoneInfo": "ព័ត៌មានអំពីផ្លូវចេញដំណើរ និងផ្លូវមកដល់។",</t>
        </is>
      </c>
      <c r="I2936" t="inlineStr">
        <is>
          <t>ព័ត៌មានអំពីផ្លូវចេញដំណើរ និងផ្លូវមកដល់។</t>
        </is>
      </c>
    </row>
    <row r="2937">
      <c r="A2937" s="3" t="inlineStr">
        <is>
          <t>delivery.warehouse.table.add</t>
        </is>
      </c>
      <c r="B2937" s="3" t="inlineStr">
        <is>
          <t>Thêm</t>
        </is>
      </c>
      <c r="C2937" s="3" t="inlineStr">
        <is>
          <t>Add</t>
        </is>
      </c>
      <c r="D2937" s="217">
        <f>IFERROR(__xludf.DUMMYFUNCTION("GOOGLETRANSLATE(C2937,""vi"",""km"")"),"បន្ថែម")</f>
        <v/>
      </c>
      <c r="E2937" s="3" t="n"/>
      <c r="F2937" s="3" t="inlineStr">
        <is>
          <t>បន្ថែម</t>
        </is>
      </c>
      <c r="G2937" s="3" t="n"/>
      <c r="H2937" s="217" t="inlineStr">
        <is>
          <t>"delivery.warehouse.table.add": "បន្ថែម",</t>
        </is>
      </c>
      <c r="I2937" t="inlineStr">
        <is>
          <t>បន្ថែម</t>
        </is>
      </c>
    </row>
    <row r="2938">
      <c r="A2938" s="3" t="inlineStr">
        <is>
          <t>delivery.warehouse.table.all</t>
        </is>
      </c>
      <c r="B2938" s="3" t="inlineStr">
        <is>
          <t>Tất cả</t>
        </is>
      </c>
      <c r="C2938" s="3" t="inlineStr">
        <is>
          <t>All</t>
        </is>
      </c>
      <c r="D2938" s="217">
        <f>IFERROR(__xludf.DUMMYFUNCTION("GOOGLETRANSLATE(C2938,""vi"",""km"")"),"ទាំងអស់")</f>
        <v/>
      </c>
      <c r="E2938" s="3" t="n"/>
      <c r="F2938" s="3" t="inlineStr">
        <is>
          <t>ទាំងអស់</t>
        </is>
      </c>
      <c r="G2938" s="3" t="n"/>
      <c r="H2938" s="217" t="inlineStr">
        <is>
          <t>"delivery.warehouse.table.all": "ទាំងអស់",</t>
        </is>
      </c>
      <c r="I2938" t="inlineStr">
        <is>
          <t>ទាំងអស់</t>
        </is>
      </c>
    </row>
    <row r="2939">
      <c r="A2939" s="3" t="inlineStr">
        <is>
          <t>delivery.warehouse.table.apply</t>
        </is>
      </c>
      <c r="B2939" s="3" t="inlineStr">
        <is>
          <t>Áp dụng</t>
        </is>
      </c>
      <c r="C2939" s="3" t="inlineStr">
        <is>
          <t>Apply</t>
        </is>
      </c>
      <c r="D2939" s="217">
        <f>IFERROR(__xludf.DUMMYFUNCTION("GOOGLETRANSLATE(C2939,""vi"",""km"")"),"ដាក់ពាក្យ")</f>
        <v/>
      </c>
      <c r="E2939" s="3" t="n"/>
      <c r="F2939" s="3" t="inlineStr">
        <is>
          <t>អនុវត្ត</t>
        </is>
      </c>
      <c r="G2939" s="3" t="n"/>
      <c r="H2939" s="217" t="inlineStr">
        <is>
          <t>"delivery.warehouse.table.apply": "អនុវត្ត",</t>
        </is>
      </c>
      <c r="I2939" t="inlineStr">
        <is>
          <t>អនុវត្ត</t>
        </is>
      </c>
    </row>
    <row r="2940">
      <c r="A2940" s="3" t="inlineStr">
        <is>
          <t>delivery.warehouse.table.cancel</t>
        </is>
      </c>
      <c r="B2940" s="3" t="inlineStr">
        <is>
          <t>Hủy</t>
        </is>
      </c>
      <c r="C2940" s="3" t="inlineStr">
        <is>
          <t>Cancel</t>
        </is>
      </c>
      <c r="D2940" s="217">
        <f>IFERROR(__xludf.DUMMYFUNCTION("GOOGLETRANSLATE(C2940,""vi"",""km"")"),"បោះបង់")</f>
        <v/>
      </c>
      <c r="E2940" s="3" t="n"/>
      <c r="F2940" s="3" t="inlineStr">
        <is>
          <t>លុបចោល</t>
        </is>
      </c>
      <c r="G2940" s="3" t="n"/>
      <c r="H2940" s="217" t="inlineStr">
        <is>
          <t>"delivery.warehouse.table.cancel": "លុបចោល",</t>
        </is>
      </c>
      <c r="I2940" t="inlineStr">
        <is>
          <t>លុបចោល</t>
        </is>
      </c>
    </row>
    <row r="2941">
      <c r="A2941" s="3" t="inlineStr">
        <is>
          <t>delivery.warehouse.table.close</t>
        </is>
      </c>
      <c r="B2941" s="3" t="inlineStr">
        <is>
          <t>Đóng</t>
        </is>
      </c>
      <c r="C2941" s="3" t="inlineStr">
        <is>
          <t>Close</t>
        </is>
      </c>
      <c r="D2941" s="217">
        <f>IFERROR(__xludf.DUMMYFUNCTION("GOOGLETRANSLATE(C2941,""vi"",""km"")"),"បិទ")</f>
        <v/>
      </c>
      <c r="E2941" s="3" t="n"/>
      <c r="F2941" s="3" t="inlineStr">
        <is>
          <t>បិទ</t>
        </is>
      </c>
      <c r="G2941" s="3" t="n"/>
      <c r="H2941" s="217" t="inlineStr">
        <is>
          <t>"delivery.warehouse.table.close": "បិទ",</t>
        </is>
      </c>
      <c r="I2941" t="inlineStr">
        <is>
          <t>បិទ</t>
        </is>
      </c>
    </row>
    <row r="2942">
      <c r="A2942" s="3" t="inlineStr">
        <is>
          <t>delivery.warehouse.table.complete</t>
        </is>
      </c>
      <c r="B2942" s="3" t="inlineStr">
        <is>
          <t>Hoàn thành</t>
        </is>
      </c>
      <c r="C2942" s="3" t="inlineStr">
        <is>
          <t>Complete</t>
        </is>
      </c>
      <c r="D2942" s="217">
        <f>IFERROR(__xludf.DUMMYFUNCTION("GOOGLETRANSLATE(C2942,""vi"",""km"")"),"ឯកសារ")</f>
        <v/>
      </c>
      <c r="E2942" s="3" t="n"/>
      <c r="F2942" s="3" t="inlineStr">
        <is>
          <t>បានបញ្ចប់</t>
        </is>
      </c>
      <c r="G2942" s="3" t="n"/>
      <c r="H2942" s="217" t="inlineStr">
        <is>
          <t>"delivery.warehouse.table.complete": "បានបញ្ចប់",</t>
        </is>
      </c>
      <c r="I2942" t="inlineStr">
        <is>
          <t>បានបញ្ចប់</t>
        </is>
      </c>
    </row>
    <row r="2943">
      <c r="A2943" s="3" t="inlineStr">
        <is>
          <t>delivery.warehouse.table.confirm</t>
        </is>
      </c>
      <c r="B2943" s="3" t="inlineStr">
        <is>
          <t>Xác nhận</t>
        </is>
      </c>
      <c r="C2943" s="3" t="inlineStr">
        <is>
          <t>Confirm</t>
        </is>
      </c>
      <c r="D2943" s="217">
        <f>IFERROR(__xludf.DUMMYFUNCTION("GOOGLETRANSLATE(C2943,""vi"",""km"")"),"បញ្ជាក់")</f>
        <v/>
      </c>
      <c r="E2943" s="3" t="n"/>
      <c r="F2943" s="3" t="inlineStr">
        <is>
          <t>បញ្ជាក់</t>
        </is>
      </c>
      <c r="G2943" s="3" t="n"/>
      <c r="H2943" s="217" t="inlineStr">
        <is>
          <t>"delivery.warehouse.table.confirm": "បញ្ជាក់",</t>
        </is>
      </c>
      <c r="I2943" t="inlineStr">
        <is>
          <t>បញ្ជាក់</t>
        </is>
      </c>
    </row>
    <row r="2944">
      <c r="A2944" s="3" t="inlineStr">
        <is>
          <t>delivery.warehouse.table.confirmTitle</t>
        </is>
      </c>
      <c r="B2944" s="3" t="inlineStr">
        <is>
          <t>Thông báo</t>
        </is>
      </c>
      <c r="C2944" s="3" t="inlineStr">
        <is>
          <t>Notification</t>
        </is>
      </c>
      <c r="D2944" s="217">
        <f>IFERROR(__xludf.DUMMYFUNCTION("GOOGLETRANSLATE(C2944,""vi"",""km"")"),"ការជូនដំណឹង")</f>
        <v/>
      </c>
      <c r="E2944" s="3" t="n"/>
      <c r="F2944" s="3" t="inlineStr">
        <is>
          <t>ការជូនដំណឹង</t>
        </is>
      </c>
      <c r="G2944" s="3" t="n"/>
      <c r="H2944" s="217" t="inlineStr">
        <is>
          <t>"delivery.warehouse.table.confirmTitle": "ការជូនដំណឹង",</t>
        </is>
      </c>
      <c r="I2944" t="inlineStr">
        <is>
          <t>ការជូនដំណឹង</t>
        </is>
      </c>
    </row>
    <row r="2945">
      <c r="A2945" s="3" t="inlineStr">
        <is>
          <t>delivery.warehouse.table.createFail</t>
        </is>
      </c>
      <c r="B2945" s="3" t="inlineStr">
        <is>
          <t>Thêm mới thất bại</t>
        </is>
      </c>
      <c r="C2945" s="3" t="inlineStr">
        <is>
          <t>Failed to create</t>
        </is>
      </c>
      <c r="D2945" s="217">
        <f>IFERROR(__xludf.DUMMYFUNCTION("GOOGLETRANSLATE(C2945,""vi"",""km"")"),"បរាជ័យក្នុងការបង្កើត")</f>
        <v/>
      </c>
      <c r="E2945" s="3" t="n"/>
      <c r="F2945" s="3" t="inlineStr">
        <is>
          <t>បរាជ័យក្នុងការបង្កើត</t>
        </is>
      </c>
      <c r="G2945" s="3" t="n"/>
      <c r="H2945" s="217" t="inlineStr">
        <is>
          <t>"delivery.warehouse.table.createFail": "បរាជ័យក្នុងការបង្កើត",</t>
        </is>
      </c>
      <c r="I2945" t="inlineStr">
        <is>
          <t>បរាជ័យក្នុងការបង្កើត</t>
        </is>
      </c>
    </row>
    <row r="2946">
      <c r="A2946" s="3" t="inlineStr">
        <is>
          <t>delivery.warehouse.table.createNew</t>
        </is>
      </c>
      <c r="B2946" s="3" t="inlineStr">
        <is>
          <t>Tạo mới</t>
        </is>
      </c>
      <c r="C2946" s="3" t="inlineStr">
        <is>
          <t>Create</t>
        </is>
      </c>
      <c r="D2946" s="217">
        <f>IFERROR(__xludf.DUMMYFUNCTION("GOOGLETRANSLATE(C2946,""vi"",""km"")"),"បង្កើត")</f>
        <v/>
      </c>
      <c r="E2946" s="3" t="n"/>
      <c r="F2946" s="3" t="inlineStr">
        <is>
          <t>បង្កើតថ្មី</t>
        </is>
      </c>
      <c r="G2946" s="3" t="n"/>
      <c r="H2946" s="217" t="inlineStr">
        <is>
          <t>"delivery.warehouse.table.createNew": "បង្កើតថ្មី",</t>
        </is>
      </c>
      <c r="I2946" t="inlineStr">
        <is>
          <t>បង្កើតថ្មី</t>
        </is>
      </c>
    </row>
    <row r="2947">
      <c r="A2947" s="3" t="inlineStr">
        <is>
          <t>delivery.warehouse.table.createSuccess</t>
        </is>
      </c>
      <c r="B2947" s="3" t="inlineStr">
        <is>
          <t>Thêm mới thành công</t>
        </is>
      </c>
      <c r="C2947" s="3" t="inlineStr">
        <is>
          <t>Successfully created</t>
        </is>
      </c>
      <c r="D2947" s="217">
        <f>IFERROR(__xludf.DUMMYFUNCTION("GOOGLETRANSLATE(C2947,""vi"",""km"")"),"បានបង្កើតដោយជោគជ័យ")</f>
        <v/>
      </c>
      <c r="E2947" s="3" t="n"/>
      <c r="F2947" s="3" t="inlineStr">
        <is>
          <t>បានបង្កើតដោយជោគជ័យ</t>
        </is>
      </c>
      <c r="G2947" s="3" t="n"/>
      <c r="H2947" s="217" t="inlineStr">
        <is>
          <t>"delivery.warehouse.table.createSuccess": "បានបង្កើតដោយជោគជ័យ",</t>
        </is>
      </c>
      <c r="I2947" t="inlineStr">
        <is>
          <t>បានបង្កើតដោយជោគជ័យ</t>
        </is>
      </c>
    </row>
    <row r="2948">
      <c r="A2948" s="3" t="inlineStr">
        <is>
          <t>delivery.warehouse.table.delete</t>
        </is>
      </c>
      <c r="B2948" s="3" t="inlineStr">
        <is>
          <t>Xoá</t>
        </is>
      </c>
      <c r="C2948" s="3" t="inlineStr">
        <is>
          <t>Delete</t>
        </is>
      </c>
      <c r="D2948" s="217">
        <f>IFERROR(__xludf.DUMMYFUNCTION("GOOGLETRANSLATE(C2948,""vi"",""km"")"),"ម")</f>
        <v/>
      </c>
      <c r="E2948" s="3" t="n"/>
      <c r="F2948" s="3" t="inlineStr">
        <is>
          <t>លុប</t>
        </is>
      </c>
      <c r="G2948" s="3" t="n"/>
      <c r="H2948" s="217" t="inlineStr">
        <is>
          <t>"delivery.warehouse.table.delete": "លុប",</t>
        </is>
      </c>
      <c r="I2948" t="inlineStr">
        <is>
          <t>លុប</t>
        </is>
      </c>
    </row>
    <row r="2949">
      <c r="A2949" s="3" t="inlineStr">
        <is>
          <t>delivery.warehouse.table.detail</t>
        </is>
      </c>
      <c r="B2949" s="3" t="inlineStr">
        <is>
          <t>Chi tiết</t>
        </is>
      </c>
      <c r="C2949" s="3" t="inlineStr">
        <is>
          <t>Detail</t>
        </is>
      </c>
      <c r="D2949" s="217">
        <f>IFERROR(__xludf.DUMMYFUNCTION("GOOGLETRANSLATE(C2949,""vi"",""km"")"),"ព័ត៌មានលម្អិត")</f>
        <v/>
      </c>
      <c r="E2949" s="3" t="n"/>
      <c r="F2949" s="3" t="inlineStr">
        <is>
          <t>ព័ត៌មានលម្អិត</t>
        </is>
      </c>
      <c r="G2949" s="3" t="n"/>
      <c r="H2949" s="217" t="inlineStr">
        <is>
          <t>"delivery.warehouse.table.detail": "ព័ត៌មានលម្អិត",</t>
        </is>
      </c>
      <c r="I2949" t="inlineStr">
        <is>
          <t>ព័ត៌មានលម្អិត</t>
        </is>
      </c>
    </row>
    <row r="2950">
      <c r="A2950" s="3" t="inlineStr">
        <is>
          <t>delivery.warehouse.table.email</t>
        </is>
      </c>
      <c r="B2950" s="3" t="inlineStr">
        <is>
          <t>Email</t>
        </is>
      </c>
      <c r="C2950" s="3" t="inlineStr">
        <is>
          <t>Email</t>
        </is>
      </c>
      <c r="D2950" s="217">
        <f>IFERROR(__xludf.DUMMYFUNCTION("GOOGLETRANSLATE(C2950,""vi"",""km"")"),"អ៊ីមែល")</f>
        <v/>
      </c>
      <c r="E2950" s="3" t="n"/>
      <c r="F2950" s="3" t="inlineStr">
        <is>
          <t>អ៊ីមែល</t>
        </is>
      </c>
      <c r="G2950" s="3" t="n"/>
      <c r="H2950" s="217" t="inlineStr">
        <is>
          <t>"delivery.warehouse.table.email": "អ៊ីមែល",</t>
        </is>
      </c>
      <c r="I2950" t="inlineStr">
        <is>
          <t>អ៊ីមែល</t>
        </is>
      </c>
    </row>
    <row r="2951">
      <c r="A2951" s="3" t="inlineStr">
        <is>
          <t>delivery.warehouse.table.empty</t>
        </is>
      </c>
      <c r="B2951" s="3" t="inlineStr">
        <is>
          <t>Không thấy dữ liệu phù hợp</t>
        </is>
      </c>
      <c r="C2951" s="3" t="inlineStr">
        <is>
          <t>No matching data found</t>
        </is>
      </c>
      <c r="D2951" s="217">
        <f>IFERROR(__xludf.DUMMYFUNCTION("GOOGLETRANSLATE(C2951,""vi"",""km"")"),"រកមិនឃើញទិន្នន័យដែលត្រូវគ្នាទេ")</f>
        <v/>
      </c>
      <c r="E2951" s="3" t="n"/>
      <c r="F2951" s="3" t="inlineStr">
        <is>
          <t>រកមិនឃើញទិន្នន័យដែលត្រូវគ្នាទេ</t>
        </is>
      </c>
      <c r="G2951" s="3" t="n"/>
      <c r="H2951" s="217" t="inlineStr">
        <is>
          <t>"delivery.warehouse.table.empty": "រកមិនឃើញទិន្នន័យដែលត្រូវគ្នាទេ",</t>
        </is>
      </c>
      <c r="I2951" t="inlineStr">
        <is>
          <t>រកមិនឃើញទិន្នន័យដែលត្រូវគ្នាទេ</t>
        </is>
      </c>
    </row>
    <row r="2952">
      <c r="A2952" s="3" t="inlineStr">
        <is>
          <t>delivery.warehouse.table.emptyOrder</t>
        </is>
      </c>
      <c r="B2952" s="3" t="inlineStr">
        <is>
          <t>Vui lòng nhập phiếu gửi để tìm kiếm</t>
        </is>
      </c>
      <c r="C2952" s="3" t="inlineStr">
        <is>
          <t>Please enter the order code to search</t>
        </is>
      </c>
      <c r="D2952" s="217">
        <f>IFERROR(__xludf.DUMMYFUNCTION("GOOGLETRANSLATE(C2952,""vi"",""km"")"),"សូមបញ្ចូលលេខកូដបញ្ជាទិញដើម្បីស្វែងរក")</f>
        <v/>
      </c>
      <c r="E2952" s="3" t="n"/>
      <c r="F2952" s="3" t="inlineStr">
        <is>
          <t>សូមបញ្ចូលលេខកូដបញ្ជាទិញដើម្បីស្វែងរក</t>
        </is>
      </c>
      <c r="G2952" s="3" t="n"/>
      <c r="H2952" s="217" t="inlineStr">
        <is>
          <t>"delivery.warehouse.table.emptyOrder": "សូមបញ្ចូលលេខកូដបញ្ជាទិញដើម្បីស្វែងរក",</t>
        </is>
      </c>
      <c r="I2952" t="inlineStr">
        <is>
          <t>សូមបញ្ចូលលេខកូដបញ្ជាទិញដើម្បីស្វែងរក</t>
        </is>
      </c>
    </row>
    <row r="2953">
      <c r="A2953" s="3" t="inlineStr">
        <is>
          <t>delivery.warehouse.table.errorBoundary</t>
        </is>
      </c>
      <c r="B2953" s="3" t="inlineStr">
        <is>
          <t>Lỗi tải trang</t>
        </is>
      </c>
      <c r="C2953" s="3" t="inlineStr">
        <is>
          <t>Page loading error</t>
        </is>
      </c>
      <c r="D2953" s="217">
        <f>IFERROR(__xludf.DUMMYFUNCTION("GOOGLETRANSLATE(C2953,""vi"",""km"")"),"កំហុសក្នុងការផ្ទុកទំព័រ")</f>
        <v/>
      </c>
      <c r="E2953" s="3" t="n"/>
      <c r="F2953" s="3" t="inlineStr">
        <is>
          <t>កំហុសក្នុងការដំណើរការទំព័រ</t>
        </is>
      </c>
      <c r="G2953" s="3" t="n"/>
      <c r="H2953" s="217" t="inlineStr">
        <is>
          <t>"delivery.warehouse.table.errorBoundary": "កំហុសក្នុងការដំណើរការទំព័រ",</t>
        </is>
      </c>
      <c r="I2953" t="inlineStr">
        <is>
          <t>កំហុសក្នុងការដំណើរការទំព័រ</t>
        </is>
      </c>
    </row>
    <row r="2954">
      <c r="A2954" s="3" t="inlineStr">
        <is>
          <t>delivery.warehouse.table.fail</t>
        </is>
      </c>
      <c r="B2954" s="3" t="inlineStr">
        <is>
          <t>Thất bại</t>
        </is>
      </c>
      <c r="C2954" s="3" t="inlineStr">
        <is>
          <t>Failed</t>
        </is>
      </c>
      <c r="D2954" s="217">
        <f>IFERROR(__xludf.DUMMYFUNCTION("GOOGLETRANSLATE(C2954,""vi"",""km"")"),"បរាជ័យ")</f>
        <v/>
      </c>
      <c r="E2954" s="3" t="n"/>
      <c r="F2954" s="3" t="inlineStr">
        <is>
          <t>បរាជ័យ</t>
        </is>
      </c>
      <c r="G2954" s="3" t="n"/>
      <c r="H2954" s="217" t="inlineStr">
        <is>
          <t>"delivery.warehouse.table.fail": "បរាជ័យ",</t>
        </is>
      </c>
      <c r="I2954" t="inlineStr">
        <is>
          <t>បរាជ័យ</t>
        </is>
      </c>
    </row>
    <row r="2955">
      <c r="A2955" s="3" t="inlineStr">
        <is>
          <t>delivery.warehouse.table.featureDevelopment</t>
        </is>
      </c>
      <c r="B2955" s="3" t="inlineStr">
        <is>
          <t>Tính năng đang phát triển</t>
        </is>
      </c>
      <c r="C2955" s="3" t="inlineStr">
        <is>
          <t>Feature in development</t>
        </is>
      </c>
      <c r="D2955" s="217">
        <f>IFERROR(__xludf.DUMMYFUNCTION("GOOGLETRANSLATE(C2955,""vi"",""km"")"),"លក្ខណៈពិសេសកំពុងស្ថិតក្នុងការអភិវឌ្ឍន៍")</f>
        <v/>
      </c>
      <c r="E2955" s="3" t="n"/>
      <c r="F2955" s="3" t="inlineStr">
        <is>
          <t>លក្ខណៈពិសេសកំពុងស្ថិតក្នុងការអភិវឌ្ឍន៍</t>
        </is>
      </c>
      <c r="G2955" s="3" t="n"/>
      <c r="H2955" s="217" t="inlineStr">
        <is>
          <t>"delivery.warehouse.table.featureDevelopment": "លក្ខណៈពិសេសកំពុងស្ថិតក្នុងការអភិវឌ្ឍន៍",</t>
        </is>
      </c>
      <c r="I2955" t="inlineStr">
        <is>
          <t>លក្ខណៈពិសេសកំពុងស្ថិតក្នុងការអភិវឌ្ឍន៍</t>
        </is>
      </c>
    </row>
    <row r="2956">
      <c r="A2956" s="3" t="inlineStr">
        <is>
          <t>delivery.warehouse.table.handle</t>
        </is>
      </c>
      <c r="B2956" s="3" t="inlineStr">
        <is>
          <t>Thao tác</t>
        </is>
      </c>
      <c r="C2956" s="3" t="inlineStr">
        <is>
          <t>Action</t>
        </is>
      </c>
      <c r="D2956" s="217">
        <f>IFERROR(__xludf.DUMMYFUNCTION("GOOGLETRANSLATE(C2956,""vi"",""km"")"),"សកម្មភាព")</f>
        <v/>
      </c>
      <c r="E2956" s="3" t="n"/>
      <c r="F2956" s="3" t="inlineStr">
        <is>
          <t>ប្រតិបត្តិការ</t>
        </is>
      </c>
      <c r="G2956" s="3" t="n"/>
      <c r="H2956" s="217" t="inlineStr">
        <is>
          <t>"delivery.warehouse.table.handle": "ប្រតិបត្តិការ",</t>
        </is>
      </c>
      <c r="I2956" t="inlineStr">
        <is>
          <t>ប្រតិបត្តិការ</t>
        </is>
      </c>
    </row>
    <row r="2957">
      <c r="A2957" s="3" t="inlineStr">
        <is>
          <t>delivery.warehouse.table.lockedOrder</t>
        </is>
      </c>
      <c r="B2957" s="3" t="inlineStr">
        <is>
          <t>Bưu phẩm đang trong quá trình khai thác, điều hành nội bộ. Vui lòng thử lại sau</t>
        </is>
      </c>
      <c r="C2957" s="3" t="inlineStr">
        <is>
          <t>The order is currently being processed internally. Please try again later</t>
        </is>
      </c>
      <c r="D2957" s="217">
        <f>IFERROR(__xludf.DUMMYFUNCTION("GOOGLETRANSLATE(C2957,""vi"",""km"")"),"ការបញ្ជាទិញកំពុងត្រូវបានដំណើរការផ្ទៃក្នុង។ សូមព្យាយាមម្តងទៀតនៅពេលក្រោយ")</f>
        <v/>
      </c>
      <c r="E2957" s="3" t="n"/>
      <c r="F2957" s="3" t="inlineStr">
        <is>
          <t>ការបញ្ជាទិញកំពុងត្រូវបានដំណើរការផ្ទៃក្នុង។ សូមព្យាយាមម្តងទៀតនៅពេលក្រោយ</t>
        </is>
      </c>
      <c r="G2957" s="3" t="n"/>
      <c r="H2957" s="217" t="inlineStr">
        <is>
          <t>"delivery.warehouse.table.lockedOrder": "ការបញ្ជាទិញកំពុងត្រូវបានដំណើរការផ្ទៃក្នុង។ សូមព្យាយាមម្តងទៀតនៅពេលក្រោយ",</t>
        </is>
      </c>
      <c r="I2957" t="inlineStr">
        <is>
          <t>ការបញ្ជាទិញកំពុងត្រូវបានដំណើរការផ្ទៃក្នុង។ សូមព្យាយាមម្តងទៀតនៅពេលក្រោយ</t>
        </is>
      </c>
    </row>
    <row r="2958">
      <c r="A2958" s="3" t="inlineStr">
        <is>
          <t>delivery.warehouse.table.noneEmpty</t>
        </is>
      </c>
      <c r="B2958" s="3" t="inlineStr">
        <is>
          <t>không được để trống</t>
        </is>
      </c>
      <c r="C2958" s="3" t="inlineStr">
        <is>
          <t>cannot be blank</t>
        </is>
      </c>
      <c r="D2958" s="217">
        <f>IFERROR(__xludf.DUMMYFUNCTION("GOOGLETRANSLATE(C2958,""vi"",""km"")"),"មិនអាចទទេបានទេ")</f>
        <v/>
      </c>
      <c r="E2958" s="3" t="n"/>
      <c r="F2958" s="3" t="inlineStr">
        <is>
          <t>មិនអាចទទេបានទេ</t>
        </is>
      </c>
      <c r="G2958" s="3" t="n"/>
      <c r="H2958" s="217" t="inlineStr">
        <is>
          <t>"delivery.warehouse.table.noneEmpty": "មិនអាចទទេបានទេ",</t>
        </is>
      </c>
      <c r="I2958" t="inlineStr">
        <is>
          <t>មិនអាចទទេបានទេ</t>
        </is>
      </c>
    </row>
    <row r="2959">
      <c r="A2959" s="3" t="inlineStr">
        <is>
          <t>delivery.warehouse.table.notification</t>
        </is>
      </c>
      <c r="B2959" s="3" t="inlineStr">
        <is>
          <t>Thông báo</t>
        </is>
      </c>
      <c r="C2959" s="3" t="inlineStr">
        <is>
          <t>Notification</t>
        </is>
      </c>
      <c r="D2959" s="217">
        <f>IFERROR(__xludf.DUMMYFUNCTION("GOOGLETRANSLATE(C2959,""vi"",""km"")"),"ការជូនដំណឹង")</f>
        <v/>
      </c>
      <c r="E2959" s="3" t="n"/>
      <c r="F2959" s="3" t="inlineStr">
        <is>
          <t>ការជូនដំណឹង</t>
        </is>
      </c>
      <c r="G2959" s="3" t="n"/>
      <c r="H2959" s="217" t="inlineStr">
        <is>
          <t>"delivery.warehouse.table.notification": "ការជូនដំណឹង",</t>
        </is>
      </c>
      <c r="I2959" t="inlineStr">
        <is>
          <t>ការជូនដំណឹង</t>
        </is>
      </c>
    </row>
    <row r="2960">
      <c r="A2960" s="3" t="inlineStr">
        <is>
          <t>delivery.warehouse.table.ok</t>
        </is>
      </c>
      <c r="B2960" s="3" t="inlineStr">
        <is>
          <t>Ok</t>
        </is>
      </c>
      <c r="C2960" s="3" t="inlineStr">
        <is>
          <t>Ok</t>
        </is>
      </c>
      <c r="D2960" s="217">
        <f>IFERROR(__xludf.DUMMYFUNCTION("GOOGLETRANSLATE(C2960,""vi"",""km"")"),"យល់ព្រម")</f>
        <v/>
      </c>
      <c r="E2960" s="3" t="n"/>
      <c r="F2960" s="3" t="inlineStr">
        <is>
          <t>យល់ព្រម</t>
        </is>
      </c>
      <c r="G2960" s="3" t="n"/>
      <c r="H2960" s="217" t="inlineStr">
        <is>
          <t>"delivery.warehouse.table.ok": "យល់ព្រម",</t>
        </is>
      </c>
      <c r="I2960" t="inlineStr">
        <is>
          <t>យល់ព្រម</t>
        </is>
      </c>
    </row>
    <row r="2961">
      <c r="A2961" s="3" t="inlineStr">
        <is>
          <t>delivery.warehouse.table.page</t>
        </is>
      </c>
      <c r="B2961" s="3" t="inlineStr">
        <is>
          <t>Trang</t>
        </is>
      </c>
      <c r="C2961" s="3" t="inlineStr">
        <is>
          <t>page</t>
        </is>
      </c>
      <c r="D2961" s="217">
        <f>IFERROR(__xludf.DUMMYFUNCTION("GOOGLETRANSLATE(C2961,""vi"",""km"")"),"ទំព័រ")</f>
        <v/>
      </c>
      <c r="E2961" s="3" t="n"/>
      <c r="F2961" s="3" t="inlineStr">
        <is>
          <t>ទំព័រ</t>
        </is>
      </c>
      <c r="G2961" s="3" t="n"/>
      <c r="H2961" s="217" t="inlineStr">
        <is>
          <t>"delivery.warehouse.table.page": "ទំព័រ",</t>
        </is>
      </c>
      <c r="I2961" t="inlineStr">
        <is>
          <t>ទំព័រ</t>
        </is>
      </c>
    </row>
    <row r="2962">
      <c r="A2962" s="3" t="inlineStr">
        <is>
          <t>delivery.warehouse.table.printCode</t>
        </is>
      </c>
      <c r="B2962" s="3" t="inlineStr">
        <is>
          <t>In nhãn</t>
        </is>
      </c>
      <c r="C2962" s="3" t="inlineStr">
        <is>
          <t>Print</t>
        </is>
      </c>
      <c r="D2962" s="217">
        <f>IFERROR(__xludf.DUMMYFUNCTION("GOOGLETRANSLATE(C2962,""vi"",""km"")"),"ជើងហោះហើរ")</f>
        <v/>
      </c>
      <c r="E2962" s="3" t="n"/>
      <c r="F2962" s="3" t="inlineStr">
        <is>
          <t>ព្រីនផ្លាកបុង</t>
        </is>
      </c>
      <c r="G2962" s="3" t="n"/>
      <c r="H2962" s="217" t="inlineStr">
        <is>
          <t>"delivery.warehouse.table.printCode": "ព្រីនផ្លាកបុង",</t>
        </is>
      </c>
      <c r="I2962" t="inlineStr">
        <is>
          <t>ព្រីនផ្លាកបុង</t>
        </is>
      </c>
    </row>
    <row r="2963">
      <c r="A2963" s="3" t="inlineStr">
        <is>
          <t>delivery.warehouse.table.record</t>
        </is>
      </c>
      <c r="B2963" s="3" t="inlineStr">
        <is>
          <t>Tổng bản ghi</t>
        </is>
      </c>
      <c r="C2963" s="3" t="inlineStr">
        <is>
          <t>Record</t>
        </is>
      </c>
      <c r="D2963" s="217">
        <f>IFERROR(__xludf.DUMMYFUNCTION("GOOGLETRANSLATE(C2963,""vi"",""km"")"),"កំណត់ត្រា")</f>
        <v/>
      </c>
      <c r="E2963" s="3" t="n"/>
      <c r="F2963" s="3" t="inlineStr">
        <is>
          <t>កំណត់ត្រា</t>
        </is>
      </c>
      <c r="G2963" s="3" t="n"/>
      <c r="H2963" s="217" t="inlineStr">
        <is>
          <t>"delivery.warehouse.table.record": "កំណត់ត្រា",</t>
        </is>
      </c>
      <c r="I2963" t="inlineStr">
        <is>
          <t>កំណត់ត្រា</t>
        </is>
      </c>
    </row>
    <row r="2964">
      <c r="A2964" s="3" t="inlineStr">
        <is>
          <t>delivery.warehouse.table.refresh</t>
        </is>
      </c>
      <c r="B2964" s="3" t="inlineStr">
        <is>
          <t>Làm mới</t>
        </is>
      </c>
      <c r="C2964" s="3" t="inlineStr">
        <is>
          <t>Refresh</t>
        </is>
      </c>
      <c r="D2964" s="217">
        <f>IFERROR(__xludf.DUMMYFUNCTION("GOOGLETRANSLATE(C2964,""vi"",""km"")"),"ធ្វើឱ្យស្រស់ឡើងវិញ")</f>
        <v/>
      </c>
      <c r="E2964" s="3" t="n"/>
      <c r="F2964" s="3" t="inlineStr">
        <is>
          <t>ផ្ទុកឡើងវិញ</t>
        </is>
      </c>
      <c r="G2964" s="3" t="n"/>
      <c r="H2964" s="217" t="inlineStr">
        <is>
          <t>"delivery.warehouse.table.refresh": "ផ្ទុកឡើងវិញ",</t>
        </is>
      </c>
      <c r="I2964" t="inlineStr">
        <is>
          <t>ផ្ទុកឡើងវិញ</t>
        </is>
      </c>
    </row>
    <row r="2965">
      <c r="A2965" s="3" t="inlineStr">
        <is>
          <t>delivery.warehouse.table.save</t>
        </is>
      </c>
      <c r="B2965" s="3" t="inlineStr">
        <is>
          <t>Lưu lại</t>
        </is>
      </c>
      <c r="C2965" s="3" t="inlineStr">
        <is>
          <t>Save</t>
        </is>
      </c>
      <c r="D2965" s="217">
        <f>IFERROR(__xludf.DUMMYFUNCTION("GOOGLETRANSLATE(C2965,""vi"",""km"")"),"រក្សាទុក")</f>
        <v/>
      </c>
      <c r="E2965" s="3" t="n"/>
      <c r="F2965" s="3" t="inlineStr">
        <is>
          <t>រក្សាទុក</t>
        </is>
      </c>
      <c r="G2965" s="3" t="n"/>
      <c r="H2965" s="217" t="inlineStr">
        <is>
          <t>"delivery.warehouse.table.save": "រក្សាទុក",</t>
        </is>
      </c>
      <c r="I2965" t="inlineStr">
        <is>
          <t>រក្សាទុក</t>
        </is>
      </c>
    </row>
    <row r="2966">
      <c r="A2966" s="3" t="inlineStr">
        <is>
          <t>delivery.warehouse.table.select</t>
        </is>
      </c>
      <c r="B2966" s="3" t="inlineStr">
        <is>
          <t>Chọn</t>
        </is>
      </c>
      <c r="C2966" s="3" t="inlineStr">
        <is>
          <t>Select</t>
        </is>
      </c>
      <c r="D2966" s="217">
        <f>IFERROR(__xludf.DUMMYFUNCTION("GOOGLETRANSLATE(C2966,""vi"",""km"")"),"តម្រៀប")</f>
        <v/>
      </c>
      <c r="E2966" s="3" t="n"/>
      <c r="F2966" s="3" t="inlineStr">
        <is>
          <t>ជ្រើសរើស</t>
        </is>
      </c>
      <c r="G2966" s="3" t="n"/>
      <c r="H2966" s="217" t="inlineStr">
        <is>
          <t>"delivery.warehouse.table.select": "ជ្រើសរើស",</t>
        </is>
      </c>
      <c r="I2966" t="inlineStr">
        <is>
          <t>ជ្រើសរើស</t>
        </is>
      </c>
    </row>
    <row r="2967">
      <c r="A2967" s="3" t="inlineStr">
        <is>
          <t>delivery.warehouse.table.selectPostOffice</t>
        </is>
      </c>
      <c r="B2967" s="3" t="inlineStr">
        <is>
          <t>Bưu cục</t>
        </is>
      </c>
      <c r="C2967" s="3" t="inlineStr">
        <is>
          <t>Select Post Office</t>
        </is>
      </c>
      <c r="D2967" s="217">
        <f>IFERROR(__xludf.DUMMYFUNCTION("GOOGLETRANSLATE(C2967,""vi"",""km"")"),"ជ្រើសរើសការិយាល័យប្រៃសណីយ៍")</f>
        <v/>
      </c>
      <c r="E2967" s="3" t="n"/>
      <c r="F2967" s="3" t="inlineStr">
        <is>
          <t>ការិយាល័យប្រៃសណីយ៍</t>
        </is>
      </c>
      <c r="G2967" s="3" t="n"/>
      <c r="H2967" s="217" t="inlineStr">
        <is>
          <t>"delivery.warehouse.table.selectPostOffice": "ការិយាល័យប្រៃសណីយ៍",</t>
        </is>
      </c>
      <c r="I2967" t="inlineStr">
        <is>
          <t>ការិយាល័យប្រៃសណីយ៍</t>
        </is>
      </c>
    </row>
    <row r="2968">
      <c r="A2968" s="3" t="inlineStr">
        <is>
          <t>delivery.warehouse.table.sessionExpired</t>
        </is>
      </c>
      <c r="B2968" s="3" t="inlineStr">
        <is>
          <t>Hết phiên đăng nhập</t>
        </is>
      </c>
      <c r="C2968" s="3" t="inlineStr">
        <is>
          <t>Session Expired</t>
        </is>
      </c>
      <c r="D2968" s="217">
        <f>IFERROR(__xludf.DUMMYFUNCTION("GOOGLETRANSLATE(C2968,""vi"",""km"")"),"វគ្គផុតកំណត់ហើយ")</f>
        <v/>
      </c>
      <c r="E2968" s="3" t="n"/>
      <c r="F2968" s="3" t="inlineStr">
        <is>
          <t>វគ្គផុតកំណត់ហើយ</t>
        </is>
      </c>
      <c r="G2968" s="3" t="n"/>
      <c r="H2968" s="217" t="inlineStr">
        <is>
          <t>"delivery.warehouse.table.sessionExpired": "វគ្គផុតកំណត់ហើយ",</t>
        </is>
      </c>
      <c r="I2968" t="inlineStr">
        <is>
          <t>វគ្គផុតកំណត់ហើយ</t>
        </is>
      </c>
    </row>
    <row r="2969">
      <c r="A2969" s="3" t="inlineStr">
        <is>
          <t>delivery.warehouse.table.skip</t>
        </is>
      </c>
      <c r="B2969" s="3" t="inlineStr">
        <is>
          <t>Bỏ qua</t>
        </is>
      </c>
      <c r="C2969" s="3" t="inlineStr">
        <is>
          <t>Cancel</t>
        </is>
      </c>
      <c r="D2969" s="217">
        <f>IFERROR(__xludf.DUMMYFUNCTION("GOOGLETRANSLATE(C2969,""vi"",""km"")"),"បោះបង់")</f>
        <v/>
      </c>
      <c r="E2969" s="3" t="n"/>
      <c r="F2969" s="3" t="inlineStr">
        <is>
          <t>បោះបង់</t>
        </is>
      </c>
      <c r="G2969" s="3" t="n"/>
      <c r="H2969" s="217" t="inlineStr">
        <is>
          <t>"delivery.warehouse.table.skip": "បោះបង់",</t>
        </is>
      </c>
      <c r="I2969" t="inlineStr">
        <is>
          <t>បោះបង់</t>
        </is>
      </c>
    </row>
    <row r="2970">
      <c r="A2970" s="3" t="inlineStr">
        <is>
          <t>delivery.warehouse.table.systemError</t>
        </is>
      </c>
      <c r="B2970" s="3" t="inlineStr">
        <is>
          <t>Lỗi hệ thống!</t>
        </is>
      </c>
      <c r="C2970" s="3" t="inlineStr">
        <is>
          <t>There is a system error.!</t>
        </is>
      </c>
      <c r="D2970" s="217">
        <f>IFERROR(__xludf.DUMMYFUNCTION("GOOGLETRANSLATE(C2970,""vi"",""km"")"),"មានកំហុសប្រព័ន្ធ!")</f>
        <v/>
      </c>
      <c r="E2970" s="3" t="n"/>
      <c r="F2970" s="3" t="inlineStr">
        <is>
          <t>មានកំហុសប្រព័ន្ធ!</t>
        </is>
      </c>
      <c r="G2970" s="3" t="n"/>
      <c r="H2970" s="217" t="inlineStr">
        <is>
          <t>"delivery.warehouse.table.systemError": "មានកំហុសប្រព័ន្ធ!",</t>
        </is>
      </c>
      <c r="I2970" t="inlineStr">
        <is>
          <t>មានកំហុសប្រព័ន្ធ!</t>
        </is>
      </c>
    </row>
    <row r="2971">
      <c r="A2971" s="3" t="inlineStr">
        <is>
          <t>delivery.warehouse.table.tool</t>
        </is>
      </c>
      <c r="B2971" s="3" t="inlineStr">
        <is>
          <t>Công cụ</t>
        </is>
      </c>
      <c r="C2971" s="3" t="inlineStr">
        <is>
          <t>Tool</t>
        </is>
      </c>
      <c r="D2971" s="217">
        <f>IFERROR(__xludf.DUMMYFUNCTION("GOOGLETRANSLATE(C2971,""vi"",""km"")"),"ឧបករណ៍")</f>
        <v/>
      </c>
      <c r="E2971" s="3" t="n"/>
      <c r="F2971" s="3" t="inlineStr">
        <is>
          <t>ឧបករណ៍</t>
        </is>
      </c>
      <c r="G2971" s="3" t="n"/>
      <c r="H2971" s="217" t="inlineStr">
        <is>
          <t>"delivery.warehouse.table.tool": "ឧបករណ៍",</t>
        </is>
      </c>
      <c r="I2971" t="inlineStr">
        <is>
          <t>ឧបករណ៍</t>
        </is>
      </c>
    </row>
    <row r="2972">
      <c r="A2972" s="3" t="inlineStr">
        <is>
          <t>delivery.warehouse.table.unknown</t>
        </is>
      </c>
      <c r="B2972" s="3" t="inlineStr">
        <is>
          <t>Chưa xác định</t>
        </is>
      </c>
      <c r="C2972" s="3" t="inlineStr">
        <is>
          <t>Unknown</t>
        </is>
      </c>
      <c r="D2972" s="217">
        <f>IFERROR(__xludf.DUMMYFUNCTION("GOOGLETRANSLATE(C2972,""vi"",""km"")"),"មិនស្គាល់")</f>
        <v/>
      </c>
      <c r="E2972" s="3" t="n"/>
      <c r="F2972" s="3" t="inlineStr">
        <is>
          <t>មិនទាន់កំណត់</t>
        </is>
      </c>
      <c r="G2972" s="3" t="n"/>
      <c r="H2972" s="217" t="inlineStr">
        <is>
          <t>"delivery.warehouse.table.unknown": "មិនទាន់កំណត់",</t>
        </is>
      </c>
      <c r="I2972" t="inlineStr">
        <is>
          <t>មិនទាន់កំណត់</t>
        </is>
      </c>
    </row>
    <row r="2973">
      <c r="A2973" s="3" t="inlineStr">
        <is>
          <t>delivery.warehouse.table.update</t>
        </is>
      </c>
      <c r="B2973" s="3" t="inlineStr">
        <is>
          <t>Cập nhật</t>
        </is>
      </c>
      <c r="C2973" s="3" t="inlineStr">
        <is>
          <t>Update</t>
        </is>
      </c>
      <c r="D2973" s="217">
        <f>IFERROR(__xludf.DUMMYFUNCTION("GOOGLETRANSLATE(C2973,""vi"",""km"")"),"ធ្វើបច្ចុប្បន្នភាព")</f>
        <v/>
      </c>
      <c r="E2973" s="3" t="n"/>
      <c r="F2973" s="3" t="inlineStr">
        <is>
          <t>ធ្វើបច្ចុប្បន្នភាព</t>
        </is>
      </c>
      <c r="G2973" s="3" t="n"/>
      <c r="H2973" s="217" t="inlineStr">
        <is>
          <t>"delivery.warehouse.table.update": "ធ្វើបច្ចុប្បន្នភាព",</t>
        </is>
      </c>
      <c r="I2973" t="inlineStr">
        <is>
          <t>ធ្វើបច្ចុប្បន្នភាព</t>
        </is>
      </c>
    </row>
    <row r="2974">
      <c r="A2974" s="3" t="inlineStr">
        <is>
          <t>delivery.warehouse.table.updateFail</t>
        </is>
      </c>
      <c r="B2974" s="3" t="inlineStr">
        <is>
          <t>Cập nhật thất bại</t>
        </is>
      </c>
      <c r="C2974" s="3" t="inlineStr">
        <is>
          <t>Failed to update</t>
        </is>
      </c>
      <c r="D2974" s="217">
        <f>IFERROR(__xludf.DUMMYFUNCTION("GOOGLETRANSLATE(C2974,""vi"",""km"")"),"បរាជ័យក្នុងការធ្វើបច្ចុប្បន្នភាព")</f>
        <v/>
      </c>
      <c r="E2974" s="3" t="n"/>
      <c r="F2974" s="3" t="inlineStr">
        <is>
          <t>បរាជ័យក្នុងការធ្វើបច្ចុប្បន្នភាព</t>
        </is>
      </c>
      <c r="G2974" s="3" t="n"/>
      <c r="H2974" s="217" t="inlineStr">
        <is>
          <t>"delivery.warehouse.table.updateFail": "បរាជ័យក្នុងការធ្វើបច្ចុប្បន្នភាព",</t>
        </is>
      </c>
      <c r="I2974" t="inlineStr">
        <is>
          <t>បរាជ័យក្នុងការធ្វើបច្ចុប្បន្នភាព</t>
        </is>
      </c>
    </row>
    <row r="2975">
      <c r="A2975" s="3" t="inlineStr">
        <is>
          <t>delivery.warehouse.table.updateSuccess</t>
        </is>
      </c>
      <c r="B2975" s="3" t="inlineStr">
        <is>
          <t>Cập nhật thành công</t>
        </is>
      </c>
      <c r="C2975" s="3" t="inlineStr">
        <is>
          <t>Successfully updated</t>
        </is>
      </c>
      <c r="D2975" s="217">
        <f>IFERROR(__xludf.DUMMYFUNCTION("GOOGLETRANSLATE(C2975,""vi"",""km"")"),"បានធ្វើបច្ចុប្បន្នភាពដោយជោគជ័យ")</f>
        <v/>
      </c>
      <c r="E2975" s="3" t="n"/>
      <c r="F2975" s="3" t="inlineStr">
        <is>
          <t>បានធ្វើបច្ចុប្បន្នភាពដោយជោគជ័យ</t>
        </is>
      </c>
      <c r="G2975" s="3" t="n"/>
      <c r="H2975" s="217" t="inlineStr">
        <is>
          <t>"delivery.warehouse.table.updateSuccess": "បានធ្វើបច្ចុប្បន្នភាពដោយជោគជ័យ",</t>
        </is>
      </c>
      <c r="I2975" t="inlineStr">
        <is>
          <t>បានធ្វើបច្ចុប្បន្នភាពដោយជោគជ័យ</t>
        </is>
      </c>
    </row>
    <row r="2976">
      <c r="A2976" s="3" t="inlineStr">
        <is>
          <t>delivery.warehouse.table.validateEmail</t>
        </is>
      </c>
      <c r="B2976" s="3" t="inlineStr">
        <is>
          <t>Vui lòng điền đúng định dạng email</t>
        </is>
      </c>
      <c r="C2976" s="3" t="inlineStr">
        <is>
          <t>Please enter in the correct email format</t>
        </is>
      </c>
      <c r="D2976" s="217">
        <f>IFERROR(__xludf.DUMMYFUNCTION("GOOGLETRANSLATE(C2976,""vi"",""km"")"),"សូមបញ្ចូលទម្រង់អ៊ីមែលដែលត្រឹមត្រូវ")</f>
        <v/>
      </c>
      <c r="E2976" s="3" t="n"/>
      <c r="F2976" s="3" t="inlineStr">
        <is>
          <t>សូមបញ្ចូលទម្រង់អ៊ីមែលដែលត្រឹមត្រូវ</t>
        </is>
      </c>
      <c r="G2976" s="3" t="n"/>
      <c r="H2976" s="217" t="inlineStr">
        <is>
          <t>"delivery.warehouse.table.validateEmail": "សូមបញ្ចូលទម្រង់អ៊ីមែលដែលត្រឹមត្រូវ",</t>
        </is>
      </c>
      <c r="I2976" t="inlineStr">
        <is>
          <t>សូមបញ្ចូលទម្រង់អ៊ីមែលដែលត្រឹមត្រូវ</t>
        </is>
      </c>
    </row>
    <row r="2977">
      <c r="A2977" s="3" t="inlineStr">
        <is>
          <t>delivery.warehouse.table.viewDetail</t>
        </is>
      </c>
      <c r="B2977" s="3" t="inlineStr">
        <is>
          <t>Xem chi tiết</t>
        </is>
      </c>
      <c r="C2977" s="3" t="inlineStr">
        <is>
          <t>Detail</t>
        </is>
      </c>
      <c r="D2977" s="217">
        <f>IFERROR(__xludf.DUMMYFUNCTION("GOOGLETRANSLATE(C2977,""vi"",""km"")"),"ព័ត៌មានលម្អិត")</f>
        <v/>
      </c>
      <c r="E2977" s="3" t="n"/>
      <c r="F2977" s="3" t="inlineStr">
        <is>
          <t>មើលព័ត៌មានលម្អិត</t>
        </is>
      </c>
      <c r="G2977" s="3" t="n"/>
      <c r="H2977" s="217" t="inlineStr">
        <is>
          <t>"delivery.warehouse.table.viewDetail": "មើលព័ត៌មានលម្អិត",</t>
        </is>
      </c>
      <c r="I2977" t="inlineStr">
        <is>
          <t>មើលព័ត៌មានលម្អិត</t>
        </is>
      </c>
    </row>
    <row r="2978">
      <c r="A2978" s="3" t="inlineStr">
        <is>
          <t>delivery.warehouse.trackingHistory.content</t>
        </is>
      </c>
      <c r="B2978" s="3" t="inlineStr">
        <is>
          <t>Nội dung</t>
        </is>
      </c>
      <c r="C2978" s="3" t="inlineStr">
        <is>
          <t>Content</t>
        </is>
      </c>
      <c r="D2978" s="217">
        <f>IFERROR(__xludf.DUMMYFUNCTION("GOOGLETRANSLATE(C2978,""vi"",""km"")"),"ខ្លឹមសារ")</f>
        <v/>
      </c>
      <c r="E2978" s="3" t="n"/>
      <c r="F2978" s="3" t="inlineStr">
        <is>
          <t>ខ្លឹមសារ</t>
        </is>
      </c>
      <c r="G2978" s="3" t="n"/>
      <c r="H2978" s="217" t="inlineStr">
        <is>
          <t>"delivery.warehouse.trackingHistory.content": "ខ្លឹមសារ",</t>
        </is>
      </c>
      <c r="I2978" t="inlineStr">
        <is>
          <t>ខ្លឹមសារ</t>
        </is>
      </c>
    </row>
    <row r="2979">
      <c r="A2979" s="3" t="inlineStr">
        <is>
          <t>delivery.warehouse.trackingHistory.contentOrigin</t>
        </is>
      </c>
      <c r="B2979" s="3" t="inlineStr">
        <is>
          <t>Nội dung gốc</t>
        </is>
      </c>
      <c r="C2979" s="3" t="inlineStr">
        <is>
          <t>Original content</t>
        </is>
      </c>
      <c r="D2979" s="217">
        <f>IFERROR(__xludf.DUMMYFUNCTION("GOOGLETRANSLATE(C2979,""vi"",""km"")"),"ខ្លឹមសារដើម")</f>
        <v/>
      </c>
      <c r="E2979" s="3" t="n"/>
      <c r="F2979" s="3" t="inlineStr">
        <is>
          <t>ខ្លឹមសារដើម</t>
        </is>
      </c>
      <c r="G2979" s="3" t="n"/>
      <c r="H2979" s="217" t="inlineStr">
        <is>
          <t>"delivery.warehouse.trackingHistory.contentOrigin": "ខ្លឹមសារដើម",</t>
        </is>
      </c>
      <c r="I2979" t="inlineStr">
        <is>
          <t>ខ្លឹមសារដើម</t>
        </is>
      </c>
    </row>
    <row r="2980">
      <c r="A2980" s="3" t="inlineStr">
        <is>
          <t>delivery.warehouse.trackingHistory.contentUpdate</t>
        </is>
      </c>
      <c r="B2980" s="3" t="inlineStr">
        <is>
          <t>Nội dung sửa</t>
        </is>
      </c>
      <c r="C2980" s="3" t="inlineStr">
        <is>
          <t>Edited content</t>
        </is>
      </c>
      <c r="D2980" s="217">
        <f>IFERROR(__xludf.DUMMYFUNCTION("GOOGLETRANSLATE(C2980,""vi"",""km"")"),"ខ្លឹមសារដែលបានកែសម្រួល")</f>
        <v/>
      </c>
      <c r="E2980" s="3" t="n"/>
      <c r="F2980" s="3" t="inlineStr">
        <is>
          <t>ខ្លឹមសារដែលបានកែសម្រួល</t>
        </is>
      </c>
      <c r="G2980" s="3" t="n"/>
      <c r="H2980" s="217" t="inlineStr">
        <is>
          <t>"delivery.warehouse.trackingHistory.contentUpdate": "ខ្លឹមសារដែលបានកែសម្រួល",</t>
        </is>
      </c>
      <c r="I2980" t="inlineStr">
        <is>
          <t>ខ្លឹមសារដែលបានកែសម្រួល</t>
        </is>
      </c>
    </row>
    <row r="2981">
      <c r="A2981" s="3" t="inlineStr">
        <is>
          <t>delivery.warehouse.trackingHistory.historyUpdate</t>
        </is>
      </c>
      <c r="B2981" s="3" t="inlineStr">
        <is>
          <t>Lịch sử điều chỉnh phiếu gửi</t>
        </is>
      </c>
      <c r="C2981" s="3" t="inlineStr">
        <is>
          <t>Order modification history</t>
        </is>
      </c>
      <c r="D2981" s="217">
        <f>IFERROR(__xludf.DUMMYFUNCTION("GOOGLETRANSLATE(C2981,""vi"",""km"")"),"ប្រវត្តិកែប្រែការបញ្ជាទិញ")</f>
        <v/>
      </c>
      <c r="E2981" s="3" t="n"/>
      <c r="F2981" s="3" t="inlineStr">
        <is>
          <t>ប្រវត្តិកែប្រែការបញ្ជាទិញ</t>
        </is>
      </c>
      <c r="G2981" s="3" t="n"/>
      <c r="H2981" s="217" t="inlineStr">
        <is>
          <t>"delivery.warehouse.trackingHistory.historyUpdate": "ប្រវត្តិកែប្រែការបញ្ជាទិញ",</t>
        </is>
      </c>
      <c r="I2981" t="inlineStr">
        <is>
          <t>ប្រវត្តិកែប្រែការបញ្ជាទិញ</t>
        </is>
      </c>
    </row>
    <row r="2982">
      <c r="A2982" s="3" t="inlineStr">
        <is>
          <t>delivery.warehouse.trackingHistory.licensePlates</t>
        </is>
      </c>
      <c r="B2982" s="3" t="inlineStr">
        <is>
          <t>Biển số xe</t>
        </is>
      </c>
      <c r="C2982" s="3" t="inlineStr">
        <is>
          <t>License plates</t>
        </is>
      </c>
      <c r="D2982" s="217">
        <f>IFERROR(__xludf.DUMMYFUNCTION("GOOGLETRANSLATE(C2982,""vi"",""km"")"),"អាជ្ញាប័ណ្ណ")</f>
        <v/>
      </c>
      <c r="E2982" s="3" t="n"/>
      <c r="F2982" s="3" t="inlineStr">
        <is>
          <t>ស្លាកលេខរថយន្ត</t>
        </is>
      </c>
      <c r="G2982" s="3" t="n"/>
      <c r="H2982" s="217" t="inlineStr">
        <is>
          <t>"delivery.warehouse.trackingHistory.licensePlates": "ស្លាកលេខរថយន្ត",</t>
        </is>
      </c>
      <c r="I2982" t="inlineStr">
        <is>
          <t>ស្លាកលេខរថយន្ត</t>
        </is>
      </c>
    </row>
    <row r="2983">
      <c r="A2983" s="3" t="inlineStr">
        <is>
          <t>delivery.warehouse.trackingHistory.note</t>
        </is>
      </c>
      <c r="B2983" s="3" t="inlineStr">
        <is>
          <t>Ghi chú</t>
        </is>
      </c>
      <c r="C2983" s="3" t="inlineStr">
        <is>
          <t>Note</t>
        </is>
      </c>
      <c r="D2983" s="217">
        <f>IFERROR(__xludf.DUMMYFUNCTION("GOOGLETRANSLATE(C2983,""vi"",""km"")"),"កំណត់ចំណាំ")</f>
        <v/>
      </c>
      <c r="E2983" s="3" t="n"/>
      <c r="F2983" s="3" t="inlineStr">
        <is>
          <t>ចំណាំ</t>
        </is>
      </c>
      <c r="G2983" s="3" t="n"/>
      <c r="H2983" s="217" t="inlineStr">
        <is>
          <t>"delivery.warehouse.trackingHistory.note": "ចំណាំ",</t>
        </is>
      </c>
      <c r="I2983" t="inlineStr">
        <is>
          <t>ចំណាំ</t>
        </is>
      </c>
    </row>
    <row r="2984">
      <c r="A2984" s="3" t="inlineStr">
        <is>
          <t>delivery.warehouse.trackingHistory.order</t>
        </is>
      </c>
      <c r="B2984" s="3" t="inlineStr">
        <is>
          <t>Phiếu gửi</t>
        </is>
      </c>
      <c r="C2984" s="3" t="inlineStr">
        <is>
          <t>Order</t>
        </is>
      </c>
      <c r="D2984" s="217">
        <f>IFERROR(__xludf.DUMMYFUNCTION("GOOGLETRANSLATE(C2984,""vi"",""km"")"),"លំដាប់")</f>
        <v/>
      </c>
      <c r="E2984" s="3" t="n"/>
      <c r="F2984" s="3" t="inlineStr">
        <is>
          <t>បុងបញ្ញើ</t>
        </is>
      </c>
      <c r="G2984" s="3" t="n"/>
      <c r="H2984" s="217" t="inlineStr">
        <is>
          <t>"delivery.warehouse.trackingHistory.order": "បុងបញ្ញើ",</t>
        </is>
      </c>
      <c r="I2984" t="inlineStr">
        <is>
          <t>បុងបញ្ញើ</t>
        </is>
      </c>
    </row>
    <row r="2985">
      <c r="A2985" s="3" t="inlineStr">
        <is>
          <t>delivery.warehouse.trackingHistory.postCode</t>
        </is>
      </c>
      <c r="B2985" s="3" t="inlineStr">
        <is>
          <t>Bưu cục</t>
        </is>
      </c>
      <c r="C2985" s="3" t="inlineStr">
        <is>
          <t>Post office</t>
        </is>
      </c>
      <c r="D2985" s="217">
        <f>IFERROR(__xludf.DUMMYFUNCTION("GOOGLETRANSLATE(C2985,""vi"",""km"")"),"ការិយាល័យប្រៃសណីយ៍")</f>
        <v/>
      </c>
      <c r="E2985" s="3" t="n"/>
      <c r="F2985" s="3" t="inlineStr">
        <is>
          <t>ការិយាល័យប្រៃសណីយ៍</t>
        </is>
      </c>
      <c r="G2985" s="3" t="n"/>
      <c r="H2985" s="217" t="inlineStr">
        <is>
          <t>"delivery.warehouse.trackingHistory.postCode": "ការិយាល័យប្រៃសណីយ៍",</t>
        </is>
      </c>
      <c r="I2985" t="inlineStr">
        <is>
          <t>ការិយាល័យប្រៃសណីយ៍</t>
        </is>
      </c>
    </row>
    <row r="2986">
      <c r="A2986" s="3" t="inlineStr">
        <is>
          <t>delivery.warehouse.trackingHistory.postCodeArrives</t>
        </is>
      </c>
      <c r="B2986" s="3" t="inlineStr">
        <is>
          <t>Bưu cục đến</t>
        </is>
      </c>
      <c r="C2986" s="3" t="inlineStr">
        <is>
          <t>Arrival post office</t>
        </is>
      </c>
      <c r="D2986" s="217">
        <f>IFERROR(__xludf.DUMMYFUNCTION("GOOGLETRANSLATE(C2986,""vi"",""km"")"),"ការិយាល័យប្រៃសណីយ៍មកដល់")</f>
        <v/>
      </c>
      <c r="E2986" s="3" t="n"/>
      <c r="F2986" s="3" t="inlineStr">
        <is>
          <t>ការិយាល័យប្រៃសណីយ៍គោលដៅ</t>
        </is>
      </c>
      <c r="G2986" s="3" t="n"/>
      <c r="H2986" s="217" t="inlineStr">
        <is>
          <t>"delivery.warehouse.trackingHistory.postCodeArrives": "ការិយាល័យប្រៃសណីយ៍គោលដៅ",</t>
        </is>
      </c>
      <c r="I2986" t="inlineStr">
        <is>
          <t>ការិយាល័យប្រៃសណីយ៍គោលដៅ</t>
        </is>
      </c>
    </row>
    <row r="2987">
      <c r="A2987" s="3" t="inlineStr">
        <is>
          <t>delivery.warehouse.trackingHistory.province</t>
        </is>
      </c>
      <c r="B2987" s="3" t="inlineStr">
        <is>
          <t>Tỉnh</t>
        </is>
      </c>
      <c r="C2987" s="3" t="inlineStr">
        <is>
          <t>Province</t>
        </is>
      </c>
      <c r="D2987" s="217">
        <f>IFERROR(__xludf.DUMMYFUNCTION("GOOGLETRANSLATE(C2987,""vi"",""km"")"),"ខេត្ត")</f>
        <v/>
      </c>
      <c r="E2987" s="3" t="n"/>
      <c r="F2987" s="3" t="inlineStr">
        <is>
          <t>ខេត្ត</t>
        </is>
      </c>
      <c r="G2987" s="3" t="n"/>
      <c r="H2987" s="217" t="inlineStr">
        <is>
          <t>"delivery.warehouse.trackingHistory.province": "ខេត្ត",</t>
        </is>
      </c>
      <c r="I2987" t="inlineStr">
        <is>
          <t>ខេត្ត</t>
        </is>
      </c>
    </row>
    <row r="2988">
      <c r="A2988" s="3" t="inlineStr">
        <is>
          <t>delivery.warehouse.trackingHistory.status</t>
        </is>
      </c>
      <c r="B2988" s="3" t="inlineStr">
        <is>
          <t>Trạng thái</t>
        </is>
      </c>
      <c r="C2988" s="3" t="inlineStr">
        <is>
          <t>Status</t>
        </is>
      </c>
      <c r="D2988" s="217">
        <f>IFERROR(__xludf.DUMMYFUNCTION("GOOGLETRANSLATE(C2988,""vi"",""km"")"),"ស្ថានភាព")</f>
        <v/>
      </c>
      <c r="E2988" s="3" t="n"/>
      <c r="F2988" s="3" t="inlineStr">
        <is>
          <t>ស្ថានភាព</t>
        </is>
      </c>
      <c r="G2988" s="3" t="n"/>
      <c r="H2988" s="217" t="inlineStr">
        <is>
          <t>"delivery.warehouse.trackingHistory.status": "ស្ថានភាព",</t>
        </is>
      </c>
      <c r="I2988" t="inlineStr">
        <is>
          <t>ស្ថានភាព</t>
        </is>
      </c>
    </row>
    <row r="2989">
      <c r="A2989" s="3" t="inlineStr">
        <is>
          <t>delivery.warehouse.trackingHistory.statusTracking</t>
        </is>
      </c>
      <c r="B2989" s="3" t="inlineStr">
        <is>
          <t>Trạng thái hành trình</t>
        </is>
      </c>
      <c r="C2989" s="3" t="inlineStr">
        <is>
          <t>Tracking status</t>
        </is>
      </c>
      <c r="D2989" s="217">
        <f>IFERROR(__xludf.DUMMYFUNCTION("GOOGLETRANSLATE(C2989,""vi"",""km"")"),"ស្ថានភាពតាមដាន")</f>
        <v/>
      </c>
      <c r="E2989" s="3" t="n"/>
      <c r="F2989" s="3" t="inlineStr">
        <is>
          <t>ស្ថានភាពតាមដាន</t>
        </is>
      </c>
      <c r="G2989" s="3" t="n"/>
      <c r="H2989" s="217" t="inlineStr">
        <is>
          <t>"delivery.warehouse.trackingHistory.statusTracking": "ស្ថានភាពតាមដាន",</t>
        </is>
      </c>
      <c r="I2989" t="inlineStr">
        <is>
          <t>ស្ថានភាពតាមដាន</t>
        </is>
      </c>
    </row>
    <row r="2990">
      <c r="A2990" s="3" t="inlineStr">
        <is>
          <t>delivery.warehouse.trackingHistory.time</t>
        </is>
      </c>
      <c r="B2990" s="3" t="inlineStr">
        <is>
          <t>Thời gian</t>
        </is>
      </c>
      <c r="C2990" s="3" t="inlineStr">
        <is>
          <t>Time</t>
        </is>
      </c>
      <c r="D2990" s="217">
        <f>IFERROR(__xludf.DUMMYFUNCTION("GOOGLETRANSLATE(C2990,""vi"",""km"")"),"កាលបរិច្ឆេទ")</f>
        <v/>
      </c>
      <c r="E2990" s="3" t="n"/>
      <c r="F2990" s="3" t="inlineStr">
        <is>
          <t>ពេលវេលា</t>
        </is>
      </c>
      <c r="G2990" s="3" t="n"/>
      <c r="H2990" s="217" t="inlineStr">
        <is>
          <t>"delivery.warehouse.trackingHistory.time": "ពេលវេលា",</t>
        </is>
      </c>
      <c r="I2990" t="inlineStr">
        <is>
          <t>ពេលវេលា</t>
        </is>
      </c>
    </row>
    <row r="2991">
      <c r="A2991" s="3" t="inlineStr">
        <is>
          <t>delivery.warehouse.trackingHistory.timeStart</t>
        </is>
      </c>
      <c r="B2991" s="3" t="inlineStr">
        <is>
          <t>TG.Xuất phát</t>
        </is>
      </c>
      <c r="C2991" s="3" t="inlineStr">
        <is>
          <t>Start time</t>
        </is>
      </c>
      <c r="D2991" s="217">
        <f>IFERROR(__xludf.DUMMYFUNCTION("GOOGLETRANSLATE(C2991,""vi"",""km"")"),"ពេលវេលាចាប់ផ្តើម")</f>
        <v/>
      </c>
      <c r="E2991" s="3" t="n"/>
      <c r="F2991" s="3" t="inlineStr">
        <is>
          <t>ពេលវេលាចាប់ផ្តើម</t>
        </is>
      </c>
      <c r="G2991" s="3" t="n"/>
      <c r="H2991" s="217" t="inlineStr">
        <is>
          <t>"delivery.warehouse.trackingHistory.timeStart": "ពេលវេលាចាប់ផ្តើម",</t>
        </is>
      </c>
      <c r="I2991" t="inlineStr">
        <is>
          <t>ពេលវេលាចាប់ផ្តើម</t>
        </is>
      </c>
    </row>
    <row r="2992">
      <c r="A2992" s="3" t="inlineStr">
        <is>
          <t>delivery.warehouse.trackingHistory.timeUpdate</t>
        </is>
      </c>
      <c r="B2992" s="3" t="inlineStr">
        <is>
          <t>Thời gian sửa</t>
        </is>
      </c>
      <c r="C2992" s="3" t="inlineStr">
        <is>
          <t>Edition time</t>
        </is>
      </c>
      <c r="D2992" s="217">
        <f>IFERROR(__xludf.DUMMYFUNCTION("GOOGLETRANSLATE(C2992,""vi"",""km"")"),"ពេលវេលាបោះពុម្ពផ្សាយ")</f>
        <v/>
      </c>
      <c r="E2992" s="3" t="n"/>
      <c r="F2992" s="3" t="inlineStr">
        <is>
          <t>ពេលវេលាព្រីនផ្សាយ</t>
        </is>
      </c>
      <c r="G2992" s="3" t="n"/>
      <c r="H2992" s="217" t="inlineStr">
        <is>
          <t>"delivery.warehouse.trackingHistory.timeUpdate": "ពេលវេលាព្រីនផ្សាយ",</t>
        </is>
      </c>
      <c r="I2992" t="inlineStr">
        <is>
          <t>ពេលវេលាព្រីនផ្សាយ</t>
        </is>
      </c>
    </row>
    <row r="2993">
      <c r="A2993" s="3" t="inlineStr">
        <is>
          <t>delivery.warehouse.trackingHistory.tracking</t>
        </is>
      </c>
      <c r="B2993" s="3" t="inlineStr">
        <is>
          <t>Hành trình</t>
        </is>
      </c>
      <c r="C2993" s="3" t="inlineStr">
        <is>
          <t>Tracking</t>
        </is>
      </c>
      <c r="D2993" s="217">
        <f>IFERROR(__xludf.DUMMYFUNCTION("GOOGLETRANSLATE(C2993,""vi"",""km"")"),"ការតាមដាន")</f>
        <v/>
      </c>
      <c r="E2993" s="3" t="n"/>
      <c r="F2993" s="3" t="inlineStr">
        <is>
          <t>ដំណើរឆ្លងកាត់បញ្ញើ</t>
        </is>
      </c>
      <c r="G2993" s="3" t="n"/>
      <c r="H2993" s="217" t="inlineStr">
        <is>
          <t>"delivery.warehouse.trackingHistory.tracking": "ដំណើរឆ្លងកាត់បញ្ញើ",</t>
        </is>
      </c>
      <c r="I2993" t="inlineStr">
        <is>
          <t>ដំណើរឆ្លងកាត់បញ្ញើ</t>
        </is>
      </c>
    </row>
    <row r="2994">
      <c r="A2994" s="3" t="inlineStr">
        <is>
          <t>delivery.warehouse.trackingHistory.userUpdate</t>
        </is>
      </c>
      <c r="B2994" s="3" t="inlineStr">
        <is>
          <t>Người tác động</t>
        </is>
      </c>
      <c r="C2994" s="3" t="inlineStr">
        <is>
          <t>Updater</t>
        </is>
      </c>
      <c r="D2994" s="217">
        <f>IFERROR(__xludf.DUMMYFUNCTION("GOOGLETRANSLATE(C2994,""vi"",""km"")"),"កម្មវិធីធ្វើបច្ចុប្បន្នភាព")</f>
        <v/>
      </c>
      <c r="E2994" s="3" t="n"/>
      <c r="F2994" s="3" t="inlineStr">
        <is>
          <t>អ្នកធ្វើប្រតិបត្តិការ</t>
        </is>
      </c>
      <c r="G2994" s="3" t="n"/>
      <c r="H2994" s="217" t="inlineStr">
        <is>
          <t>"delivery.warehouse.trackingHistory.userUpdate": "អ្នកធ្វើប្រតិបត្តិការ",</t>
        </is>
      </c>
      <c r="I2994" t="inlineStr">
        <is>
          <t>អ្នកធ្វើប្រតិបត្តិការ</t>
        </is>
      </c>
    </row>
    <row r="2995">
      <c r="A2995" s="3" t="inlineStr">
        <is>
          <t>delivery.warehouse.trackingHistory.userUpdateOrder</t>
        </is>
      </c>
      <c r="B2995" s="3" t="inlineStr">
        <is>
          <t>Người sửa</t>
        </is>
      </c>
      <c r="C2995" s="3" t="inlineStr">
        <is>
          <t>Editor</t>
        </is>
      </c>
      <c r="D2995" s="217">
        <f>IFERROR(__xludf.DUMMYFUNCTION("GOOGLETRANSLATE(C2995,""vi"",""km"")"),"អ្នកកែសម្រួល")</f>
        <v/>
      </c>
      <c r="E2995" s="3" t="n"/>
      <c r="F2995" s="3" t="inlineStr">
        <is>
          <t>អ្នកកែប្រែ</t>
        </is>
      </c>
      <c r="G2995" s="3" t="n"/>
      <c r="H2995" s="217" t="inlineStr">
        <is>
          <t>"delivery.warehouse.trackingHistory.userUpdateOrder": "អ្នកកែប្រែ",</t>
        </is>
      </c>
      <c r="I2995" t="inlineStr">
        <is>
          <t>អ្នកកែប្រែ</t>
        </is>
      </c>
    </row>
    <row r="2996">
      <c r="A2996" s="3" t="inlineStr">
        <is>
          <t>delivery.warehouse.trackingInfomation.address</t>
        </is>
      </c>
      <c r="B2996" s="3" t="inlineStr">
        <is>
          <t>Địa chỉ</t>
        </is>
      </c>
      <c r="C2996" s="3" t="inlineStr">
        <is>
          <t>Address</t>
        </is>
      </c>
      <c r="D2996" s="217">
        <f>IFERROR(__xludf.DUMMYFUNCTION("GOOGLETRANSLATE(C2996,""vi"",""km"")"),"មិនត្រឹមត្រូវ")</f>
        <v/>
      </c>
      <c r="E2996" s="3" t="n"/>
      <c r="F2996" s="3" t="inlineStr">
        <is>
          <t>អាសយដ្ឋាន</t>
        </is>
      </c>
      <c r="G2996" s="3" t="n"/>
      <c r="H2996" s="217" t="inlineStr">
        <is>
          <t>"delivery.warehouse.trackingInfomation.address": "អាសយដ្ឋាន",</t>
        </is>
      </c>
      <c r="I2996" t="inlineStr">
        <is>
          <t>អាសយដ្ឋាន</t>
        </is>
      </c>
    </row>
    <row r="2997">
      <c r="A2997" s="3" t="inlineStr">
        <is>
          <t>delivery.warehouse.trackingInfomation.customerCareDelivery</t>
        </is>
      </c>
      <c r="B2997" s="3" t="inlineStr">
        <is>
          <t>CSKH phát</t>
        </is>
      </c>
      <c r="C2997" s="3" t="inlineStr">
        <is>
          <t>Delivery customer care</t>
        </is>
      </c>
      <c r="D2997" s="217">
        <f>IFERROR(__xludf.DUMMYFUNCTION("GOOGLETRANSLATE(C2997,""vi"",""km"")"),"សេវាបម្រើអតិថិជនដឹកជញ្ជូន")</f>
        <v/>
      </c>
      <c r="E2997" s="3" t="n"/>
      <c r="F2997" s="3" t="inlineStr">
        <is>
          <t>សេវាបម្រើអតិថិជនដឹកជញ្ជូន</t>
        </is>
      </c>
      <c r="G2997" s="3" t="n"/>
      <c r="H2997" s="217" t="inlineStr">
        <is>
          <t>"delivery.warehouse.trackingInfomation.customerCareDelivery": "សេវាបម្រើអតិថិជនដឹកជញ្ជូន",</t>
        </is>
      </c>
      <c r="I2997" t="inlineStr">
        <is>
          <t>សេវាបម្រើអតិថិជនដឹកជញ្ជូន</t>
        </is>
      </c>
    </row>
    <row r="2998">
      <c r="A2998" s="3" t="inlineStr">
        <is>
          <t>delivery.warehouse.trackingInfomation.customerCareOrigin</t>
        </is>
      </c>
      <c r="B2998" s="3" t="inlineStr">
        <is>
          <t>CSKH gốc</t>
        </is>
      </c>
      <c r="C2998" s="3" t="inlineStr">
        <is>
          <t>Origin customer care</t>
        </is>
      </c>
      <c r="D2998" s="217">
        <f>IFERROR(__xludf.DUMMYFUNCTION("GOOGLETRANSLATE(C2998,""vi"",""km"")"),"ការថែទាំអតិថិជនដើម")</f>
        <v/>
      </c>
      <c r="E2998" s="3" t="n"/>
      <c r="F2998" s="3" t="inlineStr">
        <is>
          <t>ផ្នែកបម្រើអតិថិជនដើម</t>
        </is>
      </c>
      <c r="G2998" s="3" t="n"/>
      <c r="H2998" s="217" t="inlineStr">
        <is>
          <t>"delivery.warehouse.trackingInfomation.customerCareOrigin": "ផ្នែកបម្រើអតិថិជនដើម",</t>
        </is>
      </c>
      <c r="I2998" t="inlineStr">
        <is>
          <t>ផ្នែកបម្រើអតិថិជនដើម</t>
        </is>
      </c>
    </row>
    <row r="2999">
      <c r="A2999" s="3" t="inlineStr">
        <is>
          <t>delivery.warehouse.trackingInfomation.dateDelivery</t>
        </is>
      </c>
      <c r="B2999" s="3" t="inlineStr">
        <is>
          <t>Ngày phát</t>
        </is>
      </c>
      <c r="C2999" s="3" t="inlineStr">
        <is>
          <t>Delivery date</t>
        </is>
      </c>
      <c r="D2999" s="217">
        <f>IFERROR(__xludf.DUMMYFUNCTION("GOOGLETRANSLATE(C2999,""vi"",""km"")"),"កាលបរិច្ឆេទដឹកជញ្ជូន")</f>
        <v/>
      </c>
      <c r="E2999" s="3" t="n"/>
      <c r="F2999" s="3" t="inlineStr">
        <is>
          <t>កាលបរិច្ឆេទដឹកជញ្ជូន</t>
        </is>
      </c>
      <c r="G2999" s="3" t="n"/>
      <c r="H2999" s="217" t="inlineStr">
        <is>
          <t>"delivery.warehouse.trackingInfomation.dateDelivery": "កាលបរិច្ឆេទដឹកជញ្ជូន",</t>
        </is>
      </c>
      <c r="I2999" t="inlineStr">
        <is>
          <t>កាលបរិច្ឆេទដឹកជញ្ជូន</t>
        </is>
      </c>
    </row>
    <row r="3000">
      <c r="A3000" s="3" t="inlineStr">
        <is>
          <t>delivery.warehouse.trackingInfomation.informationDelivery</t>
        </is>
      </c>
      <c r="B3000" s="3" t="inlineStr">
        <is>
          <t>Thông tin phát</t>
        </is>
      </c>
      <c r="C3000" s="3" t="inlineStr">
        <is>
          <t>Delivery information</t>
        </is>
      </c>
      <c r="D3000" s="217">
        <f>IFERROR(__xludf.DUMMYFUNCTION("GOOGLETRANSLATE(C3000,""vi"",""km"")"),"ការធានារ៉ាប់រងអំណោយ")</f>
        <v/>
      </c>
      <c r="E3000" s="3" t="n"/>
      <c r="F3000" s="3" t="inlineStr">
        <is>
          <t>ការធានារ៉ាប់រងអំណោយ</t>
        </is>
      </c>
      <c r="G3000" s="3" t="n"/>
      <c r="H3000" s="217" t="inlineStr">
        <is>
          <t>"delivery.warehouse.trackingInfomation.informationDelivery": "ការធានារ៉ាប់រងអំណោយ",</t>
        </is>
      </c>
      <c r="I3000" t="inlineStr">
        <is>
          <t>ការធានារ៉ាប់រងអំណោយ</t>
        </is>
      </c>
    </row>
    <row r="3001">
      <c r="A3001" s="3" t="inlineStr">
        <is>
          <t>delivery.warehouse.trackingInfomation.informationRefund</t>
        </is>
      </c>
      <c r="B3001" s="3" t="inlineStr">
        <is>
          <t>Thông tin hoàn</t>
        </is>
      </c>
      <c r="C3001" s="3" t="inlineStr">
        <is>
          <t>Return information</t>
        </is>
      </c>
      <c r="D3001" s="217">
        <f>IFERROR(__xludf.DUMMYFUNCTION("GOOGLETRANSLATE(C3001,""vi"",""km"")"),"ព័ត៌មានអំពីការប្រគល់មកវិញ")</f>
        <v/>
      </c>
      <c r="E3001" s="3" t="n"/>
      <c r="F3001" s="3" t="inlineStr">
        <is>
          <t>ព័ត៌មានអំពីការប្រគល់មកវិញ</t>
        </is>
      </c>
      <c r="G3001" s="3" t="n"/>
      <c r="H3001" s="217" t="inlineStr">
        <is>
          <t>"delivery.warehouse.trackingInfomation.informationRefund": "ព័ត៌មានអំពីការប្រគល់មកវិញ",</t>
        </is>
      </c>
      <c r="I3001" t="inlineStr">
        <is>
          <t>ព័ត៌មានអំពីការប្រគល់មកវិញ</t>
        </is>
      </c>
    </row>
    <row r="3002">
      <c r="A3002" s="3" t="inlineStr">
        <is>
          <t>delivery.warehouse.trackingInfomation.informationUser</t>
        </is>
      </c>
      <c r="B3002" s="3" t="inlineStr">
        <is>
          <t>Thông tin liên hệ</t>
        </is>
      </c>
      <c r="C3002" s="3" t="inlineStr">
        <is>
          <t>Contact information</t>
        </is>
      </c>
      <c r="D3002" s="217">
        <f>IFERROR(__xludf.DUMMYFUNCTION("GOOGLETRANSLATE(C3002,""vi"",""km"")"),"ទីក្រុងទំនាក់ទំនង")</f>
        <v/>
      </c>
      <c r="E3002" s="3" t="n"/>
      <c r="F3002" s="3" t="inlineStr">
        <is>
          <t>ទីក្រុងទំនាក់ទំនង</t>
        </is>
      </c>
      <c r="G3002" s="3" t="n"/>
      <c r="H3002" s="217" t="inlineStr">
        <is>
          <t>"delivery.warehouse.trackingInfomation.informationUser": "ទីក្រុងទំនាក់ទំនង",</t>
        </is>
      </c>
      <c r="I3002" t="inlineStr">
        <is>
          <t>ទីក្រុងទំនាក់ទំនង</t>
        </is>
      </c>
    </row>
    <row r="3003">
      <c r="A3003" s="3" t="inlineStr">
        <is>
          <t>delivery.warehouse.trackingInfomation.leader</t>
        </is>
      </c>
      <c r="B3003" s="3" t="inlineStr">
        <is>
          <t>Trưởng đơn vị</t>
        </is>
      </c>
      <c r="C3003" s="3" t="inlineStr">
        <is>
          <t>Head of Post-Office</t>
        </is>
      </c>
      <c r="D3003" s="217">
        <f>IFERROR(__xludf.DUMMYFUNCTION("GOOGLETRANSLATE(C3003,""vi"",""km"")"),"ប្រធានការិយាល័យប្រៃសណីយ៍")</f>
        <v/>
      </c>
      <c r="E3003" s="3" t="n"/>
      <c r="F3003" s="3" t="inlineStr">
        <is>
          <t>ប្រធានការិយាល័យប្រៃសណីយ៍</t>
        </is>
      </c>
      <c r="G3003" s="3" t="n"/>
      <c r="H3003" s="217" t="inlineStr">
        <is>
          <t>"delivery.warehouse.trackingInfomation.leader": "ប្រធានការិយាល័យប្រៃសណីយ៍",</t>
        </is>
      </c>
      <c r="I3003" t="inlineStr">
        <is>
          <t>ប្រធានការិយាល័យប្រៃសណីយ៍</t>
        </is>
      </c>
    </row>
    <row r="3004">
      <c r="A3004" s="3" t="inlineStr">
        <is>
          <t>delivery.warehouse.trackingInfomation.parcel</t>
        </is>
      </c>
      <c r="B3004" s="3" t="inlineStr">
        <is>
          <t>Hàng hóa</t>
        </is>
      </c>
      <c r="C3004" s="3" t="inlineStr">
        <is>
          <t>Parcel</t>
        </is>
      </c>
      <c r="D3004" s="217">
        <f>IFERROR(__xludf.DUMMYFUNCTION("GOOGLETRANSLATE(C3004,""vi"",""km"")"),"កញ្ចប់")</f>
        <v/>
      </c>
      <c r="E3004" s="3" t="n"/>
      <c r="F3004" s="3" t="inlineStr">
        <is>
          <t>ទំនិញ</t>
        </is>
      </c>
      <c r="G3004" s="3" t="n"/>
      <c r="H3004" s="217" t="inlineStr">
        <is>
          <t>"delivery.warehouse.trackingInfomation.parcel": "ទំនិញ",</t>
        </is>
      </c>
      <c r="I3004" t="inlineStr">
        <is>
          <t>ទំនិញ</t>
        </is>
      </c>
    </row>
    <row r="3005">
      <c r="A3005" s="3" t="inlineStr">
        <is>
          <t>delivery.warehouse.trackingInfomation.phone</t>
        </is>
      </c>
      <c r="B3005" s="3" t="inlineStr">
        <is>
          <t>Số điện thoại</t>
        </is>
      </c>
      <c r="C3005" s="3" t="inlineStr">
        <is>
          <t>Phone number</t>
        </is>
      </c>
      <c r="D3005" s="217">
        <f>IFERROR(__xludf.DUMMYFUNCTION("GOOGLETRANSLATE(C3005,""vi"",""km"")"),"លេខទូរស័ព្ទ")</f>
        <v/>
      </c>
      <c r="E3005" s="3" t="n"/>
      <c r="F3005" s="3" t="inlineStr">
        <is>
          <t>លេខទូរស័ព្ទ</t>
        </is>
      </c>
      <c r="G3005" s="3" t="n"/>
      <c r="H3005" s="217" t="inlineStr">
        <is>
          <t>"delivery.warehouse.trackingInfomation.phone": "លេខទូរស័ព្ទ",</t>
        </is>
      </c>
      <c r="I3005" t="inlineStr">
        <is>
          <t>លេខទូរស័ព្ទ</t>
        </is>
      </c>
    </row>
    <row r="3006">
      <c r="A3006" s="3" t="inlineStr">
        <is>
          <t>delivery.warehouse.trackingInfomation.postOfficeDelivery</t>
        </is>
      </c>
      <c r="B3006" s="3" t="inlineStr">
        <is>
          <t>Bưu cục phát</t>
        </is>
      </c>
      <c r="C3006" s="3" t="inlineStr">
        <is>
          <t>Delivery post office</t>
        </is>
      </c>
      <c r="D3006" s="217">
        <f>IFERROR(__xludf.DUMMYFUNCTION("GOOGLETRANSLATE(C3006,""vi"",""km"")"),"ការិយាល័យប្រៃសណីយ៍ដឹកជញ្ជូន")</f>
        <v/>
      </c>
      <c r="E3006" s="3" t="n"/>
      <c r="F3006" s="3" t="inlineStr">
        <is>
          <t>ការិយាល័យប្រៃសណីយ៍ដឹកចែក</t>
        </is>
      </c>
      <c r="G3006" s="3" t="n"/>
      <c r="H3006" s="217" t="inlineStr">
        <is>
          <t>"delivery.warehouse.trackingInfomation.postOfficeDelivery": "ការិយាល័យប្រៃសណីយ៍ដឹកចែក",</t>
        </is>
      </c>
      <c r="I3006" t="inlineStr">
        <is>
          <t>ការិយាល័យប្រៃសណីយ៍ដឹកចែក</t>
        </is>
      </c>
    </row>
    <row r="3007">
      <c r="A3007" s="3" t="inlineStr">
        <is>
          <t>delivery.warehouse.trackingInfomation.postOfficeOrigin</t>
        </is>
      </c>
      <c r="B3007" s="3" t="inlineStr">
        <is>
          <t>Bưu cục gốc</t>
        </is>
      </c>
      <c r="C3007" s="3" t="inlineStr">
        <is>
          <t>Origin post office</t>
        </is>
      </c>
      <c r="D3007" s="217">
        <f>IFERROR(__xludf.DUMMYFUNCTION("GOOGLETRANSLATE(C3007,""vi"",""km"")"),"ការិយាល័យប្រៃសណីយ៍ដើម")</f>
        <v/>
      </c>
      <c r="E3007" s="3" t="n"/>
      <c r="F3007" s="3" t="inlineStr">
        <is>
          <t>ការិយាល័យប្រៃសណីយ៍ដើម</t>
        </is>
      </c>
      <c r="G3007" s="3" t="n"/>
      <c r="H3007" s="217" t="inlineStr">
        <is>
          <t>"delivery.warehouse.trackingInfomation.postOfficeOrigin": "ការិយាល័យប្រៃសណីយ៍ដើម",</t>
        </is>
      </c>
      <c r="I3007" t="inlineStr">
        <is>
          <t>ការិយាល័យប្រៃសណីយ៍ដើម</t>
        </is>
      </c>
    </row>
    <row r="3008">
      <c r="A3008" s="3" t="inlineStr">
        <is>
          <t>delivery.warehouse.trackingInfomation.postmanDelivery</t>
        </is>
      </c>
      <c r="B3008" s="3" t="inlineStr">
        <is>
          <t>Bưu tá phát</t>
        </is>
      </c>
      <c r="C3008" s="3" t="inlineStr">
        <is>
          <t>Delivery postman</t>
        </is>
      </c>
      <c r="D3008" s="217">
        <f>IFERROR(__xludf.DUMMYFUNCTION("GOOGLETRANSLATE(C3008,""vi"",""km"")"),"អ្នកប្រៃសណីយ៍ដឹកជញ្ជូន")</f>
        <v/>
      </c>
      <c r="E3008" s="3" t="n"/>
      <c r="F3008" s="3" t="inlineStr">
        <is>
          <t>អ្នកប្រៃសណីយ៍ដឹកជញ្ជូន</t>
        </is>
      </c>
      <c r="G3008" s="3" t="n"/>
      <c r="H3008" s="217" t="inlineStr">
        <is>
          <t>"delivery.warehouse.trackingInfomation.postmanDelivery": "អ្នកប្រៃសណីយ៍ដឹកជញ្ជូន",</t>
        </is>
      </c>
      <c r="I3008" t="inlineStr">
        <is>
          <t>អ្នកប្រៃសណីយ៍ដឹកជញ្ជូន</t>
        </is>
      </c>
    </row>
    <row r="3009">
      <c r="A3009" s="3" t="inlineStr">
        <is>
          <t>delivery.warehouse.trackingInfomation.receiverUser</t>
        </is>
      </c>
      <c r="B3009" s="3" t="inlineStr">
        <is>
          <t>Người nhận</t>
        </is>
      </c>
      <c r="C3009" s="3" t="inlineStr">
        <is>
          <t>Receiver</t>
        </is>
      </c>
      <c r="D3009" s="217">
        <f>IFERROR(__xludf.DUMMYFUNCTION("GOOGLETRANSLATE(C3009,""vi"",""km"")"),"អ្នកទទួល")</f>
        <v/>
      </c>
      <c r="E3009" s="3" t="n"/>
      <c r="F3009" s="3" t="inlineStr">
        <is>
          <t>អ្នកទទួល</t>
        </is>
      </c>
      <c r="G3009" s="3" t="n"/>
      <c r="H3009" s="217" t="inlineStr">
        <is>
          <t>"delivery.warehouse.trackingInfomation.receiverUser": "អ្នកទទួល",</t>
        </is>
      </c>
      <c r="I3009" t="inlineStr">
        <is>
          <t>អ្នកទទួល</t>
        </is>
      </c>
    </row>
    <row r="3010">
      <c r="A3010" s="3" t="inlineStr">
        <is>
          <t>delivery.warehouse.trackingInfomation.status</t>
        </is>
      </c>
      <c r="B3010" s="3" t="inlineStr">
        <is>
          <t>Trạng thái</t>
        </is>
      </c>
      <c r="C3010" s="3" t="inlineStr">
        <is>
          <t>Status</t>
        </is>
      </c>
      <c r="D3010" s="217">
        <f>IFERROR(__xludf.DUMMYFUNCTION("GOOGLETRANSLATE(C3010,""vi"",""km"")"),"ស្ថានភាព")</f>
        <v/>
      </c>
      <c r="E3010" s="3" t="n"/>
      <c r="F3010" s="3" t="inlineStr">
        <is>
          <t>ស្ថានភាព</t>
        </is>
      </c>
      <c r="G3010" s="3" t="n"/>
      <c r="H3010" s="217" t="inlineStr">
        <is>
          <t>"delivery.warehouse.trackingInfomation.status": "ស្ថានភាព",</t>
        </is>
      </c>
      <c r="I3010" t="inlineStr">
        <is>
          <t>ស្ថានភាព</t>
        </is>
      </c>
    </row>
    <row r="3011">
      <c r="A3011" s="3" t="inlineStr">
        <is>
          <t>delivery.warehouse.trackingOrder.COD</t>
        </is>
      </c>
      <c r="B3011" s="3" t="inlineStr">
        <is>
          <t>COD</t>
        </is>
      </c>
      <c r="C3011" s="3" t="inlineStr">
        <is>
          <t>COD</t>
        </is>
      </c>
      <c r="D3011" s="217">
        <f>IFERROR(__xludf.DUMMYFUNCTION("GOOGLETRANSLATE(C3011,""vi"",""km"")"),"ប្រតិបត្តិការ​ទូទាត់​ថ្លៃ​សេវា​ (COD)")</f>
        <v/>
      </c>
      <c r="E3011" s="3" t="n"/>
      <c r="F3011" s="3" t="inlineStr">
        <is>
          <t>ប្រតិបត្តិការទូទាត់ថ្លៃសេវា (COD)</t>
        </is>
      </c>
      <c r="G3011" s="3" t="n"/>
      <c r="H3011" s="217" t="inlineStr">
        <is>
          <t>"delivery.warehouse.trackingOrder.COD": "ប្រតិបត្តិការទូទាត់ថ្លៃសេវា (COD)",</t>
        </is>
      </c>
      <c r="I3011" t="inlineStr">
        <is>
          <t>ប្រតិបត្តិការទូទាត់ថ្លៃសេវា (COD)</t>
        </is>
      </c>
    </row>
    <row r="3012">
      <c r="A3012" s="3" t="inlineStr">
        <is>
          <t>delivery.warehouse.trackingOrder.CONSIGNEE</t>
        </is>
      </c>
      <c r="B3012" s="3" t="inlineStr">
        <is>
          <t>Người nhận</t>
        </is>
      </c>
      <c r="C3012" s="3" t="inlineStr">
        <is>
          <t>consignee</t>
        </is>
      </c>
      <c r="D3012" s="217">
        <f>IFERROR(__xludf.DUMMYFUNCTION("GOOGLETRANSLATE(C3012,""vi"",""km"")"),"អ្នកទទួលទំនិញ")</f>
        <v/>
      </c>
      <c r="E3012" s="3" t="n"/>
      <c r="F3012" s="3" t="inlineStr">
        <is>
          <t>អ្នកទទួល</t>
        </is>
      </c>
      <c r="G3012" s="3" t="n"/>
      <c r="H3012" s="217" t="inlineStr">
        <is>
          <t>"delivery.warehouse.trackingOrder.CONSIGNEE": "អ្នកទទួល",</t>
        </is>
      </c>
      <c r="I3012" t="inlineStr">
        <is>
          <t>អ្នកទទួល</t>
        </is>
      </c>
    </row>
    <row r="3013">
      <c r="A3013" s="3" t="inlineStr">
        <is>
          <t>delivery.warehouse.trackingOrder.DOCUMENT</t>
        </is>
      </c>
      <c r="B3013" s="3" t="inlineStr">
        <is>
          <t>Thư</t>
        </is>
      </c>
      <c r="C3013" s="3" t="inlineStr">
        <is>
          <t>Document</t>
        </is>
      </c>
      <c r="D3013" s="217">
        <f>IFERROR(__xludf.DUMMYFUNCTION("GOOGLETRANSLATE(C3013,""vi"",""km"")"),"ឯកសារ")</f>
        <v/>
      </c>
      <c r="E3013" s="3" t="n"/>
      <c r="F3013" s="3" t="inlineStr">
        <is>
          <t>ឯកសារ</t>
        </is>
      </c>
      <c r="G3013" s="3" t="n"/>
      <c r="H3013" s="217" t="inlineStr">
        <is>
          <t>"delivery.warehouse.trackingOrder.DOCUMENT": "ឯកសារ",</t>
        </is>
      </c>
      <c r="I3013" t="inlineStr">
        <is>
          <t>ឯកសារ</t>
        </is>
      </c>
    </row>
    <row r="3014">
      <c r="A3014" s="3" t="inlineStr">
        <is>
          <t>delivery.warehouse.trackingOrder.GOODS</t>
        </is>
      </c>
      <c r="B3014" s="3" t="inlineStr">
        <is>
          <t>Hàng hoá</t>
        </is>
      </c>
      <c r="C3014" s="3" t="inlineStr">
        <is>
          <t>Goods</t>
        </is>
      </c>
      <c r="D3014" s="217">
        <f>IFERROR(__xludf.DUMMYFUNCTION("GOOGLETRANSLATE(C3014,""vi"",""km"")"),"ទំនិញ")</f>
        <v/>
      </c>
      <c r="E3014" s="3" t="n"/>
      <c r="F3014" s="3" t="inlineStr">
        <is>
          <t>ទំនិញ</t>
        </is>
      </c>
      <c r="G3014" s="3" t="n"/>
      <c r="H3014" s="217" t="inlineStr">
        <is>
          <t>"delivery.warehouse.trackingOrder.GOODS": "ទំនិញ",</t>
        </is>
      </c>
      <c r="I3014" t="inlineStr">
        <is>
          <t>ទំនិញ</t>
        </is>
      </c>
    </row>
    <row r="3015">
      <c r="A3015" s="3" t="inlineStr">
        <is>
          <t>delivery.warehouse.trackingOrder.SELLER</t>
        </is>
      </c>
      <c r="B3015" s="3" t="inlineStr">
        <is>
          <t>Người gửi</t>
        </is>
      </c>
      <c r="C3015" s="3" t="inlineStr">
        <is>
          <t>seller</t>
        </is>
      </c>
      <c r="D3015" s="217">
        <f>IFERROR(__xludf.DUMMYFUNCTION("GOOGLETRANSLATE(C3015,""vi"",""km"")"),"អ្នកលក់")</f>
        <v/>
      </c>
      <c r="E3015" s="3" t="n"/>
      <c r="F3015" s="3" t="inlineStr">
        <is>
          <t>អ្នកផ្ញើ</t>
        </is>
      </c>
      <c r="G3015" s="3" t="n"/>
      <c r="H3015" s="217" t="inlineStr">
        <is>
          <t>"delivery.warehouse.trackingOrder.SELLER": "អ្នកផ្ញើ",</t>
        </is>
      </c>
      <c r="I3015" t="inlineStr">
        <is>
          <t>អ្នកផ្ញើ</t>
        </is>
      </c>
    </row>
    <row r="3016">
      <c r="A3016" s="3" t="inlineStr">
        <is>
          <t>delivery.warehouse.trackingOrder.additionalServices</t>
        </is>
      </c>
      <c r="B3016" s="3" t="inlineStr">
        <is>
          <t>Dịch vụ cộng thêm</t>
        </is>
      </c>
      <c r="C3016" s="3" t="inlineStr">
        <is>
          <t>Addtional service</t>
        </is>
      </c>
      <c r="D3016" s="217">
        <f>IFERROR(__xludf.DUMMYFUNCTION("GOOGLETRANSLATE(C3016,""vi"",""km"")"),"សេវាកម្មបន្ថែម")</f>
        <v/>
      </c>
      <c r="E3016" s="3" t="n"/>
      <c r="F3016" s="3" t="inlineStr">
        <is>
          <t>សេវាកម្មបន្ថែម</t>
        </is>
      </c>
      <c r="G3016" s="3" t="n"/>
      <c r="H3016" s="217" t="inlineStr">
        <is>
          <t>"delivery.warehouse.trackingOrder.additionalServices": "សេវាកម្មបន្ថែម",</t>
        </is>
      </c>
      <c r="I3016" t="inlineStr">
        <is>
          <t>សេវាកម្មបន្ថែម</t>
        </is>
      </c>
    </row>
    <row r="3017">
      <c r="A3017" s="3" t="inlineStr">
        <is>
          <t>delivery.warehouse.trackingOrder.address</t>
        </is>
      </c>
      <c r="B3017" s="3" t="inlineStr">
        <is>
          <t>Địa chỉ</t>
        </is>
      </c>
      <c r="C3017" s="3" t="inlineStr">
        <is>
          <t>Address</t>
        </is>
      </c>
      <c r="D3017" s="217">
        <f>IFERROR(__xludf.DUMMYFUNCTION("GOOGLETRANSLATE(C3017,""vi"",""km"")"),"មិនត្រឹមត្រូវ")</f>
        <v/>
      </c>
      <c r="E3017" s="3" t="n"/>
      <c r="F3017" s="3" t="inlineStr">
        <is>
          <t>អាសយដ្ឋាន</t>
        </is>
      </c>
      <c r="G3017" s="3" t="n"/>
      <c r="H3017" s="217" t="inlineStr">
        <is>
          <t>"delivery.warehouse.trackingOrder.address": "អាសយដ្ឋាន",</t>
        </is>
      </c>
      <c r="I3017" t="inlineStr">
        <is>
          <t>អាសយដ្ឋាន</t>
        </is>
      </c>
    </row>
    <row r="3018">
      <c r="A3018" s="3" t="inlineStr">
        <is>
          <t>delivery.warehouse.trackingOrder.collectFee</t>
        </is>
      </c>
      <c r="B3018" s="3" t="inlineStr">
        <is>
          <t>Tiền thu hộ</t>
        </is>
      </c>
      <c r="C3018" s="3" t="inlineStr">
        <is>
          <t>COD</t>
        </is>
      </c>
      <c r="D3018" s="217">
        <f>IFERROR(__xludf.DUMMYFUNCTION("GOOGLETRANSLATE(C3018,""vi"",""km"")"),"ប្រតិបត្តិការ​ទូទាត់​ថ្លៃ​សេវា​ (COD)")</f>
        <v/>
      </c>
      <c r="E3018" s="3" t="n"/>
      <c r="F3018" s="3" t="inlineStr">
        <is>
          <t>ប្រាក់ប្រមូលជំនួស (COD)</t>
        </is>
      </c>
      <c r="G3018" s="3" t="n"/>
      <c r="H3018" s="217" t="inlineStr">
        <is>
          <t>"delivery.warehouse.trackingOrder.collectFee": "ប្រាក់ប្រមូលជំនួស (COD)",</t>
        </is>
      </c>
      <c r="I3018" t="inlineStr">
        <is>
          <t>ប្រាក់ប្រមូលជំនួស (COD)</t>
        </is>
      </c>
    </row>
    <row r="3019">
      <c r="A3019" s="3" t="inlineStr">
        <is>
          <t>delivery.warehouse.trackingOrder.detailForward</t>
        </is>
      </c>
      <c r="B3019" s="3" t="inlineStr">
        <is>
          <t>Chi tiết mã phiếu chuyển tiếp</t>
        </is>
      </c>
      <c r="C3019" s="3" t="inlineStr">
        <is>
          <t>Details of the forwarding voucher code</t>
        </is>
      </c>
      <c r="D3019" s="217">
        <f>IFERROR(__xludf.DUMMYFUNCTION("GOOGLETRANSLATE(C3019,""vi"",""km"")"),"ព័ត៌មានលម្អិតនៃលេខកូដប័ណ្ណបញ្ជូនបន្ត")</f>
        <v/>
      </c>
      <c r="E3019" s="3" t="n"/>
      <c r="F3019" s="3" t="inlineStr">
        <is>
          <t>ព័ត៌មានលម្អិតលេខកូដបុងបញ្ជូនបន្ត</t>
        </is>
      </c>
      <c r="G3019" s="3" t="n"/>
      <c r="H3019" s="217" t="inlineStr">
        <is>
          <t>"delivery.warehouse.trackingOrder.detailForward": "ព័ត៌មានលម្អិតលេខកូដបុងបញ្ជូនបន្ត",</t>
        </is>
      </c>
      <c r="I3019" t="inlineStr">
        <is>
          <t>ព័ត៌មានលម្អិតលេខកូដបុងបញ្ជូនបន្ត</t>
        </is>
      </c>
    </row>
    <row r="3020">
      <c r="A3020" s="3" t="inlineStr">
        <is>
          <t>delivery.warehouse.trackingOrder.detailReturn</t>
        </is>
      </c>
      <c r="B3020" s="3" t="inlineStr">
        <is>
          <t>Chi tiết mã phiếu hoàn</t>
        </is>
      </c>
      <c r="C3020" s="3" t="inlineStr">
        <is>
          <t>Refund voucher details</t>
        </is>
      </c>
      <c r="D3020" s="217">
        <f>IFERROR(__xludf.DUMMYFUNCTION("GOOGLETRANSLATE(C3020,""vi"",""km"")"),"ព័ត៌មានលម្អិតអំពីប័ណ្ណសងប្រាក់វិញ")</f>
        <v/>
      </c>
      <c r="E3020" s="3" t="n"/>
      <c r="F3020" s="3" t="inlineStr">
        <is>
          <t>ព័ត៌មានលម្អិតអំពីបុងប្រគល់ត្រឡប់</t>
        </is>
      </c>
      <c r="G3020" s="3" t="n"/>
      <c r="H3020" s="217" t="inlineStr">
        <is>
          <t>"delivery.warehouse.trackingOrder.detailReturn": "ព័ត៌មានលម្អិតអំពីបុងប្រគល់ត្រឡប់",</t>
        </is>
      </c>
      <c r="I3020" t="inlineStr">
        <is>
          <t>ព័ត៌មានលម្អិតអំពីបុងប្រគល់ត្រឡប់</t>
        </is>
      </c>
    </row>
    <row r="3021">
      <c r="A3021" s="3" t="inlineStr">
        <is>
          <t>delivery.warehouse.trackingOrder.districtCode</t>
        </is>
      </c>
      <c r="B3021" s="3" t="inlineStr">
        <is>
          <t>Huyện gửi</t>
        </is>
      </c>
      <c r="C3021" s="3" t="inlineStr">
        <is>
          <t>Sender district</t>
        </is>
      </c>
      <c r="D3021" s="217">
        <f>IFERROR(__xludf.DUMMYFUNCTION("GOOGLETRANSLATE(C3021,""vi"",""km"")"),"ស្រុកអ្នកផ្ញើ")</f>
        <v/>
      </c>
      <c r="E3021" s="3" t="n"/>
      <c r="F3021" s="3" t="inlineStr">
        <is>
          <t>ស្រុកអ្នកផ្ញើ</t>
        </is>
      </c>
      <c r="G3021" s="3" t="n"/>
      <c r="H3021" s="217" t="inlineStr">
        <is>
          <t>"delivery.warehouse.trackingOrder.districtCode": "ស្រុកអ្នកផ្ញើ",</t>
        </is>
      </c>
      <c r="I3021" t="inlineStr">
        <is>
          <t>ស្រុកអ្នកផ្ញើ</t>
        </is>
      </c>
    </row>
    <row r="3022">
      <c r="A3022" s="3" t="inlineStr">
        <is>
          <t>delivery.warehouse.trackingOrder.districtCodeReceiving</t>
        </is>
      </c>
      <c r="B3022" s="3" t="inlineStr">
        <is>
          <t>Huyện nhận</t>
        </is>
      </c>
      <c r="C3022" s="3" t="inlineStr">
        <is>
          <t>District Receiving</t>
        </is>
      </c>
      <c r="D3022" s="217">
        <f>IFERROR(__xludf.DUMMYFUNCTION("GOOGLETRANSLATE(C3022,""vi"",""km"")"),"ការទទួលព័ត៌មានស្រុក")</f>
        <v/>
      </c>
      <c r="E3022" s="3" t="n"/>
      <c r="F3022" s="3" t="inlineStr">
        <is>
          <t>ការទទួលព័ត៌មានស្រុក</t>
        </is>
      </c>
      <c r="G3022" s="3" t="n"/>
      <c r="H3022" s="217" t="inlineStr">
        <is>
          <t>"delivery.warehouse.trackingOrder.districtCodeReceiving": "ការទទួលព័ត៌មានស្រុក",</t>
        </is>
      </c>
      <c r="I3022" t="inlineStr">
        <is>
          <t>ការទទួលព័ត៌មានស្រុក</t>
        </is>
      </c>
    </row>
    <row r="3023">
      <c r="A3023" s="3" t="inlineStr">
        <is>
          <t>delivery.warehouse.trackingOrder.emptyOrder</t>
        </is>
      </c>
      <c r="B3023" s="3" t="inlineStr">
        <is>
          <t>Phiếu gửi không tồn tại. Vui lòng tìm kiếm lại!</t>
        </is>
      </c>
      <c r="C3023" s="3" t="inlineStr">
        <is>
          <t>Not found, Please search again</t>
        </is>
      </c>
      <c r="D3023" s="217">
        <f>IFERROR(__xludf.DUMMYFUNCTION("GOOGLETRANSLATE(C3023,""vi"",""km"")"),"រកមិនឃើញទេ សូមស្វែងរកម្តងទៀត")</f>
        <v/>
      </c>
      <c r="E3023" s="3" t="n"/>
      <c r="F3023" s="3" t="inlineStr">
        <is>
          <t>រកមិនឃើញទេ សូមស្វែងរកម្តងទៀត</t>
        </is>
      </c>
      <c r="G3023" s="3" t="n"/>
      <c r="H3023" s="217" t="inlineStr">
        <is>
          <t>"delivery.warehouse.trackingOrder.emptyOrder": "រកមិនឃើញទេ សូមស្វែងរកម្តងទៀត",</t>
        </is>
      </c>
      <c r="I3023" t="inlineStr">
        <is>
          <t>រកមិនឃើញទេ សូមស្វែងរកម្តងទៀត</t>
        </is>
      </c>
    </row>
    <row r="3024">
      <c r="A3024" s="3" t="inlineStr">
        <is>
          <t>delivery.warehouse.trackingOrder.forward</t>
        </is>
      </c>
      <c r="B3024" s="3" t="inlineStr">
        <is>
          <t>Mã phiếu chuyển tiếp</t>
        </is>
      </c>
      <c r="C3024" s="3" t="inlineStr">
        <is>
          <t>Transfer voucher code</t>
        </is>
      </c>
      <c r="D3024" s="217">
        <f>IFERROR(__xludf.DUMMYFUNCTION("GOOGLETRANSLATE(C3024,""vi"",""km"")"),"លេខកូដប័ណ្ណផ្ទេរ")</f>
        <v/>
      </c>
      <c r="E3024" s="3" t="n"/>
      <c r="F3024" s="3" t="inlineStr">
        <is>
          <t>លេខកូដបុងបញ្ជូនបន្ត</t>
        </is>
      </c>
      <c r="G3024" s="3" t="n"/>
      <c r="H3024" s="217" t="inlineStr">
        <is>
          <t>"delivery.warehouse.trackingOrder.forward": "លេខកូដបុងបញ្ជូនបន្ត",</t>
        </is>
      </c>
      <c r="I3024" t="inlineStr">
        <is>
          <t>លេខកូដបុងបញ្ជូនបន្ត</t>
        </is>
      </c>
    </row>
    <row r="3025">
      <c r="A3025" s="3" t="inlineStr">
        <is>
          <t>delivery.warehouse.trackingOrder.informationOrder</t>
        </is>
      </c>
      <c r="B3025" s="3" t="inlineStr">
        <is>
          <t>Thông tin đơn hàng</t>
        </is>
      </c>
      <c r="C3025" s="3" t="inlineStr">
        <is>
          <t>Order information</t>
        </is>
      </c>
      <c r="D3025" s="217">
        <f>IFERROR(__xludf.DUMMYFUNCTION("GOOGLETRANSLATE(C3025,""vi"",""km"")"),"ព័ត៌មានការបញ្ជាទិញ")</f>
        <v/>
      </c>
      <c r="E3025" s="3" t="n"/>
      <c r="F3025" s="3" t="inlineStr">
        <is>
          <t>ព័ត៌មានការបញ្ជាទិញ</t>
        </is>
      </c>
      <c r="G3025" s="3" t="n"/>
      <c r="H3025" s="217" t="inlineStr">
        <is>
          <t>"delivery.warehouse.trackingOrder.informationOrder": "ព័ត៌មានការបញ្ជាទិញ",</t>
        </is>
      </c>
      <c r="I3025" t="inlineStr">
        <is>
          <t>ព័ត៌មានការបញ្ជាទិញ</t>
        </is>
      </c>
    </row>
    <row r="3026">
      <c r="A3026" s="3" t="inlineStr">
        <is>
          <t>delivery.warehouse.trackingOrder.informationReceiver</t>
        </is>
      </c>
      <c r="B3026" s="3" t="inlineStr">
        <is>
          <t>Thông tin người nhận</t>
        </is>
      </c>
      <c r="C3026" s="3" t="inlineStr">
        <is>
          <t>Receiver information</t>
        </is>
      </c>
      <c r="D3026" s="217">
        <f>IFERROR(__xludf.DUMMYFUNCTION("GOOGLETRANSLATE(C3026,""vi"",""km"")"),"ស្ថានីយ")</f>
        <v/>
      </c>
      <c r="E3026" s="3" t="n"/>
      <c r="F3026" s="3" t="inlineStr">
        <is>
          <t>ស្ថានីយ</t>
        </is>
      </c>
      <c r="G3026" s="3" t="n"/>
      <c r="H3026" s="217" t="inlineStr">
        <is>
          <t>"delivery.warehouse.trackingOrder.informationReceiver": "ស្ថានីយ",</t>
        </is>
      </c>
      <c r="I3026" t="inlineStr">
        <is>
          <t>ស្ថានីយ</t>
        </is>
      </c>
    </row>
    <row r="3027">
      <c r="A3027" s="3" t="inlineStr">
        <is>
          <t>delivery.warehouse.trackingOrder.informationSender</t>
        </is>
      </c>
      <c r="B3027" s="3" t="inlineStr">
        <is>
          <t>Thông tin người gửi</t>
        </is>
      </c>
      <c r="C3027" s="3" t="inlineStr">
        <is>
          <t>Sender information</t>
        </is>
      </c>
      <c r="D3027" s="217">
        <f>IFERROR(__xludf.DUMMYFUNCTION("GOOGLETRANSLATE(C3027,""vi"",""km"")"),"ព័ត៌មានអ្នកផ្ញើ")</f>
        <v/>
      </c>
      <c r="E3027" s="3" t="n"/>
      <c r="F3027" s="3" t="inlineStr">
        <is>
          <t>ព័ត៌មានអ្នកផ្ញើ</t>
        </is>
      </c>
      <c r="G3027" s="3" t="n"/>
      <c r="H3027" s="217" t="inlineStr">
        <is>
          <t>"delivery.warehouse.trackingOrder.informationSender": "ព័ត៌មានអ្នកផ្ញើ",</t>
        </is>
      </c>
      <c r="I3027" t="inlineStr">
        <is>
          <t>ព័ត៌មានអ្នកផ្ញើ</t>
        </is>
      </c>
    </row>
    <row r="3028">
      <c r="A3028" s="23" t="inlineStr">
        <is>
          <t>delivery.warehouse.trackingOrder.name</t>
        </is>
      </c>
      <c r="B3028" s="3" t="inlineStr">
        <is>
          <t>Họ tên</t>
        </is>
      </c>
      <c r="C3028" s="3" t="inlineStr">
        <is>
          <t>Fullname</t>
        </is>
      </c>
      <c r="D3028" s="217">
        <f>IFERROR(__xludf.DUMMYFUNCTION("GOOGLETRANSLATE(C3028,""vi"",""km"")"),"ឈ្មោះពេញ")</f>
        <v/>
      </c>
      <c r="E3028" s="3" t="n"/>
      <c r="F3028" s="3" t="inlineStr">
        <is>
          <t>ឈ្មោះពេញ</t>
        </is>
      </c>
      <c r="G3028" s="3" t="n"/>
      <c r="H3028" s="217" t="inlineStr">
        <is>
          <t>"delivery.warehouse.trackingOrder.name": "ឈ្មោះពេញ",</t>
        </is>
      </c>
      <c r="I3028" t="inlineStr">
        <is>
          <t>ឈ្មោះពេញ</t>
        </is>
      </c>
    </row>
    <row r="3029">
      <c r="A3029" s="3" t="inlineStr">
        <is>
          <t>delivery.warehouse.trackingOrder.orderCode</t>
        </is>
      </c>
      <c r="B3029" s="3" t="inlineStr">
        <is>
          <t>Mã phiếu gửi</t>
        </is>
      </c>
      <c r="C3029" s="3" t="inlineStr">
        <is>
          <t>Order code</t>
        </is>
      </c>
      <c r="D3029" s="217">
        <f>IFERROR(__xludf.DUMMYFUNCTION("GOOGLETRANSLATE(C3029,""vi"",""km"")"),"លេខកូដបញ្ជាទិញ")</f>
        <v/>
      </c>
      <c r="E3029" s="3" t="n"/>
      <c r="F3029" s="3" t="inlineStr">
        <is>
          <t>លេខកូដបុងបញ្ញើ</t>
        </is>
      </c>
      <c r="G3029" s="3" t="n"/>
      <c r="H3029" s="217" t="inlineStr">
        <is>
          <t>"delivery.warehouse.trackingOrder.orderCode": "លេខកូដបុងបញ្ញើ",</t>
        </is>
      </c>
      <c r="I3029" t="inlineStr">
        <is>
          <t>លេខកូដបុងបញ្ញើ</t>
        </is>
      </c>
    </row>
    <row r="3030">
      <c r="A3030" s="3" t="inlineStr">
        <is>
          <t>delivery.warehouse.trackingOrder.parcel</t>
        </is>
      </c>
      <c r="B3030" s="3" t="inlineStr">
        <is>
          <t>Hàng hóa</t>
        </is>
      </c>
      <c r="C3030" s="3" t="inlineStr">
        <is>
          <t>Product type</t>
        </is>
      </c>
      <c r="D3030" s="217">
        <f>IFERROR(__xludf.DUMMYFUNCTION("GOOGLETRANSLATE(C3030,""vi"",""km"")"),"ប្រភេទកូន")</f>
        <v/>
      </c>
      <c r="E3030" s="3" t="n"/>
      <c r="F3030" s="3" t="inlineStr">
        <is>
          <t>ទំនិញ</t>
        </is>
      </c>
      <c r="G3030" s="3" t="n"/>
      <c r="H3030" s="217" t="inlineStr">
        <is>
          <t>"delivery.warehouse.trackingOrder.parcel": "ទំនិញ",</t>
        </is>
      </c>
      <c r="I3030" t="inlineStr">
        <is>
          <t>ទំនិញ</t>
        </is>
      </c>
    </row>
    <row r="3031">
      <c r="A3031" s="3" t="inlineStr">
        <is>
          <t>delivery.warehouse.trackingOrder.partner</t>
        </is>
      </c>
      <c r="B3031" s="3" t="inlineStr">
        <is>
          <t>Đối tác</t>
        </is>
      </c>
      <c r="C3031" s="3" t="inlineStr">
        <is>
          <t>Partner</t>
        </is>
      </c>
      <c r="D3031" s="217">
        <f>IFERROR(__xludf.DUMMYFUNCTION("GOOGLETRANSLATE(C3031,""vi"",""km"")"),"ដៃគូ")</f>
        <v/>
      </c>
      <c r="E3031" s="3" t="n"/>
      <c r="F3031" s="3" t="inlineStr">
        <is>
          <t>ដៃគូ</t>
        </is>
      </c>
      <c r="G3031" s="3" t="n"/>
      <c r="H3031" s="217" t="inlineStr">
        <is>
          <t>"delivery.warehouse.trackingOrder.partner": "ដៃគូ",</t>
        </is>
      </c>
      <c r="I3031" t="inlineStr">
        <is>
          <t>ដៃគូ</t>
        </is>
      </c>
    </row>
    <row r="3032">
      <c r="A3032" s="3" t="inlineStr">
        <is>
          <t>delivery.warehouse.trackingOrder.payerType</t>
        </is>
      </c>
      <c r="B3032" s="3" t="inlineStr">
        <is>
          <t>Người trả cước</t>
        </is>
      </c>
      <c r="C3032" s="3" t="inlineStr">
        <is>
          <t>Payer</t>
        </is>
      </c>
      <c r="D3032" s="217">
        <f>IFERROR(__xludf.DUMMYFUNCTION("GOOGLETRANSLATE(C3032,""vi"",""km"")"),"អ្នកបង់ប្រាក់")</f>
        <v/>
      </c>
      <c r="E3032" s="3" t="n"/>
      <c r="F3032" s="3" t="inlineStr">
        <is>
          <t>អ្នកបង់ប្រាក់</t>
        </is>
      </c>
      <c r="G3032" s="3" t="n"/>
      <c r="H3032" s="217" t="inlineStr">
        <is>
          <t>"delivery.warehouse.trackingOrder.payerType": "អ្នកបង់ប្រាក់",</t>
        </is>
      </c>
      <c r="I3032" t="inlineStr">
        <is>
          <t>អ្នកបង់ប្រាក់</t>
        </is>
      </c>
    </row>
    <row r="3033">
      <c r="A3033" s="3" t="inlineStr">
        <is>
          <t>delivery.warehouse.trackingOrder.paymentType</t>
        </is>
      </c>
      <c r="B3033" s="3" t="inlineStr">
        <is>
          <t>Hình thức trả cước</t>
        </is>
      </c>
      <c r="C3033" s="3" t="inlineStr">
        <is>
          <t>Payment methods</t>
        </is>
      </c>
      <c r="D3033" s="217">
        <f>IFERROR(__xludf.DUMMYFUNCTION("GOOGLETRANSLATE(C3033,""vi"",""km"")"),"វិធីសាស្ត្រទូទាត់")</f>
        <v/>
      </c>
      <c r="E3033" s="3" t="n"/>
      <c r="F3033" s="3" t="inlineStr">
        <is>
          <t>វិធីសាស្ត្រទូទាត់</t>
        </is>
      </c>
      <c r="G3033" s="3" t="n"/>
      <c r="H3033" s="217" t="inlineStr">
        <is>
          <t>"delivery.warehouse.trackingOrder.paymentType": "វិធីសាស្ត្រទូទាត់",</t>
        </is>
      </c>
      <c r="I3033" t="inlineStr">
        <is>
          <t>វិធីសាស្ត្រទូទាត់</t>
        </is>
      </c>
    </row>
    <row r="3034">
      <c r="A3034" s="3" t="inlineStr">
        <is>
          <t>delivery.warehouse.trackingOrder.phone</t>
        </is>
      </c>
      <c r="B3034" s="3" t="inlineStr">
        <is>
          <t>Điện thoại</t>
        </is>
      </c>
      <c r="C3034" s="3" t="inlineStr">
        <is>
          <t>Phone number</t>
        </is>
      </c>
      <c r="D3034" s="217">
        <f>IFERROR(__xludf.DUMMYFUNCTION("GOOGLETRANSLATE(C3034,""vi"",""km"")"),"លេខទូរស័ព្ទ")</f>
        <v/>
      </c>
      <c r="E3034" s="3" t="n"/>
      <c r="F3034" s="3" t="inlineStr">
        <is>
          <t>លេខទូរស័ព្ទ</t>
        </is>
      </c>
      <c r="G3034" s="3" t="n"/>
      <c r="H3034" s="217" t="inlineStr">
        <is>
          <t>"delivery.warehouse.trackingOrder.phone": "លេខទូរស័ព្ទ",</t>
        </is>
      </c>
      <c r="I3034" t="inlineStr">
        <is>
          <t>លេខទូរស័ព្ទ</t>
        </is>
      </c>
    </row>
    <row r="3035">
      <c r="A3035" s="3" t="inlineStr">
        <is>
          <t>delivery.warehouse.trackingOrder.provinceCode</t>
        </is>
      </c>
      <c r="B3035" s="3" t="inlineStr">
        <is>
          <t>Tỉnh gửi</t>
        </is>
      </c>
      <c r="C3035" s="3" t="inlineStr">
        <is>
          <t>Sender province</t>
        </is>
      </c>
      <c r="D3035" s="217">
        <f>IFERROR(__xludf.DUMMYFUNCTION("GOOGLETRANSLATE(C3035,""vi"",""km"")"),"ខេត្តអ្នកផ្ញើ")</f>
        <v/>
      </c>
      <c r="E3035" s="3" t="n"/>
      <c r="F3035" s="3" t="inlineStr">
        <is>
          <t>ខេត្តអ្នកផ្ញើ</t>
        </is>
      </c>
      <c r="G3035" s="3" t="n"/>
      <c r="H3035" s="217" t="inlineStr">
        <is>
          <t>"delivery.warehouse.trackingOrder.provinceCode": "ខេត្តអ្នកផ្ញើ",</t>
        </is>
      </c>
      <c r="I3035" t="inlineStr">
        <is>
          <t>ខេត្តអ្នកផ្ញើ</t>
        </is>
      </c>
    </row>
    <row r="3036">
      <c r="A3036" s="3" t="inlineStr">
        <is>
          <t>delivery.warehouse.trackingOrder.provinceCodeReceiving</t>
        </is>
      </c>
      <c r="B3036" s="3" t="inlineStr">
        <is>
          <t>Tỉnh nhận</t>
        </is>
      </c>
      <c r="C3036" s="3" t="inlineStr">
        <is>
          <t>Province Receiving</t>
        </is>
      </c>
      <c r="D3036" s="217">
        <f>IFERROR(__xludf.DUMMYFUNCTION("GOOGLETRANSLATE(C3036,""vi"",""km"")"),"ខេត្ត")</f>
        <v/>
      </c>
      <c r="E3036" s="3" t="n"/>
      <c r="F3036" s="3" t="inlineStr">
        <is>
          <t>ខេត្ត</t>
        </is>
      </c>
      <c r="G3036" s="3" t="n"/>
      <c r="H3036" s="217" t="inlineStr">
        <is>
          <t>"delivery.warehouse.trackingOrder.provinceCodeReceiving": "ខេត្ត",</t>
        </is>
      </c>
      <c r="I3036" t="inlineStr">
        <is>
          <t>ខេត្ត</t>
        </is>
      </c>
    </row>
    <row r="3037">
      <c r="A3037" s="3" t="inlineStr">
        <is>
          <t>delivery.warehouse.trackingOrder.receiveAt</t>
        </is>
      </c>
      <c r="B3037" s="3" t="inlineStr">
        <is>
          <t>Nhận tại CH</t>
        </is>
      </c>
      <c r="C3037" s="3" t="inlineStr">
        <is>
          <t>Store pickup</t>
        </is>
      </c>
      <c r="D3037" s="217">
        <f>IFERROR(__xludf.DUMMYFUNCTION("GOOGLETRANSLATE(C3037,""vi"",""km"")"),"ការទៅយកនៅហាង")</f>
        <v/>
      </c>
      <c r="E3037" s="3" t="n"/>
      <c r="F3037" s="3" t="inlineStr">
        <is>
          <t>ការទៅយកនៅហាង</t>
        </is>
      </c>
      <c r="G3037" s="3" t="n"/>
      <c r="H3037" s="217" t="inlineStr">
        <is>
          <t>"delivery.warehouse.trackingOrder.receiveAt": "ការទៅយកនៅហាង",</t>
        </is>
      </c>
      <c r="I3037" t="inlineStr">
        <is>
          <t>ការទៅយកនៅហាង</t>
        </is>
      </c>
    </row>
    <row r="3038">
      <c r="A3038" s="3" t="inlineStr">
        <is>
          <t>delivery.warehouse.trackingOrder.return</t>
        </is>
      </c>
      <c r="B3038" s="3" t="inlineStr">
        <is>
          <t>Mã phiếu hoàn</t>
        </is>
      </c>
      <c r="C3038" s="3" t="inlineStr">
        <is>
          <t>Refund voucher code</t>
        </is>
      </c>
      <c r="D3038" s="217">
        <f>IFERROR(__xludf.DUMMYFUNCTION("GOOGLETRANSLATE(C3038,""vi"",""km"")"),"លេខកូដប័ណ្ណសងប្រាក់វិញ")</f>
        <v/>
      </c>
      <c r="E3038" s="3" t="n"/>
      <c r="F3038" s="3" t="inlineStr">
        <is>
          <t>លេខកូដបុងប្រគល់ត្រឡប់</t>
        </is>
      </c>
      <c r="G3038" s="3" t="n"/>
      <c r="H3038" s="217" t="inlineStr">
        <is>
          <t>"delivery.warehouse.trackingOrder.return": "លេខកូដបុងប្រគល់ត្រឡប់",</t>
        </is>
      </c>
      <c r="I3038" t="inlineStr">
        <is>
          <t>លេខកូដបុងប្រគល់ត្រឡប់</t>
        </is>
      </c>
    </row>
    <row r="3039">
      <c r="A3039" s="3" t="inlineStr">
        <is>
          <t>delivery.warehouse.trackingOrder.sellerFee</t>
        </is>
      </c>
      <c r="B3039" s="3" t="inlineStr">
        <is>
          <t>Tiền thu người nhận</t>
        </is>
      </c>
      <c r="C3039" s="3" t="inlineStr">
        <is>
          <t>COD (Collect on Delivery)</t>
        </is>
      </c>
      <c r="D3039" s="217">
        <f>IFERROR(__xludf.DUMMYFUNCTION("GOOGLETRANSLATE(C3039,""vi"",""km"")"),"COD (ទទួលប្រាក់ពេលដឹកជញ្ជូន)")</f>
        <v/>
      </c>
      <c r="E3039" s="3" t="n"/>
      <c r="F3039" s="3" t="inlineStr">
        <is>
          <t>COD (ទទួលប្រាក់ពេលដឹកជញ្ជូន)</t>
        </is>
      </c>
      <c r="G3039" s="3" t="n"/>
      <c r="H3039" s="217" t="inlineStr">
        <is>
          <t>"delivery.warehouse.trackingOrder.sellerFee": "COD (ទទួលប្រាក់ពេលដឹកជញ្ជូន)",</t>
        </is>
      </c>
      <c r="I3039" t="inlineStr">
        <is>
          <t>COD (ទទួលប្រាក់ពេលដឹកជញ្ជូន)</t>
        </is>
      </c>
    </row>
    <row r="3040">
      <c r="A3040" s="3" t="inlineStr">
        <is>
          <t>delivery.warehouse.trackingOrder.sendAt</t>
        </is>
      </c>
      <c r="B3040" s="3" t="inlineStr">
        <is>
          <t>Gửi tại CH</t>
        </is>
      </c>
      <c r="C3040" s="3" t="inlineStr">
        <is>
          <t>Send at store</t>
        </is>
      </c>
      <c r="D3040" s="217">
        <f>IFERROR(__xludf.DUMMYFUNCTION("GOOGLETRANSLATE(C3040,""vi"",""km"")"),"ផ្ញើនៅហាង")</f>
        <v/>
      </c>
      <c r="E3040" s="3" t="n"/>
      <c r="F3040" s="3" t="inlineStr">
        <is>
          <t>ផ្ញើនៅហាង</t>
        </is>
      </c>
      <c r="G3040" s="3" t="n"/>
      <c r="H3040" s="217" t="inlineStr">
        <is>
          <t>"delivery.warehouse.trackingOrder.sendAt": "ផ្ញើនៅហាង",</t>
        </is>
      </c>
      <c r="I3040" t="inlineStr">
        <is>
          <t>ផ្ញើនៅហាង</t>
        </is>
      </c>
    </row>
    <row r="3041">
      <c r="A3041" s="3" t="inlineStr">
        <is>
          <t>delivery.warehouse.trackingOrder.service</t>
        </is>
      </c>
      <c r="B3041" s="3" t="inlineStr">
        <is>
          <t>Dịch vụ</t>
        </is>
      </c>
      <c r="C3041" s="3" t="inlineStr">
        <is>
          <t>Service</t>
        </is>
      </c>
      <c r="D3041" s="217">
        <f>IFERROR(__xludf.DUMMYFUNCTION("GOOGLETRANSLATE(C3041,""vi"",""km"")"),"សេវាកម្ម")</f>
        <v/>
      </c>
      <c r="E3041" s="3" t="n"/>
      <c r="F3041" s="3" t="inlineStr">
        <is>
          <t>សេវាកម្ម</t>
        </is>
      </c>
      <c r="G3041" s="3" t="n"/>
      <c r="H3041" s="217" t="inlineStr">
        <is>
          <t>"delivery.warehouse.trackingOrder.service": "សេវាកម្ម",</t>
        </is>
      </c>
      <c r="I3041" t="inlineStr">
        <is>
          <t>សេវាកម្ម</t>
        </is>
      </c>
    </row>
    <row r="3042">
      <c r="A3042" s="3" t="inlineStr">
        <is>
          <t>delivery.warehouse.trackingOrder.shipFee</t>
        </is>
      </c>
      <c r="B3042" s="3" t="inlineStr">
        <is>
          <t>Phí vận chuyển</t>
        </is>
      </c>
      <c r="C3042" s="3" t="inlineStr">
        <is>
          <t>Shipping fee</t>
        </is>
      </c>
      <c r="D3042" s="217">
        <f>IFERROR(__xludf.DUMMYFUNCTION("GOOGLETRANSLATE(C3042,""vi"",""km"")"),"ថ្លៃដឹកជញ្ជូន")</f>
        <v/>
      </c>
      <c r="E3042" s="3" t="n"/>
      <c r="F3042" s="3" t="inlineStr">
        <is>
          <t>ថ្លៃដឹកជញ្ជូន</t>
        </is>
      </c>
      <c r="G3042" s="3" t="n"/>
      <c r="H3042" s="217" t="inlineStr">
        <is>
          <t>"delivery.warehouse.trackingOrder.shipFee": "ថ្លៃដឹកជញ្ជូន",</t>
        </is>
      </c>
      <c r="I3042" t="inlineStr">
        <is>
          <t>ថ្លៃដឹកជញ្ជូន</t>
        </is>
      </c>
    </row>
    <row r="3043">
      <c r="A3043" s="3" t="inlineStr">
        <is>
          <t>delivery.warehouse.trackingOrder.size</t>
        </is>
      </c>
      <c r="B3043" s="3" t="inlineStr">
        <is>
          <t>Kích thước</t>
        </is>
      </c>
      <c r="C3043" s="3" t="inlineStr">
        <is>
          <t>Dimension</t>
        </is>
      </c>
      <c r="D3043" s="217">
        <f>IFERROR(__xludf.DUMMYFUNCTION("GOOGLETRANSLATE(C3043,""vi"",""km"")"),"វិមាត្រ")</f>
        <v/>
      </c>
      <c r="E3043" s="3" t="n"/>
      <c r="F3043" s="3" t="inlineStr">
        <is>
          <t>ទំហំ</t>
        </is>
      </c>
      <c r="G3043" s="3" t="n"/>
      <c r="H3043" s="217" t="inlineStr">
        <is>
          <t>"delivery.warehouse.trackingOrder.size": "ទំហំ",</t>
        </is>
      </c>
      <c r="I3043" t="inlineStr">
        <is>
          <t>ទំហំ</t>
        </is>
      </c>
    </row>
    <row r="3044">
      <c r="A3044" s="3" t="inlineStr">
        <is>
          <t>delivery.warehouse.trackingOrder.status</t>
        </is>
      </c>
      <c r="B3044" s="3" t="inlineStr">
        <is>
          <t>Trạng thái</t>
        </is>
      </c>
      <c r="C3044" s="3" t="inlineStr">
        <is>
          <t>Status</t>
        </is>
      </c>
      <c r="D3044" s="217">
        <f>IFERROR(__xludf.DUMMYFUNCTION("GOOGLETRANSLATE(C3044,""vi"",""km"")"),"ស្ថានភាព")</f>
        <v/>
      </c>
      <c r="E3044" s="3" t="n"/>
      <c r="F3044" s="3" t="inlineStr">
        <is>
          <t>ស្ថានភាព</t>
        </is>
      </c>
      <c r="G3044" s="3" t="n"/>
      <c r="H3044" s="217" t="inlineStr">
        <is>
          <t>"delivery.warehouse.trackingOrder.status": "ស្ថានភាព",</t>
        </is>
      </c>
      <c r="I3044" t="inlineStr">
        <is>
          <t>ស្ថានភាព</t>
        </is>
      </c>
    </row>
    <row r="3045">
      <c r="A3045" s="3" t="inlineStr">
        <is>
          <t>delivery.warehouse.trackingOrder.sub</t>
        </is>
      </c>
      <c r="B3045" s="3" t="inlineStr">
        <is>
          <t>Mã phiếu đơn con</t>
        </is>
      </c>
      <c r="C3045" s="3" t="inlineStr">
        <is>
          <t>Sub-invoice code</t>
        </is>
      </c>
      <c r="D3045" s="217">
        <f>IFERROR(__xludf.DUMMYFUNCTION("GOOGLETRANSLATE(C3045,""vi"",""km"")"),"លេខកូដវិក្កយបត្ររង")</f>
        <v/>
      </c>
      <c r="E3045" s="3" t="n"/>
      <c r="F3045" s="3" t="inlineStr">
        <is>
          <t>លេខកូដវិក្កយបត្ររង</t>
        </is>
      </c>
      <c r="G3045" s="3" t="n"/>
      <c r="H3045" s="217" t="inlineStr">
        <is>
          <t>"delivery.warehouse.trackingOrder.sub": "លេខកូដវិក្កយបត្ររង",</t>
        </is>
      </c>
      <c r="I3045" t="inlineStr">
        <is>
          <t>លេខកូដវិក្កយបត្ររង</t>
        </is>
      </c>
    </row>
    <row r="3046">
      <c r="A3046" s="3" t="inlineStr">
        <is>
          <t>delivery.warehouse.trackingOrder.subForward</t>
        </is>
      </c>
      <c r="B3046" s="3" t="inlineStr">
        <is>
          <t>Mã phiếu chuyển tiếp</t>
        </is>
      </c>
      <c r="C3046" s="3" t="inlineStr">
        <is>
          <t>Transfer voucher code</t>
        </is>
      </c>
      <c r="D3046" s="217">
        <f>IFERROR(__xludf.DUMMYFUNCTION("GOOGLETRANSLATE(C3046,""vi"",""km"")"),"លេខកូដប័ណ្ណផ្ទេរ")</f>
        <v/>
      </c>
      <c r="E3046" s="3" t="n"/>
      <c r="F3046" s="3" t="inlineStr">
        <is>
          <t>លេខកូដបុងបញ្ជូនបន្ត</t>
        </is>
      </c>
      <c r="G3046" s="3" t="n"/>
      <c r="H3046" s="217" t="inlineStr">
        <is>
          <t>"delivery.warehouse.trackingOrder.subForward": "លេខកូដបុងបញ្ជូនបន្ត",</t>
        </is>
      </c>
      <c r="I3046" t="inlineStr">
        <is>
          <t>លេខកូដបុងបញ្ជូនបន្ត</t>
        </is>
      </c>
    </row>
    <row r="3047">
      <c r="A3047" s="3" t="inlineStr">
        <is>
          <t>delivery.warehouse.trackingOrder.subReturn</t>
        </is>
      </c>
      <c r="B3047" s="3" t="inlineStr">
        <is>
          <t>Mã phiếu hoàn</t>
        </is>
      </c>
      <c r="C3047" s="3" t="inlineStr">
        <is>
          <t>Refund voucher code</t>
        </is>
      </c>
      <c r="D3047" s="217">
        <f>IFERROR(__xludf.DUMMYFUNCTION("GOOGLETRANSLATE(C3047,""vi"",""km"")"),"លេខកូដប័ណ្ណសងប្រាក់វិញ")</f>
        <v/>
      </c>
      <c r="E3047" s="3" t="n"/>
      <c r="F3047" s="3" t="inlineStr">
        <is>
          <t>លេខកូដបុងប្រគល់ត្រឡប់</t>
        </is>
      </c>
      <c r="G3047" s="3" t="n"/>
      <c r="H3047" s="217" t="inlineStr">
        <is>
          <t>"delivery.warehouse.trackingOrder.subReturn": "លេខកូដបុងប្រគល់ត្រឡប់",</t>
        </is>
      </c>
      <c r="I3047" t="inlineStr">
        <is>
          <t>លេខកូដបុងប្រគល់ត្រឡប់</t>
        </is>
      </c>
    </row>
    <row r="3048">
      <c r="A3048" s="3" t="inlineStr">
        <is>
          <t>delivery.warehouse.trackingOrder.totalFee</t>
        </is>
      </c>
      <c r="B3048" s="3" t="inlineStr">
        <is>
          <t>Tiền cước</t>
        </is>
      </c>
      <c r="C3048" s="3" t="inlineStr">
        <is>
          <t>Total amount</t>
        </is>
      </c>
      <c r="D3048" s="217">
        <f>IFERROR(__xludf.DUMMYFUNCTION("GOOGLETRANSLATE(C3048,""vi"",""km"")"),"ចំនួនទឹកប្រាក់សរុប")</f>
        <v/>
      </c>
      <c r="E3048" s="3" t="n"/>
      <c r="F3048" s="3" t="inlineStr">
        <is>
          <t>ចំនួនទឹកប្រាក់សរុប</t>
        </is>
      </c>
      <c r="G3048" s="3" t="n"/>
      <c r="H3048" s="217" t="inlineStr">
        <is>
          <t>"delivery.warehouse.trackingOrder.totalFee": "ចំនួនទឹកប្រាក់សរុប",</t>
        </is>
      </c>
      <c r="I3048" t="inlineStr">
        <is>
          <t>ចំនួនទឹកប្រាក់សរុប</t>
        </is>
      </c>
    </row>
    <row r="3049">
      <c r="A3049" s="3" t="inlineStr">
        <is>
          <t>delivery.warehouse.trackingOrder.weight</t>
        </is>
      </c>
      <c r="B3049" s="3" t="inlineStr">
        <is>
          <t>Trọng lượng</t>
        </is>
      </c>
      <c r="C3049" s="3" t="inlineStr">
        <is>
          <t>Weight</t>
        </is>
      </c>
      <c r="D3049" s="217">
        <f>IFERROR(__xludf.DUMMYFUNCTION("GOOGLETRANSLATE(C3049,""vi"",""km"")"),"ទម្ងន់")</f>
        <v/>
      </c>
      <c r="E3049" s="3" t="n"/>
      <c r="F3049" s="3" t="inlineStr">
        <is>
          <t>ទម្ងន់</t>
        </is>
      </c>
      <c r="G3049" s="3" t="n"/>
      <c r="H3049" s="217" t="inlineStr">
        <is>
          <t>"delivery.warehouse.trackingOrder.weight": "ទម្ងន់",</t>
        </is>
      </c>
      <c r="I3049" t="inlineStr">
        <is>
          <t>ទម្ងន់</t>
        </is>
      </c>
    </row>
    <row r="3050">
      <c r="A3050" s="3" t="inlineStr">
        <is>
          <t>delivery.warehouse.typeApplication.default</t>
        </is>
      </c>
      <c r="B3050" s="3" t="inlineStr">
        <is>
          <t>Mặc định chọn</t>
        </is>
      </c>
      <c r="C3050" s="3" t="inlineStr">
        <is>
          <t>Default</t>
        </is>
      </c>
      <c r="D3050" s="217">
        <f>IFERROR(__xludf.DUMMYFUNCTION("GOOGLETRANSLATE(C3050,""vi"",""km"")"),"លំនាំដើម")</f>
        <v/>
      </c>
      <c r="E3050" s="3" t="n"/>
      <c r="F3050" s="3" t="inlineStr">
        <is>
          <t>ជ្រើសរើសជាលំនាំដើម</t>
        </is>
      </c>
      <c r="G3050" s="3" t="n"/>
      <c r="H3050" s="217" t="inlineStr">
        <is>
          <t>"delivery.warehouse.typeApplication.default": "ជ្រើសរើសជាលំនាំដើម",</t>
        </is>
      </c>
      <c r="I3050" t="inlineStr">
        <is>
          <t>ជ្រើសរើសជាលំនាំដើម</t>
        </is>
      </c>
    </row>
    <row r="3051">
      <c r="A3051" s="3" t="inlineStr">
        <is>
          <t>delivery.warehouse.typeApplication.none</t>
        </is>
      </c>
      <c r="B3051" s="3" t="inlineStr">
        <is>
          <t>Không chọn</t>
        </is>
      </c>
      <c r="C3051" s="3" t="inlineStr">
        <is>
          <t>None</t>
        </is>
      </c>
      <c r="D3051" s="217">
        <f>IFERROR(__xludf.DUMMYFUNCTION("GOOGLETRANSLATE(C3051,""vi"",""km"")"),"គ្មាន")</f>
        <v/>
      </c>
      <c r="E3051" s="3" t="n"/>
      <c r="F3051" s="3" t="inlineStr">
        <is>
          <t>គ្មាន</t>
        </is>
      </c>
      <c r="G3051" s="3" t="n"/>
      <c r="H3051" s="217" t="inlineStr">
        <is>
          <t>"delivery.warehouse.typeApplication.none": "គ្មាន",</t>
        </is>
      </c>
      <c r="I3051" t="inlineStr">
        <is>
          <t>គ្មាន</t>
        </is>
      </c>
    </row>
    <row r="3052">
      <c r="A3052" s="3" t="inlineStr">
        <is>
          <t>delivery.warehouse.updateCustomer.BANK_TRANSFER</t>
        </is>
      </c>
      <c r="B3052" s="3" t="inlineStr">
        <is>
          <t>Chuyển khoản</t>
        </is>
      </c>
      <c r="C3052" s="3" t="inlineStr">
        <is>
          <t>Transfer</t>
        </is>
      </c>
      <c r="D3052" s="217">
        <f>IFERROR(__xludf.DUMMYFUNCTION("GOOGLETRANSLATE(C3052,""vi"",""km"")"),"ទាញយក")</f>
        <v/>
      </c>
      <c r="E3052" s="3" t="n"/>
      <c r="F3052" s="3" t="inlineStr">
        <is>
          <t>ផ្ទេរប្រាក់</t>
        </is>
      </c>
      <c r="G3052" s="3" t="n"/>
      <c r="H3052" s="217" t="inlineStr">
        <is>
          <t>"delivery.warehouse.updateCustomer.BANK_TRANSFER": "ផ្ទេរប្រាក់",</t>
        </is>
      </c>
      <c r="I3052" t="inlineStr">
        <is>
          <t>ផ្ទេរប្រាក់</t>
        </is>
      </c>
    </row>
    <row r="3053">
      <c r="A3053" s="3" t="inlineStr">
        <is>
          <t>delivery.warehouse.updateCustomer.DEDUCTED_FROM_COD</t>
        </is>
      </c>
      <c r="B3053" s="3" t="inlineStr">
        <is>
          <t>Cấn trừ tiền cước phí dịch vụ với tiền COD</t>
        </is>
      </c>
      <c r="C3053" s="3" t="inlineStr">
        <is>
          <t>Deduct the service fee from the COD payment.</t>
        </is>
      </c>
      <c r="D3053" s="217">
        <f>IFERROR(__xludf.DUMMYFUNCTION("GOOGLETRANSLATE(C3053,""vi"",""km"")"),"កាត់ថ្លៃសេវាកម្មចេញពីការទូទាត់ COD។")</f>
        <v/>
      </c>
      <c r="E3053" s="3" t="n"/>
      <c r="F3053" s="3" t="inlineStr">
        <is>
          <t>កាត់ថ្លៃសេវាកម្មចេញពីការទូទាត់ COD។</t>
        </is>
      </c>
      <c r="G3053" s="3" t="n"/>
      <c r="H3053" s="217" t="inlineStr">
        <is>
          <t>"delivery.warehouse.updateCustomer.DEDUCTED_FROM_COD": "កាត់ថ្លៃសេវាកម្មចេញពីការទូទាត់ COD។",</t>
        </is>
      </c>
      <c r="I3053" t="inlineStr">
        <is>
          <t>កាត់ថ្លៃសេវាកម្មចេញពីការទូទាត់ COD។</t>
        </is>
      </c>
    </row>
    <row r="3054">
      <c r="A3054" s="3" t="inlineStr">
        <is>
          <t>delivery.warehouse.updateCustomer.FIXED_DATE</t>
        </is>
      </c>
      <c r="B3054" s="3" t="inlineStr">
        <is>
          <t>Ngày trong tháng</t>
        </is>
      </c>
      <c r="C3054" s="3" t="inlineStr">
        <is>
          <t>Day of the month</t>
        </is>
      </c>
      <c r="D3054" s="217">
        <f>IFERROR(__xludf.DUMMYFUNCTION("GOOGLETRANSLATE(C3054,""vi"",""km"")"),"ថ្ងៃនៃខែ")</f>
        <v/>
      </c>
      <c r="E3054" s="3" t="n"/>
      <c r="F3054" s="3" t="inlineStr">
        <is>
          <t>ថ្ងៃនៃខែ</t>
        </is>
      </c>
      <c r="G3054" s="3" t="n"/>
      <c r="H3054" s="217" t="inlineStr">
        <is>
          <t>"delivery.warehouse.updateCustomer.FIXED_DATE": "ថ្ងៃនៃខែ",</t>
        </is>
      </c>
      <c r="I3054" t="inlineStr">
        <is>
          <t>ថ្ងៃនៃខែ</t>
        </is>
      </c>
    </row>
    <row r="3055">
      <c r="A3055" s="3" t="inlineStr">
        <is>
          <t>delivery.warehouse.updateCustomer.MON_WED_FRI</t>
        </is>
      </c>
      <c r="B3055" s="3" t="inlineStr">
        <is>
          <t>Thứ 2,4,6 hàng tuần</t>
        </is>
      </c>
      <c r="C3055" s="3" t="inlineStr">
        <is>
          <t>Mondays, Wednesdays, and Fridays</t>
        </is>
      </c>
      <c r="D3055" s="217">
        <f>IFERROR(__xludf.DUMMYFUNCTION("GOOGLETRANSLATE(C3055,""vi"",""km"")"),"ថ្ងៃច័ន្ទ ថ្ងៃពុធ និងថ្ងៃសុក្រ")</f>
        <v/>
      </c>
      <c r="E3055" s="3" t="n"/>
      <c r="F3055" s="3" t="inlineStr">
        <is>
          <t>ថ្ងៃច័ន្ទ ថ្ងៃពុធ និងថ្ងៃសុក្រ</t>
        </is>
      </c>
      <c r="G3055" s="3" t="n"/>
      <c r="H3055" s="217" t="inlineStr">
        <is>
          <t>"delivery.warehouse.updateCustomer.MON_WED_FRI": "ថ្ងៃច័ន្ទ ថ្ងៃពុធ និងថ្ងៃសុក្រ",</t>
        </is>
      </c>
      <c r="I3055" t="inlineStr">
        <is>
          <t>ថ្ងៃច័ន្ទ ថ្ងៃពុធ និងថ្ងៃសុក្រ</t>
        </is>
      </c>
    </row>
    <row r="3056">
      <c r="A3056" s="3" t="inlineStr">
        <is>
          <t>delivery.warehouse.updateCustomer.TUE_THU</t>
        </is>
      </c>
      <c r="B3056" s="3" t="inlineStr">
        <is>
          <t>Thứ 3,5 hàng tuần</t>
        </is>
      </c>
      <c r="C3056" s="3" t="inlineStr">
        <is>
          <t>Tuesdays and Thursdays every week</t>
        </is>
      </c>
      <c r="D3056" s="217">
        <f>IFERROR(__xludf.DUMMYFUNCTION("GOOGLETRANSLATE(C3056,""vi"",""km"")"),"ថ្ងៃអង្គារ និងថ្ងៃព្រហស្បតិ៍ រៀងរាល់សប្តាហ៍")</f>
        <v/>
      </c>
      <c r="E3056" s="3" t="n"/>
      <c r="F3056" s="3" t="inlineStr">
        <is>
          <t>ថ្ងៃអង្គារ និងថ្ងៃព្រហស្បតិ៍ រៀងរាល់សប្តាហ៍</t>
        </is>
      </c>
      <c r="G3056" s="3" t="n"/>
      <c r="H3056" s="217" t="inlineStr">
        <is>
          <t>"delivery.warehouse.updateCustomer.TUE_THU": "ថ្ងៃអង្គារ និងថ្ងៃព្រហស្បតិ៍ រៀងរាល់សប្តាហ៍",</t>
        </is>
      </c>
      <c r="I3056" t="inlineStr">
        <is>
          <t>ថ្ងៃអង្គារ និងថ្ងៃព្រហស្បតិ៍ រៀងរាល់សប្តាហ៍</t>
        </is>
      </c>
    </row>
    <row r="3057">
      <c r="A3057" s="3" t="inlineStr">
        <is>
          <t>delivery.warehouse.updateCustomer.bank</t>
        </is>
      </c>
      <c r="B3057" s="3" t="inlineStr">
        <is>
          <t>Ngân hàng</t>
        </is>
      </c>
      <c r="C3057" s="3" t="inlineStr">
        <is>
          <t>Bank</t>
        </is>
      </c>
      <c r="D3057" s="217">
        <f>IFERROR(__xludf.DUMMYFUNCTION("GOOGLETRANSLATE(C3057,""vi"",""km"")"),"ធនាគារ")</f>
        <v/>
      </c>
      <c r="E3057" s="3" t="n"/>
      <c r="F3057" s="3" t="inlineStr">
        <is>
          <t>ធនាគារ</t>
        </is>
      </c>
      <c r="G3057" s="3" t="n"/>
      <c r="H3057" s="217" t="inlineStr">
        <is>
          <t>"delivery.warehouse.updateCustomer.bank": "ធនាគារ",</t>
        </is>
      </c>
      <c r="I3057" t="inlineStr">
        <is>
          <t>ធនាគារ</t>
        </is>
      </c>
    </row>
    <row r="3058">
      <c r="A3058" s="3" t="inlineStr">
        <is>
          <t>delivery.warehouse.updateCustomer.bankNo</t>
        </is>
      </c>
      <c r="B3058" s="3" t="inlineStr">
        <is>
          <t>Số tài khoản</t>
        </is>
      </c>
      <c r="C3058" s="3" t="inlineStr">
        <is>
          <t>Account number</t>
        </is>
      </c>
      <c r="D3058" s="217">
        <f>IFERROR(__xludf.DUMMYFUNCTION("GOOGLETRANSLATE(C3058,""vi"",""km"")"),"លេខគណនី")</f>
        <v/>
      </c>
      <c r="E3058" s="3" t="n"/>
      <c r="F3058" s="3" t="inlineStr">
        <is>
          <t>លេខគណនីធនាគារ</t>
        </is>
      </c>
      <c r="G3058" s="3" t="n"/>
      <c r="H3058" s="217" t="inlineStr">
        <is>
          <t>"delivery.warehouse.updateCustomer.bankNo": "លេខគណនីធនាគារ",</t>
        </is>
      </c>
      <c r="I3058" t="inlineStr">
        <is>
          <t>លេខគណនីធនាគារ</t>
        </is>
      </c>
    </row>
    <row r="3059">
      <c r="A3059" s="3" t="inlineStr">
        <is>
          <t>delivery.warehouse.updateCustomer.bankOwner</t>
        </is>
      </c>
      <c r="B3059" s="3" t="inlineStr">
        <is>
          <t>Chủ tài khoản</t>
        </is>
      </c>
      <c r="C3059" s="3" t="inlineStr">
        <is>
          <t>Account holder</t>
        </is>
      </c>
      <c r="D3059" s="217">
        <f>IFERROR(__xludf.DUMMYFUNCTION("GOOGLETRANSLATE(C3059,""vi"",""km"")"),"ម្ចាស់គណនី")</f>
        <v/>
      </c>
      <c r="E3059" s="3" t="n"/>
      <c r="F3059" s="3" t="inlineStr">
        <is>
          <t>ម្ចាស់គណនី</t>
        </is>
      </c>
      <c r="G3059" s="3" t="n"/>
      <c r="H3059" s="217" t="inlineStr">
        <is>
          <t>"delivery.warehouse.updateCustomer.bankOwner": "ម្ចាស់គណនី",</t>
        </is>
      </c>
      <c r="I3059" t="inlineStr">
        <is>
          <t>ម្ចាស់គណនី</t>
        </is>
      </c>
    </row>
    <row r="3060">
      <c r="A3060" s="3" t="inlineStr">
        <is>
          <t>delivery.warehouse.updateCustomer.codInfo</t>
        </is>
      </c>
      <c r="B3060" s="3" t="inlineStr">
        <is>
          <t>Thông tin thanh toán cước/COD</t>
        </is>
      </c>
      <c r="C3060" s="3" t="inlineStr">
        <is>
          <t>Payment information/Cash on Delivery (COD)</t>
        </is>
      </c>
      <c r="D3060" s="217">
        <f>IFERROR(__xludf.DUMMYFUNCTION("GOOGLETRANSLATE(C3060,""vi"",""km"")"),"ព័ត៌មានទូទាត់/បង់ប្រាក់ពេលទទួលទំនិញ (COD)")</f>
        <v/>
      </c>
      <c r="E3060" s="3" t="n"/>
      <c r="F3060" s="3" t="inlineStr">
        <is>
          <t>ព័ត៌មានទូទាត់/បង់ប្រាក់ពេលទទួលទំនិញ (COD)</t>
        </is>
      </c>
      <c r="G3060" s="3" t="n"/>
      <c r="H3060" s="217" t="inlineStr">
        <is>
          <t>"delivery.warehouse.updateCustomer.codInfo": "ព័ត៌មានទូទាត់/បង់ប្រាក់ពេលទទួលទំនិញ (COD)",</t>
        </is>
      </c>
      <c r="I3060" t="inlineStr">
        <is>
          <t>ព័ត៌មានទូទាត់/បង់ប្រាក់ពេលទទួលទំនិញ (COD)</t>
        </is>
      </c>
    </row>
    <row r="3061">
      <c r="A3061" s="3" t="inlineStr">
        <is>
          <t>delivery.warehouse.updateCustomer.codPaymentInformation</t>
        </is>
      </c>
      <c r="B3061" s="3" t="inlineStr">
        <is>
          <t>Thông tin thanh toán COD</t>
        </is>
      </c>
      <c r="C3061" s="3" t="inlineStr">
        <is>
          <t>Cash on Delivery (COD) payment information</t>
        </is>
      </c>
      <c r="D3061" s="217">
        <f>IFERROR(__xludf.DUMMYFUNCTION("GOOGLETRANSLATE(C3061,""vi"",""km"")"),"ព័ត៌មានអំពីការទូទាត់ប្រាក់ពេលទទួលទំនិញ (COD)")</f>
        <v/>
      </c>
      <c r="E3061" s="3" t="n"/>
      <c r="F3061" s="3" t="inlineStr">
        <is>
          <t>ព័ត៌មានអំពីការទូទាត់ប្រាក់ពេលទទួលទំនិញ (COD)</t>
        </is>
      </c>
      <c r="G3061" s="3" t="n"/>
      <c r="H3061" s="217" t="inlineStr">
        <is>
          <t>"delivery.warehouse.updateCustomer.codPaymentInformation": "ព័ត៌មានអំពីការទូទាត់ប្រាក់ពេលទទួលទំនិញ (COD)",</t>
        </is>
      </c>
      <c r="I3061" t="inlineStr">
        <is>
          <t>ព័ត៌មានអំពីការទូទាត់ប្រាក់ពេលទទួលទំនិញ (COD)</t>
        </is>
      </c>
    </row>
    <row r="3062">
      <c r="A3062" s="3" t="inlineStr">
        <is>
          <t>delivery.warehouse.updateCustomer.contract</t>
        </is>
      </c>
      <c r="B3062" s="3" t="inlineStr">
        <is>
          <t>Hợp đồng thanh toán</t>
        </is>
      </c>
      <c r="C3062" s="3" t="inlineStr">
        <is>
          <t>Payment contract</t>
        </is>
      </c>
      <c r="D3062" s="217">
        <f>IFERROR(__xludf.DUMMYFUNCTION("GOOGLETRANSLATE(C3062,""vi"",""km"")"),"កិច្ចសន្យាទូទាត់")</f>
        <v/>
      </c>
      <c r="E3062" s="3" t="n"/>
      <c r="F3062" s="3" t="inlineStr">
        <is>
          <t>កិច្ចសន្យាទូទាត់</t>
        </is>
      </c>
      <c r="G3062" s="3" t="n"/>
      <c r="H3062" s="217" t="inlineStr">
        <is>
          <t>"delivery.warehouse.updateCustomer.contract": "កិច្ចសន្យាទូទាត់",</t>
        </is>
      </c>
      <c r="I3062" t="inlineStr">
        <is>
          <t>កិច្ចសន្យាទូទាត់</t>
        </is>
      </c>
    </row>
    <row r="3063">
      <c r="A3063" s="3" t="inlineStr">
        <is>
          <t>delivery.warehouse.updateCustomer.days</t>
        </is>
      </c>
      <c r="B3063" s="3" t="inlineStr">
        <is>
          <t>Các ngày</t>
        </is>
      </c>
      <c r="C3063" s="3" t="inlineStr">
        <is>
          <t>The days</t>
        </is>
      </c>
      <c r="D3063" s="217">
        <f>IFERROR(__xludf.DUMMYFUNCTION("GOOGLETRANSLATE(C3063,""vi"",""km"")"),"ថ្ងៃទាំងនោះ")</f>
        <v/>
      </c>
      <c r="E3063" s="3" t="n"/>
      <c r="F3063" s="3" t="inlineStr">
        <is>
          <t>ថ្ងៃទាំងនោះ</t>
        </is>
      </c>
      <c r="G3063" s="3" t="n"/>
      <c r="H3063" s="217" t="inlineStr">
        <is>
          <t>"delivery.warehouse.updateCustomer.days": "ថ្ងៃទាំងនោះ",</t>
        </is>
      </c>
      <c r="I3063" t="inlineStr">
        <is>
          <t>ថ្ងៃទាំងនោះ</t>
        </is>
      </c>
    </row>
    <row r="3064">
      <c r="A3064" s="3" t="inlineStr">
        <is>
          <t>delivery.warehouse.updateCustomer.downloadFail</t>
        </is>
      </c>
      <c r="B3064" s="3" t="inlineStr">
        <is>
          <t>Tải file thất bại</t>
        </is>
      </c>
      <c r="C3064" s="3" t="inlineStr">
        <is>
          <t>File download failed</t>
        </is>
      </c>
      <c r="D3064" s="217">
        <f>IFERROR(__xludf.DUMMYFUNCTION("GOOGLETRANSLATE(C3064,""vi"",""km"")"),"ការទាញយកឯកសារបរាជ័យ")</f>
        <v/>
      </c>
      <c r="E3064" s="3" t="n"/>
      <c r="F3064" s="3" t="inlineStr">
        <is>
          <t>ការទាញយកឯកសារបរាជ័យ</t>
        </is>
      </c>
      <c r="G3064" s="3" t="n"/>
      <c r="H3064" s="217" t="inlineStr">
        <is>
          <t>"delivery.warehouse.updateCustomer.downloadFail": "ការទាញយកឯកសារបរាជ័យ",</t>
        </is>
      </c>
      <c r="I3064" t="inlineStr">
        <is>
          <t>ការទាញយកឯកសារបរាជ័យ</t>
        </is>
      </c>
    </row>
    <row r="3065">
      <c r="A3065" s="3" t="inlineStr">
        <is>
          <t>delivery.warehouse.updateCustomer.downloadSuccess</t>
        </is>
      </c>
      <c r="B3065" s="3" t="inlineStr">
        <is>
          <t>Tải file thành công</t>
        </is>
      </c>
      <c r="C3065" s="3" t="inlineStr">
        <is>
          <t>File downloaded successfully.</t>
        </is>
      </c>
      <c r="D3065" s="217">
        <f>IFERROR(__xludf.DUMMYFUNCTION("GOOGLETRANSLATE(C3065,""vi"",""km"")"),"ឯកសារត្រូវបានទាញយកដោយជោគជ័យ។")</f>
        <v/>
      </c>
      <c r="E3065" s="3" t="n"/>
      <c r="F3065" s="3" t="inlineStr">
        <is>
          <t>ឯកសារត្រូវបានទាញយកដោយជោគជ័យ។</t>
        </is>
      </c>
      <c r="G3065" s="3" t="n"/>
      <c r="H3065" s="217" t="inlineStr">
        <is>
          <t>"delivery.warehouse.updateCustomer.downloadSuccess": "ឯកសារត្រូវបានទាញយកដោយជោគជ័យ។",</t>
        </is>
      </c>
      <c r="I3065" t="inlineStr">
        <is>
          <t>ឯកសារត្រូវបានទាញយកដោយជោគជ័យ។</t>
        </is>
      </c>
    </row>
    <row r="3066">
      <c r="A3066" s="3" t="inlineStr">
        <is>
          <t>delivery.warehouse.updateCustomer.dragFile</t>
        </is>
      </c>
      <c r="B3066" s="3" t="inlineStr">
        <is>
          <t>hoặc kéo thả vào vùng này</t>
        </is>
      </c>
      <c r="C3066" s="3" t="inlineStr">
        <is>
          <t>or drag and drop into this area</t>
        </is>
      </c>
      <c r="D3066" s="217">
        <f>IFERROR(__xludf.DUMMYFUNCTION("GOOGLETRANSLATE(C3066,""vi"",""km"")"),"ឬអូសហើយទម្លាក់ចូលទៅក្នុងតំបន់នេះ")</f>
        <v/>
      </c>
      <c r="E3066" s="3" t="n"/>
      <c r="F3066" s="3" t="inlineStr">
        <is>
          <t>ឬអូសហើយទម្លាក់ចូលទៅក្នុងតំបន់នេះ</t>
        </is>
      </c>
      <c r="G3066" s="3" t="n"/>
      <c r="H3066" s="217" t="inlineStr">
        <is>
          <t>"delivery.warehouse.updateCustomer.dragFile": "ឬអូសហើយទម្លាក់ចូលទៅក្នុងតំបន់នេះ",</t>
        </is>
      </c>
      <c r="I3066" t="inlineStr">
        <is>
          <t>ឬអូសហើយទម្លាក់ចូលទៅក្នុងតំបន់នេះ</t>
        </is>
      </c>
    </row>
    <row r="3067">
      <c r="A3067" s="3" t="inlineStr">
        <is>
          <t>delivery.warehouse.updateCustomer.fileDuplicate</t>
        </is>
      </c>
      <c r="B3067" s="3" t="inlineStr">
        <is>
          <t>đã tồn tại. Bạn có muốn thay thế nó không?</t>
        </is>
      </c>
      <c r="C3067" s="3" t="inlineStr">
        <is>
          <t>It already exists. Do you want to replace it?</t>
        </is>
      </c>
      <c r="D3067" s="217">
        <f>IFERROR(__xludf.DUMMYFUNCTION("GOOGLETRANSLATE(C3067,""vi"",""km"")"),"វាមានរួចហើយ។ តើអ្នកចង់ជំនួសវាទេ?")</f>
        <v/>
      </c>
      <c r="E3067" s="3" t="n"/>
      <c r="F3067" s="3" t="inlineStr">
        <is>
          <t>វាមានរួចហើយ។ តើអ្នកចង់ជំនួសវាទេ?</t>
        </is>
      </c>
      <c r="G3067" s="3" t="n"/>
      <c r="H3067" s="217" t="inlineStr">
        <is>
          <t>"delivery.warehouse.updateCustomer.fileDuplicate": "វាមានរួចហើយ។ តើអ្នកចង់ជំនួសវាទេ?",</t>
        </is>
      </c>
      <c r="I3067" t="inlineStr">
        <is>
          <t>វាមានរួចហើយ។ តើអ្នកចង់ជំនួសវាទេ?</t>
        </is>
      </c>
    </row>
    <row r="3068">
      <c r="A3068" s="3" t="inlineStr">
        <is>
          <t>delivery.warehouse.updateCustomer.fileEmpty</t>
        </is>
      </c>
      <c r="B3068" s="3" t="inlineStr">
        <is>
          <t>Bắt buộc chọn files</t>
        </is>
      </c>
      <c r="C3068" s="3" t="inlineStr">
        <is>
          <t>File selection is required.</t>
        </is>
      </c>
      <c r="D3068" s="217">
        <f>IFERROR(__xludf.DUMMYFUNCTION("GOOGLETRANSLATE(C3068,""vi"",""km"")"),"ការជ្រើសរើសឯកសារត្រូវបានទាមទារ។")</f>
        <v/>
      </c>
      <c r="E3068" s="3" t="n"/>
      <c r="F3068" s="3" t="inlineStr">
        <is>
          <t>ការជ្រើសរើសឯកសារត្រូវបានទាមទារ។</t>
        </is>
      </c>
      <c r="G3068" s="3" t="n"/>
      <c r="H3068" s="217" t="inlineStr">
        <is>
          <t>"delivery.warehouse.updateCustomer.fileEmpty": "ការជ្រើសរើសឯកសារត្រូវបានទាមទារ។",</t>
        </is>
      </c>
      <c r="I3068" t="inlineStr">
        <is>
          <t>ការជ្រើសរើសឯកសារត្រូវបានទាមទារ។</t>
        </is>
      </c>
    </row>
    <row r="3069">
      <c r="A3069" s="3" t="inlineStr">
        <is>
          <t>delivery.warehouse.updateCustomer.haveContract</t>
        </is>
      </c>
      <c r="B3069" s="3" t="inlineStr">
        <is>
          <t>Đã có hợp đồng</t>
        </is>
      </c>
      <c r="C3069" s="3" t="inlineStr">
        <is>
          <t>A contract has been signed.</t>
        </is>
      </c>
      <c r="D3069" s="217">
        <f>IFERROR(__xludf.DUMMYFUNCTION("GOOGLETRANSLATE(C3069,""vi"",""km"")"),"កិច្ចសន្យាមួយត្រូវបានចុះហត្ថលេខា។")</f>
        <v/>
      </c>
      <c r="E3069" s="3" t="n"/>
      <c r="F3069" s="3" t="inlineStr">
        <is>
          <t>កិច្ចសន្យាមួយត្រូវបានចុះហត្ថលេខា។</t>
        </is>
      </c>
      <c r="G3069" s="3" t="n"/>
      <c r="H3069" s="217" t="inlineStr">
        <is>
          <t>"delivery.warehouse.updateCustomer.haveContract": "កិច្ចសន្យាមួយត្រូវបានចុះហត្ថលេខា។",</t>
        </is>
      </c>
      <c r="I3069" t="inlineStr">
        <is>
          <t>កិច្ចសន្យាមួយត្រូវបានចុះហត្ថលេខា។</t>
        </is>
      </c>
    </row>
    <row r="3070">
      <c r="A3070" s="3" t="inlineStr">
        <is>
          <t>delivery.warehouse.updateCustomer.invalidateFile</t>
        </is>
      </c>
      <c r="B3070" s="3" t="inlineStr">
        <is>
          <t>Chỉ cho phép tải tệp có đuôi .pdf</t>
        </is>
      </c>
      <c r="C3070" s="3" t="inlineStr">
        <is>
          <t>Only allow uploading files with the .pdf extension.</t>
        </is>
      </c>
      <c r="D3070" s="217">
        <f>IFERROR(__xludf.DUMMYFUNCTION("GOOGLETRANSLATE(C3070,""vi"",""km"")"),"អនុញ្ញាតឱ្យផ្ទុកឡើងឯកសារដែលមានផ្នែកបន្ថែម .pdf តែប៉ុណ្ណោះ។")</f>
        <v/>
      </c>
      <c r="E3070" s="3" t="n"/>
      <c r="F3070" s="3" t="inlineStr">
        <is>
          <t>អនុញ្ញាតឱ្យផ្ទុកឡើងឯកសារដែលមានផ្នែកបន្ថែម .pdf តែប៉ុណ្ណោះ។</t>
        </is>
      </c>
      <c r="G3070" s="3" t="n"/>
      <c r="H3070" s="217" t="inlineStr">
        <is>
          <t>"delivery.warehouse.updateCustomer.invalidateFile": "អនុញ្ញាតឱ្យផ្ទុកឡើងឯកសារដែលមានផ្នែកបន្ថែម .pdf តែប៉ុណ្ណោះ។",</t>
        </is>
      </c>
      <c r="I3070" t="inlineStr">
        <is>
          <t>អនុញ្ញាតឱ្យផ្ទុកឡើងឯកសារដែលមានផ្នែកបន្ថែម .pdf តែប៉ុណ្ណោះ។</t>
        </is>
      </c>
    </row>
    <row r="3071">
      <c r="A3071" s="3" t="inlineStr">
        <is>
          <t>delivery.warehouse.updateCustomer.monthly</t>
        </is>
      </c>
      <c r="B3071" s="3" t="inlineStr">
        <is>
          <t>hàng tháng</t>
        </is>
      </c>
      <c r="C3071" s="3" t="inlineStr">
        <is>
          <t>monthly</t>
        </is>
      </c>
      <c r="D3071" s="217">
        <f>IFERROR(__xludf.DUMMYFUNCTION("GOOGLETRANSLATE(C3071,""vi"",""km"")"),"ថ្ងៃច័ន្ទ")</f>
        <v/>
      </c>
      <c r="E3071" s="3" t="n"/>
      <c r="F3071" s="3" t="inlineStr">
        <is>
          <t>ថ្ងៃច័ន្ទ</t>
        </is>
      </c>
      <c r="G3071" s="3" t="n"/>
      <c r="H3071" s="217" t="inlineStr">
        <is>
          <t>"delivery.warehouse.updateCustomer.monthly": "ថ្ងៃច័ន្ទ",</t>
        </is>
      </c>
      <c r="I3071" t="inlineStr">
        <is>
          <t>ថ្ងៃច័ន្ទ</t>
        </is>
      </c>
    </row>
    <row r="3072">
      <c r="A3072" s="3" t="inlineStr">
        <is>
          <t>delivery.warehouse.updateCustomer.noContract</t>
        </is>
      </c>
      <c r="B3072" s="3" t="inlineStr">
        <is>
          <t>Chưa có hợp đồng</t>
        </is>
      </c>
      <c r="C3072" s="3" t="inlineStr">
        <is>
          <t>No contract yet.</t>
        </is>
      </c>
      <c r="D3072" s="217">
        <f>IFERROR(__xludf.DUMMYFUNCTION("GOOGLETRANSLATE(C3072,""vi"",""km"")"),"មិនទាន់មានកិច្ចសន្យានៅឡើយទេ។")</f>
        <v/>
      </c>
      <c r="E3072" s="3" t="n"/>
      <c r="F3072" s="3" t="inlineStr">
        <is>
          <t>មិនទាន់មានកិច្ចសន្យានៅឡើយទេ។</t>
        </is>
      </c>
      <c r="G3072" s="3" t="n"/>
      <c r="H3072" s="217" t="inlineStr">
        <is>
          <t>"delivery.warehouse.updateCustomer.noContract": "មិនទាន់មានកិច្ចសន្យានៅឡើយទេ។",</t>
        </is>
      </c>
      <c r="I3072" t="inlineStr">
        <is>
          <t>មិនទាន់មានកិច្ចសន្យានៅឡើយទេ។</t>
        </is>
      </c>
    </row>
    <row r="3073">
      <c r="A3073" s="3" t="inlineStr">
        <is>
          <t>delivery.warehouse.updateCustomer.note</t>
        </is>
      </c>
      <c r="B3073" s="3" t="inlineStr">
        <is>
          <t>Lưu ý</t>
        </is>
      </c>
      <c r="C3073" s="3" t="inlineStr">
        <is>
          <t>Note</t>
        </is>
      </c>
      <c r="D3073" s="217">
        <f>IFERROR(__xludf.DUMMYFUNCTION("GOOGLETRANSLATE(C3073,""vi"",""km"")"),"កំណត់ចំណាំ")</f>
        <v/>
      </c>
      <c r="E3073" s="3" t="n"/>
      <c r="F3073" s="3" t="inlineStr">
        <is>
          <t>ចំណាំ</t>
        </is>
      </c>
      <c r="G3073" s="3" t="n"/>
      <c r="H3073" s="217" t="inlineStr">
        <is>
          <t>"delivery.warehouse.updateCustomer.note": "ចំណាំ",</t>
        </is>
      </c>
      <c r="I3073" t="inlineStr">
        <is>
          <t>ចំណាំ</t>
        </is>
      </c>
    </row>
    <row r="3074">
      <c r="A3074" s="3" t="inlineStr">
        <is>
          <t>delivery.warehouse.updateCustomer.note1</t>
        </is>
      </c>
      <c r="B3074" s="3" t="inlineStr">
        <is>
          <t>Bạn chỉ có thể tải tối đa 5 files</t>
        </is>
      </c>
      <c r="C3074" s="3" t="inlineStr">
        <is>
          <t>You can only upload a maximum of 5 files.</t>
        </is>
      </c>
      <c r="D3074" s="217">
        <f>IFERROR(__xludf.DUMMYFUNCTION("GOOGLETRANSLATE(C3074,""vi"",""km"")"),"អ្នកអាចបង្ហោះឯកសារបានអតិបរមាត្រឹមតែ ៥ ឯកសារប៉ុណ្ណោះ។")</f>
        <v/>
      </c>
      <c r="E3074" s="3" t="n"/>
      <c r="F3074" s="3" t="inlineStr">
        <is>
          <t>អ្នកអាចបង្ហោះឯកសារបានអតិបរមាត្រឹមតែ ៥ ឯកសារប៉ុណ្ណោះ។</t>
        </is>
      </c>
      <c r="G3074" s="3" t="n"/>
      <c r="H3074" s="217" t="inlineStr">
        <is>
          <t>"delivery.warehouse.updateCustomer.note1": "អ្នកអាចបង្ហោះឯកសារបានអតិបរមាត្រឹមតែ ៥ ឯកសារប៉ុណ្ណោះ។",</t>
        </is>
      </c>
      <c r="I3074" t="inlineStr">
        <is>
          <t>អ្នកអាចបង្ហោះឯកសារបានអតិបរមាត្រឹមតែ ៥ ឯកសារប៉ុណ្ណោះ។</t>
        </is>
      </c>
    </row>
    <row r="3075">
      <c r="A3075" s="3" t="inlineStr">
        <is>
          <t>delivery.warehouse.updateCustomer.note2</t>
        </is>
      </c>
      <c r="B3075" s="3" t="inlineStr">
        <is>
          <t>Chỉ được tải file có đuôi .pdf</t>
        </is>
      </c>
      <c r="C3075" s="3" t="inlineStr">
        <is>
          <t>Only files with the .pdf extension can be downloaded.</t>
        </is>
      </c>
      <c r="D3075" s="217">
        <f>IFERROR(__xludf.DUMMYFUNCTION("GOOGLETRANSLATE(C3075,""vi"",""km"")"),"មានតែឯកសារដែលមានផ្នែកបន្ថែម .pdf ប៉ុណ្ណោះដែលអាចទាញយកបាន។")</f>
        <v/>
      </c>
      <c r="E3075" s="3" t="n"/>
      <c r="F3075" s="3" t="inlineStr">
        <is>
          <t>មានតែឯកសារដែលមានផ្នែកបន្ថែម .pdf ប៉ុណ្ណោះដែលអាចទាញយកបាន។</t>
        </is>
      </c>
      <c r="G3075" s="3" t="n"/>
      <c r="H3075" s="217" t="inlineStr">
        <is>
          <t>"delivery.warehouse.updateCustomer.note2": "មានតែឯកសារដែលមានផ្នែកបន្ថែម .pdf ប៉ុណ្ណោះដែលអាចទាញយកបាន។",</t>
        </is>
      </c>
      <c r="I3075" t="inlineStr">
        <is>
          <t>មានតែឯកសារដែលមានផ្នែកបន្ថែម .pdf ប៉ុណ្ណោះដែលអាចទាញយកបាន។</t>
        </is>
      </c>
    </row>
    <row r="3076">
      <c r="A3076" s="3" t="inlineStr">
        <is>
          <t>delivery.warehouse.updateCustomer.paymentForm</t>
        </is>
      </c>
      <c r="B3076" s="3" t="inlineStr">
        <is>
          <t>Hình thức thanh toán</t>
        </is>
      </c>
      <c r="C3076" s="3" t="inlineStr">
        <is>
          <t>Payment methods</t>
        </is>
      </c>
      <c r="D3076" s="217">
        <f>IFERROR(__xludf.DUMMYFUNCTION("GOOGLETRANSLATE(C3076,""vi"",""km"")"),"វិធីសាស្ត្រទូទាត់")</f>
        <v/>
      </c>
      <c r="E3076" s="3" t="n"/>
      <c r="F3076" s="3" t="inlineStr">
        <is>
          <t>វិធីសាស្ត្រទូទាត់</t>
        </is>
      </c>
      <c r="G3076" s="3" t="n"/>
      <c r="H3076" s="217" t="inlineStr">
        <is>
          <t>"delivery.warehouse.updateCustomer.paymentForm": "វិធីសាស្ត្រទូទាត់",</t>
        </is>
      </c>
      <c r="I3076" t="inlineStr">
        <is>
          <t>វិធីសាស្ត្រទូទាត់</t>
        </is>
      </c>
    </row>
    <row r="3077">
      <c r="A3077" s="3" t="inlineStr">
        <is>
          <t>delivery.warehouse.updateCustomer.paymentInfo</t>
        </is>
      </c>
      <c r="B3077" s="3" t="inlineStr">
        <is>
          <t>Thông tin thanh toán</t>
        </is>
      </c>
      <c r="C3077" s="3" t="inlineStr">
        <is>
          <t>Payment information</t>
        </is>
      </c>
      <c r="D3077" s="217">
        <f>IFERROR(__xludf.DUMMYFUNCTION("GOOGLETRANSLATE(C3077,""vi"",""km"")"),"ព័ត៌មានរាប់ពាន់")</f>
        <v/>
      </c>
      <c r="E3077" s="3" t="n"/>
      <c r="F3077" s="3" t="inlineStr">
        <is>
          <t>ព័ត៌មានរាប់ពាន់</t>
        </is>
      </c>
      <c r="G3077" s="3" t="n"/>
      <c r="H3077" s="217" t="inlineStr">
        <is>
          <t>"delivery.warehouse.updateCustomer.paymentInfo": "ព័ត៌មានរាប់ពាន់",</t>
        </is>
      </c>
      <c r="I3077" t="inlineStr">
        <is>
          <t>ព័ត៌មានរាប់ពាន់</t>
        </is>
      </c>
    </row>
    <row r="3078">
      <c r="A3078" s="3" t="inlineStr">
        <is>
          <t>delivery.warehouse.updateCustomer.paymentMethod</t>
        </is>
      </c>
      <c r="B3078" s="3" t="inlineStr">
        <is>
          <t>Phương thức thanh toán</t>
        </is>
      </c>
      <c r="C3078" s="3" t="inlineStr">
        <is>
          <t>Payment methods</t>
        </is>
      </c>
      <c r="D3078" s="217">
        <f>IFERROR(__xludf.DUMMYFUNCTION("GOOGLETRANSLATE(C3078,""vi"",""km"")"),"វិធីសាស្ត្រទូទាត់")</f>
        <v/>
      </c>
      <c r="E3078" s="3" t="n"/>
      <c r="F3078" s="3" t="inlineStr">
        <is>
          <t>វិធីសាស្ត្រទូទាត់</t>
        </is>
      </c>
      <c r="G3078" s="3" t="n"/>
      <c r="H3078" s="217" t="inlineStr">
        <is>
          <t>"delivery.warehouse.updateCustomer.paymentMethod": "វិធីសាស្ត្រទូទាត់",</t>
        </is>
      </c>
      <c r="I3078" t="inlineStr">
        <is>
          <t>វិធីសាស្ត្រទូទាត់</t>
        </is>
      </c>
    </row>
    <row r="3079">
      <c r="A3079" s="3" t="inlineStr">
        <is>
          <t>delivery.warehouse.updateCustomer.paymentTime</t>
        </is>
      </c>
      <c r="B3079" s="3" t="inlineStr">
        <is>
          <t>Thời gian thanh toán</t>
        </is>
      </c>
      <c r="C3079" s="3" t="inlineStr">
        <is>
          <t>Payment terms</t>
        </is>
      </c>
      <c r="D3079" s="217">
        <f>IFERROR(__xludf.DUMMYFUNCTION("GOOGLETRANSLATE(C3079,""vi"",""km"")"),"លក្ខខណ្ឌទូទាត់")</f>
        <v/>
      </c>
      <c r="E3079" s="3" t="n"/>
      <c r="F3079" s="3" t="inlineStr">
        <is>
          <t>លក្ខខណ្ឌទូទាត់</t>
        </is>
      </c>
      <c r="G3079" s="3" t="n"/>
      <c r="H3079" s="217" t="inlineStr">
        <is>
          <t>"delivery.warehouse.updateCustomer.paymentTime": "លក្ខខណ្ឌទូទាត់",</t>
        </is>
      </c>
      <c r="I3079" t="inlineStr">
        <is>
          <t>លក្ខខណ្ឌទូទាត់</t>
        </is>
      </c>
    </row>
    <row r="3080">
      <c r="A3080" s="3" t="inlineStr">
        <is>
          <t>delivery.warehouse.updateCustomer.paymentType</t>
        </is>
      </c>
      <c r="B3080" s="3" t="inlineStr">
        <is>
          <t>Loại thanh toán</t>
        </is>
      </c>
      <c r="C3080" s="3" t="inlineStr">
        <is>
          <t>Payment type</t>
        </is>
      </c>
      <c r="D3080" s="217">
        <f>IFERROR(__xludf.DUMMYFUNCTION("GOOGLETRANSLATE(C3080,""vi"",""km"")"),"ប្រភេទនៃការបង់ប្រាក់")</f>
        <v/>
      </c>
      <c r="E3080" s="3" t="n"/>
      <c r="F3080" s="3" t="inlineStr">
        <is>
          <t>ប្រភេទនៃការបង់ប្រាក់</t>
        </is>
      </c>
      <c r="G3080" s="3" t="n"/>
      <c r="H3080" s="217" t="inlineStr">
        <is>
          <t>"delivery.warehouse.updateCustomer.paymentType": "ប្រភេទនៃការបង់ប្រាក់",</t>
        </is>
      </c>
      <c r="I3080" t="inlineStr">
        <is>
          <t>ប្រភេទនៃការបង់ប្រាក់</t>
        </is>
      </c>
    </row>
    <row r="3081">
      <c r="A3081" s="3" t="inlineStr">
        <is>
          <t>delivery.warehouse.updateCustomer.postpaid</t>
        </is>
      </c>
      <c r="B3081" s="3" t="inlineStr">
        <is>
          <t>Trả sau</t>
        </is>
      </c>
      <c r="C3081" s="3" t="inlineStr">
        <is>
          <t>Pay later</t>
        </is>
      </c>
      <c r="D3081" s="217">
        <f>IFERROR(__xludf.DUMMYFUNCTION("GOOGLETRANSLATE(C3081,""vi"",""km"")"),"ការវាយប្រហារដោយបង់ប្រាក់")</f>
        <v/>
      </c>
      <c r="E3081" s="3" t="n"/>
      <c r="F3081" s="3" t="inlineStr">
        <is>
          <t>ទូទាត់ប្រាក់ពេលក្រោយ</t>
        </is>
      </c>
      <c r="G3081" s="3" t="n"/>
      <c r="H3081" s="217" t="inlineStr">
        <is>
          <t>"delivery.warehouse.updateCustomer.postpaid": "ទូទាត់ប្រាក់ពេលក្រោយ",</t>
        </is>
      </c>
      <c r="I3081" t="inlineStr">
        <is>
          <t>ទូទាត់ប្រាក់ពេលក្រោយ</t>
        </is>
      </c>
    </row>
    <row r="3082">
      <c r="A3082" s="3" t="inlineStr">
        <is>
          <t>delivery.warehouse.updateCustomer.prepaid</t>
        </is>
      </c>
      <c r="B3082" s="3" t="inlineStr">
        <is>
          <t>Trả trước</t>
        </is>
      </c>
      <c r="C3082" s="3" t="inlineStr">
        <is>
          <t>Prepay</t>
        </is>
      </c>
      <c r="D3082" s="217">
        <f>IFERROR(__xludf.DUMMYFUNCTION("GOOGLETRANSLATE(C3082,""vi"",""km"")"),"បង់ប្រាក់ជាមុន")</f>
        <v/>
      </c>
      <c r="E3082" s="3" t="n"/>
      <c r="F3082" s="3" t="inlineStr">
        <is>
          <t>បង់ប្រាក់ជាមុន</t>
        </is>
      </c>
      <c r="G3082" s="3" t="n"/>
      <c r="H3082" s="217" t="inlineStr">
        <is>
          <t>"delivery.warehouse.updateCustomer.prepaid": "បង់ប្រាក់ជាមុន",</t>
        </is>
      </c>
      <c r="I3082" t="inlineStr">
        <is>
          <t>បង់ប្រាក់ជាមុន</t>
        </is>
      </c>
    </row>
    <row r="3083">
      <c r="A3083" s="3" t="inlineStr">
        <is>
          <t>delivery.warehouse.updateCustomer.selectFile</t>
        </is>
      </c>
      <c r="B3083" s="3" t="inlineStr">
        <is>
          <t>Chọn tệp</t>
        </is>
      </c>
      <c r="C3083" s="3" t="inlineStr">
        <is>
          <t>Select file</t>
        </is>
      </c>
      <c r="D3083" s="217">
        <f>IFERROR(__xludf.DUMMYFUNCTION("GOOGLETRANSLATE(C3083,""vi"",""km"")"),"តម្រៀបឯកសារ")</f>
        <v/>
      </c>
      <c r="E3083" s="3" t="n"/>
      <c r="F3083" s="3" t="inlineStr">
        <is>
          <t>តម្រៀបឯកសារ</t>
        </is>
      </c>
      <c r="G3083" s="3" t="n"/>
      <c r="H3083" s="217" t="inlineStr">
        <is>
          <t>"delivery.warehouse.updateCustomer.selectFile": "តម្រៀបឯកសារ",</t>
        </is>
      </c>
      <c r="I3083" t="inlineStr">
        <is>
          <t>តម្រៀបឯកសារ</t>
        </is>
      </c>
    </row>
    <row r="3084">
      <c r="A3084" s="3" t="inlineStr">
        <is>
          <t>delivery.warehouse.updateCustomer.selectedAll</t>
        </is>
      </c>
      <c r="B3084" s="3" t="inlineStr">
        <is>
          <t>Chọn tất cả</t>
        </is>
      </c>
      <c r="C3084" s="3" t="inlineStr">
        <is>
          <t>Select all</t>
        </is>
      </c>
      <c r="D3084" s="217">
        <f>IFERROR(__xludf.DUMMYFUNCTION("GOOGLETRANSLATE(C3084,""vi"",""km"")"),"ជ្រើសរើសទាំងអស់")</f>
        <v/>
      </c>
      <c r="E3084" s="3" t="n"/>
      <c r="F3084" s="3" t="inlineStr">
        <is>
          <t>ជ្រើសរើសទាំងអស់</t>
        </is>
      </c>
      <c r="G3084" s="3" t="n"/>
      <c r="H3084" s="217" t="inlineStr">
        <is>
          <t>"delivery.warehouse.updateCustomer.selectedAll": "ជ្រើសរើសទាំងអស់",</t>
        </is>
      </c>
      <c r="I3084" t="inlineStr">
        <is>
          <t>ជ្រើសរើសទាំងអស់</t>
        </is>
      </c>
    </row>
    <row r="3085">
      <c r="A3085" s="3" t="inlineStr">
        <is>
          <t>delivery.warehouse.updateCustomer.selectedAllDay</t>
        </is>
      </c>
      <c r="B3085" s="3" t="inlineStr">
        <is>
          <t>Chọn tất cả các ngày trong tháng</t>
        </is>
      </c>
      <c r="C3085" s="3" t="inlineStr">
        <is>
          <t>Select all days of the month</t>
        </is>
      </c>
      <c r="D3085" s="217">
        <f>IFERROR(__xludf.DUMMYFUNCTION("GOOGLETRANSLATE(C3085,""vi"",""km"")"),"ជ្រើសរើសថ្ងៃទាំងអស់នៃខែ")</f>
        <v/>
      </c>
      <c r="E3085" s="3" t="n"/>
      <c r="F3085" s="3" t="inlineStr">
        <is>
          <t>ជ្រើសរើសថ្ងៃទាំងអស់នៃខែ</t>
        </is>
      </c>
      <c r="G3085" s="3" t="n"/>
      <c r="H3085" s="217" t="inlineStr">
        <is>
          <t>"delivery.warehouse.updateCustomer.selectedAllDay": "ជ្រើសរើសថ្ងៃទាំងអស់នៃខែ",</t>
        </is>
      </c>
      <c r="I3085" t="inlineStr">
        <is>
          <t>ជ្រើសរើសថ្ងៃទាំងអស់នៃខែ</t>
        </is>
      </c>
    </row>
    <row r="3086">
      <c r="A3086" s="3" t="inlineStr">
        <is>
          <t>delivery.warehouse.updateCustomer.titleCod</t>
        </is>
      </c>
      <c r="B3086" s="3" t="inlineStr">
        <is>
          <t>Thông tin thanh toán COD</t>
        </is>
      </c>
      <c r="C3086" s="3" t="inlineStr">
        <is>
          <t>Cash on Delivery (COD) payment information</t>
        </is>
      </c>
      <c r="D3086" s="217">
        <f>IFERROR(__xludf.DUMMYFUNCTION("GOOGLETRANSLATE(C3086,""vi"",""km"")"),"ព័ត៌មានអំពីការទូទាត់ប្រាក់ពេលទទួលទំនិញ (COD)")</f>
        <v/>
      </c>
      <c r="E3086" s="3" t="n"/>
      <c r="F3086" s="3" t="inlineStr">
        <is>
          <t>ព័ត៌មានអំពីការទូទាត់ប្រាក់ពេលទទួលទំនិញ (COD)</t>
        </is>
      </c>
      <c r="G3086" s="3" t="n"/>
      <c r="H3086" s="217" t="inlineStr">
        <is>
          <t>"delivery.warehouse.updateCustomer.titleCod": "ព័ត៌មានអំពីការទូទាត់ប្រាក់ពេលទទួលទំនិញ (COD)",</t>
        </is>
      </c>
      <c r="I3086" t="inlineStr">
        <is>
          <t>ព័ត៌មានអំពីការទូទាត់ប្រាក់ពេលទទួលទំនិញ (COD)</t>
        </is>
      </c>
    </row>
    <row r="3087">
      <c r="A3087" s="3" t="inlineStr">
        <is>
          <t>delivery.warehouse.updateCustomer.titleConfirm</t>
        </is>
      </c>
      <c r="B3087" s="3" t="inlineStr">
        <is>
          <t>Bạn có chắc muốn đổi trạng thái thành</t>
        </is>
      </c>
      <c r="C3087" s="3" t="inlineStr">
        <is>
          <t>Are you sure you want to change the status to</t>
        </is>
      </c>
      <c r="D3087" s="217">
        <f>IFERROR(__xludf.DUMMYFUNCTION("GOOGLETRANSLATE(C3087,""vi"",""km"")"),"តើអ្នកពិតជាចង់ផ្លាស់ប្តូរស្ថានភាពទៅ")</f>
        <v/>
      </c>
      <c r="E3087" s="3" t="n"/>
      <c r="F3087" s="3" t="inlineStr">
        <is>
          <t>តើអ្នកពិតជាចង់ផ្លាស់ប្តូរស្ថានភាពទៅ</t>
        </is>
      </c>
      <c r="G3087" s="3" t="n"/>
      <c r="H3087" s="217" t="inlineStr">
        <is>
          <t>"delivery.warehouse.updateCustomer.titleConfirm": "តើអ្នកពិតជាចង់ផ្លាស់ប្តូរស្ថានភាពទៅ",</t>
        </is>
      </c>
      <c r="I3087" t="inlineStr">
        <is>
          <t>តើអ្នកពិតជាចង់ផ្លាស់ប្តូរស្ថានភាពទៅ</t>
        </is>
      </c>
    </row>
    <row r="3088">
      <c r="A3088" s="3" t="inlineStr">
        <is>
          <t>delivery.warehouse.updateCustomer.titlePayment</t>
        </is>
      </c>
      <c r="B3088" s="3" t="inlineStr">
        <is>
          <t>Phương thức thanh toán cước</t>
        </is>
      </c>
      <c r="C3088" s="3" t="inlineStr">
        <is>
          <t>Payment methods</t>
        </is>
      </c>
      <c r="D3088" s="217">
        <f>IFERROR(__xludf.DUMMYFUNCTION("GOOGLETRANSLATE(C3088,""vi"",""km"")"),"វិធីសាស្ត្រទូទាត់")</f>
        <v/>
      </c>
      <c r="E3088" s="3" t="n"/>
      <c r="F3088" s="3" t="inlineStr">
        <is>
          <t>វិធីសាស្ត្រទូទាត់</t>
        </is>
      </c>
      <c r="G3088" s="3" t="n"/>
      <c r="H3088" s="217" t="inlineStr">
        <is>
          <t>"delivery.warehouse.updateCustomer.titlePayment": "វិធីសាស្ត្រទូទាត់",</t>
        </is>
      </c>
      <c r="I3088" t="inlineStr">
        <is>
          <t>វិធីសាស្ត្រទូទាត់</t>
        </is>
      </c>
    </row>
    <row r="3089">
      <c r="A3089" s="3" t="inlineStr">
        <is>
          <t>delivery.warehouse.updateCustomer.updateContract</t>
        </is>
      </c>
      <c r="B3089" s="3" t="inlineStr">
        <is>
          <t>Bạn có chắc muốn đổi thông tin khách hàng không?</t>
        </is>
      </c>
      <c r="C3089" s="3" t="inlineStr">
        <is>
          <t>Are you sure you want to change customer information?</t>
        </is>
      </c>
      <c r="D3089" s="217">
        <f>IFERROR(__xludf.DUMMYFUNCTION("GOOGLETRANSLATE(C3089,""vi"",""km"")"),"តើអ្នកពិតជាចង់ផ្លាស់ប្តូរព័ត៌មានអតិថិជនមែនទេ?")</f>
        <v/>
      </c>
      <c r="E3089" s="3" t="n"/>
      <c r="F3089" s="3" t="inlineStr">
        <is>
          <t>តើអ្នកពិតជាចង់ផ្លាស់ប្តូរព័ត៌មានអតិថិជនមែនទេ?</t>
        </is>
      </c>
      <c r="G3089" s="3" t="n"/>
      <c r="H3089" s="217" t="inlineStr">
        <is>
          <t>"delivery.warehouse.updateCustomer.updateContract": "តើអ្នកពិតជាចង់ផ្លាស់ប្តូរព័ត៌មានអតិថិជនមែនទេ?",</t>
        </is>
      </c>
      <c r="I3089" t="inlineStr">
        <is>
          <t>តើអ្នកពិតជាចង់ផ្លាស់ប្តូរព័ត៌មានអតិថិជនមែនទេ?</t>
        </is>
      </c>
    </row>
    <row r="3090">
      <c r="A3090" s="3" t="inlineStr">
        <is>
          <t>delivery.warehouse.updateCustomer.updateCustomer</t>
        </is>
      </c>
      <c r="B3090" s="3" t="inlineStr">
        <is>
          <t>Sửa thông tin khách hàng</t>
        </is>
      </c>
      <c r="C3090" s="3" t="inlineStr">
        <is>
          <t>Edit customer information</t>
        </is>
      </c>
      <c r="D3090" s="217">
        <f>IFERROR(__xludf.DUMMYFUNCTION("GOOGLETRANSLATE(C3090,""vi"",""km"")"),"កែសម្រួលព័ត៌មានអតិថិជន")</f>
        <v/>
      </c>
      <c r="E3090" s="3" t="n"/>
      <c r="F3090" s="3" t="inlineStr">
        <is>
          <t>កែសម្រួលព័ត៌មានអតិថិជន</t>
        </is>
      </c>
      <c r="G3090" s="3" t="n"/>
      <c r="H3090" s="217" t="inlineStr">
        <is>
          <t>"delivery.warehouse.updateCustomer.updateCustomer": "កែសម្រួលព័ត៌មានអតិថិជន",</t>
        </is>
      </c>
      <c r="I3090" t="inlineStr">
        <is>
          <t>កែសម្រួលព័ត៌មានអតិថិជន</t>
        </is>
      </c>
    </row>
    <row r="3091">
      <c r="A3091" s="3" t="inlineStr">
        <is>
          <t>delivery.warehouse.updateCustomer.updateSuccess</t>
        </is>
      </c>
      <c r="B3091" s="3" t="inlineStr">
        <is>
          <t>Cập nhật thông tin thành công</t>
        </is>
      </c>
      <c r="C3091" s="3" t="inlineStr">
        <is>
          <t>Information updated successfully.</t>
        </is>
      </c>
      <c r="D3091" s="217">
        <f>IFERROR(__xludf.DUMMYFUNCTION("GOOGLETRANSLATE(C3091,""vi"",""km"")"),"ព័ត៌មានត្រូវបានធ្វើបច្ចុប្បន្នភាពដោយជោគជ័យ។")</f>
        <v/>
      </c>
      <c r="E3091" s="3" t="n"/>
      <c r="F3091" s="3" t="inlineStr">
        <is>
          <t>ព័ត៌មានត្រូវបានធ្វើបច្ចុប្បន្នភាពដោយជោគជ័យ។</t>
        </is>
      </c>
      <c r="G3091" s="3" t="n"/>
      <c r="H3091" s="217" t="inlineStr">
        <is>
          <t>"delivery.warehouse.updateCustomer.updateSuccess": "ព័ត៌មានត្រូវបានធ្វើបច្ចុប្បន្នភាពដោយជោគជ័យ។",</t>
        </is>
      </c>
      <c r="I3091" t="inlineStr">
        <is>
          <t>ព័ត៌មានត្រូវបានធ្វើបច្ចុប្បន្នភាពដោយជោគជ័យ។</t>
        </is>
      </c>
    </row>
    <row r="3092">
      <c r="A3092" s="3" t="inlineStr">
        <is>
          <t>delivery.warehouse.updateCustomer.warehouseInfo</t>
        </is>
      </c>
      <c r="B3092" s="3" t="inlineStr">
        <is>
          <t>Thông tin kho</t>
        </is>
      </c>
      <c r="C3092" s="3" t="inlineStr">
        <is>
          <t>Warehouse information</t>
        </is>
      </c>
      <c r="D3092" s="217">
        <f>IFERROR(__xludf.DUMMYFUNCTION("GOOGLETRANSLATE(C3092,""vi"",""km"")"),"ទីក្រុងឃ្លាំង")</f>
        <v/>
      </c>
      <c r="E3092" s="3" t="n"/>
      <c r="F3092" s="3" t="inlineStr">
        <is>
          <t>ទីក្រុងឃ្លាំង</t>
        </is>
      </c>
      <c r="G3092" s="3" t="n"/>
      <c r="H3092" s="217" t="inlineStr">
        <is>
          <t>"delivery.warehouse.updateCustomer.warehouseInfo": "ទីក្រុងឃ្លាំង",</t>
        </is>
      </c>
      <c r="I3092" t="inlineStr">
        <is>
          <t>ទីក្រុងឃ្លាំង</t>
        </is>
      </c>
    </row>
    <row r="3093">
      <c r="A3093" s="3" t="inlineStr">
        <is>
          <t>delivery.warehouse.updateCustomer.yet</t>
        </is>
      </c>
      <c r="B3093" s="3" t="inlineStr">
        <is>
          <t>không</t>
        </is>
      </c>
      <c r="C3093" s="3" t="inlineStr">
        <is>
          <t>Are not</t>
        </is>
      </c>
      <c r="D3093" s="217">
        <f>IFERROR(__xludf.DUMMYFUNCTION("GOOGLETRANSLATE(C3093,""vi"",""km"")"),"មកពី")</f>
        <v/>
      </c>
      <c r="E3093" s="3" t="n"/>
      <c r="F3093" s="3" t="inlineStr">
        <is>
          <t>មកពី</t>
        </is>
      </c>
      <c r="G3093" s="3" t="n"/>
      <c r="H3093" s="217" t="inlineStr">
        <is>
          <t>"delivery.warehouse.updateCustomer.yet": "មកពី",</t>
        </is>
      </c>
      <c r="I3093" t="inlineStr">
        <is>
          <t>មកពី</t>
        </is>
      </c>
    </row>
    <row r="3094">
      <c r="A3094" s="3" t="inlineStr">
        <is>
          <t>delivery.warehouse.updateOrder.OTHER_REASONS</t>
        </is>
      </c>
      <c r="B3094" s="3" t="inlineStr">
        <is>
          <t>Lý do khác</t>
        </is>
      </c>
      <c r="C3094" s="3" t="inlineStr">
        <is>
          <t>Other reasons</t>
        </is>
      </c>
      <c r="D3094" s="217">
        <f>IFERROR(__xludf.DUMMYFUNCTION("GOOGLETRANSLATE(C3094,""vi"",""km"")"),"ហេតុផលផ្សេងទៀត")</f>
        <v/>
      </c>
      <c r="E3094" s="3" t="n"/>
      <c r="F3094" s="3" t="inlineStr">
        <is>
          <t>ហេតុផលផ្សេងទៀត</t>
        </is>
      </c>
      <c r="G3094" s="3" t="n"/>
      <c r="H3094" s="217" t="inlineStr">
        <is>
          <t>"delivery.warehouse.updateOrder.OTHER_REASONS": "ហេតុផលផ្សេងទៀត",</t>
        </is>
      </c>
      <c r="I3094" t="inlineStr">
        <is>
          <t>ហេតុផលផ្សេងទៀត</t>
        </is>
      </c>
    </row>
    <row r="3095">
      <c r="A3095" s="3" t="inlineStr">
        <is>
          <t>delivery.warehouse.updateOrder.REASON_CUSTOMER_REQUEST</t>
        </is>
      </c>
      <c r="B3095" s="3" t="inlineStr">
        <is>
          <t>Hủy đơn do khách hàng yêu cầu</t>
        </is>
      </c>
      <c r="C3095" s="3" t="inlineStr">
        <is>
          <t>Cancelled at customer’s request</t>
        </is>
      </c>
      <c r="D3095" s="217">
        <f>IFERROR(__xludf.DUMMYFUNCTION("GOOGLETRANSLATE(C3095,""vi"",""km"")"),"បានលុបចោលតាមការស្នើសុំរបស់អតិថិជន")</f>
        <v/>
      </c>
      <c r="E3095" s="3" t="n"/>
      <c r="F3095" s="3" t="inlineStr">
        <is>
          <t>បានលុបចោលតាមការស្នើសុំរបស់អតិថិជន</t>
        </is>
      </c>
      <c r="G3095" s="3" t="n"/>
      <c r="H3095" s="217" t="inlineStr">
        <is>
          <t>"delivery.warehouse.updateOrder.REASON_CUSTOMER_REQUEST": "បានលុបចោលតាមការស្នើសុំរបស់អតិថិជន",</t>
        </is>
      </c>
      <c r="I3095" t="inlineStr">
        <is>
          <t>បានលុបចោលតាមការស្នើសុំរបស់អតិថិជន</t>
        </is>
      </c>
    </row>
    <row r="3096">
      <c r="A3096" s="3" t="inlineStr">
        <is>
          <t>delivery.warehouse.updateOrder.REASON_PROHIBITED_RESTRICTED</t>
        </is>
      </c>
      <c r="B3096" s="3" t="inlineStr">
        <is>
          <t>Hàng cấm gửi/không được phép vận chuyển</t>
        </is>
      </c>
      <c r="C3096" s="3" t="inlineStr">
        <is>
          <t>Prohibited goods / Not allowed to ship</t>
        </is>
      </c>
      <c r="D3096" s="217">
        <f>IFERROR(__xludf.DUMMYFUNCTION("GOOGLETRANSLATE(C3096,""vi"",""km"")"),"ទំនិញហាមឃាត់ / មិនអនុញ្ញាតឱ្យដឹកជញ្ជូន")</f>
        <v/>
      </c>
      <c r="E3096" s="3" t="n"/>
      <c r="F3096" s="3" t="inlineStr">
        <is>
          <t>ទំនិញហាមឃាត់ / មិនអនុញ្ញាតឱ្យដឹកជញ្ជូន</t>
        </is>
      </c>
      <c r="G3096" s="3" t="n"/>
      <c r="H3096" s="217" t="inlineStr">
        <is>
          <t>"delivery.warehouse.updateOrder.REASON_PROHIBITED_RESTRICTED": "ទំនិញហាមឃាត់ / មិនអនុញ្ញាតឱ្យដឹកជញ្ជូន",</t>
        </is>
      </c>
      <c r="I3096" t="inlineStr">
        <is>
          <t>ទំនិញហាមឃាត់ / មិនអនុញ្ញាតឱ្យដឹកជញ្ជូន</t>
        </is>
      </c>
    </row>
    <row r="3097">
      <c r="A3097" s="3" t="inlineStr">
        <is>
          <t>delivery.warehouse.updateOrder.additionalServices</t>
        </is>
      </c>
      <c r="B3097" s="3" t="inlineStr">
        <is>
          <t>Dịch vụ cộng thêm ({{services}})</t>
        </is>
      </c>
      <c r="C3097" s="3" t="inlineStr">
        <is>
          <t>Dịch vụ cộng thêm ({{services}})</t>
        </is>
      </c>
      <c r="D3097" s="217">
        <f>IFERROR(__xludf.DUMMYFUNCTION("GOOGLETRANSLATE(C3097,""vi"",""km"")"),"សេវាកម្មបន្ថែម ({{services}})")</f>
        <v/>
      </c>
      <c r="E3097" s="3" t="n"/>
      <c r="F3097" s="3" t="inlineStr">
        <is>
          <t>សេវាកម្មបន្ថែម ({{services}})</t>
        </is>
      </c>
      <c r="G3097" s="3" t="n"/>
      <c r="H3097" s="217" t="inlineStr">
        <is>
          <t>"delivery.warehouse.updateOrder.additionalServices": "សេវាកម្មបន្ថែម ({{services}})",</t>
        </is>
      </c>
      <c r="I3097" t="inlineStr">
        <is>
          <t>សេវាកម្មបន្ថែម ({{services}})</t>
        </is>
      </c>
    </row>
    <row r="3098">
      <c r="A3098" s="3" t="inlineStr">
        <is>
          <t>delivery.warehouse.updateOrder.address</t>
        </is>
      </c>
      <c r="B3098" s="3" t="inlineStr">
        <is>
          <t>Địa chỉ</t>
        </is>
      </c>
      <c r="C3098" s="3" t="inlineStr">
        <is>
          <t>Address</t>
        </is>
      </c>
      <c r="D3098" s="217">
        <f>IFERROR(__xludf.DUMMYFUNCTION("GOOGLETRANSLATE(C3098,""vi"",""km"")"),"មិនត្រឹមត្រូវ")</f>
        <v/>
      </c>
      <c r="E3098" s="3" t="n"/>
      <c r="F3098" s="3" t="inlineStr">
        <is>
          <t>អាសយដ្ឋាន</t>
        </is>
      </c>
      <c r="G3098" s="3" t="n"/>
      <c r="H3098" s="217" t="inlineStr">
        <is>
          <t>"delivery.warehouse.updateOrder.address": "អាសយដ្ឋាន",</t>
        </is>
      </c>
      <c r="I3098" t="inlineStr">
        <is>
          <t>អាសយដ្ឋាន</t>
        </is>
      </c>
    </row>
    <row r="3099">
      <c r="A3099" s="3" t="inlineStr">
        <is>
          <t>delivery.warehouse.updateOrder.cancelConfirm</t>
        </is>
      </c>
      <c r="B3099" s="3" t="inlineStr">
        <is>
          <t>Bạn có chắc chắn muốn huỷ đơn hàng &lt;span class='!text-baseColor'&gt;{{ orderCode }}&lt;/span&gt;?</t>
        </is>
      </c>
      <c r="C3099" s="3" t="inlineStr">
        <is>
          <t>Are you sure you want to cancel order &lt;span class='!text-baseColor'&gt;{{ orderCode }}&lt;/span&gt;?</t>
        </is>
      </c>
      <c r="D3099" s="217">
        <f>IFERROR(__xludf.DUMMYFUNCTION("GOOGLETRANSLATE(C3099,""vi"",""km"")"),"តើអ្នកពិតជាចង់លុបចោលការបញ្ជាទិញ &lt;span class='!text-baseColor'&gt;{{ orderCode }}&lt;/span&gt; មែនទេ?")</f>
        <v/>
      </c>
      <c r="E3099" s="3" t="n"/>
      <c r="F3099" s="3" t="inlineStr">
        <is>
          <t>តើអ្នកពិតជាចង់លុបបុងចោល &lt;span class='!text-baseColor'&gt;{{ orderCode }}&lt;/span&gt; មែនទេ?</t>
        </is>
      </c>
      <c r="G3099" s="3" t="n"/>
      <c r="H3099" s="217" t="inlineStr">
        <is>
          <t>"delivery.warehouse.updateOrder.cancelConfirm": "តើអ្នកពិតជាចង់លុបបុងចោល &lt;span class='!text-baseColor'&gt;{{ orderCode }}&lt;/span&gt; មែនទេ?",</t>
        </is>
      </c>
      <c r="I3099" t="inlineStr">
        <is>
          <t>តើអ្នកពិតជាចង់លុបបុងចោល &lt;span class='!text-baseColor'&gt;{{ orderCode }}&lt;/span&gt; មែនទេ?</t>
        </is>
      </c>
    </row>
    <row r="3100">
      <c r="A3100" s="3" t="inlineStr">
        <is>
          <t>delivery.warehouse.updateOrder.cancelSuccess</t>
        </is>
      </c>
      <c r="B3100" s="3" t="inlineStr">
        <is>
          <t>Huỷ đơn hàng {{ code }} thành công</t>
        </is>
      </c>
      <c r="C3100" s="3" t="inlineStr">
        <is>
          <t>Order {{ code }} has been cancelled successfully</t>
        </is>
      </c>
      <c r="D3100" s="217">
        <f>IFERROR(__xludf.DUMMYFUNCTION("GOOGLETRANSLATE(C3100,""vi"",""km"")"),"ការបញ្ជាទិញ {{ code }} ត្រូវបានលុបចោលដោយជោគជ័យ")</f>
        <v/>
      </c>
      <c r="E3100" s="3" t="n"/>
      <c r="F3100" s="3" t="inlineStr">
        <is>
          <t>ការបញ្ជាទិញ {{ code }} ត្រូវបានលុបចោលដោយជោគជ័យ</t>
        </is>
      </c>
      <c r="G3100" s="3" t="n"/>
      <c r="H3100" s="217" t="inlineStr">
        <is>
          <t>"delivery.warehouse.updateOrder.cancelSuccess": "ការបញ្ជាទិញ {{ code }} ត្រូវបានលុបចោលដោយជោគជ័យ",</t>
        </is>
      </c>
      <c r="I3100" t="inlineStr">
        <is>
          <t>ការបញ្ជាទិញ {{ code }} ត្រូវបានលុបចោលដោយជោគជ័យ</t>
        </is>
      </c>
    </row>
    <row r="3101">
      <c r="A3101" s="3" t="inlineStr">
        <is>
          <t>delivery.warehouse.updateOrder.changeConfirm</t>
        </is>
      </c>
      <c r="B3101" s="3" t="inlineStr">
        <is>
          <t>Xác nhận thay đổi</t>
        </is>
      </c>
      <c r="C3101" s="3" t="inlineStr">
        <is>
          <t>Xác nhận thay đổi</t>
        </is>
      </c>
      <c r="D3101" s="217">
        <f>IFERROR(__xludf.DUMMYFUNCTION("GOOGLETRANSLATE(C3101,""vi"",""km"")"),"បញ្ជាក់ការផ្លាស់ប្តូរ")</f>
        <v/>
      </c>
      <c r="E3101" s="3" t="n"/>
      <c r="F3101" s="3" t="inlineStr">
        <is>
          <t>បញ្ជាក់ការផ្លាស់ប្តូរ</t>
        </is>
      </c>
      <c r="G3101" s="3" t="n"/>
      <c r="H3101" s="217" t="inlineStr">
        <is>
          <t>"delivery.warehouse.updateOrder.changeConfirm": "បញ្ជាក់ការផ្លាស់ប្តូរ",</t>
        </is>
      </c>
      <c r="I3101" t="inlineStr">
        <is>
          <t>បញ្ជាក់ការផ្លាស់ប្តូរ</t>
        </is>
      </c>
    </row>
    <row r="3102">
      <c r="A3102" s="3" t="inlineStr">
        <is>
          <t>delivery.warehouse.updateOrder.collection</t>
        </is>
      </c>
      <c r="B3102" s="3" t="inlineStr">
        <is>
          <t>Thu hộ</t>
        </is>
      </c>
      <c r="C3102" s="3" t="inlineStr">
        <is>
          <t>Thu hộ</t>
        </is>
      </c>
      <c r="D3102" s="217">
        <f>IFERROR(__xludf.DUMMYFUNCTION("GOOGLETRANSLATE(C3102,""vi"",""km"")"),"ការប្រមូល")</f>
        <v/>
      </c>
      <c r="E3102" s="3" t="n"/>
      <c r="F3102" s="3" t="inlineStr">
        <is>
          <t>ប្រមូលប្រាក់ជំនួស</t>
        </is>
      </c>
      <c r="G3102" s="3" t="n"/>
      <c r="H3102" s="217" t="inlineStr">
        <is>
          <t>"delivery.warehouse.updateOrder.collection": "ប្រមូលប្រាក់ជំនួស",</t>
        </is>
      </c>
      <c r="I3102" t="inlineStr">
        <is>
          <t>ប្រមូលប្រាក់ជំនួស</t>
        </is>
      </c>
    </row>
    <row r="3103">
      <c r="A3103" s="3" t="inlineStr">
        <is>
          <t>delivery.warehouse.updateOrder.delete</t>
        </is>
      </c>
      <c r="B3103" s="3" t="inlineStr">
        <is>
          <t>Huỷ đơn</t>
        </is>
      </c>
      <c r="C3103" s="3" t="inlineStr">
        <is>
          <t>Cancel order</t>
        </is>
      </c>
      <c r="D3103" s="217">
        <f>IFERROR(__xludf.DUMMYFUNCTION("GOOGLETRANSLATE(C3103,""vi"",""km"")"),"លុបចោលការបញ្ជាទិញ")</f>
        <v/>
      </c>
      <c r="E3103" s="3" t="n"/>
      <c r="F3103" s="3" t="inlineStr">
        <is>
          <t>លុបបុងចោល</t>
        </is>
      </c>
      <c r="G3103" s="3" t="n"/>
      <c r="H3103" s="217" t="inlineStr">
        <is>
          <t>"delivery.warehouse.updateOrder.delete": "លុបបុងចោល",</t>
        </is>
      </c>
      <c r="I3103" t="inlineStr">
        <is>
          <t>លុបបុងចោល</t>
        </is>
      </c>
    </row>
    <row r="3104">
      <c r="A3104" s="3" t="inlineStr">
        <is>
          <t>delivery.warehouse.updateOrder.deliveryCode</t>
        </is>
      </c>
      <c r="B3104" s="3" t="inlineStr">
        <is>
          <t>Mã phiếu gửi</t>
        </is>
      </c>
      <c r="C3104" s="3" t="inlineStr">
        <is>
          <t>Shipment Code</t>
        </is>
      </c>
      <c r="D3104" s="217">
        <f>IFERROR(__xludf.DUMMYFUNCTION("GOOGLETRANSLATE(C3104,""vi"",""km"")"),"លេខកូដដឹកជញ្ជូន")</f>
        <v/>
      </c>
      <c r="E3104" s="3" t="n"/>
      <c r="F3104" s="3" t="inlineStr">
        <is>
          <t>លេខកូដបុងបញ្ញើ</t>
        </is>
      </c>
      <c r="G3104" s="3" t="n"/>
      <c r="H3104" s="217" t="inlineStr">
        <is>
          <t>"delivery.warehouse.updateOrder.deliveryCode": "លេខកូដបុងបញ្ញើ",</t>
        </is>
      </c>
      <c r="I3104" t="inlineStr">
        <is>
          <t>លេខកូដបុងបញ្ញើ</t>
        </is>
      </c>
    </row>
    <row r="3105">
      <c r="A3105" s="3" t="inlineStr">
        <is>
          <t>delivery.warehouse.updateOrder.editOrder</t>
        </is>
      </c>
      <c r="B3105" s="3" t="inlineStr">
        <is>
          <t>Sửa đơn</t>
        </is>
      </c>
      <c r="C3105" s="3" t="inlineStr">
        <is>
          <t>Sửa đơn</t>
        </is>
      </c>
      <c r="D3105" s="217">
        <f>IFERROR(__xludf.DUMMYFUNCTION("GOOGLETRANSLATE(C3105,""vi"",""km"")"),"កែសម្រួលការបញ្ជាទិញ")</f>
        <v/>
      </c>
      <c r="E3105" s="3" t="n"/>
      <c r="F3105" s="3" t="inlineStr">
        <is>
          <t>កែសម្រួលការបញ្ជាទិញ</t>
        </is>
      </c>
      <c r="G3105" s="3" t="n"/>
      <c r="H3105" s="217" t="inlineStr">
        <is>
          <t>"delivery.warehouse.updateOrder.editOrder": "កែសម្រួលការបញ្ជាទិញ",</t>
        </is>
      </c>
      <c r="I3105" t="inlineStr">
        <is>
          <t>កែសម្រួលការបញ្ជាទិញ</t>
        </is>
      </c>
    </row>
    <row r="3106">
      <c r="A3106" s="3" t="inlineStr">
        <is>
          <t>delivery.warehouse.updateOrder.extraFee</t>
        </is>
      </c>
      <c r="B3106" s="3" t="inlineStr">
        <is>
          <t>Phụ phí</t>
        </is>
      </c>
      <c r="C3106" s="3" t="inlineStr">
        <is>
          <t>Phụ phí</t>
        </is>
      </c>
      <c r="D3106" s="217">
        <f>IFERROR(__xludf.DUMMYFUNCTION("GOOGLETRANSLATE(C3106,""vi"",""km"")"),"ការគិតថ្លៃបន្ថែម")</f>
        <v/>
      </c>
      <c r="E3106" s="3" t="n"/>
      <c r="F3106" s="3" t="inlineStr">
        <is>
          <t>ថ្លៃសេវាបន្ថែម</t>
        </is>
      </c>
      <c r="G3106" s="3" t="n"/>
      <c r="H3106" s="217" t="inlineStr">
        <is>
          <t>"delivery.warehouse.updateOrder.extraFee": "ថ្លៃសេវាបន្ថែម",</t>
        </is>
      </c>
      <c r="I3106" t="inlineStr">
        <is>
          <t>ថ្លៃសេវាបន្ថែម</t>
        </is>
      </c>
    </row>
    <row r="3107">
      <c r="A3107" s="3" t="inlineStr">
        <is>
          <t>delivery.warehouse.updateOrder.extraPrices</t>
        </is>
      </c>
      <c r="B3107" s="3" t="inlineStr">
        <is>
          <t>Dịch vụ cộng thêm</t>
        </is>
      </c>
      <c r="C3107" s="3" t="inlineStr">
        <is>
          <t>Dịch vụ cộng thêm</t>
        </is>
      </c>
      <c r="D3107" s="217">
        <f>IFERROR(__xludf.DUMMYFUNCTION("GOOGLETRANSLATE(C3107,""vi"",""km"")"),"សេវាកម្មបន្ថែម")</f>
        <v/>
      </c>
      <c r="E3107" s="3" t="n"/>
      <c r="F3107" s="3" t="inlineStr">
        <is>
          <t>សេវាកម្មបន្ថែម</t>
        </is>
      </c>
      <c r="G3107" s="3" t="n"/>
      <c r="H3107" s="217" t="inlineStr">
        <is>
          <t>"delivery.warehouse.updateOrder.extraPrices": "សេវាកម្មបន្ថែម",</t>
        </is>
      </c>
      <c r="I3107" t="inlineStr">
        <is>
          <t>សេវាកម្មបន្ថែម</t>
        </is>
      </c>
    </row>
    <row r="3108">
      <c r="A3108" s="3" t="inlineStr">
        <is>
          <t>delivery.warehouse.updateOrder.mainFee</t>
        </is>
      </c>
      <c r="B3108" s="3" t="inlineStr">
        <is>
          <t>Cước chính</t>
        </is>
      </c>
      <c r="C3108" s="3" t="inlineStr">
        <is>
          <t>Cước chính</t>
        </is>
      </c>
      <c r="D3108" s="217">
        <f>IFERROR(__xludf.DUMMYFUNCTION("GOOGLETRANSLATE(C3108,""vi"",""km"")"),"ថ្លៃសេវាសំខាន់")</f>
        <v/>
      </c>
      <c r="E3108" s="3" t="n"/>
      <c r="F3108" s="3" t="inlineStr">
        <is>
          <t>ថ្លៃសេវាចម្បង</t>
        </is>
      </c>
      <c r="G3108" s="3" t="n"/>
      <c r="H3108" s="217" t="inlineStr">
        <is>
          <t>"delivery.warehouse.updateOrder.mainFee": "ថ្លៃសេវាចម្បង",</t>
        </is>
      </c>
      <c r="I3108" t="inlineStr">
        <is>
          <t>ថ្លៃសេវាចម្បង</t>
        </is>
      </c>
    </row>
    <row r="3109">
      <c r="A3109" s="3" t="inlineStr">
        <is>
          <t>delivery.warehouse.updateOrder.mainService</t>
        </is>
      </c>
      <c r="B3109" s="3" t="inlineStr">
        <is>
          <t>Dịch vụ chính</t>
        </is>
      </c>
      <c r="C3109" s="3" t="inlineStr">
        <is>
          <t>Dịch vụ chính</t>
        </is>
      </c>
      <c r="D3109" s="217">
        <f>IFERROR(__xludf.DUMMYFUNCTION("GOOGLETRANSLATE(C3109,""vi"",""km"")"),"សេវាកម្មសំខាន់ៗ")</f>
        <v/>
      </c>
      <c r="E3109" s="3" t="n"/>
      <c r="F3109" s="3" t="inlineStr">
        <is>
          <t>សេវាកម្មសំខាន់ៗ</t>
        </is>
      </c>
      <c r="G3109" s="3" t="n"/>
      <c r="H3109" s="217" t="inlineStr">
        <is>
          <t>"delivery.warehouse.updateOrder.mainService": "សេវាកម្មសំខាន់ៗ",</t>
        </is>
      </c>
      <c r="I3109" t="inlineStr">
        <is>
          <t>សេវាកម្មសំខាន់ៗ</t>
        </is>
      </c>
    </row>
    <row r="3110">
      <c r="A3110" s="3" t="inlineStr">
        <is>
          <t>delivery.warehouse.updateOrder.notCancelOrder</t>
        </is>
      </c>
      <c r="B3110" s="3" t="inlineStr">
        <is>
          <t>Không thể huỷ đơn</t>
        </is>
      </c>
      <c r="C3110" s="3" t="inlineStr">
        <is>
          <t>Unable to cancel order</t>
        </is>
      </c>
      <c r="D3110" s="217">
        <f>IFERROR(__xludf.DUMMYFUNCTION("GOOGLETRANSLATE(C3110,""vi"",""km"")"),"មិនអាចលុបចោលការបញ្ជាទិញបានទេ")</f>
        <v/>
      </c>
      <c r="E3110" s="3" t="n"/>
      <c r="F3110" s="3" t="inlineStr">
        <is>
          <t>មិនអាចលុបបុងចោលបានទេ</t>
        </is>
      </c>
      <c r="G3110" s="3" t="n"/>
      <c r="H3110" s="217" t="inlineStr">
        <is>
          <t>"delivery.warehouse.updateOrder.notCancelOrder": "មិនអាចលុបបុងចោលបានទេ",</t>
        </is>
      </c>
      <c r="I3110" t="inlineStr">
        <is>
          <t>មិនអាចលុបបុងចោលបានទេ</t>
        </is>
      </c>
    </row>
    <row r="3111">
      <c r="A3111" s="3" t="inlineStr">
        <is>
          <t>delivery.warehouse.updateOrder.notEditOrder</t>
        </is>
      </c>
      <c r="B3111" s="3" t="inlineStr">
        <is>
          <t>Không thể sửa đơn</t>
        </is>
      </c>
      <c r="C3111" s="3" t="inlineStr">
        <is>
          <t>Không thể sửa đơn</t>
        </is>
      </c>
      <c r="D3111" s="217">
        <f>IFERROR(__xludf.DUMMYFUNCTION("GOOGLETRANSLATE(C3111,""vi"",""km"")"),"មិនអាចកែសម្រួលការបញ្ជាទិញបានទេ។")</f>
        <v/>
      </c>
      <c r="E3111" s="3" t="n"/>
      <c r="F3111" s="3" t="inlineStr">
        <is>
          <t>មិនអាចកែសម្រួលការបញ្ជាទិញបានទេ។</t>
        </is>
      </c>
      <c r="G3111" s="3" t="n"/>
      <c r="H3111" s="217" t="inlineStr">
        <is>
          <t>"delivery.warehouse.updateOrder.notEditOrder": "មិនអាចកែសម្រួលការបញ្ជាទិញបានទេ។",</t>
        </is>
      </c>
      <c r="I3111" t="inlineStr">
        <is>
          <t>មិនអាចកែសម្រួលការបញ្ជាទិញបានទេ។</t>
        </is>
      </c>
    </row>
    <row r="3112">
      <c r="A3112" s="3" t="inlineStr">
        <is>
          <t>delivery.warehouse.updateOrder.notOrderRevenue</t>
        </is>
      </c>
      <c r="B3112" s="3" t="inlineStr">
        <is>
          <t>Đơn hàng chưa đươc nhập doanh thu!</t>
        </is>
      </c>
      <c r="C3112" s="3" t="inlineStr">
        <is>
          <t>Order revenue has not been recorded!</t>
        </is>
      </c>
      <c r="D3112" s="217">
        <f>IFERROR(__xludf.DUMMYFUNCTION("GOOGLETRANSLATE(C3112,""vi"",""km"")"),"ចំណូលពីការបញ្ជាទិញមិនទាន់ត្រូវបានកត់ត្រាទុកទេ!")</f>
        <v/>
      </c>
      <c r="E3112" s="3" t="n"/>
      <c r="F3112" s="3" t="inlineStr">
        <is>
          <t>ចំណូលពីការបញ្ជាទិញមិនទាន់ត្រូវបានកត់ត្រាទុកទេ!</t>
        </is>
      </c>
      <c r="G3112" s="3" t="n"/>
      <c r="H3112" s="217" t="inlineStr">
        <is>
          <t>"delivery.warehouse.updateOrder.notOrderRevenue": "ចំណូលពីការបញ្ជាទិញមិនទាន់ត្រូវបានកត់ត្រាទុកទេ!",</t>
        </is>
      </c>
      <c r="I3112" t="inlineStr">
        <is>
          <t>ចំណូលពីការបញ្ជាទិញមិនទាន់ត្រូវបានកត់ត្រាទុកទេ!</t>
        </is>
      </c>
    </row>
    <row r="3113">
      <c r="A3113" s="3" t="inlineStr">
        <is>
          <t>delivery.warehouse.updateOrder.orderAmount</t>
        </is>
      </c>
      <c r="B3113" s="3" t="inlineStr">
        <is>
          <t>Giá trị</t>
        </is>
      </c>
      <c r="C3113" s="3" t="inlineStr">
        <is>
          <t>Giá trị</t>
        </is>
      </c>
      <c r="D3113" s="217">
        <f>IFERROR(__xludf.DUMMYFUNCTION("GOOGLETRANSLATE(C3113,""vi"",""km"")"),"តម្លៃ")</f>
        <v/>
      </c>
      <c r="E3113" s="3" t="n"/>
      <c r="F3113" s="3" t="inlineStr">
        <is>
          <t>តម្លៃ</t>
        </is>
      </c>
      <c r="G3113" s="3" t="n"/>
      <c r="H3113" s="217" t="inlineStr">
        <is>
          <t>"delivery.warehouse.updateOrder.orderAmount": "តម្លៃ",</t>
        </is>
      </c>
      <c r="I3113" t="inlineStr">
        <is>
          <t>តម្លៃ</t>
        </is>
      </c>
    </row>
    <row r="3114">
      <c r="A3114" s="3" t="inlineStr">
        <is>
          <t>delivery.warehouse.updateOrder.orderConvertWeight</t>
        </is>
      </c>
      <c r="B3114" s="3" t="inlineStr">
        <is>
          <t>Trọng lượng quy đổi</t>
        </is>
      </c>
      <c r="C3114" s="3" t="inlineStr">
        <is>
          <t>Trọng lượng quy đổi</t>
        </is>
      </c>
      <c r="D3114" s="217">
        <f>IFERROR(__xludf.DUMMYFUNCTION("GOOGLETRANSLATE(C3114,""vi"",""km"")"),"ទម្ងន់ដែលបានបម្លែង")</f>
        <v/>
      </c>
      <c r="E3114" s="3" t="n"/>
      <c r="F3114" s="3" t="inlineStr">
        <is>
          <t>ទម្ងន់ដែលបានបម្លែង</t>
        </is>
      </c>
      <c r="G3114" s="3" t="n"/>
      <c r="H3114" s="217" t="inlineStr">
        <is>
          <t>"delivery.warehouse.updateOrder.orderConvertWeight": "ទម្ងន់ដែលបានបម្លែង",</t>
        </is>
      </c>
      <c r="I3114" t="inlineStr">
        <is>
          <t>ទម្ងន់ដែលបានបម្លែង</t>
        </is>
      </c>
    </row>
    <row r="3115">
      <c r="A3115" s="3" t="inlineStr">
        <is>
          <t>delivery.warehouse.updateOrder.orderName</t>
        </is>
      </c>
      <c r="B3115" s="3" t="inlineStr">
        <is>
          <t>Tên hàng hoá</t>
        </is>
      </c>
      <c r="C3115" s="3" t="inlineStr">
        <is>
          <t>Tên hàng hoá</t>
        </is>
      </c>
      <c r="D3115" s="217">
        <f>IFERROR(__xludf.DUMMYFUNCTION("GOOGLETRANSLATE(C3115,""vi"",""km"")"),"ឈ្មោះផលិតផល")</f>
        <v/>
      </c>
      <c r="E3115" s="3" t="n"/>
      <c r="F3115" s="3" t="inlineStr">
        <is>
          <t>ឈ្មោះផលិតផល</t>
        </is>
      </c>
      <c r="G3115" s="3" t="n"/>
      <c r="H3115" s="217" t="inlineStr">
        <is>
          <t>"delivery.warehouse.updateOrder.orderName": "ឈ្មោះផលិតផល",</t>
        </is>
      </c>
      <c r="I3115" t="inlineStr">
        <is>
          <t>ឈ្មោះផលិតផល</t>
        </is>
      </c>
    </row>
    <row r="3116">
      <c r="A3116" s="3" t="inlineStr">
        <is>
          <t>delivery.warehouse.updateOrder.orderNotFound</t>
        </is>
      </c>
      <c r="B3116" s="3" t="inlineStr">
        <is>
          <t>Không tìm thấy kết quả phù hợp!</t>
        </is>
      </c>
      <c r="C3116" s="3" t="inlineStr">
        <is>
          <t>No matching results found!</t>
        </is>
      </c>
      <c r="D3116" s="217">
        <f>IFERROR(__xludf.DUMMYFUNCTION("GOOGLETRANSLATE(C3116,""vi"",""km"")"),"រកមិនឃើញលទ្ធផលដែលត្រូវគ្នាទេ!")</f>
        <v/>
      </c>
      <c r="E3116" s="3" t="n"/>
      <c r="F3116" s="3" t="inlineStr">
        <is>
          <t>រកមិនឃើញលទ្ធផលដែលត្រូវគ្នាទេ!</t>
        </is>
      </c>
      <c r="G3116" s="3" t="n"/>
      <c r="H3116" s="217" t="inlineStr">
        <is>
          <t>"delivery.warehouse.updateOrder.orderNotFound": "រកមិនឃើញលទ្ធផលដែលត្រូវគ្នាទេ!",</t>
        </is>
      </c>
      <c r="I3116" t="inlineStr">
        <is>
          <t>រកមិនឃើញលទ្ធផលដែលត្រូវគ្នាទេ!</t>
        </is>
      </c>
    </row>
    <row r="3117">
      <c r="A3117" s="3" t="inlineStr">
        <is>
          <t>delivery.warehouse.updateOrder.orderSize</t>
        </is>
      </c>
      <c r="B3117" s="3" t="inlineStr">
        <is>
          <t>Kích thước hàng hoá</t>
        </is>
      </c>
      <c r="C3117" s="3" t="inlineStr">
        <is>
          <t>Kích thước hàng hoá</t>
        </is>
      </c>
      <c r="D3117" s="217">
        <f>IFERROR(__xludf.DUMMYFUNCTION("GOOGLETRANSLATE(C3117,""vi"",""km"")"),"វិមាត្រផលិតផល")</f>
        <v/>
      </c>
      <c r="E3117" s="3" t="n"/>
      <c r="F3117" s="3" t="inlineStr">
        <is>
          <t>វិមាត្រផលិតផល</t>
        </is>
      </c>
      <c r="G3117" s="3" t="n"/>
      <c r="H3117" s="217" t="inlineStr">
        <is>
          <t>"delivery.warehouse.updateOrder.orderSize": "វិមាត្រផលិតផល",</t>
        </is>
      </c>
      <c r="I3117" t="inlineStr">
        <is>
          <t>វិមាត្រផលិតផល</t>
        </is>
      </c>
    </row>
    <row r="3118">
      <c r="A3118" s="3" t="inlineStr">
        <is>
          <t>delivery.warehouse.updateOrder.orderType</t>
        </is>
      </c>
      <c r="B3118" s="3" t="inlineStr">
        <is>
          <t>Loại hàng hoá</t>
        </is>
      </c>
      <c r="C3118" s="3" t="inlineStr">
        <is>
          <t>Loại hàng hoá</t>
        </is>
      </c>
      <c r="D3118" s="217">
        <f>IFERROR(__xludf.DUMMYFUNCTION("GOOGLETRANSLATE(C3118,""vi"",""km"")"),"ប្រភេទទំនិញ")</f>
        <v/>
      </c>
      <c r="E3118" s="3" t="n"/>
      <c r="F3118" s="3" t="inlineStr">
        <is>
          <t>ប្រភេទទំនិញ</t>
        </is>
      </c>
      <c r="G3118" s="3" t="n"/>
      <c r="H3118" s="217" t="inlineStr">
        <is>
          <t>"delivery.warehouse.updateOrder.orderType": "ប្រភេទទំនិញ",</t>
        </is>
      </c>
      <c r="I3118" t="inlineStr">
        <is>
          <t>ប្រភេទទំនិញ</t>
        </is>
      </c>
    </row>
    <row r="3119">
      <c r="A3119" s="3" t="inlineStr">
        <is>
          <t>delivery.warehouse.updateOrder.orderWeight</t>
        </is>
      </c>
      <c r="B3119" s="3" t="inlineStr">
        <is>
          <t>Khối lượng</t>
        </is>
      </c>
      <c r="C3119" s="3" t="inlineStr">
        <is>
          <t>Khối lượng</t>
        </is>
      </c>
      <c r="D3119" s="217">
        <f>IFERROR(__xludf.DUMMYFUNCTION("GOOGLETRANSLATE(C3119,""vi"",""km"")"),"ម៉ាស")</f>
        <v/>
      </c>
      <c r="E3119" s="3" t="n"/>
      <c r="F3119" s="3" t="inlineStr">
        <is>
          <t>ទម្ងន់</t>
        </is>
      </c>
      <c r="G3119" s="3" t="n"/>
      <c r="H3119" s="217" t="inlineStr">
        <is>
          <t>"delivery.warehouse.updateOrder.orderWeight": "ទម្ងន់",</t>
        </is>
      </c>
      <c r="I3119" t="inlineStr">
        <is>
          <t>ទម្ងន់</t>
        </is>
      </c>
    </row>
    <row r="3120">
      <c r="A3120" s="3" t="inlineStr">
        <is>
          <t>delivery.warehouse.updateOrder.parcel</t>
        </is>
      </c>
      <c r="B3120" s="3" t="inlineStr">
        <is>
          <t>Hàng hoá</t>
        </is>
      </c>
      <c r="C3120" s="3" t="inlineStr">
        <is>
          <t>Parcel / Goods</t>
        </is>
      </c>
      <c r="D3120" s="217">
        <f>IFERROR(__xludf.DUMMYFUNCTION("GOOGLETRANSLATE(C3120,""vi"",""km"")"),"កញ្ចប់/ទំនិញ")</f>
        <v/>
      </c>
      <c r="E3120" s="3" t="n"/>
      <c r="F3120" s="3" t="inlineStr">
        <is>
          <t>កញ្ចប់/ទំនិញ</t>
        </is>
      </c>
      <c r="G3120" s="3" t="n"/>
      <c r="H3120" s="217" t="inlineStr">
        <is>
          <t>"delivery.warehouse.updateOrder.parcel": "កញ្ចប់/ទំនិញ",</t>
        </is>
      </c>
      <c r="I3120" t="inlineStr">
        <is>
          <t>កញ្ចប់/ទំនិញ</t>
        </is>
      </c>
    </row>
    <row r="3121">
      <c r="A3121" s="3" t="inlineStr">
        <is>
          <t>delivery.warehouse.updateOrder.parcelInfo</t>
        </is>
      </c>
      <c r="B3121" s="3" t="inlineStr">
        <is>
          <t>Thông tin hàng hoá</t>
        </is>
      </c>
      <c r="C3121" s="3" t="inlineStr">
        <is>
          <t>Thông tin hàng hoá</t>
        </is>
      </c>
      <c r="D3121" s="217">
        <f>IFERROR(__xludf.DUMMYFUNCTION("GOOGLETRANSLATE(C3121,""vi"",""km"")"),"ព័ត៌មានផលិតផល")</f>
        <v/>
      </c>
      <c r="E3121" s="3" t="n"/>
      <c r="F3121" s="3" t="inlineStr">
        <is>
          <t>ព័ត៌មានផលិតផល</t>
        </is>
      </c>
      <c r="G3121" s="3" t="n"/>
      <c r="H3121" s="217" t="inlineStr">
        <is>
          <t>"delivery.warehouse.updateOrder.parcelInfo": "ព័ត៌មានផលិតផល",</t>
        </is>
      </c>
      <c r="I3121" t="inlineStr">
        <is>
          <t>ព័ត៌មានផលិតផល</t>
        </is>
      </c>
    </row>
    <row r="3122">
      <c r="A3122" s="3" t="inlineStr">
        <is>
          <t>delivery.warehouse.updateOrder.reasonOtherError</t>
        </is>
      </c>
      <c r="B3122" s="3" t="inlineStr">
        <is>
          <t>Vui lòng nhập lý do khác</t>
        </is>
      </c>
      <c r="C3122" s="3" t="inlineStr">
        <is>
          <t>Please enter another reason</t>
        </is>
      </c>
      <c r="D3122" s="217">
        <f>IFERROR(__xludf.DUMMYFUNCTION("GOOGLETRANSLATE(C3122,""vi"",""km"")"),"សូមបញ្ចូលហេតុផលផ្សេងទៀត")</f>
        <v/>
      </c>
      <c r="E3122" s="3" t="n"/>
      <c r="F3122" s="3" t="inlineStr">
        <is>
          <t>សូមបញ្ចូលហេតុផលផ្សេងទៀត</t>
        </is>
      </c>
      <c r="G3122" s="3" t="n"/>
      <c r="H3122" s="217" t="inlineStr">
        <is>
          <t>"delivery.warehouse.updateOrder.reasonOtherError": "សូមបញ្ចូលហេតុផលផ្សេងទៀត",</t>
        </is>
      </c>
      <c r="I3122" t="inlineStr">
        <is>
          <t>សូមបញ្ចូលហេតុផលផ្សេងទៀត</t>
        </is>
      </c>
    </row>
    <row r="3123">
      <c r="A3123" s="3" t="inlineStr">
        <is>
          <t>delivery.warehouse.updateOrder.reasonRequired</t>
        </is>
      </c>
      <c r="B3123" s="3" t="inlineStr">
        <is>
          <t>Vui lòng chọn lý do huỷ đơn</t>
        </is>
      </c>
      <c r="C3123" s="3" t="inlineStr">
        <is>
          <t>Please select a cancellation reason</t>
        </is>
      </c>
      <c r="D3123" s="217">
        <f>IFERROR(__xludf.DUMMYFUNCTION("GOOGLETRANSLATE(C3123,""vi"",""km"")"),"សូមជ្រើសរើសមូលហេតុនៃការលុបចោល")</f>
        <v/>
      </c>
      <c r="E3123" s="3" t="n"/>
      <c r="F3123" s="3" t="inlineStr">
        <is>
          <t>សូមជ្រើសរើសមូលហេតុនៃការលុបចោល</t>
        </is>
      </c>
      <c r="G3123" s="3" t="n"/>
      <c r="H3123" s="217" t="inlineStr">
        <is>
          <t>"delivery.warehouse.updateOrder.reasonRequired": "សូមជ្រើសរើសមូលហេតុនៃការលុបចោល",</t>
        </is>
      </c>
      <c r="I3123" t="inlineStr">
        <is>
          <t>សូមជ្រើសរើសមូលហេតុនៃការលុបចោល</t>
        </is>
      </c>
    </row>
    <row r="3124">
      <c r="A3124" s="3" t="inlineStr">
        <is>
          <t>delivery.warehouse.updateOrder.reasonTitle</t>
        </is>
      </c>
      <c r="B3124" s="3" t="inlineStr">
        <is>
          <t>Lý do hủy đơn</t>
        </is>
      </c>
      <c r="C3124" s="3" t="inlineStr">
        <is>
          <t>Cancellation reason</t>
        </is>
      </c>
      <c r="D3124" s="217">
        <f>IFERROR(__xludf.DUMMYFUNCTION("GOOGLETRANSLATE(C3124,""vi"",""km"")"),"មូលហេតុនៃការលុបចោល")</f>
        <v/>
      </c>
      <c r="E3124" s="3" t="n"/>
      <c r="F3124" s="3" t="inlineStr">
        <is>
          <t>មូលហេតុនៃការលុបចោល</t>
        </is>
      </c>
      <c r="G3124" s="3" t="n"/>
      <c r="H3124" s="217" t="inlineStr">
        <is>
          <t>"delivery.warehouse.updateOrder.reasonTitle": "មូលហេតុនៃការលុបចោល",</t>
        </is>
      </c>
      <c r="I3124" t="inlineStr">
        <is>
          <t>មូលហេតុនៃការលុបចោល</t>
        </is>
      </c>
    </row>
    <row r="3125">
      <c r="A3125" s="3" t="inlineStr">
        <is>
          <t>delivery.warehouse.updateOrder.searchPlaceholder</t>
        </is>
      </c>
      <c r="B3125" s="3" t="inlineStr">
        <is>
          <t>Nhập mã đơn hàng</t>
        </is>
      </c>
      <c r="C3125" s="3" t="inlineStr">
        <is>
          <t>Enter order code</t>
        </is>
      </c>
      <c r="D3125" s="217">
        <f>IFERROR(__xludf.DUMMYFUNCTION("GOOGLETRANSLATE(C3125,""vi"",""km"")"),"បញ្ចូលលេខកូដបញ្ជាទិញ")</f>
        <v/>
      </c>
      <c r="E3125" s="3" t="n"/>
      <c r="F3125" s="3" t="inlineStr">
        <is>
          <t>បញ្ចូលលេខកូដបញ្ជាទិញ</t>
        </is>
      </c>
      <c r="G3125" s="3" t="n"/>
      <c r="H3125" s="217" t="inlineStr">
        <is>
          <t>"delivery.warehouse.updateOrder.searchPlaceholder": "បញ្ចូលលេខកូដបញ្ជាទិញ",</t>
        </is>
      </c>
      <c r="I3125" t="inlineStr">
        <is>
          <t>បញ្ចូលលេខកូដបញ្ជាទិញ</t>
        </is>
      </c>
    </row>
    <row r="3126">
      <c r="A3126" s="3" t="inlineStr">
        <is>
          <t>delivery.warehouse.updateOrder.sender</t>
        </is>
      </c>
      <c r="B3126" s="3" t="inlineStr">
        <is>
          <t>Người gửi</t>
        </is>
      </c>
      <c r="C3126" s="3" t="inlineStr">
        <is>
          <t>Sender</t>
        </is>
      </c>
      <c r="D3126" s="217">
        <f>IFERROR(__xludf.DUMMYFUNCTION("GOOGLETRANSLATE(C3126,""vi"",""km"")"),"អ្នកផ្ញើ")</f>
        <v/>
      </c>
      <c r="E3126" s="3" t="n"/>
      <c r="F3126" s="3" t="inlineStr">
        <is>
          <t>អ្នកផ្ញើ</t>
        </is>
      </c>
      <c r="G3126" s="3" t="n"/>
      <c r="H3126" s="217" t="inlineStr">
        <is>
          <t>"delivery.warehouse.updateOrder.sender": "អ្នកផ្ញើ",</t>
        </is>
      </c>
      <c r="I3126" t="inlineStr">
        <is>
          <t>អ្នកផ្ញើ</t>
        </is>
      </c>
    </row>
    <row r="3127">
      <c r="A3127" s="3" t="inlineStr">
        <is>
          <t>delivery.warehouse.updateOrder.senderReceiverInfo</t>
        </is>
      </c>
      <c r="B3127" s="3" t="inlineStr">
        <is>
          <t>Thông tin gửi nhận</t>
        </is>
      </c>
      <c r="C3127" s="3" t="inlineStr">
        <is>
          <t>Thông tin gửi nhận</t>
        </is>
      </c>
      <c r="D3127" s="217">
        <f>IFERROR(__xludf.DUMMYFUNCTION("GOOGLETRANSLATE(C3127,""vi"",""km"")"),"ព័ត៌មានដែលបានផ្ញើ និងទទួល")</f>
        <v/>
      </c>
      <c r="E3127" s="3" t="n"/>
      <c r="F3127" s="3" t="inlineStr">
        <is>
          <t>ព័ត៌មានដែលបានផ្ញើ និងទទួល</t>
        </is>
      </c>
      <c r="G3127" s="3" t="n"/>
      <c r="H3127" s="217" t="inlineStr">
        <is>
          <t>"delivery.warehouse.updateOrder.senderReceiverInfo": "ព័ត៌មានដែលបានផ្ញើ និងទទួល",</t>
        </is>
      </c>
      <c r="I3127" t="inlineStr">
        <is>
          <t>ព័ត៌មានដែលបានផ្ញើ និងទទួល</t>
        </is>
      </c>
    </row>
    <row r="3128">
      <c r="A3128" s="3" t="inlineStr">
        <is>
          <t>delivery.warehouse.updateOrder.service</t>
        </is>
      </c>
      <c r="B3128" s="3" t="inlineStr">
        <is>
          <t>Dịch vụ</t>
        </is>
      </c>
      <c r="C3128" s="3" t="inlineStr">
        <is>
          <t>Service</t>
        </is>
      </c>
      <c r="D3128" s="217">
        <f>IFERROR(__xludf.DUMMYFUNCTION("GOOGLETRANSLATE(C3128,""vi"",""km"")"),"សេវាកម្ម")</f>
        <v/>
      </c>
      <c r="E3128" s="3" t="n"/>
      <c r="F3128" s="3" t="inlineStr">
        <is>
          <t>សេវាកម្ម</t>
        </is>
      </c>
      <c r="G3128" s="3" t="n"/>
      <c r="H3128" s="217" t="inlineStr">
        <is>
          <t>"delivery.warehouse.updateOrder.service": "សេវាកម្ម",</t>
        </is>
      </c>
      <c r="I3128" t="inlineStr">
        <is>
          <t>សេវាកម្ម</t>
        </is>
      </c>
    </row>
    <row r="3129">
      <c r="A3129" s="3" t="inlineStr">
        <is>
          <t>delivery.warehouse.updateOrder.shippingDate</t>
        </is>
      </c>
      <c r="B3129" s="3" t="inlineStr">
        <is>
          <t>Ngày gửi</t>
        </is>
      </c>
      <c r="C3129" s="3" t="inlineStr">
        <is>
          <t>Ngày gửi</t>
        </is>
      </c>
      <c r="D3129" s="217">
        <f>IFERROR(__xludf.DUMMYFUNCTION("GOOGLETRANSLATE(C3129,""vi"",""km"")"),"កាលបរិច្ឆេទដែលបានផ្ញើ")</f>
        <v/>
      </c>
      <c r="E3129" s="3" t="n"/>
      <c r="F3129" s="3" t="inlineStr">
        <is>
          <t>កាលបរិច្ឆេទផ្ញើ</t>
        </is>
      </c>
      <c r="G3129" s="3" t="n"/>
      <c r="H3129" s="217" t="inlineStr">
        <is>
          <t>"delivery.warehouse.updateOrder.shippingDate": "កាលបរិច្ឆេទផ្ញើ",</t>
        </is>
      </c>
      <c r="I3129" t="inlineStr">
        <is>
          <t>កាលបរិច្ឆេទផ្ញើ</t>
        </is>
      </c>
    </row>
    <row r="3130">
      <c r="A3130" s="3" t="inlineStr">
        <is>
          <t>delivery.warehouse.updateOrder.shippingFee</t>
        </is>
      </c>
      <c r="B3130" s="3" t="inlineStr">
        <is>
          <t>Cước phí</t>
        </is>
      </c>
      <c r="C3130" s="3" t="inlineStr">
        <is>
          <t>Cước phí</t>
        </is>
      </c>
      <c r="D3130" s="217">
        <f>IFERROR(__xludf.DUMMYFUNCTION("GOOGLETRANSLATE(C3130,""vi"",""km"")"),"ថ្លៃដឹកជញ្ជូន")</f>
        <v/>
      </c>
      <c r="E3130" s="3" t="n"/>
      <c r="F3130" s="3" t="inlineStr">
        <is>
          <t>ថ្លៃដឹកជញ្ជូន</t>
        </is>
      </c>
      <c r="G3130" s="3" t="n"/>
      <c r="H3130" s="217" t="inlineStr">
        <is>
          <t>"delivery.warehouse.updateOrder.shippingFee": "ថ្លៃដឹកជញ្ជូន",</t>
        </is>
      </c>
      <c r="I3130" t="inlineStr">
        <is>
          <t>ថ្លៃដឹកជញ្ជូន</t>
        </is>
      </c>
    </row>
    <row r="3131">
      <c r="A3131" s="3" t="inlineStr">
        <is>
          <t>delivery.warehouse.updateOrder.shippingNote</t>
        </is>
      </c>
      <c r="B3131" s="3" t="inlineStr">
        <is>
          <t>Phiếu gửi</t>
        </is>
      </c>
      <c r="C3131" s="3" t="inlineStr">
        <is>
          <t>Phiếu gửi</t>
        </is>
      </c>
      <c r="D3131" s="217">
        <f>IFERROR(__xludf.DUMMYFUNCTION("GOOGLETRANSLATE(C3131,""vi"",""km"")"),"កំណត់ចំណាំដឹកជញ្ជូន")</f>
        <v/>
      </c>
      <c r="E3131" s="3" t="n"/>
      <c r="F3131" s="3" t="inlineStr">
        <is>
          <t>បុងបញ្ញើ</t>
        </is>
      </c>
      <c r="G3131" s="3" t="n"/>
      <c r="H3131" s="217" t="inlineStr">
        <is>
          <t>"delivery.warehouse.updateOrder.shippingNote": "បុងបញ្ញើ",</t>
        </is>
      </c>
      <c r="I3131" t="inlineStr">
        <is>
          <t>បុងបញ្ញើ</t>
        </is>
      </c>
    </row>
    <row r="3132">
      <c r="A3132" s="3" t="inlineStr">
        <is>
          <t>delivery.warehouse.updateOrder.status</t>
        </is>
      </c>
      <c r="B3132" s="3" t="inlineStr">
        <is>
          <t>Trạng thái</t>
        </is>
      </c>
      <c r="C3132" s="3" t="inlineStr">
        <is>
          <t>Status</t>
        </is>
      </c>
      <c r="D3132" s="217">
        <f>IFERROR(__xludf.DUMMYFUNCTION("GOOGLETRANSLATE(C3132,""vi"",""km"")"),"ស្ថានភាព")</f>
        <v/>
      </c>
      <c r="E3132" s="3" t="n"/>
      <c r="F3132" s="3" t="inlineStr">
        <is>
          <t>ស្ថានភាព</t>
        </is>
      </c>
      <c r="G3132" s="3" t="n"/>
      <c r="H3132" s="217" t="inlineStr">
        <is>
          <t>"delivery.warehouse.updateOrder.status": "ស្ថានភាព",</t>
        </is>
      </c>
      <c r="I3132" t="inlineStr">
        <is>
          <t>ស្ថានភាព</t>
        </is>
      </c>
    </row>
    <row r="3133">
      <c r="A3133" s="3" t="inlineStr">
        <is>
          <t>delivery.warehouse.updateOrder.totalAmount</t>
        </is>
      </c>
      <c r="B3133" s="3" t="inlineStr">
        <is>
          <t>Tổng tiền</t>
        </is>
      </c>
      <c r="C3133" s="3" t="inlineStr">
        <is>
          <t>Tổng tiền</t>
        </is>
      </c>
      <c r="D3133" s="217">
        <f>IFERROR(__xludf.DUMMYFUNCTION("GOOGLETRANSLATE(C3133,""vi"",""km"")"),"ចំនួនទឹកប្រាក់សរុប")</f>
        <v/>
      </c>
      <c r="E3133" s="3" t="n"/>
      <c r="F3133" s="3" t="inlineStr">
        <is>
          <t>ចំនួនទឹកប្រាក់សរុប</t>
        </is>
      </c>
      <c r="G3133" s="3" t="n"/>
      <c r="H3133" s="217" t="inlineStr">
        <is>
          <t>"delivery.warehouse.updateOrder.totalAmount": "ចំនួនទឹកប្រាក់សរុប",</t>
        </is>
      </c>
      <c r="I3133" t="inlineStr">
        <is>
          <t>ចំនួនទឹកប្រាក់សរុប</t>
        </is>
      </c>
    </row>
    <row r="3134">
      <c r="A3134" s="3" t="inlineStr">
        <is>
          <t>delivery.warehouse.updateOrder.totalAmountUnit</t>
        </is>
      </c>
      <c r="B3134" s="3" t="inlineStr">
        <is>
          <t>Tổng tiền ({{money_unit}})</t>
        </is>
      </c>
      <c r="C3134" s="3" t="inlineStr">
        <is>
          <t>Total Amount ({{money_unit}})</t>
        </is>
      </c>
      <c r="D3134" s="217">
        <f>IFERROR(__xludf.DUMMYFUNCTION("GOOGLETRANSLATE(C3134,""vi"",""km"")"),"ចំនួនទឹកប្រាក់សរុប ({{money_unit}})")</f>
        <v/>
      </c>
      <c r="E3134" s="3" t="n"/>
      <c r="F3134" s="3" t="inlineStr">
        <is>
          <t>ចំនួនទឹកប្រាក់សរុប ({{money_unit}})</t>
        </is>
      </c>
      <c r="G3134" s="3" t="n"/>
      <c r="H3134" s="217" t="inlineStr">
        <is>
          <t>"delivery.warehouse.updateOrder.totalAmountUnit": "ចំនួនទឹកប្រាក់សរុប ({{money_unit}})",</t>
        </is>
      </c>
      <c r="I3134" t="inlineStr">
        <is>
          <t>ចំនួនទឹកប្រាក់សរុប ({{money_unit}})</t>
        </is>
      </c>
    </row>
    <row r="3135">
      <c r="A3135" s="3" t="inlineStr">
        <is>
          <t>delivery.warehouse.updateOrder.totalLabel</t>
        </is>
      </c>
      <c r="B3135" s="3" t="inlineStr">
        <is>
          <t>Tổng tiền hiện tại ({{unit}})</t>
        </is>
      </c>
      <c r="C3135" s="3" t="inlineStr">
        <is>
          <t>Tổng tiền hiện tại ({{unit}})</t>
        </is>
      </c>
      <c r="D3135" s="217">
        <f>IFERROR(__xludf.DUMMYFUNCTION("GOOGLETRANSLATE(C3135,""vi"",""km"")"),"ចំនួនទឹកប្រាក់សរុបបច្ចុប្បន្ន ({{unit}})")</f>
        <v/>
      </c>
      <c r="E3135" s="3" t="n"/>
      <c r="F3135" s="3" t="inlineStr">
        <is>
          <t>ចំនួនទឹកប្រាក់សរុបបច្ចុប្បន្ន ({{unit}})</t>
        </is>
      </c>
      <c r="G3135" s="3" t="n"/>
      <c r="H3135" s="217" t="inlineStr">
        <is>
          <t>"delivery.warehouse.updateOrder.totalLabel": "ចំនួនទឹកប្រាក់សរុបបច្ចុប្បន្ន ({{unit}})",</t>
        </is>
      </c>
      <c r="I3135" t="inlineStr">
        <is>
          <t>ចំនួនទឹកប្រាក់សរុបបច្ចុប្បន្ន ({{unit}})</t>
        </is>
      </c>
    </row>
    <row r="3136">
      <c r="A3136" s="3" t="inlineStr">
        <is>
          <t>delivery.warehouse.updateOrder.totalShippingFee</t>
        </is>
      </c>
      <c r="B3136" s="3" t="inlineStr">
        <is>
          <t>Tổng cước</t>
        </is>
      </c>
      <c r="C3136" s="3" t="inlineStr">
        <is>
          <t>Tổng cước</t>
        </is>
      </c>
      <c r="D3136" s="217">
        <f>IFERROR(__xludf.DUMMYFUNCTION("GOOGLETRANSLATE(C3136,""vi"",""km"")"),"ការគិតថ្លៃសរុប")</f>
        <v/>
      </c>
      <c r="E3136" s="3" t="n"/>
      <c r="F3136" s="3" t="inlineStr">
        <is>
          <t>ថ្លៃដឹកជញ្ជូនសរុប</t>
        </is>
      </c>
      <c r="G3136" s="3" t="n"/>
      <c r="H3136" s="217" t="inlineStr">
        <is>
          <t>"delivery.warehouse.updateOrder.totalShippingFee": "ថ្លៃដឹកជញ្ជូនសរុប",</t>
        </is>
      </c>
      <c r="I3136" t="inlineStr">
        <is>
          <t>ថ្លៃដឹកជញ្ជូនសរុប</t>
        </is>
      </c>
    </row>
    <row r="3137">
      <c r="A3137" s="3" t="inlineStr">
        <is>
          <t>delivery.warehouse.updateOrder.update</t>
        </is>
      </c>
      <c r="B3137" s="3" t="inlineStr">
        <is>
          <t>Chỉnh sửa</t>
        </is>
      </c>
      <c r="C3137" s="3" t="inlineStr">
        <is>
          <t>Update</t>
        </is>
      </c>
      <c r="D3137" s="217">
        <f>IFERROR(__xludf.DUMMYFUNCTION("GOOGLETRANSLATE(C3137,""vi"",""km"")"),"ធ្វើបច្ចុប្បន្នភាព")</f>
        <v/>
      </c>
      <c r="E3137" s="3" t="n"/>
      <c r="F3137" s="3" t="inlineStr">
        <is>
          <t>ធ្វើបច្ចុប្បន្នភាព</t>
        </is>
      </c>
      <c r="G3137" s="3" t="n"/>
      <c r="H3137" s="217" t="inlineStr">
        <is>
          <t>"delivery.warehouse.updateOrder.update": "ធ្វើបច្ចុប្បន្នភាព",</t>
        </is>
      </c>
      <c r="I3137" t="inlineStr">
        <is>
          <t>ធ្វើបច្ចុប្បន្នភាព</t>
        </is>
      </c>
    </row>
    <row r="3138">
      <c r="A3138" s="3" t="inlineStr">
        <is>
          <t>delivery.warehouse.updateOrder.updateConfirm</t>
        </is>
      </c>
      <c r="B3138" s="3" t="inlineStr">
        <is>
          <t>Cập nhật sửa đổi</t>
        </is>
      </c>
      <c r="C3138" s="3" t="inlineStr">
        <is>
          <t>Cập nhật sửa đổi</t>
        </is>
      </c>
      <c r="D3138" s="217">
        <f>IFERROR(__xludf.DUMMYFUNCTION("GOOGLETRANSLATE(C3138,""vi"",""km"")"),"ធ្វើបច្ចុប្បន្នភាពកំណែ")</f>
        <v/>
      </c>
      <c r="E3138" s="3" t="n"/>
      <c r="F3138" s="3" t="inlineStr">
        <is>
          <t>ធ្វើបច្ចុប្បន្នភាពកំណែ</t>
        </is>
      </c>
      <c r="G3138" s="3" t="n"/>
      <c r="H3138" s="217" t="inlineStr">
        <is>
          <t>"delivery.warehouse.updateOrder.updateConfirm": "ធ្វើបច្ចុប្បន្នភាពកំណែ",</t>
        </is>
      </c>
      <c r="I3138" t="inlineStr">
        <is>
          <t>ធ្វើបច្ចុប្បន្នភាពកំណែ</t>
        </is>
      </c>
    </row>
    <row r="3139">
      <c r="A3139" s="3" t="inlineStr">
        <is>
          <t>delivery.warehouse.updateOrder.updateEmptyNotice</t>
        </is>
      </c>
      <c r="B3139" s="3" t="inlineStr">
        <is>
          <t>Vui lòng nhập mã đơn hàng để tìm kiếm đơn cần sửa!</t>
        </is>
      </c>
      <c r="C3139" s="3" t="inlineStr">
        <is>
          <t>Please enter the Order ID to search for the order!</t>
        </is>
      </c>
      <c r="D3139" s="217">
        <f>IFERROR(__xludf.DUMMYFUNCTION("GOOGLETRANSLATE(C3139,""vi"",""km"")"),"សូមបញ្ចូលលេខសម្គាល់ការបញ្ជាទិញ ដើម្បីស្វែងរកការបញ្ជាទិញ!")</f>
        <v/>
      </c>
      <c r="E3139" s="3" t="n"/>
      <c r="F3139" s="3" t="inlineStr">
        <is>
          <t>សូមបញ្ចូលលេខសម្គាល់ការបញ្ជាទិញ ដើម្បីស្វែងរកការបញ្ជាទិញ!</t>
        </is>
      </c>
      <c r="G3139" s="3" t="n"/>
      <c r="H3139" s="217" t="inlineStr">
        <is>
          <t>"delivery.warehouse.updateOrder.updateEmptyNotice": "សូមបញ្ចូលលេខសម្គាល់ការបញ្ជាទិញ ដើម្បីស្វែងរកការបញ្ជាទិញ!",</t>
        </is>
      </c>
      <c r="I3139" t="inlineStr">
        <is>
          <t>សូមបញ្ចូលលេខសម្គាល់ការបញ្ជាទិញ ដើម្បីស្វែងរកការបញ្ជាទិញ!</t>
        </is>
      </c>
    </row>
    <row r="3140">
      <c r="A3140" s="3" t="inlineStr">
        <is>
          <t>delivery.warehouse.updateOrder.variablePricing</t>
        </is>
      </c>
      <c r="B3140" s="3" t="inlineStr">
        <is>
          <t>Tính giá thay đổi</t>
        </is>
      </c>
      <c r="C3140" s="3" t="inlineStr">
        <is>
          <t>Tính giá thay đổi</t>
        </is>
      </c>
      <c r="D3140" s="217">
        <f>IFERROR(__xludf.DUMMYFUNCTION("GOOGLETRANSLATE(C3140,""vi"",""km"")"),"គណនាតម្លៃអថេរ")</f>
        <v/>
      </c>
      <c r="E3140" s="3" t="n"/>
      <c r="F3140" s="3" t="inlineStr">
        <is>
          <t>គណនាតម្លៃអថេរ</t>
        </is>
      </c>
      <c r="G3140" s="3" t="n"/>
      <c r="H3140" s="217" t="inlineStr">
        <is>
          <t>"delivery.warehouse.updateOrder.variablePricing": "គណនាតម្លៃអថេរ",</t>
        </is>
      </c>
      <c r="I3140" t="inlineStr">
        <is>
          <t>គណនាតម្លៃអថេរ</t>
        </is>
      </c>
    </row>
    <row r="3141">
      <c r="A3141" s="3" t="inlineStr">
        <is>
          <t>delivery.warehouse.updateOrder.vatAmount</t>
        </is>
      </c>
      <c r="B3141" s="3" t="inlineStr">
        <is>
          <t>Tiền VAT</t>
        </is>
      </c>
      <c r="C3141" s="3" t="inlineStr">
        <is>
          <t>Tiền VAT</t>
        </is>
      </c>
      <c r="D3141" s="217">
        <f>IFERROR(__xludf.DUMMYFUNCTION("GOOGLETRANSLATE(C3141,""vi"",""km"")"),"អាករលើតម្លៃបន្ថែម")</f>
        <v/>
      </c>
      <c r="E3141" s="3" t="n"/>
      <c r="F3141" s="3" t="inlineStr">
        <is>
          <t>អាករលើតម្លៃបន្ថែម</t>
        </is>
      </c>
      <c r="G3141" s="3" t="n"/>
      <c r="H3141" s="217" t="inlineStr">
        <is>
          <t>"delivery.warehouse.updateOrder.vatAmount": "អាករលើតម្លៃបន្ថែម",</t>
        </is>
      </c>
      <c r="I3141" t="inlineStr">
        <is>
          <t>អាករលើតម្លៃបន្ថែម</t>
        </is>
      </c>
    </row>
    <row r="3142">
      <c r="A3142" s="3" t="inlineStr">
        <is>
          <t>delivery.warehouse.updateOrder.vatRate</t>
        </is>
      </c>
      <c r="B3142" s="3" t="inlineStr">
        <is>
          <t>VAT ({{percent}})</t>
        </is>
      </c>
      <c r="C3142" s="3" t="inlineStr">
        <is>
          <t>VAT ({{percent}})</t>
        </is>
      </c>
      <c r="D3142" s="217">
        <f>IFERROR(__xludf.DUMMYFUNCTION("GOOGLETRANSLATE(C3142,""vi"",""km"")"),"អាករលើតម្លៃបន្ថែម (ភាគរយ)")</f>
        <v/>
      </c>
      <c r="E3142" s="3" t="n"/>
      <c r="F3142" s="3" t="inlineStr">
        <is>
          <t>អាករលើតម្លៃបន្ថែម (ភាគរយ)</t>
        </is>
      </c>
      <c r="G3142" s="3" t="n"/>
      <c r="H3142" s="217" t="inlineStr">
        <is>
          <t>"delivery.warehouse.updateOrder.vatRate": "អាករលើតម្លៃបន្ថែម (ភាគរយ)",</t>
        </is>
      </c>
      <c r="I3142" t="inlineStr">
        <is>
          <t>អាករលើតម្លៃបន្ថែម (ភាគរយ)</t>
        </is>
      </c>
    </row>
    <row r="3143">
      <c r="A3143" s="3" t="inlineStr">
        <is>
          <t>delivery.warehouse.updateOrder.weight</t>
        </is>
      </c>
      <c r="B3143" s="3" t="inlineStr">
        <is>
          <t>Trọng lượng ({{unit}})</t>
        </is>
      </c>
      <c r="C3143" s="3" t="inlineStr">
        <is>
          <t>Weight ({{unit}})</t>
        </is>
      </c>
      <c r="D3143" s="217">
        <f>IFERROR(__xludf.DUMMYFUNCTION("GOOGLETRANSLATE(C3143,""vi"",""km"")"),"ទម្ងន់ ({{unit}})")</f>
        <v/>
      </c>
      <c r="E3143" s="3" t="n"/>
      <c r="F3143" s="3" t="inlineStr">
        <is>
          <t>ទម្ងន់ ({{unit}})</t>
        </is>
      </c>
      <c r="G3143" s="3" t="n"/>
      <c r="H3143" s="217" t="inlineStr">
        <is>
          <t>"delivery.warehouse.updateOrder.weight": "ទម្ងន់ ({{unit}})",</t>
        </is>
      </c>
      <c r="I3143" t="inlineStr">
        <is>
          <t>ទម្ងន់ ({{unit}})</t>
        </is>
      </c>
    </row>
    <row r="3144">
      <c r="A3144" s="3" t="inlineStr">
        <is>
          <t>delivery.warehouse.userManagement.addAll</t>
        </is>
      </c>
      <c r="B3144" s="3" t="inlineStr">
        <is>
          <t>Thêm tất cả</t>
        </is>
      </c>
      <c r="C3144" s="3" t="inlineStr">
        <is>
          <t>Add all</t>
        </is>
      </c>
      <c r="D3144" s="217">
        <f>IFERROR(__xludf.DUMMYFUNCTION("GOOGLETRANSLATE(C3144,""vi"",""km"")"),"បន្ថែមទាំងអស់")</f>
        <v/>
      </c>
      <c r="E3144" s="3" t="n"/>
      <c r="F3144" s="3" t="inlineStr">
        <is>
          <t>បន្ថែមទាំងអស់</t>
        </is>
      </c>
      <c r="G3144" s="3" t="n"/>
      <c r="H3144" s="217" t="inlineStr">
        <is>
          <t>"delivery.warehouse.userManagement.addAll": "បន្ថែមទាំងអស់",</t>
        </is>
      </c>
      <c r="I3144" t="inlineStr">
        <is>
          <t>បន្ថែមទាំងអស់</t>
        </is>
      </c>
    </row>
    <row r="3145">
      <c r="A3145" s="3" t="inlineStr">
        <is>
          <t>delivery.warehouse.userManagement.historyDepartment</t>
        </is>
      </c>
      <c r="B3145" s="3" t="inlineStr">
        <is>
          <t>Lịch sử đơn vị</t>
        </is>
      </c>
      <c r="C3145" s="3" t="inlineStr">
        <is>
          <t>Department history</t>
        </is>
      </c>
      <c r="D3145" s="217">
        <f>IFERROR(__xludf.DUMMYFUNCTION("GOOGLETRANSLATE(C3145,""vi"",""km"")"),"នាយកដ្ឋាន")</f>
        <v/>
      </c>
      <c r="E3145" s="3" t="n"/>
      <c r="F3145" s="3" t="inlineStr">
        <is>
          <t>នាយកដ្ឋាន</t>
        </is>
      </c>
      <c r="G3145" s="3" t="n"/>
      <c r="H3145" s="217" t="inlineStr">
        <is>
          <t>"delivery.warehouse.userManagement.historyDepartment": "នាយកដ្ឋាន",</t>
        </is>
      </c>
      <c r="I3145" t="inlineStr">
        <is>
          <t>នាយកដ្ឋាន</t>
        </is>
      </c>
    </row>
    <row r="3146">
      <c r="A3146" s="3" t="inlineStr">
        <is>
          <t>delivery.warehouse.userManagement.listDepartment</t>
        </is>
      </c>
      <c r="B3146" s="3" t="inlineStr">
        <is>
          <t>Danh sách đơn vị</t>
        </is>
      </c>
      <c r="C3146" s="3" t="inlineStr">
        <is>
          <t>List of department</t>
        </is>
      </c>
      <c r="D3146" s="217">
        <f>IFERROR(__xludf.DUMMYFUNCTION("GOOGLETRANSLATE(C3146,""vi"",""km"")"),"បញ្ជី​នាយកដ្ឋាន")</f>
        <v/>
      </c>
      <c r="E3146" s="3" t="n"/>
      <c r="F3146" s="3" t="inlineStr">
        <is>
          <t>បញ្ជីនាយកដ្ឋាន</t>
        </is>
      </c>
      <c r="G3146" s="3" t="n"/>
      <c r="H3146" s="217" t="inlineStr">
        <is>
          <t>"delivery.warehouse.userManagement.listDepartment": "បញ្ជីនាយកដ្ឋាន",</t>
        </is>
      </c>
      <c r="I3146" t="inlineStr">
        <is>
          <t>បញ្ជីនាយកដ្ឋាន</t>
        </is>
      </c>
    </row>
    <row r="3147">
      <c r="A3147" s="3" t="inlineStr">
        <is>
          <t>delivery.warehouse.userManagement.listUser</t>
        </is>
      </c>
      <c r="B3147" s="3" t="inlineStr">
        <is>
          <t>Quản lý người dùng</t>
        </is>
      </c>
      <c r="C3147" s="3" t="inlineStr">
        <is>
          <t>user management</t>
        </is>
      </c>
      <c r="D3147" s="217">
        <f>IFERROR(__xludf.DUMMYFUNCTION("GOOGLETRANSLATE(C3147,""vi"",""km"")"),"ការគ្រប់គ្រងអ្នកប្រើប្រាស់")</f>
        <v/>
      </c>
      <c r="E3147" s="3" t="n"/>
      <c r="F3147" s="3" t="inlineStr">
        <is>
          <t>ការគ្រប់គ្រងអ្នកប្រើប្រាស់</t>
        </is>
      </c>
      <c r="G3147" s="3" t="n"/>
      <c r="H3147" s="217" t="inlineStr">
        <is>
          <t>"delivery.warehouse.userManagement.listUser": "ការគ្រប់គ្រងអ្នកប្រើប្រាស់",</t>
        </is>
      </c>
      <c r="I3147" t="inlineStr">
        <is>
          <t>ការគ្រប់គ្រងអ្នកប្រើប្រាស់</t>
        </is>
      </c>
    </row>
    <row r="3148">
      <c r="A3148" s="3" t="inlineStr">
        <is>
          <t>delivery.warehouse.validate.checkOnlyNumber</t>
        </is>
      </c>
      <c r="B3148" s="3" t="inlineStr">
        <is>
          <t>Vui lòng chỉ nhập số</t>
        </is>
      </c>
      <c r="C3148" s="3" t="inlineStr">
        <is>
          <t>Enter number only</t>
        </is>
      </c>
      <c r="D3148" s="217">
        <f>IFERROR(__xludf.DUMMYFUNCTION("GOOGLETRANSLATE(C3148,""vi"",""km"")"),"បញ្ចូលតែលេខប៉ុណ្ណោះ")</f>
        <v/>
      </c>
      <c r="E3148" s="3" t="n"/>
      <c r="F3148" s="3" t="inlineStr">
        <is>
          <t>បញ្ចូលតែលេខប៉ុណ្ណោះ</t>
        </is>
      </c>
      <c r="G3148" s="3" t="n"/>
      <c r="H3148" s="217" t="inlineStr">
        <is>
          <t>"delivery.warehouse.validate.checkOnlyNumber": "បញ្ចូលតែលេខប៉ុណ្ណោះ",</t>
        </is>
      </c>
      <c r="I3148" t="inlineStr">
        <is>
          <t>បញ្ចូលតែលេខប៉ុណ្ណោះ</t>
        </is>
      </c>
    </row>
    <row r="3149">
      <c r="A3149" s="3" t="inlineStr">
        <is>
          <t>delivery.warehouse.validate.containsSpecialCharacters</t>
        </is>
      </c>
      <c r="B3149" s="3" t="inlineStr">
        <is>
          <t>Không được nhập ký tự đặc biệt</t>
        </is>
      </c>
      <c r="C3149" s="3" t="inlineStr">
        <is>
          <t>Do not enter special characters</t>
        </is>
      </c>
      <c r="D3149" s="217">
        <f>IFERROR(__xludf.DUMMYFUNCTION("GOOGLETRANSLATE(C3149,""vi"",""km"")"),"កុំបញ្ចូលតួអក្សរពិសេស")</f>
        <v/>
      </c>
      <c r="E3149" s="3" t="n"/>
      <c r="F3149" s="3" t="inlineStr">
        <is>
          <t>មិនអនុញ្ញាតឱ្យបញ្ចូលតួអក្សរពិសេសទេ</t>
        </is>
      </c>
      <c r="G3149" s="3" t="n"/>
      <c r="H3149" s="217" t="inlineStr">
        <is>
          <t>"delivery.warehouse.validate.containsSpecialCharacters": "មិនអនុញ្ញាតឱ្យបញ្ចូលតួអក្សរពិសេសទេ",</t>
        </is>
      </c>
      <c r="I3149" t="inlineStr">
        <is>
          <t>មិនអនុញ្ញាតឱ្យបញ្ចូលតួអក្សរពិសេសទេ</t>
        </is>
      </c>
    </row>
    <row r="3150">
      <c r="A3150" s="3" t="inlineStr">
        <is>
          <t>delivery.warehouse.validate.empty</t>
        </is>
      </c>
      <c r="B3150" s="3" t="inlineStr">
        <is>
          <t>{{field}} không được để trống</t>
        </is>
      </c>
      <c r="C3150" s="3" t="inlineStr">
        <is>
          <t>{{field}} cannot be left blank</t>
        </is>
      </c>
      <c r="D3150" s="217">
        <f>IFERROR(__xludf.DUMMYFUNCTION("GOOGLETRANSLATE(C3150,""vi"",""km"")"),"មិនអាចទុក {{field}} ឲ្យនៅទទេបានទេ")</f>
        <v/>
      </c>
      <c r="E3150" s="3" t="n"/>
      <c r="F3150" s="3" t="inlineStr">
        <is>
          <t>មិនអាចទុក {{field}} ឲ្យនៅទទេបានទេ</t>
        </is>
      </c>
      <c r="G3150" s="3" t="n"/>
      <c r="H3150" s="217" t="inlineStr">
        <is>
          <t>"delivery.warehouse.validate.empty": "មិនអាចទុក {{field}} ឲ្យនៅទទេបានទេ",</t>
        </is>
      </c>
      <c r="I3150" t="inlineStr">
        <is>
          <t>មិនអាចទុក {{field}} ឲ្យនៅទទេបានទេ</t>
        </is>
      </c>
    </row>
    <row r="3151">
      <c r="A3151" s="3" t="inlineStr">
        <is>
          <t>delivery.warehouse.validate.maxLength</t>
        </is>
      </c>
      <c r="B3151" s="3" t="inlineStr">
        <is>
          <t>Nhập tối đa {{length}} ký tự</t>
        </is>
      </c>
      <c r="C3151" s="3" t="inlineStr">
        <is>
          <t>Enter characters up to {{length}}</t>
        </is>
      </c>
      <c r="D3151" s="217">
        <f>IFERROR(__xludf.DUMMYFUNCTION("GOOGLETRANSLATE(C3151,""vi"",""km"")"),"បញ្ចូលតួអក្សររហូតដល់ {{length}}")</f>
        <v/>
      </c>
      <c r="E3151" s="3" t="n"/>
      <c r="F3151" s="3" t="inlineStr">
        <is>
          <t>បញ្ចូលតួអក្សររហូតដល់ {{length}}</t>
        </is>
      </c>
      <c r="G3151" s="3" t="n"/>
      <c r="H3151" s="217" t="inlineStr">
        <is>
          <t>"delivery.warehouse.validate.maxLength": "បញ្ចូលតួអក្សររហូតដល់ {{length}}",</t>
        </is>
      </c>
      <c r="I3151" t="inlineStr">
        <is>
          <t>បញ្ចូលតួអក្សររហូតដល់ {{length}}</t>
        </is>
      </c>
    </row>
    <row r="3152">
      <c r="A3152" s="3" t="inlineStr">
        <is>
          <t>delivery.warehouse.validate.minLength</t>
        </is>
      </c>
      <c r="B3152" s="3" t="inlineStr">
        <is>
          <t>Nhập tối thiểu {{length}} ký tự</t>
        </is>
      </c>
      <c r="C3152" s="3" t="inlineStr">
        <is>
          <t>Enter at least {{length}} characters</t>
        </is>
      </c>
      <c r="D3152" s="217">
        <f>IFERROR(__xludf.DUMMYFUNCTION("GOOGLETRANSLATE(C3152,""vi"",""km"")"),"បញ្ចូលយ៉ាងហោចណាស់ {{length}} តួអក្សរ")</f>
        <v/>
      </c>
      <c r="E3152" s="3" t="n"/>
      <c r="F3152" s="3" t="inlineStr">
        <is>
          <t>បញ្ចូលយ៉ាងហោចណាស់ {{length}} តួអក្សរ</t>
        </is>
      </c>
      <c r="G3152" s="3" t="n"/>
      <c r="H3152" s="217" t="inlineStr">
        <is>
          <t>"delivery.warehouse.validate.minLength": "បញ្ចូលយ៉ាងហោចណាស់ {{length}} តួអក្សរ",</t>
        </is>
      </c>
      <c r="I3152" t="inlineStr">
        <is>
          <t>បញ្ចូលយ៉ាងហោចណាស់ {{length}} តួអក្សរ</t>
        </is>
      </c>
    </row>
    <row r="3153">
      <c r="A3153" s="3" t="inlineStr">
        <is>
          <t>delivery.warehouse.validate.numberGreaterThanZero</t>
        </is>
      </c>
      <c r="B3153" s="3" t="inlineStr">
        <is>
          <t>Nhập giá trị lớn hơn 0</t>
        </is>
      </c>
      <c r="C3153" s="3" t="inlineStr">
        <is>
          <t>Number must be greater than 0</t>
        </is>
      </c>
      <c r="D3153" s="217">
        <f>IFERROR(__xludf.DUMMYFUNCTION("GOOGLETRANSLATE(C3153,""vi"",""km"")"),"ចំនួន​ត្រូវតែ​ធំជាង ០។")</f>
        <v/>
      </c>
      <c r="E3153" s="3" t="n"/>
      <c r="F3153" s="3" t="inlineStr">
        <is>
          <t>ចំនួនត្រូវតែធំជាង ០។</t>
        </is>
      </c>
      <c r="G3153" s="3" t="n"/>
      <c r="H3153" s="217" t="inlineStr">
        <is>
          <t>"delivery.warehouse.validate.numberGreaterThanZero": "ចំនួនត្រូវតែធំជាង ០។",</t>
        </is>
      </c>
      <c r="I3153" t="inlineStr">
        <is>
          <t>ចំនួនត្រូវតែធំជាង ០។</t>
        </is>
      </c>
    </row>
    <row r="3154">
      <c r="A3154" s="3" t="inlineStr">
        <is>
          <t>delivery.warehouse.validate.rangPicker30</t>
        </is>
      </c>
      <c r="B3154" s="3" t="inlineStr">
        <is>
          <t>Tìm kiếm tối đa 30 ngày</t>
        </is>
      </c>
      <c r="C3154" s="3" t="inlineStr">
        <is>
          <t>Time range up to 30 days</t>
        </is>
      </c>
      <c r="D3154" s="217">
        <f>IFERROR(__xludf.DUMMYFUNCTION("GOOGLETRANSLATE(C3154,""vi"",""km"")"),"រយៈពេលរហូតដល់ 30 ថ្ងៃ")</f>
        <v/>
      </c>
      <c r="E3154" s="3" t="n"/>
      <c r="F3154" s="3" t="inlineStr">
        <is>
          <t>រយៈពេលរហូតដល់ 30 ថ្ងៃ</t>
        </is>
      </c>
      <c r="G3154" s="3" t="n"/>
      <c r="H3154" s="217" t="inlineStr">
        <is>
          <t>"delivery.warehouse.validate.rangPicker30": "រយៈពេលរហូតដល់ 30 ថ្ងៃ",</t>
        </is>
      </c>
      <c r="I3154" t="inlineStr">
        <is>
          <t>រយៈពេលរហូតដល់ 30 ថ្ងៃ</t>
        </is>
      </c>
    </row>
    <row r="3155">
      <c r="A3155" s="3" t="inlineStr">
        <is>
          <t>delivery.warehouse.validate.rangPicker31</t>
        </is>
      </c>
      <c r="B3155" s="3" t="inlineStr">
        <is>
          <t>Tìm kiếm tối đa 31 ngày</t>
        </is>
      </c>
      <c r="C3155" s="3" t="inlineStr">
        <is>
          <t>Time range up to 31 days</t>
        </is>
      </c>
      <c r="D3155" s="217">
        <f>IFERROR(__xludf.DUMMYFUNCTION("GOOGLETRANSLATE(C3155,""vi"",""km"")"),"រយៈពេលរហូតដល់ ៣១ ថ្ងៃ")</f>
        <v/>
      </c>
      <c r="E3155" s="3" t="n"/>
      <c r="F3155" s="3" t="inlineStr">
        <is>
          <t>រយៈពេលរហូតដល់ ៣១ ថ្ងៃ</t>
        </is>
      </c>
      <c r="G3155" s="3" t="n"/>
      <c r="H3155" s="217" t="inlineStr">
        <is>
          <t>"delivery.warehouse.validate.rangPicker31": "រយៈពេលរហូតដល់ ៣១ ថ្ងៃ",</t>
        </is>
      </c>
      <c r="I3155" t="inlineStr">
        <is>
          <t>រយៈពេលរហូតដល់ ៣១ ថ្ងៃ</t>
        </is>
      </c>
    </row>
    <row r="3156">
      <c r="A3156" s="3" t="inlineStr">
        <is>
          <t>delivery.warehouse.validate.validatePhone</t>
        </is>
      </c>
      <c r="B3156" s="3" t="inlineStr">
        <is>
          <t>Số điện thoại sai định dạng</t>
        </is>
      </c>
      <c r="C3156" s="3" t="inlineStr">
        <is>
          <t>Invalid phone number</t>
        </is>
      </c>
      <c r="D3156" s="217">
        <f>IFERROR(__xludf.DUMMYFUNCTION("GOOGLETRANSLATE(C3156,""vi"",""km"")"),"លេខទូរស័ព្ទមិនត្រឹមត្រូវ")</f>
        <v/>
      </c>
      <c r="E3156" s="3" t="n"/>
      <c r="F3156" s="3" t="inlineStr">
        <is>
          <t>លេខទូរស័ព្ទមិនត្រឹមត្រូវ</t>
        </is>
      </c>
      <c r="G3156" s="3" t="n"/>
      <c r="H3156" s="217" t="inlineStr">
        <is>
          <t>"delivery.warehouse.validate.validatePhone": "លេខទូរស័ព្ទមិនត្រឹមត្រូវ",</t>
        </is>
      </c>
      <c r="I3156" t="inlineStr">
        <is>
          <t>លេខទូរស័ព្ទមិនត្រឹមត្រូវ</t>
        </is>
      </c>
    </row>
    <row r="3157">
      <c r="A3157" s="3" t="inlineStr">
        <is>
          <t>extractData.active</t>
        </is>
      </c>
      <c r="B3157" s="3" t="inlineStr">
        <is>
          <t>Hoạt động</t>
        </is>
      </c>
      <c r="C3157" s="3" t="inlineStr">
        <is>
          <t>Active</t>
        </is>
      </c>
      <c r="D3157" s="217">
        <f>IFERROR(__xludf.DUMMYFUNCTION("GOOGLETRANSLATE(C3157,""vi"",""km"")"),"សកម្ម")</f>
        <v/>
      </c>
      <c r="E3157" s="3" t="n"/>
      <c r="F3157" s="3" t="inlineStr">
        <is>
          <t>ដំណើរការ</t>
        </is>
      </c>
      <c r="G3157" s="3" t="n"/>
      <c r="H3157" s="217" t="inlineStr">
        <is>
          <t>"extractData.active": "ដំណើរការ",</t>
        </is>
      </c>
      <c r="I3157" t="inlineStr">
        <is>
          <t>ដំណើរការ</t>
        </is>
      </c>
    </row>
    <row r="3158">
      <c r="A3158" s="3" t="inlineStr">
        <is>
          <t>extractData.add</t>
        </is>
      </c>
      <c r="B3158" s="3" t="inlineStr">
        <is>
          <t>Thêm mới</t>
        </is>
      </c>
      <c r="C3158" s="3" t="inlineStr">
        <is>
          <t>Add</t>
        </is>
      </c>
      <c r="D3158" s="217">
        <f>IFERROR(__xludf.DUMMYFUNCTION("GOOGLETRANSLATE(C3158,""vi"",""km"")"),"បន្ថែម")</f>
        <v/>
      </c>
      <c r="E3158" s="3" t="n"/>
      <c r="F3158" s="3" t="inlineStr">
        <is>
          <t>បន្ថែមថ្មី</t>
        </is>
      </c>
      <c r="G3158" s="3" t="n"/>
      <c r="H3158" s="217" t="inlineStr">
        <is>
          <t>"extractData.add": "បន្ថែមថ្មី",</t>
        </is>
      </c>
      <c r="I3158" t="inlineStr">
        <is>
          <t>បន្ថែមថ្មី</t>
        </is>
      </c>
    </row>
    <row r="3159">
      <c r="A3159" s="3" t="inlineStr">
        <is>
          <t>extractData.addFilter</t>
        </is>
      </c>
      <c r="B3159" s="3" t="inlineStr">
        <is>
          <t>Thêm bộ lọc</t>
        </is>
      </c>
      <c r="C3159" s="3" t="inlineStr">
        <is>
          <t>Add filter</t>
        </is>
      </c>
      <c r="D3159" s="217">
        <f>IFERROR(__xludf.DUMMYFUNCTION("GOOGLETRANSLATE(C3159,""vi"",""km"")"),"បន្ថែមតម្រង")</f>
        <v/>
      </c>
      <c r="E3159" s="3" t="n"/>
      <c r="F3159" s="3" t="inlineStr">
        <is>
          <t>បន្ថែមតម្រង</t>
        </is>
      </c>
      <c r="G3159" s="3" t="n"/>
      <c r="H3159" s="217" t="inlineStr">
        <is>
          <t>"extractData.addFilter": "បន្ថែមតម្រង",</t>
        </is>
      </c>
      <c r="I3159" t="inlineStr">
        <is>
          <t>បន្ថែមតម្រង</t>
        </is>
      </c>
    </row>
    <row r="3160">
      <c r="A3160" s="3" t="inlineStr">
        <is>
          <t>extractData.addNew</t>
        </is>
      </c>
      <c r="B3160" s="3" t="inlineStr">
        <is>
          <t>Thêm mới</t>
        </is>
      </c>
      <c r="C3160" s="3" t="inlineStr">
        <is>
          <t>Add new</t>
        </is>
      </c>
      <c r="D3160" s="217">
        <f>IFERROR(__xludf.DUMMYFUNCTION("GOOGLETRANSLATE(C3160,""vi"",""km"")"),"បន្ថែមពណ៌")</f>
        <v/>
      </c>
      <c r="E3160" s="3" t="n"/>
      <c r="F3160" s="3" t="inlineStr">
        <is>
          <t>បន្ថែមថ្មី</t>
        </is>
      </c>
      <c r="G3160" s="3" t="n"/>
      <c r="H3160" s="217" t="inlineStr">
        <is>
          <t>"extractData.addNew": "បន្ថែមថ្មី",</t>
        </is>
      </c>
      <c r="I3160" t="inlineStr">
        <is>
          <t>បន្ថែមថ្មី</t>
        </is>
      </c>
    </row>
    <row r="3161">
      <c r="A3161" s="3" t="inlineStr">
        <is>
          <t>extractData.addNewFilter</t>
        </is>
      </c>
      <c r="B3161" s="3" t="inlineStr">
        <is>
          <t>Thêm mới bộ lọc</t>
        </is>
      </c>
      <c r="C3161" s="3" t="inlineStr">
        <is>
          <t>Add new filter</t>
        </is>
      </c>
      <c r="D3161" s="217">
        <f>IFERROR(__xludf.DUMMYFUNCTION("GOOGLETRANSLATE(C3161,""vi"",""km"")"),"បន្ថែមតម្រងថ្មី")</f>
        <v/>
      </c>
      <c r="E3161" s="3" t="n"/>
      <c r="F3161" s="3" t="inlineStr">
        <is>
          <t>បន្ថែមតម្រងថ្មី</t>
        </is>
      </c>
      <c r="G3161" s="3" t="n"/>
      <c r="H3161" s="217" t="inlineStr">
        <is>
          <t>"extractData.addNewFilter": "បន្ថែមតម្រងថ្មី",</t>
        </is>
      </c>
      <c r="I3161" t="inlineStr">
        <is>
          <t>បន្ថែមតម្រងថ្មី</t>
        </is>
      </c>
    </row>
    <row r="3162">
      <c r="A3162" s="3" t="inlineStr">
        <is>
          <t>extractData.addNewTitle</t>
        </is>
      </c>
      <c r="B3162" s="3" t="inlineStr">
        <is>
          <t>Thêm mới cấu hình xuất Excel</t>
        </is>
      </c>
      <c r="C3162" s="3" t="inlineStr">
        <is>
          <t>Add new Excel export configuration</t>
        </is>
      </c>
      <c r="D3162" s="217">
        <f>IFERROR(__xludf.DUMMYFUNCTION("GOOGLETRANSLATE(C3162,""vi"",""km"")"),"បន្ថែមការកំណត់រចនាសម្ព័ន្ធនាំចេញ Excel ថ្មី")</f>
        <v/>
      </c>
      <c r="E3162" s="3" t="n"/>
      <c r="F3162" s="3" t="inlineStr">
        <is>
          <t>បន្ថែមការកំណត់រចនាសម្ព័ន្ធនាំចេញ Excel ថ្មី</t>
        </is>
      </c>
      <c r="G3162" s="3" t="n"/>
      <c r="H3162" s="217" t="inlineStr">
        <is>
          <t>"extractData.addNewTitle": "បន្ថែមការកំណត់រចនាសម្ព័ន្ធនាំចេញ Excel ថ្មី",</t>
        </is>
      </c>
      <c r="I3162" t="inlineStr">
        <is>
          <t>បន្ថែមការកំណត់រចនាសម្ព័ន្ធនាំចេញ Excel ថ្មី</t>
        </is>
      </c>
    </row>
    <row r="3163">
      <c r="A3163" s="3" t="inlineStr">
        <is>
          <t>extractData.business</t>
        </is>
      </c>
      <c r="B3163" s="3" t="inlineStr">
        <is>
          <t>Kinh doanh</t>
        </is>
      </c>
      <c r="C3163" s="3" t="inlineStr">
        <is>
          <t>Business</t>
        </is>
      </c>
      <c r="D3163" s="217">
        <f>IFERROR(__xludf.DUMMYFUNCTION("GOOGLETRANSLATE(C3163,""vi"",""km"")"),"អាជីវកម្ម")</f>
        <v/>
      </c>
      <c r="E3163" s="3" t="n"/>
      <c r="F3163" s="3" t="inlineStr">
        <is>
          <t>អាជីវកម្ម</t>
        </is>
      </c>
      <c r="G3163" s="3" t="n"/>
      <c r="H3163" s="217" t="inlineStr">
        <is>
          <t>"extractData.business": "អាជីវកម្ម",</t>
        </is>
      </c>
      <c r="I3163" t="inlineStr">
        <is>
          <t>អាជីវកម្ម</t>
        </is>
      </c>
    </row>
    <row r="3164">
      <c r="A3164" s="3" t="inlineStr">
        <is>
          <t>extractData.createSuccess</t>
        </is>
      </c>
      <c r="B3164" s="3" t="inlineStr">
        <is>
          <t>Thêm mới cấu hình Excel thành công</t>
        </is>
      </c>
      <c r="C3164" s="3" t="inlineStr">
        <is>
          <t>Successfully created</t>
        </is>
      </c>
      <c r="D3164" s="217">
        <f>IFERROR(__xludf.DUMMYFUNCTION("GOOGLETRANSLATE(C3164,""vi"",""km"")"),"បានបង្កើតដោយជោគជ័យ")</f>
        <v/>
      </c>
      <c r="E3164" s="3" t="n"/>
      <c r="F3164" s="3" t="inlineStr">
        <is>
          <t>បានបង្កើតដោយជោគជ័យ</t>
        </is>
      </c>
      <c r="G3164" s="3" t="n"/>
      <c r="H3164" s="217" t="inlineStr">
        <is>
          <t>"extractData.createSuccess": "បានបង្កើតដោយជោគជ័យ",</t>
        </is>
      </c>
      <c r="I3164" t="inlineStr">
        <is>
          <t>បានបង្កើតដោយជោគជ័យ</t>
        </is>
      </c>
    </row>
    <row r="3165">
      <c r="A3165" s="3" t="inlineStr">
        <is>
          <t>extractData.customer_service</t>
        </is>
      </c>
      <c r="B3165" s="3" t="inlineStr">
        <is>
          <t>Dịch vụ khách hàng</t>
        </is>
      </c>
      <c r="C3165" s="3" t="inlineStr">
        <is>
          <t>Customer service</t>
        </is>
      </c>
      <c r="D3165" s="217">
        <f>IFERROR(__xludf.DUMMYFUNCTION("GOOGLETRANSLATE(C3165,""vi"",""km"")"),"សេវាកម្មអតិថិជន")</f>
        <v/>
      </c>
      <c r="E3165" s="3" t="n"/>
      <c r="F3165" s="3" t="inlineStr">
        <is>
          <t>សេវាកម្មអតិថិជន</t>
        </is>
      </c>
      <c r="G3165" s="3" t="n"/>
      <c r="H3165" s="217" t="inlineStr">
        <is>
          <t>"extractData.customer_service": "សេវាកម្មអតិថិជន",</t>
        </is>
      </c>
      <c r="I3165" t="inlineStr">
        <is>
          <t>សេវាកម្មអតិថិជន</t>
        </is>
      </c>
    </row>
    <row r="3166">
      <c r="A3166" s="3" t="inlineStr">
        <is>
          <t>extractData.dataType</t>
        </is>
      </c>
      <c r="B3166" s="3" t="inlineStr">
        <is>
          <t>Kiểu dữ liệu</t>
        </is>
      </c>
      <c r="C3166" s="3" t="inlineStr">
        <is>
          <t>Data type</t>
        </is>
      </c>
      <c r="D3166" s="217">
        <f>IFERROR(__xludf.DUMMYFUNCTION("GOOGLETRANSLATE(C3166,""vi"",""km"")"),"ប្រភេទទិន្នន័យ")</f>
        <v/>
      </c>
      <c r="E3166" s="3" t="n"/>
      <c r="F3166" s="3" t="inlineStr">
        <is>
          <t>ប្រភេទទិន្នន័យ</t>
        </is>
      </c>
      <c r="G3166" s="3" t="n"/>
      <c r="H3166" s="217" t="inlineStr">
        <is>
          <t>"extractData.dataType": "ប្រភេទទិន្នន័យ",</t>
        </is>
      </c>
      <c r="I3166" t="inlineStr">
        <is>
          <t>ប្រភេទទិន្នន័យ</t>
        </is>
      </c>
    </row>
    <row r="3167">
      <c r="A3167" s="3" t="inlineStr">
        <is>
          <t>extractData.dbColumn</t>
        </is>
      </c>
      <c r="B3167" s="3" t="inlineStr">
        <is>
          <t>Tên cột trong DB</t>
        </is>
      </c>
      <c r="C3167" s="3" t="inlineStr">
        <is>
          <t>DB column name</t>
        </is>
      </c>
      <c r="D3167" s="217">
        <f>IFERROR(__xludf.DUMMYFUNCTION("GOOGLETRANSLATE(C3167,""vi"",""km"")"),"ឈ្មោះជួរឈរ DB")</f>
        <v/>
      </c>
      <c r="E3167" s="3" t="n"/>
      <c r="F3167" s="3" t="inlineStr">
        <is>
          <t>ឈ្មោះជួរឈរ DB</t>
        </is>
      </c>
      <c r="G3167" s="3" t="n"/>
      <c r="H3167" s="217" t="inlineStr">
        <is>
          <t>"extractData.dbColumn": "ឈ្មោះជួរឈរ DB",</t>
        </is>
      </c>
      <c r="I3167" t="inlineStr">
        <is>
          <t>ឈ្មោះជួរឈរ DB</t>
        </is>
      </c>
    </row>
    <row r="3168">
      <c r="A3168" s="3" t="inlineStr">
        <is>
          <t>extractData.delete</t>
        </is>
      </c>
      <c r="B3168" s="3" t="inlineStr">
        <is>
          <t>Xoá</t>
        </is>
      </c>
      <c r="C3168" s="3" t="inlineStr">
        <is>
          <t>Delete</t>
        </is>
      </c>
      <c r="D3168" s="217">
        <f>IFERROR(__xludf.DUMMYFUNCTION("GOOGLETRANSLATE(C3168,""vi"",""km"")"),"ម")</f>
        <v/>
      </c>
      <c r="E3168" s="3" t="n"/>
      <c r="F3168" s="3" t="inlineStr">
        <is>
          <t>លុប</t>
        </is>
      </c>
      <c r="G3168" s="3" t="n"/>
      <c r="H3168" s="217" t="inlineStr">
        <is>
          <t>"extractData.delete": "លុប",</t>
        </is>
      </c>
      <c r="I3168" t="inlineStr">
        <is>
          <t>លុប</t>
        </is>
      </c>
    </row>
    <row r="3169">
      <c r="A3169" s="3" t="inlineStr">
        <is>
          <t>extractData.downloadError</t>
        </is>
      </c>
      <c r="B3169" s="3" t="inlineStr">
        <is>
          <t>Xuất Excel thất bại</t>
        </is>
      </c>
      <c r="C3169" s="3" t="inlineStr">
        <is>
          <t>Excel export failed</t>
        </is>
      </c>
      <c r="D3169" s="217">
        <f>IFERROR(__xludf.DUMMYFUNCTION("GOOGLETRANSLATE(C3169,""vi"",""km"")"),"ការនាំចេញ Excel បរាជ័យ")</f>
        <v/>
      </c>
      <c r="E3169" s="3" t="n"/>
      <c r="F3169" s="3" t="inlineStr">
        <is>
          <t>ការនាំចេញ Excel បរាជ័យ</t>
        </is>
      </c>
      <c r="G3169" s="3" t="n"/>
      <c r="H3169" s="217" t="inlineStr">
        <is>
          <t>"extractData.downloadError": "ការនាំចេញ Excel បរាជ័យ",</t>
        </is>
      </c>
      <c r="I3169" t="inlineStr">
        <is>
          <t>ការនាំចេញ Excel បរាជ័យ</t>
        </is>
      </c>
    </row>
    <row r="3170">
      <c r="A3170" s="3" t="inlineStr">
        <is>
          <t>extractData.edit</t>
        </is>
      </c>
      <c r="B3170" s="3" t="inlineStr">
        <is>
          <t>Cập nhật</t>
        </is>
      </c>
      <c r="C3170" s="3" t="inlineStr">
        <is>
          <t>Update</t>
        </is>
      </c>
      <c r="D3170" s="217">
        <f>IFERROR(__xludf.DUMMYFUNCTION("GOOGLETRANSLATE(C3170,""vi"",""km"")"),"ធ្វើបច្ចុប្បន្នភាព")</f>
        <v/>
      </c>
      <c r="E3170" s="3" t="n"/>
      <c r="F3170" s="3" t="inlineStr">
        <is>
          <t>ធ្វើបច្ចុប្បន្នភាព</t>
        </is>
      </c>
      <c r="G3170" s="3" t="n"/>
      <c r="H3170" s="217" t="inlineStr">
        <is>
          <t>"extractData.edit": "ធ្វើបច្ចុប្បន្នភាព",</t>
        </is>
      </c>
      <c r="I3170" t="inlineStr">
        <is>
          <t>ធ្វើបច្ចុប្បន្នភាព</t>
        </is>
      </c>
    </row>
    <row r="3171">
      <c r="A3171" s="3" t="inlineStr">
        <is>
          <t>extractData.editTitle</t>
        </is>
      </c>
      <c r="B3171" s="3" t="inlineStr">
        <is>
          <t>Cập nhật cấu hình xuất Excel</t>
        </is>
      </c>
      <c r="C3171" s="3" t="inlineStr">
        <is>
          <t>Update Excel export configuration</t>
        </is>
      </c>
      <c r="D3171" s="217">
        <f>IFERROR(__xludf.DUMMYFUNCTION("GOOGLETRANSLATE(C3171,""vi"",""km"")"),"ធ្វើបច្ចុប្បន្នភាពការកំណត់រចនាសម្ព័ន្ធនាំចេញ Excel")</f>
        <v/>
      </c>
      <c r="E3171" s="3" t="n"/>
      <c r="F3171" s="3" t="inlineStr">
        <is>
          <t>ធ្វើបច្ចុប្បន្នភាពការកំណត់រចនាសម្ព័ន្ធនាំចេញ Excel</t>
        </is>
      </c>
      <c r="G3171" s="3" t="n"/>
      <c r="H3171" s="217" t="inlineStr">
        <is>
          <t>"extractData.editTitle": "ធ្វើបច្ចុប្បន្នភាពការកំណត់រចនាសម្ព័ន្ធនាំចេញ Excel",</t>
        </is>
      </c>
      <c r="I3171" t="inlineStr">
        <is>
          <t>ធ្វើបច្ចុប្បន្នភាពការកំណត់រចនាសម្ព័ន្ធនាំចេញ Excel</t>
        </is>
      </c>
    </row>
    <row r="3172">
      <c r="A3172" s="3" t="inlineStr">
        <is>
          <t>extractData.employeeCodePermission</t>
        </is>
      </c>
      <c r="B3172" s="3" t="inlineStr">
        <is>
          <t>Phân quyền theo mã nhân viên</t>
        </is>
      </c>
      <c r="C3172" s="3" t="inlineStr">
        <is>
          <t>Employee code permission</t>
        </is>
      </c>
      <c r="D3172" s="217">
        <f>IFERROR(__xludf.DUMMYFUNCTION("GOOGLETRANSLATE(C3172,""vi"",""km"")"),"ការអនុញ្ញាតលេខកូដបុគ្គលិក")</f>
        <v/>
      </c>
      <c r="E3172" s="3" t="n"/>
      <c r="F3172" s="3" t="inlineStr">
        <is>
          <t>ការអនុញ្ញាតលេខកូដបុគ្គលិក</t>
        </is>
      </c>
      <c r="G3172" s="3" t="n"/>
      <c r="H3172" s="217" t="inlineStr">
        <is>
          <t>"extractData.employeeCodePermission": "ការអនុញ្ញាតលេខកូដបុគ្គលិក",</t>
        </is>
      </c>
      <c r="I3172" t="inlineStr">
        <is>
          <t>ការអនុញ្ញាតលេខកូដបុគ្គលិក</t>
        </is>
      </c>
    </row>
    <row r="3173">
      <c r="A3173" s="3" t="inlineStr">
        <is>
          <t>extractData.enterValue</t>
        </is>
      </c>
      <c r="B3173" s="3" t="inlineStr">
        <is>
          <t>Nhập giá trị</t>
        </is>
      </c>
      <c r="C3173" s="3" t="inlineStr">
        <is>
          <t>Enter value</t>
        </is>
      </c>
      <c r="D3173" s="217">
        <f>IFERROR(__xludf.DUMMYFUNCTION("GOOGLETRANSLATE(C3173,""vi"",""km"")"),"បញ្ចូលតម្លៃ")</f>
        <v/>
      </c>
      <c r="E3173" s="3" t="n"/>
      <c r="F3173" s="3" t="inlineStr">
        <is>
          <t>បញ្ចូលតម្លៃ</t>
        </is>
      </c>
      <c r="G3173" s="3" t="n"/>
      <c r="H3173" s="217" t="inlineStr">
        <is>
          <t>"extractData.enterValue": "បញ្ចូលតម្លៃ",</t>
        </is>
      </c>
      <c r="I3173" t="inlineStr">
        <is>
          <t>បញ្ចូលតម្លៃ</t>
        </is>
      </c>
    </row>
    <row r="3174">
      <c r="A3174" s="3" t="inlineStr">
        <is>
          <t>extractData.filter</t>
        </is>
      </c>
      <c r="B3174" s="3" t="inlineStr">
        <is>
          <t>Bộ lọc</t>
        </is>
      </c>
      <c r="C3174" s="3" t="inlineStr">
        <is>
          <t>Filter</t>
        </is>
      </c>
      <c r="D3174" s="217">
        <f>IFERROR(__xludf.DUMMYFUNCTION("GOOGLETRANSLATE(C3174,""vi"",""km"")"),"តម្រង")</f>
        <v/>
      </c>
      <c r="E3174" s="3" t="n"/>
      <c r="F3174" s="3" t="inlineStr">
        <is>
          <t>តម្រង</t>
        </is>
      </c>
      <c r="G3174" s="3" t="n"/>
      <c r="H3174" s="217" t="inlineStr">
        <is>
          <t>"extractData.filter": "តម្រង",</t>
        </is>
      </c>
      <c r="I3174" t="inlineStr">
        <is>
          <t>តម្រង</t>
        </is>
      </c>
    </row>
    <row r="3175">
      <c r="A3175" s="3" t="inlineStr">
        <is>
          <t>extractData.filterName</t>
        </is>
      </c>
      <c r="B3175" s="3" t="inlineStr">
        <is>
          <t>Tên bộ lọc</t>
        </is>
      </c>
      <c r="C3175" s="3" t="inlineStr">
        <is>
          <t>Filter name</t>
        </is>
      </c>
      <c r="D3175" s="217">
        <f>IFERROR(__xludf.DUMMYFUNCTION("GOOGLETRANSLATE(C3175,""vi"",""km"")"),"ឈ្មោះតម្រង")</f>
        <v/>
      </c>
      <c r="E3175" s="3" t="n"/>
      <c r="F3175" s="3" t="inlineStr">
        <is>
          <t>ឈ្មោះតម្រង</t>
        </is>
      </c>
      <c r="G3175" s="3" t="n"/>
      <c r="H3175" s="217" t="inlineStr">
        <is>
          <t>"extractData.filterName": "ឈ្មោះតម្រង",</t>
        </is>
      </c>
      <c r="I3175" t="inlineStr">
        <is>
          <t>ឈ្មោះតម្រង</t>
        </is>
      </c>
    </row>
    <row r="3176">
      <c r="A3176" s="3" t="inlineStr">
        <is>
          <t>extractData.finance</t>
        </is>
      </c>
      <c r="B3176" s="3" t="inlineStr">
        <is>
          <t>Tài chính</t>
        </is>
      </c>
      <c r="C3176" s="3" t="inlineStr">
        <is>
          <t>Finance</t>
        </is>
      </c>
      <c r="D3176" s="217">
        <f>IFERROR(__xludf.DUMMYFUNCTION("GOOGLETRANSLATE(C3176,""vi"",""km"")"),"ហិរញ្ញវត្ថុ")</f>
        <v/>
      </c>
      <c r="E3176" s="3" t="n"/>
      <c r="F3176" s="3" t="inlineStr">
        <is>
          <t>ហិរញ្ញវត្ថុ</t>
        </is>
      </c>
      <c r="G3176" s="3" t="n"/>
      <c r="H3176" s="217" t="inlineStr">
        <is>
          <t>"extractData.finance": "ហិរញ្ញវត្ថុ",</t>
        </is>
      </c>
      <c r="I3176" t="inlineStr">
        <is>
          <t>ហិរញ្ញវត្ថុ</t>
        </is>
      </c>
    </row>
    <row r="3177">
      <c r="A3177" s="3" t="inlineStr">
        <is>
          <t>extractData.inactive</t>
        </is>
      </c>
      <c r="B3177" s="3" t="inlineStr">
        <is>
          <t>Không hoạt động</t>
        </is>
      </c>
      <c r="C3177" s="3" t="inlineStr">
        <is>
          <t>InActive</t>
        </is>
      </c>
      <c r="D3177" s="217">
        <f>IFERROR(__xludf.DUMMYFUNCTION("GOOGLETRANSLATE(C3177,""vi"",""km"")"),"អសកម្ម")</f>
        <v/>
      </c>
      <c r="E3177" s="3" t="n"/>
      <c r="F3177" s="3" t="inlineStr">
        <is>
          <t>អសកម្ម</t>
        </is>
      </c>
      <c r="G3177" s="3" t="n"/>
      <c r="H3177" s="217" t="inlineStr">
        <is>
          <t>"extractData.inactive": "អសកម្ម",</t>
        </is>
      </c>
      <c r="I3177" t="inlineStr">
        <is>
          <t>អសកម្ម</t>
        </is>
      </c>
    </row>
    <row r="3178">
      <c r="A3178" s="3" t="inlineStr">
        <is>
          <t>extractData.inputDataType</t>
        </is>
      </c>
      <c r="B3178" s="3" t="inlineStr">
        <is>
          <t>Nhập kiểu dữ liệu</t>
        </is>
      </c>
      <c r="C3178" s="3" t="inlineStr">
        <is>
          <t>Enter data type</t>
        </is>
      </c>
      <c r="D3178" s="217">
        <f>IFERROR(__xludf.DUMMYFUNCTION("GOOGLETRANSLATE(C3178,""vi"",""km"")"),"បញ្ចូលប្រភេទទិន្នន័យ")</f>
        <v/>
      </c>
      <c r="E3178" s="3" t="n"/>
      <c r="F3178" s="3" t="inlineStr">
        <is>
          <t>បញ្ចូលប្រភេទទិន្នន័យ</t>
        </is>
      </c>
      <c r="G3178" s="3" t="n"/>
      <c r="H3178" s="217" t="inlineStr">
        <is>
          <t>"extractData.inputDataType": "បញ្ចូលប្រភេទទិន្នន័យ",</t>
        </is>
      </c>
      <c r="I3178" t="inlineStr">
        <is>
          <t>បញ្ចូលប្រភេទទិន្នន័យ</t>
        </is>
      </c>
    </row>
    <row r="3179">
      <c r="A3179" s="3" t="inlineStr">
        <is>
          <t>extractData.inputDbColumn</t>
        </is>
      </c>
      <c r="B3179" s="3" t="inlineStr">
        <is>
          <t>Nhập tên cột DB</t>
        </is>
      </c>
      <c r="C3179" s="3" t="inlineStr">
        <is>
          <t>Enter DB column name</t>
        </is>
      </c>
      <c r="D3179" s="217">
        <f>IFERROR(__xludf.DUMMYFUNCTION("GOOGLETRANSLATE(C3179,""vi"",""km"")"),"បញ្ចូលឈ្មោះជួរឈរ DB")</f>
        <v/>
      </c>
      <c r="E3179" s="3" t="n"/>
      <c r="F3179" s="3" t="inlineStr">
        <is>
          <t>បញ្ចូលឈ្មោះជួរឈរ DB</t>
        </is>
      </c>
      <c r="G3179" s="3" t="n"/>
      <c r="H3179" s="217" t="inlineStr">
        <is>
          <t>"extractData.inputDbColumn": "បញ្ចូលឈ្មោះជួរឈរ DB",</t>
        </is>
      </c>
      <c r="I3179" t="inlineStr">
        <is>
          <t>បញ្ចូលឈ្មោះជួរឈរ DB</t>
        </is>
      </c>
    </row>
    <row r="3180">
      <c r="A3180" s="3" t="inlineStr">
        <is>
          <t>extractData.inputFilterName</t>
        </is>
      </c>
      <c r="B3180" s="3" t="inlineStr">
        <is>
          <t>Nhập tên bộ lọc</t>
        </is>
      </c>
      <c r="C3180" s="3" t="inlineStr">
        <is>
          <t>Enter filter name</t>
        </is>
      </c>
      <c r="D3180" s="217">
        <f>IFERROR(__xludf.DUMMYFUNCTION("GOOGLETRANSLATE(C3180,""vi"",""km"")"),"បញ្ចូលឈ្មោះតម្រង")</f>
        <v/>
      </c>
      <c r="E3180" s="3" t="n"/>
      <c r="F3180" s="3" t="inlineStr">
        <is>
          <t>បញ្ចូលឈ្មោះតម្រង</t>
        </is>
      </c>
      <c r="G3180" s="3" t="n"/>
      <c r="H3180" s="217" t="inlineStr">
        <is>
          <t>"extractData.inputFilterName": "បញ្ចូលឈ្មោះតម្រង",</t>
        </is>
      </c>
      <c r="I3180" t="inlineStr">
        <is>
          <t>បញ្ចូលឈ្មោះតម្រង</t>
        </is>
      </c>
    </row>
    <row r="3181">
      <c r="A3181" s="3" t="inlineStr">
        <is>
          <t>extractData.inputNote</t>
        </is>
      </c>
      <c r="B3181" s="3" t="inlineStr">
        <is>
          <t>Nhập ghi chú</t>
        </is>
      </c>
      <c r="C3181" s="3" t="inlineStr">
        <is>
          <t>Enter note</t>
        </is>
      </c>
      <c r="D3181" s="217">
        <f>IFERROR(__xludf.DUMMYFUNCTION("GOOGLETRANSLATE(C3181,""vi"",""km"")"),"បញ្ចូលកំណត់ចំណាំ")</f>
        <v/>
      </c>
      <c r="E3181" s="3" t="n"/>
      <c r="F3181" s="3" t="inlineStr">
        <is>
          <t>បញ្ចូលកំណត់ចំណាំ</t>
        </is>
      </c>
      <c r="G3181" s="3" t="n"/>
      <c r="H3181" s="217" t="inlineStr">
        <is>
          <t>"extractData.inputNote": "បញ្ចូលកំណត់ចំណាំ",</t>
        </is>
      </c>
      <c r="I3181" t="inlineStr">
        <is>
          <t>បញ្ចូលកំណត់ចំណាំ</t>
        </is>
      </c>
    </row>
    <row r="3182">
      <c r="A3182" s="3" t="inlineStr">
        <is>
          <t>extractData.inputPersonInCharge</t>
        </is>
      </c>
      <c r="B3182" s="3" t="inlineStr">
        <is>
          <t>Nhập tên người phụ trách</t>
        </is>
      </c>
      <c r="C3182" s="3" t="inlineStr">
        <is>
          <t>Enter person in charge</t>
        </is>
      </c>
      <c r="D3182" s="217">
        <f>IFERROR(__xludf.DUMMYFUNCTION("GOOGLETRANSLATE(C3182,""vi"",""km"")"),"បញ្ចូលអ្នកទទួលខុសត្រូវ")</f>
        <v/>
      </c>
      <c r="E3182" s="3" t="n"/>
      <c r="F3182" s="3" t="inlineStr">
        <is>
          <t>បញ្ចូលអ្នកទទួលខុសត្រូវ</t>
        </is>
      </c>
      <c r="G3182" s="3" t="n"/>
      <c r="H3182" s="217" t="inlineStr">
        <is>
          <t>"extractData.inputPersonInCharge": "បញ្ចូលអ្នកទទួលខុសត្រូវ",</t>
        </is>
      </c>
      <c r="I3182" t="inlineStr">
        <is>
          <t>បញ្ចូលអ្នកទទួលខុសត្រូវ</t>
        </is>
      </c>
    </row>
    <row r="3183">
      <c r="A3183" s="3" t="inlineStr">
        <is>
          <t>extractData.inputSqlSyntax</t>
        </is>
      </c>
      <c r="B3183" s="3" t="inlineStr">
        <is>
          <t>Nhập SQL Syntax</t>
        </is>
      </c>
      <c r="C3183" s="3" t="inlineStr">
        <is>
          <t>Enter SQL syntax</t>
        </is>
      </c>
      <c r="D3183" s="217">
        <f>IFERROR(__xludf.DUMMYFUNCTION("GOOGLETRANSLATE(C3183,""vi"",""km"")"),"បញ្ចូលវាក្យសម្ព័ន្ធ SQL")</f>
        <v/>
      </c>
      <c r="E3183" s="3" t="n"/>
      <c r="F3183" s="3" t="inlineStr">
        <is>
          <t>បញ្ចូលវាក្យសម្ព័ន្ធ SQL</t>
        </is>
      </c>
      <c r="G3183" s="3" t="n"/>
      <c r="H3183" s="217" t="inlineStr">
        <is>
          <t>"extractData.inputSqlSyntax": "បញ្ចូលវាក្យសម្ព័ន្ធ SQL",</t>
        </is>
      </c>
      <c r="I3183" t="inlineStr">
        <is>
          <t>បញ្ចូលវាក្យសម្ព័ន្ធ SQL</t>
        </is>
      </c>
    </row>
    <row r="3184">
      <c r="A3184" s="3" t="inlineStr">
        <is>
          <t>extractData.note</t>
        </is>
      </c>
      <c r="B3184" s="3" t="inlineStr">
        <is>
          <t>Ghi chú</t>
        </is>
      </c>
      <c r="C3184" s="3" t="inlineStr">
        <is>
          <t>Note</t>
        </is>
      </c>
      <c r="D3184" s="217">
        <f>IFERROR(__xludf.DUMMYFUNCTION("GOOGLETRANSLATE(C3184,""vi"",""km"")"),"កំណត់ចំណាំ")</f>
        <v/>
      </c>
      <c r="E3184" s="3" t="n"/>
      <c r="F3184" s="3" t="inlineStr">
        <is>
          <t>ចំណាំ</t>
        </is>
      </c>
      <c r="G3184" s="3" t="n"/>
      <c r="H3184" s="217" t="inlineStr">
        <is>
          <t>"extractData.note": "ចំណាំ",</t>
        </is>
      </c>
      <c r="I3184" t="inlineStr">
        <is>
          <t>ចំណាំ</t>
        </is>
      </c>
    </row>
    <row r="3185">
      <c r="A3185" s="3" t="inlineStr">
        <is>
          <t>extractData.number</t>
        </is>
      </c>
      <c r="B3185" s="3" t="inlineStr">
        <is>
          <t>Number</t>
        </is>
      </c>
      <c r="C3185" s="3" t="inlineStr">
        <is>
          <t>Number</t>
        </is>
      </c>
      <c r="D3185" s="217">
        <f>IFERROR(__xludf.DUMMYFUNCTION("GOOGLETRANSLATE(C3185,""vi"",""km"")"),"ពិត")</f>
        <v/>
      </c>
      <c r="E3185" s="3" t="n"/>
      <c r="F3185" s="3" t="inlineStr">
        <is>
          <t>ពិត</t>
        </is>
      </c>
      <c r="G3185" s="3" t="n"/>
      <c r="H3185" s="217" t="inlineStr">
        <is>
          <t>"extractData.number": "ពិត",</t>
        </is>
      </c>
      <c r="I3185" t="inlineStr">
        <is>
          <t>ពិត</t>
        </is>
      </c>
    </row>
    <row r="3186">
      <c r="A3186" s="3" t="inlineStr">
        <is>
          <t>extractData.operation</t>
        </is>
      </c>
      <c r="B3186" s="3" t="inlineStr">
        <is>
          <t>Vận hành</t>
        </is>
      </c>
      <c r="C3186" s="3" t="inlineStr">
        <is>
          <t>Operation</t>
        </is>
      </c>
      <c r="D3186" s="217">
        <f>IFERROR(__xludf.DUMMYFUNCTION("GOOGLETRANSLATE(C3186,""vi"",""km"")"),"ប្រតិបត្តិការ")</f>
        <v/>
      </c>
      <c r="E3186" s="3" t="n"/>
      <c r="F3186" s="3" t="inlineStr">
        <is>
          <t>ប្រតិបត្តិការ</t>
        </is>
      </c>
      <c r="G3186" s="3" t="n"/>
      <c r="H3186" s="217" t="inlineStr">
        <is>
          <t>"extractData.operation": "ប្រតិបត្តិការ",</t>
        </is>
      </c>
      <c r="I3186" t="inlineStr">
        <is>
          <t>ប្រតិបត្តិការ</t>
        </is>
      </c>
    </row>
    <row r="3187">
      <c r="A3187" s="3" t="inlineStr">
        <is>
          <t>extractData.operation_center</t>
        </is>
      </c>
      <c r="B3187" s="3" t="inlineStr">
        <is>
          <t>Trung tâm khai thác</t>
        </is>
      </c>
      <c r="C3187" s="3" t="inlineStr">
        <is>
          <t>Operation center</t>
        </is>
      </c>
      <c r="D3187" s="217">
        <f>IFERROR(__xludf.DUMMYFUNCTION("GOOGLETRANSLATE(C3187,""vi"",""km"")"),"មជ្ឈមណ្ឌលប្រតិបត្តិការ")</f>
        <v/>
      </c>
      <c r="E3187" s="3" t="n"/>
      <c r="F3187" s="3" t="inlineStr">
        <is>
          <t>មជ្ឈមណ្ឌលប្រតិបត្តិការ</t>
        </is>
      </c>
      <c r="G3187" s="3" t="n"/>
      <c r="H3187" s="217" t="inlineStr">
        <is>
          <t>"extractData.operation_center": "មជ្ឈមណ្ឌលប្រតិបត្តិការ",</t>
        </is>
      </c>
      <c r="I3187" t="inlineStr">
        <is>
          <t>មជ្ឈមណ្ឌលប្រតិបត្តិការ</t>
        </is>
      </c>
    </row>
    <row r="3188">
      <c r="A3188" s="3" t="inlineStr">
        <is>
          <t>extractData.personInCharge</t>
        </is>
      </c>
      <c r="B3188" s="3" t="inlineStr">
        <is>
          <t>Người phụ trách</t>
        </is>
      </c>
      <c r="C3188" s="3" t="inlineStr">
        <is>
          <t>Person in charge</t>
        </is>
      </c>
      <c r="D3188" s="217">
        <f>IFERROR(__xludf.DUMMYFUNCTION("GOOGLETRANSLATE(C3188,""vi"",""km"")"),"អ្នកនៅក្នុងការិយាល័យ")</f>
        <v/>
      </c>
      <c r="E3188" s="3" t="n"/>
      <c r="F3188" s="3" t="inlineStr">
        <is>
          <t>អ្នកនៅក្នុងការិយាល័យ</t>
        </is>
      </c>
      <c r="G3188" s="3" t="n"/>
      <c r="H3188" s="217" t="inlineStr">
        <is>
          <t>"extractData.personInCharge": "អ្នកនៅក្នុងការិយាល័យ",</t>
        </is>
      </c>
      <c r="I3188" t="inlineStr">
        <is>
          <t>អ្នកនៅក្នុងការិយាល័យ</t>
        </is>
      </c>
    </row>
    <row r="3189">
      <c r="A3189" s="3" t="inlineStr">
        <is>
          <t>extractData.pleaseSetDataType</t>
        </is>
      </c>
      <c r="B3189" s="3" t="inlineStr">
        <is>
          <t>Vui lòng thiết lập kiểu dữ liệu</t>
        </is>
      </c>
      <c r="C3189" s="3" t="inlineStr">
        <is>
          <t>Please set data type</t>
        </is>
      </c>
      <c r="D3189" s="217">
        <f>IFERROR(__xludf.DUMMYFUNCTION("GOOGLETRANSLATE(C3189,""vi"",""km"")"),"សូមកំណត់ប្រភេទទិន្នន័យ")</f>
        <v/>
      </c>
      <c r="E3189" s="3" t="n"/>
      <c r="F3189" s="3" t="inlineStr">
        <is>
          <t>សូមកំណត់ប្រភេទទិន្នន័យ</t>
        </is>
      </c>
      <c r="G3189" s="3" t="n"/>
      <c r="H3189" s="217" t="inlineStr">
        <is>
          <t>"extractData.pleaseSetDataType": "សូមកំណត់ប្រភេទទិន្នន័យ",</t>
        </is>
      </c>
      <c r="I3189" t="inlineStr">
        <is>
          <t>សូមកំណត់ប្រភេទទិន្នន័យ</t>
        </is>
      </c>
    </row>
    <row r="3190">
      <c r="A3190" s="3" t="inlineStr">
        <is>
          <t>extractData.pleaseSetDbColumn</t>
        </is>
      </c>
      <c r="B3190" s="3" t="inlineStr">
        <is>
          <t>Vui lòng thiết lập tên cột trong DB</t>
        </is>
      </c>
      <c r="C3190" s="3" t="inlineStr">
        <is>
          <t>Please set DB column name</t>
        </is>
      </c>
      <c r="D3190" s="217">
        <f>IFERROR(__xludf.DUMMYFUNCTION("GOOGLETRANSLATE(C3190,""vi"",""km"")"),"សូមកំណត់ឈ្មោះជួរឈរ DB។")</f>
        <v/>
      </c>
      <c r="E3190" s="3" t="n"/>
      <c r="F3190" s="3" t="inlineStr">
        <is>
          <t>សូមកំណត់ឈ្មោះជួរឈរ DB។</t>
        </is>
      </c>
      <c r="G3190" s="3" t="n"/>
      <c r="H3190" s="217" t="inlineStr">
        <is>
          <t>"extractData.pleaseSetDbColumn": "សូមកំណត់ឈ្មោះជួរឈរ DB។",</t>
        </is>
      </c>
      <c r="I3190" t="inlineStr">
        <is>
          <t>សូមកំណត់ឈ្មោះជួរឈរ DB។</t>
        </is>
      </c>
    </row>
    <row r="3191">
      <c r="A3191" s="3" t="inlineStr">
        <is>
          <t>extractData.pleaseSetEmployeeCode</t>
        </is>
      </c>
      <c r="B3191" s="3" t="inlineStr">
        <is>
          <t>Vui lòng thiết lập đối tượng được phép truy cập báo cáo</t>
        </is>
      </c>
      <c r="C3191" s="3" t="inlineStr">
        <is>
          <t>Please set who can access the report</t>
        </is>
      </c>
      <c r="D3191" s="217">
        <f>IFERROR(__xludf.DUMMYFUNCTION("GOOGLETRANSLATE(C3191,""vi"",""km"")"),"សូមកំណត់ថាអ្នកណាអាចចូលប្រើរបាយការណ៍បាន")</f>
        <v/>
      </c>
      <c r="E3191" s="3" t="n"/>
      <c r="F3191" s="3" t="inlineStr">
        <is>
          <t>សូមកំណត់ថាអ្នកណាអាចចូលប្រើរបាយការណ៍បាន</t>
        </is>
      </c>
      <c r="G3191" s="3" t="n"/>
      <c r="H3191" s="217" t="inlineStr">
        <is>
          <t>"extractData.pleaseSetEmployeeCode": "សូមកំណត់ថាអ្នកណាអាចចូលប្រើរបាយការណ៍បាន",</t>
        </is>
      </c>
      <c r="I3191" t="inlineStr">
        <is>
          <t>សូមកំណត់ថាអ្នកណាអាចចូលប្រើរបាយការណ៍បាន</t>
        </is>
      </c>
    </row>
    <row r="3192">
      <c r="A3192" s="3" t="inlineStr">
        <is>
          <t>extractData.pleaseSetFilterName</t>
        </is>
      </c>
      <c r="B3192" s="3" t="inlineStr">
        <is>
          <t>Vui lòng thiết lập tên bộ lọc</t>
        </is>
      </c>
      <c r="C3192" s="3" t="inlineStr">
        <is>
          <t>Please set filter name</t>
        </is>
      </c>
      <c r="D3192" s="217">
        <f>IFERROR(__xludf.DUMMYFUNCTION("GOOGLETRANSLATE(C3192,""vi"",""km"")"),"សូមកំណត់ឈ្មោះតម្រង")</f>
        <v/>
      </c>
      <c r="E3192" s="3" t="n"/>
      <c r="F3192" s="3" t="inlineStr">
        <is>
          <t>សូមកំណត់ឈ្មោះតម្រង</t>
        </is>
      </c>
      <c r="G3192" s="3" t="n"/>
      <c r="H3192" s="217" t="inlineStr">
        <is>
          <t>"extractData.pleaseSetFilterName": "សូមកំណត់ឈ្មោះតម្រង",</t>
        </is>
      </c>
      <c r="I3192" t="inlineStr">
        <is>
          <t>សូមកំណត់ឈ្មោះតម្រង</t>
        </is>
      </c>
    </row>
    <row r="3193">
      <c r="A3193" s="3" t="inlineStr">
        <is>
          <t>extractData.pleaseSetReportName</t>
        </is>
      </c>
      <c r="B3193" s="3" t="inlineStr">
        <is>
          <t>Vui lòng thiết lập tên báo cáo</t>
        </is>
      </c>
      <c r="C3193" s="3" t="inlineStr">
        <is>
          <t>Please set report name</t>
        </is>
      </c>
      <c r="D3193" s="217">
        <f>IFERROR(__xludf.DUMMYFUNCTION("GOOGLETRANSLATE(C3193,""vi"",""km"")"),"សូមកំណត់ឈ្មោះរបាយការណ៍")</f>
        <v/>
      </c>
      <c r="E3193" s="3" t="n"/>
      <c r="F3193" s="3" t="inlineStr">
        <is>
          <t>សូមកំណត់ឈ្មោះរបាយការណ៍</t>
        </is>
      </c>
      <c r="G3193" s="3" t="n"/>
      <c r="H3193" s="217" t="inlineStr">
        <is>
          <t>"extractData.pleaseSetReportName": "សូមកំណត់ឈ្មោះរបាយការណ៍",</t>
        </is>
      </c>
      <c r="I3193" t="inlineStr">
        <is>
          <t>សូមកំណត់ឈ្មោះរបាយការណ៍</t>
        </is>
      </c>
    </row>
    <row r="3194">
      <c r="A3194" s="3" t="inlineStr">
        <is>
          <t>extractData.pleaseSetReportStatus</t>
        </is>
      </c>
      <c r="B3194" s="3" t="inlineStr">
        <is>
          <t>Vui lòng thiết lập trạng thái hoạt động</t>
        </is>
      </c>
      <c r="C3194" s="3" t="inlineStr">
        <is>
          <t>Please set operating status</t>
        </is>
      </c>
      <c r="D3194" s="217">
        <f>IFERROR(__xludf.DUMMYFUNCTION("GOOGLETRANSLATE(C3194,""vi"",""km"")"),"សូមកំណត់ស្ថានភាពប្រតិបត្តិការ")</f>
        <v/>
      </c>
      <c r="E3194" s="3" t="n"/>
      <c r="F3194" s="3" t="inlineStr">
        <is>
          <t>សូមកំណត់ស្ថានភាពប្រតិបត្តិការ</t>
        </is>
      </c>
      <c r="G3194" s="3" t="n"/>
      <c r="H3194" s="217" t="inlineStr">
        <is>
          <t>"extractData.pleaseSetReportStatus": "សូមកំណត់ស្ថានភាពប្រតិបត្តិការ",</t>
        </is>
      </c>
      <c r="I3194" t="inlineStr">
        <is>
          <t>សូមកំណត់ស្ថានភាពប្រតិបត្តិការ</t>
        </is>
      </c>
    </row>
    <row r="3195">
      <c r="A3195" s="3" t="inlineStr">
        <is>
          <t>extractData.pleaseSetReportType</t>
        </is>
      </c>
      <c r="B3195" s="3" t="inlineStr">
        <is>
          <t>Vui lòng thiết lập loại báo cáo</t>
        </is>
      </c>
      <c r="C3195" s="3" t="inlineStr">
        <is>
          <t>Please set report type</t>
        </is>
      </c>
      <c r="D3195" s="217">
        <f>IFERROR(__xludf.DUMMYFUNCTION("GOOGLETRANSLATE(C3195,""vi"",""km"")"),"សូមកំណត់ប្រភេទរបាយការណ៍")</f>
        <v/>
      </c>
      <c r="E3195" s="3" t="n"/>
      <c r="F3195" s="3" t="inlineStr">
        <is>
          <t>សូមកំណត់ប្រភេទរបាយការណ៍</t>
        </is>
      </c>
      <c r="G3195" s="3" t="n"/>
      <c r="H3195" s="217" t="inlineStr">
        <is>
          <t>"extractData.pleaseSetReportType": "សូមកំណត់ប្រភេទរបាយការណ៍",</t>
        </is>
      </c>
      <c r="I3195" t="inlineStr">
        <is>
          <t>សូមកំណត់ប្រភេទរបាយការណ៍</t>
        </is>
      </c>
    </row>
    <row r="3196">
      <c r="A3196" s="3" t="inlineStr">
        <is>
          <t>extractData.pleaseSetRolePermission</t>
        </is>
      </c>
      <c r="B3196" s="3" t="inlineStr">
        <is>
          <t>Vui lòng thiết lập đối tượng được phép truy cập báo cáo</t>
        </is>
      </c>
      <c r="C3196" s="3" t="inlineStr">
        <is>
          <t>Please set who can access the report</t>
        </is>
      </c>
      <c r="D3196" s="217">
        <f>IFERROR(__xludf.DUMMYFUNCTION("GOOGLETRANSLATE(C3196,""vi"",""km"")"),"សូមកំណត់ថាអ្នកណាអាចចូលប្រើរបាយការណ៍បាន")</f>
        <v/>
      </c>
      <c r="E3196" s="3" t="n"/>
      <c r="F3196" s="3" t="inlineStr">
        <is>
          <t>សូមកំណត់ថាអ្នកណាអាចចូលប្រើរបាយការណ៍បាន</t>
        </is>
      </c>
      <c r="G3196" s="3" t="n"/>
      <c r="H3196" s="217" t="inlineStr">
        <is>
          <t>"extractData.pleaseSetRolePermission": "សូមកំណត់ថាអ្នកណាអាចចូលប្រើរបាយការណ៍បាន",</t>
        </is>
      </c>
      <c r="I3196" t="inlineStr">
        <is>
          <t>សូមកំណត់ថាអ្នកណាអាចចូលប្រើរបាយការណ៍បាន</t>
        </is>
      </c>
    </row>
    <row r="3197">
      <c r="A3197" s="3" t="inlineStr">
        <is>
          <t>extractData.pleaseSetSqlSyntax</t>
        </is>
      </c>
      <c r="B3197" s="3" t="inlineStr">
        <is>
          <t>Vui lòng thiết lập cú pháp SQL</t>
        </is>
      </c>
      <c r="C3197" s="3" t="inlineStr">
        <is>
          <t>Please set SQL syntax</t>
        </is>
      </c>
      <c r="D3197" s="217">
        <f>IFERROR(__xludf.DUMMYFUNCTION("GOOGLETRANSLATE(C3197,""vi"",""km"")"),"សូមកំណត់វាក្យសម្ព័ន្ធ SQL")</f>
        <v/>
      </c>
      <c r="E3197" s="3" t="n"/>
      <c r="F3197" s="3" t="inlineStr">
        <is>
          <t>សូមកំណត់វាក្យសម្ព័ន្ធ SQL</t>
        </is>
      </c>
      <c r="G3197" s="3" t="n"/>
      <c r="H3197" s="217" t="inlineStr">
        <is>
          <t>"extractData.pleaseSetSqlSyntax": "សូមកំណត់វាក្យសម្ព័ន្ធ SQL",</t>
        </is>
      </c>
      <c r="I3197" t="inlineStr">
        <is>
          <t>សូមកំណត់វាក្យសម្ព័ន្ធ SQL</t>
        </is>
      </c>
    </row>
    <row r="3198">
      <c r="A3198" s="3" t="inlineStr">
        <is>
          <t>extractData.reportDateCreate</t>
        </is>
      </c>
      <c r="B3198" s="3" t="inlineStr">
        <is>
          <t>Ngày tạo</t>
        </is>
      </c>
      <c r="C3198" s="3" t="inlineStr">
        <is>
          <t>Created date</t>
        </is>
      </c>
      <c r="D3198" s="217">
        <f>IFERROR(__xludf.DUMMYFUNCTION("GOOGLETRANSLATE(C3198,""vi"",""km"")"),"កាលបរិច្ឆេទបង្កើត")</f>
        <v/>
      </c>
      <c r="E3198" s="3" t="n"/>
      <c r="F3198" s="3" t="inlineStr">
        <is>
          <t>កាលបរិច្ឆេទបង្កើត</t>
        </is>
      </c>
      <c r="G3198" s="3" t="n"/>
      <c r="H3198" s="217" t="inlineStr">
        <is>
          <t>"extractData.reportDateCreate": "កាលបរិច្ឆេទបង្កើត",</t>
        </is>
      </c>
      <c r="I3198" t="inlineStr">
        <is>
          <t>កាលបរិច្ឆេទបង្កើត</t>
        </is>
      </c>
    </row>
    <row r="3199">
      <c r="A3199" s="3" t="inlineStr">
        <is>
          <t>extractData.reportId</t>
        </is>
      </c>
      <c r="B3199" s="3" t="inlineStr">
        <is>
          <t>ID báo cáo</t>
        </is>
      </c>
      <c r="C3199" s="3" t="inlineStr">
        <is>
          <t>Report ID</t>
        </is>
      </c>
      <c r="D3199" s="217">
        <f>IFERROR(__xludf.DUMMYFUNCTION("GOOGLETRANSLATE(C3199,""vi"",""km"")"),"លេខសម្គាល់របាយការណ៍")</f>
        <v/>
      </c>
      <c r="E3199" s="3" t="n"/>
      <c r="F3199" s="3" t="inlineStr">
        <is>
          <t>លេខសម្គាល់របាយការណ៍</t>
        </is>
      </c>
      <c r="G3199" s="3" t="n"/>
      <c r="H3199" s="217" t="inlineStr">
        <is>
          <t>"extractData.reportId": "លេខសម្គាល់របាយការណ៍",</t>
        </is>
      </c>
      <c r="I3199" t="inlineStr">
        <is>
          <t>លេខសម្គាល់របាយការណ៍</t>
        </is>
      </c>
    </row>
    <row r="3200">
      <c r="A3200" s="3" t="inlineStr">
        <is>
          <t>extractData.reportNamePlaceholder</t>
        </is>
      </c>
      <c r="B3200" s="3" t="inlineStr">
        <is>
          <t>Chọn loại báo cáo</t>
        </is>
      </c>
      <c r="C3200" s="3" t="inlineStr">
        <is>
          <t>Select report type</t>
        </is>
      </c>
      <c r="D3200" s="217">
        <f>IFERROR(__xludf.DUMMYFUNCTION("GOOGLETRANSLATE(C3200,""vi"",""km"")"),"ជ្រើសរើសប្រភេទរបាយការណ៍")</f>
        <v/>
      </c>
      <c r="E3200" s="3" t="n"/>
      <c r="F3200" s="3" t="inlineStr">
        <is>
          <t>ជ្រើសរើសប្រភេទរបាយការណ៍</t>
        </is>
      </c>
      <c r="G3200" s="3" t="n"/>
      <c r="H3200" s="217" t="inlineStr">
        <is>
          <t>"extractData.reportNamePlaceholder": "ជ្រើសរើសប្រភេទរបាយការណ៍",</t>
        </is>
      </c>
      <c r="I3200" t="inlineStr">
        <is>
          <t>ជ្រើសរើសប្រភេទរបាយការណ៍</t>
        </is>
      </c>
    </row>
    <row r="3201">
      <c r="A3201" s="3" t="inlineStr">
        <is>
          <t>extractData.reportStatus</t>
        </is>
      </c>
      <c r="B3201" s="3" t="inlineStr">
        <is>
          <t>Trạng thái hoạt động</t>
        </is>
      </c>
      <c r="C3201" s="3" t="inlineStr">
        <is>
          <t>Operating status</t>
        </is>
      </c>
      <c r="D3201" s="217">
        <f>IFERROR(__xludf.DUMMYFUNCTION("GOOGLETRANSLATE(C3201,""vi"",""km"")"),"ស្ថានភាពប្រតិបត្តិការ")</f>
        <v/>
      </c>
      <c r="E3201" s="3" t="n"/>
      <c r="F3201" s="3" t="inlineStr">
        <is>
          <t>ស្ថានភាពប្រតិបត្តិការ</t>
        </is>
      </c>
      <c r="G3201" s="3" t="n"/>
      <c r="H3201" s="217" t="inlineStr">
        <is>
          <t>"extractData.reportStatus": "ស្ថានភាពប្រតិបត្តិការ",</t>
        </is>
      </c>
      <c r="I3201" t="inlineStr">
        <is>
          <t>ស្ថានភាពប្រតិបត្តិការ</t>
        </is>
      </c>
    </row>
    <row r="3202">
      <c r="A3202" s="3" t="inlineStr">
        <is>
          <t>extractData.reportStatusPlaceHolder</t>
        </is>
      </c>
      <c r="B3202" s="3" t="inlineStr">
        <is>
          <t>Lọc theo trạng thái báo cáo</t>
        </is>
      </c>
      <c r="C3202" s="3" t="inlineStr">
        <is>
          <t>Filter by report status</t>
        </is>
      </c>
      <c r="D3202" s="217">
        <f>IFERROR(__xludf.DUMMYFUNCTION("GOOGLETRANSLATE(C3202,""vi"",""km"")"),"ត្រងតាមស្ថានភាពរបាយការណ៍")</f>
        <v/>
      </c>
      <c r="E3202" s="3" t="n"/>
      <c r="F3202" s="3" t="inlineStr">
        <is>
          <t>ត្រងតាមស្ថានភាពរបាយការណ៍</t>
        </is>
      </c>
      <c r="G3202" s="3" t="n"/>
      <c r="H3202" s="217" t="inlineStr">
        <is>
          <t>"extractData.reportStatusPlaceHolder": "ត្រងតាមស្ថានភាពរបាយការណ៍",</t>
        </is>
      </c>
      <c r="I3202" t="inlineStr">
        <is>
          <t>ត្រងតាមស្ថានភាពរបាយការណ៍</t>
        </is>
      </c>
    </row>
    <row r="3203">
      <c r="A3203" s="3" t="inlineStr">
        <is>
          <t>extractData.reportType</t>
        </is>
      </c>
      <c r="B3203" s="3" t="inlineStr">
        <is>
          <t>Loại báo cáo</t>
        </is>
      </c>
      <c r="C3203" s="3" t="inlineStr">
        <is>
          <t>Report type</t>
        </is>
      </c>
      <c r="D3203" s="217">
        <f>IFERROR(__xludf.DUMMYFUNCTION("GOOGLETRANSLATE(C3203,""vi"",""km"")"),"ប្រភេទរបាយការណ៍")</f>
        <v/>
      </c>
      <c r="E3203" s="3" t="n"/>
      <c r="F3203" s="3" t="inlineStr">
        <is>
          <t>ប្រភេទរបាយការណ៍</t>
        </is>
      </c>
      <c r="G3203" s="3" t="n"/>
      <c r="H3203" s="217" t="inlineStr">
        <is>
          <t>"extractData.reportType": "ប្រភេទរបាយការណ៍",</t>
        </is>
      </c>
      <c r="I3203" t="inlineStr">
        <is>
          <t>ប្រភេទរបាយការណ៍</t>
        </is>
      </c>
    </row>
    <row r="3204">
      <c r="A3204" s="3" t="inlineStr">
        <is>
          <t>extractData.reportTypePlaceHolder</t>
        </is>
      </c>
      <c r="B3204" s="3" t="inlineStr">
        <is>
          <t>Lọc theo loại báo cáo</t>
        </is>
      </c>
      <c r="C3204" s="3" t="inlineStr">
        <is>
          <t>Filter by report type</t>
        </is>
      </c>
      <c r="D3204" s="217">
        <f>IFERROR(__xludf.DUMMYFUNCTION("GOOGLETRANSLATE(C3204,""vi"",""km"")"),"ត្រងតាមប្រភេទរបាយការណ៍")</f>
        <v/>
      </c>
      <c r="E3204" s="3" t="n"/>
      <c r="F3204" s="3" t="inlineStr">
        <is>
          <t>ត្រងតាមប្រភេទរបាយការណ៍</t>
        </is>
      </c>
      <c r="G3204" s="3" t="n"/>
      <c r="H3204" s="217" t="inlineStr">
        <is>
          <t>"extractData.reportTypePlaceHolder": "ត្រងតាមប្រភេទរបាយការណ៍",</t>
        </is>
      </c>
      <c r="I3204" t="inlineStr">
        <is>
          <t>ត្រងតាមប្រភេទរបាយការណ៍</t>
        </is>
      </c>
    </row>
    <row r="3205">
      <c r="A3205" s="3" t="inlineStr">
        <is>
          <t>extractData.rolePermission</t>
        </is>
      </c>
      <c r="B3205" s="3" t="inlineStr">
        <is>
          <t>Phân quyền theo Role</t>
        </is>
      </c>
      <c r="C3205" s="3" t="inlineStr">
        <is>
          <t>Role-based permission</t>
        </is>
      </c>
      <c r="D3205" s="217">
        <f>IFERROR(__xludf.DUMMYFUNCTION("GOOGLETRANSLATE(C3205,""vi"",""km"")"),"ការអនុញ្ញាតផ្អែកលើតួនាទី")</f>
        <v/>
      </c>
      <c r="E3205" s="3" t="n"/>
      <c r="F3205" s="3" t="inlineStr">
        <is>
          <t>ការអនុញ្ញាតផ្អែកលើតួនាទី</t>
        </is>
      </c>
      <c r="G3205" s="3" t="n"/>
      <c r="H3205" s="217" t="inlineStr">
        <is>
          <t>"extractData.rolePermission": "ការអនុញ្ញាតផ្អែកលើតួនាទី",</t>
        </is>
      </c>
      <c r="I3205" t="inlineStr">
        <is>
          <t>ការអនុញ្ញាតផ្អែកលើតួនាទី</t>
        </is>
      </c>
    </row>
    <row r="3206">
      <c r="A3206" s="3" t="inlineStr">
        <is>
          <t>extractData.searchEmployeeCode</t>
        </is>
      </c>
      <c r="B3206" s="3" t="inlineStr">
        <is>
          <t>Tìm mã nhân viên được xuất Excel</t>
        </is>
      </c>
      <c r="C3206" s="3" t="inlineStr">
        <is>
          <t>Search employee code allowed to export Excel</t>
        </is>
      </c>
      <c r="D3206" s="217">
        <f>IFERROR(__xludf.DUMMYFUNCTION("GOOGLETRANSLATE(C3206,""vi"",""km"")"),"លេខកូដបុគ្គលិកស្វែងរកត្រូវបានអនុញ្ញាតឱ្យនាំចេញ Excel")</f>
        <v/>
      </c>
      <c r="E3206" s="3" t="n"/>
      <c r="F3206" s="3" t="inlineStr">
        <is>
          <t>លេខកូដបុគ្គលិកស្វែងរកត្រូវបានអនុញ្ញាតឱ្យនាំចេញ Excel</t>
        </is>
      </c>
      <c r="G3206" s="3" t="n"/>
      <c r="H3206" s="217" t="inlineStr">
        <is>
          <t>"extractData.searchEmployeeCode": "លេខកូដបុគ្គលិកស្វែងរកត្រូវបានអនុញ្ញាតឱ្យនាំចេញ Excel",</t>
        </is>
      </c>
      <c r="I3206" t="inlineStr">
        <is>
          <t>លេខកូដបុគ្គលិកស្វែងរកត្រូវបានអនុញ្ញាតឱ្យនាំចេញ Excel</t>
        </is>
      </c>
    </row>
    <row r="3207">
      <c r="A3207" s="3" t="inlineStr">
        <is>
          <t>extractData.selectFilter</t>
        </is>
      </c>
      <c r="B3207" s="3" t="inlineStr">
        <is>
          <t>Chọn bộ lọc</t>
        </is>
      </c>
      <c r="C3207" s="3" t="inlineStr">
        <is>
          <t>Select filter</t>
        </is>
      </c>
      <c r="D3207" s="217">
        <f>IFERROR(__xludf.DUMMYFUNCTION("GOOGLETRANSLATE(C3207,""vi"",""km"")"),"ជ្រើសរើសតម្រង")</f>
        <v/>
      </c>
      <c r="E3207" s="3" t="n"/>
      <c r="F3207" s="3" t="inlineStr">
        <is>
          <t>ជ្រើសរើសតម្រង</t>
        </is>
      </c>
      <c r="G3207" s="3" t="n"/>
      <c r="H3207" s="217" t="inlineStr">
        <is>
          <t>"extractData.selectFilter": "ជ្រើសរើសតម្រង",</t>
        </is>
      </c>
      <c r="I3207" t="inlineStr">
        <is>
          <t>ជ្រើសរើសតម្រង</t>
        </is>
      </c>
    </row>
    <row r="3208">
      <c r="A3208" s="3" t="inlineStr">
        <is>
          <t>extractData.selectReportType</t>
        </is>
      </c>
      <c r="B3208" s="3" t="inlineStr">
        <is>
          <t>Chọn loại báo cáo</t>
        </is>
      </c>
      <c r="C3208" s="3" t="inlineStr">
        <is>
          <t>Select report type</t>
        </is>
      </c>
      <c r="D3208" s="217">
        <f>IFERROR(__xludf.DUMMYFUNCTION("GOOGLETRANSLATE(C3208,""vi"",""km"")"),"ជ្រើសរើសប្រភេទរបាយការណ៍")</f>
        <v/>
      </c>
      <c r="E3208" s="3" t="n"/>
      <c r="F3208" s="3" t="inlineStr">
        <is>
          <t>ជ្រើសរើសប្រភេទរបាយការណ៍</t>
        </is>
      </c>
      <c r="G3208" s="3" t="n"/>
      <c r="H3208" s="217" t="inlineStr">
        <is>
          <t>"extractData.selectReportType": "ជ្រើសរើសប្រភេទរបាយការណ៍",</t>
        </is>
      </c>
      <c r="I3208" t="inlineStr">
        <is>
          <t>ជ្រើសរើសប្រភេទរបាយការណ៍</t>
        </is>
      </c>
    </row>
    <row r="3209">
      <c r="A3209" s="3" t="inlineStr">
        <is>
          <t>extractData.selectRole</t>
        </is>
      </c>
      <c r="B3209" s="3" t="inlineStr">
        <is>
          <t>Chọn Role</t>
        </is>
      </c>
      <c r="C3209" s="3" t="inlineStr">
        <is>
          <t>Select role</t>
        </is>
      </c>
      <c r="D3209" s="217">
        <f>IFERROR(__xludf.DUMMYFUNCTION("GOOGLETRANSLATE(C3209,""vi"",""km"")"),"តួនាទីជជែកវែកញែក")</f>
        <v/>
      </c>
      <c r="E3209" s="3" t="n"/>
      <c r="F3209" s="3" t="inlineStr">
        <is>
          <t>តួនាទីជជែកវែកញែក</t>
        </is>
      </c>
      <c r="G3209" s="3" t="n"/>
      <c r="H3209" s="217" t="inlineStr">
        <is>
          <t>"extractData.selectRole": "តួនាទីជជែកវែកញែក",</t>
        </is>
      </c>
      <c r="I3209" t="inlineStr">
        <is>
          <t>តួនាទីជជែកវែកញែក</t>
        </is>
      </c>
    </row>
    <row r="3210">
      <c r="A3210" s="3" t="inlineStr">
        <is>
          <t>extractData.selectStatus</t>
        </is>
      </c>
      <c r="B3210" s="3" t="inlineStr">
        <is>
          <t>Chọn trạng thái hoạt động</t>
        </is>
      </c>
      <c r="C3210" s="3" t="inlineStr">
        <is>
          <t>Select Status</t>
        </is>
      </c>
      <c r="D3210" s="217">
        <f>IFERROR(__xludf.DUMMYFUNCTION("GOOGLETRANSLATE(C3210,""vi"",""km"")"),"ជ្រើសរើសស្ថានភាព")</f>
        <v/>
      </c>
      <c r="E3210" s="3" t="n"/>
      <c r="F3210" s="3" t="inlineStr">
        <is>
          <t>ជ្រើសរើសស្ថានភាព</t>
        </is>
      </c>
      <c r="G3210" s="3" t="n"/>
      <c r="H3210" s="217" t="inlineStr">
        <is>
          <t>"extractData.selectStatus": "ជ្រើសរើសស្ថានភាព",</t>
        </is>
      </c>
      <c r="I3210" t="inlineStr">
        <is>
          <t>ជ្រើសរើសស្ថានភាព</t>
        </is>
      </c>
    </row>
    <row r="3211">
      <c r="A3211" s="3" t="inlineStr">
        <is>
          <t>extractData.sqlSyntax</t>
        </is>
      </c>
      <c r="B3211" s="3" t="inlineStr">
        <is>
          <t>SQL Syntax</t>
        </is>
      </c>
      <c r="C3211" s="3" t="inlineStr">
        <is>
          <t>SQL syntax</t>
        </is>
      </c>
      <c r="D3211" s="217">
        <f>IFERROR(__xludf.DUMMYFUNCTION("GOOGLETRANSLATE(C3211,""vi"",""km"")"),"សារ SQL")</f>
        <v/>
      </c>
      <c r="E3211" s="3" t="n"/>
      <c r="F3211" s="3" t="inlineStr">
        <is>
          <t>សារ SQL</t>
        </is>
      </c>
      <c r="G3211" s="3" t="n"/>
      <c r="H3211" s="217" t="inlineStr">
        <is>
          <t>"extractData.sqlSyntax": "សារ SQL",</t>
        </is>
      </c>
      <c r="I3211" t="inlineStr">
        <is>
          <t>សារ SQL</t>
        </is>
      </c>
    </row>
    <row r="3212">
      <c r="A3212" s="3" t="inlineStr">
        <is>
          <t>extractData.string</t>
        </is>
      </c>
      <c r="B3212" s="3" t="inlineStr">
        <is>
          <t>String</t>
        </is>
      </c>
      <c r="C3212" s="3" t="inlineStr">
        <is>
          <t>String</t>
        </is>
      </c>
      <c r="D3212" s="217">
        <f>IFERROR(__xludf.DUMMYFUNCTION("GOOGLETRANSLATE(C3212,""vi"",""km"")"),"មួយ")</f>
        <v/>
      </c>
      <c r="E3212" s="3" t="n"/>
      <c r="F3212" s="3" t="inlineStr">
        <is>
          <t>មួយ</t>
        </is>
      </c>
      <c r="G3212" s="3" t="n"/>
      <c r="H3212" s="217" t="inlineStr">
        <is>
          <t>"extractData.string": "មួយ",</t>
        </is>
      </c>
      <c r="I3212" t="inlineStr">
        <is>
          <t>មួយ</t>
        </is>
      </c>
    </row>
    <row r="3213">
      <c r="A3213" s="3" t="inlineStr">
        <is>
          <t>extractData.updateSuccess</t>
        </is>
      </c>
      <c r="B3213" s="3" t="inlineStr">
        <is>
          <t>Cập nhật cấu hình Excel thành công</t>
        </is>
      </c>
      <c r="C3213" s="3" t="inlineStr">
        <is>
          <t>Successfully updated</t>
        </is>
      </c>
      <c r="D3213" s="217">
        <f>IFERROR(__xludf.DUMMYFUNCTION("GOOGLETRANSLATE(C3213,""vi"",""km"")"),"បានធ្វើបច្ចុប្បន្នភាពដោយជោគជ័យ")</f>
        <v/>
      </c>
      <c r="E3213" s="3" t="n"/>
      <c r="F3213" s="3" t="inlineStr">
        <is>
          <t>បានធ្វើបច្ចុប្បន្នភាពដោយជោគជ័យ</t>
        </is>
      </c>
      <c r="G3213" s="3" t="n"/>
      <c r="H3213" s="217" t="inlineStr">
        <is>
          <t>"extractData.updateSuccess": "បានធ្វើបច្ចុប្បន្នភាពដោយជោគជ័យ",</t>
        </is>
      </c>
      <c r="I3213" t="inlineStr">
        <is>
          <t>បានធ្វើបច្ចុប្បន្នភាពដោយជោគជ័យ</t>
        </is>
      </c>
    </row>
    <row r="3214">
      <c r="A3214" s="3" t="inlineStr">
        <is>
          <t>slider.VehicleEffectReport</t>
        </is>
      </c>
      <c r="B3214" s="3" t="inlineStr">
        <is>
          <t>Hiệu quả sử dụng xe</t>
        </is>
      </c>
      <c r="C3214" s="3" t="inlineStr">
        <is>
          <t>Vehicle Efficiency Report</t>
        </is>
      </c>
      <c r="D3214" s="217">
        <f>IFERROR(__xludf.DUMMYFUNCTION("GOOGLETRANSLATE(C3214,""vi"",""km"")"),"របាយការណ៍ប្រសិទ្ធភាពនៃការអនុវត្ត")</f>
        <v/>
      </c>
      <c r="E3214" s="3" t="n"/>
      <c r="F3214" s="3" t="inlineStr">
        <is>
          <t>របាយការណ៍ប្រសិទ្ធភាពនៃការអនុវត្ត</t>
        </is>
      </c>
      <c r="G3214" s="3" t="n"/>
      <c r="H3214" s="217" t="inlineStr">
        <is>
          <t>"slider.VehicleEffectReport": "របាយការណ៍ប្រសិទ្ធភាពនៃការអនុវត្ត",</t>
        </is>
      </c>
      <c r="I3214" t="inlineStr">
        <is>
          <t>របាយការណ៍ប្រសិទ្ធភាពនៃការអនុវត្ត</t>
        </is>
      </c>
    </row>
    <row r="3215">
      <c r="A3215" s="3" t="inlineStr">
        <is>
          <t>sorting.active</t>
        </is>
      </c>
      <c r="B3215" s="3" t="inlineStr">
        <is>
          <t>Hoạt động</t>
        </is>
      </c>
      <c r="C3215" s="3" t="inlineStr">
        <is>
          <t>Effective</t>
        </is>
      </c>
      <c r="D3215" s="217">
        <f>IFERROR(__xludf.DUMMYFUNCTION("GOOGLETRANSLATE(C3215,""vi"",""km"")"),"មានប្រសិទ្ធភាព")</f>
        <v/>
      </c>
      <c r="E3215" s="3" t="n"/>
      <c r="F3215" s="3" t="inlineStr">
        <is>
          <t>ដំណើរការ</t>
        </is>
      </c>
      <c r="G3215" s="3" t="n"/>
      <c r="H3215" s="217" t="inlineStr">
        <is>
          <t>"sorting.active": "ដំណើរការ",</t>
        </is>
      </c>
      <c r="I3215" t="inlineStr">
        <is>
          <t>ដំណើរការ</t>
        </is>
      </c>
    </row>
    <row r="3216">
      <c r="A3216" s="3" t="inlineStr">
        <is>
          <t>sorting.inactive</t>
        </is>
      </c>
      <c r="B3216" s="3" t="inlineStr">
        <is>
          <t>Không hoạt động</t>
        </is>
      </c>
      <c r="C3216" s="3" t="inlineStr">
        <is>
          <t>Expired</t>
        </is>
      </c>
      <c r="D3216" s="217">
        <f>IFERROR(__xludf.DUMMYFUNCTION("GOOGLETRANSLATE(C3216,""vi"",""km"")"),"ផុតកំណត់")</f>
        <v/>
      </c>
      <c r="E3216" s="3" t="n"/>
      <c r="F3216" s="3" t="inlineStr">
        <is>
          <t>ផុតកំណត់</t>
        </is>
      </c>
      <c r="G3216" s="3" t="n"/>
      <c r="H3216" s="217" t="inlineStr">
        <is>
          <t>"sorting.inactive": "ផុតកំណត់",</t>
        </is>
      </c>
      <c r="I3216" t="inlineStr">
        <is>
          <t>ផុតកំណត់</t>
        </is>
      </c>
    </row>
    <row r="3217">
      <c r="A3217" s="3" t="inlineStr">
        <is>
          <t>ConnectionRateReport.direction</t>
        </is>
      </c>
      <c r="B3217" s="3" t="inlineStr">
        <is>
          <t>Chiều</t>
        </is>
      </c>
      <c r="C3217" s="3" t="inlineStr">
        <is>
          <t>Direction</t>
        </is>
      </c>
      <c r="D3217" s="3" t="inlineStr">
        <is>
          <t>ទិសដៅ</t>
        </is>
      </c>
      <c r="E3217" s="3" t="n"/>
      <c r="F3217" s="3" t="inlineStr">
        <is>
          <t>ទិសដៅ</t>
        </is>
      </c>
      <c r="G3217" s="3" t="n"/>
      <c r="H3217" s="217" t="inlineStr">
        <is>
          <t>"ConnectionRateReport.direction": "ទិសដៅ",</t>
        </is>
      </c>
      <c r="I3217" t="inlineStr">
        <is>
          <t>ទិសដៅ</t>
        </is>
      </c>
    </row>
    <row r="3218">
      <c r="A3218" s="3" t="inlineStr">
        <is>
          <t>ConnectionRateReport.unit</t>
        </is>
      </c>
      <c r="B3218" s="3" t="inlineStr">
        <is>
          <t>Đơn vị</t>
        </is>
      </c>
      <c r="C3218" s="3" t="inlineStr">
        <is>
          <t>Unit</t>
        </is>
      </c>
      <c r="D3218" s="3" t="inlineStr">
        <is>
          <t>ឯកតា</t>
        </is>
      </c>
      <c r="E3218" s="3" t="n"/>
      <c r="F3218" s="3" t="inlineStr">
        <is>
          <t>ឯកតា</t>
        </is>
      </c>
      <c r="G3218" s="3" t="n"/>
      <c r="H3218" s="217" t="inlineStr">
        <is>
          <t>"ConnectionRateReport.unit": "ឯកតា",</t>
        </is>
      </c>
      <c r="I3218" t="inlineStr">
        <is>
          <t>ឯកតា</t>
        </is>
      </c>
    </row>
    <row r="3219">
      <c r="A3219" s="3" t="inlineStr">
        <is>
          <t>ConnectionRateReport.numberOfCommittedConnectionPoints</t>
        </is>
      </c>
      <c r="B3219" s="3" t="inlineStr">
        <is>
          <t>Số điểm kết nối cam kết</t>
        </is>
      </c>
      <c r="C3219" s="3" t="inlineStr">
        <is>
          <t>Number of committed connection points</t>
        </is>
      </c>
      <c r="D3219" s="3" t="inlineStr">
        <is>
          <t>ចំនួនចំណុចតភ្ជាប់ដែលបានប្តេជ្ញាចិត្ត</t>
        </is>
      </c>
      <c r="E3219" s="3" t="n"/>
      <c r="F3219" s="3" t="inlineStr">
        <is>
          <t>ចំនួនចំណុចតភ្ជាប់ដែលបានប្តេជ្ញាចិត្ត</t>
        </is>
      </c>
      <c r="G3219" s="3" t="n"/>
      <c r="H3219" s="217" t="inlineStr">
        <is>
          <t>"ConnectionRateReport.numberOfCommittedConnectionPoints": "ចំនួនចំណុចតភ្ជាប់ដែលបានប្តេជ្ញាចិត្ត",</t>
        </is>
      </c>
      <c r="I3219" t="inlineStr">
        <is>
          <t>ចំនួនចំណុចតភ្ជាប់ដែលបានប្តេជ្ញាចិត្ត</t>
        </is>
      </c>
    </row>
    <row r="3220">
      <c r="A3220" s="3" t="inlineStr">
        <is>
          <t>ConnectionRateReport.numberOfActualConnectionPoints</t>
        </is>
      </c>
      <c r="B3220" s="3" t="inlineStr">
        <is>
          <t>Số điểm kết nối thực tế</t>
        </is>
      </c>
      <c r="C3220" s="3" t="inlineStr">
        <is>
          <t>Number of actual connection points</t>
        </is>
      </c>
      <c r="D3220" s="3" t="inlineStr">
        <is>
          <t>ចំនួនចំណុចតភ្ជាប់ជាក់ស្តែង</t>
        </is>
      </c>
      <c r="E3220" s="3" t="n"/>
      <c r="F3220" s="3" t="inlineStr">
        <is>
          <t>ចំនួនចំណុចតភ្ជាប់ជាក់ស្តែង</t>
        </is>
      </c>
      <c r="G3220" s="3" t="n"/>
      <c r="H3220" s="217" t="inlineStr">
        <is>
          <t>"ConnectionRateReport.numberOfActualConnectionPoints": "ចំនួនចំណុចតភ្ជាប់ជាក់ស្តែង",</t>
        </is>
      </c>
      <c r="I3220" t="inlineStr">
        <is>
          <t>ចំនួនចំណុចតភ្ជាប់ជាក់ស្តែង</t>
        </is>
      </c>
    </row>
    <row r="3221">
      <c r="A3221" s="3" t="inlineStr">
        <is>
          <t>ConnectionRateReport.connectionRate</t>
        </is>
      </c>
      <c r="B3221" s="3" t="inlineStr">
        <is>
          <t>Tỷ lệ kết nối đầy đủ</t>
        </is>
      </c>
      <c r="C3221" s="3" t="inlineStr">
        <is>
          <t>Connection rate</t>
        </is>
      </c>
      <c r="D3221" s="3" t="inlineStr">
        <is>
          <t>អត្រាភ្ជាប់</t>
        </is>
      </c>
      <c r="E3221" s="3" t="n"/>
      <c r="F3221" s="3" t="inlineStr">
        <is>
          <t>អត្រាភ្ជាប់</t>
        </is>
      </c>
      <c r="G3221" s="3" t="n"/>
      <c r="H3221" s="217" t="inlineStr">
        <is>
          <t>"ConnectionRateReport.connectionRate": "អត្រាភ្ជាប់",</t>
        </is>
      </c>
      <c r="I3221" t="inlineStr">
        <is>
          <t>អត្រាភ្ជាប់</t>
        </is>
      </c>
    </row>
    <row r="3222">
      <c r="A3222" s="3" t="inlineStr">
        <is>
          <t>ConnectionRateReport.connectionRateVsPreviousMonth</t>
        </is>
      </c>
      <c r="B3222" s="3" t="inlineStr">
        <is>
          <t>So sánh lũy kế cùng tháng trước (Đủ)</t>
        </is>
      </c>
      <c r="C3222" s="3" t="inlineStr">
        <is>
          <t>Comparison with the previous month</t>
        </is>
      </c>
      <c r="D3222" s="3" t="inlineStr">
        <is>
          <t>ការប្រៀបធៀបជាមួយខែមុន</t>
        </is>
      </c>
      <c r="E3222" s="3" t="n"/>
      <c r="F3222" s="3" t="inlineStr">
        <is>
          <t>ការប្រៀបធៀបជាមួយខែមុន</t>
        </is>
      </c>
      <c r="G3222" s="3" t="n"/>
      <c r="H3222" s="217" t="inlineStr">
        <is>
          <t>"ConnectionRateReport.connectionRateVsPreviousMonth": "ការប្រៀបធៀបជាមួយខែមុន",</t>
        </is>
      </c>
      <c r="I3222" t="inlineStr">
        <is>
          <t>ការប្រៀបធៀបជាមួយខែមុន</t>
        </is>
      </c>
    </row>
    <row r="3223">
      <c r="A3223" s="3" t="inlineStr">
        <is>
          <t>ConnectionRateReport.onTimePoint</t>
        </is>
      </c>
      <c r="B3223" s="3" t="inlineStr">
        <is>
          <t>Số điểm kết nối đúng giờ</t>
        </is>
      </c>
      <c r="C3223" s="3" t="inlineStr">
        <is>
          <t>Number of on-time connection points</t>
        </is>
      </c>
      <c r="D3223" s="3" t="inlineStr">
        <is>
          <t>ចំនួនចំណុចតភ្ជាប់ទាន់ពេលវេលា</t>
        </is>
      </c>
      <c r="E3223" s="3" t="n"/>
      <c r="F3223" s="3" t="inlineStr">
        <is>
          <t>ចំនួនចំណុចតភ្ជាប់ទាន់ពេលវេលា</t>
        </is>
      </c>
      <c r="G3223" s="3" t="n"/>
      <c r="H3223" s="217" t="inlineStr">
        <is>
          <t>"ConnectionRateReport.onTimePoint": "ចំនួនចំណុចតភ្ជាប់ទាន់ពេលវេលា",</t>
        </is>
      </c>
      <c r="I3223" t="inlineStr">
        <is>
          <t>ចំនួនចំណុចតភ្ជាប់ទាន់ពេលវេលា</t>
        </is>
      </c>
    </row>
    <row r="3224">
      <c r="A3224" s="3" t="inlineStr">
        <is>
          <t>ConnectionRateReport.onTimeRate</t>
        </is>
      </c>
      <c r="B3224" s="3" t="inlineStr">
        <is>
          <t>Tỷ lệ kết nối đúng giờ</t>
        </is>
      </c>
      <c r="C3224" s="3" t="inlineStr">
        <is>
          <t>On-time connection rate</t>
        </is>
      </c>
      <c r="D3224" s="3" t="inlineStr">
        <is>
          <t>អត្រាភ្ជាប់តាមពេលវេលា</t>
        </is>
      </c>
      <c r="E3224" s="3" t="n"/>
      <c r="F3224" s="3" t="inlineStr">
        <is>
          <t>អត្រាភ្ជាប់តាមពេលវេលា</t>
        </is>
      </c>
      <c r="G3224" s="3" t="n"/>
      <c r="H3224" s="217" t="inlineStr">
        <is>
          <t>"ConnectionRateReport.onTimeRate": "អត្រាភ្ជាប់តាមពេលវេលា",</t>
        </is>
      </c>
      <c r="I3224" t="inlineStr">
        <is>
          <t>អត្រាភ្ជាប់តាមពេលវេលា</t>
        </is>
      </c>
    </row>
    <row r="3225">
      <c r="A3225" s="3" t="inlineStr">
        <is>
          <t>ConnectionRateReport.onTimeRateVsKpi</t>
        </is>
      </c>
      <c r="B3225" s="3" t="inlineStr">
        <is>
          <t>So sánh với KPI quy định</t>
        </is>
      </c>
      <c r="C3225" s="3" t="inlineStr">
        <is>
          <t>Comparison with KPI standard</t>
        </is>
      </c>
      <c r="D3225" s="3" t="inlineStr">
        <is>
          <t>ការប្រៀបធៀបជាមួយស្តង់ដារ</t>
        </is>
      </c>
      <c r="E3225" s="3" t="n"/>
      <c r="F3225" s="3" t="inlineStr">
        <is>
          <t>ការប្រៀបធៀបជាមួយស្តង់ដារ</t>
        </is>
      </c>
      <c r="G3225" s="3" t="n"/>
      <c r="H3225" s="217" t="inlineStr">
        <is>
          <t>"ConnectionRateReport.onTimeRateVsKpi": "ការប្រៀបធៀបជាមួយស្តង់ដារ",</t>
        </is>
      </c>
      <c r="I3225" t="inlineStr">
        <is>
          <t>ការប្រៀបធៀបជាមួយស្តង់ដារ</t>
        </is>
      </c>
    </row>
    <row r="3226">
      <c r="A3226" s="3" t="inlineStr">
        <is>
          <t>ConnectionRateReport.compareOnTimeWithPreviousMonth</t>
        </is>
      </c>
      <c r="B3226" s="3" t="inlineStr">
        <is>
          <t>So sánh lũy kế cùng kỳ tháng trước (Đúng giờ)</t>
        </is>
      </c>
      <c r="C3226" s="3" t="inlineStr">
        <is>
          <t>Compare on time with the previous month</t>
        </is>
      </c>
      <c r="D3226" s="3" t="inlineStr">
        <is>
          <t>ប្រៀបធៀបពេលវេលាជាមួយខែមុន</t>
        </is>
      </c>
      <c r="E3226" s="3" t="n"/>
      <c r="F3226" s="3" t="inlineStr">
        <is>
          <t>ប្រៀបធៀបពេលវេលាជាមួយខែមុន</t>
        </is>
      </c>
      <c r="G3226" s="3" t="n"/>
      <c r="H3226" s="217" t="inlineStr">
        <is>
          <t>"ConnectionRateReport.compareOnTimeWithPreviousMonth": "ប្រៀបធៀបពេលវេលាជាមួយខែមុន",</t>
        </is>
      </c>
      <c r="I3226" t="inlineStr">
        <is>
          <t>ប្រៀបធៀបពេលវេលាជាមួយខែមុន</t>
        </is>
      </c>
    </row>
    <row r="3227">
      <c r="A3227" s="3" t="inlineStr">
        <is>
          <t>ConnectionRateReport.onTimeRateVsMaxLastQuarter</t>
        </is>
      </c>
      <c r="B3227" s="3" t="inlineStr">
        <is>
          <t>So sánh với mức tốt nhất 3 tháng gần nhất</t>
        </is>
      </c>
      <c r="C3227" s="3" t="inlineStr">
        <is>
          <t>Comparison with best 3 months</t>
        </is>
      </c>
      <c r="D3227" s="3" t="inlineStr">
        <is>
          <t>ការប្រៀបធៀបជាមួយរយៈពេល 3 ខែល្អបំផុត</t>
        </is>
      </c>
      <c r="E3227" s="3" t="n"/>
      <c r="F3227" s="3" t="inlineStr">
        <is>
          <t>ការប្រៀបធៀបជាមួយរយៈពេល 3 ខែល្អបំផុត</t>
        </is>
      </c>
      <c r="G3227" s="3" t="n"/>
      <c r="H3227" s="217" t="inlineStr">
        <is>
          <t>"ConnectionRateReport.onTimeRateVsMaxLastQuarter": "ការប្រៀបធៀបជាមួយរយៈពេល 3 ខែល្អបំផុត",</t>
        </is>
      </c>
      <c r="I3227" t="inlineStr">
        <is>
          <t>ការប្រៀបធៀបជាមួយរយៈពេល 3 ខែល្អបំផុត</t>
        </is>
      </c>
    </row>
    <row r="3228">
      <c r="A3228" s="3" t="inlineStr">
        <is>
          <t>ConnectionRateReport.journeyTypePlaceHolder</t>
        </is>
      </c>
      <c r="B3228" s="3" t="inlineStr">
        <is>
          <t>Loại hành trình</t>
        </is>
      </c>
      <c r="C3228" s="3" t="inlineStr">
        <is>
          <t>Journey Type</t>
        </is>
      </c>
      <c r="D3228" s="3" t="inlineStr">
        <is>
          <t>ប្រភេទដំណើរ</t>
        </is>
      </c>
      <c r="E3228" s="3" t="n"/>
      <c r="F3228" s="3" t="inlineStr">
        <is>
          <t>ប្រភេទដំណើរ</t>
        </is>
      </c>
      <c r="G3228" s="3" t="n"/>
      <c r="H3228" s="217" t="inlineStr">
        <is>
          <t>"ConnectionRateReport.journeyTypePlaceHolder": "ប្រភេទដំណើរ",</t>
        </is>
      </c>
      <c r="I3228" t="inlineStr">
        <is>
          <t>ប្រភេទដំណើរ</t>
        </is>
      </c>
    </row>
    <row r="3229">
      <c r="A3229" s="3" t="inlineStr">
        <is>
          <t>ConnectionRateReport.comparisonConnectionRateWithPreviousDay</t>
        </is>
      </c>
      <c r="B3229" s="3" t="inlineStr">
        <is>
          <t>So sánh với ngày N-1 (Đủ)</t>
        </is>
      </c>
      <c r="C3229" s="3" t="inlineStr">
        <is>
          <t>Comparison with day N-1</t>
        </is>
      </c>
      <c r="D3229" s="3" t="inlineStr">
        <is>
          <t>ការប្រៀបធៀបជាមួយថ្ងៃទី N-1</t>
        </is>
      </c>
      <c r="E3229" s="3" t="n"/>
      <c r="F3229" s="3" t="inlineStr">
        <is>
          <t>ការប្រៀបធៀបជាមួយថ្ងៃទី N-1</t>
        </is>
      </c>
      <c r="G3229" s="3" t="n"/>
      <c r="H3229" s="217" t="inlineStr">
        <is>
          <t>"ConnectionRateReport.comparisonConnectionRateWithPreviousDay": "ការប្រៀបធៀបជាមួយថ្ងៃទី N-1",</t>
        </is>
      </c>
      <c r="I3229" t="inlineStr">
        <is>
          <t>ការប្រៀបធៀបជាមួយថ្ងៃទី N-1</t>
        </is>
      </c>
    </row>
    <row r="3230">
      <c r="A3230" s="3" t="inlineStr">
        <is>
          <t>ConnectionRateReport.comparisonOnTimeWithPreviousDay</t>
        </is>
      </c>
      <c r="B3230" s="3" t="inlineStr">
        <is>
          <t>So sánh với ngày N-1 (Đúng giờ)</t>
        </is>
      </c>
      <c r="C3230" s="3" t="inlineStr">
        <is>
          <t>Comparison with day N-1</t>
        </is>
      </c>
      <c r="D3230" s="3" t="inlineStr">
        <is>
          <t>ការប្រៀបធៀបជាមួយថ្ងៃទី N-1</t>
        </is>
      </c>
      <c r="E3230" s="3" t="n"/>
      <c r="F3230" s="3" t="inlineStr">
        <is>
          <t>ការប្រៀបធៀបជាមួយថ្ងៃទី N-1</t>
        </is>
      </c>
      <c r="G3230" s="3" t="n"/>
      <c r="H3230" s="217" t="inlineStr">
        <is>
          <t>"ConnectionRateReport.comparisonOnTimeWithPreviousDay": "ការប្រៀបធៀបជាមួយថ្ងៃទី N-1",</t>
        </is>
      </c>
      <c r="I3230" t="inlineStr">
        <is>
          <t>ការប្រៀបធៀបជាមួយថ្ងៃទី N-1</t>
        </is>
      </c>
    </row>
    <row r="3231">
      <c r="A3231" s="3" t="inlineStr">
        <is>
          <t>ConnectionRateReport.comparisonConnectionRateWithPreviousWeek</t>
        </is>
      </c>
      <c r="B3231" s="3" t="inlineStr">
        <is>
          <t>So sánh với cùng kỳ tuần trước (Đủ)</t>
        </is>
      </c>
      <c r="C3231" s="3" t="inlineStr">
        <is>
          <t>Comparison with the previous week</t>
        </is>
      </c>
      <c r="D3231" s="3" t="inlineStr">
        <is>
          <t>ការប្រៀបធៀបជាមួយសប្តាហ៍មុន</t>
        </is>
      </c>
      <c r="E3231" s="3" t="n"/>
      <c r="F3231" s="3" t="inlineStr">
        <is>
          <t>ការប្រៀបធៀបជាមួយសប្តាហ៍មុន</t>
        </is>
      </c>
      <c r="G3231" s="3" t="n"/>
      <c r="H3231" s="217" t="inlineStr">
        <is>
          <t>"ConnectionRateReport.comparisonConnectionRateWithPreviousWeek": "ការប្រៀបធៀបជាមួយសប្តាហ៍មុន",</t>
        </is>
      </c>
      <c r="I3231" t="inlineStr">
        <is>
          <t>ការប្រៀបធៀបជាមួយសប្តាហ៍មុន</t>
        </is>
      </c>
    </row>
    <row r="3232">
      <c r="A3232" s="3" t="inlineStr">
        <is>
          <t>ConnectionRateReport.comparisonOnTimeWithPreviousWeek</t>
        </is>
      </c>
      <c r="B3232" s="3" t="inlineStr">
        <is>
          <t>So sánh với cùng kỳ tuần trước (Đúng giờ)</t>
        </is>
      </c>
      <c r="C3232" s="3" t="inlineStr">
        <is>
          <t>Comparison with the previous week</t>
        </is>
      </c>
      <c r="D3232" s="3" t="inlineStr">
        <is>
          <t>ការប្រៀបធៀបជាមួយសប្តាហ៍មុន</t>
        </is>
      </c>
      <c r="E3232" s="3" t="n"/>
      <c r="F3232" s="3" t="inlineStr">
        <is>
          <t>ការប្រៀបធៀបជាមួយសប្តាហ៍មុន</t>
        </is>
      </c>
      <c r="G3232" s="3" t="n"/>
      <c r="H3232" s="217" t="inlineStr">
        <is>
          <t>"ConnectionRateReport.comparisonOnTimeWithPreviousWeek": "ការប្រៀបធៀបជាមួយសប្តាហ៍មុន",</t>
        </is>
      </c>
      <c r="I3232" t="inlineStr">
        <is>
          <t>ការប្រៀបធៀបជាមួយសប្តាហ៍មុន</t>
        </is>
      </c>
    </row>
    <row r="3233">
      <c r="A3233" s="3" t="n"/>
      <c r="B3233" s="3" t="n"/>
      <c r="C3233" s="3" t="n"/>
      <c r="D3233" s="3" t="n"/>
      <c r="E3233" s="3" t="n"/>
      <c r="F3233" s="3" t="inlineStr"/>
      <c r="G3233" s="3" t="n"/>
      <c r="H3233" s="217" t="inlineStr"/>
      <c r="I3233" t="inlineStr"/>
    </row>
    <row r="3234">
      <c r="A3234" s="3" t="n"/>
      <c r="B3234" s="159" t="inlineStr">
        <is>
          <t>Tên báo cáo</t>
        </is>
      </c>
      <c r="C3234" s="3" t="inlineStr">
        <is>
          <t>Report Name</t>
        </is>
      </c>
      <c r="D3234" s="3" t="n"/>
      <c r="E3234" s="3" t="n"/>
      <c r="F3234" s="3" t="inlineStr">
        <is>
          <t>ឈ្មោះរបាយការណ៍</t>
        </is>
      </c>
      <c r="G3234" s="3" t="n"/>
      <c r="H3234" s="217" t="inlineStr"/>
      <c r="I3234" t="inlineStr">
        <is>
          <t>ឈ្មោះរបាយការណ៍</t>
        </is>
      </c>
    </row>
    <row r="3235">
      <c r="A3235" s="3" t="n"/>
      <c r="B3235" s="202" t="inlineStr">
        <is>
          <t>Báo cáo Tồn kiểm kê - Chi tiết kiểm kê</t>
        </is>
      </c>
      <c r="C3235" s="3" t="inlineStr">
        <is>
          <t>Inventory Report - Inventory Details</t>
        </is>
      </c>
      <c r="D3235" s="3" t="n"/>
      <c r="E3235" s="3" t="n"/>
      <c r="F3235" s="3" t="inlineStr">
        <is>
          <t>របាយការណ៍Tồn kiểm kê - ព័ត៌មានលម្អិត kiểm kê</t>
        </is>
      </c>
      <c r="G3235" s="3" t="n"/>
      <c r="H3235" s="217" t="inlineStr"/>
      <c r="I3235" t="inlineStr">
        <is>
          <t>របាយការណ៍Tồn kiểm kê - ព័ត៌មានលម្អិត kiểm kê</t>
        </is>
      </c>
    </row>
    <row r="3236">
      <c r="A3236" s="3" t="n"/>
      <c r="B3236" s="202" t="inlineStr">
        <is>
          <t>Báo cáo Tồn kiểm kê - Tồng hợp Chi nhánh</t>
        </is>
      </c>
      <c r="C3236" s="3" t="inlineStr">
        <is>
          <t>Inventory Report - Branch Summary</t>
        </is>
      </c>
      <c r="D3236" s="3" t="n"/>
      <c r="E3236" s="3" t="n"/>
      <c r="F3236" s="3" t="inlineStr">
        <is>
          <t>របាយការណ៍Tồn kiểm kê - Tồng hợp សាខា</t>
        </is>
      </c>
      <c r="G3236" s="3" t="n"/>
      <c r="H3236" s="217" t="inlineStr"/>
      <c r="I3236" t="inlineStr">
        <is>
          <t>របាយការណ៍Tồn kiểm kê - Tồng hợp សាខា</t>
        </is>
      </c>
    </row>
    <row r="3237">
      <c r="A3237" s="3" t="n"/>
      <c r="B3237" s="202" t="inlineStr">
        <is>
          <t>Báo cáo Tồn kiểm kê - Tổng hợp Bưu cục</t>
        </is>
      </c>
      <c r="C3237" s="3" t="inlineStr">
        <is>
          <t>Inventory Report - Post Office Summary</t>
        </is>
      </c>
      <c r="D3237" s="3" t="n"/>
      <c r="E3237" s="3" t="n"/>
      <c r="F3237" s="3" t="inlineStr">
        <is>
          <t>របាយការណ៍Tồn kiểm kê - Tổng hợp ការិយាល័យប្រៃសណីយ៍</t>
        </is>
      </c>
      <c r="G3237" s="3" t="n"/>
      <c r="H3237" s="217" t="inlineStr"/>
      <c r="I3237" t="inlineStr">
        <is>
          <t>របាយការណ៍Tồn kiểm kê - Tổng hợp ការិយាល័យប្រៃសណីយ៍</t>
        </is>
      </c>
    </row>
    <row r="3238">
      <c r="A3238" s="3" t="n"/>
      <c r="B3238" s="202" t="inlineStr">
        <is>
          <t>Báo cáo Tồn kiểm kê - Tổng hợp Tuyến</t>
        </is>
      </c>
      <c r="C3238" s="3" t="inlineStr">
        <is>
          <t>Inventory Report - Route Summary</t>
        </is>
      </c>
      <c r="D3238" s="3" t="n"/>
      <c r="E3238" s="3" t="n"/>
      <c r="F3238" s="3" t="inlineStr">
        <is>
          <t>របាយការណ៍Tồn kiểm kê - Tổng hợp ខ្សែផ្លូវ</t>
        </is>
      </c>
      <c r="G3238" s="3" t="n"/>
      <c r="H3238" s="217" t="inlineStr"/>
      <c r="I3238" t="inlineStr">
        <is>
          <t>របាយការណ៍Tồn kiểm kê - Tổng hợp ខ្សែផ្លូវ</t>
        </is>
      </c>
    </row>
    <row r="3239">
      <c r="A3239" s="3" t="n"/>
      <c r="B3239" s="202" t="inlineStr">
        <is>
          <t>Tuyến kiểm</t>
        </is>
      </c>
      <c r="C3239" s="3" t="inlineStr">
        <is>
          <t>Inspection line</t>
        </is>
      </c>
      <c r="D3239" s="3" t="n"/>
      <c r="E3239" s="3" t="n"/>
      <c r="F3239" s="3" t="inlineStr">
        <is>
          <t>ខ្សែផ្លូវ kiểm</t>
        </is>
      </c>
      <c r="G3239" s="3" t="n"/>
      <c r="H3239" s="217" t="inlineStr"/>
      <c r="I3239" t="inlineStr">
        <is>
          <t>ខ្សែផ្លូវ kiểm</t>
        </is>
      </c>
    </row>
    <row r="3240">
      <c r="A3240" s="3" t="n"/>
      <c r="B3240" s="202" t="inlineStr">
        <is>
          <t>Thừa</t>
        </is>
      </c>
      <c r="C3240" s="3" t="inlineStr">
        <is>
          <t>Surplus</t>
        </is>
      </c>
      <c r="D3240" s="3" t="n"/>
      <c r="E3240" s="3" t="n"/>
      <c r="F3240" s="3" t="inlineStr">
        <is>
          <t>លើស</t>
        </is>
      </c>
      <c r="G3240" s="3" t="n"/>
      <c r="H3240" s="217" t="inlineStr"/>
      <c r="I3240" t="inlineStr">
        <is>
          <t>លើស</t>
        </is>
      </c>
    </row>
    <row r="3241">
      <c r="A3241" s="3" t="n"/>
      <c r="B3241" s="202" t="inlineStr">
        <is>
          <t>Thiếu</t>
        </is>
      </c>
      <c r="C3241" s="3" t="inlineStr">
        <is>
          <t>Missing order</t>
        </is>
      </c>
      <c r="D3241" s="3" t="n"/>
      <c r="E3241" s="3" t="n"/>
      <c r="F3241" s="3" t="inlineStr">
        <is>
          <t>ខ្វះ</t>
        </is>
      </c>
      <c r="G3241" s="3" t="n"/>
      <c r="H3241" s="217" t="inlineStr"/>
      <c r="I3241" t="inlineStr">
        <is>
          <t>ខ្វះ</t>
        </is>
      </c>
    </row>
    <row r="3242">
      <c r="A3242" s="3" t="n"/>
      <c r="B3242" s="202" t="inlineStr">
        <is>
          <t>Đủ</t>
        </is>
      </c>
      <c r="C3242" s="3" t="inlineStr">
        <is>
          <t>Sufficient</t>
        </is>
      </c>
      <c r="D3242" s="3" t="n"/>
      <c r="E3242" s="3" t="n"/>
      <c r="F3242" s="3" t="inlineStr">
        <is>
          <t>គ្រប់គ្រាន់</t>
        </is>
      </c>
      <c r="G3242" s="3" t="n"/>
      <c r="H3242" s="217" t="inlineStr"/>
      <c r="I3242" t="inlineStr">
        <is>
          <t>គ្រប់គ្រាន់</t>
        </is>
      </c>
    </row>
    <row r="3243">
      <c r="A3243" s="3" t="n"/>
      <c r="B3243" s="202" t="inlineStr">
        <is>
          <t>Người tạo</t>
        </is>
      </c>
      <c r="C3243" s="3" t="inlineStr">
        <is>
          <t>Creator</t>
        </is>
      </c>
      <c r="D3243" s="3" t="n"/>
      <c r="E3243" s="3" t="n"/>
      <c r="F3243" s="3" t="inlineStr">
        <is>
          <t>អ្នកបង្កើត</t>
        </is>
      </c>
      <c r="G3243" s="3" t="n"/>
      <c r="H3243" s="217" t="inlineStr"/>
      <c r="I3243" t="inlineStr">
        <is>
          <t>អ្នកបង្កើត</t>
        </is>
      </c>
    </row>
    <row r="3244">
      <c r="A3244" s="3" t="n"/>
      <c r="B3244" s="202" t="inlineStr">
        <is>
          <t>Thời gian tạo</t>
        </is>
      </c>
      <c r="C3244" s="3" t="inlineStr">
        <is>
          <t>Creation time</t>
        </is>
      </c>
      <c r="D3244" s="3" t="n"/>
      <c r="E3244" s="3" t="n"/>
      <c r="F3244" s="3" t="inlineStr">
        <is>
          <t>ពេលវេលាtạo</t>
        </is>
      </c>
      <c r="G3244" s="3" t="n"/>
      <c r="H3244" s="217" t="inlineStr"/>
      <c r="I3244" t="inlineStr">
        <is>
          <t>ពេលវេលាtạo</t>
        </is>
      </c>
    </row>
    <row r="3245">
      <c r="A3245" s="3" t="n"/>
      <c r="B3245" s="202" t="inlineStr">
        <is>
          <t>Thời gian hoàn thành</t>
        </is>
      </c>
      <c r="C3245" s="3" t="inlineStr">
        <is>
          <t>Completion time</t>
        </is>
      </c>
      <c r="D3245" s="3" t="n"/>
      <c r="E3245" s="3" t="n"/>
      <c r="F3245" s="3" t="inlineStr">
        <is>
          <t>ពេលវេលាបានបញ្ចប់</t>
        </is>
      </c>
      <c r="G3245" s="3" t="n"/>
      <c r="H3245" s="217" t="inlineStr"/>
      <c r="I3245" t="inlineStr">
        <is>
          <t>ពេលវេលាបានបញ្ចប់</t>
        </is>
      </c>
    </row>
    <row r="3246">
      <c r="A3246" s="3" t="n"/>
      <c r="B3246" s="202" t="inlineStr">
        <is>
          <t>Ngày xuất dữ liệu</t>
        </is>
      </c>
      <c r="C3246" s="3" t="inlineStr">
        <is>
          <t>Data export date</t>
        </is>
      </c>
      <c r="D3246" s="3" t="n"/>
      <c r="E3246" s="3" t="n"/>
      <c r="F3246" s="3" t="inlineStr">
        <is>
          <t>កាលបរិច្ឆេទxuất dữ liệu</t>
        </is>
      </c>
      <c r="G3246" s="3" t="n"/>
      <c r="H3246" s="217" t="inlineStr"/>
      <c r="I3246" t="inlineStr">
        <is>
          <t>កាលបរិច្ឆេទxuất dữ liệu</t>
        </is>
      </c>
    </row>
    <row r="3247">
      <c r="A3247" s="3" t="n"/>
      <c r="B3247" s="202" t="inlineStr">
        <is>
          <t>Số tuyến đã kiểm</t>
        </is>
      </c>
      <c r="C3247" s="3" t="inlineStr">
        <is>
          <t>Number of routes checked</t>
        </is>
      </c>
      <c r="D3247" s="3" t="n"/>
      <c r="E3247" s="3" t="n"/>
      <c r="F3247" s="3" t="inlineStr">
        <is>
          <t>Số ខ្សែផ្លូវ đã kiểm</t>
        </is>
      </c>
      <c r="G3247" s="3" t="n"/>
      <c r="H3247" s="217" t="inlineStr"/>
      <c r="I3247" t="inlineStr">
        <is>
          <t>Số ខ្សែផ្លូវ đã kiểm</t>
        </is>
      </c>
    </row>
    <row r="3248">
      <c r="A3248" s="3" t="n"/>
      <c r="B3248" s="202" t="inlineStr">
        <is>
          <t>Số tuyến chưa kiểm</t>
        </is>
      </c>
      <c r="C3248" s="3" t="inlineStr">
        <is>
          <t>Number of routes not yet checked</t>
        </is>
      </c>
      <c r="D3248" s="3" t="n"/>
      <c r="E3248" s="3" t="n"/>
      <c r="F3248" s="3" t="inlineStr">
        <is>
          <t>Số ខ្សែផ្លូវ chưa kiểm</t>
        </is>
      </c>
      <c r="G3248" s="3" t="n"/>
      <c r="H3248" s="217" t="inlineStr"/>
      <c r="I3248" t="inlineStr">
        <is>
          <t>Số ខ្សែផ្លូវ chưa kiểm</t>
        </is>
      </c>
    </row>
    <row r="3249">
      <c r="A3249" s="3" t="n"/>
      <c r="B3249" s="202" t="inlineStr">
        <is>
          <t>Số lần kiểm tuyến</t>
        </is>
      </c>
      <c r="C3249" s="3" t="inlineStr">
        <is>
          <t>Number of inspections</t>
        </is>
      </c>
      <c r="D3249" s="3" t="n"/>
      <c r="E3249" s="3" t="n"/>
      <c r="F3249" s="3" t="inlineStr">
        <is>
          <t>Số lần kiểm ខ្សែផ្លូវ</t>
        </is>
      </c>
      <c r="G3249" s="3" t="n"/>
      <c r="H3249" s="217" t="inlineStr"/>
      <c r="I3249" t="inlineStr">
        <is>
          <t>Số lần kiểm ខ្សែផ្លូវ</t>
        </is>
      </c>
    </row>
    <row r="3250">
      <c r="A3250" s="3" t="n"/>
      <c r="B3250" s="3" t="n"/>
      <c r="C3250" s="3" t="n"/>
      <c r="D3250" s="3" t="n"/>
      <c r="E3250" s="3" t="n"/>
      <c r="F3250" s="3" t="inlineStr"/>
      <c r="G3250" s="3" t="n"/>
      <c r="H3250" s="217" t="inlineStr"/>
      <c r="I3250" t="inlineStr"/>
    </row>
    <row r="3251">
      <c r="A3251" s="3" t="n"/>
      <c r="B3251" s="3" t="n"/>
      <c r="C3251" s="3" t="n"/>
      <c r="D3251" s="3" t="n"/>
      <c r="E3251" s="3" t="n"/>
      <c r="F3251" s="3" t="inlineStr"/>
      <c r="G3251" s="3" t="n"/>
      <c r="H3251" s="217" t="inlineStr"/>
      <c r="I3251" t="inlineStr"/>
    </row>
    <row r="3252">
      <c r="A3252" s="3" t="n"/>
      <c r="B3252" s="3" t="n"/>
      <c r="C3252" s="3" t="n"/>
      <c r="D3252" s="3" t="n"/>
      <c r="E3252" s="3" t="n"/>
      <c r="F3252" s="3" t="inlineStr"/>
      <c r="G3252" s="3" t="n"/>
      <c r="H3252" s="217" t="inlineStr"/>
      <c r="I3252" t="inlineStr"/>
    </row>
    <row r="3253">
      <c r="A3253" s="3" t="n"/>
      <c r="B3253" s="3" t="n"/>
      <c r="C3253" s="3" t="n"/>
      <c r="D3253" s="3" t="n"/>
      <c r="E3253" s="3" t="n"/>
      <c r="F3253" s="3" t="inlineStr"/>
      <c r="G3253" s="3" t="n"/>
      <c r="H3253" s="217" t="inlineStr"/>
      <c r="I3253" t="inlineStr"/>
    </row>
    <row r="3254">
      <c r="A3254" s="3" t="n"/>
      <c r="B3254" s="3" t="n"/>
      <c r="C3254" s="3" t="n"/>
      <c r="D3254" s="3" t="n"/>
      <c r="E3254" s="3" t="n"/>
      <c r="F3254" s="3" t="inlineStr"/>
      <c r="G3254" s="3" t="n"/>
      <c r="H3254" s="217" t="inlineStr"/>
      <c r="I3254" t="inlineStr"/>
    </row>
    <row r="3255">
      <c r="A3255" s="3" t="n"/>
      <c r="B3255" s="3" t="n"/>
      <c r="C3255" s="3" t="n"/>
      <c r="D3255" s="3" t="n"/>
      <c r="E3255" s="3" t="n"/>
      <c r="F3255" s="3" t="inlineStr"/>
      <c r="G3255" s="3" t="n"/>
      <c r="H3255" s="217" t="inlineStr"/>
      <c r="I3255" t="inlineStr"/>
    </row>
    <row r="3256">
      <c r="A3256" s="3" t="n"/>
      <c r="B3256" s="3" t="n"/>
      <c r="C3256" s="3" t="n"/>
      <c r="D3256" s="3" t="n"/>
      <c r="E3256" s="3" t="n"/>
      <c r="F3256" s="3" t="inlineStr"/>
      <c r="G3256" s="3" t="n"/>
      <c r="H3256" s="217" t="inlineStr"/>
      <c r="I3256" t="inlineStr"/>
    </row>
    <row r="3257">
      <c r="A3257" s="3" t="n"/>
      <c r="B3257" s="3" t="n"/>
      <c r="C3257" s="3" t="n"/>
      <c r="D3257" s="3" t="n"/>
      <c r="E3257" s="3" t="n"/>
      <c r="F3257" s="3" t="inlineStr"/>
      <c r="G3257" s="3" t="n"/>
      <c r="H3257" s="217" t="inlineStr"/>
      <c r="I3257" t="inlineStr"/>
    </row>
    <row r="3258">
      <c r="A3258" s="3" t="n"/>
      <c r="B3258" s="3" t="n"/>
      <c r="C3258" s="3" t="n"/>
      <c r="D3258" s="3" t="n"/>
      <c r="E3258" s="3" t="n"/>
      <c r="F3258" s="3" t="inlineStr"/>
      <c r="G3258" s="3" t="n"/>
      <c r="H3258" s="217" t="inlineStr"/>
      <c r="I3258" t="inlineStr"/>
    </row>
    <row r="3259">
      <c r="A3259" s="3" t="n"/>
      <c r="B3259" s="3" t="n"/>
      <c r="C3259" s="3" t="n"/>
      <c r="D3259" s="3" t="n"/>
      <c r="E3259" s="3" t="n"/>
      <c r="F3259" s="3" t="inlineStr"/>
      <c r="G3259" s="3" t="n"/>
      <c r="H3259" s="217" t="inlineStr"/>
      <c r="I3259" t="inlineStr"/>
    </row>
    <row r="3260">
      <c r="A3260" s="3" t="n"/>
      <c r="B3260" s="3" t="n"/>
      <c r="C3260" s="3" t="n"/>
      <c r="D3260" s="3" t="n"/>
      <c r="E3260" s="3" t="n"/>
      <c r="F3260" s="3" t="inlineStr"/>
      <c r="G3260" s="3" t="n"/>
      <c r="H3260" s="217" t="inlineStr"/>
      <c r="I3260" t="inlineStr"/>
    </row>
    <row r="3261">
      <c r="A3261" s="3" t="n"/>
      <c r="B3261" s="3" t="n"/>
      <c r="C3261" s="3" t="n"/>
      <c r="D3261" s="3" t="n"/>
      <c r="E3261" s="3" t="n"/>
      <c r="F3261" s="3" t="inlineStr"/>
      <c r="G3261" s="3" t="n"/>
      <c r="H3261" s="217" t="inlineStr"/>
      <c r="I3261" t="inlineStr"/>
    </row>
    <row r="3262">
      <c r="A3262" s="3" t="n"/>
      <c r="B3262" s="3" t="n"/>
      <c r="C3262" s="3" t="n"/>
      <c r="D3262" s="3" t="n"/>
      <c r="E3262" s="3" t="n"/>
      <c r="F3262" s="3" t="inlineStr"/>
      <c r="G3262" s="3" t="n"/>
      <c r="H3262" s="217" t="inlineStr"/>
      <c r="I3262" t="inlineStr"/>
    </row>
    <row r="3263">
      <c r="A3263" s="3" t="n"/>
      <c r="B3263" s="3" t="n"/>
      <c r="C3263" s="3" t="n"/>
      <c r="D3263" s="3" t="n"/>
      <c r="E3263" s="3" t="n"/>
      <c r="F3263" s="3" t="inlineStr"/>
      <c r="G3263" s="3" t="n"/>
      <c r="H3263" s="217" t="inlineStr"/>
      <c r="I3263" t="inlineStr"/>
    </row>
    <row r="3264">
      <c r="A3264" s="3" t="n"/>
      <c r="B3264" s="3" t="n"/>
      <c r="C3264" s="3" t="n"/>
      <c r="D3264" s="3" t="n"/>
      <c r="E3264" s="3" t="n"/>
      <c r="F3264" s="3" t="inlineStr"/>
      <c r="G3264" s="3" t="n"/>
      <c r="H3264" s="217" t="inlineStr"/>
      <c r="I3264" t="inlineStr"/>
    </row>
    <row r="3265">
      <c r="A3265" s="3" t="n"/>
      <c r="B3265" s="3" t="n"/>
      <c r="C3265" s="3" t="n"/>
      <c r="D3265" s="3" t="n"/>
      <c r="E3265" s="3" t="n"/>
      <c r="F3265" s="3" t="inlineStr"/>
      <c r="G3265" s="3" t="n"/>
      <c r="H3265" s="217" t="inlineStr"/>
      <c r="I3265" t="inlineStr"/>
    </row>
    <row r="3266">
      <c r="A3266" s="3" t="n"/>
      <c r="B3266" s="3" t="n"/>
      <c r="C3266" s="3" t="n"/>
      <c r="D3266" s="3" t="n"/>
      <c r="E3266" s="3" t="n"/>
      <c r="F3266" s="3" t="inlineStr"/>
      <c r="G3266" s="3" t="n"/>
      <c r="H3266" s="217" t="inlineStr"/>
      <c r="I3266" t="inlineStr"/>
    </row>
    <row r="3267">
      <c r="A3267" s="3" t="n"/>
      <c r="B3267" s="3" t="n"/>
      <c r="C3267" s="3" t="n"/>
      <c r="D3267" s="3" t="n"/>
      <c r="E3267" s="3" t="n"/>
      <c r="F3267" s="3" t="inlineStr"/>
      <c r="G3267" s="3" t="n"/>
      <c r="H3267" s="217" t="inlineStr"/>
      <c r="I3267" t="inlineStr"/>
    </row>
    <row r="3268">
      <c r="A3268" s="3" t="n"/>
      <c r="B3268" s="3" t="n"/>
      <c r="C3268" s="3" t="n"/>
      <c r="D3268" s="3" t="n"/>
      <c r="E3268" s="3" t="n"/>
      <c r="F3268" s="3" t="inlineStr"/>
      <c r="G3268" s="3" t="n"/>
      <c r="H3268" s="217" t="inlineStr"/>
      <c r="I3268" t="inlineStr"/>
    </row>
    <row r="3269">
      <c r="A3269" s="3" t="n"/>
      <c r="B3269" s="3" t="n"/>
      <c r="C3269" s="3" t="n"/>
      <c r="D3269" s="3" t="n"/>
      <c r="E3269" s="3" t="n"/>
      <c r="F3269" s="3" t="inlineStr"/>
      <c r="G3269" s="3" t="n"/>
      <c r="H3269" s="217" t="inlineStr"/>
      <c r="I3269" t="inlineStr"/>
    </row>
    <row r="3270">
      <c r="A3270" s="3" t="n"/>
      <c r="B3270" s="3" t="n"/>
      <c r="C3270" s="3" t="n"/>
      <c r="D3270" s="3" t="n"/>
      <c r="E3270" s="3" t="n"/>
      <c r="F3270" s="3" t="inlineStr"/>
      <c r="G3270" s="3" t="n"/>
      <c r="H3270" s="217" t="inlineStr"/>
      <c r="I3270" t="inlineStr"/>
    </row>
    <row r="3271">
      <c r="A3271" s="3" t="n"/>
      <c r="B3271" s="3" t="n"/>
      <c r="C3271" s="3" t="n"/>
      <c r="D3271" s="3" t="n"/>
      <c r="E3271" s="3" t="n"/>
      <c r="F3271" s="3" t="inlineStr"/>
      <c r="G3271" s="3" t="n"/>
      <c r="H3271" s="217" t="inlineStr"/>
      <c r="I3271" t="inlineStr"/>
    </row>
    <row r="3272">
      <c r="A3272" s="3" t="n"/>
      <c r="B3272" s="3" t="n"/>
      <c r="C3272" s="3" t="n"/>
      <c r="D3272" s="3" t="n"/>
      <c r="E3272" s="3" t="n"/>
      <c r="F3272" s="3" t="inlineStr"/>
      <c r="G3272" s="3" t="n"/>
      <c r="H3272" s="217" t="inlineStr"/>
      <c r="I3272" t="inlineStr"/>
    </row>
    <row r="3273">
      <c r="A3273" s="3" t="n"/>
      <c r="B3273" s="3" t="n"/>
      <c r="C3273" s="3" t="n"/>
      <c r="D3273" s="3" t="n"/>
      <c r="E3273" s="3" t="n"/>
      <c r="F3273" s="3" t="inlineStr"/>
      <c r="G3273" s="3" t="n"/>
      <c r="H3273" s="217" t="inlineStr"/>
      <c r="I3273" t="inlineStr"/>
    </row>
    <row r="3274">
      <c r="A3274" s="3" t="n"/>
      <c r="B3274" s="3" t="n"/>
      <c r="C3274" s="3" t="n"/>
      <c r="D3274" s="3" t="n"/>
      <c r="E3274" s="3" t="n"/>
      <c r="F3274" s="3" t="inlineStr"/>
      <c r="G3274" s="3" t="n"/>
      <c r="H3274" s="217" t="inlineStr"/>
      <c r="I3274" t="inlineStr"/>
    </row>
    <row r="3275">
      <c r="A3275" s="3" t="n"/>
      <c r="B3275" s="3" t="n"/>
      <c r="C3275" s="3" t="n"/>
      <c r="D3275" s="3" t="n"/>
      <c r="E3275" s="3" t="n"/>
      <c r="F3275" s="3" t="inlineStr"/>
      <c r="G3275" s="3" t="n"/>
      <c r="H3275" s="217" t="inlineStr"/>
      <c r="I3275" t="inlineStr"/>
    </row>
    <row r="3276">
      <c r="A3276" s="3" t="n"/>
      <c r="B3276" s="3" t="n"/>
      <c r="C3276" s="3" t="n"/>
      <c r="D3276" s="3" t="n"/>
      <c r="E3276" s="3" t="n"/>
      <c r="F3276" s="3" t="inlineStr"/>
      <c r="G3276" s="3" t="n"/>
      <c r="H3276" s="217" t="inlineStr"/>
      <c r="I3276" t="inlineStr"/>
    </row>
    <row r="3277">
      <c r="A3277" s="3" t="n"/>
      <c r="B3277" s="3" t="n"/>
      <c r="C3277" s="3" t="n"/>
      <c r="D3277" s="3" t="n"/>
      <c r="E3277" s="3" t="n"/>
      <c r="F3277" s="3" t="inlineStr"/>
      <c r="G3277" s="3" t="n"/>
      <c r="H3277" s="217" t="inlineStr"/>
      <c r="I3277" t="inlineStr"/>
    </row>
    <row r="3278">
      <c r="A3278" s="3" t="n"/>
      <c r="B3278" s="3" t="n"/>
      <c r="C3278" s="3" t="n"/>
      <c r="D3278" s="3" t="n"/>
      <c r="E3278" s="3" t="n"/>
      <c r="F3278" s="3" t="inlineStr"/>
      <c r="G3278" s="3" t="n"/>
      <c r="H3278" s="217" t="inlineStr"/>
      <c r="I3278" t="inlineStr"/>
    </row>
    <row r="3279">
      <c r="A3279" s="3" t="n"/>
      <c r="B3279" s="3" t="n"/>
      <c r="C3279" s="3" t="n"/>
      <c r="D3279" s="3" t="n"/>
      <c r="E3279" s="3" t="n"/>
      <c r="F3279" s="3" t="inlineStr"/>
      <c r="G3279" s="3" t="n"/>
      <c r="H3279" s="217" t="inlineStr"/>
      <c r="I3279" t="inlineStr"/>
    </row>
    <row r="3280">
      <c r="A3280" s="3" t="n"/>
      <c r="B3280" s="3" t="n"/>
      <c r="C3280" s="3" t="n"/>
      <c r="D3280" s="3" t="n"/>
      <c r="E3280" s="3" t="n"/>
      <c r="F3280" s="3" t="inlineStr"/>
      <c r="G3280" s="3" t="n"/>
      <c r="H3280" s="217" t="inlineStr"/>
      <c r="I3280" t="inlineStr"/>
    </row>
    <row r="3281">
      <c r="A3281" s="3" t="n"/>
      <c r="B3281" s="3" t="n"/>
      <c r="C3281" s="3" t="n"/>
      <c r="D3281" s="3" t="n"/>
      <c r="E3281" s="3" t="n"/>
      <c r="F3281" s="3" t="inlineStr"/>
      <c r="G3281" s="3" t="n"/>
      <c r="H3281" s="217" t="inlineStr"/>
      <c r="I3281" t="inlineStr"/>
    </row>
    <row r="3282">
      <c r="A3282" s="3" t="n"/>
      <c r="B3282" s="3" t="n"/>
      <c r="C3282" s="3" t="n"/>
      <c r="D3282" s="3" t="n"/>
      <c r="E3282" s="3" t="n"/>
      <c r="F3282" s="3" t="inlineStr"/>
      <c r="G3282" s="3" t="n"/>
      <c r="H3282" s="217" t="inlineStr"/>
      <c r="I3282" t="inlineStr"/>
    </row>
    <row r="3283">
      <c r="A3283" s="3" t="n"/>
      <c r="B3283" s="3" t="n"/>
      <c r="C3283" s="3" t="n"/>
      <c r="D3283" s="3" t="n"/>
      <c r="E3283" s="3" t="n"/>
      <c r="F3283" s="3" t="inlineStr"/>
      <c r="G3283" s="3" t="n"/>
      <c r="H3283" s="217" t="inlineStr"/>
      <c r="I3283" t="inlineStr"/>
    </row>
    <row r="3284">
      <c r="A3284" s="3" t="n"/>
      <c r="B3284" s="3" t="n"/>
      <c r="C3284" s="3" t="n"/>
      <c r="D3284" s="3" t="n"/>
      <c r="E3284" s="3" t="n"/>
      <c r="F3284" s="3" t="inlineStr"/>
      <c r="G3284" s="3" t="n"/>
      <c r="H3284" s="217" t="inlineStr"/>
      <c r="I3284" t="inlineStr"/>
    </row>
    <row r="3285">
      <c r="A3285" s="3" t="n"/>
      <c r="B3285" s="3" t="n"/>
      <c r="C3285" s="3" t="n"/>
      <c r="D3285" s="3" t="n"/>
      <c r="E3285" s="3" t="n"/>
      <c r="F3285" s="3" t="inlineStr"/>
      <c r="G3285" s="3" t="n"/>
      <c r="H3285" s="217" t="inlineStr"/>
      <c r="I3285" t="inlineStr"/>
    </row>
    <row r="3286">
      <c r="A3286" s="3" t="n"/>
      <c r="B3286" s="3" t="n"/>
      <c r="C3286" s="3" t="n"/>
      <c r="D3286" s="3" t="n"/>
      <c r="E3286" s="3" t="n"/>
      <c r="F3286" s="3" t="inlineStr"/>
      <c r="G3286" s="3" t="n"/>
      <c r="H3286" s="217" t="inlineStr"/>
      <c r="I3286" t="inlineStr"/>
    </row>
    <row r="3287">
      <c r="A3287" s="3" t="n"/>
      <c r="B3287" s="3" t="n"/>
      <c r="C3287" s="3" t="n"/>
      <c r="D3287" s="3" t="n"/>
      <c r="E3287" s="3" t="n"/>
      <c r="F3287" s="3" t="inlineStr"/>
      <c r="G3287" s="3" t="n"/>
      <c r="H3287" s="217" t="inlineStr"/>
      <c r="I3287" t="inlineStr"/>
    </row>
    <row r="3288">
      <c r="A3288" s="3" t="n"/>
      <c r="B3288" s="3" t="n"/>
      <c r="C3288" s="3" t="n"/>
      <c r="D3288" s="3" t="n"/>
      <c r="E3288" s="3" t="n"/>
      <c r="F3288" s="3" t="inlineStr"/>
      <c r="G3288" s="3" t="n"/>
      <c r="H3288" s="217" t="inlineStr"/>
      <c r="I3288" t="inlineStr"/>
    </row>
    <row r="3289">
      <c r="A3289" s="3" t="n"/>
      <c r="B3289" s="3" t="n"/>
      <c r="C3289" s="3" t="n"/>
      <c r="D3289" s="3" t="n"/>
      <c r="E3289" s="3" t="n"/>
      <c r="F3289" s="3" t="inlineStr"/>
      <c r="G3289" s="3" t="n"/>
      <c r="H3289" s="217" t="inlineStr"/>
      <c r="I3289" t="inlineStr"/>
    </row>
    <row r="3290">
      <c r="A3290" s="3" t="n"/>
      <c r="B3290" s="3" t="n"/>
      <c r="C3290" s="3" t="n"/>
      <c r="D3290" s="3" t="n"/>
      <c r="E3290" s="3" t="n"/>
      <c r="F3290" s="3" t="inlineStr"/>
      <c r="G3290" s="3" t="n"/>
      <c r="H3290" s="217" t="inlineStr"/>
      <c r="I3290" t="inlineStr"/>
    </row>
    <row r="3291">
      <c r="A3291" s="3" t="n"/>
      <c r="B3291" s="3" t="n"/>
      <c r="C3291" s="3" t="n"/>
      <c r="D3291" s="3" t="n"/>
      <c r="E3291" s="3" t="n"/>
      <c r="F3291" s="3" t="inlineStr"/>
      <c r="G3291" s="3" t="n"/>
      <c r="H3291" s="217" t="inlineStr"/>
      <c r="I3291" t="inlineStr"/>
    </row>
    <row r="3292">
      <c r="A3292" s="3" t="n"/>
      <c r="B3292" s="3" t="n"/>
      <c r="C3292" s="3" t="n"/>
      <c r="D3292" s="3" t="n"/>
      <c r="E3292" s="3" t="n"/>
      <c r="F3292" s="3" t="inlineStr"/>
      <c r="G3292" s="3" t="n"/>
      <c r="H3292" s="217" t="inlineStr"/>
      <c r="I3292" t="inlineStr"/>
    </row>
    <row r="3293">
      <c r="A3293" s="3" t="n"/>
      <c r="B3293" s="3" t="n"/>
      <c r="C3293" s="3" t="n"/>
      <c r="D3293" s="3" t="n"/>
      <c r="E3293" s="3" t="n"/>
      <c r="F3293" s="3" t="inlineStr"/>
      <c r="G3293" s="3" t="n"/>
      <c r="H3293" s="217" t="inlineStr"/>
      <c r="I3293" t="inlineStr"/>
    </row>
    <row r="3294">
      <c r="A3294" s="3" t="n"/>
      <c r="B3294" s="3" t="n"/>
      <c r="C3294" s="3" t="n"/>
      <c r="D3294" s="3" t="n"/>
      <c r="E3294" s="3" t="n"/>
      <c r="F3294" s="3" t="inlineStr"/>
      <c r="G3294" s="3" t="n"/>
      <c r="H3294" s="217" t="inlineStr"/>
      <c r="I3294" t="inlineStr"/>
    </row>
    <row r="3295">
      <c r="A3295" s="3" t="n"/>
      <c r="B3295" s="3" t="n"/>
      <c r="C3295" s="3" t="n"/>
      <c r="D3295" s="3" t="n"/>
      <c r="E3295" s="3" t="n"/>
      <c r="F3295" s="3" t="inlineStr"/>
      <c r="G3295" s="3" t="n"/>
      <c r="H3295" s="217" t="inlineStr"/>
      <c r="I3295" t="inlineStr"/>
    </row>
    <row r="3296">
      <c r="A3296" s="3" t="n"/>
      <c r="B3296" s="3" t="n"/>
      <c r="C3296" s="3" t="n"/>
      <c r="D3296" s="3" t="n"/>
      <c r="E3296" s="3" t="n"/>
      <c r="F3296" s="3" t="inlineStr"/>
      <c r="G3296" s="3" t="n"/>
      <c r="H3296" s="217" t="inlineStr"/>
      <c r="I3296" t="inlineStr"/>
    </row>
    <row r="3297">
      <c r="A3297" s="3" t="n"/>
      <c r="B3297" s="3" t="n"/>
      <c r="C3297" s="3" t="n"/>
      <c r="D3297" s="3" t="n"/>
      <c r="E3297" s="3" t="n"/>
      <c r="F3297" s="3" t="inlineStr"/>
      <c r="G3297" s="3" t="n"/>
      <c r="H3297" s="217" t="inlineStr"/>
      <c r="I3297" t="inlineStr"/>
    </row>
    <row r="3298">
      <c r="A3298" s="3" t="n"/>
      <c r="B3298" s="3" t="n"/>
      <c r="C3298" s="3" t="n"/>
      <c r="D3298" s="3" t="n"/>
      <c r="E3298" s="3" t="n"/>
      <c r="F3298" s="3" t="inlineStr"/>
      <c r="G3298" s="3" t="n"/>
      <c r="H3298" s="217" t="inlineStr"/>
      <c r="I3298" t="inlineStr"/>
    </row>
    <row r="3299">
      <c r="A3299" s="3" t="n"/>
      <c r="B3299" s="3" t="n"/>
      <c r="C3299" s="3" t="n"/>
      <c r="D3299" s="3" t="n"/>
      <c r="E3299" s="3" t="n"/>
      <c r="F3299" s="3" t="inlineStr"/>
      <c r="G3299" s="3" t="n"/>
      <c r="H3299" s="217" t="inlineStr"/>
      <c r="I3299" t="inlineStr"/>
    </row>
    <row r="3300">
      <c r="A3300" s="3" t="n"/>
      <c r="B3300" s="3" t="n"/>
      <c r="C3300" s="3" t="n"/>
      <c r="D3300" s="3" t="n"/>
      <c r="E3300" s="3" t="n"/>
      <c r="F3300" s="3" t="inlineStr"/>
      <c r="G3300" s="3" t="n"/>
      <c r="H3300" s="217" t="inlineStr"/>
      <c r="I3300" t="inlineStr"/>
    </row>
    <row r="3301">
      <c r="A3301" s="3" t="n"/>
      <c r="B3301" s="3" t="n"/>
      <c r="C3301" s="3" t="n"/>
      <c r="D3301" s="3" t="n"/>
      <c r="E3301" s="3" t="n"/>
      <c r="F3301" s="3" t="inlineStr"/>
      <c r="G3301" s="3" t="n"/>
      <c r="H3301" s="217" t="inlineStr"/>
      <c r="I3301" t="inlineStr"/>
    </row>
    <row r="3302">
      <c r="A3302" s="3" t="n"/>
      <c r="B3302" s="3" t="n"/>
      <c r="C3302" s="3" t="n"/>
      <c r="D3302" s="3" t="n"/>
      <c r="E3302" s="3" t="n"/>
      <c r="F3302" s="3" t="inlineStr"/>
      <c r="G3302" s="3" t="n"/>
      <c r="H3302" s="217" t="inlineStr"/>
      <c r="I3302" t="inlineStr"/>
    </row>
    <row r="3303">
      <c r="A3303" s="3" t="n"/>
      <c r="B3303" s="3" t="n"/>
      <c r="C3303" s="3" t="n"/>
      <c r="D3303" s="3" t="n"/>
      <c r="E3303" s="3" t="n"/>
      <c r="F3303" s="3" t="inlineStr"/>
      <c r="G3303" s="3" t="n"/>
      <c r="H3303" s="217" t="inlineStr"/>
      <c r="I3303" t="inlineStr"/>
    </row>
    <row r="3304">
      <c r="A3304" s="3" t="n"/>
      <c r="B3304" s="3" t="n"/>
      <c r="C3304" s="3" t="n"/>
      <c r="D3304" s="3" t="n"/>
      <c r="E3304" s="3" t="n"/>
      <c r="F3304" s="3" t="inlineStr"/>
      <c r="G3304" s="3" t="n"/>
      <c r="H3304" s="217" t="inlineStr"/>
      <c r="I3304" t="inlineStr"/>
    </row>
    <row r="3305">
      <c r="A3305" s="3" t="n"/>
      <c r="B3305" s="3" t="n"/>
      <c r="C3305" s="3" t="n"/>
      <c r="D3305" s="3" t="n"/>
      <c r="E3305" s="3" t="n"/>
      <c r="F3305" s="3" t="inlineStr"/>
      <c r="G3305" s="3" t="n"/>
      <c r="H3305" s="217" t="inlineStr"/>
      <c r="I3305" t="inlineStr"/>
    </row>
    <row r="3306">
      <c r="A3306" s="3" t="n"/>
      <c r="B3306" s="3" t="n"/>
      <c r="C3306" s="3" t="n"/>
      <c r="D3306" s="3" t="n"/>
      <c r="E3306" s="3" t="n"/>
      <c r="F3306" s="3" t="inlineStr"/>
      <c r="G3306" s="3" t="n"/>
      <c r="H3306" s="217" t="inlineStr"/>
      <c r="I3306" t="inlineStr"/>
    </row>
    <row r="3307">
      <c r="A3307" s="3" t="n"/>
      <c r="B3307" s="3" t="n"/>
      <c r="C3307" s="3" t="n"/>
      <c r="D3307" s="3" t="n"/>
      <c r="E3307" s="3" t="n"/>
      <c r="F3307" s="3" t="inlineStr"/>
      <c r="G3307" s="3" t="n"/>
      <c r="H3307" s="217" t="inlineStr"/>
      <c r="I3307" t="inlineStr"/>
    </row>
    <row r="3308">
      <c r="A3308" s="3" t="n"/>
      <c r="B3308" s="3" t="n"/>
      <c r="C3308" s="3" t="n"/>
      <c r="D3308" s="3" t="n"/>
      <c r="E3308" s="3" t="n"/>
      <c r="F3308" s="3" t="inlineStr"/>
      <c r="G3308" s="3" t="n"/>
      <c r="H3308" s="217" t="inlineStr"/>
      <c r="I3308" t="inlineStr"/>
    </row>
    <row r="3309">
      <c r="A3309" s="3" t="n"/>
      <c r="B3309" s="3" t="n"/>
      <c r="C3309" s="3" t="n"/>
      <c r="D3309" s="3" t="n"/>
      <c r="E3309" s="3" t="n"/>
      <c r="F3309" s="3" t="inlineStr"/>
      <c r="G3309" s="3" t="n"/>
      <c r="H3309" s="217" t="inlineStr"/>
      <c r="I3309" t="inlineStr"/>
    </row>
    <row r="3310">
      <c r="A3310" s="3" t="n"/>
      <c r="B3310" s="3" t="n"/>
      <c r="C3310" s="3" t="n"/>
      <c r="D3310" s="3" t="n"/>
      <c r="E3310" s="3" t="n"/>
      <c r="F3310" s="3" t="inlineStr"/>
      <c r="G3310" s="3" t="n"/>
      <c r="H3310" s="217" t="inlineStr"/>
      <c r="I3310" t="inlineStr"/>
    </row>
    <row r="3311">
      <c r="A3311" s="3" t="n"/>
      <c r="B3311" s="3" t="n"/>
      <c r="C3311" s="3" t="n"/>
      <c r="D3311" s="3" t="n"/>
      <c r="E3311" s="3" t="n"/>
      <c r="F3311" s="3" t="inlineStr"/>
      <c r="G3311" s="3" t="n"/>
      <c r="H3311" s="217" t="inlineStr"/>
      <c r="I3311" t="inlineStr"/>
    </row>
    <row r="3312">
      <c r="A3312" s="3" t="n"/>
      <c r="B3312" s="3" t="n"/>
      <c r="C3312" s="3" t="n"/>
      <c r="D3312" s="3" t="n"/>
      <c r="E3312" s="3" t="n"/>
      <c r="F3312" s="3" t="inlineStr"/>
      <c r="G3312" s="3" t="n"/>
      <c r="H3312" s="217" t="inlineStr"/>
      <c r="I3312" t="inlineStr"/>
    </row>
    <row r="3313">
      <c r="A3313" s="3" t="n"/>
      <c r="B3313" s="3" t="n"/>
      <c r="C3313" s="3" t="n"/>
      <c r="D3313" s="3" t="n"/>
      <c r="E3313" s="3" t="n"/>
      <c r="F3313" s="3" t="inlineStr"/>
      <c r="G3313" s="3" t="n"/>
      <c r="H3313" s="217" t="inlineStr"/>
      <c r="I3313" t="inlineStr"/>
    </row>
    <row r="3314">
      <c r="A3314" s="3" t="n"/>
      <c r="B3314" s="3" t="n"/>
      <c r="C3314" s="3" t="n"/>
      <c r="D3314" s="3" t="n"/>
      <c r="E3314" s="3" t="n"/>
      <c r="F3314" s="3" t="inlineStr"/>
      <c r="G3314" s="3" t="n"/>
      <c r="H3314" s="217" t="inlineStr"/>
      <c r="I3314" t="inlineStr"/>
    </row>
    <row r="3315">
      <c r="A3315" s="3" t="n"/>
      <c r="B3315" s="3" t="n"/>
      <c r="C3315" s="3" t="n"/>
      <c r="D3315" s="3" t="n"/>
      <c r="E3315" s="3" t="n"/>
      <c r="F3315" s="3" t="inlineStr"/>
      <c r="G3315" s="3" t="n"/>
      <c r="H3315" s="217" t="inlineStr"/>
      <c r="I3315" t="inlineStr"/>
    </row>
    <row r="3316">
      <c r="A3316" s="3" t="n"/>
      <c r="B3316" s="3" t="n"/>
      <c r="C3316" s="3" t="n"/>
      <c r="D3316" s="3" t="n"/>
      <c r="E3316" s="3" t="n"/>
      <c r="F3316" s="3" t="inlineStr"/>
      <c r="G3316" s="3" t="n"/>
      <c r="H3316" s="217" t="inlineStr"/>
      <c r="I3316" t="inlineStr"/>
    </row>
    <row r="3317">
      <c r="A3317" s="3" t="n"/>
      <c r="B3317" s="3" t="n"/>
      <c r="C3317" s="3" t="n"/>
      <c r="D3317" s="3" t="n"/>
      <c r="E3317" s="3" t="n"/>
      <c r="F3317" s="3" t="inlineStr"/>
      <c r="G3317" s="3" t="n"/>
      <c r="H3317" s="217" t="inlineStr"/>
      <c r="I3317" t="inlineStr"/>
    </row>
    <row r="3318">
      <c r="A3318" s="3" t="n"/>
      <c r="B3318" s="3" t="n"/>
      <c r="C3318" s="3" t="n"/>
      <c r="D3318" s="3" t="n"/>
      <c r="E3318" s="3" t="n"/>
      <c r="F3318" s="3" t="inlineStr"/>
      <c r="G3318" s="3" t="n"/>
      <c r="H3318" s="217" t="inlineStr"/>
      <c r="I3318" t="inlineStr"/>
    </row>
    <row r="3319">
      <c r="A3319" s="3" t="n"/>
      <c r="B3319" s="3" t="n"/>
      <c r="C3319" s="3" t="n"/>
      <c r="D3319" s="3" t="n"/>
      <c r="E3319" s="3" t="n"/>
      <c r="F3319" s="3" t="inlineStr"/>
      <c r="G3319" s="3" t="n"/>
      <c r="H3319" s="217" t="inlineStr"/>
      <c r="I3319" t="inlineStr"/>
    </row>
    <row r="3320">
      <c r="A3320" s="3" t="n"/>
      <c r="B3320" s="3" t="n"/>
      <c r="C3320" s="3" t="n"/>
      <c r="D3320" s="3" t="n"/>
      <c r="E3320" s="3" t="n"/>
      <c r="F3320" s="3" t="inlineStr"/>
      <c r="G3320" s="3" t="n"/>
      <c r="H3320" s="217" t="inlineStr"/>
      <c r="I3320" t="inlineStr"/>
    </row>
    <row r="3321">
      <c r="A3321" s="3" t="n"/>
      <c r="B3321" s="3" t="n"/>
      <c r="C3321" s="3" t="n"/>
      <c r="D3321" s="3" t="n"/>
      <c r="E3321" s="3" t="n"/>
      <c r="F3321" s="3" t="inlineStr"/>
      <c r="G3321" s="3" t="n"/>
      <c r="H3321" s="217" t="inlineStr"/>
      <c r="I3321" t="inlineStr"/>
    </row>
    <row r="3322">
      <c r="A3322" s="3" t="n"/>
      <c r="B3322" s="3" t="n"/>
      <c r="C3322" s="3" t="n"/>
      <c r="D3322" s="3" t="n"/>
      <c r="E3322" s="3" t="n"/>
      <c r="F3322" s="3" t="inlineStr"/>
      <c r="G3322" s="3" t="n"/>
      <c r="H3322" s="217" t="inlineStr"/>
      <c r="I3322" t="inlineStr"/>
    </row>
    <row r="3323">
      <c r="A3323" s="3" t="n"/>
      <c r="B3323" s="3" t="n"/>
      <c r="C3323" s="3" t="n"/>
      <c r="D3323" s="3" t="n"/>
      <c r="E3323" s="3" t="n"/>
      <c r="F3323" s="3" t="inlineStr"/>
      <c r="G3323" s="3" t="n"/>
      <c r="H3323" s="217" t="inlineStr"/>
      <c r="I3323" t="inlineStr"/>
    </row>
    <row r="3324">
      <c r="A3324" s="3" t="n"/>
      <c r="B3324" s="3" t="n"/>
      <c r="C3324" s="3" t="n"/>
      <c r="D3324" s="3" t="n"/>
      <c r="E3324" s="3" t="n"/>
      <c r="F3324" s="3" t="inlineStr"/>
      <c r="G3324" s="3" t="n"/>
      <c r="H3324" s="217" t="inlineStr"/>
      <c r="I3324" t="inlineStr"/>
    </row>
    <row r="3325">
      <c r="A3325" s="3" t="n"/>
      <c r="B3325" s="3" t="n"/>
      <c r="C3325" s="3" t="n"/>
      <c r="D3325" s="3" t="n"/>
      <c r="E3325" s="3" t="n"/>
      <c r="F3325" s="3" t="inlineStr"/>
      <c r="G3325" s="3" t="n"/>
      <c r="H3325" s="217" t="inlineStr"/>
      <c r="I3325" t="inlineStr"/>
    </row>
    <row r="3326">
      <c r="A3326" s="3" t="n"/>
      <c r="B3326" s="3" t="n"/>
      <c r="C3326" s="3" t="n"/>
      <c r="D3326" s="3" t="n"/>
      <c r="E3326" s="3" t="n"/>
      <c r="F3326" s="3" t="inlineStr"/>
      <c r="G3326" s="3" t="n"/>
      <c r="H3326" s="217" t="inlineStr"/>
      <c r="I3326" t="inlineStr"/>
    </row>
    <row r="3327">
      <c r="A3327" s="3" t="n"/>
      <c r="B3327" s="3" t="n"/>
      <c r="C3327" s="3" t="n"/>
      <c r="D3327" s="3" t="n"/>
      <c r="E3327" s="3" t="n"/>
      <c r="F3327" s="3" t="inlineStr"/>
      <c r="G3327" s="3" t="n"/>
      <c r="H3327" s="217" t="inlineStr"/>
      <c r="I3327" t="inlineStr"/>
    </row>
    <row r="3328">
      <c r="A3328" s="3" t="n"/>
      <c r="B3328" s="3" t="n"/>
      <c r="C3328" s="3" t="n"/>
      <c r="D3328" s="3" t="n"/>
      <c r="E3328" s="3" t="n"/>
      <c r="F3328" s="3" t="inlineStr"/>
      <c r="G3328" s="3" t="n"/>
      <c r="H3328" s="217" t="inlineStr"/>
      <c r="I3328" t="inlineStr"/>
    </row>
    <row r="3329">
      <c r="A3329" s="3" t="n"/>
      <c r="B3329" s="3" t="n"/>
      <c r="C3329" s="3" t="n"/>
      <c r="D3329" s="3" t="n"/>
      <c r="E3329" s="3" t="n"/>
      <c r="F3329" s="3" t="inlineStr"/>
      <c r="G3329" s="3" t="n"/>
      <c r="H3329" s="217" t="inlineStr"/>
      <c r="I3329" t="inlineStr"/>
    </row>
    <row r="3330">
      <c r="A3330" s="3" t="n"/>
      <c r="B3330" s="3" t="n"/>
      <c r="C3330" s="3" t="n"/>
      <c r="D3330" s="3" t="n"/>
      <c r="E3330" s="3" t="n"/>
      <c r="F3330" s="3" t="inlineStr"/>
      <c r="G3330" s="3" t="n"/>
      <c r="H3330" s="217" t="inlineStr"/>
      <c r="I3330" t="inlineStr"/>
    </row>
    <row r="3331">
      <c r="A3331" s="3" t="n"/>
      <c r="B3331" s="3" t="n"/>
      <c r="C3331" s="3" t="n"/>
      <c r="D3331" s="3" t="n"/>
      <c r="E3331" s="3" t="n"/>
      <c r="F3331" s="3" t="inlineStr"/>
      <c r="G3331" s="3" t="n"/>
      <c r="H3331" s="217" t="inlineStr"/>
      <c r="I3331" t="inlineStr"/>
    </row>
    <row r="3332">
      <c r="A3332" s="3" t="n"/>
      <c r="B3332" s="3" t="n"/>
      <c r="C3332" s="3" t="n"/>
      <c r="D3332" s="3" t="n"/>
      <c r="E3332" s="3" t="n"/>
      <c r="F3332" s="3" t="inlineStr"/>
      <c r="G3332" s="3" t="n"/>
      <c r="H3332" s="217" t="inlineStr"/>
      <c r="I3332" t="inlineStr"/>
    </row>
    <row r="3333">
      <c r="A3333" s="3" t="n"/>
      <c r="B3333" s="3" t="n"/>
      <c r="C3333" s="3" t="n"/>
      <c r="D3333" s="3" t="n"/>
      <c r="E3333" s="3" t="n"/>
      <c r="F3333" s="3" t="inlineStr"/>
      <c r="G3333" s="3" t="n"/>
      <c r="H3333" s="217" t="inlineStr"/>
      <c r="I3333" t="inlineStr"/>
    </row>
    <row r="3334">
      <c r="A3334" s="3" t="n"/>
      <c r="B3334" s="3" t="n"/>
      <c r="C3334" s="3" t="n"/>
      <c r="D3334" s="3" t="n"/>
      <c r="E3334" s="3" t="n"/>
      <c r="F3334" s="3" t="inlineStr"/>
      <c r="G3334" s="3" t="n"/>
      <c r="H3334" s="217" t="inlineStr"/>
      <c r="I3334" t="inlineStr"/>
    </row>
    <row r="3335">
      <c r="A3335" s="3" t="n"/>
      <c r="B3335" s="3" t="n"/>
      <c r="C3335" s="3" t="n"/>
      <c r="D3335" s="3" t="n"/>
      <c r="E3335" s="3" t="n"/>
      <c r="F3335" s="3" t="inlineStr"/>
      <c r="G3335" s="3" t="n"/>
      <c r="H3335" s="217" t="inlineStr"/>
      <c r="I3335" t="inlineStr"/>
    </row>
    <row r="3336">
      <c r="A3336" s="3" t="n"/>
      <c r="B3336" s="3" t="n"/>
      <c r="C3336" s="3" t="n"/>
      <c r="D3336" s="3" t="n"/>
      <c r="E3336" s="3" t="n"/>
      <c r="F3336" s="3" t="inlineStr"/>
      <c r="G3336" s="3" t="n"/>
      <c r="H3336" s="217" t="inlineStr"/>
      <c r="I3336" t="inlineStr"/>
    </row>
    <row r="3337">
      <c r="A3337" s="3" t="n"/>
      <c r="B3337" s="3" t="n"/>
      <c r="C3337" s="3" t="n"/>
      <c r="D3337" s="3" t="n"/>
      <c r="E3337" s="3" t="n"/>
      <c r="F3337" s="3" t="inlineStr"/>
      <c r="G3337" s="3" t="n"/>
      <c r="H3337" s="217" t="inlineStr"/>
      <c r="I3337" t="inlineStr"/>
    </row>
    <row r="3338">
      <c r="A3338" s="3" t="n"/>
      <c r="B3338" s="3" t="n"/>
      <c r="C3338" s="3" t="n"/>
      <c r="D3338" s="3" t="n"/>
      <c r="E3338" s="3" t="n"/>
      <c r="F3338" s="3" t="inlineStr"/>
      <c r="G3338" s="3" t="n"/>
      <c r="H3338" s="217" t="inlineStr"/>
      <c r="I3338" t="inlineStr"/>
    </row>
    <row r="3339">
      <c r="A3339" s="3" t="n"/>
      <c r="B3339" s="3" t="n"/>
      <c r="C3339" s="3" t="n"/>
      <c r="D3339" s="3" t="n"/>
      <c r="E3339" s="3" t="n"/>
      <c r="F3339" s="3" t="inlineStr"/>
      <c r="G3339" s="3" t="n"/>
      <c r="H3339" s="217" t="inlineStr"/>
      <c r="I3339" t="inlineStr"/>
    </row>
    <row r="3340">
      <c r="A3340" s="3" t="n"/>
      <c r="B3340" s="3" t="n"/>
      <c r="C3340" s="3" t="n"/>
      <c r="D3340" s="3" t="n"/>
      <c r="E3340" s="3" t="n"/>
      <c r="F3340" s="3" t="inlineStr"/>
      <c r="G3340" s="3" t="n"/>
      <c r="H3340" s="217" t="inlineStr"/>
      <c r="I3340" t="inlineStr"/>
    </row>
    <row r="3341">
      <c r="A3341" s="3" t="n"/>
      <c r="B3341" s="3" t="n"/>
      <c r="C3341" s="3" t="n"/>
      <c r="D3341" s="3" t="n"/>
      <c r="E3341" s="3" t="n"/>
      <c r="F3341" s="3" t="inlineStr"/>
      <c r="G3341" s="3" t="n"/>
      <c r="H3341" s="217" t="inlineStr"/>
      <c r="I3341" t="inlineStr"/>
    </row>
    <row r="3342">
      <c r="A3342" s="3" t="n"/>
      <c r="B3342" s="3" t="n"/>
      <c r="C3342" s="3" t="n"/>
      <c r="D3342" s="3" t="n"/>
      <c r="E3342" s="3" t="n"/>
      <c r="F3342" s="3" t="inlineStr"/>
      <c r="G3342" s="3" t="n"/>
      <c r="H3342" s="217" t="inlineStr"/>
      <c r="I3342" t="inlineStr"/>
    </row>
    <row r="3343">
      <c r="A3343" s="3" t="n"/>
      <c r="B3343" s="3" t="n"/>
      <c r="C3343" s="3" t="n"/>
      <c r="D3343" s="3" t="n"/>
      <c r="E3343" s="3" t="n"/>
      <c r="F3343" s="3" t="inlineStr"/>
      <c r="G3343" s="3" t="n"/>
      <c r="H3343" s="217" t="inlineStr"/>
      <c r="I3343" t="inlineStr"/>
    </row>
    <row r="3344">
      <c r="A3344" s="3" t="n"/>
      <c r="B3344" s="3" t="n"/>
      <c r="C3344" s="3" t="n"/>
      <c r="D3344" s="3" t="n"/>
      <c r="E3344" s="3" t="n"/>
      <c r="F3344" s="3" t="inlineStr"/>
      <c r="G3344" s="3" t="n"/>
      <c r="H3344" s="217" t="inlineStr"/>
      <c r="I3344" t="inlineStr"/>
    </row>
    <row r="3345">
      <c r="A3345" s="3" t="n"/>
      <c r="B3345" s="3" t="n"/>
      <c r="C3345" s="3" t="n"/>
      <c r="D3345" s="3" t="n"/>
      <c r="E3345" s="3" t="n"/>
      <c r="F3345" s="3" t="inlineStr"/>
      <c r="G3345" s="3" t="n"/>
      <c r="H3345" s="217" t="inlineStr"/>
      <c r="I3345" t="inlineStr"/>
    </row>
    <row r="3346">
      <c r="A3346" s="3" t="n"/>
      <c r="B3346" s="3" t="n"/>
      <c r="C3346" s="3" t="n"/>
      <c r="D3346" s="3" t="n"/>
      <c r="E3346" s="3" t="n"/>
      <c r="F3346" s="3" t="inlineStr"/>
      <c r="G3346" s="3" t="n"/>
      <c r="H3346" s="217" t="inlineStr"/>
      <c r="I3346" t="inlineStr"/>
    </row>
    <row r="3347">
      <c r="A3347" s="3" t="n"/>
      <c r="B3347" s="3" t="n"/>
      <c r="C3347" s="3" t="n"/>
      <c r="D3347" s="3" t="n"/>
      <c r="E3347" s="3" t="n"/>
      <c r="F3347" s="3" t="inlineStr"/>
      <c r="G3347" s="3" t="n"/>
      <c r="H3347" s="217" t="inlineStr"/>
      <c r="I3347" t="inlineStr"/>
    </row>
    <row r="3348">
      <c r="A3348" s="3" t="n"/>
      <c r="B3348" s="3" t="n"/>
      <c r="C3348" s="3" t="n"/>
      <c r="D3348" s="3" t="n"/>
      <c r="E3348" s="3" t="n"/>
      <c r="F3348" s="3" t="inlineStr"/>
      <c r="G3348" s="3" t="n"/>
      <c r="H3348" s="217" t="inlineStr"/>
      <c r="I3348" t="inlineStr"/>
    </row>
    <row r="3349">
      <c r="A3349" s="3" t="n"/>
      <c r="B3349" s="3" t="n"/>
      <c r="C3349" s="3" t="n"/>
      <c r="D3349" s="3" t="n"/>
      <c r="E3349" s="3" t="n"/>
      <c r="F3349" s="3" t="inlineStr"/>
      <c r="G3349" s="3" t="n"/>
      <c r="H3349" s="217" t="inlineStr"/>
      <c r="I3349" t="inlineStr"/>
    </row>
    <row r="3350">
      <c r="A3350" s="3" t="n"/>
      <c r="B3350" s="3" t="n"/>
      <c r="C3350" s="3" t="n"/>
      <c r="D3350" s="3" t="n"/>
      <c r="E3350" s="3" t="n"/>
      <c r="F3350" s="3" t="inlineStr"/>
      <c r="G3350" s="3" t="n"/>
      <c r="H3350" s="217" t="inlineStr"/>
      <c r="I3350" t="inlineStr"/>
    </row>
    <row r="3351">
      <c r="A3351" s="3" t="n"/>
      <c r="B3351" s="3" t="n"/>
      <c r="C3351" s="3" t="n"/>
      <c r="D3351" s="3" t="n"/>
      <c r="E3351" s="3" t="n"/>
      <c r="F3351" s="3" t="inlineStr"/>
      <c r="G3351" s="3" t="n"/>
      <c r="H3351" s="217" t="inlineStr"/>
      <c r="I3351" t="inlineStr"/>
    </row>
    <row r="3352">
      <c r="A3352" s="3" t="n"/>
      <c r="B3352" s="3" t="n"/>
      <c r="C3352" s="3" t="n"/>
      <c r="D3352" s="3" t="n"/>
      <c r="E3352" s="3" t="n"/>
      <c r="F3352" s="3" t="inlineStr"/>
      <c r="G3352" s="3" t="n"/>
      <c r="H3352" s="217" t="inlineStr"/>
      <c r="I3352" t="inlineStr"/>
    </row>
    <row r="3353">
      <c r="A3353" s="3" t="n"/>
      <c r="B3353" s="3" t="n"/>
      <c r="C3353" s="3" t="n"/>
      <c r="D3353" s="3" t="n"/>
      <c r="E3353" s="3" t="n"/>
      <c r="F3353" s="3" t="inlineStr"/>
      <c r="G3353" s="3" t="n"/>
      <c r="H3353" s="217" t="inlineStr"/>
      <c r="I3353" t="inlineStr"/>
    </row>
    <row r="3354">
      <c r="A3354" s="3" t="n"/>
      <c r="B3354" s="3" t="n"/>
      <c r="C3354" s="3" t="n"/>
      <c r="D3354" s="3" t="n"/>
      <c r="E3354" s="3" t="n"/>
      <c r="F3354" s="3" t="inlineStr"/>
      <c r="G3354" s="3" t="n"/>
      <c r="H3354" s="217" t="inlineStr"/>
      <c r="I3354" t="inlineStr"/>
    </row>
    <row r="3355">
      <c r="A3355" s="3" t="n"/>
      <c r="B3355" s="3" t="n"/>
      <c r="C3355" s="3" t="n"/>
      <c r="D3355" s="3" t="n"/>
      <c r="E3355" s="3" t="n"/>
      <c r="F3355" s="3" t="inlineStr"/>
      <c r="G3355" s="3" t="n"/>
      <c r="H3355" s="217" t="inlineStr"/>
      <c r="I3355" t="inlineStr"/>
    </row>
    <row r="3356">
      <c r="A3356" s="3" t="n"/>
      <c r="B3356" s="3" t="n"/>
      <c r="C3356" s="3" t="n"/>
      <c r="D3356" s="3" t="n"/>
      <c r="E3356" s="3" t="n"/>
      <c r="F3356" s="3" t="inlineStr"/>
      <c r="G3356" s="3" t="n"/>
      <c r="H3356" s="217" t="inlineStr"/>
      <c r="I3356" t="inlineStr"/>
    </row>
    <row r="3357">
      <c r="A3357" s="3" t="n"/>
      <c r="B3357" s="3" t="n"/>
      <c r="C3357" s="3" t="n"/>
      <c r="D3357" s="3" t="n"/>
      <c r="E3357" s="3" t="n"/>
      <c r="F3357" s="3" t="inlineStr"/>
      <c r="G3357" s="3" t="n"/>
      <c r="H3357" s="217" t="inlineStr"/>
      <c r="I3357" t="inlineStr"/>
    </row>
    <row r="3358">
      <c r="A3358" s="3" t="n"/>
      <c r="B3358" s="3" t="n"/>
      <c r="C3358" s="3" t="n"/>
      <c r="D3358" s="3" t="n"/>
      <c r="E3358" s="3" t="n"/>
      <c r="F3358" s="3" t="inlineStr"/>
      <c r="G3358" s="3" t="n"/>
      <c r="H3358" s="217" t="inlineStr"/>
      <c r="I3358" t="inlineStr"/>
    </row>
    <row r="3359">
      <c r="A3359" s="3" t="n"/>
      <c r="B3359" s="3" t="n"/>
      <c r="C3359" s="3" t="n"/>
      <c r="D3359" s="3" t="n"/>
      <c r="E3359" s="3" t="n"/>
      <c r="F3359" s="3" t="inlineStr"/>
      <c r="G3359" s="3" t="n"/>
      <c r="H3359" s="217" t="inlineStr"/>
      <c r="I3359" t="inlineStr"/>
    </row>
    <row r="3360">
      <c r="A3360" s="3" t="n"/>
      <c r="B3360" s="3" t="n"/>
      <c r="C3360" s="3" t="n"/>
      <c r="D3360" s="3" t="n"/>
      <c r="E3360" s="3" t="n"/>
      <c r="F3360" s="3" t="inlineStr"/>
      <c r="G3360" s="3" t="n"/>
      <c r="H3360" s="217" t="inlineStr"/>
      <c r="I3360" t="inlineStr"/>
    </row>
    <row r="3361">
      <c r="A3361" s="3" t="n"/>
      <c r="B3361" s="3" t="n"/>
      <c r="C3361" s="3" t="n"/>
      <c r="D3361" s="3" t="n"/>
      <c r="E3361" s="3" t="n"/>
      <c r="F3361" s="3" t="inlineStr"/>
      <c r="G3361" s="3" t="n"/>
      <c r="H3361" s="217" t="inlineStr"/>
      <c r="I3361" t="inlineStr"/>
    </row>
    <row r="3362">
      <c r="A3362" s="3" t="n"/>
      <c r="B3362" s="3" t="n"/>
      <c r="C3362" s="3" t="n"/>
      <c r="D3362" s="3" t="n"/>
      <c r="E3362" s="3" t="n"/>
      <c r="F3362" s="3" t="inlineStr"/>
      <c r="G3362" s="3" t="n"/>
      <c r="H3362" s="217" t="inlineStr"/>
      <c r="I3362" t="inlineStr"/>
    </row>
    <row r="3363">
      <c r="A3363" s="3" t="n"/>
      <c r="B3363" s="3" t="n"/>
      <c r="C3363" s="3" t="n"/>
      <c r="D3363" s="3" t="n"/>
      <c r="E3363" s="3" t="n"/>
      <c r="F3363" s="3" t="inlineStr"/>
      <c r="G3363" s="3" t="n"/>
      <c r="H3363" s="217" t="inlineStr"/>
      <c r="I3363" t="inlineStr"/>
    </row>
    <row r="3364">
      <c r="A3364" s="3" t="n"/>
      <c r="B3364" s="3" t="n"/>
      <c r="C3364" s="3" t="n"/>
      <c r="D3364" s="3" t="n"/>
      <c r="E3364" s="3" t="n"/>
      <c r="F3364" s="3" t="inlineStr"/>
      <c r="G3364" s="3" t="n"/>
      <c r="H3364" s="217" t="inlineStr"/>
      <c r="I3364" t="inlineStr"/>
    </row>
    <row r="3365">
      <c r="A3365" s="3" t="n"/>
      <c r="B3365" s="3" t="n"/>
      <c r="C3365" s="3" t="n"/>
      <c r="D3365" s="3" t="n"/>
      <c r="E3365" s="3" t="n"/>
      <c r="F3365" s="3" t="inlineStr"/>
      <c r="G3365" s="3" t="n"/>
      <c r="H3365" s="217" t="inlineStr"/>
      <c r="I3365" t="inlineStr"/>
    </row>
    <row r="3366">
      <c r="A3366" s="3" t="n"/>
      <c r="B3366" s="3" t="n"/>
      <c r="C3366" s="3" t="n"/>
      <c r="D3366" s="3" t="n"/>
      <c r="E3366" s="3" t="n"/>
      <c r="F3366" s="3" t="inlineStr"/>
      <c r="G3366" s="3" t="n"/>
      <c r="H3366" s="217" t="inlineStr"/>
      <c r="I3366" t="inlineStr"/>
    </row>
    <row r="3367">
      <c r="A3367" s="3" t="n"/>
      <c r="B3367" s="3" t="n"/>
      <c r="C3367" s="3" t="n"/>
      <c r="D3367" s="3" t="n"/>
      <c r="E3367" s="3" t="n"/>
      <c r="F3367" s="3" t="inlineStr"/>
      <c r="G3367" s="3" t="n"/>
      <c r="H3367" s="217" t="inlineStr"/>
      <c r="I3367" t="inlineStr"/>
    </row>
    <row r="3368">
      <c r="A3368" s="3" t="n"/>
      <c r="B3368" s="3" t="n"/>
      <c r="C3368" s="3" t="n"/>
      <c r="D3368" s="3" t="n"/>
      <c r="E3368" s="3" t="n"/>
      <c r="F3368" s="3" t="inlineStr"/>
      <c r="G3368" s="3" t="n"/>
      <c r="H3368" s="217" t="inlineStr"/>
      <c r="I3368" t="inlineStr"/>
    </row>
    <row r="3369">
      <c r="A3369" s="3" t="n"/>
      <c r="B3369" s="3" t="n"/>
      <c r="C3369" s="3" t="n"/>
      <c r="D3369" s="3" t="n"/>
      <c r="E3369" s="3" t="n"/>
      <c r="F3369" s="3" t="inlineStr"/>
      <c r="G3369" s="3" t="n"/>
      <c r="H3369" s="217" t="inlineStr"/>
      <c r="I3369" t="inlineStr"/>
    </row>
    <row r="3370">
      <c r="A3370" s="3" t="n"/>
      <c r="B3370" s="3" t="n"/>
      <c r="C3370" s="3" t="n"/>
      <c r="D3370" s="3" t="n"/>
      <c r="E3370" s="3" t="n"/>
      <c r="F3370" s="3" t="inlineStr"/>
      <c r="G3370" s="3" t="n"/>
      <c r="H3370" s="217" t="inlineStr"/>
      <c r="I3370" t="inlineStr"/>
    </row>
    <row r="3371">
      <c r="A3371" s="3" t="n"/>
      <c r="B3371" s="3" t="n"/>
      <c r="C3371" s="3" t="n"/>
      <c r="D3371" s="3" t="n"/>
      <c r="E3371" s="3" t="n"/>
      <c r="F3371" s="3" t="inlineStr"/>
      <c r="G3371" s="3" t="n"/>
      <c r="H3371" s="217" t="inlineStr"/>
      <c r="I3371" t="inlineStr"/>
    </row>
    <row r="3372">
      <c r="A3372" s="3" t="n"/>
      <c r="B3372" s="3" t="n"/>
      <c r="C3372" s="3" t="n"/>
      <c r="D3372" s="3" t="n"/>
      <c r="E3372" s="3" t="n"/>
      <c r="F3372" s="3" t="inlineStr"/>
      <c r="G3372" s="3" t="n"/>
      <c r="H3372" s="217" t="inlineStr"/>
      <c r="I3372" t="inlineStr"/>
    </row>
    <row r="3373">
      <c r="A3373" s="3" t="n"/>
      <c r="B3373" s="3" t="n"/>
      <c r="C3373" s="3" t="n"/>
      <c r="D3373" s="3" t="n"/>
      <c r="E3373" s="3" t="n"/>
      <c r="F3373" s="3" t="inlineStr"/>
      <c r="G3373" s="3" t="n"/>
      <c r="H3373" s="217" t="inlineStr"/>
      <c r="I3373" t="inlineStr"/>
    </row>
    <row r="3374">
      <c r="A3374" s="3" t="n"/>
      <c r="B3374" s="3" t="n"/>
      <c r="C3374" s="3" t="n"/>
      <c r="D3374" s="3" t="n"/>
      <c r="E3374" s="3" t="n"/>
      <c r="F3374" s="3" t="inlineStr"/>
      <c r="G3374" s="3" t="n"/>
      <c r="H3374" s="217" t="inlineStr"/>
      <c r="I3374" t="inlineStr"/>
    </row>
    <row r="3375">
      <c r="A3375" s="3" t="n"/>
      <c r="B3375" s="3" t="n"/>
      <c r="C3375" s="3" t="n"/>
      <c r="D3375" s="3" t="n"/>
      <c r="E3375" s="3" t="n"/>
      <c r="F3375" s="3" t="inlineStr"/>
      <c r="G3375" s="3" t="n"/>
      <c r="H3375" s="217" t="inlineStr"/>
      <c r="I3375" t="inlineStr"/>
    </row>
    <row r="3376">
      <c r="A3376" s="3" t="n"/>
      <c r="B3376" s="3" t="n"/>
      <c r="C3376" s="3" t="n"/>
      <c r="D3376" s="3" t="n"/>
      <c r="E3376" s="3" t="n"/>
      <c r="F3376" s="3" t="inlineStr"/>
      <c r="G3376" s="3" t="n"/>
      <c r="H3376" s="217" t="inlineStr"/>
      <c r="I3376" t="inlineStr"/>
    </row>
    <row r="3377">
      <c r="A3377" s="3" t="n"/>
      <c r="B3377" s="3" t="n"/>
      <c r="C3377" s="3" t="n"/>
      <c r="D3377" s="3" t="n"/>
      <c r="E3377" s="3" t="n"/>
      <c r="F3377" s="3" t="inlineStr"/>
      <c r="G3377" s="3" t="n"/>
      <c r="H3377" s="217" t="inlineStr"/>
      <c r="I3377" t="inlineStr"/>
    </row>
    <row r="3378">
      <c r="A3378" s="3" t="n"/>
      <c r="B3378" s="3" t="n"/>
      <c r="C3378" s="3" t="n"/>
      <c r="D3378" s="3" t="n"/>
      <c r="E3378" s="3" t="n"/>
      <c r="F3378" s="3" t="inlineStr"/>
      <c r="G3378" s="3" t="n"/>
      <c r="H3378" s="217" t="inlineStr"/>
      <c r="I3378" t="inlineStr"/>
    </row>
    <row r="3379">
      <c r="A3379" s="3" t="n"/>
      <c r="B3379" s="3" t="n"/>
      <c r="C3379" s="3" t="n"/>
      <c r="D3379" s="3" t="n"/>
      <c r="E3379" s="3" t="n"/>
      <c r="F3379" s="3" t="inlineStr"/>
      <c r="G3379" s="3" t="n"/>
      <c r="H3379" s="217" t="inlineStr"/>
      <c r="I3379" t="inlineStr"/>
    </row>
    <row r="3380">
      <c r="A3380" s="3" t="n"/>
      <c r="B3380" s="3" t="n"/>
      <c r="C3380" s="3" t="n"/>
      <c r="D3380" s="3" t="n"/>
      <c r="E3380" s="3" t="n"/>
      <c r="F3380" s="3" t="inlineStr"/>
      <c r="G3380" s="3" t="n"/>
      <c r="H3380" s="217" t="inlineStr"/>
      <c r="I3380" t="inlineStr"/>
    </row>
    <row r="3381">
      <c r="A3381" s="3" t="n"/>
      <c r="B3381" s="3" t="n"/>
      <c r="C3381" s="3" t="n"/>
      <c r="D3381" s="3" t="n"/>
      <c r="E3381" s="3" t="n"/>
      <c r="F3381" s="3" t="inlineStr"/>
      <c r="G3381" s="3" t="n"/>
      <c r="H3381" s="217" t="inlineStr"/>
      <c r="I3381" t="inlineStr"/>
    </row>
    <row r="3382">
      <c r="A3382" s="3" t="n"/>
      <c r="B3382" s="3" t="n"/>
      <c r="C3382" s="3" t="n"/>
      <c r="D3382" s="3" t="n"/>
      <c r="E3382" s="3" t="n"/>
      <c r="F3382" s="3" t="inlineStr"/>
      <c r="G3382" s="3" t="n"/>
      <c r="H3382" s="217" t="inlineStr"/>
      <c r="I3382" t="inlineStr"/>
    </row>
    <row r="3383">
      <c r="A3383" s="3" t="n"/>
      <c r="B3383" s="3" t="n"/>
      <c r="C3383" s="3" t="n"/>
      <c r="D3383" s="3" t="n"/>
      <c r="E3383" s="3" t="n"/>
      <c r="F3383" s="3" t="inlineStr"/>
      <c r="G3383" s="3" t="n"/>
      <c r="H3383" s="217" t="inlineStr"/>
      <c r="I3383" t="inlineStr"/>
    </row>
    <row r="3384">
      <c r="A3384" s="3" t="n"/>
      <c r="B3384" s="3" t="n"/>
      <c r="C3384" s="3" t="n"/>
      <c r="D3384" s="3" t="n"/>
      <c r="E3384" s="3" t="n"/>
      <c r="F3384" s="3" t="inlineStr"/>
      <c r="G3384" s="3" t="n"/>
      <c r="H3384" s="217" t="inlineStr"/>
      <c r="I3384" t="inlineStr"/>
    </row>
    <row r="3385">
      <c r="A3385" s="3" t="n"/>
      <c r="B3385" s="3" t="n"/>
      <c r="C3385" s="3" t="n"/>
      <c r="D3385" s="3" t="n"/>
      <c r="E3385" s="3" t="n"/>
      <c r="F3385" s="3" t="inlineStr"/>
      <c r="G3385" s="3" t="n"/>
      <c r="H3385" s="217" t="inlineStr"/>
      <c r="I3385" t="inlineStr"/>
    </row>
    <row r="3386">
      <c r="A3386" s="3" t="n"/>
      <c r="B3386" s="3" t="n"/>
      <c r="C3386" s="3" t="n"/>
      <c r="D3386" s="3" t="n"/>
      <c r="E3386" s="3" t="n"/>
      <c r="F3386" s="3" t="inlineStr"/>
      <c r="G3386" s="3" t="n"/>
      <c r="H3386" s="217" t="inlineStr"/>
      <c r="I3386" t="inlineStr"/>
    </row>
    <row r="3387">
      <c r="A3387" s="3" t="n"/>
      <c r="B3387" s="3" t="n"/>
      <c r="C3387" s="3" t="n"/>
      <c r="D3387" s="3" t="n"/>
      <c r="E3387" s="3" t="n"/>
      <c r="F3387" s="3" t="inlineStr"/>
      <c r="G3387" s="3" t="n"/>
      <c r="H3387" s="217" t="inlineStr"/>
      <c r="I3387" t="inlineStr"/>
    </row>
    <row r="3388">
      <c r="A3388" s="3" t="n"/>
      <c r="B3388" s="3" t="n"/>
      <c r="C3388" s="3" t="n"/>
      <c r="D3388" s="3" t="n"/>
      <c r="E3388" s="3" t="n"/>
      <c r="F3388" s="3" t="inlineStr"/>
      <c r="G3388" s="3" t="n"/>
      <c r="H3388" s="217" t="inlineStr"/>
      <c r="I3388" t="inlineStr"/>
    </row>
    <row r="3389">
      <c r="A3389" s="3" t="n"/>
      <c r="B3389" s="3" t="n"/>
      <c r="C3389" s="3" t="n"/>
      <c r="D3389" s="3" t="n"/>
      <c r="E3389" s="3" t="n"/>
      <c r="F3389" s="3" t="inlineStr"/>
      <c r="G3389" s="3" t="n"/>
      <c r="H3389" s="217" t="inlineStr"/>
      <c r="I3389" t="inlineStr"/>
    </row>
    <row r="3390">
      <c r="A3390" s="3" t="n"/>
      <c r="B3390" s="3" t="n"/>
      <c r="C3390" s="3" t="n"/>
      <c r="D3390" s="3" t="n"/>
      <c r="E3390" s="3" t="n"/>
      <c r="F3390" s="3" t="inlineStr"/>
      <c r="G3390" s="3" t="n"/>
      <c r="H3390" s="217" t="inlineStr"/>
      <c r="I3390" t="inlineStr"/>
    </row>
    <row r="3391">
      <c r="A3391" s="3" t="n"/>
      <c r="B3391" s="3" t="n"/>
      <c r="C3391" s="3" t="n"/>
      <c r="D3391" s="3" t="n"/>
      <c r="E3391" s="3" t="n"/>
      <c r="F3391" s="3" t="inlineStr"/>
      <c r="G3391" s="3" t="n"/>
      <c r="H3391" s="217" t="inlineStr"/>
      <c r="I3391" t="inlineStr"/>
    </row>
    <row r="3392">
      <c r="A3392" s="3" t="n"/>
      <c r="B3392" s="3" t="n"/>
      <c r="C3392" s="3" t="n"/>
      <c r="D3392" s="3" t="n"/>
      <c r="E3392" s="3" t="n"/>
      <c r="F3392" s="3" t="inlineStr"/>
      <c r="G3392" s="3" t="n"/>
      <c r="H3392" s="217" t="inlineStr"/>
      <c r="I3392" t="inlineStr"/>
    </row>
    <row r="3393">
      <c r="A3393" s="3" t="n"/>
      <c r="B3393" s="3" t="n"/>
      <c r="C3393" s="3" t="n"/>
      <c r="D3393" s="3" t="n"/>
      <c r="E3393" s="3" t="n"/>
      <c r="F3393" s="3" t="inlineStr"/>
      <c r="G3393" s="3" t="n"/>
      <c r="H3393" s="217" t="inlineStr"/>
      <c r="I3393" t="inlineStr"/>
    </row>
    <row r="3394">
      <c r="A3394" s="3" t="n"/>
      <c r="B3394" s="3" t="n"/>
      <c r="C3394" s="3" t="n"/>
      <c r="D3394" s="3" t="n"/>
      <c r="E3394" s="3" t="n"/>
      <c r="F3394" s="3" t="inlineStr"/>
      <c r="G3394" s="3" t="n"/>
      <c r="H3394" s="217" t="inlineStr"/>
      <c r="I3394" t="inlineStr"/>
    </row>
    <row r="3395">
      <c r="A3395" s="3" t="n"/>
      <c r="B3395" s="3" t="n"/>
      <c r="C3395" s="3" t="n"/>
      <c r="D3395" s="3" t="n"/>
      <c r="E3395" s="3" t="n"/>
      <c r="F3395" s="3" t="inlineStr"/>
      <c r="G3395" s="3" t="n"/>
      <c r="H3395" s="217" t="inlineStr"/>
      <c r="I3395" t="inlineStr"/>
    </row>
    <row r="3396">
      <c r="A3396" s="3" t="n"/>
      <c r="B3396" s="3" t="n"/>
      <c r="C3396" s="3" t="n"/>
      <c r="D3396" s="3" t="n"/>
      <c r="E3396" s="3" t="n"/>
      <c r="F3396" s="3" t="inlineStr"/>
      <c r="G3396" s="3" t="n"/>
      <c r="H3396" s="217" t="inlineStr"/>
      <c r="I3396" t="inlineStr"/>
    </row>
    <row r="3397">
      <c r="A3397" s="3" t="n"/>
      <c r="B3397" s="3" t="n"/>
      <c r="C3397" s="3" t="n"/>
      <c r="D3397" s="3" t="n"/>
      <c r="E3397" s="3" t="n"/>
      <c r="F3397" s="3" t="inlineStr"/>
      <c r="G3397" s="3" t="n"/>
      <c r="H3397" s="217" t="inlineStr"/>
      <c r="I3397" t="inlineStr"/>
    </row>
    <row r="3398">
      <c r="A3398" s="3" t="n"/>
      <c r="B3398" s="3" t="n"/>
      <c r="C3398" s="3" t="n"/>
      <c r="D3398" s="3" t="n"/>
      <c r="E3398" s="3" t="n"/>
      <c r="F3398" s="3" t="inlineStr"/>
      <c r="G3398" s="3" t="n"/>
      <c r="H3398" s="217" t="inlineStr"/>
      <c r="I3398" t="inlineStr"/>
    </row>
    <row r="3399">
      <c r="A3399" s="3" t="n"/>
      <c r="B3399" s="3" t="n"/>
      <c r="C3399" s="3" t="n"/>
      <c r="D3399" s="3" t="n"/>
      <c r="E3399" s="3" t="n"/>
      <c r="F3399" s="3" t="inlineStr"/>
      <c r="G3399" s="3" t="n"/>
      <c r="H3399" s="217" t="inlineStr"/>
      <c r="I3399" t="inlineStr"/>
    </row>
    <row r="3400">
      <c r="A3400" s="3" t="n"/>
      <c r="B3400" s="3" t="n"/>
      <c r="C3400" s="3" t="n"/>
      <c r="D3400" s="3" t="n"/>
      <c r="E3400" s="3" t="n"/>
      <c r="F3400" s="3" t="inlineStr"/>
      <c r="G3400" s="3" t="n"/>
      <c r="H3400" s="217" t="inlineStr"/>
      <c r="I3400" t="inlineStr"/>
    </row>
    <row r="3401">
      <c r="A3401" s="3" t="n"/>
      <c r="B3401" s="3" t="n"/>
      <c r="C3401" s="3" t="n"/>
      <c r="D3401" s="3" t="n"/>
      <c r="E3401" s="3" t="n"/>
      <c r="F3401" s="3" t="inlineStr"/>
      <c r="G3401" s="3" t="n"/>
      <c r="H3401" s="217" t="inlineStr"/>
      <c r="I3401" t="inlineStr"/>
    </row>
    <row r="3402">
      <c r="A3402" s="3" t="n"/>
      <c r="B3402" s="3" t="n"/>
      <c r="C3402" s="3" t="n"/>
      <c r="D3402" s="3" t="n"/>
      <c r="E3402" s="3" t="n"/>
      <c r="F3402" s="3" t="inlineStr"/>
      <c r="G3402" s="3" t="n"/>
      <c r="H3402" s="217" t="inlineStr"/>
      <c r="I3402" t="inlineStr"/>
    </row>
    <row r="3403">
      <c r="A3403" s="3" t="n"/>
      <c r="B3403" s="3" t="n"/>
      <c r="C3403" s="3" t="n"/>
      <c r="D3403" s="3" t="n"/>
      <c r="E3403" s="3" t="n"/>
      <c r="F3403" s="3" t="inlineStr"/>
      <c r="G3403" s="3" t="n"/>
      <c r="H3403" s="217" t="inlineStr"/>
      <c r="I3403" t="inlineStr"/>
    </row>
    <row r="3404">
      <c r="A3404" s="3" t="n"/>
      <c r="B3404" s="3" t="n"/>
      <c r="C3404" s="3" t="n"/>
      <c r="D3404" s="3" t="n"/>
      <c r="E3404" s="3" t="n"/>
      <c r="F3404" s="3" t="inlineStr"/>
      <c r="G3404" s="3" t="n"/>
      <c r="H3404" s="217" t="inlineStr"/>
      <c r="I3404" t="inlineStr"/>
    </row>
    <row r="3405">
      <c r="A3405" s="3" t="n"/>
      <c r="B3405" s="3" t="n"/>
      <c r="C3405" s="3" t="n"/>
      <c r="D3405" s="3" t="n"/>
      <c r="E3405" s="3" t="n"/>
      <c r="F3405" s="3" t="inlineStr"/>
      <c r="G3405" s="3" t="n"/>
      <c r="H3405" s="217" t="inlineStr"/>
      <c r="I3405" t="inlineStr"/>
    </row>
    <row r="3406">
      <c r="A3406" s="3" t="n"/>
      <c r="B3406" s="3" t="n"/>
      <c r="C3406" s="3" t="n"/>
      <c r="D3406" s="3" t="n"/>
      <c r="E3406" s="3" t="n"/>
      <c r="F3406" s="3" t="inlineStr"/>
      <c r="G3406" s="3" t="n"/>
      <c r="H3406" s="217" t="inlineStr"/>
      <c r="I3406" t="inlineStr"/>
    </row>
    <row r="3407">
      <c r="A3407" s="3" t="n"/>
      <c r="B3407" s="3" t="n"/>
      <c r="C3407" s="3" t="n"/>
      <c r="D3407" s="3" t="n"/>
      <c r="E3407" s="3" t="n"/>
      <c r="F3407" s="3" t="inlineStr"/>
      <c r="G3407" s="3" t="n"/>
      <c r="H3407" s="217" t="inlineStr"/>
      <c r="I3407" t="inlineStr"/>
    </row>
    <row r="3408">
      <c r="A3408" s="3" t="n"/>
      <c r="B3408" s="3" t="n"/>
      <c r="C3408" s="3" t="n"/>
      <c r="D3408" s="3" t="n"/>
      <c r="E3408" s="3" t="n"/>
      <c r="F3408" s="3" t="inlineStr"/>
      <c r="G3408" s="3" t="n"/>
      <c r="H3408" s="217" t="inlineStr"/>
      <c r="I3408" t="inlineStr"/>
    </row>
    <row r="3409">
      <c r="A3409" s="3" t="n"/>
      <c r="B3409" s="3" t="n"/>
      <c r="C3409" s="3" t="n"/>
      <c r="D3409" s="3" t="n"/>
      <c r="E3409" s="3" t="n"/>
      <c r="F3409" s="3" t="inlineStr"/>
      <c r="G3409" s="3" t="n"/>
      <c r="H3409" s="217" t="inlineStr"/>
      <c r="I3409" t="inlineStr"/>
    </row>
    <row r="3410">
      <c r="A3410" s="3" t="n"/>
      <c r="B3410" s="3" t="n"/>
      <c r="C3410" s="3" t="n"/>
      <c r="D3410" s="3" t="n"/>
      <c r="E3410" s="3" t="n"/>
      <c r="F3410" s="3" t="inlineStr"/>
      <c r="G3410" s="3" t="n"/>
      <c r="H3410" s="217" t="inlineStr"/>
      <c r="I3410" t="inlineStr"/>
    </row>
    <row r="3411">
      <c r="A3411" s="3" t="n"/>
      <c r="B3411" s="3" t="n"/>
      <c r="C3411" s="3" t="n"/>
      <c r="D3411" s="3" t="n"/>
      <c r="E3411" s="3" t="n"/>
      <c r="F3411" s="3" t="inlineStr"/>
      <c r="G3411" s="3" t="n"/>
      <c r="H3411" s="217" t="inlineStr"/>
      <c r="I3411" t="inlineStr"/>
    </row>
    <row r="3412">
      <c r="A3412" s="3" t="n"/>
      <c r="B3412" s="3" t="n"/>
      <c r="C3412" s="3" t="n"/>
      <c r="D3412" s="3" t="n"/>
      <c r="E3412" s="3" t="n"/>
      <c r="F3412" s="3" t="inlineStr"/>
      <c r="G3412" s="3" t="n"/>
      <c r="H3412" s="217" t="inlineStr"/>
      <c r="I3412" t="inlineStr"/>
    </row>
    <row r="3413">
      <c r="A3413" s="3" t="n"/>
      <c r="B3413" s="3" t="n"/>
      <c r="C3413" s="3" t="n"/>
      <c r="D3413" s="3" t="n"/>
      <c r="E3413" s="3" t="n"/>
      <c r="F3413" s="3" t="inlineStr"/>
      <c r="G3413" s="3" t="n"/>
      <c r="H3413" s="217" t="inlineStr"/>
      <c r="I3413" t="inlineStr"/>
    </row>
    <row r="3414">
      <c r="A3414" s="3" t="n"/>
      <c r="B3414" s="3" t="n"/>
      <c r="C3414" s="3" t="n"/>
      <c r="D3414" s="3" t="n"/>
      <c r="E3414" s="3" t="n"/>
      <c r="F3414" s="3" t="inlineStr"/>
      <c r="G3414" s="3" t="n"/>
      <c r="H3414" s="217" t="inlineStr"/>
      <c r="I3414" t="inlineStr"/>
    </row>
    <row r="3415">
      <c r="A3415" s="3" t="n"/>
      <c r="B3415" s="3" t="n"/>
      <c r="C3415" s="3" t="n"/>
      <c r="D3415" s="3" t="n"/>
      <c r="E3415" s="3" t="n"/>
      <c r="F3415" s="3" t="inlineStr"/>
      <c r="G3415" s="3" t="n"/>
      <c r="H3415" s="217" t="inlineStr"/>
      <c r="I3415" t="inlineStr"/>
    </row>
    <row r="3416">
      <c r="A3416" s="3" t="n"/>
      <c r="B3416" s="3" t="n"/>
      <c r="C3416" s="3" t="n"/>
      <c r="D3416" s="3" t="n"/>
      <c r="E3416" s="3" t="n"/>
      <c r="F3416" s="3" t="inlineStr"/>
      <c r="G3416" s="3" t="n"/>
      <c r="H3416" s="217" t="inlineStr"/>
      <c r="I3416" t="inlineStr"/>
    </row>
    <row r="3417">
      <c r="A3417" s="3" t="n"/>
      <c r="B3417" s="3" t="n"/>
      <c r="C3417" s="3" t="n"/>
      <c r="D3417" s="3" t="n"/>
      <c r="E3417" s="3" t="n"/>
      <c r="F3417" s="3" t="inlineStr"/>
      <c r="G3417" s="3" t="n"/>
      <c r="H3417" s="217" t="inlineStr"/>
      <c r="I3417" t="inlineStr"/>
    </row>
    <row r="3418">
      <c r="A3418" s="3" t="n"/>
      <c r="B3418" s="3" t="n"/>
      <c r="C3418" s="3" t="n"/>
      <c r="D3418" s="3" t="n"/>
      <c r="E3418" s="3" t="n"/>
      <c r="F3418" s="3" t="inlineStr"/>
      <c r="G3418" s="3" t="n"/>
      <c r="H3418" s="217" t="inlineStr"/>
      <c r="I3418" t="inlineStr"/>
    </row>
    <row r="3419">
      <c r="A3419" s="3" t="n"/>
      <c r="B3419" s="3" t="n"/>
      <c r="C3419" s="3" t="n"/>
      <c r="D3419" s="3" t="n"/>
      <c r="E3419" s="3" t="n"/>
      <c r="F3419" s="3" t="inlineStr"/>
      <c r="G3419" s="3" t="n"/>
      <c r="H3419" s="217" t="inlineStr"/>
      <c r="I3419" t="inlineStr"/>
    </row>
    <row r="3420">
      <c r="A3420" s="3" t="n"/>
      <c r="B3420" s="3" t="n"/>
      <c r="C3420" s="3" t="n"/>
      <c r="D3420" s="3" t="n"/>
      <c r="E3420" s="3" t="n"/>
      <c r="F3420" s="3" t="inlineStr"/>
      <c r="G3420" s="3" t="n"/>
      <c r="H3420" s="217" t="inlineStr"/>
      <c r="I3420" t="inlineStr"/>
    </row>
    <row r="3421">
      <c r="A3421" s="3" t="n"/>
      <c r="B3421" s="3" t="n"/>
      <c r="C3421" s="3" t="n"/>
      <c r="D3421" s="3" t="n"/>
      <c r="E3421" s="3" t="n"/>
      <c r="F3421" s="3" t="inlineStr"/>
      <c r="G3421" s="3" t="n"/>
      <c r="H3421" s="217" t="inlineStr"/>
      <c r="I3421" t="inlineStr"/>
    </row>
    <row r="3422">
      <c r="A3422" s="3" t="n"/>
      <c r="B3422" s="3" t="n"/>
      <c r="C3422" s="3" t="n"/>
      <c r="D3422" s="3" t="n"/>
      <c r="E3422" s="3" t="n"/>
      <c r="F3422" s="3" t="inlineStr"/>
      <c r="G3422" s="3" t="n"/>
      <c r="H3422" s="217" t="inlineStr"/>
      <c r="I3422" t="inlineStr"/>
    </row>
    <row r="3423">
      <c r="A3423" s="3" t="n"/>
      <c r="B3423" s="3" t="n"/>
      <c r="C3423" s="3" t="n"/>
      <c r="D3423" s="3" t="n"/>
      <c r="E3423" s="3" t="n"/>
      <c r="F3423" s="3" t="inlineStr"/>
      <c r="G3423" s="3" t="n"/>
      <c r="H3423" s="217" t="inlineStr"/>
      <c r="I3423" t="inlineStr"/>
    </row>
    <row r="3424">
      <c r="A3424" s="3" t="n"/>
      <c r="B3424" s="3" t="n"/>
      <c r="C3424" s="3" t="n"/>
      <c r="D3424" s="3" t="n"/>
      <c r="E3424" s="3" t="n"/>
      <c r="F3424" s="3" t="inlineStr"/>
      <c r="G3424" s="3" t="n"/>
      <c r="H3424" s="217" t="inlineStr"/>
      <c r="I3424" t="inlineStr"/>
    </row>
    <row r="3425">
      <c r="A3425" s="3" t="n"/>
      <c r="B3425" s="3" t="n"/>
      <c r="C3425" s="3" t="n"/>
      <c r="D3425" s="3" t="n"/>
      <c r="E3425" s="3" t="n"/>
      <c r="F3425" s="3" t="inlineStr"/>
      <c r="G3425" s="3" t="n"/>
      <c r="H3425" s="217" t="inlineStr"/>
      <c r="I3425" t="inlineStr"/>
    </row>
    <row r="3426">
      <c r="A3426" s="3" t="n"/>
      <c r="B3426" s="3" t="n"/>
      <c r="C3426" s="3" t="n"/>
      <c r="D3426" s="3" t="n"/>
      <c r="E3426" s="3" t="n"/>
      <c r="F3426" s="3" t="inlineStr"/>
      <c r="G3426" s="3" t="n"/>
      <c r="H3426" s="217" t="inlineStr"/>
      <c r="I3426" t="inlineStr"/>
    </row>
    <row r="3427">
      <c r="A3427" s="3" t="n"/>
      <c r="B3427" s="3" t="n"/>
      <c r="C3427" s="3" t="n"/>
      <c r="D3427" s="3" t="n"/>
      <c r="E3427" s="3" t="n"/>
      <c r="F3427" s="3" t="inlineStr"/>
      <c r="G3427" s="3" t="n"/>
      <c r="H3427" s="217" t="inlineStr"/>
      <c r="I3427" t="inlineStr"/>
    </row>
    <row r="3428">
      <c r="A3428" s="3" t="n"/>
      <c r="B3428" s="3" t="n"/>
      <c r="C3428" s="3" t="n"/>
      <c r="D3428" s="3" t="n"/>
      <c r="E3428" s="3" t="n"/>
      <c r="F3428" s="3" t="inlineStr"/>
      <c r="G3428" s="3" t="n"/>
      <c r="H3428" s="217" t="inlineStr"/>
      <c r="I3428" t="inlineStr"/>
    </row>
    <row r="3429">
      <c r="A3429" s="3" t="n"/>
      <c r="B3429" s="3" t="n"/>
      <c r="C3429" s="3" t="n"/>
      <c r="D3429" s="3" t="n"/>
      <c r="E3429" s="3" t="n"/>
      <c r="F3429" s="3" t="inlineStr"/>
      <c r="G3429" s="3" t="n"/>
      <c r="H3429" s="217" t="inlineStr"/>
      <c r="I3429" t="inlineStr"/>
    </row>
    <row r="3430">
      <c r="A3430" s="3" t="n"/>
      <c r="B3430" s="3" t="n"/>
      <c r="C3430" s="3" t="n"/>
      <c r="D3430" s="3" t="n"/>
      <c r="E3430" s="3" t="n"/>
      <c r="F3430" s="3" t="inlineStr"/>
      <c r="G3430" s="3" t="n"/>
      <c r="H3430" s="217" t="inlineStr"/>
      <c r="I3430" t="inlineStr"/>
    </row>
    <row r="3431">
      <c r="A3431" s="3" t="n"/>
      <c r="B3431" s="3" t="n"/>
      <c r="C3431" s="3" t="n"/>
      <c r="D3431" s="3" t="n"/>
      <c r="E3431" s="3" t="n"/>
      <c r="F3431" s="3" t="inlineStr"/>
      <c r="G3431" s="3" t="n"/>
      <c r="H3431" s="217" t="inlineStr"/>
      <c r="I3431" t="inlineStr"/>
    </row>
    <row r="3432">
      <c r="A3432" s="3" t="n"/>
      <c r="B3432" s="3" t="n"/>
      <c r="C3432" s="3" t="n"/>
      <c r="D3432" s="3" t="n"/>
      <c r="E3432" s="3" t="n"/>
      <c r="F3432" s="3" t="inlineStr"/>
      <c r="G3432" s="3" t="n"/>
      <c r="H3432" s="217" t="inlineStr"/>
      <c r="I3432" t="inlineStr"/>
    </row>
    <row r="3433">
      <c r="A3433" s="3" t="n"/>
      <c r="B3433" s="3" t="n"/>
      <c r="C3433" s="3" t="n"/>
      <c r="D3433" s="3" t="n"/>
      <c r="E3433" s="3" t="n"/>
      <c r="F3433" s="3" t="inlineStr"/>
      <c r="G3433" s="3" t="n"/>
      <c r="H3433" s="217" t="inlineStr"/>
      <c r="I3433" t="inlineStr"/>
    </row>
    <row r="3434">
      <c r="A3434" s="3" t="n"/>
      <c r="B3434" s="3" t="n"/>
      <c r="C3434" s="3" t="n"/>
      <c r="D3434" s="3" t="n"/>
      <c r="E3434" s="3" t="n"/>
      <c r="F3434" s="3" t="inlineStr"/>
      <c r="G3434" s="3" t="n"/>
      <c r="H3434" s="217" t="inlineStr"/>
      <c r="I3434" t="inlineStr"/>
    </row>
    <row r="3435">
      <c r="A3435" s="3" t="n"/>
      <c r="B3435" s="3" t="n"/>
      <c r="C3435" s="3" t="n"/>
      <c r="D3435" s="3" t="n"/>
      <c r="E3435" s="3" t="n"/>
      <c r="F3435" s="3" t="inlineStr"/>
      <c r="G3435" s="3" t="n"/>
      <c r="H3435" s="217" t="inlineStr"/>
      <c r="I3435" t="inlineStr"/>
    </row>
    <row r="3436">
      <c r="A3436" s="3" t="n"/>
      <c r="B3436" s="3" t="n"/>
      <c r="C3436" s="3" t="n"/>
      <c r="D3436" s="3" t="n"/>
      <c r="E3436" s="3" t="n"/>
      <c r="F3436" s="3" t="inlineStr"/>
      <c r="G3436" s="3" t="n"/>
      <c r="H3436" s="217" t="inlineStr"/>
      <c r="I3436" t="inlineStr"/>
    </row>
    <row r="3437">
      <c r="A3437" s="3" t="n"/>
      <c r="B3437" s="3" t="n"/>
      <c r="C3437" s="3" t="n"/>
      <c r="D3437" s="3" t="n"/>
      <c r="E3437" s="3" t="n"/>
      <c r="F3437" s="3" t="inlineStr"/>
      <c r="G3437" s="3" t="n"/>
      <c r="H3437" s="217" t="inlineStr"/>
      <c r="I3437" t="inlineStr"/>
    </row>
    <row r="3438">
      <c r="A3438" s="3" t="n"/>
      <c r="B3438" s="3" t="n"/>
      <c r="C3438" s="3" t="n"/>
      <c r="D3438" s="3" t="n"/>
      <c r="E3438" s="3" t="n"/>
      <c r="F3438" s="3" t="inlineStr"/>
      <c r="G3438" s="3" t="n"/>
      <c r="H3438" s="217" t="inlineStr"/>
      <c r="I3438" t="inlineStr"/>
    </row>
    <row r="3439">
      <c r="A3439" s="3" t="n"/>
      <c r="B3439" s="3" t="n"/>
      <c r="C3439" s="3" t="n"/>
      <c r="D3439" s="3" t="n"/>
      <c r="E3439" s="3" t="n"/>
      <c r="F3439" s="3" t="inlineStr"/>
      <c r="G3439" s="3" t="n"/>
      <c r="H3439" s="217" t="inlineStr"/>
      <c r="I3439" t="inlineStr"/>
    </row>
    <row r="3440">
      <c r="A3440" s="3" t="n"/>
      <c r="B3440" s="3" t="n"/>
      <c r="C3440" s="3" t="n"/>
      <c r="D3440" s="3" t="n"/>
      <c r="E3440" s="3" t="n"/>
      <c r="F3440" s="3" t="inlineStr"/>
      <c r="G3440" s="3" t="n"/>
      <c r="H3440" s="217" t="inlineStr"/>
      <c r="I3440" t="inlineStr"/>
    </row>
    <row r="3441">
      <c r="A3441" s="3" t="n"/>
      <c r="B3441" s="3" t="n"/>
      <c r="C3441" s="3" t="n"/>
      <c r="D3441" s="3" t="n"/>
      <c r="E3441" s="3" t="n"/>
      <c r="F3441" s="3" t="inlineStr"/>
      <c r="G3441" s="3" t="n"/>
      <c r="H3441" s="217" t="inlineStr"/>
      <c r="I3441" t="inlineStr"/>
    </row>
    <row r="3442">
      <c r="A3442" s="3" t="n"/>
      <c r="B3442" s="3" t="n"/>
      <c r="C3442" s="3" t="n"/>
      <c r="D3442" s="3" t="n"/>
      <c r="E3442" s="3" t="n"/>
      <c r="F3442" s="3" t="inlineStr"/>
      <c r="G3442" s="3" t="n"/>
      <c r="H3442" s="217" t="inlineStr"/>
      <c r="I3442" t="inlineStr"/>
    </row>
    <row r="3443">
      <c r="A3443" s="3" t="n"/>
      <c r="B3443" s="3" t="n"/>
      <c r="C3443" s="3" t="n"/>
      <c r="D3443" s="3" t="n"/>
      <c r="E3443" s="3" t="n"/>
      <c r="F3443" s="3" t="inlineStr"/>
      <c r="G3443" s="3" t="n"/>
      <c r="H3443" s="217" t="inlineStr"/>
      <c r="I3443" t="inlineStr"/>
    </row>
    <row r="3444">
      <c r="A3444" s="3" t="n"/>
      <c r="B3444" s="3" t="n"/>
      <c r="C3444" s="3" t="n"/>
      <c r="D3444" s="3" t="n"/>
      <c r="E3444" s="3" t="n"/>
      <c r="F3444" s="3" t="inlineStr"/>
      <c r="G3444" s="3" t="n"/>
      <c r="H3444" s="217" t="inlineStr"/>
      <c r="I3444" t="inlineStr"/>
    </row>
    <row r="3445">
      <c r="A3445" s="3" t="n"/>
      <c r="B3445" s="3" t="n"/>
      <c r="C3445" s="3" t="n"/>
      <c r="D3445" s="3" t="n"/>
      <c r="E3445" s="3" t="n"/>
      <c r="F3445" s="3" t="inlineStr"/>
      <c r="G3445" s="3" t="n"/>
      <c r="H3445" s="217" t="inlineStr"/>
      <c r="I3445" t="inlineStr"/>
    </row>
    <row r="3446">
      <c r="A3446" s="3" t="n"/>
      <c r="B3446" s="3" t="n"/>
      <c r="C3446" s="3" t="n"/>
      <c r="D3446" s="3" t="n"/>
      <c r="E3446" s="3" t="n"/>
      <c r="F3446" s="3" t="inlineStr"/>
      <c r="G3446" s="3" t="n"/>
      <c r="H3446" s="217" t="inlineStr"/>
      <c r="I3446" t="inlineStr"/>
    </row>
    <row r="3447">
      <c r="A3447" s="3" t="n"/>
      <c r="B3447" s="3" t="n"/>
      <c r="C3447" s="3" t="n"/>
      <c r="D3447" s="3" t="n"/>
      <c r="E3447" s="3" t="n"/>
      <c r="F3447" s="3" t="inlineStr"/>
      <c r="G3447" s="3" t="n"/>
      <c r="H3447" s="217" t="inlineStr"/>
      <c r="I3447" t="inlineStr"/>
    </row>
    <row r="3448">
      <c r="A3448" s="3" t="n"/>
      <c r="B3448" s="3" t="n"/>
      <c r="C3448" s="3" t="n"/>
      <c r="D3448" s="3" t="n"/>
      <c r="E3448" s="3" t="n"/>
      <c r="F3448" s="3" t="inlineStr"/>
      <c r="G3448" s="3" t="n"/>
      <c r="H3448" s="217" t="inlineStr"/>
      <c r="I3448" t="inlineStr"/>
    </row>
    <row r="3449">
      <c r="A3449" s="3" t="n"/>
      <c r="B3449" s="3" t="n"/>
      <c r="C3449" s="3" t="n"/>
      <c r="D3449" s="3" t="n"/>
      <c r="E3449" s="3" t="n"/>
      <c r="F3449" s="3" t="inlineStr"/>
      <c r="G3449" s="3" t="n"/>
      <c r="H3449" s="217" t="inlineStr"/>
      <c r="I3449" t="inlineStr"/>
    </row>
    <row r="3450">
      <c r="A3450" s="3" t="n"/>
      <c r="B3450" s="3" t="n"/>
      <c r="C3450" s="3" t="n"/>
      <c r="D3450" s="3" t="n"/>
      <c r="E3450" s="3" t="n"/>
      <c r="F3450" s="3" t="inlineStr"/>
      <c r="G3450" s="3" t="n"/>
      <c r="H3450" s="217" t="inlineStr"/>
      <c r="I3450" t="inlineStr"/>
    </row>
    <row r="3451">
      <c r="A3451" s="3" t="n"/>
      <c r="B3451" s="3" t="n"/>
      <c r="C3451" s="3" t="n"/>
      <c r="D3451" s="3" t="n"/>
      <c r="E3451" s="3" t="n"/>
      <c r="F3451" s="3" t="inlineStr"/>
      <c r="G3451" s="3" t="n"/>
      <c r="H3451" s="217" t="inlineStr"/>
      <c r="I3451" t="inlineStr"/>
    </row>
    <row r="3452">
      <c r="A3452" s="3" t="n"/>
      <c r="B3452" s="3" t="n"/>
      <c r="C3452" s="3" t="n"/>
      <c r="D3452" s="3" t="n"/>
      <c r="E3452" s="3" t="n"/>
      <c r="F3452" s="3" t="inlineStr"/>
      <c r="G3452" s="3" t="n"/>
      <c r="H3452" s="217" t="inlineStr"/>
      <c r="I3452" t="inlineStr"/>
    </row>
    <row r="3453">
      <c r="A3453" s="3" t="n"/>
      <c r="B3453" s="3" t="n"/>
      <c r="C3453" s="3" t="n"/>
      <c r="D3453" s="3" t="n"/>
      <c r="E3453" s="3" t="n"/>
      <c r="F3453" s="3" t="inlineStr"/>
      <c r="G3453" s="3" t="n"/>
      <c r="H3453" s="217" t="inlineStr"/>
      <c r="I3453" t="inlineStr"/>
    </row>
    <row r="3454">
      <c r="A3454" s="3" t="n"/>
      <c r="B3454" s="3" t="n"/>
      <c r="C3454" s="3" t="n"/>
      <c r="D3454" s="3" t="n"/>
      <c r="E3454" s="3" t="n"/>
      <c r="F3454" s="3" t="inlineStr"/>
      <c r="G3454" s="3" t="n"/>
      <c r="H3454" s="217" t="inlineStr"/>
      <c r="I3454" t="inlineStr"/>
    </row>
    <row r="3455">
      <c r="A3455" s="3" t="n"/>
      <c r="B3455" s="3" t="n"/>
      <c r="C3455" s="3" t="n"/>
      <c r="D3455" s="3" t="n"/>
      <c r="E3455" s="3" t="n"/>
      <c r="F3455" s="3" t="inlineStr"/>
      <c r="G3455" s="3" t="n"/>
      <c r="H3455" s="217" t="inlineStr"/>
      <c r="I3455" t="inlineStr"/>
    </row>
    <row r="3456">
      <c r="A3456" s="3" t="n"/>
      <c r="B3456" s="3" t="n"/>
      <c r="C3456" s="3" t="n"/>
      <c r="D3456" s="3" t="n"/>
      <c r="E3456" s="3" t="n"/>
      <c r="F3456" s="3" t="inlineStr"/>
      <c r="G3456" s="3" t="n"/>
      <c r="H3456" s="217" t="inlineStr"/>
      <c r="I3456" t="inlineStr"/>
    </row>
    <row r="3457">
      <c r="A3457" s="3" t="n"/>
      <c r="B3457" s="3" t="n"/>
      <c r="C3457" s="3" t="n"/>
      <c r="D3457" s="3" t="n"/>
      <c r="E3457" s="3" t="n"/>
      <c r="F3457" s="3" t="inlineStr"/>
      <c r="G3457" s="3" t="n"/>
      <c r="H3457" s="217" t="inlineStr"/>
      <c r="I3457" t="inlineStr"/>
    </row>
    <row r="3458">
      <c r="A3458" s="3" t="n"/>
      <c r="B3458" s="3" t="n"/>
      <c r="C3458" s="3" t="n"/>
      <c r="D3458" s="3" t="n"/>
      <c r="E3458" s="3" t="n"/>
      <c r="F3458" s="3" t="inlineStr"/>
      <c r="G3458" s="3" t="n"/>
      <c r="H3458" s="217" t="inlineStr"/>
      <c r="I3458" t="inlineStr"/>
    </row>
    <row r="3459">
      <c r="A3459" s="3" t="n"/>
      <c r="B3459" s="3" t="n"/>
      <c r="C3459" s="3" t="n"/>
      <c r="D3459" s="3" t="n"/>
      <c r="E3459" s="3" t="n"/>
      <c r="F3459" s="3" t="inlineStr"/>
      <c r="G3459" s="3" t="n"/>
      <c r="H3459" s="217" t="inlineStr"/>
      <c r="I3459" t="inlineStr"/>
    </row>
    <row r="3460">
      <c r="A3460" s="3" t="n"/>
      <c r="B3460" s="3" t="n"/>
      <c r="C3460" s="3" t="n"/>
      <c r="D3460" s="3" t="n"/>
      <c r="E3460" s="3" t="n"/>
      <c r="F3460" s="3" t="inlineStr"/>
      <c r="G3460" s="3" t="n"/>
      <c r="H3460" s="217" t="inlineStr"/>
      <c r="I3460" t="inlineStr"/>
    </row>
    <row r="3461">
      <c r="A3461" s="3" t="n"/>
      <c r="B3461" s="3" t="n"/>
      <c r="C3461" s="3" t="n"/>
      <c r="D3461" s="3" t="n"/>
      <c r="E3461" s="3" t="n"/>
      <c r="F3461" s="3" t="inlineStr"/>
      <c r="G3461" s="3" t="n"/>
      <c r="H3461" s="217" t="inlineStr"/>
      <c r="I3461" t="inlineStr"/>
    </row>
    <row r="3462">
      <c r="A3462" s="3" t="n"/>
      <c r="B3462" s="3" t="n"/>
      <c r="C3462" s="3" t="n"/>
      <c r="D3462" s="3" t="n"/>
      <c r="E3462" s="3" t="n"/>
      <c r="F3462" s="3" t="inlineStr"/>
      <c r="G3462" s="3" t="n"/>
      <c r="H3462" s="217" t="inlineStr"/>
      <c r="I3462" t="inlineStr"/>
    </row>
    <row r="3463">
      <c r="A3463" s="3" t="n"/>
      <c r="B3463" s="3" t="n"/>
      <c r="C3463" s="3" t="n"/>
      <c r="D3463" s="3" t="n"/>
      <c r="E3463" s="3" t="n"/>
      <c r="F3463" s="3" t="inlineStr"/>
      <c r="G3463" s="3" t="n"/>
      <c r="H3463" s="217" t="inlineStr"/>
      <c r="I3463" t="inlineStr"/>
    </row>
    <row r="3464">
      <c r="A3464" s="3" t="n"/>
      <c r="B3464" s="3" t="n"/>
      <c r="C3464" s="3" t="n"/>
      <c r="D3464" s="3" t="n"/>
      <c r="E3464" s="3" t="n"/>
      <c r="F3464" s="3" t="inlineStr"/>
      <c r="G3464" s="3" t="n"/>
      <c r="H3464" s="217" t="inlineStr"/>
      <c r="I3464" t="inlineStr"/>
    </row>
    <row r="3465">
      <c r="A3465" s="3" t="n"/>
      <c r="B3465" s="3" t="n"/>
      <c r="C3465" s="3" t="n"/>
      <c r="D3465" s="3" t="n"/>
      <c r="E3465" s="3" t="n"/>
      <c r="F3465" s="3" t="inlineStr"/>
      <c r="G3465" s="3" t="n"/>
      <c r="H3465" s="217" t="inlineStr"/>
      <c r="I3465" t="inlineStr"/>
    </row>
    <row r="3466">
      <c r="A3466" s="3" t="n"/>
      <c r="B3466" s="3" t="n"/>
      <c r="C3466" s="3" t="n"/>
      <c r="D3466" s="3" t="n"/>
      <c r="E3466" s="3" t="n"/>
      <c r="F3466" s="3" t="inlineStr"/>
      <c r="G3466" s="3" t="n"/>
      <c r="H3466" s="217" t="inlineStr"/>
      <c r="I3466" t="inlineStr"/>
    </row>
    <row r="3467">
      <c r="A3467" s="3" t="n"/>
      <c r="B3467" s="3" t="n"/>
      <c r="C3467" s="3" t="n"/>
      <c r="D3467" s="3" t="n"/>
      <c r="E3467" s="3" t="n"/>
      <c r="F3467" s="3" t="inlineStr"/>
      <c r="G3467" s="3" t="n"/>
      <c r="H3467" s="217" t="inlineStr"/>
      <c r="I3467" t="inlineStr"/>
    </row>
    <row r="3468">
      <c r="A3468" s="3" t="n"/>
      <c r="B3468" s="3" t="n"/>
      <c r="C3468" s="3" t="n"/>
      <c r="D3468" s="3" t="n"/>
      <c r="E3468" s="3" t="n"/>
      <c r="F3468" s="3" t="inlineStr"/>
      <c r="G3468" s="3" t="n"/>
      <c r="H3468" s="217" t="inlineStr"/>
      <c r="I3468" t="inlineStr"/>
    </row>
    <row r="3469">
      <c r="A3469" s="3" t="n"/>
      <c r="B3469" s="3" t="n"/>
      <c r="C3469" s="3" t="n"/>
      <c r="D3469" s="3" t="n"/>
      <c r="E3469" s="3" t="n"/>
      <c r="F3469" s="3" t="inlineStr"/>
      <c r="G3469" s="3" t="n"/>
      <c r="H3469" s="217" t="inlineStr"/>
      <c r="I3469" t="inlineStr"/>
    </row>
    <row r="3470">
      <c r="A3470" s="3" t="n"/>
      <c r="B3470" s="3" t="n"/>
      <c r="C3470" s="3" t="n"/>
      <c r="D3470" s="3" t="n"/>
      <c r="E3470" s="3" t="n"/>
      <c r="F3470" s="3" t="inlineStr"/>
      <c r="G3470" s="3" t="n"/>
      <c r="H3470" s="217" t="inlineStr"/>
      <c r="I3470" t="inlineStr"/>
    </row>
    <row r="3471">
      <c r="A3471" s="3" t="n"/>
      <c r="B3471" s="3" t="n"/>
      <c r="C3471" s="3" t="n"/>
      <c r="D3471" s="3" t="n"/>
      <c r="E3471" s="3" t="n"/>
      <c r="F3471" s="3" t="inlineStr"/>
      <c r="G3471" s="3" t="n"/>
      <c r="H3471" s="217" t="inlineStr"/>
      <c r="I3471" t="inlineStr"/>
    </row>
    <row r="3472">
      <c r="A3472" s="3" t="n"/>
      <c r="B3472" s="3" t="n"/>
      <c r="C3472" s="3" t="n"/>
      <c r="D3472" s="3" t="n"/>
      <c r="E3472" s="3" t="n"/>
      <c r="F3472" s="3" t="inlineStr"/>
      <c r="G3472" s="3" t="n"/>
      <c r="H3472" s="217" t="inlineStr"/>
      <c r="I3472" t="inlineStr"/>
    </row>
    <row r="3473">
      <c r="A3473" s="3" t="n"/>
      <c r="B3473" s="3" t="n"/>
      <c r="C3473" s="3" t="n"/>
      <c r="D3473" s="3" t="n"/>
      <c r="E3473" s="3" t="n"/>
      <c r="F3473" s="3" t="inlineStr"/>
      <c r="G3473" s="3" t="n"/>
      <c r="H3473" s="217" t="inlineStr"/>
      <c r="I3473" t="inlineStr"/>
    </row>
    <row r="3474">
      <c r="A3474" s="3" t="n"/>
      <c r="B3474" s="3" t="n"/>
      <c r="C3474" s="3" t="n"/>
      <c r="D3474" s="3" t="n"/>
      <c r="E3474" s="3" t="n"/>
      <c r="F3474" s="3" t="inlineStr"/>
      <c r="G3474" s="3" t="n"/>
      <c r="H3474" s="217" t="inlineStr"/>
      <c r="I3474" t="inlineStr"/>
    </row>
    <row r="3475">
      <c r="A3475" s="3" t="n"/>
      <c r="B3475" s="3" t="n"/>
      <c r="C3475" s="3" t="n"/>
      <c r="D3475" s="3" t="n"/>
      <c r="E3475" s="3" t="n"/>
      <c r="F3475" s="3" t="inlineStr"/>
      <c r="G3475" s="3" t="n"/>
      <c r="H3475" s="217" t="inlineStr"/>
      <c r="I3475" t="inlineStr"/>
    </row>
    <row r="3476">
      <c r="A3476" s="3" t="n"/>
      <c r="B3476" s="3" t="n"/>
      <c r="C3476" s="3" t="n"/>
      <c r="D3476" s="3" t="n"/>
      <c r="E3476" s="3" t="n"/>
      <c r="F3476" s="3" t="inlineStr"/>
      <c r="G3476" s="3" t="n"/>
      <c r="H3476" s="217" t="inlineStr"/>
      <c r="I3476" t="inlineStr"/>
    </row>
    <row r="3477">
      <c r="A3477" s="3" t="n"/>
      <c r="B3477" s="3" t="n"/>
      <c r="C3477" s="3" t="n"/>
      <c r="D3477" s="3" t="n"/>
      <c r="E3477" s="3" t="n"/>
      <c r="F3477" s="3" t="inlineStr"/>
      <c r="G3477" s="3" t="n"/>
      <c r="H3477" s="217" t="inlineStr"/>
      <c r="I3477" t="inlineStr"/>
    </row>
    <row r="3478">
      <c r="A3478" s="3" t="n"/>
      <c r="B3478" s="3" t="n"/>
      <c r="C3478" s="3" t="n"/>
      <c r="D3478" s="3" t="n"/>
      <c r="E3478" s="3" t="n"/>
      <c r="F3478" s="3" t="inlineStr"/>
      <c r="G3478" s="3" t="n"/>
      <c r="H3478" s="217" t="inlineStr"/>
      <c r="I3478" t="inlineStr"/>
    </row>
    <row r="3479">
      <c r="A3479" s="3" t="n"/>
      <c r="B3479" s="3" t="n"/>
      <c r="C3479" s="3" t="n"/>
      <c r="D3479" s="3" t="n"/>
      <c r="E3479" s="3" t="n"/>
      <c r="F3479" s="3" t="inlineStr"/>
      <c r="G3479" s="3" t="n"/>
      <c r="H3479" s="217" t="inlineStr"/>
      <c r="I3479" t="inlineStr"/>
    </row>
    <row r="3480">
      <c r="A3480" s="3" t="n"/>
      <c r="B3480" s="3" t="n"/>
      <c r="C3480" s="3" t="n"/>
      <c r="D3480" s="3" t="n"/>
      <c r="E3480" s="3" t="n"/>
      <c r="F3480" s="3" t="inlineStr"/>
      <c r="G3480" s="3" t="n"/>
      <c r="H3480" s="217" t="inlineStr"/>
      <c r="I3480" t="inlineStr"/>
    </row>
    <row r="3481">
      <c r="A3481" s="3" t="n"/>
      <c r="B3481" s="3" t="n"/>
      <c r="C3481" s="3" t="n"/>
      <c r="D3481" s="3" t="n"/>
      <c r="E3481" s="3" t="n"/>
      <c r="F3481" s="3" t="inlineStr"/>
      <c r="G3481" s="3" t="n"/>
      <c r="H3481" s="217" t="inlineStr"/>
      <c r="I3481" t="inlineStr"/>
    </row>
    <row r="3482">
      <c r="A3482" s="3" t="n"/>
      <c r="B3482" s="3" t="n"/>
      <c r="C3482" s="3" t="n"/>
      <c r="D3482" s="3" t="n"/>
      <c r="E3482" s="3" t="n"/>
      <c r="F3482" s="3" t="inlineStr"/>
      <c r="G3482" s="3" t="n"/>
      <c r="H3482" s="217" t="inlineStr"/>
      <c r="I3482" t="inlineStr"/>
    </row>
    <row r="3483">
      <c r="A3483" s="3" t="n"/>
      <c r="B3483" s="3" t="n"/>
      <c r="C3483" s="3" t="n"/>
      <c r="D3483" s="3" t="n"/>
      <c r="E3483" s="3" t="n"/>
      <c r="F3483" s="3" t="inlineStr"/>
      <c r="G3483" s="3" t="n"/>
      <c r="H3483" s="217" t="inlineStr"/>
      <c r="I3483" t="inlineStr"/>
    </row>
    <row r="3484">
      <c r="A3484" s="3" t="n"/>
      <c r="B3484" s="3" t="n"/>
      <c r="C3484" s="3" t="n"/>
      <c r="D3484" s="3" t="n"/>
      <c r="E3484" s="3" t="n"/>
      <c r="F3484" s="3" t="inlineStr"/>
      <c r="G3484" s="3" t="n"/>
      <c r="H3484" s="217" t="inlineStr"/>
      <c r="I3484" t="inlineStr"/>
    </row>
    <row r="3485">
      <c r="A3485" s="3" t="n"/>
      <c r="B3485" s="3" t="n"/>
      <c r="C3485" s="3" t="n"/>
      <c r="D3485" s="3" t="n"/>
      <c r="E3485" s="3" t="n"/>
      <c r="F3485" s="3" t="inlineStr"/>
      <c r="G3485" s="3" t="n"/>
      <c r="H3485" s="217" t="inlineStr"/>
      <c r="I3485" t="inlineStr"/>
    </row>
    <row r="3486">
      <c r="A3486" s="3" t="n"/>
      <c r="B3486" s="3" t="n"/>
      <c r="C3486" s="3" t="n"/>
      <c r="D3486" s="3" t="n"/>
      <c r="E3486" s="3" t="n"/>
      <c r="F3486" s="3" t="inlineStr"/>
      <c r="G3486" s="3" t="n"/>
      <c r="H3486" s="217" t="inlineStr"/>
      <c r="I3486" t="inlineStr"/>
    </row>
    <row r="3487">
      <c r="A3487" s="3" t="n"/>
      <c r="B3487" s="3" t="n"/>
      <c r="C3487" s="3" t="n"/>
      <c r="D3487" s="3" t="n"/>
      <c r="E3487" s="3" t="n"/>
      <c r="F3487" s="3" t="inlineStr"/>
      <c r="G3487" s="3" t="n"/>
      <c r="H3487" s="217" t="inlineStr"/>
      <c r="I3487" t="inlineStr"/>
    </row>
    <row r="3488">
      <c r="A3488" s="3" t="n"/>
      <c r="B3488" s="3" t="n"/>
      <c r="C3488" s="3" t="n"/>
      <c r="D3488" s="3" t="n"/>
      <c r="E3488" s="3" t="n"/>
      <c r="F3488" s="3" t="inlineStr"/>
      <c r="G3488" s="3" t="n"/>
      <c r="H3488" s="217" t="inlineStr"/>
      <c r="I3488" t="inlineStr"/>
    </row>
    <row r="3489">
      <c r="A3489" s="3" t="n"/>
      <c r="B3489" s="3" t="n"/>
      <c r="C3489" s="3" t="n"/>
      <c r="D3489" s="3" t="n"/>
      <c r="E3489" s="3" t="n"/>
      <c r="F3489" s="3" t="inlineStr"/>
      <c r="G3489" s="3" t="n"/>
      <c r="H3489" s="217" t="inlineStr"/>
      <c r="I3489" t="inlineStr"/>
    </row>
    <row r="3490">
      <c r="A3490" s="3" t="n"/>
      <c r="B3490" s="3" t="n"/>
      <c r="C3490" s="3" t="n"/>
      <c r="D3490" s="3" t="n"/>
      <c r="E3490" s="3" t="n"/>
      <c r="F3490" s="3" t="inlineStr"/>
      <c r="G3490" s="3" t="n"/>
      <c r="H3490" s="217" t="inlineStr"/>
      <c r="I3490" t="inlineStr"/>
    </row>
    <row r="3491">
      <c r="A3491" s="3" t="n"/>
      <c r="B3491" s="3" t="n"/>
      <c r="C3491" s="3" t="n"/>
      <c r="D3491" s="3" t="n"/>
      <c r="E3491" s="3" t="n"/>
      <c r="F3491" s="3" t="inlineStr"/>
      <c r="G3491" s="3" t="n"/>
      <c r="H3491" s="217" t="inlineStr"/>
      <c r="I3491" t="inlineStr"/>
    </row>
    <row r="3492">
      <c r="A3492" s="3" t="n"/>
      <c r="B3492" s="3" t="n"/>
      <c r="C3492" s="3" t="n"/>
      <c r="D3492" s="3" t="n"/>
      <c r="E3492" s="3" t="n"/>
      <c r="F3492" s="3" t="inlineStr"/>
      <c r="G3492" s="3" t="n"/>
      <c r="H3492" s="217" t="inlineStr"/>
      <c r="I3492" t="inlineStr"/>
    </row>
    <row r="3493">
      <c r="A3493" s="3" t="n"/>
      <c r="B3493" s="3" t="n"/>
      <c r="C3493" s="3" t="n"/>
      <c r="D3493" s="3" t="n"/>
      <c r="E3493" s="3" t="n"/>
      <c r="F3493" s="3" t="inlineStr"/>
      <c r="G3493" s="3" t="n"/>
      <c r="H3493" s="217" t="inlineStr"/>
      <c r="I3493" t="inlineStr"/>
    </row>
    <row r="3494">
      <c r="A3494" s="3" t="n"/>
      <c r="B3494" s="3" t="n"/>
      <c r="C3494" s="3" t="n"/>
      <c r="D3494" s="3" t="n"/>
      <c r="E3494" s="3" t="n"/>
      <c r="F3494" s="3" t="inlineStr"/>
      <c r="G3494" s="3" t="n"/>
      <c r="H3494" s="217" t="inlineStr"/>
      <c r="I3494" t="inlineStr"/>
    </row>
    <row r="3495">
      <c r="A3495" s="3" t="n"/>
      <c r="B3495" s="3" t="n"/>
      <c r="C3495" s="3" t="n"/>
      <c r="D3495" s="3" t="n"/>
      <c r="E3495" s="3" t="n"/>
      <c r="F3495" s="3" t="inlineStr"/>
      <c r="G3495" s="3" t="n"/>
      <c r="H3495" s="217" t="inlineStr"/>
      <c r="I3495" t="inlineStr"/>
    </row>
    <row r="3496">
      <c r="A3496" s="3" t="n"/>
      <c r="B3496" s="3" t="n"/>
      <c r="C3496" s="3" t="n"/>
      <c r="D3496" s="3" t="n"/>
      <c r="E3496" s="3" t="n"/>
      <c r="F3496" s="3" t="inlineStr"/>
      <c r="G3496" s="3" t="n"/>
      <c r="H3496" s="217" t="inlineStr"/>
      <c r="I3496" t="inlineStr"/>
    </row>
    <row r="3497">
      <c r="A3497" s="3" t="n"/>
      <c r="B3497" s="3" t="n"/>
      <c r="C3497" s="3" t="n"/>
      <c r="D3497" s="3" t="n"/>
      <c r="E3497" s="3" t="n"/>
      <c r="F3497" s="3" t="inlineStr"/>
      <c r="G3497" s="3" t="n"/>
      <c r="H3497" s="217" t="inlineStr"/>
      <c r="I3497" t="inlineStr"/>
    </row>
    <row r="3498">
      <c r="A3498" s="3" t="n"/>
      <c r="B3498" s="3" t="n"/>
      <c r="C3498" s="3" t="n"/>
      <c r="D3498" s="3" t="n"/>
      <c r="E3498" s="3" t="n"/>
      <c r="F3498" s="3" t="inlineStr"/>
      <c r="G3498" s="3" t="n"/>
      <c r="H3498" s="217" t="inlineStr"/>
      <c r="I3498" t="inlineStr"/>
    </row>
    <row r="3499">
      <c r="A3499" s="3" t="n"/>
      <c r="B3499" s="3" t="n"/>
      <c r="C3499" s="3" t="n"/>
      <c r="D3499" s="3" t="n"/>
      <c r="E3499" s="3" t="n"/>
      <c r="F3499" s="3" t="inlineStr"/>
      <c r="G3499" s="3" t="n"/>
      <c r="H3499" s="217" t="inlineStr"/>
      <c r="I3499" t="inlineStr"/>
    </row>
    <row r="3500">
      <c r="A3500" s="3" t="n"/>
      <c r="B3500" s="3" t="n"/>
      <c r="C3500" s="3" t="n"/>
      <c r="D3500" s="3" t="n"/>
      <c r="E3500" s="3" t="n"/>
      <c r="F3500" s="3" t="inlineStr"/>
      <c r="G3500" s="3" t="n"/>
      <c r="H3500" s="217" t="inlineStr"/>
      <c r="I3500" t="inlineStr"/>
    </row>
    <row r="3501">
      <c r="A3501" s="3" t="n"/>
      <c r="B3501" s="3" t="n"/>
      <c r="C3501" s="3" t="n"/>
      <c r="D3501" s="3" t="n"/>
      <c r="E3501" s="3" t="n"/>
      <c r="F3501" s="3" t="inlineStr"/>
      <c r="G3501" s="3" t="n"/>
      <c r="H3501" s="217" t="inlineStr"/>
      <c r="I3501" t="inlineStr"/>
    </row>
    <row r="3502">
      <c r="A3502" s="3" t="n"/>
      <c r="B3502" s="3" t="n"/>
      <c r="C3502" s="3" t="n"/>
      <c r="D3502" s="3" t="n"/>
      <c r="E3502" s="3" t="n"/>
      <c r="F3502" s="3" t="inlineStr"/>
      <c r="G3502" s="3" t="n"/>
      <c r="H3502" s="217" t="inlineStr"/>
      <c r="I3502" t="inlineStr"/>
    </row>
    <row r="3503">
      <c r="A3503" s="3" t="n"/>
      <c r="B3503" s="3" t="n"/>
      <c r="C3503" s="3" t="n"/>
      <c r="D3503" s="3" t="n"/>
      <c r="E3503" s="3" t="n"/>
      <c r="F3503" s="3" t="inlineStr"/>
      <c r="G3503" s="3" t="n"/>
      <c r="H3503" s="217" t="inlineStr"/>
      <c r="I3503" t="inlineStr"/>
    </row>
    <row r="3504">
      <c r="A3504" s="3" t="n"/>
      <c r="B3504" s="3" t="n"/>
      <c r="C3504" s="3" t="n"/>
      <c r="D3504" s="3" t="n"/>
      <c r="E3504" s="3" t="n"/>
      <c r="F3504" s="3" t="inlineStr"/>
      <c r="G3504" s="3" t="n"/>
      <c r="H3504" s="217" t="inlineStr"/>
      <c r="I3504" t="inlineStr"/>
    </row>
    <row r="3505">
      <c r="A3505" s="3" t="n"/>
      <c r="B3505" s="3" t="n"/>
      <c r="C3505" s="3" t="n"/>
      <c r="D3505" s="3" t="n"/>
      <c r="E3505" s="3" t="n"/>
      <c r="F3505" s="3" t="inlineStr"/>
      <c r="G3505" s="3" t="n"/>
      <c r="H3505" s="217" t="inlineStr"/>
      <c r="I3505" t="inlineStr"/>
    </row>
    <row r="3506">
      <c r="A3506" s="3" t="n"/>
      <c r="B3506" s="3" t="n"/>
      <c r="C3506" s="3" t="n"/>
      <c r="D3506" s="3" t="n"/>
      <c r="E3506" s="3" t="n"/>
      <c r="F3506" s="3" t="inlineStr"/>
      <c r="G3506" s="3" t="n"/>
      <c r="H3506" s="217" t="inlineStr"/>
      <c r="I3506" t="inlineStr"/>
    </row>
    <row r="3507">
      <c r="A3507" s="3" t="n"/>
      <c r="B3507" s="3" t="n"/>
      <c r="C3507" s="3" t="n"/>
      <c r="D3507" s="3" t="n"/>
      <c r="E3507" s="3" t="n"/>
      <c r="F3507" s="3" t="inlineStr"/>
      <c r="G3507" s="3" t="n"/>
      <c r="H3507" s="217" t="inlineStr"/>
      <c r="I3507" t="inlineStr"/>
    </row>
    <row r="3508">
      <c r="A3508" s="3" t="n"/>
      <c r="B3508" s="3" t="n"/>
      <c r="C3508" s="3" t="n"/>
      <c r="D3508" s="3" t="n"/>
      <c r="E3508" s="3" t="n"/>
      <c r="F3508" s="3" t="inlineStr"/>
      <c r="G3508" s="3" t="n"/>
      <c r="H3508" s="217" t="inlineStr"/>
      <c r="I3508" t="inlineStr"/>
    </row>
    <row r="3509">
      <c r="A3509" s="3" t="n"/>
      <c r="B3509" s="3" t="n"/>
      <c r="C3509" s="3" t="n"/>
      <c r="D3509" s="3" t="n"/>
      <c r="E3509" s="3" t="n"/>
      <c r="F3509" s="3" t="inlineStr"/>
      <c r="G3509" s="3" t="n"/>
      <c r="H3509" s="217" t="inlineStr"/>
      <c r="I3509" t="inlineStr"/>
    </row>
    <row r="3510">
      <c r="A3510" s="3" t="n"/>
      <c r="B3510" s="3" t="n"/>
      <c r="C3510" s="3" t="n"/>
      <c r="D3510" s="3" t="n"/>
      <c r="E3510" s="3" t="n"/>
      <c r="F3510" s="3" t="inlineStr"/>
      <c r="G3510" s="3" t="n"/>
      <c r="H3510" s="217" t="inlineStr"/>
      <c r="I3510" t="inlineStr"/>
    </row>
    <row r="3511">
      <c r="A3511" s="3" t="n"/>
      <c r="B3511" s="3" t="n"/>
      <c r="C3511" s="3" t="n"/>
      <c r="D3511" s="3" t="n"/>
      <c r="E3511" s="3" t="n"/>
      <c r="F3511" s="3" t="inlineStr"/>
      <c r="G3511" s="3" t="n"/>
      <c r="H3511" s="217" t="inlineStr"/>
      <c r="I3511" t="inlineStr"/>
    </row>
    <row r="3512">
      <c r="A3512" s="3" t="n"/>
      <c r="B3512" s="3" t="n"/>
      <c r="C3512" s="3" t="n"/>
      <c r="D3512" s="3" t="n"/>
      <c r="E3512" s="3" t="n"/>
      <c r="F3512" s="3" t="inlineStr"/>
      <c r="G3512" s="3" t="n"/>
      <c r="H3512" s="217" t="inlineStr"/>
      <c r="I3512" t="inlineStr"/>
    </row>
    <row r="3513">
      <c r="A3513" s="3" t="n"/>
      <c r="B3513" s="3" t="n"/>
      <c r="C3513" s="3" t="n"/>
      <c r="D3513" s="3" t="n"/>
      <c r="E3513" s="3" t="n"/>
      <c r="F3513" s="3" t="inlineStr"/>
      <c r="G3513" s="3" t="n"/>
      <c r="H3513" s="217" t="inlineStr"/>
      <c r="I3513" t="inlineStr"/>
    </row>
    <row r="3514">
      <c r="A3514" s="3" t="n"/>
      <c r="B3514" s="3" t="n"/>
      <c r="C3514" s="3" t="n"/>
      <c r="D3514" s="3" t="n"/>
      <c r="E3514" s="3" t="n"/>
      <c r="F3514" s="3" t="inlineStr"/>
      <c r="G3514" s="3" t="n"/>
      <c r="H3514" s="217" t="inlineStr"/>
      <c r="I3514" t="inlineStr"/>
    </row>
    <row r="3515">
      <c r="A3515" s="3" t="n"/>
      <c r="B3515" s="3" t="n"/>
      <c r="C3515" s="3" t="n"/>
      <c r="D3515" s="3" t="n"/>
      <c r="E3515" s="3" t="n"/>
      <c r="F3515" s="3" t="inlineStr"/>
      <c r="G3515" s="3" t="n"/>
      <c r="H3515" s="217" t="inlineStr"/>
      <c r="I3515" t="inlineStr"/>
    </row>
    <row r="3516">
      <c r="A3516" s="3" t="n"/>
      <c r="B3516" s="3" t="n"/>
      <c r="C3516" s="3" t="n"/>
      <c r="D3516" s="3" t="n"/>
      <c r="E3516" s="3" t="n"/>
      <c r="F3516" s="3" t="inlineStr"/>
      <c r="G3516" s="3" t="n"/>
      <c r="H3516" s="217" t="inlineStr"/>
      <c r="I3516" t="inlineStr"/>
    </row>
    <row r="3517">
      <c r="A3517" s="3" t="n"/>
      <c r="B3517" s="3" t="n"/>
      <c r="C3517" s="3" t="n"/>
      <c r="D3517" s="3" t="n"/>
      <c r="E3517" s="3" t="n"/>
      <c r="F3517" s="3" t="inlineStr"/>
      <c r="G3517" s="3" t="n"/>
      <c r="H3517" s="217" t="inlineStr"/>
      <c r="I3517" t="inlineStr"/>
    </row>
    <row r="3518">
      <c r="A3518" s="3" t="n"/>
      <c r="B3518" s="3" t="n"/>
      <c r="C3518" s="3" t="n"/>
      <c r="D3518" s="3" t="n"/>
      <c r="E3518" s="3" t="n"/>
      <c r="F3518" s="3" t="inlineStr"/>
      <c r="G3518" s="3" t="n"/>
      <c r="H3518" s="217" t="inlineStr"/>
      <c r="I3518" t="inlineStr"/>
    </row>
    <row r="3519">
      <c r="A3519" s="3" t="n"/>
      <c r="B3519" s="3" t="n"/>
      <c r="C3519" s="3" t="n"/>
      <c r="D3519" s="3" t="n"/>
      <c r="E3519" s="3" t="n"/>
      <c r="F3519" s="3" t="inlineStr"/>
      <c r="G3519" s="3" t="n"/>
      <c r="H3519" s="217" t="inlineStr"/>
      <c r="I3519" t="inlineStr"/>
    </row>
    <row r="3520">
      <c r="A3520" s="3" t="n"/>
      <c r="B3520" s="3" t="n"/>
      <c r="C3520" s="3" t="n"/>
      <c r="D3520" s="3" t="n"/>
      <c r="E3520" s="3" t="n"/>
      <c r="F3520" s="3" t="inlineStr"/>
      <c r="G3520" s="3" t="n"/>
      <c r="H3520" s="217" t="inlineStr"/>
      <c r="I3520" t="inlineStr"/>
    </row>
    <row r="3521">
      <c r="A3521" s="3" t="n"/>
      <c r="B3521" s="3" t="n"/>
      <c r="C3521" s="3" t="n"/>
      <c r="D3521" s="3" t="n"/>
      <c r="E3521" s="3" t="n"/>
      <c r="F3521" s="3" t="inlineStr"/>
      <c r="G3521" s="3" t="n"/>
      <c r="H3521" s="217" t="inlineStr"/>
      <c r="I3521" t="inlineStr"/>
    </row>
    <row r="3522">
      <c r="A3522" s="3" t="n"/>
      <c r="B3522" s="3" t="n"/>
      <c r="C3522" s="3" t="n"/>
      <c r="D3522" s="3" t="n"/>
      <c r="E3522" s="3" t="n"/>
      <c r="F3522" s="3" t="inlineStr"/>
      <c r="G3522" s="3" t="n"/>
      <c r="H3522" s="217" t="inlineStr"/>
      <c r="I3522" t="inlineStr"/>
    </row>
    <row r="3523">
      <c r="A3523" s="3" t="n"/>
      <c r="B3523" s="3" t="n"/>
      <c r="C3523" s="3" t="n"/>
      <c r="D3523" s="3" t="n"/>
      <c r="E3523" s="3" t="n"/>
      <c r="F3523" s="3" t="inlineStr"/>
      <c r="G3523" s="3" t="n"/>
      <c r="H3523" s="217" t="inlineStr"/>
      <c r="I3523" t="inlineStr"/>
    </row>
    <row r="3524">
      <c r="A3524" s="3" t="n"/>
      <c r="B3524" s="3" t="n"/>
      <c r="C3524" s="3" t="n"/>
      <c r="D3524" s="3" t="n"/>
      <c r="E3524" s="3" t="n"/>
      <c r="F3524" s="3" t="inlineStr"/>
      <c r="G3524" s="3" t="n"/>
      <c r="H3524" s="217" t="inlineStr"/>
      <c r="I3524" t="inlineStr"/>
    </row>
    <row r="3525">
      <c r="A3525" s="3" t="n"/>
      <c r="B3525" s="3" t="n"/>
      <c r="C3525" s="3" t="n"/>
      <c r="D3525" s="3" t="n"/>
      <c r="E3525" s="3" t="n"/>
      <c r="F3525" s="3" t="inlineStr"/>
      <c r="G3525" s="3" t="n"/>
      <c r="H3525" s="217" t="inlineStr"/>
      <c r="I3525" t="inlineStr"/>
    </row>
    <row r="3526">
      <c r="A3526" s="3" t="n"/>
      <c r="B3526" s="3" t="n"/>
      <c r="C3526" s="3" t="n"/>
      <c r="D3526" s="3" t="n"/>
      <c r="E3526" s="3" t="n"/>
      <c r="F3526" s="3" t="inlineStr"/>
      <c r="G3526" s="3" t="n"/>
      <c r="H3526" s="217" t="inlineStr"/>
      <c r="I3526" t="inlineStr"/>
    </row>
    <row r="3527">
      <c r="A3527" s="3" t="n"/>
      <c r="B3527" s="3" t="n"/>
      <c r="C3527" s="3" t="n"/>
      <c r="D3527" s="3" t="n"/>
      <c r="E3527" s="3" t="n"/>
      <c r="F3527" s="3" t="inlineStr"/>
      <c r="G3527" s="3" t="n"/>
      <c r="H3527" s="217" t="inlineStr"/>
      <c r="I3527" t="inlineStr"/>
    </row>
    <row r="3528">
      <c r="A3528" s="3" t="n"/>
      <c r="B3528" s="3" t="n"/>
      <c r="C3528" s="3" t="n"/>
      <c r="D3528" s="3" t="n"/>
      <c r="E3528" s="3" t="n"/>
      <c r="F3528" s="3" t="inlineStr"/>
      <c r="G3528" s="3" t="n"/>
      <c r="H3528" s="217" t="inlineStr"/>
      <c r="I3528" t="inlineStr"/>
    </row>
    <row r="3529">
      <c r="A3529" s="3" t="n"/>
      <c r="B3529" s="3" t="n"/>
      <c r="C3529" s="3" t="n"/>
      <c r="D3529" s="3" t="n"/>
      <c r="E3529" s="3" t="n"/>
      <c r="F3529" s="3" t="inlineStr"/>
      <c r="G3529" s="3" t="n"/>
      <c r="H3529" s="217" t="inlineStr"/>
      <c r="I3529" t="inlineStr"/>
    </row>
    <row r="3530">
      <c r="A3530" s="3" t="n"/>
      <c r="B3530" s="3" t="n"/>
      <c r="C3530" s="3" t="n"/>
      <c r="D3530" s="3" t="n"/>
      <c r="E3530" s="3" t="n"/>
      <c r="F3530" s="3" t="inlineStr"/>
      <c r="G3530" s="3" t="n"/>
      <c r="H3530" s="217" t="inlineStr"/>
      <c r="I3530" t="inlineStr"/>
    </row>
    <row r="3531">
      <c r="A3531" s="3" t="n"/>
      <c r="B3531" s="3" t="n"/>
      <c r="C3531" s="3" t="n"/>
      <c r="D3531" s="3" t="n"/>
      <c r="E3531" s="3" t="n"/>
      <c r="F3531" s="3" t="inlineStr"/>
      <c r="G3531" s="3" t="n"/>
      <c r="H3531" s="217" t="inlineStr"/>
      <c r="I3531" t="inlineStr"/>
    </row>
    <row r="3532">
      <c r="A3532" s="3" t="n"/>
      <c r="B3532" s="3" t="n"/>
      <c r="C3532" s="3" t="n"/>
      <c r="D3532" s="3" t="n"/>
      <c r="E3532" s="3" t="n"/>
      <c r="F3532" s="3" t="inlineStr"/>
      <c r="G3532" s="3" t="n"/>
      <c r="H3532" s="217" t="inlineStr"/>
      <c r="I3532" t="inlineStr"/>
    </row>
    <row r="3533">
      <c r="A3533" s="3" t="n"/>
      <c r="B3533" s="3" t="n"/>
      <c r="C3533" s="3" t="n"/>
      <c r="D3533" s="3" t="n"/>
      <c r="E3533" s="3" t="n"/>
      <c r="F3533" s="3" t="inlineStr"/>
      <c r="G3533" s="3" t="n"/>
      <c r="H3533" s="217" t="inlineStr"/>
      <c r="I3533" t="inlineStr"/>
    </row>
    <row r="3534">
      <c r="A3534" s="3" t="n"/>
      <c r="B3534" s="3" t="n"/>
      <c r="C3534" s="3" t="n"/>
      <c r="D3534" s="3" t="n"/>
      <c r="E3534" s="3" t="n"/>
      <c r="F3534" s="3" t="inlineStr"/>
      <c r="G3534" s="3" t="n"/>
      <c r="H3534" s="217" t="inlineStr"/>
      <c r="I3534" t="inlineStr"/>
    </row>
    <row r="3535">
      <c r="A3535" s="3" t="n"/>
      <c r="B3535" s="3" t="n"/>
      <c r="C3535" s="3" t="n"/>
      <c r="D3535" s="3" t="n"/>
      <c r="E3535" s="3" t="n"/>
      <c r="F3535" s="3" t="inlineStr"/>
      <c r="G3535" s="3" t="n"/>
      <c r="H3535" s="217" t="inlineStr"/>
      <c r="I3535" t="inlineStr"/>
    </row>
    <row r="3536">
      <c r="A3536" s="3" t="n"/>
      <c r="B3536" s="3" t="n"/>
      <c r="C3536" s="3" t="n"/>
      <c r="D3536" s="3" t="n"/>
      <c r="E3536" s="3" t="n"/>
      <c r="F3536" s="3" t="inlineStr"/>
      <c r="G3536" s="3" t="n"/>
      <c r="H3536" s="217" t="inlineStr"/>
      <c r="I3536" t="inlineStr"/>
    </row>
    <row r="3537">
      <c r="A3537" s="3" t="n"/>
      <c r="B3537" s="3" t="n"/>
      <c r="C3537" s="3" t="n"/>
      <c r="D3537" s="3" t="n"/>
      <c r="E3537" s="3" t="n"/>
      <c r="F3537" s="3" t="inlineStr"/>
      <c r="G3537" s="3" t="n"/>
      <c r="H3537" s="217" t="inlineStr"/>
      <c r="I3537" t="inlineStr"/>
    </row>
    <row r="3538">
      <c r="A3538" s="3" t="n"/>
      <c r="B3538" s="3" t="n"/>
      <c r="C3538" s="3" t="n"/>
      <c r="D3538" s="3" t="n"/>
      <c r="E3538" s="3" t="n"/>
      <c r="F3538" s="3" t="inlineStr"/>
      <c r="G3538" s="3" t="n"/>
      <c r="H3538" s="217" t="inlineStr"/>
      <c r="I3538" t="inlineStr"/>
    </row>
    <row r="3539">
      <c r="A3539" s="3" t="n"/>
      <c r="B3539" s="3" t="n"/>
      <c r="C3539" s="3" t="n"/>
      <c r="D3539" s="3" t="n"/>
      <c r="E3539" s="3" t="n"/>
      <c r="F3539" s="3" t="inlineStr"/>
      <c r="G3539" s="3" t="n"/>
      <c r="H3539" s="217" t="inlineStr"/>
      <c r="I3539" t="inlineStr"/>
    </row>
    <row r="3540">
      <c r="A3540" s="3" t="n"/>
      <c r="B3540" s="3" t="n"/>
      <c r="C3540" s="3" t="n"/>
      <c r="D3540" s="3" t="n"/>
      <c r="E3540" s="3" t="n"/>
      <c r="F3540" s="3" t="inlineStr"/>
      <c r="G3540" s="3" t="n"/>
      <c r="H3540" s="217" t="inlineStr"/>
      <c r="I3540" t="inlineStr"/>
    </row>
    <row r="3541">
      <c r="A3541" s="3" t="n"/>
      <c r="B3541" s="3" t="n"/>
      <c r="C3541" s="3" t="n"/>
      <c r="D3541" s="3" t="n"/>
      <c r="E3541" s="3" t="n"/>
      <c r="F3541" s="3" t="inlineStr"/>
      <c r="G3541" s="3" t="n"/>
      <c r="H3541" s="217" t="inlineStr"/>
      <c r="I3541" t="inlineStr"/>
    </row>
    <row r="3542">
      <c r="A3542" s="3" t="n"/>
      <c r="B3542" s="3" t="n"/>
      <c r="C3542" s="3" t="n"/>
      <c r="D3542" s="3" t="n"/>
      <c r="E3542" s="3" t="n"/>
      <c r="F3542" s="3" t="inlineStr"/>
      <c r="G3542" s="3" t="n"/>
      <c r="H3542" s="217" t="inlineStr"/>
      <c r="I3542" t="inlineStr"/>
    </row>
    <row r="3543">
      <c r="A3543" s="3" t="n"/>
      <c r="B3543" s="3" t="n"/>
      <c r="C3543" s="3" t="n"/>
      <c r="D3543" s="3" t="n"/>
      <c r="E3543" s="3" t="n"/>
      <c r="F3543" s="3" t="inlineStr"/>
      <c r="G3543" s="3" t="n"/>
      <c r="H3543" s="217" t="inlineStr"/>
      <c r="I3543" t="inlineStr"/>
    </row>
    <row r="3544">
      <c r="A3544" s="3" t="n"/>
      <c r="B3544" s="3" t="n"/>
      <c r="C3544" s="3" t="n"/>
      <c r="D3544" s="3" t="n"/>
      <c r="E3544" s="3" t="n"/>
      <c r="F3544" s="3" t="inlineStr"/>
      <c r="G3544" s="3" t="n"/>
      <c r="H3544" s="217" t="inlineStr"/>
      <c r="I3544" t="inlineStr"/>
    </row>
    <row r="3545">
      <c r="A3545" s="3" t="n"/>
      <c r="B3545" s="3" t="n"/>
      <c r="C3545" s="3" t="n"/>
      <c r="D3545" s="3" t="n"/>
      <c r="E3545" s="3" t="n"/>
      <c r="F3545" s="3" t="inlineStr"/>
      <c r="G3545" s="3" t="n"/>
      <c r="H3545" s="217" t="inlineStr"/>
      <c r="I3545" t="inlineStr"/>
    </row>
    <row r="3546">
      <c r="A3546" s="3" t="n"/>
      <c r="B3546" s="3" t="n"/>
      <c r="C3546" s="3" t="n"/>
      <c r="D3546" s="3" t="n"/>
      <c r="E3546" s="3" t="n"/>
      <c r="F3546" s="3" t="inlineStr"/>
      <c r="G3546" s="3" t="n"/>
      <c r="H3546" s="217" t="inlineStr"/>
      <c r="I3546" t="inlineStr"/>
    </row>
    <row r="3547">
      <c r="A3547" s="3" t="n"/>
      <c r="B3547" s="3" t="n"/>
      <c r="C3547" s="3" t="n"/>
      <c r="D3547" s="3" t="n"/>
      <c r="E3547" s="3" t="n"/>
      <c r="F3547" s="3" t="inlineStr"/>
      <c r="G3547" s="3" t="n"/>
      <c r="H3547" s="217" t="inlineStr"/>
      <c r="I3547" t="inlineStr"/>
    </row>
    <row r="3548">
      <c r="A3548" s="3" t="n"/>
      <c r="B3548" s="3" t="n"/>
      <c r="C3548" s="3" t="n"/>
      <c r="D3548" s="3" t="n"/>
      <c r="E3548" s="3" t="n"/>
      <c r="F3548" s="3" t="inlineStr"/>
      <c r="G3548" s="3" t="n"/>
      <c r="H3548" s="217" t="inlineStr"/>
      <c r="I3548" t="inlineStr"/>
    </row>
    <row r="3549">
      <c r="A3549" s="3" t="n"/>
      <c r="B3549" s="3" t="n"/>
      <c r="C3549" s="3" t="n"/>
      <c r="D3549" s="3" t="n"/>
      <c r="E3549" s="3" t="n"/>
      <c r="F3549" s="3" t="inlineStr"/>
      <c r="G3549" s="3" t="n"/>
      <c r="H3549" s="217" t="inlineStr"/>
      <c r="I3549" t="inlineStr"/>
    </row>
    <row r="3550">
      <c r="A3550" s="3" t="n"/>
      <c r="B3550" s="3" t="n"/>
      <c r="C3550" s="3" t="n"/>
      <c r="D3550" s="3" t="n"/>
      <c r="E3550" s="3" t="n"/>
      <c r="F3550" s="3" t="inlineStr"/>
      <c r="G3550" s="3" t="n"/>
      <c r="H3550" s="217" t="inlineStr"/>
      <c r="I3550" t="inlineStr"/>
    </row>
    <row r="3551">
      <c r="A3551" s="3" t="n"/>
      <c r="B3551" s="3" t="n"/>
      <c r="C3551" s="3" t="n"/>
      <c r="D3551" s="3" t="n"/>
      <c r="E3551" s="3" t="n"/>
      <c r="F3551" s="3" t="inlineStr"/>
      <c r="G3551" s="3" t="n"/>
      <c r="H3551" s="217" t="inlineStr"/>
      <c r="I3551" t="inlineStr"/>
    </row>
    <row r="3552">
      <c r="A3552" s="3" t="n"/>
      <c r="B3552" s="3" t="n"/>
      <c r="C3552" s="3" t="n"/>
      <c r="D3552" s="3" t="n"/>
      <c r="E3552" s="3" t="n"/>
      <c r="F3552" s="3" t="inlineStr"/>
      <c r="G3552" s="3" t="n"/>
      <c r="H3552" s="217" t="inlineStr"/>
      <c r="I3552" t="inlineStr"/>
    </row>
    <row r="3553">
      <c r="A3553" s="3" t="n"/>
      <c r="B3553" s="3" t="n"/>
      <c r="C3553" s="3" t="n"/>
      <c r="D3553" s="3" t="n"/>
      <c r="E3553" s="3" t="n"/>
      <c r="F3553" s="3" t="inlineStr"/>
      <c r="G3553" s="3" t="n"/>
      <c r="H3553" s="217" t="inlineStr"/>
      <c r="I3553" t="inlineStr"/>
    </row>
    <row r="3554">
      <c r="A3554" s="3" t="n"/>
      <c r="B3554" s="3" t="n"/>
      <c r="C3554" s="3" t="n"/>
      <c r="D3554" s="3" t="n"/>
      <c r="E3554" s="3" t="n"/>
      <c r="F3554" s="3" t="inlineStr"/>
      <c r="G3554" s="3" t="n"/>
      <c r="H3554" s="217" t="inlineStr"/>
      <c r="I3554" t="inlineStr"/>
    </row>
    <row r="3555">
      <c r="A3555" s="3" t="n"/>
      <c r="B3555" s="3" t="n"/>
      <c r="C3555" s="3" t="n"/>
      <c r="D3555" s="3" t="n"/>
      <c r="E3555" s="3" t="n"/>
      <c r="F3555" s="3" t="inlineStr"/>
      <c r="G3555" s="3" t="n"/>
      <c r="H3555" s="217" t="inlineStr"/>
      <c r="I3555" t="inlineStr"/>
    </row>
    <row r="3556">
      <c r="A3556" s="3" t="n"/>
      <c r="B3556" s="3" t="n"/>
      <c r="C3556" s="3" t="n"/>
      <c r="D3556" s="3" t="n"/>
      <c r="E3556" s="3" t="n"/>
      <c r="F3556" s="3" t="inlineStr"/>
      <c r="G3556" s="3" t="n"/>
      <c r="H3556" s="217" t="inlineStr"/>
      <c r="I3556" t="inlineStr"/>
    </row>
    <row r="3557">
      <c r="A3557" s="3" t="n"/>
      <c r="B3557" s="3" t="n"/>
      <c r="C3557" s="3" t="n"/>
      <c r="D3557" s="3" t="n"/>
      <c r="E3557" s="3" t="n"/>
      <c r="F3557" s="3" t="inlineStr"/>
      <c r="G3557" s="3" t="n"/>
      <c r="H3557" s="217" t="inlineStr"/>
      <c r="I3557" t="inlineStr"/>
    </row>
    <row r="3558">
      <c r="A3558" s="3" t="n"/>
      <c r="B3558" s="3" t="n"/>
      <c r="C3558" s="3" t="n"/>
      <c r="D3558" s="3" t="n"/>
      <c r="E3558" s="3" t="n"/>
      <c r="F3558" s="3" t="inlineStr"/>
      <c r="G3558" s="3" t="n"/>
      <c r="H3558" s="217" t="inlineStr"/>
      <c r="I3558" t="inlineStr"/>
    </row>
    <row r="3559">
      <c r="A3559" s="3" t="n"/>
      <c r="B3559" s="3" t="n"/>
      <c r="C3559" s="3" t="n"/>
      <c r="D3559" s="3" t="n"/>
      <c r="E3559" s="3" t="n"/>
      <c r="F3559" s="3" t="inlineStr"/>
      <c r="G3559" s="3" t="n"/>
      <c r="H3559" s="217" t="inlineStr"/>
      <c r="I3559" t="inlineStr"/>
    </row>
    <row r="3560">
      <c r="A3560" s="3" t="n"/>
      <c r="B3560" s="3" t="n"/>
      <c r="C3560" s="3" t="n"/>
      <c r="D3560" s="3" t="n"/>
      <c r="E3560" s="3" t="n"/>
      <c r="F3560" s="3" t="inlineStr"/>
      <c r="G3560" s="3" t="n"/>
      <c r="H3560" s="217" t="inlineStr"/>
      <c r="I3560" t="inlineStr"/>
    </row>
    <row r="3561">
      <c r="A3561" s="3" t="n"/>
      <c r="B3561" s="3" t="n"/>
      <c r="C3561" s="3" t="n"/>
      <c r="D3561" s="3" t="n"/>
      <c r="E3561" s="3" t="n"/>
      <c r="F3561" s="3" t="inlineStr"/>
      <c r="G3561" s="3" t="n"/>
      <c r="H3561" s="217" t="inlineStr"/>
      <c r="I3561" t="inlineStr"/>
    </row>
    <row r="3562">
      <c r="A3562" s="3" t="n"/>
      <c r="B3562" s="3" t="n"/>
      <c r="C3562" s="3" t="n"/>
      <c r="D3562" s="3" t="n"/>
      <c r="E3562" s="3" t="n"/>
      <c r="F3562" s="3" t="inlineStr"/>
      <c r="G3562" s="3" t="n"/>
      <c r="H3562" s="217" t="inlineStr"/>
      <c r="I3562" t="inlineStr"/>
    </row>
    <row r="3563">
      <c r="A3563" s="3" t="n"/>
      <c r="B3563" s="3" t="n"/>
      <c r="C3563" s="3" t="n"/>
      <c r="D3563" s="3" t="n"/>
      <c r="E3563" s="3" t="n"/>
      <c r="F3563" s="3" t="inlineStr"/>
      <c r="G3563" s="3" t="n"/>
      <c r="H3563" s="217" t="inlineStr"/>
      <c r="I3563" t="inlineStr"/>
    </row>
    <row r="3564">
      <c r="A3564" s="3" t="n"/>
      <c r="B3564" s="3" t="n"/>
      <c r="C3564" s="3" t="n"/>
      <c r="D3564" s="3" t="n"/>
      <c r="E3564" s="3" t="n"/>
      <c r="F3564" s="3" t="inlineStr"/>
      <c r="G3564" s="3" t="n"/>
      <c r="H3564" s="217" t="inlineStr"/>
      <c r="I3564" t="inlineStr"/>
    </row>
    <row r="3565">
      <c r="A3565" s="3" t="n"/>
      <c r="B3565" s="3" t="n"/>
      <c r="C3565" s="3" t="n"/>
      <c r="D3565" s="3" t="n"/>
      <c r="E3565" s="3" t="n"/>
      <c r="F3565" s="3" t="inlineStr"/>
      <c r="G3565" s="3" t="n"/>
      <c r="H3565" s="217" t="inlineStr"/>
      <c r="I3565" t="inlineStr"/>
    </row>
    <row r="3566">
      <c r="A3566" s="3" t="n"/>
      <c r="B3566" s="3" t="n"/>
      <c r="C3566" s="3" t="n"/>
      <c r="D3566" s="3" t="n"/>
      <c r="E3566" s="3" t="n"/>
      <c r="F3566" s="3" t="inlineStr"/>
      <c r="G3566" s="3" t="n"/>
      <c r="H3566" s="217" t="inlineStr"/>
      <c r="I3566" t="inlineStr"/>
    </row>
    <row r="3567">
      <c r="A3567" s="3" t="n"/>
      <c r="B3567" s="3" t="n"/>
      <c r="C3567" s="3" t="n"/>
      <c r="D3567" s="3" t="n"/>
      <c r="E3567" s="3" t="n"/>
      <c r="F3567" s="3" t="inlineStr"/>
      <c r="G3567" s="3" t="n"/>
      <c r="H3567" s="217" t="inlineStr"/>
      <c r="I3567" t="inlineStr"/>
    </row>
    <row r="3568">
      <c r="A3568" s="3" t="n"/>
      <c r="B3568" s="3" t="n"/>
      <c r="C3568" s="3" t="n"/>
      <c r="D3568" s="3" t="n"/>
      <c r="E3568" s="3" t="n"/>
      <c r="F3568" s="3" t="inlineStr"/>
      <c r="G3568" s="3" t="n"/>
      <c r="H3568" s="217" t="inlineStr"/>
      <c r="I3568" t="inlineStr"/>
    </row>
    <row r="3569">
      <c r="A3569" s="3" t="n"/>
      <c r="B3569" s="3" t="n"/>
      <c r="C3569" s="3" t="n"/>
      <c r="D3569" s="3" t="n"/>
      <c r="E3569" s="3" t="n"/>
      <c r="F3569" s="3" t="inlineStr"/>
      <c r="G3569" s="3" t="n"/>
      <c r="H3569" s="217" t="inlineStr"/>
      <c r="I3569" t="inlineStr"/>
    </row>
    <row r="3570">
      <c r="A3570" s="3" t="n"/>
      <c r="B3570" s="3" t="n"/>
      <c r="C3570" s="3" t="n"/>
      <c r="D3570" s="3" t="n"/>
      <c r="E3570" s="3" t="n"/>
      <c r="F3570" s="3" t="inlineStr"/>
      <c r="G3570" s="3" t="n"/>
      <c r="H3570" s="217" t="inlineStr"/>
      <c r="I3570" t="inlineStr"/>
    </row>
    <row r="3571">
      <c r="A3571" s="3" t="n"/>
      <c r="B3571" s="3" t="n"/>
      <c r="C3571" s="3" t="n"/>
      <c r="D3571" s="3" t="n"/>
      <c r="E3571" s="3" t="n"/>
      <c r="F3571" s="3" t="inlineStr"/>
      <c r="G3571" s="3" t="n"/>
      <c r="H3571" s="217" t="inlineStr"/>
      <c r="I3571" t="inlineStr"/>
    </row>
    <row r="3572">
      <c r="A3572" s="3" t="n"/>
      <c r="B3572" s="3" t="n"/>
      <c r="C3572" s="3" t="n"/>
      <c r="D3572" s="3" t="n"/>
      <c r="E3572" s="3" t="n"/>
      <c r="F3572" s="3" t="inlineStr"/>
      <c r="G3572" s="3" t="n"/>
      <c r="H3572" s="217" t="inlineStr"/>
      <c r="I3572" t="inlineStr"/>
    </row>
    <row r="3573">
      <c r="A3573" s="3" t="n"/>
      <c r="B3573" s="3" t="n"/>
      <c r="C3573" s="3" t="n"/>
      <c r="D3573" s="3" t="n"/>
      <c r="E3573" s="3" t="n"/>
      <c r="F3573" s="3" t="inlineStr"/>
      <c r="G3573" s="3" t="n"/>
      <c r="H3573" s="217" t="inlineStr"/>
      <c r="I3573" t="inlineStr"/>
    </row>
    <row r="3574">
      <c r="A3574" s="3" t="n"/>
      <c r="B3574" s="3" t="n"/>
      <c r="C3574" s="3" t="n"/>
      <c r="D3574" s="3" t="n"/>
      <c r="E3574" s="3" t="n"/>
      <c r="F3574" s="3" t="inlineStr"/>
      <c r="G3574" s="3" t="n"/>
      <c r="H3574" s="217" t="inlineStr"/>
      <c r="I3574" t="inlineStr"/>
    </row>
    <row r="3575">
      <c r="A3575" s="3" t="n"/>
      <c r="B3575" s="3" t="n"/>
      <c r="C3575" s="3" t="n"/>
      <c r="D3575" s="3" t="n"/>
      <c r="E3575" s="3" t="n"/>
      <c r="F3575" s="3" t="inlineStr"/>
      <c r="G3575" s="3" t="n"/>
      <c r="H3575" s="217" t="inlineStr"/>
      <c r="I3575" t="inlineStr"/>
    </row>
    <row r="3576">
      <c r="A3576" s="3" t="n"/>
      <c r="B3576" s="3" t="n"/>
      <c r="C3576" s="3" t="n"/>
      <c r="D3576" s="3" t="n"/>
      <c r="E3576" s="3" t="n"/>
      <c r="F3576" s="3" t="inlineStr"/>
      <c r="G3576" s="3" t="n"/>
      <c r="H3576" s="217" t="inlineStr"/>
      <c r="I3576" t="inlineStr"/>
    </row>
    <row r="3577">
      <c r="A3577" s="3" t="n"/>
      <c r="B3577" s="3" t="n"/>
      <c r="C3577" s="3" t="n"/>
      <c r="D3577" s="3" t="n"/>
      <c r="E3577" s="3" t="n"/>
      <c r="F3577" s="3" t="inlineStr"/>
      <c r="G3577" s="3" t="n"/>
      <c r="H3577" s="217" t="inlineStr"/>
      <c r="I3577" t="inlineStr"/>
    </row>
    <row r="3578">
      <c r="A3578" s="3" t="n"/>
      <c r="B3578" s="3" t="n"/>
      <c r="C3578" s="3" t="n"/>
      <c r="D3578" s="3" t="n"/>
      <c r="E3578" s="3" t="n"/>
      <c r="F3578" s="3" t="inlineStr"/>
      <c r="G3578" s="3" t="n"/>
      <c r="H3578" s="217" t="inlineStr"/>
      <c r="I3578" t="inlineStr"/>
    </row>
    <row r="3579">
      <c r="A3579" s="3" t="n"/>
      <c r="B3579" s="3" t="n"/>
      <c r="C3579" s="3" t="n"/>
      <c r="D3579" s="3" t="n"/>
      <c r="E3579" s="3" t="n"/>
      <c r="F3579" s="3" t="inlineStr"/>
      <c r="G3579" s="3" t="n"/>
      <c r="H3579" s="217" t="inlineStr"/>
      <c r="I3579" t="inlineStr"/>
    </row>
    <row r="3580">
      <c r="A3580" s="3" t="n"/>
      <c r="B3580" s="3" t="n"/>
      <c r="C3580" s="3" t="n"/>
      <c r="D3580" s="3" t="n"/>
      <c r="E3580" s="3" t="n"/>
      <c r="F3580" s="3" t="inlineStr"/>
      <c r="G3580" s="3" t="n"/>
      <c r="H3580" s="217" t="inlineStr"/>
      <c r="I3580" t="inlineStr"/>
    </row>
    <row r="3581">
      <c r="A3581" s="3" t="n"/>
      <c r="B3581" s="3" t="n"/>
      <c r="C3581" s="3" t="n"/>
      <c r="D3581" s="3" t="n"/>
      <c r="E3581" s="3" t="n"/>
      <c r="F3581" s="3" t="inlineStr"/>
      <c r="G3581" s="3" t="n"/>
      <c r="H3581" s="217" t="inlineStr"/>
      <c r="I3581" t="inlineStr"/>
    </row>
    <row r="3582">
      <c r="A3582" s="3" t="n"/>
      <c r="B3582" s="3" t="n"/>
      <c r="C3582" s="3" t="n"/>
      <c r="D3582" s="3" t="n"/>
      <c r="E3582" s="3" t="n"/>
      <c r="F3582" s="3" t="inlineStr"/>
      <c r="G3582" s="3" t="n"/>
      <c r="H3582" s="217" t="inlineStr"/>
      <c r="I3582" t="inlineStr"/>
    </row>
    <row r="3583">
      <c r="A3583" s="3" t="n"/>
      <c r="B3583" s="3" t="n"/>
      <c r="C3583" s="3" t="n"/>
      <c r="D3583" s="3" t="n"/>
      <c r="E3583" s="3" t="n"/>
      <c r="F3583" s="3" t="inlineStr"/>
      <c r="G3583" s="3" t="n"/>
      <c r="H3583" s="217" t="inlineStr"/>
      <c r="I3583" t="inlineStr"/>
    </row>
    <row r="3584">
      <c r="A3584" s="3" t="n"/>
      <c r="B3584" s="3" t="n"/>
      <c r="C3584" s="3" t="n"/>
      <c r="D3584" s="3" t="n"/>
      <c r="E3584" s="3" t="n"/>
      <c r="F3584" s="3" t="inlineStr"/>
      <c r="G3584" s="3" t="n"/>
      <c r="H3584" s="217" t="inlineStr"/>
      <c r="I3584" t="inlineStr"/>
    </row>
    <row r="3585">
      <c r="A3585" s="3" t="n"/>
      <c r="B3585" s="3" t="n"/>
      <c r="C3585" s="3" t="n"/>
      <c r="D3585" s="3" t="n"/>
      <c r="E3585" s="3" t="n"/>
      <c r="F3585" s="3" t="inlineStr"/>
      <c r="G3585" s="3" t="n"/>
      <c r="H3585" s="217" t="inlineStr"/>
      <c r="I3585" t="inlineStr"/>
    </row>
    <row r="3586">
      <c r="A3586" s="3" t="n"/>
      <c r="B3586" s="3" t="n"/>
      <c r="C3586" s="3" t="n"/>
      <c r="D3586" s="3" t="n"/>
      <c r="E3586" s="3" t="n"/>
      <c r="F3586" s="3" t="inlineStr"/>
      <c r="G3586" s="3" t="n"/>
      <c r="H3586" s="217" t="inlineStr"/>
      <c r="I3586" t="inlineStr"/>
    </row>
    <row r="3587">
      <c r="A3587" s="3" t="n"/>
      <c r="B3587" s="3" t="n"/>
      <c r="C3587" s="3" t="n"/>
      <c r="D3587" s="3" t="n"/>
      <c r="E3587" s="3" t="n"/>
      <c r="F3587" s="3" t="inlineStr"/>
      <c r="G3587" s="3" t="n"/>
      <c r="H3587" s="217" t="inlineStr"/>
      <c r="I3587" t="inlineStr"/>
    </row>
    <row r="3588">
      <c r="A3588" s="3" t="n"/>
      <c r="B3588" s="3" t="n"/>
      <c r="C3588" s="3" t="n"/>
      <c r="D3588" s="3" t="n"/>
      <c r="E3588" s="3" t="n"/>
      <c r="F3588" s="3" t="inlineStr"/>
      <c r="G3588" s="3" t="n"/>
      <c r="H3588" s="217" t="inlineStr"/>
      <c r="I3588" t="inlineStr"/>
    </row>
    <row r="3589">
      <c r="A3589" s="3" t="n"/>
      <c r="B3589" s="3" t="n"/>
      <c r="C3589" s="3" t="n"/>
      <c r="D3589" s="3" t="n"/>
      <c r="E3589" s="3" t="n"/>
      <c r="F3589" s="3" t="inlineStr"/>
      <c r="G3589" s="3" t="n"/>
      <c r="H3589" s="217" t="inlineStr"/>
      <c r="I3589" t="inlineStr"/>
    </row>
    <row r="3590">
      <c r="A3590" s="3" t="n"/>
      <c r="B3590" s="3" t="n"/>
      <c r="C3590" s="3" t="n"/>
      <c r="D3590" s="3" t="n"/>
      <c r="E3590" s="3" t="n"/>
      <c r="F3590" s="3" t="inlineStr"/>
      <c r="G3590" s="3" t="n"/>
      <c r="H3590" s="217" t="inlineStr"/>
      <c r="I3590" t="inlineStr"/>
    </row>
    <row r="3591">
      <c r="A3591" s="3" t="n"/>
      <c r="B3591" s="3" t="n"/>
      <c r="C3591" s="3" t="n"/>
      <c r="D3591" s="3" t="n"/>
      <c r="E3591" s="3" t="n"/>
      <c r="F3591" s="3" t="inlineStr"/>
      <c r="G3591" s="3" t="n"/>
      <c r="H3591" s="217" t="inlineStr"/>
      <c r="I3591" t="inlineStr"/>
    </row>
    <row r="3592">
      <c r="A3592" s="3" t="n"/>
      <c r="B3592" s="3" t="n"/>
      <c r="C3592" s="3" t="n"/>
      <c r="D3592" s="3" t="n"/>
      <c r="E3592" s="3" t="n"/>
      <c r="F3592" s="3" t="inlineStr"/>
      <c r="G3592" s="3" t="n"/>
      <c r="H3592" s="217" t="inlineStr"/>
      <c r="I3592" t="inlineStr"/>
    </row>
    <row r="3593">
      <c r="A3593" s="3" t="n"/>
      <c r="B3593" s="3" t="n"/>
      <c r="C3593" s="3" t="n"/>
      <c r="D3593" s="3" t="n"/>
      <c r="E3593" s="3" t="n"/>
      <c r="F3593" s="3" t="inlineStr"/>
      <c r="G3593" s="3" t="n"/>
      <c r="H3593" s="217" t="inlineStr"/>
      <c r="I3593" t="inlineStr"/>
    </row>
    <row r="3594">
      <c r="A3594" s="3" t="n"/>
      <c r="B3594" s="3" t="n"/>
      <c r="C3594" s="3" t="n"/>
      <c r="D3594" s="3" t="n"/>
      <c r="E3594" s="3" t="n"/>
      <c r="F3594" s="3" t="inlineStr"/>
      <c r="G3594" s="3" t="n"/>
      <c r="H3594" s="217" t="inlineStr"/>
      <c r="I3594" t="inlineStr"/>
    </row>
    <row r="3595">
      <c r="A3595" s="3" t="n"/>
      <c r="B3595" s="3" t="n"/>
      <c r="C3595" s="3" t="n"/>
      <c r="D3595" s="3" t="n"/>
      <c r="E3595" s="3" t="n"/>
      <c r="F3595" s="3" t="inlineStr"/>
      <c r="G3595" s="3" t="n"/>
      <c r="H3595" s="217" t="inlineStr"/>
      <c r="I3595" t="inlineStr"/>
    </row>
    <row r="3596">
      <c r="A3596" s="3" t="n"/>
      <c r="B3596" s="3" t="n"/>
      <c r="C3596" s="3" t="n"/>
      <c r="D3596" s="3" t="n"/>
      <c r="E3596" s="3" t="n"/>
      <c r="F3596" s="3" t="inlineStr"/>
      <c r="G3596" s="3" t="n"/>
      <c r="H3596" s="217" t="inlineStr"/>
      <c r="I3596" t="inlineStr"/>
    </row>
    <row r="3597">
      <c r="A3597" s="3" t="n"/>
      <c r="B3597" s="3" t="n"/>
      <c r="C3597" s="3" t="n"/>
      <c r="D3597" s="3" t="n"/>
      <c r="E3597" s="3" t="n"/>
      <c r="F3597" s="3" t="inlineStr"/>
      <c r="G3597" s="3" t="n"/>
      <c r="H3597" s="217" t="inlineStr"/>
      <c r="I3597" t="inlineStr"/>
    </row>
    <row r="3598">
      <c r="A3598" s="3" t="n"/>
      <c r="B3598" s="3" t="n"/>
      <c r="C3598" s="3" t="n"/>
      <c r="D3598" s="3" t="n"/>
      <c r="E3598" s="3" t="n"/>
      <c r="F3598" s="3" t="inlineStr"/>
      <c r="G3598" s="3" t="n"/>
      <c r="H3598" s="217" t="inlineStr"/>
      <c r="I3598" t="inlineStr"/>
    </row>
    <row r="3599">
      <c r="A3599" s="3" t="n"/>
      <c r="B3599" s="3" t="n"/>
      <c r="C3599" s="3" t="n"/>
      <c r="D3599" s="3" t="n"/>
      <c r="E3599" s="3" t="n"/>
      <c r="F3599" s="3" t="inlineStr"/>
      <c r="G3599" s="3" t="n"/>
      <c r="H3599" s="217" t="inlineStr"/>
      <c r="I3599" t="inlineStr"/>
    </row>
    <row r="3600">
      <c r="A3600" s="3" t="n"/>
      <c r="B3600" s="3" t="n"/>
      <c r="C3600" s="3" t="n"/>
      <c r="D3600" s="3" t="n"/>
      <c r="E3600" s="3" t="n"/>
      <c r="F3600" s="3" t="inlineStr"/>
      <c r="G3600" s="3" t="n"/>
      <c r="H3600" s="217" t="inlineStr"/>
      <c r="I3600" t="inlineStr"/>
    </row>
    <row r="3601">
      <c r="A3601" s="3" t="n"/>
      <c r="B3601" s="3" t="n"/>
      <c r="C3601" s="3" t="n"/>
      <c r="D3601" s="3" t="n"/>
      <c r="E3601" s="3" t="n"/>
      <c r="F3601" s="3" t="inlineStr"/>
      <c r="G3601" s="3" t="n"/>
      <c r="H3601" s="217" t="inlineStr"/>
      <c r="I3601" t="inlineStr"/>
    </row>
    <row r="3602">
      <c r="A3602" s="3" t="n"/>
      <c r="B3602" s="3" t="n"/>
      <c r="C3602" s="3" t="n"/>
      <c r="D3602" s="3" t="n"/>
      <c r="E3602" s="3" t="n"/>
      <c r="F3602" s="3" t="inlineStr"/>
      <c r="G3602" s="3" t="n"/>
      <c r="H3602" s="217" t="inlineStr"/>
      <c r="I3602" t="inlineStr"/>
    </row>
    <row r="3603">
      <c r="A3603" s="3" t="n"/>
      <c r="B3603" s="3" t="n"/>
      <c r="C3603" s="3" t="n"/>
      <c r="D3603" s="3" t="n"/>
      <c r="E3603" s="3" t="n"/>
      <c r="F3603" s="3" t="inlineStr"/>
      <c r="G3603" s="3" t="n"/>
      <c r="H3603" s="217" t="inlineStr"/>
      <c r="I3603" t="inlineStr"/>
    </row>
    <row r="3604">
      <c r="A3604" s="3" t="n"/>
      <c r="B3604" s="3" t="n"/>
      <c r="C3604" s="3" t="n"/>
      <c r="D3604" s="3" t="n"/>
      <c r="E3604" s="3" t="n"/>
      <c r="F3604" s="3" t="inlineStr"/>
      <c r="G3604" s="3" t="n"/>
      <c r="H3604" s="217" t="inlineStr"/>
      <c r="I3604" t="inlineStr"/>
    </row>
    <row r="3605">
      <c r="A3605" s="3" t="n"/>
      <c r="B3605" s="3" t="n"/>
      <c r="C3605" s="3" t="n"/>
      <c r="D3605" s="3" t="n"/>
      <c r="E3605" s="3" t="n"/>
      <c r="F3605" s="3" t="inlineStr"/>
      <c r="G3605" s="3" t="n"/>
      <c r="H3605" s="217" t="inlineStr"/>
      <c r="I3605" t="inlineStr"/>
    </row>
    <row r="3606">
      <c r="A3606" s="3" t="n"/>
      <c r="B3606" s="3" t="n"/>
      <c r="C3606" s="3" t="n"/>
      <c r="D3606" s="3" t="n"/>
      <c r="E3606" s="3" t="n"/>
      <c r="F3606" s="3" t="inlineStr"/>
      <c r="G3606" s="3" t="n"/>
      <c r="H3606" s="217" t="inlineStr"/>
      <c r="I3606" t="inlineStr"/>
    </row>
    <row r="3607">
      <c r="A3607" s="3" t="n"/>
      <c r="B3607" s="3" t="n"/>
      <c r="C3607" s="3" t="n"/>
      <c r="D3607" s="3" t="n"/>
      <c r="E3607" s="3" t="n"/>
      <c r="F3607" s="3" t="inlineStr"/>
      <c r="G3607" s="3" t="n"/>
      <c r="H3607" s="217" t="inlineStr"/>
      <c r="I3607" t="inlineStr"/>
    </row>
    <row r="3608">
      <c r="A3608" s="3" t="n"/>
      <c r="B3608" s="3" t="n"/>
      <c r="C3608" s="3" t="n"/>
      <c r="D3608" s="3" t="n"/>
      <c r="E3608" s="3" t="n"/>
      <c r="F3608" s="3" t="inlineStr"/>
      <c r="G3608" s="3" t="n"/>
      <c r="H3608" s="217" t="inlineStr"/>
      <c r="I3608" t="inlineStr"/>
    </row>
    <row r="3609">
      <c r="A3609" s="3" t="n"/>
      <c r="B3609" s="3" t="n"/>
      <c r="C3609" s="3" t="n"/>
      <c r="D3609" s="3" t="n"/>
      <c r="E3609" s="3" t="n"/>
      <c r="F3609" s="3" t="inlineStr"/>
      <c r="G3609" s="3" t="n"/>
      <c r="H3609" s="217" t="inlineStr"/>
      <c r="I3609" t="inlineStr"/>
    </row>
    <row r="3610">
      <c r="A3610" s="3" t="n"/>
      <c r="B3610" s="3" t="n"/>
      <c r="C3610" s="3" t="n"/>
      <c r="D3610" s="3" t="n"/>
      <c r="E3610" s="3" t="n"/>
      <c r="F3610" s="3" t="inlineStr"/>
      <c r="G3610" s="3" t="n"/>
      <c r="H3610" s="217" t="inlineStr"/>
      <c r="I3610" t="inlineStr"/>
    </row>
    <row r="3611">
      <c r="A3611" s="3" t="n"/>
      <c r="B3611" s="3" t="n"/>
      <c r="C3611" s="3" t="n"/>
      <c r="D3611" s="3" t="n"/>
      <c r="E3611" s="3" t="n"/>
      <c r="F3611" s="3" t="inlineStr"/>
      <c r="G3611" s="3" t="n"/>
      <c r="H3611" s="217" t="inlineStr"/>
      <c r="I3611" t="inlineStr"/>
    </row>
    <row r="3612">
      <c r="A3612" s="3" t="n"/>
      <c r="B3612" s="3" t="n"/>
      <c r="C3612" s="3" t="n"/>
      <c r="D3612" s="3" t="n"/>
      <c r="E3612" s="3" t="n"/>
      <c r="F3612" s="3" t="inlineStr"/>
      <c r="G3612" s="3" t="n"/>
      <c r="H3612" s="217" t="inlineStr"/>
      <c r="I3612" t="inlineStr"/>
    </row>
    <row r="3613">
      <c r="A3613" s="3" t="n"/>
      <c r="B3613" s="3" t="n"/>
      <c r="C3613" s="3" t="n"/>
      <c r="D3613" s="3" t="n"/>
      <c r="E3613" s="3" t="n"/>
      <c r="F3613" s="3" t="inlineStr"/>
      <c r="G3613" s="3" t="n"/>
      <c r="H3613" s="217" t="inlineStr"/>
      <c r="I3613" t="inlineStr"/>
    </row>
    <row r="3614">
      <c r="A3614" s="3" t="n"/>
      <c r="B3614" s="3" t="n"/>
      <c r="C3614" s="3" t="n"/>
      <c r="D3614" s="3" t="n"/>
      <c r="E3614" s="3" t="n"/>
      <c r="F3614" s="3" t="inlineStr"/>
      <c r="G3614" s="3" t="n"/>
      <c r="H3614" s="217" t="inlineStr"/>
      <c r="I3614" t="inlineStr"/>
    </row>
    <row r="3615">
      <c r="A3615" s="3" t="n"/>
      <c r="B3615" s="3" t="n"/>
      <c r="C3615" s="3" t="n"/>
      <c r="D3615" s="3" t="n"/>
      <c r="E3615" s="3" t="n"/>
      <c r="F3615" s="3" t="inlineStr"/>
      <c r="G3615" s="3" t="n"/>
      <c r="H3615" s="217" t="inlineStr"/>
      <c r="I3615" t="inlineStr"/>
    </row>
    <row r="3616">
      <c r="A3616" s="3" t="n"/>
      <c r="B3616" s="3" t="n"/>
      <c r="C3616" s="3" t="n"/>
      <c r="D3616" s="3" t="n"/>
      <c r="E3616" s="3" t="n"/>
      <c r="F3616" s="3" t="inlineStr"/>
      <c r="G3616" s="3" t="n"/>
      <c r="H3616" s="217" t="inlineStr"/>
      <c r="I3616" t="inlineStr"/>
    </row>
    <row r="3617">
      <c r="A3617" s="3" t="n"/>
      <c r="B3617" s="3" t="n"/>
      <c r="C3617" s="3" t="n"/>
      <c r="D3617" s="3" t="n"/>
      <c r="E3617" s="3" t="n"/>
      <c r="F3617" s="3" t="inlineStr"/>
      <c r="G3617" s="3" t="n"/>
      <c r="H3617" s="217" t="inlineStr"/>
      <c r="I3617" t="inlineStr"/>
    </row>
    <row r="3618">
      <c r="A3618" s="3" t="n"/>
      <c r="B3618" s="3" t="n"/>
      <c r="C3618" s="3" t="n"/>
      <c r="D3618" s="3" t="n"/>
      <c r="E3618" s="3" t="n"/>
      <c r="F3618" s="3" t="inlineStr"/>
      <c r="G3618" s="3" t="n"/>
      <c r="H3618" s="217" t="inlineStr"/>
      <c r="I3618" t="inlineStr"/>
    </row>
    <row r="3619">
      <c r="A3619" s="3" t="n"/>
      <c r="B3619" s="3" t="n"/>
      <c r="C3619" s="3" t="n"/>
      <c r="D3619" s="3" t="n"/>
      <c r="E3619" s="3" t="n"/>
      <c r="F3619" s="3" t="inlineStr"/>
      <c r="G3619" s="3" t="n"/>
      <c r="H3619" s="217" t="inlineStr"/>
      <c r="I3619" t="inlineStr"/>
    </row>
    <row r="3620">
      <c r="A3620" s="3" t="n"/>
      <c r="B3620" s="3" t="n"/>
      <c r="C3620" s="3" t="n"/>
      <c r="D3620" s="3" t="n"/>
      <c r="E3620" s="3" t="n"/>
      <c r="F3620" s="3" t="inlineStr"/>
      <c r="G3620" s="3" t="n"/>
      <c r="H3620" s="217" t="inlineStr"/>
      <c r="I3620" t="inlineStr"/>
    </row>
    <row r="3621">
      <c r="A3621" s="3" t="n"/>
      <c r="B3621" s="3" t="n"/>
      <c r="C3621" s="3" t="n"/>
      <c r="D3621" s="3" t="n"/>
      <c r="E3621" s="3" t="n"/>
      <c r="F3621" s="3" t="inlineStr"/>
      <c r="G3621" s="3" t="n"/>
      <c r="H3621" s="217" t="inlineStr"/>
      <c r="I3621" t="inlineStr"/>
    </row>
    <row r="3622">
      <c r="A3622" s="3" t="n"/>
      <c r="B3622" s="3" t="n"/>
      <c r="C3622" s="3" t="n"/>
      <c r="D3622" s="3" t="n"/>
      <c r="E3622" s="3" t="n"/>
      <c r="F3622" s="3" t="inlineStr"/>
      <c r="G3622" s="3" t="n"/>
      <c r="H3622" s="217" t="inlineStr"/>
      <c r="I3622" t="inlineStr"/>
    </row>
    <row r="3623">
      <c r="A3623" s="3" t="n"/>
      <c r="B3623" s="3" t="n"/>
      <c r="C3623" s="3" t="n"/>
      <c r="D3623" s="3" t="n"/>
      <c r="E3623" s="3" t="n"/>
      <c r="F3623" s="3" t="inlineStr"/>
      <c r="G3623" s="3" t="n"/>
      <c r="H3623" s="217" t="inlineStr"/>
      <c r="I3623" t="inlineStr"/>
    </row>
    <row r="3624">
      <c r="A3624" s="3" t="n"/>
      <c r="B3624" s="3" t="n"/>
      <c r="C3624" s="3" t="n"/>
      <c r="D3624" s="3" t="n"/>
      <c r="E3624" s="3" t="n"/>
      <c r="F3624" s="3" t="inlineStr"/>
      <c r="G3624" s="3" t="n"/>
      <c r="H3624" s="217" t="inlineStr"/>
      <c r="I3624" t="inlineStr"/>
    </row>
    <row r="3625">
      <c r="A3625" s="3" t="n"/>
      <c r="B3625" s="3" t="n"/>
      <c r="C3625" s="3" t="n"/>
      <c r="D3625" s="3" t="n"/>
      <c r="E3625" s="3" t="n"/>
      <c r="F3625" s="3" t="inlineStr"/>
      <c r="G3625" s="3" t="n"/>
      <c r="H3625" s="217" t="inlineStr"/>
      <c r="I3625" t="inlineStr"/>
    </row>
    <row r="3626">
      <c r="A3626" s="3" t="n"/>
      <c r="B3626" s="3" t="n"/>
      <c r="C3626" s="3" t="n"/>
      <c r="D3626" s="3" t="n"/>
      <c r="E3626" s="3" t="n"/>
      <c r="F3626" s="3" t="inlineStr"/>
      <c r="G3626" s="3" t="n"/>
      <c r="H3626" s="217" t="inlineStr"/>
      <c r="I3626" t="inlineStr"/>
    </row>
    <row r="3627">
      <c r="A3627" s="3" t="n"/>
      <c r="B3627" s="3" t="n"/>
      <c r="C3627" s="3" t="n"/>
      <c r="D3627" s="3" t="n"/>
      <c r="E3627" s="3" t="n"/>
      <c r="F3627" s="3" t="inlineStr"/>
      <c r="G3627" s="3" t="n"/>
      <c r="H3627" s="217" t="inlineStr"/>
      <c r="I3627" t="inlineStr"/>
    </row>
    <row r="3628">
      <c r="A3628" s="3" t="n"/>
      <c r="B3628" s="3" t="n"/>
      <c r="C3628" s="3" t="n"/>
      <c r="D3628" s="3" t="n"/>
      <c r="E3628" s="3" t="n"/>
      <c r="F3628" s="3" t="inlineStr"/>
      <c r="G3628" s="3" t="n"/>
      <c r="H3628" s="217" t="inlineStr"/>
      <c r="I3628" t="inlineStr"/>
    </row>
    <row r="3629">
      <c r="A3629" s="3" t="n"/>
      <c r="B3629" s="3" t="n"/>
      <c r="C3629" s="3" t="n"/>
      <c r="D3629" s="3" t="n"/>
      <c r="E3629" s="3" t="n"/>
      <c r="F3629" s="3" t="inlineStr"/>
      <c r="G3629" s="3" t="n"/>
      <c r="H3629" s="217" t="inlineStr"/>
      <c r="I3629" t="inlineStr"/>
    </row>
    <row r="3630">
      <c r="A3630" s="3" t="n"/>
      <c r="B3630" s="3" t="n"/>
      <c r="C3630" s="3" t="n"/>
      <c r="D3630" s="3" t="n"/>
      <c r="E3630" s="3" t="n"/>
      <c r="F3630" s="3" t="inlineStr"/>
      <c r="G3630" s="3" t="n"/>
      <c r="H3630" s="217" t="inlineStr"/>
      <c r="I3630" t="inlineStr"/>
    </row>
    <row r="3631">
      <c r="A3631" s="3" t="n"/>
      <c r="B3631" s="3" t="n"/>
      <c r="C3631" s="3" t="n"/>
      <c r="D3631" s="3" t="n"/>
      <c r="E3631" s="3" t="n"/>
      <c r="F3631" s="3" t="inlineStr"/>
      <c r="G3631" s="3" t="n"/>
      <c r="H3631" s="217" t="inlineStr"/>
      <c r="I3631" t="inlineStr"/>
    </row>
    <row r="3632">
      <c r="A3632" s="3" t="n"/>
      <c r="B3632" s="3" t="n"/>
      <c r="C3632" s="3" t="n"/>
      <c r="D3632" s="3" t="n"/>
      <c r="E3632" s="3" t="n"/>
      <c r="F3632" s="3" t="inlineStr"/>
      <c r="G3632" s="3" t="n"/>
      <c r="H3632" s="217" t="inlineStr"/>
      <c r="I3632" t="inlineStr"/>
    </row>
    <row r="3633">
      <c r="A3633" s="3" t="n"/>
      <c r="B3633" s="3" t="n"/>
      <c r="C3633" s="3" t="n"/>
      <c r="D3633" s="3" t="n"/>
      <c r="E3633" s="3" t="n"/>
      <c r="F3633" s="3" t="inlineStr"/>
      <c r="G3633" s="3" t="n"/>
      <c r="H3633" s="217" t="inlineStr"/>
      <c r="I3633" t="inlineStr"/>
    </row>
    <row r="3634">
      <c r="A3634" s="3" t="n"/>
      <c r="B3634" s="3" t="n"/>
      <c r="C3634" s="3" t="n"/>
      <c r="D3634" s="3" t="n"/>
      <c r="E3634" s="3" t="n"/>
      <c r="F3634" s="3" t="inlineStr"/>
      <c r="G3634" s="3" t="n"/>
      <c r="H3634" s="217" t="inlineStr"/>
      <c r="I3634" t="inlineStr"/>
    </row>
    <row r="3635">
      <c r="A3635" s="3" t="n"/>
      <c r="B3635" s="3" t="n"/>
      <c r="C3635" s="3" t="n"/>
      <c r="D3635" s="3" t="n"/>
      <c r="E3635" s="3" t="n"/>
      <c r="F3635" s="3" t="inlineStr"/>
      <c r="G3635" s="3" t="n"/>
      <c r="H3635" s="217" t="inlineStr"/>
      <c r="I3635" t="inlineStr"/>
    </row>
    <row r="3636">
      <c r="A3636" s="3" t="n"/>
      <c r="B3636" s="3" t="n"/>
      <c r="C3636" s="3" t="n"/>
      <c r="D3636" s="3" t="n"/>
      <c r="E3636" s="3" t="n"/>
      <c r="F3636" s="3" t="inlineStr"/>
      <c r="G3636" s="3" t="n"/>
      <c r="H3636" s="217" t="inlineStr"/>
      <c r="I3636" t="inlineStr"/>
    </row>
    <row r="3637">
      <c r="A3637" s="3" t="n"/>
      <c r="B3637" s="3" t="n"/>
      <c r="C3637" s="3" t="n"/>
      <c r="D3637" s="3" t="n"/>
      <c r="E3637" s="3" t="n"/>
      <c r="F3637" s="3" t="inlineStr"/>
      <c r="G3637" s="3" t="n"/>
      <c r="H3637" s="217" t="inlineStr"/>
      <c r="I3637" t="inlineStr"/>
    </row>
    <row r="3638">
      <c r="A3638" s="3" t="n"/>
      <c r="B3638" s="3" t="n"/>
      <c r="C3638" s="3" t="n"/>
      <c r="D3638" s="3" t="n"/>
      <c r="E3638" s="3" t="n"/>
      <c r="F3638" s="3" t="inlineStr"/>
      <c r="G3638" s="3" t="n"/>
      <c r="H3638" s="217" t="inlineStr"/>
      <c r="I3638" t="inlineStr"/>
    </row>
    <row r="3639">
      <c r="A3639" s="3" t="n"/>
      <c r="B3639" s="3" t="n"/>
      <c r="C3639" s="3" t="n"/>
      <c r="D3639" s="3" t="n"/>
      <c r="E3639" s="3" t="n"/>
      <c r="F3639" s="3" t="inlineStr"/>
      <c r="G3639" s="3" t="n"/>
      <c r="H3639" s="217" t="inlineStr"/>
      <c r="I3639" t="inlineStr"/>
    </row>
    <row r="3640">
      <c r="A3640" s="3" t="n"/>
      <c r="B3640" s="3" t="n"/>
      <c r="C3640" s="3" t="n"/>
      <c r="D3640" s="3" t="n"/>
      <c r="E3640" s="3" t="n"/>
      <c r="F3640" s="3" t="inlineStr"/>
      <c r="G3640" s="3" t="n"/>
      <c r="H3640" s="217" t="inlineStr"/>
      <c r="I3640" t="inlineStr"/>
    </row>
    <row r="3641">
      <c r="A3641" s="3" t="n"/>
      <c r="B3641" s="3" t="n"/>
      <c r="C3641" s="3" t="n"/>
      <c r="D3641" s="3" t="n"/>
      <c r="E3641" s="3" t="n"/>
      <c r="F3641" s="3" t="inlineStr"/>
      <c r="G3641" s="3" t="n"/>
      <c r="H3641" s="217" t="inlineStr"/>
      <c r="I3641" t="inlineStr"/>
    </row>
    <row r="3642">
      <c r="A3642" s="3" t="n"/>
      <c r="B3642" s="3" t="n"/>
      <c r="C3642" s="3" t="n"/>
      <c r="D3642" s="3" t="n"/>
      <c r="E3642" s="3" t="n"/>
      <c r="F3642" s="3" t="inlineStr"/>
      <c r="G3642" s="3" t="n"/>
      <c r="H3642" s="217" t="inlineStr"/>
      <c r="I3642" t="inlineStr"/>
    </row>
    <row r="3643">
      <c r="A3643" s="3" t="n"/>
      <c r="B3643" s="3" t="n"/>
      <c r="C3643" s="3" t="n"/>
      <c r="D3643" s="3" t="n"/>
      <c r="E3643" s="3" t="n"/>
      <c r="F3643" s="3" t="inlineStr"/>
      <c r="G3643" s="3" t="n"/>
      <c r="H3643" s="217" t="inlineStr"/>
      <c r="I3643" t="inlineStr"/>
    </row>
    <row r="3644">
      <c r="A3644" s="3" t="n"/>
      <c r="B3644" s="3" t="n"/>
      <c r="C3644" s="3" t="n"/>
      <c r="D3644" s="3" t="n"/>
      <c r="E3644" s="3" t="n"/>
      <c r="F3644" s="3" t="inlineStr"/>
      <c r="G3644" s="3" t="n"/>
      <c r="H3644" s="217" t="inlineStr"/>
      <c r="I3644" t="inlineStr"/>
    </row>
    <row r="3645">
      <c r="A3645" s="3" t="n"/>
      <c r="B3645" s="3" t="n"/>
      <c r="C3645" s="3" t="n"/>
      <c r="D3645" s="3" t="n"/>
      <c r="E3645" s="3" t="n"/>
      <c r="F3645" s="3" t="inlineStr"/>
      <c r="G3645" s="3" t="n"/>
      <c r="H3645" s="217" t="inlineStr"/>
      <c r="I3645" t="inlineStr"/>
    </row>
    <row r="3646">
      <c r="A3646" s="3" t="n"/>
      <c r="B3646" s="3" t="n"/>
      <c r="C3646" s="3" t="n"/>
      <c r="D3646" s="3" t="n"/>
      <c r="E3646" s="3" t="n"/>
      <c r="F3646" s="3" t="inlineStr"/>
      <c r="G3646" s="3" t="n"/>
      <c r="H3646" s="217" t="inlineStr"/>
      <c r="I3646" t="inlineStr"/>
    </row>
    <row r="3647">
      <c r="A3647" s="3" t="n"/>
      <c r="B3647" s="3" t="n"/>
      <c r="C3647" s="3" t="n"/>
      <c r="D3647" s="3" t="n"/>
      <c r="E3647" s="3" t="n"/>
      <c r="F3647" s="3" t="inlineStr"/>
      <c r="G3647" s="3" t="n"/>
      <c r="H3647" s="217" t="inlineStr"/>
      <c r="I3647" t="inlineStr"/>
    </row>
    <row r="3648">
      <c r="A3648" s="3" t="n"/>
      <c r="B3648" s="3" t="n"/>
      <c r="C3648" s="3" t="n"/>
      <c r="D3648" s="3" t="n"/>
      <c r="E3648" s="3" t="n"/>
      <c r="F3648" s="3" t="inlineStr"/>
      <c r="G3648" s="3" t="n"/>
      <c r="H3648" s="217" t="inlineStr"/>
      <c r="I3648" t="inlineStr"/>
    </row>
    <row r="3649">
      <c r="A3649" s="3" t="n"/>
      <c r="B3649" s="3" t="n"/>
      <c r="C3649" s="3" t="n"/>
      <c r="D3649" s="3" t="n"/>
      <c r="E3649" s="3" t="n"/>
      <c r="F3649" s="3" t="inlineStr"/>
      <c r="G3649" s="3" t="n"/>
      <c r="H3649" s="217" t="inlineStr"/>
      <c r="I3649" t="inlineStr"/>
    </row>
    <row r="3650">
      <c r="A3650" s="3" t="n"/>
      <c r="B3650" s="3" t="n"/>
      <c r="C3650" s="3" t="n"/>
      <c r="D3650" s="3" t="n"/>
      <c r="E3650" s="3" t="n"/>
      <c r="F3650" s="3" t="inlineStr"/>
      <c r="G3650" s="3" t="n"/>
      <c r="H3650" s="217" t="inlineStr"/>
      <c r="I3650" t="inlineStr"/>
    </row>
    <row r="3651">
      <c r="A3651" s="3" t="n"/>
      <c r="B3651" s="3" t="n"/>
      <c r="C3651" s="3" t="n"/>
      <c r="D3651" s="3" t="n"/>
      <c r="E3651" s="3" t="n"/>
      <c r="F3651" s="3" t="inlineStr"/>
      <c r="G3651" s="3" t="n"/>
      <c r="H3651" s="217" t="inlineStr"/>
      <c r="I3651" t="inlineStr"/>
    </row>
    <row r="3652">
      <c r="A3652" s="3" t="n"/>
      <c r="B3652" s="3" t="n"/>
      <c r="C3652" s="3" t="n"/>
      <c r="D3652" s="3" t="n"/>
      <c r="E3652" s="3" t="n"/>
      <c r="F3652" s="3" t="inlineStr"/>
      <c r="G3652" s="3" t="n"/>
      <c r="H3652" s="217" t="inlineStr"/>
      <c r="I3652" t="inlineStr"/>
    </row>
    <row r="3653">
      <c r="A3653" s="3" t="n"/>
      <c r="B3653" s="3" t="n"/>
      <c r="C3653" s="3" t="n"/>
      <c r="D3653" s="3" t="n"/>
      <c r="E3653" s="3" t="n"/>
      <c r="F3653" s="3" t="inlineStr"/>
      <c r="G3653" s="3" t="n"/>
      <c r="H3653" s="217" t="inlineStr"/>
      <c r="I3653" t="inlineStr"/>
    </row>
    <row r="3654">
      <c r="A3654" s="3" t="n"/>
      <c r="B3654" s="3" t="n"/>
      <c r="C3654" s="3" t="n"/>
      <c r="D3654" s="3" t="n"/>
      <c r="E3654" s="3" t="n"/>
      <c r="F3654" s="3" t="inlineStr"/>
      <c r="G3654" s="3" t="n"/>
      <c r="H3654" s="217" t="inlineStr"/>
      <c r="I3654" t="inlineStr"/>
    </row>
    <row r="3655">
      <c r="A3655" s="3" t="n"/>
      <c r="B3655" s="3" t="n"/>
      <c r="C3655" s="3" t="n"/>
      <c r="D3655" s="3" t="n"/>
      <c r="E3655" s="3" t="n"/>
      <c r="F3655" s="3" t="inlineStr"/>
      <c r="G3655" s="3" t="n"/>
      <c r="H3655" s="217" t="inlineStr"/>
      <c r="I3655" t="inlineStr"/>
    </row>
    <row r="3656">
      <c r="A3656" s="3" t="n"/>
      <c r="B3656" s="3" t="n"/>
      <c r="C3656" s="3" t="n"/>
      <c r="D3656" s="3" t="n"/>
      <c r="E3656" s="3" t="n"/>
      <c r="F3656" s="3" t="inlineStr"/>
      <c r="G3656" s="3" t="n"/>
      <c r="H3656" s="217" t="inlineStr"/>
      <c r="I3656" t="inlineStr"/>
    </row>
    <row r="3657">
      <c r="A3657" s="3" t="n"/>
      <c r="B3657" s="3" t="n"/>
      <c r="C3657" s="3" t="n"/>
      <c r="D3657" s="3" t="n"/>
      <c r="E3657" s="3" t="n"/>
      <c r="F3657" s="3" t="inlineStr"/>
      <c r="G3657" s="3" t="n"/>
      <c r="H3657" s="217" t="inlineStr"/>
      <c r="I3657" t="inlineStr"/>
    </row>
    <row r="3658">
      <c r="A3658" s="3" t="n"/>
      <c r="B3658" s="3" t="n"/>
      <c r="C3658" s="3" t="n"/>
      <c r="D3658" s="3" t="n"/>
      <c r="E3658" s="3" t="n"/>
      <c r="F3658" s="3" t="inlineStr"/>
      <c r="G3658" s="3" t="n"/>
      <c r="H3658" s="217" t="inlineStr"/>
      <c r="I3658" t="inlineStr"/>
    </row>
    <row r="3659">
      <c r="A3659" s="3" t="n"/>
      <c r="B3659" s="3" t="n"/>
      <c r="C3659" s="3" t="n"/>
      <c r="D3659" s="3" t="n"/>
      <c r="E3659" s="3" t="n"/>
      <c r="F3659" s="3" t="inlineStr"/>
      <c r="G3659" s="3" t="n"/>
      <c r="H3659" s="217" t="inlineStr"/>
      <c r="I3659" t="inlineStr"/>
    </row>
    <row r="3660">
      <c r="A3660" s="3" t="n"/>
      <c r="B3660" s="3" t="n"/>
      <c r="C3660" s="3" t="n"/>
      <c r="D3660" s="3" t="n"/>
      <c r="E3660" s="3" t="n"/>
      <c r="F3660" s="3" t="inlineStr"/>
      <c r="G3660" s="3" t="n"/>
      <c r="H3660" s="217" t="inlineStr"/>
      <c r="I3660" t="inlineStr"/>
    </row>
    <row r="3661">
      <c r="A3661" s="3" t="n"/>
      <c r="B3661" s="3" t="n"/>
      <c r="C3661" s="3" t="n"/>
      <c r="D3661" s="3" t="n"/>
      <c r="E3661" s="3" t="n"/>
      <c r="F3661" s="3" t="inlineStr"/>
      <c r="G3661" s="3" t="n"/>
      <c r="H3661" s="217" t="inlineStr"/>
      <c r="I3661" t="inlineStr"/>
    </row>
    <row r="3662">
      <c r="A3662" s="3" t="n"/>
      <c r="B3662" s="3" t="n"/>
      <c r="C3662" s="3" t="n"/>
      <c r="D3662" s="3" t="n"/>
      <c r="E3662" s="3" t="n"/>
      <c r="F3662" s="3" t="inlineStr"/>
      <c r="G3662" s="3" t="n"/>
      <c r="H3662" s="217" t="inlineStr"/>
      <c r="I3662" t="inlineStr"/>
    </row>
    <row r="3663">
      <c r="A3663" s="3" t="n"/>
      <c r="B3663" s="3" t="n"/>
      <c r="C3663" s="3" t="n"/>
      <c r="D3663" s="3" t="n"/>
      <c r="E3663" s="3" t="n"/>
      <c r="F3663" s="3" t="inlineStr"/>
      <c r="G3663" s="3" t="n"/>
      <c r="H3663" s="217" t="inlineStr"/>
      <c r="I3663" t="inlineStr"/>
    </row>
    <row r="3664">
      <c r="A3664" s="3" t="n"/>
      <c r="B3664" s="3" t="n"/>
      <c r="C3664" s="3" t="n"/>
      <c r="D3664" s="3" t="n"/>
      <c r="E3664" s="3" t="n"/>
      <c r="F3664" s="3" t="inlineStr"/>
      <c r="G3664" s="3" t="n"/>
      <c r="H3664" s="217" t="inlineStr"/>
      <c r="I3664" t="inlineStr"/>
    </row>
    <row r="3665">
      <c r="A3665" s="3" t="n"/>
      <c r="B3665" s="3" t="n"/>
      <c r="C3665" s="3" t="n"/>
      <c r="D3665" s="3" t="n"/>
      <c r="E3665" s="3" t="n"/>
      <c r="F3665" s="3" t="inlineStr"/>
      <c r="G3665" s="3" t="n"/>
      <c r="H3665" s="217" t="inlineStr"/>
      <c r="I3665" t="inlineStr"/>
    </row>
    <row r="3666">
      <c r="A3666" s="3" t="n"/>
      <c r="B3666" s="3" t="n"/>
      <c r="C3666" s="3" t="n"/>
      <c r="D3666" s="3" t="n"/>
      <c r="E3666" s="3" t="n"/>
      <c r="F3666" s="3" t="inlineStr"/>
      <c r="G3666" s="3" t="n"/>
      <c r="H3666" s="217" t="inlineStr"/>
      <c r="I3666" t="inlineStr"/>
    </row>
    <row r="3667">
      <c r="A3667" s="3" t="n"/>
      <c r="B3667" s="3" t="n"/>
      <c r="C3667" s="3" t="n"/>
      <c r="D3667" s="3" t="n"/>
      <c r="E3667" s="3" t="n"/>
      <c r="F3667" s="3" t="inlineStr"/>
      <c r="G3667" s="3" t="n"/>
      <c r="H3667" s="217" t="inlineStr"/>
      <c r="I3667" t="inlineStr"/>
    </row>
    <row r="3668">
      <c r="A3668" s="3" t="n"/>
      <c r="B3668" s="3" t="n"/>
      <c r="C3668" s="3" t="n"/>
      <c r="D3668" s="3" t="n"/>
      <c r="E3668" s="3" t="n"/>
      <c r="F3668" s="3" t="inlineStr"/>
      <c r="G3668" s="3" t="n"/>
      <c r="H3668" s="217" t="inlineStr"/>
      <c r="I3668" t="inlineStr"/>
    </row>
    <row r="3669">
      <c r="A3669" s="3" t="n"/>
      <c r="B3669" s="3" t="n"/>
      <c r="C3669" s="3" t="n"/>
      <c r="D3669" s="3" t="n"/>
      <c r="E3669" s="3" t="n"/>
      <c r="F3669" s="3" t="inlineStr"/>
      <c r="G3669" s="3" t="n"/>
      <c r="H3669" s="217" t="inlineStr"/>
      <c r="I3669" t="inlineStr"/>
    </row>
    <row r="3670">
      <c r="A3670" s="3" t="n"/>
      <c r="B3670" s="3" t="n"/>
      <c r="C3670" s="3" t="n"/>
      <c r="D3670" s="3" t="n"/>
      <c r="E3670" s="3" t="n"/>
      <c r="F3670" s="3" t="inlineStr"/>
      <c r="G3670" s="3" t="n"/>
      <c r="H3670" s="217" t="inlineStr"/>
      <c r="I3670" t="inlineStr"/>
    </row>
    <row r="3671">
      <c r="A3671" s="3" t="n"/>
      <c r="B3671" s="3" t="n"/>
      <c r="C3671" s="3" t="n"/>
      <c r="D3671" s="3" t="n"/>
      <c r="E3671" s="3" t="n"/>
      <c r="F3671" s="3" t="inlineStr"/>
      <c r="G3671" s="3" t="n"/>
      <c r="H3671" s="217" t="inlineStr"/>
      <c r="I3671" t="inlineStr"/>
    </row>
    <row r="3672">
      <c r="A3672" s="3" t="n"/>
      <c r="B3672" s="3" t="n"/>
      <c r="C3672" s="3" t="n"/>
      <c r="D3672" s="3" t="n"/>
      <c r="E3672" s="3" t="n"/>
      <c r="F3672" s="3" t="inlineStr"/>
      <c r="G3672" s="3" t="n"/>
      <c r="H3672" s="217" t="inlineStr"/>
      <c r="I3672" t="inlineStr"/>
    </row>
    <row r="3673">
      <c r="A3673" s="3" t="n"/>
      <c r="B3673" s="3" t="n"/>
      <c r="C3673" s="3" t="n"/>
      <c r="D3673" s="3" t="n"/>
      <c r="E3673" s="3" t="n"/>
      <c r="F3673" s="3" t="inlineStr"/>
      <c r="G3673" s="3" t="n"/>
      <c r="H3673" s="217" t="inlineStr"/>
      <c r="I3673" t="inlineStr"/>
    </row>
    <row r="3674">
      <c r="A3674" s="3" t="n"/>
      <c r="B3674" s="3" t="n"/>
      <c r="C3674" s="3" t="n"/>
      <c r="D3674" s="3" t="n"/>
      <c r="E3674" s="3" t="n"/>
      <c r="F3674" s="3" t="inlineStr"/>
      <c r="G3674" s="3" t="n"/>
      <c r="H3674" s="217" t="inlineStr"/>
      <c r="I3674" t="inlineStr"/>
    </row>
    <row r="3675">
      <c r="A3675" s="3" t="n"/>
      <c r="B3675" s="3" t="n"/>
      <c r="C3675" s="3" t="n"/>
      <c r="D3675" s="3" t="n"/>
      <c r="E3675" s="3" t="n"/>
      <c r="F3675" s="3" t="inlineStr"/>
      <c r="G3675" s="3" t="n"/>
      <c r="H3675" s="217" t="inlineStr"/>
      <c r="I3675" t="inlineStr"/>
    </row>
    <row r="3676">
      <c r="A3676" s="3" t="n"/>
      <c r="B3676" s="3" t="n"/>
      <c r="C3676" s="3" t="n"/>
      <c r="D3676" s="3" t="n"/>
      <c r="E3676" s="3" t="n"/>
      <c r="F3676" s="3" t="inlineStr"/>
      <c r="G3676" s="3" t="n"/>
      <c r="H3676" s="217" t="inlineStr"/>
      <c r="I3676" t="inlineStr"/>
    </row>
    <row r="3677">
      <c r="A3677" s="3" t="n"/>
      <c r="B3677" s="3" t="n"/>
      <c r="C3677" s="3" t="n"/>
      <c r="D3677" s="3" t="n"/>
      <c r="E3677" s="3" t="n"/>
      <c r="F3677" s="3" t="inlineStr"/>
      <c r="G3677" s="3" t="n"/>
      <c r="H3677" s="217" t="inlineStr"/>
      <c r="I3677" t="inlineStr"/>
    </row>
    <row r="3678">
      <c r="A3678" s="3" t="n"/>
      <c r="B3678" s="3" t="n"/>
      <c r="C3678" s="3" t="n"/>
      <c r="D3678" s="3" t="n"/>
      <c r="E3678" s="3" t="n"/>
      <c r="F3678" s="3" t="inlineStr"/>
      <c r="G3678" s="3" t="n"/>
      <c r="H3678" s="217" t="inlineStr"/>
      <c r="I3678" t="inlineStr"/>
    </row>
    <row r="3679">
      <c r="A3679" s="3" t="n"/>
      <c r="B3679" s="3" t="n"/>
      <c r="C3679" s="3" t="n"/>
      <c r="D3679" s="3" t="n"/>
      <c r="E3679" s="3" t="n"/>
      <c r="F3679" s="3" t="inlineStr"/>
      <c r="G3679" s="3" t="n"/>
      <c r="H3679" s="217" t="inlineStr"/>
      <c r="I3679" t="inlineStr"/>
    </row>
    <row r="3680">
      <c r="A3680" s="3" t="n"/>
      <c r="B3680" s="3" t="n"/>
      <c r="C3680" s="3" t="n"/>
      <c r="D3680" s="3" t="n"/>
      <c r="E3680" s="3" t="n"/>
      <c r="F3680" s="3" t="inlineStr"/>
      <c r="G3680" s="3" t="n"/>
      <c r="H3680" s="217" t="inlineStr"/>
      <c r="I3680" t="inlineStr"/>
    </row>
    <row r="3681">
      <c r="A3681" s="3" t="n"/>
      <c r="B3681" s="3" t="n"/>
      <c r="C3681" s="3" t="n"/>
      <c r="D3681" s="3" t="n"/>
      <c r="E3681" s="3" t="n"/>
      <c r="F3681" s="3" t="inlineStr"/>
      <c r="G3681" s="3" t="n"/>
      <c r="H3681" s="217" t="inlineStr"/>
      <c r="I3681" t="inlineStr"/>
    </row>
    <row r="3682">
      <c r="A3682" s="3" t="n"/>
      <c r="B3682" s="3" t="n"/>
      <c r="C3682" s="3" t="n"/>
      <c r="D3682" s="3" t="n"/>
      <c r="E3682" s="3" t="n"/>
      <c r="F3682" s="3" t="inlineStr"/>
      <c r="G3682" s="3" t="n"/>
      <c r="H3682" s="217" t="inlineStr"/>
      <c r="I3682" t="inlineStr"/>
    </row>
    <row r="3683">
      <c r="A3683" s="3" t="n"/>
      <c r="B3683" s="3" t="n"/>
      <c r="C3683" s="3" t="n"/>
      <c r="D3683" s="3" t="n"/>
      <c r="E3683" s="3" t="n"/>
      <c r="F3683" s="3" t="inlineStr"/>
      <c r="G3683" s="3" t="n"/>
      <c r="H3683" s="217" t="inlineStr"/>
      <c r="I3683" t="inlineStr"/>
    </row>
    <row r="3684">
      <c r="A3684" s="3" t="n"/>
      <c r="B3684" s="3" t="n"/>
      <c r="C3684" s="3" t="n"/>
      <c r="D3684" s="3" t="n"/>
      <c r="E3684" s="3" t="n"/>
      <c r="F3684" s="3" t="inlineStr"/>
      <c r="G3684" s="3" t="n"/>
      <c r="H3684" s="217" t="inlineStr"/>
      <c r="I3684" t="inlineStr"/>
    </row>
    <row r="3685">
      <c r="A3685" s="3" t="n"/>
      <c r="B3685" s="3" t="n"/>
      <c r="C3685" s="3" t="n"/>
      <c r="D3685" s="3" t="n"/>
      <c r="E3685" s="3" t="n"/>
      <c r="F3685" s="3" t="inlineStr"/>
      <c r="G3685" s="3" t="n"/>
      <c r="H3685" s="217" t="inlineStr"/>
      <c r="I3685" t="inlineStr"/>
    </row>
    <row r="3686">
      <c r="A3686" s="3" t="n"/>
      <c r="B3686" s="3" t="n"/>
      <c r="C3686" s="3" t="n"/>
      <c r="D3686" s="3" t="n"/>
      <c r="E3686" s="3" t="n"/>
      <c r="F3686" s="3" t="inlineStr"/>
      <c r="G3686" s="3" t="n"/>
      <c r="H3686" s="217" t="inlineStr"/>
      <c r="I3686" t="inlineStr"/>
    </row>
    <row r="3687">
      <c r="A3687" s="3" t="n"/>
      <c r="B3687" s="3" t="n"/>
      <c r="C3687" s="3" t="n"/>
      <c r="D3687" s="3" t="n"/>
      <c r="E3687" s="3" t="n"/>
      <c r="F3687" s="3" t="inlineStr"/>
      <c r="G3687" s="3" t="n"/>
      <c r="H3687" s="217" t="inlineStr"/>
      <c r="I3687" t="inlineStr"/>
    </row>
    <row r="3688">
      <c r="A3688" s="3" t="n"/>
      <c r="B3688" s="3" t="n"/>
      <c r="C3688" s="3" t="n"/>
      <c r="D3688" s="3" t="n"/>
      <c r="E3688" s="3" t="n"/>
      <c r="F3688" s="3" t="inlineStr"/>
      <c r="G3688" s="3" t="n"/>
      <c r="H3688" s="217" t="inlineStr"/>
      <c r="I3688" t="inlineStr"/>
    </row>
    <row r="3689">
      <c r="A3689" s="3" t="n"/>
      <c r="B3689" s="3" t="n"/>
      <c r="C3689" s="3" t="n"/>
      <c r="D3689" s="3" t="n"/>
      <c r="E3689" s="3" t="n"/>
      <c r="F3689" s="3" t="inlineStr"/>
      <c r="G3689" s="3" t="n"/>
      <c r="H3689" s="217" t="inlineStr"/>
      <c r="I3689" t="inlineStr"/>
    </row>
    <row r="3690">
      <c r="A3690" s="3" t="n"/>
      <c r="B3690" s="3" t="n"/>
      <c r="C3690" s="3" t="n"/>
      <c r="D3690" s="3" t="n"/>
      <c r="E3690" s="3" t="n"/>
      <c r="F3690" s="3" t="inlineStr"/>
      <c r="G3690" s="3" t="n"/>
      <c r="H3690" s="217" t="inlineStr"/>
      <c r="I3690" t="inlineStr"/>
    </row>
    <row r="3691">
      <c r="A3691" s="3" t="n"/>
      <c r="B3691" s="3" t="n"/>
      <c r="C3691" s="3" t="n"/>
      <c r="D3691" s="3" t="n"/>
      <c r="E3691" s="3" t="n"/>
      <c r="F3691" s="3" t="inlineStr"/>
      <c r="G3691" s="3" t="n"/>
      <c r="H3691" s="217" t="inlineStr"/>
      <c r="I3691" t="inlineStr"/>
    </row>
    <row r="3692">
      <c r="A3692" s="3" t="n"/>
      <c r="B3692" s="3" t="n"/>
      <c r="C3692" s="3" t="n"/>
      <c r="D3692" s="3" t="n"/>
      <c r="E3692" s="3" t="n"/>
      <c r="F3692" s="3" t="inlineStr"/>
      <c r="G3692" s="3" t="n"/>
      <c r="H3692" s="217" t="inlineStr"/>
      <c r="I3692" t="inlineStr"/>
    </row>
    <row r="3693">
      <c r="A3693" s="3" t="n"/>
      <c r="B3693" s="3" t="n"/>
      <c r="C3693" s="3" t="n"/>
      <c r="D3693" s="3" t="n"/>
      <c r="E3693" s="3" t="n"/>
      <c r="F3693" s="3" t="inlineStr"/>
      <c r="G3693" s="3" t="n"/>
      <c r="H3693" s="217" t="inlineStr"/>
      <c r="I3693" t="inlineStr"/>
    </row>
    <row r="3694">
      <c r="A3694" s="3" t="n"/>
      <c r="B3694" s="3" t="n"/>
      <c r="C3694" s="3" t="n"/>
      <c r="D3694" s="3" t="n"/>
      <c r="E3694" s="3" t="n"/>
      <c r="F3694" s="3" t="inlineStr"/>
      <c r="G3694" s="3" t="n"/>
      <c r="H3694" s="217" t="inlineStr"/>
      <c r="I3694" t="inlineStr"/>
    </row>
    <row r="3695">
      <c r="A3695" s="3" t="n"/>
      <c r="B3695" s="3" t="n"/>
      <c r="C3695" s="3" t="n"/>
      <c r="D3695" s="3" t="n"/>
      <c r="E3695" s="3" t="n"/>
      <c r="F3695" s="3" t="inlineStr"/>
      <c r="G3695" s="3" t="n"/>
      <c r="H3695" s="217" t="inlineStr"/>
      <c r="I3695" t="inlineStr"/>
    </row>
    <row r="3696">
      <c r="A3696" s="3" t="n"/>
      <c r="B3696" s="3" t="n"/>
      <c r="C3696" s="3" t="n"/>
      <c r="D3696" s="3" t="n"/>
      <c r="E3696" s="3" t="n"/>
      <c r="F3696" s="3" t="inlineStr"/>
      <c r="G3696" s="3" t="n"/>
      <c r="H3696" s="217" t="inlineStr"/>
      <c r="I3696" t="inlineStr"/>
    </row>
    <row r="3697">
      <c r="A3697" s="3" t="n"/>
      <c r="B3697" s="3" t="n"/>
      <c r="C3697" s="3" t="n"/>
      <c r="D3697" s="3" t="n"/>
      <c r="E3697" s="3" t="n"/>
      <c r="F3697" s="3" t="inlineStr"/>
      <c r="G3697" s="3" t="n"/>
      <c r="H3697" s="217" t="inlineStr"/>
      <c r="I3697" t="inlineStr"/>
    </row>
    <row r="3698">
      <c r="A3698" s="3" t="n"/>
      <c r="B3698" s="3" t="n"/>
      <c r="C3698" s="3" t="n"/>
      <c r="D3698" s="3" t="n"/>
      <c r="E3698" s="3" t="n"/>
      <c r="F3698" s="3" t="inlineStr"/>
      <c r="G3698" s="3" t="n"/>
      <c r="H3698" s="217" t="inlineStr"/>
      <c r="I3698" t="inlineStr"/>
    </row>
    <row r="3699">
      <c r="A3699" s="3" t="n"/>
      <c r="B3699" s="3" t="n"/>
      <c r="C3699" s="3" t="n"/>
      <c r="D3699" s="3" t="n"/>
      <c r="E3699" s="3" t="n"/>
      <c r="F3699" s="3" t="inlineStr"/>
      <c r="G3699" s="3" t="n"/>
      <c r="H3699" s="217" t="inlineStr"/>
      <c r="I3699" t="inlineStr"/>
    </row>
    <row r="3700">
      <c r="A3700" s="3" t="n"/>
      <c r="B3700" s="3" t="n"/>
      <c r="C3700" s="3" t="n"/>
      <c r="D3700" s="3" t="n"/>
      <c r="E3700" s="3" t="n"/>
      <c r="F3700" s="3" t="inlineStr"/>
      <c r="G3700" s="3" t="n"/>
      <c r="H3700" s="217" t="inlineStr"/>
      <c r="I3700" t="inlineStr"/>
    </row>
    <row r="3701">
      <c r="A3701" s="3" t="n"/>
      <c r="B3701" s="3" t="n"/>
      <c r="C3701" s="3" t="n"/>
      <c r="D3701" s="3" t="n"/>
      <c r="E3701" s="3" t="n"/>
      <c r="F3701" s="3" t="inlineStr"/>
      <c r="G3701" s="3" t="n"/>
      <c r="H3701" s="217" t="inlineStr"/>
      <c r="I3701" t="inlineStr"/>
    </row>
    <row r="3702">
      <c r="A3702" s="3" t="n"/>
      <c r="B3702" s="3" t="n"/>
      <c r="C3702" s="3" t="n"/>
      <c r="D3702" s="3" t="n"/>
      <c r="E3702" s="3" t="n"/>
      <c r="F3702" s="3" t="inlineStr"/>
      <c r="G3702" s="3" t="n"/>
      <c r="H3702" s="217" t="inlineStr"/>
      <c r="I3702" t="inlineStr"/>
    </row>
    <row r="3703">
      <c r="A3703" s="3" t="n"/>
      <c r="B3703" s="3" t="n"/>
      <c r="C3703" s="3" t="n"/>
      <c r="D3703" s="3" t="n"/>
      <c r="E3703" s="3" t="n"/>
      <c r="F3703" s="3" t="inlineStr"/>
      <c r="G3703" s="3" t="n"/>
      <c r="H3703" s="217" t="inlineStr"/>
      <c r="I3703" t="inlineStr"/>
    </row>
    <row r="3704">
      <c r="A3704" s="3" t="n"/>
      <c r="B3704" s="3" t="n"/>
      <c r="C3704" s="3" t="n"/>
      <c r="D3704" s="3" t="n"/>
      <c r="E3704" s="3" t="n"/>
      <c r="F3704" s="3" t="inlineStr"/>
      <c r="G3704" s="3" t="n"/>
      <c r="H3704" s="217" t="inlineStr"/>
      <c r="I3704" t="inlineStr"/>
    </row>
    <row r="3705">
      <c r="A3705" s="3" t="n"/>
      <c r="B3705" s="3" t="n"/>
      <c r="C3705" s="3" t="n"/>
      <c r="D3705" s="3" t="n"/>
      <c r="E3705" s="3" t="n"/>
      <c r="F3705" s="3" t="inlineStr"/>
      <c r="G3705" s="3" t="n"/>
      <c r="H3705" s="217" t="inlineStr"/>
      <c r="I3705" t="inlineStr"/>
    </row>
    <row r="3706">
      <c r="A3706" s="3" t="n"/>
      <c r="B3706" s="3" t="n"/>
      <c r="C3706" s="3" t="n"/>
      <c r="D3706" s="3" t="n"/>
      <c r="E3706" s="3" t="n"/>
      <c r="F3706" s="3" t="inlineStr"/>
      <c r="G3706" s="3" t="n"/>
      <c r="H3706" s="217" t="inlineStr"/>
      <c r="I3706" t="inlineStr"/>
    </row>
    <row r="3707">
      <c r="A3707" s="3" t="n"/>
      <c r="B3707" s="3" t="n"/>
      <c r="C3707" s="3" t="n"/>
      <c r="D3707" s="3" t="n"/>
      <c r="E3707" s="3" t="n"/>
      <c r="F3707" s="3" t="inlineStr"/>
      <c r="G3707" s="3" t="n"/>
      <c r="H3707" s="217" t="inlineStr"/>
      <c r="I3707" t="inlineStr"/>
    </row>
    <row r="3708">
      <c r="A3708" s="3" t="n"/>
      <c r="B3708" s="3" t="n"/>
      <c r="C3708" s="3" t="n"/>
      <c r="D3708" s="3" t="n"/>
      <c r="E3708" s="3" t="n"/>
      <c r="F3708" s="3" t="inlineStr"/>
      <c r="G3708" s="3" t="n"/>
      <c r="H3708" s="217" t="inlineStr"/>
      <c r="I3708" t="inlineStr"/>
    </row>
    <row r="3709">
      <c r="A3709" s="3" t="n"/>
      <c r="B3709" s="3" t="n"/>
      <c r="C3709" s="3" t="n"/>
      <c r="D3709" s="3" t="n"/>
      <c r="E3709" s="3" t="n"/>
      <c r="F3709" s="3" t="inlineStr"/>
      <c r="G3709" s="3" t="n"/>
      <c r="H3709" s="217" t="inlineStr"/>
      <c r="I3709" t="inlineStr"/>
    </row>
    <row r="3710">
      <c r="A3710" s="3" t="n"/>
      <c r="B3710" s="3" t="n"/>
      <c r="C3710" s="3" t="n"/>
      <c r="D3710" s="3" t="n"/>
      <c r="E3710" s="3" t="n"/>
      <c r="F3710" s="3" t="inlineStr"/>
      <c r="G3710" s="3" t="n"/>
      <c r="H3710" s="217" t="inlineStr"/>
      <c r="I3710" t="inlineStr"/>
    </row>
    <row r="3711">
      <c r="A3711" s="3" t="n"/>
      <c r="B3711" s="3" t="n"/>
      <c r="C3711" s="3" t="n"/>
      <c r="D3711" s="3" t="n"/>
      <c r="E3711" s="3" t="n"/>
      <c r="F3711" s="3" t="inlineStr"/>
      <c r="G3711" s="3" t="n"/>
      <c r="H3711" s="217" t="inlineStr"/>
      <c r="I3711" t="inlineStr"/>
    </row>
    <row r="3712">
      <c r="A3712" s="3" t="n"/>
      <c r="B3712" s="3" t="n"/>
      <c r="C3712" s="3" t="n"/>
      <c r="D3712" s="3" t="n"/>
      <c r="E3712" s="3" t="n"/>
      <c r="F3712" s="3" t="inlineStr"/>
      <c r="G3712" s="3" t="n"/>
      <c r="H3712" s="217" t="inlineStr"/>
      <c r="I3712" t="inlineStr"/>
    </row>
    <row r="3713">
      <c r="A3713" s="3" t="n"/>
      <c r="B3713" s="3" t="n"/>
      <c r="C3713" s="3" t="n"/>
      <c r="D3713" s="3" t="n"/>
      <c r="E3713" s="3" t="n"/>
      <c r="F3713" s="3" t="inlineStr"/>
      <c r="G3713" s="3" t="n"/>
      <c r="H3713" s="217" t="inlineStr"/>
      <c r="I3713" t="inlineStr"/>
    </row>
    <row r="3714">
      <c r="A3714" s="3" t="n"/>
      <c r="B3714" s="3" t="n"/>
      <c r="C3714" s="3" t="n"/>
      <c r="D3714" s="3" t="n"/>
      <c r="E3714" s="3" t="n"/>
      <c r="F3714" s="3" t="inlineStr"/>
      <c r="G3714" s="3" t="n"/>
      <c r="H3714" s="217" t="inlineStr"/>
      <c r="I3714" t="inlineStr"/>
    </row>
    <row r="3715">
      <c r="A3715" s="3" t="n"/>
      <c r="B3715" s="3" t="n"/>
      <c r="C3715" s="3" t="n"/>
      <c r="D3715" s="3" t="n"/>
      <c r="E3715" s="3" t="n"/>
      <c r="F3715" s="3" t="inlineStr"/>
      <c r="G3715" s="3" t="n"/>
      <c r="H3715" s="217" t="inlineStr"/>
      <c r="I3715" t="inlineStr"/>
    </row>
    <row r="3716">
      <c r="A3716" s="3" t="n"/>
      <c r="B3716" s="3" t="n"/>
      <c r="C3716" s="3" t="n"/>
      <c r="D3716" s="3" t="n"/>
      <c r="E3716" s="3" t="n"/>
      <c r="F3716" s="3" t="inlineStr"/>
      <c r="G3716" s="3" t="n"/>
      <c r="H3716" s="217" t="inlineStr"/>
      <c r="I3716" t="inlineStr"/>
    </row>
    <row r="3717">
      <c r="A3717" s="3" t="n"/>
      <c r="B3717" s="3" t="n"/>
      <c r="C3717" s="3" t="n"/>
      <c r="D3717" s="3" t="n"/>
      <c r="E3717" s="3" t="n"/>
      <c r="F3717" s="3" t="inlineStr"/>
      <c r="G3717" s="3" t="n"/>
      <c r="H3717" s="217" t="inlineStr"/>
      <c r="I3717" t="inlineStr"/>
    </row>
    <row r="3718">
      <c r="A3718" s="3" t="n"/>
      <c r="B3718" s="3" t="n"/>
      <c r="C3718" s="3" t="n"/>
      <c r="D3718" s="3" t="n"/>
      <c r="E3718" s="3" t="n"/>
      <c r="F3718" s="3" t="inlineStr"/>
      <c r="G3718" s="3" t="n"/>
      <c r="H3718" s="217" t="inlineStr"/>
      <c r="I3718" t="inlineStr"/>
    </row>
    <row r="3719">
      <c r="A3719" s="3" t="n"/>
      <c r="B3719" s="3" t="n"/>
      <c r="C3719" s="3" t="n"/>
      <c r="D3719" s="3" t="n"/>
      <c r="E3719" s="3" t="n"/>
      <c r="F3719" s="3" t="inlineStr"/>
      <c r="G3719" s="3" t="n"/>
      <c r="H3719" s="217" t="inlineStr"/>
      <c r="I3719" t="inlineStr"/>
    </row>
    <row r="3720">
      <c r="A3720" s="3" t="n"/>
      <c r="B3720" s="3" t="n"/>
      <c r="C3720" s="3" t="n"/>
      <c r="D3720" s="3" t="n"/>
      <c r="E3720" s="3" t="n"/>
      <c r="F3720" s="3" t="inlineStr"/>
      <c r="G3720" s="3" t="n"/>
      <c r="H3720" s="217" t="inlineStr"/>
      <c r="I3720" t="inlineStr"/>
    </row>
    <row r="3721">
      <c r="A3721" s="3" t="n"/>
      <c r="B3721" s="3" t="n"/>
      <c r="C3721" s="3" t="n"/>
      <c r="D3721" s="3" t="n"/>
      <c r="E3721" s="3" t="n"/>
      <c r="F3721" s="3" t="inlineStr"/>
      <c r="G3721" s="3" t="n"/>
      <c r="H3721" s="217" t="inlineStr"/>
      <c r="I3721" t="inlineStr"/>
    </row>
    <row r="3722">
      <c r="A3722" s="3" t="n"/>
      <c r="B3722" s="3" t="n"/>
      <c r="C3722" s="3" t="n"/>
      <c r="D3722" s="3" t="n"/>
      <c r="E3722" s="3" t="n"/>
      <c r="F3722" s="3" t="inlineStr"/>
      <c r="G3722" s="3" t="n"/>
      <c r="H3722" s="217" t="inlineStr"/>
      <c r="I3722" t="inlineStr"/>
    </row>
    <row r="3723">
      <c r="A3723" s="3" t="n"/>
      <c r="B3723" s="3" t="n"/>
      <c r="C3723" s="3" t="n"/>
      <c r="D3723" s="3" t="n"/>
      <c r="E3723" s="3" t="n"/>
      <c r="F3723" s="3" t="inlineStr"/>
      <c r="G3723" s="3" t="n"/>
      <c r="H3723" s="217" t="inlineStr"/>
      <c r="I3723" t="inlineStr"/>
    </row>
    <row r="3724">
      <c r="A3724" s="3" t="n"/>
      <c r="B3724" s="3" t="n"/>
      <c r="C3724" s="3" t="n"/>
      <c r="D3724" s="3" t="n"/>
      <c r="E3724" s="3" t="n"/>
      <c r="F3724" s="3" t="inlineStr"/>
      <c r="G3724" s="3" t="n"/>
      <c r="H3724" s="217" t="inlineStr"/>
      <c r="I3724" t="inlineStr"/>
    </row>
    <row r="3725">
      <c r="A3725" s="3" t="n"/>
      <c r="B3725" s="3" t="n"/>
      <c r="C3725" s="3" t="n"/>
      <c r="D3725" s="3" t="n"/>
      <c r="E3725" s="3" t="n"/>
      <c r="F3725" s="3" t="inlineStr"/>
      <c r="G3725" s="3" t="n"/>
      <c r="H3725" s="217" t="inlineStr"/>
      <c r="I3725" t="inlineStr"/>
    </row>
    <row r="3726">
      <c r="A3726" s="3" t="n"/>
      <c r="B3726" s="3" t="n"/>
      <c r="C3726" s="3" t="n"/>
      <c r="D3726" s="3" t="n"/>
      <c r="E3726" s="3" t="n"/>
      <c r="F3726" s="3" t="inlineStr"/>
      <c r="G3726" s="3" t="n"/>
      <c r="H3726" s="217" t="inlineStr"/>
      <c r="I3726" t="inlineStr"/>
    </row>
    <row r="3727">
      <c r="A3727" s="3" t="n"/>
      <c r="B3727" s="3" t="n"/>
      <c r="C3727" s="3" t="n"/>
      <c r="D3727" s="3" t="n"/>
      <c r="E3727" s="3" t="n"/>
      <c r="F3727" s="3" t="inlineStr"/>
      <c r="G3727" s="3" t="n"/>
      <c r="H3727" s="217" t="inlineStr"/>
      <c r="I3727" t="inlineStr"/>
    </row>
    <row r="3728">
      <c r="A3728" s="3" t="n"/>
      <c r="B3728" s="3" t="n"/>
      <c r="C3728" s="3" t="n"/>
      <c r="D3728" s="3" t="n"/>
      <c r="E3728" s="3" t="n"/>
      <c r="F3728" s="3" t="inlineStr"/>
      <c r="G3728" s="3" t="n"/>
      <c r="H3728" s="217" t="inlineStr"/>
      <c r="I3728" t="inlineStr"/>
    </row>
    <row r="3729">
      <c r="A3729" s="3" t="n"/>
      <c r="B3729" s="3" t="n"/>
      <c r="C3729" s="3" t="n"/>
      <c r="D3729" s="3" t="n"/>
      <c r="E3729" s="3" t="n"/>
      <c r="F3729" s="3" t="inlineStr"/>
      <c r="G3729" s="3" t="n"/>
      <c r="H3729" s="217" t="inlineStr"/>
      <c r="I3729" t="inlineStr"/>
    </row>
    <row r="3730">
      <c r="A3730" s="3" t="n"/>
      <c r="B3730" s="3" t="n"/>
      <c r="C3730" s="3" t="n"/>
      <c r="D3730" s="3" t="n"/>
      <c r="E3730" s="3" t="n"/>
      <c r="F3730" s="3" t="inlineStr"/>
      <c r="G3730" s="3" t="n"/>
      <c r="H3730" s="217" t="inlineStr"/>
      <c r="I3730" t="inlineStr"/>
    </row>
    <row r="3731">
      <c r="A3731" s="3" t="n"/>
      <c r="B3731" s="3" t="n"/>
      <c r="C3731" s="3" t="n"/>
      <c r="D3731" s="3" t="n"/>
      <c r="E3731" s="3" t="n"/>
      <c r="F3731" s="3" t="inlineStr"/>
      <c r="G3731" s="3" t="n"/>
      <c r="H3731" s="217" t="inlineStr"/>
      <c r="I3731" t="inlineStr"/>
    </row>
    <row r="3732">
      <c r="A3732" s="3" t="n"/>
      <c r="B3732" s="3" t="n"/>
      <c r="C3732" s="3" t="n"/>
      <c r="D3732" s="3" t="n"/>
      <c r="E3732" s="3" t="n"/>
      <c r="F3732" s="3" t="inlineStr"/>
      <c r="G3732" s="3" t="n"/>
      <c r="H3732" s="217" t="inlineStr"/>
      <c r="I3732" t="inlineStr"/>
    </row>
    <row r="3733">
      <c r="A3733" s="3" t="n"/>
      <c r="B3733" s="3" t="n"/>
      <c r="C3733" s="3" t="n"/>
      <c r="D3733" s="3" t="n"/>
      <c r="E3733" s="3" t="n"/>
      <c r="F3733" s="3" t="inlineStr"/>
      <c r="G3733" s="3" t="n"/>
      <c r="H3733" s="217" t="inlineStr"/>
      <c r="I3733" t="inlineStr"/>
    </row>
    <row r="3734">
      <c r="A3734" s="3" t="n"/>
      <c r="B3734" s="3" t="n"/>
      <c r="C3734" s="3" t="n"/>
      <c r="D3734" s="3" t="n"/>
      <c r="E3734" s="3" t="n"/>
      <c r="F3734" s="3" t="inlineStr"/>
      <c r="G3734" s="3" t="n"/>
      <c r="H3734" s="217" t="inlineStr"/>
      <c r="I3734" t="inlineStr"/>
    </row>
    <row r="3735">
      <c r="A3735" s="3" t="n"/>
      <c r="B3735" s="3" t="n"/>
      <c r="C3735" s="3" t="n"/>
      <c r="D3735" s="3" t="n"/>
      <c r="E3735" s="3" t="n"/>
      <c r="F3735" s="3" t="inlineStr"/>
      <c r="G3735" s="3" t="n"/>
      <c r="H3735" s="217" t="inlineStr"/>
      <c r="I3735" t="inlineStr"/>
    </row>
    <row r="3736">
      <c r="A3736" s="3" t="n"/>
      <c r="B3736" s="3" t="n"/>
      <c r="C3736" s="3" t="n"/>
      <c r="D3736" s="3" t="n"/>
      <c r="E3736" s="3" t="n"/>
      <c r="F3736" s="3" t="inlineStr"/>
      <c r="G3736" s="3" t="n"/>
      <c r="H3736" s="217" t="inlineStr"/>
      <c r="I3736" t="inlineStr"/>
    </row>
    <row r="3737">
      <c r="A3737" s="3" t="n"/>
      <c r="B3737" s="3" t="n"/>
      <c r="C3737" s="3" t="n"/>
      <c r="D3737" s="3" t="n"/>
      <c r="E3737" s="3" t="n"/>
      <c r="F3737" s="3" t="inlineStr"/>
      <c r="G3737" s="3" t="n"/>
      <c r="H3737" s="217" t="inlineStr"/>
      <c r="I3737" t="inlineStr"/>
    </row>
    <row r="3738">
      <c r="A3738" s="3" t="n"/>
      <c r="B3738" s="3" t="n"/>
      <c r="C3738" s="3" t="n"/>
      <c r="D3738" s="3" t="n"/>
      <c r="E3738" s="3" t="n"/>
      <c r="F3738" s="3" t="inlineStr"/>
      <c r="G3738" s="3" t="n"/>
      <c r="H3738" s="217" t="inlineStr"/>
      <c r="I3738" t="inlineStr"/>
    </row>
    <row r="3739">
      <c r="A3739" s="3" t="n"/>
      <c r="B3739" s="3" t="n"/>
      <c r="C3739" s="3" t="n"/>
      <c r="D3739" s="3" t="n"/>
      <c r="E3739" s="3" t="n"/>
      <c r="F3739" s="3" t="inlineStr"/>
      <c r="G3739" s="3" t="n"/>
      <c r="H3739" s="217" t="inlineStr"/>
      <c r="I3739" t="inlineStr"/>
    </row>
    <row r="3740">
      <c r="A3740" s="3" t="n"/>
      <c r="B3740" s="3" t="n"/>
      <c r="C3740" s="3" t="n"/>
      <c r="D3740" s="3" t="n"/>
      <c r="E3740" s="3" t="n"/>
      <c r="F3740" s="3" t="inlineStr"/>
      <c r="G3740" s="3" t="n"/>
      <c r="H3740" s="217" t="inlineStr"/>
      <c r="I3740" t="inlineStr"/>
    </row>
    <row r="3741">
      <c r="A3741" s="3" t="n"/>
      <c r="B3741" s="3" t="n"/>
      <c r="C3741" s="3" t="n"/>
      <c r="D3741" s="3" t="n"/>
      <c r="E3741" s="3" t="n"/>
      <c r="F3741" s="3" t="inlineStr"/>
      <c r="G3741" s="3" t="n"/>
      <c r="H3741" s="217" t="inlineStr"/>
      <c r="I3741" t="inlineStr"/>
    </row>
    <row r="3742">
      <c r="A3742" s="3" t="n"/>
      <c r="B3742" s="3" t="n"/>
      <c r="C3742" s="3" t="n"/>
      <c r="D3742" s="3" t="n"/>
      <c r="E3742" s="3" t="n"/>
      <c r="F3742" s="3" t="inlineStr"/>
      <c r="G3742" s="3" t="n"/>
      <c r="H3742" s="217" t="inlineStr"/>
      <c r="I3742" t="inlineStr"/>
    </row>
    <row r="3743">
      <c r="A3743" s="3" t="n"/>
      <c r="B3743" s="3" t="n"/>
      <c r="C3743" s="3" t="n"/>
      <c r="D3743" s="3" t="n"/>
      <c r="E3743" s="3" t="n"/>
      <c r="F3743" s="3" t="inlineStr"/>
      <c r="G3743" s="3" t="n"/>
      <c r="H3743" s="217" t="inlineStr"/>
      <c r="I3743" t="inlineStr"/>
    </row>
    <row r="3744">
      <c r="A3744" s="3" t="n"/>
      <c r="B3744" s="3" t="n"/>
      <c r="C3744" s="3" t="n"/>
      <c r="D3744" s="3" t="n"/>
      <c r="E3744" s="3" t="n"/>
      <c r="F3744" s="3" t="inlineStr"/>
      <c r="G3744" s="3" t="n"/>
      <c r="H3744" s="217" t="inlineStr"/>
      <c r="I3744" t="inlineStr"/>
    </row>
    <row r="3745">
      <c r="A3745" s="3" t="n"/>
      <c r="B3745" s="3" t="n"/>
      <c r="C3745" s="3" t="n"/>
      <c r="D3745" s="3" t="n"/>
      <c r="E3745" s="3" t="n"/>
      <c r="F3745" s="3" t="inlineStr"/>
      <c r="G3745" s="3" t="n"/>
      <c r="H3745" s="217" t="inlineStr"/>
      <c r="I3745" t="inlineStr"/>
    </row>
    <row r="3746">
      <c r="A3746" s="3" t="n"/>
      <c r="B3746" s="3" t="n"/>
      <c r="C3746" s="3" t="n"/>
      <c r="D3746" s="3" t="n"/>
      <c r="E3746" s="3" t="n"/>
      <c r="F3746" s="3" t="inlineStr"/>
      <c r="G3746" s="3" t="n"/>
      <c r="H3746" s="217" t="inlineStr"/>
      <c r="I3746" t="inlineStr"/>
    </row>
    <row r="3747">
      <c r="A3747" s="3" t="n"/>
      <c r="B3747" s="3" t="n"/>
      <c r="C3747" s="3" t="n"/>
      <c r="D3747" s="3" t="n"/>
      <c r="E3747" s="3" t="n"/>
      <c r="F3747" s="3" t="inlineStr"/>
      <c r="G3747" s="3" t="n"/>
      <c r="H3747" s="217" t="inlineStr"/>
      <c r="I3747" t="inlineStr"/>
    </row>
    <row r="3748">
      <c r="A3748" s="3" t="n"/>
      <c r="B3748" s="3" t="n"/>
      <c r="C3748" s="3" t="n"/>
      <c r="D3748" s="3" t="n"/>
      <c r="E3748" s="3" t="n"/>
      <c r="F3748" s="3" t="inlineStr"/>
      <c r="G3748" s="3" t="n"/>
      <c r="H3748" s="217" t="inlineStr"/>
      <c r="I3748" t="inlineStr"/>
    </row>
    <row r="3749">
      <c r="A3749" s="3" t="n"/>
      <c r="B3749" s="3" t="n"/>
      <c r="C3749" s="3" t="n"/>
      <c r="D3749" s="3" t="n"/>
      <c r="E3749" s="3" t="n"/>
      <c r="F3749" s="3" t="inlineStr"/>
      <c r="G3749" s="3" t="n"/>
      <c r="H3749" s="217" t="inlineStr"/>
      <c r="I3749" t="inlineStr"/>
    </row>
    <row r="3750">
      <c r="A3750" s="3" t="n"/>
      <c r="B3750" s="3" t="n"/>
      <c r="C3750" s="3" t="n"/>
      <c r="D3750" s="3" t="n"/>
      <c r="E3750" s="3" t="n"/>
      <c r="F3750" s="3" t="inlineStr"/>
      <c r="G3750" s="3" t="n"/>
      <c r="H3750" s="217" t="inlineStr"/>
      <c r="I3750" t="inlineStr"/>
    </row>
    <row r="3751">
      <c r="A3751" s="3" t="n"/>
      <c r="B3751" s="3" t="n"/>
      <c r="C3751" s="3" t="n"/>
      <c r="D3751" s="3" t="n"/>
      <c r="E3751" s="3" t="n"/>
      <c r="F3751" s="3" t="inlineStr"/>
      <c r="G3751" s="3" t="n"/>
      <c r="H3751" s="217" t="inlineStr"/>
      <c r="I3751" t="inlineStr"/>
    </row>
    <row r="3752">
      <c r="A3752" s="3" t="n"/>
      <c r="B3752" s="3" t="n"/>
      <c r="C3752" s="3" t="n"/>
      <c r="D3752" s="3" t="n"/>
      <c r="E3752" s="3" t="n"/>
      <c r="F3752" s="3" t="inlineStr"/>
      <c r="G3752" s="3" t="n"/>
      <c r="H3752" s="217" t="inlineStr"/>
      <c r="I3752" t="inlineStr"/>
    </row>
    <row r="3753">
      <c r="A3753" s="3" t="n"/>
      <c r="B3753" s="3" t="n"/>
      <c r="C3753" s="3" t="n"/>
      <c r="D3753" s="3" t="n"/>
      <c r="E3753" s="3" t="n"/>
      <c r="F3753" s="3" t="inlineStr"/>
      <c r="G3753" s="3" t="n"/>
      <c r="H3753" s="217" t="inlineStr"/>
      <c r="I3753" t="inlineStr"/>
    </row>
    <row r="3754">
      <c r="A3754" s="3" t="n"/>
      <c r="B3754" s="3" t="n"/>
      <c r="C3754" s="3" t="n"/>
      <c r="D3754" s="3" t="n"/>
      <c r="E3754" s="3" t="n"/>
      <c r="F3754" s="3" t="inlineStr"/>
      <c r="G3754" s="3" t="n"/>
      <c r="H3754" s="217" t="inlineStr"/>
      <c r="I3754" t="inlineStr"/>
    </row>
    <row r="3755">
      <c r="A3755" s="3" t="n"/>
      <c r="B3755" s="3" t="n"/>
      <c r="C3755" s="3" t="n"/>
      <c r="D3755" s="3" t="n"/>
      <c r="E3755" s="3" t="n"/>
      <c r="F3755" s="3" t="inlineStr"/>
      <c r="G3755" s="3" t="n"/>
      <c r="H3755" s="217" t="inlineStr"/>
      <c r="I3755" t="inlineStr"/>
    </row>
    <row r="3756">
      <c r="A3756" s="3" t="n"/>
      <c r="B3756" s="3" t="n"/>
      <c r="C3756" s="3" t="n"/>
      <c r="D3756" s="3" t="n"/>
      <c r="E3756" s="3" t="n"/>
      <c r="F3756" s="3" t="inlineStr"/>
      <c r="G3756" s="3" t="n"/>
      <c r="H3756" s="217" t="inlineStr"/>
      <c r="I3756" t="inlineStr"/>
    </row>
    <row r="3757">
      <c r="A3757" s="3" t="n"/>
      <c r="B3757" s="3" t="n"/>
      <c r="C3757" s="3" t="n"/>
      <c r="D3757" s="3" t="n"/>
      <c r="E3757" s="3" t="n"/>
      <c r="F3757" s="3" t="inlineStr"/>
      <c r="G3757" s="3" t="n"/>
      <c r="H3757" s="217" t="inlineStr"/>
      <c r="I3757" t="inlineStr"/>
    </row>
    <row r="3758">
      <c r="A3758" s="3" t="n"/>
      <c r="B3758" s="3" t="n"/>
      <c r="C3758" s="3" t="n"/>
      <c r="D3758" s="3" t="n"/>
      <c r="E3758" s="3" t="n"/>
      <c r="F3758" s="3" t="inlineStr"/>
      <c r="G3758" s="3" t="n"/>
      <c r="H3758" s="217" t="inlineStr"/>
      <c r="I3758" t="inlineStr"/>
    </row>
    <row r="3759">
      <c r="A3759" s="3" t="n"/>
      <c r="B3759" s="3" t="n"/>
      <c r="C3759" s="3" t="n"/>
      <c r="D3759" s="3" t="n"/>
      <c r="E3759" s="3" t="n"/>
      <c r="F3759" s="3" t="inlineStr"/>
      <c r="G3759" s="3" t="n"/>
      <c r="H3759" s="217" t="inlineStr"/>
      <c r="I3759" t="inlineStr"/>
    </row>
    <row r="3760">
      <c r="A3760" s="3" t="n"/>
      <c r="B3760" s="3" t="n"/>
      <c r="C3760" s="3" t="n"/>
      <c r="D3760" s="3" t="n"/>
      <c r="E3760" s="3" t="n"/>
      <c r="F3760" s="3" t="inlineStr"/>
      <c r="G3760" s="3" t="n"/>
      <c r="H3760" s="217" t="inlineStr"/>
      <c r="I3760" t="inlineStr"/>
    </row>
    <row r="3761">
      <c r="A3761" s="3" t="n"/>
      <c r="B3761" s="3" t="n"/>
      <c r="C3761" s="3" t="n"/>
      <c r="D3761" s="3" t="n"/>
      <c r="E3761" s="3" t="n"/>
      <c r="F3761" s="3" t="inlineStr"/>
      <c r="G3761" s="3" t="n"/>
      <c r="H3761" s="217" t="inlineStr"/>
      <c r="I3761" t="inlineStr"/>
    </row>
    <row r="3762">
      <c r="A3762" s="3" t="n"/>
      <c r="B3762" s="3" t="n"/>
      <c r="C3762" s="3" t="n"/>
      <c r="D3762" s="3" t="n"/>
      <c r="E3762" s="3" t="n"/>
      <c r="F3762" s="3" t="inlineStr"/>
      <c r="G3762" s="3" t="n"/>
      <c r="H3762" s="217" t="inlineStr"/>
      <c r="I3762" t="inlineStr"/>
    </row>
    <row r="3763">
      <c r="A3763" s="3" t="n"/>
      <c r="B3763" s="3" t="n"/>
      <c r="C3763" s="3" t="n"/>
      <c r="D3763" s="3" t="n"/>
      <c r="E3763" s="3" t="n"/>
      <c r="F3763" s="3" t="inlineStr"/>
      <c r="G3763" s="3" t="n"/>
      <c r="H3763" s="217" t="inlineStr"/>
      <c r="I3763" t="inlineStr"/>
    </row>
    <row r="3764">
      <c r="A3764" s="3" t="n"/>
      <c r="B3764" s="3" t="n"/>
      <c r="C3764" s="3" t="n"/>
      <c r="D3764" s="3" t="n"/>
      <c r="E3764" s="3" t="n"/>
      <c r="F3764" s="3" t="inlineStr"/>
      <c r="G3764" s="3" t="n"/>
      <c r="H3764" s="217" t="inlineStr"/>
      <c r="I3764" t="inlineStr"/>
    </row>
    <row r="3765">
      <c r="A3765" s="3" t="n"/>
      <c r="B3765" s="3" t="n"/>
      <c r="C3765" s="3" t="n"/>
      <c r="D3765" s="3" t="n"/>
      <c r="E3765" s="3" t="n"/>
      <c r="F3765" s="3" t="inlineStr"/>
      <c r="G3765" s="3" t="n"/>
      <c r="H3765" s="217" t="inlineStr"/>
      <c r="I3765" t="inlineStr"/>
    </row>
    <row r="3766">
      <c r="A3766" s="3" t="n"/>
      <c r="B3766" s="3" t="n"/>
      <c r="C3766" s="3" t="n"/>
      <c r="D3766" s="3" t="n"/>
      <c r="E3766" s="3" t="n"/>
      <c r="F3766" s="3" t="inlineStr"/>
      <c r="G3766" s="3" t="n"/>
      <c r="H3766" s="217" t="inlineStr"/>
      <c r="I3766" t="inlineStr"/>
    </row>
    <row r="3767">
      <c r="A3767" s="3" t="n"/>
      <c r="B3767" s="3" t="n"/>
      <c r="C3767" s="3" t="n"/>
      <c r="D3767" s="3" t="n"/>
      <c r="E3767" s="3" t="n"/>
      <c r="F3767" s="3" t="inlineStr"/>
      <c r="G3767" s="3" t="n"/>
      <c r="H3767" s="217" t="inlineStr"/>
      <c r="I3767" t="inlineStr"/>
    </row>
    <row r="3768">
      <c r="A3768" s="3" t="n"/>
      <c r="B3768" s="3" t="n"/>
      <c r="C3768" s="3" t="n"/>
      <c r="D3768" s="3" t="n"/>
      <c r="E3768" s="3" t="n"/>
      <c r="F3768" s="3" t="inlineStr"/>
      <c r="G3768" s="3" t="n"/>
      <c r="H3768" s="217" t="inlineStr"/>
      <c r="I3768" t="inlineStr"/>
    </row>
    <row r="3769">
      <c r="A3769" s="3" t="n"/>
      <c r="B3769" s="3" t="n"/>
      <c r="C3769" s="3" t="n"/>
      <c r="D3769" s="3" t="n"/>
      <c r="E3769" s="3" t="n"/>
      <c r="F3769" s="3" t="inlineStr"/>
      <c r="G3769" s="3" t="n"/>
      <c r="H3769" s="217" t="inlineStr"/>
      <c r="I3769" t="inlineStr"/>
    </row>
    <row r="3770">
      <c r="A3770" s="3" t="n"/>
      <c r="B3770" s="3" t="n"/>
      <c r="C3770" s="3" t="n"/>
      <c r="D3770" s="3" t="n"/>
      <c r="E3770" s="3" t="n"/>
      <c r="F3770" s="3" t="inlineStr"/>
      <c r="G3770" s="3" t="n"/>
      <c r="H3770" s="217" t="inlineStr"/>
      <c r="I3770" t="inlineStr"/>
    </row>
    <row r="3771">
      <c r="A3771" s="3" t="n"/>
      <c r="B3771" s="3" t="n"/>
      <c r="C3771" s="3" t="n"/>
      <c r="D3771" s="3" t="n"/>
      <c r="E3771" s="3" t="n"/>
      <c r="F3771" s="3" t="inlineStr"/>
      <c r="G3771" s="3" t="n"/>
      <c r="H3771" s="217" t="inlineStr"/>
      <c r="I3771" t="inlineStr"/>
    </row>
    <row r="3772">
      <c r="A3772" s="3" t="n"/>
      <c r="B3772" s="3" t="n"/>
      <c r="C3772" s="3" t="n"/>
      <c r="D3772" s="3" t="n"/>
      <c r="E3772" s="3" t="n"/>
      <c r="F3772" s="3" t="inlineStr"/>
      <c r="G3772" s="3" t="n"/>
      <c r="H3772" s="217" t="inlineStr"/>
      <c r="I3772" t="inlineStr"/>
    </row>
    <row r="3773">
      <c r="A3773" s="3" t="n"/>
      <c r="B3773" s="3" t="n"/>
      <c r="C3773" s="3" t="n"/>
      <c r="D3773" s="3" t="n"/>
      <c r="E3773" s="3" t="n"/>
      <c r="F3773" s="3" t="inlineStr"/>
      <c r="G3773" s="3" t="n"/>
      <c r="H3773" s="217" t="inlineStr"/>
      <c r="I3773" t="inlineStr"/>
    </row>
    <row r="3774">
      <c r="A3774" s="3" t="n"/>
      <c r="B3774" s="3" t="n"/>
      <c r="C3774" s="3" t="n"/>
      <c r="D3774" s="3" t="n"/>
      <c r="E3774" s="3" t="n"/>
      <c r="F3774" s="3" t="inlineStr"/>
      <c r="G3774" s="3" t="n"/>
      <c r="H3774" s="217" t="inlineStr"/>
      <c r="I3774" t="inlineStr"/>
    </row>
    <row r="3775">
      <c r="A3775" s="3" t="n"/>
      <c r="B3775" s="3" t="n"/>
      <c r="C3775" s="3" t="n"/>
      <c r="D3775" s="3" t="n"/>
      <c r="E3775" s="3" t="n"/>
      <c r="F3775" s="3" t="inlineStr"/>
      <c r="G3775" s="3" t="n"/>
      <c r="H3775" s="217" t="inlineStr"/>
      <c r="I3775" t="inlineStr"/>
    </row>
    <row r="3776">
      <c r="A3776" s="3" t="n"/>
      <c r="B3776" s="3" t="n"/>
      <c r="C3776" s="3" t="n"/>
      <c r="D3776" s="3" t="n"/>
      <c r="E3776" s="3" t="n"/>
      <c r="F3776" s="3" t="inlineStr"/>
      <c r="G3776" s="3" t="n"/>
      <c r="H3776" s="217" t="inlineStr"/>
      <c r="I3776" t="inlineStr"/>
    </row>
    <row r="3777">
      <c r="A3777" s="3" t="n"/>
      <c r="B3777" s="3" t="n"/>
      <c r="C3777" s="3" t="n"/>
      <c r="D3777" s="3" t="n"/>
      <c r="E3777" s="3" t="n"/>
      <c r="F3777" s="3" t="inlineStr"/>
      <c r="G3777" s="3" t="n"/>
      <c r="H3777" s="217" t="inlineStr"/>
      <c r="I3777" t="inlineStr"/>
    </row>
    <row r="3778">
      <c r="A3778" s="3" t="n"/>
      <c r="B3778" s="3" t="n"/>
      <c r="C3778" s="3" t="n"/>
      <c r="D3778" s="3" t="n"/>
      <c r="E3778" s="3" t="n"/>
      <c r="F3778" s="3" t="inlineStr"/>
      <c r="G3778" s="3" t="n"/>
      <c r="H3778" s="217" t="inlineStr"/>
      <c r="I3778" t="inlineStr"/>
    </row>
    <row r="3779">
      <c r="A3779" s="3" t="n"/>
      <c r="B3779" s="3" t="n"/>
      <c r="C3779" s="3" t="n"/>
      <c r="D3779" s="3" t="n"/>
      <c r="E3779" s="3" t="n"/>
      <c r="F3779" s="3" t="inlineStr"/>
      <c r="G3779" s="3" t="n"/>
      <c r="H3779" s="217" t="inlineStr"/>
      <c r="I3779" t="inlineStr"/>
    </row>
    <row r="3780">
      <c r="A3780" s="3" t="n"/>
      <c r="B3780" s="3" t="n"/>
      <c r="C3780" s="3" t="n"/>
      <c r="D3780" s="3" t="n"/>
      <c r="E3780" s="3" t="n"/>
      <c r="F3780" s="3" t="inlineStr"/>
      <c r="G3780" s="3" t="n"/>
      <c r="H3780" s="217" t="inlineStr"/>
      <c r="I3780" t="inlineStr"/>
    </row>
    <row r="3781">
      <c r="A3781" s="3" t="n"/>
      <c r="B3781" s="3" t="n"/>
      <c r="C3781" s="3" t="n"/>
      <c r="D3781" s="3" t="n"/>
      <c r="E3781" s="3" t="n"/>
      <c r="F3781" s="3" t="inlineStr"/>
      <c r="G3781" s="3" t="n"/>
      <c r="H3781" s="217" t="inlineStr"/>
      <c r="I3781" t="inlineStr"/>
    </row>
    <row r="3782">
      <c r="A3782" s="3" t="n"/>
      <c r="B3782" s="3" t="n"/>
      <c r="C3782" s="3" t="n"/>
      <c r="D3782" s="3" t="n"/>
      <c r="E3782" s="3" t="n"/>
      <c r="F3782" s="3" t="inlineStr"/>
      <c r="G3782" s="3" t="n"/>
      <c r="H3782" s="217" t="inlineStr"/>
      <c r="I3782" t="inlineStr"/>
    </row>
    <row r="3783">
      <c r="A3783" s="3" t="n"/>
      <c r="B3783" s="3" t="n"/>
      <c r="C3783" s="3" t="n"/>
      <c r="D3783" s="3" t="n"/>
      <c r="E3783" s="3" t="n"/>
      <c r="F3783" s="3" t="inlineStr"/>
      <c r="G3783" s="3" t="n"/>
      <c r="H3783" s="217" t="inlineStr"/>
      <c r="I3783" t="inlineStr"/>
    </row>
    <row r="3784">
      <c r="A3784" s="3" t="n"/>
      <c r="B3784" s="3" t="n"/>
      <c r="C3784" s="3" t="n"/>
      <c r="D3784" s="3" t="n"/>
      <c r="E3784" s="3" t="n"/>
      <c r="F3784" s="3" t="inlineStr"/>
      <c r="G3784" s="3" t="n"/>
      <c r="H3784" s="217" t="inlineStr"/>
      <c r="I3784" t="inlineStr"/>
    </row>
    <row r="3785">
      <c r="A3785" s="3" t="n"/>
      <c r="B3785" s="3" t="n"/>
      <c r="C3785" s="3" t="n"/>
      <c r="D3785" s="3" t="n"/>
      <c r="E3785" s="3" t="n"/>
      <c r="F3785" s="3" t="inlineStr"/>
      <c r="G3785" s="3" t="n"/>
      <c r="H3785" s="217" t="inlineStr"/>
      <c r="I3785" t="inlineStr"/>
    </row>
    <row r="3786">
      <c r="A3786" s="3" t="n"/>
      <c r="B3786" s="3" t="n"/>
      <c r="C3786" s="3" t="n"/>
      <c r="D3786" s="3" t="n"/>
      <c r="E3786" s="3" t="n"/>
      <c r="F3786" s="3" t="inlineStr"/>
      <c r="G3786" s="3" t="n"/>
      <c r="H3786" s="217" t="inlineStr"/>
      <c r="I3786" t="inlineStr"/>
    </row>
    <row r="3787">
      <c r="A3787" s="3" t="n"/>
      <c r="B3787" s="3" t="n"/>
      <c r="C3787" s="3" t="n"/>
      <c r="D3787" s="3" t="n"/>
      <c r="E3787" s="3" t="n"/>
      <c r="F3787" s="3" t="inlineStr"/>
      <c r="G3787" s="3" t="n"/>
      <c r="H3787" s="217" t="inlineStr"/>
      <c r="I3787" t="inlineStr"/>
    </row>
    <row r="3788">
      <c r="A3788" s="3" t="n"/>
      <c r="B3788" s="3" t="n"/>
      <c r="C3788" s="3" t="n"/>
      <c r="D3788" s="3" t="n"/>
      <c r="E3788" s="3" t="n"/>
      <c r="F3788" s="3" t="inlineStr"/>
      <c r="G3788" s="3" t="n"/>
      <c r="H3788" s="217" t="inlineStr"/>
      <c r="I3788" t="inlineStr"/>
    </row>
    <row r="3789">
      <c r="A3789" s="3" t="n"/>
      <c r="B3789" s="3" t="n"/>
      <c r="C3789" s="3" t="n"/>
      <c r="D3789" s="3" t="n"/>
      <c r="E3789" s="3" t="n"/>
      <c r="F3789" s="3" t="inlineStr"/>
      <c r="G3789" s="3" t="n"/>
      <c r="H3789" s="217" t="inlineStr"/>
      <c r="I3789" t="inlineStr"/>
    </row>
    <row r="3790">
      <c r="A3790" s="3" t="n"/>
      <c r="B3790" s="3" t="n"/>
      <c r="C3790" s="3" t="n"/>
      <c r="D3790" s="3" t="n"/>
      <c r="E3790" s="3" t="n"/>
      <c r="F3790" s="3" t="inlineStr"/>
      <c r="G3790" s="3" t="n"/>
      <c r="H3790" s="217" t="inlineStr"/>
      <c r="I3790" t="inlineStr"/>
    </row>
    <row r="3791">
      <c r="A3791" s="3" t="n"/>
      <c r="B3791" s="3" t="n"/>
      <c r="C3791" s="3" t="n"/>
      <c r="D3791" s="3" t="n"/>
      <c r="E3791" s="3" t="n"/>
      <c r="F3791" s="3" t="inlineStr"/>
      <c r="G3791" s="3" t="n"/>
      <c r="H3791" s="217" t="inlineStr"/>
      <c r="I3791" t="inlineStr"/>
    </row>
    <row r="3792">
      <c r="A3792" s="3" t="n"/>
      <c r="B3792" s="3" t="n"/>
      <c r="C3792" s="3" t="n"/>
      <c r="D3792" s="3" t="n"/>
      <c r="E3792" s="3" t="n"/>
      <c r="F3792" s="3" t="inlineStr"/>
      <c r="G3792" s="3" t="n"/>
      <c r="H3792" s="217" t="inlineStr"/>
      <c r="I3792" t="inlineStr"/>
    </row>
    <row r="3793">
      <c r="A3793" s="3" t="n"/>
      <c r="B3793" s="3" t="n"/>
      <c r="C3793" s="3" t="n"/>
      <c r="D3793" s="3" t="n"/>
      <c r="E3793" s="3" t="n"/>
      <c r="F3793" s="3" t="inlineStr"/>
      <c r="G3793" s="3" t="n"/>
      <c r="H3793" s="217" t="inlineStr"/>
      <c r="I3793" t="inlineStr"/>
    </row>
    <row r="3794">
      <c r="A3794" s="3" t="n"/>
      <c r="B3794" s="3" t="n"/>
      <c r="C3794" s="3" t="n"/>
      <c r="D3794" s="3" t="n"/>
      <c r="E3794" s="3" t="n"/>
      <c r="F3794" s="3" t="inlineStr"/>
      <c r="G3794" s="3" t="n"/>
      <c r="H3794" s="217" t="inlineStr"/>
      <c r="I3794" t="inlineStr"/>
    </row>
    <row r="3795">
      <c r="A3795" s="3" t="n"/>
      <c r="B3795" s="3" t="n"/>
      <c r="C3795" s="3" t="n"/>
      <c r="D3795" s="3" t="n"/>
      <c r="E3795" s="3" t="n"/>
      <c r="F3795" s="3" t="inlineStr"/>
      <c r="G3795" s="3" t="n"/>
      <c r="H3795" s="217" t="inlineStr"/>
      <c r="I3795" t="inlineStr"/>
    </row>
    <row r="3796">
      <c r="A3796" s="3" t="n"/>
      <c r="B3796" s="3" t="n"/>
      <c r="C3796" s="3" t="n"/>
      <c r="D3796" s="3" t="n"/>
      <c r="E3796" s="3" t="n"/>
      <c r="F3796" s="3" t="inlineStr"/>
      <c r="G3796" s="3" t="n"/>
      <c r="H3796" s="217" t="inlineStr"/>
      <c r="I3796" t="inlineStr"/>
    </row>
    <row r="3797">
      <c r="A3797" s="3" t="n"/>
      <c r="B3797" s="3" t="n"/>
      <c r="C3797" s="3" t="n"/>
      <c r="D3797" s="3" t="n"/>
      <c r="E3797" s="3" t="n"/>
      <c r="F3797" s="3" t="inlineStr"/>
      <c r="G3797" s="3" t="n"/>
      <c r="H3797" s="217" t="inlineStr"/>
      <c r="I3797" t="inlineStr"/>
    </row>
    <row r="3798">
      <c r="A3798" s="3" t="n"/>
      <c r="B3798" s="3" t="n"/>
      <c r="C3798" s="3" t="n"/>
      <c r="D3798" s="3" t="n"/>
      <c r="E3798" s="3" t="n"/>
      <c r="F3798" s="3" t="inlineStr"/>
      <c r="G3798" s="3" t="n"/>
      <c r="H3798" s="217" t="inlineStr"/>
      <c r="I3798" t="inlineStr"/>
    </row>
    <row r="3799">
      <c r="A3799" s="3" t="n"/>
      <c r="B3799" s="3" t="n"/>
      <c r="C3799" s="3" t="n"/>
      <c r="D3799" s="3" t="n"/>
      <c r="E3799" s="3" t="n"/>
      <c r="F3799" s="3" t="inlineStr"/>
      <c r="G3799" s="3" t="n"/>
      <c r="H3799" s="217" t="inlineStr"/>
      <c r="I3799" t="inlineStr"/>
    </row>
    <row r="3800">
      <c r="A3800" s="3" t="n"/>
      <c r="B3800" s="3" t="n"/>
      <c r="C3800" s="3" t="n"/>
      <c r="D3800" s="3" t="n"/>
      <c r="E3800" s="3" t="n"/>
      <c r="F3800" s="3" t="inlineStr"/>
      <c r="G3800" s="3" t="n"/>
      <c r="H3800" s="217" t="inlineStr"/>
      <c r="I3800" t="inlineStr"/>
    </row>
    <row r="3801">
      <c r="A3801" s="3" t="n"/>
      <c r="B3801" s="3" t="n"/>
      <c r="C3801" s="3" t="n"/>
      <c r="D3801" s="3" t="n"/>
      <c r="E3801" s="3" t="n"/>
      <c r="F3801" s="3" t="inlineStr"/>
      <c r="G3801" s="3" t="n"/>
      <c r="H3801" s="217" t="inlineStr"/>
      <c r="I3801" t="inlineStr"/>
    </row>
    <row r="3802">
      <c r="A3802" s="3" t="n"/>
      <c r="B3802" s="3" t="n"/>
      <c r="C3802" s="3" t="n"/>
      <c r="D3802" s="3" t="n"/>
      <c r="E3802" s="3" t="n"/>
      <c r="F3802" s="3" t="inlineStr"/>
      <c r="G3802" s="3" t="n"/>
      <c r="H3802" s="217" t="inlineStr"/>
      <c r="I3802" t="inlineStr"/>
    </row>
    <row r="3803">
      <c r="A3803" s="3" t="n"/>
      <c r="B3803" s="3" t="n"/>
      <c r="C3803" s="3" t="n"/>
      <c r="D3803" s="3" t="n"/>
      <c r="E3803" s="3" t="n"/>
      <c r="F3803" s="3" t="inlineStr"/>
      <c r="G3803" s="3" t="n"/>
      <c r="H3803" s="217" t="inlineStr"/>
      <c r="I3803" t="inlineStr"/>
    </row>
    <row r="3804">
      <c r="A3804" s="3" t="n"/>
      <c r="B3804" s="3" t="n"/>
      <c r="C3804" s="3" t="n"/>
      <c r="D3804" s="3" t="n"/>
      <c r="E3804" s="3" t="n"/>
      <c r="F3804" s="3" t="inlineStr"/>
      <c r="G3804" s="3" t="n"/>
      <c r="H3804" s="217" t="inlineStr"/>
      <c r="I3804" t="inlineStr"/>
    </row>
    <row r="3805">
      <c r="A3805" s="3" t="n"/>
      <c r="B3805" s="3" t="n"/>
      <c r="C3805" s="3" t="n"/>
      <c r="D3805" s="3" t="n"/>
      <c r="E3805" s="3" t="n"/>
      <c r="F3805" s="3" t="inlineStr"/>
      <c r="G3805" s="3" t="n"/>
      <c r="H3805" s="217" t="inlineStr"/>
      <c r="I3805" t="inlineStr"/>
    </row>
    <row r="3806">
      <c r="A3806" s="3" t="n"/>
      <c r="B3806" s="3" t="n"/>
      <c r="C3806" s="3" t="n"/>
      <c r="D3806" s="3" t="n"/>
      <c r="E3806" s="3" t="n"/>
      <c r="F3806" s="3" t="inlineStr"/>
      <c r="G3806" s="3" t="n"/>
      <c r="H3806" s="217" t="inlineStr"/>
      <c r="I3806" t="inlineStr"/>
    </row>
    <row r="3807">
      <c r="A3807" s="3" t="n"/>
      <c r="B3807" s="3" t="n"/>
      <c r="C3807" s="3" t="n"/>
      <c r="D3807" s="3" t="n"/>
      <c r="E3807" s="3" t="n"/>
      <c r="F3807" s="3" t="inlineStr"/>
      <c r="G3807" s="3" t="n"/>
      <c r="H3807" s="217" t="inlineStr"/>
      <c r="I3807" t="inlineStr"/>
    </row>
    <row r="3808">
      <c r="A3808" s="3" t="n"/>
      <c r="B3808" s="3" t="n"/>
      <c r="C3808" s="3" t="n"/>
      <c r="D3808" s="3" t="n"/>
      <c r="E3808" s="3" t="n"/>
      <c r="F3808" s="3" t="inlineStr"/>
      <c r="G3808" s="3" t="n"/>
      <c r="H3808" s="217" t="inlineStr"/>
      <c r="I3808" t="inlineStr"/>
    </row>
    <row r="3809">
      <c r="A3809" s="3" t="n"/>
      <c r="B3809" s="3" t="n"/>
      <c r="C3809" s="3" t="n"/>
      <c r="D3809" s="3" t="n"/>
      <c r="E3809" s="3" t="n"/>
      <c r="F3809" s="3" t="inlineStr"/>
      <c r="G3809" s="3" t="n"/>
      <c r="H3809" s="217" t="inlineStr"/>
      <c r="I3809" t="inlineStr"/>
    </row>
    <row r="3810">
      <c r="A3810" s="3" t="n"/>
      <c r="B3810" s="3" t="n"/>
      <c r="C3810" s="3" t="n"/>
      <c r="D3810" s="3" t="n"/>
      <c r="E3810" s="3" t="n"/>
      <c r="F3810" s="3" t="inlineStr"/>
      <c r="G3810" s="3" t="n"/>
      <c r="H3810" s="217" t="inlineStr"/>
      <c r="I3810" t="inlineStr"/>
    </row>
    <row r="3811">
      <c r="A3811" s="3" t="n"/>
      <c r="B3811" s="3" t="n"/>
      <c r="C3811" s="3" t="n"/>
      <c r="D3811" s="3" t="n"/>
      <c r="E3811" s="3" t="n"/>
      <c r="F3811" s="3" t="inlineStr"/>
      <c r="G3811" s="3" t="n"/>
      <c r="H3811" s="217" t="inlineStr"/>
      <c r="I3811" t="inlineStr"/>
    </row>
    <row r="3812">
      <c r="A3812" s="3" t="n"/>
      <c r="B3812" s="3" t="n"/>
      <c r="C3812" s="3" t="n"/>
      <c r="D3812" s="3" t="n"/>
      <c r="E3812" s="3" t="n"/>
      <c r="F3812" s="3" t="inlineStr"/>
      <c r="G3812" s="3" t="n"/>
      <c r="H3812" s="217" t="inlineStr"/>
      <c r="I3812" t="inlineStr"/>
    </row>
    <row r="3813">
      <c r="A3813" s="3" t="n"/>
      <c r="B3813" s="3" t="n"/>
      <c r="C3813" s="3" t="n"/>
      <c r="D3813" s="3" t="n"/>
      <c r="E3813" s="3" t="n"/>
      <c r="F3813" s="3" t="inlineStr"/>
      <c r="G3813" s="3" t="n"/>
      <c r="H3813" s="217" t="inlineStr"/>
      <c r="I3813" t="inlineStr"/>
    </row>
    <row r="3814">
      <c r="A3814" s="3" t="n"/>
      <c r="B3814" s="3" t="n"/>
      <c r="C3814" s="3" t="n"/>
      <c r="D3814" s="3" t="n"/>
      <c r="E3814" s="3" t="n"/>
      <c r="F3814" s="3" t="inlineStr"/>
      <c r="G3814" s="3" t="n"/>
      <c r="H3814" s="217" t="inlineStr"/>
      <c r="I3814" t="inlineStr"/>
    </row>
    <row r="3815">
      <c r="A3815" s="3" t="n"/>
      <c r="B3815" s="3" t="n"/>
      <c r="C3815" s="3" t="n"/>
      <c r="D3815" s="3" t="n"/>
      <c r="E3815" s="3" t="n"/>
      <c r="F3815" s="3" t="inlineStr"/>
      <c r="G3815" s="3" t="n"/>
      <c r="H3815" s="217" t="inlineStr"/>
      <c r="I3815" t="inlineStr"/>
    </row>
    <row r="3816">
      <c r="A3816" s="3" t="n"/>
      <c r="B3816" s="3" t="n"/>
      <c r="C3816" s="3" t="n"/>
      <c r="D3816" s="3" t="n"/>
      <c r="E3816" s="3" t="n"/>
      <c r="F3816" s="3" t="inlineStr"/>
      <c r="G3816" s="3" t="n"/>
      <c r="H3816" s="217" t="inlineStr"/>
      <c r="I3816" t="inlineStr"/>
    </row>
    <row r="3817">
      <c r="A3817" s="3" t="n"/>
      <c r="B3817" s="3" t="n"/>
      <c r="C3817" s="3" t="n"/>
      <c r="D3817" s="3" t="n"/>
      <c r="E3817" s="3" t="n"/>
      <c r="F3817" s="3" t="inlineStr"/>
      <c r="G3817" s="3" t="n"/>
      <c r="H3817" s="217" t="inlineStr"/>
      <c r="I3817" t="inlineStr"/>
    </row>
    <row r="3818">
      <c r="A3818" s="3" t="n"/>
      <c r="B3818" s="3" t="n"/>
      <c r="C3818" s="3" t="n"/>
      <c r="D3818" s="3" t="n"/>
      <c r="E3818" s="3" t="n"/>
      <c r="F3818" s="3" t="inlineStr"/>
      <c r="G3818" s="3" t="n"/>
      <c r="H3818" s="217" t="inlineStr"/>
      <c r="I3818" t="inlineStr"/>
    </row>
    <row r="3819">
      <c r="A3819" s="3" t="n"/>
      <c r="B3819" s="3" t="n"/>
      <c r="C3819" s="3" t="n"/>
      <c r="D3819" s="3" t="n"/>
      <c r="E3819" s="3" t="n"/>
      <c r="F3819" s="3" t="inlineStr"/>
      <c r="G3819" s="3" t="n"/>
      <c r="H3819" s="217" t="inlineStr"/>
      <c r="I3819" t="inlineStr"/>
    </row>
    <row r="3820">
      <c r="A3820" s="3" t="n"/>
      <c r="B3820" s="3" t="n"/>
      <c r="C3820" s="3" t="n"/>
      <c r="D3820" s="3" t="n"/>
      <c r="E3820" s="3" t="n"/>
      <c r="F3820" s="3" t="inlineStr"/>
      <c r="G3820" s="3" t="n"/>
      <c r="H3820" s="217" t="inlineStr"/>
      <c r="I3820" t="inlineStr"/>
    </row>
    <row r="3821">
      <c r="A3821" s="3" t="n"/>
      <c r="B3821" s="3" t="n"/>
      <c r="C3821" s="3" t="n"/>
      <c r="D3821" s="3" t="n"/>
      <c r="E3821" s="3" t="n"/>
      <c r="F3821" s="3" t="inlineStr"/>
      <c r="G3821" s="3" t="n"/>
      <c r="H3821" s="217" t="inlineStr"/>
      <c r="I3821" t="inlineStr"/>
    </row>
    <row r="3822">
      <c r="A3822" s="3" t="n"/>
      <c r="B3822" s="3" t="n"/>
      <c r="C3822" s="3" t="n"/>
      <c r="D3822" s="3" t="n"/>
      <c r="E3822" s="3" t="n"/>
      <c r="F3822" s="3" t="inlineStr"/>
      <c r="G3822" s="3" t="n"/>
      <c r="H3822" s="217" t="inlineStr"/>
      <c r="I3822" t="inlineStr"/>
    </row>
    <row r="3823">
      <c r="A3823" s="3" t="n"/>
      <c r="B3823" s="3" t="n"/>
      <c r="C3823" s="3" t="n"/>
      <c r="D3823" s="3" t="n"/>
      <c r="E3823" s="3" t="n"/>
      <c r="F3823" s="3" t="inlineStr"/>
      <c r="G3823" s="3" t="n"/>
      <c r="H3823" s="217" t="inlineStr"/>
      <c r="I3823" t="inlineStr"/>
    </row>
    <row r="3824">
      <c r="A3824" s="3" t="n"/>
      <c r="B3824" s="3" t="n"/>
      <c r="C3824" s="3" t="n"/>
      <c r="D3824" s="3" t="n"/>
      <c r="E3824" s="3" t="n"/>
      <c r="F3824" s="3" t="inlineStr"/>
      <c r="G3824" s="3" t="n"/>
      <c r="H3824" s="217" t="inlineStr"/>
      <c r="I3824" t="inlineStr"/>
    </row>
    <row r="3825">
      <c r="A3825" s="3" t="n"/>
      <c r="B3825" s="3" t="n"/>
      <c r="C3825" s="3" t="n"/>
      <c r="D3825" s="3" t="n"/>
      <c r="E3825" s="3" t="n"/>
      <c r="F3825" s="3" t="inlineStr"/>
      <c r="G3825" s="3" t="n"/>
      <c r="H3825" s="217" t="inlineStr"/>
      <c r="I3825" t="inlineStr"/>
    </row>
    <row r="3826">
      <c r="A3826" s="3" t="n"/>
      <c r="B3826" s="3" t="n"/>
      <c r="C3826" s="3" t="n"/>
      <c r="D3826" s="3" t="n"/>
      <c r="E3826" s="3" t="n"/>
      <c r="F3826" s="3" t="inlineStr"/>
      <c r="G3826" s="3" t="n"/>
      <c r="H3826" s="217" t="inlineStr"/>
      <c r="I3826" t="inlineStr"/>
    </row>
    <row r="3827">
      <c r="A3827" s="3" t="n"/>
      <c r="B3827" s="3" t="n"/>
      <c r="C3827" s="3" t="n"/>
      <c r="D3827" s="3" t="n"/>
      <c r="E3827" s="3" t="n"/>
      <c r="F3827" s="3" t="inlineStr"/>
      <c r="G3827" s="3" t="n"/>
      <c r="H3827" s="217" t="inlineStr"/>
      <c r="I3827" t="inlineStr"/>
    </row>
    <row r="3828">
      <c r="A3828" s="3" t="n"/>
      <c r="B3828" s="3" t="n"/>
      <c r="C3828" s="3" t="n"/>
      <c r="D3828" s="3" t="n"/>
      <c r="E3828" s="3" t="n"/>
      <c r="F3828" s="3" t="inlineStr"/>
      <c r="G3828" s="3" t="n"/>
      <c r="H3828" s="217" t="inlineStr"/>
      <c r="I3828" t="inlineStr"/>
    </row>
    <row r="3829">
      <c r="A3829" s="3" t="n"/>
      <c r="B3829" s="3" t="n"/>
      <c r="C3829" s="3" t="n"/>
      <c r="D3829" s="3" t="n"/>
      <c r="E3829" s="3" t="n"/>
      <c r="F3829" s="3" t="inlineStr"/>
      <c r="G3829" s="3" t="n"/>
      <c r="H3829" s="217" t="inlineStr"/>
      <c r="I3829" t="inlineStr"/>
    </row>
    <row r="3830">
      <c r="A3830" s="3" t="n"/>
      <c r="B3830" s="3" t="n"/>
      <c r="C3830" s="3" t="n"/>
      <c r="D3830" s="3" t="n"/>
      <c r="E3830" s="3" t="n"/>
      <c r="F3830" s="3" t="inlineStr"/>
      <c r="G3830" s="3" t="n"/>
      <c r="H3830" s="217" t="inlineStr"/>
      <c r="I3830" t="inlineStr"/>
    </row>
    <row r="3831">
      <c r="A3831" s="3" t="n"/>
      <c r="B3831" s="3" t="n"/>
      <c r="C3831" s="3" t="n"/>
      <c r="D3831" s="3" t="n"/>
      <c r="E3831" s="3" t="n"/>
      <c r="F3831" s="3" t="inlineStr"/>
      <c r="G3831" s="3" t="n"/>
      <c r="H3831" s="217" t="inlineStr"/>
      <c r="I3831" t="inlineStr"/>
    </row>
    <row r="3832">
      <c r="A3832" s="3" t="n"/>
      <c r="B3832" s="3" t="n"/>
      <c r="C3832" s="3" t="n"/>
      <c r="D3832" s="3" t="n"/>
      <c r="E3832" s="3" t="n"/>
      <c r="F3832" s="3" t="inlineStr"/>
      <c r="G3832" s="3" t="n"/>
      <c r="H3832" s="217" t="inlineStr"/>
      <c r="I3832" t="inlineStr"/>
    </row>
    <row r="3833">
      <c r="A3833" s="3" t="n"/>
      <c r="B3833" s="3" t="n"/>
      <c r="C3833" s="3" t="n"/>
      <c r="D3833" s="3" t="n"/>
      <c r="E3833" s="3" t="n"/>
      <c r="F3833" s="3" t="inlineStr"/>
      <c r="G3833" s="3" t="n"/>
      <c r="H3833" s="217" t="inlineStr"/>
      <c r="I3833" t="inlineStr"/>
    </row>
    <row r="3834">
      <c r="A3834" s="3" t="n"/>
      <c r="B3834" s="3" t="n"/>
      <c r="C3834" s="3" t="n"/>
      <c r="D3834" s="3" t="n"/>
      <c r="E3834" s="3" t="n"/>
      <c r="F3834" s="3" t="inlineStr"/>
      <c r="G3834" s="3" t="n"/>
      <c r="H3834" s="217" t="inlineStr"/>
      <c r="I3834" t="inlineStr"/>
    </row>
    <row r="3835">
      <c r="A3835" s="3" t="n"/>
      <c r="B3835" s="3" t="n"/>
      <c r="C3835" s="3" t="n"/>
      <c r="D3835" s="3" t="n"/>
      <c r="E3835" s="3" t="n"/>
      <c r="F3835" s="3" t="inlineStr"/>
      <c r="G3835" s="3" t="n"/>
      <c r="H3835" s="217" t="inlineStr"/>
      <c r="I3835" t="inlineStr"/>
    </row>
    <row r="3836">
      <c r="A3836" s="3" t="n"/>
      <c r="B3836" s="3" t="n"/>
      <c r="C3836" s="3" t="n"/>
      <c r="D3836" s="3" t="n"/>
      <c r="E3836" s="3" t="n"/>
      <c r="F3836" s="3" t="inlineStr"/>
      <c r="G3836" s="3" t="n"/>
      <c r="H3836" s="217" t="inlineStr"/>
      <c r="I3836" t="inlineStr"/>
    </row>
    <row r="3837">
      <c r="A3837" s="3" t="n"/>
      <c r="B3837" s="3" t="n"/>
      <c r="C3837" s="3" t="n"/>
      <c r="D3837" s="3" t="n"/>
      <c r="E3837" s="3" t="n"/>
      <c r="F3837" s="3" t="inlineStr"/>
      <c r="G3837" s="3" t="n"/>
      <c r="H3837" s="217" t="inlineStr"/>
      <c r="I3837" t="inlineStr"/>
    </row>
    <row r="3838">
      <c r="A3838" s="3" t="n"/>
      <c r="B3838" s="3" t="n"/>
      <c r="C3838" s="3" t="n"/>
      <c r="D3838" s="3" t="n"/>
      <c r="E3838" s="3" t="n"/>
      <c r="F3838" s="3" t="inlineStr"/>
      <c r="G3838" s="3" t="n"/>
      <c r="H3838" s="217" t="inlineStr"/>
      <c r="I3838" t="inlineStr"/>
    </row>
    <row r="3839">
      <c r="A3839" s="3" t="n"/>
      <c r="B3839" s="3" t="n"/>
      <c r="C3839" s="3" t="n"/>
      <c r="D3839" s="3" t="n"/>
      <c r="E3839" s="3" t="n"/>
      <c r="F3839" s="3" t="inlineStr"/>
      <c r="G3839" s="3" t="n"/>
      <c r="H3839" s="217" t="inlineStr"/>
      <c r="I3839" t="inlineStr"/>
    </row>
    <row r="3840">
      <c r="A3840" s="3" t="n"/>
      <c r="B3840" s="3" t="n"/>
      <c r="C3840" s="3" t="n"/>
      <c r="D3840" s="3" t="n"/>
      <c r="E3840" s="3" t="n"/>
      <c r="F3840" s="3" t="inlineStr"/>
      <c r="G3840" s="3" t="n"/>
      <c r="H3840" s="217" t="inlineStr"/>
      <c r="I3840" t="inlineStr"/>
    </row>
    <row r="3841">
      <c r="A3841" s="3" t="n"/>
      <c r="B3841" s="3" t="n"/>
      <c r="C3841" s="3" t="n"/>
      <c r="D3841" s="3" t="n"/>
      <c r="E3841" s="3" t="n"/>
      <c r="F3841" s="3" t="inlineStr"/>
      <c r="G3841" s="3" t="n"/>
      <c r="H3841" s="217" t="inlineStr"/>
      <c r="I3841" t="inlineStr"/>
    </row>
    <row r="3842">
      <c r="A3842" s="3" t="n"/>
      <c r="B3842" s="3" t="n"/>
      <c r="C3842" s="3" t="n"/>
      <c r="D3842" s="3" t="n"/>
      <c r="E3842" s="3" t="n"/>
      <c r="F3842" s="3" t="inlineStr"/>
      <c r="G3842" s="3" t="n"/>
      <c r="H3842" s="217" t="inlineStr"/>
      <c r="I3842" t="inlineStr"/>
    </row>
    <row r="3843">
      <c r="A3843" s="3" t="n"/>
      <c r="B3843" s="3" t="n"/>
      <c r="C3843" s="3" t="n"/>
      <c r="D3843" s="3" t="n"/>
      <c r="E3843" s="3" t="n"/>
      <c r="F3843" s="3" t="inlineStr"/>
      <c r="G3843" s="3" t="n"/>
      <c r="H3843" s="217" t="inlineStr"/>
      <c r="I3843" t="inlineStr"/>
    </row>
    <row r="3844">
      <c r="A3844" s="3" t="n"/>
      <c r="B3844" s="3" t="n"/>
      <c r="C3844" s="3" t="n"/>
      <c r="D3844" s="3" t="n"/>
      <c r="E3844" s="3" t="n"/>
      <c r="F3844" s="3" t="inlineStr"/>
      <c r="G3844" s="3" t="n"/>
      <c r="H3844" s="217" t="inlineStr"/>
      <c r="I3844" t="inlineStr"/>
    </row>
    <row r="3845">
      <c r="A3845" s="3" t="n"/>
      <c r="B3845" s="3" t="n"/>
      <c r="C3845" s="3" t="n"/>
      <c r="D3845" s="3" t="n"/>
      <c r="E3845" s="3" t="n"/>
      <c r="F3845" s="3" t="inlineStr"/>
      <c r="G3845" s="3" t="n"/>
      <c r="H3845" s="217" t="inlineStr"/>
      <c r="I3845" t="inlineStr"/>
    </row>
    <row r="3846">
      <c r="A3846" s="3" t="n"/>
      <c r="B3846" s="3" t="n"/>
      <c r="C3846" s="3" t="n"/>
      <c r="D3846" s="3" t="n"/>
      <c r="E3846" s="3" t="n"/>
      <c r="F3846" s="3" t="inlineStr"/>
      <c r="G3846" s="3" t="n"/>
      <c r="H3846" s="217" t="inlineStr"/>
      <c r="I3846" t="inlineStr"/>
    </row>
    <row r="3847">
      <c r="A3847" s="3" t="n"/>
      <c r="B3847" s="3" t="n"/>
      <c r="C3847" s="3" t="n"/>
      <c r="D3847" s="3" t="n"/>
      <c r="E3847" s="3" t="n"/>
      <c r="F3847" s="3" t="inlineStr"/>
      <c r="G3847" s="3" t="n"/>
      <c r="H3847" s="217" t="inlineStr"/>
      <c r="I3847" t="inlineStr"/>
    </row>
    <row r="3848">
      <c r="A3848" s="3" t="n"/>
      <c r="B3848" s="3" t="n"/>
      <c r="C3848" s="3" t="n"/>
      <c r="D3848" s="3" t="n"/>
      <c r="E3848" s="3" t="n"/>
      <c r="F3848" s="3" t="inlineStr"/>
      <c r="G3848" s="3" t="n"/>
      <c r="H3848" s="217" t="inlineStr"/>
      <c r="I3848" t="inlineStr"/>
    </row>
    <row r="3849">
      <c r="A3849" s="3" t="n"/>
      <c r="B3849" s="3" t="n"/>
      <c r="C3849" s="3" t="n"/>
      <c r="D3849" s="3" t="n"/>
      <c r="E3849" s="3" t="n"/>
      <c r="F3849" s="3" t="inlineStr"/>
      <c r="G3849" s="3" t="n"/>
      <c r="H3849" s="217" t="inlineStr"/>
      <c r="I3849" t="inlineStr"/>
    </row>
    <row r="3850">
      <c r="A3850" s="3" t="n"/>
      <c r="B3850" s="3" t="n"/>
      <c r="C3850" s="3" t="n"/>
      <c r="D3850" s="3" t="n"/>
      <c r="E3850" s="3" t="n"/>
      <c r="F3850" s="3" t="inlineStr"/>
      <c r="G3850" s="3" t="n"/>
      <c r="H3850" s="217" t="inlineStr"/>
      <c r="I3850" t="inlineStr"/>
    </row>
    <row r="3851">
      <c r="A3851" s="3" t="n"/>
      <c r="B3851" s="3" t="n"/>
      <c r="C3851" s="3" t="n"/>
      <c r="D3851" s="3" t="n"/>
      <c r="E3851" s="3" t="n"/>
      <c r="F3851" s="3" t="inlineStr"/>
      <c r="G3851" s="3" t="n"/>
      <c r="H3851" s="217" t="inlineStr"/>
      <c r="I3851" t="inlineStr"/>
    </row>
    <row r="3852">
      <c r="A3852" s="3" t="n"/>
      <c r="B3852" s="3" t="n"/>
      <c r="C3852" s="3" t="n"/>
      <c r="D3852" s="3" t="n"/>
      <c r="E3852" s="3" t="n"/>
      <c r="F3852" s="3" t="inlineStr"/>
      <c r="G3852" s="3" t="n"/>
      <c r="H3852" s="217" t="inlineStr"/>
      <c r="I3852" t="inlineStr"/>
    </row>
    <row r="3853">
      <c r="A3853" s="3" t="n"/>
      <c r="B3853" s="3" t="n"/>
      <c r="C3853" s="3" t="n"/>
      <c r="D3853" s="3" t="n"/>
      <c r="E3853" s="3" t="n"/>
      <c r="F3853" s="3" t="inlineStr"/>
      <c r="G3853" s="3" t="n"/>
      <c r="H3853" s="217" t="inlineStr"/>
      <c r="I3853" t="inlineStr"/>
    </row>
    <row r="3854">
      <c r="A3854" s="3" t="n"/>
      <c r="B3854" s="3" t="n"/>
      <c r="C3854" s="3" t="n"/>
      <c r="D3854" s="3" t="n"/>
      <c r="E3854" s="3" t="n"/>
      <c r="F3854" s="3" t="inlineStr"/>
      <c r="G3854" s="3" t="n"/>
      <c r="H3854" s="217" t="inlineStr"/>
      <c r="I3854" t="inlineStr"/>
    </row>
    <row r="3855">
      <c r="A3855" s="3" t="n"/>
      <c r="B3855" s="3" t="n"/>
      <c r="C3855" s="3" t="n"/>
      <c r="D3855" s="3" t="n"/>
      <c r="E3855" s="3" t="n"/>
      <c r="F3855" s="3" t="inlineStr"/>
      <c r="G3855" s="3" t="n"/>
      <c r="H3855" s="217" t="inlineStr"/>
      <c r="I3855" t="inlineStr"/>
    </row>
    <row r="3856">
      <c r="A3856" s="3" t="n"/>
      <c r="B3856" s="3" t="n"/>
      <c r="C3856" s="3" t="n"/>
      <c r="D3856" s="3" t="n"/>
      <c r="E3856" s="3" t="n"/>
      <c r="F3856" s="3" t="inlineStr"/>
      <c r="G3856" s="3" t="n"/>
      <c r="H3856" s="217" t="inlineStr"/>
      <c r="I3856" t="inlineStr"/>
    </row>
    <row r="3857">
      <c r="A3857" s="3" t="n"/>
      <c r="B3857" s="3" t="n"/>
      <c r="C3857" s="3" t="n"/>
      <c r="D3857" s="3" t="n"/>
      <c r="E3857" s="3" t="n"/>
      <c r="F3857" s="3" t="inlineStr"/>
      <c r="G3857" s="3" t="n"/>
      <c r="H3857" s="217" t="inlineStr"/>
      <c r="I3857" t="inlineStr"/>
    </row>
    <row r="3858">
      <c r="A3858" s="3" t="n"/>
      <c r="B3858" s="3" t="n"/>
      <c r="C3858" s="3" t="n"/>
      <c r="D3858" s="3" t="n"/>
      <c r="E3858" s="3" t="n"/>
      <c r="F3858" s="3" t="inlineStr"/>
      <c r="G3858" s="3" t="n"/>
      <c r="H3858" s="217" t="inlineStr"/>
      <c r="I3858" t="inlineStr"/>
    </row>
    <row r="3859">
      <c r="A3859" s="3" t="n"/>
      <c r="B3859" s="3" t="n"/>
      <c r="C3859" s="3" t="n"/>
      <c r="D3859" s="3" t="n"/>
      <c r="E3859" s="3" t="n"/>
      <c r="F3859" s="3" t="inlineStr"/>
      <c r="G3859" s="3" t="n"/>
      <c r="H3859" s="217" t="inlineStr"/>
      <c r="I3859" t="inlineStr"/>
    </row>
    <row r="3860">
      <c r="A3860" s="3" t="n"/>
      <c r="B3860" s="3" t="n"/>
      <c r="C3860" s="3" t="n"/>
      <c r="D3860" s="3" t="n"/>
      <c r="E3860" s="3" t="n"/>
      <c r="F3860" s="3" t="inlineStr"/>
      <c r="G3860" s="3" t="n"/>
      <c r="H3860" s="217" t="inlineStr"/>
      <c r="I3860" t="inlineStr"/>
    </row>
    <row r="3861">
      <c r="A3861" s="3" t="n"/>
      <c r="B3861" s="3" t="n"/>
      <c r="C3861" s="3" t="n"/>
      <c r="D3861" s="3" t="n"/>
      <c r="E3861" s="3" t="n"/>
      <c r="F3861" s="3" t="inlineStr"/>
      <c r="G3861" s="3" t="n"/>
      <c r="H3861" s="217" t="inlineStr"/>
      <c r="I3861" t="inlineStr"/>
    </row>
    <row r="3862">
      <c r="A3862" s="3" t="n"/>
      <c r="B3862" s="3" t="n"/>
      <c r="C3862" s="3" t="n"/>
      <c r="D3862" s="3" t="n"/>
      <c r="E3862" s="3" t="n"/>
      <c r="F3862" s="3" t="inlineStr"/>
      <c r="G3862" s="3" t="n"/>
      <c r="H3862" s="217" t="inlineStr"/>
      <c r="I3862" t="inlineStr"/>
    </row>
    <row r="3863">
      <c r="A3863" s="3" t="n"/>
      <c r="B3863" s="3" t="n"/>
      <c r="C3863" s="3" t="n"/>
      <c r="D3863" s="3" t="n"/>
      <c r="E3863" s="3" t="n"/>
      <c r="F3863" s="3" t="inlineStr"/>
      <c r="G3863" s="3" t="n"/>
      <c r="H3863" s="217" t="inlineStr"/>
      <c r="I3863" t="inlineStr"/>
    </row>
    <row r="3864">
      <c r="A3864" s="3" t="n"/>
      <c r="B3864" s="3" t="n"/>
      <c r="C3864" s="3" t="n"/>
      <c r="D3864" s="3" t="n"/>
      <c r="E3864" s="3" t="n"/>
      <c r="F3864" s="3" t="inlineStr"/>
      <c r="G3864" s="3" t="n"/>
      <c r="H3864" s="217" t="inlineStr"/>
      <c r="I3864" t="inlineStr"/>
    </row>
    <row r="3865">
      <c r="A3865" s="3" t="n"/>
      <c r="B3865" s="3" t="n"/>
      <c r="C3865" s="3" t="n"/>
      <c r="D3865" s="3" t="n"/>
      <c r="E3865" s="3" t="n"/>
      <c r="F3865" s="3" t="inlineStr"/>
      <c r="G3865" s="3" t="n"/>
      <c r="H3865" s="217" t="inlineStr"/>
      <c r="I3865" t="inlineStr"/>
    </row>
    <row r="3866">
      <c r="A3866" s="3" t="n"/>
      <c r="B3866" s="3" t="n"/>
      <c r="C3866" s="3" t="n"/>
      <c r="D3866" s="3" t="n"/>
      <c r="E3866" s="3" t="n"/>
      <c r="F3866" s="3" t="inlineStr"/>
      <c r="G3866" s="3" t="n"/>
      <c r="H3866" s="217" t="inlineStr"/>
      <c r="I3866" t="inlineStr"/>
    </row>
    <row r="3867">
      <c r="A3867" s="3" t="n"/>
      <c r="B3867" s="3" t="n"/>
      <c r="C3867" s="3" t="n"/>
      <c r="D3867" s="3" t="n"/>
      <c r="E3867" s="3" t="n"/>
      <c r="F3867" s="3" t="inlineStr"/>
      <c r="G3867" s="3" t="n"/>
      <c r="H3867" s="217" t="inlineStr"/>
      <c r="I3867" t="inlineStr"/>
    </row>
    <row r="3868">
      <c r="A3868" s="3" t="n"/>
      <c r="B3868" s="3" t="n"/>
      <c r="C3868" s="3" t="n"/>
      <c r="D3868" s="3" t="n"/>
      <c r="E3868" s="3" t="n"/>
      <c r="F3868" s="3" t="inlineStr"/>
      <c r="G3868" s="3" t="n"/>
      <c r="H3868" s="217" t="inlineStr"/>
      <c r="I3868" t="inlineStr"/>
    </row>
    <row r="3869">
      <c r="A3869" s="3" t="n"/>
      <c r="B3869" s="3" t="n"/>
      <c r="C3869" s="3" t="n"/>
      <c r="D3869" s="3" t="n"/>
      <c r="E3869" s="3" t="n"/>
      <c r="F3869" s="3" t="inlineStr"/>
      <c r="G3869" s="3" t="n"/>
      <c r="H3869" s="217" t="inlineStr"/>
      <c r="I3869" t="inlineStr"/>
    </row>
    <row r="3870">
      <c r="A3870" s="3" t="n"/>
      <c r="B3870" s="3" t="n"/>
      <c r="C3870" s="3" t="n"/>
      <c r="D3870" s="3" t="n"/>
      <c r="E3870" s="3" t="n"/>
      <c r="F3870" s="3" t="inlineStr"/>
      <c r="G3870" s="3" t="n"/>
      <c r="H3870" s="217" t="inlineStr"/>
      <c r="I3870" t="inlineStr"/>
    </row>
    <row r="3871">
      <c r="A3871" s="3" t="n"/>
      <c r="B3871" s="3" t="n"/>
      <c r="C3871" s="3" t="n"/>
      <c r="D3871" s="3" t="n"/>
      <c r="E3871" s="3" t="n"/>
      <c r="F3871" s="3" t="inlineStr"/>
      <c r="G3871" s="3" t="n"/>
      <c r="H3871" s="217" t="inlineStr"/>
      <c r="I3871" t="inlineStr"/>
    </row>
    <row r="3872">
      <c r="A3872" s="3" t="n"/>
      <c r="B3872" s="3" t="n"/>
      <c r="C3872" s="3" t="n"/>
      <c r="D3872" s="3" t="n"/>
      <c r="E3872" s="3" t="n"/>
      <c r="F3872" s="3" t="inlineStr"/>
      <c r="G3872" s="3" t="n"/>
      <c r="H3872" s="217" t="inlineStr"/>
      <c r="I3872" t="inlineStr"/>
    </row>
    <row r="3873">
      <c r="A3873" s="3" t="n"/>
      <c r="B3873" s="3" t="n"/>
      <c r="C3873" s="3" t="n"/>
      <c r="D3873" s="3" t="n"/>
      <c r="E3873" s="3" t="n"/>
      <c r="F3873" s="3" t="inlineStr"/>
      <c r="G3873" s="3" t="n"/>
      <c r="H3873" s="217" t="inlineStr"/>
      <c r="I3873" t="inlineStr"/>
    </row>
    <row r="3874">
      <c r="A3874" s="3" t="n"/>
      <c r="B3874" s="3" t="n"/>
      <c r="C3874" s="3" t="n"/>
      <c r="D3874" s="3" t="n"/>
      <c r="E3874" s="3" t="n"/>
      <c r="F3874" s="3" t="inlineStr"/>
      <c r="G3874" s="3" t="n"/>
      <c r="H3874" s="217" t="inlineStr"/>
      <c r="I3874" t="inlineStr"/>
    </row>
    <row r="3875">
      <c r="A3875" s="3" t="n"/>
      <c r="B3875" s="3" t="n"/>
      <c r="C3875" s="3" t="n"/>
      <c r="D3875" s="3" t="n"/>
      <c r="E3875" s="3" t="n"/>
      <c r="F3875" s="3" t="inlineStr"/>
      <c r="G3875" s="3" t="n"/>
      <c r="H3875" s="217" t="inlineStr"/>
      <c r="I3875" t="inlineStr"/>
    </row>
    <row r="3876">
      <c r="A3876" s="3" t="n"/>
      <c r="B3876" s="3" t="n"/>
      <c r="C3876" s="3" t="n"/>
      <c r="D3876" s="3" t="n"/>
      <c r="E3876" s="3" t="n"/>
      <c r="F3876" s="3" t="inlineStr"/>
      <c r="G3876" s="3" t="n"/>
      <c r="H3876" s="217" t="inlineStr"/>
      <c r="I3876" t="inlineStr"/>
    </row>
    <row r="3877">
      <c r="A3877" s="3" t="n"/>
      <c r="B3877" s="3" t="n"/>
      <c r="C3877" s="3" t="n"/>
      <c r="D3877" s="3" t="n"/>
      <c r="E3877" s="3" t="n"/>
      <c r="F3877" s="3" t="inlineStr"/>
      <c r="G3877" s="3" t="n"/>
      <c r="H3877" s="217" t="inlineStr"/>
      <c r="I3877" t="inlineStr"/>
    </row>
    <row r="3878">
      <c r="A3878" s="3" t="n"/>
      <c r="B3878" s="3" t="n"/>
      <c r="C3878" s="3" t="n"/>
      <c r="D3878" s="3" t="n"/>
      <c r="E3878" s="3" t="n"/>
      <c r="F3878" s="3" t="inlineStr"/>
      <c r="G3878" s="3" t="n"/>
      <c r="H3878" s="217" t="inlineStr"/>
      <c r="I3878" t="inlineStr"/>
    </row>
    <row r="3879">
      <c r="A3879" s="3" t="n"/>
      <c r="B3879" s="3" t="n"/>
      <c r="C3879" s="3" t="n"/>
      <c r="D3879" s="3" t="n"/>
      <c r="E3879" s="3" t="n"/>
      <c r="F3879" s="3" t="inlineStr"/>
      <c r="G3879" s="3" t="n"/>
      <c r="H3879" s="217" t="inlineStr"/>
      <c r="I3879" t="inlineStr"/>
    </row>
    <row r="3880">
      <c r="A3880" s="3" t="n"/>
      <c r="B3880" s="3" t="n"/>
      <c r="C3880" s="3" t="n"/>
      <c r="D3880" s="3" t="n"/>
      <c r="E3880" s="3" t="n"/>
      <c r="F3880" s="3" t="inlineStr"/>
      <c r="G3880" s="3" t="n"/>
      <c r="H3880" s="217" t="inlineStr"/>
      <c r="I3880" t="inlineStr"/>
    </row>
    <row r="3881">
      <c r="A3881" s="3" t="n"/>
      <c r="B3881" s="3" t="n"/>
      <c r="C3881" s="3" t="n"/>
      <c r="D3881" s="3" t="n"/>
      <c r="E3881" s="3" t="n"/>
      <c r="F3881" s="3" t="inlineStr"/>
      <c r="G3881" s="3" t="n"/>
      <c r="H3881" s="217" t="inlineStr"/>
      <c r="I3881" t="inlineStr"/>
    </row>
    <row r="3882">
      <c r="A3882" s="3" t="n"/>
      <c r="B3882" s="3" t="n"/>
      <c r="C3882" s="3" t="n"/>
      <c r="D3882" s="3" t="n"/>
      <c r="E3882" s="3" t="n"/>
      <c r="F3882" s="3" t="inlineStr"/>
      <c r="G3882" s="3" t="n"/>
      <c r="H3882" s="217" t="inlineStr"/>
      <c r="I3882" t="inlineStr"/>
    </row>
    <row r="3883">
      <c r="A3883" s="3" t="n"/>
      <c r="B3883" s="3" t="n"/>
      <c r="C3883" s="3" t="n"/>
      <c r="D3883" s="3" t="n"/>
      <c r="E3883" s="3" t="n"/>
      <c r="F3883" s="3" t="inlineStr"/>
      <c r="G3883" s="3" t="n"/>
      <c r="H3883" s="217" t="inlineStr"/>
      <c r="I3883" t="inlineStr"/>
    </row>
    <row r="3884">
      <c r="A3884" s="3" t="n"/>
      <c r="B3884" s="3" t="n"/>
      <c r="C3884" s="3" t="n"/>
      <c r="D3884" s="3" t="n"/>
      <c r="E3884" s="3" t="n"/>
      <c r="F3884" s="3" t="inlineStr"/>
      <c r="G3884" s="3" t="n"/>
      <c r="H3884" s="217" t="inlineStr"/>
      <c r="I3884" t="inlineStr"/>
    </row>
    <row r="3885">
      <c r="A3885" s="3" t="n"/>
      <c r="B3885" s="3" t="n"/>
      <c r="C3885" s="3" t="n"/>
      <c r="D3885" s="3" t="n"/>
      <c r="E3885" s="3" t="n"/>
      <c r="F3885" s="3" t="inlineStr"/>
      <c r="G3885" s="3" t="n"/>
      <c r="H3885" s="217" t="inlineStr"/>
      <c r="I3885" t="inlineStr"/>
    </row>
    <row r="3886">
      <c r="A3886" s="3" t="n"/>
      <c r="B3886" s="3" t="n"/>
      <c r="C3886" s="3" t="n"/>
      <c r="D3886" s="3" t="n"/>
      <c r="E3886" s="3" t="n"/>
      <c r="F3886" s="3" t="inlineStr"/>
      <c r="G3886" s="3" t="n"/>
      <c r="H3886" s="217" t="inlineStr"/>
      <c r="I3886" t="inlineStr"/>
    </row>
    <row r="3887">
      <c r="A3887" s="3" t="n"/>
      <c r="B3887" s="3" t="n"/>
      <c r="C3887" s="3" t="n"/>
      <c r="D3887" s="3" t="n"/>
      <c r="E3887" s="3" t="n"/>
      <c r="F3887" s="3" t="inlineStr"/>
      <c r="G3887" s="3" t="n"/>
      <c r="H3887" s="217" t="inlineStr"/>
      <c r="I3887" t="inlineStr"/>
    </row>
    <row r="3888">
      <c r="A3888" s="3" t="n"/>
      <c r="B3888" s="3" t="n"/>
      <c r="C3888" s="3" t="n"/>
      <c r="D3888" s="3" t="n"/>
      <c r="E3888" s="3" t="n"/>
      <c r="F3888" s="3" t="inlineStr"/>
      <c r="G3888" s="3" t="n"/>
      <c r="H3888" s="217" t="inlineStr"/>
      <c r="I3888" t="inlineStr"/>
    </row>
    <row r="3889">
      <c r="A3889" s="3" t="n"/>
      <c r="B3889" s="3" t="n"/>
      <c r="C3889" s="3" t="n"/>
      <c r="D3889" s="3" t="n"/>
      <c r="E3889" s="3" t="n"/>
      <c r="F3889" s="3" t="inlineStr"/>
      <c r="G3889" s="3" t="n"/>
      <c r="H3889" s="217" t="inlineStr"/>
      <c r="I3889" t="inlineStr"/>
    </row>
    <row r="3890">
      <c r="A3890" s="3" t="n"/>
      <c r="B3890" s="3" t="n"/>
      <c r="C3890" s="3" t="n"/>
      <c r="D3890" s="3" t="n"/>
      <c r="E3890" s="3" t="n"/>
      <c r="F3890" s="3" t="inlineStr"/>
      <c r="G3890" s="3" t="n"/>
      <c r="H3890" s="217" t="inlineStr"/>
      <c r="I3890" t="inlineStr"/>
    </row>
    <row r="3891">
      <c r="A3891" s="3" t="n"/>
      <c r="B3891" s="3" t="n"/>
      <c r="C3891" s="3" t="n"/>
      <c r="D3891" s="3" t="n"/>
      <c r="E3891" s="3" t="n"/>
      <c r="F3891" s="3" t="inlineStr"/>
      <c r="G3891" s="3" t="n"/>
      <c r="H3891" s="217" t="inlineStr"/>
      <c r="I3891" t="inlineStr"/>
    </row>
    <row r="3892">
      <c r="A3892" s="3" t="n"/>
      <c r="B3892" s="3" t="n"/>
      <c r="C3892" s="3" t="n"/>
      <c r="D3892" s="3" t="n"/>
      <c r="E3892" s="3" t="n"/>
      <c r="F3892" s="3" t="inlineStr"/>
      <c r="G3892" s="3" t="n"/>
      <c r="H3892" s="217" t="inlineStr"/>
      <c r="I3892" t="inlineStr"/>
    </row>
    <row r="3893">
      <c r="A3893" s="3" t="n"/>
      <c r="B3893" s="3" t="n"/>
      <c r="C3893" s="3" t="n"/>
      <c r="D3893" s="3" t="n"/>
      <c r="E3893" s="3" t="n"/>
      <c r="F3893" s="3" t="inlineStr"/>
      <c r="G3893" s="3" t="n"/>
      <c r="H3893" s="217" t="inlineStr"/>
      <c r="I3893" t="inlineStr"/>
    </row>
    <row r="3894">
      <c r="A3894" s="3" t="n"/>
      <c r="B3894" s="3" t="n"/>
      <c r="C3894" s="3" t="n"/>
      <c r="D3894" s="3" t="n"/>
      <c r="E3894" s="3" t="n"/>
      <c r="F3894" s="3" t="inlineStr"/>
      <c r="G3894" s="3" t="n"/>
      <c r="H3894" s="217" t="inlineStr"/>
      <c r="I3894" t="inlineStr"/>
    </row>
    <row r="3895">
      <c r="A3895" s="3" t="n"/>
      <c r="B3895" s="3" t="n"/>
      <c r="C3895" s="3" t="n"/>
      <c r="D3895" s="3" t="n"/>
      <c r="E3895" s="3" t="n"/>
      <c r="F3895" s="3" t="inlineStr"/>
      <c r="G3895" s="3" t="n"/>
      <c r="H3895" s="217" t="inlineStr"/>
      <c r="I3895" t="inlineStr"/>
    </row>
    <row r="3896">
      <c r="A3896" s="3" t="n"/>
      <c r="B3896" s="3" t="n"/>
      <c r="C3896" s="3" t="n"/>
      <c r="D3896" s="3" t="n"/>
      <c r="E3896" s="3" t="n"/>
      <c r="F3896" s="3" t="inlineStr"/>
      <c r="G3896" s="3" t="n"/>
      <c r="H3896" s="217" t="inlineStr"/>
      <c r="I3896" t="inlineStr"/>
    </row>
    <row r="3897">
      <c r="A3897" s="3" t="n"/>
      <c r="B3897" s="3" t="n"/>
      <c r="C3897" s="3" t="n"/>
      <c r="D3897" s="3" t="n"/>
      <c r="E3897" s="3" t="n"/>
      <c r="F3897" s="3" t="inlineStr"/>
      <c r="G3897" s="3" t="n"/>
      <c r="H3897" s="217" t="inlineStr"/>
      <c r="I3897" t="inlineStr"/>
    </row>
    <row r="3898">
      <c r="A3898" s="3" t="n"/>
      <c r="B3898" s="3" t="n"/>
      <c r="C3898" s="3" t="n"/>
      <c r="D3898" s="3" t="n"/>
      <c r="E3898" s="3" t="n"/>
      <c r="F3898" s="3" t="inlineStr"/>
      <c r="G3898" s="3" t="n"/>
      <c r="H3898" s="217" t="inlineStr"/>
      <c r="I3898" t="inlineStr"/>
    </row>
    <row r="3899">
      <c r="A3899" s="3" t="n"/>
      <c r="B3899" s="3" t="n"/>
      <c r="C3899" s="3" t="n"/>
      <c r="D3899" s="3" t="n"/>
      <c r="E3899" s="3" t="n"/>
      <c r="F3899" s="3" t="inlineStr"/>
      <c r="G3899" s="3" t="n"/>
      <c r="H3899" s="217" t="inlineStr"/>
      <c r="I3899" t="inlineStr"/>
    </row>
    <row r="3900">
      <c r="A3900" s="3" t="n"/>
      <c r="B3900" s="3" t="n"/>
      <c r="C3900" s="3" t="n"/>
      <c r="D3900" s="3" t="n"/>
      <c r="E3900" s="3" t="n"/>
      <c r="F3900" s="3" t="inlineStr"/>
      <c r="G3900" s="3" t="n"/>
      <c r="H3900" s="217" t="inlineStr"/>
      <c r="I3900" t="inlineStr"/>
    </row>
    <row r="3901">
      <c r="A3901" s="3" t="n"/>
      <c r="B3901" s="3" t="n"/>
      <c r="C3901" s="3" t="n"/>
      <c r="D3901" s="3" t="n"/>
      <c r="E3901" s="3" t="n"/>
      <c r="F3901" s="3" t="inlineStr"/>
      <c r="G3901" s="3" t="n"/>
      <c r="H3901" s="217" t="inlineStr"/>
      <c r="I3901" t="inlineStr"/>
    </row>
    <row r="3902">
      <c r="A3902" s="3" t="n"/>
      <c r="B3902" s="3" t="n"/>
      <c r="C3902" s="3" t="n"/>
      <c r="D3902" s="3" t="n"/>
      <c r="E3902" s="3" t="n"/>
      <c r="F3902" s="3" t="inlineStr"/>
      <c r="G3902" s="3" t="n"/>
      <c r="H3902" s="217" t="inlineStr"/>
      <c r="I3902" t="inlineStr"/>
    </row>
    <row r="3903">
      <c r="A3903" s="3" t="n"/>
      <c r="B3903" s="3" t="n"/>
      <c r="C3903" s="3" t="n"/>
      <c r="D3903" s="3" t="n"/>
      <c r="E3903" s="3" t="n"/>
      <c r="F3903" s="3" t="inlineStr"/>
      <c r="G3903" s="3" t="n"/>
      <c r="H3903" s="217" t="inlineStr"/>
      <c r="I3903" t="inlineStr"/>
    </row>
    <row r="3904">
      <c r="A3904" s="3" t="n"/>
      <c r="B3904" s="3" t="n"/>
      <c r="C3904" s="3" t="n"/>
      <c r="D3904" s="3" t="n"/>
      <c r="E3904" s="3" t="n"/>
      <c r="F3904" s="3" t="inlineStr"/>
      <c r="G3904" s="3" t="n"/>
      <c r="H3904" s="217" t="inlineStr"/>
      <c r="I3904" t="inlineStr"/>
    </row>
    <row r="3905">
      <c r="A3905" s="3" t="n"/>
      <c r="B3905" s="3" t="n"/>
      <c r="C3905" s="3" t="n"/>
      <c r="D3905" s="3" t="n"/>
      <c r="E3905" s="3" t="n"/>
      <c r="F3905" s="3" t="inlineStr"/>
      <c r="G3905" s="3" t="n"/>
      <c r="H3905" s="217" t="inlineStr"/>
      <c r="I3905" t="inlineStr"/>
    </row>
    <row r="3906">
      <c r="A3906" s="3" t="n"/>
      <c r="B3906" s="3" t="n"/>
      <c r="C3906" s="3" t="n"/>
      <c r="D3906" s="3" t="n"/>
      <c r="E3906" s="3" t="n"/>
      <c r="F3906" s="3" t="inlineStr"/>
      <c r="G3906" s="3" t="n"/>
      <c r="H3906" s="217" t="inlineStr"/>
      <c r="I3906" t="inlineStr"/>
    </row>
    <row r="3907">
      <c r="A3907" s="3" t="n"/>
      <c r="B3907" s="3" t="n"/>
      <c r="C3907" s="3" t="n"/>
      <c r="D3907" s="3" t="n"/>
      <c r="E3907" s="3" t="n"/>
      <c r="F3907" s="3" t="inlineStr"/>
      <c r="G3907" s="3" t="n"/>
      <c r="H3907" s="217" t="inlineStr"/>
      <c r="I3907" t="inlineStr"/>
    </row>
    <row r="3908">
      <c r="A3908" s="3" t="n"/>
      <c r="B3908" s="3" t="n"/>
      <c r="C3908" s="3" t="n"/>
      <c r="D3908" s="3" t="n"/>
      <c r="E3908" s="3" t="n"/>
      <c r="F3908" s="3" t="inlineStr"/>
      <c r="G3908" s="3" t="n"/>
      <c r="H3908" s="217" t="inlineStr"/>
      <c r="I3908" t="inlineStr"/>
    </row>
    <row r="3909">
      <c r="A3909" s="3" t="n"/>
      <c r="B3909" s="3" t="n"/>
      <c r="C3909" s="3" t="n"/>
      <c r="D3909" s="3" t="n"/>
      <c r="E3909" s="3" t="n"/>
      <c r="F3909" s="3" t="inlineStr"/>
      <c r="G3909" s="3" t="n"/>
      <c r="H3909" s="217" t="inlineStr"/>
      <c r="I3909" t="inlineStr"/>
    </row>
    <row r="3910">
      <c r="A3910" s="3" t="n"/>
      <c r="B3910" s="3" t="n"/>
      <c r="C3910" s="3" t="n"/>
      <c r="D3910" s="3" t="n"/>
      <c r="E3910" s="3" t="n"/>
      <c r="F3910" s="3" t="inlineStr"/>
      <c r="G3910" s="3" t="n"/>
      <c r="H3910" s="217" t="inlineStr"/>
      <c r="I3910" t="inlineStr"/>
    </row>
    <row r="3911">
      <c r="A3911" s="3" t="n"/>
      <c r="B3911" s="3" t="n"/>
      <c r="C3911" s="3" t="n"/>
      <c r="D3911" s="3" t="n"/>
      <c r="E3911" s="3" t="n"/>
      <c r="F3911" s="3" t="inlineStr"/>
      <c r="G3911" s="3" t="n"/>
      <c r="H3911" s="217" t="inlineStr"/>
      <c r="I3911" t="inlineStr"/>
    </row>
    <row r="3912">
      <c r="A3912" s="3" t="n"/>
      <c r="B3912" s="3" t="n"/>
      <c r="C3912" s="3" t="n"/>
      <c r="D3912" s="3" t="n"/>
      <c r="E3912" s="3" t="n"/>
      <c r="F3912" s="3" t="inlineStr"/>
      <c r="G3912" s="3" t="n"/>
      <c r="H3912" s="217" t="inlineStr"/>
      <c r="I3912" t="inlineStr"/>
    </row>
    <row r="3913">
      <c r="A3913" s="3" t="n"/>
      <c r="B3913" s="3" t="n"/>
      <c r="C3913" s="3" t="n"/>
      <c r="D3913" s="3" t="n"/>
      <c r="E3913" s="3" t="n"/>
      <c r="F3913" s="3" t="inlineStr"/>
      <c r="G3913" s="3" t="n"/>
      <c r="H3913" s="217" t="inlineStr"/>
      <c r="I3913" t="inlineStr"/>
    </row>
    <row r="3914">
      <c r="A3914" s="3" t="n"/>
      <c r="B3914" s="3" t="n"/>
      <c r="C3914" s="3" t="n"/>
      <c r="D3914" s="3" t="n"/>
      <c r="E3914" s="3" t="n"/>
      <c r="F3914" s="3" t="inlineStr"/>
      <c r="G3914" s="3" t="n"/>
      <c r="H3914" s="217" t="inlineStr"/>
      <c r="I3914" t="inlineStr"/>
    </row>
    <row r="3915">
      <c r="A3915" s="3" t="n"/>
      <c r="B3915" s="3" t="n"/>
      <c r="C3915" s="3" t="n"/>
      <c r="D3915" s="3" t="n"/>
      <c r="E3915" s="3" t="n"/>
      <c r="F3915" s="3" t="inlineStr"/>
      <c r="G3915" s="3" t="n"/>
      <c r="H3915" s="217" t="inlineStr"/>
      <c r="I3915" t="inlineStr"/>
    </row>
    <row r="3916">
      <c r="A3916" s="3" t="n"/>
      <c r="B3916" s="3" t="n"/>
      <c r="C3916" s="3" t="n"/>
      <c r="D3916" s="3" t="n"/>
      <c r="E3916" s="3" t="n"/>
      <c r="F3916" s="3" t="inlineStr"/>
      <c r="G3916" s="3" t="n"/>
      <c r="H3916" s="217" t="inlineStr"/>
      <c r="I3916" t="inlineStr"/>
    </row>
    <row r="3917">
      <c r="A3917" s="3" t="n"/>
      <c r="B3917" s="3" t="n"/>
      <c r="C3917" s="3" t="n"/>
      <c r="D3917" s="3" t="n"/>
      <c r="E3917" s="3" t="n"/>
      <c r="F3917" s="3" t="inlineStr"/>
      <c r="G3917" s="3" t="n"/>
      <c r="H3917" s="217" t="inlineStr"/>
      <c r="I3917" t="inlineStr"/>
    </row>
    <row r="3918">
      <c r="A3918" s="3" t="n"/>
      <c r="B3918" s="3" t="n"/>
      <c r="C3918" s="3" t="n"/>
      <c r="D3918" s="3" t="n"/>
      <c r="E3918" s="3" t="n"/>
      <c r="F3918" s="3" t="inlineStr"/>
      <c r="G3918" s="3" t="n"/>
      <c r="H3918" s="217" t="inlineStr"/>
      <c r="I3918" t="inlineStr"/>
    </row>
    <row r="3919">
      <c r="A3919" s="3" t="n"/>
      <c r="B3919" s="3" t="n"/>
      <c r="C3919" s="3" t="n"/>
      <c r="D3919" s="3" t="n"/>
      <c r="E3919" s="3" t="n"/>
      <c r="F3919" s="3" t="inlineStr"/>
      <c r="G3919" s="3" t="n"/>
      <c r="H3919" s="217" t="inlineStr"/>
      <c r="I3919" t="inlineStr"/>
    </row>
    <row r="3920">
      <c r="A3920" s="3" t="n"/>
      <c r="B3920" s="3" t="n"/>
      <c r="C3920" s="3" t="n"/>
      <c r="D3920" s="3" t="n"/>
      <c r="E3920" s="3" t="n"/>
      <c r="F3920" s="3" t="inlineStr"/>
      <c r="G3920" s="3" t="n"/>
      <c r="H3920" s="217" t="inlineStr"/>
      <c r="I3920" t="inlineStr"/>
    </row>
    <row r="3921">
      <c r="A3921" s="3" t="n"/>
      <c r="B3921" s="3" t="n"/>
      <c r="C3921" s="3" t="n"/>
      <c r="D3921" s="3" t="n"/>
      <c r="E3921" s="3" t="n"/>
      <c r="F3921" s="3" t="inlineStr"/>
      <c r="G3921" s="3" t="n"/>
      <c r="H3921" s="217" t="inlineStr"/>
      <c r="I3921" t="inlineStr"/>
    </row>
    <row r="3922">
      <c r="A3922" s="3" t="n"/>
      <c r="B3922" s="3" t="n"/>
      <c r="C3922" s="3" t="n"/>
      <c r="D3922" s="3" t="n"/>
      <c r="E3922" s="3" t="n"/>
      <c r="F3922" s="3" t="inlineStr"/>
      <c r="G3922" s="3" t="n"/>
      <c r="H3922" s="217" t="inlineStr"/>
      <c r="I3922" t="inlineStr"/>
    </row>
    <row r="3923">
      <c r="A3923" s="3" t="n"/>
      <c r="B3923" s="3" t="n"/>
      <c r="C3923" s="3" t="n"/>
      <c r="D3923" s="3" t="n"/>
      <c r="E3923" s="3" t="n"/>
      <c r="F3923" s="3" t="inlineStr"/>
      <c r="G3923" s="3" t="n"/>
      <c r="H3923" s="217" t="inlineStr"/>
      <c r="I3923" t="inlineStr"/>
    </row>
    <row r="3924">
      <c r="A3924" s="3" t="n"/>
      <c r="B3924" s="3" t="n"/>
      <c r="C3924" s="3" t="n"/>
      <c r="D3924" s="3" t="n"/>
      <c r="E3924" s="3" t="n"/>
      <c r="F3924" s="3" t="inlineStr"/>
      <c r="G3924" s="3" t="n"/>
      <c r="H3924" s="217" t="inlineStr"/>
      <c r="I3924" t="inlineStr"/>
    </row>
    <row r="3925">
      <c r="A3925" s="3" t="n"/>
      <c r="B3925" s="3" t="n"/>
      <c r="C3925" s="3" t="n"/>
      <c r="D3925" s="3" t="n"/>
      <c r="E3925" s="3" t="n"/>
      <c r="F3925" s="3" t="inlineStr"/>
      <c r="G3925" s="3" t="n"/>
      <c r="H3925" s="217" t="inlineStr"/>
      <c r="I3925" t="inlineStr"/>
    </row>
    <row r="3926">
      <c r="A3926" s="3" t="n"/>
      <c r="B3926" s="3" t="n"/>
      <c r="C3926" s="3" t="n"/>
      <c r="D3926" s="3" t="n"/>
      <c r="E3926" s="3" t="n"/>
      <c r="F3926" s="3" t="inlineStr"/>
      <c r="G3926" s="3" t="n"/>
      <c r="H3926" s="217" t="inlineStr"/>
      <c r="I3926" t="inlineStr"/>
    </row>
    <row r="3927">
      <c r="A3927" s="3" t="n"/>
      <c r="B3927" s="3" t="n"/>
      <c r="C3927" s="3" t="n"/>
      <c r="D3927" s="3" t="n"/>
      <c r="E3927" s="3" t="n"/>
      <c r="F3927" s="3" t="inlineStr"/>
      <c r="G3927" s="3" t="n"/>
      <c r="H3927" s="217" t="inlineStr"/>
      <c r="I3927" t="inlineStr"/>
    </row>
    <row r="3928">
      <c r="A3928" s="3" t="n"/>
      <c r="B3928" s="3" t="n"/>
      <c r="C3928" s="3" t="n"/>
      <c r="D3928" s="3" t="n"/>
      <c r="E3928" s="3" t="n"/>
      <c r="F3928" s="3" t="inlineStr"/>
      <c r="G3928" s="3" t="n"/>
      <c r="H3928" s="217" t="inlineStr"/>
      <c r="I3928" t="inlineStr"/>
    </row>
    <row r="3929">
      <c r="A3929" s="3" t="n"/>
      <c r="B3929" s="3" t="n"/>
      <c r="C3929" s="3" t="n"/>
      <c r="D3929" s="3" t="n"/>
      <c r="E3929" s="3" t="n"/>
      <c r="F3929" s="3" t="inlineStr"/>
      <c r="G3929" s="3" t="n"/>
      <c r="H3929" s="217" t="inlineStr"/>
      <c r="I3929" t="inlineStr"/>
    </row>
    <row r="3930">
      <c r="A3930" s="3" t="n"/>
      <c r="B3930" s="3" t="n"/>
      <c r="C3930" s="3" t="n"/>
      <c r="D3930" s="3" t="n"/>
      <c r="E3930" s="3" t="n"/>
      <c r="F3930" s="3" t="inlineStr"/>
      <c r="G3930" s="3" t="n"/>
      <c r="H3930" s="217" t="inlineStr"/>
      <c r="I3930" t="inlineStr"/>
    </row>
    <row r="3931">
      <c r="A3931" s="3" t="n"/>
      <c r="B3931" s="3" t="n"/>
      <c r="C3931" s="3" t="n"/>
      <c r="D3931" s="3" t="n"/>
      <c r="E3931" s="3" t="n"/>
      <c r="F3931" s="3" t="inlineStr"/>
      <c r="G3931" s="3" t="n"/>
      <c r="H3931" s="217" t="inlineStr"/>
      <c r="I3931" t="inlineStr"/>
    </row>
    <row r="3932">
      <c r="A3932" s="3" t="n"/>
      <c r="B3932" s="3" t="n"/>
      <c r="C3932" s="3" t="n"/>
      <c r="D3932" s="3" t="n"/>
      <c r="E3932" s="3" t="n"/>
      <c r="F3932" s="3" t="inlineStr"/>
      <c r="G3932" s="3" t="n"/>
      <c r="H3932" s="217" t="inlineStr"/>
      <c r="I3932" t="inlineStr"/>
    </row>
    <row r="3933">
      <c r="A3933" s="3" t="n"/>
      <c r="B3933" s="3" t="n"/>
      <c r="C3933" s="3" t="n"/>
      <c r="D3933" s="3" t="n"/>
      <c r="E3933" s="3" t="n"/>
      <c r="F3933" s="3" t="inlineStr"/>
      <c r="G3933" s="3" t="n"/>
      <c r="H3933" s="217" t="inlineStr"/>
      <c r="I3933" t="inlineStr"/>
    </row>
    <row r="3934">
      <c r="A3934" s="3" t="n"/>
      <c r="B3934" s="3" t="n"/>
      <c r="C3934" s="3" t="n"/>
      <c r="D3934" s="3" t="n"/>
      <c r="E3934" s="3" t="n"/>
      <c r="F3934" s="3" t="inlineStr"/>
      <c r="G3934" s="3" t="n"/>
      <c r="H3934" s="217" t="inlineStr"/>
      <c r="I3934" t="inlineStr"/>
    </row>
    <row r="3935">
      <c r="A3935" s="3" t="n"/>
      <c r="B3935" s="3" t="n"/>
      <c r="C3935" s="3" t="n"/>
      <c r="D3935" s="3" t="n"/>
      <c r="E3935" s="3" t="n"/>
      <c r="F3935" s="3" t="inlineStr"/>
      <c r="G3935" s="3" t="n"/>
      <c r="H3935" s="217" t="inlineStr"/>
      <c r="I3935" t="inlineStr"/>
    </row>
    <row r="3936">
      <c r="A3936" s="3" t="n"/>
      <c r="B3936" s="3" t="n"/>
      <c r="C3936" s="3" t="n"/>
      <c r="D3936" s="3" t="n"/>
      <c r="E3936" s="3" t="n"/>
      <c r="F3936" s="3" t="inlineStr"/>
      <c r="G3936" s="3" t="n"/>
      <c r="H3936" s="217" t="inlineStr"/>
      <c r="I3936" t="inlineStr"/>
    </row>
    <row r="3937">
      <c r="A3937" s="3" t="n"/>
      <c r="B3937" s="3" t="n"/>
      <c r="C3937" s="3" t="n"/>
      <c r="D3937" s="3" t="n"/>
      <c r="E3937" s="3" t="n"/>
      <c r="F3937" s="3" t="inlineStr"/>
      <c r="G3937" s="3" t="n"/>
      <c r="H3937" s="217" t="inlineStr"/>
      <c r="I3937" t="inlineStr"/>
    </row>
    <row r="3938">
      <c r="A3938" s="3" t="n"/>
      <c r="B3938" s="3" t="n"/>
      <c r="C3938" s="3" t="n"/>
      <c r="D3938" s="3" t="n"/>
      <c r="E3938" s="3" t="n"/>
      <c r="F3938" s="3" t="inlineStr"/>
      <c r="G3938" s="3" t="n"/>
      <c r="H3938" s="217" t="inlineStr"/>
      <c r="I3938" t="inlineStr"/>
    </row>
    <row r="3939">
      <c r="A3939" s="3" t="n"/>
      <c r="B3939" s="3" t="n"/>
      <c r="C3939" s="3" t="n"/>
      <c r="D3939" s="3" t="n"/>
      <c r="E3939" s="3" t="n"/>
      <c r="F3939" s="3" t="inlineStr"/>
      <c r="G3939" s="3" t="n"/>
      <c r="H3939" s="217" t="inlineStr"/>
      <c r="I3939" t="inlineStr"/>
    </row>
    <row r="3940">
      <c r="A3940" s="3" t="n"/>
      <c r="B3940" s="3" t="n"/>
      <c r="C3940" s="3" t="n"/>
      <c r="D3940" s="3" t="n"/>
      <c r="E3940" s="3" t="n"/>
      <c r="F3940" s="3" t="inlineStr"/>
      <c r="G3940" s="3" t="n"/>
      <c r="H3940" s="217" t="inlineStr"/>
      <c r="I3940" t="inlineStr"/>
    </row>
    <row r="3941">
      <c r="A3941" s="3" t="n"/>
      <c r="B3941" s="3" t="n"/>
      <c r="C3941" s="3" t="n"/>
      <c r="D3941" s="3" t="n"/>
      <c r="E3941" s="3" t="n"/>
      <c r="F3941" s="3" t="inlineStr"/>
      <c r="G3941" s="3" t="n"/>
      <c r="H3941" s="217" t="inlineStr"/>
      <c r="I3941" t="inlineStr"/>
    </row>
    <row r="3942">
      <c r="A3942" s="3" t="n"/>
      <c r="B3942" s="3" t="n"/>
      <c r="C3942" s="3" t="n"/>
      <c r="D3942" s="3" t="n"/>
      <c r="E3942" s="3" t="n"/>
      <c r="F3942" s="3" t="inlineStr"/>
      <c r="G3942" s="3" t="n"/>
      <c r="H3942" s="217" t="inlineStr"/>
      <c r="I3942" t="inlineStr"/>
    </row>
    <row r="3943">
      <c r="A3943" s="3" t="n"/>
      <c r="B3943" s="3" t="n"/>
      <c r="C3943" s="3" t="n"/>
      <c r="D3943" s="3" t="n"/>
      <c r="E3943" s="3" t="n"/>
      <c r="F3943" s="3" t="inlineStr"/>
      <c r="G3943" s="3" t="n"/>
      <c r="H3943" s="217" t="inlineStr"/>
      <c r="I3943" t="inlineStr"/>
    </row>
    <row r="3944">
      <c r="A3944" s="3" t="n"/>
      <c r="B3944" s="3" t="n"/>
      <c r="C3944" s="3" t="n"/>
      <c r="D3944" s="3" t="n"/>
      <c r="E3944" s="3" t="n"/>
      <c r="F3944" s="3" t="inlineStr"/>
      <c r="G3944" s="3" t="n"/>
      <c r="H3944" s="217" t="inlineStr"/>
      <c r="I3944" t="inlineStr"/>
    </row>
    <row r="3945">
      <c r="A3945" s="3" t="n"/>
      <c r="B3945" s="3" t="n"/>
      <c r="C3945" s="3" t="n"/>
      <c r="D3945" s="3" t="n"/>
      <c r="E3945" s="3" t="n"/>
      <c r="F3945" s="3" t="inlineStr"/>
      <c r="G3945" s="3" t="n"/>
      <c r="H3945" s="217" t="inlineStr"/>
      <c r="I3945" t="inlineStr"/>
    </row>
    <row r="3946">
      <c r="A3946" s="3" t="n"/>
      <c r="B3946" s="3" t="n"/>
      <c r="C3946" s="3" t="n"/>
      <c r="D3946" s="3" t="n"/>
      <c r="E3946" s="3" t="n"/>
      <c r="F3946" s="3" t="inlineStr"/>
      <c r="G3946" s="3" t="n"/>
      <c r="H3946" s="217" t="inlineStr"/>
      <c r="I3946" t="inlineStr"/>
    </row>
    <row r="3947">
      <c r="A3947" s="3" t="n"/>
      <c r="B3947" s="3" t="n"/>
      <c r="C3947" s="3" t="n"/>
      <c r="D3947" s="3" t="n"/>
      <c r="E3947" s="3" t="n"/>
      <c r="F3947" s="3" t="inlineStr"/>
      <c r="G3947" s="3" t="n"/>
      <c r="H3947" s="217" t="inlineStr"/>
      <c r="I3947" t="inlineStr"/>
    </row>
    <row r="3948">
      <c r="A3948" s="3" t="n"/>
      <c r="B3948" s="3" t="n"/>
      <c r="C3948" s="3" t="n"/>
      <c r="D3948" s="3" t="n"/>
      <c r="E3948" s="3" t="n"/>
      <c r="F3948" s="3" t="inlineStr"/>
      <c r="G3948" s="3" t="n"/>
      <c r="H3948" s="217" t="inlineStr"/>
      <c r="I3948" t="inlineStr"/>
    </row>
    <row r="3949">
      <c r="A3949" s="3" t="n"/>
      <c r="B3949" s="3" t="n"/>
      <c r="C3949" s="3" t="n"/>
      <c r="D3949" s="3" t="n"/>
      <c r="E3949" s="3" t="n"/>
      <c r="F3949" s="3" t="inlineStr"/>
      <c r="G3949" s="3" t="n"/>
      <c r="H3949" s="217" t="inlineStr"/>
      <c r="I3949" t="inlineStr"/>
    </row>
    <row r="3950">
      <c r="A3950" s="3" t="n"/>
      <c r="B3950" s="3" t="n"/>
      <c r="C3950" s="3" t="n"/>
      <c r="D3950" s="3" t="n"/>
      <c r="E3950" s="3" t="n"/>
      <c r="F3950" s="3" t="inlineStr"/>
      <c r="G3950" s="3" t="n"/>
      <c r="H3950" s="217" t="inlineStr"/>
      <c r="I3950" t="inlineStr"/>
    </row>
    <row r="3951">
      <c r="A3951" s="3" t="n"/>
      <c r="B3951" s="3" t="n"/>
      <c r="C3951" s="3" t="n"/>
      <c r="D3951" s="3" t="n"/>
      <c r="E3951" s="3" t="n"/>
      <c r="F3951" s="3" t="inlineStr"/>
      <c r="G3951" s="3" t="n"/>
      <c r="H3951" s="217" t="inlineStr"/>
      <c r="I3951" t="inlineStr"/>
    </row>
    <row r="3952">
      <c r="A3952" s="3" t="n"/>
      <c r="B3952" s="3" t="n"/>
      <c r="C3952" s="3" t="n"/>
      <c r="D3952" s="3" t="n"/>
      <c r="E3952" s="3" t="n"/>
      <c r="F3952" s="3" t="inlineStr"/>
      <c r="G3952" s="3" t="n"/>
      <c r="H3952" s="217" t="inlineStr"/>
      <c r="I3952" t="inlineStr"/>
    </row>
    <row r="3953">
      <c r="A3953" s="3" t="n"/>
      <c r="B3953" s="3" t="n"/>
      <c r="C3953" s="3" t="n"/>
      <c r="D3953" s="3" t="n"/>
      <c r="E3953" s="3" t="n"/>
      <c r="F3953" s="3" t="inlineStr"/>
      <c r="G3953" s="3" t="n"/>
      <c r="H3953" s="217" t="inlineStr"/>
      <c r="I3953" t="inlineStr"/>
    </row>
    <row r="3954">
      <c r="A3954" s="3" t="n"/>
      <c r="B3954" s="3" t="n"/>
      <c r="C3954" s="3" t="n"/>
      <c r="D3954" s="3" t="n"/>
      <c r="E3954" s="3" t="n"/>
      <c r="F3954" s="3" t="inlineStr"/>
      <c r="G3954" s="3" t="n"/>
      <c r="H3954" s="217" t="inlineStr"/>
      <c r="I3954" t="inlineStr"/>
    </row>
    <row r="3955">
      <c r="A3955" s="3" t="n"/>
      <c r="B3955" s="3" t="n"/>
      <c r="C3955" s="3" t="n"/>
      <c r="D3955" s="3" t="n"/>
      <c r="E3955" s="3" t="n"/>
      <c r="F3955" s="3" t="inlineStr"/>
      <c r="G3955" s="3" t="n"/>
      <c r="H3955" s="217" t="inlineStr"/>
      <c r="I3955" t="inlineStr"/>
    </row>
    <row r="3956">
      <c r="A3956" s="3" t="n"/>
      <c r="B3956" s="3" t="n"/>
      <c r="C3956" s="3" t="n"/>
      <c r="D3956" s="3" t="n"/>
      <c r="E3956" s="3" t="n"/>
      <c r="F3956" s="3" t="inlineStr"/>
      <c r="G3956" s="3" t="n"/>
      <c r="H3956" s="217" t="inlineStr"/>
      <c r="I3956" t="inlineStr"/>
    </row>
    <row r="3957">
      <c r="A3957" s="3" t="n"/>
      <c r="B3957" s="3" t="n"/>
      <c r="C3957" s="3" t="n"/>
      <c r="D3957" s="3" t="n"/>
      <c r="E3957" s="3" t="n"/>
      <c r="F3957" s="3" t="inlineStr"/>
      <c r="G3957" s="3" t="n"/>
      <c r="H3957" s="217" t="inlineStr"/>
      <c r="I3957" t="inlineStr"/>
    </row>
    <row r="3958">
      <c r="A3958" s="3" t="n"/>
      <c r="B3958" s="3" t="n"/>
      <c r="C3958" s="3" t="n"/>
      <c r="D3958" s="3" t="n"/>
      <c r="E3958" s="3" t="n"/>
      <c r="F3958" s="3" t="inlineStr"/>
      <c r="G3958" s="3" t="n"/>
      <c r="H3958" s="217" t="inlineStr"/>
      <c r="I3958" t="inlineStr"/>
    </row>
    <row r="3959">
      <c r="A3959" s="3" t="n"/>
      <c r="B3959" s="3" t="n"/>
      <c r="C3959" s="3" t="n"/>
      <c r="D3959" s="3" t="n"/>
      <c r="E3959" s="3" t="n"/>
      <c r="F3959" s="3" t="inlineStr"/>
      <c r="G3959" s="3" t="n"/>
      <c r="H3959" s="217" t="inlineStr"/>
      <c r="I3959" t="inlineStr"/>
    </row>
    <row r="3960">
      <c r="A3960" s="3" t="n"/>
      <c r="B3960" s="3" t="n"/>
      <c r="C3960" s="3" t="n"/>
      <c r="D3960" s="3" t="n"/>
      <c r="E3960" s="3" t="n"/>
      <c r="F3960" s="3" t="inlineStr"/>
      <c r="G3960" s="3" t="n"/>
      <c r="H3960" s="217" t="inlineStr"/>
      <c r="I3960" t="inlineStr"/>
    </row>
    <row r="3961">
      <c r="A3961" s="3" t="n"/>
      <c r="B3961" s="3" t="n"/>
      <c r="C3961" s="3" t="n"/>
      <c r="D3961" s="3" t="n"/>
      <c r="E3961" s="3" t="n"/>
      <c r="F3961" s="3" t="inlineStr"/>
      <c r="G3961" s="3" t="n"/>
      <c r="H3961" s="217" t="inlineStr"/>
      <c r="I3961" t="inlineStr"/>
    </row>
    <row r="3962">
      <c r="A3962" s="3" t="n"/>
      <c r="B3962" s="3" t="n"/>
      <c r="C3962" s="3" t="n"/>
      <c r="D3962" s="3" t="n"/>
      <c r="E3962" s="3" t="n"/>
      <c r="F3962" s="3" t="inlineStr"/>
      <c r="G3962" s="3" t="n"/>
      <c r="H3962" s="217" t="inlineStr"/>
      <c r="I3962" t="inlineStr"/>
    </row>
    <row r="3963">
      <c r="A3963" s="3" t="n"/>
      <c r="B3963" s="3" t="n"/>
      <c r="C3963" s="3" t="n"/>
      <c r="D3963" s="3" t="n"/>
      <c r="E3963" s="3" t="n"/>
      <c r="F3963" s="3" t="inlineStr"/>
      <c r="G3963" s="3" t="n"/>
      <c r="H3963" s="217" t="inlineStr"/>
      <c r="I3963" t="inlineStr"/>
    </row>
    <row r="3964">
      <c r="A3964" s="3" t="n"/>
      <c r="B3964" s="3" t="n"/>
      <c r="C3964" s="3" t="n"/>
      <c r="D3964" s="3" t="n"/>
      <c r="E3964" s="3" t="n"/>
      <c r="F3964" s="3" t="inlineStr"/>
      <c r="G3964" s="3" t="n"/>
      <c r="H3964" s="217" t="inlineStr"/>
      <c r="I3964" t="inlineStr"/>
    </row>
    <row r="3965">
      <c r="A3965" s="3" t="n"/>
      <c r="B3965" s="3" t="n"/>
      <c r="C3965" s="3" t="n"/>
      <c r="D3965" s="3" t="n"/>
      <c r="E3965" s="3" t="n"/>
      <c r="F3965" s="3" t="inlineStr"/>
      <c r="G3965" s="3" t="n"/>
      <c r="H3965" s="217" t="inlineStr"/>
      <c r="I3965" t="inlineStr"/>
    </row>
    <row r="3966">
      <c r="A3966" s="3" t="n"/>
      <c r="B3966" s="3" t="n"/>
      <c r="C3966" s="3" t="n"/>
      <c r="D3966" s="3" t="n"/>
      <c r="E3966" s="3" t="n"/>
      <c r="F3966" s="3" t="inlineStr"/>
      <c r="G3966" s="3" t="n"/>
      <c r="H3966" s="217" t="inlineStr"/>
      <c r="I3966" t="inlineStr"/>
    </row>
    <row r="3967">
      <c r="A3967" s="3" t="n"/>
      <c r="B3967" s="3" t="n"/>
      <c r="C3967" s="3" t="n"/>
      <c r="D3967" s="3" t="n"/>
      <c r="E3967" s="3" t="n"/>
      <c r="F3967" s="3" t="inlineStr"/>
      <c r="G3967" s="3" t="n"/>
      <c r="H3967" s="217" t="inlineStr"/>
      <c r="I3967" t="inlineStr"/>
    </row>
    <row r="3968">
      <c r="A3968" s="3" t="n"/>
      <c r="B3968" s="3" t="n"/>
      <c r="C3968" s="3" t="n"/>
      <c r="D3968" s="3" t="n"/>
      <c r="E3968" s="3" t="n"/>
      <c r="F3968" s="3" t="inlineStr"/>
      <c r="G3968" s="3" t="n"/>
      <c r="H3968" s="217" t="inlineStr"/>
      <c r="I3968" t="inlineStr"/>
    </row>
    <row r="3969">
      <c r="A3969" s="3" t="n"/>
      <c r="B3969" s="3" t="n"/>
      <c r="C3969" s="3" t="n"/>
      <c r="D3969" s="3" t="n"/>
      <c r="E3969" s="3" t="n"/>
      <c r="F3969" s="3" t="inlineStr"/>
      <c r="G3969" s="3" t="n"/>
      <c r="H3969" s="217" t="inlineStr"/>
      <c r="I3969" t="inlineStr"/>
    </row>
    <row r="3970">
      <c r="A3970" s="3" t="n"/>
      <c r="B3970" s="3" t="n"/>
      <c r="C3970" s="3" t="n"/>
      <c r="D3970" s="3" t="n"/>
      <c r="E3970" s="3" t="n"/>
      <c r="F3970" s="3" t="inlineStr"/>
      <c r="G3970" s="3" t="n"/>
      <c r="H3970" s="217" t="inlineStr"/>
      <c r="I3970" t="inlineStr"/>
    </row>
    <row r="3971">
      <c r="A3971" s="3" t="n"/>
      <c r="B3971" s="3" t="n"/>
      <c r="C3971" s="3" t="n"/>
      <c r="D3971" s="3" t="n"/>
      <c r="E3971" s="3" t="n"/>
      <c r="F3971" s="3" t="inlineStr"/>
      <c r="G3971" s="3" t="n"/>
      <c r="H3971" s="217" t="inlineStr"/>
      <c r="I3971" t="inlineStr"/>
    </row>
    <row r="3972">
      <c r="A3972" s="3" t="n"/>
      <c r="B3972" s="3" t="n"/>
      <c r="C3972" s="3" t="n"/>
      <c r="D3972" s="3" t="n"/>
      <c r="E3972" s="3" t="n"/>
      <c r="F3972" s="3" t="inlineStr"/>
      <c r="G3972" s="3" t="n"/>
      <c r="H3972" s="217" t="inlineStr"/>
      <c r="I3972" t="inlineStr"/>
    </row>
    <row r="3973">
      <c r="A3973" s="3" t="n"/>
      <c r="B3973" s="3" t="n"/>
      <c r="C3973" s="3" t="n"/>
      <c r="D3973" s="3" t="n"/>
      <c r="E3973" s="3" t="n"/>
      <c r="F3973" s="3" t="inlineStr"/>
      <c r="G3973" s="3" t="n"/>
      <c r="H3973" s="217" t="inlineStr"/>
      <c r="I3973" t="inlineStr"/>
    </row>
    <row r="3974">
      <c r="A3974" s="3" t="n"/>
      <c r="B3974" s="3" t="n"/>
      <c r="C3974" s="3" t="n"/>
      <c r="D3974" s="3" t="n"/>
      <c r="E3974" s="3" t="n"/>
      <c r="F3974" s="3" t="inlineStr"/>
      <c r="G3974" s="3" t="n"/>
      <c r="H3974" s="217" t="inlineStr"/>
      <c r="I3974" t="inlineStr"/>
    </row>
    <row r="3975">
      <c r="A3975" s="3" t="n"/>
      <c r="B3975" s="3" t="n"/>
      <c r="C3975" s="3" t="n"/>
      <c r="D3975" s="3" t="n"/>
      <c r="E3975" s="3" t="n"/>
      <c r="F3975" s="3" t="inlineStr"/>
      <c r="G3975" s="3" t="n"/>
      <c r="H3975" s="217" t="inlineStr"/>
      <c r="I3975" t="inlineStr"/>
    </row>
    <row r="3976">
      <c r="A3976" s="3" t="n"/>
      <c r="B3976" s="3" t="n"/>
      <c r="C3976" s="3" t="n"/>
      <c r="D3976" s="3" t="n"/>
      <c r="E3976" s="3" t="n"/>
      <c r="F3976" s="3" t="inlineStr"/>
      <c r="G3976" s="3" t="n"/>
      <c r="H3976" s="217" t="inlineStr"/>
      <c r="I3976" t="inlineStr"/>
    </row>
    <row r="3977">
      <c r="A3977" s="3" t="n"/>
      <c r="B3977" s="3" t="n"/>
      <c r="C3977" s="3" t="n"/>
      <c r="D3977" s="3" t="n"/>
      <c r="E3977" s="3" t="n"/>
      <c r="F3977" s="3" t="inlineStr"/>
      <c r="G3977" s="3" t="n"/>
      <c r="H3977" s="217" t="inlineStr"/>
      <c r="I3977" t="inlineStr"/>
    </row>
    <row r="3978">
      <c r="A3978" s="3" t="n"/>
      <c r="B3978" s="3" t="n"/>
      <c r="C3978" s="3" t="n"/>
      <c r="D3978" s="3" t="n"/>
      <c r="E3978" s="3" t="n"/>
      <c r="F3978" s="3" t="inlineStr"/>
      <c r="G3978" s="3" t="n"/>
      <c r="H3978" s="217" t="inlineStr"/>
      <c r="I3978" t="inlineStr"/>
    </row>
    <row r="3979">
      <c r="A3979" s="3" t="n"/>
      <c r="B3979" s="3" t="n"/>
      <c r="C3979" s="3" t="n"/>
      <c r="D3979" s="3" t="n"/>
      <c r="E3979" s="3" t="n"/>
      <c r="F3979" s="3" t="inlineStr"/>
      <c r="G3979" s="3" t="n"/>
      <c r="H3979" s="217" t="inlineStr"/>
      <c r="I3979" t="inlineStr"/>
    </row>
    <row r="3980">
      <c r="A3980" s="3" t="n"/>
      <c r="B3980" s="3" t="n"/>
      <c r="C3980" s="3" t="n"/>
      <c r="D3980" s="3" t="n"/>
      <c r="E3980" s="3" t="n"/>
      <c r="F3980" s="3" t="inlineStr"/>
      <c r="G3980" s="3" t="n"/>
      <c r="H3980" s="217" t="inlineStr"/>
      <c r="I3980" t="inlineStr"/>
    </row>
    <row r="3981">
      <c r="A3981" s="3" t="n"/>
      <c r="B3981" s="3" t="n"/>
      <c r="C3981" s="3" t="n"/>
      <c r="D3981" s="3" t="n"/>
      <c r="E3981" s="3" t="n"/>
      <c r="F3981" s="3" t="inlineStr"/>
      <c r="G3981" s="3" t="n"/>
      <c r="H3981" s="217" t="inlineStr"/>
      <c r="I3981" t="inlineStr"/>
    </row>
    <row r="3982">
      <c r="A3982" s="3" t="n"/>
      <c r="B3982" s="3" t="n"/>
      <c r="C3982" s="3" t="n"/>
      <c r="D3982" s="3" t="n"/>
      <c r="E3982" s="3" t="n"/>
      <c r="F3982" s="3" t="inlineStr"/>
      <c r="G3982" s="3" t="n"/>
      <c r="H3982" s="217" t="inlineStr"/>
      <c r="I3982" t="inlineStr"/>
    </row>
    <row r="3983">
      <c r="A3983" s="3" t="n"/>
      <c r="B3983" s="3" t="n"/>
      <c r="C3983" s="3" t="n"/>
      <c r="D3983" s="3" t="n"/>
      <c r="E3983" s="3" t="n"/>
      <c r="F3983" s="3" t="inlineStr"/>
      <c r="G3983" s="3" t="n"/>
      <c r="H3983" s="217" t="inlineStr"/>
      <c r="I3983" t="inlineStr"/>
    </row>
    <row r="3984">
      <c r="A3984" s="3" t="n"/>
      <c r="B3984" s="3" t="n"/>
      <c r="C3984" s="3" t="n"/>
      <c r="D3984" s="3" t="n"/>
      <c r="E3984" s="3" t="n"/>
      <c r="F3984" s="3" t="inlineStr"/>
      <c r="G3984" s="3" t="n"/>
      <c r="H3984" s="217" t="inlineStr"/>
      <c r="I3984" t="inlineStr"/>
    </row>
    <row r="3985">
      <c r="A3985" s="3" t="n"/>
      <c r="B3985" s="3" t="n"/>
      <c r="C3985" s="3" t="n"/>
      <c r="D3985" s="3" t="n"/>
      <c r="E3985" s="3" t="n"/>
      <c r="F3985" s="3" t="inlineStr"/>
      <c r="G3985" s="3" t="n"/>
      <c r="H3985" s="217" t="inlineStr"/>
      <c r="I3985" t="inlineStr"/>
    </row>
    <row r="3986">
      <c r="A3986" s="3" t="n"/>
      <c r="B3986" s="3" t="n"/>
      <c r="C3986" s="3" t="n"/>
      <c r="D3986" s="3" t="n"/>
      <c r="E3986" s="3" t="n"/>
      <c r="F3986" s="3" t="inlineStr"/>
      <c r="G3986" s="3" t="n"/>
      <c r="H3986" s="217" t="inlineStr"/>
      <c r="I3986" t="inlineStr"/>
    </row>
    <row r="3987">
      <c r="A3987" s="3" t="n"/>
      <c r="B3987" s="3" t="n"/>
      <c r="C3987" s="3" t="n"/>
      <c r="D3987" s="3" t="n"/>
      <c r="E3987" s="3" t="n"/>
      <c r="F3987" s="3" t="inlineStr"/>
      <c r="G3987" s="3" t="n"/>
      <c r="H3987" s="217" t="inlineStr"/>
      <c r="I3987" t="inlineStr"/>
    </row>
    <row r="3988">
      <c r="A3988" s="3" t="n"/>
      <c r="B3988" s="3" t="n"/>
      <c r="C3988" s="3" t="n"/>
      <c r="D3988" s="3" t="n"/>
      <c r="E3988" s="3" t="n"/>
      <c r="F3988" s="3" t="inlineStr"/>
      <c r="G3988" s="3" t="n"/>
      <c r="H3988" s="217" t="inlineStr"/>
      <c r="I3988" t="inlineStr"/>
    </row>
    <row r="3989">
      <c r="A3989" s="3" t="n"/>
      <c r="B3989" s="3" t="n"/>
      <c r="C3989" s="3" t="n"/>
      <c r="D3989" s="3" t="n"/>
      <c r="E3989" s="3" t="n"/>
      <c r="F3989" s="3" t="inlineStr"/>
      <c r="G3989" s="3" t="n"/>
      <c r="H3989" s="217" t="inlineStr"/>
      <c r="I3989" t="inlineStr"/>
    </row>
    <row r="3990">
      <c r="A3990" s="3" t="n"/>
      <c r="B3990" s="3" t="n"/>
      <c r="C3990" s="3" t="n"/>
      <c r="D3990" s="3" t="n"/>
      <c r="E3990" s="3" t="n"/>
      <c r="F3990" s="3" t="inlineStr"/>
      <c r="G3990" s="3" t="n"/>
      <c r="H3990" s="217" t="inlineStr"/>
      <c r="I3990" t="inlineStr"/>
    </row>
    <row r="3991">
      <c r="A3991" s="3" t="n"/>
      <c r="B3991" s="3" t="n"/>
      <c r="C3991" s="3" t="n"/>
      <c r="D3991" s="3" t="n"/>
      <c r="E3991" s="3" t="n"/>
      <c r="F3991" s="3" t="inlineStr"/>
      <c r="G3991" s="3" t="n"/>
      <c r="H3991" s="217" t="inlineStr"/>
      <c r="I3991" t="inlineStr"/>
    </row>
    <row r="3992">
      <c r="A3992" s="3" t="n"/>
      <c r="B3992" s="3" t="n"/>
      <c r="C3992" s="3" t="n"/>
      <c r="D3992" s="3" t="n"/>
      <c r="E3992" s="3" t="n"/>
      <c r="F3992" s="3" t="inlineStr"/>
      <c r="G3992" s="3" t="n"/>
      <c r="H3992" s="217" t="inlineStr"/>
      <c r="I3992" t="inlineStr"/>
    </row>
    <row r="3993">
      <c r="A3993" s="3" t="n"/>
      <c r="B3993" s="3" t="n"/>
      <c r="C3993" s="3" t="n"/>
      <c r="D3993" s="3" t="n"/>
      <c r="E3993" s="3" t="n"/>
      <c r="F3993" s="3" t="inlineStr"/>
      <c r="G3993" s="3" t="n"/>
      <c r="H3993" s="217" t="inlineStr"/>
      <c r="I3993" t="inlineStr"/>
    </row>
    <row r="3994">
      <c r="A3994" s="3" t="n"/>
      <c r="B3994" s="3" t="n"/>
      <c r="C3994" s="3" t="n"/>
      <c r="D3994" s="3" t="n"/>
      <c r="E3994" s="3" t="n"/>
      <c r="F3994" s="3" t="inlineStr"/>
      <c r="G3994" s="3" t="n"/>
      <c r="H3994" s="217" t="inlineStr"/>
      <c r="I3994" t="inlineStr"/>
    </row>
    <row r="3995">
      <c r="A3995" s="3" t="n"/>
      <c r="B3995" s="3" t="n"/>
      <c r="C3995" s="3" t="n"/>
      <c r="D3995" s="3" t="n"/>
      <c r="E3995" s="3" t="n"/>
      <c r="F3995" s="3" t="inlineStr"/>
      <c r="G3995" s="3" t="n"/>
      <c r="H3995" s="217" t="inlineStr"/>
      <c r="I3995" t="inlineStr"/>
    </row>
    <row r="3996">
      <c r="A3996" s="3" t="n"/>
      <c r="B3996" s="3" t="n"/>
      <c r="C3996" s="3" t="n"/>
      <c r="D3996" s="3" t="n"/>
      <c r="E3996" s="3" t="n"/>
      <c r="F3996" s="3" t="inlineStr"/>
      <c r="G3996" s="3" t="n"/>
      <c r="H3996" s="217" t="inlineStr"/>
      <c r="I3996" t="inlineStr"/>
    </row>
    <row r="3997">
      <c r="A3997" s="3" t="n"/>
      <c r="B3997" s="3" t="n"/>
      <c r="C3997" s="3" t="n"/>
      <c r="D3997" s="3" t="n"/>
      <c r="E3997" s="3" t="n"/>
      <c r="F3997" s="3" t="inlineStr"/>
      <c r="G3997" s="3" t="n"/>
      <c r="H3997" s="217" t="inlineStr"/>
      <c r="I3997" t="inlineStr"/>
    </row>
    <row r="3998">
      <c r="A3998" s="3" t="n"/>
      <c r="B3998" s="3" t="n"/>
      <c r="C3998" s="3" t="n"/>
      <c r="D3998" s="3" t="n"/>
      <c r="E3998" s="3" t="n"/>
      <c r="F3998" s="3" t="inlineStr"/>
      <c r="G3998" s="3" t="n"/>
      <c r="H3998" s="217" t="inlineStr"/>
      <c r="I3998" t="inlineStr"/>
    </row>
    <row r="3999">
      <c r="A3999" s="3" t="n"/>
      <c r="B3999" s="3" t="n"/>
      <c r="C3999" s="3" t="n"/>
      <c r="D3999" s="3" t="n"/>
      <c r="E3999" s="3" t="n"/>
      <c r="F3999" s="3" t="inlineStr"/>
      <c r="G3999" s="3" t="n"/>
      <c r="H3999" s="217" t="inlineStr"/>
      <c r="I3999" t="inlineStr"/>
    </row>
    <row r="4000">
      <c r="A4000" s="3" t="n"/>
      <c r="B4000" s="3" t="n"/>
      <c r="C4000" s="3" t="n"/>
      <c r="D4000" s="3" t="n"/>
      <c r="E4000" s="3" t="n"/>
      <c r="F4000" s="3" t="inlineStr"/>
      <c r="G4000" s="3" t="n"/>
      <c r="H4000" s="217" t="inlineStr"/>
      <c r="I4000" t="inlineStr"/>
    </row>
    <row r="4001">
      <c r="A4001" s="3" t="n"/>
      <c r="B4001" s="3" t="n"/>
      <c r="C4001" s="3" t="n"/>
      <c r="D4001" s="3" t="n"/>
      <c r="E4001" s="3" t="n"/>
      <c r="F4001" s="3" t="inlineStr"/>
      <c r="G4001" s="3" t="n"/>
      <c r="H4001" s="217" t="inlineStr"/>
      <c r="I4001" t="inlineStr"/>
    </row>
    <row r="4002">
      <c r="A4002" s="3" t="n"/>
      <c r="B4002" s="3" t="n"/>
      <c r="C4002" s="3" t="n"/>
      <c r="D4002" s="3" t="n"/>
      <c r="E4002" s="3" t="n"/>
      <c r="F4002" s="3" t="inlineStr"/>
      <c r="G4002" s="3" t="n"/>
      <c r="H4002" s="217" t="inlineStr"/>
      <c r="I4002" t="inlineStr"/>
    </row>
    <row r="4003">
      <c r="A4003" s="3" t="n"/>
      <c r="B4003" s="3" t="n"/>
      <c r="C4003" s="3" t="n"/>
      <c r="D4003" s="3" t="n"/>
      <c r="E4003" s="3" t="n"/>
      <c r="F4003" s="3" t="inlineStr"/>
      <c r="G4003" s="3" t="n"/>
      <c r="H4003" s="217" t="inlineStr"/>
      <c r="I4003" t="inlineStr"/>
    </row>
    <row r="4004">
      <c r="A4004" s="3" t="n"/>
      <c r="B4004" s="3" t="n"/>
      <c r="C4004" s="3" t="n"/>
      <c r="D4004" s="3" t="n"/>
      <c r="E4004" s="3" t="n"/>
      <c r="F4004" s="3" t="inlineStr"/>
      <c r="G4004" s="3" t="n"/>
      <c r="H4004" s="217" t="inlineStr"/>
      <c r="I4004" t="inlineStr"/>
    </row>
    <row r="4005">
      <c r="A4005" s="3" t="n"/>
      <c r="B4005" s="3" t="n"/>
      <c r="C4005" s="3" t="n"/>
      <c r="D4005" s="3" t="n"/>
      <c r="E4005" s="3" t="n"/>
      <c r="F4005" s="3" t="inlineStr"/>
      <c r="G4005" s="3" t="n"/>
      <c r="H4005" s="217" t="inlineStr"/>
      <c r="I4005" t="inlineStr"/>
    </row>
    <row r="4006">
      <c r="A4006" s="3" t="n"/>
      <c r="B4006" s="3" t="n"/>
      <c r="C4006" s="3" t="n"/>
      <c r="D4006" s="3" t="n"/>
      <c r="E4006" s="3" t="n"/>
      <c r="F4006" s="3" t="inlineStr"/>
      <c r="G4006" s="3" t="n"/>
      <c r="H4006" s="217" t="inlineStr"/>
      <c r="I4006" t="inlineStr"/>
    </row>
    <row r="4007">
      <c r="A4007" s="3" t="n"/>
      <c r="B4007" s="3" t="n"/>
      <c r="C4007" s="3" t="n"/>
      <c r="D4007" s="3" t="n"/>
      <c r="E4007" s="3" t="n"/>
      <c r="F4007" s="3" t="inlineStr"/>
      <c r="G4007" s="3" t="n"/>
      <c r="H4007" s="217" t="inlineStr"/>
      <c r="I4007" t="inlineStr"/>
    </row>
    <row r="4008">
      <c r="A4008" s="3" t="n"/>
      <c r="B4008" s="3" t="n"/>
      <c r="C4008" s="3" t="n"/>
      <c r="D4008" s="3" t="n"/>
      <c r="E4008" s="3" t="n"/>
      <c r="F4008" s="3" t="inlineStr"/>
      <c r="G4008" s="3" t="n"/>
      <c r="H4008" s="217" t="inlineStr"/>
      <c r="I4008" t="inlineStr"/>
    </row>
    <row r="4009">
      <c r="A4009" s="3" t="n"/>
      <c r="B4009" s="3" t="n"/>
      <c r="C4009" s="3" t="n"/>
      <c r="D4009" s="3" t="n"/>
      <c r="E4009" s="3" t="n"/>
      <c r="F4009" s="3" t="inlineStr"/>
      <c r="G4009" s="3" t="n"/>
      <c r="H4009" s="217" t="inlineStr"/>
      <c r="I4009" t="inlineStr"/>
    </row>
    <row r="4010">
      <c r="A4010" s="3" t="n"/>
      <c r="B4010" s="3" t="n"/>
      <c r="C4010" s="3" t="n"/>
      <c r="D4010" s="3" t="n"/>
      <c r="E4010" s="3" t="n"/>
      <c r="F4010" s="3" t="inlineStr"/>
      <c r="G4010" s="3" t="n"/>
      <c r="H4010" s="217" t="inlineStr"/>
      <c r="I4010" t="inlineStr"/>
    </row>
    <row r="4011">
      <c r="A4011" s="3" t="n"/>
      <c r="B4011" s="3" t="n"/>
      <c r="C4011" s="3" t="n"/>
      <c r="D4011" s="3" t="n"/>
      <c r="E4011" s="3" t="n"/>
      <c r="F4011" s="3" t="inlineStr"/>
      <c r="G4011" s="3" t="n"/>
      <c r="H4011" s="217" t="inlineStr"/>
      <c r="I4011" t="inlineStr"/>
    </row>
    <row r="4012">
      <c r="A4012" s="3" t="n"/>
      <c r="B4012" s="3" t="n"/>
      <c r="C4012" s="3" t="n"/>
      <c r="D4012" s="3" t="n"/>
      <c r="E4012" s="3" t="n"/>
      <c r="F4012" s="3" t="inlineStr"/>
      <c r="G4012" s="3" t="n"/>
      <c r="H4012" s="217" t="inlineStr"/>
      <c r="I4012" t="inlineStr"/>
    </row>
    <row r="4013">
      <c r="A4013" s="3" t="n"/>
      <c r="B4013" s="3" t="n"/>
      <c r="C4013" s="3" t="n"/>
      <c r="D4013" s="3" t="n"/>
      <c r="E4013" s="3" t="n"/>
      <c r="F4013" s="3" t="inlineStr"/>
      <c r="G4013" s="3" t="n"/>
      <c r="H4013" s="217" t="inlineStr"/>
      <c r="I4013" t="inlineStr"/>
    </row>
    <row r="4014">
      <c r="A4014" s="3" t="n"/>
      <c r="B4014" s="3" t="n"/>
      <c r="C4014" s="3" t="n"/>
      <c r="D4014" s="3" t="n"/>
      <c r="E4014" s="3" t="n"/>
      <c r="F4014" s="3" t="inlineStr"/>
      <c r="G4014" s="3" t="n"/>
      <c r="H4014" s="217" t="inlineStr"/>
      <c r="I4014" t="inlineStr"/>
    </row>
    <row r="4015">
      <c r="A4015" s="3" t="n"/>
      <c r="B4015" s="3" t="n"/>
      <c r="C4015" s="3" t="n"/>
      <c r="D4015" s="3" t="n"/>
      <c r="E4015" s="3" t="n"/>
      <c r="F4015" s="3" t="inlineStr"/>
      <c r="G4015" s="3" t="n"/>
      <c r="H4015" s="217" t="inlineStr"/>
      <c r="I4015" t="inlineStr"/>
    </row>
    <row r="4016">
      <c r="A4016" s="3" t="n"/>
      <c r="B4016" s="3" t="n"/>
      <c r="C4016" s="3" t="n"/>
      <c r="D4016" s="3" t="n"/>
      <c r="E4016" s="3" t="n"/>
      <c r="F4016" s="3" t="inlineStr"/>
      <c r="G4016" s="3" t="n"/>
      <c r="H4016" s="217" t="inlineStr"/>
      <c r="I4016" t="inlineStr"/>
    </row>
    <row r="4017">
      <c r="A4017" s="3" t="n"/>
      <c r="B4017" s="3" t="n"/>
      <c r="C4017" s="3" t="n"/>
      <c r="D4017" s="3" t="n"/>
      <c r="E4017" s="3" t="n"/>
      <c r="F4017" s="3" t="inlineStr"/>
      <c r="G4017" s="3" t="n"/>
      <c r="H4017" s="217" t="inlineStr"/>
      <c r="I4017" t="inlineStr"/>
    </row>
    <row r="4018">
      <c r="A4018" s="3" t="n"/>
      <c r="B4018" s="3" t="n"/>
      <c r="C4018" s="3" t="n"/>
      <c r="D4018" s="3" t="n"/>
      <c r="E4018" s="3" t="n"/>
      <c r="F4018" s="3" t="inlineStr"/>
      <c r="G4018" s="3" t="n"/>
      <c r="H4018" s="217" t="inlineStr"/>
      <c r="I4018" t="inlineStr"/>
    </row>
    <row r="4019">
      <c r="A4019" s="3" t="n"/>
      <c r="B4019" s="3" t="n"/>
      <c r="C4019" s="3" t="n"/>
      <c r="D4019" s="3" t="n"/>
      <c r="E4019" s="3" t="n"/>
      <c r="F4019" s="3" t="inlineStr"/>
      <c r="G4019" s="3" t="n"/>
      <c r="H4019" s="217" t="inlineStr"/>
      <c r="I4019" t="inlineStr"/>
    </row>
    <row r="4020">
      <c r="A4020" s="3" t="n"/>
      <c r="B4020" s="3" t="n"/>
      <c r="C4020" s="3" t="n"/>
      <c r="D4020" s="3" t="n"/>
      <c r="E4020" s="3" t="n"/>
      <c r="F4020" s="3" t="inlineStr"/>
      <c r="G4020" s="3" t="n"/>
      <c r="H4020" s="217" t="inlineStr"/>
      <c r="I4020" t="inlineStr"/>
    </row>
    <row r="4021">
      <c r="A4021" s="3" t="n"/>
      <c r="B4021" s="3" t="n"/>
      <c r="C4021" s="3" t="n"/>
      <c r="D4021" s="3" t="n"/>
      <c r="E4021" s="3" t="n"/>
      <c r="F4021" s="3" t="inlineStr"/>
      <c r="G4021" s="3" t="n"/>
      <c r="H4021" s="217" t="inlineStr"/>
      <c r="I4021" t="inlineStr"/>
    </row>
    <row r="4022">
      <c r="A4022" s="3" t="n"/>
      <c r="B4022" s="3" t="n"/>
      <c r="C4022" s="3" t="n"/>
      <c r="D4022" s="3" t="n"/>
      <c r="E4022" s="3" t="n"/>
      <c r="F4022" s="3" t="inlineStr"/>
      <c r="G4022" s="3" t="n"/>
      <c r="H4022" s="217" t="inlineStr"/>
      <c r="I4022" t="inlineStr"/>
    </row>
    <row r="4023">
      <c r="A4023" s="3" t="n"/>
      <c r="B4023" s="3" t="n"/>
      <c r="C4023" s="3" t="n"/>
      <c r="D4023" s="3" t="n"/>
      <c r="E4023" s="3" t="n"/>
      <c r="F4023" s="3" t="inlineStr"/>
      <c r="G4023" s="3" t="n"/>
      <c r="H4023" s="217" t="inlineStr"/>
      <c r="I4023" t="inlineStr"/>
    </row>
    <row r="4024">
      <c r="A4024" s="3" t="n"/>
      <c r="B4024" s="3" t="n"/>
      <c r="C4024" s="3" t="n"/>
      <c r="D4024" s="3" t="n"/>
      <c r="E4024" s="3" t="n"/>
      <c r="F4024" s="3" t="inlineStr"/>
      <c r="G4024" s="3" t="n"/>
      <c r="H4024" s="217" t="inlineStr"/>
      <c r="I4024" t="inlineStr"/>
    </row>
    <row r="4025">
      <c r="A4025" s="3" t="n"/>
      <c r="B4025" s="3" t="n"/>
      <c r="C4025" s="3" t="n"/>
      <c r="D4025" s="3" t="n"/>
      <c r="E4025" s="3" t="n"/>
      <c r="F4025" s="3" t="inlineStr"/>
      <c r="G4025" s="3" t="n"/>
      <c r="H4025" s="217" t="inlineStr"/>
      <c r="I4025" t="inlineStr"/>
    </row>
    <row r="4026">
      <c r="A4026" s="3" t="n"/>
      <c r="B4026" s="3" t="n"/>
      <c r="C4026" s="3" t="n"/>
      <c r="D4026" s="3" t="n"/>
      <c r="E4026" s="3" t="n"/>
      <c r="F4026" s="3" t="inlineStr"/>
      <c r="G4026" s="3" t="n"/>
      <c r="H4026" s="217" t="inlineStr"/>
      <c r="I4026" t="inlineStr"/>
    </row>
    <row r="4027">
      <c r="A4027" s="3" t="n"/>
      <c r="B4027" s="3" t="n"/>
      <c r="C4027" s="3" t="n"/>
      <c r="D4027" s="3" t="n"/>
      <c r="E4027" s="3" t="n"/>
      <c r="F4027" s="3" t="inlineStr"/>
      <c r="G4027" s="3" t="n"/>
      <c r="H4027" s="217" t="inlineStr"/>
      <c r="I4027" t="inlineStr"/>
    </row>
    <row r="4028">
      <c r="A4028" s="3" t="n"/>
      <c r="B4028" s="3" t="n"/>
      <c r="C4028" s="3" t="n"/>
      <c r="D4028" s="3" t="n"/>
      <c r="E4028" s="3" t="n"/>
      <c r="F4028" s="3" t="inlineStr"/>
      <c r="G4028" s="3" t="n"/>
      <c r="H4028" s="217" t="inlineStr"/>
      <c r="I4028" t="inlineStr"/>
    </row>
    <row r="4029">
      <c r="A4029" s="3" t="n"/>
      <c r="B4029" s="3" t="n"/>
      <c r="C4029" s="3" t="n"/>
      <c r="D4029" s="3" t="n"/>
      <c r="E4029" s="3" t="n"/>
      <c r="F4029" s="3" t="inlineStr"/>
      <c r="G4029" s="3" t="n"/>
      <c r="H4029" s="217" t="inlineStr"/>
      <c r="I4029" t="inlineStr"/>
    </row>
    <row r="4030">
      <c r="A4030" s="3" t="n"/>
      <c r="B4030" s="3" t="n"/>
      <c r="C4030" s="3" t="n"/>
      <c r="D4030" s="3" t="n"/>
      <c r="E4030" s="3" t="n"/>
      <c r="F4030" s="3" t="inlineStr"/>
      <c r="G4030" s="3" t="n"/>
      <c r="H4030" s="217" t="inlineStr"/>
      <c r="I4030" t="inlineStr"/>
    </row>
    <row r="4031">
      <c r="A4031" s="3" t="n"/>
      <c r="B4031" s="3" t="n"/>
      <c r="C4031" s="3" t="n"/>
      <c r="D4031" s="3" t="n"/>
      <c r="E4031" s="3" t="n"/>
      <c r="F4031" s="3" t="inlineStr"/>
      <c r="G4031" s="3" t="n"/>
      <c r="H4031" s="217" t="inlineStr"/>
      <c r="I4031" t="inlineStr"/>
    </row>
    <row r="4032">
      <c r="A4032" s="3" t="n"/>
      <c r="B4032" s="3" t="n"/>
      <c r="C4032" s="3" t="n"/>
      <c r="D4032" s="3" t="n"/>
      <c r="E4032" s="3" t="n"/>
      <c r="F4032" s="3" t="inlineStr"/>
      <c r="G4032" s="3" t="n"/>
      <c r="H4032" s="217" t="inlineStr"/>
      <c r="I4032" t="inlineStr"/>
    </row>
    <row r="4033">
      <c r="A4033" s="3" t="n"/>
      <c r="B4033" s="3" t="n"/>
      <c r="C4033" s="3" t="n"/>
      <c r="D4033" s="3" t="n"/>
      <c r="E4033" s="3" t="n"/>
      <c r="F4033" s="3" t="inlineStr"/>
      <c r="G4033" s="3" t="n"/>
      <c r="H4033" s="217" t="inlineStr"/>
      <c r="I4033" t="inlineStr"/>
    </row>
    <row r="4034">
      <c r="A4034" s="3" t="n"/>
      <c r="B4034" s="3" t="n"/>
      <c r="C4034" s="3" t="n"/>
      <c r="D4034" s="3" t="n"/>
      <c r="E4034" s="3" t="n"/>
      <c r="F4034" s="3" t="inlineStr"/>
      <c r="G4034" s="3" t="n"/>
      <c r="H4034" s="217" t="inlineStr"/>
      <c r="I4034" t="inlineStr"/>
    </row>
    <row r="4035">
      <c r="A4035" s="3" t="n"/>
      <c r="B4035" s="3" t="n"/>
      <c r="C4035" s="3" t="n"/>
      <c r="D4035" s="3" t="n"/>
      <c r="E4035" s="3" t="n"/>
      <c r="F4035" s="3" t="inlineStr"/>
      <c r="G4035" s="3" t="n"/>
      <c r="H4035" s="217" t="inlineStr"/>
      <c r="I4035" t="inlineStr"/>
    </row>
    <row r="4036">
      <c r="A4036" s="3" t="n"/>
      <c r="B4036" s="3" t="n"/>
      <c r="C4036" s="3" t="n"/>
      <c r="D4036" s="3" t="n"/>
      <c r="E4036" s="3" t="n"/>
      <c r="F4036" s="3" t="inlineStr"/>
      <c r="G4036" s="3" t="n"/>
      <c r="H4036" s="217" t="inlineStr"/>
      <c r="I4036" t="inlineStr"/>
    </row>
    <row r="4037">
      <c r="A4037" s="3" t="n"/>
      <c r="B4037" s="3" t="n"/>
      <c r="C4037" s="3" t="n"/>
      <c r="D4037" s="3" t="n"/>
      <c r="E4037" s="3" t="n"/>
      <c r="F4037" s="3" t="inlineStr"/>
      <c r="G4037" s="3" t="n"/>
      <c r="H4037" s="217" t="inlineStr"/>
      <c r="I4037" t="inlineStr"/>
    </row>
    <row r="4038">
      <c r="A4038" s="3" t="n"/>
      <c r="B4038" s="3" t="n"/>
      <c r="C4038" s="3" t="n"/>
      <c r="D4038" s="3" t="n"/>
      <c r="E4038" s="3" t="n"/>
      <c r="F4038" s="3" t="inlineStr"/>
      <c r="G4038" s="3" t="n"/>
      <c r="H4038" s="217" t="inlineStr"/>
      <c r="I4038" t="inlineStr"/>
    </row>
    <row r="4039">
      <c r="A4039" s="3" t="n"/>
      <c r="B4039" s="3" t="n"/>
      <c r="C4039" s="3" t="n"/>
      <c r="D4039" s="3" t="n"/>
      <c r="E4039" s="3" t="n"/>
      <c r="F4039" s="3" t="inlineStr"/>
      <c r="G4039" s="3" t="n"/>
      <c r="H4039" s="217" t="inlineStr"/>
      <c r="I4039" t="inlineStr"/>
    </row>
    <row r="4040">
      <c r="A4040" s="3" t="n"/>
      <c r="B4040" s="3" t="n"/>
      <c r="C4040" s="3" t="n"/>
      <c r="D4040" s="3" t="n"/>
      <c r="E4040" s="3" t="n"/>
      <c r="F4040" s="3" t="inlineStr"/>
      <c r="G4040" s="3" t="n"/>
      <c r="H4040" s="217" t="inlineStr"/>
      <c r="I4040" t="inlineStr"/>
    </row>
    <row r="4041">
      <c r="A4041" s="3" t="n"/>
      <c r="B4041" s="3" t="n"/>
      <c r="C4041" s="3" t="n"/>
      <c r="D4041" s="3" t="n"/>
      <c r="E4041" s="3" t="n"/>
      <c r="F4041" s="3" t="inlineStr"/>
      <c r="G4041" s="3" t="n"/>
      <c r="H4041" s="217" t="inlineStr"/>
      <c r="I4041" t="inlineStr"/>
    </row>
    <row r="4042">
      <c r="A4042" s="3" t="n"/>
      <c r="B4042" s="3" t="n"/>
      <c r="C4042" s="3" t="n"/>
      <c r="D4042" s="3" t="n"/>
      <c r="E4042" s="3" t="n"/>
      <c r="F4042" s="3" t="inlineStr"/>
      <c r="G4042" s="3" t="n"/>
      <c r="H4042" s="217" t="inlineStr"/>
      <c r="I4042" t="inlineStr"/>
    </row>
    <row r="4043">
      <c r="A4043" s="3" t="n"/>
      <c r="B4043" s="3" t="n"/>
      <c r="C4043" s="3" t="n"/>
      <c r="D4043" s="3" t="n"/>
      <c r="E4043" s="3" t="n"/>
      <c r="F4043" s="3" t="inlineStr"/>
      <c r="G4043" s="3" t="n"/>
      <c r="H4043" s="217" t="inlineStr"/>
      <c r="I4043" t="inlineStr"/>
    </row>
    <row r="4044">
      <c r="A4044" s="3" t="n"/>
      <c r="B4044" s="3" t="n"/>
      <c r="C4044" s="3" t="n"/>
      <c r="D4044" s="3" t="n"/>
      <c r="E4044" s="3" t="n"/>
      <c r="F4044" s="3" t="inlineStr"/>
      <c r="G4044" s="3" t="n"/>
      <c r="H4044" s="217" t="inlineStr"/>
      <c r="I4044" t="inlineStr"/>
    </row>
    <row r="4045">
      <c r="A4045" s="3" t="n"/>
      <c r="B4045" s="3" t="n"/>
      <c r="C4045" s="3" t="n"/>
      <c r="D4045" s="3" t="n"/>
      <c r="E4045" s="3" t="n"/>
      <c r="F4045" s="3" t="inlineStr"/>
      <c r="G4045" s="3" t="n"/>
      <c r="H4045" s="217" t="inlineStr"/>
      <c r="I4045" t="inlineStr"/>
    </row>
    <row r="4046">
      <c r="A4046" s="3" t="n"/>
      <c r="B4046" s="3" t="n"/>
      <c r="C4046" s="3" t="n"/>
      <c r="D4046" s="3" t="n"/>
      <c r="E4046" s="3" t="n"/>
      <c r="F4046" s="3" t="inlineStr"/>
      <c r="G4046" s="3" t="n"/>
      <c r="H4046" s="217" t="inlineStr"/>
      <c r="I4046" t="inlineStr"/>
    </row>
    <row r="4047">
      <c r="A4047" s="3" t="n"/>
      <c r="B4047" s="3" t="n"/>
      <c r="C4047" s="3" t="n"/>
      <c r="D4047" s="3" t="n"/>
      <c r="E4047" s="3" t="n"/>
      <c r="F4047" s="3" t="inlineStr"/>
      <c r="G4047" s="3" t="n"/>
      <c r="H4047" s="217" t="inlineStr"/>
      <c r="I4047" t="inlineStr"/>
    </row>
    <row r="4048">
      <c r="A4048" s="3" t="n"/>
      <c r="B4048" s="3" t="n"/>
      <c r="C4048" s="3" t="n"/>
      <c r="D4048" s="3" t="n"/>
      <c r="E4048" s="3" t="n"/>
      <c r="F4048" s="3" t="inlineStr"/>
      <c r="G4048" s="3" t="n"/>
      <c r="H4048" s="217" t="inlineStr"/>
      <c r="I4048" t="inlineStr"/>
    </row>
    <row r="4049">
      <c r="A4049" s="3" t="n"/>
      <c r="B4049" s="3" t="n"/>
      <c r="C4049" s="3" t="n"/>
      <c r="D4049" s="3" t="n"/>
      <c r="E4049" s="3" t="n"/>
      <c r="F4049" s="3" t="inlineStr"/>
      <c r="G4049" s="3" t="n"/>
      <c r="H4049" s="217" t="inlineStr"/>
      <c r="I4049" t="inlineStr"/>
    </row>
    <row r="4050">
      <c r="A4050" s="3" t="n"/>
      <c r="B4050" s="3" t="n"/>
      <c r="C4050" s="3" t="n"/>
      <c r="D4050" s="3" t="n"/>
      <c r="E4050" s="3" t="n"/>
      <c r="F4050" s="3" t="inlineStr"/>
      <c r="G4050" s="3" t="n"/>
      <c r="H4050" s="217" t="inlineStr"/>
      <c r="I4050" t="inlineStr"/>
    </row>
    <row r="4051">
      <c r="A4051" s="3" t="n"/>
      <c r="B4051" s="3" t="n"/>
      <c r="C4051" s="3" t="n"/>
      <c r="D4051" s="3" t="n"/>
      <c r="E4051" s="3" t="n"/>
      <c r="F4051" s="3" t="inlineStr"/>
      <c r="G4051" s="3" t="n"/>
      <c r="H4051" s="217" t="inlineStr"/>
      <c r="I4051" t="inlineStr"/>
    </row>
    <row r="4052">
      <c r="A4052" s="3" t="n"/>
      <c r="B4052" s="3" t="n"/>
      <c r="C4052" s="3" t="n"/>
      <c r="D4052" s="3" t="n"/>
      <c r="E4052" s="3" t="n"/>
      <c r="F4052" s="3" t="inlineStr"/>
      <c r="G4052" s="3" t="n"/>
      <c r="H4052" s="217" t="inlineStr"/>
      <c r="I4052" t="inlineStr"/>
    </row>
    <row r="4053">
      <c r="A4053" s="3" t="n"/>
      <c r="B4053" s="3" t="n"/>
      <c r="C4053" s="3" t="n"/>
      <c r="D4053" s="3" t="n"/>
      <c r="E4053" s="3" t="n"/>
      <c r="F4053" s="3" t="inlineStr"/>
      <c r="G4053" s="3" t="n"/>
      <c r="H4053" s="217" t="inlineStr"/>
      <c r="I4053" t="inlineStr"/>
    </row>
    <row r="4054">
      <c r="A4054" s="3" t="n"/>
      <c r="B4054" s="3" t="n"/>
      <c r="C4054" s="3" t="n"/>
      <c r="D4054" s="3" t="n"/>
      <c r="E4054" s="3" t="n"/>
      <c r="F4054" s="3" t="inlineStr"/>
      <c r="G4054" s="3" t="n"/>
      <c r="H4054" s="217" t="inlineStr"/>
      <c r="I4054" t="inlineStr"/>
    </row>
    <row r="4055">
      <c r="A4055" s="3" t="n"/>
      <c r="B4055" s="3" t="n"/>
      <c r="C4055" s="3" t="n"/>
      <c r="D4055" s="3" t="n"/>
      <c r="E4055" s="3" t="n"/>
      <c r="F4055" s="3" t="inlineStr"/>
      <c r="G4055" s="3" t="n"/>
      <c r="H4055" s="217" t="inlineStr"/>
      <c r="I4055" t="inlineStr"/>
    </row>
    <row r="4056">
      <c r="A4056" s="3" t="n"/>
      <c r="B4056" s="3" t="n"/>
      <c r="C4056" s="3" t="n"/>
      <c r="D4056" s="3" t="n"/>
      <c r="E4056" s="3" t="n"/>
      <c r="F4056" s="3" t="inlineStr"/>
      <c r="G4056" s="3" t="n"/>
      <c r="H4056" s="217" t="inlineStr"/>
      <c r="I4056" t="inlineStr"/>
    </row>
    <row r="4057">
      <c r="A4057" s="3" t="n"/>
      <c r="B4057" s="3" t="n"/>
      <c r="C4057" s="3" t="n"/>
      <c r="D4057" s="3" t="n"/>
      <c r="E4057" s="3" t="n"/>
      <c r="F4057" s="3" t="inlineStr"/>
      <c r="G4057" s="3" t="n"/>
      <c r="H4057" s="217" t="inlineStr"/>
      <c r="I4057" t="inlineStr"/>
    </row>
    <row r="4058">
      <c r="A4058" s="3" t="n"/>
      <c r="B4058" s="3" t="n"/>
      <c r="C4058" s="3" t="n"/>
      <c r="D4058" s="3" t="n"/>
      <c r="E4058" s="3" t="n"/>
      <c r="F4058" s="3" t="inlineStr"/>
      <c r="G4058" s="3" t="n"/>
      <c r="H4058" s="217" t="inlineStr"/>
      <c r="I4058" t="inlineStr"/>
    </row>
    <row r="4059">
      <c r="A4059" s="3" t="n"/>
      <c r="B4059" s="3" t="n"/>
      <c r="C4059" s="3" t="n"/>
      <c r="D4059" s="3" t="n"/>
      <c r="E4059" s="3" t="n"/>
      <c r="F4059" s="3" t="inlineStr"/>
      <c r="G4059" s="3" t="n"/>
      <c r="H4059" s="217" t="inlineStr"/>
      <c r="I4059" t="inlineStr"/>
    </row>
    <row r="4060">
      <c r="A4060" s="3" t="n"/>
      <c r="B4060" s="3" t="n"/>
      <c r="C4060" s="3" t="n"/>
      <c r="D4060" s="3" t="n"/>
      <c r="E4060" s="3" t="n"/>
      <c r="F4060" s="3" t="inlineStr"/>
      <c r="G4060" s="3" t="n"/>
      <c r="H4060" s="217" t="inlineStr"/>
      <c r="I4060" t="inlineStr"/>
    </row>
    <row r="4061">
      <c r="A4061" s="3" t="n"/>
      <c r="B4061" s="3" t="n"/>
      <c r="C4061" s="3" t="n"/>
      <c r="D4061" s="3" t="n"/>
      <c r="E4061" s="3" t="n"/>
      <c r="F4061" s="3" t="inlineStr"/>
      <c r="G4061" s="3" t="n"/>
      <c r="H4061" s="217" t="inlineStr"/>
      <c r="I4061" t="inlineStr"/>
    </row>
    <row r="4062">
      <c r="A4062" s="3" t="n"/>
      <c r="B4062" s="3" t="n"/>
      <c r="C4062" s="3" t="n"/>
      <c r="D4062" s="3" t="n"/>
      <c r="E4062" s="3" t="n"/>
      <c r="F4062" s="3" t="inlineStr"/>
      <c r="G4062" s="3" t="n"/>
      <c r="H4062" s="217" t="inlineStr"/>
      <c r="I4062" t="inlineStr"/>
    </row>
    <row r="4063">
      <c r="A4063" s="3" t="n"/>
      <c r="B4063" s="3" t="n"/>
      <c r="C4063" s="3" t="n"/>
      <c r="D4063" s="3" t="n"/>
      <c r="E4063" s="3" t="n"/>
      <c r="F4063" s="3" t="inlineStr"/>
      <c r="G4063" s="3" t="n"/>
      <c r="H4063" s="217" t="inlineStr"/>
      <c r="I4063" t="inlineStr"/>
    </row>
    <row r="4064">
      <c r="A4064" s="3" t="n"/>
      <c r="B4064" s="3" t="n"/>
      <c r="C4064" s="3" t="n"/>
      <c r="D4064" s="3" t="n"/>
      <c r="E4064" s="3" t="n"/>
      <c r="F4064" s="3" t="inlineStr"/>
      <c r="G4064" s="3" t="n"/>
      <c r="H4064" s="217" t="inlineStr"/>
      <c r="I4064" t="inlineStr"/>
    </row>
    <row r="4065">
      <c r="A4065" s="3" t="n"/>
      <c r="B4065" s="3" t="n"/>
      <c r="C4065" s="3" t="n"/>
      <c r="D4065" s="3" t="n"/>
      <c r="E4065" s="3" t="n"/>
      <c r="F4065" s="3" t="inlineStr"/>
      <c r="G4065" s="3" t="n"/>
      <c r="H4065" s="217" t="inlineStr"/>
      <c r="I4065" t="inlineStr"/>
    </row>
    <row r="4066">
      <c r="A4066" s="3" t="n"/>
      <c r="B4066" s="3" t="n"/>
      <c r="C4066" s="3" t="n"/>
      <c r="D4066" s="3" t="n"/>
      <c r="E4066" s="3" t="n"/>
      <c r="F4066" s="3" t="inlineStr"/>
      <c r="G4066" s="3" t="n"/>
      <c r="H4066" s="217" t="inlineStr"/>
      <c r="I4066" t="inlineStr"/>
    </row>
    <row r="4067">
      <c r="A4067" s="3" t="n"/>
      <c r="B4067" s="3" t="n"/>
      <c r="C4067" s="3" t="n"/>
      <c r="D4067" s="3" t="n"/>
      <c r="E4067" s="3" t="n"/>
      <c r="F4067" s="3" t="inlineStr"/>
      <c r="G4067" s="3" t="n"/>
      <c r="H4067" s="217" t="inlineStr"/>
      <c r="I4067" t="inlineStr"/>
    </row>
    <row r="4068">
      <c r="A4068" s="3" t="n"/>
      <c r="B4068" s="3" t="n"/>
      <c r="C4068" s="3" t="n"/>
      <c r="D4068" s="3" t="n"/>
      <c r="E4068" s="3" t="n"/>
      <c r="F4068" s="3" t="inlineStr"/>
      <c r="G4068" s="3" t="n"/>
      <c r="H4068" s="217" t="inlineStr"/>
      <c r="I4068" t="inlineStr"/>
    </row>
    <row r="4069">
      <c r="A4069" s="3" t="n"/>
      <c r="B4069" s="3" t="n"/>
      <c r="C4069" s="3" t="n"/>
      <c r="D4069" s="3" t="n"/>
      <c r="E4069" s="3" t="n"/>
      <c r="F4069" s="3" t="inlineStr"/>
      <c r="G4069" s="3" t="n"/>
      <c r="H4069" s="217" t="inlineStr"/>
      <c r="I4069" t="inlineStr"/>
    </row>
    <row r="4070">
      <c r="A4070" s="3" t="n"/>
      <c r="B4070" s="3" t="n"/>
      <c r="C4070" s="3" t="n"/>
      <c r="D4070" s="3" t="n"/>
      <c r="E4070" s="3" t="n"/>
      <c r="F4070" s="3" t="inlineStr"/>
      <c r="G4070" s="3" t="n"/>
      <c r="H4070" s="217" t="inlineStr"/>
      <c r="I4070" t="inlineStr"/>
    </row>
    <row r="4071">
      <c r="A4071" s="3" t="n"/>
      <c r="B4071" s="3" t="n"/>
      <c r="C4071" s="3" t="n"/>
      <c r="D4071" s="3" t="n"/>
      <c r="E4071" s="3" t="n"/>
      <c r="F4071" s="3" t="inlineStr"/>
      <c r="G4071" s="3" t="n"/>
      <c r="H4071" s="217" t="inlineStr"/>
      <c r="I4071" t="inlineStr"/>
    </row>
    <row r="4072">
      <c r="A4072" s="3" t="n"/>
      <c r="B4072" s="3" t="n"/>
      <c r="C4072" s="3" t="n"/>
      <c r="D4072" s="3" t="n"/>
      <c r="E4072" s="3" t="n"/>
      <c r="F4072" s="3" t="inlineStr"/>
      <c r="G4072" s="3" t="n"/>
      <c r="H4072" s="217" t="inlineStr"/>
      <c r="I4072" t="inlineStr"/>
    </row>
    <row r="4073">
      <c r="A4073" s="3" t="n"/>
      <c r="B4073" s="3" t="n"/>
      <c r="C4073" s="3" t="n"/>
      <c r="D4073" s="3" t="n"/>
      <c r="E4073" s="3" t="n"/>
      <c r="F4073" s="3" t="inlineStr"/>
      <c r="G4073" s="3" t="n"/>
      <c r="H4073" s="217" t="inlineStr"/>
      <c r="I4073" t="inlineStr"/>
    </row>
    <row r="4074">
      <c r="A4074" s="3" t="n"/>
      <c r="B4074" s="3" t="n"/>
      <c r="C4074" s="3" t="n"/>
      <c r="D4074" s="3" t="n"/>
      <c r="E4074" s="3" t="n"/>
      <c r="F4074" s="3" t="inlineStr"/>
      <c r="G4074" s="3" t="n"/>
      <c r="H4074" s="217" t="inlineStr"/>
      <c r="I4074" t="inlineStr"/>
    </row>
    <row r="4075">
      <c r="A4075" s="3" t="n"/>
      <c r="B4075" s="3" t="n"/>
      <c r="C4075" s="3" t="n"/>
      <c r="D4075" s="3" t="n"/>
      <c r="E4075" s="3" t="n"/>
      <c r="F4075" s="3" t="inlineStr"/>
      <c r="G4075" s="3" t="n"/>
      <c r="H4075" s="217" t="inlineStr"/>
      <c r="I4075" t="inlineStr"/>
    </row>
    <row r="4076">
      <c r="A4076" s="3" t="n"/>
      <c r="B4076" s="3" t="n"/>
      <c r="C4076" s="3" t="n"/>
      <c r="D4076" s="3" t="n"/>
      <c r="E4076" s="3" t="n"/>
      <c r="F4076" s="3" t="inlineStr"/>
      <c r="G4076" s="3" t="n"/>
      <c r="H4076" s="217" t="inlineStr"/>
      <c r="I4076" t="inlineStr"/>
    </row>
    <row r="4077">
      <c r="A4077" s="3" t="n"/>
      <c r="B4077" s="3" t="n"/>
      <c r="C4077" s="3" t="n"/>
      <c r="D4077" s="3" t="n"/>
      <c r="E4077" s="3" t="n"/>
      <c r="F4077" s="3" t="inlineStr"/>
      <c r="G4077" s="3" t="n"/>
      <c r="H4077" s="217" t="inlineStr"/>
      <c r="I4077" t="inlineStr"/>
    </row>
    <row r="4078">
      <c r="A4078" s="3" t="n"/>
      <c r="B4078" s="3" t="n"/>
      <c r="C4078" s="3" t="n"/>
      <c r="D4078" s="3" t="n"/>
      <c r="E4078" s="3" t="n"/>
      <c r="F4078" s="3" t="inlineStr"/>
      <c r="G4078" s="3" t="n"/>
      <c r="H4078" s="217" t="inlineStr"/>
      <c r="I4078" t="inlineStr"/>
    </row>
    <row r="4079">
      <c r="A4079" s="3" t="n"/>
      <c r="B4079" s="3" t="n"/>
      <c r="C4079" s="3" t="n"/>
      <c r="D4079" s="3" t="n"/>
      <c r="E4079" s="3" t="n"/>
      <c r="F4079" s="3" t="inlineStr"/>
      <c r="G4079" s="3" t="n"/>
      <c r="H4079" s="217" t="inlineStr"/>
      <c r="I4079" t="inlineStr"/>
    </row>
    <row r="4080">
      <c r="A4080" s="3" t="n"/>
      <c r="B4080" s="3" t="n"/>
      <c r="C4080" s="3" t="n"/>
      <c r="D4080" s="3" t="n"/>
      <c r="E4080" s="3" t="n"/>
      <c r="F4080" s="3" t="inlineStr"/>
      <c r="G4080" s="3" t="n"/>
      <c r="H4080" s="217" t="inlineStr"/>
      <c r="I4080" t="inlineStr"/>
    </row>
    <row r="4081">
      <c r="A4081" s="3" t="n"/>
      <c r="B4081" s="3" t="n"/>
      <c r="C4081" s="3" t="n"/>
      <c r="D4081" s="3" t="n"/>
      <c r="E4081" s="3" t="n"/>
      <c r="F4081" s="3" t="inlineStr"/>
      <c r="G4081" s="3" t="n"/>
      <c r="H4081" s="217" t="inlineStr"/>
      <c r="I4081" t="inlineStr"/>
    </row>
    <row r="4082">
      <c r="A4082" s="3" t="n"/>
      <c r="B4082" s="3" t="n"/>
      <c r="C4082" s="3" t="n"/>
      <c r="D4082" s="3" t="n"/>
      <c r="E4082" s="3" t="n"/>
      <c r="F4082" s="3" t="inlineStr"/>
      <c r="G4082" s="3" t="n"/>
      <c r="H4082" s="217" t="inlineStr"/>
      <c r="I4082" t="inlineStr"/>
    </row>
    <row r="4083">
      <c r="A4083" s="3" t="n"/>
      <c r="B4083" s="3" t="n"/>
      <c r="C4083" s="3" t="n"/>
      <c r="D4083" s="3" t="n"/>
      <c r="E4083" s="3" t="n"/>
      <c r="F4083" s="3" t="inlineStr"/>
      <c r="G4083" s="3" t="n"/>
      <c r="H4083" s="217" t="inlineStr"/>
      <c r="I4083" t="inlineStr"/>
    </row>
    <row r="4084">
      <c r="A4084" s="3" t="n"/>
      <c r="B4084" s="3" t="n"/>
      <c r="C4084" s="3" t="n"/>
      <c r="D4084" s="3" t="n"/>
      <c r="E4084" s="3" t="n"/>
      <c r="F4084" s="3" t="inlineStr"/>
      <c r="G4084" s="3" t="n"/>
      <c r="H4084" s="217" t="inlineStr"/>
      <c r="I4084" t="inlineStr"/>
    </row>
    <row r="4085">
      <c r="A4085" s="3" t="n"/>
      <c r="B4085" s="3" t="n"/>
      <c r="C4085" s="3" t="n"/>
      <c r="D4085" s="3" t="n"/>
      <c r="E4085" s="3" t="n"/>
      <c r="F4085" s="3" t="inlineStr"/>
      <c r="G4085" s="3" t="n"/>
      <c r="H4085" s="217" t="inlineStr"/>
      <c r="I4085" t="inlineStr"/>
    </row>
    <row r="4086">
      <c r="A4086" s="3" t="n"/>
      <c r="B4086" s="3" t="n"/>
      <c r="C4086" s="3" t="n"/>
      <c r="D4086" s="3" t="n"/>
      <c r="E4086" s="3" t="n"/>
      <c r="F4086" s="3" t="inlineStr"/>
      <c r="G4086" s="3" t="n"/>
      <c r="H4086" s="217" t="inlineStr"/>
      <c r="I4086" t="inlineStr"/>
    </row>
    <row r="4087">
      <c r="A4087" s="3" t="n"/>
      <c r="B4087" s="3" t="n"/>
      <c r="C4087" s="3" t="n"/>
      <c r="D4087" s="3" t="n"/>
      <c r="E4087" s="3" t="n"/>
      <c r="F4087" s="3" t="inlineStr"/>
      <c r="G4087" s="3" t="n"/>
      <c r="H4087" s="217" t="inlineStr"/>
      <c r="I4087" t="inlineStr"/>
    </row>
    <row r="4088">
      <c r="A4088" s="3" t="n"/>
      <c r="B4088" s="3" t="n"/>
      <c r="C4088" s="3" t="n"/>
      <c r="D4088" s="3" t="n"/>
      <c r="E4088" s="3" t="n"/>
      <c r="F4088" s="3" t="inlineStr"/>
      <c r="G4088" s="3" t="n"/>
      <c r="H4088" s="217" t="inlineStr"/>
      <c r="I4088" t="inlineStr"/>
    </row>
    <row r="4089">
      <c r="A4089" s="3" t="n"/>
      <c r="B4089" s="3" t="n"/>
      <c r="C4089" s="3" t="n"/>
      <c r="D4089" s="3" t="n"/>
      <c r="E4089" s="3" t="n"/>
      <c r="F4089" s="3" t="inlineStr"/>
      <c r="G4089" s="3" t="n"/>
      <c r="H4089" s="217" t="inlineStr"/>
      <c r="I4089" t="inlineStr"/>
    </row>
    <row r="4090">
      <c r="A4090" s="3" t="n"/>
      <c r="B4090" s="3" t="n"/>
      <c r="C4090" s="3" t="n"/>
      <c r="D4090" s="3" t="n"/>
      <c r="E4090" s="3" t="n"/>
      <c r="F4090" s="3" t="inlineStr"/>
      <c r="G4090" s="3" t="n"/>
      <c r="H4090" s="217" t="inlineStr"/>
      <c r="I4090" t="inlineStr"/>
    </row>
    <row r="4091">
      <c r="A4091" s="3" t="n"/>
      <c r="B4091" s="3" t="n"/>
      <c r="C4091" s="3" t="n"/>
      <c r="D4091" s="3" t="n"/>
      <c r="E4091" s="3" t="n"/>
      <c r="F4091" s="3" t="inlineStr"/>
      <c r="G4091" s="3" t="n"/>
      <c r="H4091" s="217" t="inlineStr"/>
      <c r="I4091" t="inlineStr"/>
    </row>
    <row r="4092">
      <c r="A4092" s="3" t="n"/>
      <c r="B4092" s="3" t="n"/>
      <c r="C4092" s="3" t="n"/>
      <c r="D4092" s="3" t="n"/>
      <c r="E4092" s="3" t="n"/>
      <c r="F4092" s="3" t="inlineStr"/>
      <c r="G4092" s="3" t="n"/>
      <c r="H4092" s="217" t="inlineStr"/>
      <c r="I4092" t="inlineStr"/>
    </row>
    <row r="4093">
      <c r="A4093" s="3" t="n"/>
      <c r="B4093" s="3" t="n"/>
      <c r="C4093" s="3" t="n"/>
      <c r="D4093" s="3" t="n"/>
      <c r="E4093" s="3" t="n"/>
      <c r="F4093" s="3" t="inlineStr"/>
      <c r="G4093" s="3" t="n"/>
      <c r="H4093" s="217" t="inlineStr"/>
      <c r="I4093" t="inlineStr"/>
    </row>
    <row r="4094">
      <c r="A4094" s="3" t="n"/>
      <c r="B4094" s="3" t="n"/>
      <c r="C4094" s="3" t="n"/>
      <c r="D4094" s="3" t="n"/>
      <c r="E4094" s="3" t="n"/>
      <c r="F4094" s="3" t="inlineStr"/>
      <c r="G4094" s="3" t="n"/>
      <c r="H4094" s="217" t="inlineStr"/>
      <c r="I4094" t="inlineStr"/>
    </row>
    <row r="4095">
      <c r="A4095" s="3" t="n"/>
      <c r="B4095" s="3" t="n"/>
      <c r="C4095" s="3" t="n"/>
      <c r="D4095" s="3" t="n"/>
      <c r="E4095" s="3" t="n"/>
      <c r="F4095" s="3" t="inlineStr"/>
      <c r="G4095" s="3" t="n"/>
      <c r="H4095" s="217" t="inlineStr"/>
      <c r="I4095" t="inlineStr"/>
    </row>
    <row r="4096">
      <c r="A4096" s="3" t="n"/>
      <c r="B4096" s="3" t="n"/>
      <c r="C4096" s="3" t="n"/>
      <c r="D4096" s="3" t="n"/>
      <c r="E4096" s="3" t="n"/>
      <c r="F4096" s="3" t="inlineStr"/>
      <c r="G4096" s="3" t="n"/>
      <c r="H4096" s="217" t="inlineStr"/>
      <c r="I4096" t="inlineStr"/>
    </row>
    <row r="4097">
      <c r="A4097" s="3" t="n"/>
      <c r="B4097" s="3" t="n"/>
      <c r="C4097" s="3" t="n"/>
      <c r="D4097" s="3" t="n"/>
      <c r="E4097" s="3" t="n"/>
      <c r="F4097" s="3" t="inlineStr"/>
      <c r="G4097" s="3" t="n"/>
      <c r="H4097" s="217" t="inlineStr"/>
      <c r="I4097" t="inlineStr"/>
    </row>
    <row r="4098">
      <c r="A4098" s="3" t="n"/>
      <c r="B4098" s="3" t="n"/>
      <c r="C4098" s="3" t="n"/>
      <c r="D4098" s="3" t="n"/>
      <c r="E4098" s="3" t="n"/>
      <c r="F4098" s="3" t="inlineStr"/>
      <c r="G4098" s="3" t="n"/>
      <c r="H4098" s="217" t="inlineStr"/>
      <c r="I4098" t="inlineStr"/>
    </row>
    <row r="4099">
      <c r="A4099" s="3" t="n"/>
      <c r="B4099" s="3" t="n"/>
      <c r="C4099" s="3" t="n"/>
      <c r="D4099" s="3" t="n"/>
      <c r="E4099" s="3" t="n"/>
      <c r="F4099" s="3" t="inlineStr"/>
      <c r="G4099" s="3" t="n"/>
      <c r="H4099" s="217" t="inlineStr"/>
      <c r="I4099" t="inlineStr"/>
    </row>
    <row r="4100">
      <c r="A4100" s="3" t="n"/>
      <c r="B4100" s="3" t="n"/>
      <c r="C4100" s="3" t="n"/>
      <c r="D4100" s="3" t="n"/>
      <c r="E4100" s="3" t="n"/>
      <c r="F4100" s="3" t="inlineStr"/>
      <c r="G4100" s="3" t="n"/>
      <c r="H4100" s="217" t="inlineStr"/>
      <c r="I4100" t="inlineStr"/>
    </row>
    <row r="4101">
      <c r="A4101" s="3" t="n"/>
      <c r="B4101" s="3" t="n"/>
      <c r="C4101" s="3" t="n"/>
      <c r="D4101" s="3" t="n"/>
      <c r="E4101" s="3" t="n"/>
      <c r="F4101" s="3" t="inlineStr"/>
      <c r="G4101" s="3" t="n"/>
      <c r="H4101" s="217" t="inlineStr"/>
      <c r="I4101" t="inlineStr"/>
    </row>
    <row r="4102">
      <c r="A4102" s="3" t="n"/>
      <c r="B4102" s="3" t="n"/>
      <c r="C4102" s="3" t="n"/>
      <c r="D4102" s="3" t="n"/>
      <c r="E4102" s="3" t="n"/>
      <c r="F4102" s="3" t="inlineStr"/>
      <c r="G4102" s="3" t="n"/>
      <c r="H4102" s="217" t="inlineStr"/>
      <c r="I4102" t="inlineStr"/>
    </row>
    <row r="4103">
      <c r="A4103" s="3" t="n"/>
      <c r="B4103" s="3" t="n"/>
      <c r="C4103" s="3" t="n"/>
      <c r="D4103" s="3" t="n"/>
      <c r="E4103" s="3" t="n"/>
      <c r="F4103" s="3" t="inlineStr"/>
      <c r="G4103" s="3" t="n"/>
      <c r="H4103" s="217" t="inlineStr"/>
      <c r="I4103" t="inlineStr"/>
    </row>
    <row r="4104">
      <c r="A4104" s="3" t="n"/>
      <c r="B4104" s="3" t="n"/>
      <c r="C4104" s="3" t="n"/>
      <c r="D4104" s="3" t="n"/>
      <c r="E4104" s="3" t="n"/>
      <c r="F4104" s="3" t="inlineStr"/>
      <c r="G4104" s="3" t="n"/>
      <c r="H4104" s="217" t="inlineStr"/>
      <c r="I4104" t="inlineStr"/>
    </row>
    <row r="4105">
      <c r="A4105" s="3" t="n"/>
      <c r="B4105" s="3" t="n"/>
      <c r="C4105" s="3" t="n"/>
      <c r="D4105" s="3" t="n"/>
      <c r="E4105" s="3" t="n"/>
      <c r="F4105" s="3" t="inlineStr"/>
      <c r="G4105" s="3" t="n"/>
      <c r="H4105" s="217" t="inlineStr"/>
      <c r="I4105" t="inlineStr"/>
    </row>
    <row r="4106">
      <c r="A4106" s="3" t="n"/>
      <c r="B4106" s="3" t="n"/>
      <c r="C4106" s="3" t="n"/>
      <c r="D4106" s="3" t="n"/>
      <c r="E4106" s="3" t="n"/>
      <c r="F4106" s="3" t="inlineStr"/>
      <c r="G4106" s="3" t="n"/>
      <c r="H4106" s="217" t="inlineStr"/>
      <c r="I4106" t="inlineStr"/>
    </row>
    <row r="4107">
      <c r="A4107" s="3" t="n"/>
      <c r="B4107" s="3" t="n"/>
      <c r="C4107" s="3" t="n"/>
      <c r="D4107" s="3" t="n"/>
      <c r="E4107" s="3" t="n"/>
      <c r="F4107" s="3" t="inlineStr"/>
      <c r="G4107" s="3" t="n"/>
      <c r="H4107" s="217" t="inlineStr"/>
      <c r="I4107" t="inlineStr"/>
    </row>
    <row r="4108">
      <c r="A4108" s="3" t="n"/>
      <c r="B4108" s="3" t="n"/>
      <c r="C4108" s="3" t="n"/>
      <c r="D4108" s="3" t="n"/>
      <c r="E4108" s="3" t="n"/>
      <c r="F4108" s="3" t="inlineStr"/>
      <c r="G4108" s="3" t="n"/>
      <c r="H4108" s="217" t="inlineStr"/>
      <c r="I4108" t="inlineStr"/>
    </row>
    <row r="4109">
      <c r="A4109" s="3" t="n"/>
      <c r="B4109" s="3" t="n"/>
      <c r="C4109" s="3" t="n"/>
      <c r="D4109" s="3" t="n"/>
      <c r="E4109" s="3" t="n"/>
      <c r="F4109" s="3" t="inlineStr"/>
      <c r="G4109" s="3" t="n"/>
      <c r="H4109" s="217" t="inlineStr"/>
      <c r="I4109" t="inlineStr"/>
    </row>
    <row r="4110">
      <c r="A4110" s="3" t="n"/>
      <c r="B4110" s="3" t="n"/>
      <c r="C4110" s="3" t="n"/>
      <c r="D4110" s="3" t="n"/>
      <c r="E4110" s="3" t="n"/>
      <c r="F4110" s="3" t="inlineStr"/>
      <c r="G4110" s="3" t="n"/>
      <c r="H4110" s="217" t="inlineStr"/>
      <c r="I4110" t="inlineStr"/>
    </row>
    <row r="4111">
      <c r="A4111" s="3" t="n"/>
      <c r="B4111" s="3" t="n"/>
      <c r="C4111" s="3" t="n"/>
      <c r="D4111" s="3" t="n"/>
      <c r="E4111" s="3" t="n"/>
      <c r="F4111" s="3" t="inlineStr"/>
      <c r="G4111" s="3" t="n"/>
      <c r="H4111" s="217" t="inlineStr"/>
      <c r="I4111" t="inlineStr"/>
    </row>
    <row r="4112">
      <c r="A4112" s="3" t="n"/>
      <c r="B4112" s="3" t="n"/>
      <c r="C4112" s="3" t="n"/>
      <c r="D4112" s="3" t="n"/>
      <c r="E4112" s="3" t="n"/>
      <c r="F4112" s="3" t="inlineStr"/>
      <c r="G4112" s="3" t="n"/>
      <c r="H4112" s="217" t="inlineStr"/>
      <c r="I4112" t="inlineStr"/>
    </row>
    <row r="4113">
      <c r="A4113" s="3" t="n"/>
      <c r="B4113" s="3" t="n"/>
      <c r="C4113" s="3" t="n"/>
      <c r="D4113" s="3" t="n"/>
      <c r="E4113" s="3" t="n"/>
      <c r="F4113" s="3" t="inlineStr"/>
      <c r="G4113" s="3" t="n"/>
      <c r="H4113" s="217" t="inlineStr"/>
      <c r="I4113" t="inlineStr"/>
    </row>
    <row r="4114">
      <c r="A4114" s="3" t="n"/>
      <c r="B4114" s="3" t="n"/>
      <c r="C4114" s="3" t="n"/>
      <c r="D4114" s="3" t="n"/>
      <c r="E4114" s="3" t="n"/>
      <c r="F4114" s="3" t="inlineStr"/>
      <c r="G4114" s="3" t="n"/>
      <c r="H4114" s="217" t="inlineStr"/>
      <c r="I4114" t="inlineStr"/>
    </row>
    <row r="4115">
      <c r="A4115" s="3" t="n"/>
      <c r="B4115" s="3" t="n"/>
      <c r="C4115" s="3" t="n"/>
      <c r="D4115" s="3" t="n"/>
      <c r="E4115" s="3" t="n"/>
      <c r="F4115" s="3" t="inlineStr"/>
      <c r="G4115" s="3" t="n"/>
      <c r="H4115" s="217" t="inlineStr"/>
      <c r="I4115" t="inlineStr"/>
    </row>
    <row r="4116">
      <c r="A4116" s="3" t="n"/>
      <c r="B4116" s="3" t="n"/>
      <c r="C4116" s="3" t="n"/>
      <c r="D4116" s="3" t="n"/>
      <c r="E4116" s="3" t="n"/>
      <c r="F4116" s="3" t="inlineStr"/>
      <c r="G4116" s="3" t="n"/>
      <c r="H4116" s="217" t="inlineStr"/>
      <c r="I4116" t="inlineStr"/>
    </row>
    <row r="4117">
      <c r="A4117" s="3" t="n"/>
      <c r="B4117" s="3" t="n"/>
      <c r="C4117" s="3" t="n"/>
      <c r="D4117" s="3" t="n"/>
      <c r="E4117" s="3" t="n"/>
      <c r="F4117" s="3" t="inlineStr"/>
      <c r="G4117" s="3" t="n"/>
      <c r="H4117" s="217" t="inlineStr"/>
      <c r="I4117" t="inlineStr"/>
    </row>
    <row r="4118">
      <c r="A4118" s="3" t="n"/>
      <c r="B4118" s="3" t="n"/>
      <c r="C4118" s="3" t="n"/>
      <c r="D4118" s="3" t="n"/>
      <c r="E4118" s="3" t="n"/>
      <c r="F4118" s="3" t="inlineStr"/>
      <c r="G4118" s="3" t="n"/>
      <c r="H4118" s="217" t="inlineStr"/>
      <c r="I4118" t="inlineStr"/>
    </row>
    <row r="4119">
      <c r="A4119" s="3" t="n"/>
      <c r="B4119" s="3" t="n"/>
      <c r="C4119" s="3" t="n"/>
      <c r="D4119" s="3" t="n"/>
      <c r="E4119" s="3" t="n"/>
      <c r="F4119" s="3" t="inlineStr"/>
      <c r="G4119" s="3" t="n"/>
      <c r="H4119" s="217" t="inlineStr"/>
      <c r="I4119" t="inlineStr"/>
    </row>
    <row r="4120">
      <c r="A4120" s="3" t="n"/>
      <c r="B4120" s="3" t="n"/>
      <c r="C4120" s="3" t="n"/>
      <c r="D4120" s="3" t="n"/>
      <c r="E4120" s="3" t="n"/>
      <c r="F4120" s="3" t="inlineStr"/>
      <c r="G4120" s="3" t="n"/>
      <c r="H4120" s="217" t="inlineStr"/>
      <c r="I4120" t="inlineStr"/>
    </row>
    <row r="4121">
      <c r="A4121" s="3" t="n"/>
      <c r="B4121" s="3" t="n"/>
      <c r="C4121" s="3" t="n"/>
      <c r="D4121" s="3" t="n"/>
      <c r="E4121" s="3" t="n"/>
      <c r="F4121" s="3" t="inlineStr"/>
      <c r="G4121" s="3" t="n"/>
      <c r="H4121" s="217" t="inlineStr"/>
      <c r="I4121" t="inlineStr"/>
    </row>
    <row r="4122">
      <c r="A4122" s="3" t="n"/>
      <c r="B4122" s="3" t="n"/>
      <c r="C4122" s="3" t="n"/>
      <c r="D4122" s="3" t="n"/>
      <c r="E4122" s="3" t="n"/>
      <c r="F4122" s="3" t="inlineStr"/>
      <c r="G4122" s="3" t="n"/>
      <c r="H4122" s="217" t="inlineStr"/>
      <c r="I4122" t="inlineStr"/>
    </row>
    <row r="4123">
      <c r="A4123" s="3" t="n"/>
      <c r="B4123" s="3" t="n"/>
      <c r="C4123" s="3" t="n"/>
      <c r="D4123" s="3" t="n"/>
      <c r="E4123" s="3" t="n"/>
      <c r="F4123" s="3" t="inlineStr"/>
      <c r="G4123" s="3" t="n"/>
      <c r="H4123" s="217" t="inlineStr"/>
      <c r="I4123" t="inlineStr"/>
    </row>
    <row r="4124">
      <c r="A4124" s="3" t="n"/>
      <c r="B4124" s="3" t="n"/>
      <c r="C4124" s="3" t="n"/>
      <c r="D4124" s="3" t="n"/>
      <c r="E4124" s="3" t="n"/>
      <c r="F4124" s="3" t="inlineStr"/>
      <c r="G4124" s="3" t="n"/>
      <c r="H4124" s="217" t="inlineStr"/>
      <c r="I4124" t="inlineStr"/>
    </row>
    <row r="4125">
      <c r="A4125" s="3" t="n"/>
      <c r="B4125" s="3" t="n"/>
      <c r="C4125" s="3" t="n"/>
      <c r="D4125" s="3" t="n"/>
      <c r="E4125" s="3" t="n"/>
      <c r="F4125" s="3" t="inlineStr"/>
      <c r="G4125" s="3" t="n"/>
      <c r="H4125" s="217" t="inlineStr"/>
      <c r="I4125" t="inlineStr"/>
    </row>
    <row r="4126">
      <c r="A4126" s="3" t="n"/>
      <c r="B4126" s="3" t="n"/>
      <c r="C4126" s="3" t="n"/>
      <c r="D4126" s="3" t="n"/>
      <c r="E4126" s="3" t="n"/>
      <c r="F4126" s="3" t="inlineStr"/>
      <c r="G4126" s="3" t="n"/>
      <c r="H4126" s="217" t="inlineStr"/>
      <c r="I4126" t="inlineStr"/>
    </row>
    <row r="4127">
      <c r="A4127" s="3" t="n"/>
      <c r="B4127" s="3" t="n"/>
      <c r="C4127" s="3" t="n"/>
      <c r="D4127" s="3" t="n"/>
      <c r="E4127" s="3" t="n"/>
      <c r="F4127" s="3" t="inlineStr"/>
      <c r="G4127" s="3" t="n"/>
      <c r="H4127" s="217" t="inlineStr"/>
      <c r="I4127" t="inlineStr"/>
    </row>
    <row r="4128">
      <c r="A4128" s="3" t="n"/>
      <c r="B4128" s="3" t="n"/>
      <c r="C4128" s="3" t="n"/>
      <c r="D4128" s="3" t="n"/>
      <c r="E4128" s="3" t="n"/>
      <c r="F4128" s="3" t="inlineStr"/>
      <c r="G4128" s="3" t="n"/>
      <c r="H4128" s="217" t="inlineStr"/>
      <c r="I4128" t="inlineStr"/>
    </row>
    <row r="4129">
      <c r="A4129" s="3" t="n"/>
      <c r="B4129" s="3" t="n"/>
      <c r="C4129" s="3" t="n"/>
      <c r="D4129" s="3" t="n"/>
      <c r="E4129" s="3" t="n"/>
      <c r="F4129" s="3" t="inlineStr"/>
      <c r="G4129" s="3" t="n"/>
      <c r="H4129" s="217" t="inlineStr"/>
      <c r="I4129" t="inlineStr"/>
    </row>
    <row r="4130">
      <c r="A4130" s="3" t="n"/>
      <c r="B4130" s="3" t="n"/>
      <c r="C4130" s="3" t="n"/>
      <c r="D4130" s="3" t="n"/>
      <c r="E4130" s="3" t="n"/>
      <c r="F4130" s="3" t="inlineStr"/>
      <c r="G4130" s="3" t="n"/>
      <c r="H4130" s="217" t="inlineStr"/>
      <c r="I4130" t="inlineStr"/>
    </row>
    <row r="4131">
      <c r="A4131" s="3" t="n"/>
      <c r="B4131" s="3" t="n"/>
      <c r="C4131" s="3" t="n"/>
      <c r="D4131" s="3" t="n"/>
      <c r="E4131" s="3" t="n"/>
      <c r="F4131" s="3" t="inlineStr"/>
      <c r="G4131" s="3" t="n"/>
      <c r="H4131" s="217" t="inlineStr"/>
      <c r="I4131" t="inlineStr"/>
    </row>
    <row r="4132">
      <c r="A4132" s="3" t="n"/>
      <c r="B4132" s="3" t="n"/>
      <c r="C4132" s="3" t="n"/>
      <c r="D4132" s="3" t="n"/>
      <c r="E4132" s="3" t="n"/>
      <c r="F4132" s="3" t="inlineStr"/>
      <c r="G4132" s="3" t="n"/>
      <c r="H4132" s="217" t="inlineStr"/>
      <c r="I4132" t="inlineStr"/>
    </row>
    <row r="4133">
      <c r="A4133" s="3" t="n"/>
      <c r="B4133" s="3" t="n"/>
      <c r="C4133" s="3" t="n"/>
      <c r="D4133" s="3" t="n"/>
      <c r="E4133" s="3" t="n"/>
      <c r="F4133" s="3" t="inlineStr"/>
      <c r="G4133" s="3" t="n"/>
      <c r="H4133" s="217" t="inlineStr"/>
      <c r="I4133" t="inlineStr"/>
    </row>
    <row r="4134">
      <c r="A4134" s="3" t="n"/>
      <c r="B4134" s="3" t="n"/>
      <c r="C4134" s="3" t="n"/>
      <c r="D4134" s="3" t="n"/>
      <c r="E4134" s="3" t="n"/>
      <c r="F4134" s="3" t="inlineStr"/>
      <c r="G4134" s="3" t="n"/>
      <c r="H4134" s="217" t="inlineStr"/>
      <c r="I4134" t="inlineStr"/>
    </row>
    <row r="4135">
      <c r="A4135" s="3" t="n"/>
      <c r="B4135" s="3" t="n"/>
      <c r="C4135" s="3" t="n"/>
      <c r="D4135" s="3" t="n"/>
      <c r="E4135" s="3" t="n"/>
      <c r="F4135" s="3" t="inlineStr"/>
      <c r="G4135" s="3" t="n"/>
      <c r="H4135" s="217" t="inlineStr"/>
      <c r="I4135" t="inlineStr"/>
    </row>
    <row r="4136">
      <c r="A4136" s="3" t="n"/>
      <c r="B4136" s="3" t="n"/>
      <c r="C4136" s="3" t="n"/>
      <c r="D4136" s="3" t="n"/>
      <c r="E4136" s="3" t="n"/>
      <c r="F4136" s="3" t="inlineStr"/>
      <c r="G4136" s="3" t="n"/>
      <c r="H4136" s="217" t="inlineStr"/>
      <c r="I4136" t="inlineStr"/>
    </row>
    <row r="4137">
      <c r="A4137" s="3" t="n"/>
      <c r="B4137" s="3" t="n"/>
      <c r="C4137" s="3" t="n"/>
      <c r="D4137" s="3" t="n"/>
      <c r="E4137" s="3" t="n"/>
      <c r="F4137" s="3" t="inlineStr"/>
      <c r="G4137" s="3" t="n"/>
      <c r="H4137" s="217" t="inlineStr"/>
      <c r="I4137" t="inlineStr"/>
    </row>
    <row r="4138">
      <c r="A4138" s="3" t="n"/>
      <c r="B4138" s="3" t="n"/>
      <c r="C4138" s="3" t="n"/>
      <c r="D4138" s="3" t="n"/>
      <c r="E4138" s="3" t="n"/>
      <c r="F4138" s="3" t="inlineStr"/>
      <c r="G4138" s="3" t="n"/>
      <c r="H4138" s="217" t="inlineStr"/>
      <c r="I4138" t="inlineStr"/>
    </row>
    <row r="4139">
      <c r="A4139" s="3" t="n"/>
      <c r="B4139" s="3" t="n"/>
      <c r="C4139" s="3" t="n"/>
      <c r="D4139" s="3" t="n"/>
      <c r="E4139" s="3" t="n"/>
      <c r="F4139" s="3" t="inlineStr"/>
      <c r="G4139" s="3" t="n"/>
      <c r="H4139" s="217" t="inlineStr"/>
      <c r="I4139" t="inlineStr"/>
    </row>
    <row r="4140">
      <c r="A4140" s="3" t="n"/>
      <c r="B4140" s="3" t="n"/>
      <c r="C4140" s="3" t="n"/>
      <c r="D4140" s="3" t="n"/>
      <c r="E4140" s="3" t="n"/>
      <c r="F4140" s="3" t="inlineStr"/>
      <c r="G4140" s="3" t="n"/>
      <c r="H4140" s="217" t="inlineStr"/>
      <c r="I4140" t="inlineStr"/>
    </row>
    <row r="4141">
      <c r="A4141" s="3" t="n"/>
      <c r="B4141" s="3" t="n"/>
      <c r="C4141" s="3" t="n"/>
      <c r="D4141" s="3" t="n"/>
      <c r="E4141" s="3" t="n"/>
      <c r="F4141" s="3" t="inlineStr"/>
      <c r="G4141" s="3" t="n"/>
      <c r="H4141" s="217" t="inlineStr"/>
      <c r="I4141" t="inlineStr"/>
    </row>
    <row r="4142">
      <c r="A4142" s="3" t="n"/>
      <c r="B4142" s="3" t="n"/>
      <c r="C4142" s="3" t="n"/>
      <c r="D4142" s="3" t="n"/>
      <c r="E4142" s="3" t="n"/>
      <c r="F4142" s="3" t="inlineStr"/>
      <c r="G4142" s="3" t="n"/>
      <c r="H4142" s="217" t="inlineStr"/>
      <c r="I4142" t="inlineStr"/>
    </row>
    <row r="4143">
      <c r="A4143" s="3" t="n"/>
      <c r="B4143" s="3" t="n"/>
      <c r="C4143" s="3" t="n"/>
      <c r="D4143" s="3" t="n"/>
      <c r="E4143" s="3" t="n"/>
      <c r="F4143" s="3" t="inlineStr"/>
      <c r="G4143" s="3" t="n"/>
      <c r="H4143" s="217" t="inlineStr"/>
      <c r="I4143" t="inlineStr"/>
    </row>
    <row r="4144">
      <c r="A4144" s="3" t="n"/>
      <c r="B4144" s="3" t="n"/>
      <c r="C4144" s="3" t="n"/>
      <c r="D4144" s="3" t="n"/>
      <c r="E4144" s="3" t="n"/>
      <c r="F4144" s="3" t="inlineStr"/>
      <c r="G4144" s="3" t="n"/>
      <c r="H4144" s="217" t="inlineStr"/>
      <c r="I4144" t="inlineStr"/>
    </row>
    <row r="4145">
      <c r="A4145" s="3" t="n"/>
      <c r="B4145" s="3" t="n"/>
      <c r="C4145" s="3" t="n"/>
      <c r="D4145" s="3" t="n"/>
      <c r="E4145" s="3" t="n"/>
      <c r="F4145" s="3" t="inlineStr"/>
      <c r="G4145" s="3" t="n"/>
      <c r="H4145" s="217" t="inlineStr"/>
      <c r="I4145" t="inlineStr"/>
    </row>
    <row r="4146">
      <c r="A4146" s="3" t="n"/>
      <c r="B4146" s="3" t="n"/>
      <c r="C4146" s="3" t="n"/>
      <c r="D4146" s="3" t="n"/>
      <c r="E4146" s="3" t="n"/>
      <c r="F4146" s="3" t="inlineStr"/>
      <c r="G4146" s="3" t="n"/>
      <c r="H4146" s="217" t="inlineStr"/>
      <c r="I4146" t="inlineStr"/>
    </row>
    <row r="4147">
      <c r="A4147" s="3" t="n"/>
      <c r="B4147" s="3" t="n"/>
      <c r="C4147" s="3" t="n"/>
      <c r="D4147" s="3" t="n"/>
      <c r="E4147" s="3" t="n"/>
      <c r="F4147" s="3" t="inlineStr"/>
      <c r="G4147" s="3" t="n"/>
      <c r="H4147" s="217" t="inlineStr"/>
      <c r="I4147" t="inlineStr"/>
    </row>
    <row r="4148">
      <c r="A4148" s="3" t="n"/>
      <c r="B4148" s="3" t="n"/>
      <c r="C4148" s="3" t="n"/>
      <c r="D4148" s="3" t="n"/>
      <c r="E4148" s="3" t="n"/>
      <c r="F4148" s="3" t="inlineStr"/>
      <c r="G4148" s="3" t="n"/>
      <c r="H4148" s="217" t="inlineStr"/>
      <c r="I4148" t="inlineStr"/>
    </row>
    <row r="4149">
      <c r="A4149" s="3" t="n"/>
      <c r="B4149" s="3" t="n"/>
      <c r="C4149" s="3" t="n"/>
      <c r="D4149" s="3" t="n"/>
      <c r="E4149" s="3" t="n"/>
      <c r="F4149" s="3" t="inlineStr"/>
      <c r="G4149" s="3" t="n"/>
      <c r="H4149" s="217" t="inlineStr"/>
      <c r="I4149" t="inlineStr"/>
    </row>
    <row r="4150">
      <c r="A4150" s="3" t="n"/>
      <c r="B4150" s="3" t="n"/>
      <c r="C4150" s="3" t="n"/>
      <c r="D4150" s="3" t="n"/>
      <c r="E4150" s="3" t="n"/>
      <c r="F4150" s="3" t="inlineStr"/>
      <c r="G4150" s="3" t="n"/>
      <c r="H4150" s="217" t="inlineStr"/>
      <c r="I4150" t="inlineStr"/>
    </row>
    <row r="4151">
      <c r="A4151" s="3" t="n"/>
      <c r="B4151" s="3" t="n"/>
      <c r="C4151" s="3" t="n"/>
      <c r="D4151" s="3" t="n"/>
      <c r="E4151" s="3" t="n"/>
      <c r="F4151" s="3" t="inlineStr"/>
      <c r="G4151" s="3" t="n"/>
      <c r="H4151" s="217" t="inlineStr"/>
      <c r="I4151" t="inlineStr"/>
    </row>
    <row r="4152">
      <c r="A4152" s="3" t="n"/>
      <c r="B4152" s="3" t="n"/>
      <c r="C4152" s="3" t="n"/>
      <c r="D4152" s="3" t="n"/>
      <c r="E4152" s="3" t="n"/>
      <c r="F4152" s="3" t="inlineStr"/>
      <c r="G4152" s="3" t="n"/>
      <c r="H4152" s="217" t="inlineStr"/>
      <c r="I4152" t="inlineStr"/>
    </row>
    <row r="4153">
      <c r="A4153" s="3" t="n"/>
      <c r="B4153" s="3" t="n"/>
      <c r="C4153" s="3" t="n"/>
      <c r="D4153" s="3" t="n"/>
      <c r="E4153" s="3" t="n"/>
      <c r="F4153" s="3" t="inlineStr"/>
      <c r="G4153" s="3" t="n"/>
      <c r="H4153" s="217" t="inlineStr"/>
      <c r="I4153" t="inlineStr"/>
    </row>
    <row r="4154">
      <c r="A4154" s="3" t="n"/>
      <c r="B4154" s="3" t="n"/>
      <c r="C4154" s="3" t="n"/>
      <c r="D4154" s="3" t="n"/>
      <c r="E4154" s="3" t="n"/>
      <c r="F4154" s="3" t="inlineStr"/>
      <c r="G4154" s="3" t="n"/>
      <c r="H4154" s="217" t="inlineStr"/>
      <c r="I4154" t="inlineStr"/>
    </row>
    <row r="4155">
      <c r="A4155" s="3" t="n"/>
      <c r="B4155" s="3" t="n"/>
      <c r="C4155" s="3" t="n"/>
      <c r="D4155" s="3" t="n"/>
      <c r="E4155" s="3" t="n"/>
      <c r="F4155" s="3" t="inlineStr"/>
      <c r="G4155" s="3" t="n"/>
      <c r="H4155" s="217" t="inlineStr"/>
      <c r="I4155" t="inlineStr"/>
    </row>
    <row r="4156">
      <c r="A4156" s="3" t="n"/>
      <c r="B4156" s="3" t="n"/>
      <c r="C4156" s="3" t="n"/>
      <c r="D4156" s="3" t="n"/>
      <c r="E4156" s="3" t="n"/>
      <c r="F4156" s="3" t="inlineStr"/>
      <c r="G4156" s="3" t="n"/>
      <c r="H4156" s="217" t="inlineStr"/>
      <c r="I4156" t="inlineStr"/>
    </row>
    <row r="4157">
      <c r="A4157" s="3" t="n"/>
      <c r="B4157" s="3" t="n"/>
      <c r="C4157" s="3" t="n"/>
      <c r="D4157" s="3" t="n"/>
      <c r="E4157" s="3" t="n"/>
      <c r="F4157" s="3" t="inlineStr"/>
      <c r="G4157" s="3" t="n"/>
      <c r="H4157" s="217" t="inlineStr"/>
      <c r="I4157" t="inlineStr"/>
    </row>
    <row r="4158">
      <c r="A4158" s="3" t="n"/>
      <c r="B4158" s="3" t="n"/>
      <c r="C4158" s="3" t="n"/>
      <c r="D4158" s="3" t="n"/>
      <c r="E4158" s="3" t="n"/>
      <c r="F4158" s="3" t="inlineStr"/>
      <c r="G4158" s="3" t="n"/>
      <c r="H4158" s="217" t="inlineStr"/>
      <c r="I4158" t="inlineStr"/>
    </row>
    <row r="4159">
      <c r="A4159" s="3" t="n"/>
      <c r="B4159" s="3" t="n"/>
      <c r="C4159" s="3" t="n"/>
      <c r="D4159" s="3" t="n"/>
      <c r="E4159" s="3" t="n"/>
      <c r="F4159" s="3" t="inlineStr"/>
      <c r="G4159" s="3" t="n"/>
      <c r="H4159" s="217" t="inlineStr"/>
      <c r="I4159" t="inlineStr"/>
    </row>
    <row r="4160">
      <c r="A4160" s="3" t="n"/>
      <c r="B4160" s="3" t="n"/>
      <c r="C4160" s="3" t="n"/>
      <c r="D4160" s="3" t="n"/>
      <c r="E4160" s="3" t="n"/>
      <c r="F4160" s="3" t="inlineStr"/>
      <c r="G4160" s="3" t="n"/>
      <c r="H4160" s="217" t="inlineStr"/>
      <c r="I4160" t="inlineStr"/>
    </row>
    <row r="4161">
      <c r="A4161" s="3" t="n"/>
      <c r="B4161" s="3" t="n"/>
      <c r="C4161" s="3" t="n"/>
      <c r="D4161" s="3" t="n"/>
      <c r="E4161" s="3" t="n"/>
      <c r="F4161" s="3" t="inlineStr"/>
      <c r="G4161" s="3" t="n"/>
      <c r="H4161" s="217" t="inlineStr"/>
      <c r="I4161" t="inlineStr"/>
    </row>
    <row r="4162">
      <c r="A4162" s="3" t="n"/>
      <c r="B4162" s="3" t="n"/>
      <c r="C4162" s="3" t="n"/>
      <c r="D4162" s="3" t="n"/>
      <c r="E4162" s="3" t="n"/>
      <c r="F4162" s="3" t="inlineStr"/>
      <c r="G4162" s="3" t="n"/>
      <c r="H4162" s="217" t="inlineStr"/>
      <c r="I4162" t="inlineStr"/>
    </row>
    <row r="4163">
      <c r="A4163" s="3" t="n"/>
      <c r="B4163" s="3" t="n"/>
      <c r="C4163" s="3" t="n"/>
      <c r="D4163" s="3" t="n"/>
      <c r="E4163" s="3" t="n"/>
      <c r="F4163" s="3" t="inlineStr"/>
      <c r="G4163" s="3" t="n"/>
      <c r="H4163" s="217" t="inlineStr"/>
      <c r="I4163" t="inlineStr"/>
    </row>
    <row r="4164">
      <c r="A4164" s="3" t="n"/>
      <c r="B4164" s="3" t="n"/>
      <c r="C4164" s="3" t="n"/>
      <c r="D4164" s="3" t="n"/>
      <c r="E4164" s="3" t="n"/>
      <c r="F4164" s="3" t="inlineStr"/>
      <c r="G4164" s="3" t="n"/>
      <c r="H4164" s="217" t="inlineStr"/>
      <c r="I4164" t="inlineStr"/>
    </row>
    <row r="4165">
      <c r="A4165" s="3" t="n"/>
      <c r="B4165" s="3" t="n"/>
      <c r="C4165" s="3" t="n"/>
      <c r="D4165" s="3" t="n"/>
      <c r="E4165" s="3" t="n"/>
      <c r="F4165" s="3" t="inlineStr"/>
      <c r="G4165" s="3" t="n"/>
      <c r="H4165" s="217" t="inlineStr"/>
      <c r="I4165" t="inlineStr"/>
    </row>
    <row r="4166">
      <c r="A4166" s="3" t="n"/>
      <c r="B4166" s="3" t="n"/>
      <c r="C4166" s="3" t="n"/>
      <c r="D4166" s="3" t="n"/>
      <c r="E4166" s="3" t="n"/>
      <c r="F4166" s="3" t="inlineStr"/>
      <c r="G4166" s="3" t="n"/>
      <c r="H4166" s="217" t="inlineStr"/>
      <c r="I4166" t="inlineStr"/>
    </row>
    <row r="4167">
      <c r="A4167" s="3" t="n"/>
      <c r="B4167" s="3" t="n"/>
      <c r="C4167" s="3" t="n"/>
      <c r="D4167" s="3" t="n"/>
      <c r="E4167" s="3" t="n"/>
      <c r="F4167" s="3" t="inlineStr"/>
      <c r="G4167" s="3" t="n"/>
      <c r="H4167" s="217" t="inlineStr"/>
      <c r="I4167" t="inlineStr"/>
    </row>
    <row r="4168">
      <c r="A4168" s="3" t="n"/>
      <c r="B4168" s="3" t="n"/>
      <c r="C4168" s="3" t="n"/>
      <c r="D4168" s="3" t="n"/>
      <c r="E4168" s="3" t="n"/>
      <c r="F4168" s="3" t="inlineStr"/>
      <c r="G4168" s="3" t="n"/>
      <c r="H4168" s="217" t="inlineStr"/>
      <c r="I4168" t="inlineStr"/>
    </row>
    <row r="4169">
      <c r="A4169" s="3" t="n"/>
      <c r="B4169" s="3" t="n"/>
      <c r="C4169" s="3" t="n"/>
      <c r="D4169" s="3" t="n"/>
      <c r="E4169" s="3" t="n"/>
      <c r="F4169" s="3" t="inlineStr"/>
      <c r="G4169" s="3" t="n"/>
      <c r="H4169" s="217" t="inlineStr"/>
      <c r="I4169" t="inlineStr"/>
    </row>
    <row r="4170">
      <c r="A4170" s="3" t="n"/>
      <c r="B4170" s="3" t="n"/>
      <c r="C4170" s="3" t="n"/>
      <c r="D4170" s="3" t="n"/>
      <c r="E4170" s="3" t="n"/>
      <c r="F4170" s="3" t="inlineStr"/>
      <c r="G4170" s="3" t="n"/>
      <c r="H4170" s="217" t="inlineStr"/>
      <c r="I4170" t="inlineStr"/>
    </row>
    <row r="4171">
      <c r="A4171" s="3" t="n"/>
      <c r="B4171" s="3" t="n"/>
      <c r="C4171" s="3" t="n"/>
      <c r="D4171" s="3" t="n"/>
      <c r="E4171" s="3" t="n"/>
      <c r="F4171" s="3" t="inlineStr"/>
      <c r="G4171" s="3" t="n"/>
      <c r="H4171" s="217" t="inlineStr"/>
      <c r="I4171" t="inlineStr"/>
    </row>
    <row r="4172">
      <c r="A4172" s="3" t="n"/>
      <c r="B4172" s="3" t="n"/>
      <c r="C4172" s="3" t="n"/>
      <c r="D4172" s="3" t="n"/>
      <c r="E4172" s="3" t="n"/>
      <c r="F4172" s="3" t="inlineStr"/>
      <c r="G4172" s="3" t="n"/>
      <c r="H4172" s="217" t="inlineStr"/>
      <c r="I4172" t="inlineStr"/>
    </row>
    <row r="4173">
      <c r="A4173" s="3" t="n"/>
      <c r="B4173" s="3" t="n"/>
      <c r="C4173" s="3" t="n"/>
      <c r="D4173" s="3" t="n"/>
      <c r="E4173" s="3" t="n"/>
      <c r="F4173" s="3" t="inlineStr"/>
      <c r="G4173" s="3" t="n"/>
      <c r="H4173" s="217" t="inlineStr"/>
      <c r="I4173" t="inlineStr"/>
    </row>
    <row r="4174">
      <c r="A4174" s="3" t="n"/>
      <c r="B4174" s="3" t="n"/>
      <c r="C4174" s="3" t="n"/>
      <c r="D4174" s="3" t="n"/>
      <c r="E4174" s="3" t="n"/>
      <c r="F4174" s="3" t="inlineStr"/>
      <c r="G4174" s="3" t="n"/>
      <c r="H4174" s="217" t="inlineStr"/>
      <c r="I4174" t="inlineStr"/>
    </row>
    <row r="4175">
      <c r="A4175" s="3" t="n"/>
      <c r="B4175" s="3" t="n"/>
      <c r="C4175" s="3" t="n"/>
      <c r="D4175" s="3" t="n"/>
      <c r="E4175" s="3" t="n"/>
      <c r="F4175" s="3" t="inlineStr"/>
      <c r="G4175" s="3" t="n"/>
      <c r="H4175" s="217" t="inlineStr"/>
      <c r="I4175" t="inlineStr"/>
    </row>
    <row r="4176">
      <c r="A4176" s="3" t="n"/>
      <c r="B4176" s="3" t="n"/>
      <c r="C4176" s="3" t="n"/>
      <c r="D4176" s="3" t="n"/>
      <c r="E4176" s="3" t="n"/>
      <c r="F4176" s="3" t="inlineStr"/>
      <c r="G4176" s="3" t="n"/>
      <c r="H4176" s="217" t="inlineStr"/>
      <c r="I4176" t="inlineStr"/>
    </row>
    <row r="4177">
      <c r="A4177" s="3" t="n"/>
      <c r="B4177" s="3" t="n"/>
      <c r="C4177" s="3" t="n"/>
      <c r="D4177" s="3" t="n"/>
      <c r="E4177" s="3" t="n"/>
      <c r="F4177" s="3" t="inlineStr"/>
      <c r="G4177" s="3" t="n"/>
      <c r="H4177" s="217" t="inlineStr"/>
      <c r="I4177" t="inlineStr"/>
    </row>
    <row r="4178">
      <c r="A4178" s="3" t="n"/>
      <c r="B4178" s="3" t="n"/>
      <c r="C4178" s="3" t="n"/>
      <c r="D4178" s="3" t="n"/>
      <c r="E4178" s="3" t="n"/>
      <c r="F4178" s="3" t="inlineStr"/>
      <c r="G4178" s="3" t="n"/>
      <c r="H4178" s="217" t="inlineStr"/>
      <c r="I4178" t="inlineStr"/>
    </row>
    <row r="4179">
      <c r="A4179" s="3" t="n"/>
      <c r="B4179" s="3" t="n"/>
      <c r="C4179" s="3" t="n"/>
      <c r="D4179" s="3" t="n"/>
      <c r="E4179" s="3" t="n"/>
      <c r="F4179" s="3" t="inlineStr"/>
      <c r="G4179" s="3" t="n"/>
      <c r="H4179" s="217" t="inlineStr"/>
      <c r="I4179" t="inlineStr"/>
    </row>
    <row r="4180">
      <c r="A4180" s="3" t="n"/>
      <c r="B4180" s="3" t="n"/>
      <c r="C4180" s="3" t="n"/>
      <c r="D4180" s="3" t="n"/>
      <c r="E4180" s="3" t="n"/>
      <c r="F4180" s="3" t="inlineStr"/>
      <c r="G4180" s="3" t="n"/>
      <c r="H4180" s="217" t="inlineStr"/>
      <c r="I4180" t="inlineStr"/>
    </row>
    <row r="4181">
      <c r="A4181" s="3" t="n"/>
      <c r="B4181" s="3" t="n"/>
      <c r="C4181" s="3" t="n"/>
      <c r="D4181" s="3" t="n"/>
      <c r="E4181" s="3" t="n"/>
      <c r="F4181" s="3" t="inlineStr"/>
      <c r="G4181" s="3" t="n"/>
      <c r="H4181" s="217" t="inlineStr"/>
      <c r="I4181" t="inlineStr"/>
    </row>
    <row r="4182">
      <c r="A4182" s="3" t="n"/>
      <c r="B4182" s="3" t="n"/>
      <c r="C4182" s="3" t="n"/>
      <c r="D4182" s="3" t="n"/>
      <c r="E4182" s="3" t="n"/>
      <c r="F4182" s="3" t="inlineStr"/>
      <c r="G4182" s="3" t="n"/>
      <c r="H4182" s="217" t="inlineStr"/>
      <c r="I4182" t="inlineStr"/>
    </row>
    <row r="4183">
      <c r="A4183" s="3" t="n"/>
      <c r="B4183" s="3" t="n"/>
      <c r="C4183" s="3" t="n"/>
      <c r="D4183" s="3" t="n"/>
      <c r="E4183" s="3" t="n"/>
      <c r="F4183" s="3" t="inlineStr"/>
      <c r="G4183" s="3" t="n"/>
      <c r="H4183" s="217" t="inlineStr"/>
      <c r="I4183" t="inlineStr"/>
    </row>
    <row r="4184">
      <c r="A4184" s="3" t="n"/>
      <c r="B4184" s="3" t="n"/>
      <c r="C4184" s="3" t="n"/>
      <c r="D4184" s="3" t="n"/>
      <c r="E4184" s="3" t="n"/>
      <c r="F4184" s="3" t="inlineStr"/>
      <c r="G4184" s="3" t="n"/>
      <c r="H4184" s="217" t="inlineStr"/>
      <c r="I4184" t="inlineStr"/>
    </row>
    <row r="4185">
      <c r="A4185" s="3" t="n"/>
      <c r="B4185" s="3" t="n"/>
      <c r="C4185" s="3" t="n"/>
      <c r="D4185" s="3" t="n"/>
      <c r="E4185" s="3" t="n"/>
      <c r="F4185" s="3" t="inlineStr"/>
      <c r="G4185" s="3" t="n"/>
      <c r="H4185" s="217" t="inlineStr"/>
      <c r="I4185" t="inlineStr"/>
    </row>
    <row r="4186">
      <c r="A4186" s="3" t="n"/>
      <c r="B4186" s="3" t="n"/>
      <c r="C4186" s="3" t="n"/>
      <c r="D4186" s="3" t="n"/>
      <c r="E4186" s="3" t="n"/>
      <c r="F4186" s="3" t="inlineStr"/>
      <c r="G4186" s="3" t="n"/>
      <c r="H4186" s="217" t="inlineStr"/>
      <c r="I4186" t="inlineStr"/>
    </row>
    <row r="4187">
      <c r="A4187" s="3" t="n"/>
      <c r="B4187" s="3" t="n"/>
      <c r="C4187" s="3" t="n"/>
      <c r="D4187" s="3" t="n"/>
      <c r="E4187" s="3" t="n"/>
      <c r="F4187" s="3" t="inlineStr"/>
      <c r="G4187" s="3" t="n"/>
      <c r="H4187" s="217" t="inlineStr"/>
      <c r="I4187" t="inlineStr"/>
    </row>
    <row r="4188">
      <c r="A4188" s="3" t="n"/>
      <c r="B4188" s="3" t="n"/>
      <c r="C4188" s="3" t="n"/>
      <c r="D4188" s="3" t="n"/>
      <c r="E4188" s="3" t="n"/>
      <c r="F4188" s="3" t="inlineStr"/>
      <c r="G4188" s="3" t="n"/>
      <c r="H4188" s="217" t="inlineStr"/>
      <c r="I4188" t="inlineStr"/>
    </row>
    <row r="4189">
      <c r="A4189" s="3" t="n"/>
      <c r="B4189" s="3" t="n"/>
      <c r="C4189" s="3" t="n"/>
      <c r="D4189" s="3" t="n"/>
      <c r="E4189" s="3" t="n"/>
      <c r="F4189" s="3" t="inlineStr"/>
      <c r="G4189" s="3" t="n"/>
      <c r="H4189" s="217" t="inlineStr"/>
      <c r="I4189" t="inlineStr"/>
    </row>
    <row r="4190">
      <c r="A4190" s="3" t="n"/>
      <c r="B4190" s="3" t="n"/>
      <c r="C4190" s="3" t="n"/>
      <c r="D4190" s="3" t="n"/>
      <c r="E4190" s="3" t="n"/>
      <c r="F4190" s="3" t="inlineStr"/>
      <c r="G4190" s="3" t="n"/>
      <c r="H4190" s="217" t="inlineStr"/>
      <c r="I4190" t="inlineStr"/>
    </row>
    <row r="4191">
      <c r="A4191" s="3" t="n"/>
      <c r="B4191" s="3" t="n"/>
      <c r="C4191" s="3" t="n"/>
      <c r="D4191" s="3" t="n"/>
      <c r="E4191" s="3" t="n"/>
      <c r="F4191" s="3" t="inlineStr"/>
      <c r="G4191" s="3" t="n"/>
      <c r="H4191" s="217" t="inlineStr"/>
      <c r="I4191" t="inlineStr"/>
    </row>
    <row r="4192">
      <c r="A4192" s="3" t="n"/>
      <c r="B4192" s="3" t="n"/>
      <c r="C4192" s="3" t="n"/>
      <c r="D4192" s="3" t="n"/>
      <c r="E4192" s="3" t="n"/>
      <c r="F4192" s="3" t="inlineStr"/>
      <c r="G4192" s="3" t="n"/>
      <c r="H4192" s="217" t="inlineStr"/>
      <c r="I4192" t="inlineStr"/>
    </row>
    <row r="4193">
      <c r="A4193" s="3" t="n"/>
      <c r="B4193" s="3" t="n"/>
      <c r="C4193" s="3" t="n"/>
      <c r="D4193" s="3" t="n"/>
      <c r="E4193" s="3" t="n"/>
      <c r="F4193" s="3" t="inlineStr"/>
      <c r="G4193" s="3" t="n"/>
      <c r="H4193" s="217" t="inlineStr"/>
      <c r="I4193" t="inlineStr"/>
    </row>
    <row r="4194">
      <c r="A4194" s="3" t="n"/>
      <c r="B4194" s="3" t="n"/>
      <c r="C4194" s="3" t="n"/>
      <c r="D4194" s="3" t="n"/>
      <c r="E4194" s="3" t="n"/>
      <c r="F4194" s="3" t="inlineStr"/>
      <c r="G4194" s="3" t="n"/>
      <c r="H4194" s="217" t="inlineStr"/>
      <c r="I4194" t="inlineStr"/>
    </row>
    <row r="4195">
      <c r="A4195" s="3" t="n"/>
      <c r="B4195" s="3" t="n"/>
      <c r="C4195" s="3" t="n"/>
      <c r="D4195" s="3" t="n"/>
      <c r="E4195" s="3" t="n"/>
      <c r="F4195" s="3" t="inlineStr"/>
      <c r="G4195" s="3" t="n"/>
      <c r="H4195" s="217" t="inlineStr"/>
      <c r="I4195" t="inlineStr"/>
    </row>
    <row r="4196">
      <c r="A4196" s="3" t="n"/>
      <c r="B4196" s="3" t="n"/>
      <c r="C4196" s="3" t="n"/>
      <c r="D4196" s="3" t="n"/>
      <c r="E4196" s="3" t="n"/>
      <c r="F4196" s="3" t="inlineStr"/>
      <c r="G4196" s="3" t="n"/>
      <c r="H4196" s="217" t="inlineStr"/>
      <c r="I4196" t="inlineStr"/>
    </row>
    <row r="4197">
      <c r="A4197" s="3" t="n"/>
      <c r="B4197" s="3" t="n"/>
      <c r="C4197" s="3" t="n"/>
      <c r="D4197" s="3" t="n"/>
      <c r="E4197" s="3" t="n"/>
      <c r="F4197" s="3" t="inlineStr"/>
      <c r="G4197" s="3" t="n"/>
      <c r="H4197" s="217" t="inlineStr"/>
      <c r="I4197" t="inlineStr"/>
    </row>
    <row r="4198">
      <c r="A4198" s="3" t="n"/>
      <c r="B4198" s="3" t="n"/>
      <c r="C4198" s="3" t="n"/>
      <c r="D4198" s="3" t="n"/>
      <c r="E4198" s="3" t="n"/>
      <c r="F4198" s="3" t="inlineStr"/>
      <c r="G4198" s="3" t="n"/>
      <c r="H4198" s="217" t="inlineStr"/>
      <c r="I4198" t="inlineStr"/>
    </row>
    <row r="4199">
      <c r="A4199" s="3" t="n"/>
      <c r="B4199" s="3" t="n"/>
      <c r="C4199" s="3" t="n"/>
      <c r="D4199" s="3" t="n"/>
      <c r="E4199" s="3" t="n"/>
      <c r="F4199" s="3" t="inlineStr"/>
      <c r="G4199" s="3" t="n"/>
      <c r="H4199" s="217" t="inlineStr"/>
      <c r="I4199" t="inlineStr"/>
    </row>
    <row r="4200">
      <c r="A4200" s="3" t="n"/>
      <c r="B4200" s="3" t="n"/>
      <c r="C4200" s="3" t="n"/>
      <c r="D4200" s="3" t="n"/>
      <c r="E4200" s="3" t="n"/>
      <c r="F4200" s="3" t="inlineStr"/>
      <c r="G4200" s="3" t="n"/>
      <c r="H4200" s="217" t="inlineStr"/>
      <c r="I4200" t="inlineStr"/>
    </row>
    <row r="4201">
      <c r="A4201" s="3" t="n"/>
      <c r="B4201" s="3" t="n"/>
      <c r="C4201" s="3" t="n"/>
      <c r="D4201" s="3" t="n"/>
      <c r="E4201" s="3" t="n"/>
      <c r="F4201" s="3" t="inlineStr"/>
      <c r="G4201" s="3" t="n"/>
      <c r="H4201" s="217" t="inlineStr"/>
      <c r="I4201" t="inlineStr"/>
    </row>
    <row r="4202">
      <c r="A4202" s="3" t="n"/>
      <c r="B4202" s="3" t="n"/>
      <c r="C4202" s="3" t="n"/>
      <c r="D4202" s="3" t="n"/>
      <c r="E4202" s="3" t="n"/>
      <c r="F4202" s="3" t="inlineStr"/>
      <c r="G4202" s="3" t="n"/>
      <c r="H4202" s="217" t="inlineStr"/>
      <c r="I4202" t="inlineStr"/>
    </row>
    <row r="4203">
      <c r="A4203" s="3" t="n"/>
      <c r="B4203" s="3" t="n"/>
      <c r="C4203" s="3" t="n"/>
      <c r="D4203" s="3" t="n"/>
      <c r="E4203" s="3" t="n"/>
      <c r="F4203" s="3" t="inlineStr"/>
      <c r="G4203" s="3" t="n"/>
      <c r="H4203" s="217" t="inlineStr"/>
      <c r="I4203" t="inlineStr"/>
    </row>
    <row r="4204">
      <c r="A4204" s="3" t="n"/>
      <c r="B4204" s="3" t="n"/>
      <c r="C4204" s="3" t="n"/>
      <c r="D4204" s="3" t="n"/>
      <c r="E4204" s="3" t="n"/>
      <c r="F4204" s="3" t="inlineStr"/>
      <c r="G4204" s="3" t="n"/>
      <c r="H4204" s="217" t="inlineStr"/>
      <c r="I4204" t="inlineStr"/>
    </row>
    <row r="4205">
      <c r="A4205" s="3" t="n"/>
      <c r="B4205" s="3" t="n"/>
      <c r="C4205" s="3" t="n"/>
      <c r="D4205" s="3" t="n"/>
      <c r="E4205" s="3" t="n"/>
      <c r="F4205" s="3" t="inlineStr"/>
      <c r="G4205" s="3" t="n"/>
      <c r="H4205" s="217" t="inlineStr"/>
      <c r="I4205" t="inlineStr"/>
    </row>
    <row r="4206">
      <c r="A4206" s="3" t="n"/>
      <c r="B4206" s="3" t="n"/>
      <c r="C4206" s="3" t="n"/>
      <c r="D4206" s="3" t="n"/>
      <c r="E4206" s="3" t="n"/>
      <c r="F4206" s="3" t="inlineStr"/>
      <c r="G4206" s="3" t="n"/>
      <c r="H4206" s="217" t="inlineStr"/>
      <c r="I4206" t="inlineStr"/>
    </row>
    <row r="4207">
      <c r="A4207" s="3" t="n"/>
      <c r="B4207" s="3" t="n"/>
      <c r="C4207" s="3" t="n"/>
      <c r="D4207" s="3" t="n"/>
      <c r="E4207" s="3" t="n"/>
      <c r="F4207" s="3" t="inlineStr"/>
      <c r="G4207" s="3" t="n"/>
      <c r="H4207" s="217" t="inlineStr"/>
      <c r="I4207" t="inlineStr"/>
    </row>
    <row r="4208">
      <c r="A4208" s="3" t="n"/>
      <c r="B4208" s="3" t="n"/>
      <c r="C4208" s="3" t="n"/>
      <c r="D4208" s="3" t="n"/>
      <c r="E4208" s="3" t="n"/>
      <c r="F4208" s="3" t="inlineStr"/>
      <c r="G4208" s="3" t="n"/>
      <c r="H4208" s="217" t="inlineStr"/>
      <c r="I4208" t="inlineStr"/>
    </row>
    <row r="4209">
      <c r="A4209" s="3" t="n"/>
      <c r="B4209" s="3" t="n"/>
      <c r="C4209" s="3" t="n"/>
      <c r="D4209" s="3" t="n"/>
      <c r="E4209" s="3" t="n"/>
      <c r="F4209" s="3" t="inlineStr"/>
      <c r="G4209" s="3" t="n"/>
      <c r="H4209" s="217" t="inlineStr"/>
      <c r="I4209" t="inlineStr"/>
    </row>
    <row r="4210">
      <c r="A4210" s="3" t="n"/>
      <c r="B4210" s="3" t="n"/>
      <c r="C4210" s="3" t="n"/>
      <c r="D4210" s="3" t="n"/>
      <c r="E4210" s="3" t="n"/>
      <c r="F4210" s="3" t="inlineStr"/>
      <c r="G4210" s="3" t="n"/>
      <c r="H4210" s="217" t="inlineStr"/>
      <c r="I4210" t="inlineStr"/>
    </row>
    <row r="4211">
      <c r="A4211" s="3" t="n"/>
      <c r="B4211" s="3" t="n"/>
      <c r="C4211" s="3" t="n"/>
      <c r="D4211" s="3" t="n"/>
      <c r="E4211" s="3" t="n"/>
      <c r="F4211" s="3" t="inlineStr"/>
      <c r="G4211" s="3" t="n"/>
      <c r="H4211" s="217" t="inlineStr"/>
      <c r="I4211" t="inlineStr"/>
    </row>
    <row r="4212">
      <c r="A4212" s="3" t="n"/>
      <c r="B4212" s="3" t="n"/>
      <c r="C4212" s="3" t="n"/>
      <c r="D4212" s="3" t="n"/>
      <c r="E4212" s="3" t="n"/>
      <c r="F4212" s="3" t="inlineStr"/>
      <c r="G4212" s="3" t="n"/>
      <c r="H4212" s="217" t="inlineStr"/>
      <c r="I4212" t="inlineStr"/>
    </row>
    <row r="4213">
      <c r="A4213" s="3" t="n"/>
      <c r="B4213" s="3" t="n"/>
      <c r="C4213" s="3" t="n"/>
      <c r="D4213" s="3" t="n"/>
      <c r="E4213" s="3" t="n"/>
      <c r="F4213" s="3" t="inlineStr"/>
      <c r="G4213" s="3" t="n"/>
      <c r="H4213" s="217" t="inlineStr"/>
      <c r="I4213" t="inlineStr"/>
    </row>
    <row r="4214">
      <c r="A4214" s="3" t="n"/>
      <c r="B4214" s="3" t="n"/>
      <c r="C4214" s="3" t="n"/>
      <c r="D4214" s="3" t="n"/>
      <c r="E4214" s="3" t="n"/>
      <c r="F4214" s="3" t="inlineStr"/>
      <c r="G4214" s="3" t="n"/>
      <c r="H4214" s="217" t="inlineStr"/>
      <c r="I4214" t="inlineStr"/>
    </row>
    <row r="4215">
      <c r="A4215" s="3" t="n"/>
      <c r="B4215" s="3" t="n"/>
      <c r="C4215" s="3" t="n"/>
      <c r="D4215" s="3" t="n"/>
      <c r="E4215" s="3" t="n"/>
      <c r="F4215" s="3" t="inlineStr"/>
      <c r="G4215" s="3" t="n"/>
      <c r="H4215" s="217" t="inlineStr"/>
      <c r="I4215" t="inlineStr"/>
    </row>
    <row r="4216">
      <c r="A4216" s="3" t="n"/>
      <c r="B4216" s="3" t="n"/>
      <c r="C4216" s="3" t="n"/>
      <c r="D4216" s="3" t="n"/>
      <c r="E4216" s="3" t="n"/>
      <c r="F4216" s="3" t="inlineStr"/>
      <c r="G4216" s="3" t="n"/>
      <c r="H4216" s="217" t="inlineStr"/>
      <c r="I4216" t="inlineStr"/>
    </row>
    <row r="4217">
      <c r="A4217" s="3" t="n"/>
      <c r="B4217" s="3" t="n"/>
      <c r="C4217" s="3" t="n"/>
      <c r="D4217" s="3" t="n"/>
      <c r="E4217" s="3" t="n"/>
      <c r="F4217" s="3" t="inlineStr"/>
      <c r="G4217" s="3" t="n"/>
      <c r="H4217" s="217" t="inlineStr"/>
      <c r="I4217" t="inlineStr"/>
    </row>
    <row r="4218">
      <c r="A4218" s="3" t="n"/>
      <c r="B4218" s="3" t="n"/>
      <c r="C4218" s="3" t="n"/>
      <c r="D4218" s="3" t="n"/>
      <c r="E4218" s="3" t="n"/>
      <c r="F4218" s="3" t="inlineStr"/>
      <c r="G4218" s="3" t="n"/>
      <c r="H4218" s="217" t="inlineStr"/>
      <c r="I4218" t="inlineStr"/>
    </row>
    <row r="4219">
      <c r="A4219" s="3" t="n"/>
      <c r="B4219" s="3" t="n"/>
      <c r="C4219" s="3" t="n"/>
      <c r="D4219" s="3" t="n"/>
      <c r="E4219" s="3" t="n"/>
      <c r="F4219" s="3" t="inlineStr"/>
      <c r="G4219" s="3" t="n"/>
      <c r="H4219" s="217" t="inlineStr"/>
      <c r="I4219" t="inlineStr"/>
    </row>
    <row r="4220">
      <c r="A4220" s="3" t="n"/>
      <c r="B4220" s="3" t="n"/>
      <c r="C4220" s="3" t="n"/>
      <c r="D4220" s="3" t="n"/>
      <c r="E4220" s="3" t="n"/>
      <c r="F4220" s="3" t="inlineStr"/>
      <c r="G4220" s="3" t="n"/>
      <c r="H4220" s="217" t="inlineStr"/>
      <c r="I4220" t="inlineStr"/>
    </row>
    <row r="4221">
      <c r="A4221" s="3" t="n"/>
      <c r="B4221" s="3" t="n"/>
      <c r="C4221" s="3" t="n"/>
      <c r="D4221" s="3" t="n"/>
      <c r="E4221" s="3" t="n"/>
      <c r="F4221" s="3" t="inlineStr"/>
      <c r="G4221" s="3" t="n"/>
      <c r="H4221" s="217" t="inlineStr"/>
      <c r="I4221" t="inlineStr"/>
    </row>
    <row r="4222">
      <c r="A4222" s="3" t="n"/>
      <c r="B4222" s="3" t="n"/>
      <c r="C4222" s="3" t="n"/>
      <c r="D4222" s="3" t="n"/>
      <c r="E4222" s="3" t="n"/>
      <c r="F4222" s="3" t="inlineStr"/>
      <c r="G4222" s="3" t="n"/>
      <c r="H4222" s="217" t="inlineStr"/>
      <c r="I4222" t="inlineStr"/>
    </row>
    <row r="4223">
      <c r="A4223" s="3" t="n"/>
      <c r="B4223" s="3" t="n"/>
      <c r="C4223" s="3" t="n"/>
      <c r="D4223" s="3" t="n"/>
      <c r="E4223" s="3" t="n"/>
      <c r="F4223" s="3" t="inlineStr"/>
      <c r="G4223" s="3" t="n"/>
      <c r="H4223" s="217" t="inlineStr"/>
      <c r="I4223" t="inlineStr"/>
    </row>
    <row r="4224">
      <c r="A4224" s="3" t="n"/>
      <c r="B4224" s="3" t="n"/>
      <c r="C4224" s="3" t="n"/>
      <c r="D4224" s="3" t="n"/>
      <c r="E4224" s="3" t="n"/>
      <c r="F4224" s="3" t="inlineStr"/>
      <c r="G4224" s="3" t="n"/>
      <c r="H4224" s="217" t="inlineStr"/>
      <c r="I4224" t="inlineStr"/>
    </row>
    <row r="4225">
      <c r="A4225" s="3" t="n"/>
      <c r="B4225" s="3" t="n"/>
      <c r="C4225" s="3" t="n"/>
      <c r="D4225" s="3" t="n"/>
      <c r="E4225" s="3" t="n"/>
      <c r="F4225" s="3" t="inlineStr"/>
      <c r="G4225" s="3" t="n"/>
      <c r="H4225" s="217" t="inlineStr"/>
      <c r="I4225" t="inlineStr"/>
    </row>
    <row r="4226">
      <c r="A4226" s="3" t="n"/>
      <c r="B4226" s="3" t="n"/>
      <c r="C4226" s="3" t="n"/>
      <c r="D4226" s="3" t="n"/>
      <c r="E4226" s="3" t="n"/>
      <c r="F4226" s="3" t="inlineStr"/>
      <c r="G4226" s="3" t="n"/>
      <c r="H4226" s="217" t="inlineStr"/>
      <c r="I4226" t="inlineStr"/>
    </row>
    <row r="4227">
      <c r="A4227" s="3" t="n"/>
      <c r="B4227" s="3" t="n"/>
      <c r="C4227" s="3" t="n"/>
      <c r="D4227" s="3" t="n"/>
      <c r="E4227" s="3" t="n"/>
      <c r="F4227" s="3" t="inlineStr"/>
      <c r="G4227" s="3" t="n"/>
      <c r="H4227" s="217" t="inlineStr"/>
      <c r="I4227" t="inlineStr"/>
    </row>
    <row r="4228">
      <c r="A4228" s="3" t="n"/>
      <c r="B4228" s="3" t="n"/>
      <c r="C4228" s="3" t="n"/>
      <c r="D4228" s="3" t="n"/>
      <c r="E4228" s="3" t="n"/>
      <c r="F4228" s="3" t="inlineStr"/>
      <c r="G4228" s="3" t="n"/>
      <c r="H4228" s="217" t="inlineStr"/>
      <c r="I4228" t="inlineStr"/>
    </row>
    <row r="4229">
      <c r="A4229" s="3" t="n"/>
      <c r="B4229" s="3" t="n"/>
      <c r="C4229" s="3" t="n"/>
      <c r="D4229" s="3" t="n"/>
      <c r="E4229" s="3" t="n"/>
      <c r="F4229" s="3" t="inlineStr"/>
      <c r="G4229" s="3" t="n"/>
      <c r="H4229" s="217" t="inlineStr"/>
      <c r="I4229" t="inlineStr"/>
    </row>
    <row r="4230">
      <c r="A4230" s="3" t="n"/>
      <c r="B4230" s="3" t="n"/>
      <c r="C4230" s="3" t="n"/>
      <c r="D4230" s="3" t="n"/>
      <c r="E4230" s="3" t="n"/>
      <c r="F4230" s="3" t="inlineStr"/>
      <c r="G4230" s="3" t="n"/>
      <c r="H4230" s="217" t="inlineStr"/>
      <c r="I4230" t="inlineStr"/>
    </row>
    <row r="4231">
      <c r="A4231" s="3" t="n"/>
      <c r="B4231" s="3" t="n"/>
      <c r="C4231" s="3" t="n"/>
      <c r="D4231" s="3" t="n"/>
      <c r="E4231" s="3" t="n"/>
      <c r="F4231" s="3" t="inlineStr"/>
      <c r="G4231" s="3" t="n"/>
      <c r="H4231" s="217" t="inlineStr"/>
      <c r="I4231" t="inlineStr"/>
    </row>
    <row r="4232">
      <c r="A4232" s="3" t="n"/>
      <c r="B4232" s="3" t="n"/>
      <c r="C4232" s="3" t="n"/>
      <c r="D4232" s="3" t="n"/>
      <c r="E4232" s="3" t="n"/>
      <c r="F4232" s="3" t="inlineStr"/>
      <c r="G4232" s="3" t="n"/>
      <c r="H4232" s="217" t="inlineStr"/>
      <c r="I4232" t="inlineStr"/>
    </row>
  </sheetData>
  <hyperlinks>
    <hyperlink xmlns:r="http://schemas.openxmlformats.org/officeDocument/2006/relationships" ref="A246" r:id="rId1"/>
    <hyperlink xmlns:r="http://schemas.openxmlformats.org/officeDocument/2006/relationships" ref="A315" r:id="rId2"/>
    <hyperlink xmlns:r="http://schemas.openxmlformats.org/officeDocument/2006/relationships" ref="A370" r:id="rId3"/>
    <hyperlink xmlns:r="http://schemas.openxmlformats.org/officeDocument/2006/relationships" ref="A386" r:id="rId4"/>
    <hyperlink xmlns:r="http://schemas.openxmlformats.org/officeDocument/2006/relationships" ref="A387" r:id="rId5"/>
    <hyperlink xmlns:r="http://schemas.openxmlformats.org/officeDocument/2006/relationships" ref="A515" r:id="rId6"/>
    <hyperlink xmlns:r="http://schemas.openxmlformats.org/officeDocument/2006/relationships" ref="A750" r:id="rId7"/>
    <hyperlink xmlns:r="http://schemas.openxmlformats.org/officeDocument/2006/relationships" ref="A993" r:id="rId8"/>
    <hyperlink xmlns:r="http://schemas.openxmlformats.org/officeDocument/2006/relationships" ref="A1251" r:id="rId9"/>
    <hyperlink xmlns:r="http://schemas.openxmlformats.org/officeDocument/2006/relationships" ref="A1444" r:id="rId10"/>
    <hyperlink xmlns:r="http://schemas.openxmlformats.org/officeDocument/2006/relationships" ref="A1849" r:id="rId11"/>
    <hyperlink xmlns:r="http://schemas.openxmlformats.org/officeDocument/2006/relationships" ref="A1912" r:id="rId12"/>
    <hyperlink xmlns:r="http://schemas.openxmlformats.org/officeDocument/2006/relationships" ref="A1928" r:id="rId13"/>
    <hyperlink xmlns:r="http://schemas.openxmlformats.org/officeDocument/2006/relationships" ref="A1929" r:id="rId14"/>
    <hyperlink xmlns:r="http://schemas.openxmlformats.org/officeDocument/2006/relationships" ref="A2057" r:id="rId15"/>
    <hyperlink xmlns:r="http://schemas.openxmlformats.org/officeDocument/2006/relationships" ref="A2292" r:id="rId16"/>
    <hyperlink xmlns:r="http://schemas.openxmlformats.org/officeDocument/2006/relationships" ref="A2535" r:id="rId17"/>
    <hyperlink xmlns:r="http://schemas.openxmlformats.org/officeDocument/2006/relationships" ref="A2794" r:id="rId18"/>
    <hyperlink xmlns:r="http://schemas.openxmlformats.org/officeDocument/2006/relationships" ref="A3028" r:id="rId19"/>
  </hyperlinks>
  <pageMargins left="0.75" right="0.75" top="1" bottom="1" header="0.5" footer="0.5"/>
</worksheet>
</file>

<file path=xl/worksheets/sheet4.xml><?xml version="1.0" encoding="utf-8"?>
<worksheet xmlns="http://schemas.openxmlformats.org/spreadsheetml/2006/main">
  <sheetPr>
    <outlinePr summaryBelow="0" summaryRight="0"/>
    <pageSetUpPr/>
  </sheetPr>
  <dimension ref="A1:AA2048"/>
  <sheetViews>
    <sheetView workbookViewId="0">
      <pane ySplit="1" topLeftCell="A2" activePane="bottomLeft" state="frozen"/>
      <selection pane="bottomLeft" activeCell="B3" sqref="B3"/>
    </sheetView>
  </sheetViews>
  <sheetFormatPr baseColWidth="8" defaultColWidth="14.43" defaultRowHeight="15" customHeight="1"/>
  <cols>
    <col width="39.57" customWidth="1" style="305" min="1" max="1"/>
    <col width="45.86" customWidth="1" style="305" min="2" max="2"/>
    <col width="20.57" customWidth="1" style="305" min="3" max="3"/>
    <col width="26.71" customWidth="1" style="305" min="5" max="5"/>
    <col width="28.14" customWidth="1" style="305" min="14" max="14"/>
  </cols>
  <sheetData>
    <row r="1">
      <c r="A1" s="3" t="inlineStr">
        <is>
          <t>key</t>
        </is>
      </c>
      <c r="B1" s="3" t="inlineStr">
        <is>
          <t>vi</t>
        </is>
      </c>
      <c r="C1" s="3" t="inlineStr">
        <is>
          <t>en (đầu mối dịch english)</t>
        </is>
      </c>
      <c r="D1" s="3" t="inlineStr">
        <is>
          <t>gg dịch en</t>
        </is>
      </c>
      <c r="E1" s="3" t="inlineStr">
        <is>
          <t>final en</t>
        </is>
      </c>
      <c r="F1" s="3" t="inlineStr">
        <is>
          <t>cam-sonita</t>
        </is>
      </c>
      <c r="G1" s="3" t="inlineStr">
        <is>
          <t>gg dịch cam</t>
        </is>
      </c>
      <c r="H1" s="3" t="inlineStr">
        <is>
          <t>final cam</t>
        </is>
      </c>
      <c r="I1" s="3" t="inlineStr">
        <is>
          <t>lào</t>
        </is>
      </c>
      <c r="J1" s="3" t="inlineStr">
        <is>
          <t>gg dịch lào</t>
        </is>
      </c>
      <c r="K1" s="3" t="inlineStr">
        <is>
          <t>final lào</t>
        </is>
      </c>
      <c r="L1" s="309" t="inlineStr">
        <is>
          <t>cam Thean</t>
        </is>
      </c>
      <c r="M1" s="3" t="n"/>
      <c r="N1" s="3" t="inlineStr">
        <is>
          <t>JUST FOR SCRIPT HERE</t>
        </is>
      </c>
      <c r="O1" s="3" t="n"/>
      <c r="P1" s="3" t="n"/>
      <c r="Q1" s="3" t="n"/>
      <c r="R1" s="3" t="n"/>
      <c r="S1" s="3" t="n"/>
      <c r="T1" s="3" t="n"/>
      <c r="U1" s="3" t="n"/>
      <c r="V1" s="3" t="n"/>
      <c r="W1" s="3" t="n"/>
      <c r="X1" s="3" t="n"/>
      <c r="Y1" s="3" t="n"/>
      <c r="Z1" s="3" t="n"/>
      <c r="AA1" s="3" t="n"/>
    </row>
    <row r="2">
      <c r="A2" s="3" t="inlineStr">
        <is>
          <t>TTVHEvaluate.btnUpdate</t>
        </is>
      </c>
      <c r="B2" s="3" t="inlineStr">
        <is>
          <t>Cập nhật</t>
        </is>
      </c>
      <c r="C2" s="3" t="inlineStr">
        <is>
          <t>Update</t>
        </is>
      </c>
      <c r="D2" s="3">
        <f>IFERROR(__xludf.DUMMYFUNCTION("GOOGLETRANSLATE(B2,""vi"",""en"")"),"Update")</f>
        <v/>
      </c>
      <c r="E2" s="3">
        <f>IF(C2&lt;&gt;"",C2, D2)</f>
        <v/>
      </c>
      <c r="F2" s="3" t="n"/>
      <c r="G2" s="3">
        <f>IFERROR(__xludf.DUMMYFUNCTION("GOOGLETRANSLATE(B2,""vi"",""km"")"),"ធ្វើបច្ចុប្បន្នភាព")</f>
        <v/>
      </c>
      <c r="H2" s="3" t="inlineStr">
        <is>
          <t>ធ្វើបច្ចុប្បន្នភាព</t>
        </is>
      </c>
      <c r="I2" s="3" t="n"/>
      <c r="J2" s="3">
        <f>IFERROR(__xludf.DUMMYFUNCTION("GOOGLETRANSLATE(B2,""vi"",""lo"")"),"ອັບເດດ")</f>
        <v/>
      </c>
      <c r="K2" s="3">
        <f>IF(I2&lt;&gt;"",I2, J2)</f>
        <v/>
      </c>
      <c r="L2" s="3" t="inlineStr">
        <is>
          <t>ធ្វើបច្ចុប្បន្នភាព</t>
        </is>
      </c>
      <c r="M2" s="3" t="n"/>
      <c r="N2" s="3">
        <f t="array" ref="N2:N2048">IF(A2:A2048="","",CHAR(34)&amp;A2:A2048&amp;CHAR(34)&amp;": "&amp;CHAR(34)&amp;SUBSTITUTE(SUBSTITUTE(E2:E2048,CHAR(92)&amp;CHAR(34),CHAR(92)&amp;CHAR(92)&amp;CHAR(34)),CHAR(34),CHAR(92)&amp;CHAR(34))&amp;CHAR(34)&amp;",")</f>
        <v/>
      </c>
      <c r="O2" s="3" t="n"/>
      <c r="P2" s="3" t="n"/>
      <c r="Q2" s="3" t="n"/>
      <c r="R2" s="3" t="n"/>
      <c r="S2" s="3" t="n"/>
      <c r="T2" s="3" t="n"/>
      <c r="U2" s="3" t="n"/>
      <c r="V2" s="3" t="n"/>
      <c r="W2" s="3" t="n"/>
      <c r="X2" s="3" t="n"/>
      <c r="Y2" s="3" t="n"/>
      <c r="Z2" s="3" t="n"/>
      <c r="AA2" s="3" t="n"/>
    </row>
    <row r="3">
      <c r="A3" s="3" t="inlineStr">
        <is>
          <t>TTVHEvaluate.complaintCategory</t>
        </is>
      </c>
      <c r="B3" s="3" t="inlineStr">
        <is>
          <t>Đánh giá phân loại khiếu nại</t>
        </is>
      </c>
      <c r="C3" s="3" t="inlineStr">
        <is>
          <t>Complaint Classification Rating</t>
        </is>
      </c>
      <c r="D3" s="3">
        <f>IFERROR(__xludf.DUMMYFUNCTION("GOOGLETRANSLATE(B3,""vi"",""en"")"),"Complaint classification assessment")</f>
        <v/>
      </c>
      <c r="E3" s="3">
        <f>IF(C3&lt;&gt;"",C3, D3)</f>
        <v/>
      </c>
      <c r="F3" s="3" t="n"/>
      <c r="G3" s="3">
        <f>IFERROR(__xludf.DUMMYFUNCTION("GOOGLETRANSLATE(B3,""vi"",""km"")"),"ការវាយតម្លៃចំណាត់ថ្នាក់ពាក្យបណ្តឹង")</f>
        <v/>
      </c>
      <c r="H3" s="3" t="inlineStr">
        <is>
          <t>ការវាយតម្លៃចំណាត់ថ្នាក់ពាក្យបណ្តឹង</t>
        </is>
      </c>
      <c r="I3" s="3" t="n"/>
      <c r="J3" s="3">
        <f>IFERROR(__xludf.DUMMYFUNCTION("GOOGLETRANSLATE(B3,""vi"",""lo"")"),"ການປະເມີນການຈັດປະເພດການຮ້ອງຮຽນ")</f>
        <v/>
      </c>
      <c r="K3" s="3">
        <f>IF(I3&lt;&gt;"",I3, J3)</f>
        <v/>
      </c>
      <c r="L3" s="3" t="inlineStr">
        <is>
          <t>ការវាយតម្លៃចំណាត់ថ្នាក់ពាក្យបណ្តឹង</t>
        </is>
      </c>
      <c r="M3" s="3" t="n"/>
      <c r="N3" s="3" t="inlineStr">
        <is>
          <t>"TTVHEvaluate.complaintCategory": "Complaint Classification Rating",</t>
        </is>
      </c>
      <c r="O3" s="3" t="n"/>
      <c r="P3" s="3" t="n"/>
      <c r="Q3" s="3" t="n"/>
      <c r="R3" s="3" t="n"/>
      <c r="S3" s="3" t="n"/>
      <c r="T3" s="3" t="n"/>
      <c r="U3" s="3" t="n"/>
      <c r="V3" s="3" t="n"/>
      <c r="W3" s="3" t="n"/>
      <c r="X3" s="3" t="n"/>
      <c r="Y3" s="3" t="n"/>
      <c r="Z3" s="3" t="n"/>
      <c r="AA3" s="3" t="n"/>
    </row>
    <row r="4">
      <c r="A4" s="3" t="inlineStr">
        <is>
          <t>TTVHEvaluate.complaintCategoryRequired</t>
        </is>
      </c>
      <c r="B4" s="3" t="inlineStr">
        <is>
          <t>Vui lòng chọn đánh giá phân loại khiếu nại</t>
        </is>
      </c>
      <c r="C4" s="3" t="inlineStr">
        <is>
          <t>Please select a complaint classification rating</t>
        </is>
      </c>
      <c r="D4" s="3">
        <f>IFERROR(__xludf.DUMMYFUNCTION("GOOGLETRANSLATE(B4,""vi"",""en"")"),"Please select a complaint rating category.")</f>
        <v/>
      </c>
      <c r="E4" s="3">
        <f>IF(C4&lt;&gt;"",C4, D4)</f>
        <v/>
      </c>
      <c r="F4" s="3" t="n"/>
      <c r="G4" s="3">
        <f>IFERROR(__xludf.DUMMYFUNCTION("GOOGLETRANSLATE(B4,""vi"",""km"")"),"សូមជ្រើសរើសប្រភេទវាយតម្លៃពាក្យបណ្តឹង។")</f>
        <v/>
      </c>
      <c r="H4" s="3" t="inlineStr">
        <is>
          <t>សូមជ្រើសរើសប្រភេទវាយតម្លៃពាក្យបណ្តឹង។</t>
        </is>
      </c>
      <c r="I4" s="3" t="n"/>
      <c r="J4" s="3">
        <f>IFERROR(__xludf.DUMMYFUNCTION("GOOGLETRANSLATE(B4,""vi"",""lo"")"),"ກະລຸນາເລືອກໝວດໝູ່ການໃຫ້ຄະແນນຄຳຮ້ອງທຸກ.")</f>
        <v/>
      </c>
      <c r="K4" s="3">
        <f>IF(I4&lt;&gt;"",I4, J4)</f>
        <v/>
      </c>
      <c r="L4" s="3" t="inlineStr">
        <is>
          <t>សូមជ្រើសរើសប្រភេទវាយតម្លៃពាក្យបណ្តឹង។</t>
        </is>
      </c>
      <c r="M4" s="3" t="n"/>
      <c r="N4" s="3" t="inlineStr">
        <is>
          <t>"TTVHEvaluate.complaintCategoryRequired": "Please select a complaint classification rating",</t>
        </is>
      </c>
      <c r="O4" s="3" t="n"/>
      <c r="P4" s="3" t="n"/>
      <c r="Q4" s="3" t="n"/>
      <c r="R4" s="3" t="n"/>
      <c r="S4" s="3" t="n"/>
      <c r="T4" s="3" t="n"/>
      <c r="U4" s="3" t="n"/>
      <c r="V4" s="3" t="n"/>
      <c r="W4" s="3" t="n"/>
      <c r="X4" s="3" t="n"/>
      <c r="Y4" s="3" t="n"/>
      <c r="Z4" s="3" t="n"/>
      <c r="AA4" s="3" t="n"/>
    </row>
    <row r="5">
      <c r="A5" s="3" t="inlineStr">
        <is>
          <t>TTVHEvaluate.extensionRating</t>
        </is>
      </c>
      <c r="B5" s="3" t="inlineStr">
        <is>
          <t>Đánh giá gia hạn khiếu nại</t>
        </is>
      </c>
      <c r="C5" s="3" t="inlineStr">
        <is>
          <t>Complaint extension rating</t>
        </is>
      </c>
      <c r="D5" s="3">
        <f>IFERROR(__xludf.DUMMYFUNCTION("GOOGLETRANSLATE(B5,""vi"",""en"")"),"Reviewing the appeal extension")</f>
        <v/>
      </c>
      <c r="E5" s="3">
        <f>IF(C5&lt;&gt;"",C5, D5)</f>
        <v/>
      </c>
      <c r="F5" s="3" t="n"/>
      <c r="G5" s="3">
        <f>IFERROR(__xludf.DUMMYFUNCTION("GOOGLETRANSLATE(B5,""vi"",""km"")"),"ការពិនិត្យឡើងវិញនូវការពង្រីកបណ្តឹងឧទ្ធរណ៍")</f>
        <v/>
      </c>
      <c r="H5" s="3" t="inlineStr">
        <is>
          <t>ការពិនិត្យឡើងវិញនូវការពង្រីកបណ្តឹងឧទ្ធរណ៍</t>
        </is>
      </c>
      <c r="I5" s="3" t="n"/>
      <c r="J5" s="3">
        <f>IFERROR(__xludf.DUMMYFUNCTION("GOOGLETRANSLATE(B5,""vi"",""lo"")"),"ການທົບທວນຄືນການຂະຫຍາຍການອຸທອນ")</f>
        <v/>
      </c>
      <c r="K5" s="3">
        <f>IF(I5&lt;&gt;"",I5, J5)</f>
        <v/>
      </c>
      <c r="L5" s="3" t="inlineStr">
        <is>
          <t>ការពិនិត្យឡើងវិញនូវការពង្រីកបណ្តឹងឧទ្ធរណ៍</t>
        </is>
      </c>
      <c r="M5" s="3" t="n"/>
      <c r="N5" s="3" t="inlineStr">
        <is>
          <t>"TTVHEvaluate.extensionRating": "Complaint extension rating",</t>
        </is>
      </c>
      <c r="O5" s="3" t="n"/>
      <c r="P5" s="3" t="n"/>
      <c r="Q5" s="3" t="n"/>
      <c r="R5" s="3" t="n"/>
      <c r="S5" s="3" t="n"/>
      <c r="T5" s="3" t="n"/>
      <c r="U5" s="3" t="n"/>
      <c r="V5" s="3" t="n"/>
      <c r="W5" s="3" t="n"/>
      <c r="X5" s="3" t="n"/>
      <c r="Y5" s="3" t="n"/>
      <c r="Z5" s="3" t="n"/>
      <c r="AA5" s="3" t="n"/>
    </row>
    <row r="6">
      <c r="A6" s="3" t="inlineStr">
        <is>
          <t>TTVHEvaluate.extensionRatingRequired</t>
        </is>
      </c>
      <c r="B6" s="3" t="inlineStr">
        <is>
          <t>Vui lòng chọn đánh giá gia hạn khiếu nại</t>
        </is>
      </c>
      <c r="C6" s="3" t="inlineStr">
        <is>
          <t>Please select a complaint extension rating</t>
        </is>
      </c>
      <c r="D6" s="3">
        <f>IFERROR(__xludf.DUMMYFUNCTION("GOOGLETRANSLATE(B6,""vi"",""en"")"),"Please select the option to extend the complaint review.")</f>
        <v/>
      </c>
      <c r="E6" s="3">
        <f>IF(C6&lt;&gt;"",C6, D6)</f>
        <v/>
      </c>
      <c r="F6" s="3" t="n"/>
      <c r="G6" s="3">
        <f>IFERROR(__xludf.DUMMYFUNCTION("GOOGLETRANSLATE(B6,""vi"",""km"")"),"សូមជ្រើសរើសជម្រើសដើម្បីពង្រីកការពិនិត្យពាក្យបណ្តឹង។")</f>
        <v/>
      </c>
      <c r="H6" s="3" t="inlineStr">
        <is>
          <t>សូមជ្រើសរើសជម្រើសដើម្បីពង្រីកការពិនិត្យពាក្យបណ្តឹង។</t>
        </is>
      </c>
      <c r="I6" s="3" t="n"/>
      <c r="J6" s="3">
        <f>IFERROR(__xludf.DUMMYFUNCTION("GOOGLETRANSLATE(B6,""vi"",""lo"")"),"ກະລຸນາເລືອກຕົວເລືອກເພື່ອຂະຫຍາຍການກວດສອບຄຳຮ້ອງຮຽນ.")</f>
        <v/>
      </c>
      <c r="K6" s="3">
        <f>IF(I6&lt;&gt;"",I6, J6)</f>
        <v/>
      </c>
      <c r="L6" s="3" t="inlineStr">
        <is>
          <t>សូមជ្រើសរើសជម្រើសដើម្បីពង្រីកការពិនិត្យពាក្យបណ្តឹង។</t>
        </is>
      </c>
      <c r="M6" s="3" t="n"/>
      <c r="N6" s="3" t="inlineStr">
        <is>
          <t>"TTVHEvaluate.extensionRatingRequired": "Please select a complaint extension rating",</t>
        </is>
      </c>
      <c r="O6" s="3" t="n"/>
      <c r="P6" s="3" t="n"/>
      <c r="Q6" s="3" t="n"/>
      <c r="R6" s="3" t="n"/>
      <c r="S6" s="3" t="n"/>
      <c r="T6" s="3" t="n"/>
      <c r="U6" s="3" t="n"/>
      <c r="V6" s="3" t="n"/>
      <c r="W6" s="3" t="n"/>
      <c r="X6" s="3" t="n"/>
      <c r="Y6" s="3" t="n"/>
      <c r="Z6" s="3" t="n"/>
      <c r="AA6" s="3" t="n"/>
    </row>
    <row r="7">
      <c r="A7" s="3" t="inlineStr">
        <is>
          <t>TTVHEvaluate.lateUnit</t>
        </is>
      </c>
      <c r="B7" s="3" t="inlineStr">
        <is>
          <t>Đơn vị xử lý chậm muộn</t>
        </is>
      </c>
      <c r="C7" s="3" t="inlineStr">
        <is>
          <t>Delayed Handling Unit</t>
        </is>
      </c>
      <c r="D7" s="3">
        <f>IFERROR(__xludf.DUMMYFUNCTION("GOOGLETRANSLATE(B7,""vi"",""en"")"),"The processing unit was slow.")</f>
        <v/>
      </c>
      <c r="E7" s="3">
        <f>IF(C7&lt;&gt;"",C7, D7)</f>
        <v/>
      </c>
      <c r="F7" s="3" t="n"/>
      <c r="G7" s="3">
        <f>IFERROR(__xludf.DUMMYFUNCTION("GOOGLETRANSLATE(B7,""vi"",""km"")"),"អង្គភាពដំណើរការមានល្បឿនយឺត។")</f>
        <v/>
      </c>
      <c r="H7" s="3" t="inlineStr">
        <is>
          <t>អង្គភាពដំណើរការមានល្បឿនយឺត។</t>
        </is>
      </c>
      <c r="I7" s="3" t="n"/>
      <c r="J7" s="3">
        <f>IFERROR(__xludf.DUMMYFUNCTION("GOOGLETRANSLATE(B7,""vi"",""lo"")"),"ໜ່ວຍປະມວນຜົນຊ້າ.")</f>
        <v/>
      </c>
      <c r="K7" s="3">
        <f>IF(I7&lt;&gt;"",I7, J7)</f>
        <v/>
      </c>
      <c r="L7" s="3" t="inlineStr">
        <is>
          <t>អង្គភាពដំណើរការមានល្បឿនយឺត។</t>
        </is>
      </c>
      <c r="M7" s="3" t="n"/>
      <c r="N7" s="3" t="inlineStr">
        <is>
          <t>"TTVHEvaluate.lateUnit": "Delayed Handling Unit",</t>
        </is>
      </c>
      <c r="O7" s="3" t="n"/>
      <c r="P7" s="3" t="n"/>
      <c r="Q7" s="3" t="n"/>
      <c r="R7" s="3" t="n"/>
      <c r="S7" s="3" t="n"/>
      <c r="T7" s="3" t="n"/>
      <c r="U7" s="3" t="n"/>
      <c r="V7" s="3" t="n"/>
      <c r="W7" s="3" t="n"/>
      <c r="X7" s="3" t="n"/>
      <c r="Y7" s="3" t="n"/>
      <c r="Z7" s="3" t="n"/>
      <c r="AA7" s="3" t="n"/>
    </row>
    <row r="8">
      <c r="A8" s="3" t="inlineStr">
        <is>
          <t>TTVHEvaluate.lateUnitPlaceholder</t>
        </is>
      </c>
      <c r="B8" s="3" t="inlineStr">
        <is>
          <t>Chọn đơn vị</t>
        </is>
      </c>
      <c r="C8" s="3" t="inlineStr">
        <is>
          <t>Select unit</t>
        </is>
      </c>
      <c r="D8" s="3">
        <f>IFERROR(__xludf.DUMMYFUNCTION("GOOGLETRANSLATE(B8,""vi"",""en"")"),"Select unit")</f>
        <v/>
      </c>
      <c r="E8" s="3">
        <f>IF(C8&lt;&gt;"",C8, D8)</f>
        <v/>
      </c>
      <c r="F8" s="3" t="n"/>
      <c r="G8" s="3">
        <f>IFERROR(__xludf.DUMMYFUNCTION("GOOGLETRANSLATE(B8,""vi"",""km"")"),"ជ្រើសរើសឯកតា")</f>
        <v/>
      </c>
      <c r="H8" s="3" t="inlineStr">
        <is>
          <t>ជ្រើសរើសឯកតា</t>
        </is>
      </c>
      <c r="I8" s="3" t="n"/>
      <c r="J8" s="3">
        <f>IFERROR(__xludf.DUMMYFUNCTION("GOOGLETRANSLATE(B8,""vi"",""lo"")"),"ເລືອກຫົວໜ່ວຍ")</f>
        <v/>
      </c>
      <c r="K8" s="3">
        <f>IF(I8&lt;&gt;"",I8, J8)</f>
        <v/>
      </c>
      <c r="L8" s="3" t="inlineStr">
        <is>
          <t>ជ្រើសរើសឯកតា</t>
        </is>
      </c>
      <c r="M8" s="3" t="n"/>
      <c r="N8" s="3" t="inlineStr">
        <is>
          <t>"TTVHEvaluate.lateUnitPlaceholder": "Select unit",</t>
        </is>
      </c>
      <c r="O8" s="3" t="n"/>
      <c r="P8" s="3" t="n"/>
      <c r="Q8" s="3" t="n"/>
      <c r="R8" s="3" t="n"/>
      <c r="S8" s="3" t="n"/>
      <c r="T8" s="3" t="n"/>
      <c r="U8" s="3" t="n"/>
      <c r="V8" s="3" t="n"/>
      <c r="W8" s="3" t="n"/>
      <c r="X8" s="3" t="n"/>
      <c r="Y8" s="3" t="n"/>
      <c r="Z8" s="3" t="n"/>
      <c r="AA8" s="3" t="n"/>
    </row>
    <row r="9">
      <c r="A9" s="3" t="inlineStr">
        <is>
          <t>TTVHEvaluate.placeholder</t>
        </is>
      </c>
      <c r="B9" s="3" t="inlineStr">
        <is>
          <t>Chọn đánh giá</t>
        </is>
      </c>
      <c r="C9" s="3" t="inlineStr">
        <is>
          <t>Select rating</t>
        </is>
      </c>
      <c r="D9" s="3">
        <f>IFERROR(__xludf.DUMMYFUNCTION("GOOGLETRANSLATE(B9,""vi"",""en"")"),"Select a rating")</f>
        <v/>
      </c>
      <c r="E9" s="3">
        <f>IF(C9&lt;&gt;"",C9, D9)</f>
        <v/>
      </c>
      <c r="F9" s="3" t="n"/>
      <c r="G9" s="3">
        <f>IFERROR(__xludf.DUMMYFUNCTION("GOOGLETRANSLATE(B9,""vi"",""km"")"),"ជ្រើសរើសការវាយតម្លៃ")</f>
        <v/>
      </c>
      <c r="H9" s="3" t="inlineStr">
        <is>
          <t>ជ្រើសរើសការវាយតម្លៃ</t>
        </is>
      </c>
      <c r="I9" s="3" t="n"/>
      <c r="J9" s="3">
        <f>IFERROR(__xludf.DUMMYFUNCTION("GOOGLETRANSLATE(B9,""vi"",""lo"")"),"ເລືອກການໃຫ້ຄະແນນ")</f>
        <v/>
      </c>
      <c r="K9" s="3">
        <f>IF(I9&lt;&gt;"",I9, J9)</f>
        <v/>
      </c>
      <c r="L9" s="3" t="inlineStr">
        <is>
          <t>ជ្រើសរើសការវាយតម្លៃ</t>
        </is>
      </c>
      <c r="M9" s="3" t="n"/>
      <c r="N9" s="3" t="inlineStr">
        <is>
          <t>"TTVHEvaluate.placeholder": "Select rating",</t>
        </is>
      </c>
      <c r="O9" s="3" t="n"/>
      <c r="P9" s="3" t="n"/>
      <c r="Q9" s="3" t="n"/>
      <c r="R9" s="3" t="n"/>
      <c r="S9" s="3" t="n"/>
      <c r="T9" s="3" t="n"/>
      <c r="U9" s="3" t="n"/>
      <c r="V9" s="3" t="n"/>
      <c r="W9" s="3" t="n"/>
      <c r="X9" s="3" t="n"/>
      <c r="Y9" s="3" t="n"/>
      <c r="Z9" s="3" t="n"/>
      <c r="AA9" s="3" t="n"/>
    </row>
    <row r="10">
      <c r="A10" s="3" t="inlineStr">
        <is>
          <t>TTVHEvaluate.processingQuality</t>
        </is>
      </c>
      <c r="B10" s="3" t="inlineStr">
        <is>
          <t>Đánh giá chất lượng xử lý</t>
        </is>
      </c>
      <c r="C10" s="3" t="inlineStr">
        <is>
          <t>Processing Quality Rating</t>
        </is>
      </c>
      <c r="D10" s="3">
        <f>IFERROR(__xludf.DUMMYFUNCTION("GOOGLETRANSLATE(B10,""vi"",""en"")"),"Evaluating processing quality")</f>
        <v/>
      </c>
      <c r="E10" s="3">
        <f>IF(C10&lt;&gt;"",C10, D10)</f>
        <v/>
      </c>
      <c r="F10" s="3" t="n"/>
      <c r="G10" s="3">
        <f>IFERROR(__xludf.DUMMYFUNCTION("GOOGLETRANSLATE(B10,""vi"",""km"")"),"ការវាយតម្លៃគុណភាពដំណើរការ")</f>
        <v/>
      </c>
      <c r="H10" s="3" t="inlineStr">
        <is>
          <t>ការវាយតម្លៃគុណភាពដំណើរការ</t>
        </is>
      </c>
      <c r="I10" s="3" t="n"/>
      <c r="J10" s="3">
        <f>IFERROR(__xludf.DUMMYFUNCTION("GOOGLETRANSLATE(B10,""vi"",""lo"")"),"ການປະເມີນຄຸນນະພາບການປະມວນຜົນ")</f>
        <v/>
      </c>
      <c r="K10" s="3">
        <f>IF(I10&lt;&gt;"",I10, J10)</f>
        <v/>
      </c>
      <c r="L10" s="3" t="inlineStr">
        <is>
          <t>ការវាយតម្លៃគុណភាពដំណើរការ</t>
        </is>
      </c>
      <c r="M10" s="3" t="n"/>
      <c r="N10" s="3" t="inlineStr">
        <is>
          <t>"TTVHEvaluate.processingQuality": "Processing Quality Rating",</t>
        </is>
      </c>
      <c r="O10" s="3" t="n"/>
      <c r="P10" s="3" t="n"/>
      <c r="Q10" s="3" t="n"/>
      <c r="R10" s="3" t="n"/>
      <c r="S10" s="3" t="n"/>
      <c r="T10" s="3" t="n"/>
      <c r="U10" s="3" t="n"/>
      <c r="V10" s="3" t="n"/>
      <c r="W10" s="3" t="n"/>
      <c r="X10" s="3" t="n"/>
      <c r="Y10" s="3" t="n"/>
      <c r="Z10" s="3" t="n"/>
      <c r="AA10" s="3" t="n"/>
    </row>
    <row r="11">
      <c r="A11" s="3" t="inlineStr">
        <is>
          <t>TTVHEvaluate.processingQualityRequired</t>
        </is>
      </c>
      <c r="B11" s="3" t="inlineStr">
        <is>
          <t>Vui lòng chọn đánh giá chất lượng xử lý</t>
        </is>
      </c>
      <c r="C11" s="3" t="inlineStr">
        <is>
          <t>Please select a processing quality rating</t>
        </is>
      </c>
      <c r="D11" s="3">
        <f>IFERROR(__xludf.DUMMYFUNCTION("GOOGLETRANSLATE(B11,""vi"",""en"")"),"Please select a rating for processing quality.")</f>
        <v/>
      </c>
      <c r="E11" s="3">
        <f>IF(C11&lt;&gt;"",C11, D11)</f>
        <v/>
      </c>
      <c r="F11" s="3" t="n"/>
      <c r="G11" s="3">
        <f>IFERROR(__xludf.DUMMYFUNCTION("GOOGLETRANSLATE(B11,""vi"",""km"")"),"សូមជ្រើសរើសការវាយតម្លៃសម្រាប់គុណភាពដំណើរការ។")</f>
        <v/>
      </c>
      <c r="H11" s="3" t="inlineStr">
        <is>
          <t>សូមជ្រើសរើសការវាយតម្លៃសម្រាប់គុណភាពដំណើរការ។</t>
        </is>
      </c>
      <c r="I11" s="3" t="n"/>
      <c r="J11" s="3">
        <f>IFERROR(__xludf.DUMMYFUNCTION("GOOGLETRANSLATE(B11,""vi"",""lo"")"),"ກະລຸນາເລືອກການໃຫ້ຄະແນນສຳລັບຄຸນນະພາບການປະມວນຜົນ.")</f>
        <v/>
      </c>
      <c r="K11" s="3">
        <f>IF(I11&lt;&gt;"",I11, J11)</f>
        <v/>
      </c>
      <c r="L11" s="3" t="inlineStr">
        <is>
          <t>សូមជ្រើសរើសការវាយតម្លៃសម្រាប់គុណភាពដំណើរការ។</t>
        </is>
      </c>
      <c r="M11" s="3" t="n"/>
      <c r="N11" s="3" t="inlineStr">
        <is>
          <t>"TTVHEvaluate.processingQualityRequired": "Please select a processing quality rating",</t>
        </is>
      </c>
      <c r="O11" s="3" t="n"/>
      <c r="P11" s="3" t="n"/>
      <c r="Q11" s="3" t="n"/>
      <c r="R11" s="3" t="n"/>
      <c r="S11" s="3" t="n"/>
      <c r="T11" s="3" t="n"/>
      <c r="U11" s="3" t="n"/>
      <c r="V11" s="3" t="n"/>
      <c r="W11" s="3" t="n"/>
      <c r="X11" s="3" t="n"/>
      <c r="Y11" s="3" t="n"/>
      <c r="Z11" s="3" t="n"/>
      <c r="AA11" s="3" t="n"/>
    </row>
    <row r="12">
      <c r="A12" s="3" t="inlineStr">
        <is>
          <t>TTVHEvaluate.receptionQuality</t>
        </is>
      </c>
      <c r="B12" s="3" t="inlineStr">
        <is>
          <t>Đánh giá chất lượng tiếp nhận DTV</t>
        </is>
      </c>
      <c r="C12" s="3" t="inlineStr">
        <is>
          <t>Call Agent Handling Quality Rating</t>
        </is>
      </c>
      <c r="D12" s="3">
        <f>IFERROR(__xludf.DUMMYFUNCTION("GOOGLETRANSLATE(B12,""vi"",""en"")"),"Evaluating the quality of DTV reception")</f>
        <v/>
      </c>
      <c r="E12" s="3">
        <f>IF(C12&lt;&gt;"",C12, D12)</f>
        <v/>
      </c>
      <c r="F12" s="3" t="n"/>
      <c r="G12" s="3">
        <f>IFERROR(__xludf.DUMMYFUNCTION("GOOGLETRANSLATE(B12,""vi"",""km"")"),"ការវាយតម្លៃគុណភាពនៃការទទួល DTV")</f>
        <v/>
      </c>
      <c r="H12" s="3" t="inlineStr">
        <is>
          <t>ការវាយតម្លៃគុណភាពនៃការទទួល DTV</t>
        </is>
      </c>
      <c r="I12" s="3" t="n"/>
      <c r="J12" s="3">
        <f>IFERROR(__xludf.DUMMYFUNCTION("GOOGLETRANSLATE(B12,""vi"",""lo"")"),"ການປະເມີນຄຸນນະພາບຂອງການຮັບສັນຍານ DTV")</f>
        <v/>
      </c>
      <c r="K12" s="3">
        <f>IF(I12&lt;&gt;"",I12, J12)</f>
        <v/>
      </c>
      <c r="L12" s="3" t="inlineStr">
        <is>
          <t>ការវាយតម្លៃគុណភាពនៃការទទួល DTV</t>
        </is>
      </c>
      <c r="M12" s="3" t="n"/>
      <c r="N12" s="3" t="inlineStr">
        <is>
          <t>"TTVHEvaluate.receptionQuality": "Call Agent Handling Quality Rating",</t>
        </is>
      </c>
      <c r="O12" s="3" t="n"/>
      <c r="P12" s="3" t="n"/>
      <c r="Q12" s="3" t="n"/>
      <c r="R12" s="3" t="n"/>
      <c r="S12" s="3" t="n"/>
      <c r="T12" s="3" t="n"/>
      <c r="U12" s="3" t="n"/>
      <c r="V12" s="3" t="n"/>
      <c r="W12" s="3" t="n"/>
      <c r="X12" s="3" t="n"/>
      <c r="Y12" s="3" t="n"/>
      <c r="Z12" s="3" t="n"/>
      <c r="AA12" s="3" t="n"/>
    </row>
    <row r="13">
      <c r="A13" s="3" t="inlineStr">
        <is>
          <t>TTVHEvaluate.receptionQualityRequired</t>
        </is>
      </c>
      <c r="B13" s="3" t="inlineStr">
        <is>
          <t>Vui lòng chọn đánh giá chất lượng tiếp nhận DTV</t>
        </is>
      </c>
      <c r="C13" s="3" t="inlineStr">
        <is>
          <t>Please select a call handling quality rating</t>
        </is>
      </c>
      <c r="D13" s="3">
        <f>IFERROR(__xludf.DUMMYFUNCTION("GOOGLETRANSLATE(B13,""vi"",""en"")"),"Please select a rating for the quality of DTV reception.")</f>
        <v/>
      </c>
      <c r="E13" s="3">
        <f>IF(C13&lt;&gt;"",C13, D13)</f>
        <v/>
      </c>
      <c r="F13" s="3" t="n"/>
      <c r="G13" s="3">
        <f>IFERROR(__xludf.DUMMYFUNCTION("GOOGLETRANSLATE(B13,""vi"",""km"")"),"សូមជ្រើសរើសការវាយតម្លៃសម្រាប់គុណភាពនៃការទទួល DTV។")</f>
        <v/>
      </c>
      <c r="H13" s="3" t="inlineStr">
        <is>
          <t>សូមជ្រើសរើសការវាយតម្លៃសម្រាប់គុណភាពនៃការទទួល DTV។</t>
        </is>
      </c>
      <c r="I13" s="3" t="n"/>
      <c r="J13" s="3">
        <f>IFERROR(__xludf.DUMMYFUNCTION("GOOGLETRANSLATE(B13,""vi"",""lo"")"),"ກະລຸນາເລືອກການໃຫ້ຄະແນນສຳລັບຄຸນນະພາບຂອງການຮັບສັນຍານ DTV.")</f>
        <v/>
      </c>
      <c r="K13" s="3">
        <f>IF(I13&lt;&gt;"",I13, J13)</f>
        <v/>
      </c>
      <c r="L13" s="3" t="inlineStr">
        <is>
          <t>សូមជ្រើសរើសការវាយតម្លៃសម្រាប់គុណភាពនៃការទទួល DTV។</t>
        </is>
      </c>
      <c r="M13" s="3" t="n"/>
      <c r="N13" s="3" t="inlineStr">
        <is>
          <t>"TTVHEvaluate.receptionQualityRequired": "Please select a call handling quality rating",</t>
        </is>
      </c>
      <c r="O13" s="3" t="n"/>
      <c r="P13" s="3" t="n"/>
      <c r="Q13" s="3" t="n"/>
      <c r="R13" s="3" t="n"/>
      <c r="S13" s="3" t="n"/>
      <c r="T13" s="3" t="n"/>
      <c r="U13" s="3" t="n"/>
      <c r="V13" s="3" t="n"/>
      <c r="W13" s="3" t="n"/>
      <c r="X13" s="3" t="n"/>
      <c r="Y13" s="3" t="n"/>
      <c r="Z13" s="3" t="n"/>
      <c r="AA13" s="3" t="n"/>
    </row>
    <row r="14">
      <c r="A14" s="3" t="inlineStr">
        <is>
          <t>TTVHEvaluate.title</t>
        </is>
      </c>
      <c r="B14" s="3" t="inlineStr">
        <is>
          <t>TTVH đánh giá</t>
        </is>
      </c>
      <c r="C14" s="3" t="inlineStr">
        <is>
          <t>Operations Department Evaluation</t>
        </is>
      </c>
      <c r="D14" s="3">
        <f>IFERROR(__xludf.DUMMYFUNCTION("GOOGLETRANSLATE(B14,""vi"",""en"")"),"TTVH evaluation")</f>
        <v/>
      </c>
      <c r="E14" s="3">
        <f>IF(C14&lt;&gt;"",C14, D14)</f>
        <v/>
      </c>
      <c r="F14" s="3" t="n"/>
      <c r="G14" s="3">
        <f>IFERROR(__xludf.DUMMYFUNCTION("GOOGLETRANSLATE(B14,""vi"",""km"")"),"ការវាយតម្លៃ TTVH")</f>
        <v/>
      </c>
      <c r="H14" s="3" t="inlineStr">
        <is>
          <t>ការវាយតម្លៃ TTVH</t>
        </is>
      </c>
      <c r="I14" s="3" t="n"/>
      <c r="J14" s="3">
        <f>IFERROR(__xludf.DUMMYFUNCTION("GOOGLETRANSLATE(B14,""vi"",""lo"")"),"ການປະເມີນຜົນ TTVH")</f>
        <v/>
      </c>
      <c r="K14" s="3">
        <f>IF(I14&lt;&gt;"",I14, J14)</f>
        <v/>
      </c>
      <c r="L14" s="3" t="inlineStr">
        <is>
          <t>ការវាយតម្លៃ TTVH</t>
        </is>
      </c>
      <c r="M14" s="3" t="n"/>
      <c r="N14" s="3" t="inlineStr">
        <is>
          <t>"TTVHEvaluate.title": "Operations Department Evaluation",</t>
        </is>
      </c>
      <c r="O14" s="3" t="n"/>
      <c r="P14" s="3" t="n"/>
      <c r="Q14" s="3" t="n"/>
      <c r="R14" s="3" t="n"/>
      <c r="S14" s="3" t="n"/>
      <c r="T14" s="3" t="n"/>
      <c r="U14" s="3" t="n"/>
      <c r="V14" s="3" t="n"/>
      <c r="W14" s="3" t="n"/>
      <c r="X14" s="3" t="n"/>
      <c r="Y14" s="3" t="n"/>
      <c r="Z14" s="3" t="n"/>
      <c r="AA14" s="3" t="n"/>
    </row>
    <row r="15">
      <c r="A15" s="3" t="inlineStr">
        <is>
          <t>common.actions</t>
        </is>
      </c>
      <c r="B15" s="3" t="inlineStr">
        <is>
          <t>Thao tác</t>
        </is>
      </c>
      <c r="C15" s="3" t="inlineStr">
        <is>
          <t>Actions</t>
        </is>
      </c>
      <c r="D15" s="3">
        <f>IFERROR(__xludf.DUMMYFUNCTION("GOOGLETRANSLATE(B15,""vi"",""en"")"),"Operation")</f>
        <v/>
      </c>
      <c r="E15" s="3">
        <f>IF(C15&lt;&gt;"",C15, D15)</f>
        <v/>
      </c>
      <c r="F15" s="3" t="n"/>
      <c r="G15" s="3">
        <f>IFERROR(__xludf.DUMMYFUNCTION("GOOGLETRANSLATE(B15,""vi"",""km"")"),"ប្រតិបត្តិការ")</f>
        <v/>
      </c>
      <c r="H15" s="3" t="inlineStr">
        <is>
          <t>ប្រតិបត្តិការ</t>
        </is>
      </c>
      <c r="I15" s="3" t="n"/>
      <c r="J15" s="3">
        <f>IFERROR(__xludf.DUMMYFUNCTION("GOOGLETRANSLATE(B15,""vi"",""lo"")"),"ການດຳເນີນງານ")</f>
        <v/>
      </c>
      <c r="K15" s="3">
        <f>IF(I15&lt;&gt;"",I15, J15)</f>
        <v/>
      </c>
      <c r="L15" s="3" t="inlineStr">
        <is>
          <t>ប្រតិបត្តិការ</t>
        </is>
      </c>
      <c r="M15" s="3" t="n"/>
      <c r="N15" s="3" t="inlineStr">
        <is>
          <t>"common.actions": "Actions",</t>
        </is>
      </c>
      <c r="O15" s="3" t="n"/>
      <c r="P15" s="3" t="n"/>
      <c r="Q15" s="3" t="n"/>
      <c r="R15" s="3" t="n"/>
      <c r="S15" s="3" t="n"/>
      <c r="T15" s="3" t="n"/>
      <c r="U15" s="3" t="n"/>
      <c r="V15" s="3" t="n"/>
      <c r="W15" s="3" t="n"/>
      <c r="X15" s="3" t="n"/>
      <c r="Y15" s="3" t="n"/>
      <c r="Z15" s="3" t="n"/>
      <c r="AA15" s="3" t="n"/>
    </row>
    <row r="16">
      <c r="A16" s="3" t="inlineStr">
        <is>
          <t>common.addNew</t>
        </is>
      </c>
      <c r="B16" s="3" t="inlineStr">
        <is>
          <t>Thêm mới</t>
        </is>
      </c>
      <c r="C16" s="3" t="inlineStr">
        <is>
          <t>Add new</t>
        </is>
      </c>
      <c r="D16" s="3">
        <f>IFERROR(__xludf.DUMMYFUNCTION("GOOGLETRANSLATE(B16,""vi"",""en"")"),"Add new")</f>
        <v/>
      </c>
      <c r="E16" s="3">
        <f>IF(C16&lt;&gt;"",C16, D16)</f>
        <v/>
      </c>
      <c r="F16" s="3" t="n"/>
      <c r="G16" s="3">
        <f>IFERROR(__xludf.DUMMYFUNCTION("GOOGLETRANSLATE(B16,""vi"",""km"")"),"បន្ថែមថ្មី")</f>
        <v/>
      </c>
      <c r="H16" s="3" t="inlineStr">
        <is>
          <t>បន្ថែមថ្មី</t>
        </is>
      </c>
      <c r="I16" s="3" t="n"/>
      <c r="J16" s="3">
        <f>IFERROR(__xludf.DUMMYFUNCTION("GOOGLETRANSLATE(B16,""vi"",""lo"")"),"ເພີ່ມໃໝ່")</f>
        <v/>
      </c>
      <c r="K16" s="3">
        <f>IF(I16&lt;&gt;"",I16, J16)</f>
        <v/>
      </c>
      <c r="L16" s="3" t="inlineStr">
        <is>
          <t>បន្ថែមថ្មី</t>
        </is>
      </c>
      <c r="M16" s="3" t="n"/>
      <c r="N16" s="3" t="inlineStr">
        <is>
          <t>"common.addNew": "Add new",</t>
        </is>
      </c>
      <c r="O16" s="3" t="n"/>
      <c r="P16" s="3" t="n"/>
      <c r="Q16" s="3" t="n"/>
      <c r="R16" s="3" t="n"/>
      <c r="S16" s="3" t="n"/>
      <c r="T16" s="3" t="n"/>
      <c r="U16" s="3" t="n"/>
      <c r="V16" s="3" t="n"/>
      <c r="W16" s="3" t="n"/>
      <c r="X16" s="3" t="n"/>
      <c r="Y16" s="3" t="n"/>
      <c r="Z16" s="3" t="n"/>
      <c r="AA16" s="3" t="n"/>
    </row>
    <row r="17">
      <c r="A17" s="3" t="inlineStr">
        <is>
          <t>common.cancel</t>
        </is>
      </c>
      <c r="B17" s="3" t="inlineStr">
        <is>
          <t>Hủy</t>
        </is>
      </c>
      <c r="C17" s="3" t="inlineStr">
        <is>
          <t>Cancel</t>
        </is>
      </c>
      <c r="D17" s="3">
        <f>IFERROR(__xludf.DUMMYFUNCTION("GOOGLETRANSLATE(B17,""vi"",""en"")"),"Cancel")</f>
        <v/>
      </c>
      <c r="E17" s="3">
        <f>IF(C17&lt;&gt;"",C17, D17)</f>
        <v/>
      </c>
      <c r="F17" s="3" t="n"/>
      <c r="G17" s="3">
        <f>IFERROR(__xludf.DUMMYFUNCTION("GOOGLETRANSLATE(B17,""vi"",""km"")"),"បោះបង់")</f>
        <v/>
      </c>
      <c r="H17" s="3" t="inlineStr">
        <is>
          <t>លុបចោល</t>
        </is>
      </c>
      <c r="I17" s="3" t="n"/>
      <c r="J17" s="3">
        <f>IFERROR(__xludf.DUMMYFUNCTION("GOOGLETRANSLATE(B17,""vi"",""lo"")"),"ຍົກເລີກ")</f>
        <v/>
      </c>
      <c r="K17" s="3">
        <f>IF(I17&lt;&gt;"",I17, J17)</f>
        <v/>
      </c>
      <c r="L17" s="3" t="inlineStr">
        <is>
          <t>លុបចោល</t>
        </is>
      </c>
      <c r="M17" s="3" t="n"/>
      <c r="N17" s="3" t="inlineStr">
        <is>
          <t>"common.cancel": "Cancel",</t>
        </is>
      </c>
      <c r="O17" s="3" t="n"/>
      <c r="P17" s="3" t="n"/>
      <c r="Q17" s="3" t="n"/>
      <c r="R17" s="3" t="n"/>
      <c r="S17" s="3" t="n"/>
      <c r="T17" s="3" t="n"/>
      <c r="U17" s="3" t="n"/>
      <c r="V17" s="3" t="n"/>
      <c r="W17" s="3" t="n"/>
      <c r="X17" s="3" t="n"/>
      <c r="Y17" s="3" t="n"/>
      <c r="Z17" s="3" t="n"/>
      <c r="AA17" s="3" t="n"/>
    </row>
    <row r="18">
      <c r="A18" s="3" t="inlineStr">
        <is>
          <t>common.complaintHanding</t>
        </is>
      </c>
      <c r="B18" s="3" t="inlineStr">
        <is>
          <t>Xử lý khiếu nại</t>
        </is>
      </c>
      <c r="C18" s="3" t="inlineStr">
        <is>
          <t>Complaint Processing</t>
        </is>
      </c>
      <c r="D18" s="3">
        <f>IFERROR(__xludf.DUMMYFUNCTION("GOOGLETRANSLATE(B18,""vi"",""en"")"),"Handling complaints")</f>
        <v/>
      </c>
      <c r="E18" s="3">
        <f>IF(C18&lt;&gt;"",C18, D18)</f>
        <v/>
      </c>
      <c r="F18" s="3" t="n"/>
      <c r="G18" s="3">
        <f>IFERROR(__xludf.DUMMYFUNCTION("GOOGLETRANSLATE(B18,""vi"",""km"")"),"ការដោះស្រាយពាក្យបណ្តឹង")</f>
        <v/>
      </c>
      <c r="H18" s="3" t="inlineStr">
        <is>
          <t>ការដោះស្រាយពាក្យបណ្តឹង</t>
        </is>
      </c>
      <c r="I18" s="3" t="n"/>
      <c r="J18" s="3">
        <f>IFERROR(__xludf.DUMMYFUNCTION("GOOGLETRANSLATE(B18,""vi"",""lo"")"),"ການຈັດການຄຳຮ້ອງທຸກ")</f>
        <v/>
      </c>
      <c r="K18" s="3">
        <f>IF(I18&lt;&gt;"",I18, J18)</f>
        <v/>
      </c>
      <c r="L18" s="3" t="inlineStr">
        <is>
          <t>ការដោះស្រាយពាក្យបណ្តឹង</t>
        </is>
      </c>
      <c r="M18" s="3" t="n"/>
      <c r="N18" s="3" t="inlineStr">
        <is>
          <t>"common.complaintHanding": "Complaint Processing",</t>
        </is>
      </c>
      <c r="O18" s="3" t="n"/>
      <c r="P18" s="3" t="n"/>
      <c r="Q18" s="3" t="n"/>
      <c r="R18" s="3" t="n"/>
      <c r="S18" s="3" t="n"/>
      <c r="T18" s="3" t="n"/>
      <c r="U18" s="3" t="n"/>
      <c r="V18" s="3" t="n"/>
      <c r="W18" s="3" t="n"/>
      <c r="X18" s="3" t="n"/>
      <c r="Y18" s="3" t="n"/>
      <c r="Z18" s="3" t="n"/>
      <c r="AA18" s="3" t="n"/>
    </row>
    <row r="19">
      <c r="A19" s="3" t="inlineStr">
        <is>
          <t>common.complaintManagement</t>
        </is>
      </c>
      <c r="B19" s="3" t="inlineStr">
        <is>
          <t>Quản lý khiếu nại</t>
        </is>
      </c>
      <c r="C19" s="3" t="inlineStr">
        <is>
          <t>Complaint Management</t>
        </is>
      </c>
      <c r="D19" s="3">
        <f>IFERROR(__xludf.DUMMYFUNCTION("GOOGLETRANSLATE(B19,""vi"",""en"")"),"Complaint management")</f>
        <v/>
      </c>
      <c r="E19" s="3">
        <f>IF(C19&lt;&gt;"",C19, D19)</f>
        <v/>
      </c>
      <c r="F19" s="3" t="n"/>
      <c r="G19" s="3">
        <f>IFERROR(__xludf.DUMMYFUNCTION("GOOGLETRANSLATE(B19,""vi"",""km"")"),"ការគ្រប់គ្រងពាក្យបណ្តឹង")</f>
        <v/>
      </c>
      <c r="H19" s="3" t="inlineStr">
        <is>
          <t>ការគ្រប់គ្រងពាក្យបណ្តឹង</t>
        </is>
      </c>
      <c r="I19" s="3" t="n"/>
      <c r="J19" s="3">
        <f>IFERROR(__xludf.DUMMYFUNCTION("GOOGLETRANSLATE(B19,""vi"",""lo"")"),"ການຄຸ້ມຄອງການຮ້ອງຮຽນ")</f>
        <v/>
      </c>
      <c r="K19" s="3">
        <f>IF(I19&lt;&gt;"",I19, J19)</f>
        <v/>
      </c>
      <c r="L19" s="3" t="inlineStr">
        <is>
          <t>ការគ្រប់គ្រងពាក្យបណ្តឹង</t>
        </is>
      </c>
      <c r="M19" s="3" t="n"/>
      <c r="N19" s="3" t="inlineStr">
        <is>
          <t>"common.complaintManagement": "Complaint Management",</t>
        </is>
      </c>
      <c r="O19" s="3" t="n"/>
      <c r="P19" s="3" t="n"/>
      <c r="Q19" s="3" t="n"/>
      <c r="R19" s="3" t="n"/>
      <c r="S19" s="3" t="n"/>
      <c r="T19" s="3" t="n"/>
      <c r="U19" s="3" t="n"/>
      <c r="V19" s="3" t="n"/>
      <c r="W19" s="3" t="n"/>
      <c r="X19" s="3" t="n"/>
      <c r="Y19" s="3" t="n"/>
      <c r="Z19" s="3" t="n"/>
      <c r="AA19" s="3" t="n"/>
    </row>
    <row r="20">
      <c r="A20" s="3" t="inlineStr">
        <is>
          <t>common.complaintRateReport</t>
        </is>
      </c>
      <c r="B20" s="3" t="inlineStr">
        <is>
          <t>Báo cáo tỷ lệ khiếu nại</t>
        </is>
      </c>
      <c r="C20" s="3" t="inlineStr">
        <is>
          <t>Complaint Rate Report</t>
        </is>
      </c>
      <c r="D20" s="3">
        <f>IFERROR(__xludf.DUMMYFUNCTION("GOOGLETRANSLATE(B20,""vi"",""en"")"),"Complaint rate report")</f>
        <v/>
      </c>
      <c r="E20" s="3">
        <f>IF(C20&lt;&gt;"",C20, D20)</f>
        <v/>
      </c>
      <c r="F20" s="3" t="n"/>
      <c r="G20" s="3">
        <f>IFERROR(__xludf.DUMMYFUNCTION("GOOGLETRANSLATE(B20,""vi"",""km"")"),"របាយការណ៍អត្រាពាក្យបណ្តឹង")</f>
        <v/>
      </c>
      <c r="H20" s="3" t="inlineStr">
        <is>
          <t>របាយការណ៍អត្រាពាក្យបណ្តឹង</t>
        </is>
      </c>
      <c r="I20" s="3" t="n"/>
      <c r="J20" s="3">
        <f>IFERROR(__xludf.DUMMYFUNCTION("GOOGLETRANSLATE(B20,""vi"",""lo"")"),"ບົດລາຍງານອັດຕາການຮ້ອງທຸກ")</f>
        <v/>
      </c>
      <c r="K20" s="3">
        <f>IF(I20&lt;&gt;"",I20, J20)</f>
        <v/>
      </c>
      <c r="L20" s="3" t="inlineStr">
        <is>
          <t>របាយការណ៍អត្រាពាក្យបណ្តឹង</t>
        </is>
      </c>
      <c r="M20" s="3" t="n"/>
      <c r="N20" s="3" t="inlineStr">
        <is>
          <t>"common.complaintRateReport": "Complaint Rate Report",</t>
        </is>
      </c>
      <c r="O20" s="3" t="n"/>
      <c r="P20" s="3" t="n"/>
      <c r="Q20" s="3" t="n"/>
      <c r="R20" s="3" t="n"/>
      <c r="S20" s="3" t="n"/>
      <c r="T20" s="3" t="n"/>
      <c r="U20" s="3" t="n"/>
      <c r="V20" s="3" t="n"/>
      <c r="W20" s="3" t="n"/>
      <c r="X20" s="3" t="n"/>
      <c r="Y20" s="3" t="n"/>
      <c r="Z20" s="3" t="n"/>
      <c r="AA20" s="3" t="n"/>
    </row>
    <row r="21">
      <c r="A21" s="3" t="inlineStr">
        <is>
          <t>common.confirm</t>
        </is>
      </c>
      <c r="B21" s="3" t="inlineStr">
        <is>
          <t>Xác nhận</t>
        </is>
      </c>
      <c r="C21" s="3" t="inlineStr">
        <is>
          <t>Confirm</t>
        </is>
      </c>
      <c r="D21" s="3">
        <f>IFERROR(__xludf.DUMMYFUNCTION("GOOGLETRANSLATE(B21,""vi"",""en"")"),"Confirm")</f>
        <v/>
      </c>
      <c r="E21" s="3">
        <f>IF(C21&lt;&gt;"",C21, D21)</f>
        <v/>
      </c>
      <c r="F21" s="3" t="n"/>
      <c r="G21" s="3">
        <f>IFERROR(__xludf.DUMMYFUNCTION("GOOGLETRANSLATE(B21,""vi"",""km"")"),"បញ្ជាក់")</f>
        <v/>
      </c>
      <c r="H21" s="3" t="inlineStr">
        <is>
          <t>បញ្ជាក់</t>
        </is>
      </c>
      <c r="I21" s="3" t="n"/>
      <c r="J21" s="3">
        <f>IFERROR(__xludf.DUMMYFUNCTION("GOOGLETRANSLATE(B21,""vi"",""lo"")"),"ຢືນຢັນ")</f>
        <v/>
      </c>
      <c r="K21" s="3">
        <f>IF(I21&lt;&gt;"",I21, J21)</f>
        <v/>
      </c>
      <c r="L21" s="3" t="inlineStr">
        <is>
          <t>បញ្ជាក់</t>
        </is>
      </c>
      <c r="M21" s="3" t="n"/>
      <c r="N21" s="3" t="inlineStr">
        <is>
          <t>"common.confirm": "Confirm",</t>
        </is>
      </c>
      <c r="O21" s="3" t="n"/>
      <c r="P21" s="3" t="n"/>
      <c r="Q21" s="3" t="n"/>
      <c r="R21" s="3" t="n"/>
      <c r="S21" s="3" t="n"/>
      <c r="T21" s="3" t="n"/>
      <c r="U21" s="3" t="n"/>
      <c r="V21" s="3" t="n"/>
      <c r="W21" s="3" t="n"/>
      <c r="X21" s="3" t="n"/>
      <c r="Y21" s="3" t="n"/>
      <c r="Z21" s="3" t="n"/>
      <c r="AA21" s="3" t="n"/>
    </row>
    <row r="22">
      <c r="A22" s="3" t="inlineStr">
        <is>
          <t>common.create</t>
        </is>
      </c>
      <c r="B22" s="3" t="inlineStr">
        <is>
          <t>Tạo mới</t>
        </is>
      </c>
      <c r="C22" s="3" t="inlineStr">
        <is>
          <t>Create New</t>
        </is>
      </c>
      <c r="D22" s="3">
        <f>IFERROR(__xludf.DUMMYFUNCTION("GOOGLETRANSLATE(B22,""vi"",""en"")"),"Create new")</f>
        <v/>
      </c>
      <c r="E22" s="3">
        <f>IF(C22&lt;&gt;"",C22, D22)</f>
        <v/>
      </c>
      <c r="F22" s="3" t="n"/>
      <c r="G22" s="3">
        <f>IFERROR(__xludf.DUMMYFUNCTION("GOOGLETRANSLATE(B22,""vi"",""km"")"),"បង្កើតថ្មី")</f>
        <v/>
      </c>
      <c r="H22" s="3" t="inlineStr">
        <is>
          <t>បង្កើតថ្មី</t>
        </is>
      </c>
      <c r="I22" s="3" t="n"/>
      <c r="J22" s="3">
        <f>IFERROR(__xludf.DUMMYFUNCTION("GOOGLETRANSLATE(B22,""vi"",""lo"")"),"ສ້າງໃໝ່")</f>
        <v/>
      </c>
      <c r="K22" s="3">
        <f>IF(I22&lt;&gt;"",I22, J22)</f>
        <v/>
      </c>
      <c r="L22" s="3" t="inlineStr">
        <is>
          <t>បង្កើតថ្មី</t>
        </is>
      </c>
      <c r="M22" s="3" t="n"/>
      <c r="N22" s="3" t="inlineStr">
        <is>
          <t>"common.create": "Create New",</t>
        </is>
      </c>
      <c r="O22" s="3" t="n"/>
      <c r="P22" s="3" t="n"/>
      <c r="Q22" s="3" t="n"/>
      <c r="R22" s="3" t="n"/>
      <c r="S22" s="3" t="n"/>
      <c r="T22" s="3" t="n"/>
      <c r="U22" s="3" t="n"/>
      <c r="V22" s="3" t="n"/>
      <c r="W22" s="3" t="n"/>
      <c r="X22" s="3" t="n"/>
      <c r="Y22" s="3" t="n"/>
      <c r="Z22" s="3" t="n"/>
      <c r="AA22" s="3" t="n"/>
    </row>
    <row r="23">
      <c r="A23" s="3" t="inlineStr">
        <is>
          <t>common.createComplaint</t>
        </is>
      </c>
      <c r="B23" s="3" t="inlineStr">
        <is>
          <t>Tạo khiếu nại</t>
        </is>
      </c>
      <c r="C23" s="3" t="inlineStr">
        <is>
          <t>Create Complaint</t>
        </is>
      </c>
      <c r="D23" s="3">
        <f>IFERROR(__xludf.DUMMYFUNCTION("GOOGLETRANSLATE(B23,""vi"",""en"")"),"Create a complaint")</f>
        <v/>
      </c>
      <c r="E23" s="3">
        <f>IF(C23&lt;&gt;"",C23, D23)</f>
        <v/>
      </c>
      <c r="F23" s="3" t="n"/>
      <c r="G23" s="3">
        <f>IFERROR(__xludf.DUMMYFUNCTION("GOOGLETRANSLATE(B23,""vi"",""km"")"),"បង្កើតពាក្យបណ្តឹង")</f>
        <v/>
      </c>
      <c r="H23" s="3" t="inlineStr">
        <is>
          <t>បង្កើតពាក្យបណ្តឹង</t>
        </is>
      </c>
      <c r="I23" s="3" t="n"/>
      <c r="J23" s="3">
        <f>IFERROR(__xludf.DUMMYFUNCTION("GOOGLETRANSLATE(B23,""vi"",""lo"")"),"ສ້າງຄຳຮ້ອງທຸກ")</f>
        <v/>
      </c>
      <c r="K23" s="3">
        <f>IF(I23&lt;&gt;"",I23, J23)</f>
        <v/>
      </c>
      <c r="L23" s="3" t="inlineStr">
        <is>
          <t>បង្កើតពាក្យបណ្តឹង</t>
        </is>
      </c>
      <c r="M23" s="3" t="n"/>
      <c r="N23" s="3" t="inlineStr">
        <is>
          <t>"common.createComplaint": "Create Complaint",</t>
        </is>
      </c>
      <c r="O23" s="3" t="n"/>
      <c r="P23" s="3" t="n"/>
      <c r="Q23" s="3" t="n"/>
      <c r="R23" s="3" t="n"/>
      <c r="S23" s="3" t="n"/>
      <c r="T23" s="3" t="n"/>
      <c r="U23" s="3" t="n"/>
      <c r="V23" s="3" t="n"/>
      <c r="W23" s="3" t="n"/>
      <c r="X23" s="3" t="n"/>
      <c r="Y23" s="3" t="n"/>
      <c r="Z23" s="3" t="n"/>
      <c r="AA23" s="3" t="n"/>
    </row>
    <row r="24">
      <c r="A24" s="3" t="inlineStr">
        <is>
          <t>common.createError</t>
        </is>
      </c>
      <c r="B24" s="3" t="inlineStr">
        <is>
          <t>Thêm mới thất bại</t>
        </is>
      </c>
      <c r="C24" s="3" t="inlineStr">
        <is>
          <t>Failed to create</t>
        </is>
      </c>
      <c r="D24" s="3">
        <f>IFERROR(__xludf.DUMMYFUNCTION("GOOGLETRANSLATE(B24,""vi"",""en"")"),"Add new failure")</f>
        <v/>
      </c>
      <c r="E24" s="3">
        <f>IF(C24&lt;&gt;"",C24, D24)</f>
        <v/>
      </c>
      <c r="F24" s="3" t="n"/>
      <c r="G24" s="3">
        <f>IFERROR(__xludf.DUMMYFUNCTION("GOOGLETRANSLATE(B24,""vi"",""km"")"),"បន្ថែមការបរាជ័យថ្មី")</f>
        <v/>
      </c>
      <c r="H24" s="3" t="inlineStr">
        <is>
          <t>បន្ថែមការបរាជ័យថ្មី</t>
        </is>
      </c>
      <c r="I24" s="3" t="n"/>
      <c r="J24" s="3">
        <f>IFERROR(__xludf.DUMMYFUNCTION("GOOGLETRANSLATE(B24,""vi"",""lo"")"),"ເພີ່ມຄວາມລົ້ມເຫຼວໃໝ່")</f>
        <v/>
      </c>
      <c r="K24" s="3">
        <f>IF(I24&lt;&gt;"",I24, J24)</f>
        <v/>
      </c>
      <c r="L24" s="3" t="inlineStr">
        <is>
          <t>បន្ថែមការបរាជ័យថ្មី</t>
        </is>
      </c>
      <c r="M24" s="3" t="n"/>
      <c r="N24" s="3" t="inlineStr">
        <is>
          <t>"common.createError": "Failed to create",</t>
        </is>
      </c>
      <c r="O24" s="3" t="n"/>
      <c r="P24" s="3" t="n"/>
      <c r="Q24" s="3" t="n"/>
      <c r="R24" s="3" t="n"/>
      <c r="S24" s="3" t="n"/>
      <c r="T24" s="3" t="n"/>
      <c r="U24" s="3" t="n"/>
      <c r="V24" s="3" t="n"/>
      <c r="W24" s="3" t="n"/>
      <c r="X24" s="3" t="n"/>
      <c r="Y24" s="3" t="n"/>
      <c r="Z24" s="3" t="n"/>
      <c r="AA24" s="3" t="n"/>
    </row>
    <row r="25">
      <c r="A25" s="3" t="inlineStr">
        <is>
          <t>common.createSuccess</t>
        </is>
      </c>
      <c r="B25" s="3" t="inlineStr">
        <is>
          <t>Thêm mới thành công</t>
        </is>
      </c>
      <c r="C25" s="3" t="inlineStr">
        <is>
          <t>Created successfully</t>
        </is>
      </c>
      <c r="D25" s="3">
        <f>IFERROR(__xludf.DUMMYFUNCTION("GOOGLETRANSLATE(B25,""vi"",""en"")"),"Added successfully")</f>
        <v/>
      </c>
      <c r="E25" s="3">
        <f>IF(C25&lt;&gt;"",C25, D25)</f>
        <v/>
      </c>
      <c r="F25" s="3" t="n"/>
      <c r="G25" s="3">
        <f>IFERROR(__xludf.DUMMYFUNCTION("GOOGLETRANSLATE(B25,""vi"",""km"")"),"បានបន្ថែមដោយជោគជ័យ")</f>
        <v/>
      </c>
      <c r="H25" s="3" t="inlineStr">
        <is>
          <t>បានបន្ថែមដោយជោគជ័យ</t>
        </is>
      </c>
      <c r="I25" s="3" t="n"/>
      <c r="J25" s="3">
        <f>IFERROR(__xludf.DUMMYFUNCTION("GOOGLETRANSLATE(B25,""vi"",""lo"")"),"ເພີ່ມສຳເລັດແລ້ວ")</f>
        <v/>
      </c>
      <c r="K25" s="3">
        <f>IF(I25&lt;&gt;"",I25, J25)</f>
        <v/>
      </c>
      <c r="L25" s="3" t="inlineStr">
        <is>
          <t>បានបន្ថែមដោយជោគជ័យ</t>
        </is>
      </c>
      <c r="M25" s="3" t="n"/>
      <c r="N25" s="3" t="inlineStr">
        <is>
          <t>"common.createSuccess": "Created successfully",</t>
        </is>
      </c>
      <c r="O25" s="3" t="n"/>
      <c r="P25" s="3" t="n"/>
      <c r="Q25" s="3" t="n"/>
      <c r="R25" s="3" t="n"/>
      <c r="S25" s="3" t="n"/>
      <c r="T25" s="3" t="n"/>
      <c r="U25" s="3" t="n"/>
      <c r="V25" s="3" t="n"/>
      <c r="W25" s="3" t="n"/>
      <c r="X25" s="3" t="n"/>
      <c r="Y25" s="3" t="n"/>
      <c r="Z25" s="3" t="n"/>
      <c r="AA25" s="3" t="n"/>
    </row>
    <row r="26">
      <c r="A26" s="3" t="inlineStr">
        <is>
          <t>common.delete</t>
        </is>
      </c>
      <c r="B26" s="3" t="inlineStr">
        <is>
          <t>Xóa</t>
        </is>
      </c>
      <c r="C26" s="3" t="inlineStr">
        <is>
          <t>Delete</t>
        </is>
      </c>
      <c r="D26" s="3">
        <f>IFERROR(__xludf.DUMMYFUNCTION("GOOGLETRANSLATE(B26,""vi"",""en"")"),"Erase")</f>
        <v/>
      </c>
      <c r="E26" s="3">
        <f>IF(C26&lt;&gt;"",C26, D26)</f>
        <v/>
      </c>
      <c r="F26" s="3" t="n"/>
      <c r="G26" s="3">
        <f>IFERROR(__xludf.DUMMYFUNCTION("GOOGLETRANSLATE(B26,""vi"",""km"")"),"លុប")</f>
        <v/>
      </c>
      <c r="H26" s="3" t="inlineStr">
        <is>
          <t>លុប</t>
        </is>
      </c>
      <c r="I26" s="3" t="n"/>
      <c r="J26" s="3">
        <f>IFERROR(__xludf.DUMMYFUNCTION("GOOGLETRANSLATE(B26,""vi"",""lo"")"),"ລຶບ")</f>
        <v/>
      </c>
      <c r="K26" s="3">
        <f>IF(I26&lt;&gt;"",I26, J26)</f>
        <v/>
      </c>
      <c r="L26" s="3" t="inlineStr">
        <is>
          <t>លុប</t>
        </is>
      </c>
      <c r="M26" s="3" t="n"/>
      <c r="N26" s="3" t="inlineStr">
        <is>
          <t>"common.delete": "Delete",</t>
        </is>
      </c>
      <c r="O26" s="3" t="n"/>
      <c r="P26" s="3" t="n"/>
      <c r="Q26" s="3" t="n"/>
      <c r="R26" s="3" t="n"/>
      <c r="S26" s="3" t="n"/>
      <c r="T26" s="3" t="n"/>
      <c r="U26" s="3" t="n"/>
      <c r="V26" s="3" t="n"/>
      <c r="W26" s="3" t="n"/>
      <c r="X26" s="3" t="n"/>
      <c r="Y26" s="3" t="n"/>
      <c r="Z26" s="3" t="n"/>
      <c r="AA26" s="3" t="n"/>
    </row>
    <row r="27">
      <c r="A27" s="3" t="inlineStr">
        <is>
          <t>common.detail</t>
        </is>
      </c>
      <c r="B27" s="3" t="inlineStr">
        <is>
          <t>Xem chi tiết</t>
        </is>
      </c>
      <c r="C27" s="3" t="inlineStr">
        <is>
          <t>Detail</t>
        </is>
      </c>
      <c r="D27" s="3">
        <f>IFERROR(__xludf.DUMMYFUNCTION("GOOGLETRANSLATE(B27,""vi"",""en"")"),"See details")</f>
        <v/>
      </c>
      <c r="E27" s="3">
        <f>IF(C27&lt;&gt;"",C27, D27)</f>
        <v/>
      </c>
      <c r="F27" s="3" t="n"/>
      <c r="G27" s="3">
        <f>IFERROR(__xludf.DUMMYFUNCTION("GOOGLETRANSLATE(B27,""vi"",""km"")"),"មើលព័ត៌មានលម្អិត")</f>
        <v/>
      </c>
      <c r="H27" s="3" t="inlineStr">
        <is>
          <t>មើលព័ត៌មានលម្អិត</t>
        </is>
      </c>
      <c r="I27" s="3" t="n"/>
      <c r="J27" s="3">
        <f>IFERROR(__xludf.DUMMYFUNCTION("GOOGLETRANSLATE(B27,""vi"",""lo"")"),"ເບິ່ງລາຍລະອຽດ")</f>
        <v/>
      </c>
      <c r="K27" s="3">
        <f>IF(I27&lt;&gt;"",I27, J27)</f>
        <v/>
      </c>
      <c r="L27" s="3" t="inlineStr">
        <is>
          <t>មើលព័ត៌មានលម្អិត</t>
        </is>
      </c>
      <c r="M27" s="3" t="n"/>
      <c r="N27" s="3" t="inlineStr">
        <is>
          <t>"common.detail": "Detail",</t>
        </is>
      </c>
      <c r="O27" s="3" t="n"/>
      <c r="P27" s="3" t="n"/>
      <c r="Q27" s="3" t="n"/>
      <c r="R27" s="3" t="n"/>
      <c r="S27" s="3" t="n"/>
      <c r="T27" s="3" t="n"/>
      <c r="U27" s="3" t="n"/>
      <c r="V27" s="3" t="n"/>
      <c r="W27" s="3" t="n"/>
      <c r="X27" s="3" t="n"/>
      <c r="Y27" s="3" t="n"/>
      <c r="Z27" s="3" t="n"/>
      <c r="AA27" s="3" t="n"/>
    </row>
    <row r="28">
      <c r="A28" s="3" t="inlineStr">
        <is>
          <t>common.detailComplaint</t>
        </is>
      </c>
      <c r="B28" s="3" t="inlineStr">
        <is>
          <t>Chi tiết khiếu nại</t>
        </is>
      </c>
      <c r="C28" s="3" t="inlineStr">
        <is>
          <t>Complaint Details</t>
        </is>
      </c>
      <c r="D28" s="3">
        <f>IFERROR(__xludf.DUMMYFUNCTION("GOOGLETRANSLATE(B28,""vi"",""en"")"),"Complaint details")</f>
        <v/>
      </c>
      <c r="E28" s="3">
        <f>IF(C28&lt;&gt;"",C28, D28)</f>
        <v/>
      </c>
      <c r="F28" s="3" t="n"/>
      <c r="G28" s="3">
        <f>IFERROR(__xludf.DUMMYFUNCTION("GOOGLETRANSLATE(B28,""vi"",""km"")"),"ព័ត៌មានលម្អិតអំពីពាក្យបណ្តឹង")</f>
        <v/>
      </c>
      <c r="H28" s="3" t="inlineStr">
        <is>
          <t>ព័ត៌មានលម្អិតអំពីពាក្យបណ្តឹង</t>
        </is>
      </c>
      <c r="I28" s="3" t="n"/>
      <c r="J28" s="3">
        <f>IFERROR(__xludf.DUMMYFUNCTION("GOOGLETRANSLATE(B28,""vi"",""lo"")"),"ລາຍລະອຽດການຮ້ອງຮຽນ")</f>
        <v/>
      </c>
      <c r="K28" s="3">
        <f>IF(I28&lt;&gt;"",I28, J28)</f>
        <v/>
      </c>
      <c r="L28" s="3" t="inlineStr">
        <is>
          <t>ព័ត៌មានលម្អិតអំពីពាក្យបណ្តឹង</t>
        </is>
      </c>
      <c r="M28" s="3" t="n"/>
      <c r="N28" s="3" t="inlineStr">
        <is>
          <t>"common.detailComplaint": "Complaint Details",</t>
        </is>
      </c>
      <c r="O28" s="3" t="n"/>
      <c r="P28" s="3" t="n"/>
      <c r="Q28" s="3" t="n"/>
      <c r="R28" s="3" t="n"/>
      <c r="S28" s="3" t="n"/>
      <c r="T28" s="3" t="n"/>
      <c r="U28" s="3" t="n"/>
      <c r="V28" s="3" t="n"/>
      <c r="W28" s="3" t="n"/>
      <c r="X28" s="3" t="n"/>
      <c r="Y28" s="3" t="n"/>
      <c r="Z28" s="3" t="n"/>
      <c r="AA28" s="3" t="n"/>
    </row>
    <row r="29">
      <c r="A29" s="3" t="inlineStr">
        <is>
          <t>common.doc</t>
        </is>
      </c>
      <c r="B29" s="3" t="inlineStr">
        <is>
          <t>Thư</t>
        </is>
      </c>
      <c r="C29" s="3" t="inlineStr">
        <is>
          <t>Documents</t>
        </is>
      </c>
      <c r="D29" s="3">
        <f>IFERROR(__xludf.DUMMYFUNCTION("GOOGLETRANSLATE(B29,""vi"",""en"")"),"Letters")</f>
        <v/>
      </c>
      <c r="E29" s="3">
        <f>IF(C29&lt;&gt;"",C29, D29)</f>
        <v/>
      </c>
      <c r="F29" s="3" t="n"/>
      <c r="G29" s="3">
        <f>IFERROR(__xludf.DUMMYFUNCTION("GOOGLETRANSLATE(B29,""vi"",""km"")"),"សំបុត្រ")</f>
        <v/>
      </c>
      <c r="H29" s="3" t="inlineStr">
        <is>
          <t>សំបុត្រ</t>
        </is>
      </c>
      <c r="I29" s="3" t="n"/>
      <c r="J29" s="3">
        <f>IFERROR(__xludf.DUMMYFUNCTION("GOOGLETRANSLATE(B29,""vi"",""lo"")"),"ຈົດໝາຍ")</f>
        <v/>
      </c>
      <c r="K29" s="3">
        <f>IF(I29&lt;&gt;"",I29, J29)</f>
        <v/>
      </c>
      <c r="L29" s="3" t="inlineStr">
        <is>
          <t>សំបុត្រ</t>
        </is>
      </c>
      <c r="M29" s="3" t="n"/>
      <c r="N29" s="3" t="inlineStr">
        <is>
          <t>"common.doc": "Documents",</t>
        </is>
      </c>
      <c r="O29" s="3" t="n"/>
      <c r="P29" s="3" t="n"/>
      <c r="Q29" s="3" t="n"/>
      <c r="R29" s="3" t="n"/>
      <c r="S29" s="3" t="n"/>
      <c r="T29" s="3" t="n"/>
      <c r="U29" s="3" t="n"/>
      <c r="V29" s="3" t="n"/>
      <c r="W29" s="3" t="n"/>
      <c r="X29" s="3" t="n"/>
      <c r="Y29" s="3" t="n"/>
      <c r="Z29" s="3" t="n"/>
      <c r="AA29" s="3" t="n"/>
    </row>
    <row r="30">
      <c r="A30" s="3" t="inlineStr">
        <is>
          <t>common.edit</t>
        </is>
      </c>
      <c r="B30" s="3" t="inlineStr">
        <is>
          <t>Sửa</t>
        </is>
      </c>
      <c r="C30" s="3" t="inlineStr">
        <is>
          <t>Edit</t>
        </is>
      </c>
      <c r="D30" s="3">
        <f>IFERROR(__xludf.DUMMYFUNCTION("GOOGLETRANSLATE(B30,""vi"",""en"")"),"Fix")</f>
        <v/>
      </c>
      <c r="E30" s="3">
        <f>IF(C30&lt;&gt;"",C30, D30)</f>
        <v/>
      </c>
      <c r="F30" s="3" t="n"/>
      <c r="G30" s="3">
        <f>IFERROR(__xludf.DUMMYFUNCTION("GOOGLETRANSLATE(B30,""vi"",""km"")"),"ជួសជុល")</f>
        <v/>
      </c>
      <c r="H30" s="3" t="inlineStr">
        <is>
          <t>កែសម្រួល</t>
        </is>
      </c>
      <c r="I30" s="3" t="n"/>
      <c r="J30" s="3">
        <f>IFERROR(__xludf.DUMMYFUNCTION("GOOGLETRANSLATE(B30,""vi"",""lo"")"),"ແກ້ໄຂ")</f>
        <v/>
      </c>
      <c r="K30" s="3">
        <f>IF(I30&lt;&gt;"",I30, J30)</f>
        <v/>
      </c>
      <c r="L30" s="3" t="inlineStr">
        <is>
          <t>កែសម្រួល</t>
        </is>
      </c>
      <c r="M30" s="3" t="n"/>
      <c r="N30" s="3" t="inlineStr">
        <is>
          <t>"common.edit": "Edit",</t>
        </is>
      </c>
      <c r="O30" s="3" t="n"/>
      <c r="P30" s="3" t="n"/>
      <c r="Q30" s="3" t="n"/>
      <c r="R30" s="3" t="n"/>
      <c r="S30" s="3" t="n"/>
      <c r="T30" s="3" t="n"/>
      <c r="U30" s="3" t="n"/>
      <c r="V30" s="3" t="n"/>
      <c r="W30" s="3" t="n"/>
      <c r="X30" s="3" t="n"/>
      <c r="Y30" s="3" t="n"/>
      <c r="Z30" s="3" t="n"/>
      <c r="AA30" s="3" t="n"/>
    </row>
    <row r="31">
      <c r="A31" s="3" t="inlineStr">
        <is>
          <t>common.editComplaint</t>
        </is>
      </c>
      <c r="B31" s="3" t="inlineStr">
        <is>
          <t>Chỉnh sửa khiếu nại</t>
        </is>
      </c>
      <c r="C31" s="3" t="inlineStr">
        <is>
          <t>Edit Complaint</t>
        </is>
      </c>
      <c r="D31" s="3">
        <f>IFERROR(__xludf.DUMMYFUNCTION("GOOGLETRANSLATE(B31,""vi"",""en"")"),"Edit complaint")</f>
        <v/>
      </c>
      <c r="E31" s="3">
        <f>IF(C31&lt;&gt;"",C31, D31)</f>
        <v/>
      </c>
      <c r="F31" s="3" t="n"/>
      <c r="G31" s="3">
        <f>IFERROR(__xludf.DUMMYFUNCTION("GOOGLETRANSLATE(B31,""vi"",""km"")"),"កែសម្រួលពាក្យបណ្តឹង")</f>
        <v/>
      </c>
      <c r="H31" s="3" t="inlineStr">
        <is>
          <t>កែសម្រួលពាក្យបណ្តឹង</t>
        </is>
      </c>
      <c r="I31" s="3" t="n"/>
      <c r="J31" s="3">
        <f>IFERROR(__xludf.DUMMYFUNCTION("GOOGLETRANSLATE(B31,""vi"",""lo"")"),"ແກ້ໄຂຄຳຮ້ອງຮຽນ")</f>
        <v/>
      </c>
      <c r="K31" s="3">
        <f>IF(I31&lt;&gt;"",I31, J31)</f>
        <v/>
      </c>
      <c r="L31" s="3" t="inlineStr">
        <is>
          <t>កែសម្រួលពាក្យបណ្តឹង</t>
        </is>
      </c>
      <c r="M31" s="3" t="n"/>
      <c r="N31" s="3" t="inlineStr">
        <is>
          <t>"common.editComplaint": "Edit Complaint",</t>
        </is>
      </c>
      <c r="O31" s="3" t="n"/>
      <c r="P31" s="3" t="n"/>
      <c r="Q31" s="3" t="n"/>
      <c r="R31" s="3" t="n"/>
      <c r="S31" s="3" t="n"/>
      <c r="T31" s="3" t="n"/>
      <c r="U31" s="3" t="n"/>
      <c r="V31" s="3" t="n"/>
      <c r="W31" s="3" t="n"/>
      <c r="X31" s="3" t="n"/>
      <c r="Y31" s="3" t="n"/>
      <c r="Z31" s="3" t="n"/>
      <c r="AA31" s="3" t="n"/>
    </row>
    <row r="32">
      <c r="A32" s="3" t="inlineStr">
        <is>
          <t>common.exportExcel</t>
        </is>
      </c>
      <c r="B32" s="3" t="inlineStr">
        <is>
          <t>Xuất Excel</t>
        </is>
      </c>
      <c r="C32" s="3" t="inlineStr">
        <is>
          <t>Export to Excel</t>
        </is>
      </c>
      <c r="D32" s="3">
        <f>IFERROR(__xludf.DUMMYFUNCTION("GOOGLETRANSLATE(B32,""vi"",""en"")"),"Export to Excel")</f>
        <v/>
      </c>
      <c r="E32" s="3">
        <f>IF(C32&lt;&gt;"",C32, D32)</f>
        <v/>
      </c>
      <c r="F32" s="3" t="n"/>
      <c r="G32" s="3">
        <f>IFERROR(__xludf.DUMMYFUNCTION("GOOGLETRANSLATE(B32,""vi"",""km"")"),"នាំចេញទៅ Excel")</f>
        <v/>
      </c>
      <c r="H32" s="3" t="inlineStr">
        <is>
          <t>នាំចេញទៅ Excel</t>
        </is>
      </c>
      <c r="I32" s="3" t="n"/>
      <c r="J32" s="3">
        <f>IFERROR(__xludf.DUMMYFUNCTION("GOOGLETRANSLATE(B32,""vi"",""lo"")"),"ສົ່ງອອກໄປຍັງ Excel")</f>
        <v/>
      </c>
      <c r="K32" s="3">
        <f>IF(I32&lt;&gt;"",I32, J32)</f>
        <v/>
      </c>
      <c r="L32" s="3" t="inlineStr">
        <is>
          <t>នាំចេញទៅ Excel</t>
        </is>
      </c>
      <c r="M32" s="3" t="n"/>
      <c r="N32" s="3" t="inlineStr">
        <is>
          <t>"common.exportExcel": "Export to Excel",</t>
        </is>
      </c>
      <c r="O32" s="3" t="n"/>
      <c r="P32" s="3" t="n"/>
      <c r="Q32" s="3" t="n"/>
      <c r="R32" s="3" t="n"/>
      <c r="S32" s="3" t="n"/>
      <c r="T32" s="3" t="n"/>
      <c r="U32" s="3" t="n"/>
      <c r="V32" s="3" t="n"/>
      <c r="W32" s="3" t="n"/>
      <c r="X32" s="3" t="n"/>
      <c r="Y32" s="3" t="n"/>
      <c r="Z32" s="3" t="n"/>
      <c r="AA32" s="3" t="n"/>
    </row>
    <row r="33">
      <c r="A33" s="3" t="inlineStr">
        <is>
          <t>common.fetchError</t>
        </is>
      </c>
      <c r="B33" s="3" t="inlineStr">
        <is>
          <t>Lấy dữ liệu thất bại</t>
        </is>
      </c>
      <c r="C33" s="3" t="inlineStr">
        <is>
          <t>Failed to load data</t>
        </is>
      </c>
      <c r="D33" s="3">
        <f>IFERROR(__xludf.DUMMYFUNCTION("GOOGLETRANSLATE(B33,""vi"",""en"")"),"Data retrieval failed.")</f>
        <v/>
      </c>
      <c r="E33" s="3">
        <f>IF(C33&lt;&gt;"",C33, D33)</f>
        <v/>
      </c>
      <c r="F33" s="3" t="n"/>
      <c r="G33" s="3">
        <f>IFERROR(__xludf.DUMMYFUNCTION("GOOGLETRANSLATE(B33,""vi"",""km"")"),"ការទាញយកទិន្នន័យបានបរាជ័យ។")</f>
        <v/>
      </c>
      <c r="H33" s="3" t="inlineStr">
        <is>
          <t>ការទាញយកទិន្នន័យបានបរាជ័យ។</t>
        </is>
      </c>
      <c r="I33" s="3" t="n"/>
      <c r="J33" s="3">
        <f>IFERROR(__xludf.DUMMYFUNCTION("GOOGLETRANSLATE(B33,""vi"",""lo"")"),"ການດຶງຂໍ້ມູນລົ້ມເຫຼວ.")</f>
        <v/>
      </c>
      <c r="K33" s="3">
        <f>IF(I33&lt;&gt;"",I33, J33)</f>
        <v/>
      </c>
      <c r="L33" s="3" t="inlineStr">
        <is>
          <t>ការទាញយកទិន្នន័យបានបរាជ័យ។</t>
        </is>
      </c>
      <c r="M33" s="3" t="n"/>
      <c r="N33" s="3" t="inlineStr">
        <is>
          <t>"common.fetchError": "Failed to load data",</t>
        </is>
      </c>
      <c r="O33" s="3" t="n"/>
      <c r="P33" s="3" t="n"/>
      <c r="Q33" s="3" t="n"/>
      <c r="R33" s="3" t="n"/>
      <c r="S33" s="3" t="n"/>
      <c r="T33" s="3" t="n"/>
      <c r="U33" s="3" t="n"/>
      <c r="V33" s="3" t="n"/>
      <c r="W33" s="3" t="n"/>
      <c r="X33" s="3" t="n"/>
      <c r="Y33" s="3" t="n"/>
      <c r="Z33" s="3" t="n"/>
      <c r="AA33" s="3" t="n"/>
    </row>
    <row r="34">
      <c r="A34" s="3" t="inlineStr">
        <is>
          <t>common.goods</t>
        </is>
      </c>
      <c r="B34" s="3" t="inlineStr">
        <is>
          <t>Hàng</t>
        </is>
      </c>
      <c r="C34" s="3" t="inlineStr">
        <is>
          <t>Goods</t>
        </is>
      </c>
      <c r="D34" s="3">
        <f>IFERROR(__xludf.DUMMYFUNCTION("GOOGLETRANSLATE(B34,""vi"",""en"")"),"Row")</f>
        <v/>
      </c>
      <c r="E34" s="3">
        <f>IF(C34&lt;&gt;"",C34, D34)</f>
        <v/>
      </c>
      <c r="F34" s="3" t="n"/>
      <c r="G34" s="3">
        <f>IFERROR(__xludf.DUMMYFUNCTION("GOOGLETRANSLATE(B34,""vi"",""km"")"),"ជួរ")</f>
        <v/>
      </c>
      <c r="H34" s="3" t="inlineStr">
        <is>
          <t>ជួរ</t>
        </is>
      </c>
      <c r="I34" s="3" t="n"/>
      <c r="J34" s="3">
        <f>IFERROR(__xludf.DUMMYFUNCTION("GOOGLETRANSLATE(B34,""vi"",""lo"")"),"ແຖວ")</f>
        <v/>
      </c>
      <c r="K34" s="3">
        <f>IF(I34&lt;&gt;"",I34, J34)</f>
        <v/>
      </c>
      <c r="L34" s="3" t="inlineStr">
        <is>
          <t>ជួរ</t>
        </is>
      </c>
      <c r="M34" s="3" t="n"/>
      <c r="N34" s="3" t="inlineStr">
        <is>
          <t>"common.goods": "Goods",</t>
        </is>
      </c>
      <c r="O34" s="3" t="n"/>
      <c r="P34" s="3" t="n"/>
      <c r="Q34" s="3" t="n"/>
      <c r="R34" s="3" t="n"/>
      <c r="S34" s="3" t="n"/>
      <c r="T34" s="3" t="n"/>
      <c r="U34" s="3" t="n"/>
      <c r="V34" s="3" t="n"/>
      <c r="W34" s="3" t="n"/>
      <c r="X34" s="3" t="n"/>
      <c r="Y34" s="3" t="n"/>
      <c r="Z34" s="3" t="n"/>
      <c r="AA34" s="3" t="n"/>
    </row>
    <row r="35">
      <c r="A35" s="3" t="inlineStr">
        <is>
          <t>common.hello</t>
        </is>
      </c>
      <c r="B35" s="3" t="inlineStr">
        <is>
          <t>Xin chào</t>
        </is>
      </c>
      <c r="C35" s="3" t="inlineStr">
        <is>
          <t>Hello</t>
        </is>
      </c>
      <c r="D35" s="3">
        <f>IFERROR(__xludf.DUMMYFUNCTION("GOOGLETRANSLATE(B35,""vi"",""en"")"),"Hello")</f>
        <v/>
      </c>
      <c r="E35" s="3">
        <f>IF(C35&lt;&gt;"",C35, D35)</f>
        <v/>
      </c>
      <c r="F35" s="3" t="n"/>
      <c r="G35" s="3">
        <f>IFERROR(__xludf.DUMMYFUNCTION("GOOGLETRANSLATE(B35,""vi"",""km"")"),"សួស្តី")</f>
        <v/>
      </c>
      <c r="H35" s="3" t="inlineStr">
        <is>
          <t>សួស្តី</t>
        </is>
      </c>
      <c r="I35" s="3" t="n"/>
      <c r="J35" s="3">
        <f>IFERROR(__xludf.DUMMYFUNCTION("GOOGLETRANSLATE(B35,""vi"",""lo"")"),"ສະບາຍດີ")</f>
        <v/>
      </c>
      <c r="K35" s="3">
        <f>IF(I35&lt;&gt;"",I35, J35)</f>
        <v/>
      </c>
      <c r="L35" s="3" t="inlineStr">
        <is>
          <t>សួស្តី</t>
        </is>
      </c>
      <c r="M35" s="3" t="n"/>
      <c r="N35" s="3" t="inlineStr">
        <is>
          <t>"common.hello": "Hello",</t>
        </is>
      </c>
      <c r="O35" s="3" t="n"/>
      <c r="P35" s="3" t="n"/>
      <c r="Q35" s="3" t="n"/>
      <c r="R35" s="3" t="n"/>
      <c r="S35" s="3" t="n"/>
      <c r="T35" s="3" t="n"/>
      <c r="U35" s="3" t="n"/>
      <c r="V35" s="3" t="n"/>
      <c r="W35" s="3" t="n"/>
      <c r="X35" s="3" t="n"/>
      <c r="Y35" s="3" t="n"/>
      <c r="Z35" s="3" t="n"/>
      <c r="AA35" s="3" t="n"/>
    </row>
    <row r="36">
      <c r="A36" s="3" t="inlineStr">
        <is>
          <t>common.home</t>
        </is>
      </c>
      <c r="B36" s="3" t="inlineStr">
        <is>
          <t>Trang chủ</t>
        </is>
      </c>
      <c r="C36" s="3" t="inlineStr">
        <is>
          <t>Home</t>
        </is>
      </c>
      <c r="D36" s="3">
        <f>IFERROR(__xludf.DUMMYFUNCTION("GOOGLETRANSLATE(B36,""vi"",""en"")"),"Homepage")</f>
        <v/>
      </c>
      <c r="E36" s="3">
        <f>IF(C36&lt;&gt;"",C36, D36)</f>
        <v/>
      </c>
      <c r="F36" s="3" t="n"/>
      <c r="G36" s="3">
        <f>IFERROR(__xludf.DUMMYFUNCTION("GOOGLETRANSLATE(B36,""vi"",""km"")"),"ទំព័រដើម")</f>
        <v/>
      </c>
      <c r="H36" s="3" t="inlineStr">
        <is>
          <t>ទំព័រដើម</t>
        </is>
      </c>
      <c r="I36" s="3" t="n"/>
      <c r="J36" s="3">
        <f>IFERROR(__xludf.DUMMYFUNCTION("GOOGLETRANSLATE(B36,""vi"",""lo"")"),"ໜ້າຫຼັກ")</f>
        <v/>
      </c>
      <c r="K36" s="3">
        <f>IF(I36&lt;&gt;"",I36, J36)</f>
        <v/>
      </c>
      <c r="L36" s="3" t="inlineStr">
        <is>
          <t>ទំព័រដើម</t>
        </is>
      </c>
      <c r="M36" s="3" t="n"/>
      <c r="N36" s="3" t="inlineStr">
        <is>
          <t>"common.home": "Home",</t>
        </is>
      </c>
      <c r="O36" s="3" t="n"/>
      <c r="P36" s="3" t="n"/>
      <c r="Q36" s="3" t="n"/>
      <c r="R36" s="3" t="n"/>
      <c r="S36" s="3" t="n"/>
      <c r="T36" s="3" t="n"/>
      <c r="U36" s="3" t="n"/>
      <c r="V36" s="3" t="n"/>
      <c r="W36" s="3" t="n"/>
      <c r="X36" s="3" t="n"/>
      <c r="Y36" s="3" t="n"/>
      <c r="Z36" s="3" t="n"/>
      <c r="AA36" s="3" t="n"/>
    </row>
    <row r="37">
      <c r="A37" s="3" t="inlineStr">
        <is>
          <t>common.listComplaint</t>
        </is>
      </c>
      <c r="B37" s="3" t="inlineStr">
        <is>
          <t>Danh sách khiếu nại</t>
        </is>
      </c>
      <c r="C37" s="3" t="inlineStr">
        <is>
          <t>Complaint List</t>
        </is>
      </c>
      <c r="D37" s="3">
        <f>IFERROR(__xludf.DUMMYFUNCTION("GOOGLETRANSLATE(B37,""vi"",""en"")"),"List of complaints")</f>
        <v/>
      </c>
      <c r="E37" s="3">
        <f>IF(C37&lt;&gt;"",C37, D37)</f>
        <v/>
      </c>
      <c r="F37" s="3" t="n"/>
      <c r="G37" s="3">
        <f>IFERROR(__xludf.DUMMYFUNCTION("GOOGLETRANSLATE(B37,""vi"",""km"")"),"បញ្ជីពាក្យបណ្តឹង")</f>
        <v/>
      </c>
      <c r="H37" s="3" t="inlineStr">
        <is>
          <t>បញ្ជីពាក្យបណ្តឹង</t>
        </is>
      </c>
      <c r="I37" s="3" t="n"/>
      <c r="J37" s="3">
        <f>IFERROR(__xludf.DUMMYFUNCTION("GOOGLETRANSLATE(B37,""vi"",""lo"")"),"ບັນຊີລາຍຊື່ການຮ້ອງຮຽນ")</f>
        <v/>
      </c>
      <c r="K37" s="3">
        <f>IF(I37&lt;&gt;"",I37, J37)</f>
        <v/>
      </c>
      <c r="L37" s="3" t="inlineStr">
        <is>
          <t>បញ្ជីពាក្យបណ្តឹង</t>
        </is>
      </c>
      <c r="M37" s="3" t="n"/>
      <c r="N37" s="3" t="inlineStr">
        <is>
          <t>"common.listComplaint": "Complaint List",</t>
        </is>
      </c>
      <c r="O37" s="3" t="n"/>
      <c r="P37" s="3" t="n"/>
      <c r="Q37" s="3" t="n"/>
      <c r="R37" s="3" t="n"/>
      <c r="S37" s="3" t="n"/>
      <c r="T37" s="3" t="n"/>
      <c r="U37" s="3" t="n"/>
      <c r="V37" s="3" t="n"/>
      <c r="W37" s="3" t="n"/>
      <c r="X37" s="3" t="n"/>
      <c r="Y37" s="3" t="n"/>
      <c r="Z37" s="3" t="n"/>
      <c r="AA37" s="3" t="n"/>
    </row>
    <row r="38">
      <c r="A38" s="3" t="inlineStr">
        <is>
          <t>common.noResults</t>
        </is>
      </c>
      <c r="B38" s="3" t="inlineStr">
        <is>
          <t>Không có kết quả</t>
        </is>
      </c>
      <c r="C38" s="3" t="inlineStr">
        <is>
          <t>No results found</t>
        </is>
      </c>
      <c r="D38" s="3">
        <f>IFERROR(__xludf.DUMMYFUNCTION("GOOGLETRANSLATE(B38,""vi"",""en"")"),"No results")</f>
        <v/>
      </c>
      <c r="E38" s="3">
        <f>IF(C38&lt;&gt;"",C38, D38)</f>
        <v/>
      </c>
      <c r="F38" s="3" t="n"/>
      <c r="G38" s="3">
        <f>IFERROR(__xludf.DUMMYFUNCTION("GOOGLETRANSLATE(B38,""vi"",""km"")"),"គ្មានលទ្ធផលទេ")</f>
        <v/>
      </c>
      <c r="H38" s="3" t="inlineStr">
        <is>
          <t>គ្មានលទ្ធផលទេ</t>
        </is>
      </c>
      <c r="I38" s="3" t="n"/>
      <c r="J38" s="3">
        <f>IFERROR(__xludf.DUMMYFUNCTION("GOOGLETRANSLATE(B38,""vi"",""lo"")"),"ບໍ່ມີຜົນໄດ້ຮັບ")</f>
        <v/>
      </c>
      <c r="K38" s="3">
        <f>IF(I38&lt;&gt;"",I38, J38)</f>
        <v/>
      </c>
      <c r="L38" s="3" t="inlineStr">
        <is>
          <t>គ្មានលទ្ធផលទេ</t>
        </is>
      </c>
      <c r="M38" s="3" t="n"/>
      <c r="N38" s="3" t="inlineStr">
        <is>
          <t>"common.noResults": "No results found",</t>
        </is>
      </c>
      <c r="O38" s="3" t="n"/>
      <c r="P38" s="3" t="n"/>
      <c r="Q38" s="3" t="n"/>
      <c r="R38" s="3" t="n"/>
      <c r="S38" s="3" t="n"/>
      <c r="T38" s="3" t="n"/>
      <c r="U38" s="3" t="n"/>
      <c r="V38" s="3" t="n"/>
      <c r="W38" s="3" t="n"/>
      <c r="X38" s="3" t="n"/>
      <c r="Y38" s="3" t="n"/>
      <c r="Z38" s="3" t="n"/>
      <c r="AA38" s="3" t="n"/>
    </row>
    <row r="39">
      <c r="A39" s="3" t="inlineStr">
        <is>
          <t>common.orderDetail</t>
        </is>
      </c>
      <c r="B39" s="3" t="inlineStr">
        <is>
          <t>Thông tin đơn hàng</t>
        </is>
      </c>
      <c r="C39" s="3" t="inlineStr">
        <is>
          <t>Order Information</t>
        </is>
      </c>
      <c r="D39" s="3">
        <f>IFERROR(__xludf.DUMMYFUNCTION("GOOGLETRANSLATE(B39,""vi"",""en"")"),"Order information")</f>
        <v/>
      </c>
      <c r="E39" s="3">
        <f>IF(C39&lt;&gt;"",C39, D39)</f>
        <v/>
      </c>
      <c r="F39" s="3" t="n"/>
      <c r="G39" s="3">
        <f>IFERROR(__xludf.DUMMYFUNCTION("GOOGLETRANSLATE(B39,""vi"",""km"")"),"ព័ត៌មានការបញ្ជាទិញ")</f>
        <v/>
      </c>
      <c r="H39" s="3" t="inlineStr">
        <is>
          <t>ព័ត៌មានការបញ្ជាទិញ</t>
        </is>
      </c>
      <c r="I39" s="3" t="n"/>
      <c r="J39" s="3">
        <f>IFERROR(__xludf.DUMMYFUNCTION("GOOGLETRANSLATE(B39,""vi"",""lo"")"),"ຂໍ້ມູນການສັ່ງຊື້")</f>
        <v/>
      </c>
      <c r="K39" s="3">
        <f>IF(I39&lt;&gt;"",I39, J39)</f>
        <v/>
      </c>
      <c r="L39" s="3" t="inlineStr">
        <is>
          <t>ព័ត៌មានការបញ្ជាទិញ</t>
        </is>
      </c>
      <c r="M39" s="3" t="n"/>
      <c r="N39" s="3" t="inlineStr">
        <is>
          <t>"common.orderDetail": "Order Information",</t>
        </is>
      </c>
      <c r="O39" s="3" t="n"/>
      <c r="P39" s="3" t="n"/>
      <c r="Q39" s="3" t="n"/>
      <c r="R39" s="3" t="n"/>
      <c r="S39" s="3" t="n"/>
      <c r="T39" s="3" t="n"/>
      <c r="U39" s="3" t="n"/>
      <c r="V39" s="3" t="n"/>
      <c r="W39" s="3" t="n"/>
      <c r="X39" s="3" t="n"/>
      <c r="Y39" s="3" t="n"/>
      <c r="Z39" s="3" t="n"/>
      <c r="AA39" s="3" t="n"/>
    </row>
    <row r="40">
      <c r="A40" s="3" t="inlineStr">
        <is>
          <t>common.pack</t>
        </is>
      </c>
      <c r="B40" s="3" t="inlineStr">
        <is>
          <t>Kiện</t>
        </is>
      </c>
      <c r="C40" s="3" t="inlineStr">
        <is>
          <t>Package</t>
        </is>
      </c>
      <c r="D40" s="3">
        <f>IFERROR(__xludf.DUMMYFUNCTION("GOOGLETRANSLATE(B40,""vi"",""en"")"),"The case")</f>
        <v/>
      </c>
      <c r="E40" s="3">
        <f>IF(C40&lt;&gt;"",C40, D40)</f>
        <v/>
      </c>
      <c r="F40" s="3" t="n"/>
      <c r="G40" s="3">
        <f>IFERROR(__xludf.DUMMYFUNCTION("GOOGLETRANSLATE(B40,""vi"",""km"")"),"ករណី​នេះ")</f>
        <v/>
      </c>
      <c r="H40" s="3" t="inlineStr">
        <is>
          <t>កញ្ចប់ទំនិញ</t>
        </is>
      </c>
      <c r="I40" s="3" t="n"/>
      <c r="J40" s="3">
        <f>IFERROR(__xludf.DUMMYFUNCTION("GOOGLETRANSLATE(B40,""vi"",""lo"")"),"ກໍລະນີ")</f>
        <v/>
      </c>
      <c r="K40" s="3">
        <f>IF(I40&lt;&gt;"",I40, J40)</f>
        <v/>
      </c>
      <c r="L40" s="3" t="inlineStr">
        <is>
          <t>កញ្ចប់ទំនិញ</t>
        </is>
      </c>
      <c r="M40" s="3" t="n"/>
      <c r="N40" s="3" t="inlineStr">
        <is>
          <t>"common.pack": "Package",</t>
        </is>
      </c>
      <c r="O40" s="3" t="n"/>
      <c r="P40" s="3" t="n"/>
      <c r="Q40" s="3" t="n"/>
      <c r="R40" s="3" t="n"/>
      <c r="S40" s="3" t="n"/>
      <c r="T40" s="3" t="n"/>
      <c r="U40" s="3" t="n"/>
      <c r="V40" s="3" t="n"/>
      <c r="W40" s="3" t="n"/>
      <c r="X40" s="3" t="n"/>
      <c r="Y40" s="3" t="n"/>
      <c r="Z40" s="3" t="n"/>
      <c r="AA40" s="3" t="n"/>
    </row>
    <row r="41">
      <c r="A41" s="3" t="inlineStr">
        <is>
          <t>common.page</t>
        </is>
      </c>
      <c r="B41" s="3" t="inlineStr">
        <is>
          <t>trang</t>
        </is>
      </c>
      <c r="C41" s="3" t="inlineStr">
        <is>
          <t>page</t>
        </is>
      </c>
      <c r="D41" s="3">
        <f>IFERROR(__xludf.DUMMYFUNCTION("GOOGLETRANSLATE(B41,""vi"",""en"")"),"page")</f>
        <v/>
      </c>
      <c r="E41" s="3">
        <f>IF(C41&lt;&gt;"",C41, D41)</f>
        <v/>
      </c>
      <c r="F41" s="3" t="n"/>
      <c r="G41" s="3">
        <f>IFERROR(__xludf.DUMMYFUNCTION("GOOGLETRANSLATE(B41,""vi"",""km"")"),"ទំព័រ")</f>
        <v/>
      </c>
      <c r="H41" s="3" t="inlineStr">
        <is>
          <t>ទំព័រ</t>
        </is>
      </c>
      <c r="I41" s="3" t="n"/>
      <c r="J41" s="3">
        <f>IFERROR(__xludf.DUMMYFUNCTION("GOOGLETRANSLATE(B41,""vi"",""lo"")"),"ໜ້າ")</f>
        <v/>
      </c>
      <c r="K41" s="3">
        <f>IF(I41&lt;&gt;"",I41, J41)</f>
        <v/>
      </c>
      <c r="L41" s="3" t="inlineStr">
        <is>
          <t>ទំព័រ</t>
        </is>
      </c>
      <c r="M41" s="3" t="n"/>
      <c r="N41" s="3" t="inlineStr">
        <is>
          <t>"common.page": "page",</t>
        </is>
      </c>
      <c r="O41" s="3" t="n"/>
      <c r="P41" s="3" t="n"/>
      <c r="Q41" s="3" t="n"/>
      <c r="R41" s="3" t="n"/>
      <c r="S41" s="3" t="n"/>
      <c r="T41" s="3" t="n"/>
      <c r="U41" s="3" t="n"/>
      <c r="V41" s="3" t="n"/>
      <c r="W41" s="3" t="n"/>
      <c r="X41" s="3" t="n"/>
      <c r="Y41" s="3" t="n"/>
      <c r="Z41" s="3" t="n"/>
      <c r="AA41" s="3" t="n"/>
    </row>
    <row r="42">
      <c r="A42" s="3" t="inlineStr">
        <is>
          <t>common.process</t>
        </is>
      </c>
      <c r="B42" s="3" t="inlineStr">
        <is>
          <t>Xử lý</t>
        </is>
      </c>
      <c r="C42" s="3" t="inlineStr">
        <is>
          <t>Progress</t>
        </is>
      </c>
      <c r="D42" s="3">
        <f>IFERROR(__xludf.DUMMYFUNCTION("GOOGLETRANSLATE(B42,""vi"",""en"")"),"Handle")</f>
        <v/>
      </c>
      <c r="E42" s="3">
        <f>IF(C42&lt;&gt;"",C42, D42)</f>
        <v/>
      </c>
      <c r="F42" s="3" t="n"/>
      <c r="G42" s="3">
        <f>IFERROR(__xludf.DUMMYFUNCTION("GOOGLETRANSLATE(B42,""vi"",""km"")"),"ចំណុចទាញ")</f>
        <v/>
      </c>
      <c r="H42" s="3" t="inlineStr">
        <is>
          <t>ចំណុចទាញ</t>
        </is>
      </c>
      <c r="I42" s="3" t="n"/>
      <c r="J42" s="3">
        <f>IFERROR(__xludf.DUMMYFUNCTION("GOOGLETRANSLATE(B42,""vi"",""lo"")"),"ດ້າມຈັບ")</f>
        <v/>
      </c>
      <c r="K42" s="3">
        <f>IF(I42&lt;&gt;"",I42, J42)</f>
        <v/>
      </c>
      <c r="L42" s="3" t="inlineStr">
        <is>
          <t>ចំណុចទាញ</t>
        </is>
      </c>
      <c r="M42" s="3" t="n"/>
      <c r="N42" s="3" t="inlineStr">
        <is>
          <t>"common.process": "Progress",</t>
        </is>
      </c>
      <c r="O42" s="3" t="n"/>
      <c r="P42" s="3" t="n"/>
      <c r="Q42" s="3" t="n"/>
      <c r="R42" s="3" t="n"/>
      <c r="S42" s="3" t="n"/>
      <c r="T42" s="3" t="n"/>
      <c r="U42" s="3" t="n"/>
      <c r="V42" s="3" t="n"/>
      <c r="W42" s="3" t="n"/>
      <c r="X42" s="3" t="n"/>
      <c r="Y42" s="3" t="n"/>
      <c r="Z42" s="3" t="n"/>
      <c r="AA42" s="3" t="n"/>
    </row>
    <row r="43">
      <c r="A43" s="3" t="inlineStr">
        <is>
          <t>common.search</t>
        </is>
      </c>
      <c r="B43" s="3" t="inlineStr">
        <is>
          <t>Tìm kiếm</t>
        </is>
      </c>
      <c r="C43" s="3" t="inlineStr">
        <is>
          <t>Search</t>
        </is>
      </c>
      <c r="D43" s="3">
        <f>IFERROR(__xludf.DUMMYFUNCTION("GOOGLETRANSLATE(B43,""vi"",""en"")"),"Search")</f>
        <v/>
      </c>
      <c r="E43" s="3">
        <f>IF(C43&lt;&gt;"",C43, D43)</f>
        <v/>
      </c>
      <c r="F43" s="3" t="n"/>
      <c r="G43" s="3">
        <f>IFERROR(__xludf.DUMMYFUNCTION("GOOGLETRANSLATE(B43,""vi"",""km"")"),"ស្វែងរក")</f>
        <v/>
      </c>
      <c r="H43" s="3" t="inlineStr">
        <is>
          <t>ស្វែងរក</t>
        </is>
      </c>
      <c r="I43" s="3" t="n"/>
      <c r="J43" s="3">
        <f>IFERROR(__xludf.DUMMYFUNCTION("GOOGLETRANSLATE(B43,""vi"",""lo"")"),"ຄົ້ນຫາ")</f>
        <v/>
      </c>
      <c r="K43" s="3">
        <f>IF(I43&lt;&gt;"",I43, J43)</f>
        <v/>
      </c>
      <c r="L43" s="3" t="inlineStr">
        <is>
          <t>ស្វែងរក</t>
        </is>
      </c>
      <c r="M43" s="3" t="n"/>
      <c r="N43" s="3" t="inlineStr">
        <is>
          <t>"common.search": "Search",</t>
        </is>
      </c>
      <c r="O43" s="3" t="n"/>
      <c r="P43" s="3" t="n"/>
      <c r="Q43" s="3" t="n"/>
      <c r="R43" s="3" t="n"/>
      <c r="S43" s="3" t="n"/>
      <c r="T43" s="3" t="n"/>
      <c r="U43" s="3" t="n"/>
      <c r="V43" s="3" t="n"/>
      <c r="W43" s="3" t="n"/>
      <c r="X43" s="3" t="n"/>
      <c r="Y43" s="3" t="n"/>
      <c r="Z43" s="3" t="n"/>
      <c r="AA43" s="3" t="n"/>
    </row>
    <row r="44">
      <c r="A44" s="3" t="inlineStr">
        <is>
          <t>common.selectAll</t>
        </is>
      </c>
      <c r="B44" s="3" t="inlineStr">
        <is>
          <t>Chọn tất cả</t>
        </is>
      </c>
      <c r="C44" s="3" t="inlineStr">
        <is>
          <t>Select all</t>
        </is>
      </c>
      <c r="D44" s="3">
        <f>IFERROR(__xludf.DUMMYFUNCTION("GOOGLETRANSLATE(B44,""vi"",""en"")"),"Select all")</f>
        <v/>
      </c>
      <c r="E44" s="3">
        <f>IF(C44&lt;&gt;"",C44, D44)</f>
        <v/>
      </c>
      <c r="F44" s="3" t="n"/>
      <c r="G44" s="3">
        <f>IFERROR(__xludf.DUMMYFUNCTION("GOOGLETRANSLATE(B44,""vi"",""km"")"),"ជ្រើសរើសទាំងអស់")</f>
        <v/>
      </c>
      <c r="H44" s="3" t="inlineStr">
        <is>
          <t>ជ្រើសរើសទាំងអស់</t>
        </is>
      </c>
      <c r="I44" s="3" t="n"/>
      <c r="J44" s="3">
        <f>IFERROR(__xludf.DUMMYFUNCTION("GOOGLETRANSLATE(B44,""vi"",""lo"")"),"ເລືອກທັງໝົດ")</f>
        <v/>
      </c>
      <c r="K44" s="3">
        <f>IF(I44&lt;&gt;"",I44, J44)</f>
        <v/>
      </c>
      <c r="L44" s="3" t="inlineStr">
        <is>
          <t>ជ្រើសរើសទាំងអស់</t>
        </is>
      </c>
      <c r="M44" s="3" t="n"/>
      <c r="N44" s="3" t="inlineStr">
        <is>
          <t>"common.selectAll": "Select all",</t>
        </is>
      </c>
      <c r="O44" s="3" t="n"/>
      <c r="P44" s="3" t="n"/>
      <c r="Q44" s="3" t="n"/>
      <c r="R44" s="3" t="n"/>
      <c r="S44" s="3" t="n"/>
      <c r="T44" s="3" t="n"/>
      <c r="U44" s="3" t="n"/>
      <c r="V44" s="3" t="n"/>
      <c r="W44" s="3" t="n"/>
      <c r="X44" s="3" t="n"/>
      <c r="Y44" s="3" t="n"/>
      <c r="Z44" s="3" t="n"/>
      <c r="AA44" s="3" t="n"/>
    </row>
    <row r="45">
      <c r="A45" s="3" t="inlineStr">
        <is>
          <t>common.settingComplaint</t>
        </is>
      </c>
      <c r="B45" s="3" t="inlineStr">
        <is>
          <t>Cấu hình khiếu nại</t>
        </is>
      </c>
      <c r="C45" s="3" t="inlineStr">
        <is>
          <t>Complaint Configuration</t>
        </is>
      </c>
      <c r="D45" s="3">
        <f>IFERROR(__xludf.DUMMYFUNCTION("GOOGLETRANSLATE(B45,""vi"",""en"")"),"Complaint configuration")</f>
        <v/>
      </c>
      <c r="E45" s="3">
        <f>IF(C45&lt;&gt;"",C45, D45)</f>
        <v/>
      </c>
      <c r="F45" s="3" t="n"/>
      <c r="G45" s="3">
        <f>IFERROR(__xludf.DUMMYFUNCTION("GOOGLETRANSLATE(B45,""vi"",""km"")"),"ការកំណត់រចនាសម្ព័ន្ធពាក្យបណ្តឹង")</f>
        <v/>
      </c>
      <c r="H45" s="3" t="inlineStr">
        <is>
          <t>ការកំណត់រចនាសម្ព័ន្ធពាក្យបណ្តឹង</t>
        </is>
      </c>
      <c r="I45" s="3" t="n"/>
      <c r="J45" s="3">
        <f>IFERROR(__xludf.DUMMYFUNCTION("GOOGLETRANSLATE(B45,""vi"",""lo"")"),"ການຕັ້ງຄ່າການຮ້ອງຮຽນ")</f>
        <v/>
      </c>
      <c r="K45" s="3">
        <f>IF(I45&lt;&gt;"",I45, J45)</f>
        <v/>
      </c>
      <c r="L45" s="3" t="inlineStr">
        <is>
          <t>ការកំណត់រចនាសម្ព័ន្ធពាក្យបណ្តឹង</t>
        </is>
      </c>
      <c r="M45" s="3" t="n"/>
      <c r="N45" s="3" t="inlineStr">
        <is>
          <t>"common.settingComplaint": "Complaint Configuration",</t>
        </is>
      </c>
      <c r="O45" s="3" t="n"/>
      <c r="P45" s="3" t="n"/>
      <c r="Q45" s="3" t="n"/>
      <c r="R45" s="3" t="n"/>
      <c r="S45" s="3" t="n"/>
      <c r="T45" s="3" t="n"/>
      <c r="U45" s="3" t="n"/>
      <c r="V45" s="3" t="n"/>
      <c r="W45" s="3" t="n"/>
      <c r="X45" s="3" t="n"/>
      <c r="Y45" s="3" t="n"/>
      <c r="Z45" s="3" t="n"/>
      <c r="AA45" s="3" t="n"/>
    </row>
    <row r="46">
      <c r="A46" s="3" t="inlineStr">
        <is>
          <t>common.shipmentTracking</t>
        </is>
      </c>
      <c r="B46" s="3" t="inlineStr">
        <is>
          <t>Tra cứu hành trình</t>
        </is>
      </c>
      <c r="C46" s="3" t="inlineStr">
        <is>
          <t>Track Shipment</t>
        </is>
      </c>
      <c r="D46" s="3">
        <f>IFERROR(__xludf.DUMMYFUNCTION("GOOGLETRANSLATE(B46,""vi"",""en"")"),"Look up itinerary")</f>
        <v/>
      </c>
      <c r="E46" s="3">
        <f>IF(C46&lt;&gt;"",C46, D46)</f>
        <v/>
      </c>
      <c r="F46" s="3" t="n"/>
      <c r="G46" s="3">
        <f>IFERROR(__xludf.DUMMYFUNCTION("GOOGLETRANSLATE(B46,""vi"",""km"")"),"ស្វែងរក​ផែនការ​ធ្វើដំណើរ")</f>
        <v/>
      </c>
      <c r="H46" s="3" t="inlineStr">
        <is>
          <t>ស្វែងរកផែនការធ្វើដំណើរ</t>
        </is>
      </c>
      <c r="I46" s="3" t="n"/>
      <c r="J46" s="3">
        <f>IFERROR(__xludf.DUMMYFUNCTION("GOOGLETRANSLATE(B46,""vi"",""lo"")"),"ຊອກຫາແຜນການເດີນທາງ")</f>
        <v/>
      </c>
      <c r="K46" s="3">
        <f>IF(I46&lt;&gt;"",I46, J46)</f>
        <v/>
      </c>
      <c r="L46" s="3" t="inlineStr">
        <is>
          <t>ស្វែងរកផែនការធ្វើដំណើរ</t>
        </is>
      </c>
      <c r="M46" s="3" t="n"/>
      <c r="N46" s="3" t="inlineStr">
        <is>
          <t>"common.shipmentTracking": "Track Shipment",</t>
        </is>
      </c>
      <c r="O46" s="3" t="n"/>
      <c r="P46" s="3" t="n"/>
      <c r="Q46" s="3" t="n"/>
      <c r="R46" s="3" t="n"/>
      <c r="S46" s="3" t="n"/>
      <c r="T46" s="3" t="n"/>
      <c r="U46" s="3" t="n"/>
      <c r="V46" s="3" t="n"/>
      <c r="W46" s="3" t="n"/>
      <c r="X46" s="3" t="n"/>
      <c r="Y46" s="3" t="n"/>
      <c r="Z46" s="3" t="n"/>
      <c r="AA46" s="3" t="n"/>
    </row>
    <row r="47">
      <c r="A47" s="3" t="inlineStr">
        <is>
          <t>common.stt</t>
        </is>
      </c>
      <c r="B47" s="3" t="inlineStr">
        <is>
          <t>STT</t>
        </is>
      </c>
      <c r="C47" s="3" t="inlineStr">
        <is>
          <t>No.</t>
        </is>
      </c>
      <c r="D47" s="3">
        <f>IFERROR(__xludf.DUMMYFUNCTION("GOOGLETRANSLATE(B47,""vi"",""en"")"),"No.")</f>
        <v/>
      </c>
      <c r="E47" s="3">
        <f>IF(C47&lt;&gt;"",C47, D47)</f>
        <v/>
      </c>
      <c r="F47" s="3" t="n"/>
      <c r="G47" s="3">
        <f>IFERROR(__xludf.DUMMYFUNCTION("GOOGLETRANSLATE(B47,""vi"",""km"")"),"ទេ។")</f>
        <v/>
      </c>
      <c r="H47" s="3" t="inlineStr">
        <is>
          <t>ទេ។</t>
        </is>
      </c>
      <c r="I47" s="3" t="n"/>
      <c r="J47" s="3">
        <f>IFERROR(__xludf.DUMMYFUNCTION("GOOGLETRANSLATE(B47,""vi"",""lo"")"),"ບໍ່.")</f>
        <v/>
      </c>
      <c r="K47" s="3">
        <f>IF(I47&lt;&gt;"",I47, J47)</f>
        <v/>
      </c>
      <c r="L47" s="3" t="inlineStr">
        <is>
          <t>ទេ។</t>
        </is>
      </c>
      <c r="M47" s="3" t="n"/>
      <c r="N47" s="3" t="inlineStr">
        <is>
          <t>"common.stt": "No.",</t>
        </is>
      </c>
      <c r="O47" s="3" t="n"/>
      <c r="P47" s="3" t="n"/>
      <c r="Q47" s="3" t="n"/>
      <c r="R47" s="3" t="n"/>
      <c r="S47" s="3" t="n"/>
      <c r="T47" s="3" t="n"/>
      <c r="U47" s="3" t="n"/>
      <c r="V47" s="3" t="n"/>
      <c r="W47" s="3" t="n"/>
      <c r="X47" s="3" t="n"/>
      <c r="Y47" s="3" t="n"/>
      <c r="Z47" s="3" t="n"/>
      <c r="AA47" s="3" t="n"/>
    </row>
    <row r="48">
      <c r="A48" s="3" t="inlineStr">
        <is>
          <t>common.trackingCodeNotFound</t>
        </is>
      </c>
      <c r="B48" s="3" t="inlineStr">
        <is>
          <t>Không tìm thấy mã vận đơn</t>
        </is>
      </c>
      <c r="C48" s="3" t="inlineStr">
        <is>
          <t>Tracking number not found</t>
        </is>
      </c>
      <c r="D48" s="3">
        <f>IFERROR(__xludf.DUMMYFUNCTION("GOOGLETRANSLATE(B48,""vi"",""en"")"),"Tracking number not found")</f>
        <v/>
      </c>
      <c r="E48" s="3">
        <f>IF(C48&lt;&gt;"",C48, D48)</f>
        <v/>
      </c>
      <c r="F48" s="3" t="n"/>
      <c r="G48" s="3">
        <f>IFERROR(__xludf.DUMMYFUNCTION("GOOGLETRANSLATE(B48,""vi"",""km"")"),"រកមិនឃើញលេខតាមដានទេ")</f>
        <v/>
      </c>
      <c r="H48" s="3" t="inlineStr">
        <is>
          <t>រកមិនឃើញលេខតាមដានទេ</t>
        </is>
      </c>
      <c r="I48" s="3" t="n"/>
      <c r="J48" s="3">
        <f>IFERROR(__xludf.DUMMYFUNCTION("GOOGLETRANSLATE(B48,""vi"",""lo"")"),"ບໍ່ພົບໝາຍເລກຕິດຕາມ")</f>
        <v/>
      </c>
      <c r="K48" s="3">
        <f>IF(I48&lt;&gt;"",I48, J48)</f>
        <v/>
      </c>
      <c r="L48" s="3" t="inlineStr">
        <is>
          <t>រកមិនឃើញលេខតាមដានទេ</t>
        </is>
      </c>
      <c r="M48" s="3" t="n"/>
      <c r="N48" s="3" t="inlineStr">
        <is>
          <t>"common.trackingCodeNotFound": "Tracking number not found",</t>
        </is>
      </c>
      <c r="O48" s="3" t="n"/>
      <c r="P48" s="3" t="n"/>
      <c r="Q48" s="3" t="n"/>
      <c r="R48" s="3" t="n"/>
      <c r="S48" s="3" t="n"/>
      <c r="T48" s="3" t="n"/>
      <c r="U48" s="3" t="n"/>
      <c r="V48" s="3" t="n"/>
      <c r="W48" s="3" t="n"/>
      <c r="X48" s="3" t="n"/>
      <c r="Y48" s="3" t="n"/>
      <c r="Z48" s="3" t="n"/>
      <c r="AA48" s="3" t="n"/>
    </row>
    <row r="49">
      <c r="A49" s="3" t="inlineStr">
        <is>
          <t>common.updateError</t>
        </is>
      </c>
      <c r="B49" s="3" t="inlineStr">
        <is>
          <t>Cập nhật thất bại</t>
        </is>
      </c>
      <c r="C49" s="3" t="inlineStr">
        <is>
          <t>Update failed</t>
        </is>
      </c>
      <c r="D49" s="3">
        <f>IFERROR(__xludf.DUMMYFUNCTION("GOOGLETRANSLATE(B49,""vi"",""en"")"),"Update failed")</f>
        <v/>
      </c>
      <c r="E49" s="3">
        <f>IF(C49&lt;&gt;"",C49, D49)</f>
        <v/>
      </c>
      <c r="F49" s="3" t="n"/>
      <c r="G49" s="3">
        <f>IFERROR(__xludf.DUMMYFUNCTION("GOOGLETRANSLATE(B49,""vi"",""km"")"),"ការអាប់ដេតបរាជ័យ")</f>
        <v/>
      </c>
      <c r="H49" s="3" t="inlineStr">
        <is>
          <t>ធ្វើបច្ចុប្បន្នភាពបរាជ័យ</t>
        </is>
      </c>
      <c r="I49" s="3" t="n"/>
      <c r="J49" s="3">
        <f>IFERROR(__xludf.DUMMYFUNCTION("GOOGLETRANSLATE(B49,""vi"",""lo"")"),"ການອັບເດດລົ້ມເຫຼວ")</f>
        <v/>
      </c>
      <c r="K49" s="3">
        <f>IF(I49&lt;&gt;"",I49, J49)</f>
        <v/>
      </c>
      <c r="L49" s="3" t="inlineStr">
        <is>
          <t>ធ្វើបច្ចុប្បន្នភាពបរាជ័យ</t>
        </is>
      </c>
      <c r="M49" s="3" t="n"/>
      <c r="N49" s="3" t="inlineStr">
        <is>
          <t>"common.updateError": "Update failed",</t>
        </is>
      </c>
      <c r="O49" s="3" t="n"/>
      <c r="P49" s="3" t="n"/>
      <c r="Q49" s="3" t="n"/>
      <c r="R49" s="3" t="n"/>
      <c r="S49" s="3" t="n"/>
      <c r="T49" s="3" t="n"/>
      <c r="U49" s="3" t="n"/>
      <c r="V49" s="3" t="n"/>
      <c r="W49" s="3" t="n"/>
      <c r="X49" s="3" t="n"/>
      <c r="Y49" s="3" t="n"/>
      <c r="Z49" s="3" t="n"/>
      <c r="AA49" s="3" t="n"/>
    </row>
    <row r="50">
      <c r="A50" s="3" t="inlineStr">
        <is>
          <t>common.updateSuccess</t>
        </is>
      </c>
      <c r="B50" s="3" t="inlineStr">
        <is>
          <t>Cập nhật thành công</t>
        </is>
      </c>
      <c r="C50" s="3" t="inlineStr">
        <is>
          <t>Update successful</t>
        </is>
      </c>
      <c r="D50" s="3">
        <f>IFERROR(__xludf.DUMMYFUNCTION("GOOGLETRANSLATE(B50,""vi"",""en"")"),"Update successful")</f>
        <v/>
      </c>
      <c r="E50" s="3">
        <f>IF(C50&lt;&gt;"",C50, D50)</f>
        <v/>
      </c>
      <c r="F50" s="3" t="n"/>
      <c r="G50" s="3">
        <f>IFERROR(__xludf.DUMMYFUNCTION("GOOGLETRANSLATE(B50,""vi"",""km"")"),"ការអាប់ដេតបានជោគជ័យ")</f>
        <v/>
      </c>
      <c r="H50" s="3" t="inlineStr">
        <is>
          <t>ធ្វើបច្ចុប្បន្នភាពជោគជ័យ</t>
        </is>
      </c>
      <c r="I50" s="3" t="n"/>
      <c r="J50" s="3">
        <f>IFERROR(__xludf.DUMMYFUNCTION("GOOGLETRANSLATE(B50,""vi"",""lo"")"),"ອັບເດດສຳເລັດແລ້ວ")</f>
        <v/>
      </c>
      <c r="K50" s="3">
        <f>IF(I50&lt;&gt;"",I50, J50)</f>
        <v/>
      </c>
      <c r="L50" s="3" t="inlineStr">
        <is>
          <t>ធ្វើបច្ចុប្បន្នភាពជោគជ័យ</t>
        </is>
      </c>
      <c r="M50" s="3" t="n"/>
      <c r="N50" s="3" t="inlineStr">
        <is>
          <t>"common.updateSuccess": "Update successful",</t>
        </is>
      </c>
      <c r="O50" s="3" t="n"/>
      <c r="P50" s="3" t="n"/>
      <c r="Q50" s="3" t="n"/>
      <c r="R50" s="3" t="n"/>
      <c r="S50" s="3" t="n"/>
      <c r="T50" s="3" t="n"/>
      <c r="U50" s="3" t="n"/>
      <c r="V50" s="3" t="n"/>
      <c r="W50" s="3" t="n"/>
      <c r="X50" s="3" t="n"/>
      <c r="Y50" s="3" t="n"/>
      <c r="Z50" s="3" t="n"/>
      <c r="AA50" s="3" t="n"/>
    </row>
    <row r="51">
      <c r="A51" s="3" t="inlineStr">
        <is>
          <t>common.uploadError</t>
        </is>
      </c>
      <c r="B51" s="3" t="inlineStr">
        <is>
          <t>Tải tệp lên thất bại, vui lòng thử lại</t>
        </is>
      </c>
      <c r="C51" s="3" t="inlineStr">
        <is>
          <t>Upload failed, please try again</t>
        </is>
      </c>
      <c r="D51" s="3">
        <f>IFERROR(__xludf.DUMMYFUNCTION("GOOGLETRANSLATE(B51,""vi"",""en"")"),"File upload failed, please try again.")</f>
        <v/>
      </c>
      <c r="E51" s="3">
        <f>IF(C51&lt;&gt;"",C51, D51)</f>
        <v/>
      </c>
      <c r="F51" s="3" t="n"/>
      <c r="G51" s="3">
        <f>IFERROR(__xludf.DUMMYFUNCTION("GOOGLETRANSLATE(B51,""vi"",""km"")"),"ការផ្ទុកឡើងឯកសារបរាជ័យ សូមព្យាយាមម្តងទៀត។")</f>
        <v/>
      </c>
      <c r="H51" s="3" t="inlineStr">
        <is>
          <t>ការផ្ទុកឡើងឯកសារបរាជ័យ សូមព្យាយាមម្តងទៀត។</t>
        </is>
      </c>
      <c r="I51" s="3" t="n"/>
      <c r="J51" s="3">
        <f>IFERROR(__xludf.DUMMYFUNCTION("GOOGLETRANSLATE(B51,""vi"",""lo"")"),"ອັບໂຫຼດໄຟລ໌ບໍ່ສຳເລັດ, ກະລຸນາລອງໃໝ່ອີກຄັ້ງ.")</f>
        <v/>
      </c>
      <c r="K51" s="3">
        <f>IF(I51&lt;&gt;"",I51, J51)</f>
        <v/>
      </c>
      <c r="L51" s="3" t="inlineStr">
        <is>
          <t>ការផ្ទុកឡើងឯកសារបរាជ័យ សូមព្យាយាមម្តងទៀត។</t>
        </is>
      </c>
      <c r="M51" s="3" t="n"/>
      <c r="N51" s="3" t="inlineStr">
        <is>
          <t>"common.uploadError": "Upload failed, please try again",</t>
        </is>
      </c>
      <c r="O51" s="3" t="n"/>
      <c r="P51" s="3" t="n"/>
      <c r="Q51" s="3" t="n"/>
      <c r="R51" s="3" t="n"/>
      <c r="S51" s="3" t="n"/>
      <c r="T51" s="3" t="n"/>
      <c r="U51" s="3" t="n"/>
      <c r="V51" s="3" t="n"/>
      <c r="W51" s="3" t="n"/>
      <c r="X51" s="3" t="n"/>
      <c r="Y51" s="3" t="n"/>
      <c r="Z51" s="3" t="n"/>
      <c r="AA51" s="3" t="n"/>
    </row>
    <row r="52">
      <c r="A52" s="3" t="inlineStr">
        <is>
          <t>common.uploadFailed</t>
        </is>
      </c>
      <c r="B52" s="3" t="inlineStr">
        <is>
          <t>Tải file {{fileName}} thất bại</t>
        </is>
      </c>
      <c r="C52" s="3" t="inlineStr">
        <is>
          <t>Failed to upload file {{fileName}}</t>
        </is>
      </c>
      <c r="D52" s="3">
        <f>IFERROR(__xludf.DUMMYFUNCTION("GOOGLETRANSLATE(B52,""vi"",""en"")"),"File download failed {{fileName}}")</f>
        <v/>
      </c>
      <c r="E52" s="3">
        <f>IF(C52&lt;&gt;"",C52, D52)</f>
        <v/>
      </c>
      <c r="F52" s="3" t="n"/>
      <c r="G52" s="3">
        <f>IFERROR(__xludf.DUMMYFUNCTION("GOOGLETRANSLATE(B52,""vi"",""km"")"),"ការទាញយកឯកសារបានបរាជ័យ {{fileName}}")</f>
        <v/>
      </c>
      <c r="H52" s="3" t="inlineStr">
        <is>
          <t>ការទាញយកឯកសារបានបរាជ័យ {{fileName}}</t>
        </is>
      </c>
      <c r="I52" s="3" t="n"/>
      <c r="J52" s="3">
        <f>IFERROR(__xludf.DUMMYFUNCTION("GOOGLETRANSLATE(B52,""vi"",""lo"")"),"ການດາວໂຫຼດໄຟລ໌ລົ້ມເຫຼວ {{fileName}}")</f>
        <v/>
      </c>
      <c r="K52" s="3">
        <f>IF(I52&lt;&gt;"",I52, J52)</f>
        <v/>
      </c>
      <c r="L52" s="3" t="inlineStr">
        <is>
          <t>ការទាញយកឯកសារបានបរាជ័យ {{fileName}}</t>
        </is>
      </c>
      <c r="M52" s="3" t="n"/>
      <c r="N52" s="3" t="inlineStr">
        <is>
          <t>"common.uploadFailed": "Failed to upload file {{fileName}}",</t>
        </is>
      </c>
      <c r="O52" s="3" t="n"/>
      <c r="P52" s="3" t="n"/>
      <c r="Q52" s="3" t="n"/>
      <c r="R52" s="3" t="n"/>
      <c r="S52" s="3" t="n"/>
      <c r="T52" s="3" t="n"/>
      <c r="U52" s="3" t="n"/>
      <c r="V52" s="3" t="n"/>
      <c r="W52" s="3" t="n"/>
      <c r="X52" s="3" t="n"/>
      <c r="Y52" s="3" t="n"/>
      <c r="Z52" s="3" t="n"/>
      <c r="AA52" s="3" t="n"/>
    </row>
    <row r="53">
      <c r="A53" s="3" t="inlineStr">
        <is>
          <t>common.uploadFile</t>
        </is>
      </c>
      <c r="B53" s="3" t="inlineStr">
        <is>
          <t>Tải tệp lên</t>
        </is>
      </c>
      <c r="C53" s="3" t="inlineStr">
        <is>
          <t>Upload file</t>
        </is>
      </c>
      <c r="D53" s="3">
        <f>IFERROR(__xludf.DUMMYFUNCTION("GOOGLETRANSLATE(B53,""vi"",""en"")"),"Upload file")</f>
        <v/>
      </c>
      <c r="E53" s="3">
        <f>IF(C53&lt;&gt;"",C53, D53)</f>
        <v/>
      </c>
      <c r="F53" s="3" t="n"/>
      <c r="G53" s="3">
        <f>IFERROR(__xludf.DUMMYFUNCTION("GOOGLETRANSLATE(B53,""vi"",""km"")"),"ផ្ទុកឡើងឯកសារ")</f>
        <v/>
      </c>
      <c r="H53" s="3" t="inlineStr">
        <is>
          <t>ផ្ទុកឡើងឯកសារ</t>
        </is>
      </c>
      <c r="I53" s="3" t="n"/>
      <c r="J53" s="3">
        <f>IFERROR(__xludf.DUMMYFUNCTION("GOOGLETRANSLATE(B53,""vi"",""lo"")"),"ອັບໂຫຼດໄຟລ໌")</f>
        <v/>
      </c>
      <c r="K53" s="3">
        <f>IF(I53&lt;&gt;"",I53, J53)</f>
        <v/>
      </c>
      <c r="L53" s="3" t="inlineStr">
        <is>
          <t>ផ្ទុកឡើងឯកសារ</t>
        </is>
      </c>
      <c r="M53" s="3" t="n"/>
      <c r="N53" s="3" t="inlineStr">
        <is>
          <t>"common.uploadFile": "Upload file",</t>
        </is>
      </c>
      <c r="O53" s="3" t="n"/>
      <c r="P53" s="3" t="n"/>
      <c r="Q53" s="3" t="n"/>
      <c r="R53" s="3" t="n"/>
      <c r="S53" s="3" t="n"/>
      <c r="T53" s="3" t="n"/>
      <c r="U53" s="3" t="n"/>
      <c r="V53" s="3" t="n"/>
      <c r="W53" s="3" t="n"/>
      <c r="X53" s="3" t="n"/>
      <c r="Y53" s="3" t="n"/>
      <c r="Z53" s="3" t="n"/>
      <c r="AA53" s="3" t="n"/>
    </row>
    <row r="54">
      <c r="A54" s="3" t="inlineStr">
        <is>
          <t>common.uploadMaxFiles</t>
        </is>
      </c>
      <c r="B54" s="3" t="inlineStr">
        <is>
          <t>Chỉ được tải lên tối đa {{max}} tệp</t>
        </is>
      </c>
      <c r="C54" s="3" t="inlineStr">
        <is>
          <t>ou can upload up to {{max}} files</t>
        </is>
      </c>
      <c r="D54" s="3">
        <f>IFERROR(__xludf.DUMMYFUNCTION("GOOGLETRANSLATE(B54,""vi"",""en"")"),"Only a maximum of {{max}} files can be uploaded.")</f>
        <v/>
      </c>
      <c r="E54" s="3">
        <f>IF(C54&lt;&gt;"",C54, D54)</f>
        <v/>
      </c>
      <c r="F54" s="3" t="n"/>
      <c r="G54" s="3">
        <f>IFERROR(__xludf.DUMMYFUNCTION("GOOGLETRANSLATE(B54,""vi"",""km"")"),"អាចផ្ទុកឡើងឯកសារបានតែចំនួនអតិបរមា {{max}} ប៉ុណ្ណោះ។")</f>
        <v/>
      </c>
      <c r="H54" s="3" t="inlineStr">
        <is>
          <t>អាចផ្ទុកឡើងឯកសារបានតែចំនួនអតិបរមា {{max}} ប៉ុណ្ណោះ។</t>
        </is>
      </c>
      <c r="I54" s="3" t="n"/>
      <c r="J54" s="3">
        <f>IFERROR(__xludf.DUMMYFUNCTION("GOOGLETRANSLATE(B54,""vi"",""lo"")"),"ສາມາດອັບໂຫຼດໄຟລ໌ໄດ້ສູງສຸດ {{max}} ເທົ່ານັ້ນ.")</f>
        <v/>
      </c>
      <c r="K54" s="3">
        <f>IF(I54&lt;&gt;"",I54, J54)</f>
        <v/>
      </c>
      <c r="L54" s="3" t="inlineStr">
        <is>
          <t>អាចផ្ទុកឡើងឯកសារបានតែចំនួនអតិបរមា {{max}} ប៉ុណ្ណោះ។</t>
        </is>
      </c>
      <c r="M54" s="3" t="n"/>
      <c r="N54" s="3" t="inlineStr">
        <is>
          <t>"common.uploadMaxFiles": "ou can upload up to {{max}} files",</t>
        </is>
      </c>
      <c r="O54" s="3" t="n"/>
      <c r="P54" s="3" t="n"/>
      <c r="Q54" s="3" t="n"/>
      <c r="R54" s="3" t="n"/>
      <c r="S54" s="3" t="n"/>
      <c r="T54" s="3" t="n"/>
      <c r="U54" s="3" t="n"/>
      <c r="V54" s="3" t="n"/>
      <c r="W54" s="3" t="n"/>
      <c r="X54" s="3" t="n"/>
      <c r="Y54" s="3" t="n"/>
      <c r="Z54" s="3" t="n"/>
      <c r="AA54" s="3" t="n"/>
    </row>
    <row r="55">
      <c r="A55" s="3" t="inlineStr">
        <is>
          <t>common.uploadMaxSize</t>
        </is>
      </c>
      <c r="B55" s="3" t="inlineStr">
        <is>
          <t>Dung lượng file vượt quá {{max}}MB. Vui lòng chọn file nhỏ hơn.</t>
        </is>
      </c>
      <c r="C55" s="3" t="inlineStr">
        <is>
          <t>File is too large. Please select a file up to {{max}} MB</t>
        </is>
      </c>
      <c r="D55" s="3">
        <f>IFERROR(__xludf.DUMMYFUNCTION("GOOGLETRANSLATE(B55,""vi"",""en"")"),"The file size exceeds {{max}}MB. Please select a smaller file.")</f>
        <v/>
      </c>
      <c r="E55" s="3">
        <f>IF(C55&lt;&gt;"",C55, D55)</f>
        <v/>
      </c>
      <c r="F55" s="3" t="n"/>
      <c r="G55" s="3">
        <f>IFERROR(__xludf.DUMMYFUNCTION("GOOGLETRANSLATE(B55,""vi"",""km"")"),"ទំហំឯកសារលើសពី {{max}}MB។ សូមជ្រើសរើសឯកសារតូចជាង។")</f>
        <v/>
      </c>
      <c r="H55" s="3" t="inlineStr">
        <is>
          <t>ទំហំឯកសារលើសពី {{max}}MB។ សូមជ្រើសរើសឯកសារតូចជាង។</t>
        </is>
      </c>
      <c r="I55" s="3" t="n"/>
      <c r="J55" s="3">
        <f>IFERROR(__xludf.DUMMYFUNCTION("GOOGLETRANSLATE(B55,""vi"",""lo"")"),"ຂະໜາດໄຟລ໌ເກີນ {{max}}MB. ກະລຸນາເລືອກໄຟລ໌ທີ່ນ້ອຍກວ່າ.")</f>
        <v/>
      </c>
      <c r="K55" s="3">
        <f>IF(I55&lt;&gt;"",I55, J55)</f>
        <v/>
      </c>
      <c r="L55" s="3" t="inlineStr">
        <is>
          <t>ទំហំឯកសារលើសពី {{max}}MB។ សូមជ្រើសរើសឯកសារតូចជាង។</t>
        </is>
      </c>
      <c r="M55" s="3" t="n"/>
      <c r="N55" s="3" t="inlineStr">
        <is>
          <t>"common.uploadMaxSize": "File is too large. Please select a file up to {{max}} MB",</t>
        </is>
      </c>
      <c r="O55" s="3" t="n"/>
      <c r="P55" s="3" t="n"/>
      <c r="Q55" s="3" t="n"/>
      <c r="R55" s="3" t="n"/>
      <c r="S55" s="3" t="n"/>
      <c r="T55" s="3" t="n"/>
      <c r="U55" s="3" t="n"/>
      <c r="V55" s="3" t="n"/>
      <c r="W55" s="3" t="n"/>
      <c r="X55" s="3" t="n"/>
      <c r="Y55" s="3" t="n"/>
      <c r="Z55" s="3" t="n"/>
      <c r="AA55" s="3" t="n"/>
    </row>
    <row r="56">
      <c r="A56" s="3" t="inlineStr">
        <is>
          <t>common.uploadSuccess</t>
        </is>
      </c>
      <c r="B56" s="3" t="inlineStr">
        <is>
          <t>Tải lên thành công</t>
        </is>
      </c>
      <c r="C56" s="3" t="inlineStr">
        <is>
          <t>Upload successful</t>
        </is>
      </c>
      <c r="D56" s="3">
        <f>IFERROR(__xludf.DUMMYFUNCTION("GOOGLETRANSLATE(B56,""vi"",""en"")"),"Upload successful")</f>
        <v/>
      </c>
      <c r="E56" s="3">
        <f>IF(C56&lt;&gt;"",C56, D56)</f>
        <v/>
      </c>
      <c r="F56" s="3" t="n"/>
      <c r="G56" s="3">
        <f>IFERROR(__xludf.DUMMYFUNCTION("GOOGLETRANSLATE(B56,""vi"",""km"")"),"ផ្ទុកឡើងបានជោគជ័យ")</f>
        <v/>
      </c>
      <c r="H56" s="3" t="inlineStr">
        <is>
          <t>ផ្ទុកឡើងបានជោគជ័យ</t>
        </is>
      </c>
      <c r="I56" s="3" t="n"/>
      <c r="J56" s="3">
        <f>IFERROR(__xludf.DUMMYFUNCTION("GOOGLETRANSLATE(B56,""vi"",""lo"")"),"ອັບໂຫຼດສຳເລັດແລ້ວ")</f>
        <v/>
      </c>
      <c r="K56" s="3">
        <f>IF(I56&lt;&gt;"",I56, J56)</f>
        <v/>
      </c>
      <c r="L56" s="3" t="inlineStr">
        <is>
          <t>ផ្ទុកឡើងបានជោគជ័យ</t>
        </is>
      </c>
      <c r="M56" s="3" t="n"/>
      <c r="N56" s="3" t="inlineStr">
        <is>
          <t>"common.uploadSuccess": "Upload successful",</t>
        </is>
      </c>
      <c r="O56" s="3" t="n"/>
      <c r="P56" s="3" t="n"/>
      <c r="Q56" s="3" t="n"/>
      <c r="R56" s="3" t="n"/>
      <c r="S56" s="3" t="n"/>
      <c r="T56" s="3" t="n"/>
      <c r="U56" s="3" t="n"/>
      <c r="V56" s="3" t="n"/>
      <c r="W56" s="3" t="n"/>
      <c r="X56" s="3" t="n"/>
      <c r="Y56" s="3" t="n"/>
      <c r="Z56" s="3" t="n"/>
      <c r="AA56" s="3" t="n"/>
    </row>
    <row r="57">
      <c r="A57" s="3" t="inlineStr">
        <is>
          <t>common.uploading</t>
        </is>
      </c>
      <c r="B57" s="3" t="inlineStr">
        <is>
          <t>Đang tải lên...</t>
        </is>
      </c>
      <c r="C57" s="3" t="inlineStr">
        <is>
          <t>Uploading...</t>
        </is>
      </c>
      <c r="D57" s="3">
        <f>IFERROR(__xludf.DUMMYFUNCTION("GOOGLETRANSLATE(B57,""vi"",""en"")"),"Uploading...")</f>
        <v/>
      </c>
      <c r="E57" s="3">
        <f>IF(C57&lt;&gt;"",C57, D57)</f>
        <v/>
      </c>
      <c r="F57" s="3" t="n"/>
      <c r="G57" s="3">
        <f>IFERROR(__xludf.DUMMYFUNCTION("GOOGLETRANSLATE(B57,""vi"",""km"")"),"កំពុងផ្ទុកឡើង...")</f>
        <v/>
      </c>
      <c r="H57" s="3" t="inlineStr">
        <is>
          <t>កំពុងផ្ទុកឡើង...</t>
        </is>
      </c>
      <c r="I57" s="3" t="n"/>
      <c r="J57" s="3">
        <f>IFERROR(__xludf.DUMMYFUNCTION("GOOGLETRANSLATE(B57,""vi"",""lo"")"),"ກຳລັງອັບໂຫລດ...")</f>
        <v/>
      </c>
      <c r="K57" s="3">
        <f>IF(I57&lt;&gt;"",I57, J57)</f>
        <v/>
      </c>
      <c r="L57" s="3" t="inlineStr">
        <is>
          <t>កំពុងផ្ទុកឡើង...</t>
        </is>
      </c>
      <c r="M57" s="3" t="n"/>
      <c r="N57" s="3" t="inlineStr">
        <is>
          <t>"common.uploading": "Uploading...",</t>
        </is>
      </c>
      <c r="O57" s="3" t="n"/>
      <c r="P57" s="3" t="n"/>
      <c r="Q57" s="3" t="n"/>
      <c r="R57" s="3" t="n"/>
      <c r="S57" s="3" t="n"/>
      <c r="T57" s="3" t="n"/>
      <c r="U57" s="3" t="n"/>
      <c r="V57" s="3" t="n"/>
      <c r="W57" s="3" t="n"/>
      <c r="X57" s="3" t="n"/>
      <c r="Y57" s="3" t="n"/>
      <c r="Z57" s="3" t="n"/>
      <c r="AA57" s="3" t="n"/>
    </row>
    <row r="58">
      <c r="A58" s="3" t="inlineStr">
        <is>
          <t>complaintHanding.title</t>
        </is>
      </c>
      <c r="B58" s="3" t="inlineStr">
        <is>
          <t>Xử lý khiếu nại</t>
        </is>
      </c>
      <c r="C58" s="3" t="inlineStr">
        <is>
          <t>Complaint Processing</t>
        </is>
      </c>
      <c r="D58" s="3">
        <f>IFERROR(__xludf.DUMMYFUNCTION("GOOGLETRANSLATE(B58,""vi"",""en"")"),"Handling complaints")</f>
        <v/>
      </c>
      <c r="E58" s="3">
        <f>IF(C58&lt;&gt;"",C58, D58)</f>
        <v/>
      </c>
      <c r="F58" s="3" t="n"/>
      <c r="G58" s="3">
        <f>IFERROR(__xludf.DUMMYFUNCTION("GOOGLETRANSLATE(B58,""vi"",""km"")"),"ការដោះស្រាយពាក្យបណ្តឹង")</f>
        <v/>
      </c>
      <c r="H58" s="3" t="inlineStr">
        <is>
          <t>ការដោះស្រាយពាក្យបណ្តឹង</t>
        </is>
      </c>
      <c r="I58" s="3" t="n"/>
      <c r="J58" s="3">
        <f>IFERROR(__xludf.DUMMYFUNCTION("GOOGLETRANSLATE(B58,""vi"",""lo"")"),"ການຈັດການຄຳຮ້ອງທຸກ")</f>
        <v/>
      </c>
      <c r="K58" s="3">
        <f>IF(I58&lt;&gt;"",I58, J58)</f>
        <v/>
      </c>
      <c r="L58" s="3" t="inlineStr">
        <is>
          <t>ការដោះស្រាយពាក្យបណ្តឹង</t>
        </is>
      </c>
      <c r="M58" s="3" t="n"/>
      <c r="N58" s="3" t="inlineStr">
        <is>
          <t>"complaintHanding.title": "Complaint Processing",</t>
        </is>
      </c>
      <c r="O58" s="3" t="n"/>
      <c r="P58" s="3" t="n"/>
      <c r="Q58" s="3" t="n"/>
      <c r="R58" s="3" t="n"/>
      <c r="S58" s="3" t="n"/>
      <c r="T58" s="3" t="n"/>
      <c r="U58" s="3" t="n"/>
      <c r="V58" s="3" t="n"/>
      <c r="W58" s="3" t="n"/>
      <c r="X58" s="3" t="n"/>
      <c r="Y58" s="3" t="n"/>
      <c r="Z58" s="3" t="n"/>
      <c r="AA58" s="3" t="n"/>
    </row>
    <row r="59">
      <c r="A59" s="3" t="inlineStr">
        <is>
          <t>complaintManagement.action</t>
        </is>
      </c>
      <c r="B59" s="3" t="inlineStr">
        <is>
          <t>Hành động</t>
        </is>
      </c>
      <c r="C59" s="3" t="inlineStr">
        <is>
          <t>Action</t>
        </is>
      </c>
      <c r="D59" s="3">
        <f>IFERROR(__xludf.DUMMYFUNCTION("GOOGLETRANSLATE(B59,""vi"",""en"")"),"Act")</f>
        <v/>
      </c>
      <c r="E59" s="3">
        <f>IF(C59&lt;&gt;"",C59, D59)</f>
        <v/>
      </c>
      <c r="F59" s="3" t="n"/>
      <c r="G59" s="3">
        <f>IFERROR(__xludf.DUMMYFUNCTION("GOOGLETRANSLATE(B59,""vi"",""km"")"),"ច្បាប់")</f>
        <v/>
      </c>
      <c r="H59" s="3" t="inlineStr">
        <is>
          <t>សកម្មភាព</t>
        </is>
      </c>
      <c r="I59" s="3" t="n"/>
      <c r="J59" s="3">
        <f>IFERROR(__xludf.DUMMYFUNCTION("GOOGLETRANSLATE(B59,""vi"",""lo"")"),"ກົດໝາຍ")</f>
        <v/>
      </c>
      <c r="K59" s="3">
        <f>IF(I59&lt;&gt;"",I59, J59)</f>
        <v/>
      </c>
      <c r="L59" s="3" t="inlineStr">
        <is>
          <t>សកម្មភាព</t>
        </is>
      </c>
      <c r="M59" s="3" t="n"/>
      <c r="N59" s="3" t="inlineStr">
        <is>
          <t>"complaintManagement.action": "Action",</t>
        </is>
      </c>
      <c r="O59" s="3" t="n"/>
      <c r="P59" s="3" t="n"/>
      <c r="Q59" s="3" t="n"/>
      <c r="R59" s="3" t="n"/>
      <c r="S59" s="3" t="n"/>
      <c r="T59" s="3" t="n"/>
      <c r="U59" s="3" t="n"/>
      <c r="V59" s="3" t="n"/>
      <c r="W59" s="3" t="n"/>
      <c r="X59" s="3" t="n"/>
      <c r="Y59" s="3" t="n"/>
      <c r="Z59" s="3" t="n"/>
      <c r="AA59" s="3" t="n"/>
    </row>
    <row r="60">
      <c r="A60" s="3" t="inlineStr">
        <is>
          <t>complaintManagement.allChannels</t>
        </is>
      </c>
      <c r="B60" s="3" t="inlineStr">
        <is>
          <t>Tất cả</t>
        </is>
      </c>
      <c r="C60" s="3" t="inlineStr">
        <is>
          <t>All</t>
        </is>
      </c>
      <c r="D60" s="3">
        <f>IFERROR(__xludf.DUMMYFUNCTION("GOOGLETRANSLATE(B60,""vi"",""en"")"),"All")</f>
        <v/>
      </c>
      <c r="E60" s="3">
        <f>IF(C60&lt;&gt;"",C60, D60)</f>
        <v/>
      </c>
      <c r="F60" s="3" t="n"/>
      <c r="G60" s="3">
        <f>IFERROR(__xludf.DUMMYFUNCTION("GOOGLETRANSLATE(B60,""vi"",""km"")"),"ទាំងអស់")</f>
        <v/>
      </c>
      <c r="H60" s="3" t="inlineStr">
        <is>
          <t>ទាំងអស់</t>
        </is>
      </c>
      <c r="I60" s="3" t="n"/>
      <c r="J60" s="3">
        <f>IFERROR(__xludf.DUMMYFUNCTION("GOOGLETRANSLATE(B60,""vi"",""lo"")"),"ທັງໝົດ")</f>
        <v/>
      </c>
      <c r="K60" s="3">
        <f>IF(I60&lt;&gt;"",I60, J60)</f>
        <v/>
      </c>
      <c r="L60" s="3" t="inlineStr">
        <is>
          <t>ទាំងអស់</t>
        </is>
      </c>
      <c r="M60" s="3" t="n"/>
      <c r="N60" s="3" t="inlineStr">
        <is>
          <t>"complaintManagement.allChannels": "All",</t>
        </is>
      </c>
      <c r="O60" s="3" t="n"/>
      <c r="P60" s="3" t="n"/>
      <c r="Q60" s="3" t="n"/>
      <c r="R60" s="3" t="n"/>
      <c r="S60" s="3" t="n"/>
      <c r="T60" s="3" t="n"/>
      <c r="U60" s="3" t="n"/>
      <c r="V60" s="3" t="n"/>
      <c r="W60" s="3" t="n"/>
      <c r="X60" s="3" t="n"/>
      <c r="Y60" s="3" t="n"/>
      <c r="Z60" s="3" t="n"/>
      <c r="AA60" s="3" t="n"/>
    </row>
    <row r="61">
      <c r="A61" s="3" t="inlineStr">
        <is>
          <t>complaintManagement.allComplaintTypes</t>
        </is>
      </c>
      <c r="B61" s="3" t="inlineStr">
        <is>
          <t>Tất cả</t>
        </is>
      </c>
      <c r="C61" s="3" t="inlineStr">
        <is>
          <t>All</t>
        </is>
      </c>
      <c r="D61" s="3">
        <f>IFERROR(__xludf.DUMMYFUNCTION("GOOGLETRANSLATE(B61,""vi"",""en"")"),"All")</f>
        <v/>
      </c>
      <c r="E61" s="3">
        <f>IF(C61&lt;&gt;"",C61, D61)</f>
        <v/>
      </c>
      <c r="F61" s="3" t="n"/>
      <c r="G61" s="3">
        <f>IFERROR(__xludf.DUMMYFUNCTION("GOOGLETRANSLATE(B61,""vi"",""km"")"),"ទាំងអស់")</f>
        <v/>
      </c>
      <c r="H61" s="3" t="inlineStr">
        <is>
          <t>ទាំងអស់</t>
        </is>
      </c>
      <c r="I61" s="3" t="n"/>
      <c r="J61" s="3">
        <f>IFERROR(__xludf.DUMMYFUNCTION("GOOGLETRANSLATE(B61,""vi"",""lo"")"),"ທັງໝົດ")</f>
        <v/>
      </c>
      <c r="K61" s="3">
        <f>IF(I61&lt;&gt;"",I61, J61)</f>
        <v/>
      </c>
      <c r="L61" s="3" t="inlineStr">
        <is>
          <t>ទាំងអស់</t>
        </is>
      </c>
      <c r="M61" s="3" t="n"/>
      <c r="N61" s="3" t="inlineStr">
        <is>
          <t>"complaintManagement.allComplaintTypes": "All",</t>
        </is>
      </c>
      <c r="O61" s="3" t="n"/>
      <c r="P61" s="3" t="n"/>
      <c r="Q61" s="3" t="n"/>
      <c r="R61" s="3" t="n"/>
      <c r="S61" s="3" t="n"/>
      <c r="T61" s="3" t="n"/>
      <c r="U61" s="3" t="n"/>
      <c r="V61" s="3" t="n"/>
      <c r="W61" s="3" t="n"/>
      <c r="X61" s="3" t="n"/>
      <c r="Y61" s="3" t="n"/>
      <c r="Z61" s="3" t="n"/>
      <c r="AA61" s="3" t="n"/>
    </row>
    <row r="62">
      <c r="A62" s="3" t="inlineStr">
        <is>
          <t>complaintManagement.allLevels</t>
        </is>
      </c>
      <c r="B62" s="3" t="inlineStr">
        <is>
          <t>Tất cả</t>
        </is>
      </c>
      <c r="C62" s="3" t="inlineStr">
        <is>
          <t>All</t>
        </is>
      </c>
      <c r="D62" s="3">
        <f>IFERROR(__xludf.DUMMYFUNCTION("GOOGLETRANSLATE(B62,""vi"",""en"")"),"All")</f>
        <v/>
      </c>
      <c r="E62" s="3">
        <f>IF(C62&lt;&gt;"",C62, D62)</f>
        <v/>
      </c>
      <c r="F62" s="3" t="n"/>
      <c r="G62" s="3">
        <f>IFERROR(__xludf.DUMMYFUNCTION("GOOGLETRANSLATE(B62,""vi"",""km"")"),"ទាំងអស់")</f>
        <v/>
      </c>
      <c r="H62" s="3" t="inlineStr">
        <is>
          <t>ទាំងអស់</t>
        </is>
      </c>
      <c r="I62" s="3" t="n"/>
      <c r="J62" s="3">
        <f>IFERROR(__xludf.DUMMYFUNCTION("GOOGLETRANSLATE(B62,""vi"",""lo"")"),"ທັງໝົດ")</f>
        <v/>
      </c>
      <c r="K62" s="3">
        <f>IF(I62&lt;&gt;"",I62, J62)</f>
        <v/>
      </c>
      <c r="L62" s="3" t="inlineStr">
        <is>
          <t>ទាំងអស់</t>
        </is>
      </c>
      <c r="M62" s="3" t="n"/>
      <c r="N62" s="3" t="inlineStr">
        <is>
          <t>"complaintManagement.allLevels": "All",</t>
        </is>
      </c>
      <c r="O62" s="3" t="n"/>
      <c r="P62" s="3" t="n"/>
      <c r="Q62" s="3" t="n"/>
      <c r="R62" s="3" t="n"/>
      <c r="S62" s="3" t="n"/>
      <c r="T62" s="3" t="n"/>
      <c r="U62" s="3" t="n"/>
      <c r="V62" s="3" t="n"/>
      <c r="W62" s="3" t="n"/>
      <c r="X62" s="3" t="n"/>
      <c r="Y62" s="3" t="n"/>
      <c r="Z62" s="3" t="n"/>
      <c r="AA62" s="3" t="n"/>
    </row>
    <row r="63">
      <c r="A63" s="3" t="inlineStr">
        <is>
          <t>complaintManagement.allStatus</t>
        </is>
      </c>
      <c r="B63" s="3" t="inlineStr">
        <is>
          <t>Tất cả</t>
        </is>
      </c>
      <c r="C63" s="3" t="inlineStr">
        <is>
          <t>All</t>
        </is>
      </c>
      <c r="D63" s="3">
        <f>IFERROR(__xludf.DUMMYFUNCTION("GOOGLETRANSLATE(B63,""vi"",""en"")"),"All")</f>
        <v/>
      </c>
      <c r="E63" s="3">
        <f>IF(C63&lt;&gt;"",C63, D63)</f>
        <v/>
      </c>
      <c r="F63" s="3" t="n"/>
      <c r="G63" s="3">
        <f>IFERROR(__xludf.DUMMYFUNCTION("GOOGLETRANSLATE(B63,""vi"",""km"")"),"ទាំងអស់")</f>
        <v/>
      </c>
      <c r="H63" s="3" t="inlineStr">
        <is>
          <t>ទាំងអស់</t>
        </is>
      </c>
      <c r="I63" s="3" t="n"/>
      <c r="J63" s="3">
        <f>IFERROR(__xludf.DUMMYFUNCTION("GOOGLETRANSLATE(B63,""vi"",""lo"")"),"ທັງໝົດ")</f>
        <v/>
      </c>
      <c r="K63" s="3">
        <f>IF(I63&lt;&gt;"",I63, J63)</f>
        <v/>
      </c>
      <c r="L63" s="3" t="inlineStr">
        <is>
          <t>ទាំងអស់</t>
        </is>
      </c>
      <c r="M63" s="3" t="n"/>
      <c r="N63" s="3" t="inlineStr">
        <is>
          <t>"complaintManagement.allStatus": "All",</t>
        </is>
      </c>
      <c r="O63" s="3" t="n"/>
      <c r="P63" s="3" t="n"/>
      <c r="Q63" s="3" t="n"/>
      <c r="R63" s="3" t="n"/>
      <c r="S63" s="3" t="n"/>
      <c r="T63" s="3" t="n"/>
      <c r="U63" s="3" t="n"/>
      <c r="V63" s="3" t="n"/>
      <c r="W63" s="3" t="n"/>
      <c r="X63" s="3" t="n"/>
      <c r="Y63" s="3" t="n"/>
      <c r="Z63" s="3" t="n"/>
      <c r="AA63" s="3" t="n"/>
    </row>
    <row r="64">
      <c r="A64" s="3" t="inlineStr">
        <is>
          <t>complaintManagement.branch</t>
        </is>
      </c>
      <c r="B64" s="3" t="inlineStr">
        <is>
          <t>Chi nhánh</t>
        </is>
      </c>
      <c r="C64" s="3" t="inlineStr">
        <is>
          <t>Branch</t>
        </is>
      </c>
      <c r="D64" s="3">
        <f>IFERROR(__xludf.DUMMYFUNCTION("GOOGLETRANSLATE(B64,""vi"",""en"")"),"Branch")</f>
        <v/>
      </c>
      <c r="E64" s="3">
        <f>IF(C64&lt;&gt;"",C64, D64)</f>
        <v/>
      </c>
      <c r="F64" s="3" t="n"/>
      <c r="G64" s="3">
        <f>IFERROR(__xludf.DUMMYFUNCTION("GOOGLETRANSLATE(B64,""vi"",""km"")"),"សាខា")</f>
        <v/>
      </c>
      <c r="H64" s="3" t="inlineStr">
        <is>
          <t>សាខា</t>
        </is>
      </c>
      <c r="I64" s="3" t="n"/>
      <c r="J64" s="3">
        <f>IFERROR(__xludf.DUMMYFUNCTION("GOOGLETRANSLATE(B64,""vi"",""lo"")"),"ສາຂາ")</f>
        <v/>
      </c>
      <c r="K64" s="3">
        <f>IF(I64&lt;&gt;"",I64, J64)</f>
        <v/>
      </c>
      <c r="L64" s="3" t="inlineStr">
        <is>
          <t>សាខា</t>
        </is>
      </c>
      <c r="M64" s="3" t="n"/>
      <c r="N64" s="3" t="inlineStr">
        <is>
          <t>"complaintManagement.branch": "Branch",</t>
        </is>
      </c>
      <c r="O64" s="3" t="n"/>
      <c r="P64" s="3" t="n"/>
      <c r="Q64" s="3" t="n"/>
      <c r="R64" s="3" t="n"/>
      <c r="S64" s="3" t="n"/>
      <c r="T64" s="3" t="n"/>
      <c r="U64" s="3" t="n"/>
      <c r="V64" s="3" t="n"/>
      <c r="W64" s="3" t="n"/>
      <c r="X64" s="3" t="n"/>
      <c r="Y64" s="3" t="n"/>
      <c r="Z64" s="3" t="n"/>
      <c r="AA64" s="3" t="n"/>
    </row>
    <row r="65">
      <c r="A65" s="3" t="inlineStr">
        <is>
          <t>complaintManagement.channel</t>
        </is>
      </c>
      <c r="B65" s="3" t="inlineStr">
        <is>
          <t>Kênh tiếp nhận</t>
        </is>
      </c>
      <c r="C65" s="3" t="inlineStr">
        <is>
          <t>Intake Channel</t>
        </is>
      </c>
      <c r="D65" s="3">
        <f>IFERROR(__xludf.DUMMYFUNCTION("GOOGLETRANSLATE(B65,""vi"",""en"")"),"Reception channel")</f>
        <v/>
      </c>
      <c r="E65" s="3">
        <f>IF(C65&lt;&gt;"",C65, D65)</f>
        <v/>
      </c>
      <c r="F65" s="3" t="n"/>
      <c r="G65" s="3">
        <f>IFERROR(__xludf.DUMMYFUNCTION("GOOGLETRANSLATE(B65,""vi"",""km"")"),"ឆានែលទទួលភ្ញៀវ")</f>
        <v/>
      </c>
      <c r="H65" s="3" t="inlineStr">
        <is>
          <t>ឆានែលទទួលភ្ញៀវ</t>
        </is>
      </c>
      <c r="I65" s="3" t="n"/>
      <c r="J65" s="3">
        <f>IFERROR(__xludf.DUMMYFUNCTION("GOOGLETRANSLATE(B65,""vi"",""lo"")"),"ຊ່ອງຮັບ")</f>
        <v/>
      </c>
      <c r="K65" s="3">
        <f>IF(I65&lt;&gt;"",I65, J65)</f>
        <v/>
      </c>
      <c r="L65" s="3" t="inlineStr">
        <is>
          <t>ឆានែលទទួលភ្ញៀវ</t>
        </is>
      </c>
      <c r="M65" s="3" t="n"/>
      <c r="N65" s="3" t="inlineStr">
        <is>
          <t>"complaintManagement.channel": "Intake Channel",</t>
        </is>
      </c>
      <c r="O65" s="3" t="n"/>
      <c r="P65" s="3" t="n"/>
      <c r="Q65" s="3" t="n"/>
      <c r="R65" s="3" t="n"/>
      <c r="S65" s="3" t="n"/>
      <c r="T65" s="3" t="n"/>
      <c r="U65" s="3" t="n"/>
      <c r="V65" s="3" t="n"/>
      <c r="W65" s="3" t="n"/>
      <c r="X65" s="3" t="n"/>
      <c r="Y65" s="3" t="n"/>
      <c r="Z65" s="3" t="n"/>
      <c r="AA65" s="3" t="n"/>
    </row>
    <row r="66">
      <c r="A66" s="3" t="inlineStr">
        <is>
          <t>complaintManagement.complaintCode</t>
        </is>
      </c>
      <c r="B66" s="3" t="inlineStr">
        <is>
          <t>Mã khiếu nại</t>
        </is>
      </c>
      <c r="C66" s="3" t="inlineStr">
        <is>
          <t>Complaint ID</t>
        </is>
      </c>
      <c r="D66" s="3">
        <f>IFERROR(__xludf.DUMMYFUNCTION("GOOGLETRANSLATE(B66,""vi"",""en"")"),"Complaint code")</f>
        <v/>
      </c>
      <c r="E66" s="3">
        <f>IF(C66&lt;&gt;"",C66, D66)</f>
        <v/>
      </c>
      <c r="F66" s="3" t="n"/>
      <c r="G66" s="3">
        <f>IFERROR(__xludf.DUMMYFUNCTION("GOOGLETRANSLATE(B66,""vi"",""km"")"),"លេខកូដពាក្យបណ្តឹង")</f>
        <v/>
      </c>
      <c r="H66" s="3" t="inlineStr">
        <is>
          <t>លេខកូដពាក្យបណ្តឹង</t>
        </is>
      </c>
      <c r="I66" s="3" t="n"/>
      <c r="J66" s="3">
        <f>IFERROR(__xludf.DUMMYFUNCTION("GOOGLETRANSLATE(B66,""vi"",""lo"")"),"ລະຫັດຮ້ອງຮຽນ")</f>
        <v/>
      </c>
      <c r="K66" s="3">
        <f>IF(I66&lt;&gt;"",I66, J66)</f>
        <v/>
      </c>
      <c r="L66" s="3" t="inlineStr">
        <is>
          <t>លេខកូដពាក្យបណ្តឹង</t>
        </is>
      </c>
      <c r="M66" s="3" t="n"/>
      <c r="N66" s="3" t="inlineStr">
        <is>
          <t>"complaintManagement.complaintCode": "Complaint ID",</t>
        </is>
      </c>
      <c r="O66" s="3" t="n"/>
      <c r="P66" s="3" t="n"/>
      <c r="Q66" s="3" t="n"/>
      <c r="R66" s="3" t="n"/>
      <c r="S66" s="3" t="n"/>
      <c r="T66" s="3" t="n"/>
      <c r="U66" s="3" t="n"/>
      <c r="V66" s="3" t="n"/>
      <c r="W66" s="3" t="n"/>
      <c r="X66" s="3" t="n"/>
      <c r="Y66" s="3" t="n"/>
      <c r="Z66" s="3" t="n"/>
      <c r="AA66" s="3" t="n"/>
    </row>
    <row r="67">
      <c r="A67" s="3" t="inlineStr">
        <is>
          <t>complaintManagement.complaintNumber</t>
        </is>
      </c>
      <c r="B67" s="3" t="inlineStr">
        <is>
          <t>Số lần khiếu nại</t>
        </is>
      </c>
      <c r="C67" s="3" t="inlineStr">
        <is>
          <t>Number of Complaints</t>
        </is>
      </c>
      <c r="D67" s="3">
        <f>IFERROR(__xludf.DUMMYFUNCTION("GOOGLETRANSLATE(B67,""vi"",""en"")"),"Number of complaints")</f>
        <v/>
      </c>
      <c r="E67" s="3">
        <f>IF(C67&lt;&gt;"",C67, D67)</f>
        <v/>
      </c>
      <c r="F67" s="3" t="n"/>
      <c r="G67" s="3">
        <f>IFERROR(__xludf.DUMMYFUNCTION("GOOGLETRANSLATE(B67,""vi"",""km"")"),"ចំនួន​ពាក្យ​បណ្តឹង")</f>
        <v/>
      </c>
      <c r="H67" s="3" t="inlineStr">
        <is>
          <t>ចំនួនពាក្យបណ្តឹង</t>
        </is>
      </c>
      <c r="I67" s="3" t="n"/>
      <c r="J67" s="3">
        <f>IFERROR(__xludf.DUMMYFUNCTION("GOOGLETRANSLATE(B67,""vi"",""lo"")"),"ຈຳນວນຄຳຮ້ອງທຸກ")</f>
        <v/>
      </c>
      <c r="K67" s="3">
        <f>IF(I67&lt;&gt;"",I67, J67)</f>
        <v/>
      </c>
      <c r="L67" s="3" t="inlineStr">
        <is>
          <t>ចំនួនពាក្យបណ្តឹង</t>
        </is>
      </c>
      <c r="M67" s="3" t="n"/>
      <c r="N67" s="3" t="inlineStr">
        <is>
          <t>"complaintManagement.complaintNumber": "Number of Complaints",</t>
        </is>
      </c>
      <c r="O67" s="3" t="n"/>
      <c r="P67" s="3" t="n"/>
      <c r="Q67" s="3" t="n"/>
      <c r="R67" s="3" t="n"/>
      <c r="S67" s="3" t="n"/>
      <c r="T67" s="3" t="n"/>
      <c r="U67" s="3" t="n"/>
      <c r="V67" s="3" t="n"/>
      <c r="W67" s="3" t="n"/>
      <c r="X67" s="3" t="n"/>
      <c r="Y67" s="3" t="n"/>
      <c r="Z67" s="3" t="n"/>
      <c r="AA67" s="3" t="n"/>
    </row>
    <row r="68">
      <c r="A68" s="3" t="inlineStr">
        <is>
          <t>complaintManagement.complaintType</t>
        </is>
      </c>
      <c r="B68" s="3" t="inlineStr">
        <is>
          <t>Loại khiếu nại</t>
        </is>
      </c>
      <c r="C68" s="3" t="inlineStr">
        <is>
          <t>Complaint Type</t>
        </is>
      </c>
      <c r="D68" s="3">
        <f>IFERROR(__xludf.DUMMYFUNCTION("GOOGLETRANSLATE(B68,""vi"",""en"")"),"Type of complaint")</f>
        <v/>
      </c>
      <c r="E68" s="3">
        <f>IF(C68&lt;&gt;"",C68, D68)</f>
        <v/>
      </c>
      <c r="F68" s="3" t="n"/>
      <c r="G68" s="3">
        <f>IFERROR(__xludf.DUMMYFUNCTION("GOOGLETRANSLATE(B68,""vi"",""km"")"),"ប្រភេទនៃពាក្យបណ្តឹង")</f>
        <v/>
      </c>
      <c r="H68" s="3" t="inlineStr">
        <is>
          <t>ប្រភេទនៃពាក្យបណ្តឹង</t>
        </is>
      </c>
      <c r="I68" s="3" t="n"/>
      <c r="J68" s="3">
        <f>IFERROR(__xludf.DUMMYFUNCTION("GOOGLETRANSLATE(B68,""vi"",""lo"")"),"ປະເພດຂອງການຮ້ອງຮຽນ")</f>
        <v/>
      </c>
      <c r="K68" s="3">
        <f>IF(I68&lt;&gt;"",I68, J68)</f>
        <v/>
      </c>
      <c r="L68" s="3" t="inlineStr">
        <is>
          <t>ប្រភេទនៃពាក្យបណ្តឹង</t>
        </is>
      </c>
      <c r="M68" s="3" t="n"/>
      <c r="N68" s="3" t="inlineStr">
        <is>
          <t>"complaintManagement.complaintType": "Complaint Type",</t>
        </is>
      </c>
      <c r="O68" s="3" t="n"/>
      <c r="P68" s="3" t="n"/>
      <c r="Q68" s="3" t="n"/>
      <c r="R68" s="3" t="n"/>
      <c r="S68" s="3" t="n"/>
      <c r="T68" s="3" t="n"/>
      <c r="U68" s="3" t="n"/>
      <c r="V68" s="3" t="n"/>
      <c r="W68" s="3" t="n"/>
      <c r="X68" s="3" t="n"/>
      <c r="Y68" s="3" t="n"/>
      <c r="Z68" s="3" t="n"/>
      <c r="AA68" s="3" t="n"/>
    </row>
    <row r="69">
      <c r="A69" s="3" t="inlineStr">
        <is>
          <t>complaintManagement.completionDate</t>
        </is>
      </c>
      <c r="B69" s="3" t="inlineStr">
        <is>
          <t>Ngày hoàn thành</t>
        </is>
      </c>
      <c r="C69" s="3" t="inlineStr">
        <is>
          <t>Completion Date</t>
        </is>
      </c>
      <c r="D69" s="3">
        <f>IFERROR(__xludf.DUMMYFUNCTION("GOOGLETRANSLATE(B69,""vi"",""en"")"),"Completion date")</f>
        <v/>
      </c>
      <c r="E69" s="3">
        <f>IF(C69&lt;&gt;"",C69, D69)</f>
        <v/>
      </c>
      <c r="F69" s="3" t="n"/>
      <c r="G69" s="3">
        <f>IFERROR(__xludf.DUMMYFUNCTION("GOOGLETRANSLATE(B69,""vi"",""km"")"),"កាលបរិច្ឆេទបញ្ចប់")</f>
        <v/>
      </c>
      <c r="H69" s="3" t="inlineStr">
        <is>
          <t>កាលបរិច្ឆេទបញ្ចប់</t>
        </is>
      </c>
      <c r="I69" s="3" t="n"/>
      <c r="J69" s="3">
        <f>IFERROR(__xludf.DUMMYFUNCTION("GOOGLETRANSLATE(B69,""vi"",""lo"")"),"ວັນທີສຳເລັດ")</f>
        <v/>
      </c>
      <c r="K69" s="3">
        <f>IF(I69&lt;&gt;"",I69, J69)</f>
        <v/>
      </c>
      <c r="L69" s="3" t="inlineStr">
        <is>
          <t>កាលបរិច្ឆេទបញ្ចប់</t>
        </is>
      </c>
      <c r="M69" s="3" t="n"/>
      <c r="N69" s="3" t="inlineStr">
        <is>
          <t>"complaintManagement.completionDate": "Completion Date",</t>
        </is>
      </c>
      <c r="O69" s="3" t="n"/>
      <c r="P69" s="3" t="n"/>
      <c r="Q69" s="3" t="n"/>
      <c r="R69" s="3" t="n"/>
      <c r="S69" s="3" t="n"/>
      <c r="T69" s="3" t="n"/>
      <c r="U69" s="3" t="n"/>
      <c r="V69" s="3" t="n"/>
      <c r="W69" s="3" t="n"/>
      <c r="X69" s="3" t="n"/>
      <c r="Y69" s="3" t="n"/>
      <c r="Z69" s="3" t="n"/>
      <c r="AA69" s="3" t="n"/>
    </row>
    <row r="70">
      <c r="A70" s="3" t="inlineStr">
        <is>
          <t>complaintManagement.createComplaint</t>
        </is>
      </c>
      <c r="B70" s="3" t="inlineStr">
        <is>
          <t>Tạo khiếu nại</t>
        </is>
      </c>
      <c r="C70" s="3" t="inlineStr">
        <is>
          <t>Create Complaint</t>
        </is>
      </c>
      <c r="D70" s="3">
        <f>IFERROR(__xludf.DUMMYFUNCTION("GOOGLETRANSLATE(B70,""vi"",""en"")"),"Create a complaint")</f>
        <v/>
      </c>
      <c r="E70" s="3">
        <f>IF(C70&lt;&gt;"",C70, D70)</f>
        <v/>
      </c>
      <c r="F70" s="3" t="n"/>
      <c r="G70" s="3">
        <f>IFERROR(__xludf.DUMMYFUNCTION("GOOGLETRANSLATE(B70,""vi"",""km"")"),"បង្កើតពាក្យបណ្តឹង")</f>
        <v/>
      </c>
      <c r="H70" s="3" t="inlineStr">
        <is>
          <t>បង្កើតពាក្យបណ្តឹង</t>
        </is>
      </c>
      <c r="I70" s="3" t="n"/>
      <c r="J70" s="3">
        <f>IFERROR(__xludf.DUMMYFUNCTION("GOOGLETRANSLATE(B70,""vi"",""lo"")"),"ສ້າງຄຳຮ້ອງທຸກ")</f>
        <v/>
      </c>
      <c r="K70" s="3">
        <f>IF(I70&lt;&gt;"",I70, J70)</f>
        <v/>
      </c>
      <c r="L70" s="3" t="inlineStr">
        <is>
          <t>បង្កើតពាក្យបណ្តឹង</t>
        </is>
      </c>
      <c r="M70" s="3" t="n"/>
      <c r="N70" s="3" t="inlineStr">
        <is>
          <t>"complaintManagement.createComplaint": "Create Complaint",</t>
        </is>
      </c>
      <c r="O70" s="3" t="n"/>
      <c r="P70" s="3" t="n"/>
      <c r="Q70" s="3" t="n"/>
      <c r="R70" s="3" t="n"/>
      <c r="S70" s="3" t="n"/>
      <c r="T70" s="3" t="n"/>
      <c r="U70" s="3" t="n"/>
      <c r="V70" s="3" t="n"/>
      <c r="W70" s="3" t="n"/>
      <c r="X70" s="3" t="n"/>
      <c r="Y70" s="3" t="n"/>
      <c r="Z70" s="3" t="n"/>
      <c r="AA70" s="3" t="n"/>
    </row>
    <row r="71">
      <c r="A71" s="3" t="inlineStr">
        <is>
          <t>complaintManagement.createdAt</t>
        </is>
      </c>
      <c r="B71" s="3" t="inlineStr">
        <is>
          <t>Ngày tạo</t>
        </is>
      </c>
      <c r="C71" s="3" t="inlineStr">
        <is>
          <t>Created Date</t>
        </is>
      </c>
      <c r="D71" s="3">
        <f>IFERROR(__xludf.DUMMYFUNCTION("GOOGLETRANSLATE(B71,""vi"",""en"")"),"Creation date")</f>
        <v/>
      </c>
      <c r="E71" s="3">
        <f>IF(C71&lt;&gt;"",C71, D71)</f>
        <v/>
      </c>
      <c r="F71" s="3" t="n"/>
      <c r="G71" s="3">
        <f>IFERROR(__xludf.DUMMYFUNCTION("GOOGLETRANSLATE(B71,""vi"",""km"")"),"កាលបរិច្ឆេទបង្កើត")</f>
        <v/>
      </c>
      <c r="H71" s="3" t="inlineStr">
        <is>
          <t>កាលបរិច្ឆេទបង្កើត</t>
        </is>
      </c>
      <c r="I71" s="3" t="n"/>
      <c r="J71" s="3">
        <f>IFERROR(__xludf.DUMMYFUNCTION("GOOGLETRANSLATE(B71,""vi"",""lo"")"),"ວັນທີສ້າງ")</f>
        <v/>
      </c>
      <c r="K71" s="3">
        <f>IF(I71&lt;&gt;"",I71, J71)</f>
        <v/>
      </c>
      <c r="L71" s="3" t="inlineStr">
        <is>
          <t>កាលបរិច្ឆេទបង្កើត</t>
        </is>
      </c>
      <c r="M71" s="3" t="n"/>
      <c r="N71" s="3" t="inlineStr">
        <is>
          <t>"complaintManagement.createdAt": "Created Date",</t>
        </is>
      </c>
      <c r="O71" s="3" t="n"/>
      <c r="P71" s="3" t="n"/>
      <c r="Q71" s="3" t="n"/>
      <c r="R71" s="3" t="n"/>
      <c r="S71" s="3" t="n"/>
      <c r="T71" s="3" t="n"/>
      <c r="U71" s="3" t="n"/>
      <c r="V71" s="3" t="n"/>
      <c r="W71" s="3" t="n"/>
      <c r="X71" s="3" t="n"/>
      <c r="Y71" s="3" t="n"/>
      <c r="Z71" s="3" t="n"/>
      <c r="AA71" s="3" t="n"/>
    </row>
    <row r="72">
      <c r="A72" s="3" t="inlineStr">
        <is>
          <t>complaintManagement.creationTime</t>
        </is>
      </c>
      <c r="B72" s="3" t="inlineStr">
        <is>
          <t>Thời gian tạo</t>
        </is>
      </c>
      <c r="C72" s="3" t="inlineStr">
        <is>
          <t>Created Time</t>
        </is>
      </c>
      <c r="D72" s="3">
        <f>IFERROR(__xludf.DUMMYFUNCTION("GOOGLETRANSLATE(B72,""vi"",""en"")"),"Creation time")</f>
        <v/>
      </c>
      <c r="E72" s="3">
        <f>IF(C72&lt;&gt;"",C72, D72)</f>
        <v/>
      </c>
      <c r="F72" s="3" t="n"/>
      <c r="G72" s="3">
        <f>IFERROR(__xludf.DUMMYFUNCTION("GOOGLETRANSLATE(B72,""vi"",""km"")"),"ពេលវេលាបង្កើត")</f>
        <v/>
      </c>
      <c r="H72" s="3" t="inlineStr">
        <is>
          <t>ពេលវេលាបង្កើត</t>
        </is>
      </c>
      <c r="I72" s="3" t="n"/>
      <c r="J72" s="3">
        <f>IFERROR(__xludf.DUMMYFUNCTION("GOOGLETRANSLATE(B72,""vi"",""lo"")"),"ເວລາສ້າງ")</f>
        <v/>
      </c>
      <c r="K72" s="3">
        <f>IF(I72&lt;&gt;"",I72, J72)</f>
        <v/>
      </c>
      <c r="L72" s="3" t="inlineStr">
        <is>
          <t>ពេលវេលាបង្កើត</t>
        </is>
      </c>
      <c r="M72" s="3" t="n"/>
      <c r="N72" s="3" t="inlineStr">
        <is>
          <t>"complaintManagement.creationTime": "Created Time",</t>
        </is>
      </c>
      <c r="O72" s="3" t="n"/>
      <c r="P72" s="3" t="n"/>
      <c r="Q72" s="3" t="n"/>
      <c r="R72" s="3" t="n"/>
      <c r="S72" s="3" t="n"/>
      <c r="T72" s="3" t="n"/>
      <c r="U72" s="3" t="n"/>
      <c r="V72" s="3" t="n"/>
      <c r="W72" s="3" t="n"/>
      <c r="X72" s="3" t="n"/>
      <c r="Y72" s="3" t="n"/>
      <c r="Z72" s="3" t="n"/>
      <c r="AA72" s="3" t="n"/>
    </row>
    <row r="73">
      <c r="A73" s="3" t="inlineStr">
        <is>
          <t>complaintManagement.deadline</t>
        </is>
      </c>
      <c r="B73" s="3" t="inlineStr">
        <is>
          <t>Hạn xử lý</t>
        </is>
      </c>
      <c r="C73" s="3" t="inlineStr">
        <is>
          <t>Processing Deadline</t>
        </is>
      </c>
      <c r="D73" s="3">
        <f>IFERROR(__xludf.DUMMYFUNCTION("GOOGLETRANSLATE(B73,""vi"",""en"")"),"Processing deadline")</f>
        <v/>
      </c>
      <c r="E73" s="3">
        <f>IF(C73&lt;&gt;"",C73, D73)</f>
        <v/>
      </c>
      <c r="F73" s="3" t="n"/>
      <c r="G73" s="3">
        <f>IFERROR(__xludf.DUMMYFUNCTION("GOOGLETRANSLATE(B73,""vi"",""km"")"),"ថ្ងៃផុតកំណត់ដំណើរការ")</f>
        <v/>
      </c>
      <c r="H73" s="3" t="inlineStr">
        <is>
          <t>ថ្ងៃផុតកំណត់ដំណើរការ</t>
        </is>
      </c>
      <c r="I73" s="3" t="n"/>
      <c r="J73" s="3">
        <f>IFERROR(__xludf.DUMMYFUNCTION("GOOGLETRANSLATE(B73,""vi"",""lo"")"),"ກຳນົດເວລາການປະມວນຜົນ")</f>
        <v/>
      </c>
      <c r="K73" s="3">
        <f>IF(I73&lt;&gt;"",I73, J73)</f>
        <v/>
      </c>
      <c r="L73" s="3" t="inlineStr">
        <is>
          <t>ថ្ងៃផុតកំណត់ដំណើរការ</t>
        </is>
      </c>
      <c r="M73" s="3" t="n"/>
      <c r="N73" s="3" t="inlineStr">
        <is>
          <t>"complaintManagement.deadline": "Processing Deadline",</t>
        </is>
      </c>
      <c r="O73" s="3" t="n"/>
      <c r="P73" s="3" t="n"/>
      <c r="Q73" s="3" t="n"/>
      <c r="R73" s="3" t="n"/>
      <c r="S73" s="3" t="n"/>
      <c r="T73" s="3" t="n"/>
      <c r="U73" s="3" t="n"/>
      <c r="V73" s="3" t="n"/>
      <c r="W73" s="3" t="n"/>
      <c r="X73" s="3" t="n"/>
      <c r="Y73" s="3" t="n"/>
      <c r="Z73" s="3" t="n"/>
      <c r="AA73" s="3" t="n"/>
    </row>
    <row r="74">
      <c r="A74" s="3" t="inlineStr">
        <is>
          <t>complaintManagement.description</t>
        </is>
      </c>
      <c r="B74" s="3" t="inlineStr">
        <is>
          <t>Mô tả</t>
        </is>
      </c>
      <c r="C74" s="3" t="inlineStr">
        <is>
          <t>Description</t>
        </is>
      </c>
      <c r="D74" s="3">
        <f>IFERROR(__xludf.DUMMYFUNCTION("GOOGLETRANSLATE(B74,""vi"",""en"")"),"Describe")</f>
        <v/>
      </c>
      <c r="E74" s="3">
        <f>IF(C74&lt;&gt;"",C74, D74)</f>
        <v/>
      </c>
      <c r="F74" s="3" t="n"/>
      <c r="G74" s="3">
        <f>IFERROR(__xludf.DUMMYFUNCTION("GOOGLETRANSLATE(B74,""vi"",""km"")"),"ពិពណ៌នា")</f>
        <v/>
      </c>
      <c r="H74" s="3" t="inlineStr">
        <is>
          <t>ការពិពណ៌នា</t>
        </is>
      </c>
      <c r="I74" s="3" t="n"/>
      <c r="J74" s="3">
        <f>IFERROR(__xludf.DUMMYFUNCTION("GOOGLETRANSLATE(B74,""vi"",""lo"")"),"ອະທິບາຍ")</f>
        <v/>
      </c>
      <c r="K74" s="3">
        <f>IF(I74&lt;&gt;"",I74, J74)</f>
        <v/>
      </c>
      <c r="L74" s="3" t="inlineStr">
        <is>
          <t>ការពិពណ៌នា</t>
        </is>
      </c>
      <c r="M74" s="3" t="n"/>
      <c r="N74" s="3" t="inlineStr">
        <is>
          <t>"complaintManagement.description": "Description",</t>
        </is>
      </c>
      <c r="O74" s="3" t="n"/>
      <c r="P74" s="3" t="n"/>
      <c r="Q74" s="3" t="n"/>
      <c r="R74" s="3" t="n"/>
      <c r="S74" s="3" t="n"/>
      <c r="T74" s="3" t="n"/>
      <c r="U74" s="3" t="n"/>
      <c r="V74" s="3" t="n"/>
      <c r="W74" s="3" t="n"/>
      <c r="X74" s="3" t="n"/>
      <c r="Y74" s="3" t="n"/>
      <c r="Z74" s="3" t="n"/>
      <c r="AA74" s="3" t="n"/>
    </row>
    <row r="75">
      <c r="A75" s="3" t="inlineStr">
        <is>
          <t>complaintManagement.lateTime</t>
        </is>
      </c>
      <c r="B75" s="3" t="inlineStr">
        <is>
          <t>Thời gian chậm</t>
        </is>
      </c>
      <c r="C75" s="3" t="inlineStr">
        <is>
          <t>Delay Duration</t>
        </is>
      </c>
      <c r="D75" s="3">
        <f>IFERROR(__xludf.DUMMYFUNCTION("GOOGLETRANSLATE(B75,""vi"",""en"")"),"Delayed time")</f>
        <v/>
      </c>
      <c r="E75" s="3">
        <f>IF(C75&lt;&gt;"",C75, D75)</f>
        <v/>
      </c>
      <c r="F75" s="3" t="n"/>
      <c r="G75" s="3">
        <f>IFERROR(__xludf.DUMMYFUNCTION("GOOGLETRANSLATE(B75,""vi"",""km"")"),"ពេលវេលាពន្យារពេល")</f>
        <v/>
      </c>
      <c r="H75" s="3" t="inlineStr">
        <is>
          <t>ពេលវេលាពន្យារពេល</t>
        </is>
      </c>
      <c r="I75" s="3" t="n"/>
      <c r="J75" s="3">
        <f>IFERROR(__xludf.DUMMYFUNCTION("GOOGLETRANSLATE(B75,""vi"",""lo"")"),"ເວລາຊັກຊ້າ")</f>
        <v/>
      </c>
      <c r="K75" s="3">
        <f>IF(I75&lt;&gt;"",I75, J75)</f>
        <v/>
      </c>
      <c r="L75" s="3" t="inlineStr">
        <is>
          <t>ពេលវេលាពន្យារពេល</t>
        </is>
      </c>
      <c r="M75" s="3" t="n"/>
      <c r="N75" s="3" t="inlineStr">
        <is>
          <t>"complaintManagement.lateTime": "Delay Duration",</t>
        </is>
      </c>
      <c r="O75" s="3" t="n"/>
      <c r="P75" s="3" t="n"/>
      <c r="Q75" s="3" t="n"/>
      <c r="R75" s="3" t="n"/>
      <c r="S75" s="3" t="n"/>
      <c r="T75" s="3" t="n"/>
      <c r="U75" s="3" t="n"/>
      <c r="V75" s="3" t="n"/>
      <c r="W75" s="3" t="n"/>
      <c r="X75" s="3" t="n"/>
      <c r="Y75" s="3" t="n"/>
      <c r="Z75" s="3" t="n"/>
      <c r="AA75" s="3" t="n"/>
    </row>
    <row r="76">
      <c r="A76" s="3" t="inlineStr">
        <is>
          <t>complaintManagement.level</t>
        </is>
      </c>
      <c r="B76" s="3" t="inlineStr">
        <is>
          <t>Hạn xử lý</t>
        </is>
      </c>
      <c r="C76" s="3" t="inlineStr">
        <is>
          <t>Processing Deadline</t>
        </is>
      </c>
      <c r="D76" s="3">
        <f>IFERROR(__xludf.DUMMYFUNCTION("GOOGLETRANSLATE(B76,""vi"",""en"")"),"Processing deadline")</f>
        <v/>
      </c>
      <c r="E76" s="3">
        <f>IF(C76&lt;&gt;"",C76, D76)</f>
        <v/>
      </c>
      <c r="F76" s="3" t="n"/>
      <c r="G76" s="3">
        <f>IFERROR(__xludf.DUMMYFUNCTION("GOOGLETRANSLATE(B76,""vi"",""km"")"),"ថ្ងៃផុតកំណត់ដំណើរការ")</f>
        <v/>
      </c>
      <c r="H76" s="3" t="inlineStr">
        <is>
          <t>ថ្ងៃផុតកំណត់ដំណើរការ</t>
        </is>
      </c>
      <c r="I76" s="3" t="n"/>
      <c r="J76" s="3">
        <f>IFERROR(__xludf.DUMMYFUNCTION("GOOGLETRANSLATE(B76,""vi"",""lo"")"),"ກຳນົດເວລາການປະມວນຜົນ")</f>
        <v/>
      </c>
      <c r="K76" s="3">
        <f>IF(I76&lt;&gt;"",I76, J76)</f>
        <v/>
      </c>
      <c r="L76" s="3" t="inlineStr">
        <is>
          <t>ថ្ងៃផុតកំណត់ដំណើរការ</t>
        </is>
      </c>
      <c r="M76" s="3" t="n"/>
      <c r="N76" s="3" t="inlineStr">
        <is>
          <t>"complaintManagement.level": "Processing Deadline",</t>
        </is>
      </c>
      <c r="O76" s="3" t="n"/>
      <c r="P76" s="3" t="n"/>
      <c r="Q76" s="3" t="n"/>
      <c r="R76" s="3" t="n"/>
      <c r="S76" s="3" t="n"/>
      <c r="T76" s="3" t="n"/>
      <c r="U76" s="3" t="n"/>
      <c r="V76" s="3" t="n"/>
      <c r="W76" s="3" t="n"/>
      <c r="X76" s="3" t="n"/>
      <c r="Y76" s="3" t="n"/>
      <c r="Z76" s="3" t="n"/>
      <c r="AA76" s="3" t="n"/>
    </row>
    <row r="77">
      <c r="A77" s="23" t="inlineStr">
        <is>
          <t>complaintManagement.name</t>
        </is>
      </c>
      <c r="B77" s="3" t="inlineStr">
        <is>
          <t>Tên khiếu nại</t>
        </is>
      </c>
      <c r="C77" s="3" t="inlineStr">
        <is>
          <t>Complaint Name</t>
        </is>
      </c>
      <c r="D77" s="3">
        <f>IFERROR(__xludf.DUMMYFUNCTION("GOOGLETRANSLATE(B77,""vi"",""en"")"),"Name of the complaint")</f>
        <v/>
      </c>
      <c r="E77" s="3">
        <f>IF(C77&lt;&gt;"",C77, D77)</f>
        <v/>
      </c>
      <c r="F77" s="3" t="n"/>
      <c r="G77" s="3">
        <f>IFERROR(__xludf.DUMMYFUNCTION("GOOGLETRANSLATE(B77,""vi"",""km"")"),"ឈ្មោះ​នៃ​ពាក្យ​បណ្តឹង")</f>
        <v/>
      </c>
      <c r="H77" s="3" t="inlineStr">
        <is>
          <t>ឈ្មោះនៃពាក្យបណ្តឹង</t>
        </is>
      </c>
      <c r="I77" s="3" t="n"/>
      <c r="J77" s="3">
        <f>IFERROR(__xludf.DUMMYFUNCTION("GOOGLETRANSLATE(B77,""vi"",""lo"")"),"ຊື່ຂອງການຮ້ອງຮຽນ")</f>
        <v/>
      </c>
      <c r="K77" s="3">
        <f>IF(I77&lt;&gt;"",I77, J77)</f>
        <v/>
      </c>
      <c r="L77" s="3" t="inlineStr">
        <is>
          <t>ឈ្មោះនៃពាក្យបណ្តឹង</t>
        </is>
      </c>
      <c r="M77" s="3" t="n"/>
      <c r="N77" s="3" t="inlineStr">
        <is>
          <t>"complaintManagement.name": "Complaint Name",</t>
        </is>
      </c>
      <c r="O77" s="3" t="n"/>
      <c r="P77" s="3" t="n"/>
      <c r="Q77" s="3" t="n"/>
      <c r="R77" s="3" t="n"/>
      <c r="S77" s="3" t="n"/>
      <c r="T77" s="3" t="n"/>
      <c r="U77" s="3" t="n"/>
      <c r="V77" s="3" t="n"/>
      <c r="W77" s="3" t="n"/>
      <c r="X77" s="3" t="n"/>
      <c r="Y77" s="3" t="n"/>
      <c r="Z77" s="3" t="n"/>
      <c r="AA77" s="3" t="n"/>
    </row>
    <row r="78">
      <c r="A78" s="3" t="inlineStr">
        <is>
          <t>complaintManagement.placeholderBranch</t>
        </is>
      </c>
      <c r="B78" s="3" t="inlineStr">
        <is>
          <t>Chọn chi nhánh</t>
        </is>
      </c>
      <c r="C78" s="3" t="inlineStr">
        <is>
          <t>Select branch</t>
        </is>
      </c>
      <c r="D78" s="3">
        <f>IFERROR(__xludf.DUMMYFUNCTION("GOOGLETRANSLATE(B78,""vi"",""en"")"),"Select a branch")</f>
        <v/>
      </c>
      <c r="E78" s="3">
        <f>IF(C78&lt;&gt;"",C78, D78)</f>
        <v/>
      </c>
      <c r="F78" s="3" t="n"/>
      <c r="G78" s="3">
        <f>IFERROR(__xludf.DUMMYFUNCTION("GOOGLETRANSLATE(B78,""vi"",""km"")"),"ជ្រើសរើសសាខាមួយ")</f>
        <v/>
      </c>
      <c r="H78" s="3" t="inlineStr">
        <is>
          <t>ជ្រើសរើសសាខាមួយ</t>
        </is>
      </c>
      <c r="I78" s="3" t="n"/>
      <c r="J78" s="3">
        <f>IFERROR(__xludf.DUMMYFUNCTION("GOOGLETRANSLATE(B78,""vi"",""lo"")"),"ເລືອກສາຂາ")</f>
        <v/>
      </c>
      <c r="K78" s="3">
        <f>IF(I78&lt;&gt;"",I78, J78)</f>
        <v/>
      </c>
      <c r="L78" s="3" t="inlineStr">
        <is>
          <t>ជ្រើសរើសសាខាមួយ</t>
        </is>
      </c>
      <c r="M78" s="3" t="n"/>
      <c r="N78" s="3" t="inlineStr">
        <is>
          <t>"complaintManagement.placeholderBranch": "Select branch",</t>
        </is>
      </c>
      <c r="O78" s="3" t="n"/>
      <c r="P78" s="3" t="n"/>
      <c r="Q78" s="3" t="n"/>
      <c r="R78" s="3" t="n"/>
      <c r="S78" s="3" t="n"/>
      <c r="T78" s="3" t="n"/>
      <c r="U78" s="3" t="n"/>
      <c r="V78" s="3" t="n"/>
      <c r="W78" s="3" t="n"/>
      <c r="X78" s="3" t="n"/>
      <c r="Y78" s="3" t="n"/>
      <c r="Z78" s="3" t="n"/>
      <c r="AA78" s="3" t="n"/>
    </row>
    <row r="79">
      <c r="A79" s="3" t="inlineStr">
        <is>
          <t>complaintManagement.placeholderChannel</t>
        </is>
      </c>
      <c r="B79" s="3" t="inlineStr">
        <is>
          <t>Chọn kênh tiếp nhận</t>
        </is>
      </c>
      <c r="C79" s="3" t="inlineStr">
        <is>
          <t>Select intake channel</t>
        </is>
      </c>
      <c r="D79" s="3">
        <f>IFERROR(__xludf.DUMMYFUNCTION("GOOGLETRANSLATE(B79,""vi"",""en"")"),"Select the receiving channel")</f>
        <v/>
      </c>
      <c r="E79" s="3">
        <f>IF(C79&lt;&gt;"",C79, D79)</f>
        <v/>
      </c>
      <c r="F79" s="3" t="n"/>
      <c r="G79" s="3">
        <f>IFERROR(__xludf.DUMMYFUNCTION("GOOGLETRANSLATE(B79,""vi"",""km"")"),"ជ្រើសរើសឆានែលទទួល")</f>
        <v/>
      </c>
      <c r="H79" s="3" t="inlineStr">
        <is>
          <t>ជ្រើសរើសឆានែលទទួល</t>
        </is>
      </c>
      <c r="I79" s="3" t="n"/>
      <c r="J79" s="3">
        <f>IFERROR(__xludf.DUMMYFUNCTION("GOOGLETRANSLATE(B79,""vi"",""lo"")"),"ເລືອກຊ່ອງທາງຮັບ")</f>
        <v/>
      </c>
      <c r="K79" s="3">
        <f>IF(I79&lt;&gt;"",I79, J79)</f>
        <v/>
      </c>
      <c r="L79" s="3" t="inlineStr">
        <is>
          <t>ជ្រើសរើសឆានែលទទួល</t>
        </is>
      </c>
      <c r="M79" s="3" t="n"/>
      <c r="N79" s="3" t="inlineStr">
        <is>
          <t>"complaintManagement.placeholderChannel": "Select intake channel",</t>
        </is>
      </c>
      <c r="O79" s="3" t="n"/>
      <c r="P79" s="3" t="n"/>
      <c r="Q79" s="3" t="n"/>
      <c r="R79" s="3" t="n"/>
      <c r="S79" s="3" t="n"/>
      <c r="T79" s="3" t="n"/>
      <c r="U79" s="3" t="n"/>
      <c r="V79" s="3" t="n"/>
      <c r="W79" s="3" t="n"/>
      <c r="X79" s="3" t="n"/>
      <c r="Y79" s="3" t="n"/>
      <c r="Z79" s="3" t="n"/>
      <c r="AA79" s="3" t="n"/>
    </row>
    <row r="80">
      <c r="A80" s="3" t="inlineStr">
        <is>
          <t>complaintManagement.placeholderComplaintNumber</t>
        </is>
      </c>
      <c r="B80" s="3" t="inlineStr">
        <is>
          <t>Nhập số lần khiếu nại</t>
        </is>
      </c>
      <c r="C80" s="3" t="inlineStr">
        <is>
          <t>Enter number of complaints</t>
        </is>
      </c>
      <c r="D80" s="3">
        <f>IFERROR(__xludf.DUMMYFUNCTION("GOOGLETRANSLATE(B80,""vi"",""en"")"),"Enter the number of complaints")</f>
        <v/>
      </c>
      <c r="E80" s="3">
        <f>IF(C80&lt;&gt;"",C80, D80)</f>
        <v/>
      </c>
      <c r="F80" s="3" t="n"/>
      <c r="G80" s="3">
        <f>IFERROR(__xludf.DUMMYFUNCTION("GOOGLETRANSLATE(B80,""vi"",""km"")"),"បញ្ចូលចំនួនពាក្យបណ្តឹង")</f>
        <v/>
      </c>
      <c r="H80" s="3" t="inlineStr">
        <is>
          <t>បញ្ចូលចំនួនពាក្យបណ្តឹង</t>
        </is>
      </c>
      <c r="I80" s="3" t="n"/>
      <c r="J80" s="3">
        <f>IFERROR(__xludf.DUMMYFUNCTION("GOOGLETRANSLATE(B80,""vi"",""lo"")"),"ໃສ່ຈຳນວນຄຳຮ້ອງທຸກ")</f>
        <v/>
      </c>
      <c r="K80" s="3">
        <f>IF(I80&lt;&gt;"",I80, J80)</f>
        <v/>
      </c>
      <c r="L80" s="3" t="inlineStr">
        <is>
          <t>បញ្ចូលចំនួនពាក្យបណ្តឹង</t>
        </is>
      </c>
      <c r="M80" s="3" t="n"/>
      <c r="N80" s="3" t="inlineStr">
        <is>
          <t>"complaintManagement.placeholderComplaintNumber": "Enter number of complaints",</t>
        </is>
      </c>
      <c r="O80" s="3" t="n"/>
      <c r="P80" s="3" t="n"/>
      <c r="Q80" s="3" t="n"/>
      <c r="R80" s="3" t="n"/>
      <c r="S80" s="3" t="n"/>
      <c r="T80" s="3" t="n"/>
      <c r="U80" s="3" t="n"/>
      <c r="V80" s="3" t="n"/>
      <c r="W80" s="3" t="n"/>
      <c r="X80" s="3" t="n"/>
      <c r="Y80" s="3" t="n"/>
      <c r="Z80" s="3" t="n"/>
      <c r="AA80" s="3" t="n"/>
    </row>
    <row r="81">
      <c r="A81" s="3" t="inlineStr">
        <is>
          <t>complaintManagement.placeholderComplaintType</t>
        </is>
      </c>
      <c r="B81" s="3" t="inlineStr">
        <is>
          <t>Chọn loại khiếu nại</t>
        </is>
      </c>
      <c r="C81" s="3" t="inlineStr">
        <is>
          <t>Select complaint type</t>
        </is>
      </c>
      <c r="D81" s="3">
        <f>IFERROR(__xludf.DUMMYFUNCTION("GOOGLETRANSLATE(B81,""vi"",""en"")"),"Select the type of complaint")</f>
        <v/>
      </c>
      <c r="E81" s="3">
        <f>IF(C81&lt;&gt;"",C81, D81)</f>
        <v/>
      </c>
      <c r="F81" s="3" t="n"/>
      <c r="G81" s="3">
        <f>IFERROR(__xludf.DUMMYFUNCTION("GOOGLETRANSLATE(B81,""vi"",""km"")"),"ជ្រើសរើសប្រភេទពាក្យបណ្តឹង")</f>
        <v/>
      </c>
      <c r="H81" s="3" t="inlineStr">
        <is>
          <t>ជ្រើសរើសប្រភេទពាក្យបណ្តឹង</t>
        </is>
      </c>
      <c r="I81" s="3" t="n"/>
      <c r="J81" s="3">
        <f>IFERROR(__xludf.DUMMYFUNCTION("GOOGLETRANSLATE(B81,""vi"",""lo"")"),"ເລືອກປະເພດການຮ້ອງຮຽນ")</f>
        <v/>
      </c>
      <c r="K81" s="3">
        <f>IF(I81&lt;&gt;"",I81, J81)</f>
        <v/>
      </c>
      <c r="L81" s="3" t="inlineStr">
        <is>
          <t>ជ្រើសរើសប្រភេទពាក្យបណ្តឹង</t>
        </is>
      </c>
      <c r="M81" s="3" t="n"/>
      <c r="N81" s="3" t="inlineStr">
        <is>
          <t>"complaintManagement.placeholderComplaintType": "Select complaint type",</t>
        </is>
      </c>
      <c r="O81" s="3" t="n"/>
      <c r="P81" s="3" t="n"/>
      <c r="Q81" s="3" t="n"/>
      <c r="R81" s="3" t="n"/>
      <c r="S81" s="3" t="n"/>
      <c r="T81" s="3" t="n"/>
      <c r="U81" s="3" t="n"/>
      <c r="V81" s="3" t="n"/>
      <c r="W81" s="3" t="n"/>
      <c r="X81" s="3" t="n"/>
      <c r="Y81" s="3" t="n"/>
      <c r="Z81" s="3" t="n"/>
      <c r="AA81" s="3" t="n"/>
    </row>
    <row r="82">
      <c r="A82" s="3" t="inlineStr">
        <is>
          <t>complaintManagement.placeholderCompletionDate</t>
        </is>
      </c>
      <c r="B82" s="3" t="inlineStr">
        <is>
          <t>Chọn ngày hoàn thành</t>
        </is>
      </c>
      <c r="C82" s="3" t="inlineStr">
        <is>
          <t>Select completion date</t>
        </is>
      </c>
      <c r="D82" s="3">
        <f>IFERROR(__xludf.DUMMYFUNCTION("GOOGLETRANSLATE(B82,""vi"",""en"")"),"Select completion date")</f>
        <v/>
      </c>
      <c r="E82" s="3">
        <f>IF(C82&lt;&gt;"",C82, D82)</f>
        <v/>
      </c>
      <c r="F82" s="3" t="n"/>
      <c r="G82" s="3">
        <f>IFERROR(__xludf.DUMMYFUNCTION("GOOGLETRANSLATE(B82,""vi"",""km"")"),"ជ្រើសរើសកាលបរិច្ឆេទបញ្ចប់")</f>
        <v/>
      </c>
      <c r="H82" s="3" t="inlineStr">
        <is>
          <t>ជ្រើសរើសកាលបរិច្ឆេទបញ្ចប់</t>
        </is>
      </c>
      <c r="I82" s="3" t="n"/>
      <c r="J82" s="3">
        <f>IFERROR(__xludf.DUMMYFUNCTION("GOOGLETRANSLATE(B82,""vi"",""lo"")"),"ເລືອກວັນທີສຳເລັດ")</f>
        <v/>
      </c>
      <c r="K82" s="3">
        <f>IF(I82&lt;&gt;"",I82, J82)</f>
        <v/>
      </c>
      <c r="L82" s="3" t="inlineStr">
        <is>
          <t>ជ្រើសរើសកាលបរិច្ឆេទបញ្ចប់</t>
        </is>
      </c>
      <c r="M82" s="3" t="n"/>
      <c r="N82" s="3" t="inlineStr">
        <is>
          <t>"complaintManagement.placeholderCompletionDate": "Select completion date",</t>
        </is>
      </c>
      <c r="O82" s="3" t="n"/>
      <c r="P82" s="3" t="n"/>
      <c r="Q82" s="3" t="n"/>
      <c r="R82" s="3" t="n"/>
      <c r="S82" s="3" t="n"/>
      <c r="T82" s="3" t="n"/>
      <c r="U82" s="3" t="n"/>
      <c r="V82" s="3" t="n"/>
      <c r="W82" s="3" t="n"/>
      <c r="X82" s="3" t="n"/>
      <c r="Y82" s="3" t="n"/>
      <c r="Z82" s="3" t="n"/>
      <c r="AA82" s="3" t="n"/>
    </row>
    <row r="83">
      <c r="A83" s="3" t="inlineStr">
        <is>
          <t>complaintManagement.placeholderCreationTime</t>
        </is>
      </c>
      <c r="B83" s="3" t="inlineStr">
        <is>
          <t>Chọn thời gian tạo</t>
        </is>
      </c>
      <c r="C83" s="3" t="inlineStr">
        <is>
          <t>Select created time</t>
        </is>
      </c>
      <c r="D83" s="3">
        <f>IFERROR(__xludf.DUMMYFUNCTION("GOOGLETRANSLATE(B83,""vi"",""en"")"),"Select creation time")</f>
        <v/>
      </c>
      <c r="E83" s="3">
        <f>IF(C83&lt;&gt;"",C83, D83)</f>
        <v/>
      </c>
      <c r="F83" s="3" t="n"/>
      <c r="G83" s="3">
        <f>IFERROR(__xludf.DUMMYFUNCTION("GOOGLETRANSLATE(B83,""vi"",""km"")"),"ជ្រើសរើសពេលវេលាបង្កើត")</f>
        <v/>
      </c>
      <c r="H83" s="3" t="inlineStr">
        <is>
          <t>ជ្រើសរើសពេលវេលាបង្កើត</t>
        </is>
      </c>
      <c r="I83" s="3" t="n"/>
      <c r="J83" s="3">
        <f>IFERROR(__xludf.DUMMYFUNCTION("GOOGLETRANSLATE(B83,""vi"",""lo"")"),"ເລືອກເວລາສ້າງ")</f>
        <v/>
      </c>
      <c r="K83" s="3">
        <f>IF(I83&lt;&gt;"",I83, J83)</f>
        <v/>
      </c>
      <c r="L83" s="3" t="inlineStr">
        <is>
          <t>ជ្រើសរើសពេលវេលាបង្កើត</t>
        </is>
      </c>
      <c r="M83" s="3" t="n"/>
      <c r="N83" s="3" t="inlineStr">
        <is>
          <t>"complaintManagement.placeholderCreationTime": "Select created time",</t>
        </is>
      </c>
      <c r="O83" s="3" t="n"/>
      <c r="P83" s="3" t="n"/>
      <c r="Q83" s="3" t="n"/>
      <c r="R83" s="3" t="n"/>
      <c r="S83" s="3" t="n"/>
      <c r="T83" s="3" t="n"/>
      <c r="U83" s="3" t="n"/>
      <c r="V83" s="3" t="n"/>
      <c r="W83" s="3" t="n"/>
      <c r="X83" s="3" t="n"/>
      <c r="Y83" s="3" t="n"/>
      <c r="Z83" s="3" t="n"/>
      <c r="AA83" s="3" t="n"/>
    </row>
    <row r="84">
      <c r="A84" s="3" t="inlineStr">
        <is>
          <t>complaintManagement.placeholderLevel</t>
        </is>
      </c>
      <c r="B84" s="3" t="inlineStr">
        <is>
          <t>Chọn hạn xử lý</t>
        </is>
      </c>
      <c r="C84" s="3" t="inlineStr">
        <is>
          <t>Select processing deadline</t>
        </is>
      </c>
      <c r="D84" s="3">
        <f>IFERROR(__xludf.DUMMYFUNCTION("GOOGLETRANSLATE(B84,""vi"",""en"")"),"Select processing time")</f>
        <v/>
      </c>
      <c r="E84" s="3">
        <f>IF(C84&lt;&gt;"",C84, D84)</f>
        <v/>
      </c>
      <c r="F84" s="3" t="n"/>
      <c r="G84" s="3">
        <f>IFERROR(__xludf.DUMMYFUNCTION("GOOGLETRANSLATE(B84,""vi"",""km"")"),"ជ្រើសរើសពេលវេលាដំណើរការ")</f>
        <v/>
      </c>
      <c r="H84" s="3" t="inlineStr">
        <is>
          <t>ជ្រើសរើសពេលវេលាដំណើរការ</t>
        </is>
      </c>
      <c r="I84" s="3" t="n"/>
      <c r="J84" s="3">
        <f>IFERROR(__xludf.DUMMYFUNCTION("GOOGLETRANSLATE(B84,""vi"",""lo"")"),"ເລືອກເວລາປະມວນຜົນ")</f>
        <v/>
      </c>
      <c r="K84" s="3">
        <f>IF(I84&lt;&gt;"",I84, J84)</f>
        <v/>
      </c>
      <c r="L84" s="3" t="inlineStr">
        <is>
          <t>ជ្រើសរើសពេលវេលាដំណើរការ</t>
        </is>
      </c>
      <c r="M84" s="3" t="n"/>
      <c r="N84" s="3" t="inlineStr">
        <is>
          <t>"complaintManagement.placeholderLevel": "Select processing deadline",</t>
        </is>
      </c>
      <c r="O84" s="3" t="n"/>
      <c r="P84" s="3" t="n"/>
      <c r="Q84" s="3" t="n"/>
      <c r="R84" s="3" t="n"/>
      <c r="S84" s="3" t="n"/>
      <c r="T84" s="3" t="n"/>
      <c r="U84" s="3" t="n"/>
      <c r="V84" s="3" t="n"/>
      <c r="W84" s="3" t="n"/>
      <c r="X84" s="3" t="n"/>
      <c r="Y84" s="3" t="n"/>
      <c r="Z84" s="3" t="n"/>
      <c r="AA84" s="3" t="n"/>
    </row>
    <row r="85">
      <c r="A85" s="3" t="inlineStr">
        <is>
          <t>complaintManagement.placeholderPostOffice</t>
        </is>
      </c>
      <c r="B85" s="3" t="inlineStr">
        <is>
          <t>Chọn bưu cục</t>
        </is>
      </c>
      <c r="C85" s="3" t="inlineStr">
        <is>
          <t>Select post office</t>
        </is>
      </c>
      <c r="D85" s="3">
        <f>IFERROR(__xludf.DUMMYFUNCTION("GOOGLETRANSLATE(B85,""vi"",""en"")"),"Select post office")</f>
        <v/>
      </c>
      <c r="E85" s="3">
        <f>IF(C85&lt;&gt;"",C85, D85)</f>
        <v/>
      </c>
      <c r="F85" s="3" t="n"/>
      <c r="G85" s="3">
        <f>IFERROR(__xludf.DUMMYFUNCTION("GOOGLETRANSLATE(B85,""vi"",""km"")"),"ជ្រើសរើសការិយាល័យប្រៃសណីយ៍")</f>
        <v/>
      </c>
      <c r="H85" s="3" t="inlineStr">
        <is>
          <t>ជ្រើសរើសការិយាល័យប្រៃសណីយ៍</t>
        </is>
      </c>
      <c r="I85" s="3" t="n"/>
      <c r="J85" s="3">
        <f>IFERROR(__xludf.DUMMYFUNCTION("GOOGLETRANSLATE(B85,""vi"",""lo"")"),"ເລືອກຫ້ອງການໄປສະນີ")</f>
        <v/>
      </c>
      <c r="K85" s="3">
        <f>IF(I85&lt;&gt;"",I85, J85)</f>
        <v/>
      </c>
      <c r="L85" s="3" t="inlineStr">
        <is>
          <t>ជ្រើសរើសការិយាល័យប្រៃសណីយ៍</t>
        </is>
      </c>
      <c r="M85" s="3" t="n"/>
      <c r="N85" s="3" t="inlineStr">
        <is>
          <t>"complaintManagement.placeholderPostOffice": "Select post office",</t>
        </is>
      </c>
      <c r="O85" s="3" t="n"/>
      <c r="P85" s="3" t="n"/>
      <c r="Q85" s="3" t="n"/>
      <c r="R85" s="3" t="n"/>
      <c r="S85" s="3" t="n"/>
      <c r="T85" s="3" t="n"/>
      <c r="U85" s="3" t="n"/>
      <c r="V85" s="3" t="n"/>
      <c r="W85" s="3" t="n"/>
      <c r="X85" s="3" t="n"/>
      <c r="Y85" s="3" t="n"/>
      <c r="Z85" s="3" t="n"/>
      <c r="AA85" s="3" t="n"/>
    </row>
    <row r="86">
      <c r="A86" s="3" t="inlineStr">
        <is>
          <t>complaintManagement.placeholderSearch</t>
        </is>
      </c>
      <c r="B86" s="3" t="inlineStr">
        <is>
          <t>Nhập mã vận đơn/mã khiếu nại tìm kiếm</t>
        </is>
      </c>
      <c r="C86" s="3" t="inlineStr">
        <is>
          <t>Enter tracking number/complaint ID to search</t>
        </is>
      </c>
      <c r="D86" s="3">
        <f>IFERROR(__xludf.DUMMYFUNCTION("GOOGLETRANSLATE(B86,""vi"",""en"")"),"Enter the tracking number/complaint code to search.")</f>
        <v/>
      </c>
      <c r="E86" s="3">
        <f>IF(C86&lt;&gt;"",C86, D86)</f>
        <v/>
      </c>
      <c r="F86" s="3" t="n"/>
      <c r="G86" s="3">
        <f>IFERROR(__xludf.DUMMYFUNCTION("GOOGLETRANSLATE(B86,""vi"",""km"")"),"បញ្ចូលលេខតាមដាន/លេខកូដពាក្យបណ្តឹងដើម្បីស្វែងរក។")</f>
        <v/>
      </c>
      <c r="H86" s="3" t="inlineStr">
        <is>
          <t>បញ្ចូលលេខតាមដាន/លេខកូដពាក្យបណ្តឹងដើម្បីស្វែងរក។</t>
        </is>
      </c>
      <c r="I86" s="3" t="n"/>
      <c r="J86" s="3">
        <f>IFERROR(__xludf.DUMMYFUNCTION("GOOGLETRANSLATE(B86,""vi"",""lo"")"),"ໃສ່ໝາຍເລກຕິດຕາມ/ລະຫັດຮ້ອງຮຽນເພື່ອຄົ້ນຫາ.")</f>
        <v/>
      </c>
      <c r="K86" s="3">
        <f>IF(I86&lt;&gt;"",I86, J86)</f>
        <v/>
      </c>
      <c r="L86" s="3" t="inlineStr">
        <is>
          <t>បញ្ចូលលេខតាមដាន/លេខកូដពាក្យបណ្តឹងដើម្បីស្វែងរក។</t>
        </is>
      </c>
      <c r="M86" s="3" t="n"/>
      <c r="N86" s="3" t="inlineStr">
        <is>
          <t>"complaintManagement.placeholderSearch": "Enter tracking number/complaint ID to search",</t>
        </is>
      </c>
      <c r="O86" s="3" t="n"/>
      <c r="P86" s="3" t="n"/>
      <c r="Q86" s="3" t="n"/>
      <c r="R86" s="3" t="n"/>
      <c r="S86" s="3" t="n"/>
      <c r="T86" s="3" t="n"/>
      <c r="U86" s="3" t="n"/>
      <c r="V86" s="3" t="n"/>
      <c r="W86" s="3" t="n"/>
      <c r="X86" s="3" t="n"/>
      <c r="Y86" s="3" t="n"/>
      <c r="Z86" s="3" t="n"/>
      <c r="AA86" s="3" t="n"/>
    </row>
    <row r="87">
      <c r="A87" s="3" t="inlineStr">
        <is>
          <t>complaintManagement.placeholderSecondCategory</t>
        </is>
      </c>
      <c r="B87" s="3" t="inlineStr">
        <is>
          <t>Chọn phân loại cấp 2</t>
        </is>
      </c>
      <c r="C87" s="3" t="inlineStr">
        <is>
          <t>Select Level 2 Category</t>
        </is>
      </c>
      <c r="D87" s="3">
        <f>IFERROR(__xludf.DUMMYFUNCTION("GOOGLETRANSLATE(B87,""vi"",""en"")"),"Select the second-level classification.")</f>
        <v/>
      </c>
      <c r="E87" s="3">
        <f>IF(C87&lt;&gt;"",C87, D87)</f>
        <v/>
      </c>
      <c r="F87" s="3" t="n"/>
      <c r="G87" s="3">
        <f>IFERROR(__xludf.DUMMYFUNCTION("GOOGLETRANSLATE(B87,""vi"",""km"")"),"ជ្រើសរើសចំណាត់ថ្នាក់កម្រិតទីពីរ។")</f>
        <v/>
      </c>
      <c r="H87" s="3" t="inlineStr">
        <is>
          <t>ជ្រើសរើសចំណាត់ថ្នាក់កម្រិតទីពីរ។</t>
        </is>
      </c>
      <c r="I87" s="3" t="n"/>
      <c r="J87" s="3">
        <f>IFERROR(__xludf.DUMMYFUNCTION("GOOGLETRANSLATE(B87,""vi"",""lo"")"),"ເລືອກການຈັດປະເພດລະດັບທີສອງ.")</f>
        <v/>
      </c>
      <c r="K87" s="3">
        <f>IF(I87&lt;&gt;"",I87, J87)</f>
        <v/>
      </c>
      <c r="L87" s="3" t="inlineStr">
        <is>
          <t>ជ្រើសរើសចំណាត់ថ្នាក់កម្រិតទីពីរ។</t>
        </is>
      </c>
      <c r="M87" s="3" t="n"/>
      <c r="N87" s="3" t="inlineStr">
        <is>
          <t>"complaintManagement.placeholderSecondCategory": "Select Level 2 Category",</t>
        </is>
      </c>
      <c r="O87" s="3" t="n"/>
      <c r="P87" s="3" t="n"/>
      <c r="Q87" s="3" t="n"/>
      <c r="R87" s="3" t="n"/>
      <c r="S87" s="3" t="n"/>
      <c r="T87" s="3" t="n"/>
      <c r="U87" s="3" t="n"/>
      <c r="V87" s="3" t="n"/>
      <c r="W87" s="3" t="n"/>
      <c r="X87" s="3" t="n"/>
      <c r="Y87" s="3" t="n"/>
      <c r="Z87" s="3" t="n"/>
      <c r="AA87" s="3" t="n"/>
    </row>
    <row r="88">
      <c r="A88" s="3" t="inlineStr">
        <is>
          <t>complaintManagement.placeholderSeverity</t>
        </is>
      </c>
      <c r="B88" s="3" t="inlineStr">
        <is>
          <t>Chọn mức độ</t>
        </is>
      </c>
      <c r="C88" s="3" t="inlineStr">
        <is>
          <t>Select severity</t>
        </is>
      </c>
      <c r="D88" s="3">
        <f>IFERROR(__xludf.DUMMYFUNCTION("GOOGLETRANSLATE(B88,""vi"",""en"")"),"Select level")</f>
        <v/>
      </c>
      <c r="E88" s="3">
        <f>IF(C88&lt;&gt;"",C88, D88)</f>
        <v/>
      </c>
      <c r="F88" s="3" t="n"/>
      <c r="G88" s="3">
        <f>IFERROR(__xludf.DUMMYFUNCTION("GOOGLETRANSLATE(B88,""vi"",""km"")"),"ជ្រើសរើសកម្រិត")</f>
        <v/>
      </c>
      <c r="H88" s="3" t="inlineStr">
        <is>
          <t>ជ្រើសរើសកម្រិត</t>
        </is>
      </c>
      <c r="I88" s="3" t="n"/>
      <c r="J88" s="3">
        <f>IFERROR(__xludf.DUMMYFUNCTION("GOOGLETRANSLATE(B88,""vi"",""lo"")"),"ເລືອກລະດັບ")</f>
        <v/>
      </c>
      <c r="K88" s="3">
        <f>IF(I88&lt;&gt;"",I88, J88)</f>
        <v/>
      </c>
      <c r="L88" s="3" t="inlineStr">
        <is>
          <t>ជ្រើសរើសកម្រិត</t>
        </is>
      </c>
      <c r="M88" s="3" t="n"/>
      <c r="N88" s="3" t="inlineStr">
        <is>
          <t>"complaintManagement.placeholderSeverity": "Select severity",</t>
        </is>
      </c>
      <c r="O88" s="3" t="n"/>
      <c r="P88" s="3" t="n"/>
      <c r="Q88" s="3" t="n"/>
      <c r="R88" s="3" t="n"/>
      <c r="S88" s="3" t="n"/>
      <c r="T88" s="3" t="n"/>
      <c r="U88" s="3" t="n"/>
      <c r="V88" s="3" t="n"/>
      <c r="W88" s="3" t="n"/>
      <c r="X88" s="3" t="n"/>
      <c r="Y88" s="3" t="n"/>
      <c r="Z88" s="3" t="n"/>
      <c r="AA88" s="3" t="n"/>
    </row>
    <row r="89">
      <c r="A89" s="3" t="inlineStr">
        <is>
          <t>complaintManagement.placeholderStatus</t>
        </is>
      </c>
      <c r="B89" s="3" t="inlineStr">
        <is>
          <t>Chọn trạng thái</t>
        </is>
      </c>
      <c r="C89" s="3" t="inlineStr">
        <is>
          <t>Select status</t>
        </is>
      </c>
      <c r="D89" s="3">
        <f>IFERROR(__xludf.DUMMYFUNCTION("GOOGLETRANSLATE(B89,""vi"",""en"")"),"Select state")</f>
        <v/>
      </c>
      <c r="E89" s="3">
        <f>IF(C89&lt;&gt;"",C89, D89)</f>
        <v/>
      </c>
      <c r="F89" s="3" t="n"/>
      <c r="G89" s="3">
        <f>IFERROR(__xludf.DUMMYFUNCTION("GOOGLETRANSLATE(B89,""vi"",""km"")"),"ជ្រើសរើសរដ្ឋ")</f>
        <v/>
      </c>
      <c r="H89" s="3" t="inlineStr">
        <is>
          <t>ជ្រើសរើសរដ្ឋ</t>
        </is>
      </c>
      <c r="I89" s="3" t="n"/>
      <c r="J89" s="3">
        <f>IFERROR(__xludf.DUMMYFUNCTION("GOOGLETRANSLATE(B89,""vi"",""lo"")"),"ເລືອກລັດ")</f>
        <v/>
      </c>
      <c r="K89" s="3">
        <f>IF(I89&lt;&gt;"",I89, J89)</f>
        <v/>
      </c>
      <c r="L89" s="3" t="inlineStr">
        <is>
          <t>ជ្រើសរើសរដ្ឋ</t>
        </is>
      </c>
      <c r="M89" s="3" t="n"/>
      <c r="N89" s="3" t="inlineStr">
        <is>
          <t>"complaintManagement.placeholderStatus": "Select status",</t>
        </is>
      </c>
      <c r="O89" s="3" t="n"/>
      <c r="P89" s="3" t="n"/>
      <c r="Q89" s="3" t="n"/>
      <c r="R89" s="3" t="n"/>
      <c r="S89" s="3" t="n"/>
      <c r="T89" s="3" t="n"/>
      <c r="U89" s="3" t="n"/>
      <c r="V89" s="3" t="n"/>
      <c r="W89" s="3" t="n"/>
      <c r="X89" s="3" t="n"/>
      <c r="Y89" s="3" t="n"/>
      <c r="Z89" s="3" t="n"/>
      <c r="AA89" s="3" t="n"/>
    </row>
    <row r="90">
      <c r="A90" s="3" t="inlineStr">
        <is>
          <t>complaintManagement.postOffice</t>
        </is>
      </c>
      <c r="B90" s="3" t="inlineStr">
        <is>
          <t>Bưu cục</t>
        </is>
      </c>
      <c r="C90" s="3" t="inlineStr">
        <is>
          <t>Post Office</t>
        </is>
      </c>
      <c r="D90" s="3">
        <f>IFERROR(__xludf.DUMMYFUNCTION("GOOGLETRANSLATE(B90,""vi"",""en"")"),"Post Office")</f>
        <v/>
      </c>
      <c r="E90" s="3">
        <f>IF(C90&lt;&gt;"",C90, D90)</f>
        <v/>
      </c>
      <c r="F90" s="3" t="n"/>
      <c r="G90" s="3">
        <f>IFERROR(__xludf.DUMMYFUNCTION("GOOGLETRANSLATE(B90,""vi"",""km"")"),"ការិយាល័យប្រៃសណីយ៍")</f>
        <v/>
      </c>
      <c r="H90" s="3" t="inlineStr">
        <is>
          <t>ការិយាល័យប្រៃសណីយ៍</t>
        </is>
      </c>
      <c r="I90" s="3" t="n"/>
      <c r="J90" s="3">
        <f>IFERROR(__xludf.DUMMYFUNCTION("GOOGLETRANSLATE(B90,""vi"",""lo"")"),"ຫ້ອງການໄປສະນີ")</f>
        <v/>
      </c>
      <c r="K90" s="3">
        <f>IF(I90&lt;&gt;"",I90, J90)</f>
        <v/>
      </c>
      <c r="L90" s="3" t="inlineStr">
        <is>
          <t>ការិយាល័យប្រៃសណីយ៍</t>
        </is>
      </c>
      <c r="M90" s="3" t="n"/>
      <c r="N90" s="3" t="inlineStr">
        <is>
          <t>"complaintManagement.postOffice": "Post Office",</t>
        </is>
      </c>
      <c r="O90" s="3" t="n"/>
      <c r="P90" s="3" t="n"/>
      <c r="Q90" s="3" t="n"/>
      <c r="R90" s="3" t="n"/>
      <c r="S90" s="3" t="n"/>
      <c r="T90" s="3" t="n"/>
      <c r="U90" s="3" t="n"/>
      <c r="V90" s="3" t="n"/>
      <c r="W90" s="3" t="n"/>
      <c r="X90" s="3" t="n"/>
      <c r="Y90" s="3" t="n"/>
      <c r="Z90" s="3" t="n"/>
      <c r="AA90" s="3" t="n"/>
    </row>
    <row r="91">
      <c r="A91" s="3" t="inlineStr">
        <is>
          <t>complaintManagement.search</t>
        </is>
      </c>
      <c r="B91" s="3" t="inlineStr">
        <is>
          <t>Tìm kiếm</t>
        </is>
      </c>
      <c r="C91" s="3" t="inlineStr">
        <is>
          <t>Search</t>
        </is>
      </c>
      <c r="D91" s="3">
        <f>IFERROR(__xludf.DUMMYFUNCTION("GOOGLETRANSLATE(B91,""vi"",""en"")"),"Search")</f>
        <v/>
      </c>
      <c r="E91" s="3">
        <f>IF(C91&lt;&gt;"",C91, D91)</f>
        <v/>
      </c>
      <c r="F91" s="3" t="n"/>
      <c r="G91" s="3">
        <f>IFERROR(__xludf.DUMMYFUNCTION("GOOGLETRANSLATE(B91,""vi"",""km"")"),"ស្វែងរក")</f>
        <v/>
      </c>
      <c r="H91" s="3" t="inlineStr">
        <is>
          <t>ស្វែងរក</t>
        </is>
      </c>
      <c r="I91" s="3" t="n"/>
      <c r="J91" s="3">
        <f>IFERROR(__xludf.DUMMYFUNCTION("GOOGLETRANSLATE(B91,""vi"",""lo"")"),"ຄົ້ນຫາ")</f>
        <v/>
      </c>
      <c r="K91" s="3">
        <f>IF(I91&lt;&gt;"",I91, J91)</f>
        <v/>
      </c>
      <c r="L91" s="3" t="inlineStr">
        <is>
          <t>ស្វែងរក</t>
        </is>
      </c>
      <c r="M91" s="3" t="n"/>
      <c r="N91" s="3" t="inlineStr">
        <is>
          <t>"complaintManagement.search": "Search",</t>
        </is>
      </c>
      <c r="O91" s="3" t="n"/>
      <c r="P91" s="3" t="n"/>
      <c r="Q91" s="3" t="n"/>
      <c r="R91" s="3" t="n"/>
      <c r="S91" s="3" t="n"/>
      <c r="T91" s="3" t="n"/>
      <c r="U91" s="3" t="n"/>
      <c r="V91" s="3" t="n"/>
      <c r="W91" s="3" t="n"/>
      <c r="X91" s="3" t="n"/>
      <c r="Y91" s="3" t="n"/>
      <c r="Z91" s="3" t="n"/>
      <c r="AA91" s="3" t="n"/>
    </row>
    <row r="92">
      <c r="A92" s="3" t="inlineStr">
        <is>
          <t>complaintManagement.secondCategory</t>
        </is>
      </c>
      <c r="B92" s="3" t="inlineStr">
        <is>
          <t>Phân loại cấp 2</t>
        </is>
      </c>
      <c r="C92" s="3" t="inlineStr">
        <is>
          <t>Level 2 Category</t>
        </is>
      </c>
      <c r="D92" s="3">
        <f>IFERROR(__xludf.DUMMYFUNCTION("GOOGLETRANSLATE(B92,""vi"",""en"")"),"Level 2 classification")</f>
        <v/>
      </c>
      <c r="E92" s="3">
        <f>IF(C92&lt;&gt;"",C92, D92)</f>
        <v/>
      </c>
      <c r="F92" s="3" t="n"/>
      <c r="G92" s="3">
        <f>IFERROR(__xludf.DUMMYFUNCTION("GOOGLETRANSLATE(B92,""vi"",""km"")"),"ចំណាត់ថ្នាក់កម្រិតទី 2")</f>
        <v/>
      </c>
      <c r="H92" s="3" t="inlineStr">
        <is>
          <t>ចំណាត់ថ្នាក់កម្រិតទី 2</t>
        </is>
      </c>
      <c r="I92" s="3" t="n"/>
      <c r="J92" s="3">
        <f>IFERROR(__xludf.DUMMYFUNCTION("GOOGLETRANSLATE(B92,""vi"",""lo"")"),"ການຈັດປະເພດລະດັບ 2")</f>
        <v/>
      </c>
      <c r="K92" s="3">
        <f>IF(I92&lt;&gt;"",I92, J92)</f>
        <v/>
      </c>
      <c r="L92" s="3" t="inlineStr">
        <is>
          <t>ចំណាត់ថ្នាក់កម្រិតទី 2</t>
        </is>
      </c>
      <c r="M92" s="3" t="n"/>
      <c r="N92" s="3" t="inlineStr">
        <is>
          <t>"complaintManagement.secondCategory": "Level 2 Category",</t>
        </is>
      </c>
      <c r="O92" s="3" t="n"/>
      <c r="P92" s="3" t="n"/>
      <c r="Q92" s="3" t="n"/>
      <c r="R92" s="3" t="n"/>
      <c r="S92" s="3" t="n"/>
      <c r="T92" s="3" t="n"/>
      <c r="U92" s="3" t="n"/>
      <c r="V92" s="3" t="n"/>
      <c r="W92" s="3" t="n"/>
      <c r="X92" s="3" t="n"/>
      <c r="Y92" s="3" t="n"/>
      <c r="Z92" s="3" t="n"/>
      <c r="AA92" s="3" t="n"/>
    </row>
    <row r="93">
      <c r="A93" s="3" t="inlineStr">
        <is>
          <t>complaintManagement.severity</t>
        </is>
      </c>
      <c r="B93" s="3" t="inlineStr">
        <is>
          <t>Mức độ</t>
        </is>
      </c>
      <c r="C93" s="3" t="inlineStr">
        <is>
          <t>Severity</t>
        </is>
      </c>
      <c r="D93" s="3">
        <f>IFERROR(__xludf.DUMMYFUNCTION("GOOGLETRANSLATE(B93,""vi"",""en"")"),"Level")</f>
        <v/>
      </c>
      <c r="E93" s="3">
        <f>IF(C93&lt;&gt;"",C93, D93)</f>
        <v/>
      </c>
      <c r="F93" s="3" t="n"/>
      <c r="G93" s="3">
        <f>IFERROR(__xludf.DUMMYFUNCTION("GOOGLETRANSLATE(B93,""vi"",""km"")"),"កម្រិត")</f>
        <v/>
      </c>
      <c r="H93" s="3" t="inlineStr">
        <is>
          <t>កម្រិត</t>
        </is>
      </c>
      <c r="I93" s="3" t="n"/>
      <c r="J93" s="3">
        <f>IFERROR(__xludf.DUMMYFUNCTION("GOOGLETRANSLATE(B93,""vi"",""lo"")"),"ລະດັບ")</f>
        <v/>
      </c>
      <c r="K93" s="3">
        <f>IF(I93&lt;&gt;"",I93, J93)</f>
        <v/>
      </c>
      <c r="L93" s="3" t="inlineStr">
        <is>
          <t>កម្រិត</t>
        </is>
      </c>
      <c r="M93" s="3" t="n"/>
      <c r="N93" s="3" t="inlineStr">
        <is>
          <t>"complaintManagement.severity": "Severity",</t>
        </is>
      </c>
      <c r="O93" s="3" t="n"/>
      <c r="P93" s="3" t="n"/>
      <c r="Q93" s="3" t="n"/>
      <c r="R93" s="3" t="n"/>
      <c r="S93" s="3" t="n"/>
      <c r="T93" s="3" t="n"/>
      <c r="U93" s="3" t="n"/>
      <c r="V93" s="3" t="n"/>
      <c r="W93" s="3" t="n"/>
      <c r="X93" s="3" t="n"/>
      <c r="Y93" s="3" t="n"/>
      <c r="Z93" s="3" t="n"/>
      <c r="AA93" s="3" t="n"/>
    </row>
    <row r="94">
      <c r="A94" s="3" t="inlineStr">
        <is>
          <t>complaintManagement.status</t>
        </is>
      </c>
      <c r="B94" s="3" t="inlineStr">
        <is>
          <t>Trạng thái</t>
        </is>
      </c>
      <c r="C94" s="3" t="inlineStr">
        <is>
          <t>Status</t>
        </is>
      </c>
      <c r="D94" s="3">
        <f>IFERROR(__xludf.DUMMYFUNCTION("GOOGLETRANSLATE(B94,""vi"",""en"")"),"Status")</f>
        <v/>
      </c>
      <c r="E94" s="3">
        <f>IF(C94&lt;&gt;"",C94, D94)</f>
        <v/>
      </c>
      <c r="F94" s="3" t="n"/>
      <c r="G94" s="3">
        <f>IFERROR(__xludf.DUMMYFUNCTION("GOOGLETRANSLATE(B94,""vi"",""km"")"),"ស្ថានភាព")</f>
        <v/>
      </c>
      <c r="H94" s="3" t="inlineStr">
        <is>
          <t>ស្ថានភាព</t>
        </is>
      </c>
      <c r="I94" s="3" t="n"/>
      <c r="J94" s="3">
        <f>IFERROR(__xludf.DUMMYFUNCTION("GOOGLETRANSLATE(B94,""vi"",""lo"")"),"ສະຖານະ")</f>
        <v/>
      </c>
      <c r="K94" s="3">
        <f>IF(I94&lt;&gt;"",I94, J94)</f>
        <v/>
      </c>
      <c r="L94" s="3" t="inlineStr">
        <is>
          <t>ស្ថានភាព</t>
        </is>
      </c>
      <c r="M94" s="3" t="n"/>
      <c r="N94" s="3" t="inlineStr">
        <is>
          <t>"complaintManagement.status": "Status",</t>
        </is>
      </c>
      <c r="O94" s="3" t="n"/>
      <c r="P94" s="3" t="n"/>
      <c r="Q94" s="3" t="n"/>
      <c r="R94" s="3" t="n"/>
      <c r="S94" s="3" t="n"/>
      <c r="T94" s="3" t="n"/>
      <c r="U94" s="3" t="n"/>
      <c r="V94" s="3" t="n"/>
      <c r="W94" s="3" t="n"/>
      <c r="X94" s="3" t="n"/>
      <c r="Y94" s="3" t="n"/>
      <c r="Z94" s="3" t="n"/>
      <c r="AA94" s="3" t="n"/>
    </row>
    <row r="95">
      <c r="A95" s="3" t="inlineStr">
        <is>
          <t>complaintManagement.trackingCode</t>
        </is>
      </c>
      <c r="B95" s="3" t="inlineStr">
        <is>
          <t>Mã vận đơn</t>
        </is>
      </c>
      <c r="C95" s="3" t="inlineStr">
        <is>
          <t>Tracking number</t>
        </is>
      </c>
      <c r="D95" s="3">
        <f>IFERROR(__xludf.DUMMYFUNCTION("GOOGLETRANSLATE(B95,""vi"",""en"")"),"Tracking number")</f>
        <v/>
      </c>
      <c r="E95" s="3">
        <f>IF(C95&lt;&gt;"",C95, D95)</f>
        <v/>
      </c>
      <c r="F95" s="3" t="n"/>
      <c r="G95" s="3">
        <f>IFERROR(__xludf.DUMMYFUNCTION("GOOGLETRANSLATE(B95,""vi"",""km"")"),"លេខតាមដាន")</f>
        <v/>
      </c>
      <c r="H95" s="3" t="inlineStr">
        <is>
          <t>លេខកូដបុងបញ្ញើ</t>
        </is>
      </c>
      <c r="I95" s="3" t="n"/>
      <c r="J95" s="3">
        <f>IFERROR(__xludf.DUMMYFUNCTION("GOOGLETRANSLATE(B95,""vi"",""lo"")"),"ໝາຍເລກຕິດຕາມ")</f>
        <v/>
      </c>
      <c r="K95" s="3">
        <f>IF(I95&lt;&gt;"",I95, J95)</f>
        <v/>
      </c>
      <c r="L95" s="3" t="inlineStr">
        <is>
          <t>លេខកូដបុងបញ្ញើ</t>
        </is>
      </c>
      <c r="M95" s="3" t="n"/>
      <c r="N95" s="3" t="inlineStr">
        <is>
          <t>"complaintManagement.trackingCode": "Tracking number",</t>
        </is>
      </c>
      <c r="O95" s="3" t="n"/>
      <c r="P95" s="3" t="n"/>
      <c r="Q95" s="3" t="n"/>
      <c r="R95" s="3" t="n"/>
      <c r="S95" s="3" t="n"/>
      <c r="T95" s="3" t="n"/>
      <c r="U95" s="3" t="n"/>
      <c r="V95" s="3" t="n"/>
      <c r="W95" s="3" t="n"/>
      <c r="X95" s="3" t="n"/>
      <c r="Y95" s="3" t="n"/>
      <c r="Z95" s="3" t="n"/>
      <c r="AA95" s="3" t="n"/>
    </row>
    <row r="96">
      <c r="A96" s="3" t="inlineStr">
        <is>
          <t>complaintRateReport.branch</t>
        </is>
      </c>
      <c r="B96" s="3" t="inlineStr">
        <is>
          <t>Chi nhánh</t>
        </is>
      </c>
      <c r="C96" s="3" t="inlineStr">
        <is>
          <t>Branch</t>
        </is>
      </c>
      <c r="D96" s="3">
        <f>IFERROR(__xludf.DUMMYFUNCTION("GOOGLETRANSLATE(B96,""vi"",""en"")"),"Branch")</f>
        <v/>
      </c>
      <c r="E96" s="3">
        <f>IF(C96&lt;&gt;"",C96, D96)</f>
        <v/>
      </c>
      <c r="F96" s="3" t="n"/>
      <c r="G96" s="3">
        <f>IFERROR(__xludf.DUMMYFUNCTION("GOOGLETRANSLATE(B96,""vi"",""km"")"),"សាខា")</f>
        <v/>
      </c>
      <c r="H96" s="3" t="inlineStr">
        <is>
          <t>សាខា</t>
        </is>
      </c>
      <c r="I96" s="3" t="n"/>
      <c r="J96" s="3">
        <f>IFERROR(__xludf.DUMMYFUNCTION("GOOGLETRANSLATE(B96,""vi"",""lo"")"),"ສາຂາ")</f>
        <v/>
      </c>
      <c r="K96" s="3">
        <f>IF(I96&lt;&gt;"",I96, J96)</f>
        <v/>
      </c>
      <c r="L96" s="3" t="inlineStr">
        <is>
          <t>សាខា</t>
        </is>
      </c>
      <c r="M96" s="3" t="n"/>
      <c r="N96" s="3" t="inlineStr">
        <is>
          <t>"complaintRateReport.branch": "Branch",</t>
        </is>
      </c>
      <c r="O96" s="3" t="n"/>
      <c r="P96" s="3" t="n"/>
      <c r="Q96" s="3" t="n"/>
      <c r="R96" s="3" t="n"/>
      <c r="S96" s="3" t="n"/>
      <c r="T96" s="3" t="n"/>
      <c r="U96" s="3" t="n"/>
      <c r="V96" s="3" t="n"/>
      <c r="W96" s="3" t="n"/>
      <c r="X96" s="3" t="n"/>
      <c r="Y96" s="3" t="n"/>
      <c r="Z96" s="3" t="n"/>
      <c r="AA96" s="3" t="n"/>
    </row>
    <row r="97">
      <c r="A97" s="3" t="inlineStr">
        <is>
          <t>complaintRateReport.branchName</t>
        </is>
      </c>
      <c r="B97" s="3" t="inlineStr">
        <is>
          <t>Chi nhánh</t>
        </is>
      </c>
      <c r="C97" s="3" t="inlineStr">
        <is>
          <t>Branch</t>
        </is>
      </c>
      <c r="D97" s="3">
        <f>IFERROR(__xludf.DUMMYFUNCTION("GOOGLETRANSLATE(B97,""vi"",""en"")"),"Branch")</f>
        <v/>
      </c>
      <c r="E97" s="3">
        <f>IF(C97&lt;&gt;"",C97, D97)</f>
        <v/>
      </c>
      <c r="F97" s="3" t="n"/>
      <c r="G97" s="3">
        <f>IFERROR(__xludf.DUMMYFUNCTION("GOOGLETRANSLATE(B97,""vi"",""km"")"),"សាខា")</f>
        <v/>
      </c>
      <c r="H97" s="3" t="inlineStr">
        <is>
          <t>សាខា</t>
        </is>
      </c>
      <c r="I97" s="3" t="n"/>
      <c r="J97" s="3">
        <f>IFERROR(__xludf.DUMMYFUNCTION("GOOGLETRANSLATE(B97,""vi"",""lo"")"),"ສາຂາ")</f>
        <v/>
      </c>
      <c r="K97" s="3">
        <f>IF(I97&lt;&gt;"",I97, J97)</f>
        <v/>
      </c>
      <c r="L97" s="3" t="inlineStr">
        <is>
          <t>សាខា</t>
        </is>
      </c>
      <c r="M97" s="3" t="n"/>
      <c r="N97" s="3" t="inlineStr">
        <is>
          <t>"complaintRateReport.branchName": "Branch",</t>
        </is>
      </c>
      <c r="O97" s="3" t="n"/>
      <c r="P97" s="3" t="n"/>
      <c r="Q97" s="3" t="n"/>
      <c r="R97" s="3" t="n"/>
      <c r="S97" s="3" t="n"/>
      <c r="T97" s="3" t="n"/>
      <c r="U97" s="3" t="n"/>
      <c r="V97" s="3" t="n"/>
      <c r="W97" s="3" t="n"/>
      <c r="X97" s="3" t="n"/>
      <c r="Y97" s="3" t="n"/>
      <c r="Z97" s="3" t="n"/>
      <c r="AA97" s="3" t="n"/>
    </row>
    <row r="98">
      <c r="A98" s="3" t="inlineStr">
        <is>
          <t>complaintRateReport.complaintCount</t>
        </is>
      </c>
      <c r="B98" s="3" t="inlineStr">
        <is>
          <t>Số lần khiếu nại</t>
        </is>
      </c>
      <c r="C98" s="3" t="inlineStr">
        <is>
          <t>Number of complaints</t>
        </is>
      </c>
      <c r="D98" s="3">
        <f>IFERROR(__xludf.DUMMYFUNCTION("GOOGLETRANSLATE(B98,""vi"",""en"")"),"Number of complaints")</f>
        <v/>
      </c>
      <c r="E98" s="3">
        <f>IF(C98&lt;&gt;"",C98, D98)</f>
        <v/>
      </c>
      <c r="F98" s="3" t="n"/>
      <c r="G98" s="3">
        <f>IFERROR(__xludf.DUMMYFUNCTION("GOOGLETRANSLATE(B98,""vi"",""km"")"),"ចំនួន​ពាក្យ​បណ្តឹង")</f>
        <v/>
      </c>
      <c r="H98" s="3" t="inlineStr">
        <is>
          <t>ចំនួនពាក្យបណ្តឹង</t>
        </is>
      </c>
      <c r="I98" s="3" t="n"/>
      <c r="J98" s="3">
        <f>IFERROR(__xludf.DUMMYFUNCTION("GOOGLETRANSLATE(B98,""vi"",""lo"")"),"ຈຳນວນຄຳຮ້ອງທຸກ")</f>
        <v/>
      </c>
      <c r="K98" s="3">
        <f>IF(I98&lt;&gt;"",I98, J98)</f>
        <v/>
      </c>
      <c r="L98" s="3" t="inlineStr">
        <is>
          <t>ចំនួនពាក្យបណ្តឹង</t>
        </is>
      </c>
      <c r="M98" s="3" t="n"/>
      <c r="N98" s="3" t="inlineStr">
        <is>
          <t>"complaintRateReport.complaintCount": "Number of complaints",</t>
        </is>
      </c>
      <c r="O98" s="3" t="n"/>
      <c r="P98" s="3" t="n"/>
      <c r="Q98" s="3" t="n"/>
      <c r="R98" s="3" t="n"/>
      <c r="S98" s="3" t="n"/>
      <c r="T98" s="3" t="n"/>
      <c r="U98" s="3" t="n"/>
      <c r="V98" s="3" t="n"/>
      <c r="W98" s="3" t="n"/>
      <c r="X98" s="3" t="n"/>
      <c r="Y98" s="3" t="n"/>
      <c r="Z98" s="3" t="n"/>
      <c r="AA98" s="3" t="n"/>
    </row>
    <row r="99">
      <c r="A99" s="3" t="inlineStr">
        <is>
          <t>complaintRateReport.deadline</t>
        </is>
      </c>
      <c r="B99" s="3" t="inlineStr">
        <is>
          <t>Hạn xử lý</t>
        </is>
      </c>
      <c r="C99" s="3" t="inlineStr">
        <is>
          <t>Processing deadline</t>
        </is>
      </c>
      <c r="D99" s="3">
        <f>IFERROR(__xludf.DUMMYFUNCTION("GOOGLETRANSLATE(B99,""vi"",""en"")"),"Processing deadline")</f>
        <v/>
      </c>
      <c r="E99" s="3">
        <f>IF(C99&lt;&gt;"",C99, D99)</f>
        <v/>
      </c>
      <c r="F99" s="3" t="n"/>
      <c r="G99" s="3">
        <f>IFERROR(__xludf.DUMMYFUNCTION("GOOGLETRANSLATE(B99,""vi"",""km"")"),"ថ្ងៃផុតកំណត់ដំណើរការ")</f>
        <v/>
      </c>
      <c r="H99" s="3" t="inlineStr">
        <is>
          <t>ថ្ងៃផុតកំណត់ដំណើរការ</t>
        </is>
      </c>
      <c r="I99" s="3" t="n"/>
      <c r="J99" s="3">
        <f>IFERROR(__xludf.DUMMYFUNCTION("GOOGLETRANSLATE(B99,""vi"",""lo"")"),"ກຳນົດເວລາການປະມວນຜົນ")</f>
        <v/>
      </c>
      <c r="K99" s="3">
        <f>IF(I99&lt;&gt;"",I99, J99)</f>
        <v/>
      </c>
      <c r="L99" s="3" t="inlineStr">
        <is>
          <t>ថ្ងៃផុតកំណត់ដំណើរការ</t>
        </is>
      </c>
      <c r="M99" s="3" t="n"/>
      <c r="N99" s="3" t="inlineStr">
        <is>
          <t>"complaintRateReport.deadline": "Processing deadline",</t>
        </is>
      </c>
      <c r="O99" s="3" t="n"/>
      <c r="P99" s="3" t="n"/>
      <c r="Q99" s="3" t="n"/>
      <c r="R99" s="3" t="n"/>
      <c r="S99" s="3" t="n"/>
      <c r="T99" s="3" t="n"/>
      <c r="U99" s="3" t="n"/>
      <c r="V99" s="3" t="n"/>
      <c r="W99" s="3" t="n"/>
      <c r="X99" s="3" t="n"/>
      <c r="Y99" s="3" t="n"/>
      <c r="Z99" s="3" t="n"/>
      <c r="AA99" s="3" t="n"/>
    </row>
    <row r="100">
      <c r="A100" s="3" t="inlineStr">
        <is>
          <t>complaintRateReport.fileNameComplaint</t>
        </is>
      </c>
      <c r="B100" s="3" t="inlineStr">
        <is>
          <t>BaoCaoTyLeGiaiQuyetKhieuNai</t>
        </is>
      </c>
      <c r="C100" s="3" t="inlineStr">
        <is>
          <t>Complaint Resolution Rate Report</t>
        </is>
      </c>
      <c r="D100" s="3">
        <f>IFERROR(__xludf.DUMMYFUNCTION("GOOGLETRANSLATE(B100,""vi"",""en"")"),"BaoCaoTyLeGiaiQuyetKhieuNai")</f>
        <v/>
      </c>
      <c r="E100" s="3">
        <f>IF(C100&lt;&gt;"",C100, D100)</f>
        <v/>
      </c>
      <c r="F100" s="3" t="n"/>
      <c r="G100" s="3">
        <f>IFERROR(__xludf.DUMMYFUNCTION("GOOGLETRANSLATE(B100,""vi"",""km"")"),"BaoCaoTyLeGiaiQuyetKhieuNai")</f>
        <v/>
      </c>
      <c r="H100" s="3" t="inlineStr">
        <is>
          <t>របាយការណ៍អត្រាដោះស្រាយបណ្ដឹង</t>
        </is>
      </c>
      <c r="I100" s="3" t="n"/>
      <c r="J100" s="3">
        <f>IFERROR(__xludf.DUMMYFUNCTION("GOOGLETRANSLATE(B100,""vi"",""lo"")"),"BaoCaoTyLeGiaiQuyetKhieuNai")</f>
        <v/>
      </c>
      <c r="K100" s="3">
        <f>IF(I100&lt;&gt;"",I100, J100)</f>
        <v/>
      </c>
      <c r="L100" s="3" t="inlineStr">
        <is>
          <t>របាយការណ៍អត្រាដោះស្រាយបណ្ដឹង</t>
        </is>
      </c>
      <c r="M100" s="3" t="n"/>
      <c r="N100" s="3" t="inlineStr">
        <is>
          <t>"complaintRateReport.fileNameComplaint": "Complaint Resolution Rate Report",</t>
        </is>
      </c>
      <c r="O100" s="3" t="n"/>
      <c r="P100" s="3" t="n"/>
      <c r="Q100" s="3" t="n"/>
      <c r="R100" s="3" t="n"/>
      <c r="S100" s="3" t="n"/>
      <c r="T100" s="3" t="n"/>
      <c r="U100" s="3" t="n"/>
      <c r="V100" s="3" t="n"/>
      <c r="W100" s="3" t="n"/>
      <c r="X100" s="3" t="n"/>
      <c r="Y100" s="3" t="n"/>
      <c r="Z100" s="3" t="n"/>
      <c r="AA100" s="3" t="n"/>
    </row>
    <row r="101">
      <c r="A101" s="3" t="inlineStr">
        <is>
          <t>complaintRateReport.level</t>
        </is>
      </c>
      <c r="B101" s="3" t="inlineStr">
        <is>
          <t>Mức độ</t>
        </is>
      </c>
      <c r="C101" s="3" t="inlineStr">
        <is>
          <t>Severity</t>
        </is>
      </c>
      <c r="D101" s="3">
        <f>IFERROR(__xludf.DUMMYFUNCTION("GOOGLETRANSLATE(B101,""vi"",""en"")"),"Level")</f>
        <v/>
      </c>
      <c r="E101" s="3">
        <f>IF(C101&lt;&gt;"",C101, D101)</f>
        <v/>
      </c>
      <c r="F101" s="3" t="n"/>
      <c r="G101" s="3">
        <f>IFERROR(__xludf.DUMMYFUNCTION("GOOGLETRANSLATE(B101,""vi"",""km"")"),"កម្រិត")</f>
        <v/>
      </c>
      <c r="H101" s="3" t="inlineStr">
        <is>
          <t>កម្រិត</t>
        </is>
      </c>
      <c r="I101" s="3" t="n"/>
      <c r="J101" s="3">
        <f>IFERROR(__xludf.DUMMYFUNCTION("GOOGLETRANSLATE(B101,""vi"",""lo"")"),"ລະດັບ")</f>
        <v/>
      </c>
      <c r="K101" s="3">
        <f>IF(I101&lt;&gt;"",I101, J101)</f>
        <v/>
      </c>
      <c r="L101" s="3" t="inlineStr">
        <is>
          <t>កម្រិត</t>
        </is>
      </c>
      <c r="M101" s="3" t="n"/>
      <c r="N101" s="3" t="inlineStr">
        <is>
          <t>"complaintRateReport.level": "Severity",</t>
        </is>
      </c>
      <c r="O101" s="3" t="n"/>
      <c r="P101" s="3" t="n"/>
      <c r="Q101" s="3" t="n"/>
      <c r="R101" s="3" t="n"/>
      <c r="S101" s="3" t="n"/>
      <c r="T101" s="3" t="n"/>
      <c r="U101" s="3" t="n"/>
      <c r="V101" s="3" t="n"/>
      <c r="W101" s="3" t="n"/>
      <c r="X101" s="3" t="n"/>
      <c r="Y101" s="3" t="n"/>
      <c r="Z101" s="3" t="n"/>
      <c r="AA101" s="3" t="n"/>
    </row>
    <row r="102">
      <c r="A102" s="3" t="inlineStr">
        <is>
          <t>complaintRateReport.overdueBacklog</t>
        </is>
      </c>
      <c r="B102" s="3" t="inlineStr">
        <is>
          <t>KN tồn quá hạn xử lý</t>
        </is>
      </c>
      <c r="C102" s="3" t="inlineStr">
        <is>
          <t>Overdue unresolved complaints</t>
        </is>
      </c>
      <c r="D102" s="3">
        <f>IFERROR(__xludf.DUMMYFUNCTION("GOOGLETRANSLATE(B102,""vi"",""en"")"),"KN is overdue for processing.")</f>
        <v/>
      </c>
      <c r="E102" s="3">
        <f>IF(C102&lt;&gt;"",C102, D102)</f>
        <v/>
      </c>
      <c r="F102" s="3" t="n"/>
      <c r="G102" s="3">
        <f>IFERROR(__xludf.DUMMYFUNCTION("GOOGLETRANSLATE(B102,""vi"",""km"")"),"KN យឺតពេលសម្រាប់ដំណើរការ។")</f>
        <v/>
      </c>
      <c r="H102" s="3" t="inlineStr">
        <is>
          <t>KN យឺតពេលសម្រាប់ដំណើរការ។</t>
        </is>
      </c>
      <c r="I102" s="3" t="n"/>
      <c r="J102" s="3">
        <f>IFERROR(__xludf.DUMMYFUNCTION("GOOGLETRANSLATE(B102,""vi"",""lo"")"),"KN ເກີນກຳນົດສຳລັບການປະມວນຜົນແລ້ວ.")</f>
        <v/>
      </c>
      <c r="K102" s="3">
        <f>IF(I102&lt;&gt;"",I102, J102)</f>
        <v/>
      </c>
      <c r="L102" s="3" t="inlineStr">
        <is>
          <t>KN យឺតពេលសម្រាប់ដំណើរការ។</t>
        </is>
      </c>
      <c r="M102" s="3" t="n"/>
      <c r="N102" s="3" t="inlineStr">
        <is>
          <t>"complaintRateReport.overdueBacklog": "Overdue unresolved complaints",</t>
        </is>
      </c>
      <c r="O102" s="3" t="n"/>
      <c r="P102" s="3" t="n"/>
      <c r="Q102" s="3" t="n"/>
      <c r="R102" s="3" t="n"/>
      <c r="S102" s="3" t="n"/>
      <c r="T102" s="3" t="n"/>
      <c r="U102" s="3" t="n"/>
      <c r="V102" s="3" t="n"/>
      <c r="W102" s="3" t="n"/>
      <c r="X102" s="3" t="n"/>
      <c r="Y102" s="3" t="n"/>
      <c r="Z102" s="3" t="n"/>
      <c r="AA102" s="3" t="n"/>
    </row>
    <row r="103">
      <c r="A103" s="3" t="inlineStr">
        <is>
          <t>complaintRateReport.pendingInDeadline</t>
        </is>
      </c>
      <c r="B103" s="3" t="inlineStr">
        <is>
          <t>Tỷ lệ giải quyết khiếu nại trong hạn</t>
        </is>
      </c>
      <c r="C103" s="3" t="inlineStr">
        <is>
          <t>On-time complaint resolution rate</t>
        </is>
      </c>
      <c r="D103" s="3">
        <f>IFERROR(__xludf.DUMMYFUNCTION("GOOGLETRANSLATE(B103,""vi"",""en"")"),"Rate of complaints resolved within the deadline")</f>
        <v/>
      </c>
      <c r="E103" s="3">
        <f>IF(C103&lt;&gt;"",C103, D103)</f>
        <v/>
      </c>
      <c r="F103" s="3" t="n"/>
      <c r="G103" s="3">
        <f>IFERROR(__xludf.DUMMYFUNCTION("GOOGLETRANSLATE(B103,""vi"",""km"")"),"អត្រានៃការដោះស្រាយពាក្យបណ្តឹងក្នុងរយៈពេលកំណត់")</f>
        <v/>
      </c>
      <c r="H103" s="3" t="inlineStr">
        <is>
          <t>អត្រានៃការដោះស្រាយពាក្យបណ្តឹងក្នុងរយៈពេលកំណត់</t>
        </is>
      </c>
      <c r="I103" s="3" t="n"/>
      <c r="J103" s="3">
        <f>IFERROR(__xludf.DUMMYFUNCTION("GOOGLETRANSLATE(B103,""vi"",""lo"")"),"ອັດຕາການຮ້ອງທຸກທີ່ໄດ້ຮັບການແກ້ໄຂພາຍໃນເວລາກຳນົດ")</f>
        <v/>
      </c>
      <c r="K103" s="3">
        <f>IF(I103&lt;&gt;"",I103, J103)</f>
        <v/>
      </c>
      <c r="L103" s="3" t="inlineStr">
        <is>
          <t>អត្រានៃការដោះស្រាយពាក្យបណ្តឹងក្នុងរយៈពេលកំណត់</t>
        </is>
      </c>
      <c r="M103" s="3" t="n"/>
      <c r="N103" s="3" t="inlineStr">
        <is>
          <t>"complaintRateReport.pendingInDeadline": "On-time complaint resolution rate",</t>
        </is>
      </c>
      <c r="O103" s="3" t="n"/>
      <c r="P103" s="3" t="n"/>
      <c r="Q103" s="3" t="n"/>
      <c r="R103" s="3" t="n"/>
      <c r="S103" s="3" t="n"/>
      <c r="T103" s="3" t="n"/>
      <c r="U103" s="3" t="n"/>
      <c r="V103" s="3" t="n"/>
      <c r="W103" s="3" t="n"/>
      <c r="X103" s="3" t="n"/>
      <c r="Y103" s="3" t="n"/>
      <c r="Z103" s="3" t="n"/>
      <c r="AA103" s="3" t="n"/>
    </row>
    <row r="104">
      <c r="A104" s="3" t="inlineStr">
        <is>
          <t>complaintRateReport.placeholderBranch</t>
        </is>
      </c>
      <c r="B104" s="3" t="inlineStr">
        <is>
          <t>Chọn chi nhánh</t>
        </is>
      </c>
      <c r="C104" s="3" t="inlineStr">
        <is>
          <t>Select branch</t>
        </is>
      </c>
      <c r="D104" s="3">
        <f>IFERROR(__xludf.DUMMYFUNCTION("GOOGLETRANSLATE(B104,""vi"",""en"")"),"Select a branch")</f>
        <v/>
      </c>
      <c r="E104" s="3">
        <f>IF(C104&lt;&gt;"",C104, D104)</f>
        <v/>
      </c>
      <c r="F104" s="3" t="n"/>
      <c r="G104" s="3">
        <f>IFERROR(__xludf.DUMMYFUNCTION("GOOGLETRANSLATE(B104,""vi"",""km"")"),"ជ្រើសរើសសាខាមួយ")</f>
        <v/>
      </c>
      <c r="H104" s="3" t="inlineStr">
        <is>
          <t>ជ្រើសរើសសាខាមួយ</t>
        </is>
      </c>
      <c r="I104" s="3" t="n"/>
      <c r="J104" s="3">
        <f>IFERROR(__xludf.DUMMYFUNCTION("GOOGLETRANSLATE(B104,""vi"",""lo"")"),"ເລືອກສາຂາ")</f>
        <v/>
      </c>
      <c r="K104" s="3">
        <f>IF(I104&lt;&gt;"",I104, J104)</f>
        <v/>
      </c>
      <c r="L104" s="3" t="inlineStr">
        <is>
          <t>ជ្រើសរើសសាខាមួយ</t>
        </is>
      </c>
      <c r="M104" s="3" t="n"/>
      <c r="N104" s="3" t="inlineStr">
        <is>
          <t>"complaintRateReport.placeholderBranch": "Select branch",</t>
        </is>
      </c>
      <c r="O104" s="3" t="n"/>
      <c r="P104" s="3" t="n"/>
      <c r="Q104" s="3" t="n"/>
      <c r="R104" s="3" t="n"/>
      <c r="S104" s="3" t="n"/>
      <c r="T104" s="3" t="n"/>
      <c r="U104" s="3" t="n"/>
      <c r="V104" s="3" t="n"/>
      <c r="W104" s="3" t="n"/>
      <c r="X104" s="3" t="n"/>
      <c r="Y104" s="3" t="n"/>
      <c r="Z104" s="3" t="n"/>
      <c r="AA104" s="3" t="n"/>
    </row>
    <row r="105">
      <c r="A105" s="3" t="inlineStr">
        <is>
          <t>complaintRateReport.placeholderComplaintCount</t>
        </is>
      </c>
      <c r="B105" s="3" t="inlineStr">
        <is>
          <t>Nhập số lần</t>
        </is>
      </c>
      <c r="C105" s="3" t="inlineStr">
        <is>
          <t>Enter number</t>
        </is>
      </c>
      <c r="D105" s="3">
        <f>IFERROR(__xludf.DUMMYFUNCTION("GOOGLETRANSLATE(B105,""vi"",""en"")"),"Enter the number of times")</f>
        <v/>
      </c>
      <c r="E105" s="3">
        <f>IF(C105&lt;&gt;"",C105, D105)</f>
        <v/>
      </c>
      <c r="F105" s="3" t="n"/>
      <c r="G105" s="3">
        <f>IFERROR(__xludf.DUMMYFUNCTION("GOOGLETRANSLATE(B105,""vi"",""km"")"),"បញ្ចូលចំនួនដង")</f>
        <v/>
      </c>
      <c r="H105" s="3" t="inlineStr">
        <is>
          <t>បញ្ចូលចំនួនដង</t>
        </is>
      </c>
      <c r="I105" s="3" t="n"/>
      <c r="J105" s="3">
        <f>IFERROR(__xludf.DUMMYFUNCTION("GOOGLETRANSLATE(B105,""vi"",""lo"")"),"ໃສ່ຈຳນວນເທື່ອ")</f>
        <v/>
      </c>
      <c r="K105" s="3">
        <f>IF(I105&lt;&gt;"",I105, J105)</f>
        <v/>
      </c>
      <c r="L105" s="3" t="inlineStr">
        <is>
          <t>បញ្ចូលចំនួនដង</t>
        </is>
      </c>
      <c r="M105" s="3" t="n"/>
      <c r="N105" s="3" t="inlineStr">
        <is>
          <t>"complaintRateReport.placeholderComplaintCount": "Enter number",</t>
        </is>
      </c>
      <c r="O105" s="3" t="n"/>
      <c r="P105" s="3" t="n"/>
      <c r="Q105" s="3" t="n"/>
      <c r="R105" s="3" t="n"/>
      <c r="S105" s="3" t="n"/>
      <c r="T105" s="3" t="n"/>
      <c r="U105" s="3" t="n"/>
      <c r="V105" s="3" t="n"/>
      <c r="W105" s="3" t="n"/>
      <c r="X105" s="3" t="n"/>
      <c r="Y105" s="3" t="n"/>
      <c r="Z105" s="3" t="n"/>
      <c r="AA105" s="3" t="n"/>
    </row>
    <row r="106">
      <c r="A106" s="3" t="inlineStr">
        <is>
          <t>complaintRateReport.placeholderDeadline</t>
        </is>
      </c>
      <c r="B106" s="3" t="inlineStr">
        <is>
          <t>Chọn hạn xử lý</t>
        </is>
      </c>
      <c r="C106" s="3" t="inlineStr">
        <is>
          <t>Select processing deadline</t>
        </is>
      </c>
      <c r="D106" s="3">
        <f>IFERROR(__xludf.DUMMYFUNCTION("GOOGLETRANSLATE(B106,""vi"",""en"")"),"Select processing time")</f>
        <v/>
      </c>
      <c r="E106" s="3">
        <f>IF(C106&lt;&gt;"",C106, D106)</f>
        <v/>
      </c>
      <c r="F106" s="3" t="n"/>
      <c r="G106" s="3">
        <f>IFERROR(__xludf.DUMMYFUNCTION("GOOGLETRANSLATE(B106,""vi"",""km"")"),"ជ្រើសរើសពេលវេលាដំណើរការ")</f>
        <v/>
      </c>
      <c r="H106" s="3" t="inlineStr">
        <is>
          <t>ជ្រើសរើសពេលវេលាដំណើរការ</t>
        </is>
      </c>
      <c r="I106" s="3" t="n"/>
      <c r="J106" s="3">
        <f>IFERROR(__xludf.DUMMYFUNCTION("GOOGLETRANSLATE(B106,""vi"",""lo"")"),"ເລືອກເວລາປະມວນຜົນ")</f>
        <v/>
      </c>
      <c r="K106" s="3">
        <f>IF(I106&lt;&gt;"",I106, J106)</f>
        <v/>
      </c>
      <c r="L106" s="3" t="inlineStr">
        <is>
          <t>ជ្រើសរើសពេលវេលាដំណើរការ</t>
        </is>
      </c>
      <c r="M106" s="3" t="n"/>
      <c r="N106" s="3" t="inlineStr">
        <is>
          <t>"complaintRateReport.placeholderDeadline": "Select processing deadline",</t>
        </is>
      </c>
      <c r="O106" s="3" t="n"/>
      <c r="P106" s="3" t="n"/>
      <c r="Q106" s="3" t="n"/>
      <c r="R106" s="3" t="n"/>
      <c r="S106" s="3" t="n"/>
      <c r="T106" s="3" t="n"/>
      <c r="U106" s="3" t="n"/>
      <c r="V106" s="3" t="n"/>
      <c r="W106" s="3" t="n"/>
      <c r="X106" s="3" t="n"/>
      <c r="Y106" s="3" t="n"/>
      <c r="Z106" s="3" t="n"/>
      <c r="AA106" s="3" t="n"/>
    </row>
    <row r="107">
      <c r="A107" s="3" t="inlineStr">
        <is>
          <t>complaintRateReport.placeholderLevel</t>
        </is>
      </c>
      <c r="B107" s="3" t="inlineStr">
        <is>
          <t>Chọn mức độ</t>
        </is>
      </c>
      <c r="C107" s="3" t="inlineStr">
        <is>
          <t>Select severity</t>
        </is>
      </c>
      <c r="D107" s="3">
        <f>IFERROR(__xludf.DUMMYFUNCTION("GOOGLETRANSLATE(B107,""vi"",""en"")"),"Select level")</f>
        <v/>
      </c>
      <c r="E107" s="3">
        <f>IF(C107&lt;&gt;"",C107, D107)</f>
        <v/>
      </c>
      <c r="F107" s="3" t="n"/>
      <c r="G107" s="3">
        <f>IFERROR(__xludf.DUMMYFUNCTION("GOOGLETRANSLATE(B107,""vi"",""km"")"),"ជ្រើសរើសកម្រិត")</f>
        <v/>
      </c>
      <c r="H107" s="3" t="inlineStr">
        <is>
          <t>ជ្រើសរើសកម្រិត</t>
        </is>
      </c>
      <c r="I107" s="3" t="n"/>
      <c r="J107" s="3">
        <f>IFERROR(__xludf.DUMMYFUNCTION("GOOGLETRANSLATE(B107,""vi"",""lo"")"),"ເລືອກລະດັບ")</f>
        <v/>
      </c>
      <c r="K107" s="3">
        <f>IF(I107&lt;&gt;"",I107, J107)</f>
        <v/>
      </c>
      <c r="L107" s="3" t="inlineStr">
        <is>
          <t>ជ្រើសរើសកម្រិត</t>
        </is>
      </c>
      <c r="M107" s="3" t="n"/>
      <c r="N107" s="3" t="inlineStr">
        <is>
          <t>"complaintRateReport.placeholderLevel": "Select severity",</t>
        </is>
      </c>
      <c r="O107" s="3" t="n"/>
      <c r="P107" s="3" t="n"/>
      <c r="Q107" s="3" t="n"/>
      <c r="R107" s="3" t="n"/>
      <c r="S107" s="3" t="n"/>
      <c r="T107" s="3" t="n"/>
      <c r="U107" s="3" t="n"/>
      <c r="V107" s="3" t="n"/>
      <c r="W107" s="3" t="n"/>
      <c r="X107" s="3" t="n"/>
      <c r="Y107" s="3" t="n"/>
      <c r="Z107" s="3" t="n"/>
      <c r="AA107" s="3" t="n"/>
    </row>
    <row r="108">
      <c r="A108" s="3" t="inlineStr">
        <is>
          <t>complaintRateReport.placeholderPostOffice</t>
        </is>
      </c>
      <c r="B108" s="3" t="inlineStr">
        <is>
          <t>Chọn bưu cục</t>
        </is>
      </c>
      <c r="C108" s="3" t="inlineStr">
        <is>
          <t>Select Post Office</t>
        </is>
      </c>
      <c r="D108" s="3">
        <f>IFERROR(__xludf.DUMMYFUNCTION("GOOGLETRANSLATE(B108,""vi"",""en"")"),"Select post office")</f>
        <v/>
      </c>
      <c r="E108" s="3">
        <f>IF(C108&lt;&gt;"",C108, D108)</f>
        <v/>
      </c>
      <c r="F108" s="3" t="n"/>
      <c r="G108" s="3">
        <f>IFERROR(__xludf.DUMMYFUNCTION("GOOGLETRANSLATE(B108,""vi"",""km"")"),"ជ្រើសរើសការិយាល័យប្រៃសណីយ៍")</f>
        <v/>
      </c>
      <c r="H108" s="3" t="inlineStr">
        <is>
          <t>ជ្រើសរើសការិយាល័យប្រៃសណីយ៍</t>
        </is>
      </c>
      <c r="I108" s="3" t="n"/>
      <c r="J108" s="3">
        <f>IFERROR(__xludf.DUMMYFUNCTION("GOOGLETRANSLATE(B108,""vi"",""lo"")"),"ເລືອກຫ້ອງການໄປສະນີ")</f>
        <v/>
      </c>
      <c r="K108" s="3">
        <f>IF(I108&lt;&gt;"",I108, J108)</f>
        <v/>
      </c>
      <c r="L108" s="3" t="inlineStr">
        <is>
          <t>ជ្រើសរើសការិយាល័យប្រៃសណីយ៍</t>
        </is>
      </c>
      <c r="M108" s="3" t="n"/>
      <c r="N108" s="3" t="inlineStr">
        <is>
          <t>"complaintRateReport.placeholderPostOffice": "Select Post Office",</t>
        </is>
      </c>
      <c r="O108" s="3" t="n"/>
      <c r="P108" s="3" t="n"/>
      <c r="Q108" s="3" t="n"/>
      <c r="R108" s="3" t="n"/>
      <c r="S108" s="3" t="n"/>
      <c r="T108" s="3" t="n"/>
      <c r="U108" s="3" t="n"/>
      <c r="V108" s="3" t="n"/>
      <c r="W108" s="3" t="n"/>
      <c r="X108" s="3" t="n"/>
      <c r="Y108" s="3" t="n"/>
      <c r="Z108" s="3" t="n"/>
      <c r="AA108" s="3" t="n"/>
    </row>
    <row r="109">
      <c r="A109" s="3" t="inlineStr">
        <is>
          <t>complaintRateReport.placeholderReportTime</t>
        </is>
      </c>
      <c r="B109" s="3" t="inlineStr">
        <is>
          <t>Chọn thời gian báo cáo</t>
        </is>
      </c>
      <c r="C109" s="3" t="inlineStr">
        <is>
          <t>Select reporting period</t>
        </is>
      </c>
      <c r="D109" s="3">
        <f>IFERROR(__xludf.DUMMYFUNCTION("GOOGLETRANSLATE(B109,""vi"",""en"")"),"Select reporting period")</f>
        <v/>
      </c>
      <c r="E109" s="3">
        <f>IF(C109&lt;&gt;"",C109, D109)</f>
        <v/>
      </c>
      <c r="F109" s="3" t="n"/>
      <c r="G109" s="3">
        <f>IFERROR(__xludf.DUMMYFUNCTION("GOOGLETRANSLATE(B109,""vi"",""km"")"),"ជ្រើសរើសរយៈពេលរាយការណ៍")</f>
        <v/>
      </c>
      <c r="H109" s="3" t="inlineStr">
        <is>
          <t>ជ្រើសរើសរយៈពេលរាយការណ៍</t>
        </is>
      </c>
      <c r="I109" s="3" t="n"/>
      <c r="J109" s="3">
        <f>IFERROR(__xludf.DUMMYFUNCTION("GOOGLETRANSLATE(B109,""vi"",""lo"")"),"ເລືອກໄລຍະເວລາລາຍງານ")</f>
        <v/>
      </c>
      <c r="K109" s="3">
        <f>IF(I109&lt;&gt;"",I109, J109)</f>
        <v/>
      </c>
      <c r="L109" s="3" t="inlineStr">
        <is>
          <t>ជ្រើសរើសរយៈពេលរាយការណ៍</t>
        </is>
      </c>
      <c r="M109" s="3" t="n"/>
      <c r="N109" s="3" t="inlineStr">
        <is>
          <t>"complaintRateReport.placeholderReportTime": "Select reporting period",</t>
        </is>
      </c>
      <c r="O109" s="3" t="n"/>
      <c r="P109" s="3" t="n"/>
      <c r="Q109" s="3" t="n"/>
      <c r="R109" s="3" t="n"/>
      <c r="S109" s="3" t="n"/>
      <c r="T109" s="3" t="n"/>
      <c r="U109" s="3" t="n"/>
      <c r="V109" s="3" t="n"/>
      <c r="W109" s="3" t="n"/>
      <c r="X109" s="3" t="n"/>
      <c r="Y109" s="3" t="n"/>
      <c r="Z109" s="3" t="n"/>
      <c r="AA109" s="3" t="n"/>
    </row>
    <row r="110">
      <c r="A110" s="3" t="inlineStr">
        <is>
          <t>complaintRateReport.postOffice</t>
        </is>
      </c>
      <c r="B110" s="3" t="inlineStr">
        <is>
          <t>Bưu cục</t>
        </is>
      </c>
      <c r="C110" s="3" t="inlineStr">
        <is>
          <t>Post Office</t>
        </is>
      </c>
      <c r="D110" s="3">
        <f>IFERROR(__xludf.DUMMYFUNCTION("GOOGLETRANSLATE(B110,""vi"",""en"")"),"Post Office")</f>
        <v/>
      </c>
      <c r="E110" s="3">
        <f>IF(C110&lt;&gt;"",C110, D110)</f>
        <v/>
      </c>
      <c r="F110" s="3" t="n"/>
      <c r="G110" s="3">
        <f>IFERROR(__xludf.DUMMYFUNCTION("GOOGLETRANSLATE(B110,""vi"",""km"")"),"ការិយាល័យប្រៃសណីយ៍")</f>
        <v/>
      </c>
      <c r="H110" s="3" t="inlineStr">
        <is>
          <t>ការិយាល័យប្រៃសណីយ៍</t>
        </is>
      </c>
      <c r="I110" s="3" t="n"/>
      <c r="J110" s="3">
        <f>IFERROR(__xludf.DUMMYFUNCTION("GOOGLETRANSLATE(B110,""vi"",""lo"")"),"ຫ້ອງການໄປສະນີ")</f>
        <v/>
      </c>
      <c r="K110" s="3">
        <f>IF(I110&lt;&gt;"",I110, J110)</f>
        <v/>
      </c>
      <c r="L110" s="3" t="inlineStr">
        <is>
          <t>ការិយាល័យប្រៃសណីយ៍</t>
        </is>
      </c>
      <c r="M110" s="3" t="n"/>
      <c r="N110" s="3" t="inlineStr">
        <is>
          <t>"complaintRateReport.postOffice": "Post Office",</t>
        </is>
      </c>
      <c r="O110" s="3" t="n"/>
      <c r="P110" s="3" t="n"/>
      <c r="Q110" s="3" t="n"/>
      <c r="R110" s="3" t="n"/>
      <c r="S110" s="3" t="n"/>
      <c r="T110" s="3" t="n"/>
      <c r="U110" s="3" t="n"/>
      <c r="V110" s="3" t="n"/>
      <c r="W110" s="3" t="n"/>
      <c r="X110" s="3" t="n"/>
      <c r="Y110" s="3" t="n"/>
      <c r="Z110" s="3" t="n"/>
      <c r="AA110" s="3" t="n"/>
    </row>
    <row r="111">
      <c r="A111" s="3" t="inlineStr">
        <is>
          <t>complaintRateReport.postOfficeName</t>
        </is>
      </c>
      <c r="B111" s="3" t="inlineStr">
        <is>
          <t>Bưu cục</t>
        </is>
      </c>
      <c r="C111" s="3" t="inlineStr">
        <is>
          <t>Post Office</t>
        </is>
      </c>
      <c r="D111" s="3">
        <f>IFERROR(__xludf.DUMMYFUNCTION("GOOGLETRANSLATE(B111,""vi"",""en"")"),"Post Office")</f>
        <v/>
      </c>
      <c r="E111" s="3">
        <f>IF(C111&lt;&gt;"",C111, D111)</f>
        <v/>
      </c>
      <c r="F111" s="3" t="n"/>
      <c r="G111" s="3">
        <f>IFERROR(__xludf.DUMMYFUNCTION("GOOGLETRANSLATE(B111,""vi"",""km"")"),"ការិយាល័យប្រៃសណីយ៍")</f>
        <v/>
      </c>
      <c r="H111" s="3" t="inlineStr">
        <is>
          <t>ការិយាល័យប្រៃសណីយ៍</t>
        </is>
      </c>
      <c r="I111" s="3" t="n"/>
      <c r="J111" s="3">
        <f>IFERROR(__xludf.DUMMYFUNCTION("GOOGLETRANSLATE(B111,""vi"",""lo"")"),"ຫ້ອງການໄປສະນີ")</f>
        <v/>
      </c>
      <c r="K111" s="3">
        <f>IF(I111&lt;&gt;"",I111, J111)</f>
        <v/>
      </c>
      <c r="L111" s="3" t="inlineStr">
        <is>
          <t>ការិយាល័យប្រៃសណីយ៍</t>
        </is>
      </c>
      <c r="M111" s="3" t="n"/>
      <c r="N111" s="3" t="inlineStr">
        <is>
          <t>"complaintRateReport.postOfficeName": "Post Office",</t>
        </is>
      </c>
      <c r="O111" s="3" t="n"/>
      <c r="P111" s="3" t="n"/>
      <c r="Q111" s="3" t="n"/>
      <c r="R111" s="3" t="n"/>
      <c r="S111" s="3" t="n"/>
      <c r="T111" s="3" t="n"/>
      <c r="U111" s="3" t="n"/>
      <c r="V111" s="3" t="n"/>
      <c r="W111" s="3" t="n"/>
      <c r="X111" s="3" t="n"/>
      <c r="Y111" s="3" t="n"/>
      <c r="Z111" s="3" t="n"/>
      <c r="AA111" s="3" t="n"/>
    </row>
    <row r="112">
      <c r="A112" s="3" t="inlineStr">
        <is>
          <t>complaintRateReport.processedOnTime</t>
        </is>
      </c>
      <c r="B112" s="3" t="inlineStr">
        <is>
          <t>Trong hạn</t>
        </is>
      </c>
      <c r="C112" s="3" t="inlineStr">
        <is>
          <t>On time</t>
        </is>
      </c>
      <c r="D112" s="3">
        <f>IFERROR(__xludf.DUMMYFUNCTION("GOOGLETRANSLATE(B112,""vi"",""en"")"),"Within the deadline")</f>
        <v/>
      </c>
      <c r="E112" s="3">
        <f>IF(C112&lt;&gt;"",C112, D112)</f>
        <v/>
      </c>
      <c r="F112" s="3" t="n"/>
      <c r="G112" s="3">
        <f>IFERROR(__xludf.DUMMYFUNCTION("GOOGLETRANSLATE(B112,""vi"",""km"")"),"ក្នុងរយៈពេលកំណត់")</f>
        <v/>
      </c>
      <c r="H112" s="3" t="inlineStr">
        <is>
          <t>ក្នុងរយៈពេលកំណត់</t>
        </is>
      </c>
      <c r="I112" s="3" t="n"/>
      <c r="J112" s="3">
        <f>IFERROR(__xludf.DUMMYFUNCTION("GOOGLETRANSLATE(B112,""vi"",""lo"")"),"ພາຍໃນໄລຍະເວລາກຳນົດ")</f>
        <v/>
      </c>
      <c r="K112" s="3">
        <f>IF(I112&lt;&gt;"",I112, J112)</f>
        <v/>
      </c>
      <c r="L112" s="3" t="inlineStr">
        <is>
          <t>ក្នុងរយៈពេលកំណត់</t>
        </is>
      </c>
      <c r="M112" s="3" t="n"/>
      <c r="N112" s="3" t="inlineStr">
        <is>
          <t>"complaintRateReport.processedOnTime": "On time",</t>
        </is>
      </c>
      <c r="O112" s="3" t="n"/>
      <c r="P112" s="3" t="n"/>
      <c r="Q112" s="3" t="n"/>
      <c r="R112" s="3" t="n"/>
      <c r="S112" s="3" t="n"/>
      <c r="T112" s="3" t="n"/>
      <c r="U112" s="3" t="n"/>
      <c r="V112" s="3" t="n"/>
      <c r="W112" s="3" t="n"/>
      <c r="X112" s="3" t="n"/>
      <c r="Y112" s="3" t="n"/>
      <c r="Z112" s="3" t="n"/>
      <c r="AA112" s="3" t="n"/>
    </row>
    <row r="113">
      <c r="A113" s="3" t="inlineStr">
        <is>
          <t>complaintRateReport.processedOverdue</t>
        </is>
      </c>
      <c r="B113" s="3" t="inlineStr">
        <is>
          <t>Quá hạn</t>
        </is>
      </c>
      <c r="C113" s="3" t="inlineStr">
        <is>
          <t>Overdue</t>
        </is>
      </c>
      <c r="D113" s="3">
        <f>IFERROR(__xludf.DUMMYFUNCTION("GOOGLETRANSLATE(B113,""vi"",""en"")"),"Overdue")</f>
        <v/>
      </c>
      <c r="E113" s="3">
        <f>IF(C113&lt;&gt;"",C113, D113)</f>
        <v/>
      </c>
      <c r="F113" s="3" t="n"/>
      <c r="G113" s="3">
        <f>IFERROR(__xludf.DUMMYFUNCTION("GOOGLETRANSLATE(B113,""vi"",""km"")"),"ហួសកាលកំណត់")</f>
        <v/>
      </c>
      <c r="H113" s="3" t="inlineStr">
        <is>
          <t>ហួសកាលកំណត់</t>
        </is>
      </c>
      <c r="I113" s="3" t="n"/>
      <c r="J113" s="3">
        <f>IFERROR(__xludf.DUMMYFUNCTION("GOOGLETRANSLATE(B113,""vi"",""lo"")"),"ເກີນກຳນົດ")</f>
        <v/>
      </c>
      <c r="K113" s="3">
        <f>IF(I113&lt;&gt;"",I113, J113)</f>
        <v/>
      </c>
      <c r="L113" s="3" t="inlineStr">
        <is>
          <t>ហួសកាលកំណត់</t>
        </is>
      </c>
      <c r="M113" s="3" t="n"/>
      <c r="N113" s="3" t="inlineStr">
        <is>
          <t>"complaintRateReport.processedOverdue": "Overdue",</t>
        </is>
      </c>
      <c r="O113" s="3" t="n"/>
      <c r="P113" s="3" t="n"/>
      <c r="Q113" s="3" t="n"/>
      <c r="R113" s="3" t="n"/>
      <c r="S113" s="3" t="n"/>
      <c r="T113" s="3" t="n"/>
      <c r="U113" s="3" t="n"/>
      <c r="V113" s="3" t="n"/>
      <c r="W113" s="3" t="n"/>
      <c r="X113" s="3" t="n"/>
      <c r="Y113" s="3" t="n"/>
      <c r="Z113" s="3" t="n"/>
      <c r="AA113" s="3" t="n"/>
    </row>
    <row r="114">
      <c r="A114" s="3" t="inlineStr">
        <is>
          <t>complaintRateReport.reportTime</t>
        </is>
      </c>
      <c r="B114" s="3" t="inlineStr">
        <is>
          <t>Thời gian báo cáo</t>
        </is>
      </c>
      <c r="C114" s="3" t="inlineStr">
        <is>
          <t>Reporting period</t>
        </is>
      </c>
      <c r="D114" s="3">
        <f>IFERROR(__xludf.DUMMYFUNCTION("GOOGLETRANSLATE(B114,""vi"",""en"")"),"Reporting period")</f>
        <v/>
      </c>
      <c r="E114" s="3">
        <f>IF(C114&lt;&gt;"",C114, D114)</f>
        <v/>
      </c>
      <c r="F114" s="3" t="n"/>
      <c r="G114" s="3">
        <f>IFERROR(__xludf.DUMMYFUNCTION("GOOGLETRANSLATE(B114,""vi"",""km"")"),"រយៈពេលរាយការណ៍")</f>
        <v/>
      </c>
      <c r="H114" s="3" t="inlineStr">
        <is>
          <t>រយៈពេលរាយការណ៍</t>
        </is>
      </c>
      <c r="I114" s="3" t="n"/>
      <c r="J114" s="3">
        <f>IFERROR(__xludf.DUMMYFUNCTION("GOOGLETRANSLATE(B114,""vi"",""lo"")"),"ໄລຍະເວລາລາຍງານ")</f>
        <v/>
      </c>
      <c r="K114" s="3">
        <f>IF(I114&lt;&gt;"",I114, J114)</f>
        <v/>
      </c>
      <c r="L114" s="3" t="inlineStr">
        <is>
          <t>រយៈពេលរាយការណ៍</t>
        </is>
      </c>
      <c r="M114" s="3" t="n"/>
      <c r="N114" s="3" t="inlineStr">
        <is>
          <t>"complaintRateReport.reportTime": "Reporting period",</t>
        </is>
      </c>
      <c r="O114" s="3" t="n"/>
      <c r="P114" s="3" t="n"/>
      <c r="Q114" s="3" t="n"/>
      <c r="R114" s="3" t="n"/>
      <c r="S114" s="3" t="n"/>
      <c r="T114" s="3" t="n"/>
      <c r="U114" s="3" t="n"/>
      <c r="V114" s="3" t="n"/>
      <c r="W114" s="3" t="n"/>
      <c r="X114" s="3" t="n"/>
      <c r="Y114" s="3" t="n"/>
      <c r="Z114" s="3" t="n"/>
      <c r="AA114" s="3" t="n"/>
    </row>
    <row r="115">
      <c r="A115" s="3" t="inlineStr">
        <is>
          <t>complaintRateReport.resolutionRate</t>
        </is>
      </c>
      <c r="B115" s="3" t="inlineStr">
        <is>
          <t>Tỷ lệ giải quyết</t>
        </is>
      </c>
      <c r="C115" s="3" t="inlineStr">
        <is>
          <t>Resolution rate</t>
        </is>
      </c>
      <c r="D115" s="3">
        <f>IFERROR(__xludf.DUMMYFUNCTION("GOOGLETRANSLATE(B115,""vi"",""en"")"),"Resolution rate")</f>
        <v/>
      </c>
      <c r="E115" s="3">
        <f>IF(C115&lt;&gt;"",C115, D115)</f>
        <v/>
      </c>
      <c r="F115" s="3" t="n"/>
      <c r="G115" s="3">
        <f>IFERROR(__xludf.DUMMYFUNCTION("GOOGLETRANSLATE(B115,""vi"",""km"")"),"អត្រា​គុណភាព​បង្ហាញ")</f>
        <v/>
      </c>
      <c r="H115" s="3" t="inlineStr">
        <is>
          <t>អត្រាគុណភាពបង្ហាញ</t>
        </is>
      </c>
      <c r="I115" s="3" t="n"/>
      <c r="J115" s="3">
        <f>IFERROR(__xludf.DUMMYFUNCTION("GOOGLETRANSLATE(B115,""vi"",""lo"")"),"ອັດຕາຄວາມລະອຽດ")</f>
        <v/>
      </c>
      <c r="K115" s="3">
        <f>IF(I115&lt;&gt;"",I115, J115)</f>
        <v/>
      </c>
      <c r="L115" s="3" t="inlineStr">
        <is>
          <t>អត្រាគុណភាពបង្ហាញ</t>
        </is>
      </c>
      <c r="M115" s="3" t="n"/>
      <c r="N115" s="3" t="inlineStr">
        <is>
          <t>"complaintRateReport.resolutionRate": "Resolution rate",</t>
        </is>
      </c>
      <c r="O115" s="3" t="n"/>
      <c r="P115" s="3" t="n"/>
      <c r="Q115" s="3" t="n"/>
      <c r="R115" s="3" t="n"/>
      <c r="S115" s="3" t="n"/>
      <c r="T115" s="3" t="n"/>
      <c r="U115" s="3" t="n"/>
      <c r="V115" s="3" t="n"/>
      <c r="W115" s="3" t="n"/>
      <c r="X115" s="3" t="n"/>
      <c r="Y115" s="3" t="n"/>
      <c r="Z115" s="3" t="n"/>
      <c r="AA115" s="3" t="n"/>
    </row>
    <row r="116">
      <c r="A116" s="3" t="inlineStr">
        <is>
          <t>complaintRateReport.successResolutionRate</t>
        </is>
      </c>
      <c r="B116" s="3" t="inlineStr">
        <is>
          <t>Tỷ lệ giải quyết khiếu nại thành công</t>
        </is>
      </c>
      <c r="C116" s="3" t="inlineStr">
        <is>
          <t>Successful complaint resolution rate</t>
        </is>
      </c>
      <c r="D116" s="3">
        <f>IFERROR(__xludf.DUMMYFUNCTION("GOOGLETRANSLATE(B116,""vi"",""en"")"),"Complaint resolution rate")</f>
        <v/>
      </c>
      <c r="E116" s="3">
        <f>IF(C116&lt;&gt;"",C116, D116)</f>
        <v/>
      </c>
      <c r="F116" s="3" t="n"/>
      <c r="G116" s="3">
        <f>IFERROR(__xludf.DUMMYFUNCTION("GOOGLETRANSLATE(B116,""vi"",""km"")"),"អត្រាដោះស្រាយពាក្យបណ្តឹង")</f>
        <v/>
      </c>
      <c r="H116" s="3" t="inlineStr">
        <is>
          <t>អត្រាដោះស្រាយពាក្យបណ្តឹង</t>
        </is>
      </c>
      <c r="I116" s="3" t="n"/>
      <c r="J116" s="3">
        <f>IFERROR(__xludf.DUMMYFUNCTION("GOOGLETRANSLATE(B116,""vi"",""lo"")"),"ອັດຕາການແກ້ໄຂບັນຫາການຮ້ອງທຸກ")</f>
        <v/>
      </c>
      <c r="K116" s="3">
        <f>IF(I116&lt;&gt;"",I116, J116)</f>
        <v/>
      </c>
      <c r="L116" s="3" t="inlineStr">
        <is>
          <t>អត្រាដោះស្រាយពាក្យបណ្តឹង</t>
        </is>
      </c>
      <c r="M116" s="3" t="n"/>
      <c r="N116" s="3" t="inlineStr">
        <is>
          <t>"complaintRateReport.successResolutionRate": "Successful complaint resolution rate",</t>
        </is>
      </c>
      <c r="O116" s="3" t="n"/>
      <c r="P116" s="3" t="n"/>
      <c r="Q116" s="3" t="n"/>
      <c r="R116" s="3" t="n"/>
      <c r="S116" s="3" t="n"/>
      <c r="T116" s="3" t="n"/>
      <c r="U116" s="3" t="n"/>
      <c r="V116" s="3" t="n"/>
      <c r="W116" s="3" t="n"/>
      <c r="X116" s="3" t="n"/>
      <c r="Y116" s="3" t="n"/>
      <c r="Z116" s="3" t="n"/>
      <c r="AA116" s="3" t="n"/>
    </row>
    <row r="117">
      <c r="A117" s="3" t="inlineStr">
        <is>
          <t>complaintRateReport.totalMustProcess</t>
        </is>
      </c>
      <c r="B117" s="3" t="inlineStr">
        <is>
          <t>Tổng khiếu nại phải xử lý</t>
        </is>
      </c>
      <c r="C117" s="3" t="inlineStr">
        <is>
          <t>Total complaints to process</t>
        </is>
      </c>
      <c r="D117" s="3">
        <f>IFERROR(__xludf.DUMMYFUNCTION("GOOGLETRANSLATE(B117,""vi"",""en"")"),"Total number of complaints to be processed.")</f>
        <v/>
      </c>
      <c r="E117" s="3">
        <f>IF(C117&lt;&gt;"",C117, D117)</f>
        <v/>
      </c>
      <c r="F117" s="3" t="n"/>
      <c r="G117" s="3">
        <f>IFERROR(__xludf.DUMMYFUNCTION("GOOGLETRANSLATE(B117,""vi"",""km"")"),"ចំនួនសរុបនៃពាក្យបណ្តឹងដែលត្រូវដំណើរការ។")</f>
        <v/>
      </c>
      <c r="H117" s="3" t="inlineStr">
        <is>
          <t>ចំនួនសរុបនៃពាក្យបណ្តឹងដែលត្រូវដំណើរការ។</t>
        </is>
      </c>
      <c r="I117" s="3" t="n"/>
      <c r="J117" s="3">
        <f>IFERROR(__xludf.DUMMYFUNCTION("GOOGLETRANSLATE(B117,""vi"",""lo"")"),"ຈຳນວນຄຳຮ້ອງທຸກທັງໝົດທີ່ຕ້ອງໄດ້ດຳເນີນການ.")</f>
        <v/>
      </c>
      <c r="K117" s="3">
        <f>IF(I117&lt;&gt;"",I117, J117)</f>
        <v/>
      </c>
      <c r="L117" s="3" t="inlineStr">
        <is>
          <t>ចំនួនសរុបនៃពាក្យបណ្តឹងដែលត្រូវដំណើរការ។</t>
        </is>
      </c>
      <c r="M117" s="3" t="n"/>
      <c r="N117" s="3" t="inlineStr">
        <is>
          <t>"complaintRateReport.totalMustProcess": "Total complaints to process",</t>
        </is>
      </c>
      <c r="O117" s="3" t="n"/>
      <c r="P117" s="3" t="n"/>
      <c r="Q117" s="3" t="n"/>
      <c r="R117" s="3" t="n"/>
      <c r="S117" s="3" t="n"/>
      <c r="T117" s="3" t="n"/>
      <c r="U117" s="3" t="n"/>
      <c r="V117" s="3" t="n"/>
      <c r="W117" s="3" t="n"/>
      <c r="X117" s="3" t="n"/>
      <c r="Y117" s="3" t="n"/>
      <c r="Z117" s="3" t="n"/>
      <c r="AA117" s="3" t="n"/>
    </row>
    <row r="118">
      <c r="A118" s="3" t="inlineStr">
        <is>
          <t>complaintRateReport.totalProcessed</t>
        </is>
      </c>
      <c r="B118" s="3" t="inlineStr">
        <is>
          <t>KN đã xử lý</t>
        </is>
      </c>
      <c r="C118" s="3" t="inlineStr">
        <is>
          <t>Processed complaints</t>
        </is>
      </c>
      <c r="D118" s="3">
        <f>IFERROR(__xludf.DUMMYFUNCTION("GOOGLETRANSLATE(B118,""vi"",""en"")"),"KN has processed")</f>
        <v/>
      </c>
      <c r="E118" s="3">
        <f>IF(C118&lt;&gt;"",C118, D118)</f>
        <v/>
      </c>
      <c r="F118" s="3" t="n"/>
      <c r="G118" s="3">
        <f>IFERROR(__xludf.DUMMYFUNCTION("GOOGLETRANSLATE(B118,""vi"",""km"")"),"KN បានដំណើរការ")</f>
        <v/>
      </c>
      <c r="H118" s="3" t="inlineStr">
        <is>
          <t>KN បានដំណើរការ</t>
        </is>
      </c>
      <c r="I118" s="3" t="n"/>
      <c r="J118" s="3">
        <f>IFERROR(__xludf.DUMMYFUNCTION("GOOGLETRANSLATE(B118,""vi"",""lo"")"),"KN ໄດ້ປະມວນຜົນແລ້ວ")</f>
        <v/>
      </c>
      <c r="K118" s="3">
        <f>IF(I118&lt;&gt;"",I118, J118)</f>
        <v/>
      </c>
      <c r="L118" s="3" t="inlineStr">
        <is>
          <t>KN បានដំណើរការ</t>
        </is>
      </c>
      <c r="M118" s="3" t="n"/>
      <c r="N118" s="3" t="inlineStr">
        <is>
          <t>"complaintRateReport.totalProcessed": "Processed complaints",</t>
        </is>
      </c>
      <c r="O118" s="3" t="n"/>
      <c r="P118" s="3" t="n"/>
      <c r="Q118" s="3" t="n"/>
      <c r="R118" s="3" t="n"/>
      <c r="S118" s="3" t="n"/>
      <c r="T118" s="3" t="n"/>
      <c r="U118" s="3" t="n"/>
      <c r="V118" s="3" t="n"/>
      <c r="W118" s="3" t="n"/>
      <c r="X118" s="3" t="n"/>
      <c r="Y118" s="3" t="n"/>
      <c r="Z118" s="3" t="n"/>
      <c r="AA118" s="3" t="n"/>
    </row>
    <row r="119">
      <c r="A119" s="3" t="inlineStr">
        <is>
          <t>complaintRateReport.totalProcessedCount</t>
        </is>
      </c>
      <c r="B119" s="3" t="inlineStr">
        <is>
          <t>Tổng đã xử lý</t>
        </is>
      </c>
      <c r="C119" s="3" t="inlineStr">
        <is>
          <t>Total processed</t>
        </is>
      </c>
      <c r="D119" s="3">
        <f>IFERROR(__xludf.DUMMYFUNCTION("GOOGLETRANSLATE(B119,""vi"",""en"")"),"Total processed")</f>
        <v/>
      </c>
      <c r="E119" s="3">
        <f>IF(C119&lt;&gt;"",C119, D119)</f>
        <v/>
      </c>
      <c r="F119" s="3" t="n"/>
      <c r="G119" s="3">
        <f>IFERROR(__xludf.DUMMYFUNCTION("GOOGLETRANSLATE(B119,""vi"",""km"")"),"សរុបដែលបានដំណើរការ")</f>
        <v/>
      </c>
      <c r="H119" s="3" t="inlineStr">
        <is>
          <t>សរុបដែលបានដំណើរការ</t>
        </is>
      </c>
      <c r="I119" s="3" t="n"/>
      <c r="J119" s="3">
        <f>IFERROR(__xludf.DUMMYFUNCTION("GOOGLETRANSLATE(B119,""vi"",""lo"")"),"ປະມວນຜົນທັງໝົດ")</f>
        <v/>
      </c>
      <c r="K119" s="3">
        <f>IF(I119&lt;&gt;"",I119, J119)</f>
        <v/>
      </c>
      <c r="L119" s="3" t="inlineStr">
        <is>
          <t>សរុបដែលបានដំណើរការ</t>
        </is>
      </c>
      <c r="M119" s="3" t="n"/>
      <c r="N119" s="3" t="inlineStr">
        <is>
          <t>"complaintRateReport.totalProcessedCount": "Total processed",</t>
        </is>
      </c>
      <c r="O119" s="3" t="n"/>
      <c r="P119" s="3" t="n"/>
      <c r="Q119" s="3" t="n"/>
      <c r="R119" s="3" t="n"/>
      <c r="S119" s="3" t="n"/>
      <c r="T119" s="3" t="n"/>
      <c r="U119" s="3" t="n"/>
      <c r="V119" s="3" t="n"/>
      <c r="W119" s="3" t="n"/>
      <c r="X119" s="3" t="n"/>
      <c r="Y119" s="3" t="n"/>
      <c r="Z119" s="3" t="n"/>
      <c r="AA119" s="3" t="n"/>
    </row>
    <row r="120">
      <c r="A120" s="3" t="inlineStr">
        <is>
          <t>complaintRateReport.withinDeadline</t>
        </is>
      </c>
      <c r="B120" s="3" t="inlineStr">
        <is>
          <t>KN còn hạn xử lý</t>
        </is>
      </c>
      <c r="C120" s="3" t="inlineStr">
        <is>
          <t>Complaints within deadline</t>
        </is>
      </c>
      <c r="D120" s="3">
        <f>IFERROR(__xludf.DUMMYFUNCTION("GOOGLETRANSLATE(B120,""vi"",""en"")"),"The processing deadline for the complaint is still open.")</f>
        <v/>
      </c>
      <c r="E120" s="3">
        <f>IF(C120&lt;&gt;"",C120, D120)</f>
        <v/>
      </c>
      <c r="F120" s="3" t="n"/>
      <c r="G120" s="3">
        <f>IFERROR(__xludf.DUMMYFUNCTION("GOOGLETRANSLATE(B120,""vi"",""km"")"),"ថ្ងៃផុតកំណត់សម្រាប់ដំណើរការពាក្យបណ្តឹងនៅតែបើកចំហ។")</f>
        <v/>
      </c>
      <c r="H120" s="3" t="inlineStr">
        <is>
          <t>ថ្ងៃផុតកំណត់សម្រាប់ដំណើរការពាក្យបណ្តឹងនៅតែបើកចំហ។</t>
        </is>
      </c>
      <c r="I120" s="3" t="n"/>
      <c r="J120" s="3">
        <f>IFERROR(__xludf.DUMMYFUNCTION("GOOGLETRANSLATE(B120,""vi"",""lo"")"),"ກຳນົດເວລາສຸດທ້າຍສຳລັບການດຳເນີນການຮ້ອງຮຽນຍັງເປີດຢູ່.")</f>
        <v/>
      </c>
      <c r="K120" s="3">
        <f>IF(I120&lt;&gt;"",I120, J120)</f>
        <v/>
      </c>
      <c r="L120" s="3" t="inlineStr">
        <is>
          <t>ថ្ងៃផុតកំណត់សម្រាប់ដំណើរការពាក្យបណ្តឹងនៅតែបើកចំហ។</t>
        </is>
      </c>
      <c r="M120" s="3" t="n"/>
      <c r="N120" s="3" t="inlineStr">
        <is>
          <t>"complaintRateReport.withinDeadline": "Complaints within deadline",</t>
        </is>
      </c>
      <c r="O120" s="3" t="n"/>
      <c r="P120" s="3" t="n"/>
      <c r="Q120" s="3" t="n"/>
      <c r="R120" s="3" t="n"/>
      <c r="S120" s="3" t="n"/>
      <c r="T120" s="3" t="n"/>
      <c r="U120" s="3" t="n"/>
      <c r="V120" s="3" t="n"/>
      <c r="W120" s="3" t="n"/>
      <c r="X120" s="3" t="n"/>
      <c r="Y120" s="3" t="n"/>
      <c r="Z120" s="3" t="n"/>
      <c r="AA120" s="3" t="n"/>
    </row>
    <row r="121">
      <c r="A121" s="3" t="inlineStr">
        <is>
          <t>createComplaint.attachment</t>
        </is>
      </c>
      <c r="B121" s="3" t="inlineStr">
        <is>
          <t>Tải tập lên</t>
        </is>
      </c>
      <c r="C121" s="3" t="inlineStr">
        <is>
          <t>Upload file</t>
        </is>
      </c>
      <c r="D121" s="3">
        <f>IFERROR(__xludf.DUMMYFUNCTION("GOOGLETRANSLATE(B121,""vi"",""en"")"),"Upload the file")</f>
        <v/>
      </c>
      <c r="E121" s="3">
        <f>IF(C121&lt;&gt;"",C121, D121)</f>
        <v/>
      </c>
      <c r="F121" s="3" t="n"/>
      <c r="G121" s="3">
        <f>IFERROR(__xludf.DUMMYFUNCTION("GOOGLETRANSLATE(B121,""vi"",""km"")"),"ផ្ទុកឡើងឯកសារ")</f>
        <v/>
      </c>
      <c r="H121" s="3" t="inlineStr">
        <is>
          <t>ផ្ទុកឡើងឯកសារ</t>
        </is>
      </c>
      <c r="I121" s="3" t="n"/>
      <c r="J121" s="3">
        <f>IFERROR(__xludf.DUMMYFUNCTION("GOOGLETRANSLATE(B121,""vi"",""lo"")"),"ອັບໂຫຼດໄຟລ໌")</f>
        <v/>
      </c>
      <c r="K121" s="3">
        <f>IF(I121&lt;&gt;"",I121, J121)</f>
        <v/>
      </c>
      <c r="L121" s="3" t="inlineStr">
        <is>
          <t>ផ្ទុកឡើងឯកសារ</t>
        </is>
      </c>
      <c r="M121" s="3" t="n"/>
      <c r="N121" s="3" t="inlineStr">
        <is>
          <t>"createComplaint.attachment": "Upload file",</t>
        </is>
      </c>
      <c r="O121" s="3" t="n"/>
      <c r="P121" s="3" t="n"/>
      <c r="Q121" s="3" t="n"/>
      <c r="R121" s="3" t="n"/>
      <c r="S121" s="3" t="n"/>
      <c r="T121" s="3" t="n"/>
      <c r="U121" s="3" t="n"/>
      <c r="V121" s="3" t="n"/>
      <c r="W121" s="3" t="n"/>
      <c r="X121" s="3" t="n"/>
      <c r="Y121" s="3" t="n"/>
      <c r="Z121" s="3" t="n"/>
      <c r="AA121" s="3" t="n"/>
    </row>
    <row r="122">
      <c r="A122" s="3" t="inlineStr">
        <is>
          <t>createComplaint.bcOrigin</t>
        </is>
      </c>
      <c r="B122" s="3" t="inlineStr">
        <is>
          <t>BC gốc</t>
        </is>
      </c>
      <c r="C122" s="3" t="inlineStr">
        <is>
          <t>Origin post office</t>
        </is>
      </c>
      <c r="D122" s="3">
        <f>IFERROR(__xludf.DUMMYFUNCTION("GOOGLETRANSLATE(B122,""vi"",""en"")"),"Original BC")</f>
        <v/>
      </c>
      <c r="E122" s="3">
        <f>IF(C122&lt;&gt;"",C122, D122)</f>
        <v/>
      </c>
      <c r="F122" s="3" t="n"/>
      <c r="G122" s="3">
        <f>IFERROR(__xludf.DUMMYFUNCTION("GOOGLETRANSLATE(B122,""vi"",""km"")"),"ដើម មុនគ.ស.")</f>
        <v/>
      </c>
      <c r="H122" s="3" t="inlineStr">
        <is>
          <t>ការិយាល័យប្រៃសណីយ៍ដើម</t>
        </is>
      </c>
      <c r="I122" s="3" t="n"/>
      <c r="J122" s="3">
        <f>IFERROR(__xludf.DUMMYFUNCTION("GOOGLETRANSLATE(B122,""vi"",""lo"")"),"ຕົ້ນສະບັບ BC")</f>
        <v/>
      </c>
      <c r="K122" s="3">
        <f>IF(I122&lt;&gt;"",I122, J122)</f>
        <v/>
      </c>
      <c r="L122" s="3" t="inlineStr">
        <is>
          <t>ការិយាល័យប្រៃសណីយ៍ដើម</t>
        </is>
      </c>
      <c r="M122" s="3" t="n"/>
      <c r="N122" s="3" t="inlineStr">
        <is>
          <t>"createComplaint.bcOrigin": "Origin post office",</t>
        </is>
      </c>
      <c r="O122" s="3" t="n"/>
      <c r="P122" s="3" t="n"/>
      <c r="Q122" s="3" t="n"/>
      <c r="R122" s="3" t="n"/>
      <c r="S122" s="3" t="n"/>
      <c r="T122" s="3" t="n"/>
      <c r="U122" s="3" t="n"/>
      <c r="V122" s="3" t="n"/>
      <c r="W122" s="3" t="n"/>
      <c r="X122" s="3" t="n"/>
      <c r="Y122" s="3" t="n"/>
      <c r="Z122" s="3" t="n"/>
      <c r="AA122" s="3" t="n"/>
    </row>
    <row r="123">
      <c r="A123" s="3" t="inlineStr">
        <is>
          <t>createComplaint.bcProcess</t>
        </is>
      </c>
      <c r="B123" s="3" t="inlineStr">
        <is>
          <t>BC xử lý</t>
        </is>
      </c>
      <c r="C123" s="3" t="inlineStr">
        <is>
          <t>Processing post office</t>
        </is>
      </c>
      <c r="D123" s="3">
        <f>IFERROR(__xludf.DUMMYFUNCTION("GOOGLETRANSLATE(B123,""vi"",""en"")"),"BC processing")</f>
        <v/>
      </c>
      <c r="E123" s="3">
        <f>IF(C123&lt;&gt;"",C123, D123)</f>
        <v/>
      </c>
      <c r="F123" s="3" t="n"/>
      <c r="G123" s="3">
        <f>IFERROR(__xludf.DUMMYFUNCTION("GOOGLETRANSLATE(B123,""vi"",""km"")"),"ការដំណើរការ BC")</f>
        <v/>
      </c>
      <c r="H123" s="3" t="inlineStr">
        <is>
          <t>ការដំណើរការ BC</t>
        </is>
      </c>
      <c r="I123" s="3" t="n"/>
      <c r="J123" s="3">
        <f>IFERROR(__xludf.DUMMYFUNCTION("GOOGLETRANSLATE(B123,""vi"",""lo"")"),"ການປະມວນຜົນ BC")</f>
        <v/>
      </c>
      <c r="K123" s="3">
        <f>IF(I123&lt;&gt;"",I123, J123)</f>
        <v/>
      </c>
      <c r="L123" s="3" t="inlineStr">
        <is>
          <t>ការដំណើរការ BC</t>
        </is>
      </c>
      <c r="M123" s="3" t="n"/>
      <c r="N123" s="3" t="inlineStr">
        <is>
          <t>"createComplaint.bcProcess": "Processing post office",</t>
        </is>
      </c>
      <c r="O123" s="3" t="n"/>
      <c r="P123" s="3" t="n"/>
      <c r="Q123" s="3" t="n"/>
      <c r="R123" s="3" t="n"/>
      <c r="S123" s="3" t="n"/>
      <c r="T123" s="3" t="n"/>
      <c r="U123" s="3" t="n"/>
      <c r="V123" s="3" t="n"/>
      <c r="W123" s="3" t="n"/>
      <c r="X123" s="3" t="n"/>
      <c r="Y123" s="3" t="n"/>
      <c r="Z123" s="3" t="n"/>
      <c r="AA123" s="3" t="n"/>
    </row>
    <row r="124">
      <c r="A124" s="3" t="inlineStr">
        <is>
          <t>createComplaint.bcSent</t>
        </is>
      </c>
      <c r="B124" s="3" t="inlineStr">
        <is>
          <t>BC phát</t>
        </is>
      </c>
      <c r="C124" s="3" t="inlineStr">
        <is>
          <t>Delivery post office</t>
        </is>
      </c>
      <c r="D124" s="3">
        <f>IFERROR(__xludf.DUMMYFUNCTION("GOOGLETRANSLATE(B124,""vi"",""en"")"),"BC broadcast")</f>
        <v/>
      </c>
      <c r="E124" s="3">
        <f>IF(C124&lt;&gt;"",C124, D124)</f>
        <v/>
      </c>
      <c r="F124" s="3" t="n"/>
      <c r="G124" s="3">
        <f>IFERROR(__xludf.DUMMYFUNCTION("GOOGLETRANSLATE(B124,""vi"",""km"")"),"ការផ្សាយមុនគ.ស.")</f>
        <v/>
      </c>
      <c r="H124" s="3" t="inlineStr">
        <is>
          <t>ការផ្សាយមុនគ.ស.</t>
        </is>
      </c>
      <c r="I124" s="3" t="n"/>
      <c r="J124" s="3">
        <f>IFERROR(__xludf.DUMMYFUNCTION("GOOGLETRANSLATE(B124,""vi"",""lo"")"),"ການອອກອາກາດ BC")</f>
        <v/>
      </c>
      <c r="K124" s="3">
        <f>IF(I124&lt;&gt;"",I124, J124)</f>
        <v/>
      </c>
      <c r="L124" s="3" t="inlineStr">
        <is>
          <t>ការផ្សាយមុនគ.ស.</t>
        </is>
      </c>
      <c r="M124" s="3" t="n"/>
      <c r="N124" s="3" t="inlineStr">
        <is>
          <t>"createComplaint.bcSent": "Delivery post office",</t>
        </is>
      </c>
      <c r="O124" s="3" t="n"/>
      <c r="P124" s="3" t="n"/>
      <c r="Q124" s="3" t="n"/>
      <c r="R124" s="3" t="n"/>
      <c r="S124" s="3" t="n"/>
      <c r="T124" s="3" t="n"/>
      <c r="U124" s="3" t="n"/>
      <c r="V124" s="3" t="n"/>
      <c r="W124" s="3" t="n"/>
      <c r="X124" s="3" t="n"/>
      <c r="Y124" s="3" t="n"/>
      <c r="Z124" s="3" t="n"/>
      <c r="AA124" s="3" t="n"/>
    </row>
    <row r="125">
      <c r="A125" s="3" t="inlineStr">
        <is>
          <t>createComplaint.callCenterPhone</t>
        </is>
      </c>
      <c r="B125" s="3" t="inlineStr">
        <is>
          <t>SĐT gọi tổng đài</t>
        </is>
      </c>
      <c r="C125" s="3" t="inlineStr">
        <is>
          <t>Call center phone number</t>
        </is>
      </c>
      <c r="D125" s="3">
        <f>IFERROR(__xludf.DUMMYFUNCTION("GOOGLETRANSLATE(B125,""vi"",""en"")"),"Phone number to call the hotline")</f>
        <v/>
      </c>
      <c r="E125" s="3">
        <f>IF(C125&lt;&gt;"",C125, D125)</f>
        <v/>
      </c>
      <c r="F125" s="3" t="n"/>
      <c r="G125" s="3">
        <f>IFERROR(__xludf.DUMMYFUNCTION("GOOGLETRANSLATE(B125,""vi"",""km"")"),"លេខទូរស័ព្ទសម្រាប់ទាក់ទងខ្សែទូរស័ព្ទទាន់ហេតុការណ៍")</f>
        <v/>
      </c>
      <c r="H125" s="3" t="inlineStr">
        <is>
          <t>លេខទូរស័ព្ទសម្រាប់ទាក់ទងខ្សែទូរស័ព្ទទាន់ហេតុការណ៍</t>
        </is>
      </c>
      <c r="I125" s="3" t="n"/>
      <c r="J125" s="3">
        <f>IFERROR(__xludf.DUMMYFUNCTION("GOOGLETRANSLATE(B125,""vi"",""lo"")"),"ເບີໂທລະສັບເພື່ອໂທຫາສາຍດ່ວນ")</f>
        <v/>
      </c>
      <c r="K125" s="3">
        <f>IF(I125&lt;&gt;"",I125, J125)</f>
        <v/>
      </c>
      <c r="L125" s="3" t="inlineStr">
        <is>
          <t>លេខទូរស័ព្ទសម្រាប់ទាក់ទងខ្សែទូរស័ព្ទទាន់ហេតុការណ៍</t>
        </is>
      </c>
      <c r="M125" s="3" t="n"/>
      <c r="N125" s="3" t="inlineStr">
        <is>
          <t>"createComplaint.callCenterPhone": "Call center phone number",</t>
        </is>
      </c>
      <c r="O125" s="3" t="n"/>
      <c r="P125" s="3" t="n"/>
      <c r="Q125" s="3" t="n"/>
      <c r="R125" s="3" t="n"/>
      <c r="S125" s="3" t="n"/>
      <c r="T125" s="3" t="n"/>
      <c r="U125" s="3" t="n"/>
      <c r="V125" s="3" t="n"/>
      <c r="W125" s="3" t="n"/>
      <c r="X125" s="3" t="n"/>
      <c r="Y125" s="3" t="n"/>
      <c r="Z125" s="3" t="n"/>
      <c r="AA125" s="3" t="n"/>
    </row>
    <row r="126">
      <c r="A126" s="3" t="inlineStr">
        <is>
          <t>createComplaint.cnOrigin</t>
        </is>
      </c>
      <c r="B126" s="3" t="inlineStr">
        <is>
          <t>CN gốc</t>
        </is>
      </c>
      <c r="C126" s="3" t="inlineStr">
        <is>
          <t>Origin branch</t>
        </is>
      </c>
      <c r="D126" s="3">
        <f>IFERROR(__xludf.DUMMYFUNCTION("GOOGLETRANSLATE(B126,""vi"",""en"")"),"Original CN")</f>
        <v/>
      </c>
      <c r="E126" s="3">
        <f>IF(C126&lt;&gt;"",C126, D126)</f>
        <v/>
      </c>
      <c r="F126" s="3" t="n"/>
      <c r="G126" s="3">
        <f>IFERROR(__xludf.DUMMYFUNCTION("GOOGLETRANSLATE(B126,""vi"",""km"")"),"CN ដើម")</f>
        <v/>
      </c>
      <c r="H126" s="3" t="inlineStr">
        <is>
          <t>CN ដើម</t>
        </is>
      </c>
      <c r="I126" s="3" t="n"/>
      <c r="J126" s="3">
        <f>IFERROR(__xludf.DUMMYFUNCTION("GOOGLETRANSLATE(B126,""vi"",""lo"")"),"CN ຕົ້ນສະບັບ")</f>
        <v/>
      </c>
      <c r="K126" s="3">
        <f>IF(I126&lt;&gt;"",I126, J126)</f>
        <v/>
      </c>
      <c r="L126" s="3" t="inlineStr">
        <is>
          <t>CN ដើម</t>
        </is>
      </c>
      <c r="M126" s="3" t="n"/>
      <c r="N126" s="3" t="inlineStr">
        <is>
          <t>"createComplaint.cnOrigin": "Origin branch",</t>
        </is>
      </c>
      <c r="O126" s="3" t="n"/>
      <c r="P126" s="3" t="n"/>
      <c r="Q126" s="3" t="n"/>
      <c r="R126" s="3" t="n"/>
      <c r="S126" s="3" t="n"/>
      <c r="T126" s="3" t="n"/>
      <c r="U126" s="3" t="n"/>
      <c r="V126" s="3" t="n"/>
      <c r="W126" s="3" t="n"/>
      <c r="X126" s="3" t="n"/>
      <c r="Y126" s="3" t="n"/>
      <c r="Z126" s="3" t="n"/>
      <c r="AA126" s="3" t="n"/>
    </row>
    <row r="127">
      <c r="A127" s="3" t="inlineStr">
        <is>
          <t>createComplaint.cnProcess</t>
        </is>
      </c>
      <c r="B127" s="3" t="inlineStr">
        <is>
          <t>CN xử lý</t>
        </is>
      </c>
      <c r="C127" s="3" t="inlineStr">
        <is>
          <t>Processing branch</t>
        </is>
      </c>
      <c r="D127" s="3">
        <f>IFERROR(__xludf.DUMMYFUNCTION("GOOGLETRANSLATE(B127,""vi"",""en"")"),"CN processing")</f>
        <v/>
      </c>
      <c r="E127" s="3">
        <f>IF(C127&lt;&gt;"",C127, D127)</f>
        <v/>
      </c>
      <c r="F127" s="3" t="n"/>
      <c r="G127" s="3">
        <f>IFERROR(__xludf.DUMMYFUNCTION("GOOGLETRANSLATE(B127,""vi"",""km"")"),"ការដំណើរការ CN")</f>
        <v/>
      </c>
      <c r="H127" s="3" t="inlineStr">
        <is>
          <t>ការដំណើរការ CN</t>
        </is>
      </c>
      <c r="I127" s="3" t="n"/>
      <c r="J127" s="3">
        <f>IFERROR(__xludf.DUMMYFUNCTION("GOOGLETRANSLATE(B127,""vi"",""lo"")"),"ການປະມວນຜົນ CN")</f>
        <v/>
      </c>
      <c r="K127" s="3">
        <f>IF(I127&lt;&gt;"",I127, J127)</f>
        <v/>
      </c>
      <c r="L127" s="3" t="inlineStr">
        <is>
          <t>ការដំណើរការ CN</t>
        </is>
      </c>
      <c r="M127" s="3" t="n"/>
      <c r="N127" s="3" t="inlineStr">
        <is>
          <t>"createComplaint.cnProcess": "Processing branch",</t>
        </is>
      </c>
      <c r="O127" s="3" t="n"/>
      <c r="P127" s="3" t="n"/>
      <c r="Q127" s="3" t="n"/>
      <c r="R127" s="3" t="n"/>
      <c r="S127" s="3" t="n"/>
      <c r="T127" s="3" t="n"/>
      <c r="U127" s="3" t="n"/>
      <c r="V127" s="3" t="n"/>
      <c r="W127" s="3" t="n"/>
      <c r="X127" s="3" t="n"/>
      <c r="Y127" s="3" t="n"/>
      <c r="Z127" s="3" t="n"/>
      <c r="AA127" s="3" t="n"/>
    </row>
    <row r="128">
      <c r="A128" s="3" t="inlineStr">
        <is>
          <t>createComplaint.cnSent</t>
        </is>
      </c>
      <c r="B128" s="3" t="inlineStr">
        <is>
          <t>CN phát</t>
        </is>
      </c>
      <c r="C128" s="3" t="inlineStr">
        <is>
          <t>Delivery branch</t>
        </is>
      </c>
      <c r="D128" s="3">
        <f>IFERROR(__xludf.DUMMYFUNCTION("GOOGLETRANSLATE(B128,""vi"",""en"")"),"CN distributes")</f>
        <v/>
      </c>
      <c r="E128" s="3">
        <f>IF(C128&lt;&gt;"",C128, D128)</f>
        <v/>
      </c>
      <c r="F128" s="3" t="n"/>
      <c r="G128" s="3">
        <f>IFERROR(__xludf.DUMMYFUNCTION("GOOGLETRANSLATE(B128,""vi"",""km"")"),"ចែកចាយ CN")</f>
        <v/>
      </c>
      <c r="H128" s="3" t="inlineStr">
        <is>
          <t>ចែកចាយ CN</t>
        </is>
      </c>
      <c r="I128" s="3" t="n"/>
      <c r="J128" s="3">
        <f>IFERROR(__xludf.DUMMYFUNCTION("GOOGLETRANSLATE(B128,""vi"",""lo"")"),"CN ແຈກຢາຍ")</f>
        <v/>
      </c>
      <c r="K128" s="3">
        <f>IF(I128&lt;&gt;"",I128, J128)</f>
        <v/>
      </c>
      <c r="L128" s="3" t="inlineStr">
        <is>
          <t>ចែកចាយ CN</t>
        </is>
      </c>
      <c r="M128" s="3" t="n"/>
      <c r="N128" s="3" t="inlineStr">
        <is>
          <t>"createComplaint.cnSent": "Delivery branch",</t>
        </is>
      </c>
      <c r="O128" s="3" t="n"/>
      <c r="P128" s="3" t="n"/>
      <c r="Q128" s="3" t="n"/>
      <c r="R128" s="3" t="n"/>
      <c r="S128" s="3" t="n"/>
      <c r="T128" s="3" t="n"/>
      <c r="U128" s="3" t="n"/>
      <c r="V128" s="3" t="n"/>
      <c r="W128" s="3" t="n"/>
      <c r="X128" s="3" t="n"/>
      <c r="Y128" s="3" t="n"/>
      <c r="Z128" s="3" t="n"/>
      <c r="AA128" s="3" t="n"/>
    </row>
    <row r="129">
      <c r="A129" s="3" t="inlineStr">
        <is>
          <t>createComplaint.confirm</t>
        </is>
      </c>
      <c r="B129" s="3" t="inlineStr">
        <is>
          <t>Xác nhận</t>
        </is>
      </c>
      <c r="C129" s="3" t="inlineStr">
        <is>
          <t>Confirm</t>
        </is>
      </c>
      <c r="D129" s="3">
        <f>IFERROR(__xludf.DUMMYFUNCTION("GOOGLETRANSLATE(B129,""vi"",""en"")"),"Confirm")</f>
        <v/>
      </c>
      <c r="E129" s="3">
        <f>IF(C129&lt;&gt;"",C129, D129)</f>
        <v/>
      </c>
      <c r="F129" s="3" t="n"/>
      <c r="G129" s="3">
        <f>IFERROR(__xludf.DUMMYFUNCTION("GOOGLETRANSLATE(B129,""vi"",""km"")"),"បញ្ជាក់")</f>
        <v/>
      </c>
      <c r="H129" s="3" t="inlineStr">
        <is>
          <t>បញ្ជាក់</t>
        </is>
      </c>
      <c r="I129" s="3" t="n"/>
      <c r="J129" s="3">
        <f>IFERROR(__xludf.DUMMYFUNCTION("GOOGLETRANSLATE(B129,""vi"",""lo"")"),"ຢືນຢັນ")</f>
        <v/>
      </c>
      <c r="K129" s="3">
        <f>IF(I129&lt;&gt;"",I129, J129)</f>
        <v/>
      </c>
      <c r="L129" s="3" t="inlineStr">
        <is>
          <t>បញ្ជាក់</t>
        </is>
      </c>
      <c r="M129" s="3" t="n"/>
      <c r="N129" s="3" t="inlineStr">
        <is>
          <t>"createComplaint.confirm": "Confirm",</t>
        </is>
      </c>
      <c r="O129" s="3" t="n"/>
      <c r="P129" s="3" t="n"/>
      <c r="Q129" s="3" t="n"/>
      <c r="R129" s="3" t="n"/>
      <c r="S129" s="3" t="n"/>
      <c r="T129" s="3" t="n"/>
      <c r="U129" s="3" t="n"/>
      <c r="V129" s="3" t="n"/>
      <c r="W129" s="3" t="n"/>
      <c r="X129" s="3" t="n"/>
      <c r="Y129" s="3" t="n"/>
      <c r="Z129" s="3" t="n"/>
      <c r="AA129" s="3" t="n"/>
    </row>
    <row r="130">
      <c r="A130" s="3" t="inlineStr">
        <is>
          <t>createComplaint.contactInfo</t>
        </is>
      </c>
      <c r="B130" s="3" t="inlineStr">
        <is>
          <t>Thông tin liên hệ</t>
        </is>
      </c>
      <c r="C130" s="3" t="inlineStr">
        <is>
          <t>Contact information</t>
        </is>
      </c>
      <c r="D130" s="3">
        <f>IFERROR(__xludf.DUMMYFUNCTION("GOOGLETRANSLATE(B130,""vi"",""en"")"),"Contact information")</f>
        <v/>
      </c>
      <c r="E130" s="3">
        <f>IF(C130&lt;&gt;"",C130, D130)</f>
        <v/>
      </c>
      <c r="F130" s="3" t="n"/>
      <c r="G130" s="3">
        <f>IFERROR(__xludf.DUMMYFUNCTION("GOOGLETRANSLATE(B130,""vi"",""km"")"),"ព័ត៌មានទំនាក់ទំនង")</f>
        <v/>
      </c>
      <c r="H130" s="3" t="inlineStr">
        <is>
          <t>ព័ត៌មានទំនាក់ទំនង</t>
        </is>
      </c>
      <c r="I130" s="3" t="n"/>
      <c r="J130" s="3">
        <f>IFERROR(__xludf.DUMMYFUNCTION("GOOGLETRANSLATE(B130,""vi"",""lo"")"),"ຂໍ້ມູນຕິດຕໍ່")</f>
        <v/>
      </c>
      <c r="K130" s="3">
        <f>IF(I130&lt;&gt;"",I130, J130)</f>
        <v/>
      </c>
      <c r="L130" s="3" t="inlineStr">
        <is>
          <t>ព័ត៌មានទំនាក់ទំនង</t>
        </is>
      </c>
      <c r="M130" s="3" t="n"/>
      <c r="N130" s="3" t="inlineStr">
        <is>
          <t>"createComplaint.contactInfo": "Contact information",</t>
        </is>
      </c>
      <c r="O130" s="3" t="n"/>
      <c r="P130" s="3" t="n"/>
      <c r="Q130" s="3" t="n"/>
      <c r="R130" s="3" t="n"/>
      <c r="S130" s="3" t="n"/>
      <c r="T130" s="3" t="n"/>
      <c r="U130" s="3" t="n"/>
      <c r="V130" s="3" t="n"/>
      <c r="W130" s="3" t="n"/>
      <c r="X130" s="3" t="n"/>
      <c r="Y130" s="3" t="n"/>
      <c r="Z130" s="3" t="n"/>
      <c r="AA130" s="3" t="n"/>
    </row>
    <row r="131">
      <c r="A131" s="3" t="inlineStr">
        <is>
          <t>createComplaint.contactPhone</t>
        </is>
      </c>
      <c r="B131" s="3" t="inlineStr">
        <is>
          <t>SĐT liên hệ</t>
        </is>
      </c>
      <c r="C131" s="3" t="inlineStr">
        <is>
          <t>Contact phone number</t>
        </is>
      </c>
      <c r="D131" s="3">
        <f>IFERROR(__xludf.DUMMYFUNCTION("GOOGLETRANSLATE(B131,""vi"",""en"")"),"Contact phone number")</f>
        <v/>
      </c>
      <c r="E131" s="3">
        <f>IF(C131&lt;&gt;"",C131, D131)</f>
        <v/>
      </c>
      <c r="F131" s="3" t="n"/>
      <c r="G131" s="3">
        <f>IFERROR(__xludf.DUMMYFUNCTION("GOOGLETRANSLATE(B131,""vi"",""km"")"),"លេខទូរស័ព្ទទំនាក់ទំនង")</f>
        <v/>
      </c>
      <c r="H131" s="3" t="inlineStr">
        <is>
          <t>លេខទូរស័ព្ទទំនាក់ទំនង</t>
        </is>
      </c>
      <c r="I131" s="3" t="n"/>
      <c r="J131" s="3">
        <f>IFERROR(__xludf.DUMMYFUNCTION("GOOGLETRANSLATE(B131,""vi"",""lo"")"),"ເບີໂທລະສັບຕິດຕໍ່")</f>
        <v/>
      </c>
      <c r="K131" s="3">
        <f>IF(I131&lt;&gt;"",I131, J131)</f>
        <v/>
      </c>
      <c r="L131" s="3" t="inlineStr">
        <is>
          <t>លេខទូរស័ព្ទទំនាក់ទំនង</t>
        </is>
      </c>
      <c r="M131" s="3" t="n"/>
      <c r="N131" s="3" t="inlineStr">
        <is>
          <t>"createComplaint.contactPhone": "Contact phone number",</t>
        </is>
      </c>
      <c r="O131" s="3" t="n"/>
      <c r="P131" s="3" t="n"/>
      <c r="Q131" s="3" t="n"/>
      <c r="R131" s="3" t="n"/>
      <c r="S131" s="3" t="n"/>
      <c r="T131" s="3" t="n"/>
      <c r="U131" s="3" t="n"/>
      <c r="V131" s="3" t="n"/>
      <c r="W131" s="3" t="n"/>
      <c r="X131" s="3" t="n"/>
      <c r="Y131" s="3" t="n"/>
      <c r="Z131" s="3" t="n"/>
      <c r="AA131" s="3" t="n"/>
    </row>
    <row r="132">
      <c r="A132" s="3" t="inlineStr">
        <is>
          <t>createComplaint.content</t>
        </is>
      </c>
      <c r="B132" s="3" t="inlineStr">
        <is>
          <t>Nội dung</t>
        </is>
      </c>
      <c r="C132" s="3" t="inlineStr">
        <is>
          <t>Content</t>
        </is>
      </c>
      <c r="D132" s="3">
        <f>IFERROR(__xludf.DUMMYFUNCTION("GOOGLETRANSLATE(B132,""vi"",""en"")"),"Content")</f>
        <v/>
      </c>
      <c r="E132" s="3">
        <f>IF(C132&lt;&gt;"",C132, D132)</f>
        <v/>
      </c>
      <c r="F132" s="3" t="n"/>
      <c r="G132" s="3">
        <f>IFERROR(__xludf.DUMMYFUNCTION("GOOGLETRANSLATE(B132,""vi"",""km"")"),"ខ្លឹមសារ")</f>
        <v/>
      </c>
      <c r="H132" s="3" t="inlineStr">
        <is>
          <t>ខ្លឹមសារ</t>
        </is>
      </c>
      <c r="I132" s="3" t="n"/>
      <c r="J132" s="3">
        <f>IFERROR(__xludf.DUMMYFUNCTION("GOOGLETRANSLATE(B132,""vi"",""lo"")"),"ເນື້ອຫາ")</f>
        <v/>
      </c>
      <c r="K132" s="3">
        <f>IF(I132&lt;&gt;"",I132, J132)</f>
        <v/>
      </c>
      <c r="L132" s="3" t="inlineStr">
        <is>
          <t>ខ្លឹមសារ</t>
        </is>
      </c>
      <c r="M132" s="3" t="n"/>
      <c r="N132" s="3" t="inlineStr">
        <is>
          <t>"createComplaint.content": "Content",</t>
        </is>
      </c>
      <c r="O132" s="3" t="n"/>
      <c r="P132" s="3" t="n"/>
      <c r="Q132" s="3" t="n"/>
      <c r="R132" s="3" t="n"/>
      <c r="S132" s="3" t="n"/>
      <c r="T132" s="3" t="n"/>
      <c r="U132" s="3" t="n"/>
      <c r="V132" s="3" t="n"/>
      <c r="W132" s="3" t="n"/>
      <c r="X132" s="3" t="n"/>
      <c r="Y132" s="3" t="n"/>
      <c r="Z132" s="3" t="n"/>
      <c r="AA132" s="3" t="n"/>
    </row>
    <row r="133">
      <c r="A133" s="3" t="inlineStr">
        <is>
          <t>createComplaint.contentInfo</t>
        </is>
      </c>
      <c r="B133" s="3" t="inlineStr">
        <is>
          <t>Nội dung</t>
        </is>
      </c>
      <c r="C133" s="3" t="inlineStr">
        <is>
          <t>Content</t>
        </is>
      </c>
      <c r="D133" s="3">
        <f>IFERROR(__xludf.DUMMYFUNCTION("GOOGLETRANSLATE(B133,""vi"",""en"")"),"Content")</f>
        <v/>
      </c>
      <c r="E133" s="3">
        <f>IF(C133&lt;&gt;"",C133, D133)</f>
        <v/>
      </c>
      <c r="F133" s="3" t="n"/>
      <c r="G133" s="3">
        <f>IFERROR(__xludf.DUMMYFUNCTION("GOOGLETRANSLATE(B133,""vi"",""km"")"),"ខ្លឹមសារ")</f>
        <v/>
      </c>
      <c r="H133" s="3" t="inlineStr">
        <is>
          <t>ខ្លឹមសារ</t>
        </is>
      </c>
      <c r="I133" s="3" t="n"/>
      <c r="J133" s="3">
        <f>IFERROR(__xludf.DUMMYFUNCTION("GOOGLETRANSLATE(B133,""vi"",""lo"")"),"ເນື້ອຫາ")</f>
        <v/>
      </c>
      <c r="K133" s="3">
        <f>IF(I133&lt;&gt;"",I133, J133)</f>
        <v/>
      </c>
      <c r="L133" s="3" t="inlineStr">
        <is>
          <t>ខ្លឹមសារ</t>
        </is>
      </c>
      <c r="M133" s="3" t="n"/>
      <c r="N133" s="3" t="inlineStr">
        <is>
          <t>"createComplaint.contentInfo": "Content",</t>
        </is>
      </c>
      <c r="O133" s="3" t="n"/>
      <c r="P133" s="3" t="n"/>
      <c r="Q133" s="3" t="n"/>
      <c r="R133" s="3" t="n"/>
      <c r="S133" s="3" t="n"/>
      <c r="T133" s="3" t="n"/>
      <c r="U133" s="3" t="n"/>
      <c r="V133" s="3" t="n"/>
      <c r="W133" s="3" t="n"/>
      <c r="X133" s="3" t="n"/>
      <c r="Y133" s="3" t="n"/>
      <c r="Z133" s="3" t="n"/>
      <c r="AA133" s="3" t="n"/>
    </row>
    <row r="134">
      <c r="A134" s="3" t="inlineStr">
        <is>
          <t>createComplaint.customerName</t>
        </is>
      </c>
      <c r="B134" s="3" t="inlineStr">
        <is>
          <t>Tên khách hàng</t>
        </is>
      </c>
      <c r="C134" s="3" t="inlineStr">
        <is>
          <t>Customer name</t>
        </is>
      </c>
      <c r="D134" s="3">
        <f>IFERROR(__xludf.DUMMYFUNCTION("GOOGLETRANSLATE(B134,""vi"",""en"")"),"Customer name")</f>
        <v/>
      </c>
      <c r="E134" s="3">
        <f>IF(C134&lt;&gt;"",C134, D134)</f>
        <v/>
      </c>
      <c r="F134" s="3" t="n"/>
      <c r="G134" s="3">
        <f>IFERROR(__xludf.DUMMYFUNCTION("GOOGLETRANSLATE(B134,""vi"",""km"")"),"ឈ្មោះអតិថិជន")</f>
        <v/>
      </c>
      <c r="H134" s="3" t="inlineStr">
        <is>
          <t>ឈ្មោះអតិថិជន</t>
        </is>
      </c>
      <c r="I134" s="3" t="n"/>
      <c r="J134" s="3">
        <f>IFERROR(__xludf.DUMMYFUNCTION("GOOGLETRANSLATE(B134,""vi"",""lo"")"),"ຊື່ລູກຄ້າ")</f>
        <v/>
      </c>
      <c r="K134" s="3">
        <f>IF(I134&lt;&gt;"",I134, J134)</f>
        <v/>
      </c>
      <c r="L134" s="3" t="inlineStr">
        <is>
          <t>ឈ្មោះអតិថិជន</t>
        </is>
      </c>
      <c r="M134" s="3" t="n"/>
      <c r="N134" s="3" t="inlineStr">
        <is>
          <t>"createComplaint.customerName": "Customer name",</t>
        </is>
      </c>
      <c r="O134" s="3" t="n"/>
      <c r="P134" s="3" t="n"/>
      <c r="Q134" s="3" t="n"/>
      <c r="R134" s="3" t="n"/>
      <c r="S134" s="3" t="n"/>
      <c r="T134" s="3" t="n"/>
      <c r="U134" s="3" t="n"/>
      <c r="V134" s="3" t="n"/>
      <c r="W134" s="3" t="n"/>
      <c r="X134" s="3" t="n"/>
      <c r="Y134" s="3" t="n"/>
      <c r="Z134" s="3" t="n"/>
      <c r="AA134" s="3" t="n"/>
    </row>
    <row r="135">
      <c r="A135" s="3" t="inlineStr">
        <is>
          <t>createComplaint.district</t>
        </is>
      </c>
      <c r="B135" s="3" t="inlineStr">
        <is>
          <t>Mường</t>
        </is>
      </c>
      <c r="C135" s="3" t="inlineStr">
        <is>
          <t>District</t>
        </is>
      </c>
      <c r="D135" s="3">
        <f>IFERROR(__xludf.DUMMYFUNCTION("GOOGLETRANSLATE(B135,""vi"",""en"")"),"Muong")</f>
        <v/>
      </c>
      <c r="E135" s="3">
        <f>IF(C135&lt;&gt;"",C135, D135)</f>
        <v/>
      </c>
      <c r="F135" s="3" t="n"/>
      <c r="G135" s="3">
        <f>IFERROR(__xludf.DUMMYFUNCTION("GOOGLETRANSLATE(B135,""vi"",""km"")"),"មួង")</f>
        <v/>
      </c>
      <c r="H135" s="3" t="inlineStr">
        <is>
          <t>មួង</t>
        </is>
      </c>
      <c r="I135" s="3" t="n"/>
      <c r="J135" s="3">
        <f>IFERROR(__xludf.DUMMYFUNCTION("GOOGLETRANSLATE(B135,""vi"",""lo"")"),"ເມືອງ")</f>
        <v/>
      </c>
      <c r="K135" s="3">
        <f>IF(I135&lt;&gt;"",I135, J135)</f>
        <v/>
      </c>
      <c r="L135" s="3" t="inlineStr">
        <is>
          <t>មួង</t>
        </is>
      </c>
      <c r="M135" s="3" t="n"/>
      <c r="N135" s="3" t="inlineStr">
        <is>
          <t>"createComplaint.district": "District",</t>
        </is>
      </c>
      <c r="O135" s="3" t="n"/>
      <c r="P135" s="3" t="n"/>
      <c r="Q135" s="3" t="n"/>
      <c r="R135" s="3" t="n"/>
      <c r="S135" s="3" t="n"/>
      <c r="T135" s="3" t="n"/>
      <c r="U135" s="3" t="n"/>
      <c r="V135" s="3" t="n"/>
      <c r="W135" s="3" t="n"/>
      <c r="X135" s="3" t="n"/>
      <c r="Y135" s="3" t="n"/>
      <c r="Z135" s="3" t="n"/>
      <c r="AA135" s="3" t="n"/>
    </row>
    <row r="136">
      <c r="A136" s="3" t="inlineStr">
        <is>
          <t>createComplaint.errorOccurred</t>
        </is>
      </c>
      <c r="B136" s="3" t="inlineStr">
        <is>
          <t>Lỗi phát sinh</t>
        </is>
      </c>
      <c r="C136" s="3" t="inlineStr">
        <is>
          <t>Issue</t>
        </is>
      </c>
      <c r="D136" s="3">
        <f>IFERROR(__xludf.DUMMYFUNCTION("GOOGLETRANSLATE(B136,""vi"",""en"")"),"Error occurred")</f>
        <v/>
      </c>
      <c r="E136" s="3">
        <f>IF(C136&lt;&gt;"",C136, D136)</f>
        <v/>
      </c>
      <c r="F136" s="3" t="n"/>
      <c r="G136" s="3">
        <f>IFERROR(__xludf.DUMMYFUNCTION("GOOGLETRANSLATE(B136,""vi"",""km"")"),"កំហុសបានកើតឡើង")</f>
        <v/>
      </c>
      <c r="H136" s="3" t="inlineStr">
        <is>
          <t>កំហុសបានកើតឡើង</t>
        </is>
      </c>
      <c r="I136" s="3" t="n"/>
      <c r="J136" s="3">
        <f>IFERROR(__xludf.DUMMYFUNCTION("GOOGLETRANSLATE(B136,""vi"",""lo"")"),"ເກີດຄວາມຜິດພາດຂຶ້ນ")</f>
        <v/>
      </c>
      <c r="K136" s="3">
        <f>IF(I136&lt;&gt;"",I136, J136)</f>
        <v/>
      </c>
      <c r="L136" s="3" t="inlineStr">
        <is>
          <t>កំហុសបានកើតឡើង</t>
        </is>
      </c>
      <c r="M136" s="3" t="n"/>
      <c r="N136" s="3" t="inlineStr">
        <is>
          <t>"createComplaint.errorOccurred": "Issue",</t>
        </is>
      </c>
      <c r="O136" s="3" t="n"/>
      <c r="P136" s="3" t="n"/>
      <c r="Q136" s="3" t="n"/>
      <c r="R136" s="3" t="n"/>
      <c r="S136" s="3" t="n"/>
      <c r="T136" s="3" t="n"/>
      <c r="U136" s="3" t="n"/>
      <c r="V136" s="3" t="n"/>
      <c r="W136" s="3" t="n"/>
      <c r="X136" s="3" t="n"/>
      <c r="Y136" s="3" t="n"/>
      <c r="Z136" s="3" t="n"/>
      <c r="AA136" s="3" t="n"/>
    </row>
    <row r="137">
      <c r="A137" s="3" t="inlineStr">
        <is>
          <t>createComplaint.evaluationTGTT</t>
        </is>
      </c>
      <c r="B137" s="3" t="inlineStr">
        <is>
          <t>Đánh giá TGTT</t>
        </is>
      </c>
      <c r="C137" s="3" t="inlineStr">
        <is>
          <t>End-to-End Processing Time Rating</t>
        </is>
      </c>
      <c r="D137" s="3">
        <f>IFERROR(__xludf.DUMMYFUNCTION("GOOGLETRANSLATE(B137,""vi"",""en"")"),"TGTT Review")</f>
        <v/>
      </c>
      <c r="E137" s="3">
        <f>IF(C137&lt;&gt;"",C137, D137)</f>
        <v/>
      </c>
      <c r="F137" s="3" t="n"/>
      <c r="G137" s="3">
        <f>IFERROR(__xludf.DUMMYFUNCTION("GOOGLETRANSLATE(B137,""vi"",""km"")"),"ការពិនិត្យឡើងវិញរបស់ TGTT")</f>
        <v/>
      </c>
      <c r="H137" s="3" t="inlineStr">
        <is>
          <t>ការពិនិត្យឡើងវិញរបស់ TGTT</t>
        </is>
      </c>
      <c r="I137" s="3" t="n"/>
      <c r="J137" s="3">
        <f>IFERROR(__xludf.DUMMYFUNCTION("GOOGLETRANSLATE(B137,""vi"",""lo"")"),"ການທົບທວນຄືນ TGTT")</f>
        <v/>
      </c>
      <c r="K137" s="3">
        <f>IF(I137&lt;&gt;"",I137, J137)</f>
        <v/>
      </c>
      <c r="L137" s="3" t="inlineStr">
        <is>
          <t>ការពិនិត្យឡើងវិញរបស់ TGTT</t>
        </is>
      </c>
      <c r="M137" s="3" t="n"/>
      <c r="N137" s="3" t="inlineStr">
        <is>
          <t>"createComplaint.evaluationTGTT": "End-to-End Processing Time Rating",</t>
        </is>
      </c>
      <c r="O137" s="3" t="n"/>
      <c r="P137" s="3" t="n"/>
      <c r="Q137" s="3" t="n"/>
      <c r="R137" s="3" t="n"/>
      <c r="S137" s="3" t="n"/>
      <c r="T137" s="3" t="n"/>
      <c r="U137" s="3" t="n"/>
      <c r="V137" s="3" t="n"/>
      <c r="W137" s="3" t="n"/>
      <c r="X137" s="3" t="n"/>
      <c r="Y137" s="3" t="n"/>
      <c r="Z137" s="3" t="n"/>
      <c r="AA137" s="3" t="n"/>
    </row>
    <row r="138">
      <c r="A138" s="3" t="inlineStr">
        <is>
          <t>createComplaint.feedbackCategory</t>
        </is>
      </c>
      <c r="B138" s="3" t="inlineStr">
        <is>
          <t>PL phản ánh</t>
        </is>
      </c>
      <c r="C138" s="3" t="inlineStr">
        <is>
          <t>Issue Category</t>
        </is>
      </c>
      <c r="D138" s="3">
        <f>IFERROR(__xludf.DUMMYFUNCTION("GOOGLETRANSLATE(B138,""vi"",""en"")"),"PL reflects")</f>
        <v/>
      </c>
      <c r="E138" s="3">
        <f>IF(C138&lt;&gt;"",C138, D138)</f>
        <v/>
      </c>
      <c r="F138" s="3" t="n"/>
      <c r="G138" s="3">
        <f>IFERROR(__xludf.DUMMYFUNCTION("GOOGLETRANSLATE(B138,""vi"",""km"")"),"PL ឆ្លុះបញ្ចាំង")</f>
        <v/>
      </c>
      <c r="H138" s="3" t="inlineStr">
        <is>
          <t>PL ឆ្លុះបញ្ចាំង</t>
        </is>
      </c>
      <c r="I138" s="3" t="n"/>
      <c r="J138" s="3">
        <f>IFERROR(__xludf.DUMMYFUNCTION("GOOGLETRANSLATE(B138,""vi"",""lo"")"),"PL ສະທ້ອນເຖິງ")</f>
        <v/>
      </c>
      <c r="K138" s="3">
        <f>IF(I138&lt;&gt;"",I138, J138)</f>
        <v/>
      </c>
      <c r="L138" s="3" t="inlineStr">
        <is>
          <t>PL ឆ្លុះបញ្ចាំង</t>
        </is>
      </c>
      <c r="M138" s="3" t="n"/>
      <c r="N138" s="3" t="inlineStr">
        <is>
          <t>"createComplaint.feedbackCategory": "Issue Category",</t>
        </is>
      </c>
      <c r="O138" s="3" t="n"/>
      <c r="P138" s="3" t="n"/>
      <c r="Q138" s="3" t="n"/>
      <c r="R138" s="3" t="n"/>
      <c r="S138" s="3" t="n"/>
      <c r="T138" s="3" t="n"/>
      <c r="U138" s="3" t="n"/>
      <c r="V138" s="3" t="n"/>
      <c r="W138" s="3" t="n"/>
      <c r="X138" s="3" t="n"/>
      <c r="Y138" s="3" t="n"/>
      <c r="Z138" s="3" t="n"/>
      <c r="AA138" s="3" t="n"/>
    </row>
    <row r="139">
      <c r="A139" s="3" t="inlineStr">
        <is>
          <t>createComplaint.generalInfo</t>
        </is>
      </c>
      <c r="B139" s="3" t="inlineStr">
        <is>
          <t>Thông tin chung</t>
        </is>
      </c>
      <c r="C139" s="3" t="inlineStr">
        <is>
          <t>General Information</t>
        </is>
      </c>
      <c r="D139" s="3">
        <f>IFERROR(__xludf.DUMMYFUNCTION("GOOGLETRANSLATE(B139,""vi"",""en"")"),"General information")</f>
        <v/>
      </c>
      <c r="E139" s="3">
        <f>IF(C139&lt;&gt;"",C139, D139)</f>
        <v/>
      </c>
      <c r="F139" s="3" t="n"/>
      <c r="G139" s="3">
        <f>IFERROR(__xludf.DUMMYFUNCTION("GOOGLETRANSLATE(B139,""vi"",""km"")"),"ព័ត៌មានទូទៅ")</f>
        <v/>
      </c>
      <c r="H139" s="3" t="inlineStr">
        <is>
          <t>ព័ត៌មានទូទៅ</t>
        </is>
      </c>
      <c r="I139" s="3" t="n"/>
      <c r="J139" s="3">
        <f>IFERROR(__xludf.DUMMYFUNCTION("GOOGLETRANSLATE(B139,""vi"",""lo"")"),"ຂໍ້ມູນທົ່ວໄປ")</f>
        <v/>
      </c>
      <c r="K139" s="3">
        <f>IF(I139&lt;&gt;"",I139, J139)</f>
        <v/>
      </c>
      <c r="L139" s="3" t="inlineStr">
        <is>
          <t>ព័ត៌មានទូទៅ</t>
        </is>
      </c>
      <c r="M139" s="3" t="n"/>
      <c r="N139" s="3" t="inlineStr">
        <is>
          <t>"createComplaint.generalInfo": "General Information",</t>
        </is>
      </c>
      <c r="O139" s="3" t="n"/>
      <c r="P139" s="3" t="n"/>
      <c r="Q139" s="3" t="n"/>
      <c r="R139" s="3" t="n"/>
      <c r="S139" s="3" t="n"/>
      <c r="T139" s="3" t="n"/>
      <c r="U139" s="3" t="n"/>
      <c r="V139" s="3" t="n"/>
      <c r="W139" s="3" t="n"/>
      <c r="X139" s="3" t="n"/>
      <c r="Y139" s="3" t="n"/>
      <c r="Z139" s="3" t="n"/>
      <c r="AA139" s="3" t="n"/>
    </row>
    <row r="140">
      <c r="A140" s="3" t="inlineStr">
        <is>
          <t>createComplaint.level</t>
        </is>
      </c>
      <c r="B140" s="3" t="inlineStr">
        <is>
          <t>Mức độ</t>
        </is>
      </c>
      <c r="C140" s="3" t="inlineStr">
        <is>
          <t>Severity</t>
        </is>
      </c>
      <c r="D140" s="3">
        <f>IFERROR(__xludf.DUMMYFUNCTION("GOOGLETRANSLATE(B140,""vi"",""en"")"),"Level")</f>
        <v/>
      </c>
      <c r="E140" s="3">
        <f>IF(C140&lt;&gt;"",C140, D140)</f>
        <v/>
      </c>
      <c r="F140" s="3" t="n"/>
      <c r="G140" s="3">
        <f>IFERROR(__xludf.DUMMYFUNCTION("GOOGLETRANSLATE(B140,""vi"",""km"")"),"កម្រិត")</f>
        <v/>
      </c>
      <c r="H140" s="3" t="inlineStr">
        <is>
          <t>កម្រិត</t>
        </is>
      </c>
      <c r="I140" s="3" t="n"/>
      <c r="J140" s="3">
        <f>IFERROR(__xludf.DUMMYFUNCTION("GOOGLETRANSLATE(B140,""vi"",""lo"")"),"ລະດັບ")</f>
        <v/>
      </c>
      <c r="K140" s="3">
        <f>IF(I140&lt;&gt;"",I140, J140)</f>
        <v/>
      </c>
      <c r="L140" s="3" t="inlineStr">
        <is>
          <t>កម្រិត</t>
        </is>
      </c>
      <c r="M140" s="3" t="n"/>
      <c r="N140" s="3" t="inlineStr">
        <is>
          <t>"createComplaint.level": "Severity",</t>
        </is>
      </c>
      <c r="O140" s="3" t="n"/>
      <c r="P140" s="3" t="n"/>
      <c r="Q140" s="3" t="n"/>
      <c r="R140" s="3" t="n"/>
      <c r="S140" s="3" t="n"/>
      <c r="T140" s="3" t="n"/>
      <c r="U140" s="3" t="n"/>
      <c r="V140" s="3" t="n"/>
      <c r="W140" s="3" t="n"/>
      <c r="X140" s="3" t="n"/>
      <c r="Y140" s="3" t="n"/>
      <c r="Z140" s="3" t="n"/>
      <c r="AA140" s="3" t="n"/>
    </row>
    <row r="141">
      <c r="A141" s="3" t="inlineStr">
        <is>
          <t>createComplaint.personalProcess</t>
        </is>
      </c>
      <c r="B141" s="3" t="inlineStr">
        <is>
          <t>Cá nhân xử lý</t>
        </is>
      </c>
      <c r="C141" s="3" t="inlineStr">
        <is>
          <t>Assigned Staff</t>
        </is>
      </c>
      <c r="D141" s="3">
        <f>IFERROR(__xludf.DUMMYFUNCTION("GOOGLETRANSLATE(B141,""vi"",""en"")"),"Individual handling")</f>
        <v/>
      </c>
      <c r="E141" s="3">
        <f>IF(C141&lt;&gt;"",C141, D141)</f>
        <v/>
      </c>
      <c r="F141" s="3" t="n"/>
      <c r="G141" s="3">
        <f>IFERROR(__xludf.DUMMYFUNCTION("GOOGLETRANSLATE(B141,""vi"",""km"")"),"ការដោះស្រាយជាលក្ខណៈបុគ្គល")</f>
        <v/>
      </c>
      <c r="H141" s="3" t="inlineStr">
        <is>
          <t>ការដោះស្រាយជាលក្ខណៈបុគ្គល</t>
        </is>
      </c>
      <c r="I141" s="3" t="n"/>
      <c r="J141" s="3">
        <f>IFERROR(__xludf.DUMMYFUNCTION("GOOGLETRANSLATE(B141,""vi"",""lo"")"),"ການຈັດການສ່ວນບຸກຄົນ")</f>
        <v/>
      </c>
      <c r="K141" s="3">
        <f>IF(I141&lt;&gt;"",I141, J141)</f>
        <v/>
      </c>
      <c r="L141" s="3" t="inlineStr">
        <is>
          <t>ការដោះស្រាយជាលក្ខណៈបុគ្គល</t>
        </is>
      </c>
      <c r="M141" s="3" t="n"/>
      <c r="N141" s="3" t="inlineStr">
        <is>
          <t>"createComplaint.personalProcess": "Assigned Staff",</t>
        </is>
      </c>
      <c r="O141" s="3" t="n"/>
      <c r="P141" s="3" t="n"/>
      <c r="Q141" s="3" t="n"/>
      <c r="R141" s="3" t="n"/>
      <c r="S141" s="3" t="n"/>
      <c r="T141" s="3" t="n"/>
      <c r="U141" s="3" t="n"/>
      <c r="V141" s="3" t="n"/>
      <c r="W141" s="3" t="n"/>
      <c r="X141" s="3" t="n"/>
      <c r="Y141" s="3" t="n"/>
      <c r="Z141" s="3" t="n"/>
      <c r="AA141" s="3" t="n"/>
    </row>
    <row r="142">
      <c r="A142" s="3" t="inlineStr">
        <is>
          <t>createComplaint.placeholderBcOrigin</t>
        </is>
      </c>
      <c r="B142" s="3" t="inlineStr">
        <is>
          <t>BC gốc</t>
        </is>
      </c>
      <c r="C142" s="3" t="inlineStr">
        <is>
          <t>Origin post office</t>
        </is>
      </c>
      <c r="D142" s="3">
        <f>IFERROR(__xludf.DUMMYFUNCTION("GOOGLETRANSLATE(B142,""vi"",""en"")"),"Original BC")</f>
        <v/>
      </c>
      <c r="E142" s="3">
        <f>IF(C142&lt;&gt;"",C142, D142)</f>
        <v/>
      </c>
      <c r="F142" s="3" t="n"/>
      <c r="G142" s="3">
        <f>IFERROR(__xludf.DUMMYFUNCTION("GOOGLETRANSLATE(B142,""vi"",""km"")"),"ដើម មុនគ.ស.")</f>
        <v/>
      </c>
      <c r="H142" s="3" t="inlineStr">
        <is>
          <t>ការិយាល័យប្រៃសណីយ៍ដើម</t>
        </is>
      </c>
      <c r="I142" s="3" t="n"/>
      <c r="J142" s="3">
        <f>IFERROR(__xludf.DUMMYFUNCTION("GOOGLETRANSLATE(B142,""vi"",""lo"")"),"ຕົ້ນສະບັບ BC")</f>
        <v/>
      </c>
      <c r="K142" s="3">
        <f>IF(I142&lt;&gt;"",I142, J142)</f>
        <v/>
      </c>
      <c r="L142" s="3" t="inlineStr">
        <is>
          <t>ការិយាល័យប្រៃសណីយ៍ដើម</t>
        </is>
      </c>
      <c r="M142" s="3" t="n"/>
      <c r="N142" s="3" t="inlineStr">
        <is>
          <t>"createComplaint.placeholderBcOrigin": "Origin post office",</t>
        </is>
      </c>
      <c r="O142" s="3" t="n"/>
      <c r="P142" s="3" t="n"/>
      <c r="Q142" s="3" t="n"/>
      <c r="R142" s="3" t="n"/>
      <c r="S142" s="3" t="n"/>
      <c r="T142" s="3" t="n"/>
      <c r="U142" s="3" t="n"/>
      <c r="V142" s="3" t="n"/>
      <c r="W142" s="3" t="n"/>
      <c r="X142" s="3" t="n"/>
      <c r="Y142" s="3" t="n"/>
      <c r="Z142" s="3" t="n"/>
      <c r="AA142" s="3" t="n"/>
    </row>
    <row r="143">
      <c r="A143" s="3" t="inlineStr">
        <is>
          <t>createComplaint.placeholderBcProcess</t>
        </is>
      </c>
      <c r="B143" s="3" t="inlineStr">
        <is>
          <t>Chọn BC xử lý</t>
        </is>
      </c>
      <c r="C143" s="3" t="inlineStr">
        <is>
          <t>Select processing post office</t>
        </is>
      </c>
      <c r="D143" s="3">
        <f>IFERROR(__xludf.DUMMYFUNCTION("GOOGLETRANSLATE(B143,""vi"",""en"")"),"Select BC to process.")</f>
        <v/>
      </c>
      <c r="E143" s="3">
        <f>IF(C143&lt;&gt;"",C143, D143)</f>
        <v/>
      </c>
      <c r="F143" s="3" t="n"/>
      <c r="G143" s="3">
        <f>IFERROR(__xludf.DUMMYFUNCTION("GOOGLETRANSLATE(B143,""vi"",""km"")"),"ជ្រើសរើស BC ដើម្បីដំណើរការ។")</f>
        <v/>
      </c>
      <c r="H143" s="3" t="inlineStr">
        <is>
          <t>ជ្រើសរើស BC ដើម្បីដំណើរការ។</t>
        </is>
      </c>
      <c r="I143" s="3" t="n"/>
      <c r="J143" s="3">
        <f>IFERROR(__xludf.DUMMYFUNCTION("GOOGLETRANSLATE(B143,""vi"",""lo"")"),"ເລືອກ BC ເພື່ອປະມວນຜົນ.")</f>
        <v/>
      </c>
      <c r="K143" s="3">
        <f>IF(I143&lt;&gt;"",I143, J143)</f>
        <v/>
      </c>
      <c r="L143" s="3" t="inlineStr">
        <is>
          <t>ជ្រើសរើស BC ដើម្បីដំណើរការ។</t>
        </is>
      </c>
      <c r="M143" s="3" t="n"/>
      <c r="N143" s="3" t="inlineStr">
        <is>
          <t>"createComplaint.placeholderBcProcess": "Select processing post office",</t>
        </is>
      </c>
      <c r="O143" s="3" t="n"/>
      <c r="P143" s="3" t="n"/>
      <c r="Q143" s="3" t="n"/>
      <c r="R143" s="3" t="n"/>
      <c r="S143" s="3" t="n"/>
      <c r="T143" s="3" t="n"/>
      <c r="U143" s="3" t="n"/>
      <c r="V143" s="3" t="n"/>
      <c r="W143" s="3" t="n"/>
      <c r="X143" s="3" t="n"/>
      <c r="Y143" s="3" t="n"/>
      <c r="Z143" s="3" t="n"/>
      <c r="AA143" s="3" t="n"/>
    </row>
    <row r="144">
      <c r="A144" s="3" t="inlineStr">
        <is>
          <t>createComplaint.placeholderBcSent</t>
        </is>
      </c>
      <c r="B144" s="3" t="inlineStr">
        <is>
          <t>BC phát</t>
        </is>
      </c>
      <c r="C144" s="3" t="inlineStr">
        <is>
          <t>Delivery post office</t>
        </is>
      </c>
      <c r="D144" s="3">
        <f>IFERROR(__xludf.DUMMYFUNCTION("GOOGLETRANSLATE(B144,""vi"",""en"")"),"BC broadcast")</f>
        <v/>
      </c>
      <c r="E144" s="3">
        <f>IF(C144&lt;&gt;"",C144, D144)</f>
        <v/>
      </c>
      <c r="F144" s="3" t="n"/>
      <c r="G144" s="3">
        <f>IFERROR(__xludf.DUMMYFUNCTION("GOOGLETRANSLATE(B144,""vi"",""km"")"),"ការផ្សាយមុនគ.ស.")</f>
        <v/>
      </c>
      <c r="H144" s="3" t="inlineStr">
        <is>
          <t>ការផ្សាយមុនគ.ស.</t>
        </is>
      </c>
      <c r="I144" s="3" t="n"/>
      <c r="J144" s="3">
        <f>IFERROR(__xludf.DUMMYFUNCTION("GOOGLETRANSLATE(B144,""vi"",""lo"")"),"ການອອກອາກາດ BC")</f>
        <v/>
      </c>
      <c r="K144" s="3">
        <f>IF(I144&lt;&gt;"",I144, J144)</f>
        <v/>
      </c>
      <c r="L144" s="3" t="inlineStr">
        <is>
          <t>ការផ្សាយមុនគ.ស.</t>
        </is>
      </c>
      <c r="M144" s="3" t="n"/>
      <c r="N144" s="3" t="inlineStr">
        <is>
          <t>"createComplaint.placeholderBcSent": "Delivery post office",</t>
        </is>
      </c>
      <c r="O144" s="3" t="n"/>
      <c r="P144" s="3" t="n"/>
      <c r="Q144" s="3" t="n"/>
      <c r="R144" s="3" t="n"/>
      <c r="S144" s="3" t="n"/>
      <c r="T144" s="3" t="n"/>
      <c r="U144" s="3" t="n"/>
      <c r="V144" s="3" t="n"/>
      <c r="W144" s="3" t="n"/>
      <c r="X144" s="3" t="n"/>
      <c r="Y144" s="3" t="n"/>
      <c r="Z144" s="3" t="n"/>
      <c r="AA144" s="3" t="n"/>
    </row>
    <row r="145">
      <c r="A145" s="3" t="inlineStr">
        <is>
          <t>createComplaint.placeholderCallCenterPhone</t>
        </is>
      </c>
      <c r="B145" s="3" t="inlineStr">
        <is>
          <t>Nhập SĐT</t>
        </is>
      </c>
      <c r="C145" s="3" t="inlineStr">
        <is>
          <t>Enter phone number</t>
        </is>
      </c>
      <c r="D145" s="3">
        <f>IFERROR(__xludf.DUMMYFUNCTION("GOOGLETRANSLATE(B145,""vi"",""en"")"),"Enter phone number")</f>
        <v/>
      </c>
      <c r="E145" s="3">
        <f>IF(C145&lt;&gt;"",C145, D145)</f>
        <v/>
      </c>
      <c r="F145" s="3" t="n"/>
      <c r="G145" s="3">
        <f>IFERROR(__xludf.DUMMYFUNCTION("GOOGLETRANSLATE(B145,""vi"",""km"")"),"បញ្ចូលលេខទូរស័ព្ទ")</f>
        <v/>
      </c>
      <c r="H145" s="3" t="inlineStr">
        <is>
          <t>បញ្ចូលលេខទូរស័ព្ទ</t>
        </is>
      </c>
      <c r="I145" s="3" t="n"/>
      <c r="J145" s="3">
        <f>IFERROR(__xludf.DUMMYFUNCTION("GOOGLETRANSLATE(B145,""vi"",""lo"")"),"ໃສ່ເບີໂທລະສັບ")</f>
        <v/>
      </c>
      <c r="K145" s="3">
        <f>IF(I145&lt;&gt;"",I145, J145)</f>
        <v/>
      </c>
      <c r="L145" s="3" t="inlineStr">
        <is>
          <t>បញ្ចូលលេខទូរស័ព្ទ</t>
        </is>
      </c>
      <c r="M145" s="3" t="n"/>
      <c r="N145" s="3" t="inlineStr">
        <is>
          <t>"createComplaint.placeholderCallCenterPhone": "Enter phone number",</t>
        </is>
      </c>
      <c r="O145" s="3" t="n"/>
      <c r="P145" s="3" t="n"/>
      <c r="Q145" s="3" t="n"/>
      <c r="R145" s="3" t="n"/>
      <c r="S145" s="3" t="n"/>
      <c r="T145" s="3" t="n"/>
      <c r="U145" s="3" t="n"/>
      <c r="V145" s="3" t="n"/>
      <c r="W145" s="3" t="n"/>
      <c r="X145" s="3" t="n"/>
      <c r="Y145" s="3" t="n"/>
      <c r="Z145" s="3" t="n"/>
      <c r="AA145" s="3" t="n"/>
    </row>
    <row r="146">
      <c r="A146" s="3" t="inlineStr">
        <is>
          <t>createComplaint.placeholderCnOrigin</t>
        </is>
      </c>
      <c r="B146" s="3" t="inlineStr">
        <is>
          <t>CN gốc</t>
        </is>
      </c>
      <c r="C146" s="3" t="inlineStr">
        <is>
          <t>Origin branch</t>
        </is>
      </c>
      <c r="D146" s="3">
        <f>IFERROR(__xludf.DUMMYFUNCTION("GOOGLETRANSLATE(B146,""vi"",""en"")"),"Original CN")</f>
        <v/>
      </c>
      <c r="E146" s="3">
        <f>IF(C146&lt;&gt;"",C146, D146)</f>
        <v/>
      </c>
      <c r="F146" s="3" t="n"/>
      <c r="G146" s="3">
        <f>IFERROR(__xludf.DUMMYFUNCTION("GOOGLETRANSLATE(B146,""vi"",""km"")"),"CN ដើម")</f>
        <v/>
      </c>
      <c r="H146" s="3" t="inlineStr">
        <is>
          <t>CN ដើម</t>
        </is>
      </c>
      <c r="I146" s="3" t="n"/>
      <c r="J146" s="3">
        <f>IFERROR(__xludf.DUMMYFUNCTION("GOOGLETRANSLATE(B146,""vi"",""lo"")"),"CN ຕົ້ນສະບັບ")</f>
        <v/>
      </c>
      <c r="K146" s="3">
        <f>IF(I146&lt;&gt;"",I146, J146)</f>
        <v/>
      </c>
      <c r="L146" s="3" t="inlineStr">
        <is>
          <t>CN ដើម</t>
        </is>
      </c>
      <c r="M146" s="3" t="n"/>
      <c r="N146" s="3" t="inlineStr">
        <is>
          <t>"createComplaint.placeholderCnOrigin": "Origin branch",</t>
        </is>
      </c>
      <c r="O146" s="3" t="n"/>
      <c r="P146" s="3" t="n"/>
      <c r="Q146" s="3" t="n"/>
      <c r="R146" s="3" t="n"/>
      <c r="S146" s="3" t="n"/>
      <c r="T146" s="3" t="n"/>
      <c r="U146" s="3" t="n"/>
      <c r="V146" s="3" t="n"/>
      <c r="W146" s="3" t="n"/>
      <c r="X146" s="3" t="n"/>
      <c r="Y146" s="3" t="n"/>
      <c r="Z146" s="3" t="n"/>
      <c r="AA146" s="3" t="n"/>
    </row>
    <row r="147">
      <c r="A147" s="3" t="inlineStr">
        <is>
          <t>createComplaint.placeholderCnProcess</t>
        </is>
      </c>
      <c r="B147" s="3" t="inlineStr">
        <is>
          <t>CN xử lý</t>
        </is>
      </c>
      <c r="C147" s="3" t="inlineStr">
        <is>
          <t>Processing branch</t>
        </is>
      </c>
      <c r="D147" s="3">
        <f>IFERROR(__xludf.DUMMYFUNCTION("GOOGLETRANSLATE(B147,""vi"",""en"")"),"CN processing")</f>
        <v/>
      </c>
      <c r="E147" s="3">
        <f>IF(C147&lt;&gt;"",C147, D147)</f>
        <v/>
      </c>
      <c r="F147" s="3" t="n"/>
      <c r="G147" s="3">
        <f>IFERROR(__xludf.DUMMYFUNCTION("GOOGLETRANSLATE(B147,""vi"",""km"")"),"ការដំណើរការ CN")</f>
        <v/>
      </c>
      <c r="H147" s="3" t="inlineStr">
        <is>
          <t>ការដំណើរការ CN</t>
        </is>
      </c>
      <c r="I147" s="3" t="n"/>
      <c r="J147" s="3">
        <f>IFERROR(__xludf.DUMMYFUNCTION("GOOGLETRANSLATE(B147,""vi"",""lo"")"),"ການປະມວນຜົນ CN")</f>
        <v/>
      </c>
      <c r="K147" s="3">
        <f>IF(I147&lt;&gt;"",I147, J147)</f>
        <v/>
      </c>
      <c r="L147" s="3" t="inlineStr">
        <is>
          <t>ការដំណើរការ CN</t>
        </is>
      </c>
      <c r="M147" s="3" t="n"/>
      <c r="N147" s="3" t="inlineStr">
        <is>
          <t>"createComplaint.placeholderCnProcess": "Processing branch",</t>
        </is>
      </c>
      <c r="O147" s="3" t="n"/>
      <c r="P147" s="3" t="n"/>
      <c r="Q147" s="3" t="n"/>
      <c r="R147" s="3" t="n"/>
      <c r="S147" s="3" t="n"/>
      <c r="T147" s="3" t="n"/>
      <c r="U147" s="3" t="n"/>
      <c r="V147" s="3" t="n"/>
      <c r="W147" s="3" t="n"/>
      <c r="X147" s="3" t="n"/>
      <c r="Y147" s="3" t="n"/>
      <c r="Z147" s="3" t="n"/>
      <c r="AA147" s="3" t="n"/>
    </row>
    <row r="148">
      <c r="A148" s="3" t="inlineStr">
        <is>
          <t>createComplaint.placeholderCnSent</t>
        </is>
      </c>
      <c r="B148" s="3" t="inlineStr">
        <is>
          <t>CN phát</t>
        </is>
      </c>
      <c r="C148" s="3" t="inlineStr">
        <is>
          <t>Delivery branch</t>
        </is>
      </c>
      <c r="D148" s="3">
        <f>IFERROR(__xludf.DUMMYFUNCTION("GOOGLETRANSLATE(B148,""vi"",""en"")"),"CN distributes")</f>
        <v/>
      </c>
      <c r="E148" s="3">
        <f>IF(C148&lt;&gt;"",C148, D148)</f>
        <v/>
      </c>
      <c r="F148" s="3" t="n"/>
      <c r="G148" s="3">
        <f>IFERROR(__xludf.DUMMYFUNCTION("GOOGLETRANSLATE(B148,""vi"",""km"")"),"ចែកចាយ CN")</f>
        <v/>
      </c>
      <c r="H148" s="3" t="inlineStr">
        <is>
          <t>ចែកចាយ CN</t>
        </is>
      </c>
      <c r="I148" s="3" t="n"/>
      <c r="J148" s="3">
        <f>IFERROR(__xludf.DUMMYFUNCTION("GOOGLETRANSLATE(B148,""vi"",""lo"")"),"CN ແຈກຢາຍ")</f>
        <v/>
      </c>
      <c r="K148" s="3">
        <f>IF(I148&lt;&gt;"",I148, J148)</f>
        <v/>
      </c>
      <c r="L148" s="3" t="inlineStr">
        <is>
          <t>ចែកចាយ CN</t>
        </is>
      </c>
      <c r="M148" s="3" t="n"/>
      <c r="N148" s="3" t="inlineStr">
        <is>
          <t>"createComplaint.placeholderCnSent": "Delivery branch",</t>
        </is>
      </c>
      <c r="O148" s="3" t="n"/>
      <c r="P148" s="3" t="n"/>
      <c r="Q148" s="3" t="n"/>
      <c r="R148" s="3" t="n"/>
      <c r="S148" s="3" t="n"/>
      <c r="T148" s="3" t="n"/>
      <c r="U148" s="3" t="n"/>
      <c r="V148" s="3" t="n"/>
      <c r="W148" s="3" t="n"/>
      <c r="X148" s="3" t="n"/>
      <c r="Y148" s="3" t="n"/>
      <c r="Z148" s="3" t="n"/>
      <c r="AA148" s="3" t="n"/>
    </row>
    <row r="149">
      <c r="A149" s="3" t="inlineStr">
        <is>
          <t>createComplaint.placeholderContactPhone</t>
        </is>
      </c>
      <c r="B149" s="3" t="inlineStr">
        <is>
          <t>Nhập sđt liên hệ</t>
        </is>
      </c>
      <c r="C149" s="3" t="inlineStr">
        <is>
          <t>Enter contact phone number</t>
        </is>
      </c>
      <c r="D149" s="3">
        <f>IFERROR(__xludf.DUMMYFUNCTION("GOOGLETRANSLATE(B149,""vi"",""en"")"),"Enter contact phone number")</f>
        <v/>
      </c>
      <c r="E149" s="3">
        <f>IF(C149&lt;&gt;"",C149, D149)</f>
        <v/>
      </c>
      <c r="F149" s="3" t="n"/>
      <c r="G149" s="3">
        <f>IFERROR(__xludf.DUMMYFUNCTION("GOOGLETRANSLATE(B149,""vi"",""km"")"),"បញ្ចូលលេខទូរស័ព្ទទំនាក់ទំនង")</f>
        <v/>
      </c>
      <c r="H149" s="3" t="inlineStr">
        <is>
          <t>បញ្ចូលលេខទូរស័ព្ទទំនាក់ទំនង</t>
        </is>
      </c>
      <c r="I149" s="3" t="n"/>
      <c r="J149" s="3">
        <f>IFERROR(__xludf.DUMMYFUNCTION("GOOGLETRANSLATE(B149,""vi"",""lo"")"),"ໃສ່ເບີໂທລະສັບຕິດຕໍ່")</f>
        <v/>
      </c>
      <c r="K149" s="3">
        <f>IF(I149&lt;&gt;"",I149, J149)</f>
        <v/>
      </c>
      <c r="L149" s="3" t="inlineStr">
        <is>
          <t>បញ្ចូលលេខទូរស័ព្ទទំនាក់ទំនង</t>
        </is>
      </c>
      <c r="M149" s="3" t="n"/>
      <c r="N149" s="3" t="inlineStr">
        <is>
          <t>"createComplaint.placeholderContactPhone": "Enter contact phone number",</t>
        </is>
      </c>
      <c r="O149" s="3" t="n"/>
      <c r="P149" s="3" t="n"/>
      <c r="Q149" s="3" t="n"/>
      <c r="R149" s="3" t="n"/>
      <c r="S149" s="3" t="n"/>
      <c r="T149" s="3" t="n"/>
      <c r="U149" s="3" t="n"/>
      <c r="V149" s="3" t="n"/>
      <c r="W149" s="3" t="n"/>
      <c r="X149" s="3" t="n"/>
      <c r="Y149" s="3" t="n"/>
      <c r="Z149" s="3" t="n"/>
      <c r="AA149" s="3" t="n"/>
    </row>
    <row r="150">
      <c r="A150" s="3" t="inlineStr">
        <is>
          <t>createComplaint.placeholderContent</t>
        </is>
      </c>
      <c r="B150" s="3" t="inlineStr">
        <is>
          <t>Nhập nội dung</t>
        </is>
      </c>
      <c r="C150" s="3" t="inlineStr">
        <is>
          <t>Enter content</t>
        </is>
      </c>
      <c r="D150" s="3">
        <f>IFERROR(__xludf.DUMMYFUNCTION("GOOGLETRANSLATE(B150,""vi"",""en"")"),"Enter content")</f>
        <v/>
      </c>
      <c r="E150" s="3">
        <f>IF(C150&lt;&gt;"",C150, D150)</f>
        <v/>
      </c>
      <c r="F150" s="3" t="n"/>
      <c r="G150" s="3">
        <f>IFERROR(__xludf.DUMMYFUNCTION("GOOGLETRANSLATE(B150,""vi"",""km"")"),"បញ្ចូលខ្លឹមសារ")</f>
        <v/>
      </c>
      <c r="H150" s="3" t="inlineStr">
        <is>
          <t>បញ្ចូលខ្លឹមសារ</t>
        </is>
      </c>
      <c r="I150" s="3" t="n"/>
      <c r="J150" s="3">
        <f>IFERROR(__xludf.DUMMYFUNCTION("GOOGLETRANSLATE(B150,""vi"",""lo"")"),"ໃສ່ເນື້ອຫາ")</f>
        <v/>
      </c>
      <c r="K150" s="3">
        <f>IF(I150&lt;&gt;"",I150, J150)</f>
        <v/>
      </c>
      <c r="L150" s="3" t="inlineStr">
        <is>
          <t>បញ្ចូលខ្លឹមសារ</t>
        </is>
      </c>
      <c r="M150" s="3" t="n"/>
      <c r="N150" s="3" t="inlineStr">
        <is>
          <t>"createComplaint.placeholderContent": "Enter content",</t>
        </is>
      </c>
      <c r="O150" s="3" t="n"/>
      <c r="P150" s="3" t="n"/>
      <c r="Q150" s="3" t="n"/>
      <c r="R150" s="3" t="n"/>
      <c r="S150" s="3" t="n"/>
      <c r="T150" s="3" t="n"/>
      <c r="U150" s="3" t="n"/>
      <c r="V150" s="3" t="n"/>
      <c r="W150" s="3" t="n"/>
      <c r="X150" s="3" t="n"/>
      <c r="Y150" s="3" t="n"/>
      <c r="Z150" s="3" t="n"/>
      <c r="AA150" s="3" t="n"/>
    </row>
    <row r="151">
      <c r="A151" s="3" t="inlineStr">
        <is>
          <t>createComplaint.placeholderCustomerName</t>
        </is>
      </c>
      <c r="B151" s="3" t="inlineStr">
        <is>
          <t>Tên khách hàng</t>
        </is>
      </c>
      <c r="C151" s="3" t="inlineStr">
        <is>
          <t>Customer Name</t>
        </is>
      </c>
      <c r="D151" s="3">
        <f>IFERROR(__xludf.DUMMYFUNCTION("GOOGLETRANSLATE(B151,""vi"",""en"")"),"Customer name")</f>
        <v/>
      </c>
      <c r="E151" s="3">
        <f>IF(C151&lt;&gt;"",C151, D151)</f>
        <v/>
      </c>
      <c r="F151" s="3" t="n"/>
      <c r="G151" s="3">
        <f>IFERROR(__xludf.DUMMYFUNCTION("GOOGLETRANSLATE(B151,""vi"",""km"")"),"ឈ្មោះអតិថិជន")</f>
        <v/>
      </c>
      <c r="H151" s="3" t="inlineStr">
        <is>
          <t>ឈ្មោះអតិថិជន</t>
        </is>
      </c>
      <c r="I151" s="3" t="n"/>
      <c r="J151" s="3">
        <f>IFERROR(__xludf.DUMMYFUNCTION("GOOGLETRANSLATE(B151,""vi"",""lo"")"),"ຊື່ລູກຄ້າ")</f>
        <v/>
      </c>
      <c r="K151" s="3">
        <f>IF(I151&lt;&gt;"",I151, J151)</f>
        <v/>
      </c>
      <c r="L151" s="3" t="inlineStr">
        <is>
          <t>ឈ្មោះអតិថិជន</t>
        </is>
      </c>
      <c r="M151" s="3" t="n"/>
      <c r="N151" s="3" t="inlineStr">
        <is>
          <t>"createComplaint.placeholderCustomerName": "Customer Name",</t>
        </is>
      </c>
      <c r="O151" s="3" t="n"/>
      <c r="P151" s="3" t="n"/>
      <c r="Q151" s="3" t="n"/>
      <c r="R151" s="3" t="n"/>
      <c r="S151" s="3" t="n"/>
      <c r="T151" s="3" t="n"/>
      <c r="U151" s="3" t="n"/>
      <c r="V151" s="3" t="n"/>
      <c r="W151" s="3" t="n"/>
      <c r="X151" s="3" t="n"/>
      <c r="Y151" s="3" t="n"/>
      <c r="Z151" s="3" t="n"/>
      <c r="AA151" s="3" t="n"/>
    </row>
    <row r="152">
      <c r="A152" s="3" t="inlineStr">
        <is>
          <t>createComplaint.placeholderDistrict</t>
        </is>
      </c>
      <c r="B152" s="3" t="inlineStr">
        <is>
          <t>Mường</t>
        </is>
      </c>
      <c r="C152" s="3" t="inlineStr">
        <is>
          <t>District</t>
        </is>
      </c>
      <c r="D152" s="3">
        <f>IFERROR(__xludf.DUMMYFUNCTION("GOOGLETRANSLATE(B152,""vi"",""en"")"),"Muong")</f>
        <v/>
      </c>
      <c r="E152" s="3">
        <f>IF(C152&lt;&gt;"",C152, D152)</f>
        <v/>
      </c>
      <c r="F152" s="3" t="n"/>
      <c r="G152" s="3">
        <f>IFERROR(__xludf.DUMMYFUNCTION("GOOGLETRANSLATE(B152,""vi"",""km"")"),"មួង")</f>
        <v/>
      </c>
      <c r="H152" s="3" t="inlineStr">
        <is>
          <t>មួង</t>
        </is>
      </c>
      <c r="I152" s="3" t="n"/>
      <c r="J152" s="3">
        <f>IFERROR(__xludf.DUMMYFUNCTION("GOOGLETRANSLATE(B152,""vi"",""lo"")"),"ເມືອງ")</f>
        <v/>
      </c>
      <c r="K152" s="3">
        <f>IF(I152&lt;&gt;"",I152, J152)</f>
        <v/>
      </c>
      <c r="L152" s="3" t="inlineStr">
        <is>
          <t>មួង</t>
        </is>
      </c>
      <c r="M152" s="3" t="n"/>
      <c r="N152" s="3" t="inlineStr">
        <is>
          <t>"createComplaint.placeholderDistrict": "District",</t>
        </is>
      </c>
      <c r="O152" s="3" t="n"/>
      <c r="P152" s="3" t="n"/>
      <c r="Q152" s="3" t="n"/>
      <c r="R152" s="3" t="n"/>
      <c r="S152" s="3" t="n"/>
      <c r="T152" s="3" t="n"/>
      <c r="U152" s="3" t="n"/>
      <c r="V152" s="3" t="n"/>
      <c r="W152" s="3" t="n"/>
      <c r="X152" s="3" t="n"/>
      <c r="Y152" s="3" t="n"/>
      <c r="Z152" s="3" t="n"/>
      <c r="AA152" s="3" t="n"/>
    </row>
    <row r="153">
      <c r="A153" s="3" t="inlineStr">
        <is>
          <t>createComplaint.placeholderErrorOccurred</t>
        </is>
      </c>
      <c r="B153" s="3" t="inlineStr">
        <is>
          <t>Nhập lỗi phát sinh</t>
        </is>
      </c>
      <c r="C153" s="3" t="inlineStr">
        <is>
          <t>Enter issue</t>
        </is>
      </c>
      <c r="D153" s="3">
        <f>IFERROR(__xludf.DUMMYFUNCTION("GOOGLETRANSLATE(B153,""vi"",""en"")"),"Enter the error that occurred.")</f>
        <v/>
      </c>
      <c r="E153" s="3">
        <f>IF(C153&lt;&gt;"",C153, D153)</f>
        <v/>
      </c>
      <c r="F153" s="3" t="n"/>
      <c r="G153" s="3">
        <f>IFERROR(__xludf.DUMMYFUNCTION("GOOGLETRANSLATE(B153,""vi"",""km"")"),"បញ្ចូល​កំហុស​ដែល​បាន​កើតឡើង។")</f>
        <v/>
      </c>
      <c r="H153" s="3" t="inlineStr">
        <is>
          <t>បញ្ចូលកំហុសដែលបានកើតឡើង។</t>
        </is>
      </c>
      <c r="I153" s="3" t="n"/>
      <c r="J153" s="3">
        <f>IFERROR(__xludf.DUMMYFUNCTION("GOOGLETRANSLATE(B153,""vi"",""lo"")"),"ໃສ່ຂໍ້ຜິດພາດທີ່ເກີດຂຶ້ນ.")</f>
        <v/>
      </c>
      <c r="K153" s="3">
        <f>IF(I153&lt;&gt;"",I153, J153)</f>
        <v/>
      </c>
      <c r="L153" s="3" t="inlineStr">
        <is>
          <t>បញ្ចូលកំហុសដែលបានកើតឡើង។</t>
        </is>
      </c>
      <c r="M153" s="3" t="n"/>
      <c r="N153" s="3" t="inlineStr">
        <is>
          <t>"createComplaint.placeholderErrorOccurred": "Enter issue",</t>
        </is>
      </c>
      <c r="O153" s="3" t="n"/>
      <c r="P153" s="3" t="n"/>
      <c r="Q153" s="3" t="n"/>
      <c r="R153" s="3" t="n"/>
      <c r="S153" s="3" t="n"/>
      <c r="T153" s="3" t="n"/>
      <c r="U153" s="3" t="n"/>
      <c r="V153" s="3" t="n"/>
      <c r="W153" s="3" t="n"/>
      <c r="X153" s="3" t="n"/>
      <c r="Y153" s="3" t="n"/>
      <c r="Z153" s="3" t="n"/>
      <c r="AA153" s="3" t="n"/>
    </row>
    <row r="154">
      <c r="A154" s="3" t="inlineStr">
        <is>
          <t>createComplaint.placeholderEvaluationTGTT</t>
        </is>
      </c>
      <c r="B154" s="3" t="inlineStr">
        <is>
          <t>Nhập đánh giá</t>
        </is>
      </c>
      <c r="C154" s="3" t="inlineStr">
        <is>
          <t>Enter rating</t>
        </is>
      </c>
      <c r="D154" s="3">
        <f>IFERROR(__xludf.DUMMYFUNCTION("GOOGLETRANSLATE(B154,""vi"",""en"")"),"Enter a review")</f>
        <v/>
      </c>
      <c r="E154" s="3">
        <f>IF(C154&lt;&gt;"",C154, D154)</f>
        <v/>
      </c>
      <c r="F154" s="3" t="n"/>
      <c r="G154" s="3">
        <f>IFERROR(__xludf.DUMMYFUNCTION("GOOGLETRANSLATE(B154,""vi"",""km"")"),"បញ្ចូលការវាយតម្លៃ")</f>
        <v/>
      </c>
      <c r="H154" s="3" t="inlineStr">
        <is>
          <t>បញ្ចូលការវាយតម្លៃ</t>
        </is>
      </c>
      <c r="I154" s="3" t="n"/>
      <c r="J154" s="3">
        <f>IFERROR(__xludf.DUMMYFUNCTION("GOOGLETRANSLATE(B154,""vi"",""lo"")"),"ປ້ອນຄຳຕິຊົມ")</f>
        <v/>
      </c>
      <c r="K154" s="3">
        <f>IF(I154&lt;&gt;"",I154, J154)</f>
        <v/>
      </c>
      <c r="L154" s="3" t="inlineStr">
        <is>
          <t>បញ្ចូលការវាយតម្លៃ</t>
        </is>
      </c>
      <c r="M154" s="3" t="n"/>
      <c r="N154" s="3" t="inlineStr">
        <is>
          <t>"createComplaint.placeholderEvaluationTGTT": "Enter rating",</t>
        </is>
      </c>
      <c r="O154" s="3" t="n"/>
      <c r="P154" s="3" t="n"/>
      <c r="Q154" s="3" t="n"/>
      <c r="R154" s="3" t="n"/>
      <c r="S154" s="3" t="n"/>
      <c r="T154" s="3" t="n"/>
      <c r="U154" s="3" t="n"/>
      <c r="V154" s="3" t="n"/>
      <c r="W154" s="3" t="n"/>
      <c r="X154" s="3" t="n"/>
      <c r="Y154" s="3" t="n"/>
      <c r="Z154" s="3" t="n"/>
      <c r="AA154" s="3" t="n"/>
    </row>
    <row r="155">
      <c r="A155" s="3" t="inlineStr">
        <is>
          <t>createComplaint.placeholderFeedbackCategory</t>
        </is>
      </c>
      <c r="B155" s="3" t="inlineStr">
        <is>
          <t>Chọn PL phản ánh</t>
        </is>
      </c>
      <c r="C155" s="3" t="inlineStr">
        <is>
          <t>Select issue category</t>
        </is>
      </c>
      <c r="D155" s="3">
        <f>IFERROR(__xludf.DUMMYFUNCTION("GOOGLETRANSLATE(B155,""vi"",""en"")"),"Select the PL that reflects")</f>
        <v/>
      </c>
      <c r="E155" s="3">
        <f>IF(C155&lt;&gt;"",C155, D155)</f>
        <v/>
      </c>
      <c r="F155" s="3" t="n"/>
      <c r="G155" s="3">
        <f>IFERROR(__xludf.DUMMYFUNCTION("GOOGLETRANSLATE(B155,""vi"",""km"")"),"ជ្រើសរើស PL ដែលឆ្លុះបញ្ចាំង")</f>
        <v/>
      </c>
      <c r="H155" s="3" t="inlineStr">
        <is>
          <t>ជ្រើសរើស PL ដែលឆ្លុះបញ្ចាំង</t>
        </is>
      </c>
      <c r="I155" s="3" t="n"/>
      <c r="J155" s="3">
        <f>IFERROR(__xludf.DUMMYFUNCTION("GOOGLETRANSLATE(B155,""vi"",""lo"")"),"ເລືອກ PL ທີ່ສະທ້ອນເຖິງ")</f>
        <v/>
      </c>
      <c r="K155" s="3">
        <f>IF(I155&lt;&gt;"",I155, J155)</f>
        <v/>
      </c>
      <c r="L155" s="3" t="inlineStr">
        <is>
          <t>ជ្រើសរើស PL ដែលឆ្លុះបញ្ចាំង</t>
        </is>
      </c>
      <c r="M155" s="3" t="n"/>
      <c r="N155" s="3" t="inlineStr">
        <is>
          <t>"createComplaint.placeholderFeedbackCategory": "Select issue category",</t>
        </is>
      </c>
      <c r="O155" s="3" t="n"/>
      <c r="P155" s="3" t="n"/>
      <c r="Q155" s="3" t="n"/>
      <c r="R155" s="3" t="n"/>
      <c r="S155" s="3" t="n"/>
      <c r="T155" s="3" t="n"/>
      <c r="U155" s="3" t="n"/>
      <c r="V155" s="3" t="n"/>
      <c r="W155" s="3" t="n"/>
      <c r="X155" s="3" t="n"/>
      <c r="Y155" s="3" t="n"/>
      <c r="Z155" s="3" t="n"/>
      <c r="AA155" s="3" t="n"/>
    </row>
    <row r="156">
      <c r="A156" s="3" t="inlineStr">
        <is>
          <t>createComplaint.placeholderLevel</t>
        </is>
      </c>
      <c r="B156" s="3" t="inlineStr">
        <is>
          <t>Chọn mức độ</t>
        </is>
      </c>
      <c r="C156" s="3" t="inlineStr">
        <is>
          <t>Select severity</t>
        </is>
      </c>
      <c r="D156" s="3">
        <f>IFERROR(__xludf.DUMMYFUNCTION("GOOGLETRANSLATE(B156,""vi"",""en"")"),"Select level")</f>
        <v/>
      </c>
      <c r="E156" s="3">
        <f>IF(C156&lt;&gt;"",C156, D156)</f>
        <v/>
      </c>
      <c r="F156" s="3" t="n"/>
      <c r="G156" s="3">
        <f>IFERROR(__xludf.DUMMYFUNCTION("GOOGLETRANSLATE(B156,""vi"",""km"")"),"ជ្រើសរើសកម្រិត")</f>
        <v/>
      </c>
      <c r="H156" s="3" t="inlineStr">
        <is>
          <t>ជ្រើសរើសកម្រិត</t>
        </is>
      </c>
      <c r="I156" s="3" t="n"/>
      <c r="J156" s="3">
        <f>IFERROR(__xludf.DUMMYFUNCTION("GOOGLETRANSLATE(B156,""vi"",""lo"")"),"ເລືອກລະດັບ")</f>
        <v/>
      </c>
      <c r="K156" s="3">
        <f>IF(I156&lt;&gt;"",I156, J156)</f>
        <v/>
      </c>
      <c r="L156" s="3" t="inlineStr">
        <is>
          <t>ជ្រើសរើសកម្រិត</t>
        </is>
      </c>
      <c r="M156" s="3" t="n"/>
      <c r="N156" s="3" t="inlineStr">
        <is>
          <t>"createComplaint.placeholderLevel": "Select severity",</t>
        </is>
      </c>
      <c r="O156" s="3" t="n"/>
      <c r="P156" s="3" t="n"/>
      <c r="Q156" s="3" t="n"/>
      <c r="R156" s="3" t="n"/>
      <c r="S156" s="3" t="n"/>
      <c r="T156" s="3" t="n"/>
      <c r="U156" s="3" t="n"/>
      <c r="V156" s="3" t="n"/>
      <c r="W156" s="3" t="n"/>
      <c r="X156" s="3" t="n"/>
      <c r="Y156" s="3" t="n"/>
      <c r="Z156" s="3" t="n"/>
      <c r="AA156" s="3" t="n"/>
    </row>
    <row r="157">
      <c r="A157" s="3" t="inlineStr">
        <is>
          <t>createComplaint.placeholderPersonalProcess</t>
        </is>
      </c>
      <c r="B157" s="3" t="inlineStr">
        <is>
          <t>Chọn cá nhân xử lý</t>
        </is>
      </c>
      <c r="C157" s="3" t="inlineStr">
        <is>
          <t>Select assigned staff</t>
        </is>
      </c>
      <c r="D157" s="3">
        <f>IFERROR(__xludf.DUMMYFUNCTION("GOOGLETRANSLATE(B157,""vi"",""en"")"),"Select the individual to handle it.")</f>
        <v/>
      </c>
      <c r="E157" s="3">
        <f>IF(C157&lt;&gt;"",C157, D157)</f>
        <v/>
      </c>
      <c r="F157" s="3" t="n"/>
      <c r="G157" s="3">
        <f>IFERROR(__xludf.DUMMYFUNCTION("GOOGLETRANSLATE(B157,""vi"",""km"")"),"ជ្រើសរើសបុគ្គលដើម្បីដោះស្រាយវា។")</f>
        <v/>
      </c>
      <c r="H157" s="3" t="inlineStr">
        <is>
          <t>ជ្រើសរើសបុគ្គលដើម្បីដោះស្រាយវា។</t>
        </is>
      </c>
      <c r="I157" s="3" t="n"/>
      <c r="J157" s="3">
        <f>IFERROR(__xludf.DUMMYFUNCTION("GOOGLETRANSLATE(B157,""vi"",""lo"")"),"ເລືອກບຸກຄົນເພື່ອຈັດການມັນ.")</f>
        <v/>
      </c>
      <c r="K157" s="3">
        <f>IF(I157&lt;&gt;"",I157, J157)</f>
        <v/>
      </c>
      <c r="L157" s="3" t="inlineStr">
        <is>
          <t>ជ្រើសរើសបុគ្គលដើម្បីដោះស្រាយវា។</t>
        </is>
      </c>
      <c r="M157" s="3" t="n"/>
      <c r="N157" s="3" t="inlineStr">
        <is>
          <t>"createComplaint.placeholderPersonalProcess": "Select assigned staff",</t>
        </is>
      </c>
      <c r="O157" s="3" t="n"/>
      <c r="P157" s="3" t="n"/>
      <c r="Q157" s="3" t="n"/>
      <c r="R157" s="3" t="n"/>
      <c r="S157" s="3" t="n"/>
      <c r="T157" s="3" t="n"/>
      <c r="U157" s="3" t="n"/>
      <c r="V157" s="3" t="n"/>
      <c r="W157" s="3" t="n"/>
      <c r="X157" s="3" t="n"/>
      <c r="Y157" s="3" t="n"/>
      <c r="Z157" s="3" t="n"/>
      <c r="AA157" s="3" t="n"/>
    </row>
    <row r="158">
      <c r="A158" s="3" t="inlineStr">
        <is>
          <t>createComplaint.placeholderProvince</t>
        </is>
      </c>
      <c r="B158" s="3" t="inlineStr">
        <is>
          <t>Tỉnh</t>
        </is>
      </c>
      <c r="C158" s="3" t="inlineStr">
        <is>
          <t>Province</t>
        </is>
      </c>
      <c r="D158" s="3">
        <f>IFERROR(__xludf.DUMMYFUNCTION("GOOGLETRANSLATE(B158,""vi"",""en"")"),"Conscious")</f>
        <v/>
      </c>
      <c r="E158" s="3">
        <f>IF(C158&lt;&gt;"",C158, D158)</f>
        <v/>
      </c>
      <c r="F158" s="3" t="n"/>
      <c r="G158" s="3">
        <f>IFERROR(__xludf.DUMMYFUNCTION("GOOGLETRANSLATE(B158,""vi"",""km"")"),"ដឹងខ្លួន")</f>
        <v/>
      </c>
      <c r="H158" s="3" t="inlineStr">
        <is>
          <t>ដឹងខ្លួន</t>
        </is>
      </c>
      <c r="I158" s="3" t="n"/>
      <c r="J158" s="3">
        <f>IFERROR(__xludf.DUMMYFUNCTION("GOOGLETRANSLATE(B158,""vi"",""lo"")"),"ມີສະຕິ")</f>
        <v/>
      </c>
      <c r="K158" s="3">
        <f>IF(I158&lt;&gt;"",I158, J158)</f>
        <v/>
      </c>
      <c r="L158" s="3" t="inlineStr">
        <is>
          <t>ដឹងខ្លួន</t>
        </is>
      </c>
      <c r="M158" s="3" t="n"/>
      <c r="N158" s="3" t="inlineStr">
        <is>
          <t>"createComplaint.placeholderProvince": "Province",</t>
        </is>
      </c>
      <c r="O158" s="3" t="n"/>
      <c r="P158" s="3" t="n"/>
      <c r="Q158" s="3" t="n"/>
      <c r="R158" s="3" t="n"/>
      <c r="S158" s="3" t="n"/>
      <c r="T158" s="3" t="n"/>
      <c r="U158" s="3" t="n"/>
      <c r="V158" s="3" t="n"/>
      <c r="W158" s="3" t="n"/>
      <c r="X158" s="3" t="n"/>
      <c r="Y158" s="3" t="n"/>
      <c r="Z158" s="3" t="n"/>
      <c r="AA158" s="3" t="n"/>
    </row>
    <row r="159">
      <c r="A159" s="3" t="inlineStr">
        <is>
          <t>createComplaint.placeholderReceptionChannel</t>
        </is>
      </c>
      <c r="B159" s="3" t="inlineStr">
        <is>
          <t>Nhập kênh tiếp nhận</t>
        </is>
      </c>
      <c r="C159" s="3" t="inlineStr">
        <is>
          <t>Enter intake channel</t>
        </is>
      </c>
      <c r="D159" s="3">
        <f>IFERROR(__xludf.DUMMYFUNCTION("GOOGLETRANSLATE(B159,""vi"",""en"")"),"Enter receiving channel")</f>
        <v/>
      </c>
      <c r="E159" s="3">
        <f>IF(C159&lt;&gt;"",C159, D159)</f>
        <v/>
      </c>
      <c r="F159" s="3" t="n"/>
      <c r="G159" s="3">
        <f>IFERROR(__xludf.DUMMYFUNCTION("GOOGLETRANSLATE(B159,""vi"",""km"")"),"បញ្ចូលឆានែលទទួល")</f>
        <v/>
      </c>
      <c r="H159" s="3" t="inlineStr">
        <is>
          <t>បញ្ចូលឆានែលទទួល</t>
        </is>
      </c>
      <c r="I159" s="3" t="n"/>
      <c r="J159" s="3">
        <f>IFERROR(__xludf.DUMMYFUNCTION("GOOGLETRANSLATE(B159,""vi"",""lo"")"),"ໃສ່ຊ່ອງທາງຮັບ")</f>
        <v/>
      </c>
      <c r="K159" s="3">
        <f>IF(I159&lt;&gt;"",I159, J159)</f>
        <v/>
      </c>
      <c r="L159" s="3" t="inlineStr">
        <is>
          <t>បញ្ចូលឆានែលទទួល</t>
        </is>
      </c>
      <c r="M159" s="3" t="n"/>
      <c r="N159" s="3" t="inlineStr">
        <is>
          <t>"createComplaint.placeholderReceptionChannel": "Enter intake channel",</t>
        </is>
      </c>
      <c r="O159" s="3" t="n"/>
      <c r="P159" s="3" t="n"/>
      <c r="Q159" s="3" t="n"/>
      <c r="R159" s="3" t="n"/>
      <c r="S159" s="3" t="n"/>
      <c r="T159" s="3" t="n"/>
      <c r="U159" s="3" t="n"/>
      <c r="V159" s="3" t="n"/>
      <c r="W159" s="3" t="n"/>
      <c r="X159" s="3" t="n"/>
      <c r="Y159" s="3" t="n"/>
      <c r="Z159" s="3" t="n"/>
      <c r="AA159" s="3" t="n"/>
    </row>
    <row r="160">
      <c r="A160" s="3" t="inlineStr">
        <is>
          <t>createComplaint.placeholderTemporaryDeadline</t>
        </is>
      </c>
      <c r="B160" s="3" t="inlineStr">
        <is>
          <t>Hạn xử lý tạm tính</t>
        </is>
      </c>
      <c r="C160" s="3" t="inlineStr">
        <is>
          <t>Estimated processing deadline</t>
        </is>
      </c>
      <c r="D160" s="3">
        <f>IFERROR(__xludf.DUMMYFUNCTION("GOOGLETRANSLATE(B160,""vi"",""en"")"),"Estimated processing time")</f>
        <v/>
      </c>
      <c r="E160" s="3">
        <f>IF(C160&lt;&gt;"",C160, D160)</f>
        <v/>
      </c>
      <c r="F160" s="3" t="n"/>
      <c r="G160" s="3">
        <f>IFERROR(__xludf.DUMMYFUNCTION("GOOGLETRANSLATE(B160,""vi"",""km"")"),"ពេលវេលាដំណើរការប៉ាន់ស្មាន")</f>
        <v/>
      </c>
      <c r="H160" s="3" t="inlineStr">
        <is>
          <t>ពេលវេលាដំណើរការប៉ាន់ស្មាន</t>
        </is>
      </c>
      <c r="I160" s="3" t="n"/>
      <c r="J160" s="3">
        <f>IFERROR(__xludf.DUMMYFUNCTION("GOOGLETRANSLATE(B160,""vi"",""lo"")"),"ເວລາປະມວນຜົນປະມານ")</f>
        <v/>
      </c>
      <c r="K160" s="3">
        <f>IF(I160&lt;&gt;"",I160, J160)</f>
        <v/>
      </c>
      <c r="L160" s="3" t="inlineStr">
        <is>
          <t>ពេលវេលាដំណើរការប៉ាន់ស្មាន</t>
        </is>
      </c>
      <c r="M160" s="3" t="n"/>
      <c r="N160" s="3" t="inlineStr">
        <is>
          <t>"createComplaint.placeholderTemporaryDeadline": "Estimated processing deadline",</t>
        </is>
      </c>
      <c r="O160" s="3" t="n"/>
      <c r="P160" s="3" t="n"/>
      <c r="Q160" s="3" t="n"/>
      <c r="R160" s="3" t="n"/>
      <c r="S160" s="3" t="n"/>
      <c r="T160" s="3" t="n"/>
      <c r="U160" s="3" t="n"/>
      <c r="V160" s="3" t="n"/>
      <c r="W160" s="3" t="n"/>
      <c r="X160" s="3" t="n"/>
      <c r="Y160" s="3" t="n"/>
      <c r="Z160" s="3" t="n"/>
      <c r="AA160" s="3" t="n"/>
    </row>
    <row r="161">
      <c r="A161" s="3" t="inlineStr">
        <is>
          <t>createComplaint.placeholderTrackingCode</t>
        </is>
      </c>
      <c r="B161" s="3" t="inlineStr">
        <is>
          <t>Nhập mã vận đơn</t>
        </is>
      </c>
      <c r="C161" s="3" t="inlineStr">
        <is>
          <t>Enter tracking number</t>
        </is>
      </c>
      <c r="D161" s="3">
        <f>IFERROR(__xludf.DUMMYFUNCTION("GOOGLETRANSLATE(B161,""vi"",""en"")"),"Enter the tracking number")</f>
        <v/>
      </c>
      <c r="E161" s="3">
        <f>IF(C161&lt;&gt;"",C161, D161)</f>
        <v/>
      </c>
      <c r="F161" s="3" t="n"/>
      <c r="G161" s="3">
        <f>IFERROR(__xludf.DUMMYFUNCTION("GOOGLETRANSLATE(B161,""vi"",""km"")"),"បញ្ចូលលេខតាមដាន")</f>
        <v/>
      </c>
      <c r="H161" s="3" t="inlineStr">
        <is>
          <t>បញ្ចូលលេខតាមដាន</t>
        </is>
      </c>
      <c r="I161" s="3" t="n"/>
      <c r="J161" s="3">
        <f>IFERROR(__xludf.DUMMYFUNCTION("GOOGLETRANSLATE(B161,""vi"",""lo"")"),"ໃສ່ໝາຍເລກຕິດຕາມ")</f>
        <v/>
      </c>
      <c r="K161" s="3">
        <f>IF(I161&lt;&gt;"",I161, J161)</f>
        <v/>
      </c>
      <c r="L161" s="3" t="inlineStr">
        <is>
          <t>បញ្ចូលលេខតាមដាន</t>
        </is>
      </c>
      <c r="M161" s="3" t="n"/>
      <c r="N161" s="3" t="inlineStr">
        <is>
          <t>"createComplaint.placeholderTrackingCode": "Enter tracking number",</t>
        </is>
      </c>
      <c r="O161" s="3" t="n"/>
      <c r="P161" s="3" t="n"/>
      <c r="Q161" s="3" t="n"/>
      <c r="R161" s="3" t="n"/>
      <c r="S161" s="3" t="n"/>
      <c r="T161" s="3" t="n"/>
      <c r="U161" s="3" t="n"/>
      <c r="V161" s="3" t="n"/>
      <c r="W161" s="3" t="n"/>
      <c r="X161" s="3" t="n"/>
      <c r="Y161" s="3" t="n"/>
      <c r="Z161" s="3" t="n"/>
      <c r="AA161" s="3" t="n"/>
    </row>
    <row r="162">
      <c r="A162" s="3" t="inlineStr">
        <is>
          <t>createComplaint.province</t>
        </is>
      </c>
      <c r="B162" s="3" t="inlineStr">
        <is>
          <t>Tỉnh</t>
        </is>
      </c>
      <c r="C162" s="3" t="inlineStr">
        <is>
          <t>Province</t>
        </is>
      </c>
      <c r="D162" s="3">
        <f>IFERROR(__xludf.DUMMYFUNCTION("GOOGLETRANSLATE(B162,""vi"",""en"")"),"Conscious")</f>
        <v/>
      </c>
      <c r="E162" s="3">
        <f>IF(C162&lt;&gt;"",C162, D162)</f>
        <v/>
      </c>
      <c r="F162" s="3" t="n"/>
      <c r="G162" s="3">
        <f>IFERROR(__xludf.DUMMYFUNCTION("GOOGLETRANSLATE(B162,""vi"",""km"")"),"ដឹងខ្លួន")</f>
        <v/>
      </c>
      <c r="H162" s="3" t="inlineStr">
        <is>
          <t>ដឹងខ្លួន</t>
        </is>
      </c>
      <c r="I162" s="3" t="n"/>
      <c r="J162" s="3">
        <f>IFERROR(__xludf.DUMMYFUNCTION("GOOGLETRANSLATE(B162,""vi"",""lo"")"),"ມີສະຕິ")</f>
        <v/>
      </c>
      <c r="K162" s="3">
        <f>IF(I162&lt;&gt;"",I162, J162)</f>
        <v/>
      </c>
      <c r="L162" s="3" t="inlineStr">
        <is>
          <t>ដឹងខ្លួន</t>
        </is>
      </c>
      <c r="M162" s="3" t="n"/>
      <c r="N162" s="3" t="inlineStr">
        <is>
          <t>"createComplaint.province": "Province",</t>
        </is>
      </c>
      <c r="O162" s="3" t="n"/>
      <c r="P162" s="3" t="n"/>
      <c r="Q162" s="3" t="n"/>
      <c r="R162" s="3" t="n"/>
      <c r="S162" s="3" t="n"/>
      <c r="T162" s="3" t="n"/>
      <c r="U162" s="3" t="n"/>
      <c r="V162" s="3" t="n"/>
      <c r="W162" s="3" t="n"/>
      <c r="X162" s="3" t="n"/>
      <c r="Y162" s="3" t="n"/>
      <c r="Z162" s="3" t="n"/>
      <c r="AA162" s="3" t="n"/>
    </row>
    <row r="163">
      <c r="A163" s="3" t="inlineStr">
        <is>
          <t>createComplaint.receiver</t>
        </is>
      </c>
      <c r="B163" s="3" t="inlineStr">
        <is>
          <t>Người nhận</t>
        </is>
      </c>
      <c r="C163" s="3" t="inlineStr">
        <is>
          <t>Receiver</t>
        </is>
      </c>
      <c r="D163" s="3">
        <f>IFERROR(__xludf.DUMMYFUNCTION("GOOGLETRANSLATE(B163,""vi"",""en"")"),"Receiver")</f>
        <v/>
      </c>
      <c r="E163" s="3">
        <f>IF(C163&lt;&gt;"",C163, D163)</f>
        <v/>
      </c>
      <c r="F163" s="3" t="n"/>
      <c r="G163" s="3">
        <f>IFERROR(__xludf.DUMMYFUNCTION("GOOGLETRANSLATE(B163,""vi"",""km"")"),"អ្នកទទួល")</f>
        <v/>
      </c>
      <c r="H163" s="3" t="inlineStr">
        <is>
          <t>អ្នកទទួល</t>
        </is>
      </c>
      <c r="I163" s="3" t="n"/>
      <c r="J163" s="3">
        <f>IFERROR(__xludf.DUMMYFUNCTION("GOOGLETRANSLATE(B163,""vi"",""lo"")"),"ເຄື່ອງຮັບ")</f>
        <v/>
      </c>
      <c r="K163" s="3">
        <f>IF(I163&lt;&gt;"",I163, J163)</f>
        <v/>
      </c>
      <c r="L163" s="3" t="inlineStr">
        <is>
          <t>អ្នកទទួល</t>
        </is>
      </c>
      <c r="M163" s="3" t="n"/>
      <c r="N163" s="3" t="inlineStr">
        <is>
          <t>"createComplaint.receiver": "Receiver",</t>
        </is>
      </c>
      <c r="O163" s="3" t="n"/>
      <c r="P163" s="3" t="n"/>
      <c r="Q163" s="3" t="n"/>
      <c r="R163" s="3" t="n"/>
      <c r="S163" s="3" t="n"/>
      <c r="T163" s="3" t="n"/>
      <c r="U163" s="3" t="n"/>
      <c r="V163" s="3" t="n"/>
      <c r="W163" s="3" t="n"/>
      <c r="X163" s="3" t="n"/>
      <c r="Y163" s="3" t="n"/>
      <c r="Z163" s="3" t="n"/>
      <c r="AA163" s="3" t="n"/>
    </row>
    <row r="164">
      <c r="A164" s="3" t="inlineStr">
        <is>
          <t>createComplaint.receptionChannel</t>
        </is>
      </c>
      <c r="B164" s="3" t="inlineStr">
        <is>
          <t>Kênh tiếp nhận</t>
        </is>
      </c>
      <c r="C164" s="3" t="inlineStr">
        <is>
          <t>Intake Channel</t>
        </is>
      </c>
      <c r="D164" s="3">
        <f>IFERROR(__xludf.DUMMYFUNCTION("GOOGLETRANSLATE(B164,""vi"",""en"")"),"Reception channel")</f>
        <v/>
      </c>
      <c r="E164" s="3">
        <f>IF(C164&lt;&gt;"",C164, D164)</f>
        <v/>
      </c>
      <c r="F164" s="3" t="n"/>
      <c r="G164" s="3">
        <f>IFERROR(__xludf.DUMMYFUNCTION("GOOGLETRANSLATE(B164,""vi"",""km"")"),"ឆានែលទទួលភ្ញៀវ")</f>
        <v/>
      </c>
      <c r="H164" s="3" t="inlineStr">
        <is>
          <t>ឆានែលទទួលភ្ញៀវ</t>
        </is>
      </c>
      <c r="I164" s="3" t="n"/>
      <c r="J164" s="3">
        <f>IFERROR(__xludf.DUMMYFUNCTION("GOOGLETRANSLATE(B164,""vi"",""lo"")"),"ຊ່ອງຮັບ")</f>
        <v/>
      </c>
      <c r="K164" s="3">
        <f>IF(I164&lt;&gt;"",I164, J164)</f>
        <v/>
      </c>
      <c r="L164" s="3" t="inlineStr">
        <is>
          <t>ឆានែលទទួលភ្ញៀវ</t>
        </is>
      </c>
      <c r="M164" s="3" t="n"/>
      <c r="N164" s="3" t="inlineStr">
        <is>
          <t>"createComplaint.receptionChannel": "Intake Channel",</t>
        </is>
      </c>
      <c r="O164" s="3" t="n"/>
      <c r="P164" s="3" t="n"/>
      <c r="Q164" s="3" t="n"/>
      <c r="R164" s="3" t="n"/>
      <c r="S164" s="3" t="n"/>
      <c r="T164" s="3" t="n"/>
      <c r="U164" s="3" t="n"/>
      <c r="V164" s="3" t="n"/>
      <c r="W164" s="3" t="n"/>
      <c r="X164" s="3" t="n"/>
      <c r="Y164" s="3" t="n"/>
      <c r="Z164" s="3" t="n"/>
      <c r="AA164" s="3" t="n"/>
    </row>
    <row r="165">
      <c r="A165" s="3" t="inlineStr">
        <is>
          <t>createComplaint.sender</t>
        </is>
      </c>
      <c r="B165" s="3" t="inlineStr">
        <is>
          <t>Người gửi</t>
        </is>
      </c>
      <c r="C165" s="3" t="inlineStr">
        <is>
          <t>Sender</t>
        </is>
      </c>
      <c r="D165" s="3">
        <f>IFERROR(__xludf.DUMMYFUNCTION("GOOGLETRANSLATE(B165,""vi"",""en"")"),"Sender")</f>
        <v/>
      </c>
      <c r="E165" s="3">
        <f>IF(C165&lt;&gt;"",C165, D165)</f>
        <v/>
      </c>
      <c r="F165" s="3" t="n"/>
      <c r="G165" s="3">
        <f>IFERROR(__xludf.DUMMYFUNCTION("GOOGLETRANSLATE(B165,""vi"",""km"")"),"អ្នកផ្ញើ")</f>
        <v/>
      </c>
      <c r="H165" s="3" t="inlineStr">
        <is>
          <t>អ្នកផ្ញើ</t>
        </is>
      </c>
      <c r="I165" s="3" t="n"/>
      <c r="J165" s="3">
        <f>IFERROR(__xludf.DUMMYFUNCTION("GOOGLETRANSLATE(B165,""vi"",""lo"")"),"ຜູ້ສົ່ງ")</f>
        <v/>
      </c>
      <c r="K165" s="3">
        <f>IF(I165&lt;&gt;"",I165, J165)</f>
        <v/>
      </c>
      <c r="L165" s="3" t="inlineStr">
        <is>
          <t>អ្នកផ្ញើ</t>
        </is>
      </c>
      <c r="M165" s="3" t="n"/>
      <c r="N165" s="3" t="inlineStr">
        <is>
          <t>"createComplaint.sender": "Sender",</t>
        </is>
      </c>
      <c r="O165" s="3" t="n"/>
      <c r="P165" s="3" t="n"/>
      <c r="Q165" s="3" t="n"/>
      <c r="R165" s="3" t="n"/>
      <c r="S165" s="3" t="n"/>
      <c r="T165" s="3" t="n"/>
      <c r="U165" s="3" t="n"/>
      <c r="V165" s="3" t="n"/>
      <c r="W165" s="3" t="n"/>
      <c r="X165" s="3" t="n"/>
      <c r="Y165" s="3" t="n"/>
      <c r="Z165" s="3" t="n"/>
      <c r="AA165" s="3" t="n"/>
    </row>
    <row r="166">
      <c r="A166" s="3" t="inlineStr">
        <is>
          <t>createComplaint.successGetTrackingCode</t>
        </is>
      </c>
      <c r="B166" s="3" t="inlineStr">
        <is>
          <t>Lấy thông tin mã vận đơn thành công</t>
        </is>
      </c>
      <c r="C166" s="3" t="inlineStr">
        <is>
          <t>Tracking information retrieved successfully</t>
        </is>
      </c>
      <c r="D166" s="3">
        <f>IFERROR(__xludf.DUMMYFUNCTION("GOOGLETRANSLATE(B166,""vi"",""en"")"),"Tracking number retrieved successfully")</f>
        <v/>
      </c>
      <c r="E166" s="3">
        <f>IF(C166&lt;&gt;"",C166, D166)</f>
        <v/>
      </c>
      <c r="F166" s="3" t="n"/>
      <c r="G166" s="3">
        <f>IFERROR(__xludf.DUMMYFUNCTION("GOOGLETRANSLATE(B166,""vi"",""km"")"),"បានទាញយកលេខតាមដានដោយជោគជ័យ")</f>
        <v/>
      </c>
      <c r="H166" s="3" t="inlineStr">
        <is>
          <t>បានទាញយកលេខតាមដានដោយជោគជ័យ</t>
        </is>
      </c>
      <c r="I166" s="3" t="n"/>
      <c r="J166" s="3">
        <f>IFERROR(__xludf.DUMMYFUNCTION("GOOGLETRANSLATE(B166,""vi"",""lo"")"),"ໄດ້ຮັບໝາຍເລກຕິດຕາມສຳເລັດແລ້ວ")</f>
        <v/>
      </c>
      <c r="K166" s="3">
        <f>IF(I166&lt;&gt;"",I166, J166)</f>
        <v/>
      </c>
      <c r="L166" s="3" t="inlineStr">
        <is>
          <t>បានទាញយកលេខតាមដានដោយជោគជ័យ</t>
        </is>
      </c>
      <c r="M166" s="3" t="n"/>
      <c r="N166" s="3" t="inlineStr">
        <is>
          <t>"createComplaint.successGetTrackingCode": "Tracking information retrieved successfully",</t>
        </is>
      </c>
      <c r="O166" s="3" t="n"/>
      <c r="P166" s="3" t="n"/>
      <c r="Q166" s="3" t="n"/>
      <c r="R166" s="3" t="n"/>
      <c r="S166" s="3" t="n"/>
      <c r="T166" s="3" t="n"/>
      <c r="U166" s="3" t="n"/>
      <c r="V166" s="3" t="n"/>
      <c r="W166" s="3" t="n"/>
      <c r="X166" s="3" t="n"/>
      <c r="Y166" s="3" t="n"/>
      <c r="Z166" s="3" t="n"/>
      <c r="AA166" s="3" t="n"/>
    </row>
    <row r="167">
      <c r="A167" s="3" t="inlineStr">
        <is>
          <t>createComplaint.temporaryDeadline</t>
        </is>
      </c>
      <c r="B167" s="3" t="inlineStr">
        <is>
          <t>Hạn xử lý tạm tính</t>
        </is>
      </c>
      <c r="C167" s="3" t="inlineStr">
        <is>
          <t>Estimated processing deadline</t>
        </is>
      </c>
      <c r="D167" s="3">
        <f>IFERROR(__xludf.DUMMYFUNCTION("GOOGLETRANSLATE(B167,""vi"",""en"")"),"Estimated processing time")</f>
        <v/>
      </c>
      <c r="E167" s="3">
        <f>IF(C167&lt;&gt;"",C167, D167)</f>
        <v/>
      </c>
      <c r="F167" s="3" t="n"/>
      <c r="G167" s="3">
        <f>IFERROR(__xludf.DUMMYFUNCTION("GOOGLETRANSLATE(B167,""vi"",""km"")"),"ពេលវេលាដំណើរការប៉ាន់ស្មាន")</f>
        <v/>
      </c>
      <c r="H167" s="3" t="inlineStr">
        <is>
          <t>ពេលវេលាដំណើរការប៉ាន់ស្មាន</t>
        </is>
      </c>
      <c r="I167" s="3" t="n"/>
      <c r="J167" s="3">
        <f>IFERROR(__xludf.DUMMYFUNCTION("GOOGLETRANSLATE(B167,""vi"",""lo"")"),"ເວລາປະມວນຜົນປະມານ")</f>
        <v/>
      </c>
      <c r="K167" s="3">
        <f>IF(I167&lt;&gt;"",I167, J167)</f>
        <v/>
      </c>
      <c r="L167" s="3" t="inlineStr">
        <is>
          <t>ពេលវេលាដំណើរការប៉ាន់ស្មាន</t>
        </is>
      </c>
      <c r="M167" s="3" t="n"/>
      <c r="N167" s="3" t="inlineStr">
        <is>
          <t>"createComplaint.temporaryDeadline": "Estimated processing deadline",</t>
        </is>
      </c>
      <c r="O167" s="3" t="n"/>
      <c r="P167" s="3" t="n"/>
      <c r="Q167" s="3" t="n"/>
      <c r="R167" s="3" t="n"/>
      <c r="S167" s="3" t="n"/>
      <c r="T167" s="3" t="n"/>
      <c r="U167" s="3" t="n"/>
      <c r="V167" s="3" t="n"/>
      <c r="W167" s="3" t="n"/>
      <c r="X167" s="3" t="n"/>
      <c r="Y167" s="3" t="n"/>
      <c r="Z167" s="3" t="n"/>
      <c r="AA167" s="3" t="n"/>
    </row>
    <row r="168">
      <c r="A168" s="3" t="inlineStr">
        <is>
          <t>createComplaint.titleCreate</t>
        </is>
      </c>
      <c r="B168" s="3" t="inlineStr">
        <is>
          <t>Tạo khiếu nại</t>
        </is>
      </c>
      <c r="C168" s="3" t="inlineStr">
        <is>
          <t>Create Complaint</t>
        </is>
      </c>
      <c r="D168" s="3">
        <f>IFERROR(__xludf.DUMMYFUNCTION("GOOGLETRANSLATE(B168,""vi"",""en"")"),"Create a complaint")</f>
        <v/>
      </c>
      <c r="E168" s="3">
        <f>IF(C168&lt;&gt;"",C168, D168)</f>
        <v/>
      </c>
      <c r="F168" s="3" t="n"/>
      <c r="G168" s="3">
        <f>IFERROR(__xludf.DUMMYFUNCTION("GOOGLETRANSLATE(B168,""vi"",""km"")"),"បង្កើតពាក្យបណ្តឹង")</f>
        <v/>
      </c>
      <c r="H168" s="3" t="inlineStr">
        <is>
          <t>បង្កើតពាក្យបណ្តឹង</t>
        </is>
      </c>
      <c r="I168" s="3" t="n"/>
      <c r="J168" s="3">
        <f>IFERROR(__xludf.DUMMYFUNCTION("GOOGLETRANSLATE(B168,""vi"",""lo"")"),"ສ້າງຄຳຮ້ອງທຸກ")</f>
        <v/>
      </c>
      <c r="K168" s="3">
        <f>IF(I168&lt;&gt;"",I168, J168)</f>
        <v/>
      </c>
      <c r="L168" s="3" t="inlineStr">
        <is>
          <t>បង្កើតពាក្យបណ្តឹង</t>
        </is>
      </c>
      <c r="M168" s="3" t="n"/>
      <c r="N168" s="3" t="inlineStr">
        <is>
          <t>"createComplaint.titleCreate": "Create Complaint",</t>
        </is>
      </c>
      <c r="O168" s="3" t="n"/>
      <c r="P168" s="3" t="n"/>
      <c r="Q168" s="3" t="n"/>
      <c r="R168" s="3" t="n"/>
      <c r="S168" s="3" t="n"/>
      <c r="T168" s="3" t="n"/>
      <c r="U168" s="3" t="n"/>
      <c r="V168" s="3" t="n"/>
      <c r="W168" s="3" t="n"/>
      <c r="X168" s="3" t="n"/>
      <c r="Y168" s="3" t="n"/>
      <c r="Z168" s="3" t="n"/>
      <c r="AA168" s="3" t="n"/>
    </row>
    <row r="169">
      <c r="A169" s="3" t="inlineStr">
        <is>
          <t>createComplaint.titleEdit</t>
        </is>
      </c>
      <c r="B169" s="3" t="inlineStr">
        <is>
          <t>Chỉnh sửa khiếu nại</t>
        </is>
      </c>
      <c r="C169" s="3" t="inlineStr">
        <is>
          <t>Edit Complaint</t>
        </is>
      </c>
      <c r="D169" s="3">
        <f>IFERROR(__xludf.DUMMYFUNCTION("GOOGLETRANSLATE(B169,""vi"",""en"")"),"Edit complaint")</f>
        <v/>
      </c>
      <c r="E169" s="3">
        <f>IF(C169&lt;&gt;"",C169, D169)</f>
        <v/>
      </c>
      <c r="F169" s="3" t="n"/>
      <c r="G169" s="3">
        <f>IFERROR(__xludf.DUMMYFUNCTION("GOOGLETRANSLATE(B169,""vi"",""km"")"),"កែសម្រួលពាក្យបណ្តឹង")</f>
        <v/>
      </c>
      <c r="H169" s="3" t="inlineStr">
        <is>
          <t>កែសម្រួលពាក្យបណ្តឹង</t>
        </is>
      </c>
      <c r="I169" s="3" t="n"/>
      <c r="J169" s="3">
        <f>IFERROR(__xludf.DUMMYFUNCTION("GOOGLETRANSLATE(B169,""vi"",""lo"")"),"ແກ້ໄຂຄຳຮ້ອງຮຽນ")</f>
        <v/>
      </c>
      <c r="K169" s="3">
        <f>IF(I169&lt;&gt;"",I169, J169)</f>
        <v/>
      </c>
      <c r="L169" s="3" t="inlineStr">
        <is>
          <t>កែសម្រួលពាក្យបណ្តឹង</t>
        </is>
      </c>
      <c r="M169" s="3" t="n"/>
      <c r="N169" s="3" t="inlineStr">
        <is>
          <t>"createComplaint.titleEdit": "Edit Complaint",</t>
        </is>
      </c>
      <c r="O169" s="3" t="n"/>
      <c r="P169" s="3" t="n"/>
      <c r="Q169" s="3" t="n"/>
      <c r="R169" s="3" t="n"/>
      <c r="S169" s="3" t="n"/>
      <c r="T169" s="3" t="n"/>
      <c r="U169" s="3" t="n"/>
      <c r="V169" s="3" t="n"/>
      <c r="W169" s="3" t="n"/>
      <c r="X169" s="3" t="n"/>
      <c r="Y169" s="3" t="n"/>
      <c r="Z169" s="3" t="n"/>
      <c r="AA169" s="3" t="n"/>
    </row>
    <row r="170">
      <c r="A170" s="3" t="inlineStr">
        <is>
          <t>createComplaint.trackingCode</t>
        </is>
      </c>
      <c r="B170" s="3" t="inlineStr">
        <is>
          <t>Mã vận đơn</t>
        </is>
      </c>
      <c r="C170" s="3" t="inlineStr">
        <is>
          <t>Tracking number</t>
        </is>
      </c>
      <c r="D170" s="3">
        <f>IFERROR(__xludf.DUMMYFUNCTION("GOOGLETRANSLATE(B170,""vi"",""en"")"),"Tracking number")</f>
        <v/>
      </c>
      <c r="E170" s="3">
        <f>IF(C170&lt;&gt;"",C170, D170)</f>
        <v/>
      </c>
      <c r="F170" s="3" t="n"/>
      <c r="G170" s="3">
        <f>IFERROR(__xludf.DUMMYFUNCTION("GOOGLETRANSLATE(B170,""vi"",""km"")"),"លេខតាមដាន")</f>
        <v/>
      </c>
      <c r="H170" s="3" t="inlineStr">
        <is>
          <t>លេខកូដបុងបញ្ញើ</t>
        </is>
      </c>
      <c r="I170" s="3" t="n"/>
      <c r="J170" s="3">
        <f>IFERROR(__xludf.DUMMYFUNCTION("GOOGLETRANSLATE(B170,""vi"",""lo"")"),"ໝາຍເລກຕິດຕາມ")</f>
        <v/>
      </c>
      <c r="K170" s="3">
        <f>IF(I170&lt;&gt;"",I170, J170)</f>
        <v/>
      </c>
      <c r="L170" s="3" t="inlineStr">
        <is>
          <t>លេខកូដបុងបញ្ញើ</t>
        </is>
      </c>
      <c r="M170" s="3" t="n"/>
      <c r="N170" s="3" t="inlineStr">
        <is>
          <t>"createComplaint.trackingCode": "Tracking number",</t>
        </is>
      </c>
      <c r="O170" s="3" t="n"/>
      <c r="P170" s="3" t="n"/>
      <c r="Q170" s="3" t="n"/>
      <c r="R170" s="3" t="n"/>
      <c r="S170" s="3" t="n"/>
      <c r="T170" s="3" t="n"/>
      <c r="U170" s="3" t="n"/>
      <c r="V170" s="3" t="n"/>
      <c r="W170" s="3" t="n"/>
      <c r="X170" s="3" t="n"/>
      <c r="Y170" s="3" t="n"/>
      <c r="Z170" s="3" t="n"/>
      <c r="AA170" s="3" t="n"/>
    </row>
    <row r="171">
      <c r="A171" s="3" t="inlineStr">
        <is>
          <t>detailComplaint.actionContent</t>
        </is>
      </c>
      <c r="B171" s="3" t="inlineStr">
        <is>
          <t>Nội dung tác động</t>
        </is>
      </c>
      <c r="C171" s="3" t="inlineStr">
        <is>
          <t>Action details</t>
        </is>
      </c>
      <c r="D171" s="3">
        <f>IFERROR(__xludf.DUMMYFUNCTION("GOOGLETRANSLATE(B171,""vi"",""en"")"),"Impact content")</f>
        <v/>
      </c>
      <c r="E171" s="3">
        <f>IF(C171&lt;&gt;"",C171, D171)</f>
        <v/>
      </c>
      <c r="F171" s="3" t="n"/>
      <c r="G171" s="3">
        <f>IFERROR(__xludf.DUMMYFUNCTION("GOOGLETRANSLATE(B171,""vi"",""km"")"),"ខ្លឹមសារនៃផលប៉ះពាល់")</f>
        <v/>
      </c>
      <c r="H171" s="3" t="inlineStr">
        <is>
          <t>ខ្លឹមសារនៃផលប៉ះពាល់</t>
        </is>
      </c>
      <c r="I171" s="3" t="n"/>
      <c r="J171" s="3">
        <f>IFERROR(__xludf.DUMMYFUNCTION("GOOGLETRANSLATE(B171,""vi"",""lo"")"),"ເນື້ອໃນຜົນກະທົບ")</f>
        <v/>
      </c>
      <c r="K171" s="3">
        <f>IF(I171&lt;&gt;"",I171, J171)</f>
        <v/>
      </c>
      <c r="L171" s="3" t="inlineStr">
        <is>
          <t>ខ្លឹមសារនៃផលប៉ះពាល់</t>
        </is>
      </c>
      <c r="M171" s="3" t="n"/>
      <c r="N171" s="3" t="inlineStr">
        <is>
          <t>"detailComplaint.actionContent": "Action details",</t>
        </is>
      </c>
      <c r="O171" s="3" t="n"/>
      <c r="P171" s="3" t="n"/>
      <c r="Q171" s="3" t="n"/>
      <c r="R171" s="3" t="n"/>
      <c r="S171" s="3" t="n"/>
      <c r="T171" s="3" t="n"/>
      <c r="U171" s="3" t="n"/>
      <c r="V171" s="3" t="n"/>
      <c r="W171" s="3" t="n"/>
      <c r="X171" s="3" t="n"/>
      <c r="Y171" s="3" t="n"/>
      <c r="Z171" s="3" t="n"/>
      <c r="AA171" s="3" t="n"/>
    </row>
    <row r="172">
      <c r="A172" s="3" t="inlineStr">
        <is>
          <t>detailComplaint.actionDate</t>
        </is>
      </c>
      <c r="B172" s="3" t="inlineStr">
        <is>
          <t>Ngày giờ</t>
        </is>
      </c>
      <c r="C172" s="3" t="inlineStr">
        <is>
          <t>Date &amp; time</t>
        </is>
      </c>
      <c r="D172" s="3">
        <f>IFERROR(__xludf.DUMMYFUNCTION("GOOGLETRANSLATE(B172,""vi"",""en"")"),"Date and time")</f>
        <v/>
      </c>
      <c r="E172" s="3">
        <f>IF(C172&lt;&gt;"",C172, D172)</f>
        <v/>
      </c>
      <c r="F172" s="3" t="n"/>
      <c r="G172" s="3">
        <f>IFERROR(__xludf.DUMMYFUNCTION("GOOGLETRANSLATE(B172,""vi"",""km"")"),"កាលបរិច្ឆេទ និងពេលវេលា")</f>
        <v/>
      </c>
      <c r="H172" s="3" t="inlineStr">
        <is>
          <t>កាលបរិច្ឆេទ និងពេលវេលា</t>
        </is>
      </c>
      <c r="I172" s="3" t="n"/>
      <c r="J172" s="3">
        <f>IFERROR(__xludf.DUMMYFUNCTION("GOOGLETRANSLATE(B172,""vi"",""lo"")"),"ວັນທີ ແລະ ເວລາ")</f>
        <v/>
      </c>
      <c r="K172" s="3">
        <f>IF(I172&lt;&gt;"",I172, J172)</f>
        <v/>
      </c>
      <c r="L172" s="3" t="inlineStr">
        <is>
          <t>កាលបរិច្ឆេទ និងពេលវេលា</t>
        </is>
      </c>
      <c r="M172" s="3" t="n"/>
      <c r="N172" s="3" t="inlineStr">
        <is>
          <t>"detailComplaint.actionDate": "Date &amp; time",</t>
        </is>
      </c>
      <c r="O172" s="3" t="n"/>
      <c r="P172" s="3" t="n"/>
      <c r="Q172" s="3" t="n"/>
      <c r="R172" s="3" t="n"/>
      <c r="S172" s="3" t="n"/>
      <c r="T172" s="3" t="n"/>
      <c r="U172" s="3" t="n"/>
      <c r="V172" s="3" t="n"/>
      <c r="W172" s="3" t="n"/>
      <c r="X172" s="3" t="n"/>
      <c r="Y172" s="3" t="n"/>
      <c r="Z172" s="3" t="n"/>
      <c r="AA172" s="3" t="n"/>
    </row>
    <row r="173">
      <c r="A173" s="3" t="inlineStr">
        <is>
          <t>detailComplaint.actionPerson</t>
        </is>
      </c>
      <c r="B173" s="3" t="inlineStr">
        <is>
          <t>Người tác động</t>
        </is>
      </c>
      <c r="C173" s="3" t="inlineStr">
        <is>
          <t>Action by</t>
        </is>
      </c>
      <c r="D173" s="3">
        <f>IFERROR(__xludf.DUMMYFUNCTION("GOOGLETRANSLATE(B173,""vi"",""en"")"),"The influencer")</f>
        <v/>
      </c>
      <c r="E173" s="3">
        <f>IF(C173&lt;&gt;"",C173, D173)</f>
        <v/>
      </c>
      <c r="F173" s="3" t="n"/>
      <c r="G173" s="3">
        <f>IFERROR(__xludf.DUMMYFUNCTION("GOOGLETRANSLATE(B173,""vi"",""km"")"),"អ្នកមានឥទ្ធិពល")</f>
        <v/>
      </c>
      <c r="H173" s="3" t="inlineStr">
        <is>
          <t>អ្នកធ្វើប្រតិបត្តិការ</t>
        </is>
      </c>
      <c r="I173" s="3" t="n"/>
      <c r="J173" s="3">
        <f>IFERROR(__xludf.DUMMYFUNCTION("GOOGLETRANSLATE(B173,""vi"",""lo"")"),"ຜູ້ມີອິດທິພົນ")</f>
        <v/>
      </c>
      <c r="K173" s="3">
        <f>IF(I173&lt;&gt;"",I173, J173)</f>
        <v/>
      </c>
      <c r="L173" s="3" t="inlineStr">
        <is>
          <t>អ្នកធ្វើប្រតិបត្តិការ</t>
        </is>
      </c>
      <c r="M173" s="3" t="n"/>
      <c r="N173" s="3" t="inlineStr">
        <is>
          <t>"detailComplaint.actionPerson": "Action by",</t>
        </is>
      </c>
      <c r="O173" s="3" t="n"/>
      <c r="P173" s="3" t="n"/>
      <c r="Q173" s="3" t="n"/>
      <c r="R173" s="3" t="n"/>
      <c r="S173" s="3" t="n"/>
      <c r="T173" s="3" t="n"/>
      <c r="U173" s="3" t="n"/>
      <c r="V173" s="3" t="n"/>
      <c r="W173" s="3" t="n"/>
      <c r="X173" s="3" t="n"/>
      <c r="Y173" s="3" t="n"/>
      <c r="Z173" s="3" t="n"/>
      <c r="AA173" s="3" t="n"/>
    </row>
    <row r="174">
      <c r="A174" s="3" t="inlineStr">
        <is>
          <t>detailComplaint.actionUnit</t>
        </is>
      </c>
      <c r="B174" s="3" t="inlineStr">
        <is>
          <t>Đơn vị tác động</t>
        </is>
      </c>
      <c r="C174" s="3" t="inlineStr">
        <is>
          <t>Action unit</t>
        </is>
      </c>
      <c r="D174" s="3">
        <f>IFERROR(__xludf.DUMMYFUNCTION("GOOGLETRANSLATE(B174,""vi"",""en"")"),"Unit of impact")</f>
        <v/>
      </c>
      <c r="E174" s="3">
        <f>IF(C174&lt;&gt;"",C174, D174)</f>
        <v/>
      </c>
      <c r="F174" s="3" t="n"/>
      <c r="G174" s="3">
        <f>IFERROR(__xludf.DUMMYFUNCTION("GOOGLETRANSLATE(B174,""vi"",""km"")"),"ឯកតានៃផលប៉ះពាល់")</f>
        <v/>
      </c>
      <c r="H174" s="3" t="inlineStr">
        <is>
          <t>ឯកតានៃផលប៉ះពាល់</t>
        </is>
      </c>
      <c r="I174" s="3" t="n"/>
      <c r="J174" s="3">
        <f>IFERROR(__xludf.DUMMYFUNCTION("GOOGLETRANSLATE(B174,""vi"",""lo"")"),"ຫົວໜ່ວຍຂອງຜົນກະທົບ")</f>
        <v/>
      </c>
      <c r="K174" s="3">
        <f>IF(I174&lt;&gt;"",I174, J174)</f>
        <v/>
      </c>
      <c r="L174" s="3" t="inlineStr">
        <is>
          <t>ឯកតានៃផលប៉ះពាល់</t>
        </is>
      </c>
      <c r="M174" s="3" t="n"/>
      <c r="N174" s="3" t="inlineStr">
        <is>
          <t>"detailComplaint.actionUnit": "Action unit",</t>
        </is>
      </c>
      <c r="O174" s="3" t="n"/>
      <c r="P174" s="3" t="n"/>
      <c r="Q174" s="3" t="n"/>
      <c r="R174" s="3" t="n"/>
      <c r="S174" s="3" t="n"/>
      <c r="T174" s="3" t="n"/>
      <c r="U174" s="3" t="n"/>
      <c r="V174" s="3" t="n"/>
      <c r="W174" s="3" t="n"/>
      <c r="X174" s="3" t="n"/>
      <c r="Y174" s="3" t="n"/>
      <c r="Z174" s="3" t="n"/>
      <c r="AA174" s="3" t="n"/>
    </row>
    <row r="175">
      <c r="A175" s="3" t="inlineStr">
        <is>
          <t>detailComplaint.address</t>
        </is>
      </c>
      <c r="B175" s="3" t="inlineStr">
        <is>
          <t>Địa chỉ</t>
        </is>
      </c>
      <c r="C175" s="3" t="inlineStr">
        <is>
          <t>Address</t>
        </is>
      </c>
      <c r="D175" s="3">
        <f>IFERROR(__xludf.DUMMYFUNCTION("GOOGLETRANSLATE(B175,""vi"",""en"")"),"Address")</f>
        <v/>
      </c>
      <c r="E175" s="3">
        <f>IF(C175&lt;&gt;"",C175, D175)</f>
        <v/>
      </c>
      <c r="F175" s="3" t="n"/>
      <c r="G175" s="3">
        <f>IFERROR(__xludf.DUMMYFUNCTION("GOOGLETRANSLATE(B175,""vi"",""km"")"),"អាសយដ្ឋាន")</f>
        <v/>
      </c>
      <c r="H175" s="3" t="inlineStr">
        <is>
          <t>អាសយដ្ឋាន</t>
        </is>
      </c>
      <c r="I175" s="3" t="n"/>
      <c r="J175" s="3">
        <f>IFERROR(__xludf.DUMMYFUNCTION("GOOGLETRANSLATE(B175,""vi"",""lo"")"),"ທີ່ຢູ່")</f>
        <v/>
      </c>
      <c r="K175" s="3">
        <f>IF(I175&lt;&gt;"",I175, J175)</f>
        <v/>
      </c>
      <c r="L175" s="3" t="inlineStr">
        <is>
          <t>អាសយដ្ឋាន</t>
        </is>
      </c>
      <c r="M175" s="3" t="n"/>
      <c r="N175" s="3" t="inlineStr">
        <is>
          <t>"detailComplaint.address": "Address",</t>
        </is>
      </c>
      <c r="O175" s="3" t="n"/>
      <c r="P175" s="3" t="n"/>
      <c r="Q175" s="3" t="n"/>
      <c r="R175" s="3" t="n"/>
      <c r="S175" s="3" t="n"/>
      <c r="T175" s="3" t="n"/>
      <c r="U175" s="3" t="n"/>
      <c r="V175" s="3" t="n"/>
      <c r="W175" s="3" t="n"/>
      <c r="X175" s="3" t="n"/>
      <c r="Y175" s="3" t="n"/>
      <c r="Z175" s="3" t="n"/>
      <c r="AA175" s="3" t="n"/>
    </row>
    <row r="176">
      <c r="A176" s="3" t="inlineStr">
        <is>
          <t>detailComplaint.callCenterPhone</t>
        </is>
      </c>
      <c r="B176" s="3" t="inlineStr">
        <is>
          <t>SĐT gọi TĐ</t>
        </is>
      </c>
      <c r="C176" s="3" t="inlineStr">
        <is>
          <t>Call center phone number</t>
        </is>
      </c>
      <c r="D176" s="3">
        <f>IFERROR(__xludf.DUMMYFUNCTION("GOOGLETRANSLATE(B176,""vi"",""en"")"),"Phone number to call TĐ")</f>
        <v/>
      </c>
      <c r="E176" s="3">
        <f>IF(C176&lt;&gt;"",C176, D176)</f>
        <v/>
      </c>
      <c r="F176" s="3" t="n"/>
      <c r="G176" s="3">
        <f>IFERROR(__xludf.DUMMYFUNCTION("GOOGLETRANSLATE(B176,""vi"",""km"")"),"លេខទូរស័ព្ទដើម្បីហៅទៅ TĐ")</f>
        <v/>
      </c>
      <c r="H176" s="3" t="inlineStr">
        <is>
          <t>លេខទូរស័ព្ទដើម្បីហៅទៅ TĐ</t>
        </is>
      </c>
      <c r="I176" s="3" t="n"/>
      <c r="J176" s="3">
        <f>IFERROR(__xludf.DUMMYFUNCTION("GOOGLETRANSLATE(B176,""vi"",""lo"")"),"ເບີໂທລະສັບເພື່ອໂທຫາ TĐ")</f>
        <v/>
      </c>
      <c r="K176" s="3">
        <f>IF(I176&lt;&gt;"",I176, J176)</f>
        <v/>
      </c>
      <c r="L176" s="3" t="inlineStr">
        <is>
          <t>លេខទូរស័ព្ទដើម្បីហៅទៅ TĐ</t>
        </is>
      </c>
      <c r="M176" s="3" t="n"/>
      <c r="N176" s="3" t="inlineStr">
        <is>
          <t>"detailComplaint.callCenterPhone": "Call center phone number",</t>
        </is>
      </c>
      <c r="O176" s="3" t="n"/>
      <c r="P176" s="3" t="n"/>
      <c r="Q176" s="3" t="n"/>
      <c r="R176" s="3" t="n"/>
      <c r="S176" s="3" t="n"/>
      <c r="T176" s="3" t="n"/>
      <c r="U176" s="3" t="n"/>
      <c r="V176" s="3" t="n"/>
      <c r="W176" s="3" t="n"/>
      <c r="X176" s="3" t="n"/>
      <c r="Y176" s="3" t="n"/>
      <c r="Z176" s="3" t="n"/>
      <c r="AA176" s="3" t="n"/>
    </row>
    <row r="177">
      <c r="A177" s="3" t="inlineStr">
        <is>
          <t>detailComplaint.codAmount</t>
        </is>
      </c>
      <c r="B177" s="3" t="inlineStr">
        <is>
          <t>Tiền thu hộ</t>
        </is>
      </c>
      <c r="C177" s="3" t="inlineStr">
        <is>
          <t>COD amount</t>
        </is>
      </c>
      <c r="D177" s="3">
        <f>IFERROR(__xludf.DUMMYFUNCTION("GOOGLETRANSLATE(B177,""vi"",""en"")"),"Cash collected on behalf of others")</f>
        <v/>
      </c>
      <c r="E177" s="3">
        <f>IF(C177&lt;&gt;"",C177, D177)</f>
        <v/>
      </c>
      <c r="F177" s="3" t="n"/>
      <c r="G177" s="3">
        <f>IFERROR(__xludf.DUMMYFUNCTION("GOOGLETRANSLATE(B177,""vi"",""km"")"),"ប្រាក់ដែលប្រមូលបានក្នុងនាមអ្នកដទៃ")</f>
        <v/>
      </c>
      <c r="H177" s="3" t="inlineStr">
        <is>
          <t>ប្រាក់ប្រមូលជំនួស (COD)</t>
        </is>
      </c>
      <c r="I177" s="3" t="n"/>
      <c r="J177" s="3">
        <f>IFERROR(__xludf.DUMMYFUNCTION("GOOGLETRANSLATE(B177,""vi"",""lo"")"),"ເງິນສົດທີ່ເກັບກຳໃນນາມຂອງຜູ້ອື່ນ")</f>
        <v/>
      </c>
      <c r="K177" s="3">
        <f>IF(I177&lt;&gt;"",I177, J177)</f>
        <v/>
      </c>
      <c r="L177" s="3" t="inlineStr">
        <is>
          <t>ប្រាក់ប្រមូលជំនួស (COD)</t>
        </is>
      </c>
      <c r="M177" s="3" t="n"/>
      <c r="N177" s="3" t="inlineStr">
        <is>
          <t>"detailComplaint.codAmount": "COD amount",</t>
        </is>
      </c>
      <c r="O177" s="3" t="n"/>
      <c r="P177" s="3" t="n"/>
      <c r="Q177" s="3" t="n"/>
      <c r="R177" s="3" t="n"/>
      <c r="S177" s="3" t="n"/>
      <c r="T177" s="3" t="n"/>
      <c r="U177" s="3" t="n"/>
      <c r="V177" s="3" t="n"/>
      <c r="W177" s="3" t="n"/>
      <c r="X177" s="3" t="n"/>
      <c r="Y177" s="3" t="n"/>
      <c r="Z177" s="3" t="n"/>
      <c r="AA177" s="3" t="n"/>
    </row>
    <row r="178">
      <c r="A178" s="3" t="inlineStr">
        <is>
          <t>detailComplaint.complaintCategory</t>
        </is>
      </c>
      <c r="B178" s="3" t="inlineStr">
        <is>
          <t>Phân loại khiếu nại</t>
        </is>
      </c>
      <c r="C178" s="3" t="inlineStr">
        <is>
          <t>Complaint Category</t>
        </is>
      </c>
      <c r="D178" s="3">
        <f>IFERROR(__xludf.DUMMYFUNCTION("GOOGLETRANSLATE(B178,""vi"",""en"")"),"Complaint classification")</f>
        <v/>
      </c>
      <c r="E178" s="3">
        <f>IF(C178&lt;&gt;"",C178, D178)</f>
        <v/>
      </c>
      <c r="F178" s="3" t="n"/>
      <c r="G178" s="3">
        <f>IFERROR(__xludf.DUMMYFUNCTION("GOOGLETRANSLATE(B178,""vi"",""km"")"),"ចំណាត់ថ្នាក់ពាក្យបណ្តឹង")</f>
        <v/>
      </c>
      <c r="H178" s="3" t="inlineStr">
        <is>
          <t>ចំណាត់ថ្នាក់ពាក្យបណ្តឹង</t>
        </is>
      </c>
      <c r="I178" s="3" t="n"/>
      <c r="J178" s="3">
        <f>IFERROR(__xludf.DUMMYFUNCTION("GOOGLETRANSLATE(B178,""vi"",""lo"")"),"ການຈັດປະເພດການຮ້ອງຮຽນ")</f>
        <v/>
      </c>
      <c r="K178" s="3">
        <f>IF(I178&lt;&gt;"",I178, J178)</f>
        <v/>
      </c>
      <c r="L178" s="3" t="inlineStr">
        <is>
          <t>ចំណាត់ថ្នាក់ពាក្យបណ្តឹង</t>
        </is>
      </c>
      <c r="M178" s="3" t="n"/>
      <c r="N178" s="3" t="inlineStr">
        <is>
          <t>"detailComplaint.complaintCategory": "Complaint Category",</t>
        </is>
      </c>
      <c r="O178" s="3" t="n"/>
      <c r="P178" s="3" t="n"/>
      <c r="Q178" s="3" t="n"/>
      <c r="R178" s="3" t="n"/>
      <c r="S178" s="3" t="n"/>
      <c r="T178" s="3" t="n"/>
      <c r="U178" s="3" t="n"/>
      <c r="V178" s="3" t="n"/>
      <c r="W178" s="3" t="n"/>
      <c r="X178" s="3" t="n"/>
      <c r="Y178" s="3" t="n"/>
      <c r="Z178" s="3" t="n"/>
      <c r="AA178" s="3" t="n"/>
    </row>
    <row r="179">
      <c r="A179" s="3" t="inlineStr">
        <is>
          <t>detailComplaint.complaintCode</t>
        </is>
      </c>
      <c r="B179" s="3" t="inlineStr">
        <is>
          <t>Mã khiếu nại</t>
        </is>
      </c>
      <c r="C179" s="3" t="inlineStr">
        <is>
          <t>Complaint ID</t>
        </is>
      </c>
      <c r="D179" s="3">
        <f>IFERROR(__xludf.DUMMYFUNCTION("GOOGLETRANSLATE(B179,""vi"",""en"")"),"Complaint code")</f>
        <v/>
      </c>
      <c r="E179" s="3">
        <f>IF(C179&lt;&gt;"",C179, D179)</f>
        <v/>
      </c>
      <c r="F179" s="3" t="n"/>
      <c r="G179" s="3">
        <f>IFERROR(__xludf.DUMMYFUNCTION("GOOGLETRANSLATE(B179,""vi"",""km"")"),"លេខកូដពាក្យបណ្តឹង")</f>
        <v/>
      </c>
      <c r="H179" s="3" t="inlineStr">
        <is>
          <t>លេខកូដពាក្យបណ្តឹង</t>
        </is>
      </c>
      <c r="I179" s="3" t="n"/>
      <c r="J179" s="3">
        <f>IFERROR(__xludf.DUMMYFUNCTION("GOOGLETRANSLATE(B179,""vi"",""lo"")"),"ລະຫັດຮ້ອງຮຽນ")</f>
        <v/>
      </c>
      <c r="K179" s="3">
        <f>IF(I179&lt;&gt;"",I179, J179)</f>
        <v/>
      </c>
      <c r="L179" s="3" t="inlineStr">
        <is>
          <t>លេខកូដពាក្យបណ្តឹង</t>
        </is>
      </c>
      <c r="M179" s="3" t="n"/>
      <c r="N179" s="3" t="inlineStr">
        <is>
          <t>"detailComplaint.complaintCode": "Complaint ID",</t>
        </is>
      </c>
      <c r="O179" s="3" t="n"/>
      <c r="P179" s="3" t="n"/>
      <c r="Q179" s="3" t="n"/>
      <c r="R179" s="3" t="n"/>
      <c r="S179" s="3" t="n"/>
      <c r="T179" s="3" t="n"/>
      <c r="U179" s="3" t="n"/>
      <c r="V179" s="3" t="n"/>
      <c r="W179" s="3" t="n"/>
      <c r="X179" s="3" t="n"/>
      <c r="Y179" s="3" t="n"/>
      <c r="Z179" s="3" t="n"/>
      <c r="AA179" s="3" t="n"/>
    </row>
    <row r="180">
      <c r="A180" s="3" t="inlineStr">
        <is>
          <t>detailComplaint.complaintInfo</t>
        </is>
      </c>
      <c r="B180" s="3" t="inlineStr">
        <is>
          <t>Thông tin khiếu nại</t>
        </is>
      </c>
      <c r="C180" s="3" t="inlineStr">
        <is>
          <t>Complaint Information</t>
        </is>
      </c>
      <c r="D180" s="3">
        <f>IFERROR(__xludf.DUMMYFUNCTION("GOOGLETRANSLATE(B180,""vi"",""en"")"),"Complaint information")</f>
        <v/>
      </c>
      <c r="E180" s="3">
        <f>IF(C180&lt;&gt;"",C180, D180)</f>
        <v/>
      </c>
      <c r="F180" s="3" t="n"/>
      <c r="G180" s="3">
        <f>IFERROR(__xludf.DUMMYFUNCTION("GOOGLETRANSLATE(B180,""vi"",""km"")"),"ព័ត៌មាន​អំពី​ពាក្យ​បណ្តឹង")</f>
        <v/>
      </c>
      <c r="H180" s="3" t="inlineStr">
        <is>
          <t>ព័ត៌មានអំពីពាក្យបណ្តឹង</t>
        </is>
      </c>
      <c r="I180" s="3" t="n"/>
      <c r="J180" s="3">
        <f>IFERROR(__xludf.DUMMYFUNCTION("GOOGLETRANSLATE(B180,""vi"",""lo"")"),"ຂໍ້ມູນການຮ້ອງຮຽນ")</f>
        <v/>
      </c>
      <c r="K180" s="3">
        <f>IF(I180&lt;&gt;"",I180, J180)</f>
        <v/>
      </c>
      <c r="L180" s="3" t="inlineStr">
        <is>
          <t>ព័ត៌មានអំពីពាក្យបណ្តឹង</t>
        </is>
      </c>
      <c r="M180" s="3" t="n"/>
      <c r="N180" s="3" t="inlineStr">
        <is>
          <t>"detailComplaint.complaintInfo": "Complaint Information",</t>
        </is>
      </c>
      <c r="O180" s="3" t="n"/>
      <c r="P180" s="3" t="n"/>
      <c r="Q180" s="3" t="n"/>
      <c r="R180" s="3" t="n"/>
      <c r="S180" s="3" t="n"/>
      <c r="T180" s="3" t="n"/>
      <c r="U180" s="3" t="n"/>
      <c r="V180" s="3" t="n"/>
      <c r="W180" s="3" t="n"/>
      <c r="X180" s="3" t="n"/>
      <c r="Y180" s="3" t="n"/>
      <c r="Z180" s="3" t="n"/>
      <c r="AA180" s="3" t="n"/>
    </row>
    <row r="181">
      <c r="A181" s="3" t="inlineStr">
        <is>
          <t>detailComplaint.contactPhone</t>
        </is>
      </c>
      <c r="B181" s="3" t="inlineStr">
        <is>
          <t>SĐT liên hệ</t>
        </is>
      </c>
      <c r="C181" s="3" t="inlineStr">
        <is>
          <t>Contact phone number</t>
        </is>
      </c>
      <c r="D181" s="3">
        <f>IFERROR(__xludf.DUMMYFUNCTION("GOOGLETRANSLATE(B181,""vi"",""en"")"),"Contact phone number")</f>
        <v/>
      </c>
      <c r="E181" s="3">
        <f>IF(C181&lt;&gt;"",C181, D181)</f>
        <v/>
      </c>
      <c r="F181" s="3" t="n"/>
      <c r="G181" s="3">
        <f>IFERROR(__xludf.DUMMYFUNCTION("GOOGLETRANSLATE(B181,""vi"",""km"")"),"លេខទូរស័ព្ទទំនាក់ទំនង")</f>
        <v/>
      </c>
      <c r="H181" s="3" t="inlineStr">
        <is>
          <t>លេខទូរស័ព្ទទំនាក់ទំនង</t>
        </is>
      </c>
      <c r="I181" s="3" t="n"/>
      <c r="J181" s="3">
        <f>IFERROR(__xludf.DUMMYFUNCTION("GOOGLETRANSLATE(B181,""vi"",""lo"")"),"ເບີໂທລະສັບຕິດຕໍ່")</f>
        <v/>
      </c>
      <c r="K181" s="3">
        <f>IF(I181&lt;&gt;"",I181, J181)</f>
        <v/>
      </c>
      <c r="L181" s="3" t="inlineStr">
        <is>
          <t>លេខទូរស័ព្ទទំនាក់ទំនង</t>
        </is>
      </c>
      <c r="M181" s="3" t="n"/>
      <c r="N181" s="3" t="inlineStr">
        <is>
          <t>"detailComplaint.contactPhone": "Contact phone number",</t>
        </is>
      </c>
      <c r="O181" s="3" t="n"/>
      <c r="P181" s="3" t="n"/>
      <c r="Q181" s="3" t="n"/>
      <c r="R181" s="3" t="n"/>
      <c r="S181" s="3" t="n"/>
      <c r="T181" s="3" t="n"/>
      <c r="U181" s="3" t="n"/>
      <c r="V181" s="3" t="n"/>
      <c r="W181" s="3" t="n"/>
      <c r="X181" s="3" t="n"/>
      <c r="Y181" s="3" t="n"/>
      <c r="Z181" s="3" t="n"/>
      <c r="AA181" s="3" t="n"/>
    </row>
    <row r="182">
      <c r="A182" s="3" t="inlineStr">
        <is>
          <t>detailComplaint.content</t>
        </is>
      </c>
      <c r="B182" s="3" t="inlineStr">
        <is>
          <t>Nội dung</t>
        </is>
      </c>
      <c r="C182" s="3" t="inlineStr">
        <is>
          <t>Content</t>
        </is>
      </c>
      <c r="D182" s="3">
        <f>IFERROR(__xludf.DUMMYFUNCTION("GOOGLETRANSLATE(B182,""vi"",""en"")"),"Content")</f>
        <v/>
      </c>
      <c r="E182" s="3">
        <f>IF(C182&lt;&gt;"",C182, D182)</f>
        <v/>
      </c>
      <c r="F182" s="3" t="n"/>
      <c r="G182" s="3">
        <f>IFERROR(__xludf.DUMMYFUNCTION("GOOGLETRANSLATE(B182,""vi"",""km"")"),"ខ្លឹមសារ")</f>
        <v/>
      </c>
      <c r="H182" s="3" t="inlineStr">
        <is>
          <t>ខ្លឹមសារ</t>
        </is>
      </c>
      <c r="I182" s="3" t="n"/>
      <c r="J182" s="3">
        <f>IFERROR(__xludf.DUMMYFUNCTION("GOOGLETRANSLATE(B182,""vi"",""lo"")"),"ເນື້ອຫາ")</f>
        <v/>
      </c>
      <c r="K182" s="3">
        <f>IF(I182&lt;&gt;"",I182, J182)</f>
        <v/>
      </c>
      <c r="L182" s="3" t="inlineStr">
        <is>
          <t>ខ្លឹមសារ</t>
        </is>
      </c>
      <c r="M182" s="3" t="n"/>
      <c r="N182" s="3" t="inlineStr">
        <is>
          <t>"detailComplaint.content": "Content",</t>
        </is>
      </c>
      <c r="O182" s="3" t="n"/>
      <c r="P182" s="3" t="n"/>
      <c r="Q182" s="3" t="n"/>
      <c r="R182" s="3" t="n"/>
      <c r="S182" s="3" t="n"/>
      <c r="T182" s="3" t="n"/>
      <c r="U182" s="3" t="n"/>
      <c r="V182" s="3" t="n"/>
      <c r="W182" s="3" t="n"/>
      <c r="X182" s="3" t="n"/>
      <c r="Y182" s="3" t="n"/>
      <c r="Z182" s="3" t="n"/>
      <c r="AA182" s="3" t="n"/>
    </row>
    <row r="183">
      <c r="A183" s="3" t="inlineStr">
        <is>
          <t>detailComplaint.customerCode</t>
        </is>
      </c>
      <c r="B183" s="3" t="inlineStr">
        <is>
          <t>Mã KH</t>
        </is>
      </c>
      <c r="C183" s="3" t="inlineStr">
        <is>
          <t>Customer ID</t>
        </is>
      </c>
      <c r="D183" s="3">
        <f>IFERROR(__xludf.DUMMYFUNCTION("GOOGLETRANSLATE(B183,""vi"",""en"")"),"Customer Code")</f>
        <v/>
      </c>
      <c r="E183" s="3">
        <f>IF(C183&lt;&gt;"",C183, D183)</f>
        <v/>
      </c>
      <c r="F183" s="3" t="n"/>
      <c r="G183" s="3">
        <f>IFERROR(__xludf.DUMMYFUNCTION("GOOGLETRANSLATE(B183,""vi"",""km"")"),"លេខកូដអតិថិជន")</f>
        <v/>
      </c>
      <c r="H183" s="3" t="inlineStr">
        <is>
          <t>លេខកូដអតិថិជន</t>
        </is>
      </c>
      <c r="I183" s="3" t="n"/>
      <c r="J183" s="3">
        <f>IFERROR(__xludf.DUMMYFUNCTION("GOOGLETRANSLATE(B183,""vi"",""lo"")"),"ລະຫັດລູກຄ້າ")</f>
        <v/>
      </c>
      <c r="K183" s="3">
        <f>IF(I183&lt;&gt;"",I183, J183)</f>
        <v/>
      </c>
      <c r="L183" s="3" t="inlineStr">
        <is>
          <t>លេខកូដអតិថិជន</t>
        </is>
      </c>
      <c r="M183" s="3" t="n"/>
      <c r="N183" s="3" t="inlineStr">
        <is>
          <t>"detailComplaint.customerCode": "Customer ID",</t>
        </is>
      </c>
      <c r="O183" s="3" t="n"/>
      <c r="P183" s="3" t="n"/>
      <c r="Q183" s="3" t="n"/>
      <c r="R183" s="3" t="n"/>
      <c r="S183" s="3" t="n"/>
      <c r="T183" s="3" t="n"/>
      <c r="U183" s="3" t="n"/>
      <c r="V183" s="3" t="n"/>
      <c r="W183" s="3" t="n"/>
      <c r="X183" s="3" t="n"/>
      <c r="Y183" s="3" t="n"/>
      <c r="Z183" s="3" t="n"/>
      <c r="AA183" s="3" t="n"/>
    </row>
    <row r="184">
      <c r="A184" s="3" t="inlineStr">
        <is>
          <t>detailComplaint.customerReply</t>
        </is>
      </c>
      <c r="B184" s="3" t="inlineStr">
        <is>
          <t>Nội dung trả lời KH</t>
        </is>
      </c>
      <c r="C184" s="3" t="inlineStr">
        <is>
          <t>Customer Response</t>
        </is>
      </c>
      <c r="D184" s="3">
        <f>IFERROR(__xludf.DUMMYFUNCTION("GOOGLETRANSLATE(B184,""vi"",""en"")"),"Customer response content")</f>
        <v/>
      </c>
      <c r="E184" s="3">
        <f>IF(C184&lt;&gt;"",C184, D184)</f>
        <v/>
      </c>
      <c r="F184" s="3" t="n"/>
      <c r="G184" s="3">
        <f>IFERROR(__xludf.DUMMYFUNCTION("GOOGLETRANSLATE(B184,""vi"",""km"")"),"ខ្លឹមសារនៃការឆ្លើយតបរបស់អតិថិជន")</f>
        <v/>
      </c>
      <c r="H184" s="3" t="inlineStr">
        <is>
          <t>ខ្លឹមសារនៃការឆ្លើយតបរបស់អតិថិជន</t>
        </is>
      </c>
      <c r="I184" s="3" t="n"/>
      <c r="J184" s="3">
        <f>IFERROR(__xludf.DUMMYFUNCTION("GOOGLETRANSLATE(B184,""vi"",""lo"")"),"ເນື້ອໃນການຕອບສະໜອງຂອງລູກຄ້າ")</f>
        <v/>
      </c>
      <c r="K184" s="3">
        <f>IF(I184&lt;&gt;"",I184, J184)</f>
        <v/>
      </c>
      <c r="L184" s="3" t="inlineStr">
        <is>
          <t>ខ្លឹមសារនៃការឆ្លើយតបរបស់អតិថិជន</t>
        </is>
      </c>
      <c r="M184" s="3" t="n"/>
      <c r="N184" s="3" t="inlineStr">
        <is>
          <t>"detailComplaint.customerReply": "Customer Response",</t>
        </is>
      </c>
      <c r="O184" s="3" t="n"/>
      <c r="P184" s="3" t="n"/>
      <c r="Q184" s="3" t="n"/>
      <c r="R184" s="3" t="n"/>
      <c r="S184" s="3" t="n"/>
      <c r="T184" s="3" t="n"/>
      <c r="U184" s="3" t="n"/>
      <c r="V184" s="3" t="n"/>
      <c r="W184" s="3" t="n"/>
      <c r="X184" s="3" t="n"/>
      <c r="Y184" s="3" t="n"/>
      <c r="Z184" s="3" t="n"/>
      <c r="AA184" s="3" t="n"/>
    </row>
    <row r="185">
      <c r="A185" s="3" t="inlineStr">
        <is>
          <t>detailComplaint.deadline</t>
        </is>
      </c>
      <c r="B185" s="3" t="inlineStr">
        <is>
          <t>Hạn xử lý</t>
        </is>
      </c>
      <c r="C185" s="3" t="inlineStr">
        <is>
          <t>Processing Deadline</t>
        </is>
      </c>
      <c r="D185" s="3">
        <f>IFERROR(__xludf.DUMMYFUNCTION("GOOGLETRANSLATE(B185,""vi"",""en"")"),"Processing deadline")</f>
        <v/>
      </c>
      <c r="E185" s="3">
        <f>IF(C185&lt;&gt;"",C185, D185)</f>
        <v/>
      </c>
      <c r="F185" s="3" t="n"/>
      <c r="G185" s="3">
        <f>IFERROR(__xludf.DUMMYFUNCTION("GOOGLETRANSLATE(B185,""vi"",""km"")"),"ថ្ងៃផុតកំណត់ដំណើរការ")</f>
        <v/>
      </c>
      <c r="H185" s="3" t="inlineStr">
        <is>
          <t>ថ្ងៃផុតកំណត់ដំណើរការ</t>
        </is>
      </c>
      <c r="I185" s="3" t="n"/>
      <c r="J185" s="3">
        <f>IFERROR(__xludf.DUMMYFUNCTION("GOOGLETRANSLATE(B185,""vi"",""lo"")"),"ກຳນົດເວລາການປະມວນຜົນ")</f>
        <v/>
      </c>
      <c r="K185" s="3">
        <f>IF(I185&lt;&gt;"",I185, J185)</f>
        <v/>
      </c>
      <c r="L185" s="3" t="inlineStr">
        <is>
          <t>ថ្ងៃផុតកំណត់ដំណើរការ</t>
        </is>
      </c>
      <c r="M185" s="3" t="n"/>
      <c r="N185" s="3" t="inlineStr">
        <is>
          <t>"detailComplaint.deadline": "Processing Deadline",</t>
        </is>
      </c>
      <c r="O185" s="3" t="n"/>
      <c r="P185" s="3" t="n"/>
      <c r="Q185" s="3" t="n"/>
      <c r="R185" s="3" t="n"/>
      <c r="S185" s="3" t="n"/>
      <c r="T185" s="3" t="n"/>
      <c r="U185" s="3" t="n"/>
      <c r="V185" s="3" t="n"/>
      <c r="W185" s="3" t="n"/>
      <c r="X185" s="3" t="n"/>
      <c r="Y185" s="3" t="n"/>
      <c r="Z185" s="3" t="n"/>
      <c r="AA185" s="3" t="n"/>
    </row>
    <row r="186">
      <c r="A186" s="3" t="inlineStr">
        <is>
          <t>detailComplaint.faultPerson</t>
        </is>
      </c>
      <c r="B186" s="3" t="inlineStr">
        <is>
          <t>Cá nhân mắc lỗi</t>
        </is>
      </c>
      <c r="C186" s="3" t="inlineStr">
        <is>
          <t>Responsible Staff</t>
        </is>
      </c>
      <c r="D186" s="3">
        <f>IFERROR(__xludf.DUMMYFUNCTION("GOOGLETRANSLATE(B186,""vi"",""en"")"),"Individuals make mistakes.")</f>
        <v/>
      </c>
      <c r="E186" s="3">
        <f>IF(C186&lt;&gt;"",C186, D186)</f>
        <v/>
      </c>
      <c r="F186" s="3" t="n"/>
      <c r="G186" s="3">
        <f>IFERROR(__xludf.DUMMYFUNCTION("GOOGLETRANSLATE(B186,""vi"",""km"")"),"បុគ្គលធ្វើខុស។")</f>
        <v/>
      </c>
      <c r="H186" s="3" t="inlineStr">
        <is>
          <t>បុគ្គលធ្វើខុស។</t>
        </is>
      </c>
      <c r="I186" s="3" t="n"/>
      <c r="J186" s="3">
        <f>IFERROR(__xludf.DUMMYFUNCTION("GOOGLETRANSLATE(B186,""vi"",""lo"")"),"ບຸກຄົນທົ່ວໄປເຮັດຜິດພາດໄດ້.")</f>
        <v/>
      </c>
      <c r="K186" s="3">
        <f>IF(I186&lt;&gt;"",I186, J186)</f>
        <v/>
      </c>
      <c r="L186" s="3" t="inlineStr">
        <is>
          <t>បុគ្គលធ្វើខុស។</t>
        </is>
      </c>
      <c r="M186" s="3" t="n"/>
      <c r="N186" s="3" t="inlineStr">
        <is>
          <t>"detailComplaint.faultPerson": "Responsible Staff",</t>
        </is>
      </c>
      <c r="O186" s="3" t="n"/>
      <c r="P186" s="3" t="n"/>
      <c r="Q186" s="3" t="n"/>
      <c r="R186" s="3" t="n"/>
      <c r="S186" s="3" t="n"/>
      <c r="T186" s="3" t="n"/>
      <c r="U186" s="3" t="n"/>
      <c r="V186" s="3" t="n"/>
      <c r="W186" s="3" t="n"/>
      <c r="X186" s="3" t="n"/>
      <c r="Y186" s="3" t="n"/>
      <c r="Z186" s="3" t="n"/>
      <c r="AA186" s="3" t="n"/>
    </row>
    <row r="187">
      <c r="A187" s="3" t="inlineStr">
        <is>
          <t>detailComplaint.faultUnit</t>
        </is>
      </c>
      <c r="B187" s="3" t="inlineStr">
        <is>
          <t>Đơn vị mắc lỗi</t>
        </is>
      </c>
      <c r="C187" s="3" t="inlineStr">
        <is>
          <t>Responsible Unit</t>
        </is>
      </c>
      <c r="D187" s="3">
        <f>IFERROR(__xludf.DUMMYFUNCTION("GOOGLETRANSLATE(B187,""vi"",""en"")"),"The unit that made the mistake")</f>
        <v/>
      </c>
      <c r="E187" s="3">
        <f>IF(C187&lt;&gt;"",C187, D187)</f>
        <v/>
      </c>
      <c r="F187" s="3" t="n"/>
      <c r="G187" s="3">
        <f>IFERROR(__xludf.DUMMYFUNCTION("GOOGLETRANSLATE(B187,""vi"",""km"")"),"អង្គភាពដែលបានធ្វើខុស")</f>
        <v/>
      </c>
      <c r="H187" s="3" t="inlineStr">
        <is>
          <t>អង្គភាពដែលបានធ្វើខុស</t>
        </is>
      </c>
      <c r="I187" s="3" t="n"/>
      <c r="J187" s="3">
        <f>IFERROR(__xludf.DUMMYFUNCTION("GOOGLETRANSLATE(B187,""vi"",""lo"")"),"ໜ່ວຍງານທີ່ເຮັດຜິດພາດ")</f>
        <v/>
      </c>
      <c r="K187" s="3">
        <f>IF(I187&lt;&gt;"",I187, J187)</f>
        <v/>
      </c>
      <c r="L187" s="3" t="inlineStr">
        <is>
          <t>អង្គភាពដែលបានធ្វើខុស</t>
        </is>
      </c>
      <c r="M187" s="3" t="n"/>
      <c r="N187" s="3" t="inlineStr">
        <is>
          <t>"detailComplaint.faultUnit": "Responsible Unit",</t>
        </is>
      </c>
      <c r="O187" s="3" t="n"/>
      <c r="P187" s="3" t="n"/>
      <c r="Q187" s="3" t="n"/>
      <c r="R187" s="3" t="n"/>
      <c r="S187" s="3" t="n"/>
      <c r="T187" s="3" t="n"/>
      <c r="U187" s="3" t="n"/>
      <c r="V187" s="3" t="n"/>
      <c r="W187" s="3" t="n"/>
      <c r="X187" s="3" t="n"/>
      <c r="Y187" s="3" t="n"/>
      <c r="Z187" s="3" t="n"/>
      <c r="AA187" s="3" t="n"/>
    </row>
    <row r="188">
      <c r="A188" s="3" t="inlineStr">
        <is>
          <t>detailComplaint.feedbackCategory</t>
        </is>
      </c>
      <c r="B188" s="3" t="inlineStr">
        <is>
          <t>Phân loại phản ánh</t>
        </is>
      </c>
      <c r="C188" s="3" t="inlineStr">
        <is>
          <t>Issue Category</t>
        </is>
      </c>
      <c r="D188" s="3">
        <f>IFERROR(__xludf.DUMMYFUNCTION("GOOGLETRANSLATE(B188,""vi"",""en"")"),"Classification reflects")</f>
        <v/>
      </c>
      <c r="E188" s="3">
        <f>IF(C188&lt;&gt;"",C188, D188)</f>
        <v/>
      </c>
      <c r="F188" s="3" t="n"/>
      <c r="G188" s="3">
        <f>IFERROR(__xludf.DUMMYFUNCTION("GOOGLETRANSLATE(B188,""vi"",""km"")"),"ចំណាត់ថ្នាក់ឆ្លុះបញ្ចាំង")</f>
        <v/>
      </c>
      <c r="H188" s="3" t="inlineStr">
        <is>
          <t>ចំណាត់ថ្នាក់ឆ្លុះបញ្ចាំង</t>
        </is>
      </c>
      <c r="I188" s="3" t="n"/>
      <c r="J188" s="3">
        <f>IFERROR(__xludf.DUMMYFUNCTION("GOOGLETRANSLATE(B188,""vi"",""lo"")"),"ການຈັດປະເພດສະທ້ອນໃຫ້ເຫັນ")</f>
        <v/>
      </c>
      <c r="K188" s="3">
        <f>IF(I188&lt;&gt;"",I188, J188)</f>
        <v/>
      </c>
      <c r="L188" s="3" t="inlineStr">
        <is>
          <t>ចំណាត់ថ្នាក់ឆ្លុះបញ្ចាំង</t>
        </is>
      </c>
      <c r="M188" s="3" t="n"/>
      <c r="N188" s="3" t="inlineStr">
        <is>
          <t>"detailComplaint.feedbackCategory": "Issue Category",</t>
        </is>
      </c>
      <c r="O188" s="3" t="n"/>
      <c r="P188" s="3" t="n"/>
      <c r="Q188" s="3" t="n"/>
      <c r="R188" s="3" t="n"/>
      <c r="S188" s="3" t="n"/>
      <c r="T188" s="3" t="n"/>
      <c r="U188" s="3" t="n"/>
      <c r="V188" s="3" t="n"/>
      <c r="W188" s="3" t="n"/>
      <c r="X188" s="3" t="n"/>
      <c r="Y188" s="3" t="n"/>
      <c r="Z188" s="3" t="n"/>
      <c r="AA188" s="3" t="n"/>
    </row>
    <row r="189">
      <c r="A189" s="3" t="inlineStr">
        <is>
          <t>detailComplaint.feedbackCount</t>
        </is>
      </c>
      <c r="B189" s="3" t="inlineStr">
        <is>
          <t>Số lần phản ánh</t>
        </is>
      </c>
      <c r="C189" s="3" t="inlineStr">
        <is>
          <t>Number of complaints</t>
        </is>
      </c>
      <c r="D189" s="3">
        <f>IFERROR(__xludf.DUMMYFUNCTION("GOOGLETRANSLATE(B189,""vi"",""en"")"),"Number of complaints")</f>
        <v/>
      </c>
      <c r="E189" s="3">
        <f>IF(C189&lt;&gt;"",C189, D189)</f>
        <v/>
      </c>
      <c r="F189" s="3" t="n"/>
      <c r="G189" s="3">
        <f>IFERROR(__xludf.DUMMYFUNCTION("GOOGLETRANSLATE(B189,""vi"",""km"")"),"ចំនួន​ពាក្យ​បណ្តឹង")</f>
        <v/>
      </c>
      <c r="H189" s="3" t="inlineStr">
        <is>
          <t>ចំនួនពាក្យបណ្តឹង</t>
        </is>
      </c>
      <c r="I189" s="3" t="n"/>
      <c r="J189" s="3">
        <f>IFERROR(__xludf.DUMMYFUNCTION("GOOGLETRANSLATE(B189,""vi"",""lo"")"),"ຈຳນວນຄຳຮ້ອງທຸກ")</f>
        <v/>
      </c>
      <c r="K189" s="3">
        <f>IF(I189&lt;&gt;"",I189, J189)</f>
        <v/>
      </c>
      <c r="L189" s="3" t="inlineStr">
        <is>
          <t>ចំនួនពាក្យបណ្តឹង</t>
        </is>
      </c>
      <c r="M189" s="3" t="n"/>
      <c r="N189" s="3" t="inlineStr">
        <is>
          <t>"detailComplaint.feedbackCount": "Number of complaints",</t>
        </is>
      </c>
      <c r="O189" s="3" t="n"/>
      <c r="P189" s="3" t="n"/>
      <c r="Q189" s="3" t="n"/>
      <c r="R189" s="3" t="n"/>
      <c r="S189" s="3" t="n"/>
      <c r="T189" s="3" t="n"/>
      <c r="U189" s="3" t="n"/>
      <c r="V189" s="3" t="n"/>
      <c r="W189" s="3" t="n"/>
      <c r="X189" s="3" t="n"/>
      <c r="Y189" s="3" t="n"/>
      <c r="Z189" s="3" t="n"/>
      <c r="AA189" s="3" t="n"/>
    </row>
    <row r="190">
      <c r="A190" s="3" t="inlineStr">
        <is>
          <t>detailComplaint.goodsType</t>
        </is>
      </c>
      <c r="B190" s="3" t="inlineStr">
        <is>
          <t>Loại hàng</t>
        </is>
      </c>
      <c r="C190" s="3" t="inlineStr">
        <is>
          <t>Item Type</t>
        </is>
      </c>
      <c r="D190" s="3">
        <f>IFERROR(__xludf.DUMMYFUNCTION("GOOGLETRANSLATE(B190,""vi"",""en"")"),"Product type")</f>
        <v/>
      </c>
      <c r="E190" s="3">
        <f>IF(C190&lt;&gt;"",C190, D190)</f>
        <v/>
      </c>
      <c r="F190" s="3" t="n"/>
      <c r="G190" s="3">
        <f>IFERROR(__xludf.DUMMYFUNCTION("GOOGLETRANSLATE(B190,""vi"",""km"")"),"ប្រភេទផលិតផល")</f>
        <v/>
      </c>
      <c r="H190" s="3" t="inlineStr">
        <is>
          <t>ប្រភេទផលិតផល</t>
        </is>
      </c>
      <c r="I190" s="3" t="n"/>
      <c r="J190" s="3">
        <f>IFERROR(__xludf.DUMMYFUNCTION("GOOGLETRANSLATE(B190,""vi"",""lo"")"),"ປະເພດຜະລິດຕະພັນ")</f>
        <v/>
      </c>
      <c r="K190" s="3">
        <f>IF(I190&lt;&gt;"",I190, J190)</f>
        <v/>
      </c>
      <c r="L190" s="3" t="inlineStr">
        <is>
          <t>ប្រភេទផលិតផល</t>
        </is>
      </c>
      <c r="M190" s="3" t="n"/>
      <c r="N190" s="3" t="inlineStr">
        <is>
          <t>"detailComplaint.goodsType": "Item Type",</t>
        </is>
      </c>
      <c r="O190" s="3" t="n"/>
      <c r="P190" s="3" t="n"/>
      <c r="Q190" s="3" t="n"/>
      <c r="R190" s="3" t="n"/>
      <c r="S190" s="3" t="n"/>
      <c r="T190" s="3" t="n"/>
      <c r="U190" s="3" t="n"/>
      <c r="V190" s="3" t="n"/>
      <c r="W190" s="3" t="n"/>
      <c r="X190" s="3" t="n"/>
      <c r="Y190" s="3" t="n"/>
      <c r="Z190" s="3" t="n"/>
      <c r="AA190" s="3" t="n"/>
    </row>
    <row r="191">
      <c r="A191" s="3" t="inlineStr">
        <is>
          <t>detailComplaint.isLate</t>
        </is>
      </c>
      <c r="B191" s="3" t="inlineStr">
        <is>
          <t>Gia hạn</t>
        </is>
      </c>
      <c r="C191" s="3" t="inlineStr">
        <is>
          <t>Extension</t>
        </is>
      </c>
      <c r="D191" s="3">
        <f>IFERROR(__xludf.DUMMYFUNCTION("GOOGLETRANSLATE(B191,""vi"",""en"")"),"Extend")</f>
        <v/>
      </c>
      <c r="E191" s="3">
        <f>IF(C191&lt;&gt;"",C191, D191)</f>
        <v/>
      </c>
      <c r="F191" s="3" t="n"/>
      <c r="G191" s="3">
        <f>IFERROR(__xludf.DUMMYFUNCTION("GOOGLETRANSLATE(B191,""vi"",""km"")"),"ពង្រីក")</f>
        <v/>
      </c>
      <c r="H191" s="3" t="inlineStr">
        <is>
          <t>ពង្រីក</t>
        </is>
      </c>
      <c r="I191" s="3" t="n"/>
      <c r="J191" s="3">
        <f>IFERROR(__xludf.DUMMYFUNCTION("GOOGLETRANSLATE(B191,""vi"",""lo"")"),"ຂະຫຍາຍ")</f>
        <v/>
      </c>
      <c r="K191" s="3">
        <f>IF(I191&lt;&gt;"",I191, J191)</f>
        <v/>
      </c>
      <c r="L191" s="3" t="inlineStr">
        <is>
          <t>ពង្រីក</t>
        </is>
      </c>
      <c r="M191" s="3" t="n"/>
      <c r="N191" s="3" t="inlineStr">
        <is>
          <t>"detailComplaint.isLate": "Extension",</t>
        </is>
      </c>
      <c r="O191" s="3" t="n"/>
      <c r="P191" s="3" t="n"/>
      <c r="Q191" s="3" t="n"/>
      <c r="R191" s="3" t="n"/>
      <c r="S191" s="3" t="n"/>
      <c r="T191" s="3" t="n"/>
      <c r="U191" s="3" t="n"/>
      <c r="V191" s="3" t="n"/>
      <c r="W191" s="3" t="n"/>
      <c r="X191" s="3" t="n"/>
      <c r="Y191" s="3" t="n"/>
      <c r="Z191" s="3" t="n"/>
      <c r="AA191" s="3" t="n"/>
    </row>
    <row r="192">
      <c r="A192" s="3" t="inlineStr">
        <is>
          <t>detailComplaint.level</t>
        </is>
      </c>
      <c r="B192" s="3" t="inlineStr">
        <is>
          <t>Mức độ</t>
        </is>
      </c>
      <c r="C192" s="3" t="inlineStr">
        <is>
          <t>Severity</t>
        </is>
      </c>
      <c r="D192" s="3">
        <f>IFERROR(__xludf.DUMMYFUNCTION("GOOGLETRANSLATE(B192,""vi"",""en"")"),"Level")</f>
        <v/>
      </c>
      <c r="E192" s="3">
        <f>IF(C192&lt;&gt;"",C192, D192)</f>
        <v/>
      </c>
      <c r="F192" s="3" t="n"/>
      <c r="G192" s="3">
        <f>IFERROR(__xludf.DUMMYFUNCTION("GOOGLETRANSLATE(B192,""vi"",""km"")"),"កម្រិត")</f>
        <v/>
      </c>
      <c r="H192" s="3" t="inlineStr">
        <is>
          <t>កម្រិត</t>
        </is>
      </c>
      <c r="I192" s="3" t="n"/>
      <c r="J192" s="3">
        <f>IFERROR(__xludf.DUMMYFUNCTION("GOOGLETRANSLATE(B192,""vi"",""lo"")"),"ລະດັບ")</f>
        <v/>
      </c>
      <c r="K192" s="3">
        <f>IF(I192&lt;&gt;"",I192, J192)</f>
        <v/>
      </c>
      <c r="L192" s="3" t="inlineStr">
        <is>
          <t>កម្រិត</t>
        </is>
      </c>
      <c r="M192" s="3" t="n"/>
      <c r="N192" s="3" t="inlineStr">
        <is>
          <t>"detailComplaint.level": "Severity",</t>
        </is>
      </c>
      <c r="O192" s="3" t="n"/>
      <c r="P192" s="3" t="n"/>
      <c r="Q192" s="3" t="n"/>
      <c r="R192" s="3" t="n"/>
      <c r="S192" s="3" t="n"/>
      <c r="T192" s="3" t="n"/>
      <c r="U192" s="3" t="n"/>
      <c r="V192" s="3" t="n"/>
      <c r="W192" s="3" t="n"/>
      <c r="X192" s="3" t="n"/>
      <c r="Y192" s="3" t="n"/>
      <c r="Z192" s="3" t="n"/>
      <c r="AA192" s="3" t="n"/>
    </row>
    <row r="193">
      <c r="A193" s="3" t="inlineStr">
        <is>
          <t>detailComplaint.minutesCode</t>
        </is>
      </c>
      <c r="B193" s="3" t="inlineStr">
        <is>
          <t>Mã biên bản</t>
        </is>
      </c>
      <c r="C193" s="3" t="inlineStr">
        <is>
          <t>Report ID</t>
        </is>
      </c>
      <c r="D193" s="3">
        <f>IFERROR(__xludf.DUMMYFUNCTION("GOOGLETRANSLATE(B193,""vi"",""en"")"),"Minutes code")</f>
        <v/>
      </c>
      <c r="E193" s="3">
        <f>IF(C193&lt;&gt;"",C193, D193)</f>
        <v/>
      </c>
      <c r="F193" s="3" t="n"/>
      <c r="G193" s="3">
        <f>IFERROR(__xludf.DUMMYFUNCTION("GOOGLETRANSLATE(B193,""vi"",""km"")"),"លេខកូដនាទី")</f>
        <v/>
      </c>
      <c r="H193" s="3" t="inlineStr">
        <is>
          <t>លេខកូដនាទី</t>
        </is>
      </c>
      <c r="I193" s="3" t="n"/>
      <c r="J193" s="3">
        <f>IFERROR(__xludf.DUMMYFUNCTION("GOOGLETRANSLATE(B193,""vi"",""lo"")"),"ລະຫັດນາທີ")</f>
        <v/>
      </c>
      <c r="K193" s="3">
        <f>IF(I193&lt;&gt;"",I193, J193)</f>
        <v/>
      </c>
      <c r="L193" s="3" t="inlineStr">
        <is>
          <t>លេខកូដនាទី</t>
        </is>
      </c>
      <c r="M193" s="3" t="n"/>
      <c r="N193" s="3" t="inlineStr">
        <is>
          <t>"detailComplaint.minutesCode": "Report ID",</t>
        </is>
      </c>
      <c r="O193" s="3" t="n"/>
      <c r="P193" s="3" t="n"/>
      <c r="Q193" s="3" t="n"/>
      <c r="R193" s="3" t="n"/>
      <c r="S193" s="3" t="n"/>
      <c r="T193" s="3" t="n"/>
      <c r="U193" s="3" t="n"/>
      <c r="V193" s="3" t="n"/>
      <c r="W193" s="3" t="n"/>
      <c r="X193" s="3" t="n"/>
      <c r="Y193" s="3" t="n"/>
      <c r="Z193" s="3" t="n"/>
      <c r="AA193" s="3" t="n"/>
    </row>
    <row r="194">
      <c r="A194" s="3" t="inlineStr">
        <is>
          <t>detailComplaint.orderInfo</t>
        </is>
      </c>
      <c r="B194" s="3" t="inlineStr">
        <is>
          <t>Thông tin đơn hàng</t>
        </is>
      </c>
      <c r="C194" s="3" t="inlineStr">
        <is>
          <t>Order Information</t>
        </is>
      </c>
      <c r="D194" s="3">
        <f>IFERROR(__xludf.DUMMYFUNCTION("GOOGLETRANSLATE(B194,""vi"",""en"")"),"Order information")</f>
        <v/>
      </c>
      <c r="E194" s="3">
        <f>IF(C194&lt;&gt;"",C194, D194)</f>
        <v/>
      </c>
      <c r="F194" s="3" t="n"/>
      <c r="G194" s="3">
        <f>IFERROR(__xludf.DUMMYFUNCTION("GOOGLETRANSLATE(B194,""vi"",""km"")"),"ព័ត៌មានការបញ្ជាទិញ")</f>
        <v/>
      </c>
      <c r="H194" s="3" t="inlineStr">
        <is>
          <t>ព័ត៌មានការបញ្ជាទិញ</t>
        </is>
      </c>
      <c r="I194" s="3" t="n"/>
      <c r="J194" s="3">
        <f>IFERROR(__xludf.DUMMYFUNCTION("GOOGLETRANSLATE(B194,""vi"",""lo"")"),"ຂໍ້ມູນການສັ່ງຊື້")</f>
        <v/>
      </c>
      <c r="K194" s="3">
        <f>IF(I194&lt;&gt;"",I194, J194)</f>
        <v/>
      </c>
      <c r="L194" s="3" t="inlineStr">
        <is>
          <t>ព័ត៌មានការបញ្ជាទិញ</t>
        </is>
      </c>
      <c r="M194" s="3" t="n"/>
      <c r="N194" s="3" t="inlineStr">
        <is>
          <t>"detailComplaint.orderInfo": "Order Information",</t>
        </is>
      </c>
      <c r="O194" s="3" t="n"/>
      <c r="P194" s="3" t="n"/>
      <c r="Q194" s="3" t="n"/>
      <c r="R194" s="3" t="n"/>
      <c r="S194" s="3" t="n"/>
      <c r="T194" s="3" t="n"/>
      <c r="U194" s="3" t="n"/>
      <c r="V194" s="3" t="n"/>
      <c r="W194" s="3" t="n"/>
      <c r="X194" s="3" t="n"/>
      <c r="Y194" s="3" t="n"/>
      <c r="Z194" s="3" t="n"/>
      <c r="AA194" s="3" t="n"/>
    </row>
    <row r="195">
      <c r="A195" s="3" t="inlineStr">
        <is>
          <t>detailComplaint.personalProcess</t>
        </is>
      </c>
      <c r="B195" s="3" t="inlineStr">
        <is>
          <t>Cá nhân xử lý</t>
        </is>
      </c>
      <c r="C195" s="3" t="inlineStr">
        <is>
          <t>Assigned Staff</t>
        </is>
      </c>
      <c r="D195" s="3">
        <f>IFERROR(__xludf.DUMMYFUNCTION("GOOGLETRANSLATE(B195,""vi"",""en"")"),"Individual handling")</f>
        <v/>
      </c>
      <c r="E195" s="3">
        <f>IF(C195&lt;&gt;"",C195, D195)</f>
        <v/>
      </c>
      <c r="F195" s="3" t="n"/>
      <c r="G195" s="3">
        <f>IFERROR(__xludf.DUMMYFUNCTION("GOOGLETRANSLATE(B195,""vi"",""km"")"),"ការដោះស្រាយជាលក្ខណៈបុគ្គល")</f>
        <v/>
      </c>
      <c r="H195" s="3" t="inlineStr">
        <is>
          <t>ការដោះស្រាយជាលក្ខណៈបុគ្គល</t>
        </is>
      </c>
      <c r="I195" s="3" t="n"/>
      <c r="J195" s="3">
        <f>IFERROR(__xludf.DUMMYFUNCTION("GOOGLETRANSLATE(B195,""vi"",""lo"")"),"ການຈັດການສ່ວນບຸກຄົນ")</f>
        <v/>
      </c>
      <c r="K195" s="3">
        <f>IF(I195&lt;&gt;"",I195, J195)</f>
        <v/>
      </c>
      <c r="L195" s="3" t="inlineStr">
        <is>
          <t>ការដោះស្រាយជាលក្ខណៈបុគ្គល</t>
        </is>
      </c>
      <c r="M195" s="3" t="n"/>
      <c r="N195" s="3" t="inlineStr">
        <is>
          <t>"detailComplaint.personalProcess": "Assigned Staff",</t>
        </is>
      </c>
      <c r="O195" s="3" t="n"/>
      <c r="P195" s="3" t="n"/>
      <c r="Q195" s="3" t="n"/>
      <c r="R195" s="3" t="n"/>
      <c r="S195" s="3" t="n"/>
      <c r="T195" s="3" t="n"/>
      <c r="U195" s="3" t="n"/>
      <c r="V195" s="3" t="n"/>
      <c r="W195" s="3" t="n"/>
      <c r="X195" s="3" t="n"/>
      <c r="Y195" s="3" t="n"/>
      <c r="Z195" s="3" t="n"/>
      <c r="AA195" s="3" t="n"/>
    </row>
    <row r="196">
      <c r="A196" s="3" t="inlineStr">
        <is>
          <t>detailComplaint.postOfficeLate</t>
        </is>
      </c>
      <c r="B196" s="3" t="inlineStr">
        <is>
          <t>Bưu cục chậm muộn</t>
        </is>
      </c>
      <c r="C196" s="3" t="inlineStr">
        <is>
          <t>Delayed Post office</t>
        </is>
      </c>
      <c r="D196" s="3">
        <f>IFERROR(__xludf.DUMMYFUNCTION("GOOGLETRANSLATE(B196,""vi"",""en"")"),"Post office delayed")</f>
        <v/>
      </c>
      <c r="E196" s="3">
        <f>IF(C196&lt;&gt;"",C196, D196)</f>
        <v/>
      </c>
      <c r="F196" s="3" t="n"/>
      <c r="G196" s="3">
        <f>IFERROR(__xludf.DUMMYFUNCTION("GOOGLETRANSLATE(B196,""vi"",""km"")"),"ការិយាល័យប្រៃសណីយ៍ត្រូវបានពន្យារពេល")</f>
        <v/>
      </c>
      <c r="H196" s="3" t="inlineStr">
        <is>
          <t>ការិយាល័យប្រៃសណីយ៍ត្រូវបានពន្យារពេល</t>
        </is>
      </c>
      <c r="I196" s="3" t="n"/>
      <c r="J196" s="3">
        <f>IFERROR(__xludf.DUMMYFUNCTION("GOOGLETRANSLATE(B196,""vi"",""lo"")"),"ໄປສະນີຊັກຊ້າ")</f>
        <v/>
      </c>
      <c r="K196" s="3">
        <f>IF(I196&lt;&gt;"",I196, J196)</f>
        <v/>
      </c>
      <c r="L196" s="3" t="inlineStr">
        <is>
          <t>ការិយាល័យប្រៃសណីយ៍ត្រូវបានពន្យារពេល</t>
        </is>
      </c>
      <c r="M196" s="3" t="n"/>
      <c r="N196" s="3" t="inlineStr">
        <is>
          <t>"detailComplaint.postOfficeLate": "Delayed Post office",</t>
        </is>
      </c>
      <c r="O196" s="3" t="n"/>
      <c r="P196" s="3" t="n"/>
      <c r="Q196" s="3" t="n"/>
      <c r="R196" s="3" t="n"/>
      <c r="S196" s="3" t="n"/>
      <c r="T196" s="3" t="n"/>
      <c r="U196" s="3" t="n"/>
      <c r="V196" s="3" t="n"/>
      <c r="W196" s="3" t="n"/>
      <c r="X196" s="3" t="n"/>
      <c r="Y196" s="3" t="n"/>
      <c r="Z196" s="3" t="n"/>
      <c r="AA196" s="3" t="n"/>
    </row>
    <row r="197">
      <c r="A197" s="3" t="inlineStr">
        <is>
          <t>detailComplaint.processingQuality</t>
        </is>
      </c>
      <c r="B197" s="3" t="inlineStr">
        <is>
          <t>Chất lượng xử lý</t>
        </is>
      </c>
      <c r="C197" s="3" t="inlineStr">
        <is>
          <t>Processing Quality</t>
        </is>
      </c>
      <c r="D197" s="3">
        <f>IFERROR(__xludf.DUMMYFUNCTION("GOOGLETRANSLATE(B197,""vi"",""en"")"),"Processing quality")</f>
        <v/>
      </c>
      <c r="E197" s="3">
        <f>IF(C197&lt;&gt;"",C197, D197)</f>
        <v/>
      </c>
      <c r="F197" s="3" t="n"/>
      <c r="G197" s="3">
        <f>IFERROR(__xludf.DUMMYFUNCTION("GOOGLETRANSLATE(B197,""vi"",""km"")"),"គុណភាពដំណើរការ")</f>
        <v/>
      </c>
      <c r="H197" s="3" t="inlineStr">
        <is>
          <t>គុណភាពដំណើរការ</t>
        </is>
      </c>
      <c r="I197" s="3" t="n"/>
      <c r="J197" s="3">
        <f>IFERROR(__xludf.DUMMYFUNCTION("GOOGLETRANSLATE(B197,""vi"",""lo"")"),"ຄຸນນະພາບການປະມວນຜົນ")</f>
        <v/>
      </c>
      <c r="K197" s="3">
        <f>IF(I197&lt;&gt;"",I197, J197)</f>
        <v/>
      </c>
      <c r="L197" s="3" t="inlineStr">
        <is>
          <t>គុណភាពដំណើរការ</t>
        </is>
      </c>
      <c r="M197" s="3" t="n"/>
      <c r="N197" s="3" t="inlineStr">
        <is>
          <t>"detailComplaint.processingQuality": "Processing Quality",</t>
        </is>
      </c>
      <c r="O197" s="3" t="n"/>
      <c r="P197" s="3" t="n"/>
      <c r="Q197" s="3" t="n"/>
      <c r="R197" s="3" t="n"/>
      <c r="S197" s="3" t="n"/>
      <c r="T197" s="3" t="n"/>
      <c r="U197" s="3" t="n"/>
      <c r="V197" s="3" t="n"/>
      <c r="W197" s="3" t="n"/>
      <c r="X197" s="3" t="n"/>
      <c r="Y197" s="3" t="n"/>
      <c r="Z197" s="3" t="n"/>
      <c r="AA197" s="3" t="n"/>
    </row>
    <row r="198">
      <c r="A198" s="3" t="inlineStr">
        <is>
          <t>detailComplaint.processingUnit</t>
        </is>
      </c>
      <c r="B198" s="3" t="inlineStr">
        <is>
          <t>Đơn vị xử lý</t>
        </is>
      </c>
      <c r="C198" s="3" t="inlineStr">
        <is>
          <t>Processing Unit</t>
        </is>
      </c>
      <c r="D198" s="3">
        <f>IFERROR(__xludf.DUMMYFUNCTION("GOOGLETRANSLATE(B198,""vi"",""en"")"),"Processing unit")</f>
        <v/>
      </c>
      <c r="E198" s="3">
        <f>IF(C198&lt;&gt;"",C198, D198)</f>
        <v/>
      </c>
      <c r="F198" s="3" t="n"/>
      <c r="G198" s="3">
        <f>IFERROR(__xludf.DUMMYFUNCTION("GOOGLETRANSLATE(B198,""vi"",""km"")"),"អង្គភាពដំណើរការ")</f>
        <v/>
      </c>
      <c r="H198" s="3" t="inlineStr">
        <is>
          <t>អង្គភាពដំណើរការ</t>
        </is>
      </c>
      <c r="I198" s="3" t="n"/>
      <c r="J198" s="3">
        <f>IFERROR(__xludf.DUMMYFUNCTION("GOOGLETRANSLATE(B198,""vi"",""lo"")"),"ໜ່ວຍປະມວນຜົນ")</f>
        <v/>
      </c>
      <c r="K198" s="3">
        <f>IF(I198&lt;&gt;"",I198, J198)</f>
        <v/>
      </c>
      <c r="L198" s="3" t="inlineStr">
        <is>
          <t>អង្គភាពដំណើរការ</t>
        </is>
      </c>
      <c r="M198" s="3" t="n"/>
      <c r="N198" s="3" t="inlineStr">
        <is>
          <t>"detailComplaint.processingUnit": "Processing Unit",</t>
        </is>
      </c>
      <c r="O198" s="3" t="n"/>
      <c r="P198" s="3" t="n"/>
      <c r="Q198" s="3" t="n"/>
      <c r="R198" s="3" t="n"/>
      <c r="S198" s="3" t="n"/>
      <c r="T198" s="3" t="n"/>
      <c r="U198" s="3" t="n"/>
      <c r="V198" s="3" t="n"/>
      <c r="W198" s="3" t="n"/>
      <c r="X198" s="3" t="n"/>
      <c r="Y198" s="3" t="n"/>
      <c r="Z198" s="3" t="n"/>
      <c r="AA198" s="3" t="n"/>
    </row>
    <row r="199">
      <c r="A199" s="3" t="inlineStr">
        <is>
          <t>detailComplaint.qualityInfo</t>
        </is>
      </c>
      <c r="B199" s="3" t="inlineStr">
        <is>
          <t>Đánh giá chất lượng GQKN</t>
        </is>
      </c>
      <c r="C199" s="3" t="inlineStr">
        <is>
          <t>Complaint Resolution Quality Rating</t>
        </is>
      </c>
      <c r="D199" s="3">
        <f>IFERROR(__xludf.DUMMYFUNCTION("GOOGLETRANSLATE(B199,""vi"",""en"")"),"Evaluating the quality of GQKN")</f>
        <v/>
      </c>
      <c r="E199" s="3">
        <f>IF(C199&lt;&gt;"",C199, D199)</f>
        <v/>
      </c>
      <c r="F199" s="3" t="n"/>
      <c r="G199" s="3">
        <f>IFERROR(__xludf.DUMMYFUNCTION("GOOGLETRANSLATE(B199,""vi"",""km"")"),"ការវាយតម្លៃគុណភាពរបស់ GQKN")</f>
        <v/>
      </c>
      <c r="H199" s="3" t="inlineStr">
        <is>
          <t>ការវាយតម្លៃគុណភាពរបស់ GQKN</t>
        </is>
      </c>
      <c r="I199" s="3" t="n"/>
      <c r="J199" s="3">
        <f>IFERROR(__xludf.DUMMYFUNCTION("GOOGLETRANSLATE(B199,""vi"",""lo"")"),"ການປະເມີນຄຸນນະພາບຂອງ GQKN")</f>
        <v/>
      </c>
      <c r="K199" s="3">
        <f>IF(I199&lt;&gt;"",I199, J199)</f>
        <v/>
      </c>
      <c r="L199" s="3" t="inlineStr">
        <is>
          <t>ការវាយតម្លៃគុណភាពរបស់ GQKN</t>
        </is>
      </c>
      <c r="M199" s="3" t="n"/>
      <c r="N199" s="3" t="inlineStr">
        <is>
          <t>"detailComplaint.qualityInfo": "Complaint Resolution Quality Rating",</t>
        </is>
      </c>
      <c r="O199" s="3" t="n"/>
      <c r="P199" s="3" t="n"/>
      <c r="Q199" s="3" t="n"/>
      <c r="R199" s="3" t="n"/>
      <c r="S199" s="3" t="n"/>
      <c r="T199" s="3" t="n"/>
      <c r="U199" s="3" t="n"/>
      <c r="V199" s="3" t="n"/>
      <c r="W199" s="3" t="n"/>
      <c r="X199" s="3" t="n"/>
      <c r="Y199" s="3" t="n"/>
      <c r="Z199" s="3" t="n"/>
      <c r="AA199" s="3" t="n"/>
    </row>
    <row r="200">
      <c r="A200" s="3" t="inlineStr">
        <is>
          <t>detailComplaint.ratingComplaintCategory</t>
        </is>
      </c>
      <c r="B200" s="3" t="inlineStr">
        <is>
          <t>Đánh giá phân loại khiếu nại</t>
        </is>
      </c>
      <c r="C200" s="3" t="inlineStr">
        <is>
          <t>Complaint Categorization Rating</t>
        </is>
      </c>
      <c r="D200" s="3">
        <f>IFERROR(__xludf.DUMMYFUNCTION("GOOGLETRANSLATE(B200,""vi"",""en"")"),"Complaint classification assessment")</f>
        <v/>
      </c>
      <c r="E200" s="3">
        <f>IF(C200&lt;&gt;"",C200, D200)</f>
        <v/>
      </c>
      <c r="F200" s="3" t="n"/>
      <c r="G200" s="3">
        <f>IFERROR(__xludf.DUMMYFUNCTION("GOOGLETRANSLATE(B200,""vi"",""km"")"),"ការវាយតម្លៃចំណាត់ថ្នាក់ពាក្យបណ្តឹង")</f>
        <v/>
      </c>
      <c r="H200" s="3" t="inlineStr">
        <is>
          <t>ការវាយតម្លៃចំណាត់ថ្នាក់ពាក្យបណ្តឹង</t>
        </is>
      </c>
      <c r="I200" s="3" t="n"/>
      <c r="J200" s="3">
        <f>IFERROR(__xludf.DUMMYFUNCTION("GOOGLETRANSLATE(B200,""vi"",""lo"")"),"ການປະເມີນການຈັດປະເພດການຮ້ອງຮຽນ")</f>
        <v/>
      </c>
      <c r="K200" s="3">
        <f>IF(I200&lt;&gt;"",I200, J200)</f>
        <v/>
      </c>
      <c r="L200" s="3" t="inlineStr">
        <is>
          <t>ការវាយតម្លៃចំណាត់ថ្នាក់ពាក្យបណ្តឹង</t>
        </is>
      </c>
      <c r="M200" s="3" t="n"/>
      <c r="N200" s="3" t="inlineStr">
        <is>
          <t>"detailComplaint.ratingComplaintCategory": "Complaint Categorization Rating",</t>
        </is>
      </c>
      <c r="O200" s="3" t="n"/>
      <c r="P200" s="3" t="n"/>
      <c r="Q200" s="3" t="n"/>
      <c r="R200" s="3" t="n"/>
      <c r="S200" s="3" t="n"/>
      <c r="T200" s="3" t="n"/>
      <c r="U200" s="3" t="n"/>
      <c r="V200" s="3" t="n"/>
      <c r="W200" s="3" t="n"/>
      <c r="X200" s="3" t="n"/>
      <c r="Y200" s="3" t="n"/>
      <c r="Z200" s="3" t="n"/>
      <c r="AA200" s="3" t="n"/>
    </row>
    <row r="201">
      <c r="A201" s="3" t="inlineStr">
        <is>
          <t>detailComplaint.ratingDate</t>
        </is>
      </c>
      <c r="B201" s="3" t="inlineStr">
        <is>
          <t>Ngày giờ</t>
        </is>
      </c>
      <c r="C201" s="3" t="inlineStr">
        <is>
          <t>Date &amp; time</t>
        </is>
      </c>
      <c r="D201" s="3">
        <f>IFERROR(__xludf.DUMMYFUNCTION("GOOGLETRANSLATE(B201,""vi"",""en"")"),"Date and time")</f>
        <v/>
      </c>
      <c r="E201" s="3">
        <f>IF(C201&lt;&gt;"",C201, D201)</f>
        <v/>
      </c>
      <c r="F201" s="3" t="n"/>
      <c r="G201" s="3">
        <f>IFERROR(__xludf.DUMMYFUNCTION("GOOGLETRANSLATE(B201,""vi"",""km"")"),"កាលបរិច្ឆេទ និងពេលវេលា")</f>
        <v/>
      </c>
      <c r="H201" s="3" t="inlineStr">
        <is>
          <t>កាលបរិច្ឆេទ និងពេលវេលា</t>
        </is>
      </c>
      <c r="I201" s="3" t="n"/>
      <c r="J201" s="3">
        <f>IFERROR(__xludf.DUMMYFUNCTION("GOOGLETRANSLATE(B201,""vi"",""lo"")"),"ວັນທີ ແລະ ເວລາ")</f>
        <v/>
      </c>
      <c r="K201" s="3">
        <f>IF(I201&lt;&gt;"",I201, J201)</f>
        <v/>
      </c>
      <c r="L201" s="3" t="inlineStr">
        <is>
          <t>កាលបរិច្ឆេទ និងពេលវេលា</t>
        </is>
      </c>
      <c r="M201" s="3" t="n"/>
      <c r="N201" s="3" t="inlineStr">
        <is>
          <t>"detailComplaint.ratingDate": "Date &amp; time",</t>
        </is>
      </c>
      <c r="O201" s="3" t="n"/>
      <c r="P201" s="3" t="n"/>
      <c r="Q201" s="3" t="n"/>
      <c r="R201" s="3" t="n"/>
      <c r="S201" s="3" t="n"/>
      <c r="T201" s="3" t="n"/>
      <c r="U201" s="3" t="n"/>
      <c r="V201" s="3" t="n"/>
      <c r="W201" s="3" t="n"/>
      <c r="X201" s="3" t="n"/>
      <c r="Y201" s="3" t="n"/>
      <c r="Z201" s="3" t="n"/>
      <c r="AA201" s="3" t="n"/>
    </row>
    <row r="202">
      <c r="A202" s="3" t="inlineStr">
        <is>
          <t>detailComplaint.ratingExtension</t>
        </is>
      </c>
      <c r="B202" s="3" t="inlineStr">
        <is>
          <t>Đánh giá gia hạn khiếu nại</t>
        </is>
      </c>
      <c r="C202" s="3" t="inlineStr">
        <is>
          <t>Complaint Extension Rating</t>
        </is>
      </c>
      <c r="D202" s="3">
        <f>IFERROR(__xludf.DUMMYFUNCTION("GOOGLETRANSLATE(B202,""vi"",""en"")"),"Reviewing the appeal extension")</f>
        <v/>
      </c>
      <c r="E202" s="3">
        <f>IF(C202&lt;&gt;"",C202, D202)</f>
        <v/>
      </c>
      <c r="F202" s="3" t="n"/>
      <c r="G202" s="3">
        <f>IFERROR(__xludf.DUMMYFUNCTION("GOOGLETRANSLATE(B202,""vi"",""km"")"),"ការពិនិត្យឡើងវិញនូវការពង្រីកបណ្តឹងឧទ្ធរណ៍")</f>
        <v/>
      </c>
      <c r="H202" s="3" t="inlineStr">
        <is>
          <t>ការពិនិត្យឡើងវិញនូវការពង្រីកបណ្តឹងឧទ្ធរណ៍</t>
        </is>
      </c>
      <c r="I202" s="3" t="n"/>
      <c r="J202" s="3">
        <f>IFERROR(__xludf.DUMMYFUNCTION("GOOGLETRANSLATE(B202,""vi"",""lo"")"),"ການທົບທວນຄືນການຂະຫຍາຍການອຸທອນ")</f>
        <v/>
      </c>
      <c r="K202" s="3">
        <f>IF(I202&lt;&gt;"",I202, J202)</f>
        <v/>
      </c>
      <c r="L202" s="3" t="inlineStr">
        <is>
          <t>ការពិនិត្យឡើងវិញនូវការពង្រីកបណ្តឹងឧទ្ធរណ៍</t>
        </is>
      </c>
      <c r="M202" s="3" t="n"/>
      <c r="N202" s="3" t="inlineStr">
        <is>
          <t>"detailComplaint.ratingExtension": "Complaint Extension Rating",</t>
        </is>
      </c>
      <c r="O202" s="3" t="n"/>
      <c r="P202" s="3" t="n"/>
      <c r="Q202" s="3" t="n"/>
      <c r="R202" s="3" t="n"/>
      <c r="S202" s="3" t="n"/>
      <c r="T202" s="3" t="n"/>
      <c r="U202" s="3" t="n"/>
      <c r="V202" s="3" t="n"/>
      <c r="W202" s="3" t="n"/>
      <c r="X202" s="3" t="n"/>
      <c r="Y202" s="3" t="n"/>
      <c r="Z202" s="3" t="n"/>
      <c r="AA202" s="3" t="n"/>
    </row>
    <row r="203">
      <c r="A203" s="3" t="inlineStr">
        <is>
          <t>detailComplaint.ratingLateUnit</t>
        </is>
      </c>
      <c r="B203" s="3" t="inlineStr">
        <is>
          <t>Đơn vị trễ</t>
        </is>
      </c>
      <c r="C203" s="3" t="inlineStr">
        <is>
          <t>Delayed Unit</t>
        </is>
      </c>
      <c r="D203" s="3">
        <f>IFERROR(__xludf.DUMMYFUNCTION("GOOGLETRANSLATE(B203,""vi"",""en"")"),"Delayed unit")</f>
        <v/>
      </c>
      <c r="E203" s="3">
        <f>IF(C203&lt;&gt;"",C203, D203)</f>
        <v/>
      </c>
      <c r="F203" s="3" t="n"/>
      <c r="G203" s="3">
        <f>IFERROR(__xludf.DUMMYFUNCTION("GOOGLETRANSLATE(B203,""vi"",""km"")"),"ឯកតាដែលបានពន្យារពេល")</f>
        <v/>
      </c>
      <c r="H203" s="3" t="inlineStr">
        <is>
          <t>ឯកតាដែលបានពន្យារពេល</t>
        </is>
      </c>
      <c r="I203" s="3" t="n"/>
      <c r="J203" s="3">
        <f>IFERROR(__xludf.DUMMYFUNCTION("GOOGLETRANSLATE(B203,""vi"",""lo"")"),"ໜ່ວຍຊັກຊ້າ")</f>
        <v/>
      </c>
      <c r="K203" s="3">
        <f>IF(I203&lt;&gt;"",I203, J203)</f>
        <v/>
      </c>
      <c r="L203" s="3" t="inlineStr">
        <is>
          <t>ឯកតាដែលបានពន្យារពេល</t>
        </is>
      </c>
      <c r="M203" s="3" t="n"/>
      <c r="N203" s="3" t="inlineStr">
        <is>
          <t>"detailComplaint.ratingLateUnit": "Delayed Unit",</t>
        </is>
      </c>
      <c r="O203" s="3" t="n"/>
      <c r="P203" s="3" t="n"/>
      <c r="Q203" s="3" t="n"/>
      <c r="R203" s="3" t="n"/>
      <c r="S203" s="3" t="n"/>
      <c r="T203" s="3" t="n"/>
      <c r="U203" s="3" t="n"/>
      <c r="V203" s="3" t="n"/>
      <c r="W203" s="3" t="n"/>
      <c r="X203" s="3" t="n"/>
      <c r="Y203" s="3" t="n"/>
      <c r="Z203" s="3" t="n"/>
      <c r="AA203" s="3" t="n"/>
    </row>
    <row r="204">
      <c r="A204" s="3" t="inlineStr">
        <is>
          <t>detailComplaint.ratingPerson</t>
        </is>
      </c>
      <c r="B204" s="3" t="inlineStr">
        <is>
          <t>Người tác động</t>
        </is>
      </c>
      <c r="C204" s="3" t="inlineStr">
        <is>
          <t>Updated by</t>
        </is>
      </c>
      <c r="D204" s="3">
        <f>IFERROR(__xludf.DUMMYFUNCTION("GOOGLETRANSLATE(B204,""vi"",""en"")"),"The influencer")</f>
        <v/>
      </c>
      <c r="E204" s="3">
        <f>IF(C204&lt;&gt;"",C204, D204)</f>
        <v/>
      </c>
      <c r="F204" s="3" t="n"/>
      <c r="G204" s="3">
        <f>IFERROR(__xludf.DUMMYFUNCTION("GOOGLETRANSLATE(B204,""vi"",""km"")"),"អ្នកមានឥទ្ធិពល")</f>
        <v/>
      </c>
      <c r="H204" s="3" t="inlineStr">
        <is>
          <t>អ្នកធ្វើប្រតិបត្តិការ</t>
        </is>
      </c>
      <c r="I204" s="3" t="n"/>
      <c r="J204" s="3">
        <f>IFERROR(__xludf.DUMMYFUNCTION("GOOGLETRANSLATE(B204,""vi"",""lo"")"),"ຜູ້ມີອິດທິພົນ")</f>
        <v/>
      </c>
      <c r="K204" s="3">
        <f>IF(I204&lt;&gt;"",I204, J204)</f>
        <v/>
      </c>
      <c r="L204" s="3" t="inlineStr">
        <is>
          <t>អ្នកធ្វើប្រតិបត្តិការ</t>
        </is>
      </c>
      <c r="M204" s="3" t="n"/>
      <c r="N204" s="3" t="inlineStr">
        <is>
          <t>"detailComplaint.ratingPerson": "Updated by",</t>
        </is>
      </c>
      <c r="O204" s="3" t="n"/>
      <c r="P204" s="3" t="n"/>
      <c r="Q204" s="3" t="n"/>
      <c r="R204" s="3" t="n"/>
      <c r="S204" s="3" t="n"/>
      <c r="T204" s="3" t="n"/>
      <c r="U204" s="3" t="n"/>
      <c r="V204" s="3" t="n"/>
      <c r="W204" s="3" t="n"/>
      <c r="X204" s="3" t="n"/>
      <c r="Y204" s="3" t="n"/>
      <c r="Z204" s="3" t="n"/>
      <c r="AA204" s="3" t="n"/>
    </row>
    <row r="205">
      <c r="A205" s="3" t="inlineStr">
        <is>
          <t>detailComplaint.ratingProcessingQuality</t>
        </is>
      </c>
      <c r="B205" s="3" t="inlineStr">
        <is>
          <t>Đánh giá chất lượng xử lý</t>
        </is>
      </c>
      <c r="C205" s="3" t="inlineStr">
        <is>
          <t>Processing Quality Rating</t>
        </is>
      </c>
      <c r="D205" s="3">
        <f>IFERROR(__xludf.DUMMYFUNCTION("GOOGLETRANSLATE(B205,""vi"",""en"")"),"Evaluating processing quality")</f>
        <v/>
      </c>
      <c r="E205" s="3">
        <f>IF(C205&lt;&gt;"",C205, D205)</f>
        <v/>
      </c>
      <c r="F205" s="3" t="n"/>
      <c r="G205" s="3">
        <f>IFERROR(__xludf.DUMMYFUNCTION("GOOGLETRANSLATE(B205,""vi"",""km"")"),"ការវាយតម្លៃគុណភាពដំណើរការ")</f>
        <v/>
      </c>
      <c r="H205" s="3" t="inlineStr">
        <is>
          <t>ការវាយតម្លៃគុណភាពដំណើរការ</t>
        </is>
      </c>
      <c r="I205" s="3" t="n"/>
      <c r="J205" s="3">
        <f>IFERROR(__xludf.DUMMYFUNCTION("GOOGLETRANSLATE(B205,""vi"",""lo"")"),"ການປະເມີນຄຸນນະພາບການປະມວນຜົນ")</f>
        <v/>
      </c>
      <c r="K205" s="3">
        <f>IF(I205&lt;&gt;"",I205, J205)</f>
        <v/>
      </c>
      <c r="L205" s="3" t="inlineStr">
        <is>
          <t>ការវាយតម្លៃគុណភាពដំណើរការ</t>
        </is>
      </c>
      <c r="M205" s="3" t="n"/>
      <c r="N205" s="3" t="inlineStr">
        <is>
          <t>"detailComplaint.ratingProcessingQuality": "Processing Quality Rating",</t>
        </is>
      </c>
      <c r="O205" s="3" t="n"/>
      <c r="P205" s="3" t="n"/>
      <c r="Q205" s="3" t="n"/>
      <c r="R205" s="3" t="n"/>
      <c r="S205" s="3" t="n"/>
      <c r="T205" s="3" t="n"/>
      <c r="U205" s="3" t="n"/>
      <c r="V205" s="3" t="n"/>
      <c r="W205" s="3" t="n"/>
      <c r="X205" s="3" t="n"/>
      <c r="Y205" s="3" t="n"/>
      <c r="Z205" s="3" t="n"/>
      <c r="AA205" s="3" t="n"/>
    </row>
    <row r="206">
      <c r="A206" s="3" t="inlineStr">
        <is>
          <t>detailComplaint.ratingReceptionQuality</t>
        </is>
      </c>
      <c r="B206" s="3" t="inlineStr">
        <is>
          <t>Đánh giá chất lượng tiếp nhận DTV</t>
        </is>
      </c>
      <c r="C206" s="3" t="inlineStr">
        <is>
          <t>Call Handling Quality Rating</t>
        </is>
      </c>
      <c r="D206" s="3">
        <f>IFERROR(__xludf.DUMMYFUNCTION("GOOGLETRANSLATE(B206,""vi"",""en"")"),"Evaluating the quality of DTV reception")</f>
        <v/>
      </c>
      <c r="E206" s="3">
        <f>IF(C206&lt;&gt;"",C206, D206)</f>
        <v/>
      </c>
      <c r="F206" s="3" t="n"/>
      <c r="G206" s="3">
        <f>IFERROR(__xludf.DUMMYFUNCTION("GOOGLETRANSLATE(B206,""vi"",""km"")"),"ការវាយតម្លៃគុណភាពនៃការទទួល DTV")</f>
        <v/>
      </c>
      <c r="H206" s="3" t="inlineStr">
        <is>
          <t>ការវាយតម្លៃគុណភាពនៃការទទួល DTV</t>
        </is>
      </c>
      <c r="I206" s="3" t="n"/>
      <c r="J206" s="3">
        <f>IFERROR(__xludf.DUMMYFUNCTION("GOOGLETRANSLATE(B206,""vi"",""lo"")"),"ການປະເມີນຄຸນນະພາບຂອງການຮັບສັນຍານ DTV")</f>
        <v/>
      </c>
      <c r="K206" s="3">
        <f>IF(I206&lt;&gt;"",I206, J206)</f>
        <v/>
      </c>
      <c r="L206" s="3" t="inlineStr">
        <is>
          <t>ការវាយតម្លៃគុណភាពនៃការទទួល DTV</t>
        </is>
      </c>
      <c r="M206" s="3" t="n"/>
      <c r="N206" s="3" t="inlineStr">
        <is>
          <t>"detailComplaint.ratingReceptionQuality": "Call Handling Quality Rating",</t>
        </is>
      </c>
      <c r="O206" s="3" t="n"/>
      <c r="P206" s="3" t="n"/>
      <c r="Q206" s="3" t="n"/>
      <c r="R206" s="3" t="n"/>
      <c r="S206" s="3" t="n"/>
      <c r="T206" s="3" t="n"/>
      <c r="U206" s="3" t="n"/>
      <c r="V206" s="3" t="n"/>
      <c r="W206" s="3" t="n"/>
      <c r="X206" s="3" t="n"/>
      <c r="Y206" s="3" t="n"/>
      <c r="Z206" s="3" t="n"/>
      <c r="AA206" s="3" t="n"/>
    </row>
    <row r="207">
      <c r="A207" s="3" t="inlineStr">
        <is>
          <t>detailComplaint.ratingStatus</t>
        </is>
      </c>
      <c r="B207" s="3" t="inlineStr">
        <is>
          <t>Trạng thái</t>
        </is>
      </c>
      <c r="C207" s="3" t="inlineStr">
        <is>
          <t>Status</t>
        </is>
      </c>
      <c r="D207" s="3">
        <f>IFERROR(__xludf.DUMMYFUNCTION("GOOGLETRANSLATE(B207,""vi"",""en"")"),"Status")</f>
        <v/>
      </c>
      <c r="E207" s="3">
        <f>IF(C207&lt;&gt;"",C207, D207)</f>
        <v/>
      </c>
      <c r="F207" s="3" t="n"/>
      <c r="G207" s="3">
        <f>IFERROR(__xludf.DUMMYFUNCTION("GOOGLETRANSLATE(B207,""vi"",""km"")"),"ស្ថានភាព")</f>
        <v/>
      </c>
      <c r="H207" s="3" t="inlineStr">
        <is>
          <t>ស្ថានភាព</t>
        </is>
      </c>
      <c r="I207" s="3" t="n"/>
      <c r="J207" s="3">
        <f>IFERROR(__xludf.DUMMYFUNCTION("GOOGLETRANSLATE(B207,""vi"",""lo"")"),"ສະຖານະ")</f>
        <v/>
      </c>
      <c r="K207" s="3">
        <f>IF(I207&lt;&gt;"",I207, J207)</f>
        <v/>
      </c>
      <c r="L207" s="3" t="inlineStr">
        <is>
          <t>ស្ថានភាព</t>
        </is>
      </c>
      <c r="M207" s="3" t="n"/>
      <c r="N207" s="3" t="inlineStr">
        <is>
          <t>"detailComplaint.ratingStatus": "Status",</t>
        </is>
      </c>
      <c r="O207" s="3" t="n"/>
      <c r="P207" s="3" t="n"/>
      <c r="Q207" s="3" t="n"/>
      <c r="R207" s="3" t="n"/>
      <c r="S207" s="3" t="n"/>
      <c r="T207" s="3" t="n"/>
      <c r="U207" s="3" t="n"/>
      <c r="V207" s="3" t="n"/>
      <c r="W207" s="3" t="n"/>
      <c r="X207" s="3" t="n"/>
      <c r="Y207" s="3" t="n"/>
      <c r="Z207" s="3" t="n"/>
      <c r="AA207" s="3" t="n"/>
    </row>
    <row r="208">
      <c r="A208" s="3" t="inlineStr">
        <is>
          <t>detailComplaint.receptionChannel</t>
        </is>
      </c>
      <c r="B208" s="3" t="inlineStr">
        <is>
          <t>Kênh tiếp nhận</t>
        </is>
      </c>
      <c r="C208" s="3" t="inlineStr">
        <is>
          <t>Intake Channel</t>
        </is>
      </c>
      <c r="D208" s="3">
        <f>IFERROR(__xludf.DUMMYFUNCTION("GOOGLETRANSLATE(B208,""vi"",""en"")"),"Reception channel")</f>
        <v/>
      </c>
      <c r="E208" s="3">
        <f>IF(C208&lt;&gt;"",C208, D208)</f>
        <v/>
      </c>
      <c r="F208" s="3" t="n"/>
      <c r="G208" s="3">
        <f>IFERROR(__xludf.DUMMYFUNCTION("GOOGLETRANSLATE(B208,""vi"",""km"")"),"ឆានែលទទួលភ្ញៀវ")</f>
        <v/>
      </c>
      <c r="H208" s="3" t="inlineStr">
        <is>
          <t>ឆានែលទទួលភ្ញៀវ</t>
        </is>
      </c>
      <c r="I208" s="3" t="n"/>
      <c r="J208" s="3">
        <f>IFERROR(__xludf.DUMMYFUNCTION("GOOGLETRANSLATE(B208,""vi"",""lo"")"),"ຊ່ອງຮັບ")</f>
        <v/>
      </c>
      <c r="K208" s="3">
        <f>IF(I208&lt;&gt;"",I208, J208)</f>
        <v/>
      </c>
      <c r="L208" s="3" t="inlineStr">
        <is>
          <t>ឆានែលទទួលភ្ញៀវ</t>
        </is>
      </c>
      <c r="M208" s="3" t="n"/>
      <c r="N208" s="3" t="inlineStr">
        <is>
          <t>"detailComplaint.receptionChannel": "Intake Channel",</t>
        </is>
      </c>
      <c r="O208" s="3" t="n"/>
      <c r="P208" s="3" t="n"/>
      <c r="Q208" s="3" t="n"/>
      <c r="R208" s="3" t="n"/>
      <c r="S208" s="3" t="n"/>
      <c r="T208" s="3" t="n"/>
      <c r="U208" s="3" t="n"/>
      <c r="V208" s="3" t="n"/>
      <c r="W208" s="3" t="n"/>
      <c r="X208" s="3" t="n"/>
      <c r="Y208" s="3" t="n"/>
      <c r="Z208" s="3" t="n"/>
      <c r="AA208" s="3" t="n"/>
    </row>
    <row r="209">
      <c r="A209" s="3" t="inlineStr">
        <is>
          <t>detailComplaint.receptionQuality</t>
        </is>
      </c>
      <c r="B209" s="3" t="inlineStr">
        <is>
          <t>Đánh giá chất lượng tiếp nhận DTV</t>
        </is>
      </c>
      <c r="C209" s="3" t="inlineStr">
        <is>
          <t>Call Handling Quality Rating</t>
        </is>
      </c>
      <c r="D209" s="3">
        <f>IFERROR(__xludf.DUMMYFUNCTION("GOOGLETRANSLATE(B209,""vi"",""en"")"),"Evaluating the quality of DTV reception")</f>
        <v/>
      </c>
      <c r="E209" s="3">
        <f>IF(C209&lt;&gt;"",C209, D209)</f>
        <v/>
      </c>
      <c r="F209" s="3" t="n"/>
      <c r="G209" s="3">
        <f>IFERROR(__xludf.DUMMYFUNCTION("GOOGLETRANSLATE(B209,""vi"",""km"")"),"ការវាយតម្លៃគុណភាពនៃការទទួល DTV")</f>
        <v/>
      </c>
      <c r="H209" s="3" t="inlineStr">
        <is>
          <t>ការវាយតម្លៃគុណភាពនៃការទទួល DTV</t>
        </is>
      </c>
      <c r="I209" s="3" t="n"/>
      <c r="J209" s="3">
        <f>IFERROR(__xludf.DUMMYFUNCTION("GOOGLETRANSLATE(B209,""vi"",""lo"")"),"ການປະເມີນຄຸນນະພາບຂອງການຮັບສັນຍານ DTV")</f>
        <v/>
      </c>
      <c r="K209" s="3">
        <f>IF(I209&lt;&gt;"",I209, J209)</f>
        <v/>
      </c>
      <c r="L209" s="3" t="inlineStr">
        <is>
          <t>ការវាយតម្លៃគុណភាពនៃការទទួល DTV</t>
        </is>
      </c>
      <c r="M209" s="3" t="n"/>
      <c r="N209" s="3" t="inlineStr">
        <is>
          <t>"detailComplaint.receptionQuality": "Call Handling Quality Rating",</t>
        </is>
      </c>
      <c r="O209" s="3" t="n"/>
      <c r="P209" s="3" t="n"/>
      <c r="Q209" s="3" t="n"/>
      <c r="R209" s="3" t="n"/>
      <c r="S209" s="3" t="n"/>
      <c r="T209" s="3" t="n"/>
      <c r="U209" s="3" t="n"/>
      <c r="V209" s="3" t="n"/>
      <c r="W209" s="3" t="n"/>
      <c r="X209" s="3" t="n"/>
      <c r="Y209" s="3" t="n"/>
      <c r="Z209" s="3" t="n"/>
      <c r="AA209" s="3" t="n"/>
    </row>
    <row r="210">
      <c r="A210" s="3" t="inlineStr">
        <is>
          <t>detailComplaint.remainingTime</t>
        </is>
      </c>
      <c r="B210" s="3" t="inlineStr">
        <is>
          <t>Thời gian còn lại</t>
        </is>
      </c>
      <c r="C210" s="3" t="inlineStr">
        <is>
          <t>Remaining time</t>
        </is>
      </c>
      <c r="D210" s="3">
        <f>IFERROR(__xludf.DUMMYFUNCTION("GOOGLETRANSLATE(B210,""vi"",""en"")"),"Time remaining")</f>
        <v/>
      </c>
      <c r="E210" s="3">
        <f>IF(C210&lt;&gt;"",C210, D210)</f>
        <v/>
      </c>
      <c r="F210" s="3" t="n"/>
      <c r="G210" s="3">
        <f>IFERROR(__xludf.DUMMYFUNCTION("GOOGLETRANSLATE(B210,""vi"",""km"")"),"ពេលវេលាដែលនៅសល់")</f>
        <v/>
      </c>
      <c r="H210" s="3" t="inlineStr">
        <is>
          <t>ពេលវេលាដែលនៅសល់</t>
        </is>
      </c>
      <c r="I210" s="3" t="n"/>
      <c r="J210" s="3">
        <f>IFERROR(__xludf.DUMMYFUNCTION("GOOGLETRANSLATE(B210,""vi"",""lo"")"),"ເວລາທີ່ຍັງເຫຼືອ")</f>
        <v/>
      </c>
      <c r="K210" s="3">
        <f>IF(I210&lt;&gt;"",I210, J210)</f>
        <v/>
      </c>
      <c r="L210" s="3" t="inlineStr">
        <is>
          <t>ពេលវេលាដែលនៅសល់</t>
        </is>
      </c>
      <c r="M210" s="3" t="n"/>
      <c r="N210" s="3" t="inlineStr">
        <is>
          <t>"detailComplaint.remainingTime": "Remaining time",</t>
        </is>
      </c>
      <c r="O210" s="3" t="n"/>
      <c r="P210" s="3" t="n"/>
      <c r="Q210" s="3" t="n"/>
      <c r="R210" s="3" t="n"/>
      <c r="S210" s="3" t="n"/>
      <c r="T210" s="3" t="n"/>
      <c r="U210" s="3" t="n"/>
      <c r="V210" s="3" t="n"/>
      <c r="W210" s="3" t="n"/>
      <c r="X210" s="3" t="n"/>
      <c r="Y210" s="3" t="n"/>
      <c r="Z210" s="3" t="n"/>
      <c r="AA210" s="3" t="n"/>
    </row>
    <row r="211">
      <c r="A211" s="3" t="inlineStr">
        <is>
          <t>detailComplaint.result</t>
        </is>
      </c>
      <c r="B211" s="3" t="inlineStr">
        <is>
          <t>Kết quả</t>
        </is>
      </c>
      <c r="C211" s="3" t="inlineStr">
        <is>
          <t>Result</t>
        </is>
      </c>
      <c r="D211" s="3">
        <f>IFERROR(__xludf.DUMMYFUNCTION("GOOGLETRANSLATE(B211,""vi"",""en"")"),"Result")</f>
        <v/>
      </c>
      <c r="E211" s="3">
        <f>IF(C211&lt;&gt;"",C211, D211)</f>
        <v/>
      </c>
      <c r="F211" s="3" t="n"/>
      <c r="G211" s="3">
        <f>IFERROR(__xludf.DUMMYFUNCTION("GOOGLETRANSLATE(B211,""vi"",""km"")"),"លទ្ធផល")</f>
        <v/>
      </c>
      <c r="H211" s="3" t="inlineStr">
        <is>
          <t>លទ្ធផល</t>
        </is>
      </c>
      <c r="I211" s="3" t="n"/>
      <c r="J211" s="3">
        <f>IFERROR(__xludf.DUMMYFUNCTION("GOOGLETRANSLATE(B211,""vi"",""lo"")"),"ຜົນໄດ້ຮັບ")</f>
        <v/>
      </c>
      <c r="K211" s="3">
        <f>IF(I211&lt;&gt;"",I211, J211)</f>
        <v/>
      </c>
      <c r="L211" s="3" t="inlineStr">
        <is>
          <t>លទ្ធផល</t>
        </is>
      </c>
      <c r="M211" s="3" t="n"/>
      <c r="N211" s="3" t="inlineStr">
        <is>
          <t>"detailComplaint.result": "Result",</t>
        </is>
      </c>
      <c r="O211" s="3" t="n"/>
      <c r="P211" s="3" t="n"/>
      <c r="Q211" s="3" t="n"/>
      <c r="R211" s="3" t="n"/>
      <c r="S211" s="3" t="n"/>
      <c r="T211" s="3" t="n"/>
      <c r="U211" s="3" t="n"/>
      <c r="V211" s="3" t="n"/>
      <c r="W211" s="3" t="n"/>
      <c r="X211" s="3" t="n"/>
      <c r="Y211" s="3" t="n"/>
      <c r="Z211" s="3" t="n"/>
      <c r="AA211" s="3" t="n"/>
    </row>
    <row r="212">
      <c r="A212" s="3" t="inlineStr">
        <is>
          <t>detailComplaint.resultInfo</t>
        </is>
      </c>
      <c r="B212" s="3" t="inlineStr">
        <is>
          <t>Kết quả</t>
        </is>
      </c>
      <c r="C212" s="3" t="inlineStr">
        <is>
          <t>Result</t>
        </is>
      </c>
      <c r="D212" s="3">
        <f>IFERROR(__xludf.DUMMYFUNCTION("GOOGLETRANSLATE(B212,""vi"",""en"")"),"Result")</f>
        <v/>
      </c>
      <c r="E212" s="3">
        <f>IF(C212&lt;&gt;"",C212, D212)</f>
        <v/>
      </c>
      <c r="F212" s="3" t="n"/>
      <c r="G212" s="3">
        <f>IFERROR(__xludf.DUMMYFUNCTION("GOOGLETRANSLATE(B212,""vi"",""km"")"),"លទ្ធផល")</f>
        <v/>
      </c>
      <c r="H212" s="3" t="inlineStr">
        <is>
          <t>លទ្ធផល</t>
        </is>
      </c>
      <c r="I212" s="3" t="n"/>
      <c r="J212" s="3">
        <f>IFERROR(__xludf.DUMMYFUNCTION("GOOGLETRANSLATE(B212,""vi"",""lo"")"),"ຜົນໄດ້ຮັບ")</f>
        <v/>
      </c>
      <c r="K212" s="3">
        <f>IF(I212&lt;&gt;"",I212, J212)</f>
        <v/>
      </c>
      <c r="L212" s="3" t="inlineStr">
        <is>
          <t>លទ្ធផល</t>
        </is>
      </c>
      <c r="M212" s="3" t="n"/>
      <c r="N212" s="3" t="inlineStr">
        <is>
          <t>"detailComplaint.resultInfo": "Result",</t>
        </is>
      </c>
      <c r="O212" s="3" t="n"/>
      <c r="P212" s="3" t="n"/>
      <c r="Q212" s="3" t="n"/>
      <c r="R212" s="3" t="n"/>
      <c r="S212" s="3" t="n"/>
      <c r="T212" s="3" t="n"/>
      <c r="U212" s="3" t="n"/>
      <c r="V212" s="3" t="n"/>
      <c r="W212" s="3" t="n"/>
      <c r="X212" s="3" t="n"/>
      <c r="Y212" s="3" t="n"/>
      <c r="Z212" s="3" t="n"/>
      <c r="AA212" s="3" t="n"/>
    </row>
    <row r="213">
      <c r="A213" s="3" t="inlineStr">
        <is>
          <t>detailComplaint.service</t>
        </is>
      </c>
      <c r="B213" s="3" t="inlineStr">
        <is>
          <t>Dịch vụ</t>
        </is>
      </c>
      <c r="C213" s="3" t="inlineStr">
        <is>
          <t>Service</t>
        </is>
      </c>
      <c r="D213" s="3">
        <f>IFERROR(__xludf.DUMMYFUNCTION("GOOGLETRANSLATE(B213,""vi"",""en"")"),"Service")</f>
        <v/>
      </c>
      <c r="E213" s="3">
        <f>IF(C213&lt;&gt;"",C213, D213)</f>
        <v/>
      </c>
      <c r="F213" s="3" t="n"/>
      <c r="G213" s="3">
        <f>IFERROR(__xludf.DUMMYFUNCTION("GOOGLETRANSLATE(B213,""vi"",""km"")"),"សេវាកម្ម")</f>
        <v/>
      </c>
      <c r="H213" s="3" t="inlineStr">
        <is>
          <t>សេវាកម្ម</t>
        </is>
      </c>
      <c r="I213" s="3" t="n"/>
      <c r="J213" s="3">
        <f>IFERROR(__xludf.DUMMYFUNCTION("GOOGLETRANSLATE(B213,""vi"",""lo"")"),"ການບໍລິການ")</f>
        <v/>
      </c>
      <c r="K213" s="3">
        <f>IF(I213&lt;&gt;"",I213, J213)</f>
        <v/>
      </c>
      <c r="L213" s="3" t="inlineStr">
        <is>
          <t>សេវាកម្ម</t>
        </is>
      </c>
      <c r="M213" s="3" t="n"/>
      <c r="N213" s="3" t="inlineStr">
        <is>
          <t>"detailComplaint.service": "Service",</t>
        </is>
      </c>
      <c r="O213" s="3" t="n"/>
      <c r="P213" s="3" t="n"/>
      <c r="Q213" s="3" t="n"/>
      <c r="R213" s="3" t="n"/>
      <c r="S213" s="3" t="n"/>
      <c r="T213" s="3" t="n"/>
      <c r="U213" s="3" t="n"/>
      <c r="V213" s="3" t="n"/>
      <c r="W213" s="3" t="n"/>
      <c r="X213" s="3" t="n"/>
      <c r="Y213" s="3" t="n"/>
      <c r="Z213" s="3" t="n"/>
      <c r="AA213" s="3" t="n"/>
    </row>
    <row r="214">
      <c r="A214" s="3" t="inlineStr">
        <is>
          <t>detailComplaint.status</t>
        </is>
      </c>
      <c r="B214" s="3" t="inlineStr">
        <is>
          <t>Trạng thái</t>
        </is>
      </c>
      <c r="C214" s="3" t="inlineStr">
        <is>
          <t>Status</t>
        </is>
      </c>
      <c r="D214" s="3">
        <f>IFERROR(__xludf.DUMMYFUNCTION("GOOGLETRANSLATE(B214,""vi"",""en"")"),"Status")</f>
        <v/>
      </c>
      <c r="E214" s="3">
        <f>IF(C214&lt;&gt;"",C214, D214)</f>
        <v/>
      </c>
      <c r="F214" s="3" t="n"/>
      <c r="G214" s="3">
        <f>IFERROR(__xludf.DUMMYFUNCTION("GOOGLETRANSLATE(B214,""vi"",""km"")"),"ស្ថានភាព")</f>
        <v/>
      </c>
      <c r="H214" s="3" t="inlineStr">
        <is>
          <t>ស្ថានភាព</t>
        </is>
      </c>
      <c r="I214" s="3" t="n"/>
      <c r="J214" s="3">
        <f>IFERROR(__xludf.DUMMYFUNCTION("GOOGLETRANSLATE(B214,""vi"",""lo"")"),"ສະຖານະ")</f>
        <v/>
      </c>
      <c r="K214" s="3">
        <f>IF(I214&lt;&gt;"",I214, J214)</f>
        <v/>
      </c>
      <c r="L214" s="3" t="inlineStr">
        <is>
          <t>ស្ថានភាព</t>
        </is>
      </c>
      <c r="M214" s="3" t="n"/>
      <c r="N214" s="3" t="inlineStr">
        <is>
          <t>"detailComplaint.status": "Status",</t>
        </is>
      </c>
      <c r="O214" s="3" t="n"/>
      <c r="P214" s="3" t="n"/>
      <c r="Q214" s="3" t="n"/>
      <c r="R214" s="3" t="n"/>
      <c r="S214" s="3" t="n"/>
      <c r="T214" s="3" t="n"/>
      <c r="U214" s="3" t="n"/>
      <c r="V214" s="3" t="n"/>
      <c r="W214" s="3" t="n"/>
      <c r="X214" s="3" t="n"/>
      <c r="Y214" s="3" t="n"/>
      <c r="Z214" s="3" t="n"/>
      <c r="AA214" s="3" t="n"/>
    </row>
    <row r="215">
      <c r="A215" s="3" t="inlineStr">
        <is>
          <t>detailComplaint.statusDone</t>
        </is>
      </c>
      <c r="B215" s="3" t="inlineStr">
        <is>
          <t>Đã hoàn thành</t>
        </is>
      </c>
      <c r="C215" s="3" t="inlineStr">
        <is>
          <t>Completed</t>
        </is>
      </c>
      <c r="D215" s="3">
        <f>IFERROR(__xludf.DUMMYFUNCTION("GOOGLETRANSLATE(B215,""vi"",""en"")"),"Completed")</f>
        <v/>
      </c>
      <c r="E215" s="3">
        <f>IF(C215&lt;&gt;"",C215, D215)</f>
        <v/>
      </c>
      <c r="F215" s="3" t="n"/>
      <c r="G215" s="3">
        <f>IFERROR(__xludf.DUMMYFUNCTION("GOOGLETRANSLATE(B215,""vi"",""km"")"),"បានបញ្ចប់")</f>
        <v/>
      </c>
      <c r="H215" s="3" t="inlineStr">
        <is>
          <t>បានបញ្ចប់</t>
        </is>
      </c>
      <c r="I215" s="3" t="n"/>
      <c r="J215" s="3">
        <f>IFERROR(__xludf.DUMMYFUNCTION("GOOGLETRANSLATE(B215,""vi"",""lo"")"),"ສຳເລັດແລ້ວ")</f>
        <v/>
      </c>
      <c r="K215" s="3">
        <f>IF(I215&lt;&gt;"",I215, J215)</f>
        <v/>
      </c>
      <c r="L215" s="3" t="inlineStr">
        <is>
          <t>បានបញ្ចប់</t>
        </is>
      </c>
      <c r="M215" s="3" t="n"/>
      <c r="N215" s="3" t="inlineStr">
        <is>
          <t>"detailComplaint.statusDone": "Completed",</t>
        </is>
      </c>
      <c r="O215" s="3" t="n"/>
      <c r="P215" s="3" t="n"/>
      <c r="Q215" s="3" t="n"/>
      <c r="R215" s="3" t="n"/>
      <c r="S215" s="3" t="n"/>
      <c r="T215" s="3" t="n"/>
      <c r="U215" s="3" t="n"/>
      <c r="V215" s="3" t="n"/>
      <c r="W215" s="3" t="n"/>
      <c r="X215" s="3" t="n"/>
      <c r="Y215" s="3" t="n"/>
      <c r="Z215" s="3" t="n"/>
      <c r="AA215" s="3" t="n"/>
    </row>
    <row r="216">
      <c r="A216" s="3" t="inlineStr">
        <is>
          <t>detailComplaint.statusProcessed</t>
        </is>
      </c>
      <c r="B216" s="3" t="inlineStr">
        <is>
          <t>Đã xử lý</t>
        </is>
      </c>
      <c r="C216" s="3" t="inlineStr">
        <is>
          <t>Processed</t>
        </is>
      </c>
      <c r="D216" s="3">
        <f>IFERROR(__xludf.DUMMYFUNCTION("GOOGLETRANSLATE(B216,""vi"",""en"")"),"Processed")</f>
        <v/>
      </c>
      <c r="E216" s="3">
        <f>IF(C216&lt;&gt;"",C216, D216)</f>
        <v/>
      </c>
      <c r="F216" s="3" t="n"/>
      <c r="G216" s="3">
        <f>IFERROR(__xludf.DUMMYFUNCTION("GOOGLETRANSLATE(B216,""vi"",""km"")"),"បានដំណើរការ")</f>
        <v/>
      </c>
      <c r="H216" s="3" t="inlineStr">
        <is>
          <t>បានដំណើរការ</t>
        </is>
      </c>
      <c r="I216" s="3" t="n"/>
      <c r="J216" s="3">
        <f>IFERROR(__xludf.DUMMYFUNCTION("GOOGLETRANSLATE(B216,""vi"",""lo"")"),"ປະມວນຜົນແລ້ວ")</f>
        <v/>
      </c>
      <c r="K216" s="3">
        <f>IF(I216&lt;&gt;"",I216, J216)</f>
        <v/>
      </c>
      <c r="L216" s="3" t="inlineStr">
        <is>
          <t>បានដំណើរការ</t>
        </is>
      </c>
      <c r="M216" s="3" t="n"/>
      <c r="N216" s="3" t="inlineStr">
        <is>
          <t>"detailComplaint.statusProcessed": "Processed",</t>
        </is>
      </c>
      <c r="O216" s="3" t="n"/>
      <c r="P216" s="3" t="n"/>
      <c r="Q216" s="3" t="n"/>
      <c r="R216" s="3" t="n"/>
      <c r="S216" s="3" t="n"/>
      <c r="T216" s="3" t="n"/>
      <c r="U216" s="3" t="n"/>
      <c r="V216" s="3" t="n"/>
      <c r="W216" s="3" t="n"/>
      <c r="X216" s="3" t="n"/>
      <c r="Y216" s="3" t="n"/>
      <c r="Z216" s="3" t="n"/>
      <c r="AA216" s="3" t="n"/>
    </row>
    <row r="217">
      <c r="A217" s="3" t="inlineStr">
        <is>
          <t>detailComplaint.statusProcessing</t>
        </is>
      </c>
      <c r="B217" s="3" t="inlineStr">
        <is>
          <t>Đang xử lý</t>
        </is>
      </c>
      <c r="C217" s="3" t="inlineStr">
        <is>
          <t>Processing</t>
        </is>
      </c>
      <c r="D217" s="3">
        <f>IFERROR(__xludf.DUMMYFUNCTION("GOOGLETRANSLATE(B217,""vi"",""en"")"),"Processing")</f>
        <v/>
      </c>
      <c r="E217" s="3">
        <f>IF(C217&lt;&gt;"",C217, D217)</f>
        <v/>
      </c>
      <c r="F217" s="3" t="n"/>
      <c r="G217" s="3">
        <f>IFERROR(__xludf.DUMMYFUNCTION("GOOGLETRANSLATE(B217,""vi"",""km"")"),"កំពុងដំណើរការ")</f>
        <v/>
      </c>
      <c r="H217" s="3" t="inlineStr">
        <is>
          <t>កំពុងដំណើរការ</t>
        </is>
      </c>
      <c r="I217" s="3" t="n"/>
      <c r="J217" s="3">
        <f>IFERROR(__xludf.DUMMYFUNCTION("GOOGLETRANSLATE(B217,""vi"",""lo"")"),"ການປະມວນຜົນ")</f>
        <v/>
      </c>
      <c r="K217" s="3">
        <f>IF(I217&lt;&gt;"",I217, J217)</f>
        <v/>
      </c>
      <c r="L217" s="3" t="inlineStr">
        <is>
          <t>កំពុងដំណើរការ</t>
        </is>
      </c>
      <c r="M217" s="3" t="n"/>
      <c r="N217" s="3" t="inlineStr">
        <is>
          <t>"detailComplaint.statusProcessing": "Processing",</t>
        </is>
      </c>
      <c r="O217" s="3" t="n"/>
      <c r="P217" s="3" t="n"/>
      <c r="Q217" s="3" t="n"/>
      <c r="R217" s="3" t="n"/>
      <c r="S217" s="3" t="n"/>
      <c r="T217" s="3" t="n"/>
      <c r="U217" s="3" t="n"/>
      <c r="V217" s="3" t="n"/>
      <c r="W217" s="3" t="n"/>
      <c r="X217" s="3" t="n"/>
      <c r="Y217" s="3" t="n"/>
      <c r="Z217" s="3" t="n"/>
      <c r="AA217" s="3" t="n"/>
    </row>
    <row r="218">
      <c r="A218" s="3" t="inlineStr">
        <is>
          <t>detailComplaint.statusWaiting</t>
        </is>
      </c>
      <c r="B218" s="3" t="inlineStr">
        <is>
          <t>Chờ tiếp nhận</t>
        </is>
      </c>
      <c r="C218" s="3" t="inlineStr">
        <is>
          <t>Pending intake</t>
        </is>
      </c>
      <c r="D218" s="3">
        <f>IFERROR(__xludf.DUMMYFUNCTION("GOOGLETRANSLATE(B218,""vi"",""en"")"),"Awaiting receipt")</f>
        <v/>
      </c>
      <c r="E218" s="3">
        <f>IF(C218&lt;&gt;"",C218, D218)</f>
        <v/>
      </c>
      <c r="F218" s="3" t="n"/>
      <c r="G218" s="3">
        <f>IFERROR(__xludf.DUMMYFUNCTION("GOOGLETRANSLATE(B218,""vi"",""km"")"),"កំពុងរង់ចាំបង្កាន់ដៃ")</f>
        <v/>
      </c>
      <c r="H218" s="3" t="inlineStr">
        <is>
          <t>កំពុងរង់ចាំបុងបញ្ញើ</t>
        </is>
      </c>
      <c r="I218" s="3" t="n"/>
      <c r="J218" s="3">
        <f>IFERROR(__xludf.DUMMYFUNCTION("GOOGLETRANSLATE(B218,""vi"",""lo"")"),"ກຳລັງລໍຖ້າໃບຮັບເງິນ")</f>
        <v/>
      </c>
      <c r="K218" s="3">
        <f>IF(I218&lt;&gt;"",I218, J218)</f>
        <v/>
      </c>
      <c r="L218" s="3" t="inlineStr">
        <is>
          <t>កំពុងរង់ចាំបុងបញ្ញើ</t>
        </is>
      </c>
      <c r="M218" s="3" t="n"/>
      <c r="N218" s="3" t="inlineStr">
        <is>
          <t>"detailComplaint.statusWaiting": "Pending intake",</t>
        </is>
      </c>
      <c r="O218" s="3" t="n"/>
      <c r="P218" s="3" t="n"/>
      <c r="Q218" s="3" t="n"/>
      <c r="R218" s="3" t="n"/>
      <c r="S218" s="3" t="n"/>
      <c r="T218" s="3" t="n"/>
      <c r="U218" s="3" t="n"/>
      <c r="V218" s="3" t="n"/>
      <c r="W218" s="3" t="n"/>
      <c r="X218" s="3" t="n"/>
      <c r="Y218" s="3" t="n"/>
      <c r="Z218" s="3" t="n"/>
      <c r="AA218" s="3" t="n"/>
    </row>
    <row r="219">
      <c r="A219" s="3" t="inlineStr">
        <is>
          <t>detailComplaint.tabPostOfficeHistory</t>
        </is>
      </c>
      <c r="B219" s="3" t="inlineStr">
        <is>
          <t>Lịch sử tác động bưu cục</t>
        </is>
      </c>
      <c r="C219" s="3" t="inlineStr">
        <is>
          <t>PO action history</t>
        </is>
      </c>
      <c r="D219" s="3">
        <f>IFERROR(__xludf.DUMMYFUNCTION("GOOGLETRANSLATE(B219,""vi"",""en"")"),"History of post office impact")</f>
        <v/>
      </c>
      <c r="E219" s="3">
        <f>IF(C219&lt;&gt;"",C219, D219)</f>
        <v/>
      </c>
      <c r="F219" s="3" t="n"/>
      <c r="G219" s="3">
        <f>IFERROR(__xludf.DUMMYFUNCTION("GOOGLETRANSLATE(B219,""vi"",""km"")"),"ប្រវត្តិនៃផលប៉ះពាល់នៃការិយាល័យប្រៃសណីយ៍")</f>
        <v/>
      </c>
      <c r="H219" s="3" t="inlineStr">
        <is>
          <t>ប្រវត្តិនៃផលប៉ះពាល់នៃការិយាល័យប្រៃសណីយ៍</t>
        </is>
      </c>
      <c r="I219" s="3" t="n"/>
      <c r="J219" s="3">
        <f>IFERROR(__xludf.DUMMYFUNCTION("GOOGLETRANSLATE(B219,""vi"",""lo"")"),"ປະຫວັດຄວາມເປັນມາຂອງຜົນກະທົບຂອງຫ້ອງການໄປສະນີ")</f>
        <v/>
      </c>
      <c r="K219" s="3">
        <f>IF(I219&lt;&gt;"",I219, J219)</f>
        <v/>
      </c>
      <c r="L219" s="3" t="inlineStr">
        <is>
          <t>ប្រវត្តិនៃផលប៉ះពាល់នៃការិយាល័យប្រៃសណីយ៍</t>
        </is>
      </c>
      <c r="M219" s="3" t="n"/>
      <c r="N219" s="3" t="inlineStr">
        <is>
          <t>"detailComplaint.tabPostOfficeHistory": "PO action history",</t>
        </is>
      </c>
      <c r="O219" s="3" t="n"/>
      <c r="P219" s="3" t="n"/>
      <c r="Q219" s="3" t="n"/>
      <c r="R219" s="3" t="n"/>
      <c r="S219" s="3" t="n"/>
      <c r="T219" s="3" t="n"/>
      <c r="U219" s="3" t="n"/>
      <c r="V219" s="3" t="n"/>
      <c r="W219" s="3" t="n"/>
      <c r="X219" s="3" t="n"/>
      <c r="Y219" s="3" t="n"/>
      <c r="Z219" s="3" t="n"/>
      <c r="AA219" s="3" t="n"/>
    </row>
    <row r="220">
      <c r="A220" s="3" t="inlineStr">
        <is>
          <t>detailComplaint.tabRatingHistory</t>
        </is>
      </c>
      <c r="B220" s="3" t="inlineStr">
        <is>
          <t>Lịch sử đánh giá TTVH</t>
        </is>
      </c>
      <c r="C220" s="3" t="inlineStr">
        <is>
          <t>Operations evaluation history</t>
        </is>
      </c>
      <c r="D220" s="3">
        <f>IFERROR(__xludf.DUMMYFUNCTION("GOOGLETRANSLATE(B220,""vi"",""en"")"),"History of Cultural and Artistic Performance Evaluation")</f>
        <v/>
      </c>
      <c r="E220" s="3">
        <f>IF(C220&lt;&gt;"",C220, D220)</f>
        <v/>
      </c>
      <c r="F220" s="3" t="n"/>
      <c r="G220" s="3">
        <f>IFERROR(__xludf.DUMMYFUNCTION("GOOGLETRANSLATE(B220,""vi"",""km"")"),"ប្រវត្តិនៃការវាយតម្លៃការសម្តែងវប្បធម៌ និងសិល្បៈ")</f>
        <v/>
      </c>
      <c r="H220" s="3" t="inlineStr">
        <is>
          <t>ប្រវត្តិនៃការវាយតម្លៃការសម្តែងវប្បធម៌ និងសិល្បៈ</t>
        </is>
      </c>
      <c r="I220" s="3" t="n"/>
      <c r="J220" s="3">
        <f>IFERROR(__xludf.DUMMYFUNCTION("GOOGLETRANSLATE(B220,""vi"",""lo"")"),"ປະຫວັດສາດຂອງການປະເມີນຜົນການສະແດງວັດທະນະທໍາ ແລະ ສິລະປະ")</f>
        <v/>
      </c>
      <c r="K220" s="3">
        <f>IF(I220&lt;&gt;"",I220, J220)</f>
        <v/>
      </c>
      <c r="L220" s="3" t="inlineStr">
        <is>
          <t>ប្រវត្តិនៃការវាយតម្លៃការសម្តែងវប្បធម៌ និងសិល្បៈ</t>
        </is>
      </c>
      <c r="M220" s="3" t="n"/>
      <c r="N220" s="3" t="inlineStr">
        <is>
          <t>"detailComplaint.tabRatingHistory": "Operations evaluation history",</t>
        </is>
      </c>
      <c r="O220" s="3" t="n"/>
      <c r="P220" s="3" t="n"/>
      <c r="Q220" s="3" t="n"/>
      <c r="R220" s="3" t="n"/>
      <c r="S220" s="3" t="n"/>
      <c r="T220" s="3" t="n"/>
      <c r="U220" s="3" t="n"/>
      <c r="V220" s="3" t="n"/>
      <c r="W220" s="3" t="n"/>
      <c r="X220" s="3" t="n"/>
      <c r="Y220" s="3" t="n"/>
      <c r="Z220" s="3" t="n"/>
      <c r="AA220" s="3" t="n"/>
    </row>
    <row r="221">
      <c r="A221" s="3" t="inlineStr">
        <is>
          <t>detailComplaint.title</t>
        </is>
      </c>
      <c r="B221" s="3" t="inlineStr">
        <is>
          <t>Chi tiết khiếu nại</t>
        </is>
      </c>
      <c r="C221" s="3" t="inlineStr">
        <is>
          <t>Complaint Details</t>
        </is>
      </c>
      <c r="D221" s="3">
        <f>IFERROR(__xludf.DUMMYFUNCTION("GOOGLETRANSLATE(B221,""vi"",""en"")"),"Complaint details")</f>
        <v/>
      </c>
      <c r="E221" s="3">
        <f>IF(C221&lt;&gt;"",C221, D221)</f>
        <v/>
      </c>
      <c r="F221" s="3" t="n"/>
      <c r="G221" s="3">
        <f>IFERROR(__xludf.DUMMYFUNCTION("GOOGLETRANSLATE(B221,""vi"",""km"")"),"ព័ត៌មានលម្អិតអំពីពាក្យបណ្តឹង")</f>
        <v/>
      </c>
      <c r="H221" s="3" t="inlineStr">
        <is>
          <t>ព័ត៌មានលម្អិតអំពីពាក្យបណ្តឹង</t>
        </is>
      </c>
      <c r="I221" s="3" t="n"/>
      <c r="J221" s="3">
        <f>IFERROR(__xludf.DUMMYFUNCTION("GOOGLETRANSLATE(B221,""vi"",""lo"")"),"ລາຍລະອຽດການຮ້ອງຮຽນ")</f>
        <v/>
      </c>
      <c r="K221" s="3">
        <f>IF(I221&lt;&gt;"",I221, J221)</f>
        <v/>
      </c>
      <c r="L221" s="3" t="inlineStr">
        <is>
          <t>ព័ត៌មានលម្អិតអំពីពាក្យបណ្តឹង</t>
        </is>
      </c>
      <c r="M221" s="3" t="n"/>
      <c r="N221" s="3" t="inlineStr">
        <is>
          <t>"detailComplaint.title": "Complaint Details",</t>
        </is>
      </c>
      <c r="O221" s="3" t="n"/>
      <c r="P221" s="3" t="n"/>
      <c r="Q221" s="3" t="n"/>
      <c r="R221" s="3" t="n"/>
      <c r="S221" s="3" t="n"/>
      <c r="T221" s="3" t="n"/>
      <c r="U221" s="3" t="n"/>
      <c r="V221" s="3" t="n"/>
      <c r="W221" s="3" t="n"/>
      <c r="X221" s="3" t="n"/>
      <c r="Y221" s="3" t="n"/>
      <c r="Z221" s="3" t="n"/>
      <c r="AA221" s="3" t="n"/>
    </row>
    <row r="222">
      <c r="A222" s="3" t="inlineStr">
        <is>
          <t>detailComplaint.totalFreight</t>
        </is>
      </c>
      <c r="B222" s="3" t="inlineStr">
        <is>
          <t>Tổng cước</t>
        </is>
      </c>
      <c r="C222" s="3" t="inlineStr">
        <is>
          <t>Total fee</t>
        </is>
      </c>
      <c r="D222" s="3">
        <f>IFERROR(__xludf.DUMMYFUNCTION("GOOGLETRANSLATE(B222,""vi"",""en"")"),"Total charge")</f>
        <v/>
      </c>
      <c r="E222" s="3">
        <f>IF(C222&lt;&gt;"",C222, D222)</f>
        <v/>
      </c>
      <c r="F222" s="3" t="n"/>
      <c r="G222" s="3">
        <f>IFERROR(__xludf.DUMMYFUNCTION("GOOGLETRANSLATE(B222,""vi"",""km"")"),"ការគិតថ្លៃសរុប")</f>
        <v/>
      </c>
      <c r="H222" s="3" t="inlineStr">
        <is>
          <t>ថ្លៃដឹកជញ្ជូនសរុប</t>
        </is>
      </c>
      <c r="I222" s="3" t="n"/>
      <c r="J222" s="3">
        <f>IFERROR(__xludf.DUMMYFUNCTION("GOOGLETRANSLATE(B222,""vi"",""lo"")"),"ຄ່າໃຊ້ຈ່າຍທັງໝົດ")</f>
        <v/>
      </c>
      <c r="K222" s="3">
        <f>IF(I222&lt;&gt;"",I222, J222)</f>
        <v/>
      </c>
      <c r="L222" s="3" t="inlineStr">
        <is>
          <t>ថ្លៃដឹកជញ្ជូនសរុប</t>
        </is>
      </c>
      <c r="M222" s="3" t="n"/>
      <c r="N222" s="3" t="inlineStr">
        <is>
          <t>"detailComplaint.totalFreight": "Total fee",</t>
        </is>
      </c>
      <c r="O222" s="3" t="n"/>
      <c r="P222" s="3" t="n"/>
      <c r="Q222" s="3" t="n"/>
      <c r="R222" s="3" t="n"/>
      <c r="S222" s="3" t="n"/>
      <c r="T222" s="3" t="n"/>
      <c r="U222" s="3" t="n"/>
      <c r="V222" s="3" t="n"/>
      <c r="W222" s="3" t="n"/>
      <c r="X222" s="3" t="n"/>
      <c r="Y222" s="3" t="n"/>
      <c r="Z222" s="3" t="n"/>
      <c r="AA222" s="3" t="n"/>
    </row>
    <row r="223">
      <c r="A223" s="3" t="inlineStr">
        <is>
          <t>detailComplaint.trackingCode</t>
        </is>
      </c>
      <c r="B223" s="3" t="inlineStr">
        <is>
          <t>Mã vận đơn</t>
        </is>
      </c>
      <c r="C223" s="3" t="inlineStr">
        <is>
          <t>Tracking number</t>
        </is>
      </c>
      <c r="D223" s="3">
        <f>IFERROR(__xludf.DUMMYFUNCTION("GOOGLETRANSLATE(B223,""vi"",""en"")"),"Tracking number")</f>
        <v/>
      </c>
      <c r="E223" s="3">
        <f>IF(C223&lt;&gt;"",C223, D223)</f>
        <v/>
      </c>
      <c r="F223" s="3" t="n"/>
      <c r="G223" s="3">
        <f>IFERROR(__xludf.DUMMYFUNCTION("GOOGLETRANSLATE(B223,""vi"",""km"")"),"លេខតាមដាន")</f>
        <v/>
      </c>
      <c r="H223" s="3" t="inlineStr">
        <is>
          <t>លេខកូដបុងបញ្ញើ</t>
        </is>
      </c>
      <c r="I223" s="3" t="n"/>
      <c r="J223" s="3">
        <f>IFERROR(__xludf.DUMMYFUNCTION("GOOGLETRANSLATE(B223,""vi"",""lo"")"),"ໝາຍເລກຕິດຕາມ")</f>
        <v/>
      </c>
      <c r="K223" s="3">
        <f>IF(I223&lt;&gt;"",I223, J223)</f>
        <v/>
      </c>
      <c r="L223" s="3" t="inlineStr">
        <is>
          <t>លេខកូដបុងបញ្ញើ</t>
        </is>
      </c>
      <c r="M223" s="3" t="n"/>
      <c r="N223" s="3" t="inlineStr">
        <is>
          <t>"detailComplaint.trackingCode": "Tracking number",</t>
        </is>
      </c>
      <c r="O223" s="3" t="n"/>
      <c r="P223" s="3" t="n"/>
      <c r="Q223" s="3" t="n"/>
      <c r="R223" s="3" t="n"/>
      <c r="S223" s="3" t="n"/>
      <c r="T223" s="3" t="n"/>
      <c r="U223" s="3" t="n"/>
      <c r="V223" s="3" t="n"/>
      <c r="W223" s="3" t="n"/>
      <c r="X223" s="3" t="n"/>
      <c r="Y223" s="3" t="n"/>
      <c r="Z223" s="3" t="n"/>
      <c r="AA223" s="3" t="n"/>
    </row>
    <row r="224">
      <c r="A224" s="3" t="inlineStr">
        <is>
          <t>detailComplaint.weight</t>
        </is>
      </c>
      <c r="B224" s="3" t="inlineStr">
        <is>
          <t>Trọng lượng</t>
        </is>
      </c>
      <c r="C224" s="3" t="inlineStr">
        <is>
          <t>Weight</t>
        </is>
      </c>
      <c r="D224" s="3">
        <f>IFERROR(__xludf.DUMMYFUNCTION("GOOGLETRANSLATE(B224,""vi"",""en"")"),"Weight")</f>
        <v/>
      </c>
      <c r="E224" s="3">
        <f>IF(C224&lt;&gt;"",C224, D224)</f>
        <v/>
      </c>
      <c r="F224" s="3" t="n"/>
      <c r="G224" s="3">
        <f>IFERROR(__xludf.DUMMYFUNCTION("GOOGLETRANSLATE(B224,""vi"",""km"")"),"ទម្ងន់")</f>
        <v/>
      </c>
      <c r="H224" s="3" t="inlineStr">
        <is>
          <t>ទម្ងន់</t>
        </is>
      </c>
      <c r="I224" s="3" t="n"/>
      <c r="J224" s="3">
        <f>IFERROR(__xludf.DUMMYFUNCTION("GOOGLETRANSLATE(B224,""vi"",""lo"")"),"ນ້ຳໜັກ")</f>
        <v/>
      </c>
      <c r="K224" s="3">
        <f>IF(I224&lt;&gt;"",I224, J224)</f>
        <v/>
      </c>
      <c r="L224" s="3" t="inlineStr">
        <is>
          <t>ទម្ងន់</t>
        </is>
      </c>
      <c r="M224" s="3" t="n"/>
      <c r="N224" s="3" t="inlineStr">
        <is>
          <t>"detailComplaint.weight": "Weight",</t>
        </is>
      </c>
      <c r="O224" s="3" t="n"/>
      <c r="P224" s="3" t="n"/>
      <c r="Q224" s="3" t="n"/>
      <c r="R224" s="3" t="n"/>
      <c r="S224" s="3" t="n"/>
      <c r="T224" s="3" t="n"/>
      <c r="U224" s="3" t="n"/>
      <c r="V224" s="3" t="n"/>
      <c r="W224" s="3" t="n"/>
      <c r="X224" s="3" t="n"/>
      <c r="Y224" s="3" t="n"/>
      <c r="Z224" s="3" t="n"/>
      <c r="AA224" s="3" t="n"/>
    </row>
    <row r="225">
      <c r="A225" s="3" t="inlineStr">
        <is>
          <t>errors.accessDenied</t>
        </is>
      </c>
      <c r="B225" s="3" t="inlineStr">
        <is>
          <t>Bạn không có quyền truy cập trang này</t>
        </is>
      </c>
      <c r="C225" s="3" t="inlineStr">
        <is>
          <t>You do not have permission to access this page</t>
        </is>
      </c>
      <c r="D225" s="3">
        <f>IFERROR(__xludf.DUMMYFUNCTION("GOOGLETRANSLATE(B225,""vi"",""en"")"),"You do not have permission to access this page.")</f>
        <v/>
      </c>
      <c r="E225" s="3">
        <f>IF(C225&lt;&gt;"",C225, D225)</f>
        <v/>
      </c>
      <c r="F225" s="3" t="n"/>
      <c r="G225" s="3">
        <f>IFERROR(__xludf.DUMMYFUNCTION("GOOGLETRANSLATE(B225,""vi"",""km"")"),"អ្នកមិនមានសិទ្ធិចូលប្រើទំព័រនេះទេ។")</f>
        <v/>
      </c>
      <c r="H225" s="3" t="inlineStr">
        <is>
          <t>អ្នកមិនមានសិទ្ធិចូលប្រើទំព័រនេះទេ។</t>
        </is>
      </c>
      <c r="I225" s="3" t="n"/>
      <c r="J225" s="3">
        <f>IFERROR(__xludf.DUMMYFUNCTION("GOOGLETRANSLATE(B225,""vi"",""lo"")"),"ທ່ານບໍ່ມີສິດອະນຸຍາດໃນການເຂົ້າເຖິງໜ້ານີ້.")</f>
        <v/>
      </c>
      <c r="K225" s="3">
        <f>IF(I225&lt;&gt;"",I225, J225)</f>
        <v/>
      </c>
      <c r="L225" s="3" t="inlineStr">
        <is>
          <t>អ្នកមិនមានសិទ្ធិចូលប្រើទំព័រនេះទេ។</t>
        </is>
      </c>
      <c r="M225" s="3" t="n"/>
      <c r="N225" s="3" t="inlineStr">
        <is>
          <t>"errors.accessDenied": "You do not have permission to access this page",</t>
        </is>
      </c>
      <c r="O225" s="3" t="n"/>
      <c r="P225" s="3" t="n"/>
      <c r="Q225" s="3" t="n"/>
      <c r="R225" s="3" t="n"/>
      <c r="S225" s="3" t="n"/>
      <c r="T225" s="3" t="n"/>
      <c r="U225" s="3" t="n"/>
      <c r="V225" s="3" t="n"/>
      <c r="W225" s="3" t="n"/>
      <c r="X225" s="3" t="n"/>
      <c r="Y225" s="3" t="n"/>
      <c r="Z225" s="3" t="n"/>
      <c r="AA225" s="3" t="n"/>
    </row>
    <row r="226">
      <c r="A226" s="3" t="inlineStr">
        <is>
          <t>errors.insufficientPermissions</t>
        </is>
      </c>
      <c r="B226" s="3" t="inlineStr">
        <is>
          <t>Quyền truy cập không đủ để thực hiện thao tác này</t>
        </is>
      </c>
      <c r="C226" s="3" t="inlineStr">
        <is>
          <t>You do not have sufficient permissions to perform this action</t>
        </is>
      </c>
      <c r="D226" s="3">
        <f>IFERROR(__xludf.DUMMYFUNCTION("GOOGLETRANSLATE(B226,""vi"",""en"")"),"Insufficient access to perform this operation.")</f>
        <v/>
      </c>
      <c r="E226" s="3">
        <f>IF(C226&lt;&gt;"",C226, D226)</f>
        <v/>
      </c>
      <c r="F226" s="3" t="n"/>
      <c r="G226" s="3">
        <f>IFERROR(__xludf.DUMMYFUNCTION("GOOGLETRANSLATE(B226,""vi"",""km"")"),"មិនមានសិទ្ធិចូលប្រើប្រាស់គ្រប់គ្រាន់ដើម្បីអនុវត្តប្រតិបត្តិការនេះទេ។")</f>
        <v/>
      </c>
      <c r="H226" s="3" t="inlineStr">
        <is>
          <t>មិនមានសិទ្ធិចូលប្រើប្រាស់គ្រប់គ្រាន់ដើម្បីអនុវត្តប្រតិបត្តិការនេះទេ។</t>
        </is>
      </c>
      <c r="I226" s="3" t="n"/>
      <c r="J226" s="3">
        <f>IFERROR(__xludf.DUMMYFUNCTION("GOOGLETRANSLATE(B226,""vi"",""lo"")"),"ບໍ່ມີສິດເຂົ້າເຖິງພຽງພໍທີ່ຈະປະຕິບັດການນີ້.")</f>
        <v/>
      </c>
      <c r="K226" s="3">
        <f>IF(I226&lt;&gt;"",I226, J226)</f>
        <v/>
      </c>
      <c r="L226" s="3" t="inlineStr">
        <is>
          <t>មិនមានសិទ្ធិចូលប្រើប្រាស់គ្រប់គ្រាន់ដើម្បីអនុវត្តប្រតិបត្តិការនេះទេ។</t>
        </is>
      </c>
      <c r="M226" s="3" t="n"/>
      <c r="N226" s="3" t="inlineStr">
        <is>
          <t>"errors.insufficientPermissions": "You do not have sufficient permissions to perform this action",</t>
        </is>
      </c>
      <c r="O226" s="3" t="n"/>
      <c r="P226" s="3" t="n"/>
      <c r="Q226" s="3" t="n"/>
      <c r="R226" s="3" t="n"/>
      <c r="S226" s="3" t="n"/>
      <c r="T226" s="3" t="n"/>
      <c r="U226" s="3" t="n"/>
      <c r="V226" s="3" t="n"/>
      <c r="W226" s="3" t="n"/>
      <c r="X226" s="3" t="n"/>
      <c r="Y226" s="3" t="n"/>
      <c r="Z226" s="3" t="n"/>
      <c r="AA226" s="3" t="n"/>
    </row>
    <row r="227">
      <c r="A227" s="3" t="inlineStr">
        <is>
          <t>journeyHistory.affectedPostOffice</t>
        </is>
      </c>
      <c r="B227" s="3" t="inlineStr">
        <is>
          <t>Bưu cục bị lập</t>
        </is>
      </c>
      <c r="C227" s="3" t="inlineStr">
        <is>
          <t>Affected Post Office</t>
        </is>
      </c>
      <c r="D227" s="3">
        <f>IFERROR(__xludf.DUMMYFUNCTION("GOOGLETRANSLATE(B227,""vi"",""en"")"),"The post office was set up.")</f>
        <v/>
      </c>
      <c r="E227" s="3">
        <f>IF(C227&lt;&gt;"",C227, D227)</f>
        <v/>
      </c>
      <c r="F227" s="3" t="n"/>
      <c r="G227" s="3">
        <f>IFERROR(__xludf.DUMMYFUNCTION("GOOGLETRANSLATE(B227,""vi"",""km"")"),"ការិយាល័យប្រៃសណីយ៍ត្រូវបានបង្កើតឡើង។")</f>
        <v/>
      </c>
      <c r="H227" s="3" t="inlineStr">
        <is>
          <t>ការិយាល័យប្រៃសណីយ៍ត្រូវបានបង្កើតឡើង។</t>
        </is>
      </c>
      <c r="I227" s="3" t="n"/>
      <c r="J227" s="3">
        <f>IFERROR(__xludf.DUMMYFUNCTION("GOOGLETRANSLATE(B227,""vi"",""lo"")"),"ຫ້ອງການໄປສະນີໄດ້ຖືກສ້າງຕັ້ງຂຶ້ນ.")</f>
        <v/>
      </c>
      <c r="K227" s="3">
        <f>IF(I227&lt;&gt;"",I227, J227)</f>
        <v/>
      </c>
      <c r="L227" s="3" t="inlineStr">
        <is>
          <t>ការិយាល័យប្រៃសណីយ៍ត្រូវបានបង្កើតឡើង។</t>
        </is>
      </c>
      <c r="M227" s="3" t="n"/>
      <c r="N227" s="3" t="inlineStr">
        <is>
          <t>"journeyHistory.affectedPostOffice": "Affected Post Office",</t>
        </is>
      </c>
      <c r="O227" s="3" t="n"/>
      <c r="P227" s="3" t="n"/>
      <c r="Q227" s="3" t="n"/>
      <c r="R227" s="3" t="n"/>
      <c r="S227" s="3" t="n"/>
      <c r="T227" s="3" t="n"/>
      <c r="U227" s="3" t="n"/>
      <c r="V227" s="3" t="n"/>
      <c r="W227" s="3" t="n"/>
      <c r="X227" s="3" t="n"/>
      <c r="Y227" s="3" t="n"/>
      <c r="Z227" s="3" t="n"/>
      <c r="AA227" s="3" t="n"/>
    </row>
    <row r="228">
      <c r="A228" s="3" t="inlineStr">
        <is>
          <t>journeyHistory.categoryDescription</t>
        </is>
      </c>
      <c r="B228" s="3" t="inlineStr">
        <is>
          <t>Mô phân loại phản ánh</t>
        </is>
      </c>
      <c r="C228" s="3" t="inlineStr">
        <is>
          <t>Category Description</t>
        </is>
      </c>
      <c r="D228" s="3">
        <f>IFERROR(__xludf.DUMMYFUNCTION("GOOGLETRANSLATE(B228,""vi"",""en"")"),"Taxonomic model reflects")</f>
        <v/>
      </c>
      <c r="E228" s="3">
        <f>IF(C228&lt;&gt;"",C228, D228)</f>
        <v/>
      </c>
      <c r="F228" s="3" t="n"/>
      <c r="G228" s="3">
        <f>IFERROR(__xludf.DUMMYFUNCTION("GOOGLETRANSLATE(B228,""vi"",""km"")"),"គំរូ​ចំណាត់ថ្នាក់​ឆ្លុះបញ្ចាំង")</f>
        <v/>
      </c>
      <c r="H228" s="3" t="inlineStr">
        <is>
          <t>គំរូចំណាត់ថ្នាក់ឆ្លុះបញ្ចាំង</t>
        </is>
      </c>
      <c r="I228" s="3" t="n"/>
      <c r="J228" s="3">
        <f>IFERROR(__xludf.DUMMYFUNCTION("GOOGLETRANSLATE(B228,""vi"",""lo"")"),"ຮູບແບບການຈັດປະເພດວິທະຍາສາດສະທ້ອນໃຫ້ເຫັນ")</f>
        <v/>
      </c>
      <c r="K228" s="3">
        <f>IF(I228&lt;&gt;"",I228, J228)</f>
        <v/>
      </c>
      <c r="L228" s="3" t="inlineStr">
        <is>
          <t>គំរូចំណាត់ថ្នាក់ឆ្លុះបញ្ចាំង</t>
        </is>
      </c>
      <c r="M228" s="3" t="n"/>
      <c r="N228" s="3" t="inlineStr">
        <is>
          <t>"journeyHistory.categoryDescription": "Category Description",</t>
        </is>
      </c>
      <c r="O228" s="3" t="n"/>
      <c r="P228" s="3" t="n"/>
      <c r="Q228" s="3" t="n"/>
      <c r="R228" s="3" t="n"/>
      <c r="S228" s="3" t="n"/>
      <c r="T228" s="3" t="n"/>
      <c r="U228" s="3" t="n"/>
      <c r="V228" s="3" t="n"/>
      <c r="W228" s="3" t="n"/>
      <c r="X228" s="3" t="n"/>
      <c r="Y228" s="3" t="n"/>
      <c r="Z228" s="3" t="n"/>
      <c r="AA228" s="3" t="n"/>
    </row>
    <row r="229">
      <c r="A229" s="3" t="inlineStr">
        <is>
          <t>journeyHistory.categoryName</t>
        </is>
      </c>
      <c r="B229" s="3" t="inlineStr">
        <is>
          <t>Tên phân loại phản ánh</t>
        </is>
      </c>
      <c r="C229" s="3" t="inlineStr">
        <is>
          <t>Category Name</t>
        </is>
      </c>
      <c r="D229" s="3">
        <f>IFERROR(__xludf.DUMMYFUNCTION("GOOGLETRANSLATE(B229,""vi"",""en"")"),"The classification name reflects")</f>
        <v/>
      </c>
      <c r="E229" s="3">
        <f>IF(C229&lt;&gt;"",C229, D229)</f>
        <v/>
      </c>
      <c r="F229" s="3" t="n"/>
      <c r="G229" s="3">
        <f>IFERROR(__xludf.DUMMYFUNCTION("GOOGLETRANSLATE(B229,""vi"",""km"")"),"ឈ្មោះចំណាត់ថ្នាក់ឆ្លុះបញ្ចាំង")</f>
        <v/>
      </c>
      <c r="H229" s="3" t="inlineStr">
        <is>
          <t>ឈ្មោះចំណាត់ថ្នាក់ឆ្លុះបញ្ចាំង</t>
        </is>
      </c>
      <c r="I229" s="3" t="n"/>
      <c r="J229" s="3">
        <f>IFERROR(__xludf.DUMMYFUNCTION("GOOGLETRANSLATE(B229,""vi"",""lo"")"),"ຊື່ການຈັດປະເພດສະທ້ອນໃຫ້ເຫັນ")</f>
        <v/>
      </c>
      <c r="K229" s="3">
        <f>IF(I229&lt;&gt;"",I229, J229)</f>
        <v/>
      </c>
      <c r="L229" s="3" t="inlineStr">
        <is>
          <t>ឈ្មោះចំណាត់ថ្នាក់ឆ្លុះបញ្ចាំង</t>
        </is>
      </c>
      <c r="M229" s="3" t="n"/>
      <c r="N229" s="3" t="inlineStr">
        <is>
          <t>"journeyHistory.categoryName": "Category Name",</t>
        </is>
      </c>
      <c r="O229" s="3" t="n"/>
      <c r="P229" s="3" t="n"/>
      <c r="Q229" s="3" t="n"/>
      <c r="R229" s="3" t="n"/>
      <c r="S229" s="3" t="n"/>
      <c r="T229" s="3" t="n"/>
      <c r="U229" s="3" t="n"/>
      <c r="V229" s="3" t="n"/>
      <c r="W229" s="3" t="n"/>
      <c r="X229" s="3" t="n"/>
      <c r="Y229" s="3" t="n"/>
      <c r="Z229" s="3" t="n"/>
      <c r="AA229" s="3" t="n"/>
    </row>
    <row r="230">
      <c r="A230" s="3" t="inlineStr">
        <is>
          <t>journeyHistory.complaintCode</t>
        </is>
      </c>
      <c r="B230" s="3" t="inlineStr">
        <is>
          <t>Mã khiếu nại</t>
        </is>
      </c>
      <c r="C230" s="3" t="inlineStr">
        <is>
          <t>Complaint ID</t>
        </is>
      </c>
      <c r="D230" s="3">
        <f>IFERROR(__xludf.DUMMYFUNCTION("GOOGLETRANSLATE(B230,""vi"",""en"")"),"Complaint code")</f>
        <v/>
      </c>
      <c r="E230" s="3">
        <f>IF(C230&lt;&gt;"",C230, D230)</f>
        <v/>
      </c>
      <c r="F230" s="3" t="n"/>
      <c r="G230" s="3">
        <f>IFERROR(__xludf.DUMMYFUNCTION("GOOGLETRANSLATE(B230,""vi"",""km"")"),"លេខកូដពាក្យបណ្តឹង")</f>
        <v/>
      </c>
      <c r="H230" s="3" t="inlineStr">
        <is>
          <t>លេខកូដពាក្យបណ្តឹង</t>
        </is>
      </c>
      <c r="I230" s="3" t="n"/>
      <c r="J230" s="3">
        <f>IFERROR(__xludf.DUMMYFUNCTION("GOOGLETRANSLATE(B230,""vi"",""lo"")"),"ລະຫັດຮ້ອງຮຽນ")</f>
        <v/>
      </c>
      <c r="K230" s="3">
        <f>IF(I230&lt;&gt;"",I230, J230)</f>
        <v/>
      </c>
      <c r="L230" s="3" t="inlineStr">
        <is>
          <t>លេខកូដពាក្យបណ្តឹង</t>
        </is>
      </c>
      <c r="M230" s="3" t="n"/>
      <c r="N230" s="3" t="inlineStr">
        <is>
          <t>"journeyHistory.complaintCode": "Complaint ID",</t>
        </is>
      </c>
      <c r="O230" s="3" t="n"/>
      <c r="P230" s="3" t="n"/>
      <c r="Q230" s="3" t="n"/>
      <c r="R230" s="3" t="n"/>
      <c r="S230" s="3" t="n"/>
      <c r="T230" s="3" t="n"/>
      <c r="U230" s="3" t="n"/>
      <c r="V230" s="3" t="n"/>
      <c r="W230" s="3" t="n"/>
      <c r="X230" s="3" t="n"/>
      <c r="Y230" s="3" t="n"/>
      <c r="Z230" s="3" t="n"/>
      <c r="AA230" s="3" t="n"/>
    </row>
    <row r="231">
      <c r="A231" s="3" t="inlineStr">
        <is>
          <t>journeyHistory.complaintCount</t>
        </is>
      </c>
      <c r="B231" s="3" t="inlineStr">
        <is>
          <t>Số lần phản ánh</t>
        </is>
      </c>
      <c r="C231" s="3" t="inlineStr">
        <is>
          <t>Complaint Count</t>
        </is>
      </c>
      <c r="D231" s="3">
        <f>IFERROR(__xludf.DUMMYFUNCTION("GOOGLETRANSLATE(B231,""vi"",""en"")"),"Number of complaints")</f>
        <v/>
      </c>
      <c r="E231" s="3">
        <f>IF(C231&lt;&gt;"",C231, D231)</f>
        <v/>
      </c>
      <c r="F231" s="3" t="n"/>
      <c r="G231" s="3">
        <f>IFERROR(__xludf.DUMMYFUNCTION("GOOGLETRANSLATE(B231,""vi"",""km"")"),"ចំនួន​ពាក្យ​បណ្តឹង")</f>
        <v/>
      </c>
      <c r="H231" s="3" t="inlineStr">
        <is>
          <t>ចំនួនពាក្យបណ្តឹង</t>
        </is>
      </c>
      <c r="I231" s="3" t="n"/>
      <c r="J231" s="3">
        <f>IFERROR(__xludf.DUMMYFUNCTION("GOOGLETRANSLATE(B231,""vi"",""lo"")"),"ຈຳນວນຄຳຮ້ອງທຸກ")</f>
        <v/>
      </c>
      <c r="K231" s="3">
        <f>IF(I231&lt;&gt;"",I231, J231)</f>
        <v/>
      </c>
      <c r="L231" s="3" t="inlineStr">
        <is>
          <t>ចំនួនពាក្យបណ្តឹង</t>
        </is>
      </c>
      <c r="M231" s="3" t="n"/>
      <c r="N231" s="3" t="inlineStr">
        <is>
          <t>"journeyHistory.complaintCount": "Complaint Count",</t>
        </is>
      </c>
      <c r="O231" s="3" t="n"/>
      <c r="P231" s="3" t="n"/>
      <c r="Q231" s="3" t="n"/>
      <c r="R231" s="3" t="n"/>
      <c r="S231" s="3" t="n"/>
      <c r="T231" s="3" t="n"/>
      <c r="U231" s="3" t="n"/>
      <c r="V231" s="3" t="n"/>
      <c r="W231" s="3" t="n"/>
      <c r="X231" s="3" t="n"/>
      <c r="Y231" s="3" t="n"/>
      <c r="Z231" s="3" t="n"/>
      <c r="AA231" s="3" t="n"/>
    </row>
    <row r="232">
      <c r="A232" s="3" t="inlineStr">
        <is>
          <t>journeyHistory.complaintHistory</t>
        </is>
      </c>
      <c r="B232" s="3" t="inlineStr">
        <is>
          <t>Lịch sử khiếu nại</t>
        </is>
      </c>
      <c r="C232" s="3" t="inlineStr">
        <is>
          <t>Complaint History</t>
        </is>
      </c>
      <c r="D232" s="3">
        <f>IFERROR(__xludf.DUMMYFUNCTION("GOOGLETRANSLATE(B232,""vi"",""en"")"),"Complaint history")</f>
        <v/>
      </c>
      <c r="E232" s="3">
        <f>IF(C232&lt;&gt;"",C232, D232)</f>
        <v/>
      </c>
      <c r="F232" s="3" t="n"/>
      <c r="G232" s="3">
        <f>IFERROR(__xludf.DUMMYFUNCTION("GOOGLETRANSLATE(B232,""vi"",""km"")"),"ប្រវត្តិពាក្យបណ្តឹង")</f>
        <v/>
      </c>
      <c r="H232" s="3" t="inlineStr">
        <is>
          <t>ប្រវត្តិពាក្យបណ្តឹង</t>
        </is>
      </c>
      <c r="I232" s="3" t="n"/>
      <c r="J232" s="3">
        <f>IFERROR(__xludf.DUMMYFUNCTION("GOOGLETRANSLATE(B232,""vi"",""lo"")"),"ປະຫວັດການຮ້ອງຮຽນ")</f>
        <v/>
      </c>
      <c r="K232" s="3">
        <f>IF(I232&lt;&gt;"",I232, J232)</f>
        <v/>
      </c>
      <c r="L232" s="3" t="inlineStr">
        <is>
          <t>ប្រវត្តិពាក្យបណ្តឹង</t>
        </is>
      </c>
      <c r="M232" s="3" t="n"/>
      <c r="N232" s="3" t="inlineStr">
        <is>
          <t>"journeyHistory.complaintHistory": "Complaint History",</t>
        </is>
      </c>
      <c r="O232" s="3" t="n"/>
      <c r="P232" s="3" t="n"/>
      <c r="Q232" s="3" t="n"/>
      <c r="R232" s="3" t="n"/>
      <c r="S232" s="3" t="n"/>
      <c r="T232" s="3" t="n"/>
      <c r="U232" s="3" t="n"/>
      <c r="V232" s="3" t="n"/>
      <c r="W232" s="3" t="n"/>
      <c r="X232" s="3" t="n"/>
      <c r="Y232" s="3" t="n"/>
      <c r="Z232" s="3" t="n"/>
      <c r="AA232" s="3" t="n"/>
    </row>
    <row r="233">
      <c r="A233" s="3" t="inlineStr">
        <is>
          <t>journeyHistory.createdAt</t>
        </is>
      </c>
      <c r="B233" s="3" t="inlineStr">
        <is>
          <t>Ngày tạo</t>
        </is>
      </c>
      <c r="C233" s="3" t="inlineStr">
        <is>
          <t>Created Date</t>
        </is>
      </c>
      <c r="D233" s="3">
        <f>IFERROR(__xludf.DUMMYFUNCTION("GOOGLETRANSLATE(B233,""vi"",""en"")"),"Creation date")</f>
        <v/>
      </c>
      <c r="E233" s="3">
        <f>IF(C233&lt;&gt;"",C233, D233)</f>
        <v/>
      </c>
      <c r="F233" s="3" t="n"/>
      <c r="G233" s="3">
        <f>IFERROR(__xludf.DUMMYFUNCTION("GOOGLETRANSLATE(B233,""vi"",""km"")"),"កាលបរិច្ឆេទបង្កើត")</f>
        <v/>
      </c>
      <c r="H233" s="3" t="inlineStr">
        <is>
          <t>កាលបរិច្ឆេទបង្កើត</t>
        </is>
      </c>
      <c r="I233" s="3" t="n"/>
      <c r="J233" s="3">
        <f>IFERROR(__xludf.DUMMYFUNCTION("GOOGLETRANSLATE(B233,""vi"",""lo"")"),"ວັນທີສ້າງ")</f>
        <v/>
      </c>
      <c r="K233" s="3">
        <f>IF(I233&lt;&gt;"",I233, J233)</f>
        <v/>
      </c>
      <c r="L233" s="3" t="inlineStr">
        <is>
          <t>កាលបរិច្ឆេទបង្កើត</t>
        </is>
      </c>
      <c r="M233" s="3" t="n"/>
      <c r="N233" s="3" t="inlineStr">
        <is>
          <t>"journeyHistory.createdAt": "Created Date",</t>
        </is>
      </c>
      <c r="O233" s="3" t="n"/>
      <c r="P233" s="3" t="n"/>
      <c r="Q233" s="3" t="n"/>
      <c r="R233" s="3" t="n"/>
      <c r="S233" s="3" t="n"/>
      <c r="T233" s="3" t="n"/>
      <c r="U233" s="3" t="n"/>
      <c r="V233" s="3" t="n"/>
      <c r="W233" s="3" t="n"/>
      <c r="X233" s="3" t="n"/>
      <c r="Y233" s="3" t="n"/>
      <c r="Z233" s="3" t="n"/>
      <c r="AA233" s="3" t="n"/>
    </row>
    <row r="234">
      <c r="A234" s="3" t="inlineStr">
        <is>
          <t>journeyHistory.creatingPostOffice</t>
        </is>
      </c>
      <c r="B234" s="3" t="inlineStr">
        <is>
          <t>Bưu cục lập</t>
        </is>
      </c>
      <c r="C234" s="3" t="inlineStr">
        <is>
          <t>Created Post Office</t>
        </is>
      </c>
      <c r="D234" s="3">
        <f>IFERROR(__xludf.DUMMYFUNCTION("GOOGLETRANSLATE(B234,""vi"",""en"")"),"Post office established")</f>
        <v/>
      </c>
      <c r="E234" s="3">
        <f>IF(C234&lt;&gt;"",C234, D234)</f>
        <v/>
      </c>
      <c r="F234" s="3" t="n"/>
      <c r="G234" s="3">
        <f>IFERROR(__xludf.DUMMYFUNCTION("GOOGLETRANSLATE(B234,""vi"",""km"")"),"ការិយាល័យប្រៃសណីយ៍ត្រូវបានបង្កើតឡើង")</f>
        <v/>
      </c>
      <c r="H234" s="3" t="inlineStr">
        <is>
          <t>ការិយាល័យប្រៃសណីយ៍ត្រូវបានបង្កើតឡើង</t>
        </is>
      </c>
      <c r="I234" s="3" t="n"/>
      <c r="J234" s="3">
        <f>IFERROR(__xludf.DUMMYFUNCTION("GOOGLETRANSLATE(B234,""vi"",""lo"")"),"ສ້າງຕັ້ງຫ້ອງການໄປສະນີ")</f>
        <v/>
      </c>
      <c r="K234" s="3">
        <f>IF(I234&lt;&gt;"",I234, J234)</f>
        <v/>
      </c>
      <c r="L234" s="3" t="inlineStr">
        <is>
          <t>ការិយាល័យប្រៃសណីយ៍ត្រូវបានបង្កើតឡើង</t>
        </is>
      </c>
      <c r="M234" s="3" t="n"/>
      <c r="N234" s="3" t="inlineStr">
        <is>
          <t>"journeyHistory.creatingPostOffice": "Created Post Office",</t>
        </is>
      </c>
      <c r="O234" s="3" t="n"/>
      <c r="P234" s="3" t="n"/>
      <c r="Q234" s="3" t="n"/>
      <c r="R234" s="3" t="n"/>
      <c r="S234" s="3" t="n"/>
      <c r="T234" s="3" t="n"/>
      <c r="U234" s="3" t="n"/>
      <c r="V234" s="3" t="n"/>
      <c r="W234" s="3" t="n"/>
      <c r="X234" s="3" t="n"/>
      <c r="Y234" s="3" t="n"/>
      <c r="Z234" s="3" t="n"/>
      <c r="AA234" s="3" t="n"/>
    </row>
    <row r="235">
      <c r="A235" s="3" t="inlineStr">
        <is>
          <t>journeyHistory.creator</t>
        </is>
      </c>
      <c r="B235" s="3" t="inlineStr">
        <is>
          <t>Người lập</t>
        </is>
      </c>
      <c r="C235" s="3" t="inlineStr">
        <is>
          <t>Created by</t>
        </is>
      </c>
      <c r="D235" s="3">
        <f>IFERROR(__xludf.DUMMYFUNCTION("GOOGLETRANSLATE(B235,""vi"",""en"")"),"Creator")</f>
        <v/>
      </c>
      <c r="E235" s="3">
        <f>IF(C235&lt;&gt;"",C235, D235)</f>
        <v/>
      </c>
      <c r="F235" s="3" t="n"/>
      <c r="G235" s="3">
        <f>IFERROR(__xludf.DUMMYFUNCTION("GOOGLETRANSLATE(B235,""vi"",""km"")"),"អ្នកបង្កើត")</f>
        <v/>
      </c>
      <c r="H235" s="3" t="inlineStr">
        <is>
          <t>អ្នកបង្កើតកំណត់ហេតុ</t>
        </is>
      </c>
      <c r="I235" s="3" t="n"/>
      <c r="J235" s="3">
        <f>IFERROR(__xludf.DUMMYFUNCTION("GOOGLETRANSLATE(B235,""vi"",""lo"")"),"ຜູ້ສ້າງ")</f>
        <v/>
      </c>
      <c r="K235" s="3">
        <f>IF(I235&lt;&gt;"",I235, J235)</f>
        <v/>
      </c>
      <c r="L235" s="3" t="inlineStr">
        <is>
          <t>អ្នកបង្កើតកំណត់ហេតុ</t>
        </is>
      </c>
      <c r="M235" s="3" t="n"/>
      <c r="N235" s="3" t="inlineStr">
        <is>
          <t>"journeyHistory.creator": "Created by",</t>
        </is>
      </c>
      <c r="O235" s="3" t="n"/>
      <c r="P235" s="3" t="n"/>
      <c r="Q235" s="3" t="n"/>
      <c r="R235" s="3" t="n"/>
      <c r="S235" s="3" t="n"/>
      <c r="T235" s="3" t="n"/>
      <c r="U235" s="3" t="n"/>
      <c r="V235" s="3" t="n"/>
      <c r="W235" s="3" t="n"/>
      <c r="X235" s="3" t="n"/>
      <c r="Y235" s="3" t="n"/>
      <c r="Z235" s="3" t="n"/>
      <c r="AA235" s="3" t="n"/>
    </row>
    <row r="236">
      <c r="A236" s="3" t="inlineStr">
        <is>
          <t>journeyHistory.entryDate</t>
        </is>
      </c>
      <c r="B236" s="3" t="inlineStr">
        <is>
          <t>Ngày Vào</t>
        </is>
      </c>
      <c r="C236" s="3" t="inlineStr">
        <is>
          <t>Received Date</t>
        </is>
      </c>
      <c r="D236" s="3">
        <f>IFERROR(__xludf.DUMMYFUNCTION("GOOGLETRANSLATE(B236,""vi"",""en"")"),"Entry Date")</f>
        <v/>
      </c>
      <c r="E236" s="3">
        <f>IF(C236&lt;&gt;"",C236, D236)</f>
        <v/>
      </c>
      <c r="F236" s="3" t="n"/>
      <c r="G236" s="3">
        <f>IFERROR(__xludf.DUMMYFUNCTION("GOOGLETRANSLATE(B236,""vi"",""km"")"),"កាលបរិច្ឆេទចូល")</f>
        <v/>
      </c>
      <c r="H236" s="3" t="inlineStr">
        <is>
          <t>កាលបរិច្ឆេទចូល</t>
        </is>
      </c>
      <c r="I236" s="3" t="n"/>
      <c r="J236" s="3">
        <f>IFERROR(__xludf.DUMMYFUNCTION("GOOGLETRANSLATE(B236,""vi"",""lo"")"),"ວັນທີເຂົ້າ")</f>
        <v/>
      </c>
      <c r="K236" s="3">
        <f>IF(I236&lt;&gt;"",I236, J236)</f>
        <v/>
      </c>
      <c r="L236" s="3" t="inlineStr">
        <is>
          <t>កាលបរិច្ឆេទចូល</t>
        </is>
      </c>
      <c r="M236" s="3" t="n"/>
      <c r="N236" s="3" t="inlineStr">
        <is>
          <t>"journeyHistory.entryDate": "Received Date",</t>
        </is>
      </c>
      <c r="O236" s="3" t="n"/>
      <c r="P236" s="3" t="n"/>
      <c r="Q236" s="3" t="n"/>
      <c r="R236" s="3" t="n"/>
      <c r="S236" s="3" t="n"/>
      <c r="T236" s="3" t="n"/>
      <c r="U236" s="3" t="n"/>
      <c r="V236" s="3" t="n"/>
      <c r="W236" s="3" t="n"/>
      <c r="X236" s="3" t="n"/>
      <c r="Y236" s="3" t="n"/>
      <c r="Z236" s="3" t="n"/>
      <c r="AA236" s="3" t="n"/>
    </row>
    <row r="237">
      <c r="A237" s="3" t="inlineStr">
        <is>
          <t>journeyHistory.errorCode</t>
        </is>
      </c>
      <c r="B237" s="3" t="inlineStr">
        <is>
          <t>Mã lỗi</t>
        </is>
      </c>
      <c r="C237" s="3" t="inlineStr">
        <is>
          <t>Error Code</t>
        </is>
      </c>
      <c r="D237" s="3">
        <f>IFERROR(__xludf.DUMMYFUNCTION("GOOGLETRANSLATE(B237,""vi"",""en"")"),"Error code")</f>
        <v/>
      </c>
      <c r="E237" s="3">
        <f>IF(C237&lt;&gt;"",C237, D237)</f>
        <v/>
      </c>
      <c r="F237" s="3" t="n"/>
      <c r="G237" s="3">
        <f>IFERROR(__xludf.DUMMYFUNCTION("GOOGLETRANSLATE(B237,""vi"",""km"")"),"លេខកូដកំហុស")</f>
        <v/>
      </c>
      <c r="H237" s="3" t="inlineStr">
        <is>
          <t>លេខកូដកំហុស/បញ្ហា</t>
        </is>
      </c>
      <c r="I237" s="3" t="n"/>
      <c r="J237" s="3">
        <f>IFERROR(__xludf.DUMMYFUNCTION("GOOGLETRANSLATE(B237,""vi"",""lo"")"),"ລະຫັດຄວາມຜິດພາດ")</f>
        <v/>
      </c>
      <c r="K237" s="3">
        <f>IF(I237&lt;&gt;"",I237, J237)</f>
        <v/>
      </c>
      <c r="L237" s="3" t="inlineStr">
        <is>
          <t>លេខកូដកំហុស/បញ្ហា</t>
        </is>
      </c>
      <c r="M237" s="3" t="n"/>
      <c r="N237" s="3" t="inlineStr">
        <is>
          <t>"journeyHistory.errorCode": "Error Code",</t>
        </is>
      </c>
      <c r="O237" s="3" t="n"/>
      <c r="P237" s="3" t="n"/>
      <c r="Q237" s="3" t="n"/>
      <c r="R237" s="3" t="n"/>
      <c r="S237" s="3" t="n"/>
      <c r="T237" s="3" t="n"/>
      <c r="U237" s="3" t="n"/>
      <c r="V237" s="3" t="n"/>
      <c r="W237" s="3" t="n"/>
      <c r="X237" s="3" t="n"/>
      <c r="Y237" s="3" t="n"/>
      <c r="Z237" s="3" t="n"/>
      <c r="AA237" s="3" t="n"/>
    </row>
    <row r="238">
      <c r="A238" s="3" t="inlineStr">
        <is>
          <t>journeyHistory.errorName</t>
        </is>
      </c>
      <c r="B238" s="3" t="inlineStr">
        <is>
          <t>Tên lỗi</t>
        </is>
      </c>
      <c r="C238" s="3" t="inlineStr">
        <is>
          <t>Error Name</t>
        </is>
      </c>
      <c r="D238" s="3">
        <f>IFERROR(__xludf.DUMMYFUNCTION("GOOGLETRANSLATE(B238,""vi"",""en"")"),"Error name")</f>
        <v/>
      </c>
      <c r="E238" s="3">
        <f>IF(C238&lt;&gt;"",C238, D238)</f>
        <v/>
      </c>
      <c r="F238" s="3" t="n"/>
      <c r="G238" s="3">
        <f>IFERROR(__xludf.DUMMYFUNCTION("GOOGLETRANSLATE(B238,""vi"",""km"")"),"ឈ្មោះ​កំហុស")</f>
        <v/>
      </c>
      <c r="H238" s="3" t="inlineStr">
        <is>
          <t>ឈ្មោះកំហុស</t>
        </is>
      </c>
      <c r="I238" s="3" t="n"/>
      <c r="J238" s="3">
        <f>IFERROR(__xludf.DUMMYFUNCTION("GOOGLETRANSLATE(B238,""vi"",""lo"")"),"ຊື່ຄວາມຜິດພາດ")</f>
        <v/>
      </c>
      <c r="K238" s="3">
        <f>IF(I238&lt;&gt;"",I238, J238)</f>
        <v/>
      </c>
      <c r="L238" s="3" t="inlineStr">
        <is>
          <t>ឈ្មោះកំហុស</t>
        </is>
      </c>
      <c r="M238" s="3" t="n"/>
      <c r="N238" s="3" t="inlineStr">
        <is>
          <t>"journeyHistory.errorName": "Error Name",</t>
        </is>
      </c>
      <c r="O238" s="3" t="n"/>
      <c r="P238" s="3" t="n"/>
      <c r="Q238" s="3" t="n"/>
      <c r="R238" s="3" t="n"/>
      <c r="S238" s="3" t="n"/>
      <c r="T238" s="3" t="n"/>
      <c r="U238" s="3" t="n"/>
      <c r="V238" s="3" t="n"/>
      <c r="W238" s="3" t="n"/>
      <c r="X238" s="3" t="n"/>
      <c r="Y238" s="3" t="n"/>
      <c r="Z238" s="3" t="n"/>
      <c r="AA238" s="3" t="n"/>
    </row>
    <row r="239">
      <c r="A239" s="3" t="inlineStr">
        <is>
          <t>journeyHistory.infoOrder</t>
        </is>
      </c>
      <c r="B239" s="3" t="inlineStr">
        <is>
          <t>Thông tin đơn hàng</t>
        </is>
      </c>
      <c r="C239" s="3" t="inlineStr">
        <is>
          <t>Order Information</t>
        </is>
      </c>
      <c r="D239" s="3">
        <f>IFERROR(__xludf.DUMMYFUNCTION("GOOGLETRANSLATE(B239,""vi"",""en"")"),"Order information")</f>
        <v/>
      </c>
      <c r="E239" s="3">
        <f>IF(C239&lt;&gt;"",C239, D239)</f>
        <v/>
      </c>
      <c r="F239" s="3" t="n"/>
      <c r="G239" s="3">
        <f>IFERROR(__xludf.DUMMYFUNCTION("GOOGLETRANSLATE(B239,""vi"",""km"")"),"ព័ត៌មានការបញ្ជាទិញ")</f>
        <v/>
      </c>
      <c r="H239" s="3" t="inlineStr">
        <is>
          <t>ព័ត៌មានការបញ្ជាទិញ</t>
        </is>
      </c>
      <c r="I239" s="3" t="n"/>
      <c r="J239" s="3">
        <f>IFERROR(__xludf.DUMMYFUNCTION("GOOGLETRANSLATE(B239,""vi"",""lo"")"),"ຂໍ້ມູນການສັ່ງຊື້")</f>
        <v/>
      </c>
      <c r="K239" s="3">
        <f>IF(I239&lt;&gt;"",I239, J239)</f>
        <v/>
      </c>
      <c r="L239" s="3" t="inlineStr">
        <is>
          <t>ព័ត៌មានការបញ្ជាទិញ</t>
        </is>
      </c>
      <c r="M239" s="3" t="n"/>
      <c r="N239" s="3" t="inlineStr">
        <is>
          <t>"journeyHistory.infoOrder": "Order Information",</t>
        </is>
      </c>
      <c r="O239" s="3" t="n"/>
      <c r="P239" s="3" t="n"/>
      <c r="Q239" s="3" t="n"/>
      <c r="R239" s="3" t="n"/>
      <c r="S239" s="3" t="n"/>
      <c r="T239" s="3" t="n"/>
      <c r="U239" s="3" t="n"/>
      <c r="V239" s="3" t="n"/>
      <c r="W239" s="3" t="n"/>
      <c r="X239" s="3" t="n"/>
      <c r="Y239" s="3" t="n"/>
      <c r="Z239" s="3" t="n"/>
      <c r="AA239" s="3" t="n"/>
    </row>
    <row r="240">
      <c r="A240" s="3" t="inlineStr">
        <is>
          <t>journeyHistory.minutesHistory</t>
        </is>
      </c>
      <c r="B240" s="3" t="inlineStr">
        <is>
          <t>Lịch sử biên bản</t>
        </is>
      </c>
      <c r="C240" s="3" t="inlineStr">
        <is>
          <t>Report History</t>
        </is>
      </c>
      <c r="D240" s="3">
        <f>IFERROR(__xludf.DUMMYFUNCTION("GOOGLETRANSLATE(B240,""vi"",""en"")"),"Record history")</f>
        <v/>
      </c>
      <c r="E240" s="3">
        <f>IF(C240&lt;&gt;"",C240, D240)</f>
        <v/>
      </c>
      <c r="F240" s="3" t="n"/>
      <c r="G240" s="3">
        <f>IFERROR(__xludf.DUMMYFUNCTION("GOOGLETRANSLATE(B240,""vi"",""km"")"),"កំណត់ត្រាប្រវត្តិសាស្ត្រ")</f>
        <v/>
      </c>
      <c r="H240" s="3" t="inlineStr">
        <is>
          <t>កំណត់ត្រាប្រវត្តិសាស្ត្រ</t>
        </is>
      </c>
      <c r="I240" s="3" t="n"/>
      <c r="J240" s="3">
        <f>IFERROR(__xludf.DUMMYFUNCTION("GOOGLETRANSLATE(B240,""vi"",""lo"")"),"ບັນທຶກປະຫວັດ")</f>
        <v/>
      </c>
      <c r="K240" s="3">
        <f>IF(I240&lt;&gt;"",I240, J240)</f>
        <v/>
      </c>
      <c r="L240" s="3" t="inlineStr">
        <is>
          <t>កំណត់ត្រាប្រវត្តិសាស្ត្រ</t>
        </is>
      </c>
      <c r="M240" s="3" t="n"/>
      <c r="N240" s="3" t="inlineStr">
        <is>
          <t>"journeyHistory.minutesHistory": "Report History",</t>
        </is>
      </c>
      <c r="O240" s="3" t="n"/>
      <c r="P240" s="3" t="n"/>
      <c r="Q240" s="3" t="n"/>
      <c r="R240" s="3" t="n"/>
      <c r="S240" s="3" t="n"/>
      <c r="T240" s="3" t="n"/>
      <c r="U240" s="3" t="n"/>
      <c r="V240" s="3" t="n"/>
      <c r="W240" s="3" t="n"/>
      <c r="X240" s="3" t="n"/>
      <c r="Y240" s="3" t="n"/>
      <c r="Z240" s="3" t="n"/>
      <c r="AA240" s="3" t="n"/>
    </row>
    <row r="241">
      <c r="A241" s="3" t="inlineStr">
        <is>
          <t>journeyHistory.processingUnit</t>
        </is>
      </c>
      <c r="B241" s="3" t="inlineStr">
        <is>
          <t>Đơn vị đang xử lý</t>
        </is>
      </c>
      <c r="C241" s="3" t="inlineStr">
        <is>
          <t>Processing Unit</t>
        </is>
      </c>
      <c r="D241" s="3">
        <f>IFERROR(__xludf.DUMMYFUNCTION("GOOGLETRANSLATE(B241,""vi"",""en"")"),"The unit is currently processing it.")</f>
        <v/>
      </c>
      <c r="E241" s="3">
        <f>IF(C241&lt;&gt;"",C241, D241)</f>
        <v/>
      </c>
      <c r="F241" s="3" t="n"/>
      <c r="G241" s="3">
        <f>IFERROR(__xludf.DUMMYFUNCTION("GOOGLETRANSLATE(B241,""vi"",""km"")"),"អង្គភាពកំពុងដំណើរការវា។")</f>
        <v/>
      </c>
      <c r="H241" s="3" t="inlineStr">
        <is>
          <t>អង្គភាពកំពុងដំណើរការវា។</t>
        </is>
      </c>
      <c r="I241" s="3" t="n"/>
      <c r="J241" s="3">
        <f>IFERROR(__xludf.DUMMYFUNCTION("GOOGLETRANSLATE(B241,""vi"",""lo"")"),"ປະຈຸບັນໜ່ວຍງານກຳລັງປະມວນຜົນມັນຢູ່.")</f>
        <v/>
      </c>
      <c r="K241" s="3">
        <f>IF(I241&lt;&gt;"",I241, J241)</f>
        <v/>
      </c>
      <c r="L241" s="3" t="inlineStr">
        <is>
          <t>អង្គភាពកំពុងដំណើរការវា។</t>
        </is>
      </c>
      <c r="M241" s="3" t="n"/>
      <c r="N241" s="3" t="inlineStr">
        <is>
          <t>"journeyHistory.processingUnit": "Processing Unit",</t>
        </is>
      </c>
      <c r="O241" s="3" t="n"/>
      <c r="P241" s="3" t="n"/>
      <c r="Q241" s="3" t="n"/>
      <c r="R241" s="3" t="n"/>
      <c r="S241" s="3" t="n"/>
      <c r="T241" s="3" t="n"/>
      <c r="U241" s="3" t="n"/>
      <c r="V241" s="3" t="n"/>
      <c r="W241" s="3" t="n"/>
      <c r="X241" s="3" t="n"/>
      <c r="Y241" s="3" t="n"/>
      <c r="Z241" s="3" t="n"/>
      <c r="AA241" s="3" t="n"/>
    </row>
    <row r="242">
      <c r="A242" s="3" t="inlineStr">
        <is>
          <t>journeyHistory.recordCode</t>
        </is>
      </c>
      <c r="B242" s="3" t="inlineStr">
        <is>
          <t>Mã biên bản</t>
        </is>
      </c>
      <c r="C242" s="3" t="inlineStr">
        <is>
          <t>Report ID</t>
        </is>
      </c>
      <c r="D242" s="3">
        <f>IFERROR(__xludf.DUMMYFUNCTION("GOOGLETRANSLATE(B242,""vi"",""en"")"),"Minutes code")</f>
        <v/>
      </c>
      <c r="E242" s="3">
        <f>IF(C242&lt;&gt;"",C242, D242)</f>
        <v/>
      </c>
      <c r="F242" s="3" t="n"/>
      <c r="G242" s="3">
        <f>IFERROR(__xludf.DUMMYFUNCTION("GOOGLETRANSLATE(B242,""vi"",""km"")"),"លេខកូដនាទី")</f>
        <v/>
      </c>
      <c r="H242" s="3" t="inlineStr">
        <is>
          <t>លេខកូដនាទី</t>
        </is>
      </c>
      <c r="I242" s="3" t="n"/>
      <c r="J242" s="3">
        <f>IFERROR(__xludf.DUMMYFUNCTION("GOOGLETRANSLATE(B242,""vi"",""lo"")"),"ລະຫັດນາທີ")</f>
        <v/>
      </c>
      <c r="K242" s="3">
        <f>IF(I242&lt;&gt;"",I242, J242)</f>
        <v/>
      </c>
      <c r="L242" s="3" t="inlineStr">
        <is>
          <t>លេខកូដនាទី</t>
        </is>
      </c>
      <c r="M242" s="3" t="n"/>
      <c r="N242" s="3" t="inlineStr">
        <is>
          <t>"journeyHistory.recordCode": "Report ID",</t>
        </is>
      </c>
      <c r="O242" s="3" t="n"/>
      <c r="P242" s="3" t="n"/>
      <c r="Q242" s="3" t="n"/>
      <c r="R242" s="3" t="n"/>
      <c r="S242" s="3" t="n"/>
      <c r="T242" s="3" t="n"/>
      <c r="U242" s="3" t="n"/>
      <c r="V242" s="3" t="n"/>
      <c r="W242" s="3" t="n"/>
      <c r="X242" s="3" t="n"/>
      <c r="Y242" s="3" t="n"/>
      <c r="Z242" s="3" t="n"/>
      <c r="AA242" s="3" t="n"/>
    </row>
    <row r="243">
      <c r="A243" s="3" t="inlineStr">
        <is>
          <t>journeyHistory.remainingTime</t>
        </is>
      </c>
      <c r="B243" s="3" t="inlineStr">
        <is>
          <t>Thời gian còn lại</t>
        </is>
      </c>
      <c r="C243" s="3" t="inlineStr">
        <is>
          <t>Remaining Time</t>
        </is>
      </c>
      <c r="D243" s="3">
        <f>IFERROR(__xludf.DUMMYFUNCTION("GOOGLETRANSLATE(B243,""vi"",""en"")"),"Time remaining")</f>
        <v/>
      </c>
      <c r="E243" s="3">
        <f>IF(C243&lt;&gt;"",C243, D243)</f>
        <v/>
      </c>
      <c r="F243" s="3" t="n"/>
      <c r="G243" s="3">
        <f>IFERROR(__xludf.DUMMYFUNCTION("GOOGLETRANSLATE(B243,""vi"",""km"")"),"ពេលវេលាដែលនៅសល់")</f>
        <v/>
      </c>
      <c r="H243" s="3" t="inlineStr">
        <is>
          <t>ពេលវេលាដែលនៅសល់</t>
        </is>
      </c>
      <c r="I243" s="3" t="n"/>
      <c r="J243" s="3">
        <f>IFERROR(__xludf.DUMMYFUNCTION("GOOGLETRANSLATE(B243,""vi"",""lo"")"),"ເວລາທີ່ຍັງເຫຼືອ")</f>
        <v/>
      </c>
      <c r="K243" s="3">
        <f>IF(I243&lt;&gt;"",I243, J243)</f>
        <v/>
      </c>
      <c r="L243" s="3" t="inlineStr">
        <is>
          <t>ពេលវេលាដែលនៅសល់</t>
        </is>
      </c>
      <c r="M243" s="3" t="n"/>
      <c r="N243" s="3" t="inlineStr">
        <is>
          <t>"journeyHistory.remainingTime": "Remaining Time",</t>
        </is>
      </c>
      <c r="O243" s="3" t="n"/>
      <c r="P243" s="3" t="n"/>
      <c r="Q243" s="3" t="n"/>
      <c r="R243" s="3" t="n"/>
      <c r="S243" s="3" t="n"/>
      <c r="T243" s="3" t="n"/>
      <c r="U243" s="3" t="n"/>
      <c r="V243" s="3" t="n"/>
      <c r="W243" s="3" t="n"/>
      <c r="X243" s="3" t="n"/>
      <c r="Y243" s="3" t="n"/>
      <c r="Z243" s="3" t="n"/>
      <c r="AA243" s="3" t="n"/>
    </row>
    <row r="244">
      <c r="A244" s="3" t="inlineStr">
        <is>
          <t>journeyHistory.status</t>
        </is>
      </c>
      <c r="B244" s="3" t="inlineStr">
        <is>
          <t>Trạng thái</t>
        </is>
      </c>
      <c r="C244" s="3" t="inlineStr">
        <is>
          <t>Status</t>
        </is>
      </c>
      <c r="D244" s="3">
        <f>IFERROR(__xludf.DUMMYFUNCTION("GOOGLETRANSLATE(B244,""vi"",""en"")"),"Status")</f>
        <v/>
      </c>
      <c r="E244" s="3">
        <f>IF(C244&lt;&gt;"",C244, D244)</f>
        <v/>
      </c>
      <c r="F244" s="3" t="n"/>
      <c r="G244" s="3">
        <f>IFERROR(__xludf.DUMMYFUNCTION("GOOGLETRANSLATE(B244,""vi"",""km"")"),"ស្ថានភាព")</f>
        <v/>
      </c>
      <c r="H244" s="3" t="inlineStr">
        <is>
          <t>ស្ថានភាព</t>
        </is>
      </c>
      <c r="I244" s="3" t="n"/>
      <c r="J244" s="3">
        <f>IFERROR(__xludf.DUMMYFUNCTION("GOOGLETRANSLATE(B244,""vi"",""lo"")"),"ສະຖານະ")</f>
        <v/>
      </c>
      <c r="K244" s="3">
        <f>IF(I244&lt;&gt;"",I244, J244)</f>
        <v/>
      </c>
      <c r="L244" s="3" t="inlineStr">
        <is>
          <t>ស្ថានភាព</t>
        </is>
      </c>
      <c r="M244" s="3" t="n"/>
      <c r="N244" s="3" t="inlineStr">
        <is>
          <t>"journeyHistory.status": "Status",</t>
        </is>
      </c>
      <c r="O244" s="3" t="n"/>
      <c r="P244" s="3" t="n"/>
      <c r="Q244" s="3" t="n"/>
      <c r="R244" s="3" t="n"/>
      <c r="S244" s="3" t="n"/>
      <c r="T244" s="3" t="n"/>
      <c r="U244" s="3" t="n"/>
      <c r="V244" s="3" t="n"/>
      <c r="W244" s="3" t="n"/>
      <c r="X244" s="3" t="n"/>
      <c r="Y244" s="3" t="n"/>
      <c r="Z244" s="3" t="n"/>
      <c r="AA244" s="3" t="n"/>
    </row>
    <row r="245">
      <c r="A245" s="3" t="inlineStr">
        <is>
          <t>journeyHistory.trip</t>
        </is>
      </c>
      <c r="B245" s="3" t="inlineStr">
        <is>
          <t>Hành trình</t>
        </is>
      </c>
      <c r="C245" s="3" t="inlineStr">
        <is>
          <t>Tracking</t>
        </is>
      </c>
      <c r="D245" s="3">
        <f>IFERROR(__xludf.DUMMYFUNCTION("GOOGLETRANSLATE(B245,""vi"",""en"")"),"Trip")</f>
        <v/>
      </c>
      <c r="E245" s="3">
        <f>IF(C245&lt;&gt;"",C245, D245)</f>
        <v/>
      </c>
      <c r="F245" s="3" t="n"/>
      <c r="G245" s="3">
        <f>IFERROR(__xludf.DUMMYFUNCTION("GOOGLETRANSLATE(B245,""vi"",""km"")"),"ដំណើរកម្សាន្ត")</f>
        <v/>
      </c>
      <c r="H245" s="3" t="inlineStr">
        <is>
          <t>ដំណើរឆ្លងកាត់បញ្ញើ</t>
        </is>
      </c>
      <c r="I245" s="3" t="n"/>
      <c r="J245" s="3">
        <f>IFERROR(__xludf.DUMMYFUNCTION("GOOGLETRANSLATE(B245,""vi"",""lo"")"),"ການເດີນທາງ")</f>
        <v/>
      </c>
      <c r="K245" s="3">
        <f>IF(I245&lt;&gt;"",I245, J245)</f>
        <v/>
      </c>
      <c r="L245" s="3" t="inlineStr">
        <is>
          <t>ដំណើរឆ្លងកាត់បញ្ញើ</t>
        </is>
      </c>
      <c r="M245" s="3" t="n"/>
      <c r="N245" s="3" t="inlineStr">
        <is>
          <t>"journeyHistory.trip": "Tracking",</t>
        </is>
      </c>
      <c r="O245" s="3" t="n"/>
      <c r="P245" s="3" t="n"/>
      <c r="Q245" s="3" t="n"/>
      <c r="R245" s="3" t="n"/>
      <c r="S245" s="3" t="n"/>
      <c r="T245" s="3" t="n"/>
      <c r="U245" s="3" t="n"/>
      <c r="V245" s="3" t="n"/>
      <c r="W245" s="3" t="n"/>
      <c r="X245" s="3" t="n"/>
      <c r="Y245" s="3" t="n"/>
      <c r="Z245" s="3" t="n"/>
      <c r="AA245" s="3" t="n"/>
    </row>
    <row r="246">
      <c r="A246" s="3" t="inlineStr">
        <is>
          <t>language.en</t>
        </is>
      </c>
      <c r="B246" s="3" t="inlineStr">
        <is>
          <t>English</t>
        </is>
      </c>
      <c r="C246" s="3" t="inlineStr">
        <is>
          <t>English</t>
        </is>
      </c>
      <c r="D246" s="3">
        <f>IFERROR(__xludf.DUMMYFUNCTION("GOOGLETRANSLATE(B246,""vi"",""en"")"),"English")</f>
        <v/>
      </c>
      <c r="E246" s="3">
        <f>IF(C246&lt;&gt;"",C246, D246)</f>
        <v/>
      </c>
      <c r="F246" s="3" t="n"/>
      <c r="G246" s="3">
        <f>IFERROR(__xludf.DUMMYFUNCTION("GOOGLETRANSLATE(B246,""vi"",""km"")"),"អង់គ្លេស")</f>
        <v/>
      </c>
      <c r="H246" s="3" t="inlineStr">
        <is>
          <t>ភាសាអង់គ្លេស</t>
        </is>
      </c>
      <c r="I246" s="3" t="n"/>
      <c r="J246" s="3">
        <f>IFERROR(__xludf.DUMMYFUNCTION("GOOGLETRANSLATE(B246,""vi"",""lo"")"),"ພາສາອັງກິດ")</f>
        <v/>
      </c>
      <c r="K246" s="3">
        <f>IF(I246&lt;&gt;"",I246, J246)</f>
        <v/>
      </c>
      <c r="L246" s="3" t="inlineStr">
        <is>
          <t>ភាសាអង់គ្លេស</t>
        </is>
      </c>
      <c r="M246" s="3" t="n"/>
      <c r="N246" s="3" t="inlineStr">
        <is>
          <t>"language.en": "English",</t>
        </is>
      </c>
      <c r="O246" s="3" t="n"/>
      <c r="P246" s="3" t="n"/>
      <c r="Q246" s="3" t="n"/>
      <c r="R246" s="3" t="n"/>
      <c r="S246" s="3" t="n"/>
      <c r="T246" s="3" t="n"/>
      <c r="U246" s="3" t="n"/>
      <c r="V246" s="3" t="n"/>
      <c r="W246" s="3" t="n"/>
      <c r="X246" s="3" t="n"/>
      <c r="Y246" s="3" t="n"/>
      <c r="Z246" s="3" t="n"/>
      <c r="AA246" s="3" t="n"/>
    </row>
    <row r="247">
      <c r="A247" s="70" t="inlineStr">
        <is>
          <t>language.km</t>
        </is>
      </c>
      <c r="B247" s="3" t="inlineStr">
        <is>
          <t>ភាសាខ្មែរ</t>
        </is>
      </c>
      <c r="C247" s="3" t="inlineStr">
        <is>
          <t>Khmer</t>
        </is>
      </c>
      <c r="D247" s="3">
        <f>IFERROR(__xludf.DUMMYFUNCTION("GOOGLETRANSLATE(B247,""vi"",""en"")"),"ភាសាខ្មែរ")</f>
        <v/>
      </c>
      <c r="E247" s="3">
        <f>IF(C247&lt;&gt;"",C247, D247)</f>
        <v/>
      </c>
      <c r="F247" s="3" t="n"/>
      <c r="G247" s="3">
        <f>IFERROR(__xludf.DUMMYFUNCTION("GOOGLETRANSLATE(B247,""vi"",""km"")"),"ភាសាខ្មែរ")</f>
        <v/>
      </c>
      <c r="H247" s="3" t="inlineStr">
        <is>
          <t>ភាសាខ្មែរ</t>
        </is>
      </c>
      <c r="I247" s="3" t="n"/>
      <c r="J247" s="3">
        <f>IFERROR(__xludf.DUMMYFUNCTION("GOOGLETRANSLATE(B247,""vi"",""lo"")"),"ភាសាខ្មែរ")</f>
        <v/>
      </c>
      <c r="K247" s="3">
        <f>IF(I247&lt;&gt;"",I247, J247)</f>
        <v/>
      </c>
      <c r="L247" s="3" t="inlineStr">
        <is>
          <t>ភាសាខ្មែរ</t>
        </is>
      </c>
      <c r="M247" s="3" t="n"/>
      <c r="N247" s="3" t="inlineStr">
        <is>
          <t>"language.km": "Khmer",</t>
        </is>
      </c>
      <c r="O247" s="3" t="n"/>
      <c r="P247" s="3" t="n"/>
      <c r="Q247" s="3" t="n"/>
      <c r="R247" s="3" t="n"/>
      <c r="S247" s="3" t="n"/>
      <c r="T247" s="3" t="n"/>
      <c r="U247" s="3" t="n"/>
      <c r="V247" s="3" t="n"/>
      <c r="W247" s="3" t="n"/>
      <c r="X247" s="3" t="n"/>
      <c r="Y247" s="3" t="n"/>
      <c r="Z247" s="3" t="n"/>
      <c r="AA247" s="3" t="n"/>
    </row>
    <row r="248">
      <c r="A248" s="3" t="inlineStr">
        <is>
          <t>language.lo</t>
        </is>
      </c>
      <c r="B248" s="3" t="inlineStr">
        <is>
          <t>ພາສາລາວ</t>
        </is>
      </c>
      <c r="C248" s="3" t="inlineStr">
        <is>
          <t>Lao</t>
        </is>
      </c>
      <c r="D248" s="3">
        <f>IFERROR(__xludf.DUMMYFUNCTION("GOOGLETRANSLATE(B248,""vi"",""en"")"),"ພາສາລາວ")</f>
        <v/>
      </c>
      <c r="E248" s="3">
        <f>IF(C248&lt;&gt;"",C248, D248)</f>
        <v/>
      </c>
      <c r="F248" s="3" t="n"/>
      <c r="G248" s="3">
        <f>IFERROR(__xludf.DUMMYFUNCTION("GOOGLETRANSLATE(B248,""vi"",""km"")"),"ភាសាឡាវ")</f>
        <v/>
      </c>
      <c r="H248" s="3" t="inlineStr">
        <is>
          <t>ភាសាឡាវ</t>
        </is>
      </c>
      <c r="I248" s="3" t="n"/>
      <c r="J248" s="3">
        <f>IFERROR(__xludf.DUMMYFUNCTION("GOOGLETRANSLATE(B248,""vi"",""lo"")"),"ພາສາລາວ")</f>
        <v/>
      </c>
      <c r="K248" s="3">
        <f>IF(I248&lt;&gt;"",I248, J248)</f>
        <v/>
      </c>
      <c r="L248" s="3" t="inlineStr">
        <is>
          <t>ភាសាឡាវ</t>
        </is>
      </c>
      <c r="M248" s="3" t="n"/>
      <c r="N248" s="3" t="inlineStr">
        <is>
          <t>"language.lo": "Lao",</t>
        </is>
      </c>
      <c r="O248" s="3" t="n"/>
      <c r="P248" s="3" t="n"/>
      <c r="Q248" s="3" t="n"/>
      <c r="R248" s="3" t="n"/>
      <c r="S248" s="3" t="n"/>
      <c r="T248" s="3" t="n"/>
      <c r="U248" s="3" t="n"/>
      <c r="V248" s="3" t="n"/>
      <c r="W248" s="3" t="n"/>
      <c r="X248" s="3" t="n"/>
      <c r="Y248" s="3" t="n"/>
      <c r="Z248" s="3" t="n"/>
      <c r="AA248" s="3" t="n"/>
    </row>
    <row r="249">
      <c r="A249" s="70" t="inlineStr">
        <is>
          <t>language.vi</t>
        </is>
      </c>
      <c r="B249" s="3" t="inlineStr">
        <is>
          <t>Tiếng Việt</t>
        </is>
      </c>
      <c r="C249" s="3" t="inlineStr">
        <is>
          <t>Vietnamese</t>
        </is>
      </c>
      <c r="D249" s="3">
        <f>IFERROR(__xludf.DUMMYFUNCTION("GOOGLETRANSLATE(B249,""vi"",""en"")"),"Vietnamese")</f>
        <v/>
      </c>
      <c r="E249" s="3">
        <f>IF(C249&lt;&gt;"",C249, D249)</f>
        <v/>
      </c>
      <c r="F249" s="3" t="n"/>
      <c r="G249" s="3">
        <f>IFERROR(__xludf.DUMMYFUNCTION("GOOGLETRANSLATE(B249,""vi"",""km"")"),"វៀតណាម")</f>
        <v/>
      </c>
      <c r="H249" s="3" t="inlineStr">
        <is>
          <t>ភាសាវៀតណាម</t>
        </is>
      </c>
      <c r="I249" s="3" t="n"/>
      <c r="J249" s="3">
        <f>IFERROR(__xludf.DUMMYFUNCTION("GOOGLETRANSLATE(B249,""vi"",""lo"")"),"ຫວຽດນາມ")</f>
        <v/>
      </c>
      <c r="K249" s="3">
        <f>IF(I249&lt;&gt;"",I249, J249)</f>
        <v/>
      </c>
      <c r="L249" s="3" t="inlineStr">
        <is>
          <t>ភាសាវៀតណាម</t>
        </is>
      </c>
      <c r="M249" s="3" t="n"/>
      <c r="N249" s="3" t="inlineStr">
        <is>
          <t>"language.vi": "Vietnamese",</t>
        </is>
      </c>
      <c r="O249" s="3" t="n"/>
      <c r="P249" s="3" t="n"/>
      <c r="Q249" s="3" t="n"/>
      <c r="R249" s="3" t="n"/>
      <c r="S249" s="3" t="n"/>
      <c r="T249" s="3" t="n"/>
      <c r="U249" s="3" t="n"/>
      <c r="V249" s="3" t="n"/>
      <c r="W249" s="3" t="n"/>
      <c r="X249" s="3" t="n"/>
      <c r="Y249" s="3" t="n"/>
      <c r="Z249" s="3" t="n"/>
      <c r="AA249" s="3" t="n"/>
    </row>
    <row r="250">
      <c r="A250" s="3" t="inlineStr">
        <is>
          <t>login.emailPlaceholder</t>
        </is>
      </c>
      <c r="B250" s="3" t="inlineStr">
        <is>
          <t>Nhập số điện thoại hoặc email</t>
        </is>
      </c>
      <c r="C250" s="3" t="inlineStr">
        <is>
          <t>Enter phone number or email</t>
        </is>
      </c>
      <c r="D250" s="3">
        <f>IFERROR(__xludf.DUMMYFUNCTION("GOOGLETRANSLATE(B250,""vi"",""en"")"),"Enter your phone number or email address.")</f>
        <v/>
      </c>
      <c r="E250" s="3">
        <f>IF(C250&lt;&gt;"",C250, D250)</f>
        <v/>
      </c>
      <c r="F250" s="3" t="n"/>
      <c r="G250" s="3">
        <f>IFERROR(__xludf.DUMMYFUNCTION("GOOGLETRANSLATE(B250,""vi"",""km"")"),"បញ្ចូលលេខទូរស័ព្ទ ឬអាសយដ្ឋានអ៊ីមែលរបស់អ្នក។")</f>
        <v/>
      </c>
      <c r="H250" s="3" t="inlineStr">
        <is>
          <t>បញ្ចូលលេខទូរស័ព្ទ ឬអាសយដ្ឋានអ៊ីមែលរបស់អ្នក។</t>
        </is>
      </c>
      <c r="I250" s="3" t="n"/>
      <c r="J250" s="3">
        <f>IFERROR(__xludf.DUMMYFUNCTION("GOOGLETRANSLATE(B250,""vi"",""lo"")"),"ໃສ່ເບີໂທລະສັບ ຫຼື ທີ່ຢູ່ອີເມວຂອງທ່ານ.")</f>
        <v/>
      </c>
      <c r="K250" s="3">
        <f>IF(I250&lt;&gt;"",I250, J250)</f>
        <v/>
      </c>
      <c r="L250" s="3" t="inlineStr">
        <is>
          <t>បញ្ចូលលេខទូរស័ព្ទ ឬអាសយដ្ឋានអ៊ីមែលរបស់អ្នក។</t>
        </is>
      </c>
      <c r="M250" s="3" t="n"/>
      <c r="N250" s="3" t="inlineStr">
        <is>
          <t>"login.emailPlaceholder": "Enter phone number or email",</t>
        </is>
      </c>
      <c r="O250" s="3" t="n"/>
      <c r="P250" s="3" t="n"/>
      <c r="Q250" s="3" t="n"/>
      <c r="R250" s="3" t="n"/>
      <c r="S250" s="3" t="n"/>
      <c r="T250" s="3" t="n"/>
      <c r="U250" s="3" t="n"/>
      <c r="V250" s="3" t="n"/>
      <c r="W250" s="3" t="n"/>
      <c r="X250" s="3" t="n"/>
      <c r="Y250" s="3" t="n"/>
      <c r="Z250" s="3" t="n"/>
      <c r="AA250" s="3" t="n"/>
    </row>
    <row r="251">
      <c r="A251" s="3" t="inlineStr">
        <is>
          <t>login.forgotPassword</t>
        </is>
      </c>
      <c r="B251" s="3" t="inlineStr">
        <is>
          <t>Quên mật khẩu?</t>
        </is>
      </c>
      <c r="C251" s="3" t="inlineStr">
        <is>
          <t>Forgot password?</t>
        </is>
      </c>
      <c r="D251" s="3">
        <f>IFERROR(__xludf.DUMMYFUNCTION("GOOGLETRANSLATE(B251,""vi"",""en"")"),"Forgot your password?")</f>
        <v/>
      </c>
      <c r="E251" s="3">
        <f>IF(C251&lt;&gt;"",C251, D251)</f>
        <v/>
      </c>
      <c r="F251" s="3" t="n"/>
      <c r="G251" s="3">
        <f>IFERROR(__xludf.DUMMYFUNCTION("GOOGLETRANSLATE(B251,""vi"",""km"")"),"ភ្លេចពាក្យសម្ងាត់របស់អ្នក?")</f>
        <v/>
      </c>
      <c r="H251" s="3" t="inlineStr">
        <is>
          <t>ភ្លេចពាក្យសម្ងាត់របស់អ្នក?</t>
        </is>
      </c>
      <c r="I251" s="3" t="n"/>
      <c r="J251" s="3">
        <f>IFERROR(__xludf.DUMMYFUNCTION("GOOGLETRANSLATE(B251,""vi"",""lo"")"),"ລືມລະຫັດຜ່ານຂອງທ່ານບໍ?")</f>
        <v/>
      </c>
      <c r="K251" s="3">
        <f>IF(I251&lt;&gt;"",I251, J251)</f>
        <v/>
      </c>
      <c r="L251" s="3" t="inlineStr">
        <is>
          <t>ភ្លេចពាក្យសម្ងាត់របស់អ្នក?</t>
        </is>
      </c>
      <c r="M251" s="3" t="n"/>
      <c r="N251" s="3" t="inlineStr">
        <is>
          <t>"login.forgotPassword": "Forgot password?",</t>
        </is>
      </c>
      <c r="O251" s="3" t="n"/>
      <c r="P251" s="3" t="n"/>
      <c r="Q251" s="3" t="n"/>
      <c r="R251" s="3" t="n"/>
      <c r="S251" s="3" t="n"/>
      <c r="T251" s="3" t="n"/>
      <c r="U251" s="3" t="n"/>
      <c r="V251" s="3" t="n"/>
      <c r="W251" s="3" t="n"/>
      <c r="X251" s="3" t="n"/>
      <c r="Y251" s="3" t="n"/>
      <c r="Z251" s="3" t="n"/>
      <c r="AA251" s="3" t="n"/>
    </row>
    <row r="252">
      <c r="A252" s="3" t="inlineStr">
        <is>
          <t>login.loginButton</t>
        </is>
      </c>
      <c r="B252" s="3" t="inlineStr">
        <is>
          <t>Đăng nhập</t>
        </is>
      </c>
      <c r="C252" s="3" t="inlineStr">
        <is>
          <t>Log in</t>
        </is>
      </c>
      <c r="D252" s="3">
        <f>IFERROR(__xludf.DUMMYFUNCTION("GOOGLETRANSLATE(B252,""vi"",""en"")"),"Log in")</f>
        <v/>
      </c>
      <c r="E252" s="3">
        <f>IF(C252&lt;&gt;"",C252, D252)</f>
        <v/>
      </c>
      <c r="F252" s="3" t="n"/>
      <c r="G252" s="3">
        <f>IFERROR(__xludf.DUMMYFUNCTION("GOOGLETRANSLATE(B252,""vi"",""km"")"),"ចូល")</f>
        <v/>
      </c>
      <c r="H252" s="3" t="inlineStr">
        <is>
          <t>ចូល</t>
        </is>
      </c>
      <c r="I252" s="3" t="n"/>
      <c r="J252" s="3">
        <f>IFERROR(__xludf.DUMMYFUNCTION("GOOGLETRANSLATE(B252,""vi"",""lo"")"),"ເຂົ້າສູ່ລະບົບ")</f>
        <v/>
      </c>
      <c r="K252" s="3">
        <f>IF(I252&lt;&gt;"",I252, J252)</f>
        <v/>
      </c>
      <c r="L252" s="3" t="inlineStr">
        <is>
          <t>ចូល</t>
        </is>
      </c>
      <c r="M252" s="3" t="n"/>
      <c r="N252" s="3" t="inlineStr">
        <is>
          <t>"login.loginButton": "Log in",</t>
        </is>
      </c>
      <c r="O252" s="3" t="n"/>
      <c r="P252" s="3" t="n"/>
      <c r="Q252" s="3" t="n"/>
      <c r="R252" s="3" t="n"/>
      <c r="S252" s="3" t="n"/>
      <c r="T252" s="3" t="n"/>
      <c r="U252" s="3" t="n"/>
      <c r="V252" s="3" t="n"/>
      <c r="W252" s="3" t="n"/>
      <c r="X252" s="3" t="n"/>
      <c r="Y252" s="3" t="n"/>
      <c r="Z252" s="3" t="n"/>
      <c r="AA252" s="3" t="n"/>
    </row>
    <row r="253">
      <c r="A253" s="3" t="inlineStr">
        <is>
          <t>login.passwordPlaceholder</t>
        </is>
      </c>
      <c r="B253" s="3" t="inlineStr">
        <is>
          <t>Nhập mật khẩu</t>
        </is>
      </c>
      <c r="C253" s="3" t="inlineStr">
        <is>
          <t>Enter password</t>
        </is>
      </c>
      <c r="D253" s="3">
        <f>IFERROR(__xludf.DUMMYFUNCTION("GOOGLETRANSLATE(B253,""vi"",""en"")"),"Enter password")</f>
        <v/>
      </c>
      <c r="E253" s="3">
        <f>IF(C253&lt;&gt;"",C253, D253)</f>
        <v/>
      </c>
      <c r="F253" s="3" t="n"/>
      <c r="G253" s="3">
        <f>IFERROR(__xludf.DUMMYFUNCTION("GOOGLETRANSLATE(B253,""vi"",""km"")"),"បញ្ចូលពាក្យសម្ងាត់")</f>
        <v/>
      </c>
      <c r="H253" s="3" t="inlineStr">
        <is>
          <t>បញ្ចូលពាក្យសម្ងាត់</t>
        </is>
      </c>
      <c r="I253" s="3" t="n"/>
      <c r="J253" s="3">
        <f>IFERROR(__xludf.DUMMYFUNCTION("GOOGLETRANSLATE(B253,""vi"",""lo"")"),"ໃສ່ລະຫັດຜ່ານ")</f>
        <v/>
      </c>
      <c r="K253" s="3">
        <f>IF(I253&lt;&gt;"",I253, J253)</f>
        <v/>
      </c>
      <c r="L253" s="3" t="inlineStr">
        <is>
          <t>បញ្ចូលពាក្យសម្ងាត់</t>
        </is>
      </c>
      <c r="M253" s="3" t="n"/>
      <c r="N253" s="3" t="inlineStr">
        <is>
          <t>"login.passwordPlaceholder": "Enter password",</t>
        </is>
      </c>
      <c r="O253" s="3" t="n"/>
      <c r="P253" s="3" t="n"/>
      <c r="Q253" s="3" t="n"/>
      <c r="R253" s="3" t="n"/>
      <c r="S253" s="3" t="n"/>
      <c r="T253" s="3" t="n"/>
      <c r="U253" s="3" t="n"/>
      <c r="V253" s="3" t="n"/>
      <c r="W253" s="3" t="n"/>
      <c r="X253" s="3" t="n"/>
      <c r="Y253" s="3" t="n"/>
      <c r="Z253" s="3" t="n"/>
      <c r="AA253" s="3" t="n"/>
    </row>
    <row r="254">
      <c r="A254" s="3" t="inlineStr">
        <is>
          <t>login.title</t>
        </is>
      </c>
      <c r="B254" s="3" t="inlineStr">
        <is>
          <t>Đăng nhập bằng mật khẩu</t>
        </is>
      </c>
      <c r="C254" s="3" t="inlineStr">
        <is>
          <t>Log in with password</t>
        </is>
      </c>
      <c r="D254" s="3">
        <f>IFERROR(__xludf.DUMMYFUNCTION("GOOGLETRANSLATE(B254,""vi"",""en"")"),"Log in with your password.")</f>
        <v/>
      </c>
      <c r="E254" s="3">
        <f>IF(C254&lt;&gt;"",C254, D254)</f>
        <v/>
      </c>
      <c r="F254" s="3" t="n"/>
      <c r="G254" s="3">
        <f>IFERROR(__xludf.DUMMYFUNCTION("GOOGLETRANSLATE(B254,""vi"",""km"")"),"ចូលដោយប្រើពាក្យសម្ងាត់របស់អ្នក។")</f>
        <v/>
      </c>
      <c r="H254" s="3" t="inlineStr">
        <is>
          <t>ចូលដោយប្រើពាក្យសម្ងាត់របស់អ្នក។</t>
        </is>
      </c>
      <c r="I254" s="3" t="n"/>
      <c r="J254" s="3">
        <f>IFERROR(__xludf.DUMMYFUNCTION("GOOGLETRANSLATE(B254,""vi"",""lo"")"),"ເຂົ້າສູ່ລະບົບດ້ວຍລະຫັດຜ່ານຂອງທ່ານ.")</f>
        <v/>
      </c>
      <c r="K254" s="3">
        <f>IF(I254&lt;&gt;"",I254, J254)</f>
        <v/>
      </c>
      <c r="L254" s="3" t="inlineStr">
        <is>
          <t>ចូលដោយប្រើពាក្យសម្ងាត់របស់អ្នក។</t>
        </is>
      </c>
      <c r="M254" s="3" t="n"/>
      <c r="N254" s="3" t="inlineStr">
        <is>
          <t>"login.title": "Log in with password",</t>
        </is>
      </c>
      <c r="O254" s="3" t="n"/>
      <c r="P254" s="3" t="n"/>
      <c r="Q254" s="3" t="n"/>
      <c r="R254" s="3" t="n"/>
      <c r="S254" s="3" t="n"/>
      <c r="T254" s="3" t="n"/>
      <c r="U254" s="3" t="n"/>
      <c r="V254" s="3" t="n"/>
      <c r="W254" s="3" t="n"/>
      <c r="X254" s="3" t="n"/>
      <c r="Y254" s="3" t="n"/>
      <c r="Z254" s="3" t="n"/>
      <c r="AA254" s="3" t="n"/>
    </row>
    <row r="255">
      <c r="A255" s="3" t="inlineStr">
        <is>
          <t>options.all</t>
        </is>
      </c>
      <c r="B255" s="3" t="inlineStr">
        <is>
          <t>Tất cả</t>
        </is>
      </c>
      <c r="C255" s="3" t="inlineStr">
        <is>
          <t>All</t>
        </is>
      </c>
      <c r="D255" s="3">
        <f>IFERROR(__xludf.DUMMYFUNCTION("GOOGLETRANSLATE(B255,""vi"",""en"")"),"All")</f>
        <v/>
      </c>
      <c r="E255" s="3">
        <f>IF(C255&lt;&gt;"",C255, D255)</f>
        <v/>
      </c>
      <c r="F255" s="3" t="n"/>
      <c r="G255" s="3">
        <f>IFERROR(__xludf.DUMMYFUNCTION("GOOGLETRANSLATE(B255,""vi"",""km"")"),"ទាំងអស់")</f>
        <v/>
      </c>
      <c r="H255" s="3" t="inlineStr">
        <is>
          <t>ទាំងអស់</t>
        </is>
      </c>
      <c r="I255" s="3" t="n"/>
      <c r="J255" s="3">
        <f>IFERROR(__xludf.DUMMYFUNCTION("GOOGLETRANSLATE(B255,""vi"",""lo"")"),"ທັງໝົດ")</f>
        <v/>
      </c>
      <c r="K255" s="3">
        <f>IF(I255&lt;&gt;"",I255, J255)</f>
        <v/>
      </c>
      <c r="L255" s="3" t="inlineStr">
        <is>
          <t>ទាំងអស់</t>
        </is>
      </c>
      <c r="M255" s="3" t="n"/>
      <c r="N255" s="3" t="inlineStr">
        <is>
          <t>"options.all": "All",</t>
        </is>
      </c>
      <c r="O255" s="3" t="n"/>
      <c r="P255" s="3" t="n"/>
      <c r="Q255" s="3" t="n"/>
      <c r="R255" s="3" t="n"/>
      <c r="S255" s="3" t="n"/>
      <c r="T255" s="3" t="n"/>
      <c r="U255" s="3" t="n"/>
      <c r="V255" s="3" t="n"/>
      <c r="W255" s="3" t="n"/>
      <c r="X255" s="3" t="n"/>
      <c r="Y255" s="3" t="n"/>
      <c r="Z255" s="3" t="n"/>
      <c r="AA255" s="3" t="n"/>
    </row>
    <row r="256">
      <c r="A256" s="3" t="inlineStr">
        <is>
          <t>options.hotline</t>
        </is>
      </c>
      <c r="B256" s="3" t="inlineStr">
        <is>
          <t>Tổng đài</t>
        </is>
      </c>
      <c r="C256" s="3" t="inlineStr">
        <is>
          <t>Hotline</t>
        </is>
      </c>
      <c r="D256" s="3">
        <f>IFERROR(__xludf.DUMMYFUNCTION("GOOGLETRANSLATE(B256,""vi"",""en"")"),"Call center")</f>
        <v/>
      </c>
      <c r="E256" s="3">
        <f>IF(C256&lt;&gt;"",C256, D256)</f>
        <v/>
      </c>
      <c r="F256" s="3" t="n"/>
      <c r="G256" s="3">
        <f>IFERROR(__xludf.DUMMYFUNCTION("GOOGLETRANSLATE(B256,""vi"",""km"")"),"មជ្ឈមណ្ឌលហៅទូរសព្ទ")</f>
        <v/>
      </c>
      <c r="H256" s="3" t="inlineStr">
        <is>
          <t>លេខទូរស័ព្ទបន្ទាន់ (Hotline)</t>
        </is>
      </c>
      <c r="I256" s="3" t="n"/>
      <c r="J256" s="3">
        <f>IFERROR(__xludf.DUMMYFUNCTION("GOOGLETRANSLATE(B256,""vi"",""lo"")"),"ສູນໂທ")</f>
        <v/>
      </c>
      <c r="K256" s="3">
        <f>IF(I256&lt;&gt;"",I256, J256)</f>
        <v/>
      </c>
      <c r="L256" s="3" t="inlineStr">
        <is>
          <t>លេខទូរស័ព្ទបន្ទាន់ (Hotline)</t>
        </is>
      </c>
      <c r="M256" s="3" t="n"/>
      <c r="N256" s="3" t="inlineStr">
        <is>
          <t>"options.hotline": "Hotline",</t>
        </is>
      </c>
      <c r="O256" s="3" t="n"/>
      <c r="P256" s="3" t="n"/>
      <c r="Q256" s="3" t="n"/>
      <c r="R256" s="3" t="n"/>
      <c r="S256" s="3" t="n"/>
      <c r="T256" s="3" t="n"/>
      <c r="U256" s="3" t="n"/>
      <c r="V256" s="3" t="n"/>
      <c r="W256" s="3" t="n"/>
      <c r="X256" s="3" t="n"/>
      <c r="Y256" s="3" t="n"/>
      <c r="Z256" s="3" t="n"/>
      <c r="AA256" s="3" t="n"/>
    </row>
    <row r="257">
      <c r="A257" s="3" t="inlineStr">
        <is>
          <t>options.inProgress</t>
        </is>
      </c>
      <c r="B257" s="3" t="inlineStr">
        <is>
          <t>Trong hạn</t>
        </is>
      </c>
      <c r="C257" s="3" t="inlineStr">
        <is>
          <t>On time</t>
        </is>
      </c>
      <c r="D257" s="3">
        <f>IFERROR(__xludf.DUMMYFUNCTION("GOOGLETRANSLATE(B257,""vi"",""en"")"),"Within the deadline")</f>
        <v/>
      </c>
      <c r="E257" s="3">
        <f>IF(C257&lt;&gt;"",C257, D257)</f>
        <v/>
      </c>
      <c r="F257" s="3" t="n"/>
      <c r="G257" s="3">
        <f>IFERROR(__xludf.DUMMYFUNCTION("GOOGLETRANSLATE(B257,""vi"",""km"")"),"ក្នុងរយៈពេលកំណត់")</f>
        <v/>
      </c>
      <c r="H257" s="3" t="inlineStr">
        <is>
          <t>ក្នុងរយៈពេលកំណត់</t>
        </is>
      </c>
      <c r="I257" s="3" t="n"/>
      <c r="J257" s="3">
        <f>IFERROR(__xludf.DUMMYFUNCTION("GOOGLETRANSLATE(B257,""vi"",""lo"")"),"ພາຍໃນໄລຍະເວລາກຳນົດ")</f>
        <v/>
      </c>
      <c r="K257" s="3">
        <f>IF(I257&lt;&gt;"",I257, J257)</f>
        <v/>
      </c>
      <c r="L257" s="3" t="inlineStr">
        <is>
          <t>ក្នុងរយៈពេលកំណត់</t>
        </is>
      </c>
      <c r="M257" s="3" t="n"/>
      <c r="N257" s="3" t="inlineStr">
        <is>
          <t>"options.inProgress": "On time",</t>
        </is>
      </c>
      <c r="O257" s="3" t="n"/>
      <c r="P257" s="3" t="n"/>
      <c r="Q257" s="3" t="n"/>
      <c r="R257" s="3" t="n"/>
      <c r="S257" s="3" t="n"/>
      <c r="T257" s="3" t="n"/>
      <c r="U257" s="3" t="n"/>
      <c r="V257" s="3" t="n"/>
      <c r="W257" s="3" t="n"/>
      <c r="X257" s="3" t="n"/>
      <c r="Y257" s="3" t="n"/>
      <c r="Z257" s="3" t="n"/>
      <c r="AA257" s="3" t="n"/>
    </row>
    <row r="258">
      <c r="A258" s="3" t="inlineStr">
        <is>
          <t>options.incoming</t>
        </is>
      </c>
      <c r="B258" s="3" t="inlineStr">
        <is>
          <t>Khiếu nại đến</t>
        </is>
      </c>
      <c r="C258" s="3" t="inlineStr">
        <is>
          <t>Incoming complaints</t>
        </is>
      </c>
      <c r="D258" s="3">
        <f>IFERROR(__xludf.DUMMYFUNCTION("GOOGLETRANSLATE(B258,""vi"",""en"")"),"Complaints received")</f>
        <v/>
      </c>
      <c r="E258" s="3">
        <f>IF(C258&lt;&gt;"",C258, D258)</f>
        <v/>
      </c>
      <c r="F258" s="3" t="n"/>
      <c r="G258" s="3">
        <f>IFERROR(__xludf.DUMMYFUNCTION("GOOGLETRANSLATE(B258,""vi"",""km"")"),"ពាក្យបណ្តឹងដែលបានទទួល")</f>
        <v/>
      </c>
      <c r="H258" s="3" t="inlineStr">
        <is>
          <t>ពាក្យបណ្តឹងដែលបានទទួល</t>
        </is>
      </c>
      <c r="I258" s="3" t="n"/>
      <c r="J258" s="3">
        <f>IFERROR(__xludf.DUMMYFUNCTION("GOOGLETRANSLATE(B258,""vi"",""lo"")"),"ໄດ້ຮັບຄຳຮ້ອງທຸກ")</f>
        <v/>
      </c>
      <c r="K258" s="3">
        <f>IF(I258&lt;&gt;"",I258, J258)</f>
        <v/>
      </c>
      <c r="L258" s="3" t="inlineStr">
        <is>
          <t>ពាក្យបណ្តឹងដែលបានទទួល</t>
        </is>
      </c>
      <c r="M258" s="3" t="n"/>
      <c r="N258" s="3" t="inlineStr">
        <is>
          <t>"options.incoming": "Incoming complaints",</t>
        </is>
      </c>
      <c r="O258" s="3" t="n"/>
      <c r="P258" s="3" t="n"/>
      <c r="Q258" s="3" t="n"/>
      <c r="R258" s="3" t="n"/>
      <c r="S258" s="3" t="n"/>
      <c r="T258" s="3" t="n"/>
      <c r="U258" s="3" t="n"/>
      <c r="V258" s="3" t="n"/>
      <c r="W258" s="3" t="n"/>
      <c r="X258" s="3" t="n"/>
      <c r="Y258" s="3" t="n"/>
      <c r="Z258" s="3" t="n"/>
      <c r="AA258" s="3" t="n"/>
    </row>
    <row r="259">
      <c r="A259" s="3" t="inlineStr">
        <is>
          <t>options.internalSystem</t>
        </is>
      </c>
      <c r="B259" s="3" t="inlineStr">
        <is>
          <t>Hệ thống nội bộ</t>
        </is>
      </c>
      <c r="C259" s="3" t="inlineStr">
        <is>
          <t>Internal system</t>
        </is>
      </c>
      <c r="D259" s="3">
        <f>IFERROR(__xludf.DUMMYFUNCTION("GOOGLETRANSLATE(B259,""vi"",""en"")"),"Internal system")</f>
        <v/>
      </c>
      <c r="E259" s="3">
        <f>IF(C259&lt;&gt;"",C259, D259)</f>
        <v/>
      </c>
      <c r="F259" s="3" t="n"/>
      <c r="G259" s="3">
        <f>IFERROR(__xludf.DUMMYFUNCTION("GOOGLETRANSLATE(B259,""vi"",""km"")"),"ប្រព័ន្ធខាងក្នុង")</f>
        <v/>
      </c>
      <c r="H259" s="3" t="inlineStr">
        <is>
          <t>ប្រព័ន្ធខាងក្នុង</t>
        </is>
      </c>
      <c r="I259" s="3" t="n"/>
      <c r="J259" s="3">
        <f>IFERROR(__xludf.DUMMYFUNCTION("GOOGLETRANSLATE(B259,""vi"",""lo"")"),"ລະບົບພາຍໃນ")</f>
        <v/>
      </c>
      <c r="K259" s="3">
        <f>IF(I259&lt;&gt;"",I259, J259)</f>
        <v/>
      </c>
      <c r="L259" s="3" t="inlineStr">
        <is>
          <t>ប្រព័ន្ធខាងក្នុង</t>
        </is>
      </c>
      <c r="M259" s="3" t="n"/>
      <c r="N259" s="3" t="inlineStr">
        <is>
          <t>"options.internalSystem": "Internal system",</t>
        </is>
      </c>
      <c r="O259" s="3" t="n"/>
      <c r="P259" s="3" t="n"/>
      <c r="Q259" s="3" t="n"/>
      <c r="R259" s="3" t="n"/>
      <c r="S259" s="3" t="n"/>
      <c r="T259" s="3" t="n"/>
      <c r="U259" s="3" t="n"/>
      <c r="V259" s="3" t="n"/>
      <c r="W259" s="3" t="n"/>
      <c r="X259" s="3" t="n"/>
      <c r="Y259" s="3" t="n"/>
      <c r="Z259" s="3" t="n"/>
      <c r="AA259" s="3" t="n"/>
    </row>
    <row r="260">
      <c r="A260" s="3" t="inlineStr">
        <is>
          <t>options.mail</t>
        </is>
      </c>
      <c r="B260" s="3" t="inlineStr">
        <is>
          <t>Mail</t>
        </is>
      </c>
      <c r="C260" s="3" t="inlineStr">
        <is>
          <t>Email</t>
        </is>
      </c>
      <c r="D260" s="3">
        <f>IFERROR(__xludf.DUMMYFUNCTION("GOOGLETRANSLATE(B260,""vi"",""en"")"),"Mail")</f>
        <v/>
      </c>
      <c r="E260" s="3">
        <f>IF(C260&lt;&gt;"",C260, D260)</f>
        <v/>
      </c>
      <c r="F260" s="3" t="n"/>
      <c r="G260" s="3">
        <f>IFERROR(__xludf.DUMMYFUNCTION("GOOGLETRANSLATE(B260,""vi"",""km"")"),"សំបុត្រ")</f>
        <v/>
      </c>
      <c r="H260" s="3" t="inlineStr">
        <is>
          <t>សំបុត្រ</t>
        </is>
      </c>
      <c r="I260" s="3" t="n"/>
      <c r="J260" s="3">
        <f>IFERROR(__xludf.DUMMYFUNCTION("GOOGLETRANSLATE(B260,""vi"",""lo"")"),"ຈົດໝາຍ")</f>
        <v/>
      </c>
      <c r="K260" s="3">
        <f>IF(I260&lt;&gt;"",I260, J260)</f>
        <v/>
      </c>
      <c r="L260" s="3" t="inlineStr">
        <is>
          <t>សំបុត្រ</t>
        </is>
      </c>
      <c r="M260" s="3" t="n"/>
      <c r="N260" s="3" t="inlineStr">
        <is>
          <t>"options.mail": "Email",</t>
        </is>
      </c>
      <c r="O260" s="3" t="n"/>
      <c r="P260" s="3" t="n"/>
      <c r="Q260" s="3" t="n"/>
      <c r="R260" s="3" t="n"/>
      <c r="S260" s="3" t="n"/>
      <c r="T260" s="3" t="n"/>
      <c r="U260" s="3" t="n"/>
      <c r="V260" s="3" t="n"/>
      <c r="W260" s="3" t="n"/>
      <c r="X260" s="3" t="n"/>
      <c r="Y260" s="3" t="n"/>
      <c r="Z260" s="3" t="n"/>
      <c r="AA260" s="3" t="n"/>
    </row>
    <row r="261">
      <c r="A261" s="3" t="inlineStr">
        <is>
          <t>options.nearDeadline</t>
        </is>
      </c>
      <c r="B261" s="3" t="inlineStr">
        <is>
          <t>Sắp hết hạn</t>
        </is>
      </c>
      <c r="C261" s="3" t="inlineStr">
        <is>
          <t>Expiring soon</t>
        </is>
      </c>
      <c r="D261" s="3">
        <f>IFERROR(__xludf.DUMMYFUNCTION("GOOGLETRANSLATE(B261,""vi"",""en"")"),"Expiring soon")</f>
        <v/>
      </c>
      <c r="E261" s="3">
        <f>IF(C261&lt;&gt;"",C261, D261)</f>
        <v/>
      </c>
      <c r="F261" s="3" t="n"/>
      <c r="G261" s="3">
        <f>IFERROR(__xludf.DUMMYFUNCTION("GOOGLETRANSLATE(B261,""vi"",""km"")"),"ផុតកំណត់ឆាប់ៗនេះ")</f>
        <v/>
      </c>
      <c r="H261" s="3" t="inlineStr">
        <is>
          <t>ផុតកំណត់ឆាប់ៗនេះ</t>
        </is>
      </c>
      <c r="I261" s="3" t="n"/>
      <c r="J261" s="3">
        <f>IFERROR(__xludf.DUMMYFUNCTION("GOOGLETRANSLATE(B261,""vi"",""lo"")"),"ໝົດອາຍຸໃນໄວໆນີ້")</f>
        <v/>
      </c>
      <c r="K261" s="3">
        <f>IF(I261&lt;&gt;"",I261, J261)</f>
        <v/>
      </c>
      <c r="L261" s="3" t="inlineStr">
        <is>
          <t>ផុតកំណត់ឆាប់ៗនេះ</t>
        </is>
      </c>
      <c r="M261" s="3" t="n"/>
      <c r="N261" s="3" t="inlineStr">
        <is>
          <t>"options.nearDeadline": "Expiring soon",</t>
        </is>
      </c>
      <c r="O261" s="3" t="n"/>
      <c r="P261" s="3" t="n"/>
      <c r="Q261" s="3" t="n"/>
      <c r="R261" s="3" t="n"/>
      <c r="S261" s="3" t="n"/>
      <c r="T261" s="3" t="n"/>
      <c r="U261" s="3" t="n"/>
      <c r="V261" s="3" t="n"/>
      <c r="W261" s="3" t="n"/>
      <c r="X261" s="3" t="n"/>
      <c r="Y261" s="3" t="n"/>
      <c r="Z261" s="3" t="n"/>
      <c r="AA261" s="3" t="n"/>
    </row>
    <row r="262">
      <c r="A262" s="3" t="inlineStr">
        <is>
          <t>options.normal</t>
        </is>
      </c>
      <c r="B262" s="3" t="inlineStr">
        <is>
          <t>Bình thường</t>
        </is>
      </c>
      <c r="C262" s="3" t="inlineStr">
        <is>
          <t>Normal</t>
        </is>
      </c>
      <c r="D262" s="3">
        <f>IFERROR(__xludf.DUMMYFUNCTION("GOOGLETRANSLATE(B262,""vi"",""en"")"),"Normal")</f>
        <v/>
      </c>
      <c r="E262" s="3">
        <f>IF(C262&lt;&gt;"",C262, D262)</f>
        <v/>
      </c>
      <c r="F262" s="3" t="n"/>
      <c r="G262" s="3">
        <f>IFERROR(__xludf.DUMMYFUNCTION("GOOGLETRANSLATE(B262,""vi"",""km"")"),"ធម្មតា")</f>
        <v/>
      </c>
      <c r="H262" s="3" t="inlineStr">
        <is>
          <t>ធម្មតា</t>
        </is>
      </c>
      <c r="I262" s="3" t="n"/>
      <c r="J262" s="3">
        <f>IFERROR(__xludf.DUMMYFUNCTION("GOOGLETRANSLATE(B262,""vi"",""lo"")"),"ປົກກະຕິ")</f>
        <v/>
      </c>
      <c r="K262" s="3">
        <f>IF(I262&lt;&gt;"",I262, J262)</f>
        <v/>
      </c>
      <c r="L262" s="3" t="inlineStr">
        <is>
          <t>ធម្មតា</t>
        </is>
      </c>
      <c r="M262" s="3" t="n"/>
      <c r="N262" s="3" t="inlineStr">
        <is>
          <t>"options.normal": "Normal",</t>
        </is>
      </c>
      <c r="O262" s="3" t="n"/>
      <c r="P262" s="3" t="n"/>
      <c r="Q262" s="3" t="n"/>
      <c r="R262" s="3" t="n"/>
      <c r="S262" s="3" t="n"/>
      <c r="T262" s="3" t="n"/>
      <c r="U262" s="3" t="n"/>
      <c r="V262" s="3" t="n"/>
      <c r="W262" s="3" t="n"/>
      <c r="X262" s="3" t="n"/>
      <c r="Y262" s="3" t="n"/>
      <c r="Z262" s="3" t="n"/>
      <c r="AA262" s="3" t="n"/>
    </row>
    <row r="263">
      <c r="A263" s="3" t="inlineStr">
        <is>
          <t>options.outcoming</t>
        </is>
      </c>
      <c r="B263" s="3" t="inlineStr">
        <is>
          <t>Khiếu nại đi</t>
        </is>
      </c>
      <c r="C263" s="3" t="inlineStr">
        <is>
          <t>Outgoing complaints</t>
        </is>
      </c>
      <c r="D263" s="3">
        <f>IFERROR(__xludf.DUMMYFUNCTION("GOOGLETRANSLATE(B263,""vi"",""en"")"),"File a complaint.")</f>
        <v/>
      </c>
      <c r="E263" s="3">
        <f>IF(C263&lt;&gt;"",C263, D263)</f>
        <v/>
      </c>
      <c r="F263" s="3" t="n"/>
      <c r="G263" s="3">
        <f>IFERROR(__xludf.DUMMYFUNCTION("GOOGLETRANSLATE(B263,""vi"",""km"")"),"ដាក់ពាក្យបណ្តឹង។")</f>
        <v/>
      </c>
      <c r="H263" s="3" t="inlineStr">
        <is>
          <t>ដាក់ពាក្យបណ្តឹង។</t>
        </is>
      </c>
      <c r="I263" s="3" t="n"/>
      <c r="J263" s="3">
        <f>IFERROR(__xludf.DUMMYFUNCTION("GOOGLETRANSLATE(B263,""vi"",""lo"")"),"ຍື່ນຄຳຮ້ອງທຸກ.")</f>
        <v/>
      </c>
      <c r="K263" s="3">
        <f>IF(I263&lt;&gt;"",I263, J263)</f>
        <v/>
      </c>
      <c r="L263" s="3" t="inlineStr">
        <is>
          <t>ដាក់ពាក្យបណ្តឹង។</t>
        </is>
      </c>
      <c r="M263" s="3" t="n"/>
      <c r="N263" s="3" t="inlineStr">
        <is>
          <t>"options.outcoming": "Outgoing complaints",</t>
        </is>
      </c>
      <c r="O263" s="3" t="n"/>
      <c r="P263" s="3" t="n"/>
      <c r="Q263" s="3" t="n"/>
      <c r="R263" s="3" t="n"/>
      <c r="S263" s="3" t="n"/>
      <c r="T263" s="3" t="n"/>
      <c r="U263" s="3" t="n"/>
      <c r="V263" s="3" t="n"/>
      <c r="W263" s="3" t="n"/>
      <c r="X263" s="3" t="n"/>
      <c r="Y263" s="3" t="n"/>
      <c r="Z263" s="3" t="n"/>
      <c r="AA263" s="3" t="n"/>
    </row>
    <row r="264">
      <c r="A264" s="3" t="inlineStr">
        <is>
          <t>options.overdue</t>
        </is>
      </c>
      <c r="B264" s="3" t="inlineStr">
        <is>
          <t>Hết hạn</t>
        </is>
      </c>
      <c r="C264" s="3" t="inlineStr">
        <is>
          <t>Expired</t>
        </is>
      </c>
      <c r="D264" s="3">
        <f>IFERROR(__xludf.DUMMYFUNCTION("GOOGLETRANSLATE(B264,""vi"",""en"")"),"Expired")</f>
        <v/>
      </c>
      <c r="E264" s="3">
        <f>IF(C264&lt;&gt;"",C264, D264)</f>
        <v/>
      </c>
      <c r="F264" s="3" t="n"/>
      <c r="G264" s="3">
        <f>IFERROR(__xludf.DUMMYFUNCTION("GOOGLETRANSLATE(B264,""vi"",""km"")"),"ផុតកំណត់")</f>
        <v/>
      </c>
      <c r="H264" s="3" t="inlineStr">
        <is>
          <t>ផុតកំណត់</t>
        </is>
      </c>
      <c r="I264" s="3" t="n"/>
      <c r="J264" s="3">
        <f>IFERROR(__xludf.DUMMYFUNCTION("GOOGLETRANSLATE(B264,""vi"",""lo"")"),"ໝົດອາຍຸແລ້ວ")</f>
        <v/>
      </c>
      <c r="K264" s="3">
        <f>IF(I264&lt;&gt;"",I264, J264)</f>
        <v/>
      </c>
      <c r="L264" s="3" t="inlineStr">
        <is>
          <t>ផុតកំណត់</t>
        </is>
      </c>
      <c r="M264" s="3" t="n"/>
      <c r="N264" s="3" t="inlineStr">
        <is>
          <t>"options.overdue": "Expired",</t>
        </is>
      </c>
      <c r="O264" s="3" t="n"/>
      <c r="P264" s="3" t="n"/>
      <c r="Q264" s="3" t="n"/>
      <c r="R264" s="3" t="n"/>
      <c r="S264" s="3" t="n"/>
      <c r="T264" s="3" t="n"/>
      <c r="U264" s="3" t="n"/>
      <c r="V264" s="3" t="n"/>
      <c r="W264" s="3" t="n"/>
      <c r="X264" s="3" t="n"/>
      <c r="Y264" s="3" t="n"/>
      <c r="Z264" s="3" t="n"/>
      <c r="AA264" s="3" t="n"/>
    </row>
    <row r="265">
      <c r="A265" s="3" t="inlineStr">
        <is>
          <t>options.postOfficeChannel</t>
        </is>
      </c>
      <c r="B265" s="3" t="inlineStr">
        <is>
          <t>Kênh bưu cục</t>
        </is>
      </c>
      <c r="C265" s="3" t="inlineStr">
        <is>
          <t>PO Channel</t>
        </is>
      </c>
      <c r="D265" s="3">
        <f>IFERROR(__xludf.DUMMYFUNCTION("GOOGLETRANSLATE(B265,""vi"",""en"")"),"Postal Channel")</f>
        <v/>
      </c>
      <c r="E265" s="3">
        <f>IF(C265&lt;&gt;"",C265, D265)</f>
        <v/>
      </c>
      <c r="F265" s="3" t="n"/>
      <c r="G265" s="3">
        <f>IFERROR(__xludf.DUMMYFUNCTION("GOOGLETRANSLATE(B265,""vi"",""km"")"),"ប៉ុស្តិ៍ប្រៃសណីយ៍")</f>
        <v/>
      </c>
      <c r="H265" s="3" t="inlineStr">
        <is>
          <t>ប៉ុស្តិ៍ប្រៃសណីយ៍</t>
        </is>
      </c>
      <c r="I265" s="3" t="n"/>
      <c r="J265" s="3">
        <f>IFERROR(__xludf.DUMMYFUNCTION("GOOGLETRANSLATE(B265,""vi"",""lo"")"),"ຊ່ອງທາງໄປສະນີ")</f>
        <v/>
      </c>
      <c r="K265" s="3">
        <f>IF(I265&lt;&gt;"",I265, J265)</f>
        <v/>
      </c>
      <c r="L265" s="3" t="inlineStr">
        <is>
          <t>ប៉ុស្តិ៍ប្រៃសណីយ៍</t>
        </is>
      </c>
      <c r="M265" s="3" t="n"/>
      <c r="N265" s="3" t="inlineStr">
        <is>
          <t>"options.postOfficeChannel": "PO Channel",</t>
        </is>
      </c>
      <c r="O265" s="3" t="n"/>
      <c r="P265" s="3" t="n"/>
      <c r="Q265" s="3" t="n"/>
      <c r="R265" s="3" t="n"/>
      <c r="S265" s="3" t="n"/>
      <c r="T265" s="3" t="n"/>
      <c r="U265" s="3" t="n"/>
      <c r="V265" s="3" t="n"/>
      <c r="W265" s="3" t="n"/>
      <c r="X265" s="3" t="n"/>
      <c r="Y265" s="3" t="n"/>
      <c r="Z265" s="3" t="n"/>
      <c r="AA265" s="3" t="n"/>
    </row>
    <row r="266">
      <c r="A266" s="3" t="inlineStr">
        <is>
          <t>options.socialMedia</t>
        </is>
      </c>
      <c r="B266" s="3" t="inlineStr">
        <is>
          <t>Mạng xã hội</t>
        </is>
      </c>
      <c r="C266" s="3" t="inlineStr">
        <is>
          <t>Social media</t>
        </is>
      </c>
      <c r="D266" s="3">
        <f>IFERROR(__xludf.DUMMYFUNCTION("GOOGLETRANSLATE(B266,""vi"",""en"")"),"Social network")</f>
        <v/>
      </c>
      <c r="E266" s="3">
        <f>IF(C266&lt;&gt;"",C266, D266)</f>
        <v/>
      </c>
      <c r="F266" s="3" t="n"/>
      <c r="G266" s="3">
        <f>IFERROR(__xludf.DUMMYFUNCTION("GOOGLETRANSLATE(B266,""vi"",""km"")"),"បណ្តាញសង្គម")</f>
        <v/>
      </c>
      <c r="H266" s="3" t="inlineStr">
        <is>
          <t>បណ្តាញសង្គម</t>
        </is>
      </c>
      <c r="I266" s="3" t="n"/>
      <c r="J266" s="3">
        <f>IFERROR(__xludf.DUMMYFUNCTION("GOOGLETRANSLATE(B266,""vi"",""lo"")"),"ເຄືອຂ່າຍສັງຄົມ")</f>
        <v/>
      </c>
      <c r="K266" s="3">
        <f>IF(I266&lt;&gt;"",I266, J266)</f>
        <v/>
      </c>
      <c r="L266" s="3" t="inlineStr">
        <is>
          <t>បណ្តាញសង្គម</t>
        </is>
      </c>
      <c r="M266" s="3" t="n"/>
      <c r="N266" s="3" t="inlineStr">
        <is>
          <t>"options.socialMedia": "Social media",</t>
        </is>
      </c>
      <c r="O266" s="3" t="n"/>
      <c r="P266" s="3" t="n"/>
      <c r="Q266" s="3" t="n"/>
      <c r="R266" s="3" t="n"/>
      <c r="S266" s="3" t="n"/>
      <c r="T266" s="3" t="n"/>
      <c r="U266" s="3" t="n"/>
      <c r="V266" s="3" t="n"/>
      <c r="W266" s="3" t="n"/>
      <c r="X266" s="3" t="n"/>
      <c r="Y266" s="3" t="n"/>
      <c r="Z266" s="3" t="n"/>
      <c r="AA266" s="3" t="n"/>
    </row>
    <row r="267">
      <c r="A267" s="3" t="inlineStr">
        <is>
          <t>options.timer</t>
        </is>
      </c>
      <c r="B267" s="3" t="inlineStr">
        <is>
          <t>Hẹn giờ/ hồ sơ thầu</t>
        </is>
      </c>
      <c r="C267" s="3" t="inlineStr">
        <is>
          <t>Scheduled / Tender file</t>
        </is>
      </c>
      <c r="D267" s="3">
        <f>IFERROR(__xludf.DUMMYFUNCTION("GOOGLETRANSLATE(B267,""vi"",""en"")"),"Appointment/Tender documents")</f>
        <v/>
      </c>
      <c r="E267" s="3">
        <f>IF(C267&lt;&gt;"",C267, D267)</f>
        <v/>
      </c>
      <c r="F267" s="3" t="n"/>
      <c r="G267" s="3">
        <f>IFERROR(__xludf.DUMMYFUNCTION("GOOGLETRANSLATE(B267,""vi"",""km"")"),"ឯកសារតែងតាំង/ឯកសារដេញថ្លៃ")</f>
        <v/>
      </c>
      <c r="H267" s="3" t="inlineStr">
        <is>
          <t>ឯកសារតែងតាំង/ឯកសារដេញថ្លៃ</t>
        </is>
      </c>
      <c r="I267" s="3" t="n"/>
      <c r="J267" s="3">
        <f>IFERROR(__xludf.DUMMYFUNCTION("GOOGLETRANSLATE(B267,""vi"",""lo"")"),"ເອກະສານແຕ່ງຕັ້ງ/ປະມູນ")</f>
        <v/>
      </c>
      <c r="K267" s="3">
        <f>IF(I267&lt;&gt;"",I267, J267)</f>
        <v/>
      </c>
      <c r="L267" s="3" t="inlineStr">
        <is>
          <t>ឯកសារតែងតាំង/ឯកសារដេញថ្លៃ</t>
        </is>
      </c>
      <c r="M267" s="3" t="n"/>
      <c r="N267" s="3" t="inlineStr">
        <is>
          <t>"options.timer": "Scheduled / Tender file",</t>
        </is>
      </c>
      <c r="O267" s="3" t="n"/>
      <c r="P267" s="3" t="n"/>
      <c r="Q267" s="3" t="n"/>
      <c r="R267" s="3" t="n"/>
      <c r="S267" s="3" t="n"/>
      <c r="T267" s="3" t="n"/>
      <c r="U267" s="3" t="n"/>
      <c r="V267" s="3" t="n"/>
      <c r="W267" s="3" t="n"/>
      <c r="X267" s="3" t="n"/>
      <c r="Y267" s="3" t="n"/>
      <c r="Z267" s="3" t="n"/>
      <c r="AA267" s="3" t="n"/>
    </row>
    <row r="268">
      <c r="A268" s="3" t="inlineStr">
        <is>
          <t>options.unique</t>
        </is>
      </c>
      <c r="B268" s="3" t="inlineStr">
        <is>
          <t>KH đặc thù</t>
        </is>
      </c>
      <c r="C268" s="3" t="inlineStr">
        <is>
          <t>Special customer</t>
        </is>
      </c>
      <c r="D268" s="3">
        <f>IFERROR(__xludf.DUMMYFUNCTION("GOOGLETRANSLATE(B268,""vi"",""en"")"),"Special customers")</f>
        <v/>
      </c>
      <c r="E268" s="3">
        <f>IF(C268&lt;&gt;"",C268, D268)</f>
        <v/>
      </c>
      <c r="F268" s="3" t="n"/>
      <c r="G268" s="3">
        <f>IFERROR(__xludf.DUMMYFUNCTION("GOOGLETRANSLATE(B268,""vi"",""km"")"),"អតិថិជនពិសេស")</f>
        <v/>
      </c>
      <c r="H268" s="3" t="inlineStr">
        <is>
          <t>អតិថិជនពិសេស</t>
        </is>
      </c>
      <c r="I268" s="3" t="n"/>
      <c r="J268" s="3">
        <f>IFERROR(__xludf.DUMMYFUNCTION("GOOGLETRANSLATE(B268,""vi"",""lo"")"),"ລູກຄ້າພິເສດ")</f>
        <v/>
      </c>
      <c r="K268" s="3">
        <f>IF(I268&lt;&gt;"",I268, J268)</f>
        <v/>
      </c>
      <c r="L268" s="3" t="inlineStr">
        <is>
          <t>អតិថិជនពិសេស</t>
        </is>
      </c>
      <c r="M268" s="3" t="n"/>
      <c r="N268" s="3" t="inlineStr">
        <is>
          <t>"options.unique": "Special customer",</t>
        </is>
      </c>
      <c r="O268" s="3" t="n"/>
      <c r="P268" s="3" t="n"/>
      <c r="Q268" s="3" t="n"/>
      <c r="R268" s="3" t="n"/>
      <c r="S268" s="3" t="n"/>
      <c r="T268" s="3" t="n"/>
      <c r="U268" s="3" t="n"/>
      <c r="V268" s="3" t="n"/>
      <c r="W268" s="3" t="n"/>
      <c r="X268" s="3" t="n"/>
      <c r="Y268" s="3" t="n"/>
      <c r="Z268" s="3" t="n"/>
      <c r="AA268" s="3" t="n"/>
    </row>
    <row r="269">
      <c r="A269" s="3" t="inlineStr">
        <is>
          <t>options.urgent</t>
        </is>
      </c>
      <c r="B269" s="3" t="inlineStr">
        <is>
          <t>Hot</t>
        </is>
      </c>
      <c r="C269" s="3" t="inlineStr">
        <is>
          <t>hot</t>
        </is>
      </c>
      <c r="D269" s="3">
        <f>IFERROR(__xludf.DUMMYFUNCTION("GOOGLETRANSLATE(B269,""vi"",""en"")"),"Hot")</f>
        <v/>
      </c>
      <c r="E269" s="3">
        <f>IF(C269&lt;&gt;"",C269, D269)</f>
        <v/>
      </c>
      <c r="F269" s="3" t="n"/>
      <c r="G269" s="3">
        <f>IFERROR(__xludf.DUMMYFUNCTION("GOOGLETRANSLATE(B269,""vi"",""km"")"),"ក្តៅ")</f>
        <v/>
      </c>
      <c r="H269" s="3" t="inlineStr">
        <is>
          <t>ក្តៅ</t>
        </is>
      </c>
      <c r="I269" s="3" t="n"/>
      <c r="J269" s="3">
        <f>IFERROR(__xludf.DUMMYFUNCTION("GOOGLETRANSLATE(B269,""vi"",""lo"")"),"ຮ້ອນ")</f>
        <v/>
      </c>
      <c r="K269" s="3">
        <f>IF(I269&lt;&gt;"",I269, J269)</f>
        <v/>
      </c>
      <c r="L269" s="3" t="inlineStr">
        <is>
          <t>ក្តៅ</t>
        </is>
      </c>
      <c r="M269" s="3" t="n"/>
      <c r="N269" s="3" t="inlineStr">
        <is>
          <t>"options.urgent": "hot",</t>
        </is>
      </c>
      <c r="O269" s="3" t="n"/>
      <c r="P269" s="3" t="n"/>
      <c r="Q269" s="3" t="n"/>
      <c r="R269" s="3" t="n"/>
      <c r="S269" s="3" t="n"/>
      <c r="T269" s="3" t="n"/>
      <c r="U269" s="3" t="n"/>
      <c r="V269" s="3" t="n"/>
      <c r="W269" s="3" t="n"/>
      <c r="X269" s="3" t="n"/>
      <c r="Y269" s="3" t="n"/>
      <c r="Z269" s="3" t="n"/>
      <c r="AA269" s="3" t="n"/>
    </row>
    <row r="270">
      <c r="A270" s="3" t="inlineStr">
        <is>
          <t>options.webAppCustomer</t>
        </is>
      </c>
      <c r="B270" s="3" t="inlineStr">
        <is>
          <t>Web/App khách hàng</t>
        </is>
      </c>
      <c r="C270" s="3" t="inlineStr">
        <is>
          <t>Customer Web/App</t>
        </is>
      </c>
      <c r="D270" s="3">
        <f>IFERROR(__xludf.DUMMYFUNCTION("GOOGLETRANSLATE(B270,""vi"",""en"")"),"Customer Web/App")</f>
        <v/>
      </c>
      <c r="E270" s="3">
        <f>IF(C270&lt;&gt;"",C270, D270)</f>
        <v/>
      </c>
      <c r="F270" s="3" t="n"/>
      <c r="G270" s="3">
        <f>IFERROR(__xludf.DUMMYFUNCTION("GOOGLETRANSLATE(B270,""vi"",""km"")"),"គេហទំព័រ/កម្មវិធីអតិថិជន")</f>
        <v/>
      </c>
      <c r="H270" s="3" t="inlineStr">
        <is>
          <t>គេហទំព័រ/កម្មវិធីអតិថិជន</t>
        </is>
      </c>
      <c r="I270" s="3" t="n"/>
      <c r="J270" s="3">
        <f>IFERROR(__xludf.DUMMYFUNCTION("GOOGLETRANSLATE(B270,""vi"",""lo"")"),"ເວັບ/ແອັບຂອງລູກຄ້າ")</f>
        <v/>
      </c>
      <c r="K270" s="3">
        <f>IF(I270&lt;&gt;"",I270, J270)</f>
        <v/>
      </c>
      <c r="L270" s="3" t="inlineStr">
        <is>
          <t>គេហទំព័រ/កម្មវិធីអតិថិជន</t>
        </is>
      </c>
      <c r="M270" s="3" t="n"/>
      <c r="N270" s="3" t="inlineStr">
        <is>
          <t>"options.webAppCustomer": "Customer Web/App",</t>
        </is>
      </c>
      <c r="O270" s="3" t="n"/>
      <c r="P270" s="3" t="n"/>
      <c r="Q270" s="3" t="n"/>
      <c r="R270" s="3" t="n"/>
      <c r="S270" s="3" t="n"/>
      <c r="T270" s="3" t="n"/>
      <c r="U270" s="3" t="n"/>
      <c r="V270" s="3" t="n"/>
      <c r="W270" s="3" t="n"/>
      <c r="X270" s="3" t="n"/>
      <c r="Y270" s="3" t="n"/>
      <c r="Z270" s="3" t="n"/>
      <c r="AA270" s="3" t="n"/>
    </row>
    <row r="271">
      <c r="A271" s="3" t="inlineStr">
        <is>
          <t>options.website</t>
        </is>
      </c>
      <c r="B271" s="3" t="inlineStr">
        <is>
          <t>Website</t>
        </is>
      </c>
      <c r="C271" s="3" t="inlineStr">
        <is>
          <t>Website</t>
        </is>
      </c>
      <c r="D271" s="3">
        <f>IFERROR(__xludf.DUMMYFUNCTION("GOOGLETRANSLATE(B271,""vi"",""en"")"),"team")</f>
        <v/>
      </c>
      <c r="E271" s="3">
        <f>IF(C271&lt;&gt;"",C271, D271)</f>
        <v/>
      </c>
      <c r="F271" s="3" t="n"/>
      <c r="G271" s="3">
        <f>IFERROR(__xludf.DUMMYFUNCTION("GOOGLETRANSLATE(B271,""vi"",""km"")"),"ក្រុម")</f>
        <v/>
      </c>
      <c r="H271" s="3" t="inlineStr">
        <is>
          <t>ក្រុម</t>
        </is>
      </c>
      <c r="I271" s="3" t="n"/>
      <c r="J271" s="3">
        <f>IFERROR(__xludf.DUMMYFUNCTION("GOOGLETRANSLATE(B271,""vi"",""lo"")"),"ທີມ")</f>
        <v/>
      </c>
      <c r="K271" s="3">
        <f>IF(I271&lt;&gt;"",I271, J271)</f>
        <v/>
      </c>
      <c r="L271" s="3" t="inlineStr">
        <is>
          <t>ក្រុម</t>
        </is>
      </c>
      <c r="M271" s="3" t="n"/>
      <c r="N271" s="3" t="inlineStr">
        <is>
          <t>"options.website": "Website",</t>
        </is>
      </c>
      <c r="O271" s="3" t="n"/>
      <c r="P271" s="3" t="n"/>
      <c r="Q271" s="3" t="n"/>
      <c r="R271" s="3" t="n"/>
      <c r="S271" s="3" t="n"/>
      <c r="T271" s="3" t="n"/>
      <c r="U271" s="3" t="n"/>
      <c r="V271" s="3" t="n"/>
      <c r="W271" s="3" t="n"/>
      <c r="X271" s="3" t="n"/>
      <c r="Y271" s="3" t="n"/>
      <c r="Z271" s="3" t="n"/>
      <c r="AA271" s="3" t="n"/>
    </row>
    <row r="272">
      <c r="A272" s="3" t="inlineStr">
        <is>
          <t>orderActionHistory.actionPerson</t>
        </is>
      </c>
      <c r="B272" s="3" t="inlineStr">
        <is>
          <t>Người tác động</t>
        </is>
      </c>
      <c r="C272" s="3" t="inlineStr">
        <is>
          <t>Updated by</t>
        </is>
      </c>
      <c r="D272" s="3">
        <f>IFERROR(__xludf.DUMMYFUNCTION("GOOGLETRANSLATE(B272,""vi"",""en"")"),"The influencer")</f>
        <v/>
      </c>
      <c r="E272" s="3">
        <f>IF(C272&lt;&gt;"",C272, D272)</f>
        <v/>
      </c>
      <c r="F272" s="3" t="n"/>
      <c r="G272" s="3">
        <f>IFERROR(__xludf.DUMMYFUNCTION("GOOGLETRANSLATE(B272,""vi"",""km"")"),"អ្នកមានឥទ្ធិពល")</f>
        <v/>
      </c>
      <c r="H272" s="3" t="inlineStr">
        <is>
          <t>អ្នកធ្វើប្រតិបត្តិការ</t>
        </is>
      </c>
      <c r="I272" s="3" t="n"/>
      <c r="J272" s="3">
        <f>IFERROR(__xludf.DUMMYFUNCTION("GOOGLETRANSLATE(B272,""vi"",""lo"")"),"ຜູ້ມີອິດທິພົນ")</f>
        <v/>
      </c>
      <c r="K272" s="3">
        <f>IF(I272&lt;&gt;"",I272, J272)</f>
        <v/>
      </c>
      <c r="L272" s="3" t="inlineStr">
        <is>
          <t>អ្នកធ្វើប្រតិបត្តិការ</t>
        </is>
      </c>
      <c r="M272" s="3" t="n"/>
      <c r="N272" s="3" t="inlineStr">
        <is>
          <t>"orderActionHistory.actionPerson": "Updated by",</t>
        </is>
      </c>
      <c r="O272" s="3" t="n"/>
      <c r="P272" s="3" t="n"/>
      <c r="Q272" s="3" t="n"/>
      <c r="R272" s="3" t="n"/>
      <c r="S272" s="3" t="n"/>
      <c r="T272" s="3" t="n"/>
      <c r="U272" s="3" t="n"/>
      <c r="V272" s="3" t="n"/>
      <c r="W272" s="3" t="n"/>
      <c r="X272" s="3" t="n"/>
      <c r="Y272" s="3" t="n"/>
      <c r="Z272" s="3" t="n"/>
      <c r="AA272" s="3" t="n"/>
    </row>
    <row r="273">
      <c r="A273" s="3" t="inlineStr">
        <is>
          <t>orderActionHistory.actionTime</t>
        </is>
      </c>
      <c r="B273" s="3" t="inlineStr">
        <is>
          <t>Thời gian</t>
        </is>
      </c>
      <c r="C273" s="3" t="inlineStr">
        <is>
          <t>Time</t>
        </is>
      </c>
      <c r="D273" s="3">
        <f>IFERROR(__xludf.DUMMYFUNCTION("GOOGLETRANSLATE(B273,""vi"",""en"")"),"Time")</f>
        <v/>
      </c>
      <c r="E273" s="3">
        <f>IF(C273&lt;&gt;"",C273, D273)</f>
        <v/>
      </c>
      <c r="F273" s="3" t="n"/>
      <c r="G273" s="3">
        <f>IFERROR(__xludf.DUMMYFUNCTION("GOOGLETRANSLATE(B273,""vi"",""km"")"),"ពេលវេលា")</f>
        <v/>
      </c>
      <c r="H273" s="3" t="inlineStr">
        <is>
          <t>ពេលវេលា</t>
        </is>
      </c>
      <c r="I273" s="3" t="n"/>
      <c r="J273" s="3">
        <f>IFERROR(__xludf.DUMMYFUNCTION("GOOGLETRANSLATE(B273,""vi"",""lo"")"),"ເວລາ")</f>
        <v/>
      </c>
      <c r="K273" s="3">
        <f>IF(I273&lt;&gt;"",I273, J273)</f>
        <v/>
      </c>
      <c r="L273" s="3" t="inlineStr">
        <is>
          <t>ពេលវេលា</t>
        </is>
      </c>
      <c r="M273" s="3" t="n"/>
      <c r="N273" s="3" t="inlineStr">
        <is>
          <t>"orderActionHistory.actionTime": "Time",</t>
        </is>
      </c>
      <c r="O273" s="3" t="n"/>
      <c r="P273" s="3" t="n"/>
      <c r="Q273" s="3" t="n"/>
      <c r="R273" s="3" t="n"/>
      <c r="S273" s="3" t="n"/>
      <c r="T273" s="3" t="n"/>
      <c r="U273" s="3" t="n"/>
      <c r="V273" s="3" t="n"/>
      <c r="W273" s="3" t="n"/>
      <c r="X273" s="3" t="n"/>
      <c r="Y273" s="3" t="n"/>
      <c r="Z273" s="3" t="n"/>
      <c r="AA273" s="3" t="n"/>
    </row>
    <row r="274">
      <c r="A274" s="3" t="inlineStr">
        <is>
          <t>orderActionHistory.content</t>
        </is>
      </c>
      <c r="B274" s="3" t="inlineStr">
        <is>
          <t>Nội dung</t>
        </is>
      </c>
      <c r="C274" s="3" t="inlineStr">
        <is>
          <t>Content</t>
        </is>
      </c>
      <c r="D274" s="3">
        <f>IFERROR(__xludf.DUMMYFUNCTION("GOOGLETRANSLATE(B274,""vi"",""en"")"),"Content")</f>
        <v/>
      </c>
      <c r="E274" s="3">
        <f>IF(C274&lt;&gt;"",C274, D274)</f>
        <v/>
      </c>
      <c r="F274" s="3" t="n"/>
      <c r="G274" s="3">
        <f>IFERROR(__xludf.DUMMYFUNCTION("GOOGLETRANSLATE(B274,""vi"",""km"")"),"ខ្លឹមសារ")</f>
        <v/>
      </c>
      <c r="H274" s="3" t="inlineStr">
        <is>
          <t>ខ្លឹមសារ</t>
        </is>
      </c>
      <c r="I274" s="3" t="n"/>
      <c r="J274" s="3">
        <f>IFERROR(__xludf.DUMMYFUNCTION("GOOGLETRANSLATE(B274,""vi"",""lo"")"),"ເນື້ອຫາ")</f>
        <v/>
      </c>
      <c r="K274" s="3">
        <f>IF(I274&lt;&gt;"",I274, J274)</f>
        <v/>
      </c>
      <c r="L274" s="3" t="inlineStr">
        <is>
          <t>ខ្លឹមសារ</t>
        </is>
      </c>
      <c r="M274" s="3" t="n"/>
      <c r="N274" s="3" t="inlineStr">
        <is>
          <t>"orderActionHistory.content": "Content",</t>
        </is>
      </c>
      <c r="O274" s="3" t="n"/>
      <c r="P274" s="3" t="n"/>
      <c r="Q274" s="3" t="n"/>
      <c r="R274" s="3" t="n"/>
      <c r="S274" s="3" t="n"/>
      <c r="T274" s="3" t="n"/>
      <c r="U274" s="3" t="n"/>
      <c r="V274" s="3" t="n"/>
      <c r="W274" s="3" t="n"/>
      <c r="X274" s="3" t="n"/>
      <c r="Y274" s="3" t="n"/>
      <c r="Z274" s="3" t="n"/>
      <c r="AA274" s="3" t="n"/>
    </row>
    <row r="275">
      <c r="A275" s="3" t="inlineStr">
        <is>
          <t>orderActionHistory.destinationPostOffice</t>
        </is>
      </c>
      <c r="B275" s="3" t="inlineStr">
        <is>
          <t>Bưu cục đến</t>
        </is>
      </c>
      <c r="C275" s="3" t="inlineStr">
        <is>
          <t>Destination PO</t>
        </is>
      </c>
      <c r="D275" s="3">
        <f>IFERROR(__xludf.DUMMYFUNCTION("GOOGLETRANSLATE(B275,""vi"",""en"")"),"The post office")</f>
        <v/>
      </c>
      <c r="E275" s="3">
        <f>IF(C275&lt;&gt;"",C275, D275)</f>
        <v/>
      </c>
      <c r="F275" s="3" t="n"/>
      <c r="G275" s="3">
        <f>IFERROR(__xludf.DUMMYFUNCTION("GOOGLETRANSLATE(B275,""vi"",""km"")"),"ការិយាល័យប្រៃសណីយ៍")</f>
        <v/>
      </c>
      <c r="H275" s="3" t="inlineStr">
        <is>
          <t>ការិយាល័យប្រៃសណីយ៍គោលដៅ</t>
        </is>
      </c>
      <c r="I275" s="3" t="n"/>
      <c r="J275" s="3">
        <f>IFERROR(__xludf.DUMMYFUNCTION("GOOGLETRANSLATE(B275,""vi"",""lo"")"),"ທີ່ເຮັດວຽກໄປສະນີ")</f>
        <v/>
      </c>
      <c r="K275" s="3">
        <f>IF(I275&lt;&gt;"",I275, J275)</f>
        <v/>
      </c>
      <c r="L275" s="3" t="inlineStr">
        <is>
          <t>ការិយាល័យប្រៃសណីយ៍គោលដៅ</t>
        </is>
      </c>
      <c r="M275" s="3" t="n"/>
      <c r="N275" s="3" t="inlineStr">
        <is>
          <t>"orderActionHistory.destinationPostOffice": "Destination PO",</t>
        </is>
      </c>
      <c r="O275" s="3" t="n"/>
      <c r="P275" s="3" t="n"/>
      <c r="Q275" s="3" t="n"/>
      <c r="R275" s="3" t="n"/>
      <c r="S275" s="3" t="n"/>
      <c r="T275" s="3" t="n"/>
      <c r="U275" s="3" t="n"/>
      <c r="V275" s="3" t="n"/>
      <c r="W275" s="3" t="n"/>
      <c r="X275" s="3" t="n"/>
      <c r="Y275" s="3" t="n"/>
      <c r="Z275" s="3" t="n"/>
      <c r="AA275" s="3" t="n"/>
    </row>
    <row r="276">
      <c r="A276" s="3" t="inlineStr">
        <is>
          <t>orderActionHistory.licensePlate</t>
        </is>
      </c>
      <c r="B276" s="3" t="inlineStr">
        <is>
          <t>Biển số xe</t>
        </is>
      </c>
      <c r="C276" s="3" t="inlineStr">
        <is>
          <t>Vehicle plate number</t>
        </is>
      </c>
      <c r="D276" s="3">
        <f>IFERROR(__xludf.DUMMYFUNCTION("GOOGLETRANSLATE(B276,""vi"",""en"")"),"Vehicle license plate")</f>
        <v/>
      </c>
      <c r="E276" s="3">
        <f>IF(C276&lt;&gt;"",C276, D276)</f>
        <v/>
      </c>
      <c r="F276" s="3" t="n"/>
      <c r="G276" s="3">
        <f>IFERROR(__xludf.DUMMYFUNCTION("GOOGLETRANSLATE(B276,""vi"",""km"")"),"ផ្លាកលេខយានយន្ត")</f>
        <v/>
      </c>
      <c r="H276" s="3" t="inlineStr">
        <is>
          <t>ស្លាកលេខរថយន្ត</t>
        </is>
      </c>
      <c r="I276" s="3" t="n"/>
      <c r="J276" s="3">
        <f>IFERROR(__xludf.DUMMYFUNCTION("GOOGLETRANSLATE(B276,""vi"",""lo"")"),"ປ້າຍທະບຽນລົດ")</f>
        <v/>
      </c>
      <c r="K276" s="3">
        <f>IF(I276&lt;&gt;"",I276, J276)</f>
        <v/>
      </c>
      <c r="L276" s="3" t="inlineStr">
        <is>
          <t>ស្លាកលេខរថយន្ត</t>
        </is>
      </c>
      <c r="M276" s="3" t="n"/>
      <c r="N276" s="3" t="inlineStr">
        <is>
          <t>"orderActionHistory.licensePlate": "Vehicle plate number",</t>
        </is>
      </c>
      <c r="O276" s="3" t="n"/>
      <c r="P276" s="3" t="n"/>
      <c r="Q276" s="3" t="n"/>
      <c r="R276" s="3" t="n"/>
      <c r="S276" s="3" t="n"/>
      <c r="T276" s="3" t="n"/>
      <c r="U276" s="3" t="n"/>
      <c r="V276" s="3" t="n"/>
      <c r="W276" s="3" t="n"/>
      <c r="X276" s="3" t="n"/>
      <c r="Y276" s="3" t="n"/>
      <c r="Z276" s="3" t="n"/>
      <c r="AA276" s="3" t="n"/>
    </row>
    <row r="277">
      <c r="A277" s="3" t="inlineStr">
        <is>
          <t>orderActionHistory.note</t>
        </is>
      </c>
      <c r="B277" s="3" t="inlineStr">
        <is>
          <t>Trạng thái phát hành</t>
        </is>
      </c>
      <c r="C277" s="3" t="inlineStr">
        <is>
          <t>Issuance status</t>
        </is>
      </c>
      <c r="D277" s="3">
        <f>IFERROR(__xludf.DUMMYFUNCTION("GOOGLETRANSLATE(B277,""vi"",""en"")"),"Release status")</f>
        <v/>
      </c>
      <c r="E277" s="3">
        <f>IF(C277&lt;&gt;"",C277, D277)</f>
        <v/>
      </c>
      <c r="F277" s="3" t="n"/>
      <c r="G277" s="3">
        <f>IFERROR(__xludf.DUMMYFUNCTION("GOOGLETRANSLATE(B277,""vi"",""km"")"),"ស្ថានភាពចេញផ្សាយ")</f>
        <v/>
      </c>
      <c r="H277" s="3" t="inlineStr">
        <is>
          <t>ស្ថានភាពចេញផ្សាយ</t>
        </is>
      </c>
      <c r="I277" s="3" t="n"/>
      <c r="J277" s="3">
        <f>IFERROR(__xludf.DUMMYFUNCTION("GOOGLETRANSLATE(B277,""vi"",""lo"")"),"ສະຖານະການປ່ອຍ")</f>
        <v/>
      </c>
      <c r="K277" s="3">
        <f>IF(I277&lt;&gt;"",I277, J277)</f>
        <v/>
      </c>
      <c r="L277" s="3" t="inlineStr">
        <is>
          <t>ស្ថានភាពចេញផ្សាយ</t>
        </is>
      </c>
      <c r="M277" s="3" t="n"/>
      <c r="N277" s="3" t="inlineStr">
        <is>
          <t>"orderActionHistory.note": "Issuance status",</t>
        </is>
      </c>
      <c r="O277" s="3" t="n"/>
      <c r="P277" s="3" t="n"/>
      <c r="Q277" s="3" t="n"/>
      <c r="R277" s="3" t="n"/>
      <c r="S277" s="3" t="n"/>
      <c r="T277" s="3" t="n"/>
      <c r="U277" s="3" t="n"/>
      <c r="V277" s="3" t="n"/>
      <c r="W277" s="3" t="n"/>
      <c r="X277" s="3" t="n"/>
      <c r="Y277" s="3" t="n"/>
      <c r="Z277" s="3" t="n"/>
      <c r="AA277" s="3" t="n"/>
    </row>
    <row r="278">
      <c r="A278" s="3" t="inlineStr">
        <is>
          <t>orderActionHistory.postOffice</t>
        </is>
      </c>
      <c r="B278" s="3" t="inlineStr">
        <is>
          <t>Bưu cục</t>
        </is>
      </c>
      <c r="C278" s="3" t="inlineStr">
        <is>
          <t>Post office</t>
        </is>
      </c>
      <c r="D278" s="3">
        <f>IFERROR(__xludf.DUMMYFUNCTION("GOOGLETRANSLATE(B278,""vi"",""en"")"),"Post Office")</f>
        <v/>
      </c>
      <c r="E278" s="3">
        <f>IF(C278&lt;&gt;"",C278, D278)</f>
        <v/>
      </c>
      <c r="F278" s="3" t="n"/>
      <c r="G278" s="3">
        <f>IFERROR(__xludf.DUMMYFUNCTION("GOOGLETRANSLATE(B278,""vi"",""km"")"),"ការិយាល័យប្រៃសណីយ៍")</f>
        <v/>
      </c>
      <c r="H278" s="3" t="inlineStr">
        <is>
          <t>ការិយាល័យប្រៃសណីយ៍</t>
        </is>
      </c>
      <c r="I278" s="3" t="n"/>
      <c r="J278" s="3">
        <f>IFERROR(__xludf.DUMMYFUNCTION("GOOGLETRANSLATE(B278,""vi"",""lo"")"),"ຫ້ອງການໄປສະນີ")</f>
        <v/>
      </c>
      <c r="K278" s="3">
        <f>IF(I278&lt;&gt;"",I278, J278)</f>
        <v/>
      </c>
      <c r="L278" s="3" t="inlineStr">
        <is>
          <t>ការិយាល័យប្រៃសណីយ៍</t>
        </is>
      </c>
      <c r="M278" s="3" t="n"/>
      <c r="N278" s="3" t="inlineStr">
        <is>
          <t>"orderActionHistory.postOffice": "Post office",</t>
        </is>
      </c>
      <c r="O278" s="3" t="n"/>
      <c r="P278" s="3" t="n"/>
      <c r="Q278" s="3" t="n"/>
      <c r="R278" s="3" t="n"/>
      <c r="S278" s="3" t="n"/>
      <c r="T278" s="3" t="n"/>
      <c r="U278" s="3" t="n"/>
      <c r="V278" s="3" t="n"/>
      <c r="W278" s="3" t="n"/>
      <c r="X278" s="3" t="n"/>
      <c r="Y278" s="3" t="n"/>
      <c r="Z278" s="3" t="n"/>
      <c r="AA278" s="3" t="n"/>
    </row>
    <row r="279">
      <c r="A279" s="3" t="inlineStr">
        <is>
          <t>orderActionHistory.province</t>
        </is>
      </c>
      <c r="B279" s="3" t="inlineStr">
        <is>
          <t>Tỉnh</t>
        </is>
      </c>
      <c r="C279" s="3" t="inlineStr">
        <is>
          <t>Province</t>
        </is>
      </c>
      <c r="D279" s="3">
        <f>IFERROR(__xludf.DUMMYFUNCTION("GOOGLETRANSLATE(B279,""vi"",""en"")"),"Conscious")</f>
        <v/>
      </c>
      <c r="E279" s="3">
        <f>IF(C279&lt;&gt;"",C279, D279)</f>
        <v/>
      </c>
      <c r="F279" s="3" t="n"/>
      <c r="G279" s="3">
        <f>IFERROR(__xludf.DUMMYFUNCTION("GOOGLETRANSLATE(B279,""vi"",""km"")"),"ដឹងខ្លួន")</f>
        <v/>
      </c>
      <c r="H279" s="3" t="inlineStr">
        <is>
          <t>ដឹងខ្លួន</t>
        </is>
      </c>
      <c r="I279" s="3" t="n"/>
      <c r="J279" s="3">
        <f>IFERROR(__xludf.DUMMYFUNCTION("GOOGLETRANSLATE(B279,""vi"",""lo"")"),"ມີສະຕິ")</f>
        <v/>
      </c>
      <c r="K279" s="3">
        <f>IF(I279&lt;&gt;"",I279, J279)</f>
        <v/>
      </c>
      <c r="L279" s="3" t="inlineStr">
        <is>
          <t>ដឹងខ្លួន</t>
        </is>
      </c>
      <c r="M279" s="3" t="n"/>
      <c r="N279" s="3" t="inlineStr">
        <is>
          <t>"orderActionHistory.province": "Province",</t>
        </is>
      </c>
      <c r="O279" s="3" t="n"/>
      <c r="P279" s="3" t="n"/>
      <c r="Q279" s="3" t="n"/>
      <c r="R279" s="3" t="n"/>
      <c r="S279" s="3" t="n"/>
      <c r="T279" s="3" t="n"/>
      <c r="U279" s="3" t="n"/>
      <c r="V279" s="3" t="n"/>
      <c r="W279" s="3" t="n"/>
      <c r="X279" s="3" t="n"/>
      <c r="Y279" s="3" t="n"/>
      <c r="Z279" s="3" t="n"/>
      <c r="AA279" s="3" t="n"/>
    </row>
    <row r="280">
      <c r="A280" s="3" t="inlineStr">
        <is>
          <t>orderActionHistory.status</t>
        </is>
      </c>
      <c r="B280" s="3" t="inlineStr">
        <is>
          <t>Trạng thái</t>
        </is>
      </c>
      <c r="C280" s="3" t="inlineStr">
        <is>
          <t>Status</t>
        </is>
      </c>
      <c r="D280" s="3">
        <f>IFERROR(__xludf.DUMMYFUNCTION("GOOGLETRANSLATE(B280,""vi"",""en"")"),"Status")</f>
        <v/>
      </c>
      <c r="E280" s="3">
        <f>IF(C280&lt;&gt;"",C280, D280)</f>
        <v/>
      </c>
      <c r="F280" s="3" t="n"/>
      <c r="G280" s="3">
        <f>IFERROR(__xludf.DUMMYFUNCTION("GOOGLETRANSLATE(B280,""vi"",""km"")"),"ស្ថានភាព")</f>
        <v/>
      </c>
      <c r="H280" s="3" t="inlineStr">
        <is>
          <t>ស្ថានភាព</t>
        </is>
      </c>
      <c r="I280" s="3" t="n"/>
      <c r="J280" s="3">
        <f>IFERROR(__xludf.DUMMYFUNCTION("GOOGLETRANSLATE(B280,""vi"",""lo"")"),"ສະຖານະ")</f>
        <v/>
      </c>
      <c r="K280" s="3">
        <f>IF(I280&lt;&gt;"",I280, J280)</f>
        <v/>
      </c>
      <c r="L280" s="3" t="inlineStr">
        <is>
          <t>ស្ថានភាព</t>
        </is>
      </c>
      <c r="M280" s="3" t="n"/>
      <c r="N280" s="3" t="inlineStr">
        <is>
          <t>"orderActionHistory.status": "Status",</t>
        </is>
      </c>
      <c r="O280" s="3" t="n"/>
      <c r="P280" s="3" t="n"/>
      <c r="Q280" s="3" t="n"/>
      <c r="R280" s="3" t="n"/>
      <c r="S280" s="3" t="n"/>
      <c r="T280" s="3" t="n"/>
      <c r="U280" s="3" t="n"/>
      <c r="V280" s="3" t="n"/>
      <c r="W280" s="3" t="n"/>
      <c r="X280" s="3" t="n"/>
      <c r="Y280" s="3" t="n"/>
      <c r="Z280" s="3" t="n"/>
      <c r="AA280" s="3" t="n"/>
    </row>
    <row r="281">
      <c r="A281" s="3" t="inlineStr">
        <is>
          <t>orderDetail.address</t>
        </is>
      </c>
      <c r="B281" s="3" t="inlineStr">
        <is>
          <t>Địa chỉ</t>
        </is>
      </c>
      <c r="C281" s="3" t="inlineStr">
        <is>
          <t>Address</t>
        </is>
      </c>
      <c r="D281" s="3">
        <f>IFERROR(__xludf.DUMMYFUNCTION("GOOGLETRANSLATE(B281,""vi"",""en"")"),"Address")</f>
        <v/>
      </c>
      <c r="E281" s="3">
        <f>IF(C281&lt;&gt;"",C281, D281)</f>
        <v/>
      </c>
      <c r="F281" s="3" t="n"/>
      <c r="G281" s="3">
        <f>IFERROR(__xludf.DUMMYFUNCTION("GOOGLETRANSLATE(B281,""vi"",""km"")"),"អាសយដ្ឋាន")</f>
        <v/>
      </c>
      <c r="H281" s="3" t="inlineStr">
        <is>
          <t>អាសយដ្ឋាន</t>
        </is>
      </c>
      <c r="I281" s="3" t="n"/>
      <c r="J281" s="3">
        <f>IFERROR(__xludf.DUMMYFUNCTION("GOOGLETRANSLATE(B281,""vi"",""lo"")"),"ທີ່ຢູ່")</f>
        <v/>
      </c>
      <c r="K281" s="3">
        <f>IF(I281&lt;&gt;"",I281, J281)</f>
        <v/>
      </c>
      <c r="L281" s="3" t="inlineStr">
        <is>
          <t>អាសយដ្ឋាន</t>
        </is>
      </c>
      <c r="M281" s="3" t="n"/>
      <c r="N281" s="3" t="inlineStr">
        <is>
          <t>"orderDetail.address": "Address",</t>
        </is>
      </c>
      <c r="O281" s="3" t="n"/>
      <c r="P281" s="3" t="n"/>
      <c r="Q281" s="3" t="n"/>
      <c r="R281" s="3" t="n"/>
      <c r="S281" s="3" t="n"/>
      <c r="T281" s="3" t="n"/>
      <c r="U281" s="3" t="n"/>
      <c r="V281" s="3" t="n"/>
      <c r="W281" s="3" t="n"/>
      <c r="X281" s="3" t="n"/>
      <c r="Y281" s="3" t="n"/>
      <c r="Z281" s="3" t="n"/>
      <c r="AA281" s="3" t="n"/>
    </row>
    <row r="282">
      <c r="A282" s="3" t="inlineStr">
        <is>
          <t>orderDetail.approvedDate</t>
        </is>
      </c>
      <c r="B282" s="3" t="inlineStr">
        <is>
          <t>Ngày duyệt</t>
        </is>
      </c>
      <c r="C282" s="3" t="inlineStr">
        <is>
          <t>Approval Date</t>
        </is>
      </c>
      <c r="D282" s="3">
        <f>IFERROR(__xludf.DUMMYFUNCTION("GOOGLETRANSLATE(B282,""vi"",""en"")"),"Approval date")</f>
        <v/>
      </c>
      <c r="E282" s="3">
        <f>IF(C282&lt;&gt;"",C282, D282)</f>
        <v/>
      </c>
      <c r="F282" s="3" t="n"/>
      <c r="G282" s="3">
        <f>IFERROR(__xludf.DUMMYFUNCTION("GOOGLETRANSLATE(B282,""vi"",""km"")"),"កាលបរិច្ឆេទអនុម័ត")</f>
        <v/>
      </c>
      <c r="H282" s="3" t="inlineStr">
        <is>
          <t>កាលបរិច្ឆេទអនុម័ត</t>
        </is>
      </c>
      <c r="I282" s="3" t="n"/>
      <c r="J282" s="3">
        <f>IFERROR(__xludf.DUMMYFUNCTION("GOOGLETRANSLATE(B282,""vi"",""lo"")"),"ວັນທີອະນຸມັດ")</f>
        <v/>
      </c>
      <c r="K282" s="3">
        <f>IF(I282&lt;&gt;"",I282, J282)</f>
        <v/>
      </c>
      <c r="L282" s="3" t="inlineStr">
        <is>
          <t>កាលបរិច្ឆេទអនុម័ត</t>
        </is>
      </c>
      <c r="M282" s="3" t="n"/>
      <c r="N282" s="3" t="inlineStr">
        <is>
          <t>"orderDetail.approvedDate": "Approval Date",</t>
        </is>
      </c>
      <c r="O282" s="3" t="n"/>
      <c r="P282" s="3" t="n"/>
      <c r="Q282" s="3" t="n"/>
      <c r="R282" s="3" t="n"/>
      <c r="S282" s="3" t="n"/>
      <c r="T282" s="3" t="n"/>
      <c r="U282" s="3" t="n"/>
      <c r="V282" s="3" t="n"/>
      <c r="W282" s="3" t="n"/>
      <c r="X282" s="3" t="n"/>
      <c r="Y282" s="3" t="n"/>
      <c r="Z282" s="3" t="n"/>
      <c r="AA282" s="3" t="n"/>
    </row>
    <row r="283">
      <c r="A283" s="3" t="inlineStr">
        <is>
          <t>orderDetail.cod</t>
        </is>
      </c>
      <c r="B283" s="3" t="inlineStr">
        <is>
          <t>COD</t>
        </is>
      </c>
      <c r="C283" s="3" t="inlineStr">
        <is>
          <t>COD</t>
        </is>
      </c>
      <c r="D283" s="3">
        <f>IFERROR(__xludf.DUMMYFUNCTION("GOOGLETRANSLATE(B283,""vi"",""en"")"),"COD")</f>
        <v/>
      </c>
      <c r="E283" s="3">
        <f>IF(C283&lt;&gt;"",C283, D283)</f>
        <v/>
      </c>
      <c r="F283" s="3" t="n"/>
      <c r="G283" s="3">
        <f>IFERROR(__xludf.DUMMYFUNCTION("GOOGLETRANSLATE(B283,""vi"",""km"")"),"ប្រតិបត្តិការ​ទូទាត់​ថ្លៃ​សេវា​ (COD)")</f>
        <v/>
      </c>
      <c r="H283" s="3" t="inlineStr">
        <is>
          <t>ប្រតិបត្តិការទូទាត់ថ្លៃសេវា (COD)</t>
        </is>
      </c>
      <c r="I283" s="3" t="n"/>
      <c r="J283" s="3">
        <f>IFERROR(__xludf.DUMMYFUNCTION("GOOGLETRANSLATE(B283,""vi"",""lo"")"),"COD")</f>
        <v/>
      </c>
      <c r="K283" s="3">
        <f>IF(I283&lt;&gt;"",I283, J283)</f>
        <v/>
      </c>
      <c r="L283" s="3" t="inlineStr">
        <is>
          <t>ប្រតិបត្តិការទូទាត់ថ្លៃសេវា (COD)</t>
        </is>
      </c>
      <c r="M283" s="3" t="n"/>
      <c r="N283" s="3" t="inlineStr">
        <is>
          <t>"orderDetail.cod": "COD",</t>
        </is>
      </c>
      <c r="O283" s="3" t="n"/>
      <c r="P283" s="3" t="n"/>
      <c r="Q283" s="3" t="n"/>
      <c r="R283" s="3" t="n"/>
      <c r="S283" s="3" t="n"/>
      <c r="T283" s="3" t="n"/>
      <c r="U283" s="3" t="n"/>
      <c r="V283" s="3" t="n"/>
      <c r="W283" s="3" t="n"/>
      <c r="X283" s="3" t="n"/>
      <c r="Y283" s="3" t="n"/>
      <c r="Z283" s="3" t="n"/>
      <c r="AA283" s="3" t="n"/>
    </row>
    <row r="284">
      <c r="A284" s="3" t="inlineStr">
        <is>
          <t>orderDetail.codAmount</t>
        </is>
      </c>
      <c r="B284" s="3" t="inlineStr">
        <is>
          <t>Thu hộ</t>
        </is>
      </c>
      <c r="C284" s="3" t="inlineStr">
        <is>
          <t>COD Amount</t>
        </is>
      </c>
      <c r="D284" s="3">
        <f>IFERROR(__xludf.DUMMYFUNCTION("GOOGLETRANSLATE(B284,""vi"",""en"")"),"Collection")</f>
        <v/>
      </c>
      <c r="E284" s="3">
        <f>IF(C284&lt;&gt;"",C284, D284)</f>
        <v/>
      </c>
      <c r="F284" s="3" t="n"/>
      <c r="G284" s="3">
        <f>IFERROR(__xludf.DUMMYFUNCTION("GOOGLETRANSLATE(B284,""vi"",""km"")"),"ការប្រមូល")</f>
        <v/>
      </c>
      <c r="H284" s="3" t="inlineStr">
        <is>
          <t>ប្រមូលប្រាក់ជំនួស</t>
        </is>
      </c>
      <c r="I284" s="3" t="n"/>
      <c r="J284" s="3">
        <f>IFERROR(__xludf.DUMMYFUNCTION("GOOGLETRANSLATE(B284,""vi"",""lo"")"),"ຄໍເລັກຊັນ")</f>
        <v/>
      </c>
      <c r="K284" s="3">
        <f>IF(I284&lt;&gt;"",I284, J284)</f>
        <v/>
      </c>
      <c r="L284" s="3" t="inlineStr">
        <is>
          <t>ប្រមូលប្រាក់ជំនួស</t>
        </is>
      </c>
      <c r="M284" s="3" t="n"/>
      <c r="N284" s="3" t="inlineStr">
        <is>
          <t>"orderDetail.codAmount": "COD Amount",</t>
        </is>
      </c>
      <c r="O284" s="3" t="n"/>
      <c r="P284" s="3" t="n"/>
      <c r="Q284" s="3" t="n"/>
      <c r="R284" s="3" t="n"/>
      <c r="S284" s="3" t="n"/>
      <c r="T284" s="3" t="n"/>
      <c r="U284" s="3" t="n"/>
      <c r="V284" s="3" t="n"/>
      <c r="W284" s="3" t="n"/>
      <c r="X284" s="3" t="n"/>
      <c r="Y284" s="3" t="n"/>
      <c r="Z284" s="3" t="n"/>
      <c r="AA284" s="3" t="n"/>
    </row>
    <row r="285">
      <c r="A285" s="3" t="inlineStr">
        <is>
          <t>orderDetail.contactInfo</t>
        </is>
      </c>
      <c r="B285" s="3" t="inlineStr">
        <is>
          <t>Thông tin liên hệ</t>
        </is>
      </c>
      <c r="C285" s="3" t="inlineStr">
        <is>
          <t>Contact Information</t>
        </is>
      </c>
      <c r="D285" s="3">
        <f>IFERROR(__xludf.DUMMYFUNCTION("GOOGLETRANSLATE(B285,""vi"",""en"")"),"Contact information")</f>
        <v/>
      </c>
      <c r="E285" s="3">
        <f>IF(C285&lt;&gt;"",C285, D285)</f>
        <v/>
      </c>
      <c r="F285" s="3" t="n"/>
      <c r="G285" s="3">
        <f>IFERROR(__xludf.DUMMYFUNCTION("GOOGLETRANSLATE(B285,""vi"",""km"")"),"ព័ត៌មានទំនាក់ទំនង")</f>
        <v/>
      </c>
      <c r="H285" s="3" t="inlineStr">
        <is>
          <t>ព័ត៌មានទំនាក់ទំនង</t>
        </is>
      </c>
      <c r="I285" s="3" t="n"/>
      <c r="J285" s="3">
        <f>IFERROR(__xludf.DUMMYFUNCTION("GOOGLETRANSLATE(B285,""vi"",""lo"")"),"ຂໍ້ມູນຕິດຕໍ່")</f>
        <v/>
      </c>
      <c r="K285" s="3">
        <f>IF(I285&lt;&gt;"",I285, J285)</f>
        <v/>
      </c>
      <c r="L285" s="3" t="inlineStr">
        <is>
          <t>ព័ត៌មានទំនាក់ទំនង</t>
        </is>
      </c>
      <c r="M285" s="3" t="n"/>
      <c r="N285" s="3" t="inlineStr">
        <is>
          <t>"orderDetail.contactInfo": "Contact Information",</t>
        </is>
      </c>
      <c r="O285" s="3" t="n"/>
      <c r="P285" s="3" t="n"/>
      <c r="Q285" s="3" t="n"/>
      <c r="R285" s="3" t="n"/>
      <c r="S285" s="3" t="n"/>
      <c r="T285" s="3" t="n"/>
      <c r="U285" s="3" t="n"/>
      <c r="V285" s="3" t="n"/>
      <c r="W285" s="3" t="n"/>
      <c r="X285" s="3" t="n"/>
      <c r="Y285" s="3" t="n"/>
      <c r="Z285" s="3" t="n"/>
      <c r="AA285" s="3" t="n"/>
    </row>
    <row r="286">
      <c r="A286" s="3" t="inlineStr">
        <is>
          <t>orderDetail.customerCode</t>
        </is>
      </c>
      <c r="B286" s="3" t="inlineStr">
        <is>
          <t>Mã KH</t>
        </is>
      </c>
      <c r="C286" s="3" t="inlineStr">
        <is>
          <t>Customer ID</t>
        </is>
      </c>
      <c r="D286" s="3">
        <f>IFERROR(__xludf.DUMMYFUNCTION("GOOGLETRANSLATE(B286,""vi"",""en"")"),"Customer Code")</f>
        <v/>
      </c>
      <c r="E286" s="3">
        <f>IF(C286&lt;&gt;"",C286, D286)</f>
        <v/>
      </c>
      <c r="F286" s="3" t="n"/>
      <c r="G286" s="3">
        <f>IFERROR(__xludf.DUMMYFUNCTION("GOOGLETRANSLATE(B286,""vi"",""km"")"),"លេខកូដអតិថិជន")</f>
        <v/>
      </c>
      <c r="H286" s="3" t="inlineStr">
        <is>
          <t>លេខកូដអតិថិជន</t>
        </is>
      </c>
      <c r="I286" s="3" t="n"/>
      <c r="J286" s="3">
        <f>IFERROR(__xludf.DUMMYFUNCTION("GOOGLETRANSLATE(B286,""vi"",""lo"")"),"ລະຫັດລູກຄ້າ")</f>
        <v/>
      </c>
      <c r="K286" s="3">
        <f>IF(I286&lt;&gt;"",I286, J286)</f>
        <v/>
      </c>
      <c r="L286" s="3" t="inlineStr">
        <is>
          <t>លេខកូដអតិថិជន</t>
        </is>
      </c>
      <c r="M286" s="3" t="n"/>
      <c r="N286" s="3" t="inlineStr">
        <is>
          <t>"orderDetail.customerCode": "Customer ID",</t>
        </is>
      </c>
      <c r="O286" s="3" t="n"/>
      <c r="P286" s="3" t="n"/>
      <c r="Q286" s="3" t="n"/>
      <c r="R286" s="3" t="n"/>
      <c r="S286" s="3" t="n"/>
      <c r="T286" s="3" t="n"/>
      <c r="U286" s="3" t="n"/>
      <c r="V286" s="3" t="n"/>
      <c r="W286" s="3" t="n"/>
      <c r="X286" s="3" t="n"/>
      <c r="Y286" s="3" t="n"/>
      <c r="Z286" s="3" t="n"/>
      <c r="AA286" s="3" t="n"/>
    </row>
    <row r="287">
      <c r="A287" s="3" t="inlineStr">
        <is>
          <t>orderDetail.customerName</t>
        </is>
      </c>
      <c r="B287" s="3" t="inlineStr">
        <is>
          <t>Tên KH</t>
        </is>
      </c>
      <c r="C287" s="3" t="inlineStr">
        <is>
          <t>Customer Name</t>
        </is>
      </c>
      <c r="D287" s="3">
        <f>IFERROR(__xludf.DUMMYFUNCTION("GOOGLETRANSLATE(B287,""vi"",""en"")"),"Customer Name")</f>
        <v/>
      </c>
      <c r="E287" s="3">
        <f>IF(C287&lt;&gt;"",C287, D287)</f>
        <v/>
      </c>
      <c r="F287" s="3" t="n"/>
      <c r="G287" s="3">
        <f>IFERROR(__xludf.DUMMYFUNCTION("GOOGLETRANSLATE(B287,""vi"",""km"")"),"ឈ្មោះអតិថិជន")</f>
        <v/>
      </c>
      <c r="H287" s="3" t="inlineStr">
        <is>
          <t>ឈ្មោះអតិថិជន</t>
        </is>
      </c>
      <c r="I287" s="3" t="n"/>
      <c r="J287" s="3">
        <f>IFERROR(__xludf.DUMMYFUNCTION("GOOGLETRANSLATE(B287,""vi"",""lo"")"),"ຊື່ລູກຄ້າ")</f>
        <v/>
      </c>
      <c r="K287" s="3">
        <f>IF(I287&lt;&gt;"",I287, J287)</f>
        <v/>
      </c>
      <c r="L287" s="3" t="inlineStr">
        <is>
          <t>ឈ្មោះអតិថិជន</t>
        </is>
      </c>
      <c r="M287" s="3" t="n"/>
      <c r="N287" s="3" t="inlineStr">
        <is>
          <t>"orderDetail.customerName": "Customer Name",</t>
        </is>
      </c>
      <c r="O287" s="3" t="n"/>
      <c r="P287" s="3" t="n"/>
      <c r="Q287" s="3" t="n"/>
      <c r="R287" s="3" t="n"/>
      <c r="S287" s="3" t="n"/>
      <c r="T287" s="3" t="n"/>
      <c r="U287" s="3" t="n"/>
      <c r="V287" s="3" t="n"/>
      <c r="W287" s="3" t="n"/>
      <c r="X287" s="3" t="n"/>
      <c r="Y287" s="3" t="n"/>
      <c r="Z287" s="3" t="n"/>
      <c r="AA287" s="3" t="n"/>
    </row>
    <row r="288">
      <c r="A288" s="3" t="inlineStr">
        <is>
          <t>orderDetail.customerType</t>
        </is>
      </c>
      <c r="B288" s="3" t="inlineStr">
        <is>
          <t>Đối tượng KH</t>
        </is>
      </c>
      <c r="C288" s="3" t="inlineStr">
        <is>
          <t>Customer Type</t>
        </is>
      </c>
      <c r="D288" s="3">
        <f>IFERROR(__xludf.DUMMYFUNCTION("GOOGLETRANSLATE(B288,""vi"",""en"")"),"Target customers")</f>
        <v/>
      </c>
      <c r="E288" s="3">
        <f>IF(C288&lt;&gt;"",C288, D288)</f>
        <v/>
      </c>
      <c r="F288" s="3" t="n"/>
      <c r="G288" s="3">
        <f>IFERROR(__xludf.DUMMYFUNCTION("GOOGLETRANSLATE(B288,""vi"",""km"")"),"អតិថិជនគោលដៅ")</f>
        <v/>
      </c>
      <c r="H288" s="3" t="inlineStr">
        <is>
          <t>អតិថិជនគោលដៅ</t>
        </is>
      </c>
      <c r="I288" s="3" t="n"/>
      <c r="J288" s="3">
        <f>IFERROR(__xludf.DUMMYFUNCTION("GOOGLETRANSLATE(B288,""vi"",""lo"")"),"ລູກຄ້າເປົ້າໝາຍ")</f>
        <v/>
      </c>
      <c r="K288" s="3">
        <f>IF(I288&lt;&gt;"",I288, J288)</f>
        <v/>
      </c>
      <c r="L288" s="3" t="inlineStr">
        <is>
          <t>អតិថិជនគោលដៅ</t>
        </is>
      </c>
      <c r="M288" s="3" t="n"/>
      <c r="N288" s="3" t="inlineStr">
        <is>
          <t>"orderDetail.customerType": "Customer Type",</t>
        </is>
      </c>
      <c r="O288" s="3" t="n"/>
      <c r="P288" s="3" t="n"/>
      <c r="Q288" s="3" t="n"/>
      <c r="R288" s="3" t="n"/>
      <c r="S288" s="3" t="n"/>
      <c r="T288" s="3" t="n"/>
      <c r="U288" s="3" t="n"/>
      <c r="V288" s="3" t="n"/>
      <c r="W288" s="3" t="n"/>
      <c r="X288" s="3" t="n"/>
      <c r="Y288" s="3" t="n"/>
      <c r="Z288" s="3" t="n"/>
      <c r="AA288" s="3" t="n"/>
    </row>
    <row r="289">
      <c r="A289" s="3" t="inlineStr">
        <is>
          <t>orderDetail.deliveryDate</t>
        </is>
      </c>
      <c r="B289" s="3" t="inlineStr">
        <is>
          <t>Ngày phát</t>
        </is>
      </c>
      <c r="C289" s="3" t="inlineStr">
        <is>
          <t>Delivery Date</t>
        </is>
      </c>
      <c r="D289" s="3">
        <f>IFERROR(__xludf.DUMMYFUNCTION("GOOGLETRANSLATE(B289,""vi"",""en"")"),"Release date")</f>
        <v/>
      </c>
      <c r="E289" s="3">
        <f>IF(C289&lt;&gt;"",C289, D289)</f>
        <v/>
      </c>
      <c r="F289" s="3" t="n"/>
      <c r="G289" s="3">
        <f>IFERROR(__xludf.DUMMYFUNCTION("GOOGLETRANSLATE(B289,""vi"",""km"")"),"កាលបរិច្ឆេទចេញផ្សាយ")</f>
        <v/>
      </c>
      <c r="H289" s="3" t="inlineStr">
        <is>
          <t>កាលបរិច្ឆេទដឹកជញ្ជូន</t>
        </is>
      </c>
      <c r="I289" s="3" t="n"/>
      <c r="J289" s="3">
        <f>IFERROR(__xludf.DUMMYFUNCTION("GOOGLETRANSLATE(B289,""vi"",""lo"")"),"ວັນທີປ່ອຍ")</f>
        <v/>
      </c>
      <c r="K289" s="3">
        <f>IF(I289&lt;&gt;"",I289, J289)</f>
        <v/>
      </c>
      <c r="L289" s="3" t="inlineStr">
        <is>
          <t>កាលបរិច្ឆេទដឹកជញ្ជូន</t>
        </is>
      </c>
      <c r="M289" s="3" t="n"/>
      <c r="N289" s="3" t="inlineStr">
        <is>
          <t>"orderDetail.deliveryDate": "Delivery Date",</t>
        </is>
      </c>
      <c r="O289" s="3" t="n"/>
      <c r="P289" s="3" t="n"/>
      <c r="Q289" s="3" t="n"/>
      <c r="R289" s="3" t="n"/>
      <c r="S289" s="3" t="n"/>
      <c r="T289" s="3" t="n"/>
      <c r="U289" s="3" t="n"/>
      <c r="V289" s="3" t="n"/>
      <c r="W289" s="3" t="n"/>
      <c r="X289" s="3" t="n"/>
      <c r="Y289" s="3" t="n"/>
      <c r="Z289" s="3" t="n"/>
      <c r="AA289" s="3" t="n"/>
    </row>
    <row r="290">
      <c r="A290" s="3" t="inlineStr">
        <is>
          <t>orderDetail.deliveryInfo</t>
        </is>
      </c>
      <c r="B290" s="3" t="inlineStr">
        <is>
          <t>Thông tin phát</t>
        </is>
      </c>
      <c r="C290" s="3" t="inlineStr">
        <is>
          <t>Delivery Information</t>
        </is>
      </c>
      <c r="D290" s="3">
        <f>IFERROR(__xludf.DUMMYFUNCTION("GOOGLETRANSLATE(B290,""vi"",""en"")"),"Information released")</f>
        <v/>
      </c>
      <c r="E290" s="3">
        <f>IF(C290&lt;&gt;"",C290, D290)</f>
        <v/>
      </c>
      <c r="F290" s="3" t="n"/>
      <c r="G290" s="3">
        <f>IFERROR(__xludf.DUMMYFUNCTION("GOOGLETRANSLATE(B290,""vi"",""km"")"),"ព័ត៌មានដែលបានចេញផ្សាយ")</f>
        <v/>
      </c>
      <c r="H290" s="3" t="inlineStr">
        <is>
          <t>ព័ត៌មានដែលបានចេញផ្សាយ</t>
        </is>
      </c>
      <c r="I290" s="3" t="n"/>
      <c r="J290" s="3">
        <f>IFERROR(__xludf.DUMMYFUNCTION("GOOGLETRANSLATE(B290,""vi"",""lo"")"),"ຂໍ້ມູນທີ່ເປີດເຜີຍ")</f>
        <v/>
      </c>
      <c r="K290" s="3">
        <f>IF(I290&lt;&gt;"",I290, J290)</f>
        <v/>
      </c>
      <c r="L290" s="3" t="inlineStr">
        <is>
          <t>ព័ត៌មានដែលបានចេញផ្សាយ</t>
        </is>
      </c>
      <c r="M290" s="3" t="n"/>
      <c r="N290" s="3" t="inlineStr">
        <is>
          <t>"orderDetail.deliveryInfo": "Delivery Information",</t>
        </is>
      </c>
      <c r="O290" s="3" t="n"/>
      <c r="P290" s="3" t="n"/>
      <c r="Q290" s="3" t="n"/>
      <c r="R290" s="3" t="n"/>
      <c r="S290" s="3" t="n"/>
      <c r="T290" s="3" t="n"/>
      <c r="U290" s="3" t="n"/>
      <c r="V290" s="3" t="n"/>
      <c r="W290" s="3" t="n"/>
      <c r="X290" s="3" t="n"/>
      <c r="Y290" s="3" t="n"/>
      <c r="Z290" s="3" t="n"/>
      <c r="AA290" s="3" t="n"/>
    </row>
    <row r="291">
      <c r="A291" s="3" t="inlineStr">
        <is>
          <t>orderDetail.deliveryPostOffice</t>
        </is>
      </c>
      <c r="B291" s="3" t="inlineStr">
        <is>
          <t>Bưu cục phát</t>
        </is>
      </c>
      <c r="C291" s="3" t="inlineStr">
        <is>
          <t>Delivery PO</t>
        </is>
      </c>
      <c r="D291" s="3">
        <f>IFERROR(__xludf.DUMMYFUNCTION("GOOGLETRANSLATE(B291,""vi"",""en"")"),"Delivery Post Office")</f>
        <v/>
      </c>
      <c r="E291" s="3">
        <f>IF(C291&lt;&gt;"",C291, D291)</f>
        <v/>
      </c>
      <c r="F291" s="3" t="n"/>
      <c r="G291" s="3">
        <f>IFERROR(__xludf.DUMMYFUNCTION("GOOGLETRANSLATE(B291,""vi"",""km"")"),"ការិយាល័យប្រៃសណីយ៍ដឹកជញ្ជូន")</f>
        <v/>
      </c>
      <c r="H291" s="3" t="inlineStr">
        <is>
          <t>ការិយាល័យប្រៃសណីយ៍ដឹកចែក</t>
        </is>
      </c>
      <c r="I291" s="3" t="n"/>
      <c r="J291" s="3">
        <f>IFERROR(__xludf.DUMMYFUNCTION("GOOGLETRANSLATE(B291,""vi"",""lo"")"),"ຫ້ອງການຈັດສົ່ງໄປສະນີ")</f>
        <v/>
      </c>
      <c r="K291" s="3">
        <f>IF(I291&lt;&gt;"",I291, J291)</f>
        <v/>
      </c>
      <c r="L291" s="3" t="inlineStr">
        <is>
          <t>ការិយាល័យប្រៃសណីយ៍ដឹកចែក</t>
        </is>
      </c>
      <c r="M291" s="3" t="n"/>
      <c r="N291" s="3" t="inlineStr">
        <is>
          <t>"orderDetail.deliveryPostOffice": "Delivery PO",</t>
        </is>
      </c>
      <c r="O291" s="3" t="n"/>
      <c r="P291" s="3" t="n"/>
      <c r="Q291" s="3" t="n"/>
      <c r="R291" s="3" t="n"/>
      <c r="S291" s="3" t="n"/>
      <c r="T291" s="3" t="n"/>
      <c r="U291" s="3" t="n"/>
      <c r="V291" s="3" t="n"/>
      <c r="W291" s="3" t="n"/>
      <c r="X291" s="3" t="n"/>
      <c r="Y291" s="3" t="n"/>
      <c r="Z291" s="3" t="n"/>
      <c r="AA291" s="3" t="n"/>
    </row>
    <row r="292">
      <c r="A292" s="3" t="inlineStr">
        <is>
          <t>orderDetail.district</t>
        </is>
      </c>
      <c r="B292" s="3" t="inlineStr">
        <is>
          <t>Mường</t>
        </is>
      </c>
      <c r="C292" s="3" t="inlineStr">
        <is>
          <t>District</t>
        </is>
      </c>
      <c r="D292" s="3">
        <f>IFERROR(__xludf.DUMMYFUNCTION("GOOGLETRANSLATE(B292,""vi"",""en"")"),"Muong")</f>
        <v/>
      </c>
      <c r="E292" s="3">
        <f>IF(C292&lt;&gt;"",C292, D292)</f>
        <v/>
      </c>
      <c r="F292" s="3" t="n"/>
      <c r="G292" s="3">
        <f>IFERROR(__xludf.DUMMYFUNCTION("GOOGLETRANSLATE(B292,""vi"",""km"")"),"មួង")</f>
        <v/>
      </c>
      <c r="H292" s="3" t="inlineStr">
        <is>
          <t>មួង</t>
        </is>
      </c>
      <c r="I292" s="3" t="n"/>
      <c r="J292" s="3">
        <f>IFERROR(__xludf.DUMMYFUNCTION("GOOGLETRANSLATE(B292,""vi"",""lo"")"),"ເມືອງ")</f>
        <v/>
      </c>
      <c r="K292" s="3">
        <f>IF(I292&lt;&gt;"",I292, J292)</f>
        <v/>
      </c>
      <c r="L292" s="3" t="inlineStr">
        <is>
          <t>មួង</t>
        </is>
      </c>
      <c r="M292" s="3" t="n"/>
      <c r="N292" s="3" t="inlineStr">
        <is>
          <t>"orderDetail.district": "District",</t>
        </is>
      </c>
      <c r="O292" s="3" t="n"/>
      <c r="P292" s="3" t="n"/>
      <c r="Q292" s="3" t="n"/>
      <c r="R292" s="3" t="n"/>
      <c r="S292" s="3" t="n"/>
      <c r="T292" s="3" t="n"/>
      <c r="U292" s="3" t="n"/>
      <c r="V292" s="3" t="n"/>
      <c r="W292" s="3" t="n"/>
      <c r="X292" s="3" t="n"/>
      <c r="Y292" s="3" t="n"/>
      <c r="Z292" s="3" t="n"/>
      <c r="AA292" s="3" t="n"/>
    </row>
    <row r="293">
      <c r="A293" s="3" t="inlineStr">
        <is>
          <t>orderDetail.extraService</t>
        </is>
      </c>
      <c r="B293" s="3" t="inlineStr">
        <is>
          <t>Dịch vụ cộng thêm</t>
        </is>
      </c>
      <c r="C293" s="3" t="inlineStr">
        <is>
          <t>Additional Services</t>
        </is>
      </c>
      <c r="D293" s="3">
        <f>IFERROR(__xludf.DUMMYFUNCTION("GOOGLETRANSLATE(B293,""vi"",""en"")"),"Additional services")</f>
        <v/>
      </c>
      <c r="E293" s="3">
        <f>IF(C293&lt;&gt;"",C293, D293)</f>
        <v/>
      </c>
      <c r="F293" s="3" t="n"/>
      <c r="G293" s="3">
        <f>IFERROR(__xludf.DUMMYFUNCTION("GOOGLETRANSLATE(B293,""vi"",""km"")"),"សេវាកម្មបន្ថែម")</f>
        <v/>
      </c>
      <c r="H293" s="3" t="inlineStr">
        <is>
          <t>សេវាកម្មបន្ថែម</t>
        </is>
      </c>
      <c r="I293" s="3" t="n"/>
      <c r="J293" s="3">
        <f>IFERROR(__xludf.DUMMYFUNCTION("GOOGLETRANSLATE(B293,""vi"",""lo"")"),"ການບໍລິການເພີ່ມເຕີມ")</f>
        <v/>
      </c>
      <c r="K293" s="3">
        <f>IF(I293&lt;&gt;"",I293, J293)</f>
        <v/>
      </c>
      <c r="L293" s="3" t="inlineStr">
        <is>
          <t>សេវាកម្មបន្ថែម</t>
        </is>
      </c>
      <c r="M293" s="3" t="n"/>
      <c r="N293" s="3" t="inlineStr">
        <is>
          <t>"orderDetail.extraService": "Additional Services",</t>
        </is>
      </c>
      <c r="O293" s="3" t="n"/>
      <c r="P293" s="3" t="n"/>
      <c r="Q293" s="3" t="n"/>
      <c r="R293" s="3" t="n"/>
      <c r="S293" s="3" t="n"/>
      <c r="T293" s="3" t="n"/>
      <c r="U293" s="3" t="n"/>
      <c r="V293" s="3" t="n"/>
      <c r="W293" s="3" t="n"/>
      <c r="X293" s="3" t="n"/>
      <c r="Y293" s="3" t="n"/>
      <c r="Z293" s="3" t="n"/>
      <c r="AA293" s="3" t="n"/>
    </row>
    <row r="294">
      <c r="A294" s="3" t="inlineStr">
        <is>
          <t>orderDetail.formOfPayment</t>
        </is>
      </c>
      <c r="B294" s="3" t="inlineStr">
        <is>
          <t>Hình thức trả cước</t>
        </is>
      </c>
      <c r="C294" s="3" t="inlineStr">
        <is>
          <t>Payment Method</t>
        </is>
      </c>
      <c r="D294" s="3">
        <f>IFERROR(__xludf.DUMMYFUNCTION("GOOGLETRANSLATE(B294,""vi"",""en"")"),"Payment methods")</f>
        <v/>
      </c>
      <c r="E294" s="3">
        <f>IF(C294&lt;&gt;"",C294, D294)</f>
        <v/>
      </c>
      <c r="F294" s="3" t="n"/>
      <c r="G294" s="3">
        <f>IFERROR(__xludf.DUMMYFUNCTION("GOOGLETRANSLATE(B294,""vi"",""km"")"),"វិធីសាស្ត្រទូទាត់")</f>
        <v/>
      </c>
      <c r="H294" s="3" t="inlineStr">
        <is>
          <t>វិធីសាស្ត្រទូទាត់</t>
        </is>
      </c>
      <c r="I294" s="3" t="n"/>
      <c r="J294" s="3">
        <f>IFERROR(__xludf.DUMMYFUNCTION("GOOGLETRANSLATE(B294,""vi"",""lo"")"),"ວິທີການຈ່າຍເງິນ")</f>
        <v/>
      </c>
      <c r="K294" s="3">
        <f>IF(I294&lt;&gt;"",I294, J294)</f>
        <v/>
      </c>
      <c r="L294" s="3" t="inlineStr">
        <is>
          <t>វិធីសាស្ត្រទូទាត់</t>
        </is>
      </c>
      <c r="M294" s="3" t="n"/>
      <c r="N294" s="3" t="inlineStr">
        <is>
          <t>"orderDetail.formOfPayment": "Payment Method",</t>
        </is>
      </c>
      <c r="O294" s="3" t="n"/>
      <c r="P294" s="3" t="n"/>
      <c r="Q294" s="3" t="n"/>
      <c r="R294" s="3" t="n"/>
      <c r="S294" s="3" t="n"/>
      <c r="T294" s="3" t="n"/>
      <c r="U294" s="3" t="n"/>
      <c r="V294" s="3" t="n"/>
      <c r="W294" s="3" t="n"/>
      <c r="X294" s="3" t="n"/>
      <c r="Y294" s="3" t="n"/>
      <c r="Z294" s="3" t="n"/>
      <c r="AA294" s="3" t="n"/>
    </row>
    <row r="295">
      <c r="A295" s="3" t="inlineStr">
        <is>
          <t>orderDetail.goods</t>
        </is>
      </c>
      <c r="B295" s="3" t="inlineStr">
        <is>
          <t>Hàng hóa</t>
        </is>
      </c>
      <c r="C295" s="3" t="inlineStr">
        <is>
          <t>Items</t>
        </is>
      </c>
      <c r="D295" s="3">
        <f>IFERROR(__xludf.DUMMYFUNCTION("GOOGLETRANSLATE(B295,""vi"",""en"")"),"Goods")</f>
        <v/>
      </c>
      <c r="E295" s="3">
        <f>IF(C295&lt;&gt;"",C295, D295)</f>
        <v/>
      </c>
      <c r="F295" s="3" t="n"/>
      <c r="G295" s="3">
        <f>IFERROR(__xludf.DUMMYFUNCTION("GOOGLETRANSLATE(B295,""vi"",""km"")"),"ទំនិញ")</f>
        <v/>
      </c>
      <c r="H295" s="3" t="inlineStr">
        <is>
          <t>ទំនិញ</t>
        </is>
      </c>
      <c r="I295" s="3" t="n"/>
      <c r="J295" s="3">
        <f>IFERROR(__xludf.DUMMYFUNCTION("GOOGLETRANSLATE(B295,""vi"",""lo"")"),"ສິນຄ້າ")</f>
        <v/>
      </c>
      <c r="K295" s="3">
        <f>IF(I295&lt;&gt;"",I295, J295)</f>
        <v/>
      </c>
      <c r="L295" s="3" t="inlineStr">
        <is>
          <t>ទំនិញ</t>
        </is>
      </c>
      <c r="M295" s="3" t="n"/>
      <c r="N295" s="3" t="inlineStr">
        <is>
          <t>"orderDetail.goods": "Items",</t>
        </is>
      </c>
      <c r="O295" s="3" t="n"/>
      <c r="P295" s="3" t="n"/>
      <c r="Q295" s="3" t="n"/>
      <c r="R295" s="3" t="n"/>
      <c r="S295" s="3" t="n"/>
      <c r="T295" s="3" t="n"/>
      <c r="U295" s="3" t="n"/>
      <c r="V295" s="3" t="n"/>
      <c r="W295" s="3" t="n"/>
      <c r="X295" s="3" t="n"/>
      <c r="Y295" s="3" t="n"/>
      <c r="Z295" s="3" t="n"/>
      <c r="AA295" s="3" t="n"/>
    </row>
    <row r="296">
      <c r="A296" s="3" t="inlineStr">
        <is>
          <t>orderDetail.goodsType</t>
        </is>
      </c>
      <c r="B296" s="3" t="inlineStr">
        <is>
          <t>Loại hàng hóa</t>
        </is>
      </c>
      <c r="C296" s="3" t="inlineStr">
        <is>
          <t>Item Type</t>
        </is>
      </c>
      <c r="D296" s="3">
        <f>IFERROR(__xludf.DUMMYFUNCTION("GOOGLETRANSLATE(B296,""vi"",""en"")"),"Type of goods")</f>
        <v/>
      </c>
      <c r="E296" s="3">
        <f>IF(C296&lt;&gt;"",C296, D296)</f>
        <v/>
      </c>
      <c r="F296" s="3" t="n"/>
      <c r="G296" s="3">
        <f>IFERROR(__xludf.DUMMYFUNCTION("GOOGLETRANSLATE(B296,""vi"",""km"")"),"ប្រភេទទំនិញ")</f>
        <v/>
      </c>
      <c r="H296" s="3" t="inlineStr">
        <is>
          <t>ប្រភេទមុខទំនិញ</t>
        </is>
      </c>
      <c r="I296" s="3" t="n"/>
      <c r="J296" s="3">
        <f>IFERROR(__xludf.DUMMYFUNCTION("GOOGLETRANSLATE(B296,""vi"",""lo"")"),"ປະເພດສິນຄ້າ")</f>
        <v/>
      </c>
      <c r="K296" s="3">
        <f>IF(I296&lt;&gt;"",I296, J296)</f>
        <v/>
      </c>
      <c r="L296" s="3" t="inlineStr">
        <is>
          <t>ប្រភេទមុខទំនិញ</t>
        </is>
      </c>
      <c r="M296" s="3" t="n"/>
      <c r="N296" s="3" t="inlineStr">
        <is>
          <t>"orderDetail.goodsType": "Item Type",</t>
        </is>
      </c>
      <c r="O296" s="3" t="n"/>
      <c r="P296" s="3" t="n"/>
      <c r="Q296" s="3" t="n"/>
      <c r="R296" s="3" t="n"/>
      <c r="S296" s="3" t="n"/>
      <c r="T296" s="3" t="n"/>
      <c r="U296" s="3" t="n"/>
      <c r="V296" s="3" t="n"/>
      <c r="W296" s="3" t="n"/>
      <c r="X296" s="3" t="n"/>
      <c r="Y296" s="3" t="n"/>
      <c r="Z296" s="3" t="n"/>
      <c r="AA296" s="3" t="n"/>
    </row>
    <row r="297">
      <c r="A297" s="3" t="inlineStr">
        <is>
          <t>orderDetail.orderInfo</t>
        </is>
      </c>
      <c r="B297" s="3" t="inlineStr">
        <is>
          <t>Thông tin đơn hàng</t>
        </is>
      </c>
      <c r="C297" s="3" t="inlineStr">
        <is>
          <t>Order Information</t>
        </is>
      </c>
      <c r="D297" s="3">
        <f>IFERROR(__xludf.DUMMYFUNCTION("GOOGLETRANSLATE(B297,""vi"",""en"")"),"Order information")</f>
        <v/>
      </c>
      <c r="E297" s="3">
        <f>IF(C297&lt;&gt;"",C297, D297)</f>
        <v/>
      </c>
      <c r="F297" s="3" t="n"/>
      <c r="G297" s="3">
        <f>IFERROR(__xludf.DUMMYFUNCTION("GOOGLETRANSLATE(B297,""vi"",""km"")"),"ព័ត៌មានការបញ្ជាទិញ")</f>
        <v/>
      </c>
      <c r="H297" s="3" t="inlineStr">
        <is>
          <t>ព័ត៌មានការបញ្ជាទិញ</t>
        </is>
      </c>
      <c r="I297" s="3" t="n"/>
      <c r="J297" s="3">
        <f>IFERROR(__xludf.DUMMYFUNCTION("GOOGLETRANSLATE(B297,""vi"",""lo"")"),"ຂໍ້ມູນການສັ່ງຊື້")</f>
        <v/>
      </c>
      <c r="K297" s="3">
        <f>IF(I297&lt;&gt;"",I297, J297)</f>
        <v/>
      </c>
      <c r="L297" s="3" t="inlineStr">
        <is>
          <t>ព័ត៌មានការបញ្ជាទិញ</t>
        </is>
      </c>
      <c r="M297" s="3" t="n"/>
      <c r="N297" s="3" t="inlineStr">
        <is>
          <t>"orderDetail.orderInfo": "Order Information",</t>
        </is>
      </c>
      <c r="O297" s="3" t="n"/>
      <c r="P297" s="3" t="n"/>
      <c r="Q297" s="3" t="n"/>
      <c r="R297" s="3" t="n"/>
      <c r="S297" s="3" t="n"/>
      <c r="T297" s="3" t="n"/>
      <c r="U297" s="3" t="n"/>
      <c r="V297" s="3" t="n"/>
      <c r="W297" s="3" t="n"/>
      <c r="X297" s="3" t="n"/>
      <c r="Y297" s="3" t="n"/>
      <c r="Z297" s="3" t="n"/>
      <c r="AA297" s="3" t="n"/>
    </row>
    <row r="298">
      <c r="A298" s="3" t="inlineStr">
        <is>
          <t>orderDetail.originPostOffice</t>
        </is>
      </c>
      <c r="B298" s="3" t="inlineStr">
        <is>
          <t>Bưu cục gốc</t>
        </is>
      </c>
      <c r="C298" s="3" t="inlineStr">
        <is>
          <t>Origin PO</t>
        </is>
      </c>
      <c r="D298" s="3">
        <f>IFERROR(__xludf.DUMMYFUNCTION("GOOGLETRANSLATE(B298,""vi"",""en"")"),"Original Post Office")</f>
        <v/>
      </c>
      <c r="E298" s="3">
        <f>IF(C298&lt;&gt;"",C298, D298)</f>
        <v/>
      </c>
      <c r="F298" s="3" t="n"/>
      <c r="G298" s="3">
        <f>IFERROR(__xludf.DUMMYFUNCTION("GOOGLETRANSLATE(B298,""vi"",""km"")"),"ការិយាល័យប្រៃសណីយ៍ដើម")</f>
        <v/>
      </c>
      <c r="H298" s="3" t="inlineStr">
        <is>
          <t>ការិយាល័យប្រៃសណីយ៍ដើម</t>
        </is>
      </c>
      <c r="I298" s="3" t="n"/>
      <c r="J298" s="3">
        <f>IFERROR(__xludf.DUMMYFUNCTION("GOOGLETRANSLATE(B298,""vi"",""lo"")"),"ຫ້ອງການໄປສະນີຕົ້ນສະບັບ")</f>
        <v/>
      </c>
      <c r="K298" s="3">
        <f>IF(I298&lt;&gt;"",I298, J298)</f>
        <v/>
      </c>
      <c r="L298" s="3" t="inlineStr">
        <is>
          <t>ការិយាល័យប្រៃសណីយ៍ដើម</t>
        </is>
      </c>
      <c r="M298" s="3" t="n"/>
      <c r="N298" s="3" t="inlineStr">
        <is>
          <t>"orderDetail.originPostOffice": "Origin PO",</t>
        </is>
      </c>
      <c r="O298" s="3" t="n"/>
      <c r="P298" s="3" t="n"/>
      <c r="Q298" s="3" t="n"/>
      <c r="R298" s="3" t="n"/>
      <c r="S298" s="3" t="n"/>
      <c r="T298" s="3" t="n"/>
      <c r="U298" s="3" t="n"/>
      <c r="V298" s="3" t="n"/>
      <c r="W298" s="3" t="n"/>
      <c r="X298" s="3" t="n"/>
      <c r="Y298" s="3" t="n"/>
      <c r="Z298" s="3" t="n"/>
      <c r="AA298" s="3" t="n"/>
    </row>
    <row r="299">
      <c r="A299" s="3" t="inlineStr">
        <is>
          <t>orderDetail.partner</t>
        </is>
      </c>
      <c r="B299" s="3" t="inlineStr">
        <is>
          <t>Đối tác</t>
        </is>
      </c>
      <c r="C299" s="3" t="inlineStr">
        <is>
          <t>Partner</t>
        </is>
      </c>
      <c r="D299" s="3">
        <f>IFERROR(__xludf.DUMMYFUNCTION("GOOGLETRANSLATE(B299,""vi"",""en"")"),"Partner")</f>
        <v/>
      </c>
      <c r="E299" s="3">
        <f>IF(C299&lt;&gt;"",C299, D299)</f>
        <v/>
      </c>
      <c r="F299" s="3" t="n"/>
      <c r="G299" s="3">
        <f>IFERROR(__xludf.DUMMYFUNCTION("GOOGLETRANSLATE(B299,""vi"",""km"")"),"ដៃគូ")</f>
        <v/>
      </c>
      <c r="H299" s="3" t="inlineStr">
        <is>
          <t>ដៃគូ</t>
        </is>
      </c>
      <c r="I299" s="3" t="n"/>
      <c r="J299" s="3">
        <f>IFERROR(__xludf.DUMMYFUNCTION("GOOGLETRANSLATE(B299,""vi"",""lo"")"),"ຄູ່ຮ່ວມງານ")</f>
        <v/>
      </c>
      <c r="K299" s="3">
        <f>IF(I299&lt;&gt;"",I299, J299)</f>
        <v/>
      </c>
      <c r="L299" s="3" t="inlineStr">
        <is>
          <t>ដៃគូ</t>
        </is>
      </c>
      <c r="M299" s="3" t="n"/>
      <c r="N299" s="3" t="inlineStr">
        <is>
          <t>"orderDetail.partner": "Partner",</t>
        </is>
      </c>
      <c r="O299" s="3" t="n"/>
      <c r="P299" s="3" t="n"/>
      <c r="Q299" s="3" t="n"/>
      <c r="R299" s="3" t="n"/>
      <c r="S299" s="3" t="n"/>
      <c r="T299" s="3" t="n"/>
      <c r="U299" s="3" t="n"/>
      <c r="V299" s="3" t="n"/>
      <c r="W299" s="3" t="n"/>
      <c r="X299" s="3" t="n"/>
      <c r="Y299" s="3" t="n"/>
      <c r="Z299" s="3" t="n"/>
      <c r="AA299" s="3" t="n"/>
    </row>
    <row r="300">
      <c r="A300" s="3" t="inlineStr">
        <is>
          <t>orderDetail.phone</t>
        </is>
      </c>
      <c r="B300" s="3" t="inlineStr">
        <is>
          <t>SĐT</t>
        </is>
      </c>
      <c r="C300" s="3" t="inlineStr">
        <is>
          <t>Phone Number</t>
        </is>
      </c>
      <c r="D300" s="3">
        <f>IFERROR(__xludf.DUMMYFUNCTION("GOOGLETRANSLATE(B300,""vi"",""en"")"),"Phone number")</f>
        <v/>
      </c>
      <c r="E300" s="3">
        <f>IF(C300&lt;&gt;"",C300, D300)</f>
        <v/>
      </c>
      <c r="F300" s="3" t="n"/>
      <c r="G300" s="3">
        <f>IFERROR(__xludf.DUMMYFUNCTION("GOOGLETRANSLATE(B300,""vi"",""km"")"),"លេខទូរស័ព្ទ")</f>
        <v/>
      </c>
      <c r="H300" s="3" t="inlineStr">
        <is>
          <t>លេខទូរស័ព្ទ</t>
        </is>
      </c>
      <c r="I300" s="3" t="n"/>
      <c r="J300" s="3">
        <f>IFERROR(__xludf.DUMMYFUNCTION("GOOGLETRANSLATE(B300,""vi"",""lo"")"),"ເບີໂທລະສັບ")</f>
        <v/>
      </c>
      <c r="K300" s="3">
        <f>IF(I300&lt;&gt;"",I300, J300)</f>
        <v/>
      </c>
      <c r="L300" s="3" t="inlineStr">
        <is>
          <t>លេខទូរស័ព្ទ</t>
        </is>
      </c>
      <c r="M300" s="3" t="n"/>
      <c r="N300" s="3" t="inlineStr">
        <is>
          <t>"orderDetail.phone": "Phone Number",</t>
        </is>
      </c>
      <c r="O300" s="3" t="n"/>
      <c r="P300" s="3" t="n"/>
      <c r="Q300" s="3" t="n"/>
      <c r="R300" s="3" t="n"/>
      <c r="S300" s="3" t="n"/>
      <c r="T300" s="3" t="n"/>
      <c r="U300" s="3" t="n"/>
      <c r="V300" s="3" t="n"/>
      <c r="W300" s="3" t="n"/>
      <c r="X300" s="3" t="n"/>
      <c r="Y300" s="3" t="n"/>
      <c r="Z300" s="3" t="n"/>
      <c r="AA300" s="3" t="n"/>
    </row>
    <row r="301">
      <c r="A301" s="3" t="inlineStr">
        <is>
          <t>orderDetail.product</t>
        </is>
      </c>
      <c r="B301" s="3" t="inlineStr">
        <is>
          <t>Hàng hoá</t>
        </is>
      </c>
      <c r="C301" s="3" t="inlineStr">
        <is>
          <t>Items</t>
        </is>
      </c>
      <c r="D301" s="3">
        <f>IFERROR(__xludf.DUMMYFUNCTION("GOOGLETRANSLATE(B301,""vi"",""en"")"),"Goods")</f>
        <v/>
      </c>
      <c r="E301" s="3">
        <f>IF(C301&lt;&gt;"",C301, D301)</f>
        <v/>
      </c>
      <c r="F301" s="3" t="n"/>
      <c r="G301" s="3">
        <f>IFERROR(__xludf.DUMMYFUNCTION("GOOGLETRANSLATE(B301,""vi"",""km"")"),"ទំនិញ")</f>
        <v/>
      </c>
      <c r="H301" s="3" t="inlineStr">
        <is>
          <t>ទំនិញ</t>
        </is>
      </c>
      <c r="I301" s="3" t="n"/>
      <c r="J301" s="3">
        <f>IFERROR(__xludf.DUMMYFUNCTION("GOOGLETRANSLATE(B301,""vi"",""lo"")"),"ສິນຄ້າ")</f>
        <v/>
      </c>
      <c r="K301" s="3">
        <f>IF(I301&lt;&gt;"",I301, J301)</f>
        <v/>
      </c>
      <c r="L301" s="3" t="inlineStr">
        <is>
          <t>ទំនិញ</t>
        </is>
      </c>
      <c r="M301" s="3" t="n"/>
      <c r="N301" s="3" t="inlineStr">
        <is>
          <t>"orderDetail.product": "Items",</t>
        </is>
      </c>
      <c r="O301" s="3" t="n"/>
      <c r="P301" s="3" t="n"/>
      <c r="Q301" s="3" t="n"/>
      <c r="R301" s="3" t="n"/>
      <c r="S301" s="3" t="n"/>
      <c r="T301" s="3" t="n"/>
      <c r="U301" s="3" t="n"/>
      <c r="V301" s="3" t="n"/>
      <c r="W301" s="3" t="n"/>
      <c r="X301" s="3" t="n"/>
      <c r="Y301" s="3" t="n"/>
      <c r="Z301" s="3" t="n"/>
      <c r="AA301" s="3" t="n"/>
    </row>
    <row r="302">
      <c r="A302" s="3" t="inlineStr">
        <is>
          <t>orderDetail.province</t>
        </is>
      </c>
      <c r="B302" s="3" t="inlineStr">
        <is>
          <t>Tỉnh</t>
        </is>
      </c>
      <c r="C302" s="3" t="inlineStr">
        <is>
          <t>Province</t>
        </is>
      </c>
      <c r="D302" s="3">
        <f>IFERROR(__xludf.DUMMYFUNCTION("GOOGLETRANSLATE(B302,""vi"",""en"")"),"Conscious")</f>
        <v/>
      </c>
      <c r="E302" s="3">
        <f>IF(C302&lt;&gt;"",C302, D302)</f>
        <v/>
      </c>
      <c r="F302" s="3" t="n"/>
      <c r="G302" s="3">
        <f>IFERROR(__xludf.DUMMYFUNCTION("GOOGLETRANSLATE(B302,""vi"",""km"")"),"ដឹងខ្លួន")</f>
        <v/>
      </c>
      <c r="H302" s="3" t="inlineStr">
        <is>
          <t>ដឹងខ្លួន</t>
        </is>
      </c>
      <c r="I302" s="3" t="n"/>
      <c r="J302" s="3">
        <f>IFERROR(__xludf.DUMMYFUNCTION("GOOGLETRANSLATE(B302,""vi"",""lo"")"),"ມີສະຕິ")</f>
        <v/>
      </c>
      <c r="K302" s="3">
        <f>IF(I302&lt;&gt;"",I302, J302)</f>
        <v/>
      </c>
      <c r="L302" s="3" t="inlineStr">
        <is>
          <t>ដឹងខ្លួន</t>
        </is>
      </c>
      <c r="M302" s="3" t="n"/>
      <c r="N302" s="3" t="inlineStr">
        <is>
          <t>"orderDetail.province": "Province",</t>
        </is>
      </c>
      <c r="O302" s="3" t="n"/>
      <c r="P302" s="3" t="n"/>
      <c r="Q302" s="3" t="n"/>
      <c r="R302" s="3" t="n"/>
      <c r="S302" s="3" t="n"/>
      <c r="T302" s="3" t="n"/>
      <c r="U302" s="3" t="n"/>
      <c r="V302" s="3" t="n"/>
      <c r="W302" s="3" t="n"/>
      <c r="X302" s="3" t="n"/>
      <c r="Y302" s="3" t="n"/>
      <c r="Z302" s="3" t="n"/>
      <c r="AA302" s="3" t="n"/>
    </row>
    <row r="303">
      <c r="A303" s="3" t="inlineStr">
        <is>
          <t>orderDetail.receiver</t>
        </is>
      </c>
      <c r="B303" s="3" t="inlineStr">
        <is>
          <t>Người nhận</t>
        </is>
      </c>
      <c r="C303" s="3" t="inlineStr">
        <is>
          <t>Receiver</t>
        </is>
      </c>
      <c r="D303" s="3">
        <f>IFERROR(__xludf.DUMMYFUNCTION("GOOGLETRANSLATE(B303,""vi"",""en"")"),"Receiver")</f>
        <v/>
      </c>
      <c r="E303" s="3">
        <f>IF(C303&lt;&gt;"",C303, D303)</f>
        <v/>
      </c>
      <c r="F303" s="3" t="n"/>
      <c r="G303" s="3">
        <f>IFERROR(__xludf.DUMMYFUNCTION("GOOGLETRANSLATE(B303,""vi"",""km"")"),"អ្នកទទួល")</f>
        <v/>
      </c>
      <c r="H303" s="3" t="inlineStr">
        <is>
          <t>អ្នកទទួល</t>
        </is>
      </c>
      <c r="I303" s="3" t="n"/>
      <c r="J303" s="3">
        <f>IFERROR(__xludf.DUMMYFUNCTION("GOOGLETRANSLATE(B303,""vi"",""lo"")"),"ເຄື່ອງຮັບ")</f>
        <v/>
      </c>
      <c r="K303" s="3">
        <f>IF(I303&lt;&gt;"",I303, J303)</f>
        <v/>
      </c>
      <c r="L303" s="3" t="inlineStr">
        <is>
          <t>អ្នកទទួល</t>
        </is>
      </c>
      <c r="M303" s="3" t="n"/>
      <c r="N303" s="3" t="inlineStr">
        <is>
          <t>"orderDetail.receiver": "Receiver",</t>
        </is>
      </c>
      <c r="O303" s="3" t="n"/>
      <c r="P303" s="3" t="n"/>
      <c r="Q303" s="3" t="n"/>
      <c r="R303" s="3" t="n"/>
      <c r="S303" s="3" t="n"/>
      <c r="T303" s="3" t="n"/>
      <c r="U303" s="3" t="n"/>
      <c r="V303" s="3" t="n"/>
      <c r="W303" s="3" t="n"/>
      <c r="X303" s="3" t="n"/>
      <c r="Y303" s="3" t="n"/>
      <c r="Z303" s="3" t="n"/>
      <c r="AA303" s="3" t="n"/>
    </row>
    <row r="304">
      <c r="A304" s="3" t="inlineStr">
        <is>
          <t>orderDetail.receiverAddress</t>
        </is>
      </c>
      <c r="B304" s="3" t="inlineStr">
        <is>
          <t>Thông tin nhận</t>
        </is>
      </c>
      <c r="C304" s="3" t="inlineStr">
        <is>
          <t>Recipient Information</t>
        </is>
      </c>
      <c r="D304" s="3">
        <f>IFERROR(__xludf.DUMMYFUNCTION("GOOGLETRANSLATE(B304,""vi"",""en"")"),"Information received")</f>
        <v/>
      </c>
      <c r="E304" s="3">
        <f>IF(C304&lt;&gt;"",C304, D304)</f>
        <v/>
      </c>
      <c r="F304" s="3" t="n"/>
      <c r="G304" s="3">
        <f>IFERROR(__xludf.DUMMYFUNCTION("GOOGLETRANSLATE(B304,""vi"",""km"")"),"ព័ត៌មានដែលទទួលបាន")</f>
        <v/>
      </c>
      <c r="H304" s="3" t="inlineStr">
        <is>
          <t>ព័ត៌មានដែលទទួលបាន</t>
        </is>
      </c>
      <c r="I304" s="3" t="n"/>
      <c r="J304" s="3">
        <f>IFERROR(__xludf.DUMMYFUNCTION("GOOGLETRANSLATE(B304,""vi"",""lo"")"),"ຂໍ້ມູນທີ່ໄດ້ຮັບ")</f>
        <v/>
      </c>
      <c r="K304" s="3">
        <f>IF(I304&lt;&gt;"",I304, J304)</f>
        <v/>
      </c>
      <c r="L304" s="3" t="inlineStr">
        <is>
          <t>ព័ត៌មានដែលទទួលបាន</t>
        </is>
      </c>
      <c r="M304" s="3" t="n"/>
      <c r="N304" s="3" t="inlineStr">
        <is>
          <t>"orderDetail.receiverAddress": "Recipient Information",</t>
        </is>
      </c>
      <c r="O304" s="3" t="n"/>
      <c r="P304" s="3" t="n"/>
      <c r="Q304" s="3" t="n"/>
      <c r="R304" s="3" t="n"/>
      <c r="S304" s="3" t="n"/>
      <c r="T304" s="3" t="n"/>
      <c r="U304" s="3" t="n"/>
      <c r="V304" s="3" t="n"/>
      <c r="W304" s="3" t="n"/>
      <c r="X304" s="3" t="n"/>
      <c r="Y304" s="3" t="n"/>
      <c r="Z304" s="3" t="n"/>
      <c r="AA304" s="3" t="n"/>
    </row>
    <row r="305">
      <c r="A305" s="3" t="inlineStr">
        <is>
          <t>orderDetail.receiverName</t>
        </is>
      </c>
      <c r="B305" s="3" t="inlineStr">
        <is>
          <t>Tên KH</t>
        </is>
      </c>
      <c r="C305" s="3" t="inlineStr">
        <is>
          <t>Customer Name</t>
        </is>
      </c>
      <c r="D305" s="3">
        <f>IFERROR(__xludf.DUMMYFUNCTION("GOOGLETRANSLATE(B305,""vi"",""en"")"),"Customer Name")</f>
        <v/>
      </c>
      <c r="E305" s="3">
        <f>IF(C305&lt;&gt;"",C305, D305)</f>
        <v/>
      </c>
      <c r="F305" s="3" t="n"/>
      <c r="G305" s="3">
        <f>IFERROR(__xludf.DUMMYFUNCTION("GOOGLETRANSLATE(B305,""vi"",""km"")"),"ឈ្មោះអតិថិជន")</f>
        <v/>
      </c>
      <c r="H305" s="3" t="inlineStr">
        <is>
          <t>ឈ្មោះអតិថិជន</t>
        </is>
      </c>
      <c r="I305" s="3" t="n"/>
      <c r="J305" s="3">
        <f>IFERROR(__xludf.DUMMYFUNCTION("GOOGLETRANSLATE(B305,""vi"",""lo"")"),"ຊື່ລູກຄ້າ")</f>
        <v/>
      </c>
      <c r="K305" s="3">
        <f>IF(I305&lt;&gt;"",I305, J305)</f>
        <v/>
      </c>
      <c r="L305" s="3" t="inlineStr">
        <is>
          <t>ឈ្មោះអតិថិជន</t>
        </is>
      </c>
      <c r="M305" s="3" t="n"/>
      <c r="N305" s="3" t="inlineStr">
        <is>
          <t>"orderDetail.receiverName": "Customer Name",</t>
        </is>
      </c>
      <c r="O305" s="3" t="n"/>
      <c r="P305" s="3" t="n"/>
      <c r="Q305" s="3" t="n"/>
      <c r="R305" s="3" t="n"/>
      <c r="S305" s="3" t="n"/>
      <c r="T305" s="3" t="n"/>
      <c r="U305" s="3" t="n"/>
      <c r="V305" s="3" t="n"/>
      <c r="W305" s="3" t="n"/>
      <c r="X305" s="3" t="n"/>
      <c r="Y305" s="3" t="n"/>
      <c r="Z305" s="3" t="n"/>
      <c r="AA305" s="3" t="n"/>
    </row>
    <row r="306">
      <c r="A306" s="3" t="inlineStr">
        <is>
          <t>orderDetail.receiverType</t>
        </is>
      </c>
      <c r="B306" s="3" t="inlineStr">
        <is>
          <t>Đối tượng</t>
        </is>
      </c>
      <c r="C306" s="3" t="inlineStr">
        <is>
          <t>Customer Type</t>
        </is>
      </c>
      <c r="D306" s="3">
        <f>IFERROR(__xludf.DUMMYFUNCTION("GOOGLETRANSLATE(B306,""vi"",""en"")"),"Object")</f>
        <v/>
      </c>
      <c r="E306" s="3">
        <f>IF(C306&lt;&gt;"",C306, D306)</f>
        <v/>
      </c>
      <c r="F306" s="3" t="n"/>
      <c r="G306" s="3">
        <f>IFERROR(__xludf.DUMMYFUNCTION("GOOGLETRANSLATE(B306,""vi"",""km"")"),"វត្ថុ")</f>
        <v/>
      </c>
      <c r="H306" s="3" t="inlineStr">
        <is>
          <t>វត្ថុ</t>
        </is>
      </c>
      <c r="I306" s="3" t="n"/>
      <c r="J306" s="3">
        <f>IFERROR(__xludf.DUMMYFUNCTION("GOOGLETRANSLATE(B306,""vi"",""lo"")"),"ວັດຖຸ")</f>
        <v/>
      </c>
      <c r="K306" s="3">
        <f>IF(I306&lt;&gt;"",I306, J306)</f>
        <v/>
      </c>
      <c r="L306" s="3" t="inlineStr">
        <is>
          <t>វត្ថុ</t>
        </is>
      </c>
      <c r="M306" s="3" t="n"/>
      <c r="N306" s="3" t="inlineStr">
        <is>
          <t>"orderDetail.receiverType": "Customer Type",</t>
        </is>
      </c>
      <c r="O306" s="3" t="n"/>
      <c r="P306" s="3" t="n"/>
      <c r="Q306" s="3" t="n"/>
      <c r="R306" s="3" t="n"/>
      <c r="S306" s="3" t="n"/>
      <c r="T306" s="3" t="n"/>
      <c r="U306" s="3" t="n"/>
      <c r="V306" s="3" t="n"/>
      <c r="W306" s="3" t="n"/>
      <c r="X306" s="3" t="n"/>
      <c r="Y306" s="3" t="n"/>
      <c r="Z306" s="3" t="n"/>
      <c r="AA306" s="3" t="n"/>
    </row>
    <row r="307">
      <c r="A307" s="3" t="inlineStr">
        <is>
          <t>orderDetail.returnAddress</t>
        </is>
      </c>
      <c r="B307" s="3" t="inlineStr">
        <is>
          <t>Địa chỉ</t>
        </is>
      </c>
      <c r="C307" s="3" t="inlineStr">
        <is>
          <t>Address</t>
        </is>
      </c>
      <c r="D307" s="3">
        <f>IFERROR(__xludf.DUMMYFUNCTION("GOOGLETRANSLATE(B307,""vi"",""en"")"),"Address")</f>
        <v/>
      </c>
      <c r="E307" s="3">
        <f>IF(C307&lt;&gt;"",C307, D307)</f>
        <v/>
      </c>
      <c r="F307" s="3" t="n"/>
      <c r="G307" s="3">
        <f>IFERROR(__xludf.DUMMYFUNCTION("GOOGLETRANSLATE(B307,""vi"",""km"")"),"អាសយដ្ឋាន")</f>
        <v/>
      </c>
      <c r="H307" s="3" t="inlineStr">
        <is>
          <t>អាសយដ្ឋាន</t>
        </is>
      </c>
      <c r="I307" s="3" t="n"/>
      <c r="J307" s="3">
        <f>IFERROR(__xludf.DUMMYFUNCTION("GOOGLETRANSLATE(B307,""vi"",""lo"")"),"ທີ່ຢູ່")</f>
        <v/>
      </c>
      <c r="K307" s="3">
        <f>IF(I307&lt;&gt;"",I307, J307)</f>
        <v/>
      </c>
      <c r="L307" s="3" t="inlineStr">
        <is>
          <t>អាសយដ្ឋាន</t>
        </is>
      </c>
      <c r="M307" s="3" t="n"/>
      <c r="N307" s="3" t="inlineStr">
        <is>
          <t>"orderDetail.returnAddress": "Address",</t>
        </is>
      </c>
      <c r="O307" s="3" t="n"/>
      <c r="P307" s="3" t="n"/>
      <c r="Q307" s="3" t="n"/>
      <c r="R307" s="3" t="n"/>
      <c r="S307" s="3" t="n"/>
      <c r="T307" s="3" t="n"/>
      <c r="U307" s="3" t="n"/>
      <c r="V307" s="3" t="n"/>
      <c r="W307" s="3" t="n"/>
      <c r="X307" s="3" t="n"/>
      <c r="Y307" s="3" t="n"/>
      <c r="Z307" s="3" t="n"/>
      <c r="AA307" s="3" t="n"/>
    </row>
    <row r="308">
      <c r="A308" s="3" t="inlineStr">
        <is>
          <t>orderDetail.returnInfo</t>
        </is>
      </c>
      <c r="B308" s="3" t="inlineStr">
        <is>
          <t>Thông tin hoàn</t>
        </is>
      </c>
      <c r="C308" s="3" t="inlineStr">
        <is>
          <t>Return Information</t>
        </is>
      </c>
      <c r="D308" s="3">
        <f>IFERROR(__xludf.DUMMYFUNCTION("GOOGLETRANSLATE(B308,""vi"",""en"")"),"Complete information")</f>
        <v/>
      </c>
      <c r="E308" s="3">
        <f>IF(C308&lt;&gt;"",C308, D308)</f>
        <v/>
      </c>
      <c r="F308" s="3" t="n"/>
      <c r="G308" s="3">
        <f>IFERROR(__xludf.DUMMYFUNCTION("GOOGLETRANSLATE(B308,""vi"",""km"")"),"ព័ត៌មានពេញលេញ")</f>
        <v/>
      </c>
      <c r="H308" s="3" t="inlineStr">
        <is>
          <t>ព័ត៌មានពេញលេញ</t>
        </is>
      </c>
      <c r="I308" s="3" t="n"/>
      <c r="J308" s="3">
        <f>IFERROR(__xludf.DUMMYFUNCTION("GOOGLETRANSLATE(B308,""vi"",""lo"")"),"ຂໍ້ມູນຄົບຖ້ວນ")</f>
        <v/>
      </c>
      <c r="K308" s="3">
        <f>IF(I308&lt;&gt;"",I308, J308)</f>
        <v/>
      </c>
      <c r="L308" s="3" t="inlineStr">
        <is>
          <t>ព័ត៌មានពេញលេញ</t>
        </is>
      </c>
      <c r="M308" s="3" t="n"/>
      <c r="N308" s="3" t="inlineStr">
        <is>
          <t>"orderDetail.returnInfo": "Return Information",</t>
        </is>
      </c>
      <c r="O308" s="3" t="n"/>
      <c r="P308" s="3" t="n"/>
      <c r="Q308" s="3" t="n"/>
      <c r="R308" s="3" t="n"/>
      <c r="S308" s="3" t="n"/>
      <c r="T308" s="3" t="n"/>
      <c r="U308" s="3" t="n"/>
      <c r="V308" s="3" t="n"/>
      <c r="W308" s="3" t="n"/>
      <c r="X308" s="3" t="n"/>
      <c r="Y308" s="3" t="n"/>
      <c r="Z308" s="3" t="n"/>
      <c r="AA308" s="3" t="n"/>
    </row>
    <row r="309">
      <c r="A309" s="3" t="inlineStr">
        <is>
          <t>orderDetail.returnPhone</t>
        </is>
      </c>
      <c r="B309" s="3" t="inlineStr">
        <is>
          <t>Số điện thoại</t>
        </is>
      </c>
      <c r="C309" s="3" t="inlineStr">
        <is>
          <t>Phone Number</t>
        </is>
      </c>
      <c r="D309" s="3">
        <f>IFERROR(__xludf.DUMMYFUNCTION("GOOGLETRANSLATE(B309,""vi"",""en"")"),"Phone number")</f>
        <v/>
      </c>
      <c r="E309" s="3">
        <f>IF(C309&lt;&gt;"",C309, D309)</f>
        <v/>
      </c>
      <c r="F309" s="3" t="n"/>
      <c r="G309" s="3">
        <f>IFERROR(__xludf.DUMMYFUNCTION("GOOGLETRANSLATE(B309,""vi"",""km"")"),"លេខទូរស័ព្ទ")</f>
        <v/>
      </c>
      <c r="H309" s="3" t="inlineStr">
        <is>
          <t>លេខទូរស័ព្ទ</t>
        </is>
      </c>
      <c r="I309" s="3" t="n"/>
      <c r="J309" s="3">
        <f>IFERROR(__xludf.DUMMYFUNCTION("GOOGLETRANSLATE(B309,""vi"",""lo"")"),"ເບີໂທລະສັບ")</f>
        <v/>
      </c>
      <c r="K309" s="3">
        <f>IF(I309&lt;&gt;"",I309, J309)</f>
        <v/>
      </c>
      <c r="L309" s="3" t="inlineStr">
        <is>
          <t>លេខទូរស័ព្ទ</t>
        </is>
      </c>
      <c r="M309" s="3" t="n"/>
      <c r="N309" s="3" t="inlineStr">
        <is>
          <t>"orderDetail.returnPhone": "Phone Number",</t>
        </is>
      </c>
      <c r="O309" s="3" t="n"/>
      <c r="P309" s="3" t="n"/>
      <c r="Q309" s="3" t="n"/>
      <c r="R309" s="3" t="n"/>
      <c r="S309" s="3" t="n"/>
      <c r="T309" s="3" t="n"/>
      <c r="U309" s="3" t="n"/>
      <c r="V309" s="3" t="n"/>
      <c r="W309" s="3" t="n"/>
      <c r="X309" s="3" t="n"/>
      <c r="Y309" s="3" t="n"/>
      <c r="Z309" s="3" t="n"/>
      <c r="AA309" s="3" t="n"/>
    </row>
    <row r="310">
      <c r="A310" s="3" t="inlineStr">
        <is>
          <t>orderDetail.senderInfo</t>
        </is>
      </c>
      <c r="B310" s="3" t="inlineStr">
        <is>
          <t>Thông tin người gửi</t>
        </is>
      </c>
      <c r="C310" s="3" t="inlineStr">
        <is>
          <t>Sender Information</t>
        </is>
      </c>
      <c r="D310" s="3">
        <f>IFERROR(__xludf.DUMMYFUNCTION("GOOGLETRANSLATE(B310,""vi"",""en"")"),"Sender information")</f>
        <v/>
      </c>
      <c r="E310" s="3">
        <f>IF(C310&lt;&gt;"",C310, D310)</f>
        <v/>
      </c>
      <c r="F310" s="3" t="n"/>
      <c r="G310" s="3">
        <f>IFERROR(__xludf.DUMMYFUNCTION("GOOGLETRANSLATE(B310,""vi"",""km"")"),"ព័ត៌មានអ្នកផ្ញើ")</f>
        <v/>
      </c>
      <c r="H310" s="3" t="inlineStr">
        <is>
          <t>ព័ត៌មានអ្នកផ្ញើ</t>
        </is>
      </c>
      <c r="I310" s="3" t="n"/>
      <c r="J310" s="3">
        <f>IFERROR(__xludf.DUMMYFUNCTION("GOOGLETRANSLATE(B310,""vi"",""lo"")"),"ຂໍ້ມູນຜູ້ສົ່ງ")</f>
        <v/>
      </c>
      <c r="K310" s="3">
        <f>IF(I310&lt;&gt;"",I310, J310)</f>
        <v/>
      </c>
      <c r="L310" s="3" t="inlineStr">
        <is>
          <t>ព័ត៌មានអ្នកផ្ញើ</t>
        </is>
      </c>
      <c r="M310" s="3" t="n"/>
      <c r="N310" s="3" t="inlineStr">
        <is>
          <t>"orderDetail.senderInfo": "Sender Information",</t>
        </is>
      </c>
      <c r="O310" s="3" t="n"/>
      <c r="P310" s="3" t="n"/>
      <c r="Q310" s="3" t="n"/>
      <c r="R310" s="3" t="n"/>
      <c r="S310" s="3" t="n"/>
      <c r="T310" s="3" t="n"/>
      <c r="U310" s="3" t="n"/>
      <c r="V310" s="3" t="n"/>
      <c r="W310" s="3" t="n"/>
      <c r="X310" s="3" t="n"/>
      <c r="Y310" s="3" t="n"/>
      <c r="Z310" s="3" t="n"/>
      <c r="AA310" s="3" t="n"/>
    </row>
    <row r="311">
      <c r="A311" s="3" t="inlineStr">
        <is>
          <t>orderDetail.service</t>
        </is>
      </c>
      <c r="B311" s="3" t="inlineStr">
        <is>
          <t>Dịch vụ</t>
        </is>
      </c>
      <c r="C311" s="3" t="inlineStr">
        <is>
          <t>Service</t>
        </is>
      </c>
      <c r="D311" s="3">
        <f>IFERROR(__xludf.DUMMYFUNCTION("GOOGLETRANSLATE(B311,""vi"",""en"")"),"Service")</f>
        <v/>
      </c>
      <c r="E311" s="3">
        <f>IF(C311&lt;&gt;"",C311, D311)</f>
        <v/>
      </c>
      <c r="F311" s="3" t="n"/>
      <c r="G311" s="3">
        <f>IFERROR(__xludf.DUMMYFUNCTION("GOOGLETRANSLATE(B311,""vi"",""km"")"),"សេវាកម្ម")</f>
        <v/>
      </c>
      <c r="H311" s="3" t="inlineStr">
        <is>
          <t>សេវាកម្ម</t>
        </is>
      </c>
      <c r="I311" s="3" t="n"/>
      <c r="J311" s="3">
        <f>IFERROR(__xludf.DUMMYFUNCTION("GOOGLETRANSLATE(B311,""vi"",""lo"")"),"ການບໍລິການ")</f>
        <v/>
      </c>
      <c r="K311" s="3">
        <f>IF(I311&lt;&gt;"",I311, J311)</f>
        <v/>
      </c>
      <c r="L311" s="3" t="inlineStr">
        <is>
          <t>សេវាកម្ម</t>
        </is>
      </c>
      <c r="M311" s="3" t="n"/>
      <c r="N311" s="3" t="inlineStr">
        <is>
          <t>"orderDetail.service": "Service",</t>
        </is>
      </c>
      <c r="O311" s="3" t="n"/>
      <c r="P311" s="3" t="n"/>
      <c r="Q311" s="3" t="n"/>
      <c r="R311" s="3" t="n"/>
      <c r="S311" s="3" t="n"/>
      <c r="T311" s="3" t="n"/>
      <c r="U311" s="3" t="n"/>
      <c r="V311" s="3" t="n"/>
      <c r="W311" s="3" t="n"/>
      <c r="X311" s="3" t="n"/>
      <c r="Y311" s="3" t="n"/>
      <c r="Z311" s="3" t="n"/>
      <c r="AA311" s="3" t="n"/>
    </row>
    <row r="312">
      <c r="A312" s="3" t="inlineStr">
        <is>
          <t>orderDetail.size</t>
        </is>
      </c>
      <c r="B312" s="3" t="inlineStr">
        <is>
          <t>Kích thước</t>
        </is>
      </c>
      <c r="C312" s="3" t="inlineStr">
        <is>
          <t>Dimensions</t>
        </is>
      </c>
      <c r="D312" s="3">
        <f>IFERROR(__xludf.DUMMYFUNCTION("GOOGLETRANSLATE(B312,""vi"",""en"")"),"Size")</f>
        <v/>
      </c>
      <c r="E312" s="3">
        <f>IF(C312&lt;&gt;"",C312, D312)</f>
        <v/>
      </c>
      <c r="F312" s="3" t="n"/>
      <c r="G312" s="3">
        <f>IFERROR(__xludf.DUMMYFUNCTION("GOOGLETRANSLATE(B312,""vi"",""km"")"),"ទំហំ")</f>
        <v/>
      </c>
      <c r="H312" s="3" t="inlineStr">
        <is>
          <t>ទំហំ</t>
        </is>
      </c>
      <c r="I312" s="3" t="n"/>
      <c r="J312" s="3">
        <f>IFERROR(__xludf.DUMMYFUNCTION("GOOGLETRANSLATE(B312,""vi"",""lo"")"),"ຂະໜາດ")</f>
        <v/>
      </c>
      <c r="K312" s="3">
        <f>IF(I312&lt;&gt;"",I312, J312)</f>
        <v/>
      </c>
      <c r="L312" s="3" t="inlineStr">
        <is>
          <t>ទំហំ</t>
        </is>
      </c>
      <c r="M312" s="3" t="n"/>
      <c r="N312" s="3" t="inlineStr">
        <is>
          <t>"orderDetail.size": "Dimensions",</t>
        </is>
      </c>
      <c r="O312" s="3" t="n"/>
      <c r="P312" s="3" t="n"/>
      <c r="Q312" s="3" t="n"/>
      <c r="R312" s="3" t="n"/>
      <c r="S312" s="3" t="n"/>
      <c r="T312" s="3" t="n"/>
      <c r="U312" s="3" t="n"/>
      <c r="V312" s="3" t="n"/>
      <c r="W312" s="3" t="n"/>
      <c r="X312" s="3" t="n"/>
      <c r="Y312" s="3" t="n"/>
      <c r="Z312" s="3" t="n"/>
      <c r="AA312" s="3" t="n"/>
    </row>
    <row r="313">
      <c r="A313" s="3" t="inlineStr">
        <is>
          <t>orderDetail.status</t>
        </is>
      </c>
      <c r="B313" s="3" t="inlineStr">
        <is>
          <t>Trạng thái</t>
        </is>
      </c>
      <c r="C313" s="3" t="inlineStr">
        <is>
          <t>Status</t>
        </is>
      </c>
      <c r="D313" s="3">
        <f>IFERROR(__xludf.DUMMYFUNCTION("GOOGLETRANSLATE(B313,""vi"",""en"")"),"Status")</f>
        <v/>
      </c>
      <c r="E313" s="3">
        <f>IF(C313&lt;&gt;"",C313, D313)</f>
        <v/>
      </c>
      <c r="F313" s="3" t="n"/>
      <c r="G313" s="3">
        <f>IFERROR(__xludf.DUMMYFUNCTION("GOOGLETRANSLATE(B313,""vi"",""km"")"),"ស្ថានភាព")</f>
        <v/>
      </c>
      <c r="H313" s="3" t="inlineStr">
        <is>
          <t>ស្ថានភាព</t>
        </is>
      </c>
      <c r="I313" s="3" t="n"/>
      <c r="J313" s="3">
        <f>IFERROR(__xludf.DUMMYFUNCTION("GOOGLETRANSLATE(B313,""vi"",""lo"")"),"ສະຖານະ")</f>
        <v/>
      </c>
      <c r="K313" s="3">
        <f>IF(I313&lt;&gt;"",I313, J313)</f>
        <v/>
      </c>
      <c r="L313" s="3" t="inlineStr">
        <is>
          <t>ស្ថានភាព</t>
        </is>
      </c>
      <c r="M313" s="3" t="n"/>
      <c r="N313" s="3" t="inlineStr">
        <is>
          <t>"orderDetail.status": "Status",</t>
        </is>
      </c>
      <c r="O313" s="3" t="n"/>
      <c r="P313" s="3" t="n"/>
      <c r="Q313" s="3" t="n"/>
      <c r="R313" s="3" t="n"/>
      <c r="S313" s="3" t="n"/>
      <c r="T313" s="3" t="n"/>
      <c r="U313" s="3" t="n"/>
      <c r="V313" s="3" t="n"/>
      <c r="W313" s="3" t="n"/>
      <c r="X313" s="3" t="n"/>
      <c r="Y313" s="3" t="n"/>
      <c r="Z313" s="3" t="n"/>
      <c r="AA313" s="3" t="n"/>
    </row>
    <row r="314">
      <c r="A314" s="3" t="inlineStr">
        <is>
          <t>orderDetail.totalAmount</t>
        </is>
      </c>
      <c r="B314" s="3" t="inlineStr">
        <is>
          <t>Tổng tiền</t>
        </is>
      </c>
      <c r="C314" s="3" t="inlineStr">
        <is>
          <t>Total Amount</t>
        </is>
      </c>
      <c r="D314" s="3">
        <f>IFERROR(__xludf.DUMMYFUNCTION("GOOGLETRANSLATE(B314,""vi"",""en"")"),"Total amount")</f>
        <v/>
      </c>
      <c r="E314" s="3">
        <f>IF(C314&lt;&gt;"",C314, D314)</f>
        <v/>
      </c>
      <c r="F314" s="3" t="n"/>
      <c r="G314" s="3">
        <f>IFERROR(__xludf.DUMMYFUNCTION("GOOGLETRANSLATE(B314,""vi"",""km"")"),"ចំនួនទឹកប្រាក់សរុប")</f>
        <v/>
      </c>
      <c r="H314" s="3" t="inlineStr">
        <is>
          <t>ចំនួនទឹកប្រាក់សរុប</t>
        </is>
      </c>
      <c r="I314" s="3" t="n"/>
      <c r="J314" s="3">
        <f>IFERROR(__xludf.DUMMYFUNCTION("GOOGLETRANSLATE(B314,""vi"",""lo"")"),"ຈຳນວນທັງໝົດ")</f>
        <v/>
      </c>
      <c r="K314" s="3">
        <f>IF(I314&lt;&gt;"",I314, J314)</f>
        <v/>
      </c>
      <c r="L314" s="3" t="inlineStr">
        <is>
          <t>ចំនួនទឹកប្រាក់សរុប</t>
        </is>
      </c>
      <c r="M314" s="3" t="n"/>
      <c r="N314" s="3" t="inlineStr">
        <is>
          <t>"orderDetail.totalAmount": "Total Amount",</t>
        </is>
      </c>
      <c r="O314" s="3" t="n"/>
      <c r="P314" s="3" t="n"/>
      <c r="Q314" s="3" t="n"/>
      <c r="R314" s="3" t="n"/>
      <c r="S314" s="3" t="n"/>
      <c r="T314" s="3" t="n"/>
      <c r="U314" s="3" t="n"/>
      <c r="V314" s="3" t="n"/>
      <c r="W314" s="3" t="n"/>
      <c r="X314" s="3" t="n"/>
      <c r="Y314" s="3" t="n"/>
      <c r="Z314" s="3" t="n"/>
      <c r="AA314" s="3" t="n"/>
    </row>
    <row r="315">
      <c r="A315" s="3" t="inlineStr">
        <is>
          <t>orderDetail.totalFreight</t>
        </is>
      </c>
      <c r="B315" s="3" t="inlineStr">
        <is>
          <t>Tổng cước</t>
        </is>
      </c>
      <c r="C315" s="3" t="inlineStr">
        <is>
          <t>Total Charge</t>
        </is>
      </c>
      <c r="D315" s="3">
        <f>IFERROR(__xludf.DUMMYFUNCTION("GOOGLETRANSLATE(B315,""vi"",""en"")"),"Total charge")</f>
        <v/>
      </c>
      <c r="E315" s="3">
        <f>IF(C315&lt;&gt;"",C315, D315)</f>
        <v/>
      </c>
      <c r="F315" s="3" t="n"/>
      <c r="G315" s="3">
        <f>IFERROR(__xludf.DUMMYFUNCTION("GOOGLETRANSLATE(B315,""vi"",""km"")"),"ការគិតថ្លៃសរុប")</f>
        <v/>
      </c>
      <c r="H315" s="3" t="inlineStr">
        <is>
          <t>ថ្លៃដឹកជញ្ជូនសរុប</t>
        </is>
      </c>
      <c r="I315" s="3" t="n"/>
      <c r="J315" s="3">
        <f>IFERROR(__xludf.DUMMYFUNCTION("GOOGLETRANSLATE(B315,""vi"",""lo"")"),"ຄ່າໃຊ້ຈ່າຍທັງໝົດ")</f>
        <v/>
      </c>
      <c r="K315" s="3">
        <f>IF(I315&lt;&gt;"",I315, J315)</f>
        <v/>
      </c>
      <c r="L315" s="3" t="inlineStr">
        <is>
          <t>ថ្លៃដឹកជញ្ជូនសរុប</t>
        </is>
      </c>
      <c r="M315" s="3" t="n"/>
      <c r="N315" s="3" t="inlineStr">
        <is>
          <t>"orderDetail.totalFreight": "Total Charge",</t>
        </is>
      </c>
      <c r="O315" s="3" t="n"/>
      <c r="P315" s="3" t="n"/>
      <c r="Q315" s="3" t="n"/>
      <c r="R315" s="3" t="n"/>
      <c r="S315" s="3" t="n"/>
      <c r="T315" s="3" t="n"/>
      <c r="U315" s="3" t="n"/>
      <c r="V315" s="3" t="n"/>
      <c r="W315" s="3" t="n"/>
      <c r="X315" s="3" t="n"/>
      <c r="Y315" s="3" t="n"/>
      <c r="Z315" s="3" t="n"/>
      <c r="AA315" s="3" t="n"/>
    </row>
    <row r="316">
      <c r="A316" s="3" t="inlineStr">
        <is>
          <t>orderDetail.trackingCode</t>
        </is>
      </c>
      <c r="B316" s="3" t="inlineStr">
        <is>
          <t>Mã vận đơn</t>
        </is>
      </c>
      <c r="C316" s="3" t="inlineStr">
        <is>
          <t>Tracking Number</t>
        </is>
      </c>
      <c r="D316" s="3">
        <f>IFERROR(__xludf.DUMMYFUNCTION("GOOGLETRANSLATE(B316,""vi"",""en"")"),"Tracking number")</f>
        <v/>
      </c>
      <c r="E316" s="3">
        <f>IF(C316&lt;&gt;"",C316, D316)</f>
        <v/>
      </c>
      <c r="F316" s="3" t="n"/>
      <c r="G316" s="3">
        <f>IFERROR(__xludf.DUMMYFUNCTION("GOOGLETRANSLATE(B316,""vi"",""km"")"),"លេខតាមដាន")</f>
        <v/>
      </c>
      <c r="H316" s="3" t="inlineStr">
        <is>
          <t>លេខកូដបុងបញ្ញើ</t>
        </is>
      </c>
      <c r="I316" s="3" t="n"/>
      <c r="J316" s="3">
        <f>IFERROR(__xludf.DUMMYFUNCTION("GOOGLETRANSLATE(B316,""vi"",""lo"")"),"ໝາຍເລກຕິດຕາມ")</f>
        <v/>
      </c>
      <c r="K316" s="3">
        <f>IF(I316&lt;&gt;"",I316, J316)</f>
        <v/>
      </c>
      <c r="L316" s="3" t="inlineStr">
        <is>
          <t>លេខកូដបុងបញ្ញើ</t>
        </is>
      </c>
      <c r="M316" s="3" t="n"/>
      <c r="N316" s="3" t="inlineStr">
        <is>
          <t>"orderDetail.trackingCode": "Tracking Number",</t>
        </is>
      </c>
      <c r="O316" s="3" t="n"/>
      <c r="P316" s="3" t="n"/>
      <c r="Q316" s="3" t="n"/>
      <c r="R316" s="3" t="n"/>
      <c r="S316" s="3" t="n"/>
      <c r="T316" s="3" t="n"/>
      <c r="U316" s="3" t="n"/>
      <c r="V316" s="3" t="n"/>
      <c r="W316" s="3" t="n"/>
      <c r="X316" s="3" t="n"/>
      <c r="Y316" s="3" t="n"/>
      <c r="Z316" s="3" t="n"/>
      <c r="AA316" s="3" t="n"/>
    </row>
    <row r="317">
      <c r="A317" s="3" t="inlineStr">
        <is>
          <t>orderDetail.unitHead</t>
        </is>
      </c>
      <c r="B317" s="3" t="inlineStr">
        <is>
          <t>Trưởng đơn vị</t>
        </is>
      </c>
      <c r="C317" s="3" t="inlineStr">
        <is>
          <t>Unit Manager</t>
        </is>
      </c>
      <c r="D317" s="3">
        <f>IFERROR(__xludf.DUMMYFUNCTION("GOOGLETRANSLATE(B317,""vi"",""en"")"),"Head of Unit")</f>
        <v/>
      </c>
      <c r="E317" s="3">
        <f>IF(C317&lt;&gt;"",C317, D317)</f>
        <v/>
      </c>
      <c r="F317" s="3" t="n"/>
      <c r="G317" s="3">
        <f>IFERROR(__xludf.DUMMYFUNCTION("GOOGLETRANSLATE(B317,""vi"",""km"")"),"ប្រធានអង្គភាព")</f>
        <v/>
      </c>
      <c r="H317" s="3" t="inlineStr">
        <is>
          <t>ប្រធានអង្គភាព</t>
        </is>
      </c>
      <c r="I317" s="3" t="n"/>
      <c r="J317" s="3">
        <f>IFERROR(__xludf.DUMMYFUNCTION("GOOGLETRANSLATE(B317,""vi"",""lo"")"),"ຫົວໜ້າໜ່ວຍງານ")</f>
        <v/>
      </c>
      <c r="K317" s="3">
        <f>IF(I317&lt;&gt;"",I317, J317)</f>
        <v/>
      </c>
      <c r="L317" s="3" t="inlineStr">
        <is>
          <t>ប្រធានអង្គភាព</t>
        </is>
      </c>
      <c r="M317" s="3" t="n"/>
      <c r="N317" s="3" t="inlineStr">
        <is>
          <t>"orderDetail.unitHead": "Unit Manager",</t>
        </is>
      </c>
      <c r="O317" s="3" t="n"/>
      <c r="P317" s="3" t="n"/>
      <c r="Q317" s="3" t="n"/>
      <c r="R317" s="3" t="n"/>
      <c r="S317" s="3" t="n"/>
      <c r="T317" s="3" t="n"/>
      <c r="U317" s="3" t="n"/>
      <c r="V317" s="3" t="n"/>
      <c r="W317" s="3" t="n"/>
      <c r="X317" s="3" t="n"/>
      <c r="Y317" s="3" t="n"/>
      <c r="Z317" s="3" t="n"/>
      <c r="AA317" s="3" t="n"/>
    </row>
    <row r="318">
      <c r="A318" s="3" t="inlineStr">
        <is>
          <t>orderDetail.village</t>
        </is>
      </c>
      <c r="B318" s="3" t="inlineStr">
        <is>
          <t>Bản</t>
        </is>
      </c>
      <c r="C318" s="76" t="inlineStr">
        <is>
          <t>village</t>
        </is>
      </c>
      <c r="D318" s="3">
        <f>IFERROR(__xludf.DUMMYFUNCTION("GOOGLETRANSLATE(B318,""vi"",""en"")"),"Copy")</f>
        <v/>
      </c>
      <c r="E318" s="3">
        <f>IF(C318&lt;&gt;"",C318, D318)</f>
        <v/>
      </c>
      <c r="F318" s="3" t="n"/>
      <c r="G318" s="3">
        <f>IFERROR(__xludf.DUMMYFUNCTION("GOOGLETRANSLATE(B318,""vi"",""km"")"),"ចម្លង")</f>
        <v/>
      </c>
      <c r="H318" s="3" t="inlineStr">
        <is>
          <t>ចម្លង</t>
        </is>
      </c>
      <c r="I318" s="3" t="n"/>
      <c r="J318" s="3">
        <f>IFERROR(__xludf.DUMMYFUNCTION("GOOGLETRANSLATE(B318,""vi"",""lo"")"),"ສຳເນົາ")</f>
        <v/>
      </c>
      <c r="K318" s="3">
        <f>IF(I318&lt;&gt;"",I318, J318)</f>
        <v/>
      </c>
      <c r="L318" s="3" t="inlineStr">
        <is>
          <t>ចម្លង</t>
        </is>
      </c>
      <c r="M318" s="3" t="n"/>
      <c r="N318" s="3" t="inlineStr">
        <is>
          <t>"orderDetail.village": "village",</t>
        </is>
      </c>
      <c r="O318" s="3" t="n"/>
      <c r="P318" s="3" t="n"/>
      <c r="Q318" s="3" t="n"/>
      <c r="R318" s="3" t="n"/>
      <c r="S318" s="3" t="n"/>
      <c r="T318" s="3" t="n"/>
      <c r="U318" s="3" t="n"/>
      <c r="V318" s="3" t="n"/>
      <c r="W318" s="3" t="n"/>
      <c r="X318" s="3" t="n"/>
      <c r="Y318" s="3" t="n"/>
      <c r="Z318" s="3" t="n"/>
      <c r="AA318" s="3" t="n"/>
    </row>
    <row r="319">
      <c r="A319" s="3" t="inlineStr">
        <is>
          <t>orderDetail.weight</t>
        </is>
      </c>
      <c r="B319" s="3" t="inlineStr">
        <is>
          <t>Trọng lượng</t>
        </is>
      </c>
      <c r="C319" s="3" t="inlineStr">
        <is>
          <t>Weight</t>
        </is>
      </c>
      <c r="D319" s="3">
        <f>IFERROR(__xludf.DUMMYFUNCTION("GOOGLETRANSLATE(B319,""vi"",""en"")"),"Weight")</f>
        <v/>
      </c>
      <c r="E319" s="3">
        <f>IF(C319&lt;&gt;"",C319, D319)</f>
        <v/>
      </c>
      <c r="F319" s="3" t="n"/>
      <c r="G319" s="3">
        <f>IFERROR(__xludf.DUMMYFUNCTION("GOOGLETRANSLATE(B319,""vi"",""km"")"),"ទម្ងន់")</f>
        <v/>
      </c>
      <c r="H319" s="3" t="inlineStr">
        <is>
          <t>ទម្ងន់</t>
        </is>
      </c>
      <c r="I319" s="3" t="n"/>
      <c r="J319" s="3">
        <f>IFERROR(__xludf.DUMMYFUNCTION("GOOGLETRANSLATE(B319,""vi"",""lo"")"),"ນ້ຳໜັກ")</f>
        <v/>
      </c>
      <c r="K319" s="3">
        <f>IF(I319&lt;&gt;"",I319, J319)</f>
        <v/>
      </c>
      <c r="L319" s="3" t="inlineStr">
        <is>
          <t>ទម្ងន់</t>
        </is>
      </c>
      <c r="M319" s="3" t="n"/>
      <c r="N319" s="3" t="inlineStr">
        <is>
          <t>"orderDetail.weight": "Weight",</t>
        </is>
      </c>
      <c r="O319" s="3" t="n"/>
      <c r="P319" s="3" t="n"/>
      <c r="Q319" s="3" t="n"/>
      <c r="R319" s="3" t="n"/>
      <c r="S319" s="3" t="n"/>
      <c r="T319" s="3" t="n"/>
      <c r="U319" s="3" t="n"/>
      <c r="V319" s="3" t="n"/>
      <c r="W319" s="3" t="n"/>
      <c r="X319" s="3" t="n"/>
      <c r="Y319" s="3" t="n"/>
      <c r="Z319" s="3" t="n"/>
      <c r="AA319" s="3" t="n"/>
    </row>
    <row r="320">
      <c r="A320" s="3" t="inlineStr">
        <is>
          <t>orderStatus.CANCELLED</t>
        </is>
      </c>
      <c r="B320" s="3" t="inlineStr">
        <is>
          <t>Đã hủy</t>
        </is>
      </c>
      <c r="C320" s="3" t="inlineStr">
        <is>
          <t>Canceled</t>
        </is>
      </c>
      <c r="D320" s="3">
        <f>IFERROR(__xludf.DUMMYFUNCTION("GOOGLETRANSLATE(B320,""vi"",""en"")"),"Cancelled")</f>
        <v/>
      </c>
      <c r="E320" s="3">
        <f>IF(C320&lt;&gt;"",C320, D320)</f>
        <v/>
      </c>
      <c r="F320" s="3" t="n"/>
      <c r="G320" s="3">
        <f>IFERROR(__xludf.DUMMYFUNCTION("GOOGLETRANSLATE(B320,""vi"",""km"")"),"បានលុបចោល")</f>
        <v/>
      </c>
      <c r="H320" s="3" t="inlineStr">
        <is>
          <t>បានលុបចោល</t>
        </is>
      </c>
      <c r="I320" s="3" t="n"/>
      <c r="J320" s="3">
        <f>IFERROR(__xludf.DUMMYFUNCTION("GOOGLETRANSLATE(B320,""vi"",""lo"")"),"ຍົກເລີກແລ້ວ")</f>
        <v/>
      </c>
      <c r="K320" s="3">
        <f>IF(I320&lt;&gt;"",I320, J320)</f>
        <v/>
      </c>
      <c r="L320" s="3" t="inlineStr">
        <is>
          <t>បានលុបចោល</t>
        </is>
      </c>
      <c r="M320" s="3" t="n"/>
      <c r="N320" s="3" t="inlineStr">
        <is>
          <t>"orderStatus.CANCELLED": "Canceled",</t>
        </is>
      </c>
      <c r="O320" s="3" t="n"/>
      <c r="P320" s="3" t="n"/>
      <c r="Q320" s="3" t="n"/>
      <c r="R320" s="3" t="n"/>
      <c r="S320" s="3" t="n"/>
      <c r="T320" s="3" t="n"/>
      <c r="U320" s="3" t="n"/>
      <c r="V320" s="3" t="n"/>
      <c r="W320" s="3" t="n"/>
      <c r="X320" s="3" t="n"/>
      <c r="Y320" s="3" t="n"/>
      <c r="Z320" s="3" t="n"/>
      <c r="AA320" s="3" t="n"/>
    </row>
    <row r="321">
      <c r="A321" s="3" t="inlineStr">
        <is>
          <t>orderStatus.DELIVERED</t>
        </is>
      </c>
      <c r="B321" s="3" t="inlineStr">
        <is>
          <t>Giao thành công</t>
        </is>
      </c>
      <c r="C321" s="3" t="inlineStr">
        <is>
          <t>Delivered successfully</t>
        </is>
      </c>
      <c r="D321" s="3">
        <f>IFERROR(__xludf.DUMMYFUNCTION("GOOGLETRANSLATE(B321,""vi"",""en"")"),"Delivery successful")</f>
        <v/>
      </c>
      <c r="E321" s="3">
        <f>IF(C321&lt;&gt;"",C321, D321)</f>
        <v/>
      </c>
      <c r="F321" s="3" t="n"/>
      <c r="G321" s="3">
        <f>IFERROR(__xludf.DUMMYFUNCTION("GOOGLETRANSLATE(B321,""vi"",""km"")"),"ការដឹកជញ្ជូនទទួលបានជោគជ័យ")</f>
        <v/>
      </c>
      <c r="H321" s="3" t="inlineStr">
        <is>
          <t>ដឹកជញ្ជូនជោគជ័យ</t>
        </is>
      </c>
      <c r="I321" s="3" t="n"/>
      <c r="J321" s="3">
        <f>IFERROR(__xludf.DUMMYFUNCTION("GOOGLETRANSLATE(B321,""vi"",""lo"")"),"ການຈັດສົ່ງສຳເລັດແລ້ວ")</f>
        <v/>
      </c>
      <c r="K321" s="3">
        <f>IF(I321&lt;&gt;"",I321, J321)</f>
        <v/>
      </c>
      <c r="L321" s="3" t="inlineStr">
        <is>
          <t>ដឹកជញ្ជូនជោគជ័យ</t>
        </is>
      </c>
      <c r="M321" s="3" t="n"/>
      <c r="N321" s="3" t="inlineStr">
        <is>
          <t>"orderStatus.DELIVERED": "Delivered successfully",</t>
        </is>
      </c>
      <c r="O321" s="3" t="n"/>
      <c r="P321" s="3" t="n"/>
      <c r="Q321" s="3" t="n"/>
      <c r="R321" s="3" t="n"/>
      <c r="S321" s="3" t="n"/>
      <c r="T321" s="3" t="n"/>
      <c r="U321" s="3" t="n"/>
      <c r="V321" s="3" t="n"/>
      <c r="W321" s="3" t="n"/>
      <c r="X321" s="3" t="n"/>
      <c r="Y321" s="3" t="n"/>
      <c r="Z321" s="3" t="n"/>
      <c r="AA321" s="3" t="n"/>
    </row>
    <row r="322">
      <c r="A322" s="3" t="inlineStr">
        <is>
          <t>orderStatus.DELIVERING</t>
        </is>
      </c>
      <c r="B322" s="3" t="inlineStr">
        <is>
          <t>Đang giao</t>
        </is>
      </c>
      <c r="C322" s="3" t="inlineStr">
        <is>
          <t>In transit</t>
        </is>
      </c>
      <c r="D322" s="3">
        <f>IFERROR(__xludf.DUMMYFUNCTION("GOOGLETRANSLATE(B322,""vi"",""en"")"),"In progress")</f>
        <v/>
      </c>
      <c r="E322" s="3">
        <f>IF(C322&lt;&gt;"",C322, D322)</f>
        <v/>
      </c>
      <c r="F322" s="3" t="n"/>
      <c r="G322" s="3">
        <f>IFERROR(__xludf.DUMMYFUNCTION("GOOGLETRANSLATE(B322,""vi"",""km"")"),"កំពុងដំណើរការ")</f>
        <v/>
      </c>
      <c r="H322" s="3" t="inlineStr">
        <is>
          <t>កំពុងដំណើរការ</t>
        </is>
      </c>
      <c r="I322" s="3" t="n"/>
      <c r="J322" s="3">
        <f>IFERROR(__xludf.DUMMYFUNCTION("GOOGLETRANSLATE(B322,""vi"",""lo"")"),"ກຳລັງດຳເນີນການ")</f>
        <v/>
      </c>
      <c r="K322" s="3">
        <f>IF(I322&lt;&gt;"",I322, J322)</f>
        <v/>
      </c>
      <c r="L322" s="3" t="inlineStr">
        <is>
          <t>កំពុងដំណើរការ</t>
        </is>
      </c>
      <c r="M322" s="3" t="n"/>
      <c r="N322" s="3" t="inlineStr">
        <is>
          <t>"orderStatus.DELIVERING": "In transit",</t>
        </is>
      </c>
      <c r="O322" s="3" t="n"/>
      <c r="P322" s="3" t="n"/>
      <c r="Q322" s="3" t="n"/>
      <c r="R322" s="3" t="n"/>
      <c r="S322" s="3" t="n"/>
      <c r="T322" s="3" t="n"/>
      <c r="U322" s="3" t="n"/>
      <c r="V322" s="3" t="n"/>
      <c r="W322" s="3" t="n"/>
      <c r="X322" s="3" t="n"/>
      <c r="Y322" s="3" t="n"/>
      <c r="Z322" s="3" t="n"/>
      <c r="AA322" s="3" t="n"/>
    </row>
    <row r="323">
      <c r="A323" s="3" t="inlineStr">
        <is>
          <t>orderStatus.PROCESSING</t>
        </is>
      </c>
      <c r="B323" s="3" t="inlineStr">
        <is>
          <t>Đang xử lý</t>
        </is>
      </c>
      <c r="C323" s="3" t="inlineStr">
        <is>
          <t>Processing</t>
        </is>
      </c>
      <c r="D323" s="3">
        <f>IFERROR(__xludf.DUMMYFUNCTION("GOOGLETRANSLATE(B323,""vi"",""en"")"),"Processing")</f>
        <v/>
      </c>
      <c r="E323" s="3">
        <f>IF(C323&lt;&gt;"",C323, D323)</f>
        <v/>
      </c>
      <c r="F323" s="3" t="n"/>
      <c r="G323" s="3">
        <f>IFERROR(__xludf.DUMMYFUNCTION("GOOGLETRANSLATE(B323,""vi"",""km"")"),"កំពុងដំណើរការ")</f>
        <v/>
      </c>
      <c r="H323" s="3" t="inlineStr">
        <is>
          <t>កំពុងដំណើរការ</t>
        </is>
      </c>
      <c r="I323" s="3" t="n"/>
      <c r="J323" s="3">
        <f>IFERROR(__xludf.DUMMYFUNCTION("GOOGLETRANSLATE(B323,""vi"",""lo"")"),"ການປະມວນຜົນ")</f>
        <v/>
      </c>
      <c r="K323" s="3">
        <f>IF(I323&lt;&gt;"",I323, J323)</f>
        <v/>
      </c>
      <c r="L323" s="3" t="inlineStr">
        <is>
          <t>កំពុងដំណើរការ</t>
        </is>
      </c>
      <c r="M323" s="3" t="n"/>
      <c r="N323" s="3" t="inlineStr">
        <is>
          <t>"orderStatus.PROCESSING": "Processing",</t>
        </is>
      </c>
      <c r="O323" s="3" t="n"/>
      <c r="P323" s="3" t="n"/>
      <c r="Q323" s="3" t="n"/>
      <c r="R323" s="3" t="n"/>
      <c r="S323" s="3" t="n"/>
      <c r="T323" s="3" t="n"/>
      <c r="U323" s="3" t="n"/>
      <c r="V323" s="3" t="n"/>
      <c r="W323" s="3" t="n"/>
      <c r="X323" s="3" t="n"/>
      <c r="Y323" s="3" t="n"/>
      <c r="Z323" s="3" t="n"/>
      <c r="AA323" s="3" t="n"/>
    </row>
    <row r="324">
      <c r="A324" s="3" t="inlineStr">
        <is>
          <t>orderStatus.RETURNED</t>
        </is>
      </c>
      <c r="B324" s="3" t="inlineStr">
        <is>
          <t>Đã hoàn</t>
        </is>
      </c>
      <c r="C324" s="3" t="inlineStr">
        <is>
          <t>Returned</t>
        </is>
      </c>
      <c r="D324" s="3">
        <f>IFERROR(__xludf.DUMMYFUNCTION("GOOGLETRANSLATE(B324,""vi"",""en"")"),"Completed")</f>
        <v/>
      </c>
      <c r="E324" s="3">
        <f>IF(C324&lt;&gt;"",C324, D324)</f>
        <v/>
      </c>
      <c r="F324" s="3" t="n"/>
      <c r="G324" s="3">
        <f>IFERROR(__xludf.DUMMYFUNCTION("GOOGLETRANSLATE(B324,""vi"",""km"")"),"បានបញ្ចប់")</f>
        <v/>
      </c>
      <c r="H324" s="3" t="inlineStr">
        <is>
          <t>បានបញ្ចប់</t>
        </is>
      </c>
      <c r="I324" s="3" t="n"/>
      <c r="J324" s="3">
        <f>IFERROR(__xludf.DUMMYFUNCTION("GOOGLETRANSLATE(B324,""vi"",""lo"")"),"ສຳເລັດແລ້ວ")</f>
        <v/>
      </c>
      <c r="K324" s="3">
        <f>IF(I324&lt;&gt;"",I324, J324)</f>
        <v/>
      </c>
      <c r="L324" s="3" t="inlineStr">
        <is>
          <t>បានបញ្ចប់</t>
        </is>
      </c>
      <c r="M324" s="3" t="n"/>
      <c r="N324" s="3" t="inlineStr">
        <is>
          <t>"orderStatus.RETURNED": "Returned",</t>
        </is>
      </c>
      <c r="O324" s="3" t="n"/>
      <c r="P324" s="3" t="n"/>
      <c r="Q324" s="3" t="n"/>
      <c r="R324" s="3" t="n"/>
      <c r="S324" s="3" t="n"/>
      <c r="T324" s="3" t="n"/>
      <c r="U324" s="3" t="n"/>
      <c r="V324" s="3" t="n"/>
      <c r="W324" s="3" t="n"/>
      <c r="X324" s="3" t="n"/>
      <c r="Y324" s="3" t="n"/>
      <c r="Z324" s="3" t="n"/>
      <c r="AA324" s="3" t="n"/>
    </row>
    <row r="325">
      <c r="A325" s="3" t="inlineStr">
        <is>
          <t>orderStatus.WAITING</t>
        </is>
      </c>
      <c r="B325" s="3" t="inlineStr">
        <is>
          <t>Chờ xử lý</t>
        </is>
      </c>
      <c r="C325" s="3" t="inlineStr">
        <is>
          <t>Pending processing</t>
        </is>
      </c>
      <c r="D325" s="3">
        <f>IFERROR(__xludf.DUMMYFUNCTION("GOOGLETRANSLATE(B325,""vi"",""en"")"),"Awaiting processing")</f>
        <v/>
      </c>
      <c r="E325" s="3">
        <f>IF(C325&lt;&gt;"",C325, D325)</f>
        <v/>
      </c>
      <c r="F325" s="3" t="n"/>
      <c r="G325" s="3">
        <f>IFERROR(__xludf.DUMMYFUNCTION("GOOGLETRANSLATE(B325,""vi"",""km"")"),"កំពុងរង់ចាំដំណើរការ")</f>
        <v/>
      </c>
      <c r="H325" s="3" t="inlineStr">
        <is>
          <t>កំពុងរង់ចាំដំណើរការ</t>
        </is>
      </c>
      <c r="I325" s="3" t="n"/>
      <c r="J325" s="3">
        <f>IFERROR(__xludf.DUMMYFUNCTION("GOOGLETRANSLATE(B325,""vi"",""lo"")"),"ກຳລັງລໍຖ້າການປະມວນຜົນ")</f>
        <v/>
      </c>
      <c r="K325" s="3">
        <f>IF(I325&lt;&gt;"",I325, J325)</f>
        <v/>
      </c>
      <c r="L325" s="3" t="inlineStr">
        <is>
          <t>កំពុងរង់ចាំដំណើរការ</t>
        </is>
      </c>
      <c r="M325" s="3" t="n"/>
      <c r="N325" s="3" t="inlineStr">
        <is>
          <t>"orderStatus.WAITING": "Pending processing",</t>
        </is>
      </c>
      <c r="O325" s="3" t="n"/>
      <c r="P325" s="3" t="n"/>
      <c r="Q325" s="3" t="n"/>
      <c r="R325" s="3" t="n"/>
      <c r="S325" s="3" t="n"/>
      <c r="T325" s="3" t="n"/>
      <c r="U325" s="3" t="n"/>
      <c r="V325" s="3" t="n"/>
      <c r="W325" s="3" t="n"/>
      <c r="X325" s="3" t="n"/>
      <c r="Y325" s="3" t="n"/>
      <c r="Z325" s="3" t="n"/>
      <c r="AA325" s="3" t="n"/>
    </row>
    <row r="326">
      <c r="A326" s="3" t="inlineStr">
        <is>
          <t>postOffice.current</t>
        </is>
      </c>
      <c r="B326" s="3" t="inlineStr">
        <is>
          <t>Bưu cục hiện tại</t>
        </is>
      </c>
      <c r="C326" s="3" t="inlineStr">
        <is>
          <t>Current PO</t>
        </is>
      </c>
      <c r="D326" s="3">
        <f>IFERROR(__xludf.DUMMYFUNCTION("GOOGLETRANSLATE(B326,""vi"",""en"")"),"Current Post Office")</f>
        <v/>
      </c>
      <c r="E326" s="3">
        <f>IF(C326&lt;&gt;"",C326, D326)</f>
        <v/>
      </c>
      <c r="F326" s="3" t="n"/>
      <c r="G326" s="3">
        <f>IFERROR(__xludf.DUMMYFUNCTION("GOOGLETRANSLATE(B326,""vi"",""km"")"),"ការិយាល័យប្រៃសណីយ៍បច្ចុប្បន្ន")</f>
        <v/>
      </c>
      <c r="H326" s="3" t="inlineStr">
        <is>
          <t>ការិយាល័យប្រៃសណីយ៍បច្ចុប្បន្ន</t>
        </is>
      </c>
      <c r="I326" s="3" t="n"/>
      <c r="J326" s="3">
        <f>IFERROR(__xludf.DUMMYFUNCTION("GOOGLETRANSLATE(B326,""vi"",""lo"")"),"ຫ້ອງການໄປສະນີປັດຈຸບັນ")</f>
        <v/>
      </c>
      <c r="K326" s="3">
        <f>IF(I326&lt;&gt;"",I326, J326)</f>
        <v/>
      </c>
      <c r="L326" s="3" t="inlineStr">
        <is>
          <t>ការិយាល័យប្រៃសណីយ៍បច្ចុប្បន្ន</t>
        </is>
      </c>
      <c r="M326" s="3" t="n"/>
      <c r="N326" s="3" t="inlineStr">
        <is>
          <t>"postOffice.current": "Current PO",</t>
        </is>
      </c>
      <c r="O326" s="3" t="n"/>
      <c r="P326" s="3" t="n"/>
      <c r="Q326" s="3" t="n"/>
      <c r="R326" s="3" t="n"/>
      <c r="S326" s="3" t="n"/>
      <c r="T326" s="3" t="n"/>
      <c r="U326" s="3" t="n"/>
      <c r="V326" s="3" t="n"/>
      <c r="W326" s="3" t="n"/>
      <c r="X326" s="3" t="n"/>
      <c r="Y326" s="3" t="n"/>
      <c r="Z326" s="3" t="n"/>
      <c r="AA326" s="3" t="n"/>
    </row>
    <row r="327">
      <c r="A327" s="3" t="inlineStr">
        <is>
          <t>postOffice.delivery</t>
        </is>
      </c>
      <c r="B327" s="3" t="inlineStr">
        <is>
          <t>Bưu cục phát</t>
        </is>
      </c>
      <c r="C327" s="3" t="inlineStr">
        <is>
          <t>Delivery PO</t>
        </is>
      </c>
      <c r="D327" s="3">
        <f>IFERROR(__xludf.DUMMYFUNCTION("GOOGLETRANSLATE(B327,""vi"",""en"")"),"Delivery Post Office")</f>
        <v/>
      </c>
      <c r="E327" s="3">
        <f>IF(C327&lt;&gt;"",C327, D327)</f>
        <v/>
      </c>
      <c r="F327" s="3" t="n"/>
      <c r="G327" s="3">
        <f>IFERROR(__xludf.DUMMYFUNCTION("GOOGLETRANSLATE(B327,""vi"",""km"")"),"ការិយាល័យប្រៃសណីយ៍ដឹកជញ្ជូន")</f>
        <v/>
      </c>
      <c r="H327" s="3" t="inlineStr">
        <is>
          <t>ការិយាល័យប្រៃសណីយ៍ដឹកចែក</t>
        </is>
      </c>
      <c r="I327" s="3" t="n"/>
      <c r="J327" s="3">
        <f>IFERROR(__xludf.DUMMYFUNCTION("GOOGLETRANSLATE(B327,""vi"",""lo"")"),"ຫ້ອງການຈັດສົ່ງໄປສະນີ")</f>
        <v/>
      </c>
      <c r="K327" s="3">
        <f>IF(I327&lt;&gt;"",I327, J327)</f>
        <v/>
      </c>
      <c r="L327" s="3" t="inlineStr">
        <is>
          <t>ការិយាល័យប្រៃសណីយ៍ដឹកចែក</t>
        </is>
      </c>
      <c r="M327" s="3" t="n"/>
      <c r="N327" s="3" t="inlineStr">
        <is>
          <t>"postOffice.delivery": "Delivery PO",</t>
        </is>
      </c>
      <c r="O327" s="3" t="n"/>
      <c r="P327" s="3" t="n"/>
      <c r="Q327" s="3" t="n"/>
      <c r="R327" s="3" t="n"/>
      <c r="S327" s="3" t="n"/>
      <c r="T327" s="3" t="n"/>
      <c r="U327" s="3" t="n"/>
      <c r="V327" s="3" t="n"/>
      <c r="W327" s="3" t="n"/>
      <c r="X327" s="3" t="n"/>
      <c r="Y327" s="3" t="n"/>
      <c r="Z327" s="3" t="n"/>
      <c r="AA327" s="3" t="n"/>
    </row>
    <row r="328">
      <c r="A328" s="3" t="inlineStr">
        <is>
          <t>postOffice.origin</t>
        </is>
      </c>
      <c r="B328" s="3" t="inlineStr">
        <is>
          <t>Bưu cục gốc</t>
        </is>
      </c>
      <c r="C328" s="3" t="inlineStr">
        <is>
          <t>Origin PO</t>
        </is>
      </c>
      <c r="D328" s="3">
        <f>IFERROR(__xludf.DUMMYFUNCTION("GOOGLETRANSLATE(B328,""vi"",""en"")"),"Original Post Office")</f>
        <v/>
      </c>
      <c r="E328" s="3">
        <f>IF(C328&lt;&gt;"",C328, D328)</f>
        <v/>
      </c>
      <c r="F328" s="3" t="n"/>
      <c r="G328" s="3">
        <f>IFERROR(__xludf.DUMMYFUNCTION("GOOGLETRANSLATE(B328,""vi"",""km"")"),"ការិយាល័យប្រៃសណីយ៍ដើម")</f>
        <v/>
      </c>
      <c r="H328" s="3" t="inlineStr">
        <is>
          <t>ការិយាល័យប្រៃសណីយ៍ដើម</t>
        </is>
      </c>
      <c r="I328" s="3" t="n"/>
      <c r="J328" s="3">
        <f>IFERROR(__xludf.DUMMYFUNCTION("GOOGLETRANSLATE(B328,""vi"",""lo"")"),"ຫ້ອງການໄປສະນີຕົ້ນສະບັບ")</f>
        <v/>
      </c>
      <c r="K328" s="3">
        <f>IF(I328&lt;&gt;"",I328, J328)</f>
        <v/>
      </c>
      <c r="L328" s="3" t="inlineStr">
        <is>
          <t>ការិយាល័យប្រៃសណីយ៍ដើម</t>
        </is>
      </c>
      <c r="M328" s="3" t="n"/>
      <c r="N328" s="3" t="inlineStr">
        <is>
          <t>"postOffice.origin": "Origin PO",</t>
        </is>
      </c>
      <c r="O328" s="3" t="n"/>
      <c r="P328" s="3" t="n"/>
      <c r="Q328" s="3" t="n"/>
      <c r="R328" s="3" t="n"/>
      <c r="S328" s="3" t="n"/>
      <c r="T328" s="3" t="n"/>
      <c r="U328" s="3" t="n"/>
      <c r="V328" s="3" t="n"/>
      <c r="W328" s="3" t="n"/>
      <c r="X328" s="3" t="n"/>
      <c r="Y328" s="3" t="n"/>
      <c r="Z328" s="3" t="n"/>
      <c r="AA328" s="3" t="n"/>
    </row>
    <row r="329">
      <c r="A329" s="3" t="inlineStr">
        <is>
          <t>postOfficeHanding.btnComplete</t>
        </is>
      </c>
      <c r="B329" s="3" t="inlineStr">
        <is>
          <t>Hoàn thành</t>
        </is>
      </c>
      <c r="C329" s="3" t="inlineStr">
        <is>
          <t>Completed</t>
        </is>
      </c>
      <c r="D329" s="3">
        <f>IFERROR(__xludf.DUMMYFUNCTION("GOOGLETRANSLATE(B329,""vi"",""en"")"),"Complete")</f>
        <v/>
      </c>
      <c r="E329" s="3">
        <f>IF(C329&lt;&gt;"",C329, D329)</f>
        <v/>
      </c>
      <c r="F329" s="3" t="n"/>
      <c r="G329" s="3">
        <f>IFERROR(__xludf.DUMMYFUNCTION("GOOGLETRANSLATE(B329,""vi"",""km"")"),"ពេញលេញ")</f>
        <v/>
      </c>
      <c r="H329" s="3" t="inlineStr">
        <is>
          <t>បានបញ្ចប់</t>
        </is>
      </c>
      <c r="I329" s="3" t="n"/>
      <c r="J329" s="3">
        <f>IFERROR(__xludf.DUMMYFUNCTION("GOOGLETRANSLATE(B329,""vi"",""lo"")"),"ສຳເລັດແລ້ວ")</f>
        <v/>
      </c>
      <c r="K329" s="3">
        <f>IF(I329&lt;&gt;"",I329, J329)</f>
        <v/>
      </c>
      <c r="L329" s="3" t="inlineStr">
        <is>
          <t>បានបញ្ចប់</t>
        </is>
      </c>
      <c r="M329" s="3" t="n"/>
      <c r="N329" s="3" t="inlineStr">
        <is>
          <t>"postOfficeHanding.btnComplete": "Completed",</t>
        </is>
      </c>
      <c r="O329" s="3" t="n"/>
      <c r="P329" s="3" t="n"/>
      <c r="Q329" s="3" t="n"/>
      <c r="R329" s="3" t="n"/>
      <c r="S329" s="3" t="n"/>
      <c r="T329" s="3" t="n"/>
      <c r="U329" s="3" t="n"/>
      <c r="V329" s="3" t="n"/>
      <c r="W329" s="3" t="n"/>
      <c r="X329" s="3" t="n"/>
      <c r="Y329" s="3" t="n"/>
      <c r="Z329" s="3" t="n"/>
      <c r="AA329" s="3" t="n"/>
    </row>
    <row r="330">
      <c r="A330" s="3" t="inlineStr">
        <is>
          <t>postOfficeHanding.btnProcessed</t>
        </is>
      </c>
      <c r="B330" s="3" t="inlineStr">
        <is>
          <t>Đã xử lý</t>
        </is>
      </c>
      <c r="C330" s="3" t="inlineStr">
        <is>
          <t>Processed</t>
        </is>
      </c>
      <c r="D330" s="3">
        <f>IFERROR(__xludf.DUMMYFUNCTION("GOOGLETRANSLATE(B330,""vi"",""en"")"),"Processed")</f>
        <v/>
      </c>
      <c r="E330" s="3">
        <f>IF(C330&lt;&gt;"",C330, D330)</f>
        <v/>
      </c>
      <c r="F330" s="3" t="n"/>
      <c r="G330" s="3">
        <f>IFERROR(__xludf.DUMMYFUNCTION("GOOGLETRANSLATE(B330,""vi"",""km"")"),"បានដំណើរការ")</f>
        <v/>
      </c>
      <c r="H330" s="3" t="inlineStr">
        <is>
          <t>បានដំណើរការ</t>
        </is>
      </c>
      <c r="I330" s="3" t="n"/>
      <c r="J330" s="3">
        <f>IFERROR(__xludf.DUMMYFUNCTION("GOOGLETRANSLATE(B330,""vi"",""lo"")"),"ປະມວນຜົນແລ້ວ")</f>
        <v/>
      </c>
      <c r="K330" s="3">
        <f>IF(I330&lt;&gt;"",I330, J330)</f>
        <v/>
      </c>
      <c r="L330" s="3" t="inlineStr">
        <is>
          <t>បានដំណើរការ</t>
        </is>
      </c>
      <c r="M330" s="3" t="n"/>
      <c r="N330" s="3" t="inlineStr">
        <is>
          <t>"postOfficeHanding.btnProcessed": "Processed",</t>
        </is>
      </c>
      <c r="O330" s="3" t="n"/>
      <c r="P330" s="3" t="n"/>
      <c r="Q330" s="3" t="n"/>
      <c r="R330" s="3" t="n"/>
      <c r="S330" s="3" t="n"/>
      <c r="T330" s="3" t="n"/>
      <c r="U330" s="3" t="n"/>
      <c r="V330" s="3" t="n"/>
      <c r="W330" s="3" t="n"/>
      <c r="X330" s="3" t="n"/>
      <c r="Y330" s="3" t="n"/>
      <c r="Z330" s="3" t="n"/>
      <c r="AA330" s="3" t="n"/>
    </row>
    <row r="331">
      <c r="A331" s="3" t="inlineStr">
        <is>
          <t>postOfficeHanding.btnUpdate</t>
        </is>
      </c>
      <c r="B331" s="3" t="inlineStr">
        <is>
          <t>Cập nhật</t>
        </is>
      </c>
      <c r="C331" s="3" t="inlineStr">
        <is>
          <t>Update</t>
        </is>
      </c>
      <c r="D331" s="3">
        <f>IFERROR(__xludf.DUMMYFUNCTION("GOOGLETRANSLATE(B331,""vi"",""en"")"),"Update")</f>
        <v/>
      </c>
      <c r="E331" s="3">
        <f>IF(C331&lt;&gt;"",C331, D331)</f>
        <v/>
      </c>
      <c r="F331" s="3" t="n"/>
      <c r="G331" s="3">
        <f>IFERROR(__xludf.DUMMYFUNCTION("GOOGLETRANSLATE(B331,""vi"",""km"")"),"ធ្វើបច្ចុប្បន្នភាព")</f>
        <v/>
      </c>
      <c r="H331" s="3" t="inlineStr">
        <is>
          <t>ធ្វើបច្ចុប្បន្នភាព</t>
        </is>
      </c>
      <c r="I331" s="3" t="n"/>
      <c r="J331" s="3">
        <f>IFERROR(__xludf.DUMMYFUNCTION("GOOGLETRANSLATE(B331,""vi"",""lo"")"),"ອັບເດດ")</f>
        <v/>
      </c>
      <c r="K331" s="3">
        <f>IF(I331&lt;&gt;"",I331, J331)</f>
        <v/>
      </c>
      <c r="L331" s="3" t="inlineStr">
        <is>
          <t>ធ្វើបច្ចុប្បន្នភាព</t>
        </is>
      </c>
      <c r="M331" s="3" t="n"/>
      <c r="N331" s="3" t="inlineStr">
        <is>
          <t>"postOfficeHanding.btnUpdate": "Update",</t>
        </is>
      </c>
      <c r="O331" s="3" t="n"/>
      <c r="P331" s="3" t="n"/>
      <c r="Q331" s="3" t="n"/>
      <c r="R331" s="3" t="n"/>
      <c r="S331" s="3" t="n"/>
      <c r="T331" s="3" t="n"/>
      <c r="U331" s="3" t="n"/>
      <c r="V331" s="3" t="n"/>
      <c r="W331" s="3" t="n"/>
      <c r="X331" s="3" t="n"/>
      <c r="Y331" s="3" t="n"/>
      <c r="Z331" s="3" t="n"/>
      <c r="AA331" s="3" t="n"/>
    </row>
    <row r="332">
      <c r="A332" s="3" t="inlineStr">
        <is>
          <t>postOfficeHanding.customerReply</t>
        </is>
      </c>
      <c r="B332" s="3" t="inlineStr">
        <is>
          <t>Nội dung trả lời khách hàng</t>
        </is>
      </c>
      <c r="C332" s="3" t="inlineStr">
        <is>
          <t>Customer Response</t>
        </is>
      </c>
      <c r="D332" s="3">
        <f>IFERROR(__xludf.DUMMYFUNCTION("GOOGLETRANSLATE(B332,""vi"",""en"")"),"Customer response content")</f>
        <v/>
      </c>
      <c r="E332" s="3">
        <f>IF(C332&lt;&gt;"",C332, D332)</f>
        <v/>
      </c>
      <c r="F332" s="3" t="n"/>
      <c r="G332" s="3">
        <f>IFERROR(__xludf.DUMMYFUNCTION("GOOGLETRANSLATE(B332,""vi"",""km"")"),"ខ្លឹមសារនៃការឆ្លើយតបរបស់អតិថិជន")</f>
        <v/>
      </c>
      <c r="H332" s="3" t="inlineStr">
        <is>
          <t>ខ្លឹមសារនៃការឆ្លើយតបរបស់អតិថិជន</t>
        </is>
      </c>
      <c r="I332" s="3" t="n"/>
      <c r="J332" s="3">
        <f>IFERROR(__xludf.DUMMYFUNCTION("GOOGLETRANSLATE(B332,""vi"",""lo"")"),"ເນື້ອໃນການຕອບສະໜອງຂອງລູກຄ້າ")</f>
        <v/>
      </c>
      <c r="K332" s="3">
        <f>IF(I332&lt;&gt;"",I332, J332)</f>
        <v/>
      </c>
      <c r="L332" s="3" t="inlineStr">
        <is>
          <t>ខ្លឹមសារនៃការឆ្លើយតបរបស់អតិថិជន</t>
        </is>
      </c>
      <c r="M332" s="3" t="n"/>
      <c r="N332" s="3" t="inlineStr">
        <is>
          <t>"postOfficeHanding.customerReply": "Customer Response",</t>
        </is>
      </c>
      <c r="O332" s="3" t="n"/>
      <c r="P332" s="3" t="n"/>
      <c r="Q332" s="3" t="n"/>
      <c r="R332" s="3" t="n"/>
      <c r="S332" s="3" t="n"/>
      <c r="T332" s="3" t="n"/>
      <c r="U332" s="3" t="n"/>
      <c r="V332" s="3" t="n"/>
      <c r="W332" s="3" t="n"/>
      <c r="X332" s="3" t="n"/>
      <c r="Y332" s="3" t="n"/>
      <c r="Z332" s="3" t="n"/>
      <c r="AA332" s="3" t="n"/>
    </row>
    <row r="333">
      <c r="A333" s="3" t="inlineStr">
        <is>
          <t>postOfficeHanding.customerReplyPlaceholder</t>
        </is>
      </c>
      <c r="B333" s="3" t="inlineStr">
        <is>
          <t>Nhập nội dung</t>
        </is>
      </c>
      <c r="C333" s="3" t="inlineStr">
        <is>
          <t>Enter content</t>
        </is>
      </c>
      <c r="D333" s="3">
        <f>IFERROR(__xludf.DUMMYFUNCTION("GOOGLETRANSLATE(B333,""vi"",""en"")"),"Enter content")</f>
        <v/>
      </c>
      <c r="E333" s="3">
        <f>IF(C333&lt;&gt;"",C333, D333)</f>
        <v/>
      </c>
      <c r="F333" s="3" t="n"/>
      <c r="G333" s="3">
        <f>IFERROR(__xludf.DUMMYFUNCTION("GOOGLETRANSLATE(B333,""vi"",""km"")"),"បញ្ចូលខ្លឹមសារ")</f>
        <v/>
      </c>
      <c r="H333" s="3" t="inlineStr">
        <is>
          <t>បញ្ចូលខ្លឹមសារ</t>
        </is>
      </c>
      <c r="I333" s="3" t="n"/>
      <c r="J333" s="3">
        <f>IFERROR(__xludf.DUMMYFUNCTION("GOOGLETRANSLATE(B333,""vi"",""lo"")"),"ໃສ່ເນື້ອຫາ")</f>
        <v/>
      </c>
      <c r="K333" s="3">
        <f>IF(I333&lt;&gt;"",I333, J333)</f>
        <v/>
      </c>
      <c r="L333" s="3" t="inlineStr">
        <is>
          <t>បញ្ចូលខ្លឹមសារ</t>
        </is>
      </c>
      <c r="M333" s="3" t="n"/>
      <c r="N333" s="3" t="inlineStr">
        <is>
          <t>"postOfficeHanding.customerReplyPlaceholder": "Enter content",</t>
        </is>
      </c>
      <c r="O333" s="3" t="n"/>
      <c r="P333" s="3" t="n"/>
      <c r="Q333" s="3" t="n"/>
      <c r="R333" s="3" t="n"/>
      <c r="S333" s="3" t="n"/>
      <c r="T333" s="3" t="n"/>
      <c r="U333" s="3" t="n"/>
      <c r="V333" s="3" t="n"/>
      <c r="W333" s="3" t="n"/>
      <c r="X333" s="3" t="n"/>
      <c r="Y333" s="3" t="n"/>
      <c r="Z333" s="3" t="n"/>
      <c r="AA333" s="3" t="n"/>
    </row>
    <row r="334">
      <c r="A334" s="3" t="inlineStr">
        <is>
          <t>postOfficeHanding.customerReplyRequired</t>
        </is>
      </c>
      <c r="B334" s="3" t="inlineStr">
        <is>
          <t>Vui lòng nhập nội dung trả lời khách hàng</t>
        </is>
      </c>
      <c r="C334" s="3" t="inlineStr">
        <is>
          <t>Please enter customer response</t>
        </is>
      </c>
      <c r="D334" s="3">
        <f>IFERROR(__xludf.DUMMYFUNCTION("GOOGLETRANSLATE(B334,""vi"",""en"")"),"Please enter your response to the customer.")</f>
        <v/>
      </c>
      <c r="E334" s="3">
        <f>IF(C334&lt;&gt;"",C334, D334)</f>
        <v/>
      </c>
      <c r="F334" s="3" t="n"/>
      <c r="G334" s="3">
        <f>IFERROR(__xludf.DUMMYFUNCTION("GOOGLETRANSLATE(B334,""vi"",""km"")"),"សូមបញ្ចូលការឆ្លើយតបរបស់អ្នកទៅកាន់អតិថិជន។")</f>
        <v/>
      </c>
      <c r="H334" s="3" t="inlineStr">
        <is>
          <t>សូមបញ្ចូលការឆ្លើយតបរបស់អ្នកទៅកាន់អតិថិជន។</t>
        </is>
      </c>
      <c r="I334" s="3" t="n"/>
      <c r="J334" s="3">
        <f>IFERROR(__xludf.DUMMYFUNCTION("GOOGLETRANSLATE(B334,""vi"",""lo"")"),"ກະລຸນາໃສ່ຄຳຕອບຂອງທ່ານຕໍ່ລູກຄ້າ.")</f>
        <v/>
      </c>
      <c r="K334" s="3">
        <f>IF(I334&lt;&gt;"",I334, J334)</f>
        <v/>
      </c>
      <c r="L334" s="3" t="inlineStr">
        <is>
          <t>សូមបញ្ចូលការឆ្លើយតបរបស់អ្នកទៅកាន់អតិថិជន។</t>
        </is>
      </c>
      <c r="M334" s="3" t="n"/>
      <c r="N334" s="3" t="inlineStr">
        <is>
          <t>"postOfficeHanding.customerReplyRequired": "Please enter customer response",</t>
        </is>
      </c>
      <c r="O334" s="3" t="n"/>
      <c r="P334" s="3" t="n"/>
      <c r="Q334" s="3" t="n"/>
      <c r="R334" s="3" t="n"/>
      <c r="S334" s="3" t="n"/>
      <c r="T334" s="3" t="n"/>
      <c r="U334" s="3" t="n"/>
      <c r="V334" s="3" t="n"/>
      <c r="W334" s="3" t="n"/>
      <c r="X334" s="3" t="n"/>
      <c r="Y334" s="3" t="n"/>
      <c r="Z334" s="3" t="n"/>
      <c r="AA334" s="3" t="n"/>
    </row>
    <row r="335">
      <c r="A335" s="3" t="inlineStr">
        <is>
          <t>postOfficeHanding.errorCause</t>
        </is>
      </c>
      <c r="B335" s="3" t="inlineStr">
        <is>
          <t>Nguyên nhân mắc lỗi</t>
        </is>
      </c>
      <c r="C335" s="3" t="inlineStr">
        <is>
          <t>Root Cause</t>
        </is>
      </c>
      <c r="D335" s="3">
        <f>IFERROR(__xludf.DUMMYFUNCTION("GOOGLETRANSLATE(B335,""vi"",""en"")"),"Reasons for the error")</f>
        <v/>
      </c>
      <c r="E335" s="3">
        <f>IF(C335&lt;&gt;"",C335, D335)</f>
        <v/>
      </c>
      <c r="F335" s="3" t="n"/>
      <c r="G335" s="3">
        <f>IFERROR(__xludf.DUMMYFUNCTION("GOOGLETRANSLATE(B335,""vi"",""km"")"),"មូលហេតុនៃកំហុស")</f>
        <v/>
      </c>
      <c r="H335" s="3" t="inlineStr">
        <is>
          <t>មូលហេតុនៃកំហុស</t>
        </is>
      </c>
      <c r="I335" s="3" t="n"/>
      <c r="J335" s="3">
        <f>IFERROR(__xludf.DUMMYFUNCTION("GOOGLETRANSLATE(B335,""vi"",""lo"")"),"ເຫດຜົນສຳລັບຄວາມຜິດພາດ")</f>
        <v/>
      </c>
      <c r="K335" s="3">
        <f>IF(I335&lt;&gt;"",I335, J335)</f>
        <v/>
      </c>
      <c r="L335" s="3" t="inlineStr">
        <is>
          <t>មូលហេតុនៃកំហុស</t>
        </is>
      </c>
      <c r="M335" s="3" t="n"/>
      <c r="N335" s="3" t="inlineStr">
        <is>
          <t>"postOfficeHanding.errorCause": "Root Cause",</t>
        </is>
      </c>
      <c r="O335" s="3" t="n"/>
      <c r="P335" s="3" t="n"/>
      <c r="Q335" s="3" t="n"/>
      <c r="R335" s="3" t="n"/>
      <c r="S335" s="3" t="n"/>
      <c r="T335" s="3" t="n"/>
      <c r="U335" s="3" t="n"/>
      <c r="V335" s="3" t="n"/>
      <c r="W335" s="3" t="n"/>
      <c r="X335" s="3" t="n"/>
      <c r="Y335" s="3" t="n"/>
      <c r="Z335" s="3" t="n"/>
      <c r="AA335" s="3" t="n"/>
    </row>
    <row r="336">
      <c r="A336" s="3" t="inlineStr">
        <is>
          <t>postOfficeHanding.errorCausePlaceholder</t>
        </is>
      </c>
      <c r="B336" s="3" t="inlineStr">
        <is>
          <t>Chọn nguyên nhân</t>
        </is>
      </c>
      <c r="C336" s="3" t="inlineStr">
        <is>
          <t>Select cause</t>
        </is>
      </c>
      <c r="D336" s="3">
        <f>IFERROR(__xludf.DUMMYFUNCTION("GOOGLETRANSLATE(B336,""vi"",""en"")"),"Choose the cause")</f>
        <v/>
      </c>
      <c r="E336" s="3">
        <f>IF(C336&lt;&gt;"",C336, D336)</f>
        <v/>
      </c>
      <c r="F336" s="3" t="n"/>
      <c r="G336" s="3">
        <f>IFERROR(__xludf.DUMMYFUNCTION("GOOGLETRANSLATE(B336,""vi"",""km"")"),"ជ្រើសរើសមូលហេតុ")</f>
        <v/>
      </c>
      <c r="H336" s="3" t="inlineStr">
        <is>
          <t>ជ្រើសរើសមូលហេតុ</t>
        </is>
      </c>
      <c r="I336" s="3" t="n"/>
      <c r="J336" s="3">
        <f>IFERROR(__xludf.DUMMYFUNCTION("GOOGLETRANSLATE(B336,""vi"",""lo"")"),"ເລືອກສາເຫດ")</f>
        <v/>
      </c>
      <c r="K336" s="3">
        <f>IF(I336&lt;&gt;"",I336, J336)</f>
        <v/>
      </c>
      <c r="L336" s="3" t="inlineStr">
        <is>
          <t>ជ្រើសរើសមូលហេតុ</t>
        </is>
      </c>
      <c r="M336" s="3" t="n"/>
      <c r="N336" s="3" t="inlineStr">
        <is>
          <t>"postOfficeHanding.errorCausePlaceholder": "Select cause",</t>
        </is>
      </c>
      <c r="O336" s="3" t="n"/>
      <c r="P336" s="3" t="n"/>
      <c r="Q336" s="3" t="n"/>
      <c r="R336" s="3" t="n"/>
      <c r="S336" s="3" t="n"/>
      <c r="T336" s="3" t="n"/>
      <c r="U336" s="3" t="n"/>
      <c r="V336" s="3" t="n"/>
      <c r="W336" s="3" t="n"/>
      <c r="X336" s="3" t="n"/>
      <c r="Y336" s="3" t="n"/>
      <c r="Z336" s="3" t="n"/>
      <c r="AA336" s="3" t="n"/>
    </row>
    <row r="337">
      <c r="A337" s="3" t="inlineStr">
        <is>
          <t>postOfficeHanding.extensionReason</t>
        </is>
      </c>
      <c r="B337" s="3" t="inlineStr">
        <is>
          <t>Lý do gia hạn</t>
        </is>
      </c>
      <c r="C337" s="3" t="inlineStr">
        <is>
          <t>Extension Reason</t>
        </is>
      </c>
      <c r="D337" s="3">
        <f>IFERROR(__xludf.DUMMYFUNCTION("GOOGLETRANSLATE(B337,""vi"",""en"")"),"Reason for extension")</f>
        <v/>
      </c>
      <c r="E337" s="3">
        <f>IF(C337&lt;&gt;"",C337, D337)</f>
        <v/>
      </c>
      <c r="F337" s="3" t="n"/>
      <c r="G337" s="3">
        <f>IFERROR(__xludf.DUMMYFUNCTION("GOOGLETRANSLATE(B337,""vi"",""km"")"),"មូលហេតុនៃការពង្រីក")</f>
        <v/>
      </c>
      <c r="H337" s="3" t="inlineStr">
        <is>
          <t>មូលហេតុនៃការពង្រីក</t>
        </is>
      </c>
      <c r="I337" s="3" t="n"/>
      <c r="J337" s="3">
        <f>IFERROR(__xludf.DUMMYFUNCTION("GOOGLETRANSLATE(B337,""vi"",""lo"")"),"ເຫດຜົນຂອງການຂະຫຍາຍ")</f>
        <v/>
      </c>
      <c r="K337" s="3">
        <f>IF(I337&lt;&gt;"",I337, J337)</f>
        <v/>
      </c>
      <c r="L337" s="3" t="inlineStr">
        <is>
          <t>មូលហេតុនៃការពង្រីក</t>
        </is>
      </c>
      <c r="M337" s="3" t="n"/>
      <c r="N337" s="3" t="inlineStr">
        <is>
          <t>"postOfficeHanding.extensionReason": "Extension Reason",</t>
        </is>
      </c>
      <c r="O337" s="3" t="n"/>
      <c r="P337" s="3" t="n"/>
      <c r="Q337" s="3" t="n"/>
      <c r="R337" s="3" t="n"/>
      <c r="S337" s="3" t="n"/>
      <c r="T337" s="3" t="n"/>
      <c r="U337" s="3" t="n"/>
      <c r="V337" s="3" t="n"/>
      <c r="W337" s="3" t="n"/>
      <c r="X337" s="3" t="n"/>
      <c r="Y337" s="3" t="n"/>
      <c r="Z337" s="3" t="n"/>
      <c r="AA337" s="3" t="n"/>
    </row>
    <row r="338">
      <c r="A338" s="3" t="inlineStr">
        <is>
          <t>postOfficeHanding.extensionReasonPlaceholder</t>
        </is>
      </c>
      <c r="B338" s="3" t="inlineStr">
        <is>
          <t>Chọn lý do</t>
        </is>
      </c>
      <c r="C338" s="3" t="inlineStr">
        <is>
          <t>Select reason</t>
        </is>
      </c>
      <c r="D338" s="3">
        <f>IFERROR(__xludf.DUMMYFUNCTION("GOOGLETRANSLATE(B338,""vi"",""en"")"),"Choose a reason")</f>
        <v/>
      </c>
      <c r="E338" s="3">
        <f>IF(C338&lt;&gt;"",C338, D338)</f>
        <v/>
      </c>
      <c r="F338" s="3" t="n"/>
      <c r="G338" s="3">
        <f>IFERROR(__xludf.DUMMYFUNCTION("GOOGLETRANSLATE(B338,""vi"",""km"")"),"ជ្រើសរើសហេតុផលមួយ")</f>
        <v/>
      </c>
      <c r="H338" s="3" t="inlineStr">
        <is>
          <t>ជ្រើសរើសហេតុផលមួយ</t>
        </is>
      </c>
      <c r="I338" s="3" t="n"/>
      <c r="J338" s="3">
        <f>IFERROR(__xludf.DUMMYFUNCTION("GOOGLETRANSLATE(B338,""vi"",""lo"")"),"ເລືອກເຫດຜົນ")</f>
        <v/>
      </c>
      <c r="K338" s="3">
        <f>IF(I338&lt;&gt;"",I338, J338)</f>
        <v/>
      </c>
      <c r="L338" s="3" t="inlineStr">
        <is>
          <t>ជ្រើសរើសហេតុផលមួយ</t>
        </is>
      </c>
      <c r="M338" s="3" t="n"/>
      <c r="N338" s="3" t="inlineStr">
        <is>
          <t>"postOfficeHanding.extensionReasonPlaceholder": "Select reason",</t>
        </is>
      </c>
      <c r="O338" s="3" t="n"/>
      <c r="P338" s="3" t="n"/>
      <c r="Q338" s="3" t="n"/>
      <c r="R338" s="3" t="n"/>
      <c r="S338" s="3" t="n"/>
      <c r="T338" s="3" t="n"/>
      <c r="U338" s="3" t="n"/>
      <c r="V338" s="3" t="n"/>
      <c r="W338" s="3" t="n"/>
      <c r="X338" s="3" t="n"/>
      <c r="Y338" s="3" t="n"/>
      <c r="Z338" s="3" t="n"/>
      <c r="AA338" s="3" t="n"/>
    </row>
    <row r="339">
      <c r="A339" s="3" t="inlineStr">
        <is>
          <t>postOfficeHanding.extensionTime</t>
        </is>
      </c>
      <c r="B339" s="3" t="inlineStr">
        <is>
          <t>Thời gian gia hạn</t>
        </is>
      </c>
      <c r="C339" s="3" t="inlineStr">
        <is>
          <t>Extension Time</t>
        </is>
      </c>
      <c r="D339" s="3">
        <f>IFERROR(__xludf.DUMMYFUNCTION("GOOGLETRANSLATE(B339,""vi"",""en"")"),"Extension period")</f>
        <v/>
      </c>
      <c r="E339" s="3">
        <f>IF(C339&lt;&gt;"",C339, D339)</f>
        <v/>
      </c>
      <c r="F339" s="3" t="n"/>
      <c r="G339" s="3">
        <f>IFERROR(__xludf.DUMMYFUNCTION("GOOGLETRANSLATE(B339,""vi"",""km"")"),"រយៈពេលបន្ថែម")</f>
        <v/>
      </c>
      <c r="H339" s="3" t="inlineStr">
        <is>
          <t>រយៈពេលបន្ថែម</t>
        </is>
      </c>
      <c r="I339" s="3" t="n"/>
      <c r="J339" s="3">
        <f>IFERROR(__xludf.DUMMYFUNCTION("GOOGLETRANSLATE(B339,""vi"",""lo"")"),"ໄລຍະເວລາຂະຫຍາຍ")</f>
        <v/>
      </c>
      <c r="K339" s="3">
        <f>IF(I339&lt;&gt;"",I339, J339)</f>
        <v/>
      </c>
      <c r="L339" s="3" t="inlineStr">
        <is>
          <t>រយៈពេលបន្ថែម</t>
        </is>
      </c>
      <c r="M339" s="3" t="n"/>
      <c r="N339" s="3" t="inlineStr">
        <is>
          <t>"postOfficeHanding.extensionTime": "Extension Time",</t>
        </is>
      </c>
      <c r="O339" s="3" t="n"/>
      <c r="P339" s="3" t="n"/>
      <c r="Q339" s="3" t="n"/>
      <c r="R339" s="3" t="n"/>
      <c r="S339" s="3" t="n"/>
      <c r="T339" s="3" t="n"/>
      <c r="U339" s="3" t="n"/>
      <c r="V339" s="3" t="n"/>
      <c r="W339" s="3" t="n"/>
      <c r="X339" s="3" t="n"/>
      <c r="Y339" s="3" t="n"/>
      <c r="Z339" s="3" t="n"/>
      <c r="AA339" s="3" t="n"/>
    </row>
    <row r="340">
      <c r="A340" s="3" t="inlineStr">
        <is>
          <t>postOfficeHanding.extensionTimePlaceholder</t>
        </is>
      </c>
      <c r="B340" s="3" t="inlineStr">
        <is>
          <t>Nhập số giờ</t>
        </is>
      </c>
      <c r="C340" s="3" t="inlineStr">
        <is>
          <t>Enter times</t>
        </is>
      </c>
      <c r="D340" s="3">
        <f>IFERROR(__xludf.DUMMYFUNCTION("GOOGLETRANSLATE(B340,""vi"",""en"")"),"Enter the number of hours")</f>
        <v/>
      </c>
      <c r="E340" s="3">
        <f>IF(C340&lt;&gt;"",C340, D340)</f>
        <v/>
      </c>
      <c r="F340" s="3" t="n"/>
      <c r="G340" s="3">
        <f>IFERROR(__xludf.DUMMYFUNCTION("GOOGLETRANSLATE(B340,""vi"",""km"")"),"បញ្ចូលចំនួនម៉ោង")</f>
        <v/>
      </c>
      <c r="H340" s="3" t="inlineStr">
        <is>
          <t>បញ្ចូលចំនួនម៉ោង</t>
        </is>
      </c>
      <c r="I340" s="3" t="n"/>
      <c r="J340" s="3">
        <f>IFERROR(__xludf.DUMMYFUNCTION("GOOGLETRANSLATE(B340,""vi"",""lo"")"),"ໃສ່ຈຳນວນຊົ່ວໂມງ")</f>
        <v/>
      </c>
      <c r="K340" s="3">
        <f>IF(I340&lt;&gt;"",I340, J340)</f>
        <v/>
      </c>
      <c r="L340" s="3" t="inlineStr">
        <is>
          <t>បញ្ចូលចំនួនម៉ោង</t>
        </is>
      </c>
      <c r="M340" s="3" t="n"/>
      <c r="N340" s="3" t="inlineStr">
        <is>
          <t>"postOfficeHanding.extensionTimePlaceholder": "Enter times",</t>
        </is>
      </c>
      <c r="O340" s="3" t="n"/>
      <c r="P340" s="3" t="n"/>
      <c r="Q340" s="3" t="n"/>
      <c r="R340" s="3" t="n"/>
      <c r="S340" s="3" t="n"/>
      <c r="T340" s="3" t="n"/>
      <c r="U340" s="3" t="n"/>
      <c r="V340" s="3" t="n"/>
      <c r="W340" s="3" t="n"/>
      <c r="X340" s="3" t="n"/>
      <c r="Y340" s="3" t="n"/>
      <c r="Z340" s="3" t="n"/>
      <c r="AA340" s="3" t="n"/>
    </row>
    <row r="341">
      <c r="A341" s="3" t="inlineStr">
        <is>
          <t>postOfficeHanding.faultPerson</t>
        </is>
      </c>
      <c r="B341" s="3" t="inlineStr">
        <is>
          <t>Cá nhân mắc lỗi</t>
        </is>
      </c>
      <c r="C341" s="3" t="inlineStr">
        <is>
          <t>Responsible Staff</t>
        </is>
      </c>
      <c r="D341" s="3">
        <f>IFERROR(__xludf.DUMMYFUNCTION("GOOGLETRANSLATE(B341,""vi"",""en"")"),"Individuals make mistakes.")</f>
        <v/>
      </c>
      <c r="E341" s="3">
        <f>IF(C341&lt;&gt;"",C341, D341)</f>
        <v/>
      </c>
      <c r="F341" s="3" t="n"/>
      <c r="G341" s="3">
        <f>IFERROR(__xludf.DUMMYFUNCTION("GOOGLETRANSLATE(B341,""vi"",""km"")"),"បុគ្គលធ្វើខុស។")</f>
        <v/>
      </c>
      <c r="H341" s="3" t="inlineStr">
        <is>
          <t>បុគ្គលធ្វើខុស។</t>
        </is>
      </c>
      <c r="I341" s="3" t="n"/>
      <c r="J341" s="3">
        <f>IFERROR(__xludf.DUMMYFUNCTION("GOOGLETRANSLATE(B341,""vi"",""lo"")"),"ບຸກຄົນທົ່ວໄປເຮັດຜິດພາດໄດ້.")</f>
        <v/>
      </c>
      <c r="K341" s="3">
        <f>IF(I341&lt;&gt;"",I341, J341)</f>
        <v/>
      </c>
      <c r="L341" s="3" t="inlineStr">
        <is>
          <t>បុគ្គលធ្វើខុស។</t>
        </is>
      </c>
      <c r="M341" s="3" t="n"/>
      <c r="N341" s="3" t="inlineStr">
        <is>
          <t>"postOfficeHanding.faultPerson": "Responsible Staff",</t>
        </is>
      </c>
      <c r="O341" s="3" t="n"/>
      <c r="P341" s="3" t="n"/>
      <c r="Q341" s="3" t="n"/>
      <c r="R341" s="3" t="n"/>
      <c r="S341" s="3" t="n"/>
      <c r="T341" s="3" t="n"/>
      <c r="U341" s="3" t="n"/>
      <c r="V341" s="3" t="n"/>
      <c r="W341" s="3" t="n"/>
      <c r="X341" s="3" t="n"/>
      <c r="Y341" s="3" t="n"/>
      <c r="Z341" s="3" t="n"/>
      <c r="AA341" s="3" t="n"/>
    </row>
    <row r="342">
      <c r="A342" s="3" t="inlineStr">
        <is>
          <t>postOfficeHanding.faultPersonPlaceholder</t>
        </is>
      </c>
      <c r="B342" s="3" t="inlineStr">
        <is>
          <t>Chọn cá nhân</t>
        </is>
      </c>
      <c r="C342" s="3" t="inlineStr">
        <is>
          <t>Select staff</t>
        </is>
      </c>
      <c r="D342" s="3">
        <f>IFERROR(__xludf.DUMMYFUNCTION("GOOGLETRANSLATE(B342,""vi"",""en"")"),"Choose a personal")</f>
        <v/>
      </c>
      <c r="E342" s="3">
        <f>IF(C342&lt;&gt;"",C342, D342)</f>
        <v/>
      </c>
      <c r="F342" s="3" t="n"/>
      <c r="G342" s="3">
        <f>IFERROR(__xludf.DUMMYFUNCTION("GOOGLETRANSLATE(B342,""vi"",""km"")"),"ជ្រើសរើស​ផ្ទាល់ខ្លួន")</f>
        <v/>
      </c>
      <c r="H342" s="3" t="inlineStr">
        <is>
          <t>ជ្រើសរើសផ្ទាល់ខ្លួន</t>
        </is>
      </c>
      <c r="I342" s="3" t="n"/>
      <c r="J342" s="3">
        <f>IFERROR(__xludf.DUMMYFUNCTION("GOOGLETRANSLATE(B342,""vi"",""lo"")"),"ເລືອກສ່ວນຕົວ")</f>
        <v/>
      </c>
      <c r="K342" s="3">
        <f>IF(I342&lt;&gt;"",I342, J342)</f>
        <v/>
      </c>
      <c r="L342" s="3" t="inlineStr">
        <is>
          <t>ជ្រើសរើសផ្ទាល់ខ្លួន</t>
        </is>
      </c>
      <c r="M342" s="3" t="n"/>
      <c r="N342" s="3" t="inlineStr">
        <is>
          <t>"postOfficeHanding.faultPersonPlaceholder": "Select staff",</t>
        </is>
      </c>
      <c r="O342" s="3" t="n"/>
      <c r="P342" s="3" t="n"/>
      <c r="Q342" s="3" t="n"/>
      <c r="R342" s="3" t="n"/>
      <c r="S342" s="3" t="n"/>
      <c r="T342" s="3" t="n"/>
      <c r="U342" s="3" t="n"/>
      <c r="V342" s="3" t="n"/>
      <c r="W342" s="3" t="n"/>
      <c r="X342" s="3" t="n"/>
      <c r="Y342" s="3" t="n"/>
      <c r="Z342" s="3" t="n"/>
      <c r="AA342" s="3" t="n"/>
    </row>
    <row r="343">
      <c r="A343" s="3" t="inlineStr">
        <is>
          <t>postOfficeHanding.faultUnit</t>
        </is>
      </c>
      <c r="B343" s="3" t="inlineStr">
        <is>
          <t>Đơn vị mắc lỗi</t>
        </is>
      </c>
      <c r="C343" s="3" t="inlineStr">
        <is>
          <t>Responsible Unit</t>
        </is>
      </c>
      <c r="D343" s="3">
        <f>IFERROR(__xludf.DUMMYFUNCTION("GOOGLETRANSLATE(B343,""vi"",""en"")"),"The unit that made the mistake")</f>
        <v/>
      </c>
      <c r="E343" s="3">
        <f>IF(C343&lt;&gt;"",C343, D343)</f>
        <v/>
      </c>
      <c r="F343" s="3" t="n"/>
      <c r="G343" s="3">
        <f>IFERROR(__xludf.DUMMYFUNCTION("GOOGLETRANSLATE(B343,""vi"",""km"")"),"អង្គភាពដែលបានធ្វើខុស")</f>
        <v/>
      </c>
      <c r="H343" s="3" t="inlineStr">
        <is>
          <t>អង្គភាពដែលបានធ្វើខុស</t>
        </is>
      </c>
      <c r="I343" s="3" t="n"/>
      <c r="J343" s="3">
        <f>IFERROR(__xludf.DUMMYFUNCTION("GOOGLETRANSLATE(B343,""vi"",""lo"")"),"ໜ່ວຍງານທີ່ເຮັດຜິດພາດ")</f>
        <v/>
      </c>
      <c r="K343" s="3">
        <f>IF(I343&lt;&gt;"",I343, J343)</f>
        <v/>
      </c>
      <c r="L343" s="3" t="inlineStr">
        <is>
          <t>អង្គភាពដែលបានធ្វើខុស</t>
        </is>
      </c>
      <c r="M343" s="3" t="n"/>
      <c r="N343" s="3" t="inlineStr">
        <is>
          <t>"postOfficeHanding.faultUnit": "Responsible Unit",</t>
        </is>
      </c>
      <c r="O343" s="3" t="n"/>
      <c r="P343" s="3" t="n"/>
      <c r="Q343" s="3" t="n"/>
      <c r="R343" s="3" t="n"/>
      <c r="S343" s="3" t="n"/>
      <c r="T343" s="3" t="n"/>
      <c r="U343" s="3" t="n"/>
      <c r="V343" s="3" t="n"/>
      <c r="W343" s="3" t="n"/>
      <c r="X343" s="3" t="n"/>
      <c r="Y343" s="3" t="n"/>
      <c r="Z343" s="3" t="n"/>
      <c r="AA343" s="3" t="n"/>
    </row>
    <row r="344">
      <c r="A344" s="3" t="inlineStr">
        <is>
          <t>postOfficeHanding.faultUnitPlaceholder</t>
        </is>
      </c>
      <c r="B344" s="3" t="inlineStr">
        <is>
          <t>Chọn đơn vị</t>
        </is>
      </c>
      <c r="C344" s="3" t="inlineStr">
        <is>
          <t>Select unit</t>
        </is>
      </c>
      <c r="D344" s="3">
        <f>IFERROR(__xludf.DUMMYFUNCTION("GOOGLETRANSLATE(B344,""vi"",""en"")"),"Select unit")</f>
        <v/>
      </c>
      <c r="E344" s="3">
        <f>IF(C344&lt;&gt;"",C344, D344)</f>
        <v/>
      </c>
      <c r="F344" s="3" t="n"/>
      <c r="G344" s="3">
        <f>IFERROR(__xludf.DUMMYFUNCTION("GOOGLETRANSLATE(B344,""vi"",""km"")"),"ជ្រើសរើសឯកតា")</f>
        <v/>
      </c>
      <c r="H344" s="3" t="inlineStr">
        <is>
          <t>ជ្រើសរើសឯកតា</t>
        </is>
      </c>
      <c r="I344" s="3" t="n"/>
      <c r="J344" s="3">
        <f>IFERROR(__xludf.DUMMYFUNCTION("GOOGLETRANSLATE(B344,""vi"",""lo"")"),"ເລືອກຫົວໜ່ວຍ")</f>
        <v/>
      </c>
      <c r="K344" s="3">
        <f>IF(I344&lt;&gt;"",I344, J344)</f>
        <v/>
      </c>
      <c r="L344" s="3" t="inlineStr">
        <is>
          <t>ជ្រើសរើសឯកតា</t>
        </is>
      </c>
      <c r="M344" s="3" t="n"/>
      <c r="N344" s="3" t="inlineStr">
        <is>
          <t>"postOfficeHanding.faultUnitPlaceholder": "Select unit",</t>
        </is>
      </c>
      <c r="O344" s="3" t="n"/>
      <c r="P344" s="3" t="n"/>
      <c r="Q344" s="3" t="n"/>
      <c r="R344" s="3" t="n"/>
      <c r="S344" s="3" t="n"/>
      <c r="T344" s="3" t="n"/>
      <c r="U344" s="3" t="n"/>
      <c r="V344" s="3" t="n"/>
      <c r="W344" s="3" t="n"/>
      <c r="X344" s="3" t="n"/>
      <c r="Y344" s="3" t="n"/>
      <c r="Z344" s="3" t="n"/>
      <c r="AA344" s="3" t="n"/>
    </row>
    <row r="345">
      <c r="A345" s="3" t="inlineStr">
        <is>
          <t>postOfficeHanding.feedbackCategory</t>
        </is>
      </c>
      <c r="B345" s="3" t="inlineStr">
        <is>
          <t>Phân loại phản ánh</t>
        </is>
      </c>
      <c r="C345" s="3" t="inlineStr">
        <is>
          <t>Issue Category</t>
        </is>
      </c>
      <c r="D345" s="3">
        <f>IFERROR(__xludf.DUMMYFUNCTION("GOOGLETRANSLATE(B345,""vi"",""en"")"),"Classification reflects")</f>
        <v/>
      </c>
      <c r="E345" s="3">
        <f>IF(C345&lt;&gt;"",C345, D345)</f>
        <v/>
      </c>
      <c r="F345" s="3" t="n"/>
      <c r="G345" s="3">
        <f>IFERROR(__xludf.DUMMYFUNCTION("GOOGLETRANSLATE(B345,""vi"",""km"")"),"ចំណាត់ថ្នាក់ឆ្លុះបញ្ចាំង")</f>
        <v/>
      </c>
      <c r="H345" s="3" t="inlineStr">
        <is>
          <t>ចំណាត់ថ្នាក់ឆ្លុះបញ្ចាំង</t>
        </is>
      </c>
      <c r="I345" s="3" t="n"/>
      <c r="J345" s="3">
        <f>IFERROR(__xludf.DUMMYFUNCTION("GOOGLETRANSLATE(B345,""vi"",""lo"")"),"ການຈັດປະເພດສະທ້ອນໃຫ້ເຫັນ")</f>
        <v/>
      </c>
      <c r="K345" s="3">
        <f>IF(I345&lt;&gt;"",I345, J345)</f>
        <v/>
      </c>
      <c r="L345" s="3" t="inlineStr">
        <is>
          <t>ចំណាត់ថ្នាក់ឆ្លុះបញ្ចាំង</t>
        </is>
      </c>
      <c r="M345" s="3" t="n"/>
      <c r="N345" s="3" t="inlineStr">
        <is>
          <t>"postOfficeHanding.feedbackCategory": "Issue Category",</t>
        </is>
      </c>
      <c r="O345" s="3" t="n"/>
      <c r="P345" s="3" t="n"/>
      <c r="Q345" s="3" t="n"/>
      <c r="R345" s="3" t="n"/>
      <c r="S345" s="3" t="n"/>
      <c r="T345" s="3" t="n"/>
      <c r="U345" s="3" t="n"/>
      <c r="V345" s="3" t="n"/>
      <c r="W345" s="3" t="n"/>
      <c r="X345" s="3" t="n"/>
      <c r="Y345" s="3" t="n"/>
      <c r="Z345" s="3" t="n"/>
      <c r="AA345" s="3" t="n"/>
    </row>
    <row r="346">
      <c r="A346" s="3" t="inlineStr">
        <is>
          <t>postOfficeHanding.feedbackCategoryPlaceholder</t>
        </is>
      </c>
      <c r="B346" s="3" t="inlineStr">
        <is>
          <t>Chọn phân loại</t>
        </is>
      </c>
      <c r="C346" s="3" t="inlineStr">
        <is>
          <t>Select category</t>
        </is>
      </c>
      <c r="D346" s="3">
        <f>IFERROR(__xludf.DUMMYFUNCTION("GOOGLETRANSLATE(B346,""vi"",""en"")"),"Select category")</f>
        <v/>
      </c>
      <c r="E346" s="3">
        <f>IF(C346&lt;&gt;"",C346, D346)</f>
        <v/>
      </c>
      <c r="F346" s="3" t="n"/>
      <c r="G346" s="3">
        <f>IFERROR(__xludf.DUMMYFUNCTION("GOOGLETRANSLATE(B346,""vi"",""km"")"),"ជ្រើសរើសប្រភេទ")</f>
        <v/>
      </c>
      <c r="H346" s="3" t="inlineStr">
        <is>
          <t>ជ្រើសរើសប្រភេទ</t>
        </is>
      </c>
      <c r="I346" s="3" t="n"/>
      <c r="J346" s="3">
        <f>IFERROR(__xludf.DUMMYFUNCTION("GOOGLETRANSLATE(B346,""vi"",""lo"")"),"ເລືອກໝວດໝູ່")</f>
        <v/>
      </c>
      <c r="K346" s="3">
        <f>IF(I346&lt;&gt;"",I346, J346)</f>
        <v/>
      </c>
      <c r="L346" s="3" t="inlineStr">
        <is>
          <t>ជ្រើសរើសប្រភេទ</t>
        </is>
      </c>
      <c r="M346" s="3" t="n"/>
      <c r="N346" s="3" t="inlineStr">
        <is>
          <t>"postOfficeHanding.feedbackCategoryPlaceholder": "Select category",</t>
        </is>
      </c>
      <c r="O346" s="3" t="n"/>
      <c r="P346" s="3" t="n"/>
      <c r="Q346" s="3" t="n"/>
      <c r="R346" s="3" t="n"/>
      <c r="S346" s="3" t="n"/>
      <c r="T346" s="3" t="n"/>
      <c r="U346" s="3" t="n"/>
      <c r="V346" s="3" t="n"/>
      <c r="W346" s="3" t="n"/>
      <c r="X346" s="3" t="n"/>
      <c r="Y346" s="3" t="n"/>
      <c r="Z346" s="3" t="n"/>
      <c r="AA346" s="3" t="n"/>
    </row>
    <row r="347">
      <c r="A347" s="3" t="inlineStr">
        <is>
          <t>postOfficeHanding.internalContent</t>
        </is>
      </c>
      <c r="B347" s="3" t="inlineStr">
        <is>
          <t>Nội dung xử lý nội bộ</t>
        </is>
      </c>
      <c r="C347" s="3" t="inlineStr">
        <is>
          <t>Internal Processing Notes</t>
        </is>
      </c>
      <c r="D347" s="3">
        <f>IFERROR(__xludf.DUMMYFUNCTION("GOOGLETRANSLATE(B347,""vi"",""en"")"),"Internal processing content")</f>
        <v/>
      </c>
      <c r="E347" s="3">
        <f>IF(C347&lt;&gt;"",C347, D347)</f>
        <v/>
      </c>
      <c r="F347" s="3" t="n"/>
      <c r="G347" s="3">
        <f>IFERROR(__xludf.DUMMYFUNCTION("GOOGLETRANSLATE(B347,""vi"",""km"")"),"ខ្លឹមសារដំណើរការផ្ទៃក្នុង")</f>
        <v/>
      </c>
      <c r="H347" s="3" t="inlineStr">
        <is>
          <t>ខ្លឹមសារដំណើរការផ្ទៃក្នុង</t>
        </is>
      </c>
      <c r="I347" s="3" t="n"/>
      <c r="J347" s="3">
        <f>IFERROR(__xludf.DUMMYFUNCTION("GOOGLETRANSLATE(B347,""vi"",""lo"")"),"ເນື້ອຫາການປະມວນຜົນພາຍໃນ")</f>
        <v/>
      </c>
      <c r="K347" s="3">
        <f>IF(I347&lt;&gt;"",I347, J347)</f>
        <v/>
      </c>
      <c r="L347" s="3" t="inlineStr">
        <is>
          <t>ខ្លឹមសារដំណើរការផ្ទៃក្នុង</t>
        </is>
      </c>
      <c r="M347" s="3" t="n"/>
      <c r="N347" s="3" t="inlineStr">
        <is>
          <t>"postOfficeHanding.internalContent": "Internal Processing Notes",</t>
        </is>
      </c>
      <c r="O347" s="3" t="n"/>
      <c r="P347" s="3" t="n"/>
      <c r="Q347" s="3" t="n"/>
      <c r="R347" s="3" t="n"/>
      <c r="S347" s="3" t="n"/>
      <c r="T347" s="3" t="n"/>
      <c r="U347" s="3" t="n"/>
      <c r="V347" s="3" t="n"/>
      <c r="W347" s="3" t="n"/>
      <c r="X347" s="3" t="n"/>
      <c r="Y347" s="3" t="n"/>
      <c r="Z347" s="3" t="n"/>
      <c r="AA347" s="3" t="n"/>
    </row>
    <row r="348">
      <c r="A348" s="3" t="inlineStr">
        <is>
          <t>postOfficeHanding.internalContentPlaceholder</t>
        </is>
      </c>
      <c r="B348" s="3" t="inlineStr">
        <is>
          <t>Nhập nội dung</t>
        </is>
      </c>
      <c r="C348" s="3" t="inlineStr">
        <is>
          <t>Enter notes</t>
        </is>
      </c>
      <c r="D348" s="3">
        <f>IFERROR(__xludf.DUMMYFUNCTION("GOOGLETRANSLATE(B348,""vi"",""en"")"),"Enter content")</f>
        <v/>
      </c>
      <c r="E348" s="3">
        <f>IF(C348&lt;&gt;"",C348, D348)</f>
        <v/>
      </c>
      <c r="F348" s="3" t="n"/>
      <c r="G348" s="3">
        <f>IFERROR(__xludf.DUMMYFUNCTION("GOOGLETRANSLATE(B348,""vi"",""km"")"),"បញ្ចូលខ្លឹមសារ")</f>
        <v/>
      </c>
      <c r="H348" s="3" t="inlineStr">
        <is>
          <t>បញ្ចូលខ្លឹមសារ</t>
        </is>
      </c>
      <c r="I348" s="3" t="n"/>
      <c r="J348" s="3">
        <f>IFERROR(__xludf.DUMMYFUNCTION("GOOGLETRANSLATE(B348,""vi"",""lo"")"),"ໃສ່ເນື້ອຫາ")</f>
        <v/>
      </c>
      <c r="K348" s="3">
        <f>IF(I348&lt;&gt;"",I348, J348)</f>
        <v/>
      </c>
      <c r="L348" s="3" t="inlineStr">
        <is>
          <t>បញ្ចូលខ្លឹមសារ</t>
        </is>
      </c>
      <c r="M348" s="3" t="n"/>
      <c r="N348" s="3" t="inlineStr">
        <is>
          <t>"postOfficeHanding.internalContentPlaceholder": "Enter notes",</t>
        </is>
      </c>
      <c r="O348" s="3" t="n"/>
      <c r="P348" s="3" t="n"/>
      <c r="Q348" s="3" t="n"/>
      <c r="R348" s="3" t="n"/>
      <c r="S348" s="3" t="n"/>
      <c r="T348" s="3" t="n"/>
      <c r="U348" s="3" t="n"/>
      <c r="V348" s="3" t="n"/>
      <c r="W348" s="3" t="n"/>
      <c r="X348" s="3" t="n"/>
      <c r="Y348" s="3" t="n"/>
      <c r="Z348" s="3" t="n"/>
      <c r="AA348" s="3" t="n"/>
    </row>
    <row r="349">
      <c r="A349" s="3" t="inlineStr">
        <is>
          <t>postOfficeHanding.internalContentRequired</t>
        </is>
      </c>
      <c r="B349" s="3" t="inlineStr">
        <is>
          <t>Vui lòng nhập nội dung xử lý nội bộ</t>
        </is>
      </c>
      <c r="C349" s="3" t="inlineStr">
        <is>
          <t>Please enter internal processing notes</t>
        </is>
      </c>
      <c r="D349" s="3">
        <f>IFERROR(__xludf.DUMMYFUNCTION("GOOGLETRANSLATE(B349,""vi"",""en"")"),"Please enter the internal processing details.")</f>
        <v/>
      </c>
      <c r="E349" s="3">
        <f>IF(C349&lt;&gt;"",C349, D349)</f>
        <v/>
      </c>
      <c r="F349" s="3" t="n"/>
      <c r="G349" s="3">
        <f>IFERROR(__xludf.DUMMYFUNCTION("GOOGLETRANSLATE(B349,""vi"",""km"")"),"សូមបញ្ចូលព័ត៌មានលម្អិតអំពីដំណើរការផ្ទៃក្នុង។")</f>
        <v/>
      </c>
      <c r="H349" s="3" t="inlineStr">
        <is>
          <t>សូមបញ្ចូលព័ត៌មានលម្អិតអំពីដំណើរការផ្ទៃក្នុង។</t>
        </is>
      </c>
      <c r="I349" s="3" t="n"/>
      <c r="J349" s="3">
        <f>IFERROR(__xludf.DUMMYFUNCTION("GOOGLETRANSLATE(B349,""vi"",""lo"")"),"ກະລຸນາໃສ່ລາຍລະອຽດການປະມວນຜົນພາຍໃນ.")</f>
        <v/>
      </c>
      <c r="K349" s="3">
        <f>IF(I349&lt;&gt;"",I349, J349)</f>
        <v/>
      </c>
      <c r="L349" s="3" t="inlineStr">
        <is>
          <t>សូមបញ្ចូលព័ត៌មានលម្អិតអំពីដំណើរការផ្ទៃក្នុង។</t>
        </is>
      </c>
      <c r="M349" s="3" t="n"/>
      <c r="N349" s="3" t="inlineStr">
        <is>
          <t>"postOfficeHanding.internalContentRequired": "Please enter internal processing notes",</t>
        </is>
      </c>
      <c r="O349" s="3" t="n"/>
      <c r="P349" s="3" t="n"/>
      <c r="Q349" s="3" t="n"/>
      <c r="R349" s="3" t="n"/>
      <c r="S349" s="3" t="n"/>
      <c r="T349" s="3" t="n"/>
      <c r="U349" s="3" t="n"/>
      <c r="V349" s="3" t="n"/>
      <c r="W349" s="3" t="n"/>
      <c r="X349" s="3" t="n"/>
      <c r="Y349" s="3" t="n"/>
      <c r="Z349" s="3" t="n"/>
      <c r="AA349" s="3" t="n"/>
    </row>
    <row r="350">
      <c r="A350" s="3" t="inlineStr">
        <is>
          <t>postOfficeHanding.processingPerson</t>
        </is>
      </c>
      <c r="B350" s="3" t="inlineStr">
        <is>
          <t>Cá nhân xử lý</t>
        </is>
      </c>
      <c r="C350" s="3" t="inlineStr">
        <is>
          <t>Assigned Staff</t>
        </is>
      </c>
      <c r="D350" s="3">
        <f>IFERROR(__xludf.DUMMYFUNCTION("GOOGLETRANSLATE(B350,""vi"",""en"")"),"Individual handling")</f>
        <v/>
      </c>
      <c r="E350" s="3">
        <f>IF(C350&lt;&gt;"",C350, D350)</f>
        <v/>
      </c>
      <c r="F350" s="3" t="n"/>
      <c r="G350" s="3">
        <f>IFERROR(__xludf.DUMMYFUNCTION("GOOGLETRANSLATE(B350,""vi"",""km"")"),"ការដោះស្រាយជាលក្ខណៈបុគ្គល")</f>
        <v/>
      </c>
      <c r="H350" s="3" t="inlineStr">
        <is>
          <t>ការដោះស្រាយជាលក្ខណៈបុគ្គល</t>
        </is>
      </c>
      <c r="I350" s="3" t="n"/>
      <c r="J350" s="3">
        <f>IFERROR(__xludf.DUMMYFUNCTION("GOOGLETRANSLATE(B350,""vi"",""lo"")"),"ການຈັດການສ່ວນບຸກຄົນ")</f>
        <v/>
      </c>
      <c r="K350" s="3">
        <f>IF(I350&lt;&gt;"",I350, J350)</f>
        <v/>
      </c>
      <c r="L350" s="3" t="inlineStr">
        <is>
          <t>ការដោះស្រាយជាលក្ខណៈបុគ្គល</t>
        </is>
      </c>
      <c r="M350" s="3" t="n"/>
      <c r="N350" s="3" t="inlineStr">
        <is>
          <t>"postOfficeHanding.processingPerson": "Assigned Staff",</t>
        </is>
      </c>
      <c r="O350" s="3" t="n"/>
      <c r="P350" s="3" t="n"/>
      <c r="Q350" s="3" t="n"/>
      <c r="R350" s="3" t="n"/>
      <c r="S350" s="3" t="n"/>
      <c r="T350" s="3" t="n"/>
      <c r="U350" s="3" t="n"/>
      <c r="V350" s="3" t="n"/>
      <c r="W350" s="3" t="n"/>
      <c r="X350" s="3" t="n"/>
      <c r="Y350" s="3" t="n"/>
      <c r="Z350" s="3" t="n"/>
      <c r="AA350" s="3" t="n"/>
    </row>
    <row r="351">
      <c r="A351" s="3" t="inlineStr">
        <is>
          <t>postOfficeHanding.processingPersonPlaceholder</t>
        </is>
      </c>
      <c r="B351" s="3" t="inlineStr">
        <is>
          <t>Chọn cá nhân</t>
        </is>
      </c>
      <c r="C351" s="3" t="inlineStr">
        <is>
          <t>Select Staff</t>
        </is>
      </c>
      <c r="D351" s="3">
        <f>IFERROR(__xludf.DUMMYFUNCTION("GOOGLETRANSLATE(B351,""vi"",""en"")"),"Choose a personal")</f>
        <v/>
      </c>
      <c r="E351" s="3">
        <f>IF(C351&lt;&gt;"",C351, D351)</f>
        <v/>
      </c>
      <c r="F351" s="3" t="n"/>
      <c r="G351" s="3">
        <f>IFERROR(__xludf.DUMMYFUNCTION("GOOGLETRANSLATE(B351,""vi"",""km"")"),"ជ្រើសរើស​ផ្ទាល់ខ្លួន")</f>
        <v/>
      </c>
      <c r="H351" s="3" t="inlineStr">
        <is>
          <t>ជ្រើសរើសផ្ទាល់ខ្លួន</t>
        </is>
      </c>
      <c r="I351" s="3" t="n"/>
      <c r="J351" s="3">
        <f>IFERROR(__xludf.DUMMYFUNCTION("GOOGLETRANSLATE(B351,""vi"",""lo"")"),"ເລືອກສ່ວນຕົວ")</f>
        <v/>
      </c>
      <c r="K351" s="3">
        <f>IF(I351&lt;&gt;"",I351, J351)</f>
        <v/>
      </c>
      <c r="L351" s="3" t="inlineStr">
        <is>
          <t>ជ្រើសរើសផ្ទាល់ខ្លួន</t>
        </is>
      </c>
      <c r="M351" s="3" t="n"/>
      <c r="N351" s="3" t="inlineStr">
        <is>
          <t>"postOfficeHanding.processingPersonPlaceholder": "Select Staff",</t>
        </is>
      </c>
      <c r="O351" s="3" t="n"/>
      <c r="P351" s="3" t="n"/>
      <c r="Q351" s="3" t="n"/>
      <c r="R351" s="3" t="n"/>
      <c r="S351" s="3" t="n"/>
      <c r="T351" s="3" t="n"/>
      <c r="U351" s="3" t="n"/>
      <c r="V351" s="3" t="n"/>
      <c r="W351" s="3" t="n"/>
      <c r="X351" s="3" t="n"/>
      <c r="Y351" s="3" t="n"/>
      <c r="Z351" s="3" t="n"/>
      <c r="AA351" s="3" t="n"/>
    </row>
    <row r="352">
      <c r="A352" s="3" t="inlineStr">
        <is>
          <t>postOfficeHanding.processingUnit</t>
        </is>
      </c>
      <c r="B352" s="3" t="inlineStr">
        <is>
          <t>Đơn vị xử lý</t>
        </is>
      </c>
      <c r="C352" s="3" t="inlineStr">
        <is>
          <t>Processing Unit</t>
        </is>
      </c>
      <c r="D352" s="3">
        <f>IFERROR(__xludf.DUMMYFUNCTION("GOOGLETRANSLATE(B352,""vi"",""en"")"),"Processing unit")</f>
        <v/>
      </c>
      <c r="E352" s="3">
        <f>IF(C352&lt;&gt;"",C352, D352)</f>
        <v/>
      </c>
      <c r="F352" s="3" t="n"/>
      <c r="G352" s="3">
        <f>IFERROR(__xludf.DUMMYFUNCTION("GOOGLETRANSLATE(B352,""vi"",""km"")"),"អង្គភាពដំណើរការ")</f>
        <v/>
      </c>
      <c r="H352" s="3" t="inlineStr">
        <is>
          <t>អង្គភាពដំណើរការ</t>
        </is>
      </c>
      <c r="I352" s="3" t="n"/>
      <c r="J352" s="3">
        <f>IFERROR(__xludf.DUMMYFUNCTION("GOOGLETRANSLATE(B352,""vi"",""lo"")"),"ໜ່ວຍປະມວນຜົນ")</f>
        <v/>
      </c>
      <c r="K352" s="3">
        <f>IF(I352&lt;&gt;"",I352, J352)</f>
        <v/>
      </c>
      <c r="L352" s="3" t="inlineStr">
        <is>
          <t>អង្គភាពដំណើរការ</t>
        </is>
      </c>
      <c r="M352" s="3" t="n"/>
      <c r="N352" s="3" t="inlineStr">
        <is>
          <t>"postOfficeHanding.processingUnit": "Processing Unit",</t>
        </is>
      </c>
      <c r="O352" s="3" t="n"/>
      <c r="P352" s="3" t="n"/>
      <c r="Q352" s="3" t="n"/>
      <c r="R352" s="3" t="n"/>
      <c r="S352" s="3" t="n"/>
      <c r="T352" s="3" t="n"/>
      <c r="U352" s="3" t="n"/>
      <c r="V352" s="3" t="n"/>
      <c r="W352" s="3" t="n"/>
      <c r="X352" s="3" t="n"/>
      <c r="Y352" s="3" t="n"/>
      <c r="Z352" s="3" t="n"/>
      <c r="AA352" s="3" t="n"/>
    </row>
    <row r="353">
      <c r="A353" s="3" t="inlineStr">
        <is>
          <t>postOfficeHanding.processingUnitPlaceholder</t>
        </is>
      </c>
      <c r="B353" s="3" t="inlineStr">
        <is>
          <t>Chọn đơn vị</t>
        </is>
      </c>
      <c r="C353" s="3" t="inlineStr">
        <is>
          <t>Select Unit</t>
        </is>
      </c>
      <c r="D353" s="3">
        <f>IFERROR(__xludf.DUMMYFUNCTION("GOOGLETRANSLATE(B353,""vi"",""en"")"),"Select unit")</f>
        <v/>
      </c>
      <c r="E353" s="3">
        <f>IF(C353&lt;&gt;"",C353, D353)</f>
        <v/>
      </c>
      <c r="F353" s="3" t="n"/>
      <c r="G353" s="3">
        <f>IFERROR(__xludf.DUMMYFUNCTION("GOOGLETRANSLATE(B353,""vi"",""km"")"),"ជ្រើសរើសឯកតា")</f>
        <v/>
      </c>
      <c r="H353" s="3" t="inlineStr">
        <is>
          <t>ជ្រើសរើសឯកតា</t>
        </is>
      </c>
      <c r="I353" s="3" t="n"/>
      <c r="J353" s="3">
        <f>IFERROR(__xludf.DUMMYFUNCTION("GOOGLETRANSLATE(B353,""vi"",""lo"")"),"ເລືອກຫົວໜ່ວຍ")</f>
        <v/>
      </c>
      <c r="K353" s="3">
        <f>IF(I353&lt;&gt;"",I353, J353)</f>
        <v/>
      </c>
      <c r="L353" s="3" t="inlineStr">
        <is>
          <t>ជ្រើសរើសឯកតា</t>
        </is>
      </c>
      <c r="M353" s="3" t="n"/>
      <c r="N353" s="3" t="inlineStr">
        <is>
          <t>"postOfficeHanding.processingUnitPlaceholder": "Select Unit",</t>
        </is>
      </c>
      <c r="O353" s="3" t="n"/>
      <c r="P353" s="3" t="n"/>
      <c r="Q353" s="3" t="n"/>
      <c r="R353" s="3" t="n"/>
      <c r="S353" s="3" t="n"/>
      <c r="T353" s="3" t="n"/>
      <c r="U353" s="3" t="n"/>
      <c r="V353" s="3" t="n"/>
      <c r="W353" s="3" t="n"/>
      <c r="X353" s="3" t="n"/>
      <c r="Y353" s="3" t="n"/>
      <c r="Z353" s="3" t="n"/>
      <c r="AA353" s="3" t="n"/>
    </row>
    <row r="354">
      <c r="A354" s="3" t="inlineStr">
        <is>
          <t>postOfficeHanding.title</t>
        </is>
      </c>
      <c r="B354" s="3" t="inlineStr">
        <is>
          <t>Bưu cục xử lý</t>
        </is>
      </c>
      <c r="C354" s="3" t="inlineStr">
        <is>
          <t>Processing PO</t>
        </is>
      </c>
      <c r="D354" s="3">
        <f>IFERROR(__xludf.DUMMYFUNCTION("GOOGLETRANSLATE(B354,""vi"",""en"")"),"Post office processing")</f>
        <v/>
      </c>
      <c r="E354" s="3">
        <f>IF(C354&lt;&gt;"",C354, D354)</f>
        <v/>
      </c>
      <c r="F354" s="3" t="n"/>
      <c r="G354" s="3">
        <f>IFERROR(__xludf.DUMMYFUNCTION("GOOGLETRANSLATE(B354,""vi"",""km"")"),"ដំណើរការប្រៃសណីយ៍")</f>
        <v/>
      </c>
      <c r="H354" s="3" t="inlineStr">
        <is>
          <t>ដំណើរការប្រៃសណីយ៍</t>
        </is>
      </c>
      <c r="I354" s="3" t="n"/>
      <c r="J354" s="3">
        <f>IFERROR(__xludf.DUMMYFUNCTION("GOOGLETRANSLATE(B354,""vi"",""lo"")"),"ການປະມວນຜົນຂອງຫ້ອງການໄປສະນີ")</f>
        <v/>
      </c>
      <c r="K354" s="3">
        <f>IF(I354&lt;&gt;"",I354, J354)</f>
        <v/>
      </c>
      <c r="L354" s="3" t="inlineStr">
        <is>
          <t>ដំណើរការប្រៃសណីយ៍</t>
        </is>
      </c>
      <c r="M354" s="3" t="n"/>
      <c r="N354" s="3" t="inlineStr">
        <is>
          <t>"postOfficeHanding.title": "Processing PO",</t>
        </is>
      </c>
      <c r="O354" s="3" t="n"/>
      <c r="P354" s="3" t="n"/>
      <c r="Q354" s="3" t="n"/>
      <c r="R354" s="3" t="n"/>
      <c r="S354" s="3" t="n"/>
      <c r="T354" s="3" t="n"/>
      <c r="U354" s="3" t="n"/>
      <c r="V354" s="3" t="n"/>
      <c r="W354" s="3" t="n"/>
      <c r="X354" s="3" t="n"/>
      <c r="Y354" s="3" t="n"/>
      <c r="Z354" s="3" t="n"/>
      <c r="AA354" s="3" t="n"/>
    </row>
    <row r="355">
      <c r="A355" s="3" t="inlineStr">
        <is>
          <t>postOfficeHanding.uploadFile</t>
        </is>
      </c>
      <c r="B355" s="3" t="inlineStr">
        <is>
          <t>Tải tệp lên</t>
        </is>
      </c>
      <c r="C355" s="3" t="inlineStr">
        <is>
          <t>Upload file</t>
        </is>
      </c>
      <c r="D355" s="3">
        <f>IFERROR(__xludf.DUMMYFUNCTION("GOOGLETRANSLATE(B355,""vi"",""en"")"),"Upload file")</f>
        <v/>
      </c>
      <c r="E355" s="3">
        <f>IF(C355&lt;&gt;"",C355, D355)</f>
        <v/>
      </c>
      <c r="F355" s="3" t="n"/>
      <c r="G355" s="3">
        <f>IFERROR(__xludf.DUMMYFUNCTION("GOOGLETRANSLATE(B355,""vi"",""km"")"),"ផ្ទុកឡើងឯកសារ")</f>
        <v/>
      </c>
      <c r="H355" s="3" t="inlineStr">
        <is>
          <t>ផ្ទុកឡើងឯកសារ</t>
        </is>
      </c>
      <c r="I355" s="3" t="n"/>
      <c r="J355" s="3">
        <f>IFERROR(__xludf.DUMMYFUNCTION("GOOGLETRANSLATE(B355,""vi"",""lo"")"),"ອັບໂຫຼດໄຟລ໌")</f>
        <v/>
      </c>
      <c r="K355" s="3">
        <f>IF(I355&lt;&gt;"",I355, J355)</f>
        <v/>
      </c>
      <c r="L355" s="3" t="inlineStr">
        <is>
          <t>ផ្ទុកឡើងឯកសារ</t>
        </is>
      </c>
      <c r="M355" s="3" t="n"/>
      <c r="N355" s="3" t="inlineStr">
        <is>
          <t>"postOfficeHanding.uploadFile": "Upload file",</t>
        </is>
      </c>
      <c r="O355" s="3" t="n"/>
      <c r="P355" s="3" t="n"/>
      <c r="Q355" s="3" t="n"/>
      <c r="R355" s="3" t="n"/>
      <c r="S355" s="3" t="n"/>
      <c r="T355" s="3" t="n"/>
      <c r="U355" s="3" t="n"/>
      <c r="V355" s="3" t="n"/>
      <c r="W355" s="3" t="n"/>
      <c r="X355" s="3" t="n"/>
      <c r="Y355" s="3" t="n"/>
      <c r="Z355" s="3" t="n"/>
      <c r="AA355" s="3" t="n"/>
    </row>
    <row r="356">
      <c r="A356" s="3" t="inlineStr">
        <is>
          <t>settingComplaint.assignment</t>
        </is>
      </c>
      <c r="B356" s="3" t="inlineStr">
        <is>
          <t>Cấu hình chuyên quản</t>
        </is>
      </c>
      <c r="C356" s="3" t="inlineStr">
        <is>
          <t>Management Configuration</t>
        </is>
      </c>
      <c r="D356" s="3">
        <f>IFERROR(__xludf.DUMMYFUNCTION("GOOGLETRANSLATE(B356,""vi"",""en"")"),"Specialized management configuration")</f>
        <v/>
      </c>
      <c r="E356" s="3">
        <f>IF(C356&lt;&gt;"",C356, D356)</f>
        <v/>
      </c>
      <c r="F356" s="3" t="n"/>
      <c r="G356" s="3">
        <f>IFERROR(__xludf.DUMMYFUNCTION("GOOGLETRANSLATE(B356,""vi"",""km"")"),"ការកំណត់រចនាសម្ព័ន្ធគ្រប់គ្រងពិសេស")</f>
        <v/>
      </c>
      <c r="H356" s="3" t="inlineStr">
        <is>
          <t>ការកំណត់រចនាសម្ព័ន្ធគ្រប់គ្រងពិសេស</t>
        </is>
      </c>
      <c r="I356" s="3" t="n"/>
      <c r="J356" s="3">
        <f>IFERROR(__xludf.DUMMYFUNCTION("GOOGLETRANSLATE(B356,""vi"",""lo"")"),"ການຕັ້ງຄ່າການຄຸ້ມຄອງພິເສດ")</f>
        <v/>
      </c>
      <c r="K356" s="3">
        <f>IF(I356&lt;&gt;"",I356, J356)</f>
        <v/>
      </c>
      <c r="L356" s="3" t="inlineStr">
        <is>
          <t>ការកំណត់រចនាសម្ព័ន្ធគ្រប់គ្រងពិសេស</t>
        </is>
      </c>
      <c r="M356" s="3" t="n"/>
      <c r="N356" s="3" t="inlineStr">
        <is>
          <t>"settingComplaint.assignment": "Management Configuration",</t>
        </is>
      </c>
      <c r="O356" s="3" t="n"/>
      <c r="P356" s="3" t="n"/>
      <c r="Q356" s="3" t="n"/>
      <c r="R356" s="3" t="n"/>
      <c r="S356" s="3" t="n"/>
      <c r="T356" s="3" t="n"/>
      <c r="U356" s="3" t="n"/>
      <c r="V356" s="3" t="n"/>
      <c r="W356" s="3" t="n"/>
      <c r="X356" s="3" t="n"/>
      <c r="Y356" s="3" t="n"/>
      <c r="Z356" s="3" t="n"/>
      <c r="AA356" s="3" t="n"/>
    </row>
    <row r="357">
      <c r="A357" s="3" t="inlineStr">
        <is>
          <t>settingComplaint.assignmentSetup.area</t>
        </is>
      </c>
      <c r="B357" s="3" t="inlineStr">
        <is>
          <t>Vùng</t>
        </is>
      </c>
      <c r="C357" s="3" t="inlineStr">
        <is>
          <t>Region</t>
        </is>
      </c>
      <c r="D357" s="3">
        <f>IFERROR(__xludf.DUMMYFUNCTION("GOOGLETRANSLATE(B357,""vi"",""en"")"),"Region")</f>
        <v/>
      </c>
      <c r="E357" s="3">
        <f>IF(C357&lt;&gt;"",C357, D357)</f>
        <v/>
      </c>
      <c r="F357" s="3" t="n"/>
      <c r="G357" s="3">
        <f>IFERROR(__xludf.DUMMYFUNCTION("GOOGLETRANSLATE(B357,""vi"",""km"")"),"តំបន់")</f>
        <v/>
      </c>
      <c r="H357" s="3" t="inlineStr">
        <is>
          <t>តំបន់</t>
        </is>
      </c>
      <c r="I357" s="3" t="n"/>
      <c r="J357" s="3">
        <f>IFERROR(__xludf.DUMMYFUNCTION("GOOGLETRANSLATE(B357,""vi"",""lo"")"),"ພາກພື້ນ")</f>
        <v/>
      </c>
      <c r="K357" s="3">
        <f>IF(I357&lt;&gt;"",I357, J357)</f>
        <v/>
      </c>
      <c r="L357" s="3" t="inlineStr">
        <is>
          <t>តំបន់</t>
        </is>
      </c>
      <c r="M357" s="3" t="n"/>
      <c r="N357" s="3" t="inlineStr">
        <is>
          <t>"settingComplaint.assignmentSetup.area": "Region",</t>
        </is>
      </c>
      <c r="O357" s="3" t="n"/>
      <c r="P357" s="3" t="n"/>
      <c r="Q357" s="3" t="n"/>
      <c r="R357" s="3" t="n"/>
      <c r="S357" s="3" t="n"/>
      <c r="T357" s="3" t="n"/>
      <c r="U357" s="3" t="n"/>
      <c r="V357" s="3" t="n"/>
      <c r="W357" s="3" t="n"/>
      <c r="X357" s="3" t="n"/>
      <c r="Y357" s="3" t="n"/>
      <c r="Z357" s="3" t="n"/>
      <c r="AA357" s="3" t="n"/>
    </row>
    <row r="358">
      <c r="A358" s="3" t="inlineStr">
        <is>
          <t>settingComplaint.assignmentSetup.deleteConfigError</t>
        </is>
      </c>
      <c r="B358" s="3" t="inlineStr">
        <is>
          <t>Xoá cấu hình thất bại</t>
        </is>
      </c>
      <c r="C358" s="3" t="inlineStr">
        <is>
          <t>Failed to delete configuration</t>
        </is>
      </c>
      <c r="D358" s="3">
        <f>IFERROR(__xludf.DUMMYFUNCTION("GOOGLETRANSLATE(B358,""vi"",""en"")"),"Configuration deletion failed.")</f>
        <v/>
      </c>
      <c r="E358" s="3">
        <f>IF(C358&lt;&gt;"",C358, D358)</f>
        <v/>
      </c>
      <c r="F358" s="3" t="n"/>
      <c r="G358" s="3">
        <f>IFERROR(__xludf.DUMMYFUNCTION("GOOGLETRANSLATE(B358,""vi"",""km"")"),"ការលុបការកំណត់រចនាសម្ព័ន្ធបានបរាជ័យ។")</f>
        <v/>
      </c>
      <c r="H358" s="3" t="inlineStr">
        <is>
          <t>ការលុបការកំណត់រចនាសម្ព័ន្ធបានបរាជ័យ។</t>
        </is>
      </c>
      <c r="I358" s="3" t="n"/>
      <c r="J358" s="3">
        <f>IFERROR(__xludf.DUMMYFUNCTION("GOOGLETRANSLATE(B358,""vi"",""lo"")"),"ການລຶບການຕັ້ງຄ່າບໍ່ສຳເລັດ.")</f>
        <v/>
      </c>
      <c r="K358" s="3">
        <f>IF(I358&lt;&gt;"",I358, J358)</f>
        <v/>
      </c>
      <c r="L358" s="3" t="inlineStr">
        <is>
          <t>ការលុបការកំណត់រចនាសម្ព័ន្ធបានបរាជ័យ។</t>
        </is>
      </c>
      <c r="M358" s="3" t="n"/>
      <c r="N358" s="3" t="inlineStr">
        <is>
          <t>"settingComplaint.assignmentSetup.deleteConfigError": "Failed to delete configuration",</t>
        </is>
      </c>
      <c r="O358" s="3" t="n"/>
      <c r="P358" s="3" t="n"/>
      <c r="Q358" s="3" t="n"/>
      <c r="R358" s="3" t="n"/>
      <c r="S358" s="3" t="n"/>
      <c r="T358" s="3" t="n"/>
      <c r="U358" s="3" t="n"/>
      <c r="V358" s="3" t="n"/>
      <c r="W358" s="3" t="n"/>
      <c r="X358" s="3" t="n"/>
      <c r="Y358" s="3" t="n"/>
      <c r="Z358" s="3" t="n"/>
      <c r="AA358" s="3" t="n"/>
    </row>
    <row r="359">
      <c r="A359" s="3" t="inlineStr">
        <is>
          <t>settingComplaint.assignmentSetup.deleteConfigSuccess</t>
        </is>
      </c>
      <c r="B359" s="3" t="inlineStr">
        <is>
          <t>Xoá cấu hình thành công</t>
        </is>
      </c>
      <c r="C359" s="3" t="inlineStr">
        <is>
          <t>Configuration deleted successfully</t>
        </is>
      </c>
      <c r="D359" s="3">
        <f>IFERROR(__xludf.DUMMYFUNCTION("GOOGLETRANSLATE(B359,""vi"",""en"")"),"Configuration deleted successfully.")</f>
        <v/>
      </c>
      <c r="E359" s="3">
        <f>IF(C359&lt;&gt;"",C359, D359)</f>
        <v/>
      </c>
      <c r="F359" s="3" t="n"/>
      <c r="G359" s="3">
        <f>IFERROR(__xludf.DUMMYFUNCTION("GOOGLETRANSLATE(B359,""vi"",""km"")"),"បានលុបការកំណត់រចនាសម្ព័ន្ធដោយជោគជ័យ។")</f>
        <v/>
      </c>
      <c r="H359" s="3" t="inlineStr">
        <is>
          <t>បានលុបការកំណត់រចនាសម្ព័ន្ធដោយជោគជ័យ។</t>
        </is>
      </c>
      <c r="I359" s="3" t="n"/>
      <c r="J359" s="3">
        <f>IFERROR(__xludf.DUMMYFUNCTION("GOOGLETRANSLATE(B359,""vi"",""lo"")"),"ລຶບການຕັ້ງຄ່າສຳເລັດແລ້ວ.")</f>
        <v/>
      </c>
      <c r="K359" s="3">
        <f>IF(I359&lt;&gt;"",I359, J359)</f>
        <v/>
      </c>
      <c r="L359" s="3" t="inlineStr">
        <is>
          <t>បានលុបការកំណត់រចនាសម្ព័ន្ធដោយជោគជ័យ។</t>
        </is>
      </c>
      <c r="M359" s="3" t="n"/>
      <c r="N359" s="3" t="inlineStr">
        <is>
          <t>"settingComplaint.assignmentSetup.deleteConfigSuccess": "Configuration deleted successfully",</t>
        </is>
      </c>
      <c r="O359" s="3" t="n"/>
      <c r="P359" s="3" t="n"/>
      <c r="Q359" s="3" t="n"/>
      <c r="R359" s="3" t="n"/>
      <c r="S359" s="3" t="n"/>
      <c r="T359" s="3" t="n"/>
      <c r="U359" s="3" t="n"/>
      <c r="V359" s="3" t="n"/>
      <c r="W359" s="3" t="n"/>
      <c r="X359" s="3" t="n"/>
      <c r="Y359" s="3" t="n"/>
      <c r="Z359" s="3" t="n"/>
      <c r="AA359" s="3" t="n"/>
    </row>
    <row r="360">
      <c r="A360" s="3" t="inlineStr">
        <is>
          <t>settingComplaint.assignmentSetup.deleteConfirmDesc</t>
        </is>
      </c>
      <c r="B360" s="3" t="inlineStr">
        <is>
          <t>Sau khi xóa, cấu hình sẽ không tiếp tục được xử lý và không thể khôi phục lại</t>
        </is>
      </c>
      <c r="C360" s="3" t="inlineStr">
        <is>
          <t>Once deleted, this configuration cannot be processed or restored</t>
        </is>
      </c>
      <c r="D360" s="3">
        <f>IFERROR(__xludf.DUMMYFUNCTION("GOOGLETRANSLATE(B360,""vi"",""en"")"),"Once deleted, the configuration will no longer be processed and cannot be recovered.")</f>
        <v/>
      </c>
      <c r="E360" s="3">
        <f>IF(C360&lt;&gt;"",C360, D360)</f>
        <v/>
      </c>
      <c r="F360" s="3" t="n"/>
      <c r="G360" s="3">
        <f>IFERROR(__xludf.DUMMYFUNCTION("GOOGLETRANSLATE(B360,""vi"",""km"")"),"នៅពេលលុបរួច ការកំណត់រចនាសម្ព័ន្ធនឹងលែងត្រូវបានដំណើរការទៀតហើយ ហើយមិនអាចស្ដារឡើងវិញបានទេ។")</f>
        <v/>
      </c>
      <c r="H360" s="3" t="inlineStr">
        <is>
          <t>នៅពេលលុបរួច ការកំណត់រចនាសម្ព័ន្ធនឹងលែងត្រូវបានដំណើរការទៀតហើយ ហើយមិនអាចស្ដារឡើងវិញបានទេ។</t>
        </is>
      </c>
      <c r="I360" s="3" t="n"/>
      <c r="J360" s="3">
        <f>IFERROR(__xludf.DUMMYFUNCTION("GOOGLETRANSLATE(B360,""vi"",""lo"")"),"ເມື່ອລຶບແລ້ວ, ການຕັ້ງຄ່າຈະບໍ່ຖືກປະມວນຜົນອີກຕໍ່ໄປ ແລະ ບໍ່ສາມາດກູ້ຄືນໄດ້.")</f>
        <v/>
      </c>
      <c r="K360" s="3">
        <f>IF(I360&lt;&gt;"",I360, J360)</f>
        <v/>
      </c>
      <c r="L360" s="3" t="inlineStr">
        <is>
          <t>នៅពេលលុបរួច ការកំណត់រចនាសម្ព័ន្ធនឹងលែងត្រូវបានដំណើរការទៀតហើយ ហើយមិនអាចស្ដារឡើងវិញបានទេ។</t>
        </is>
      </c>
      <c r="M360" s="3" t="n"/>
      <c r="N360" s="3" t="inlineStr">
        <is>
          <t>"settingComplaint.assignmentSetup.deleteConfirmDesc": "Once deleted, this configuration cannot be processed or restored",</t>
        </is>
      </c>
      <c r="O360" s="3" t="n"/>
      <c r="P360" s="3" t="n"/>
      <c r="Q360" s="3" t="n"/>
      <c r="R360" s="3" t="n"/>
      <c r="S360" s="3" t="n"/>
      <c r="T360" s="3" t="n"/>
      <c r="U360" s="3" t="n"/>
      <c r="V360" s="3" t="n"/>
      <c r="W360" s="3" t="n"/>
      <c r="X360" s="3" t="n"/>
      <c r="Y360" s="3" t="n"/>
      <c r="Z360" s="3" t="n"/>
      <c r="AA360" s="3" t="n"/>
    </row>
    <row r="361">
      <c r="A361" s="3" t="inlineStr">
        <is>
          <t>settingComplaint.assignmentSetup.deleteConfirmTitle</t>
        </is>
      </c>
      <c r="B361" s="3" t="inlineStr">
        <is>
          <t>Bạn có chắc chắn muốn xóa cấu hình này không?</t>
        </is>
      </c>
      <c r="C361" s="3" t="inlineStr">
        <is>
          <t>Are you sure you want to delete this configuration?</t>
        </is>
      </c>
      <c r="D361" s="3">
        <f>IFERROR(__xludf.DUMMYFUNCTION("GOOGLETRANSLATE(B361,""vi"",""en"")"),"Are you sure you want to delete this configuration?")</f>
        <v/>
      </c>
      <c r="E361" s="3">
        <f>IF(C361&lt;&gt;"",C361, D361)</f>
        <v/>
      </c>
      <c r="F361" s="3" t="n"/>
      <c r="G361" s="3">
        <f>IFERROR(__xludf.DUMMYFUNCTION("GOOGLETRANSLATE(B361,""vi"",""km"")"),"តើអ្នកប្រាកដថាចង់លុបការកំណត់រចនាសម្ព័ន្ធនេះមែនទេ?")</f>
        <v/>
      </c>
      <c r="H361" s="3" t="inlineStr">
        <is>
          <t>តើអ្នកប្រាកដថាចង់លុបការកំណត់រចនាសម្ព័ន្ធនេះមែនទេ?</t>
        </is>
      </c>
      <c r="I361" s="3" t="n"/>
      <c r="J361" s="3">
        <f>IFERROR(__xludf.DUMMYFUNCTION("GOOGLETRANSLATE(B361,""vi"",""lo"")"),"ທ່ານແນ່ໃຈບໍ່ວ່າທ່ານຕ້ອງການລຶບການຕັ້ງຄ່ານີ້?")</f>
        <v/>
      </c>
      <c r="K361" s="3">
        <f>IF(I361&lt;&gt;"",I361, J361)</f>
        <v/>
      </c>
      <c r="L361" s="3" t="inlineStr">
        <is>
          <t>តើអ្នកប្រាកដថាចង់លុបការកំណត់រចនាសម្ព័ន្ធនេះមែនទេ?</t>
        </is>
      </c>
      <c r="M361" s="3" t="n"/>
      <c r="N361" s="3" t="inlineStr">
        <is>
          <t>"settingComplaint.assignmentSetup.deleteConfirmTitle": "Are you sure you want to delete this configuration?",</t>
        </is>
      </c>
      <c r="O361" s="3" t="n"/>
      <c r="P361" s="3" t="n"/>
      <c r="Q361" s="3" t="n"/>
      <c r="R361" s="3" t="n"/>
      <c r="S361" s="3" t="n"/>
      <c r="T361" s="3" t="n"/>
      <c r="U361" s="3" t="n"/>
      <c r="V361" s="3" t="n"/>
      <c r="W361" s="3" t="n"/>
      <c r="X361" s="3" t="n"/>
      <c r="Y361" s="3" t="n"/>
      <c r="Z361" s="3" t="n"/>
      <c r="AA361" s="3" t="n"/>
    </row>
    <row r="362">
      <c r="A362" s="3" t="inlineStr">
        <is>
          <t>settingComplaint.assignmentSetup.deleteTooltip</t>
        </is>
      </c>
      <c r="B362" s="3" t="inlineStr">
        <is>
          <t>Xóa cấu hình</t>
        </is>
      </c>
      <c r="C362" s="3" t="inlineStr">
        <is>
          <t>Delete configuration</t>
        </is>
      </c>
      <c r="D362" s="3">
        <f>IFERROR(__xludf.DUMMYFUNCTION("GOOGLETRANSLATE(B362,""vi"",""en"")"),"Delete configuration")</f>
        <v/>
      </c>
      <c r="E362" s="3">
        <f>IF(C362&lt;&gt;"",C362, D362)</f>
        <v/>
      </c>
      <c r="F362" s="3" t="n"/>
      <c r="G362" s="3">
        <f>IFERROR(__xludf.DUMMYFUNCTION("GOOGLETRANSLATE(B362,""vi"",""km"")"),"លុបការកំណត់រចនាសម្ព័ន្ធ")</f>
        <v/>
      </c>
      <c r="H362" s="3" t="inlineStr">
        <is>
          <t>លុបការកំណត់រចនាសម្ព័ន្ធ</t>
        </is>
      </c>
      <c r="I362" s="3" t="n"/>
      <c r="J362" s="3">
        <f>IFERROR(__xludf.DUMMYFUNCTION("GOOGLETRANSLATE(B362,""vi"",""lo"")"),"ລຶບການຕັ້ງຄ່າ")</f>
        <v/>
      </c>
      <c r="K362" s="3">
        <f>IF(I362&lt;&gt;"",I362, J362)</f>
        <v/>
      </c>
      <c r="L362" s="3" t="inlineStr">
        <is>
          <t>លុបការកំណត់រចនាសម្ព័ន្ធ</t>
        </is>
      </c>
      <c r="M362" s="3" t="n"/>
      <c r="N362" s="3" t="inlineStr">
        <is>
          <t>"settingComplaint.assignmentSetup.deleteTooltip": "Delete configuration",</t>
        </is>
      </c>
      <c r="O362" s="3" t="n"/>
      <c r="P362" s="3" t="n"/>
      <c r="Q362" s="3" t="n"/>
      <c r="R362" s="3" t="n"/>
      <c r="S362" s="3" t="n"/>
      <c r="T362" s="3" t="n"/>
      <c r="U362" s="3" t="n"/>
      <c r="V362" s="3" t="n"/>
      <c r="W362" s="3" t="n"/>
      <c r="X362" s="3" t="n"/>
      <c r="Y362" s="3" t="n"/>
      <c r="Z362" s="3" t="n"/>
      <c r="AA362" s="3" t="n"/>
    </row>
    <row r="363">
      <c r="A363" s="3" t="inlineStr">
        <is>
          <t>settingComplaint.assignmentSetup.departmentRequired</t>
        </is>
      </c>
      <c r="B363" s="3" t="inlineStr">
        <is>
          <t>Vui lòng chọn bưu cục</t>
        </is>
      </c>
      <c r="C363" s="3" t="inlineStr">
        <is>
          <t>Please select a PO</t>
        </is>
      </c>
      <c r="D363" s="3">
        <f>IFERROR(__xludf.DUMMYFUNCTION("GOOGLETRANSLATE(B363,""vi"",""en"")"),"Please select a post office.")</f>
        <v/>
      </c>
      <c r="E363" s="3">
        <f>IF(C363&lt;&gt;"",C363, D363)</f>
        <v/>
      </c>
      <c r="F363" s="3" t="n"/>
      <c r="G363" s="3">
        <f>IFERROR(__xludf.DUMMYFUNCTION("GOOGLETRANSLATE(B363,""vi"",""km"")"),"សូមជ្រើសរើសការិយាល័យប្រៃសណីយ៍។")</f>
        <v/>
      </c>
      <c r="H363" s="3" t="inlineStr">
        <is>
          <t>សូមជ្រើសរើសការិយាល័យប្រៃសណីយ៍</t>
        </is>
      </c>
      <c r="I363" s="3" t="n"/>
      <c r="J363" s="3">
        <f>IFERROR(__xludf.DUMMYFUNCTION("GOOGLETRANSLATE(B363,""vi"",""lo"")"),"ກະລຸນາເລືອກຫ້ອງການໄປສະນີ.")</f>
        <v/>
      </c>
      <c r="K363" s="3">
        <f>IF(I363&lt;&gt;"",I363, J363)</f>
        <v/>
      </c>
      <c r="L363" s="3" t="inlineStr">
        <is>
          <t>សូមជ្រើសរើសការិយាល័យប្រៃសណីយ៍</t>
        </is>
      </c>
      <c r="M363" s="3" t="n"/>
      <c r="N363" s="3" t="inlineStr">
        <is>
          <t>"settingComplaint.assignmentSetup.departmentRequired": "Please select a PO",</t>
        </is>
      </c>
      <c r="O363" s="3" t="n"/>
      <c r="P363" s="3" t="n"/>
      <c r="Q363" s="3" t="n"/>
      <c r="R363" s="3" t="n"/>
      <c r="S363" s="3" t="n"/>
      <c r="T363" s="3" t="n"/>
      <c r="U363" s="3" t="n"/>
      <c r="V363" s="3" t="n"/>
      <c r="W363" s="3" t="n"/>
      <c r="X363" s="3" t="n"/>
      <c r="Y363" s="3" t="n"/>
      <c r="Z363" s="3" t="n"/>
      <c r="AA363" s="3" t="n"/>
    </row>
    <row r="364">
      <c r="A364" s="3" t="inlineStr">
        <is>
          <t>settingComplaint.assignmentSetup.editConfig</t>
        </is>
      </c>
      <c r="B364" s="3" t="inlineStr">
        <is>
          <t>Sửa cấu hình</t>
        </is>
      </c>
      <c r="C364" s="3" t="inlineStr">
        <is>
          <t>Edit configuration</t>
        </is>
      </c>
      <c r="D364" s="3">
        <f>IFERROR(__xludf.DUMMYFUNCTION("GOOGLETRANSLATE(B364,""vi"",""en"")"),"Modify the configuration.")</f>
        <v/>
      </c>
      <c r="E364" s="3">
        <f>IF(C364&lt;&gt;"",C364, D364)</f>
        <v/>
      </c>
      <c r="F364" s="3" t="n"/>
      <c r="G364" s="3">
        <f>IFERROR(__xludf.DUMMYFUNCTION("GOOGLETRANSLATE(B364,""vi"",""km"")"),"កែប្រែការកំណត់រចនាសម្ព័ន្ធ។")</f>
        <v/>
      </c>
      <c r="H364" s="3" t="inlineStr">
        <is>
          <t>កែប្រែការកំណត់រចនាសម្ព័ន្ធ។</t>
        </is>
      </c>
      <c r="I364" s="3" t="n"/>
      <c r="J364" s="3">
        <f>IFERROR(__xludf.DUMMYFUNCTION("GOOGLETRANSLATE(B364,""vi"",""lo"")"),"ດັດແປງການຕັ້ງຄ່າ.")</f>
        <v/>
      </c>
      <c r="K364" s="3">
        <f>IF(I364&lt;&gt;"",I364, J364)</f>
        <v/>
      </c>
      <c r="L364" s="3" t="inlineStr">
        <is>
          <t>កែប្រែការកំណត់រចនាសម្ព័ន្ធ។</t>
        </is>
      </c>
      <c r="M364" s="3" t="n"/>
      <c r="N364" s="3" t="inlineStr">
        <is>
          <t>"settingComplaint.assignmentSetup.editConfig": "Edit configuration",</t>
        </is>
      </c>
      <c r="O364" s="3" t="n"/>
      <c r="P364" s="3" t="n"/>
      <c r="Q364" s="3" t="n"/>
      <c r="R364" s="3" t="n"/>
      <c r="S364" s="3" t="n"/>
      <c r="T364" s="3" t="n"/>
      <c r="U364" s="3" t="n"/>
      <c r="V364" s="3" t="n"/>
      <c r="W364" s="3" t="n"/>
      <c r="X364" s="3" t="n"/>
      <c r="Y364" s="3" t="n"/>
      <c r="Z364" s="3" t="n"/>
      <c r="AA364" s="3" t="n"/>
    </row>
    <row r="365">
      <c r="A365" s="3" t="inlineStr">
        <is>
          <t>settingComplaint.assignmentSetup.editConfigError</t>
        </is>
      </c>
      <c r="B365" s="3" t="inlineStr">
        <is>
          <t>Sửa cấu hình thất bại</t>
        </is>
      </c>
      <c r="C365" s="3" t="inlineStr">
        <is>
          <t>Edit configuration Fail</t>
        </is>
      </c>
      <c r="D365" s="3">
        <f>IFERROR(__xludf.DUMMYFUNCTION("GOOGLETRANSLATE(B365,""vi"",""en"")"),"Configuration repair failed.")</f>
        <v/>
      </c>
      <c r="E365" s="3">
        <f>IF(C365&lt;&gt;"",C365, D365)</f>
        <v/>
      </c>
      <c r="F365" s="3" t="n"/>
      <c r="G365" s="3">
        <f>IFERROR(__xludf.DUMMYFUNCTION("GOOGLETRANSLATE(B365,""vi"",""km"")"),"ការជួសជុលការកំណត់រចនាសម្ព័ន្ធបានបរាជ័យ។")</f>
        <v/>
      </c>
      <c r="H365" s="3" t="inlineStr">
        <is>
          <t>ការជួសជុលការកំណត់រចនាសម្ព័ន្ធបានបរាជ័យ។</t>
        </is>
      </c>
      <c r="I365" s="3" t="n"/>
      <c r="J365" s="3">
        <f>IFERROR(__xludf.DUMMYFUNCTION("GOOGLETRANSLATE(B365,""vi"",""lo"")"),"ການສ້ອມແປງການຕັ້ງຄ່າລົ້ມເຫຼວ.")</f>
        <v/>
      </c>
      <c r="K365" s="3">
        <f>IF(I365&lt;&gt;"",I365, J365)</f>
        <v/>
      </c>
      <c r="L365" s="3" t="inlineStr">
        <is>
          <t>ការជួសជុលការកំណត់រចនាសម្ព័ន្ធបានបរាជ័យ។</t>
        </is>
      </c>
      <c r="M365" s="3" t="n"/>
      <c r="N365" s="3" t="inlineStr">
        <is>
          <t>"settingComplaint.assignmentSetup.editConfigError": "Edit configuration Fail",</t>
        </is>
      </c>
      <c r="O365" s="3" t="n"/>
      <c r="P365" s="3" t="n"/>
      <c r="Q365" s="3" t="n"/>
      <c r="R365" s="3" t="n"/>
      <c r="S365" s="3" t="n"/>
      <c r="T365" s="3" t="n"/>
      <c r="U365" s="3" t="n"/>
      <c r="V365" s="3" t="n"/>
      <c r="W365" s="3" t="n"/>
      <c r="X365" s="3" t="n"/>
      <c r="Y365" s="3" t="n"/>
      <c r="Z365" s="3" t="n"/>
      <c r="AA365" s="3" t="n"/>
    </row>
    <row r="366">
      <c r="A366" s="3" t="inlineStr">
        <is>
          <t>settingComplaint.assignmentSetup.editConfigSuccess</t>
        </is>
      </c>
      <c r="B366" s="3" t="inlineStr">
        <is>
          <t>Sửa cấu hình thành công</t>
        </is>
      </c>
      <c r="C366" s="3" t="inlineStr">
        <is>
          <t>Edit configuration successfull</t>
        </is>
      </c>
      <c r="D366" s="3">
        <f>IFERROR(__xludf.DUMMYFUNCTION("GOOGLETRANSLATE(B366,""vi"",""en"")"),"Configuration successfully modified.")</f>
        <v/>
      </c>
      <c r="E366" s="3">
        <f>IF(C366&lt;&gt;"",C366, D366)</f>
        <v/>
      </c>
      <c r="F366" s="3" t="n"/>
      <c r="G366" s="3">
        <f>IFERROR(__xludf.DUMMYFUNCTION("GOOGLETRANSLATE(B366,""vi"",""km"")"),"បានកែប្រែការកំណត់រចនាសម្ព័ន្ធដោយជោគជ័យ។")</f>
        <v/>
      </c>
      <c r="H366" s="3" t="inlineStr">
        <is>
          <t>បានកែប្រែការកំណត់រចនាសម្ព័ន្ធដោយជោគជ័យ។</t>
        </is>
      </c>
      <c r="I366" s="3" t="n"/>
      <c r="J366" s="3">
        <f>IFERROR(__xludf.DUMMYFUNCTION("GOOGLETRANSLATE(B366,""vi"",""lo"")"),"ແກ້ໄຂການຕັ້ງຄ່າສຳເລັດແລ້ວ.")</f>
        <v/>
      </c>
      <c r="K366" s="3">
        <f>IF(I366&lt;&gt;"",I366, J366)</f>
        <v/>
      </c>
      <c r="L366" s="3" t="inlineStr">
        <is>
          <t>បានកែប្រែការកំណត់រចនាសម្ព័ន្ធដោយជោគជ័យ។</t>
        </is>
      </c>
      <c r="M366" s="3" t="n"/>
      <c r="N366" s="3" t="inlineStr">
        <is>
          <t>"settingComplaint.assignmentSetup.editConfigSuccess": "Edit configuration successfull",</t>
        </is>
      </c>
      <c r="O366" s="3" t="n"/>
      <c r="P366" s="3" t="n"/>
      <c r="Q366" s="3" t="n"/>
      <c r="R366" s="3" t="n"/>
      <c r="S366" s="3" t="n"/>
      <c r="T366" s="3" t="n"/>
      <c r="U366" s="3" t="n"/>
      <c r="V366" s="3" t="n"/>
      <c r="W366" s="3" t="n"/>
      <c r="X366" s="3" t="n"/>
      <c r="Y366" s="3" t="n"/>
      <c r="Z366" s="3" t="n"/>
      <c r="AA366" s="3" t="n"/>
    </row>
    <row r="367">
      <c r="A367" s="3" t="inlineStr">
        <is>
          <t>settingComplaint.assignmentSetup.editTooltip</t>
        </is>
      </c>
      <c r="B367" s="3" t="inlineStr">
        <is>
          <t>Chỉnh sửa</t>
        </is>
      </c>
      <c r="C367" s="3" t="inlineStr">
        <is>
          <t>Edit</t>
        </is>
      </c>
      <c r="D367" s="3">
        <f>IFERROR(__xludf.DUMMYFUNCTION("GOOGLETRANSLATE(B367,""vi"",""en"")"),"Edit")</f>
        <v/>
      </c>
      <c r="E367" s="3">
        <f>IF(C367&lt;&gt;"",C367, D367)</f>
        <v/>
      </c>
      <c r="F367" s="3" t="n"/>
      <c r="G367" s="3">
        <f>IFERROR(__xludf.DUMMYFUNCTION("GOOGLETRANSLATE(B367,""vi"",""km"")"),"កែសម្រួល")</f>
        <v/>
      </c>
      <c r="H367" s="3" t="inlineStr">
        <is>
          <t>កែសម្រួល</t>
        </is>
      </c>
      <c r="I367" s="3" t="n"/>
      <c r="J367" s="3">
        <f>IFERROR(__xludf.DUMMYFUNCTION("GOOGLETRANSLATE(B367,""vi"",""lo"")"),"ແກ້ໄຂ")</f>
        <v/>
      </c>
      <c r="K367" s="3">
        <f>IF(I367&lt;&gt;"",I367, J367)</f>
        <v/>
      </c>
      <c r="L367" s="3" t="inlineStr">
        <is>
          <t>កែសម្រួល</t>
        </is>
      </c>
      <c r="M367" s="3" t="n"/>
      <c r="N367" s="3" t="inlineStr">
        <is>
          <t>"settingComplaint.assignmentSetup.editTooltip": "Edit",</t>
        </is>
      </c>
      <c r="O367" s="3" t="n"/>
      <c r="P367" s="3" t="n"/>
      <c r="Q367" s="3" t="n"/>
      <c r="R367" s="3" t="n"/>
      <c r="S367" s="3" t="n"/>
      <c r="T367" s="3" t="n"/>
      <c r="U367" s="3" t="n"/>
      <c r="V367" s="3" t="n"/>
      <c r="W367" s="3" t="n"/>
      <c r="X367" s="3" t="n"/>
      <c r="Y367" s="3" t="n"/>
      <c r="Z367" s="3" t="n"/>
      <c r="AA367" s="3" t="n"/>
    </row>
    <row r="368">
      <c r="A368" s="3" t="inlineStr">
        <is>
          <t>settingComplaint.assignmentSetup.employeeCode</t>
        </is>
      </c>
      <c r="B368" s="3" t="inlineStr">
        <is>
          <t>Mã nhân viên</t>
        </is>
      </c>
      <c r="C368" s="3" t="inlineStr">
        <is>
          <t>Employee ID</t>
        </is>
      </c>
      <c r="D368" s="3">
        <f>IFERROR(__xludf.DUMMYFUNCTION("GOOGLETRANSLATE(B368,""vi"",""en"")"),"Employee code")</f>
        <v/>
      </c>
      <c r="E368" s="3">
        <f>IF(C368&lt;&gt;"",C368, D368)</f>
        <v/>
      </c>
      <c r="F368" s="3" t="n"/>
      <c r="G368" s="3">
        <f>IFERROR(__xludf.DUMMYFUNCTION("GOOGLETRANSLATE(B368,""vi"",""km"")"),"លេខកូដបុគ្គលិក")</f>
        <v/>
      </c>
      <c r="H368" s="3" t="inlineStr">
        <is>
          <t>លេខកូដបុគ្គលិក</t>
        </is>
      </c>
      <c r="I368" s="3" t="n"/>
      <c r="J368" s="3">
        <f>IFERROR(__xludf.DUMMYFUNCTION("GOOGLETRANSLATE(B368,""vi"",""lo"")"),"ລະຫັດພະນັກງານ")</f>
        <v/>
      </c>
      <c r="K368" s="3">
        <f>IF(I368&lt;&gt;"",I368, J368)</f>
        <v/>
      </c>
      <c r="L368" s="3" t="inlineStr">
        <is>
          <t>លេខកូដបុគ្គលិក</t>
        </is>
      </c>
      <c r="M368" s="3" t="n"/>
      <c r="N368" s="3" t="inlineStr">
        <is>
          <t>"settingComplaint.assignmentSetup.employeeCode": "Employee ID",</t>
        </is>
      </c>
      <c r="O368" s="3" t="n"/>
      <c r="P368" s="3" t="n"/>
      <c r="Q368" s="3" t="n"/>
      <c r="R368" s="3" t="n"/>
      <c r="S368" s="3" t="n"/>
      <c r="T368" s="3" t="n"/>
      <c r="U368" s="3" t="n"/>
      <c r="V368" s="3" t="n"/>
      <c r="W368" s="3" t="n"/>
      <c r="X368" s="3" t="n"/>
      <c r="Y368" s="3" t="n"/>
      <c r="Z368" s="3" t="n"/>
      <c r="AA368" s="3" t="n"/>
    </row>
    <row r="369">
      <c r="A369" s="3" t="inlineStr">
        <is>
          <t>settingComplaint.assignmentSetup.employeeName</t>
        </is>
      </c>
      <c r="B369" s="3" t="inlineStr">
        <is>
          <t>Tên nhân viên</t>
        </is>
      </c>
      <c r="C369" s="3" t="inlineStr">
        <is>
          <t>Employee Name</t>
        </is>
      </c>
      <c r="D369" s="3">
        <f>IFERROR(__xludf.DUMMYFUNCTION("GOOGLETRANSLATE(B369,""vi"",""en"")"),"Employee name")</f>
        <v/>
      </c>
      <c r="E369" s="3">
        <f>IF(C369&lt;&gt;"",C369, D369)</f>
        <v/>
      </c>
      <c r="F369" s="3" t="n"/>
      <c r="G369" s="3">
        <f>IFERROR(__xludf.DUMMYFUNCTION("GOOGLETRANSLATE(B369,""vi"",""km"")"),"ឈ្មោះបុគ្គលិក")</f>
        <v/>
      </c>
      <c r="H369" s="3" t="inlineStr">
        <is>
          <t>ឈ្មោះបុគ្គលិក</t>
        </is>
      </c>
      <c r="I369" s="3" t="n"/>
      <c r="J369" s="3">
        <f>IFERROR(__xludf.DUMMYFUNCTION("GOOGLETRANSLATE(B369,""vi"",""lo"")"),"ຊື່ພະນັກງານ")</f>
        <v/>
      </c>
      <c r="K369" s="3">
        <f>IF(I369&lt;&gt;"",I369, J369)</f>
        <v/>
      </c>
      <c r="L369" s="3" t="inlineStr">
        <is>
          <t>ឈ្មោះបុគ្គលិក</t>
        </is>
      </c>
      <c r="M369" s="3" t="n"/>
      <c r="N369" s="3" t="inlineStr">
        <is>
          <t>"settingComplaint.assignmentSetup.employeeName": "Employee Name",</t>
        </is>
      </c>
      <c r="O369" s="3" t="n"/>
      <c r="P369" s="3" t="n"/>
      <c r="Q369" s="3" t="n"/>
      <c r="R369" s="3" t="n"/>
      <c r="S369" s="3" t="n"/>
      <c r="T369" s="3" t="n"/>
      <c r="U369" s="3" t="n"/>
      <c r="V369" s="3" t="n"/>
      <c r="W369" s="3" t="n"/>
      <c r="X369" s="3" t="n"/>
      <c r="Y369" s="3" t="n"/>
      <c r="Z369" s="3" t="n"/>
      <c r="AA369" s="3" t="n"/>
    </row>
    <row r="370">
      <c r="A370" s="3" t="inlineStr">
        <is>
          <t>settingComplaint.assignmentSetup.managingBranch</t>
        </is>
      </c>
      <c r="B370" s="3" t="inlineStr">
        <is>
          <t>Chi nhánh quản lý</t>
        </is>
      </c>
      <c r="C370" s="3" t="inlineStr">
        <is>
          <t>Managing Branch</t>
        </is>
      </c>
      <c r="D370" s="3">
        <f>IFERROR(__xludf.DUMMYFUNCTION("GOOGLETRANSLATE(B370,""vi"",""en"")"),"Branch management")</f>
        <v/>
      </c>
      <c r="E370" s="3">
        <f>IF(C370&lt;&gt;"",C370, D370)</f>
        <v/>
      </c>
      <c r="F370" s="3" t="n"/>
      <c r="G370" s="3">
        <f>IFERROR(__xludf.DUMMYFUNCTION("GOOGLETRANSLATE(B370,""vi"",""km"")"),"ការគ្រប់គ្រងសាខា")</f>
        <v/>
      </c>
      <c r="H370" s="3" t="inlineStr">
        <is>
          <t>ការគ្រប់គ្រងសាខា</t>
        </is>
      </c>
      <c r="I370" s="3" t="n"/>
      <c r="J370" s="3">
        <f>IFERROR(__xludf.DUMMYFUNCTION("GOOGLETRANSLATE(B370,""vi"",""lo"")"),"ການຄຸ້ມຄອງສາຂາ")</f>
        <v/>
      </c>
      <c r="K370" s="3">
        <f>IF(I370&lt;&gt;"",I370, J370)</f>
        <v/>
      </c>
      <c r="L370" s="3" t="inlineStr">
        <is>
          <t>ការគ្រប់គ្រងសាខា</t>
        </is>
      </c>
      <c r="M370" s="3" t="n"/>
      <c r="N370" s="3" t="inlineStr">
        <is>
          <t>"settingComplaint.assignmentSetup.managingBranch": "Managing Branch",</t>
        </is>
      </c>
      <c r="O370" s="3" t="n"/>
      <c r="P370" s="3" t="n"/>
      <c r="Q370" s="3" t="n"/>
      <c r="R370" s="3" t="n"/>
      <c r="S370" s="3" t="n"/>
      <c r="T370" s="3" t="n"/>
      <c r="U370" s="3" t="n"/>
      <c r="V370" s="3" t="n"/>
      <c r="W370" s="3" t="n"/>
      <c r="X370" s="3" t="n"/>
      <c r="Y370" s="3" t="n"/>
      <c r="Z370" s="3" t="n"/>
      <c r="AA370" s="3" t="n"/>
    </row>
    <row r="371">
      <c r="A371" s="3" t="inlineStr">
        <is>
          <t>settingComplaint.assignmentSetup.placeholderArea</t>
        </is>
      </c>
      <c r="B371" s="3" t="inlineStr">
        <is>
          <t>Chọn vùng</t>
        </is>
      </c>
      <c r="C371" s="3" t="inlineStr">
        <is>
          <t>Select region</t>
        </is>
      </c>
      <c r="D371" s="3">
        <f>IFERROR(__xludf.DUMMYFUNCTION("GOOGLETRANSLATE(B371,""vi"",""en"")"),"Select region")</f>
        <v/>
      </c>
      <c r="E371" s="3">
        <f>IF(C371&lt;&gt;"",C371, D371)</f>
        <v/>
      </c>
      <c r="F371" s="3" t="n"/>
      <c r="G371" s="3">
        <f>IFERROR(__xludf.DUMMYFUNCTION("GOOGLETRANSLATE(B371,""vi"",""km"")"),"ជ្រើសរើសតំបន់")</f>
        <v/>
      </c>
      <c r="H371" s="3" t="inlineStr">
        <is>
          <t>ជ្រើសរើសតំបន់</t>
        </is>
      </c>
      <c r="I371" s="3" t="n"/>
      <c r="J371" s="3">
        <f>IFERROR(__xludf.DUMMYFUNCTION("GOOGLETRANSLATE(B371,""vi"",""lo"")"),"ເລືອກພາກພື້ນ")</f>
        <v/>
      </c>
      <c r="K371" s="3">
        <f>IF(I371&lt;&gt;"",I371, J371)</f>
        <v/>
      </c>
      <c r="L371" s="3" t="inlineStr">
        <is>
          <t>ជ្រើសរើសតំបន់</t>
        </is>
      </c>
      <c r="M371" s="3" t="n"/>
      <c r="N371" s="3" t="inlineStr">
        <is>
          <t>"settingComplaint.assignmentSetup.placeholderArea": "Select region",</t>
        </is>
      </c>
      <c r="O371" s="3" t="n"/>
      <c r="P371" s="3" t="n"/>
      <c r="Q371" s="3" t="n"/>
      <c r="R371" s="3" t="n"/>
      <c r="S371" s="3" t="n"/>
      <c r="T371" s="3" t="n"/>
      <c r="U371" s="3" t="n"/>
      <c r="V371" s="3" t="n"/>
      <c r="W371" s="3" t="n"/>
      <c r="X371" s="3" t="n"/>
      <c r="Y371" s="3" t="n"/>
      <c r="Z371" s="3" t="n"/>
      <c r="AA371" s="3" t="n"/>
    </row>
    <row r="372">
      <c r="A372" s="3" t="inlineStr">
        <is>
          <t>settingComplaint.assignmentSetup.placeholderReasonCode</t>
        </is>
      </c>
      <c r="B372" s="3" t="inlineStr">
        <is>
          <t>Nhập mã hoặc tên nguyên nhân</t>
        </is>
      </c>
      <c r="C372" s="3" t="inlineStr">
        <is>
          <t>Enter cause code or name</t>
        </is>
      </c>
      <c r="D372" s="3">
        <f>IFERROR(__xludf.DUMMYFUNCTION("GOOGLETRANSLATE(B372,""vi"",""en"")"),"Enter the code or cause name.")</f>
        <v/>
      </c>
      <c r="E372" s="3">
        <f>IF(C372&lt;&gt;"",C372, D372)</f>
        <v/>
      </c>
      <c r="F372" s="3" t="n"/>
      <c r="G372" s="3">
        <f>IFERROR(__xludf.DUMMYFUNCTION("GOOGLETRANSLATE(B372,""vi"",""km"")"),"បញ្ចូលលេខកូដ ឬឈ្មោះមូលហេតុ។")</f>
        <v/>
      </c>
      <c r="H372" s="3" t="inlineStr">
        <is>
          <t>បញ្ចូលលេខកូដ ឬឈ្មោះមូលហេតុ។</t>
        </is>
      </c>
      <c r="I372" s="3" t="n"/>
      <c r="J372" s="3">
        <f>IFERROR(__xludf.DUMMYFUNCTION("GOOGLETRANSLATE(B372,""vi"",""lo"")"),"ໃສ່ລະຫັດ ຫຼື ຊື່ສາເຫດ.")</f>
        <v/>
      </c>
      <c r="K372" s="3">
        <f>IF(I372&lt;&gt;"",I372, J372)</f>
        <v/>
      </c>
      <c r="L372" s="3" t="inlineStr">
        <is>
          <t>បញ្ចូលលេខកូដ ឬឈ្មោះមូលហេតុ។</t>
        </is>
      </c>
      <c r="M372" s="3" t="n"/>
      <c r="N372" s="3" t="inlineStr">
        <is>
          <t>"settingComplaint.assignmentSetup.placeholderReasonCode": "Enter cause code or name",</t>
        </is>
      </c>
      <c r="O372" s="3" t="n"/>
      <c r="P372" s="3" t="n"/>
      <c r="Q372" s="3" t="n"/>
      <c r="R372" s="3" t="n"/>
      <c r="S372" s="3" t="n"/>
      <c r="T372" s="3" t="n"/>
      <c r="U372" s="3" t="n"/>
      <c r="V372" s="3" t="n"/>
      <c r="W372" s="3" t="n"/>
      <c r="X372" s="3" t="n"/>
      <c r="Y372" s="3" t="n"/>
      <c r="Z372" s="3" t="n"/>
      <c r="AA372" s="3" t="n"/>
    </row>
    <row r="373">
      <c r="A373" s="3" t="inlineStr">
        <is>
          <t>settingComplaint.assignmentSetup.reasonCode</t>
        </is>
      </c>
      <c r="B373" s="3" t="inlineStr">
        <is>
          <t>Mã nguyên nhân</t>
        </is>
      </c>
      <c r="C373" s="3" t="inlineStr">
        <is>
          <t>Cause Code</t>
        </is>
      </c>
      <c r="D373" s="3">
        <f>IFERROR(__xludf.DUMMYFUNCTION("GOOGLETRANSLATE(B373,""vi"",""en"")"),"Cause code")</f>
        <v/>
      </c>
      <c r="E373" s="3">
        <f>IF(C373&lt;&gt;"",C373, D373)</f>
        <v/>
      </c>
      <c r="F373" s="3" t="n"/>
      <c r="G373" s="3">
        <f>IFERROR(__xludf.DUMMYFUNCTION("GOOGLETRANSLATE(B373,""vi"",""km"")"),"កូដមូលហេតុ")</f>
        <v/>
      </c>
      <c r="H373" s="3" t="inlineStr">
        <is>
          <t>កូដមូលហេតុ</t>
        </is>
      </c>
      <c r="I373" s="3" t="n"/>
      <c r="J373" s="3">
        <f>IFERROR(__xludf.DUMMYFUNCTION("GOOGLETRANSLATE(B373,""vi"",""lo"")"),"ລະຫັດສາເຫດ")</f>
        <v/>
      </c>
      <c r="K373" s="3">
        <f>IF(I373&lt;&gt;"",I373, J373)</f>
        <v/>
      </c>
      <c r="L373" s="3" t="inlineStr">
        <is>
          <t>កូដមូលហេតុ</t>
        </is>
      </c>
      <c r="M373" s="3" t="n"/>
      <c r="N373" s="3" t="inlineStr">
        <is>
          <t>"settingComplaint.assignmentSetup.reasonCode": "Cause Code",</t>
        </is>
      </c>
      <c r="O373" s="3" t="n"/>
      <c r="P373" s="3" t="n"/>
      <c r="Q373" s="3" t="n"/>
      <c r="R373" s="3" t="n"/>
      <c r="S373" s="3" t="n"/>
      <c r="T373" s="3" t="n"/>
      <c r="U373" s="3" t="n"/>
      <c r="V373" s="3" t="n"/>
      <c r="W373" s="3" t="n"/>
      <c r="X373" s="3" t="n"/>
      <c r="Y373" s="3" t="n"/>
      <c r="Z373" s="3" t="n"/>
      <c r="AA373" s="3" t="n"/>
    </row>
    <row r="374">
      <c r="A374" s="3" t="inlineStr">
        <is>
          <t>settingComplaint.extensionReason.addCause</t>
        </is>
      </c>
      <c r="B374" s="3" t="inlineStr">
        <is>
          <t>Thêm nguyên nhân</t>
        </is>
      </c>
      <c r="C374" s="3" t="inlineStr">
        <is>
          <t>Add cause</t>
        </is>
      </c>
      <c r="D374" s="3">
        <f>IFERROR(__xludf.DUMMYFUNCTION("GOOGLETRANSLATE(B374,""vi"",""en"")"),"Additional causes")</f>
        <v/>
      </c>
      <c r="E374" s="3">
        <f>IF(C374&lt;&gt;"",C374, D374)</f>
        <v/>
      </c>
      <c r="F374" s="3" t="n"/>
      <c r="G374" s="3">
        <f>IFERROR(__xludf.DUMMYFUNCTION("GOOGLETRANSLATE(B374,""vi"",""km"")"),"មូលហេតុបន្ថែម")</f>
        <v/>
      </c>
      <c r="H374" s="3" t="inlineStr">
        <is>
          <t>មូលហេតុបន្ថែម</t>
        </is>
      </c>
      <c r="I374" s="3" t="n"/>
      <c r="J374" s="3">
        <f>IFERROR(__xludf.DUMMYFUNCTION("GOOGLETRANSLATE(B374,""vi"",""lo"")"),"ສາເຫດເພີ່ມເຕີມ")</f>
        <v/>
      </c>
      <c r="K374" s="3">
        <f>IF(I374&lt;&gt;"",I374, J374)</f>
        <v/>
      </c>
      <c r="L374" s="3" t="inlineStr">
        <is>
          <t>មូលហេតុបន្ថែម</t>
        </is>
      </c>
      <c r="M374" s="3" t="n"/>
      <c r="N374" s="3" t="inlineStr">
        <is>
          <t>"settingComplaint.extensionReason.addCause": "Add cause",</t>
        </is>
      </c>
      <c r="O374" s="3" t="n"/>
      <c r="P374" s="3" t="n"/>
      <c r="Q374" s="3" t="n"/>
      <c r="R374" s="3" t="n"/>
      <c r="S374" s="3" t="n"/>
      <c r="T374" s="3" t="n"/>
      <c r="U374" s="3" t="n"/>
      <c r="V374" s="3" t="n"/>
      <c r="W374" s="3" t="n"/>
      <c r="X374" s="3" t="n"/>
      <c r="Y374" s="3" t="n"/>
      <c r="Z374" s="3" t="n"/>
      <c r="AA374" s="3" t="n"/>
    </row>
    <row r="375">
      <c r="A375" s="3" t="inlineStr">
        <is>
          <t>settingComplaint.extensionReason.addErrorCause</t>
        </is>
      </c>
      <c r="B375" s="3" t="inlineStr">
        <is>
          <t>Thêm mới nguyên nhân gây lỗi</t>
        </is>
      </c>
      <c r="C375" s="3" t="inlineStr">
        <is>
          <t>Add new error cause</t>
        </is>
      </c>
      <c r="D375" s="3">
        <f>IFERROR(__xludf.DUMMYFUNCTION("GOOGLETRANSLATE(B375,""vi"",""en"")"),"Add a new cause of the error.")</f>
        <v/>
      </c>
      <c r="E375" s="3">
        <f>IF(C375&lt;&gt;"",C375, D375)</f>
        <v/>
      </c>
      <c r="F375" s="3" t="n"/>
      <c r="G375" s="3">
        <f>IFERROR(__xludf.DUMMYFUNCTION("GOOGLETRANSLATE(B375,""vi"",""km"")"),"បន្ថែមមូលហេតុថ្មីនៃកំហុស។")</f>
        <v/>
      </c>
      <c r="H375" s="3" t="inlineStr">
        <is>
          <t>បន្ថែមមូលហេតុថ្មីនៃកំហុស។</t>
        </is>
      </c>
      <c r="I375" s="3" t="n"/>
      <c r="J375" s="3">
        <f>IFERROR(__xludf.DUMMYFUNCTION("GOOGLETRANSLATE(B375,""vi"",""lo"")"),"ເພີ່ມສາເຫດໃໝ່ຂອງຄວາມຜິດພາດ.")</f>
        <v/>
      </c>
      <c r="K375" s="3">
        <f>IF(I375&lt;&gt;"",I375, J375)</f>
        <v/>
      </c>
      <c r="L375" s="3" t="inlineStr">
        <is>
          <t>បន្ថែមមូលហេតុថ្មីនៃកំហុស។</t>
        </is>
      </c>
      <c r="M375" s="3" t="n"/>
      <c r="N375" s="3" t="inlineStr">
        <is>
          <t>"settingComplaint.extensionReason.addErrorCause": "Add new error cause",</t>
        </is>
      </c>
      <c r="O375" s="3" t="n"/>
      <c r="P375" s="3" t="n"/>
      <c r="Q375" s="3" t="n"/>
      <c r="R375" s="3" t="n"/>
      <c r="S375" s="3" t="n"/>
      <c r="T375" s="3" t="n"/>
      <c r="U375" s="3" t="n"/>
      <c r="V375" s="3" t="n"/>
      <c r="W375" s="3" t="n"/>
      <c r="X375" s="3" t="n"/>
      <c r="Y375" s="3" t="n"/>
      <c r="Z375" s="3" t="n"/>
      <c r="AA375" s="3" t="n"/>
    </row>
    <row r="376">
      <c r="A376" s="3" t="inlineStr">
        <is>
          <t>settingComplaint.extensionReason.addReason</t>
        </is>
      </c>
      <c r="B376" s="3" t="inlineStr">
        <is>
          <t>Thêm lý do</t>
        </is>
      </c>
      <c r="C376" s="3" t="inlineStr">
        <is>
          <t>Add reason</t>
        </is>
      </c>
      <c r="D376" s="3">
        <f>IFERROR(__xludf.DUMMYFUNCTION("GOOGLETRANSLATE(B376,""vi"",""en"")"),"More reasons")</f>
        <v/>
      </c>
      <c r="E376" s="3">
        <f>IF(C376&lt;&gt;"",C376, D376)</f>
        <v/>
      </c>
      <c r="F376" s="3" t="n"/>
      <c r="G376" s="3">
        <f>IFERROR(__xludf.DUMMYFUNCTION("GOOGLETRANSLATE(B376,""vi"",""km"")"),"ហេតុផលច្រើនទៀត")</f>
        <v/>
      </c>
      <c r="H376" s="3" t="inlineStr">
        <is>
          <t>ហេតុផលច្រើនទៀត</t>
        </is>
      </c>
      <c r="I376" s="3" t="n"/>
      <c r="J376" s="3">
        <f>IFERROR(__xludf.DUMMYFUNCTION("GOOGLETRANSLATE(B376,""vi"",""lo"")"),"ເຫດຜົນເພີ່ມເຕີມ")</f>
        <v/>
      </c>
      <c r="K376" s="3">
        <f>IF(I376&lt;&gt;"",I376, J376)</f>
        <v/>
      </c>
      <c r="L376" s="3" t="inlineStr">
        <is>
          <t>ហេតុផលច្រើនទៀត</t>
        </is>
      </c>
      <c r="M376" s="3" t="n"/>
      <c r="N376" s="3" t="inlineStr">
        <is>
          <t>"settingComplaint.extensionReason.addReason": "Add reason",</t>
        </is>
      </c>
      <c r="O376" s="3" t="n"/>
      <c r="P376" s="3" t="n"/>
      <c r="Q376" s="3" t="n"/>
      <c r="R376" s="3" t="n"/>
      <c r="S376" s="3" t="n"/>
      <c r="T376" s="3" t="n"/>
      <c r="U376" s="3" t="n"/>
      <c r="V376" s="3" t="n"/>
      <c r="W376" s="3" t="n"/>
      <c r="X376" s="3" t="n"/>
      <c r="Y376" s="3" t="n"/>
      <c r="Z376" s="3" t="n"/>
      <c r="AA376" s="3" t="n"/>
    </row>
    <row r="377">
      <c r="A377" s="3" t="inlineStr">
        <is>
          <t>settingComplaint.extensionReason.createExtensionReason</t>
        </is>
      </c>
      <c r="B377" s="3" t="inlineStr">
        <is>
          <t>Thêm mới lý do gia hạn</t>
        </is>
      </c>
      <c r="C377" s="3" t="inlineStr">
        <is>
          <t>Add new extension reason</t>
        </is>
      </c>
      <c r="D377" s="3">
        <f>IFERROR(__xludf.DUMMYFUNCTION("GOOGLETRANSLATE(B377,""vi"",""en"")"),"Add a new reason for renewal.")</f>
        <v/>
      </c>
      <c r="E377" s="3">
        <f>IF(C377&lt;&gt;"",C377, D377)</f>
        <v/>
      </c>
      <c r="F377" s="3" t="n"/>
      <c r="G377" s="3">
        <f>IFERROR(__xludf.DUMMYFUNCTION("GOOGLETRANSLATE(B377,""vi"",""km"")"),"បន្ថែមហេតុផលថ្មីសម្រាប់ការបន្ត។")</f>
        <v/>
      </c>
      <c r="H377" s="3" t="inlineStr">
        <is>
          <t>បន្ថែមហេតុផលថ្មីសម្រាប់ការបន្ត។</t>
        </is>
      </c>
      <c r="I377" s="3" t="n"/>
      <c r="J377" s="3">
        <f>IFERROR(__xludf.DUMMYFUNCTION("GOOGLETRANSLATE(B377,""vi"",""lo"")"),"ເພີ່ມເຫດຜົນໃໝ່ສຳລັບການຕໍ່ອາຍຸ.")</f>
        <v/>
      </c>
      <c r="K377" s="3">
        <f>IF(I377&lt;&gt;"",I377, J377)</f>
        <v/>
      </c>
      <c r="L377" s="3" t="inlineStr">
        <is>
          <t>បន្ថែមហេតុផលថ្មីសម្រាប់ការបន្ត។</t>
        </is>
      </c>
      <c r="M377" s="3" t="n"/>
      <c r="N377" s="3" t="inlineStr">
        <is>
          <t>"settingComplaint.extensionReason.createExtensionReason": "Add new extension reason",</t>
        </is>
      </c>
      <c r="O377" s="3" t="n"/>
      <c r="P377" s="3" t="n"/>
      <c r="Q377" s="3" t="n"/>
      <c r="R377" s="3" t="n"/>
      <c r="S377" s="3" t="n"/>
      <c r="T377" s="3" t="n"/>
      <c r="U377" s="3" t="n"/>
      <c r="V377" s="3" t="n"/>
      <c r="W377" s="3" t="n"/>
      <c r="X377" s="3" t="n"/>
      <c r="Y377" s="3" t="n"/>
      <c r="Z377" s="3" t="n"/>
      <c r="AA377" s="3" t="n"/>
    </row>
    <row r="378">
      <c r="A378" s="3" t="inlineStr">
        <is>
          <t>settingComplaint.extensionReason.createExtensionReasonError</t>
        </is>
      </c>
      <c r="B378" s="3" t="inlineStr">
        <is>
          <t>Thêm mới lý do gia hạn thất bại</t>
        </is>
      </c>
      <c r="C378" s="3" t="inlineStr">
        <is>
          <t>Failed to add extension reason</t>
        </is>
      </c>
      <c r="D378" s="3">
        <f>IFERROR(__xludf.DUMMYFUNCTION("GOOGLETRANSLATE(B378,""vi"",""en"")"),"Add a new reason for renewal failure.")</f>
        <v/>
      </c>
      <c r="E378" s="3">
        <f>IF(C378&lt;&gt;"",C378, D378)</f>
        <v/>
      </c>
      <c r="F378" s="3" t="n"/>
      <c r="G378" s="3">
        <f>IFERROR(__xludf.DUMMYFUNCTION("GOOGLETRANSLATE(B378,""vi"",""km"")"),"បន្ថែមហេតុផលថ្មីសម្រាប់ការបរាជ័យក្នុងការបន្តឡើងវិញ។")</f>
        <v/>
      </c>
      <c r="H378" s="3" t="inlineStr">
        <is>
          <t>បន្ថែមហេតុផលថ្មីសម្រាប់ការបរាជ័យក្នុងការបន្តឡើងវិញ។</t>
        </is>
      </c>
      <c r="I378" s="3" t="n"/>
      <c r="J378" s="3">
        <f>IFERROR(__xludf.DUMMYFUNCTION("GOOGLETRANSLATE(B378,""vi"",""lo"")"),"ເພີ່ມເຫດຜົນໃໝ່ສຳລັບຄວາມລົ້ມເຫຼວໃນການຕໍ່ອາຍຸ.")</f>
        <v/>
      </c>
      <c r="K378" s="3">
        <f>IF(I378&lt;&gt;"",I378, J378)</f>
        <v/>
      </c>
      <c r="L378" s="3" t="inlineStr">
        <is>
          <t>បន្ថែមហេតុផលថ្មីសម្រាប់ការបរាជ័យក្នុងការបន្តឡើងវិញ។</t>
        </is>
      </c>
      <c r="M378" s="3" t="n"/>
      <c r="N378" s="3" t="inlineStr">
        <is>
          <t>"settingComplaint.extensionReason.createExtensionReasonError": "Failed to add extension reason",</t>
        </is>
      </c>
      <c r="O378" s="3" t="n"/>
      <c r="P378" s="3" t="n"/>
      <c r="Q378" s="3" t="n"/>
      <c r="R378" s="3" t="n"/>
      <c r="S378" s="3" t="n"/>
      <c r="T378" s="3" t="n"/>
      <c r="U378" s="3" t="n"/>
      <c r="V378" s="3" t="n"/>
      <c r="W378" s="3" t="n"/>
      <c r="X378" s="3" t="n"/>
      <c r="Y378" s="3" t="n"/>
      <c r="Z378" s="3" t="n"/>
      <c r="AA378" s="3" t="n"/>
    </row>
    <row r="379">
      <c r="A379" s="3" t="inlineStr">
        <is>
          <t>settingComplaint.extensionReason.createExtensionReasonSuccess</t>
        </is>
      </c>
      <c r="B379" s="3" t="inlineStr">
        <is>
          <t>Thêm mới lý do gia hạn thành công</t>
        </is>
      </c>
      <c r="C379" s="3" t="inlineStr">
        <is>
          <t>Extension reason added successfully</t>
        </is>
      </c>
      <c r="D379" s="3">
        <f>IFERROR(__xludf.DUMMYFUNCTION("GOOGLETRANSLATE(B379,""vi"",""en"")"),"Add a new reason for successful renewal.")</f>
        <v/>
      </c>
      <c r="E379" s="3">
        <f>IF(C379&lt;&gt;"",C379, D379)</f>
        <v/>
      </c>
      <c r="F379" s="3" t="n"/>
      <c r="G379" s="3">
        <f>IFERROR(__xludf.DUMMYFUNCTION("GOOGLETRANSLATE(B379,""vi"",""km"")"),"បន្ថែមហេតុផលថ្មីមួយសម្រាប់ការបន្តឡើងវិញដោយជោគជ័យ។")</f>
        <v/>
      </c>
      <c r="H379" s="3" t="inlineStr">
        <is>
          <t>បន្ថែមហេតុផលថ្មីមួយសម្រាប់ការបន្តឡើងវិញដោយជោគជ័យ។</t>
        </is>
      </c>
      <c r="I379" s="3" t="n"/>
      <c r="J379" s="3">
        <f>IFERROR(__xludf.DUMMYFUNCTION("GOOGLETRANSLATE(B379,""vi"",""lo"")"),"ເພີ່ມເຫດຜົນໃໝ່ສຳລັບການຕໍ່ອາຍຸທີ່ປະສົບຜົນສຳເລັດ.")</f>
        <v/>
      </c>
      <c r="K379" s="3">
        <f>IF(I379&lt;&gt;"",I379, J379)</f>
        <v/>
      </c>
      <c r="L379" s="3" t="inlineStr">
        <is>
          <t>បន្ថែមហេតុផលថ្មីមួយសម្រាប់ការបន្តឡើងវិញដោយជោគជ័យ។</t>
        </is>
      </c>
      <c r="M379" s="3" t="n"/>
      <c r="N379" s="3" t="inlineStr">
        <is>
          <t>"settingComplaint.extensionReason.createExtensionReasonSuccess": "Extension reason added successfully",</t>
        </is>
      </c>
      <c r="O379" s="3" t="n"/>
      <c r="P379" s="3" t="n"/>
      <c r="Q379" s="3" t="n"/>
      <c r="R379" s="3" t="n"/>
      <c r="S379" s="3" t="n"/>
      <c r="T379" s="3" t="n"/>
      <c r="U379" s="3" t="n"/>
      <c r="V379" s="3" t="n"/>
      <c r="W379" s="3" t="n"/>
      <c r="X379" s="3" t="n"/>
      <c r="Y379" s="3" t="n"/>
      <c r="Z379" s="3" t="n"/>
      <c r="AA379" s="3" t="n"/>
    </row>
    <row r="380">
      <c r="A380" s="3" t="inlineStr">
        <is>
          <t>settingComplaint.extensionReason.createdBy</t>
        </is>
      </c>
      <c r="B380" s="3" t="inlineStr">
        <is>
          <t>Người chỉnh sửa</t>
        </is>
      </c>
      <c r="C380" s="3" t="inlineStr">
        <is>
          <t>Updated by</t>
        </is>
      </c>
      <c r="D380" s="3">
        <f>IFERROR(__xludf.DUMMYFUNCTION("GOOGLETRANSLATE(B380,""vi"",""en"")"),"Editor")</f>
        <v/>
      </c>
      <c r="E380" s="3">
        <f>IF(C380&lt;&gt;"",C380, D380)</f>
        <v/>
      </c>
      <c r="F380" s="3" t="n"/>
      <c r="G380" s="3">
        <f>IFERROR(__xludf.DUMMYFUNCTION("GOOGLETRANSLATE(B380,""vi"",""km"")"),"អ្នកកែសម្រួល")</f>
        <v/>
      </c>
      <c r="H380" s="3" t="inlineStr">
        <is>
          <t>អ្នកកែសម្រួល</t>
        </is>
      </c>
      <c r="I380" s="3" t="n"/>
      <c r="J380" s="3">
        <f>IFERROR(__xludf.DUMMYFUNCTION("GOOGLETRANSLATE(B380,""vi"",""lo"")"),"ບັນນາທິການ")</f>
        <v/>
      </c>
      <c r="K380" s="3">
        <f>IF(I380&lt;&gt;"",I380, J380)</f>
        <v/>
      </c>
      <c r="L380" s="3" t="inlineStr">
        <is>
          <t>អ្នកកែសម្រួល</t>
        </is>
      </c>
      <c r="M380" s="3" t="n"/>
      <c r="N380" s="3" t="inlineStr">
        <is>
          <t>"settingComplaint.extensionReason.createdBy": "Updated by",</t>
        </is>
      </c>
      <c r="O380" s="3" t="n"/>
      <c r="P380" s="3" t="n"/>
      <c r="Q380" s="3" t="n"/>
      <c r="R380" s="3" t="n"/>
      <c r="S380" s="3" t="n"/>
      <c r="T380" s="3" t="n"/>
      <c r="U380" s="3" t="n"/>
      <c r="V380" s="3" t="n"/>
      <c r="W380" s="3" t="n"/>
      <c r="X380" s="3" t="n"/>
      <c r="Y380" s="3" t="n"/>
      <c r="Z380" s="3" t="n"/>
      <c r="AA380" s="3" t="n"/>
    </row>
    <row r="381">
      <c r="A381" s="3" t="inlineStr">
        <is>
          <t>settingComplaint.extensionReason.days</t>
        </is>
      </c>
      <c r="B381" s="3" t="inlineStr">
        <is>
          <t>Ngày</t>
        </is>
      </c>
      <c r="C381" s="3" t="inlineStr">
        <is>
          <t>Date</t>
        </is>
      </c>
      <c r="D381" s="3">
        <f>IFERROR(__xludf.DUMMYFUNCTION("GOOGLETRANSLATE(B381,""vi"",""en"")"),"Day")</f>
        <v/>
      </c>
      <c r="E381" s="3">
        <f>IF(C381&lt;&gt;"",C381, D381)</f>
        <v/>
      </c>
      <c r="F381" s="3" t="n"/>
      <c r="G381" s="3">
        <f>IFERROR(__xludf.DUMMYFUNCTION("GOOGLETRANSLATE(B381,""vi"",""km"")"),"ថ្ងៃ")</f>
        <v/>
      </c>
      <c r="H381" s="3" t="inlineStr">
        <is>
          <t>ថ្ងៃ</t>
        </is>
      </c>
      <c r="I381" s="3" t="n"/>
      <c r="J381" s="3">
        <f>IFERROR(__xludf.DUMMYFUNCTION("GOOGLETRANSLATE(B381,""vi"",""lo"")"),"ມື້")</f>
        <v/>
      </c>
      <c r="K381" s="3">
        <f>IF(I381&lt;&gt;"",I381, J381)</f>
        <v/>
      </c>
      <c r="L381" s="3" t="inlineStr">
        <is>
          <t>ថ្ងៃ</t>
        </is>
      </c>
      <c r="M381" s="3" t="n"/>
      <c r="N381" s="3" t="inlineStr">
        <is>
          <t>"settingComplaint.extensionReason.days": "Date",</t>
        </is>
      </c>
      <c r="O381" s="3" t="n"/>
      <c r="P381" s="3" t="n"/>
      <c r="Q381" s="3" t="n"/>
      <c r="R381" s="3" t="n"/>
      <c r="S381" s="3" t="n"/>
      <c r="T381" s="3" t="n"/>
      <c r="U381" s="3" t="n"/>
      <c r="V381" s="3" t="n"/>
      <c r="W381" s="3" t="n"/>
      <c r="X381" s="3" t="n"/>
      <c r="Y381" s="3" t="n"/>
      <c r="Z381" s="3" t="n"/>
      <c r="AA381" s="3" t="n"/>
    </row>
    <row r="382">
      <c r="A382" s="3" t="inlineStr">
        <is>
          <t>settingComplaint.extensionReason.editErrorCause</t>
        </is>
      </c>
      <c r="B382" s="3" t="inlineStr">
        <is>
          <t>Chỉnh sửa nguyên nhân gây lỗi</t>
        </is>
      </c>
      <c r="C382" s="3" t="inlineStr">
        <is>
          <t>Edit error cause</t>
        </is>
      </c>
      <c r="D382" s="3">
        <f>IFERROR(__xludf.DUMMYFUNCTION("GOOGLETRANSLATE(B382,""vi"",""en"")"),"Edit the cause of the error.")</f>
        <v/>
      </c>
      <c r="E382" s="3">
        <f>IF(C382&lt;&gt;"",C382, D382)</f>
        <v/>
      </c>
      <c r="F382" s="3" t="n"/>
      <c r="G382" s="3">
        <f>IFERROR(__xludf.DUMMYFUNCTION("GOOGLETRANSLATE(B382,""vi"",""km"")"),"កែសម្រួលមូលហេតុនៃកំហុស។")</f>
        <v/>
      </c>
      <c r="H382" s="3" t="inlineStr">
        <is>
          <t>កែសម្រួលមូលហេតុនៃកំហុស។</t>
        </is>
      </c>
      <c r="I382" s="3" t="n"/>
      <c r="J382" s="3">
        <f>IFERROR(__xludf.DUMMYFUNCTION("GOOGLETRANSLATE(B382,""vi"",""lo"")"),"ແກ້ໄຂສາເຫດຂອງຄວາມຜິດພາດ.")</f>
        <v/>
      </c>
      <c r="K382" s="3">
        <f>IF(I382&lt;&gt;"",I382, J382)</f>
        <v/>
      </c>
      <c r="L382" s="3" t="inlineStr">
        <is>
          <t>កែសម្រួលមូលហេតុនៃកំហុស។</t>
        </is>
      </c>
      <c r="M382" s="3" t="n"/>
      <c r="N382" s="3" t="inlineStr">
        <is>
          <t>"settingComplaint.extensionReason.editErrorCause": "Edit error cause",</t>
        </is>
      </c>
      <c r="O382" s="3" t="n"/>
      <c r="P382" s="3" t="n"/>
      <c r="Q382" s="3" t="n"/>
      <c r="R382" s="3" t="n"/>
      <c r="S382" s="3" t="n"/>
      <c r="T382" s="3" t="n"/>
      <c r="U382" s="3" t="n"/>
      <c r="V382" s="3" t="n"/>
      <c r="W382" s="3" t="n"/>
      <c r="X382" s="3" t="n"/>
      <c r="Y382" s="3" t="n"/>
      <c r="Z382" s="3" t="n"/>
      <c r="AA382" s="3" t="n"/>
    </row>
    <row r="383">
      <c r="A383" s="3" t="inlineStr">
        <is>
          <t>settingComplaint.extensionReason.editExtensionReason</t>
        </is>
      </c>
      <c r="B383" s="3" t="inlineStr">
        <is>
          <t>Chỉnh sửa lý do gia hạn</t>
        </is>
      </c>
      <c r="C383" s="3" t="inlineStr">
        <is>
          <t>Edit extension reason</t>
        </is>
      </c>
      <c r="D383" s="3">
        <f>IFERROR(__xludf.DUMMYFUNCTION("GOOGLETRANSLATE(B383,""vi"",""en"")"),"Edit the reason for renewal")</f>
        <v/>
      </c>
      <c r="E383" s="3">
        <f>IF(C383&lt;&gt;"",C383, D383)</f>
        <v/>
      </c>
      <c r="F383" s="3" t="n"/>
      <c r="G383" s="3">
        <f>IFERROR(__xludf.DUMMYFUNCTION("GOOGLETRANSLATE(B383,""vi"",""km"")"),"កែសម្រួលមូលហេតុនៃការបន្ត")</f>
        <v/>
      </c>
      <c r="H383" s="3" t="inlineStr">
        <is>
          <t>កែសម្រួលមូលហេតុនៃការបន្ត</t>
        </is>
      </c>
      <c r="I383" s="3" t="n"/>
      <c r="J383" s="3">
        <f>IFERROR(__xludf.DUMMYFUNCTION("GOOGLETRANSLATE(B383,""vi"",""lo"")"),"ແກ້ໄຂເຫດຜົນຂອງການຕໍ່ອາຍຸ")</f>
        <v/>
      </c>
      <c r="K383" s="3">
        <f>IF(I383&lt;&gt;"",I383, J383)</f>
        <v/>
      </c>
      <c r="L383" s="3" t="inlineStr">
        <is>
          <t>កែសម្រួលមូលហេតុនៃការបន្ត</t>
        </is>
      </c>
      <c r="M383" s="3" t="n"/>
      <c r="N383" s="3" t="inlineStr">
        <is>
          <t>"settingComplaint.extensionReason.editExtensionReason": "Edit extension reason",</t>
        </is>
      </c>
      <c r="O383" s="3" t="n"/>
      <c r="P383" s="3" t="n"/>
      <c r="Q383" s="3" t="n"/>
      <c r="R383" s="3" t="n"/>
      <c r="S383" s="3" t="n"/>
      <c r="T383" s="3" t="n"/>
      <c r="U383" s="3" t="n"/>
      <c r="V383" s="3" t="n"/>
      <c r="W383" s="3" t="n"/>
      <c r="X383" s="3" t="n"/>
      <c r="Y383" s="3" t="n"/>
      <c r="Z383" s="3" t="n"/>
      <c r="AA383" s="3" t="n"/>
    </row>
    <row r="384">
      <c r="A384" s="3" t="inlineStr">
        <is>
          <t>settingComplaint.extensionReason.editExtensionReasonError</t>
        </is>
      </c>
      <c r="B384" s="3" t="inlineStr">
        <is>
          <t>Chỉnh sửa lý do gia hạn thất bại</t>
        </is>
      </c>
      <c r="C384" s="3" t="inlineStr">
        <is>
          <t>Failed to update extension reason</t>
        </is>
      </c>
      <c r="D384" s="3">
        <f>IFERROR(__xludf.DUMMYFUNCTION("GOOGLETRANSLATE(B384,""vi"",""en"")"),"Edit the reason for the failed renewal.")</f>
        <v/>
      </c>
      <c r="E384" s="3">
        <f>IF(C384&lt;&gt;"",C384, D384)</f>
        <v/>
      </c>
      <c r="F384" s="3" t="n"/>
      <c r="G384" s="3">
        <f>IFERROR(__xludf.DUMMYFUNCTION("GOOGLETRANSLATE(B384,""vi"",""km"")"),"កែសម្រួលមូលហេតុនៃការបន្តឡើងវិញដែលបរាជ័យ។")</f>
        <v/>
      </c>
      <c r="H384" s="3" t="inlineStr">
        <is>
          <t>កែសម្រួលមូលហេតុនៃការបន្តឡើងវិញដែលបរាជ័យ។</t>
        </is>
      </c>
      <c r="I384" s="3" t="n"/>
      <c r="J384" s="3">
        <f>IFERROR(__xludf.DUMMYFUNCTION("GOOGLETRANSLATE(B384,""vi"",""lo"")"),"ແກ້ໄຂເຫດຜົນຂອງການຕໍ່ອາຍຸທີ່ລົ້ມເຫຼວ.")</f>
        <v/>
      </c>
      <c r="K384" s="3">
        <f>IF(I384&lt;&gt;"",I384, J384)</f>
        <v/>
      </c>
      <c r="L384" s="3" t="inlineStr">
        <is>
          <t>កែសម្រួលមូលហេតុនៃការបន្តឡើងវិញដែលបរាជ័យ។</t>
        </is>
      </c>
      <c r="M384" s="3" t="n"/>
      <c r="N384" s="3" t="inlineStr">
        <is>
          <t>"settingComplaint.extensionReason.editExtensionReasonError": "Failed to update extension reason",</t>
        </is>
      </c>
      <c r="O384" s="3" t="n"/>
      <c r="P384" s="3" t="n"/>
      <c r="Q384" s="3" t="n"/>
      <c r="R384" s="3" t="n"/>
      <c r="S384" s="3" t="n"/>
      <c r="T384" s="3" t="n"/>
      <c r="U384" s="3" t="n"/>
      <c r="V384" s="3" t="n"/>
      <c r="W384" s="3" t="n"/>
      <c r="X384" s="3" t="n"/>
      <c r="Y384" s="3" t="n"/>
      <c r="Z384" s="3" t="n"/>
      <c r="AA384" s="3" t="n"/>
    </row>
    <row r="385">
      <c r="A385" s="3" t="inlineStr">
        <is>
          <t>settingComplaint.extensionReason.editExtensionReasonSuccess</t>
        </is>
      </c>
      <c r="B385" s="3" t="inlineStr">
        <is>
          <t>Chỉnh sửa lý do gia hạn thành công</t>
        </is>
      </c>
      <c r="C385" s="3" t="inlineStr">
        <is>
          <t>Extension reason updated successfully</t>
        </is>
      </c>
      <c r="D385" s="3">
        <f>IFERROR(__xludf.DUMMYFUNCTION("GOOGLETRANSLATE(B385,""vi"",""en"")"),"Edit the reason for successful renewal.")</f>
        <v/>
      </c>
      <c r="E385" s="3">
        <f>IF(C385&lt;&gt;"",C385, D385)</f>
        <v/>
      </c>
      <c r="F385" s="3" t="n"/>
      <c r="G385" s="3">
        <f>IFERROR(__xludf.DUMMYFUNCTION("GOOGLETRANSLATE(B385,""vi"",""km"")"),"កែសម្រួលមូលហេតុនៃការបន្តឡើងវិញដោយជោគជ័យ។")</f>
        <v/>
      </c>
      <c r="H385" s="3" t="inlineStr">
        <is>
          <t>កែសម្រួលមូលហេតុនៃការបន្តឡើងវិញដោយជោគជ័យ។</t>
        </is>
      </c>
      <c r="I385" s="3" t="n"/>
      <c r="J385" s="3">
        <f>IFERROR(__xludf.DUMMYFUNCTION("GOOGLETRANSLATE(B385,""vi"",""lo"")"),"ແກ້ໄຂເຫດຜົນສຳລັບການຕໍ່ອາຍຸສຳເລັດ.")</f>
        <v/>
      </c>
      <c r="K385" s="3">
        <f>IF(I385&lt;&gt;"",I385, J385)</f>
        <v/>
      </c>
      <c r="L385" s="3" t="inlineStr">
        <is>
          <t>កែសម្រួលមូលហេតុនៃការបន្តឡើងវិញដោយជោគជ័យ។</t>
        </is>
      </c>
      <c r="M385" s="3" t="n"/>
      <c r="N385" s="3" t="inlineStr">
        <is>
          <t>"settingComplaint.extensionReason.editExtensionReasonSuccess": "Extension reason updated successfully",</t>
        </is>
      </c>
      <c r="O385" s="3" t="n"/>
      <c r="P385" s="3" t="n"/>
      <c r="Q385" s="3" t="n"/>
      <c r="R385" s="3" t="n"/>
      <c r="S385" s="3" t="n"/>
      <c r="T385" s="3" t="n"/>
      <c r="U385" s="3" t="n"/>
      <c r="V385" s="3" t="n"/>
      <c r="W385" s="3" t="n"/>
      <c r="X385" s="3" t="n"/>
      <c r="Y385" s="3" t="n"/>
      <c r="Z385" s="3" t="n"/>
      <c r="AA385" s="3" t="n"/>
    </row>
    <row r="386">
      <c r="A386" s="3" t="inlineStr">
        <is>
          <t>settingComplaint.extensionReason.editTitle</t>
        </is>
      </c>
      <c r="B386" s="3" t="inlineStr">
        <is>
          <t>Chỉnh sửa nguyên nhân</t>
        </is>
      </c>
      <c r="C386" s="3" t="inlineStr">
        <is>
          <t>Edit cause</t>
        </is>
      </c>
      <c r="D386" s="3">
        <f>IFERROR(__xludf.DUMMYFUNCTION("GOOGLETRANSLATE(B386,""vi"",""en"")"),"Edit the cause")</f>
        <v/>
      </c>
      <c r="E386" s="3">
        <f>IF(C386&lt;&gt;"",C386, D386)</f>
        <v/>
      </c>
      <c r="F386" s="3" t="n"/>
      <c r="G386" s="3">
        <f>IFERROR(__xludf.DUMMYFUNCTION("GOOGLETRANSLATE(B386,""vi"",""km"")"),"កែសម្រួលមូលហេតុ")</f>
        <v/>
      </c>
      <c r="H386" s="3" t="inlineStr">
        <is>
          <t>កែសម្រួលមូលហេតុ</t>
        </is>
      </c>
      <c r="I386" s="3" t="n"/>
      <c r="J386" s="3">
        <f>IFERROR(__xludf.DUMMYFUNCTION("GOOGLETRANSLATE(B386,""vi"",""lo"")"),"ແກ້ໄຂສາເຫດ")</f>
        <v/>
      </c>
      <c r="K386" s="3">
        <f>IF(I386&lt;&gt;"",I386, J386)</f>
        <v/>
      </c>
      <c r="L386" s="3" t="inlineStr">
        <is>
          <t>កែសម្រួលមូលហេតុ</t>
        </is>
      </c>
      <c r="M386" s="3" t="n"/>
      <c r="N386" s="3" t="inlineStr">
        <is>
          <t>"settingComplaint.extensionReason.editTitle": "Edit cause",</t>
        </is>
      </c>
      <c r="O386" s="3" t="n"/>
      <c r="P386" s="3" t="n"/>
      <c r="Q386" s="3" t="n"/>
      <c r="R386" s="3" t="n"/>
      <c r="S386" s="3" t="n"/>
      <c r="T386" s="3" t="n"/>
      <c r="U386" s="3" t="n"/>
      <c r="V386" s="3" t="n"/>
      <c r="W386" s="3" t="n"/>
      <c r="X386" s="3" t="n"/>
      <c r="Y386" s="3" t="n"/>
      <c r="Z386" s="3" t="n"/>
      <c r="AA386" s="3" t="n"/>
    </row>
    <row r="387">
      <c r="A387" s="3" t="inlineStr">
        <is>
          <t>settingComplaint.extensionReason.errorCause</t>
        </is>
      </c>
      <c r="B387" s="3" t="inlineStr">
        <is>
          <t>Nguyên nhân gây lỗi</t>
        </is>
      </c>
      <c r="C387" s="3" t="inlineStr">
        <is>
          <t>Error Cause</t>
        </is>
      </c>
      <c r="D387" s="3">
        <f>IFERROR(__xludf.DUMMYFUNCTION("GOOGLETRANSLATE(B387,""vi"",""en"")"),"The cause of the error")</f>
        <v/>
      </c>
      <c r="E387" s="3">
        <f>IF(C387&lt;&gt;"",C387, D387)</f>
        <v/>
      </c>
      <c r="F387" s="3" t="n"/>
      <c r="G387" s="3">
        <f>IFERROR(__xludf.DUMMYFUNCTION("GOOGLETRANSLATE(B387,""vi"",""km"")"),"មូលហេតុនៃកំហុស")</f>
        <v/>
      </c>
      <c r="H387" s="3" t="inlineStr">
        <is>
          <t>មូលហេតុនៃកំហុស</t>
        </is>
      </c>
      <c r="I387" s="3" t="n"/>
      <c r="J387" s="3">
        <f>IFERROR(__xludf.DUMMYFUNCTION("GOOGLETRANSLATE(B387,""vi"",""lo"")"),"ສາເຫດຂອງຄວາມຜິດພາດ")</f>
        <v/>
      </c>
      <c r="K387" s="3">
        <f>IF(I387&lt;&gt;"",I387, J387)</f>
        <v/>
      </c>
      <c r="L387" s="3" t="inlineStr">
        <is>
          <t>មូលហេតុនៃកំហុស</t>
        </is>
      </c>
      <c r="M387" s="3" t="n"/>
      <c r="N387" s="3" t="inlineStr">
        <is>
          <t>"settingComplaint.extensionReason.errorCause": "Error Cause",</t>
        </is>
      </c>
      <c r="O387" s="3" t="n"/>
      <c r="P387" s="3" t="n"/>
      <c r="Q387" s="3" t="n"/>
      <c r="R387" s="3" t="n"/>
      <c r="S387" s="3" t="n"/>
      <c r="T387" s="3" t="n"/>
      <c r="U387" s="3" t="n"/>
      <c r="V387" s="3" t="n"/>
      <c r="W387" s="3" t="n"/>
      <c r="X387" s="3" t="n"/>
      <c r="Y387" s="3" t="n"/>
      <c r="Z387" s="3" t="n"/>
      <c r="AA387" s="3" t="n"/>
    </row>
    <row r="388">
      <c r="A388" s="3" t="inlineStr">
        <is>
          <t>settingComplaint.extensionReason.errorCauseCode</t>
        </is>
      </c>
      <c r="B388" s="3" t="inlineStr">
        <is>
          <t>Mã nguyên nhân</t>
        </is>
      </c>
      <c r="C388" s="3" t="inlineStr">
        <is>
          <t>Cause ID</t>
        </is>
      </c>
      <c r="D388" s="3">
        <f>IFERROR(__xludf.DUMMYFUNCTION("GOOGLETRANSLATE(B388,""vi"",""en"")"),"Cause code")</f>
        <v/>
      </c>
      <c r="E388" s="3">
        <f>IF(C388&lt;&gt;"",C388, D388)</f>
        <v/>
      </c>
      <c r="F388" s="3" t="n"/>
      <c r="G388" s="3">
        <f>IFERROR(__xludf.DUMMYFUNCTION("GOOGLETRANSLATE(B388,""vi"",""km"")"),"កូដមូលហេតុ")</f>
        <v/>
      </c>
      <c r="H388" s="3" t="inlineStr">
        <is>
          <t>កូដមូលហេតុ</t>
        </is>
      </c>
      <c r="I388" s="3" t="n"/>
      <c r="J388" s="3">
        <f>IFERROR(__xludf.DUMMYFUNCTION("GOOGLETRANSLATE(B388,""vi"",""lo"")"),"ລະຫັດສາເຫດ")</f>
        <v/>
      </c>
      <c r="K388" s="3">
        <f>IF(I388&lt;&gt;"",I388, J388)</f>
        <v/>
      </c>
      <c r="L388" s="3" t="inlineStr">
        <is>
          <t>កូដមូលហេតុ</t>
        </is>
      </c>
      <c r="M388" s="3" t="n"/>
      <c r="N388" s="3" t="inlineStr">
        <is>
          <t>"settingComplaint.extensionReason.errorCauseCode": "Cause ID",</t>
        </is>
      </c>
      <c r="O388" s="3" t="n"/>
      <c r="P388" s="3" t="n"/>
      <c r="Q388" s="3" t="n"/>
      <c r="R388" s="3" t="n"/>
      <c r="S388" s="3" t="n"/>
      <c r="T388" s="3" t="n"/>
      <c r="U388" s="3" t="n"/>
      <c r="V388" s="3" t="n"/>
      <c r="W388" s="3" t="n"/>
      <c r="X388" s="3" t="n"/>
      <c r="Y388" s="3" t="n"/>
      <c r="Z388" s="3" t="n"/>
      <c r="AA388" s="3" t="n"/>
    </row>
    <row r="389">
      <c r="A389" s="3" t="inlineStr">
        <is>
          <t>settingComplaint.extensionReason.errorCauseName</t>
        </is>
      </c>
      <c r="B389" s="3" t="inlineStr">
        <is>
          <t>Nguyên nhân gây lỗi</t>
        </is>
      </c>
      <c r="C389" s="3" t="inlineStr">
        <is>
          <t>Error Cause</t>
        </is>
      </c>
      <c r="D389" s="3">
        <f>IFERROR(__xludf.DUMMYFUNCTION("GOOGLETRANSLATE(B389,""vi"",""en"")"),"The cause of the error")</f>
        <v/>
      </c>
      <c r="E389" s="3">
        <f>IF(C389&lt;&gt;"",C389, D389)</f>
        <v/>
      </c>
      <c r="F389" s="3" t="n"/>
      <c r="G389" s="3">
        <f>IFERROR(__xludf.DUMMYFUNCTION("GOOGLETRANSLATE(B389,""vi"",""km"")"),"មូលហេតុនៃកំហុស")</f>
        <v/>
      </c>
      <c r="H389" s="3" t="inlineStr">
        <is>
          <t>មូលហេតុនៃកំហុស</t>
        </is>
      </c>
      <c r="I389" s="3" t="n"/>
      <c r="J389" s="3">
        <f>IFERROR(__xludf.DUMMYFUNCTION("GOOGLETRANSLATE(B389,""vi"",""lo"")"),"ສາເຫດຂອງຄວາມຜິດພາດ")</f>
        <v/>
      </c>
      <c r="K389" s="3">
        <f>IF(I389&lt;&gt;"",I389, J389)</f>
        <v/>
      </c>
      <c r="L389" s="3" t="inlineStr">
        <is>
          <t>មូលហេតុនៃកំហុស</t>
        </is>
      </c>
      <c r="M389" s="3" t="n"/>
      <c r="N389" s="3" t="inlineStr">
        <is>
          <t>"settingComplaint.extensionReason.errorCauseName": "Error Cause",</t>
        </is>
      </c>
      <c r="O389" s="3" t="n"/>
      <c r="P389" s="3" t="n"/>
      <c r="Q389" s="3" t="n"/>
      <c r="R389" s="3" t="n"/>
      <c r="S389" s="3" t="n"/>
      <c r="T389" s="3" t="n"/>
      <c r="U389" s="3" t="n"/>
      <c r="V389" s="3" t="n"/>
      <c r="W389" s="3" t="n"/>
      <c r="X389" s="3" t="n"/>
      <c r="Y389" s="3" t="n"/>
      <c r="Z389" s="3" t="n"/>
      <c r="AA389" s="3" t="n"/>
    </row>
    <row r="390">
      <c r="A390" s="3" t="inlineStr">
        <is>
          <t>settingComplaint.extensionReason.errorTime</t>
        </is>
      </c>
      <c r="B390" s="3" t="inlineStr">
        <is>
          <t>Ngày giờ chỉnh sửa</t>
        </is>
      </c>
      <c r="C390" s="3" t="inlineStr">
        <is>
          <t>Updated Date &amp; Time</t>
        </is>
      </c>
      <c r="D390" s="3">
        <f>IFERROR(__xludf.DUMMYFUNCTION("GOOGLETRANSLATE(B390,""vi"",""en"")"),"Date and time of editing")</f>
        <v/>
      </c>
      <c r="E390" s="3">
        <f>IF(C390&lt;&gt;"",C390, D390)</f>
        <v/>
      </c>
      <c r="F390" s="3" t="n"/>
      <c r="G390" s="3">
        <f>IFERROR(__xludf.DUMMYFUNCTION("GOOGLETRANSLATE(B390,""vi"",""km"")"),"កាលបរិច្ឆេទ និងពេលវេលានៃការកែសម្រួល")</f>
        <v/>
      </c>
      <c r="H390" s="3" t="inlineStr">
        <is>
          <t>កាលបរិច្ឆេទ និងពេលវេលានៃការកែសម្រួល</t>
        </is>
      </c>
      <c r="I390" s="3" t="n"/>
      <c r="J390" s="3">
        <f>IFERROR(__xludf.DUMMYFUNCTION("GOOGLETRANSLATE(B390,""vi"",""lo"")"),"ວັນທີ ແລະ ເວລາຂອງການແກ້ໄຂ")</f>
        <v/>
      </c>
      <c r="K390" s="3">
        <f>IF(I390&lt;&gt;"",I390, J390)</f>
        <v/>
      </c>
      <c r="L390" s="3" t="inlineStr">
        <is>
          <t>កាលបរិច្ឆេទ និងពេលវេលានៃការកែសម្រួល</t>
        </is>
      </c>
      <c r="M390" s="3" t="n"/>
      <c r="N390" s="3" t="inlineStr">
        <is>
          <t>"settingComplaint.extensionReason.errorTime": "Updated Date &amp; Time",</t>
        </is>
      </c>
      <c r="O390" s="3" t="n"/>
      <c r="P390" s="3" t="n"/>
      <c r="Q390" s="3" t="n"/>
      <c r="R390" s="3" t="n"/>
      <c r="S390" s="3" t="n"/>
      <c r="T390" s="3" t="n"/>
      <c r="U390" s="3" t="n"/>
      <c r="V390" s="3" t="n"/>
      <c r="W390" s="3" t="n"/>
      <c r="X390" s="3" t="n"/>
      <c r="Y390" s="3" t="n"/>
      <c r="Z390" s="3" t="n"/>
      <c r="AA390" s="3" t="n"/>
    </row>
    <row r="391">
      <c r="A391" s="3" t="inlineStr">
        <is>
          <t>settingComplaint.extensionReason.extensionReasonSetup</t>
        </is>
      </c>
      <c r="B391" s="3" t="inlineStr">
        <is>
          <t>Cấu hình lý do gia hạn</t>
        </is>
      </c>
      <c r="C391" s="3" t="inlineStr">
        <is>
          <t>Extension Reason Configuration</t>
        </is>
      </c>
      <c r="D391" s="3">
        <f>IFERROR(__xludf.DUMMYFUNCTION("GOOGLETRANSLATE(B391,""vi"",""en"")"),"Configure the reason for renewal.")</f>
        <v/>
      </c>
      <c r="E391" s="3">
        <f>IF(C391&lt;&gt;"",C391, D391)</f>
        <v/>
      </c>
      <c r="F391" s="3" t="n"/>
      <c r="G391" s="3">
        <f>IFERROR(__xludf.DUMMYFUNCTION("GOOGLETRANSLATE(B391,""vi"",""km"")"),"កំណត់រចនាសម្ព័ន្ធមូលហេតុនៃការបន្ត។")</f>
        <v/>
      </c>
      <c r="H391" s="3" t="inlineStr">
        <is>
          <t>កំណត់រចនាសម្ព័ន្ធមូលហេតុនៃការបន្ត។</t>
        </is>
      </c>
      <c r="I391" s="3" t="n"/>
      <c r="J391" s="3">
        <f>IFERROR(__xludf.DUMMYFUNCTION("GOOGLETRANSLATE(B391,""vi"",""lo"")"),"ຕັ້ງຄ່າເຫດຜົນສຳລັບການຕໍ່ອາຍຸ.")</f>
        <v/>
      </c>
      <c r="K391" s="3">
        <f>IF(I391&lt;&gt;"",I391, J391)</f>
        <v/>
      </c>
      <c r="L391" s="3" t="inlineStr">
        <is>
          <t>កំណត់រចនាសម្ព័ន្ធមូលហេតុនៃការបន្ត។</t>
        </is>
      </c>
      <c r="M391" s="3" t="n"/>
      <c r="N391" s="3" t="inlineStr">
        <is>
          <t>"settingComplaint.extensionReason.extensionReasonSetup": "Extension Reason Configuration",</t>
        </is>
      </c>
      <c r="O391" s="3" t="n"/>
      <c r="P391" s="3" t="n"/>
      <c r="Q391" s="3" t="n"/>
      <c r="R391" s="3" t="n"/>
      <c r="S391" s="3" t="n"/>
      <c r="T391" s="3" t="n"/>
      <c r="U391" s="3" t="n"/>
      <c r="V391" s="3" t="n"/>
      <c r="W391" s="3" t="n"/>
      <c r="X391" s="3" t="n"/>
      <c r="Y391" s="3" t="n"/>
      <c r="Z391" s="3" t="n"/>
      <c r="AA391" s="3" t="n"/>
    </row>
    <row r="392">
      <c r="A392" s="3" t="inlineStr">
        <is>
          <t>settingComplaint.extensionReason.history</t>
        </is>
      </c>
      <c r="B392" s="3" t="inlineStr">
        <is>
          <t>Lịch sử</t>
        </is>
      </c>
      <c r="C392" s="3" t="inlineStr">
        <is>
          <t>History</t>
        </is>
      </c>
      <c r="D392" s="3">
        <f>IFERROR(__xludf.DUMMYFUNCTION("GOOGLETRANSLATE(B392,""vi"",""en"")"),"History")</f>
        <v/>
      </c>
      <c r="E392" s="3">
        <f>IF(C392&lt;&gt;"",C392, D392)</f>
        <v/>
      </c>
      <c r="F392" s="3" t="n"/>
      <c r="G392" s="3">
        <f>IFERROR(__xludf.DUMMYFUNCTION("GOOGLETRANSLATE(B392,""vi"",""km"")"),"ប្រវត្តិសាស្ត្រ")</f>
        <v/>
      </c>
      <c r="H392" s="3" t="inlineStr">
        <is>
          <t>ប្រវត្តិ</t>
        </is>
      </c>
      <c r="I392" s="3" t="n"/>
      <c r="J392" s="3">
        <f>IFERROR(__xludf.DUMMYFUNCTION("GOOGLETRANSLATE(B392,""vi"",""lo"")"),"ປະຫວັດສາດ")</f>
        <v/>
      </c>
      <c r="K392" s="3">
        <f>IF(I392&lt;&gt;"",I392, J392)</f>
        <v/>
      </c>
      <c r="L392" s="3" t="inlineStr">
        <is>
          <t>ប្រវត្តិ</t>
        </is>
      </c>
      <c r="M392" s="3" t="n"/>
      <c r="N392" s="3" t="inlineStr">
        <is>
          <t>"settingComplaint.extensionReason.history": "History",</t>
        </is>
      </c>
      <c r="O392" s="3" t="n"/>
      <c r="P392" s="3" t="n"/>
      <c r="Q392" s="3" t="n"/>
      <c r="R392" s="3" t="n"/>
      <c r="S392" s="3" t="n"/>
      <c r="T392" s="3" t="n"/>
      <c r="U392" s="3" t="n"/>
      <c r="V392" s="3" t="n"/>
      <c r="W392" s="3" t="n"/>
      <c r="X392" s="3" t="n"/>
      <c r="Y392" s="3" t="n"/>
      <c r="Z392" s="3" t="n"/>
      <c r="AA392" s="3" t="n"/>
    </row>
    <row r="393">
      <c r="A393" s="3" t="inlineStr">
        <is>
          <t>settingComplaint.extensionReason.historyTitle</t>
        </is>
      </c>
      <c r="B393" s="3" t="inlineStr">
        <is>
          <t>Lịch sử chỉnh sửa</t>
        </is>
      </c>
      <c r="C393" s="3" t="inlineStr">
        <is>
          <t>Edit History</t>
        </is>
      </c>
      <c r="D393" s="3">
        <f>IFERROR(__xludf.DUMMYFUNCTION("GOOGLETRANSLATE(B393,""vi"",""en"")"),"Edit history")</f>
        <v/>
      </c>
      <c r="E393" s="3">
        <f>IF(C393&lt;&gt;"",C393, D393)</f>
        <v/>
      </c>
      <c r="F393" s="3" t="n"/>
      <c r="G393" s="3">
        <f>IFERROR(__xludf.DUMMYFUNCTION("GOOGLETRANSLATE(B393,""vi"",""km"")"),"កែសម្រួលប្រវត្តិ")</f>
        <v/>
      </c>
      <c r="H393" s="3" t="inlineStr">
        <is>
          <t>កែសម្រួលប្រវត្តិ</t>
        </is>
      </c>
      <c r="I393" s="3" t="n"/>
      <c r="J393" s="3">
        <f>IFERROR(__xludf.DUMMYFUNCTION("GOOGLETRANSLATE(B393,""vi"",""lo"")"),"ແກ້ໄຂປະຫວັດ")</f>
        <v/>
      </c>
      <c r="K393" s="3">
        <f>IF(I393&lt;&gt;"",I393, J393)</f>
        <v/>
      </c>
      <c r="L393" s="3" t="inlineStr">
        <is>
          <t>កែសម្រួលប្រវត្តិ</t>
        </is>
      </c>
      <c r="M393" s="3" t="n"/>
      <c r="N393" s="3" t="inlineStr">
        <is>
          <t>"settingComplaint.extensionReason.historyTitle": "Edit History",</t>
        </is>
      </c>
      <c r="O393" s="3" t="n"/>
      <c r="P393" s="3" t="n"/>
      <c r="Q393" s="3" t="n"/>
      <c r="R393" s="3" t="n"/>
      <c r="S393" s="3" t="n"/>
      <c r="T393" s="3" t="n"/>
      <c r="U393" s="3" t="n"/>
      <c r="V393" s="3" t="n"/>
      <c r="W393" s="3" t="n"/>
      <c r="X393" s="3" t="n"/>
      <c r="Y393" s="3" t="n"/>
      <c r="Z393" s="3" t="n"/>
      <c r="AA393" s="3" t="n"/>
    </row>
    <row r="394">
      <c r="A394" s="3" t="inlineStr">
        <is>
          <t>settingComplaint.extensionReason.historyTitleDialog</t>
        </is>
      </c>
      <c r="B394" s="3" t="inlineStr">
        <is>
          <t>Lịch sử chỉnh sửa nguyên nhân</t>
        </is>
      </c>
      <c r="C394" s="3" t="inlineStr">
        <is>
          <t>Cause Edit History</t>
        </is>
      </c>
      <c r="D394" s="3">
        <f>IFERROR(__xludf.DUMMYFUNCTION("GOOGLETRANSLATE(B394,""vi"",""en"")"),"Edit history and cause")</f>
        <v/>
      </c>
      <c r="E394" s="3">
        <f>IF(C394&lt;&gt;"",C394, D394)</f>
        <v/>
      </c>
      <c r="F394" s="3" t="n"/>
      <c r="G394" s="3">
        <f>IFERROR(__xludf.DUMMYFUNCTION("GOOGLETRANSLATE(B394,""vi"",""km"")"),"កែសម្រួលប្រវត្តិ និងមូលហេតុ")</f>
        <v/>
      </c>
      <c r="H394" s="3" t="inlineStr">
        <is>
          <t>កែសម្រួលប្រវត្តិ និងមូលហេតុ</t>
        </is>
      </c>
      <c r="I394" s="3" t="n"/>
      <c r="J394" s="3">
        <f>IFERROR(__xludf.DUMMYFUNCTION("GOOGLETRANSLATE(B394,""vi"",""lo"")"),"ແກ້ໄຂປະຫວັດ ແລະ ສາເຫດ")</f>
        <v/>
      </c>
      <c r="K394" s="3">
        <f>IF(I394&lt;&gt;"",I394, J394)</f>
        <v/>
      </c>
      <c r="L394" s="3" t="inlineStr">
        <is>
          <t>កែសម្រួលប្រវត្តិ និងមូលហេតុ</t>
        </is>
      </c>
      <c r="M394" s="3" t="n"/>
      <c r="N394" s="3" t="inlineStr">
        <is>
          <t>"settingComplaint.extensionReason.historyTitleDialog": "Cause Edit History",</t>
        </is>
      </c>
      <c r="O394" s="3" t="n"/>
      <c r="P394" s="3" t="n"/>
      <c r="Q394" s="3" t="n"/>
      <c r="R394" s="3" t="n"/>
      <c r="S394" s="3" t="n"/>
      <c r="T394" s="3" t="n"/>
      <c r="U394" s="3" t="n"/>
      <c r="V394" s="3" t="n"/>
      <c r="W394" s="3" t="n"/>
      <c r="X394" s="3" t="n"/>
      <c r="Y394" s="3" t="n"/>
      <c r="Z394" s="3" t="n"/>
      <c r="AA394" s="3" t="n"/>
    </row>
    <row r="395">
      <c r="A395" s="3" t="inlineStr">
        <is>
          <t>settingComplaint.extensionReason.historyTitleErrorDialog</t>
        </is>
      </c>
      <c r="B395" s="3" t="inlineStr">
        <is>
          <t>Lịch sử chỉnh sửa lý do gia hạn</t>
        </is>
      </c>
      <c r="C395" s="3" t="inlineStr">
        <is>
          <t>Extension Reason Edit History</t>
        </is>
      </c>
      <c r="D395" s="3">
        <f>IFERROR(__xludf.DUMMYFUNCTION("GOOGLETRANSLATE(B395,""vi"",""en"")"),"History of editing the reason for extension")</f>
        <v/>
      </c>
      <c r="E395" s="3">
        <f>IF(C395&lt;&gt;"",C395, D395)</f>
        <v/>
      </c>
      <c r="F395" s="3" t="n"/>
      <c r="G395" s="3">
        <f>IFERROR(__xludf.DUMMYFUNCTION("GOOGLETRANSLATE(B395,""vi"",""km"")"),"ប្រវត្តិនៃការកែសម្រួលមូលហេតុនៃការពង្រីក")</f>
        <v/>
      </c>
      <c r="H395" s="3" t="inlineStr">
        <is>
          <t>ប្រវត្តិនៃការកែសម្រួលមូលហេតុនៃការពង្រីក</t>
        </is>
      </c>
      <c r="I395" s="3" t="n"/>
      <c r="J395" s="3">
        <f>IFERROR(__xludf.DUMMYFUNCTION("GOOGLETRANSLATE(B395,""vi"",""lo"")"),"ປະຫວັດຂອງການແກ້ໄຂເຫດຜົນຂອງການຂະຫຍາຍ")</f>
        <v/>
      </c>
      <c r="K395" s="3">
        <f>IF(I395&lt;&gt;"",I395, J395)</f>
        <v/>
      </c>
      <c r="L395" s="3" t="inlineStr">
        <is>
          <t>ប្រវត្តិនៃការកែសម្រួលមូលហេតុនៃការពង្រីក</t>
        </is>
      </c>
      <c r="M395" s="3" t="n"/>
      <c r="N395" s="3" t="inlineStr">
        <is>
          <t>"settingComplaint.extensionReason.historyTitleErrorDialog": "Extension Reason Edit History",</t>
        </is>
      </c>
      <c r="O395" s="3" t="n"/>
      <c r="P395" s="3" t="n"/>
      <c r="Q395" s="3" t="n"/>
      <c r="R395" s="3" t="n"/>
      <c r="S395" s="3" t="n"/>
      <c r="T395" s="3" t="n"/>
      <c r="U395" s="3" t="n"/>
      <c r="V395" s="3" t="n"/>
      <c r="W395" s="3" t="n"/>
      <c r="X395" s="3" t="n"/>
      <c r="Y395" s="3" t="n"/>
      <c r="Z395" s="3" t="n"/>
      <c r="AA395" s="3" t="n"/>
    </row>
    <row r="396">
      <c r="A396" s="3" t="inlineStr">
        <is>
          <t>settingComplaint.extensionReason.labelCause</t>
        </is>
      </c>
      <c r="B396" s="3" t="inlineStr">
        <is>
          <t>Nguyên nhân</t>
        </is>
      </c>
      <c r="C396" s="3" t="inlineStr">
        <is>
          <t>Cause</t>
        </is>
      </c>
      <c r="D396" s="3">
        <f>IFERROR(__xludf.DUMMYFUNCTION("GOOGLETRANSLATE(B396,""vi"",""en"")"),"Reason")</f>
        <v/>
      </c>
      <c r="E396" s="3">
        <f>IF(C396&lt;&gt;"",C396, D396)</f>
        <v/>
      </c>
      <c r="F396" s="3" t="n"/>
      <c r="G396" s="3">
        <f>IFERROR(__xludf.DUMMYFUNCTION("GOOGLETRANSLATE(B396,""vi"",""km"")"),"ហេតុផល")</f>
        <v/>
      </c>
      <c r="H396" s="3" t="inlineStr">
        <is>
          <t>ហេតុផល</t>
        </is>
      </c>
      <c r="I396" s="3" t="n"/>
      <c r="J396" s="3">
        <f>IFERROR(__xludf.DUMMYFUNCTION("GOOGLETRANSLATE(B396,""vi"",""lo"")"),"ເຫດຜົນ")</f>
        <v/>
      </c>
      <c r="K396" s="3">
        <f>IF(I396&lt;&gt;"",I396, J396)</f>
        <v/>
      </c>
      <c r="L396" s="3" t="inlineStr">
        <is>
          <t>ហេតុផល</t>
        </is>
      </c>
      <c r="M396" s="3" t="n"/>
      <c r="N396" s="3" t="inlineStr">
        <is>
          <t>"settingComplaint.extensionReason.labelCause": "Cause",</t>
        </is>
      </c>
      <c r="O396" s="3" t="n"/>
      <c r="P396" s="3" t="n"/>
      <c r="Q396" s="3" t="n"/>
      <c r="R396" s="3" t="n"/>
      <c r="S396" s="3" t="n"/>
      <c r="T396" s="3" t="n"/>
      <c r="U396" s="3" t="n"/>
      <c r="V396" s="3" t="n"/>
      <c r="W396" s="3" t="n"/>
      <c r="X396" s="3" t="n"/>
      <c r="Y396" s="3" t="n"/>
      <c r="Z396" s="3" t="n"/>
      <c r="AA396" s="3" t="n"/>
    </row>
    <row r="397">
      <c r="A397" s="3" t="inlineStr">
        <is>
          <t>settingComplaint.extensionReason.limitTime</t>
        </is>
      </c>
      <c r="B397" s="3" t="inlineStr">
        <is>
          <t>Thời gian tối đa</t>
        </is>
      </c>
      <c r="C397" s="3" t="inlineStr">
        <is>
          <t>Maximum time</t>
        </is>
      </c>
      <c r="D397" s="3">
        <f>IFERROR(__xludf.DUMMYFUNCTION("GOOGLETRANSLATE(B397,""vi"",""en"")"),"Maximum time")</f>
        <v/>
      </c>
      <c r="E397" s="3">
        <f>IF(C397&lt;&gt;"",C397, D397)</f>
        <v/>
      </c>
      <c r="F397" s="3" t="n"/>
      <c r="G397" s="3">
        <f>IFERROR(__xludf.DUMMYFUNCTION("GOOGLETRANSLATE(B397,""vi"",""km"")"),"ពេលវេលាអតិបរមា")</f>
        <v/>
      </c>
      <c r="H397" s="3" t="inlineStr">
        <is>
          <t>ពេលវេលាអតិបរមា</t>
        </is>
      </c>
      <c r="I397" s="3" t="n"/>
      <c r="J397" s="3">
        <f>IFERROR(__xludf.DUMMYFUNCTION("GOOGLETRANSLATE(B397,""vi"",""lo"")"),"ເວລາສູງສຸດ")</f>
        <v/>
      </c>
      <c r="K397" s="3">
        <f>IF(I397&lt;&gt;"",I397, J397)</f>
        <v/>
      </c>
      <c r="L397" s="3" t="inlineStr">
        <is>
          <t>ពេលវេលាអតិបរមា</t>
        </is>
      </c>
      <c r="M397" s="3" t="n"/>
      <c r="N397" s="3" t="inlineStr">
        <is>
          <t>"settingComplaint.extensionReason.limitTime": "Maximum time",</t>
        </is>
      </c>
      <c r="O397" s="3" t="n"/>
      <c r="P397" s="3" t="n"/>
      <c r="Q397" s="3" t="n"/>
      <c r="R397" s="3" t="n"/>
      <c r="S397" s="3" t="n"/>
      <c r="T397" s="3" t="n"/>
      <c r="U397" s="3" t="n"/>
      <c r="V397" s="3" t="n"/>
      <c r="W397" s="3" t="n"/>
      <c r="X397" s="3" t="n"/>
      <c r="Y397" s="3" t="n"/>
      <c r="Z397" s="3" t="n"/>
      <c r="AA397" s="3" t="n"/>
    </row>
    <row r="398">
      <c r="A398" s="3" t="inlineStr">
        <is>
          <t>settingComplaint.extensionReason.maxDuration</t>
        </is>
      </c>
      <c r="B398" s="3" t="inlineStr">
        <is>
          <t>Thời hạn tối đa</t>
        </is>
      </c>
      <c r="C398" s="3" t="inlineStr">
        <is>
          <t>Maximum time</t>
        </is>
      </c>
      <c r="D398" s="3">
        <f>IFERROR(__xludf.DUMMYFUNCTION("GOOGLETRANSLATE(B398,""vi"",""en"")"),"Maximum time limit")</f>
        <v/>
      </c>
      <c r="E398" s="3">
        <f>IF(C398&lt;&gt;"",C398, D398)</f>
        <v/>
      </c>
      <c r="F398" s="3" t="n"/>
      <c r="G398" s="3">
        <f>IFERROR(__xludf.DUMMYFUNCTION("GOOGLETRANSLATE(B398,""vi"",""km"")"),"ដែនកំណត់ពេលវេលាអតិបរមា")</f>
        <v/>
      </c>
      <c r="H398" s="3" t="inlineStr">
        <is>
          <t>ដែនកំណត់ពេលវេលាអតិបរមា</t>
        </is>
      </c>
      <c r="I398" s="3" t="n"/>
      <c r="J398" s="3">
        <f>IFERROR(__xludf.DUMMYFUNCTION("GOOGLETRANSLATE(B398,""vi"",""lo"")"),"ຂີດຈຳກັດເວລາສູງສຸດ")</f>
        <v/>
      </c>
      <c r="K398" s="3">
        <f>IF(I398&lt;&gt;"",I398, J398)</f>
        <v/>
      </c>
      <c r="L398" s="3" t="inlineStr">
        <is>
          <t>ដែនកំណត់ពេលវេលាអតិបរមា</t>
        </is>
      </c>
      <c r="M398" s="3" t="n"/>
      <c r="N398" s="3" t="inlineStr">
        <is>
          <t>"settingComplaint.extensionReason.maxDuration": "Maximum time",</t>
        </is>
      </c>
      <c r="O398" s="3" t="n"/>
      <c r="P398" s="3" t="n"/>
      <c r="Q398" s="3" t="n"/>
      <c r="R398" s="3" t="n"/>
      <c r="S398" s="3" t="n"/>
      <c r="T398" s="3" t="n"/>
      <c r="U398" s="3" t="n"/>
      <c r="V398" s="3" t="n"/>
      <c r="W398" s="3" t="n"/>
      <c r="X398" s="3" t="n"/>
      <c r="Y398" s="3" t="n"/>
      <c r="Z398" s="3" t="n"/>
      <c r="AA398" s="3" t="n"/>
    </row>
    <row r="399">
      <c r="A399" s="3" t="inlineStr">
        <is>
          <t>settingComplaint.extensionReason.maxHours</t>
        </is>
      </c>
      <c r="B399" s="3" t="inlineStr">
        <is>
          <t>Thời gian tối đa(h)</t>
        </is>
      </c>
      <c r="C399" s="3" t="inlineStr">
        <is>
          <t>Maximum time</t>
        </is>
      </c>
      <c r="D399" s="3">
        <f>IFERROR(__xludf.DUMMYFUNCTION("GOOGLETRANSLATE(B399,""vi"",""en"")"),"Maximum time (h)")</f>
        <v/>
      </c>
      <c r="E399" s="3">
        <f>IF(C399&lt;&gt;"",C399, D399)</f>
        <v/>
      </c>
      <c r="F399" s="3" t="n"/>
      <c r="G399" s="3">
        <f>IFERROR(__xludf.DUMMYFUNCTION("GOOGLETRANSLATE(B399,""vi"",""km"")"),"ពេលវេលាអតិបរមា (ម៉ោង)")</f>
        <v/>
      </c>
      <c r="H399" s="3" t="inlineStr">
        <is>
          <t>ពេលវេលាអតិបរមា (ម៉ោង)</t>
        </is>
      </c>
      <c r="I399" s="3" t="n"/>
      <c r="J399" s="3">
        <f>IFERROR(__xludf.DUMMYFUNCTION("GOOGLETRANSLATE(B399,""vi"",""lo"")"),"ເວລາສູງສຸດ (ຊມ)")</f>
        <v/>
      </c>
      <c r="K399" s="3">
        <f>IF(I399&lt;&gt;"",I399, J399)</f>
        <v/>
      </c>
      <c r="L399" s="3" t="inlineStr">
        <is>
          <t>ពេលវេលាអតិបរមា (ម៉ោង)</t>
        </is>
      </c>
      <c r="M399" s="3" t="n"/>
      <c r="N399" s="3" t="inlineStr">
        <is>
          <t>"settingComplaint.extensionReason.maxHours": "Maximum time",</t>
        </is>
      </c>
      <c r="O399" s="3" t="n"/>
      <c r="P399" s="3" t="n"/>
      <c r="Q399" s="3" t="n"/>
      <c r="R399" s="3" t="n"/>
      <c r="S399" s="3" t="n"/>
      <c r="T399" s="3" t="n"/>
      <c r="U399" s="3" t="n"/>
      <c r="V399" s="3" t="n"/>
      <c r="W399" s="3" t="n"/>
      <c r="X399" s="3" t="n"/>
      <c r="Y399" s="3" t="n"/>
      <c r="Z399" s="3" t="n"/>
      <c r="AA399" s="3" t="n"/>
    </row>
    <row r="400">
      <c r="A400" s="3" t="inlineStr">
        <is>
          <t>settingComplaint.extensionReason.placeholderErrorCause</t>
        </is>
      </c>
      <c r="B400" s="3" t="inlineStr">
        <is>
          <t>Nhập nguyên nhân</t>
        </is>
      </c>
      <c r="C400" s="3" t="inlineStr">
        <is>
          <t>Enter cause</t>
        </is>
      </c>
      <c r="D400" s="3">
        <f>IFERROR(__xludf.DUMMYFUNCTION("GOOGLETRANSLATE(B400,""vi"",""en"")"),"Enter the cause")</f>
        <v/>
      </c>
      <c r="E400" s="3">
        <f>IF(C400&lt;&gt;"",C400, D400)</f>
        <v/>
      </c>
      <c r="F400" s="3" t="n"/>
      <c r="G400" s="3">
        <f>IFERROR(__xludf.DUMMYFUNCTION("GOOGLETRANSLATE(B400,""vi"",""km"")"),"បញ្ចូលមូលហេតុ")</f>
        <v/>
      </c>
      <c r="H400" s="3" t="inlineStr">
        <is>
          <t>បញ្ចូលមូលហេតុ</t>
        </is>
      </c>
      <c r="I400" s="3" t="n"/>
      <c r="J400" s="3">
        <f>IFERROR(__xludf.DUMMYFUNCTION("GOOGLETRANSLATE(B400,""vi"",""lo"")"),"ໃສ່ສາເຫດ")</f>
        <v/>
      </c>
      <c r="K400" s="3">
        <f>IF(I400&lt;&gt;"",I400, J400)</f>
        <v/>
      </c>
      <c r="L400" s="3" t="inlineStr">
        <is>
          <t>បញ្ចូលមូលហេតុ</t>
        </is>
      </c>
      <c r="M400" s="3" t="n"/>
      <c r="N400" s="3" t="inlineStr">
        <is>
          <t>"settingComplaint.extensionReason.placeholderErrorCause": "Enter cause",</t>
        </is>
      </c>
      <c r="O400" s="3" t="n"/>
      <c r="P400" s="3" t="n"/>
      <c r="Q400" s="3" t="n"/>
      <c r="R400" s="3" t="n"/>
      <c r="S400" s="3" t="n"/>
      <c r="T400" s="3" t="n"/>
      <c r="U400" s="3" t="n"/>
      <c r="V400" s="3" t="n"/>
      <c r="W400" s="3" t="n"/>
      <c r="X400" s="3" t="n"/>
      <c r="Y400" s="3" t="n"/>
      <c r="Z400" s="3" t="n"/>
      <c r="AA400" s="3" t="n"/>
    </row>
    <row r="401">
      <c r="A401" s="3" t="inlineStr">
        <is>
          <t>settingComplaint.extensionReason.placeholderErrorCauseCode</t>
        </is>
      </c>
      <c r="B401" s="3" t="inlineStr">
        <is>
          <t>Nhập mã</t>
        </is>
      </c>
      <c r="C401" s="3" t="inlineStr">
        <is>
          <t>Enter code</t>
        </is>
      </c>
      <c r="D401" s="3">
        <f>IFERROR(__xludf.DUMMYFUNCTION("GOOGLETRANSLATE(B401,""vi"",""en"")"),"Enter code")</f>
        <v/>
      </c>
      <c r="E401" s="3">
        <f>IF(C401&lt;&gt;"",C401, D401)</f>
        <v/>
      </c>
      <c r="F401" s="3" t="n"/>
      <c r="G401" s="3">
        <f>IFERROR(__xludf.DUMMYFUNCTION("GOOGLETRANSLATE(B401,""vi"",""km"")"),"បញ្ចូលលេខកូដ")</f>
        <v/>
      </c>
      <c r="H401" s="3" t="inlineStr">
        <is>
          <t>បញ្ចូលលេខកូដ</t>
        </is>
      </c>
      <c r="I401" s="3" t="n"/>
      <c r="J401" s="3">
        <f>IFERROR(__xludf.DUMMYFUNCTION("GOOGLETRANSLATE(B401,""vi"",""lo"")"),"ໃສ່ລະຫັດ")</f>
        <v/>
      </c>
      <c r="K401" s="3">
        <f>IF(I401&lt;&gt;"",I401, J401)</f>
        <v/>
      </c>
      <c r="L401" s="3" t="inlineStr">
        <is>
          <t>បញ្ចូលលេខកូដ</t>
        </is>
      </c>
      <c r="M401" s="3" t="n"/>
      <c r="N401" s="3" t="inlineStr">
        <is>
          <t>"settingComplaint.extensionReason.placeholderErrorCauseCode": "Enter code",</t>
        </is>
      </c>
      <c r="O401" s="3" t="n"/>
      <c r="P401" s="3" t="n"/>
      <c r="Q401" s="3" t="n"/>
      <c r="R401" s="3" t="n"/>
      <c r="S401" s="3" t="n"/>
      <c r="T401" s="3" t="n"/>
      <c r="U401" s="3" t="n"/>
      <c r="V401" s="3" t="n"/>
      <c r="W401" s="3" t="n"/>
      <c r="X401" s="3" t="n"/>
      <c r="Y401" s="3" t="n"/>
      <c r="Z401" s="3" t="n"/>
      <c r="AA401" s="3" t="n"/>
    </row>
    <row r="402">
      <c r="A402" s="3" t="inlineStr">
        <is>
          <t>settingComplaint.extensionReason.placeholderErrorCauseName</t>
        </is>
      </c>
      <c r="B402" s="3" t="inlineStr">
        <is>
          <t>Nhập nguyên nhân</t>
        </is>
      </c>
      <c r="C402" s="3" t="inlineStr">
        <is>
          <t>Enter cause</t>
        </is>
      </c>
      <c r="D402" s="3">
        <f>IFERROR(__xludf.DUMMYFUNCTION("GOOGLETRANSLATE(B402,""vi"",""en"")"),"Enter the cause")</f>
        <v/>
      </c>
      <c r="E402" s="3">
        <f>IF(C402&lt;&gt;"",C402, D402)</f>
        <v/>
      </c>
      <c r="F402" s="3" t="n"/>
      <c r="G402" s="3">
        <f>IFERROR(__xludf.DUMMYFUNCTION("GOOGLETRANSLATE(B402,""vi"",""km"")"),"បញ្ចូលមូលហេតុ")</f>
        <v/>
      </c>
      <c r="H402" s="3" t="inlineStr">
        <is>
          <t>បញ្ចូលមូលហេតុ</t>
        </is>
      </c>
      <c r="I402" s="3" t="n"/>
      <c r="J402" s="3">
        <f>IFERROR(__xludf.DUMMYFUNCTION("GOOGLETRANSLATE(B402,""vi"",""lo"")"),"ໃສ່ສາເຫດ")</f>
        <v/>
      </c>
      <c r="K402" s="3">
        <f>IF(I402&lt;&gt;"",I402, J402)</f>
        <v/>
      </c>
      <c r="L402" s="3" t="inlineStr">
        <is>
          <t>បញ្ចូលមូលហេតុ</t>
        </is>
      </c>
      <c r="M402" s="3" t="n"/>
      <c r="N402" s="3" t="inlineStr">
        <is>
          <t>"settingComplaint.extensionReason.placeholderErrorCauseName": "Enter cause",</t>
        </is>
      </c>
      <c r="O402" s="3" t="n"/>
      <c r="P402" s="3" t="n"/>
      <c r="Q402" s="3" t="n"/>
      <c r="R402" s="3" t="n"/>
      <c r="S402" s="3" t="n"/>
      <c r="T402" s="3" t="n"/>
      <c r="U402" s="3" t="n"/>
      <c r="V402" s="3" t="n"/>
      <c r="W402" s="3" t="n"/>
      <c r="X402" s="3" t="n"/>
      <c r="Y402" s="3" t="n"/>
      <c r="Z402" s="3" t="n"/>
      <c r="AA402" s="3" t="n"/>
    </row>
    <row r="403">
      <c r="A403" s="3" t="inlineStr">
        <is>
          <t>settingComplaint.extensionReason.placeholderLimitTime</t>
        </is>
      </c>
      <c r="B403" s="3" t="inlineStr">
        <is>
          <t>Nhập số giờ</t>
        </is>
      </c>
      <c r="C403" s="3" t="inlineStr">
        <is>
          <t>Enter hours</t>
        </is>
      </c>
      <c r="D403" s="3">
        <f>IFERROR(__xludf.DUMMYFUNCTION("GOOGLETRANSLATE(B403,""vi"",""en"")"),"Enter the number of hours")</f>
        <v/>
      </c>
      <c r="E403" s="3">
        <f>IF(C403&lt;&gt;"",C403, D403)</f>
        <v/>
      </c>
      <c r="F403" s="3" t="n"/>
      <c r="G403" s="3">
        <f>IFERROR(__xludf.DUMMYFUNCTION("GOOGLETRANSLATE(B403,""vi"",""km"")"),"បញ្ចូលចំនួនម៉ោង")</f>
        <v/>
      </c>
      <c r="H403" s="3" t="inlineStr">
        <is>
          <t>បញ្ចូលចំនួនម៉ោង</t>
        </is>
      </c>
      <c r="I403" s="3" t="n"/>
      <c r="J403" s="3">
        <f>IFERROR(__xludf.DUMMYFUNCTION("GOOGLETRANSLATE(B403,""vi"",""lo"")"),"ໃສ່ຈຳນວນຊົ່ວໂມງ")</f>
        <v/>
      </c>
      <c r="K403" s="3">
        <f>IF(I403&lt;&gt;"",I403, J403)</f>
        <v/>
      </c>
      <c r="L403" s="3" t="inlineStr">
        <is>
          <t>បញ្ចូលចំនួនម៉ោង</t>
        </is>
      </c>
      <c r="M403" s="3" t="n"/>
      <c r="N403" s="3" t="inlineStr">
        <is>
          <t>"settingComplaint.extensionReason.placeholderLimitTime": "Enter hours",</t>
        </is>
      </c>
      <c r="O403" s="3" t="n"/>
      <c r="P403" s="3" t="n"/>
      <c r="Q403" s="3" t="n"/>
      <c r="R403" s="3" t="n"/>
      <c r="S403" s="3" t="n"/>
      <c r="T403" s="3" t="n"/>
      <c r="U403" s="3" t="n"/>
      <c r="V403" s="3" t="n"/>
      <c r="W403" s="3" t="n"/>
      <c r="X403" s="3" t="n"/>
      <c r="Y403" s="3" t="n"/>
      <c r="Z403" s="3" t="n"/>
      <c r="AA403" s="3" t="n"/>
    </row>
    <row r="404">
      <c r="A404" s="3" t="inlineStr">
        <is>
          <t>settingComplaint.extensionReason.placeholderReason</t>
        </is>
      </c>
      <c r="B404" s="3" t="inlineStr">
        <is>
          <t>Nhập lý do</t>
        </is>
      </c>
      <c r="C404" s="3" t="inlineStr">
        <is>
          <t>Enter reason</t>
        </is>
      </c>
      <c r="D404" s="3">
        <f>IFERROR(__xludf.DUMMYFUNCTION("GOOGLETRANSLATE(B404,""vi"",""en"")"),"Enter reason")</f>
        <v/>
      </c>
      <c r="E404" s="3">
        <f>IF(C404&lt;&gt;"",C404, D404)</f>
        <v/>
      </c>
      <c r="F404" s="3" t="n"/>
      <c r="G404" s="3">
        <f>IFERROR(__xludf.DUMMYFUNCTION("GOOGLETRANSLATE(B404,""vi"",""km"")"),"បញ្ចូលហេតុផល")</f>
        <v/>
      </c>
      <c r="H404" s="3" t="inlineStr">
        <is>
          <t>បញ្ចូលហេតុផល</t>
        </is>
      </c>
      <c r="I404" s="3" t="n"/>
      <c r="J404" s="3">
        <f>IFERROR(__xludf.DUMMYFUNCTION("GOOGLETRANSLATE(B404,""vi"",""lo"")"),"ໃສ່ເຫດຜົນ")</f>
        <v/>
      </c>
      <c r="K404" s="3">
        <f>IF(I404&lt;&gt;"",I404, J404)</f>
        <v/>
      </c>
      <c r="L404" s="3" t="inlineStr">
        <is>
          <t>បញ្ចូលហេតុផល</t>
        </is>
      </c>
      <c r="M404" s="3" t="n"/>
      <c r="N404" s="3" t="inlineStr">
        <is>
          <t>"settingComplaint.extensionReason.placeholderReason": "Enter reason",</t>
        </is>
      </c>
      <c r="O404" s="3" t="n"/>
      <c r="P404" s="3" t="n"/>
      <c r="Q404" s="3" t="n"/>
      <c r="R404" s="3" t="n"/>
      <c r="S404" s="3" t="n"/>
      <c r="T404" s="3" t="n"/>
      <c r="U404" s="3" t="n"/>
      <c r="V404" s="3" t="n"/>
      <c r="W404" s="3" t="n"/>
      <c r="X404" s="3" t="n"/>
      <c r="Y404" s="3" t="n"/>
      <c r="Z404" s="3" t="n"/>
      <c r="AA404" s="3" t="n"/>
    </row>
    <row r="405">
      <c r="A405" s="3" t="inlineStr">
        <is>
          <t>settingComplaint.extensionReason.placeholderReasonCode</t>
        </is>
      </c>
      <c r="B405" s="3" t="inlineStr">
        <is>
          <t>Nhập mã</t>
        </is>
      </c>
      <c r="C405" s="3" t="inlineStr">
        <is>
          <t>Enter code</t>
        </is>
      </c>
      <c r="D405" s="3">
        <f>IFERROR(__xludf.DUMMYFUNCTION("GOOGLETRANSLATE(B405,""vi"",""en"")"),"Enter code")</f>
        <v/>
      </c>
      <c r="E405" s="3">
        <f>IF(C405&lt;&gt;"",C405, D405)</f>
        <v/>
      </c>
      <c r="F405" s="3" t="n"/>
      <c r="G405" s="3">
        <f>IFERROR(__xludf.DUMMYFUNCTION("GOOGLETRANSLATE(B405,""vi"",""km"")"),"បញ្ចូលលេខកូដ")</f>
        <v/>
      </c>
      <c r="H405" s="3" t="inlineStr">
        <is>
          <t>បញ្ចូលលេខកូដ</t>
        </is>
      </c>
      <c r="I405" s="3" t="n"/>
      <c r="J405" s="3">
        <f>IFERROR(__xludf.DUMMYFUNCTION("GOOGLETRANSLATE(B405,""vi"",""lo"")"),"ໃສ່ລະຫັດ")</f>
        <v/>
      </c>
      <c r="K405" s="3">
        <f>IF(I405&lt;&gt;"",I405, J405)</f>
        <v/>
      </c>
      <c r="L405" s="3" t="inlineStr">
        <is>
          <t>បញ្ចូលលេខកូដ</t>
        </is>
      </c>
      <c r="M405" s="3" t="n"/>
      <c r="N405" s="3" t="inlineStr">
        <is>
          <t>"settingComplaint.extensionReason.placeholderReasonCode": "Enter code",</t>
        </is>
      </c>
      <c r="O405" s="3" t="n"/>
      <c r="P405" s="3" t="n"/>
      <c r="Q405" s="3" t="n"/>
      <c r="R405" s="3" t="n"/>
      <c r="S405" s="3" t="n"/>
      <c r="T405" s="3" t="n"/>
      <c r="U405" s="3" t="n"/>
      <c r="V405" s="3" t="n"/>
      <c r="W405" s="3" t="n"/>
      <c r="X405" s="3" t="n"/>
      <c r="Y405" s="3" t="n"/>
      <c r="Z405" s="3" t="n"/>
      <c r="AA405" s="3" t="n"/>
    </row>
    <row r="406">
      <c r="A406" s="3" t="inlineStr">
        <is>
          <t>settingComplaint.extensionReason.placeholderReasonDescription</t>
        </is>
      </c>
      <c r="B406" s="3" t="inlineStr">
        <is>
          <t>Nhập lý do</t>
        </is>
      </c>
      <c r="C406" s="3" t="inlineStr">
        <is>
          <t>Enter reason</t>
        </is>
      </c>
      <c r="D406" s="3">
        <f>IFERROR(__xludf.DUMMYFUNCTION("GOOGLETRANSLATE(B406,""vi"",""en"")"),"Enter reason")</f>
        <v/>
      </c>
      <c r="E406" s="3">
        <f>IF(C406&lt;&gt;"",C406, D406)</f>
        <v/>
      </c>
      <c r="F406" s="3" t="n"/>
      <c r="G406" s="3">
        <f>IFERROR(__xludf.DUMMYFUNCTION("GOOGLETRANSLATE(B406,""vi"",""km"")"),"បញ្ចូលហេតុផល")</f>
        <v/>
      </c>
      <c r="H406" s="3" t="inlineStr">
        <is>
          <t>បញ្ចូលហេតុផល</t>
        </is>
      </c>
      <c r="I406" s="3" t="n"/>
      <c r="J406" s="3">
        <f>IFERROR(__xludf.DUMMYFUNCTION("GOOGLETRANSLATE(B406,""vi"",""lo"")"),"ໃສ່ເຫດຜົນ")</f>
        <v/>
      </c>
      <c r="K406" s="3">
        <f>IF(I406&lt;&gt;"",I406, J406)</f>
        <v/>
      </c>
      <c r="L406" s="3" t="inlineStr">
        <is>
          <t>បញ្ចូលហេតុផល</t>
        </is>
      </c>
      <c r="M406" s="3" t="n"/>
      <c r="N406" s="3" t="inlineStr">
        <is>
          <t>"settingComplaint.extensionReason.placeholderReasonDescription": "Enter reason",</t>
        </is>
      </c>
      <c r="O406" s="3" t="n"/>
      <c r="P406" s="3" t="n"/>
      <c r="Q406" s="3" t="n"/>
      <c r="R406" s="3" t="n"/>
      <c r="S406" s="3" t="n"/>
      <c r="T406" s="3" t="n"/>
      <c r="U406" s="3" t="n"/>
      <c r="V406" s="3" t="n"/>
      <c r="W406" s="3" t="n"/>
      <c r="X406" s="3" t="n"/>
      <c r="Y406" s="3" t="n"/>
      <c r="Z406" s="3" t="n"/>
      <c r="AA406" s="3" t="n"/>
    </row>
    <row r="407">
      <c r="A407" s="3" t="inlineStr">
        <is>
          <t>settingComplaint.extensionReason.placeholderStatus</t>
        </is>
      </c>
      <c r="B407" s="3" t="inlineStr">
        <is>
          <t>Chọn trạng thái</t>
        </is>
      </c>
      <c r="C407" s="3" t="inlineStr">
        <is>
          <t>Select status</t>
        </is>
      </c>
      <c r="D407" s="3">
        <f>IFERROR(__xludf.DUMMYFUNCTION("GOOGLETRANSLATE(B407,""vi"",""en"")"),"Select state")</f>
        <v/>
      </c>
      <c r="E407" s="3">
        <f>IF(C407&lt;&gt;"",C407, D407)</f>
        <v/>
      </c>
      <c r="F407" s="3" t="n"/>
      <c r="G407" s="3">
        <f>IFERROR(__xludf.DUMMYFUNCTION("GOOGLETRANSLATE(B407,""vi"",""km"")"),"ជ្រើសរើសរដ្ឋ")</f>
        <v/>
      </c>
      <c r="H407" s="3" t="inlineStr">
        <is>
          <t>ជ្រើសរើសរដ្ឋ</t>
        </is>
      </c>
      <c r="I407" s="3" t="n"/>
      <c r="J407" s="3">
        <f>IFERROR(__xludf.DUMMYFUNCTION("GOOGLETRANSLATE(B407,""vi"",""lo"")"),"ເລືອກລັດ")</f>
        <v/>
      </c>
      <c r="K407" s="3">
        <f>IF(I407&lt;&gt;"",I407, J407)</f>
        <v/>
      </c>
      <c r="L407" s="3" t="inlineStr">
        <is>
          <t>ជ្រើសរើសរដ្ឋ</t>
        </is>
      </c>
      <c r="M407" s="3" t="n"/>
      <c r="N407" s="3" t="inlineStr">
        <is>
          <t>"settingComplaint.extensionReason.placeholderStatus": "Select status",</t>
        </is>
      </c>
      <c r="O407" s="3" t="n"/>
      <c r="P407" s="3" t="n"/>
      <c r="Q407" s="3" t="n"/>
      <c r="R407" s="3" t="n"/>
      <c r="S407" s="3" t="n"/>
      <c r="T407" s="3" t="n"/>
      <c r="U407" s="3" t="n"/>
      <c r="V407" s="3" t="n"/>
      <c r="W407" s="3" t="n"/>
      <c r="X407" s="3" t="n"/>
      <c r="Y407" s="3" t="n"/>
      <c r="Z407" s="3" t="n"/>
      <c r="AA407" s="3" t="n"/>
    </row>
    <row r="408">
      <c r="A408" s="3" t="inlineStr">
        <is>
          <t>settingComplaint.extensionReason.reason</t>
        </is>
      </c>
      <c r="B408" s="3" t="inlineStr">
        <is>
          <t>Lý do gia hạn</t>
        </is>
      </c>
      <c r="C408" s="3" t="inlineStr">
        <is>
          <t>Extension Reason</t>
        </is>
      </c>
      <c r="D408" s="3">
        <f>IFERROR(__xludf.DUMMYFUNCTION("GOOGLETRANSLATE(B408,""vi"",""en"")"),"Reason for extension")</f>
        <v/>
      </c>
      <c r="E408" s="3">
        <f>IF(C408&lt;&gt;"",C408, D408)</f>
        <v/>
      </c>
      <c r="F408" s="3" t="n"/>
      <c r="G408" s="3">
        <f>IFERROR(__xludf.DUMMYFUNCTION("GOOGLETRANSLATE(B408,""vi"",""km"")"),"មូលហេតុនៃការពង្រីក")</f>
        <v/>
      </c>
      <c r="H408" s="3" t="inlineStr">
        <is>
          <t>មូលហេតុនៃការពង្រីក</t>
        </is>
      </c>
      <c r="I408" s="3" t="n"/>
      <c r="J408" s="3">
        <f>IFERROR(__xludf.DUMMYFUNCTION("GOOGLETRANSLATE(B408,""vi"",""lo"")"),"ເຫດຜົນຂອງການຂະຫຍາຍ")</f>
        <v/>
      </c>
      <c r="K408" s="3">
        <f>IF(I408&lt;&gt;"",I408, J408)</f>
        <v/>
      </c>
      <c r="L408" s="3" t="inlineStr">
        <is>
          <t>មូលហេតុនៃការពង្រីក</t>
        </is>
      </c>
      <c r="M408" s="3" t="n"/>
      <c r="N408" s="3" t="inlineStr">
        <is>
          <t>"settingComplaint.extensionReason.reason": "Extension Reason",</t>
        </is>
      </c>
      <c r="O408" s="3" t="n"/>
      <c r="P408" s="3" t="n"/>
      <c r="Q408" s="3" t="n"/>
      <c r="R408" s="3" t="n"/>
      <c r="S408" s="3" t="n"/>
      <c r="T408" s="3" t="n"/>
      <c r="U408" s="3" t="n"/>
      <c r="V408" s="3" t="n"/>
      <c r="W408" s="3" t="n"/>
      <c r="X408" s="3" t="n"/>
      <c r="Y408" s="3" t="n"/>
      <c r="Z408" s="3" t="n"/>
      <c r="AA408" s="3" t="n"/>
    </row>
    <row r="409">
      <c r="A409" s="3" t="inlineStr">
        <is>
          <t>settingComplaint.extensionReason.reasonCode</t>
        </is>
      </c>
      <c r="B409" s="3" t="inlineStr">
        <is>
          <t>Mã lý do</t>
        </is>
      </c>
      <c r="C409" s="3" t="inlineStr">
        <is>
          <t>Reason Code</t>
        </is>
      </c>
      <c r="D409" s="3">
        <f>IFERROR(__xludf.DUMMYFUNCTION("GOOGLETRANSLATE(B409,""vi"",""en"")"),"Reason code")</f>
        <v/>
      </c>
      <c r="E409" s="3">
        <f>IF(C409&lt;&gt;"",C409, D409)</f>
        <v/>
      </c>
      <c r="F409" s="3" t="n"/>
      <c r="G409" s="3">
        <f>IFERROR(__xludf.DUMMYFUNCTION("GOOGLETRANSLATE(B409,""vi"",""km"")"),"កូដហេតុផល")</f>
        <v/>
      </c>
      <c r="H409" s="3" t="inlineStr">
        <is>
          <t>កូដហេតុផល</t>
        </is>
      </c>
      <c r="I409" s="3" t="n"/>
      <c r="J409" s="3">
        <f>IFERROR(__xludf.DUMMYFUNCTION("GOOGLETRANSLATE(B409,""vi"",""lo"")"),"ລະຫັດເຫດຜົນ")</f>
        <v/>
      </c>
      <c r="K409" s="3">
        <f>IF(I409&lt;&gt;"",I409, J409)</f>
        <v/>
      </c>
      <c r="L409" s="3" t="inlineStr">
        <is>
          <t>កូដហេតុផល</t>
        </is>
      </c>
      <c r="M409" s="3" t="n"/>
      <c r="N409" s="3" t="inlineStr">
        <is>
          <t>"settingComplaint.extensionReason.reasonCode": "Reason Code",</t>
        </is>
      </c>
      <c r="O409" s="3" t="n"/>
      <c r="P409" s="3" t="n"/>
      <c r="Q409" s="3" t="n"/>
      <c r="R409" s="3" t="n"/>
      <c r="S409" s="3" t="n"/>
      <c r="T409" s="3" t="n"/>
      <c r="U409" s="3" t="n"/>
      <c r="V409" s="3" t="n"/>
      <c r="W409" s="3" t="n"/>
      <c r="X409" s="3" t="n"/>
      <c r="Y409" s="3" t="n"/>
      <c r="Z409" s="3" t="n"/>
      <c r="AA409" s="3" t="n"/>
    </row>
    <row r="410">
      <c r="A410" s="3" t="inlineStr">
        <is>
          <t>settingComplaint.extensionReason.reasonDescription</t>
        </is>
      </c>
      <c r="B410" s="3" t="inlineStr">
        <is>
          <t>Lý do gia hạn</t>
        </is>
      </c>
      <c r="C410" s="3" t="inlineStr">
        <is>
          <t>Extension Reason</t>
        </is>
      </c>
      <c r="D410" s="3">
        <f>IFERROR(__xludf.DUMMYFUNCTION("GOOGLETRANSLATE(B410,""vi"",""en"")"),"Reason for extension")</f>
        <v/>
      </c>
      <c r="E410" s="3">
        <f>IF(C410&lt;&gt;"",C410, D410)</f>
        <v/>
      </c>
      <c r="F410" s="3" t="n"/>
      <c r="G410" s="3">
        <f>IFERROR(__xludf.DUMMYFUNCTION("GOOGLETRANSLATE(B410,""vi"",""km"")"),"មូលហេតុនៃការពង្រីក")</f>
        <v/>
      </c>
      <c r="H410" s="3" t="inlineStr">
        <is>
          <t>មូលហេតុនៃការពង្រីក</t>
        </is>
      </c>
      <c r="I410" s="3" t="n"/>
      <c r="J410" s="3">
        <f>IFERROR(__xludf.DUMMYFUNCTION("GOOGLETRANSLATE(B410,""vi"",""lo"")"),"ເຫດຜົນຂອງການຂະຫຍາຍ")</f>
        <v/>
      </c>
      <c r="K410" s="3">
        <f>IF(I410&lt;&gt;"",I410, J410)</f>
        <v/>
      </c>
      <c r="L410" s="3" t="inlineStr">
        <is>
          <t>មូលហេតុនៃការពង្រីក</t>
        </is>
      </c>
      <c r="M410" s="3" t="n"/>
      <c r="N410" s="3" t="inlineStr">
        <is>
          <t>"settingComplaint.extensionReason.reasonDescription": "Extension Reason",</t>
        </is>
      </c>
      <c r="O410" s="3" t="n"/>
      <c r="P410" s="3" t="n"/>
      <c r="Q410" s="3" t="n"/>
      <c r="R410" s="3" t="n"/>
      <c r="S410" s="3" t="n"/>
      <c r="T410" s="3" t="n"/>
      <c r="U410" s="3" t="n"/>
      <c r="V410" s="3" t="n"/>
      <c r="W410" s="3" t="n"/>
      <c r="X410" s="3" t="n"/>
      <c r="Y410" s="3" t="n"/>
      <c r="Z410" s="3" t="n"/>
      <c r="AA410" s="3" t="n"/>
    </row>
    <row r="411">
      <c r="A411" s="3" t="inlineStr">
        <is>
          <t>settingComplaint.extensionReason.reasonName</t>
        </is>
      </c>
      <c r="B411" s="3" t="inlineStr">
        <is>
          <t>Lý do gia hạn</t>
        </is>
      </c>
      <c r="C411" s="3" t="inlineStr">
        <is>
          <t>Extension Reason</t>
        </is>
      </c>
      <c r="D411" s="3">
        <f>IFERROR(__xludf.DUMMYFUNCTION("GOOGLETRANSLATE(B411,""vi"",""en"")"),"Reason for extension")</f>
        <v/>
      </c>
      <c r="E411" s="3">
        <f>IF(C411&lt;&gt;"",C411, D411)</f>
        <v/>
      </c>
      <c r="F411" s="3" t="n"/>
      <c r="G411" s="3">
        <f>IFERROR(__xludf.DUMMYFUNCTION("GOOGLETRANSLATE(B411,""vi"",""km"")"),"មូលហេតុនៃការពង្រីក")</f>
        <v/>
      </c>
      <c r="H411" s="3" t="inlineStr">
        <is>
          <t>មូលហេតុនៃការពង្រីក</t>
        </is>
      </c>
      <c r="I411" s="3" t="n"/>
      <c r="J411" s="3">
        <f>IFERROR(__xludf.DUMMYFUNCTION("GOOGLETRANSLATE(B411,""vi"",""lo"")"),"ເຫດຜົນຂອງການຂະຫຍາຍ")</f>
        <v/>
      </c>
      <c r="K411" s="3">
        <f>IF(I411&lt;&gt;"",I411, J411)</f>
        <v/>
      </c>
      <c r="L411" s="3" t="inlineStr">
        <is>
          <t>មូលហេតុនៃការពង្រីក</t>
        </is>
      </c>
      <c r="M411" s="3" t="n"/>
      <c r="N411" s="3" t="inlineStr">
        <is>
          <t>"settingComplaint.extensionReason.reasonName": "Extension Reason",</t>
        </is>
      </c>
      <c r="O411" s="3" t="n"/>
      <c r="P411" s="3" t="n"/>
      <c r="Q411" s="3" t="n"/>
      <c r="R411" s="3" t="n"/>
      <c r="S411" s="3" t="n"/>
      <c r="T411" s="3" t="n"/>
      <c r="U411" s="3" t="n"/>
      <c r="V411" s="3" t="n"/>
      <c r="W411" s="3" t="n"/>
      <c r="X411" s="3" t="n"/>
      <c r="Y411" s="3" t="n"/>
      <c r="Z411" s="3" t="n"/>
      <c r="AA411" s="3" t="n"/>
    </row>
    <row r="412">
      <c r="A412" s="3" t="inlineStr">
        <is>
          <t>settingComplaint.extensionReason.status</t>
        </is>
      </c>
      <c r="B412" s="3" t="inlineStr">
        <is>
          <t>Trạng thái</t>
        </is>
      </c>
      <c r="C412" s="3" t="inlineStr">
        <is>
          <t>Status</t>
        </is>
      </c>
      <c r="D412" s="3">
        <f>IFERROR(__xludf.DUMMYFUNCTION("GOOGLETRANSLATE(B412,""vi"",""en"")"),"Status")</f>
        <v/>
      </c>
      <c r="E412" s="3">
        <f>IF(C412&lt;&gt;"",C412, D412)</f>
        <v/>
      </c>
      <c r="F412" s="3" t="n"/>
      <c r="G412" s="3">
        <f>IFERROR(__xludf.DUMMYFUNCTION("GOOGLETRANSLATE(B412,""vi"",""km"")"),"ស្ថានភាព")</f>
        <v/>
      </c>
      <c r="H412" s="3" t="inlineStr">
        <is>
          <t>ស្ថានភាព</t>
        </is>
      </c>
      <c r="I412" s="3" t="n"/>
      <c r="J412" s="3">
        <f>IFERROR(__xludf.DUMMYFUNCTION("GOOGLETRANSLATE(B412,""vi"",""lo"")"),"ສະຖານະ")</f>
        <v/>
      </c>
      <c r="K412" s="3">
        <f>IF(I412&lt;&gt;"",I412, J412)</f>
        <v/>
      </c>
      <c r="L412" s="3" t="inlineStr">
        <is>
          <t>ស្ថានភាព</t>
        </is>
      </c>
      <c r="M412" s="3" t="n"/>
      <c r="N412" s="3" t="inlineStr">
        <is>
          <t>"settingComplaint.extensionReason.status": "Status",</t>
        </is>
      </c>
      <c r="O412" s="3" t="n"/>
      <c r="P412" s="3" t="n"/>
      <c r="Q412" s="3" t="n"/>
      <c r="R412" s="3" t="n"/>
      <c r="S412" s="3" t="n"/>
      <c r="T412" s="3" t="n"/>
      <c r="U412" s="3" t="n"/>
      <c r="V412" s="3" t="n"/>
      <c r="W412" s="3" t="n"/>
      <c r="X412" s="3" t="n"/>
      <c r="Y412" s="3" t="n"/>
      <c r="Z412" s="3" t="n"/>
      <c r="AA412" s="3" t="n"/>
    </row>
    <row r="413">
      <c r="A413" s="3" t="inlineStr">
        <is>
          <t>settingComplaint.extensionReason.statusActive</t>
        </is>
      </c>
      <c r="B413" s="3" t="inlineStr">
        <is>
          <t>Đang hoạt động</t>
        </is>
      </c>
      <c r="C413" s="3" t="inlineStr">
        <is>
          <t>Active</t>
        </is>
      </c>
      <c r="D413" s="3">
        <f>IFERROR(__xludf.DUMMYFUNCTION("GOOGLETRANSLATE(B413,""vi"",""en"")"),"Currently operating")</f>
        <v/>
      </c>
      <c r="E413" s="3">
        <f>IF(C413&lt;&gt;"",C413, D413)</f>
        <v/>
      </c>
      <c r="F413" s="3" t="n"/>
      <c r="G413" s="3">
        <f>IFERROR(__xludf.DUMMYFUNCTION("GOOGLETRANSLATE(B413,""vi"",""km"")"),"កំពុងដំណើរការ")</f>
        <v/>
      </c>
      <c r="H413" s="3" t="inlineStr">
        <is>
          <t>កំពុងដំណើរការ</t>
        </is>
      </c>
      <c r="I413" s="3" t="n"/>
      <c r="J413" s="3">
        <f>IFERROR(__xludf.DUMMYFUNCTION("GOOGLETRANSLATE(B413,""vi"",""lo"")"),"ກຳລັງດຳເນີນການຢູ່")</f>
        <v/>
      </c>
      <c r="K413" s="3">
        <f>IF(I413&lt;&gt;"",I413, J413)</f>
        <v/>
      </c>
      <c r="L413" s="3" t="inlineStr">
        <is>
          <t>កំពុងដំណើរការ</t>
        </is>
      </c>
      <c r="M413" s="3" t="n"/>
      <c r="N413" s="3" t="inlineStr">
        <is>
          <t>"settingComplaint.extensionReason.statusActive": "Active",</t>
        </is>
      </c>
      <c r="O413" s="3" t="n"/>
      <c r="P413" s="3" t="n"/>
      <c r="Q413" s="3" t="n"/>
      <c r="R413" s="3" t="n"/>
      <c r="S413" s="3" t="n"/>
      <c r="T413" s="3" t="n"/>
      <c r="U413" s="3" t="n"/>
      <c r="V413" s="3" t="n"/>
      <c r="W413" s="3" t="n"/>
      <c r="X413" s="3" t="n"/>
      <c r="Y413" s="3" t="n"/>
      <c r="Z413" s="3" t="n"/>
      <c r="AA413" s="3" t="n"/>
    </row>
    <row r="414">
      <c r="A414" s="3" t="inlineStr">
        <is>
          <t>settingComplaint.extensionReason.statusAll</t>
        </is>
      </c>
      <c r="B414" s="3" t="inlineStr">
        <is>
          <t>Tất cả</t>
        </is>
      </c>
      <c r="C414" s="3" t="inlineStr">
        <is>
          <t>All</t>
        </is>
      </c>
      <c r="D414" s="3">
        <f>IFERROR(__xludf.DUMMYFUNCTION("GOOGLETRANSLATE(B414,""vi"",""en"")"),"All")</f>
        <v/>
      </c>
      <c r="E414" s="3">
        <f>IF(C414&lt;&gt;"",C414, D414)</f>
        <v/>
      </c>
      <c r="F414" s="3" t="n"/>
      <c r="G414" s="3">
        <f>IFERROR(__xludf.DUMMYFUNCTION("GOOGLETRANSLATE(B414,""vi"",""km"")"),"ទាំងអស់")</f>
        <v/>
      </c>
      <c r="H414" s="3" t="inlineStr">
        <is>
          <t>ទាំងអស់</t>
        </is>
      </c>
      <c r="I414" s="3" t="n"/>
      <c r="J414" s="3">
        <f>IFERROR(__xludf.DUMMYFUNCTION("GOOGLETRANSLATE(B414,""vi"",""lo"")"),"ທັງໝົດ")</f>
        <v/>
      </c>
      <c r="K414" s="3">
        <f>IF(I414&lt;&gt;"",I414, J414)</f>
        <v/>
      </c>
      <c r="L414" s="3" t="inlineStr">
        <is>
          <t>ទាំងអស់</t>
        </is>
      </c>
      <c r="M414" s="3" t="n"/>
      <c r="N414" s="3" t="inlineStr">
        <is>
          <t>"settingComplaint.extensionReason.statusAll": "All",</t>
        </is>
      </c>
      <c r="O414" s="3" t="n"/>
      <c r="P414" s="3" t="n"/>
      <c r="Q414" s="3" t="n"/>
      <c r="R414" s="3" t="n"/>
      <c r="S414" s="3" t="n"/>
      <c r="T414" s="3" t="n"/>
      <c r="U414" s="3" t="n"/>
      <c r="V414" s="3" t="n"/>
      <c r="W414" s="3" t="n"/>
      <c r="X414" s="3" t="n"/>
      <c r="Y414" s="3" t="n"/>
      <c r="Z414" s="3" t="n"/>
      <c r="AA414" s="3" t="n"/>
    </row>
    <row r="415">
      <c r="A415" s="3" t="inlineStr">
        <is>
          <t>settingComplaint.extensionReason.statusInactive</t>
        </is>
      </c>
      <c r="B415" s="3" t="inlineStr">
        <is>
          <t>Không hoạt động</t>
        </is>
      </c>
      <c r="C415" s="3" t="inlineStr">
        <is>
          <t>Inactive</t>
        </is>
      </c>
      <c r="D415" s="3">
        <f>IFERROR(__xludf.DUMMYFUNCTION("GOOGLETRANSLATE(B415,""vi"",""en"")"),"Inactive")</f>
        <v/>
      </c>
      <c r="E415" s="3">
        <f>IF(C415&lt;&gt;"",C415, D415)</f>
        <v/>
      </c>
      <c r="F415" s="3" t="n"/>
      <c r="G415" s="3">
        <f>IFERROR(__xludf.DUMMYFUNCTION("GOOGLETRANSLATE(B415,""vi"",""km"")"),"អសកម្ម")</f>
        <v/>
      </c>
      <c r="H415" s="3" t="inlineStr">
        <is>
          <t>អសកម្ម</t>
        </is>
      </c>
      <c r="I415" s="3" t="n"/>
      <c r="J415" s="3">
        <f>IFERROR(__xludf.DUMMYFUNCTION("GOOGLETRANSLATE(B415,""vi"",""lo"")"),"ບໍ່ເຄື່ອນໄຫວ")</f>
        <v/>
      </c>
      <c r="K415" s="3">
        <f>IF(I415&lt;&gt;"",I415, J415)</f>
        <v/>
      </c>
      <c r="L415" s="3" t="inlineStr">
        <is>
          <t>អសកម្ម</t>
        </is>
      </c>
      <c r="M415" s="3" t="n"/>
      <c r="N415" s="3" t="inlineStr">
        <is>
          <t>"settingComplaint.extensionReason.statusInactive": "Inactive",</t>
        </is>
      </c>
      <c r="O415" s="3" t="n"/>
      <c r="P415" s="3" t="n"/>
      <c r="Q415" s="3" t="n"/>
      <c r="R415" s="3" t="n"/>
      <c r="S415" s="3" t="n"/>
      <c r="T415" s="3" t="n"/>
      <c r="U415" s="3" t="n"/>
      <c r="V415" s="3" t="n"/>
      <c r="W415" s="3" t="n"/>
      <c r="X415" s="3" t="n"/>
      <c r="Y415" s="3" t="n"/>
      <c r="Z415" s="3" t="n"/>
      <c r="AA415" s="3" t="n"/>
    </row>
    <row r="416">
      <c r="A416" s="3" t="inlineStr">
        <is>
          <t>settingComplaint.extensionReason.title</t>
        </is>
      </c>
      <c r="B416" s="3" t="inlineStr">
        <is>
          <t>Cấu hình lý do gia hạn</t>
        </is>
      </c>
      <c r="C416" s="3" t="inlineStr">
        <is>
          <t>Extension Reason Configuration</t>
        </is>
      </c>
      <c r="D416" s="3">
        <f>IFERROR(__xludf.DUMMYFUNCTION("GOOGLETRANSLATE(B416,""vi"",""en"")"),"Configure the reason for renewal.")</f>
        <v/>
      </c>
      <c r="E416" s="3">
        <f>IF(C416&lt;&gt;"",C416, D416)</f>
        <v/>
      </c>
      <c r="F416" s="3" t="n"/>
      <c r="G416" s="3">
        <f>IFERROR(__xludf.DUMMYFUNCTION("GOOGLETRANSLATE(B416,""vi"",""km"")"),"កំណត់រចនាសម្ព័ន្ធមូលហេតុនៃការបន្ត។")</f>
        <v/>
      </c>
      <c r="H416" s="3" t="inlineStr">
        <is>
          <t>កំណត់រចនាសម្ព័ន្ធមូលហេតុនៃការបន្ត។</t>
        </is>
      </c>
      <c r="I416" s="3" t="n"/>
      <c r="J416" s="3">
        <f>IFERROR(__xludf.DUMMYFUNCTION("GOOGLETRANSLATE(B416,""vi"",""lo"")"),"ຕັ້ງຄ່າເຫດຜົນສຳລັບການຕໍ່ອາຍຸ.")</f>
        <v/>
      </c>
      <c r="K416" s="3">
        <f>IF(I416&lt;&gt;"",I416, J416)</f>
        <v/>
      </c>
      <c r="L416" s="3" t="inlineStr">
        <is>
          <t>កំណត់រចនាសម្ព័ន្ធមូលហេតុនៃការបន្ត។</t>
        </is>
      </c>
      <c r="M416" s="3" t="n"/>
      <c r="N416" s="3" t="inlineStr">
        <is>
          <t>"settingComplaint.extensionReason.title": "Extension Reason Configuration",</t>
        </is>
      </c>
      <c r="O416" s="3" t="n"/>
      <c r="P416" s="3" t="n"/>
      <c r="Q416" s="3" t="n"/>
      <c r="R416" s="3" t="n"/>
      <c r="S416" s="3" t="n"/>
      <c r="T416" s="3" t="n"/>
      <c r="U416" s="3" t="n"/>
      <c r="V416" s="3" t="n"/>
      <c r="W416" s="3" t="n"/>
      <c r="X416" s="3" t="n"/>
      <c r="Y416" s="3" t="n"/>
      <c r="Z416" s="3" t="n"/>
      <c r="AA416" s="3" t="n"/>
    </row>
    <row r="417">
      <c r="A417" s="3" t="inlineStr">
        <is>
          <t>settingComplaint.feedbackCategory</t>
        </is>
      </c>
      <c r="B417" s="3" t="inlineStr">
        <is>
          <t>Cấu hình phân loại phản ánh</t>
        </is>
      </c>
      <c r="C417" s="3" t="inlineStr">
        <is>
          <t>Issue Category Configuration</t>
        </is>
      </c>
      <c r="D417" s="3">
        <f>IFERROR(__xludf.DUMMYFUNCTION("GOOGLETRANSLATE(B417,""vi"",""en"")"),"Classification configuration reflects")</f>
        <v/>
      </c>
      <c r="E417" s="3">
        <f>IF(C417&lt;&gt;"",C417, D417)</f>
        <v/>
      </c>
      <c r="F417" s="3" t="n"/>
      <c r="G417" s="3">
        <f>IFERROR(__xludf.DUMMYFUNCTION("GOOGLETRANSLATE(B417,""vi"",""km"")"),"ការកំណត់រចនាសម្ព័ន្ធចំណាត់ថ្នាក់ឆ្លុះបញ្ចាំង")</f>
        <v/>
      </c>
      <c r="H417" s="3" t="inlineStr">
        <is>
          <t>ការកំណត់រចនាសម្ព័ន្ធចំណាត់ថ្នាក់ឆ្លុះបញ្ចាំង</t>
        </is>
      </c>
      <c r="I417" s="3" t="n"/>
      <c r="J417" s="3">
        <f>IFERROR(__xludf.DUMMYFUNCTION("GOOGLETRANSLATE(B417,""vi"",""lo"")"),"ການຕັ້ງຄ່າການຈັດປະເພດສະທ້ອນໃຫ້ເຫັນ")</f>
        <v/>
      </c>
      <c r="K417" s="3">
        <f>IF(I417&lt;&gt;"",I417, J417)</f>
        <v/>
      </c>
      <c r="L417" s="3" t="inlineStr">
        <is>
          <t>ការកំណត់រចនាសម្ព័ន្ធចំណាត់ថ្នាក់ឆ្លុះបញ្ចាំង</t>
        </is>
      </c>
      <c r="M417" s="3" t="n"/>
      <c r="N417" s="3" t="inlineStr">
        <is>
          <t>"settingComplaint.feedbackCategory": "Issue Category Configuration",</t>
        </is>
      </c>
      <c r="O417" s="3" t="n"/>
      <c r="P417" s="3" t="n"/>
      <c r="Q417" s="3" t="n"/>
      <c r="R417" s="3" t="n"/>
      <c r="S417" s="3" t="n"/>
      <c r="T417" s="3" t="n"/>
      <c r="U417" s="3" t="n"/>
      <c r="V417" s="3" t="n"/>
      <c r="W417" s="3" t="n"/>
      <c r="X417" s="3" t="n"/>
      <c r="Y417" s="3" t="n"/>
      <c r="Z417" s="3" t="n"/>
      <c r="AA417" s="3" t="n"/>
    </row>
    <row r="418">
      <c r="A418" s="3" t="inlineStr">
        <is>
          <t>settingComplaint.feedbackCategorySetup.addFeedbackLevel1</t>
        </is>
      </c>
      <c r="B418" s="3" t="inlineStr">
        <is>
          <t>Thêm phân loại cấp 1</t>
        </is>
      </c>
      <c r="C418" s="3" t="inlineStr">
        <is>
          <t>Add Level 1 Category</t>
        </is>
      </c>
      <c r="D418" s="3">
        <f>IFERROR(__xludf.DUMMYFUNCTION("GOOGLETRANSLATE(B418,""vi"",""en"")"),"Add level 1 classification")</f>
        <v/>
      </c>
      <c r="E418" s="3">
        <f>IF(C418&lt;&gt;"",C418, D418)</f>
        <v/>
      </c>
      <c r="F418" s="3" t="n"/>
      <c r="G418" s="3">
        <f>IFERROR(__xludf.DUMMYFUNCTION("GOOGLETRANSLATE(B418,""vi"",""km"")"),"បន្ថែមចំណាត់ថ្នាក់កម្រិត 1")</f>
        <v/>
      </c>
      <c r="H418" s="3" t="inlineStr">
        <is>
          <t>បន្ថែមចំណាត់ថ្នាក់កម្រិត 1</t>
        </is>
      </c>
      <c r="I418" s="3" t="n"/>
      <c r="J418" s="3">
        <f>IFERROR(__xludf.DUMMYFUNCTION("GOOGLETRANSLATE(B418,""vi"",""lo"")"),"ເພີ່ມການຈັດປະເພດລະດັບ 1")</f>
        <v/>
      </c>
      <c r="K418" s="3">
        <f>IF(I418&lt;&gt;"",I418, J418)</f>
        <v/>
      </c>
      <c r="L418" s="3" t="inlineStr">
        <is>
          <t>បន្ថែមចំណាត់ថ្នាក់កម្រិត 1</t>
        </is>
      </c>
      <c r="M418" s="3" t="n"/>
      <c r="N418" s="3" t="inlineStr">
        <is>
          <t>"settingComplaint.feedbackCategorySetup.addFeedbackLevel1": "Add Level 1 Category",</t>
        </is>
      </c>
      <c r="O418" s="3" t="n"/>
      <c r="P418" s="3" t="n"/>
      <c r="Q418" s="3" t="n"/>
      <c r="R418" s="3" t="n"/>
      <c r="S418" s="3" t="n"/>
      <c r="T418" s="3" t="n"/>
      <c r="U418" s="3" t="n"/>
      <c r="V418" s="3" t="n"/>
      <c r="W418" s="3" t="n"/>
      <c r="X418" s="3" t="n"/>
      <c r="Y418" s="3" t="n"/>
      <c r="Z418" s="3" t="n"/>
      <c r="AA418" s="3" t="n"/>
    </row>
    <row r="419">
      <c r="A419" s="3" t="inlineStr">
        <is>
          <t>settingComplaint.feedbackCategorySetup.addFeedbackLevel2</t>
        </is>
      </c>
      <c r="B419" s="3" t="inlineStr">
        <is>
          <t>Thêm phân loại cấp 2</t>
        </is>
      </c>
      <c r="C419" s="3" t="inlineStr">
        <is>
          <t>Add Level 2 Category</t>
        </is>
      </c>
      <c r="D419" s="3">
        <f>IFERROR(__xludf.DUMMYFUNCTION("GOOGLETRANSLATE(B419,""vi"",""en"")"),"Add level 2 classification")</f>
        <v/>
      </c>
      <c r="E419" s="3">
        <f>IF(C419&lt;&gt;"",C419, D419)</f>
        <v/>
      </c>
      <c r="F419" s="3" t="n"/>
      <c r="G419" s="3">
        <f>IFERROR(__xludf.DUMMYFUNCTION("GOOGLETRANSLATE(B419,""vi"",""km"")"),"បន្ថែមចំណាត់ថ្នាក់កម្រិត 2")</f>
        <v/>
      </c>
      <c r="H419" s="3" t="inlineStr">
        <is>
          <t>បន្ថែមចំណាត់ថ្នាក់កម្រិត 2</t>
        </is>
      </c>
      <c r="I419" s="3" t="n"/>
      <c r="J419" s="3">
        <f>IFERROR(__xludf.DUMMYFUNCTION("GOOGLETRANSLATE(B419,""vi"",""lo"")"),"ເພີ່ມການຈັດປະເພດລະດັບ 2")</f>
        <v/>
      </c>
      <c r="K419" s="3">
        <f>IF(I419&lt;&gt;"",I419, J419)</f>
        <v/>
      </c>
      <c r="L419" s="3" t="inlineStr">
        <is>
          <t>បន្ថែមចំណាត់ថ្នាក់កម្រិត 2</t>
        </is>
      </c>
      <c r="M419" s="3" t="n"/>
      <c r="N419" s="3" t="inlineStr">
        <is>
          <t>"settingComplaint.feedbackCategorySetup.addFeedbackLevel2": "Add Level 2 Category",</t>
        </is>
      </c>
      <c r="O419" s="3" t="n"/>
      <c r="P419" s="3" t="n"/>
      <c r="Q419" s="3" t="n"/>
      <c r="R419" s="3" t="n"/>
      <c r="S419" s="3" t="n"/>
      <c r="T419" s="3" t="n"/>
      <c r="U419" s="3" t="n"/>
      <c r="V419" s="3" t="n"/>
      <c r="W419" s="3" t="n"/>
      <c r="X419" s="3" t="n"/>
      <c r="Y419" s="3" t="n"/>
      <c r="Z419" s="3" t="n"/>
      <c r="AA419" s="3" t="n"/>
    </row>
    <row r="420">
      <c r="A420" s="3" t="inlineStr">
        <is>
          <t>settingComplaint.feedbackCategorySetup.createdAt</t>
        </is>
      </c>
      <c r="B420" s="3" t="inlineStr">
        <is>
          <t>Ngày giờ chỉnh sửa</t>
        </is>
      </c>
      <c r="C420" s="3" t="inlineStr">
        <is>
          <t>Updated Date &amp; Time</t>
        </is>
      </c>
      <c r="D420" s="3">
        <f>IFERROR(__xludf.DUMMYFUNCTION("GOOGLETRANSLATE(B420,""vi"",""en"")"),"Date and time of editing")</f>
        <v/>
      </c>
      <c r="E420" s="3">
        <f>IF(C420&lt;&gt;"",C420, D420)</f>
        <v/>
      </c>
      <c r="F420" s="3" t="n"/>
      <c r="G420" s="3">
        <f>IFERROR(__xludf.DUMMYFUNCTION("GOOGLETRANSLATE(B420,""vi"",""km"")"),"កាលបរិច្ឆេទ និងពេលវេលានៃការកែសម្រួល")</f>
        <v/>
      </c>
      <c r="H420" s="3" t="inlineStr">
        <is>
          <t>កាលបរិច្ឆេទ និងពេលវេលានៃការកែសម្រួល</t>
        </is>
      </c>
      <c r="I420" s="3" t="n"/>
      <c r="J420" s="3">
        <f>IFERROR(__xludf.DUMMYFUNCTION("GOOGLETRANSLATE(B420,""vi"",""lo"")"),"ວັນທີ ແລະ ເວລາຂອງການແກ້ໄຂ")</f>
        <v/>
      </c>
      <c r="K420" s="3">
        <f>IF(I420&lt;&gt;"",I420, J420)</f>
        <v/>
      </c>
      <c r="L420" s="3" t="inlineStr">
        <is>
          <t>កាលបរិច្ឆេទ និងពេលវេលានៃការកែសម្រួល</t>
        </is>
      </c>
      <c r="M420" s="3" t="n"/>
      <c r="N420" s="3" t="inlineStr">
        <is>
          <t>"settingComplaint.feedbackCategorySetup.createdAt": "Updated Date &amp; Time",</t>
        </is>
      </c>
      <c r="O420" s="3" t="n"/>
      <c r="P420" s="3" t="n"/>
      <c r="Q420" s="3" t="n"/>
      <c r="R420" s="3" t="n"/>
      <c r="S420" s="3" t="n"/>
      <c r="T420" s="3" t="n"/>
      <c r="U420" s="3" t="n"/>
      <c r="V420" s="3" t="n"/>
      <c r="W420" s="3" t="n"/>
      <c r="X420" s="3" t="n"/>
      <c r="Y420" s="3" t="n"/>
      <c r="Z420" s="3" t="n"/>
      <c r="AA420" s="3" t="n"/>
    </row>
    <row r="421">
      <c r="A421" s="3" t="inlineStr">
        <is>
          <t>settingComplaint.feedbackCategorySetup.createdBy</t>
        </is>
      </c>
      <c r="B421" s="3" t="inlineStr">
        <is>
          <t>Người chỉnh sửa</t>
        </is>
      </c>
      <c r="C421" s="3" t="inlineStr">
        <is>
          <t>Updated by</t>
        </is>
      </c>
      <c r="D421" s="3">
        <f>IFERROR(__xludf.DUMMYFUNCTION("GOOGLETRANSLATE(B421,""vi"",""en"")"),"Editor")</f>
        <v/>
      </c>
      <c r="E421" s="3">
        <f>IF(C421&lt;&gt;"",C421, D421)</f>
        <v/>
      </c>
      <c r="F421" s="3" t="n"/>
      <c r="G421" s="3">
        <f>IFERROR(__xludf.DUMMYFUNCTION("GOOGLETRANSLATE(B421,""vi"",""km"")"),"អ្នកកែសម្រួល")</f>
        <v/>
      </c>
      <c r="H421" s="3" t="inlineStr">
        <is>
          <t>អ្នកកែសម្រួល</t>
        </is>
      </c>
      <c r="I421" s="3" t="n"/>
      <c r="J421" s="3">
        <f>IFERROR(__xludf.DUMMYFUNCTION("GOOGLETRANSLATE(B421,""vi"",""lo"")"),"ບັນນາທິການ")</f>
        <v/>
      </c>
      <c r="K421" s="3">
        <f>IF(I421&lt;&gt;"",I421, J421)</f>
        <v/>
      </c>
      <c r="L421" s="3" t="inlineStr">
        <is>
          <t>អ្នកកែសម្រួល</t>
        </is>
      </c>
      <c r="M421" s="3" t="n"/>
      <c r="N421" s="3" t="inlineStr">
        <is>
          <t>"settingComplaint.feedbackCategorySetup.createdBy": "Updated by",</t>
        </is>
      </c>
      <c r="O421" s="3" t="n"/>
      <c r="P421" s="3" t="n"/>
      <c r="Q421" s="3" t="n"/>
      <c r="R421" s="3" t="n"/>
      <c r="S421" s="3" t="n"/>
      <c r="T421" s="3" t="n"/>
      <c r="U421" s="3" t="n"/>
      <c r="V421" s="3" t="n"/>
      <c r="W421" s="3" t="n"/>
      <c r="X421" s="3" t="n"/>
      <c r="Y421" s="3" t="n"/>
      <c r="Z421" s="3" t="n"/>
      <c r="AA421" s="3" t="n"/>
    </row>
    <row r="422">
      <c r="A422" s="3" t="inlineStr">
        <is>
          <t>settingComplaint.feedbackCategorySetup.editFeedbackLevel1</t>
        </is>
      </c>
      <c r="B422" s="3" t="inlineStr">
        <is>
          <t>Chỉnh sửa phân loại phản ánh cấp 1</t>
        </is>
      </c>
      <c r="C422" s="3" t="inlineStr">
        <is>
          <t>Edit Level 1 Category</t>
        </is>
      </c>
      <c r="D422" s="3">
        <f>IFERROR(__xludf.DUMMYFUNCTION("GOOGLETRANSLATE(B422,""vi"",""en"")"),"Edit the classification to reflect level 1.")</f>
        <v/>
      </c>
      <c r="E422" s="3">
        <f>IF(C422&lt;&gt;"",C422, D422)</f>
        <v/>
      </c>
      <c r="F422" s="3" t="n"/>
      <c r="G422" s="3">
        <f>IFERROR(__xludf.DUMMYFUNCTION("GOOGLETRANSLATE(B422,""vi"",""km"")"),"កែសម្រួលចំណាត់ថ្នាក់ដើម្បីឆ្លុះបញ្ចាំងពីកម្រិតទី 1។")</f>
        <v/>
      </c>
      <c r="H422" s="3" t="inlineStr">
        <is>
          <t>កែសម្រួលចំណាត់ថ្នាក់ដើម្បីឆ្លុះបញ្ចាំងពីកម្រិតទី 1។</t>
        </is>
      </c>
      <c r="I422" s="3" t="n"/>
      <c r="J422" s="3">
        <f>IFERROR(__xludf.DUMMYFUNCTION("GOOGLETRANSLATE(B422,""vi"",""lo"")"),"ແກ້ໄຂການຈັດປະເພດເພື່ອສະທ້ອນເຖິງລະດັບ 1.")</f>
        <v/>
      </c>
      <c r="K422" s="3">
        <f>IF(I422&lt;&gt;"",I422, J422)</f>
        <v/>
      </c>
      <c r="L422" s="3" t="inlineStr">
        <is>
          <t>កែសម្រួលចំណាត់ថ្នាក់ដើម្បីឆ្លុះបញ្ចាំងពីកម្រិតទី 1។</t>
        </is>
      </c>
      <c r="M422" s="3" t="n"/>
      <c r="N422" s="3" t="inlineStr">
        <is>
          <t>"settingComplaint.feedbackCategorySetup.editFeedbackLevel1": "Edit Level 1 Category",</t>
        </is>
      </c>
      <c r="O422" s="3" t="n"/>
      <c r="P422" s="3" t="n"/>
      <c r="Q422" s="3" t="n"/>
      <c r="R422" s="3" t="n"/>
      <c r="S422" s="3" t="n"/>
      <c r="T422" s="3" t="n"/>
      <c r="U422" s="3" t="n"/>
      <c r="V422" s="3" t="n"/>
      <c r="W422" s="3" t="n"/>
      <c r="X422" s="3" t="n"/>
      <c r="Y422" s="3" t="n"/>
      <c r="Z422" s="3" t="n"/>
      <c r="AA422" s="3" t="n"/>
    </row>
    <row r="423">
      <c r="A423" s="3" t="inlineStr">
        <is>
          <t>settingComplaint.feedbackCategorySetup.editFeedbackLevel2</t>
        </is>
      </c>
      <c r="B423" s="3" t="inlineStr">
        <is>
          <t>Chỉnh sửa phân loại phản ánh cấp 2</t>
        </is>
      </c>
      <c r="C423" s="3" t="inlineStr">
        <is>
          <t>Edit Level 2 Category</t>
        </is>
      </c>
      <c r="D423" s="3">
        <f>IFERROR(__xludf.DUMMYFUNCTION("GOOGLETRANSLATE(B423,""vi"",""en"")"),"Edit the classification to reflect level 2.")</f>
        <v/>
      </c>
      <c r="E423" s="3">
        <f>IF(C423&lt;&gt;"",C423, D423)</f>
        <v/>
      </c>
      <c r="F423" s="3" t="n"/>
      <c r="G423" s="3">
        <f>IFERROR(__xludf.DUMMYFUNCTION("GOOGLETRANSLATE(B423,""vi"",""km"")"),"កែសម្រួលចំណាត់ថ្នាក់ដើម្បីឆ្លុះបញ្ចាំងពីកម្រិតទី 2។")</f>
        <v/>
      </c>
      <c r="H423" s="3" t="inlineStr">
        <is>
          <t>កែសម្រួលចំណាត់ថ្នាក់ដើម្បីឆ្លុះបញ្ចាំងពីកម្រិតទី 2។</t>
        </is>
      </c>
      <c r="I423" s="3" t="n"/>
      <c r="J423" s="3">
        <f>IFERROR(__xludf.DUMMYFUNCTION("GOOGLETRANSLATE(B423,""vi"",""lo"")"),"ແກ້ໄຂການຈັດປະເພດເພື່ອສະທ້ອນເຖິງລະດັບ 2.")</f>
        <v/>
      </c>
      <c r="K423" s="3">
        <f>IF(I423&lt;&gt;"",I423, J423)</f>
        <v/>
      </c>
      <c r="L423" s="3" t="inlineStr">
        <is>
          <t>កែសម្រួលចំណាត់ថ្នាក់ដើម្បីឆ្លុះបញ្ចាំងពីកម្រិតទី 2។</t>
        </is>
      </c>
      <c r="M423" s="3" t="n"/>
      <c r="N423" s="3" t="inlineStr">
        <is>
          <t>"settingComplaint.feedbackCategorySetup.editFeedbackLevel2": "Edit Level 2 Category",</t>
        </is>
      </c>
      <c r="O423" s="3" t="n"/>
      <c r="P423" s="3" t="n"/>
      <c r="Q423" s="3" t="n"/>
      <c r="R423" s="3" t="n"/>
      <c r="S423" s="3" t="n"/>
      <c r="T423" s="3" t="n"/>
      <c r="U423" s="3" t="n"/>
      <c r="V423" s="3" t="n"/>
      <c r="W423" s="3" t="n"/>
      <c r="X423" s="3" t="n"/>
      <c r="Y423" s="3" t="n"/>
      <c r="Z423" s="3" t="n"/>
      <c r="AA423" s="3" t="n"/>
    </row>
    <row r="424">
      <c r="A424" s="3" t="inlineStr">
        <is>
          <t>settingComplaint.feedbackCategorySetup.errorCause</t>
        </is>
      </c>
      <c r="B424" s="3" t="inlineStr">
        <is>
          <t>Nguyên nhân mắc lỗi</t>
        </is>
      </c>
      <c r="C424" s="3" t="inlineStr">
        <is>
          <t>Reasons for the error</t>
        </is>
      </c>
      <c r="D424" s="3">
        <f>IFERROR(__xludf.DUMMYFUNCTION("GOOGLETRANSLATE(B424,""vi"",""en"")"),"Reasons for the error")</f>
        <v/>
      </c>
      <c r="E424" s="3">
        <f>IF(C424&lt;&gt;"",C424, D424)</f>
        <v/>
      </c>
      <c r="F424" s="3" t="n"/>
      <c r="G424" s="3">
        <f>IFERROR(__xludf.DUMMYFUNCTION("GOOGLETRANSLATE(B424,""vi"",""km"")"),"មូលហេតុនៃកំហុស")</f>
        <v/>
      </c>
      <c r="H424" s="3" t="inlineStr">
        <is>
          <t>មូលហេតុនៃកំហុស</t>
        </is>
      </c>
      <c r="I424" s="3" t="n"/>
      <c r="J424" s="3">
        <f>IFERROR(__xludf.DUMMYFUNCTION("GOOGLETRANSLATE(B424,""vi"",""lo"")"),"ເຫດຜົນສຳລັບຄວາມຜິດພາດ")</f>
        <v/>
      </c>
      <c r="K424" s="3">
        <f>IF(I424&lt;&gt;"",I424, J424)</f>
        <v/>
      </c>
      <c r="L424" s="3" t="inlineStr">
        <is>
          <t>មូលហេតុនៃកំហុស</t>
        </is>
      </c>
      <c r="M424" s="3" t="n"/>
      <c r="N424" s="3" t="inlineStr">
        <is>
          <t>"settingComplaint.feedbackCategorySetup.errorCause": "Reasons for the error",</t>
        </is>
      </c>
      <c r="O424" s="3" t="n"/>
      <c r="P424" s="3" t="n"/>
      <c r="Q424" s="3" t="n"/>
      <c r="R424" s="3" t="n"/>
      <c r="S424" s="3" t="n"/>
      <c r="T424" s="3" t="n"/>
      <c r="U424" s="3" t="n"/>
      <c r="V424" s="3" t="n"/>
      <c r="W424" s="3" t="n"/>
      <c r="X424" s="3" t="n"/>
      <c r="Y424" s="3" t="n"/>
      <c r="Z424" s="3" t="n"/>
      <c r="AA424" s="3" t="n"/>
    </row>
    <row r="425">
      <c r="A425" s="3" t="inlineStr">
        <is>
          <t>settingComplaint.feedbackCategorySetup.feedbackLevel1</t>
        </is>
      </c>
      <c r="B425" s="3" t="inlineStr">
        <is>
          <t>Cấu hình phân loại cấp 1</t>
        </is>
      </c>
      <c r="C425" s="3" t="inlineStr">
        <is>
          <t>Level 1 Category Configuration</t>
        </is>
      </c>
      <c r="D425" s="3">
        <f>IFERROR(__xludf.DUMMYFUNCTION("GOOGLETRANSLATE(B425,""vi"",""en"")"),"Level 1 classification configuration")</f>
        <v/>
      </c>
      <c r="E425" s="3">
        <f>IF(C425&lt;&gt;"",C425, D425)</f>
        <v/>
      </c>
      <c r="F425" s="3" t="n"/>
      <c r="G425" s="3">
        <f>IFERROR(__xludf.DUMMYFUNCTION("GOOGLETRANSLATE(B425,""vi"",""km"")"),"ការកំណត់រចនាសម្ព័ន្ធចំណាត់ថ្នាក់កម្រិតទី 1")</f>
        <v/>
      </c>
      <c r="H425" s="3" t="inlineStr">
        <is>
          <t>ការកំណត់រចនាសម្ព័ន្ធចំណាត់ថ្នាក់កម្រិតទី 1</t>
        </is>
      </c>
      <c r="I425" s="3" t="n"/>
      <c r="J425" s="3">
        <f>IFERROR(__xludf.DUMMYFUNCTION("GOOGLETRANSLATE(B425,""vi"",""lo"")"),"ການຕັ້ງຄ່າການຈັດປະເພດລະດັບ 1")</f>
        <v/>
      </c>
      <c r="K425" s="3">
        <f>IF(I425&lt;&gt;"",I425, J425)</f>
        <v/>
      </c>
      <c r="L425" s="3" t="inlineStr">
        <is>
          <t>ការកំណត់រចនាសម្ព័ន្ធចំណាត់ថ្នាក់កម្រិតទី 1</t>
        </is>
      </c>
      <c r="M425" s="3" t="n"/>
      <c r="N425" s="3" t="inlineStr">
        <is>
          <t>"settingComplaint.feedbackCategorySetup.feedbackLevel1": "Level 1 Category Configuration",</t>
        </is>
      </c>
      <c r="O425" s="3" t="n"/>
      <c r="P425" s="3" t="n"/>
      <c r="Q425" s="3" t="n"/>
      <c r="R425" s="3" t="n"/>
      <c r="S425" s="3" t="n"/>
      <c r="T425" s="3" t="n"/>
      <c r="U425" s="3" t="n"/>
      <c r="V425" s="3" t="n"/>
      <c r="W425" s="3" t="n"/>
      <c r="X425" s="3" t="n"/>
      <c r="Y425" s="3" t="n"/>
      <c r="Z425" s="3" t="n"/>
      <c r="AA425" s="3" t="n"/>
    </row>
    <row r="426">
      <c r="A426" s="3" t="inlineStr">
        <is>
          <t>settingComplaint.feedbackCategorySetup.feedbackLevel1Code</t>
        </is>
      </c>
      <c r="B426" s="3" t="inlineStr">
        <is>
          <t>Mã PL cấp 1</t>
        </is>
      </c>
      <c r="C426" s="3" t="inlineStr">
        <is>
          <t>Level 1 Category Code</t>
        </is>
      </c>
      <c r="D426" s="3">
        <f>IFERROR(__xludf.DUMMYFUNCTION("GOOGLETRANSLATE(B426,""vi"",""en"")"),"Level 1 PL Code")</f>
        <v/>
      </c>
      <c r="E426" s="3">
        <f>IF(C426&lt;&gt;"",C426, D426)</f>
        <v/>
      </c>
      <c r="F426" s="3" t="n"/>
      <c r="G426" s="3">
        <f>IFERROR(__xludf.DUMMYFUNCTION("GOOGLETRANSLATE(B426,""vi"",""km"")"),"លេខកូដ PL កម្រិត 1")</f>
        <v/>
      </c>
      <c r="H426" s="3" t="inlineStr">
        <is>
          <t>លេខកូដ PL កម្រិត 1</t>
        </is>
      </c>
      <c r="I426" s="3" t="n"/>
      <c r="J426" s="3">
        <f>IFERROR(__xludf.DUMMYFUNCTION("GOOGLETRANSLATE(B426,""vi"",""lo"")"),"ລະຫັດ PL ລະດັບ 1")</f>
        <v/>
      </c>
      <c r="K426" s="3">
        <f>IF(I426&lt;&gt;"",I426, J426)</f>
        <v/>
      </c>
      <c r="L426" s="3" t="inlineStr">
        <is>
          <t>លេខកូដ PL កម្រិត 1</t>
        </is>
      </c>
      <c r="M426" s="3" t="n"/>
      <c r="N426" s="3" t="inlineStr">
        <is>
          <t>"settingComplaint.feedbackCategorySetup.feedbackLevel1Code": "Level 1 Category Code",</t>
        </is>
      </c>
      <c r="O426" s="3" t="n"/>
      <c r="P426" s="3" t="n"/>
      <c r="Q426" s="3" t="n"/>
      <c r="R426" s="3" t="n"/>
      <c r="S426" s="3" t="n"/>
      <c r="T426" s="3" t="n"/>
      <c r="U426" s="3" t="n"/>
      <c r="V426" s="3" t="n"/>
      <c r="W426" s="3" t="n"/>
      <c r="X426" s="3" t="n"/>
      <c r="Y426" s="3" t="n"/>
      <c r="Z426" s="3" t="n"/>
      <c r="AA426" s="3" t="n"/>
    </row>
    <row r="427">
      <c r="A427" s="3" t="inlineStr">
        <is>
          <t>settingComplaint.feedbackCategorySetup.feedbackLevel1CodeCreate</t>
        </is>
      </c>
      <c r="B427" s="3" t="inlineStr">
        <is>
          <t>Mã phân loại cấp 1</t>
        </is>
      </c>
      <c r="C427" s="3" t="inlineStr">
        <is>
          <t>Level 1 Category Code</t>
        </is>
      </c>
      <c r="D427" s="3">
        <f>IFERROR(__xludf.DUMMYFUNCTION("GOOGLETRANSLATE(B427,""vi"",""en"")"),"Level 1 classification code")</f>
        <v/>
      </c>
      <c r="E427" s="3">
        <f>IF(C427&lt;&gt;"",C427, D427)</f>
        <v/>
      </c>
      <c r="F427" s="3" t="n"/>
      <c r="G427" s="3">
        <f>IFERROR(__xludf.DUMMYFUNCTION("GOOGLETRANSLATE(B427,""vi"",""km"")"),"លេខកូដចំណាត់ថ្នាក់កម្រិតទី 1")</f>
        <v/>
      </c>
      <c r="H427" s="3" t="inlineStr">
        <is>
          <t>លេខកូដចំណាត់ថ្នាក់កម្រិតទី 1</t>
        </is>
      </c>
      <c r="I427" s="3" t="n"/>
      <c r="J427" s="3">
        <f>IFERROR(__xludf.DUMMYFUNCTION("GOOGLETRANSLATE(B427,""vi"",""lo"")"),"ລະຫັດການຈັດປະເພດລະດັບ 1")</f>
        <v/>
      </c>
      <c r="K427" s="3">
        <f>IF(I427&lt;&gt;"",I427, J427)</f>
        <v/>
      </c>
      <c r="L427" s="3" t="inlineStr">
        <is>
          <t>លេខកូដចំណាត់ថ្នាក់កម្រិតទី 1</t>
        </is>
      </c>
      <c r="M427" s="3" t="n"/>
      <c r="N427" s="3" t="inlineStr">
        <is>
          <t>"settingComplaint.feedbackCategorySetup.feedbackLevel1CodeCreate": "Level 1 Category Code",</t>
        </is>
      </c>
      <c r="O427" s="3" t="n"/>
      <c r="P427" s="3" t="n"/>
      <c r="Q427" s="3" t="n"/>
      <c r="R427" s="3" t="n"/>
      <c r="S427" s="3" t="n"/>
      <c r="T427" s="3" t="n"/>
      <c r="U427" s="3" t="n"/>
      <c r="V427" s="3" t="n"/>
      <c r="W427" s="3" t="n"/>
      <c r="X427" s="3" t="n"/>
      <c r="Y427" s="3" t="n"/>
      <c r="Z427" s="3" t="n"/>
      <c r="AA427" s="3" t="n"/>
    </row>
    <row r="428">
      <c r="A428" s="3" t="inlineStr">
        <is>
          <t>settingComplaint.feedbackCategorySetup.feedbackLevel1Name</t>
        </is>
      </c>
      <c r="B428" s="3" t="inlineStr">
        <is>
          <t>Tên phân loại</t>
        </is>
      </c>
      <c r="C428" s="3" t="inlineStr">
        <is>
          <t>Category Name</t>
        </is>
      </c>
      <c r="D428" s="3">
        <f>IFERROR(__xludf.DUMMYFUNCTION("GOOGLETRANSLATE(B428,""vi"",""en"")"),"Classification name")</f>
        <v/>
      </c>
      <c r="E428" s="3">
        <f>IF(C428&lt;&gt;"",C428, D428)</f>
        <v/>
      </c>
      <c r="F428" s="3" t="n"/>
      <c r="G428" s="3">
        <f>IFERROR(__xludf.DUMMYFUNCTION("GOOGLETRANSLATE(B428,""vi"",""km"")"),"ឈ្មោះ​ចំណាត់ថ្នាក់")</f>
        <v/>
      </c>
      <c r="H428" s="3" t="inlineStr">
        <is>
          <t>ឈ្មោះចំណាត់ថ្នាក់</t>
        </is>
      </c>
      <c r="I428" s="3" t="n"/>
      <c r="J428" s="3">
        <f>IFERROR(__xludf.DUMMYFUNCTION("GOOGLETRANSLATE(B428,""vi"",""lo"")"),"ຊື່ການຈັດປະເພດ")</f>
        <v/>
      </c>
      <c r="K428" s="3">
        <f>IF(I428&lt;&gt;"",I428, J428)</f>
        <v/>
      </c>
      <c r="L428" s="3" t="inlineStr">
        <is>
          <t>ឈ្មោះចំណាត់ថ្នាក់</t>
        </is>
      </c>
      <c r="M428" s="3" t="n"/>
      <c r="N428" s="3" t="inlineStr">
        <is>
          <t>"settingComplaint.feedbackCategorySetup.feedbackLevel1Name": "Category Name",</t>
        </is>
      </c>
      <c r="O428" s="3" t="n"/>
      <c r="P428" s="3" t="n"/>
      <c r="Q428" s="3" t="n"/>
      <c r="R428" s="3" t="n"/>
      <c r="S428" s="3" t="n"/>
      <c r="T428" s="3" t="n"/>
      <c r="U428" s="3" t="n"/>
      <c r="V428" s="3" t="n"/>
      <c r="W428" s="3" t="n"/>
      <c r="X428" s="3" t="n"/>
      <c r="Y428" s="3" t="n"/>
      <c r="Z428" s="3" t="n"/>
      <c r="AA428" s="3" t="n"/>
    </row>
    <row r="429">
      <c r="A429" s="3" t="inlineStr">
        <is>
          <t>settingComplaint.feedbackCategorySetup.feedbackLevel1NameCreate</t>
        </is>
      </c>
      <c r="B429" s="3" t="inlineStr">
        <is>
          <t>Tên phân loại cấp 1</t>
        </is>
      </c>
      <c r="C429" s="3" t="inlineStr">
        <is>
          <t>Name of Level 1 Issue Category</t>
        </is>
      </c>
      <c r="D429" s="3">
        <f>IFERROR(__xludf.DUMMYFUNCTION("GOOGLETRANSLATE(B429,""vi"",""en"")"),"Taxonomic name level 1")</f>
        <v/>
      </c>
      <c r="E429" s="3">
        <f>IF(C429&lt;&gt;"",C429, D429)</f>
        <v/>
      </c>
      <c r="F429" s="3" t="n"/>
      <c r="G429" s="3">
        <f>IFERROR(__xludf.DUMMYFUNCTION("GOOGLETRANSLATE(B429,""vi"",""km"")"),"ឈ្មោះ​ថ្នាក់​វិទ្យា​កម្រិត 1")</f>
        <v/>
      </c>
      <c r="H429" s="3" t="inlineStr">
        <is>
          <t>ឈ្មោះថ្នាក់វិទ្យាកម្រិត 1</t>
        </is>
      </c>
      <c r="I429" s="3" t="n"/>
      <c r="J429" s="3">
        <f>IFERROR(__xludf.DUMMYFUNCTION("GOOGLETRANSLATE(B429,""vi"",""lo"")"),"ຊື່ທາງດ້ານການຈັດປະເພດລະດັບ 1")</f>
        <v/>
      </c>
      <c r="K429" s="3">
        <f>IF(I429&lt;&gt;"",I429, J429)</f>
        <v/>
      </c>
      <c r="L429" s="3" t="inlineStr">
        <is>
          <t>ឈ្មោះថ្នាក់វិទ្យាកម្រិត 1</t>
        </is>
      </c>
      <c r="M429" s="3" t="n"/>
      <c r="N429" s="3" t="inlineStr">
        <is>
          <t>"settingComplaint.feedbackCategorySetup.feedbackLevel1NameCreate": "Name of Level 1 Issue Category",</t>
        </is>
      </c>
      <c r="O429" s="3" t="n"/>
      <c r="P429" s="3" t="n"/>
      <c r="Q429" s="3" t="n"/>
      <c r="R429" s="3" t="n"/>
      <c r="S429" s="3" t="n"/>
      <c r="T429" s="3" t="n"/>
      <c r="U429" s="3" t="n"/>
      <c r="V429" s="3" t="n"/>
      <c r="W429" s="3" t="n"/>
      <c r="X429" s="3" t="n"/>
      <c r="Y429" s="3" t="n"/>
      <c r="Z429" s="3" t="n"/>
      <c r="AA429" s="3" t="n"/>
    </row>
    <row r="430">
      <c r="A430" s="3" t="inlineStr">
        <is>
          <t>settingComplaint.feedbackCategorySetup.feedbackLevel1NameFilter</t>
        </is>
      </c>
      <c r="B430" s="3" t="inlineStr">
        <is>
          <t>Phân loại phản ánh cấp 1</t>
        </is>
      </c>
      <c r="C430" s="3" t="inlineStr">
        <is>
          <t>Level 1 ssue Category</t>
        </is>
      </c>
      <c r="D430" s="3">
        <f>IFERROR(__xludf.DUMMYFUNCTION("GOOGLETRANSLATE(B430,""vi"",""en"")"),"Classification reflects level 1")</f>
        <v/>
      </c>
      <c r="E430" s="3">
        <f>IF(C430&lt;&gt;"",C430, D430)</f>
        <v/>
      </c>
      <c r="F430" s="3" t="n"/>
      <c r="G430" s="3">
        <f>IFERROR(__xludf.DUMMYFUNCTION("GOOGLETRANSLATE(B430,""vi"",""km"")"),"ចំណាត់ថ្នាក់ឆ្លុះបញ្ចាំងពីកម្រិតទី 1")</f>
        <v/>
      </c>
      <c r="H430" s="3" t="inlineStr">
        <is>
          <t>ចំណាត់ថ្នាក់ឆ្លុះបញ្ចាំងពីកម្រិតទី 1</t>
        </is>
      </c>
      <c r="I430" s="3" t="n"/>
      <c r="J430" s="3">
        <f>IFERROR(__xludf.DUMMYFUNCTION("GOOGLETRANSLATE(B430,""vi"",""lo"")"),"ການຈັດປະເພດສະທ້ອນໃຫ້ເຫັນລະດັບ 1")</f>
        <v/>
      </c>
      <c r="K430" s="3">
        <f>IF(I430&lt;&gt;"",I430, J430)</f>
        <v/>
      </c>
      <c r="L430" s="3" t="inlineStr">
        <is>
          <t>ចំណាត់ថ្នាក់ឆ្លុះបញ្ចាំងពីកម្រិតទី 1</t>
        </is>
      </c>
      <c r="M430" s="3" t="n"/>
      <c r="N430" s="3" t="inlineStr">
        <is>
          <t>"settingComplaint.feedbackCategorySetup.feedbackLevel1NameFilter": "Level 1 ssue Category",</t>
        </is>
      </c>
      <c r="O430" s="3" t="n"/>
      <c r="P430" s="3" t="n"/>
      <c r="Q430" s="3" t="n"/>
      <c r="R430" s="3" t="n"/>
      <c r="S430" s="3" t="n"/>
      <c r="T430" s="3" t="n"/>
      <c r="U430" s="3" t="n"/>
      <c r="V430" s="3" t="n"/>
      <c r="W430" s="3" t="n"/>
      <c r="X430" s="3" t="n"/>
      <c r="Y430" s="3" t="n"/>
      <c r="Z430" s="3" t="n"/>
      <c r="AA430" s="3" t="n"/>
    </row>
    <row r="431">
      <c r="A431" s="3" t="inlineStr">
        <is>
          <t>settingComplaint.feedbackCategorySetup.feedbackLevel2</t>
        </is>
      </c>
      <c r="B431" s="3" t="inlineStr">
        <is>
          <t>Cấu hình phân loại cấp 2</t>
        </is>
      </c>
      <c r="C431" s="3" t="inlineStr">
        <is>
          <t>Level 2 Category Configuration</t>
        </is>
      </c>
      <c r="D431" s="3">
        <f>IFERROR(__xludf.DUMMYFUNCTION("GOOGLETRANSLATE(B431,""vi"",""en"")"),"Level 2 classification configuration")</f>
        <v/>
      </c>
      <c r="E431" s="3">
        <f>IF(C431&lt;&gt;"",C431, D431)</f>
        <v/>
      </c>
      <c r="F431" s="3" t="n"/>
      <c r="G431" s="3">
        <f>IFERROR(__xludf.DUMMYFUNCTION("GOOGLETRANSLATE(B431,""vi"",""km"")"),"ការកំណត់រចនាសម្ព័ន្ធចំណាត់ថ្នាក់កម្រិតទី 2")</f>
        <v/>
      </c>
      <c r="H431" s="3" t="inlineStr">
        <is>
          <t>ការកំណត់រចនាសម្ព័ន្ធចំណាត់ថ្នាក់កម្រិតទី 2</t>
        </is>
      </c>
      <c r="I431" s="3" t="n"/>
      <c r="J431" s="3">
        <f>IFERROR(__xludf.DUMMYFUNCTION("GOOGLETRANSLATE(B431,""vi"",""lo"")"),"ການຕັ້ງຄ່າການຈັດປະເພດລະດັບ 2")</f>
        <v/>
      </c>
      <c r="K431" s="3">
        <f>IF(I431&lt;&gt;"",I431, J431)</f>
        <v/>
      </c>
      <c r="L431" s="3" t="inlineStr">
        <is>
          <t>ការកំណត់រចនាសម្ព័ន្ធចំណាត់ថ្នាក់កម្រិតទី 2</t>
        </is>
      </c>
      <c r="M431" s="3" t="n"/>
      <c r="N431" s="3" t="inlineStr">
        <is>
          <t>"settingComplaint.feedbackCategorySetup.feedbackLevel2": "Level 2 Category Configuration",</t>
        </is>
      </c>
      <c r="O431" s="3" t="n"/>
      <c r="P431" s="3" t="n"/>
      <c r="Q431" s="3" t="n"/>
      <c r="R431" s="3" t="n"/>
      <c r="S431" s="3" t="n"/>
      <c r="T431" s="3" t="n"/>
      <c r="U431" s="3" t="n"/>
      <c r="V431" s="3" t="n"/>
      <c r="W431" s="3" t="n"/>
      <c r="X431" s="3" t="n"/>
      <c r="Y431" s="3" t="n"/>
      <c r="Z431" s="3" t="n"/>
      <c r="AA431" s="3" t="n"/>
    </row>
    <row r="432">
      <c r="A432" s="3" t="inlineStr">
        <is>
          <t>settingComplaint.feedbackCategorySetup.feedbackLevel2Code</t>
        </is>
      </c>
      <c r="B432" s="3" t="inlineStr">
        <is>
          <t>Mã PL cấp 2</t>
        </is>
      </c>
      <c r="C432" s="3" t="inlineStr">
        <is>
          <t>Level 2 Category Code</t>
        </is>
      </c>
      <c r="D432" s="3">
        <f>IFERROR(__xludf.DUMMYFUNCTION("GOOGLETRANSLATE(B432,""vi"",""en"")"),"Level 2 PL Code")</f>
        <v/>
      </c>
      <c r="E432" s="3">
        <f>IF(C432&lt;&gt;"",C432, D432)</f>
        <v/>
      </c>
      <c r="F432" s="3" t="n"/>
      <c r="G432" s="3">
        <f>IFERROR(__xludf.DUMMYFUNCTION("GOOGLETRANSLATE(B432,""vi"",""km"")"),"លេខកូដ PL កម្រិត 2")</f>
        <v/>
      </c>
      <c r="H432" s="3" t="inlineStr">
        <is>
          <t>លេខកូដ PL កម្រិត 2</t>
        </is>
      </c>
      <c r="I432" s="3" t="n"/>
      <c r="J432" s="3">
        <f>IFERROR(__xludf.DUMMYFUNCTION("GOOGLETRANSLATE(B432,""vi"",""lo"")"),"ລະຫັດ PL ລະດັບ 2")</f>
        <v/>
      </c>
      <c r="K432" s="3">
        <f>IF(I432&lt;&gt;"",I432, J432)</f>
        <v/>
      </c>
      <c r="L432" s="3" t="inlineStr">
        <is>
          <t>លេខកូដ PL កម្រិត 2</t>
        </is>
      </c>
      <c r="M432" s="3" t="n"/>
      <c r="N432" s="3" t="inlineStr">
        <is>
          <t>"settingComplaint.feedbackCategorySetup.feedbackLevel2Code": "Level 2 Category Code",</t>
        </is>
      </c>
      <c r="O432" s="3" t="n"/>
      <c r="P432" s="3" t="n"/>
      <c r="Q432" s="3" t="n"/>
      <c r="R432" s="3" t="n"/>
      <c r="S432" s="3" t="n"/>
      <c r="T432" s="3" t="n"/>
      <c r="U432" s="3" t="n"/>
      <c r="V432" s="3" t="n"/>
      <c r="W432" s="3" t="n"/>
      <c r="X432" s="3" t="n"/>
      <c r="Y432" s="3" t="n"/>
      <c r="Z432" s="3" t="n"/>
      <c r="AA432" s="3" t="n"/>
    </row>
    <row r="433">
      <c r="A433" s="3" t="inlineStr">
        <is>
          <t>settingComplaint.feedbackCategorySetup.feedbackLevel2CodeCreate</t>
        </is>
      </c>
      <c r="B433" s="3" t="inlineStr">
        <is>
          <t>Mã phân loại cấp 2</t>
        </is>
      </c>
      <c r="C433" s="3" t="inlineStr">
        <is>
          <t>Level 2 Category Code</t>
        </is>
      </c>
      <c r="D433" s="3">
        <f>IFERROR(__xludf.DUMMYFUNCTION("GOOGLETRANSLATE(B433,""vi"",""en"")"),"Level 2 classification code")</f>
        <v/>
      </c>
      <c r="E433" s="3">
        <f>IF(C433&lt;&gt;"",C433, D433)</f>
        <v/>
      </c>
      <c r="F433" s="3" t="n"/>
      <c r="G433" s="3">
        <f>IFERROR(__xludf.DUMMYFUNCTION("GOOGLETRANSLATE(B433,""vi"",""km"")"),"លេខកូដចំណាត់ថ្នាក់កម្រិតទី 2")</f>
        <v/>
      </c>
      <c r="H433" s="3" t="inlineStr">
        <is>
          <t>លេខកូដចំណាត់ថ្នាក់កម្រិតទី 2</t>
        </is>
      </c>
      <c r="I433" s="3" t="n"/>
      <c r="J433" s="3">
        <f>IFERROR(__xludf.DUMMYFUNCTION("GOOGLETRANSLATE(B433,""vi"",""lo"")"),"ລະຫັດການຈັດປະເພດລະດັບ 2")</f>
        <v/>
      </c>
      <c r="K433" s="3">
        <f>IF(I433&lt;&gt;"",I433, J433)</f>
        <v/>
      </c>
      <c r="L433" s="3" t="inlineStr">
        <is>
          <t>លេខកូដចំណាត់ថ្នាក់កម្រិតទី 2</t>
        </is>
      </c>
      <c r="M433" s="3" t="n"/>
      <c r="N433" s="3" t="inlineStr">
        <is>
          <t>"settingComplaint.feedbackCategorySetup.feedbackLevel2CodeCreate": "Level 2 Category Code",</t>
        </is>
      </c>
      <c r="O433" s="3" t="n"/>
      <c r="P433" s="3" t="n"/>
      <c r="Q433" s="3" t="n"/>
      <c r="R433" s="3" t="n"/>
      <c r="S433" s="3" t="n"/>
      <c r="T433" s="3" t="n"/>
      <c r="U433" s="3" t="n"/>
      <c r="V433" s="3" t="n"/>
      <c r="W433" s="3" t="n"/>
      <c r="X433" s="3" t="n"/>
      <c r="Y433" s="3" t="n"/>
      <c r="Z433" s="3" t="n"/>
      <c r="AA433" s="3" t="n"/>
    </row>
    <row r="434">
      <c r="A434" s="3" t="inlineStr">
        <is>
          <t>settingComplaint.feedbackCategorySetup.feedbackLevel2Name</t>
        </is>
      </c>
      <c r="B434" s="3" t="inlineStr">
        <is>
          <t>Tên phân loại</t>
        </is>
      </c>
      <c r="C434" s="3" t="inlineStr">
        <is>
          <t>Category Name</t>
        </is>
      </c>
      <c r="D434" s="3">
        <f>IFERROR(__xludf.DUMMYFUNCTION("GOOGLETRANSLATE(B434,""vi"",""en"")"),"Classification name")</f>
        <v/>
      </c>
      <c r="E434" s="3">
        <f>IF(C434&lt;&gt;"",C434, D434)</f>
        <v/>
      </c>
      <c r="F434" s="3" t="n"/>
      <c r="G434" s="3">
        <f>IFERROR(__xludf.DUMMYFUNCTION("GOOGLETRANSLATE(B434,""vi"",""km"")"),"ឈ្មោះ​ចំណាត់ថ្នាក់")</f>
        <v/>
      </c>
      <c r="H434" s="3" t="inlineStr">
        <is>
          <t>ឈ្មោះចំណាត់ថ្នាក់</t>
        </is>
      </c>
      <c r="I434" s="3" t="n"/>
      <c r="J434" s="3">
        <f>IFERROR(__xludf.DUMMYFUNCTION("GOOGLETRANSLATE(B434,""vi"",""lo"")"),"ຊື່ການຈັດປະເພດ")</f>
        <v/>
      </c>
      <c r="K434" s="3">
        <f>IF(I434&lt;&gt;"",I434, J434)</f>
        <v/>
      </c>
      <c r="L434" s="3" t="inlineStr">
        <is>
          <t>ឈ្មោះចំណាត់ថ្នាក់</t>
        </is>
      </c>
      <c r="M434" s="3" t="n"/>
      <c r="N434" s="3" t="inlineStr">
        <is>
          <t>"settingComplaint.feedbackCategorySetup.feedbackLevel2Name": "Category Name",</t>
        </is>
      </c>
      <c r="O434" s="3" t="n"/>
      <c r="P434" s="3" t="n"/>
      <c r="Q434" s="3" t="n"/>
      <c r="R434" s="3" t="n"/>
      <c r="S434" s="3" t="n"/>
      <c r="T434" s="3" t="n"/>
      <c r="U434" s="3" t="n"/>
      <c r="V434" s="3" t="n"/>
      <c r="W434" s="3" t="n"/>
      <c r="X434" s="3" t="n"/>
      <c r="Y434" s="3" t="n"/>
      <c r="Z434" s="3" t="n"/>
      <c r="AA434" s="3" t="n"/>
    </row>
    <row r="435">
      <c r="A435" s="3" t="inlineStr">
        <is>
          <t>settingComplaint.feedbackCategorySetup.feedbackLevel2NameCreate</t>
        </is>
      </c>
      <c r="B435" s="3" t="inlineStr">
        <is>
          <t>Tên phân loại cấp 2</t>
        </is>
      </c>
      <c r="C435" s="3" t="inlineStr">
        <is>
          <t>Name of Level 2 Issue Category</t>
        </is>
      </c>
      <c r="D435" s="3">
        <f>IFERROR(__xludf.DUMMYFUNCTION("GOOGLETRANSLATE(B435,""vi"",""en"")"),"Secondary classification name")</f>
        <v/>
      </c>
      <c r="E435" s="3">
        <f>IF(C435&lt;&gt;"",C435, D435)</f>
        <v/>
      </c>
      <c r="F435" s="3" t="n"/>
      <c r="G435" s="3">
        <f>IFERROR(__xludf.DUMMYFUNCTION("GOOGLETRANSLATE(B435,""vi"",""km"")"),"ឈ្មោះចំណាត់ថ្នាក់បន្ទាប់បន្សំ")</f>
        <v/>
      </c>
      <c r="H435" s="3" t="inlineStr">
        <is>
          <t>ឈ្មោះចំណាត់ថ្នាក់បន្ទាប់បន្សំ</t>
        </is>
      </c>
      <c r="I435" s="3" t="n"/>
      <c r="J435" s="3">
        <f>IFERROR(__xludf.DUMMYFUNCTION("GOOGLETRANSLATE(B435,""vi"",""lo"")"),"ຊື່ການຈັດປະເພດທີສອງ")</f>
        <v/>
      </c>
      <c r="K435" s="3">
        <f>IF(I435&lt;&gt;"",I435, J435)</f>
        <v/>
      </c>
      <c r="L435" s="3" t="inlineStr">
        <is>
          <t>ឈ្មោះចំណាត់ថ្នាក់បន្ទាប់បន្សំ</t>
        </is>
      </c>
      <c r="M435" s="3" t="n"/>
      <c r="N435" s="3" t="inlineStr">
        <is>
          <t>"settingComplaint.feedbackCategorySetup.feedbackLevel2NameCreate": "Name of Level 2 Issue Category",</t>
        </is>
      </c>
      <c r="O435" s="3" t="n"/>
      <c r="P435" s="3" t="n"/>
      <c r="Q435" s="3" t="n"/>
      <c r="R435" s="3" t="n"/>
      <c r="S435" s="3" t="n"/>
      <c r="T435" s="3" t="n"/>
      <c r="U435" s="3" t="n"/>
      <c r="V435" s="3" t="n"/>
      <c r="W435" s="3" t="n"/>
      <c r="X435" s="3" t="n"/>
      <c r="Y435" s="3" t="n"/>
      <c r="Z435" s="3" t="n"/>
      <c r="AA435" s="3" t="n"/>
    </row>
    <row r="436">
      <c r="A436" s="3" t="inlineStr">
        <is>
          <t>settingComplaint.feedbackCategorySetup.feedbackLevel2NameFilter</t>
        </is>
      </c>
      <c r="B436" s="3" t="inlineStr">
        <is>
          <t>Phân loại phản ánh cấp 2</t>
        </is>
      </c>
      <c r="C436" s="3" t="inlineStr">
        <is>
          <t>Level 2 ssue Category</t>
        </is>
      </c>
      <c r="D436" s="3">
        <f>IFERROR(__xludf.DUMMYFUNCTION("GOOGLETRANSLATE(B436,""vi"",""en"")"),"Classification reflects level 2")</f>
        <v/>
      </c>
      <c r="E436" s="3">
        <f>IF(C436&lt;&gt;"",C436, D436)</f>
        <v/>
      </c>
      <c r="F436" s="3" t="n"/>
      <c r="G436" s="3">
        <f>IFERROR(__xludf.DUMMYFUNCTION("GOOGLETRANSLATE(B436,""vi"",""km"")"),"ចំណាត់ថ្នាក់ឆ្លុះបញ្ចាំងពីកម្រិតទី 2")</f>
        <v/>
      </c>
      <c r="H436" s="3" t="inlineStr">
        <is>
          <t>ចំណាត់ថ្នាក់ឆ្លុះបញ្ចាំងពីកម្រិតទី 2</t>
        </is>
      </c>
      <c r="I436" s="3" t="n"/>
      <c r="J436" s="3">
        <f>IFERROR(__xludf.DUMMYFUNCTION("GOOGLETRANSLATE(B436,""vi"",""lo"")"),"ການຈັດປະເພດສະທ້ອນໃຫ້ເຫັນເຖິງລະດັບ 2")</f>
        <v/>
      </c>
      <c r="K436" s="3">
        <f>IF(I436&lt;&gt;"",I436, J436)</f>
        <v/>
      </c>
      <c r="L436" s="3" t="inlineStr">
        <is>
          <t>ចំណាត់ថ្នាក់ឆ្លុះបញ្ចាំងពីកម្រិតទី 2</t>
        </is>
      </c>
      <c r="M436" s="3" t="n"/>
      <c r="N436" s="3" t="inlineStr">
        <is>
          <t>"settingComplaint.feedbackCategorySetup.feedbackLevel2NameFilter": "Level 2 ssue Category",</t>
        </is>
      </c>
      <c r="O436" s="3" t="n"/>
      <c r="P436" s="3" t="n"/>
      <c r="Q436" s="3" t="n"/>
      <c r="R436" s="3" t="n"/>
      <c r="S436" s="3" t="n"/>
      <c r="T436" s="3" t="n"/>
      <c r="U436" s="3" t="n"/>
      <c r="V436" s="3" t="n"/>
      <c r="W436" s="3" t="n"/>
      <c r="X436" s="3" t="n"/>
      <c r="Y436" s="3" t="n"/>
      <c r="Z436" s="3" t="n"/>
      <c r="AA436" s="3" t="n"/>
    </row>
    <row r="437">
      <c r="A437" s="3" t="inlineStr">
        <is>
          <t>settingComplaint.feedbackCategorySetup.historyTitle2Dialog</t>
        </is>
      </c>
      <c r="B437" s="3" t="inlineStr">
        <is>
          <t>Lịch sử chỉnh sửa phân loại phản ánh cấp 2</t>
        </is>
      </c>
      <c r="C437" s="3" t="inlineStr">
        <is>
          <t>Level 2 Category Edit History</t>
        </is>
      </c>
      <c r="D437" s="3">
        <f>IFERROR(__xludf.DUMMYFUNCTION("GOOGLETRANSLATE(B437,""vi"",""en"")"),"The history of classification edits reflects level 2.")</f>
        <v/>
      </c>
      <c r="E437" s="3">
        <f>IF(C437&lt;&gt;"",C437, D437)</f>
        <v/>
      </c>
      <c r="F437" s="3" t="n"/>
      <c r="G437" s="3">
        <f>IFERROR(__xludf.DUMMYFUNCTION("GOOGLETRANSLATE(B437,""vi"",""km"")"),"ប្រវត្តិនៃការកែសម្រួលចំណាត់ថ្នាក់ឆ្លុះបញ្ចាំងពីកម្រិតទី 2។")</f>
        <v/>
      </c>
      <c r="H437" s="3" t="inlineStr">
        <is>
          <t>ប្រវត្តិនៃការកែសម្រួលចំណាត់ថ្នាក់ឆ្លុះបញ្ចាំងពីកម្រិតទី 2។</t>
        </is>
      </c>
      <c r="I437" s="3" t="n"/>
      <c r="J437" s="3">
        <f>IFERROR(__xludf.DUMMYFUNCTION("GOOGLETRANSLATE(B437,""vi"",""lo"")"),"ປະຫວັດຂອງການແກ້ໄຂການຈັດປະເພດສະທ້ອນໃຫ້ເຫັນເຖິງລະດັບ 2.")</f>
        <v/>
      </c>
      <c r="K437" s="3">
        <f>IF(I437&lt;&gt;"",I437, J437)</f>
        <v/>
      </c>
      <c r="L437" s="3" t="inlineStr">
        <is>
          <t>ប្រវត្តិនៃការកែសម្រួលចំណាត់ថ្នាក់ឆ្លុះបញ្ចាំងពីកម្រិតទី 2។</t>
        </is>
      </c>
      <c r="M437" s="3" t="n"/>
      <c r="N437" s="3" t="inlineStr">
        <is>
          <t>"settingComplaint.feedbackCategorySetup.historyTitle2Dialog": "Level 2 Category Edit History",</t>
        </is>
      </c>
      <c r="O437" s="3" t="n"/>
      <c r="P437" s="3" t="n"/>
      <c r="Q437" s="3" t="n"/>
      <c r="R437" s="3" t="n"/>
      <c r="S437" s="3" t="n"/>
      <c r="T437" s="3" t="n"/>
      <c r="U437" s="3" t="n"/>
      <c r="V437" s="3" t="n"/>
      <c r="W437" s="3" t="n"/>
      <c r="X437" s="3" t="n"/>
      <c r="Y437" s="3" t="n"/>
      <c r="Z437" s="3" t="n"/>
      <c r="AA437" s="3" t="n"/>
    </row>
    <row r="438">
      <c r="A438" s="3" t="inlineStr">
        <is>
          <t>settingComplaint.feedbackCategorySetup.historyTitleDialog</t>
        </is>
      </c>
      <c r="B438" s="3" t="inlineStr">
        <is>
          <t>Lịch sử chỉnh sửa phân loại phản ánh cấp 1</t>
        </is>
      </c>
      <c r="C438" s="3" t="inlineStr">
        <is>
          <t>Level 1 Category Edit History</t>
        </is>
      </c>
      <c r="D438" s="3">
        <f>IFERROR(__xludf.DUMMYFUNCTION("GOOGLETRANSLATE(B438,""vi"",""en"")"),"The history of classification edits reflects level 1.")</f>
        <v/>
      </c>
      <c r="E438" s="3">
        <f>IF(C438&lt;&gt;"",C438, D438)</f>
        <v/>
      </c>
      <c r="F438" s="3" t="n"/>
      <c r="G438" s="3">
        <f>IFERROR(__xludf.DUMMYFUNCTION("GOOGLETRANSLATE(B438,""vi"",""km"")"),"ប្រវត្តិនៃការកែសម្រួលចំណាត់ថ្នាក់ឆ្លុះបញ្ចាំងពីកម្រិតទី 1។")</f>
        <v/>
      </c>
      <c r="H438" s="3" t="inlineStr">
        <is>
          <t>ប្រវត្តិនៃការកែសម្រួលចំណាត់ថ្នាក់ឆ្លុះបញ្ចាំងពីកម្រិតទី 1។</t>
        </is>
      </c>
      <c r="I438" s="3" t="n"/>
      <c r="J438" s="3">
        <f>IFERROR(__xludf.DUMMYFUNCTION("GOOGLETRANSLATE(B438,""vi"",""lo"")"),"ປະຫວັດຂອງການແກ້ໄຂການຈັດປະເພດສະທ້ອນໃຫ້ເຫັນເຖິງລະດັບ 1.")</f>
        <v/>
      </c>
      <c r="K438" s="3">
        <f>IF(I438&lt;&gt;"",I438, J438)</f>
        <v/>
      </c>
      <c r="L438" s="3" t="inlineStr">
        <is>
          <t>ប្រវត្តិនៃការកែសម្រួលចំណាត់ថ្នាក់ឆ្លុះបញ្ចាំងពីកម្រិតទី 1។</t>
        </is>
      </c>
      <c r="M438" s="3" t="n"/>
      <c r="N438" s="3" t="inlineStr">
        <is>
          <t>"settingComplaint.feedbackCategorySetup.historyTitleDialog": "Level 1 Category Edit History",</t>
        </is>
      </c>
      <c r="O438" s="3" t="n"/>
      <c r="P438" s="3" t="n"/>
      <c r="Q438" s="3" t="n"/>
      <c r="R438" s="3" t="n"/>
      <c r="S438" s="3" t="n"/>
      <c r="T438" s="3" t="n"/>
      <c r="U438" s="3" t="n"/>
      <c r="V438" s="3" t="n"/>
      <c r="W438" s="3" t="n"/>
      <c r="X438" s="3" t="n"/>
      <c r="Y438" s="3" t="n"/>
      <c r="Z438" s="3" t="n"/>
      <c r="AA438" s="3" t="n"/>
    </row>
    <row r="439">
      <c r="A439" s="3" t="inlineStr">
        <is>
          <t>settingComplaint.feedbackCategorySetup.placeholderErrorCause</t>
        </is>
      </c>
      <c r="B439" s="3" t="inlineStr">
        <is>
          <t>Nhập nguyên nhân</t>
        </is>
      </c>
      <c r="C439" s="3" t="inlineStr">
        <is>
          <t>Enter cause</t>
        </is>
      </c>
      <c r="D439" s="3">
        <f>IFERROR(__xludf.DUMMYFUNCTION("GOOGLETRANSLATE(B439,""vi"",""en"")"),"Enter the cause")</f>
        <v/>
      </c>
      <c r="E439" s="3">
        <f>IF(C439&lt;&gt;"",C439, D439)</f>
        <v/>
      </c>
      <c r="F439" s="3" t="n"/>
      <c r="G439" s="3">
        <f>IFERROR(__xludf.DUMMYFUNCTION("GOOGLETRANSLATE(B439,""vi"",""km"")"),"បញ្ចូលមូលហេតុ")</f>
        <v/>
      </c>
      <c r="H439" s="3" t="inlineStr">
        <is>
          <t>បញ្ចូលមូលហេតុ</t>
        </is>
      </c>
      <c r="I439" s="3" t="n"/>
      <c r="J439" s="3">
        <f>IFERROR(__xludf.DUMMYFUNCTION("GOOGLETRANSLATE(B439,""vi"",""lo"")"),"ໃສ່ສາເຫດ")</f>
        <v/>
      </c>
      <c r="K439" s="3">
        <f>IF(I439&lt;&gt;"",I439, J439)</f>
        <v/>
      </c>
      <c r="L439" s="3" t="inlineStr">
        <is>
          <t>បញ្ចូលមូលហេតុ</t>
        </is>
      </c>
      <c r="M439" s="3" t="n"/>
      <c r="N439" s="3" t="inlineStr">
        <is>
          <t>"settingComplaint.feedbackCategorySetup.placeholderErrorCause": "Enter cause",</t>
        </is>
      </c>
      <c r="O439" s="3" t="n"/>
      <c r="P439" s="3" t="n"/>
      <c r="Q439" s="3" t="n"/>
      <c r="R439" s="3" t="n"/>
      <c r="S439" s="3" t="n"/>
      <c r="T439" s="3" t="n"/>
      <c r="U439" s="3" t="n"/>
      <c r="V439" s="3" t="n"/>
      <c r="W439" s="3" t="n"/>
      <c r="X439" s="3" t="n"/>
      <c r="Y439" s="3" t="n"/>
      <c r="Z439" s="3" t="n"/>
      <c r="AA439" s="3" t="n"/>
    </row>
    <row r="440">
      <c r="A440" s="3" t="inlineStr">
        <is>
          <t>settingComplaint.feedbackCategorySetup.placeholderFeedbackLevel1CodeCreate</t>
        </is>
      </c>
      <c r="B440" s="3" t="inlineStr">
        <is>
          <t>Chọn mã</t>
        </is>
      </c>
      <c r="C440" s="3" t="inlineStr">
        <is>
          <t>Slecet code</t>
        </is>
      </c>
      <c r="D440" s="3">
        <f>IFERROR(__xludf.DUMMYFUNCTION("GOOGLETRANSLATE(B440,""vi"",""en"")"),"Select code")</f>
        <v/>
      </c>
      <c r="E440" s="3">
        <f>IF(C440&lt;&gt;"",C440, D440)</f>
        <v/>
      </c>
      <c r="F440" s="3" t="n"/>
      <c r="G440" s="3">
        <f>IFERROR(__xludf.DUMMYFUNCTION("GOOGLETRANSLATE(B440,""vi"",""km"")"),"ជ្រើសរើសលេខកូដ")</f>
        <v/>
      </c>
      <c r="H440" s="3" t="inlineStr">
        <is>
          <t>ជ្រើសរើសលេខកូដ</t>
        </is>
      </c>
      <c r="I440" s="3" t="n"/>
      <c r="J440" s="3">
        <f>IFERROR(__xludf.DUMMYFUNCTION("GOOGLETRANSLATE(B440,""vi"",""lo"")"),"ເລືອກລະຫັດ")</f>
        <v/>
      </c>
      <c r="K440" s="3">
        <f>IF(I440&lt;&gt;"",I440, J440)</f>
        <v/>
      </c>
      <c r="L440" s="3" t="inlineStr">
        <is>
          <t>ជ្រើសរើសលេខកូដ</t>
        </is>
      </c>
      <c r="M440" s="3" t="n"/>
      <c r="N440" s="3" t="inlineStr">
        <is>
          <t>"settingComplaint.feedbackCategorySetup.placeholderFeedbackLevel1CodeCreate": "Slecet code",</t>
        </is>
      </c>
      <c r="O440" s="3" t="n"/>
      <c r="P440" s="3" t="n"/>
      <c r="Q440" s="3" t="n"/>
      <c r="R440" s="3" t="n"/>
      <c r="S440" s="3" t="n"/>
      <c r="T440" s="3" t="n"/>
      <c r="U440" s="3" t="n"/>
      <c r="V440" s="3" t="n"/>
      <c r="W440" s="3" t="n"/>
      <c r="X440" s="3" t="n"/>
      <c r="Y440" s="3" t="n"/>
      <c r="Z440" s="3" t="n"/>
      <c r="AA440" s="3" t="n"/>
    </row>
    <row r="441">
      <c r="A441" s="3" t="inlineStr">
        <is>
          <t>settingComplaint.feedbackCategorySetup.placeholderFeedbackLevel1CodeCreateEnter</t>
        </is>
      </c>
      <c r="B441" s="3" t="inlineStr">
        <is>
          <t>Nhập mã</t>
        </is>
      </c>
      <c r="C441" s="3" t="inlineStr">
        <is>
          <t>Enter code</t>
        </is>
      </c>
      <c r="D441" s="3">
        <f>IFERROR(__xludf.DUMMYFUNCTION("GOOGLETRANSLATE(B441,""vi"",""en"")"),"Enter code")</f>
        <v/>
      </c>
      <c r="E441" s="3">
        <f>IF(C441&lt;&gt;"",C441, D441)</f>
        <v/>
      </c>
      <c r="F441" s="3" t="n"/>
      <c r="G441" s="3">
        <f>IFERROR(__xludf.DUMMYFUNCTION("GOOGLETRANSLATE(B441,""vi"",""km"")"),"បញ្ចូលលេខកូដ")</f>
        <v/>
      </c>
      <c r="H441" s="3" t="inlineStr">
        <is>
          <t>បញ្ចូលលេខកូដ</t>
        </is>
      </c>
      <c r="I441" s="3" t="n"/>
      <c r="J441" s="3">
        <f>IFERROR(__xludf.DUMMYFUNCTION("GOOGLETRANSLATE(B441,""vi"",""lo"")"),"ໃສ່ລະຫັດ")</f>
        <v/>
      </c>
      <c r="K441" s="3">
        <f>IF(I441&lt;&gt;"",I441, J441)</f>
        <v/>
      </c>
      <c r="L441" s="3" t="inlineStr">
        <is>
          <t>បញ្ចូលលេខកូដ</t>
        </is>
      </c>
      <c r="M441" s="3" t="n"/>
      <c r="N441" s="3" t="inlineStr">
        <is>
          <t>"settingComplaint.feedbackCategorySetup.placeholderFeedbackLevel1CodeCreateEnter": "Enter code",</t>
        </is>
      </c>
      <c r="O441" s="3" t="n"/>
      <c r="P441" s="3" t="n"/>
      <c r="Q441" s="3" t="n"/>
      <c r="R441" s="3" t="n"/>
      <c r="S441" s="3" t="n"/>
      <c r="T441" s="3" t="n"/>
      <c r="U441" s="3" t="n"/>
      <c r="V441" s="3" t="n"/>
      <c r="W441" s="3" t="n"/>
      <c r="X441" s="3" t="n"/>
      <c r="Y441" s="3" t="n"/>
      <c r="Z441" s="3" t="n"/>
      <c r="AA441" s="3" t="n"/>
    </row>
    <row r="442">
      <c r="A442" s="3" t="inlineStr">
        <is>
          <t>settingComplaint.feedbackCategorySetup.placeholderFeedbackLevel1NameCreate</t>
        </is>
      </c>
      <c r="B442" s="3" t="inlineStr">
        <is>
          <t>Nhập tên</t>
        </is>
      </c>
      <c r="C442" s="3" t="inlineStr">
        <is>
          <t>Enter name</t>
        </is>
      </c>
      <c r="D442" s="3">
        <f>IFERROR(__xludf.DUMMYFUNCTION("GOOGLETRANSLATE(B442,""vi"",""en"")"),"Enter name")</f>
        <v/>
      </c>
      <c r="E442" s="3">
        <f>IF(C442&lt;&gt;"",C442, D442)</f>
        <v/>
      </c>
      <c r="F442" s="3" t="n"/>
      <c r="G442" s="3">
        <f>IFERROR(__xludf.DUMMYFUNCTION("GOOGLETRANSLATE(B442,""vi"",""km"")"),"បញ្ចូលឈ្មោះ")</f>
        <v/>
      </c>
      <c r="H442" s="3" t="inlineStr">
        <is>
          <t>បញ្ចូលឈ្មោះ</t>
        </is>
      </c>
      <c r="I442" s="3" t="n"/>
      <c r="J442" s="3">
        <f>IFERROR(__xludf.DUMMYFUNCTION("GOOGLETRANSLATE(B442,""vi"",""lo"")"),"ໃສ່ຊື່")</f>
        <v/>
      </c>
      <c r="K442" s="3">
        <f>IF(I442&lt;&gt;"",I442, J442)</f>
        <v/>
      </c>
      <c r="L442" s="3" t="inlineStr">
        <is>
          <t>បញ្ចូលឈ្មោះ</t>
        </is>
      </c>
      <c r="M442" s="3" t="n"/>
      <c r="N442" s="3" t="inlineStr">
        <is>
          <t>"settingComplaint.feedbackCategorySetup.placeholderFeedbackLevel1NameCreate": "Enter name",</t>
        </is>
      </c>
      <c r="O442" s="3" t="n"/>
      <c r="P442" s="3" t="n"/>
      <c r="Q442" s="3" t="n"/>
      <c r="R442" s="3" t="n"/>
      <c r="S442" s="3" t="n"/>
      <c r="T442" s="3" t="n"/>
      <c r="U442" s="3" t="n"/>
      <c r="V442" s="3" t="n"/>
      <c r="W442" s="3" t="n"/>
      <c r="X442" s="3" t="n"/>
      <c r="Y442" s="3" t="n"/>
      <c r="Z442" s="3" t="n"/>
      <c r="AA442" s="3" t="n"/>
    </row>
    <row r="443">
      <c r="A443" s="3" t="inlineStr">
        <is>
          <t>settingComplaint.feedbackCategorySetup.placeholderFeedbackLevel1NameFilter</t>
        </is>
      </c>
      <c r="B443" s="3" t="inlineStr">
        <is>
          <t>Nhập phân loại</t>
        </is>
      </c>
      <c r="C443" s="3" t="inlineStr">
        <is>
          <t>Enter category</t>
        </is>
      </c>
      <c r="D443" s="3">
        <f>IFERROR(__xludf.DUMMYFUNCTION("GOOGLETRANSLATE(B443,""vi"",""en"")"),"Enter classification")</f>
        <v/>
      </c>
      <c r="E443" s="3">
        <f>IF(C443&lt;&gt;"",C443, D443)</f>
        <v/>
      </c>
      <c r="F443" s="3" t="n"/>
      <c r="G443" s="3">
        <f>IFERROR(__xludf.DUMMYFUNCTION("GOOGLETRANSLATE(B443,""vi"",""km"")"),"បញ្ចូលចំណាត់ថ្នាក់")</f>
        <v/>
      </c>
      <c r="H443" s="3" t="inlineStr">
        <is>
          <t>បញ្ចូលចំណាត់ថ្នាក់</t>
        </is>
      </c>
      <c r="I443" s="3" t="n"/>
      <c r="J443" s="3">
        <f>IFERROR(__xludf.DUMMYFUNCTION("GOOGLETRANSLATE(B443,""vi"",""lo"")"),"ປ້ອນການຈັດປະເພດ")</f>
        <v/>
      </c>
      <c r="K443" s="3">
        <f>IF(I443&lt;&gt;"",I443, J443)</f>
        <v/>
      </c>
      <c r="L443" s="3" t="inlineStr">
        <is>
          <t>បញ្ចូលចំណាត់ថ្នាក់</t>
        </is>
      </c>
      <c r="M443" s="3" t="n"/>
      <c r="N443" s="3" t="inlineStr">
        <is>
          <t>"settingComplaint.feedbackCategorySetup.placeholderFeedbackLevel1NameFilter": "Enter category",</t>
        </is>
      </c>
      <c r="O443" s="3" t="n"/>
      <c r="P443" s="3" t="n"/>
      <c r="Q443" s="3" t="n"/>
      <c r="R443" s="3" t="n"/>
      <c r="S443" s="3" t="n"/>
      <c r="T443" s="3" t="n"/>
      <c r="U443" s="3" t="n"/>
      <c r="V443" s="3" t="n"/>
      <c r="W443" s="3" t="n"/>
      <c r="X443" s="3" t="n"/>
      <c r="Y443" s="3" t="n"/>
      <c r="Z443" s="3" t="n"/>
      <c r="AA443" s="3" t="n"/>
    </row>
    <row r="444">
      <c r="A444" s="3" t="inlineStr">
        <is>
          <t>settingComplaint.feedbackCategorySetup.placeholderFeedbackLevel2CodeCreate</t>
        </is>
      </c>
      <c r="B444" s="3" t="inlineStr">
        <is>
          <t>Nhập mã</t>
        </is>
      </c>
      <c r="C444" s="3" t="inlineStr">
        <is>
          <t>Enter code</t>
        </is>
      </c>
      <c r="D444" s="3">
        <f>IFERROR(__xludf.DUMMYFUNCTION("GOOGLETRANSLATE(B444,""vi"",""en"")"),"Enter code")</f>
        <v/>
      </c>
      <c r="E444" s="3">
        <f>IF(C444&lt;&gt;"",C444, D444)</f>
        <v/>
      </c>
      <c r="F444" s="3" t="n"/>
      <c r="G444" s="3">
        <f>IFERROR(__xludf.DUMMYFUNCTION("GOOGLETRANSLATE(B444,""vi"",""km"")"),"បញ្ចូលលេខកូដ")</f>
        <v/>
      </c>
      <c r="H444" s="3" t="inlineStr">
        <is>
          <t>បញ្ចូលលេខកូដ</t>
        </is>
      </c>
      <c r="I444" s="3" t="n"/>
      <c r="J444" s="3">
        <f>IFERROR(__xludf.DUMMYFUNCTION("GOOGLETRANSLATE(B444,""vi"",""lo"")"),"ໃສ່ລະຫັດ")</f>
        <v/>
      </c>
      <c r="K444" s="3">
        <f>IF(I444&lt;&gt;"",I444, J444)</f>
        <v/>
      </c>
      <c r="L444" s="3" t="inlineStr">
        <is>
          <t>បញ្ចូលលេខកូដ</t>
        </is>
      </c>
      <c r="M444" s="3" t="n"/>
      <c r="N444" s="3" t="inlineStr">
        <is>
          <t>"settingComplaint.feedbackCategorySetup.placeholderFeedbackLevel2CodeCreate": "Enter code",</t>
        </is>
      </c>
      <c r="O444" s="3" t="n"/>
      <c r="P444" s="3" t="n"/>
      <c r="Q444" s="3" t="n"/>
      <c r="R444" s="3" t="n"/>
      <c r="S444" s="3" t="n"/>
      <c r="T444" s="3" t="n"/>
      <c r="U444" s="3" t="n"/>
      <c r="V444" s="3" t="n"/>
      <c r="W444" s="3" t="n"/>
      <c r="X444" s="3" t="n"/>
      <c r="Y444" s="3" t="n"/>
      <c r="Z444" s="3" t="n"/>
      <c r="AA444" s="3" t="n"/>
    </row>
    <row r="445">
      <c r="A445" s="3" t="inlineStr">
        <is>
          <t>settingComplaint.feedbackCategorySetup.placeholderFeedbackLevel2NameCreate</t>
        </is>
      </c>
      <c r="B445" s="3" t="inlineStr">
        <is>
          <t>Nhập tên</t>
        </is>
      </c>
      <c r="C445" s="3" t="inlineStr">
        <is>
          <t>Enter name</t>
        </is>
      </c>
      <c r="D445" s="3">
        <f>IFERROR(__xludf.DUMMYFUNCTION("GOOGLETRANSLATE(B445,""vi"",""en"")"),"Enter name")</f>
        <v/>
      </c>
      <c r="E445" s="3">
        <f>IF(C445&lt;&gt;"",C445, D445)</f>
        <v/>
      </c>
      <c r="F445" s="3" t="n"/>
      <c r="G445" s="3">
        <f>IFERROR(__xludf.DUMMYFUNCTION("GOOGLETRANSLATE(B445,""vi"",""km"")"),"បញ្ចូលឈ្មោះ")</f>
        <v/>
      </c>
      <c r="H445" s="3" t="inlineStr">
        <is>
          <t>បញ្ចូលឈ្មោះ</t>
        </is>
      </c>
      <c r="I445" s="3" t="n"/>
      <c r="J445" s="3">
        <f>IFERROR(__xludf.DUMMYFUNCTION("GOOGLETRANSLATE(B445,""vi"",""lo"")"),"ໃສ່ຊື່")</f>
        <v/>
      </c>
      <c r="K445" s="3">
        <f>IF(I445&lt;&gt;"",I445, J445)</f>
        <v/>
      </c>
      <c r="L445" s="3" t="inlineStr">
        <is>
          <t>បញ្ចូលឈ្មោះ</t>
        </is>
      </c>
      <c r="M445" s="3" t="n"/>
      <c r="N445" s="3" t="inlineStr">
        <is>
          <t>"settingComplaint.feedbackCategorySetup.placeholderFeedbackLevel2NameCreate": "Enter name",</t>
        </is>
      </c>
      <c r="O445" s="3" t="n"/>
      <c r="P445" s="3" t="n"/>
      <c r="Q445" s="3" t="n"/>
      <c r="R445" s="3" t="n"/>
      <c r="S445" s="3" t="n"/>
      <c r="T445" s="3" t="n"/>
      <c r="U445" s="3" t="n"/>
      <c r="V445" s="3" t="n"/>
      <c r="W445" s="3" t="n"/>
      <c r="X445" s="3" t="n"/>
      <c r="Y445" s="3" t="n"/>
      <c r="Z445" s="3" t="n"/>
      <c r="AA445" s="3" t="n"/>
    </row>
    <row r="446">
      <c r="A446" s="3" t="inlineStr">
        <is>
          <t>settingComplaint.feedbackCategorySetup.placeholderFeedbackLevel2NameFilter</t>
        </is>
      </c>
      <c r="B446" s="3" t="inlineStr">
        <is>
          <t>Nhập phân loại</t>
        </is>
      </c>
      <c r="C446" s="3" t="inlineStr">
        <is>
          <t>Enter category</t>
        </is>
      </c>
      <c r="D446" s="3">
        <f>IFERROR(__xludf.DUMMYFUNCTION("GOOGLETRANSLATE(B446,""vi"",""en"")"),"Enter classification")</f>
        <v/>
      </c>
      <c r="E446" s="3">
        <f>IF(C446&lt;&gt;"",C446, D446)</f>
        <v/>
      </c>
      <c r="F446" s="3" t="n"/>
      <c r="G446" s="3">
        <f>IFERROR(__xludf.DUMMYFUNCTION("GOOGLETRANSLATE(B446,""vi"",""km"")"),"បញ្ចូលចំណាត់ថ្នាក់")</f>
        <v/>
      </c>
      <c r="H446" s="3" t="inlineStr">
        <is>
          <t>បញ្ចូលចំណាត់ថ្នាក់</t>
        </is>
      </c>
      <c r="I446" s="3" t="n"/>
      <c r="J446" s="3">
        <f>IFERROR(__xludf.DUMMYFUNCTION("GOOGLETRANSLATE(B446,""vi"",""lo"")"),"ປ້ອນການຈັດປະເພດ")</f>
        <v/>
      </c>
      <c r="K446" s="3">
        <f>IF(I446&lt;&gt;"",I446, J446)</f>
        <v/>
      </c>
      <c r="L446" s="3" t="inlineStr">
        <is>
          <t>បញ្ចូលចំណាត់ថ្នាក់</t>
        </is>
      </c>
      <c r="M446" s="3" t="n"/>
      <c r="N446" s="3" t="inlineStr">
        <is>
          <t>"settingComplaint.feedbackCategorySetup.placeholderFeedbackLevel2NameFilter": "Enter category",</t>
        </is>
      </c>
      <c r="O446" s="3" t="n"/>
      <c r="P446" s="3" t="n"/>
      <c r="Q446" s="3" t="n"/>
      <c r="R446" s="3" t="n"/>
      <c r="S446" s="3" t="n"/>
      <c r="T446" s="3" t="n"/>
      <c r="U446" s="3" t="n"/>
      <c r="V446" s="3" t="n"/>
      <c r="W446" s="3" t="n"/>
      <c r="X446" s="3" t="n"/>
      <c r="Y446" s="3" t="n"/>
      <c r="Z446" s="3" t="n"/>
      <c r="AA446" s="3" t="n"/>
    </row>
    <row r="447">
      <c r="A447" s="3" t="inlineStr">
        <is>
          <t>settingComplaint.feedbackCategorySetup.placeholderProcessingOffice</t>
        </is>
      </c>
      <c r="B447" s="3" t="inlineStr">
        <is>
          <t>Chọn bưu cục</t>
        </is>
      </c>
      <c r="C447" s="3" t="inlineStr">
        <is>
          <t>Select PO</t>
        </is>
      </c>
      <c r="D447" s="3">
        <f>IFERROR(__xludf.DUMMYFUNCTION("GOOGLETRANSLATE(B447,""vi"",""en"")"),"Select post office")</f>
        <v/>
      </c>
      <c r="E447" s="3">
        <f>IF(C447&lt;&gt;"",C447, D447)</f>
        <v/>
      </c>
      <c r="F447" s="3" t="n"/>
      <c r="G447" s="3">
        <f>IFERROR(__xludf.DUMMYFUNCTION("GOOGLETRANSLATE(B447,""vi"",""km"")"),"ជ្រើសរើសការិយាល័យប្រៃសណីយ៍")</f>
        <v/>
      </c>
      <c r="H447" s="3" t="inlineStr">
        <is>
          <t>ជ្រើសរើសការិយាល័យប្រៃសណីយ៍</t>
        </is>
      </c>
      <c r="I447" s="3" t="n"/>
      <c r="J447" s="3">
        <f>IFERROR(__xludf.DUMMYFUNCTION("GOOGLETRANSLATE(B447,""vi"",""lo"")"),"ເລືອກຫ້ອງການໄປສະນີ")</f>
        <v/>
      </c>
      <c r="K447" s="3">
        <f>IF(I447&lt;&gt;"",I447, J447)</f>
        <v/>
      </c>
      <c r="L447" s="3" t="inlineStr">
        <is>
          <t>ជ្រើសរើសការិយាល័យប្រៃសណីយ៍</t>
        </is>
      </c>
      <c r="M447" s="3" t="n"/>
      <c r="N447" s="3" t="inlineStr">
        <is>
          <t>"settingComplaint.feedbackCategorySetup.placeholderProcessingOffice": "Select PO",</t>
        </is>
      </c>
      <c r="O447" s="3" t="n"/>
      <c r="P447" s="3" t="n"/>
      <c r="Q447" s="3" t="n"/>
      <c r="R447" s="3" t="n"/>
      <c r="S447" s="3" t="n"/>
      <c r="T447" s="3" t="n"/>
      <c r="U447" s="3" t="n"/>
      <c r="V447" s="3" t="n"/>
      <c r="W447" s="3" t="n"/>
      <c r="X447" s="3" t="n"/>
      <c r="Y447" s="3" t="n"/>
      <c r="Z447" s="3" t="n"/>
      <c r="AA447" s="3" t="n"/>
    </row>
    <row r="448">
      <c r="A448" s="3" t="inlineStr">
        <is>
          <t>settingComplaint.feedbackCategorySetup.placeholderResolutionTimeHours</t>
        </is>
      </c>
      <c r="B448" s="3" t="inlineStr">
        <is>
          <t>Nhập giờ</t>
        </is>
      </c>
      <c r="C448" s="3" t="inlineStr">
        <is>
          <t>Enter hours</t>
        </is>
      </c>
      <c r="D448" s="3">
        <f>IFERROR(__xludf.DUMMYFUNCTION("GOOGLETRANSLATE(B448,""vi"",""en"")"),"Enter time")</f>
        <v/>
      </c>
      <c r="E448" s="3">
        <f>IF(C448&lt;&gt;"",C448, D448)</f>
        <v/>
      </c>
      <c r="F448" s="3" t="n"/>
      <c r="G448" s="3">
        <f>IFERROR(__xludf.DUMMYFUNCTION("GOOGLETRANSLATE(B448,""vi"",""km"")"),"បញ្ចូលពេលវេលា")</f>
        <v/>
      </c>
      <c r="H448" s="3" t="inlineStr">
        <is>
          <t>បញ្ចូលពេលវេលា</t>
        </is>
      </c>
      <c r="I448" s="3" t="n"/>
      <c r="J448" s="3">
        <f>IFERROR(__xludf.DUMMYFUNCTION("GOOGLETRANSLATE(B448,""vi"",""lo"")"),"ປ້ອນເວລາ")</f>
        <v/>
      </c>
      <c r="K448" s="3">
        <f>IF(I448&lt;&gt;"",I448, J448)</f>
        <v/>
      </c>
      <c r="L448" s="3" t="inlineStr">
        <is>
          <t>បញ្ចូលពេលវេលា</t>
        </is>
      </c>
      <c r="M448" s="3" t="n"/>
      <c r="N448" s="3" t="inlineStr">
        <is>
          <t>"settingComplaint.feedbackCategorySetup.placeholderResolutionTimeHours": "Enter hours",</t>
        </is>
      </c>
      <c r="O448" s="3" t="n"/>
      <c r="P448" s="3" t="n"/>
      <c r="Q448" s="3" t="n"/>
      <c r="R448" s="3" t="n"/>
      <c r="S448" s="3" t="n"/>
      <c r="T448" s="3" t="n"/>
      <c r="U448" s="3" t="n"/>
      <c r="V448" s="3" t="n"/>
      <c r="W448" s="3" t="n"/>
      <c r="X448" s="3" t="n"/>
      <c r="Y448" s="3" t="n"/>
      <c r="Z448" s="3" t="n"/>
      <c r="AA448" s="3" t="n"/>
    </row>
    <row r="449">
      <c r="A449" s="3" t="inlineStr">
        <is>
          <t>settingComplaint.feedbackCategorySetup.placeholderStatusFilter</t>
        </is>
      </c>
      <c r="B449" s="3" t="inlineStr">
        <is>
          <t>Chọn trạng thái</t>
        </is>
      </c>
      <c r="C449" s="3" t="inlineStr">
        <is>
          <t>Select status</t>
        </is>
      </c>
      <c r="D449" s="3">
        <f>IFERROR(__xludf.DUMMYFUNCTION("GOOGLETRANSLATE(B449,""vi"",""en"")"),"Select state")</f>
        <v/>
      </c>
      <c r="E449" s="3">
        <f>IF(C449&lt;&gt;"",C449, D449)</f>
        <v/>
      </c>
      <c r="F449" s="3" t="n"/>
      <c r="G449" s="3">
        <f>IFERROR(__xludf.DUMMYFUNCTION("GOOGLETRANSLATE(B449,""vi"",""km"")"),"ជ្រើសរើសរដ្ឋ")</f>
        <v/>
      </c>
      <c r="H449" s="3" t="inlineStr">
        <is>
          <t>ជ្រើសរើសរដ្ឋ</t>
        </is>
      </c>
      <c r="I449" s="3" t="n"/>
      <c r="J449" s="3">
        <f>IFERROR(__xludf.DUMMYFUNCTION("GOOGLETRANSLATE(B449,""vi"",""lo"")"),"ເລືອກລັດ")</f>
        <v/>
      </c>
      <c r="K449" s="3">
        <f>IF(I449&lt;&gt;"",I449, J449)</f>
        <v/>
      </c>
      <c r="L449" s="3" t="inlineStr">
        <is>
          <t>ជ្រើសរើសរដ្ឋ</t>
        </is>
      </c>
      <c r="M449" s="3" t="n"/>
      <c r="N449" s="3" t="inlineStr">
        <is>
          <t>"settingComplaint.feedbackCategorySetup.placeholderStatusFilter": "Select status",</t>
        </is>
      </c>
      <c r="O449" s="3" t="n"/>
      <c r="P449" s="3" t="n"/>
      <c r="Q449" s="3" t="n"/>
      <c r="R449" s="3" t="n"/>
      <c r="S449" s="3" t="n"/>
      <c r="T449" s="3" t="n"/>
      <c r="U449" s="3" t="n"/>
      <c r="V449" s="3" t="n"/>
      <c r="W449" s="3" t="n"/>
      <c r="X449" s="3" t="n"/>
      <c r="Y449" s="3" t="n"/>
      <c r="Z449" s="3" t="n"/>
      <c r="AA449" s="3" t="n"/>
    </row>
    <row r="450">
      <c r="A450" s="3" t="inlineStr">
        <is>
          <t>settingComplaint.feedbackCategorySetup.processingOffice</t>
        </is>
      </c>
      <c r="B450" s="3" t="inlineStr">
        <is>
          <t>Bưu cục xử lý</t>
        </is>
      </c>
      <c r="C450" s="3" t="inlineStr">
        <is>
          <t>Processing Branch</t>
        </is>
      </c>
      <c r="D450" s="3">
        <f>IFERROR(__xludf.DUMMYFUNCTION("GOOGLETRANSLATE(B450,""vi"",""en"")"),"Post office processing")</f>
        <v/>
      </c>
      <c r="E450" s="3">
        <f>IF(C450&lt;&gt;"",C450, D450)</f>
        <v/>
      </c>
      <c r="F450" s="3" t="n"/>
      <c r="G450" s="3">
        <f>IFERROR(__xludf.DUMMYFUNCTION("GOOGLETRANSLATE(B450,""vi"",""km"")"),"ដំណើរការប្រៃសណីយ៍")</f>
        <v/>
      </c>
      <c r="H450" s="3" t="inlineStr">
        <is>
          <t>ដំណើរការប្រៃសណីយ៍</t>
        </is>
      </c>
      <c r="I450" s="3" t="n"/>
      <c r="J450" s="3">
        <f>IFERROR(__xludf.DUMMYFUNCTION("GOOGLETRANSLATE(B450,""vi"",""lo"")"),"ການປະມວນຜົນຂອງຫ້ອງການໄປສະນີ")</f>
        <v/>
      </c>
      <c r="K450" s="3">
        <f>IF(I450&lt;&gt;"",I450, J450)</f>
        <v/>
      </c>
      <c r="L450" s="3" t="inlineStr">
        <is>
          <t>ដំណើរការប្រៃសណីយ៍</t>
        </is>
      </c>
      <c r="M450" s="3" t="n"/>
      <c r="N450" s="3" t="inlineStr">
        <is>
          <t>"settingComplaint.feedbackCategorySetup.processingOffice": "Processing Branch",</t>
        </is>
      </c>
      <c r="O450" s="3" t="n"/>
      <c r="P450" s="3" t="n"/>
      <c r="Q450" s="3" t="n"/>
      <c r="R450" s="3" t="n"/>
      <c r="S450" s="3" t="n"/>
      <c r="T450" s="3" t="n"/>
      <c r="U450" s="3" t="n"/>
      <c r="V450" s="3" t="n"/>
      <c r="W450" s="3" t="n"/>
      <c r="X450" s="3" t="n"/>
      <c r="Y450" s="3" t="n"/>
      <c r="Z450" s="3" t="n"/>
      <c r="AA450" s="3" t="n"/>
    </row>
    <row r="451">
      <c r="A451" s="3" t="inlineStr">
        <is>
          <t>settingComplaint.feedbackCategorySetup.resolutionTimeHours</t>
        </is>
      </c>
      <c r="B451" s="3" t="inlineStr">
        <is>
          <t>Thời gian xử lý (giờ)</t>
        </is>
      </c>
      <c r="C451" s="3" t="inlineStr">
        <is>
          <t>Processing time (hours)</t>
        </is>
      </c>
      <c r="D451" s="3">
        <f>IFERROR(__xludf.DUMMYFUNCTION("GOOGLETRANSLATE(B451,""vi"",""en"")"),"Processing time (hours)")</f>
        <v/>
      </c>
      <c r="E451" s="3">
        <f>IF(C451&lt;&gt;"",C451, D451)</f>
        <v/>
      </c>
      <c r="F451" s="3" t="n"/>
      <c r="G451" s="3">
        <f>IFERROR(__xludf.DUMMYFUNCTION("GOOGLETRANSLATE(B451,""vi"",""km"")"),"រយៈពេលដំណើរការ (ម៉ោង)")</f>
        <v/>
      </c>
      <c r="H451" s="3" t="inlineStr">
        <is>
          <t>រយៈពេលដំណើរការ (ម៉ោង)</t>
        </is>
      </c>
      <c r="I451" s="3" t="n"/>
      <c r="J451" s="3">
        <f>IFERROR(__xludf.DUMMYFUNCTION("GOOGLETRANSLATE(B451,""vi"",""lo"")"),"ເວລາປະມວນຜົນ (ຊົ່ວໂມງ)")</f>
        <v/>
      </c>
      <c r="K451" s="3">
        <f>IF(I451&lt;&gt;"",I451, J451)</f>
        <v/>
      </c>
      <c r="L451" s="3" t="inlineStr">
        <is>
          <t>រយៈពេលដំណើរការ (ម៉ោង)</t>
        </is>
      </c>
      <c r="M451" s="3" t="n"/>
      <c r="N451" s="3" t="inlineStr">
        <is>
          <t>"settingComplaint.feedbackCategorySetup.resolutionTimeHours": "Processing time (hours)",</t>
        </is>
      </c>
      <c r="O451" s="3" t="n"/>
      <c r="P451" s="3" t="n"/>
      <c r="Q451" s="3" t="n"/>
      <c r="R451" s="3" t="n"/>
      <c r="S451" s="3" t="n"/>
      <c r="T451" s="3" t="n"/>
      <c r="U451" s="3" t="n"/>
      <c r="V451" s="3" t="n"/>
      <c r="W451" s="3" t="n"/>
      <c r="X451" s="3" t="n"/>
      <c r="Y451" s="3" t="n"/>
      <c r="Z451" s="3" t="n"/>
      <c r="AA451" s="3" t="n"/>
    </row>
    <row r="452">
      <c r="A452" s="3" t="inlineStr">
        <is>
          <t>settingComplaint.feedbackCategorySetup.status</t>
        </is>
      </c>
      <c r="B452" s="3" t="inlineStr">
        <is>
          <t>Trạng thái</t>
        </is>
      </c>
      <c r="C452" s="3" t="inlineStr">
        <is>
          <t>Status</t>
        </is>
      </c>
      <c r="D452" s="3">
        <f>IFERROR(__xludf.DUMMYFUNCTION("GOOGLETRANSLATE(B452,""vi"",""en"")"),"Status")</f>
        <v/>
      </c>
      <c r="E452" s="3">
        <f>IF(C452&lt;&gt;"",C452, D452)</f>
        <v/>
      </c>
      <c r="F452" s="3" t="n"/>
      <c r="G452" s="3">
        <f>IFERROR(__xludf.DUMMYFUNCTION("GOOGLETRANSLATE(B452,""vi"",""km"")"),"ស្ថានភាព")</f>
        <v/>
      </c>
      <c r="H452" s="3" t="inlineStr">
        <is>
          <t>ស្ថានភាព</t>
        </is>
      </c>
      <c r="I452" s="3" t="n"/>
      <c r="J452" s="3">
        <f>IFERROR(__xludf.DUMMYFUNCTION("GOOGLETRANSLATE(B452,""vi"",""lo"")"),"ສະຖານະ")</f>
        <v/>
      </c>
      <c r="K452" s="3">
        <f>IF(I452&lt;&gt;"",I452, J452)</f>
        <v/>
      </c>
      <c r="L452" s="3" t="inlineStr">
        <is>
          <t>ស្ថានភាព</t>
        </is>
      </c>
      <c r="M452" s="3" t="n"/>
      <c r="N452" s="3" t="inlineStr">
        <is>
          <t>"settingComplaint.feedbackCategorySetup.status": "Status",</t>
        </is>
      </c>
      <c r="O452" s="3" t="n"/>
      <c r="P452" s="3" t="n"/>
      <c r="Q452" s="3" t="n"/>
      <c r="R452" s="3" t="n"/>
      <c r="S452" s="3" t="n"/>
      <c r="T452" s="3" t="n"/>
      <c r="U452" s="3" t="n"/>
      <c r="V452" s="3" t="n"/>
      <c r="W452" s="3" t="n"/>
      <c r="X452" s="3" t="n"/>
      <c r="Y452" s="3" t="n"/>
      <c r="Z452" s="3" t="n"/>
      <c r="AA452" s="3" t="n"/>
    </row>
    <row r="453">
      <c r="A453" s="3" t="inlineStr">
        <is>
          <t>settingComplaint.general</t>
        </is>
      </c>
      <c r="B453" s="3" t="inlineStr">
        <is>
          <t>Cấu hình tổng hợp</t>
        </is>
      </c>
      <c r="C453" s="3" t="inlineStr">
        <is>
          <t>General Configuration</t>
        </is>
      </c>
      <c r="D453" s="3">
        <f>IFERROR(__xludf.DUMMYFUNCTION("GOOGLETRANSLATE(B453,""vi"",""en"")"),"Overall configuration")</f>
        <v/>
      </c>
      <c r="E453" s="3">
        <f>IF(C453&lt;&gt;"",C453, D453)</f>
        <v/>
      </c>
      <c r="F453" s="3" t="n"/>
      <c r="G453" s="3">
        <f>IFERROR(__xludf.DUMMYFUNCTION("GOOGLETRANSLATE(B453,""vi"",""km"")"),"ការកំណត់រចនាសម្ព័ន្ធទូទៅ")</f>
        <v/>
      </c>
      <c r="H453" s="3" t="inlineStr">
        <is>
          <t>ការកំណត់រចនាសម្ព័ន្ធទូទៅ</t>
        </is>
      </c>
      <c r="I453" s="3" t="n"/>
      <c r="J453" s="3">
        <f>IFERROR(__xludf.DUMMYFUNCTION("GOOGLETRANSLATE(B453,""vi"",""lo"")"),"ການຕັ້ງຄ່າໂດຍລວມ")</f>
        <v/>
      </c>
      <c r="K453" s="3">
        <f>IF(I453&lt;&gt;"",I453, J453)</f>
        <v/>
      </c>
      <c r="L453" s="3" t="inlineStr">
        <is>
          <t>ការកំណត់រចនាសម្ព័ន្ធទូទៅ</t>
        </is>
      </c>
      <c r="M453" s="3" t="n"/>
      <c r="N453" s="3" t="inlineStr">
        <is>
          <t>"settingComplaint.general": "General Configuration",</t>
        </is>
      </c>
      <c r="O453" s="3" t="n"/>
      <c r="P453" s="3" t="n"/>
      <c r="Q453" s="3" t="n"/>
      <c r="R453" s="3" t="n"/>
      <c r="S453" s="3" t="n"/>
      <c r="T453" s="3" t="n"/>
      <c r="U453" s="3" t="n"/>
      <c r="V453" s="3" t="n"/>
      <c r="W453" s="3" t="n"/>
      <c r="X453" s="3" t="n"/>
      <c r="Y453" s="3" t="n"/>
      <c r="Z453" s="3" t="n"/>
      <c r="AA453" s="3" t="n"/>
    </row>
    <row r="454">
      <c r="A454" s="3" t="inlineStr">
        <is>
          <t>settingComplaint.workingTime</t>
        </is>
      </c>
      <c r="B454" s="3" t="inlineStr">
        <is>
          <t>Cấu hình giờ làm việc</t>
        </is>
      </c>
      <c r="C454" s="3" t="inlineStr">
        <is>
          <t>Working Hours Configuration</t>
        </is>
      </c>
      <c r="D454" s="3">
        <f>IFERROR(__xludf.DUMMYFUNCTION("GOOGLETRANSLATE(B454,""vi"",""en"")"),"Configure working hours")</f>
        <v/>
      </c>
      <c r="E454" s="3">
        <f>IF(C454&lt;&gt;"",C454, D454)</f>
        <v/>
      </c>
      <c r="F454" s="3" t="n"/>
      <c r="G454" s="3">
        <f>IFERROR(__xludf.DUMMYFUNCTION("GOOGLETRANSLATE(B454,""vi"",""km"")"),"កំណត់រចនាសម្ព័ន្ធម៉ោងធ្វើការ")</f>
        <v/>
      </c>
      <c r="H454" s="3" t="inlineStr">
        <is>
          <t>កំណត់រចនាសម្ព័ន្ធម៉ោងធ្វើការ</t>
        </is>
      </c>
      <c r="I454" s="3" t="n"/>
      <c r="J454" s="3">
        <f>IFERROR(__xludf.DUMMYFUNCTION("GOOGLETRANSLATE(B454,""vi"",""lo"")"),"ຕັ້ງຄ່າຊົ່ວໂມງເຮັດວຽກ")</f>
        <v/>
      </c>
      <c r="K454" s="3">
        <f>IF(I454&lt;&gt;"",I454, J454)</f>
        <v/>
      </c>
      <c r="L454" s="3" t="inlineStr">
        <is>
          <t>កំណត់រចនាសម្ព័ន្ធម៉ោងធ្វើការ</t>
        </is>
      </c>
      <c r="M454" s="3" t="n"/>
      <c r="N454" s="3" t="inlineStr">
        <is>
          <t>"settingComplaint.workingTime": "Working Hours Configuration",</t>
        </is>
      </c>
      <c r="O454" s="3" t="n"/>
      <c r="P454" s="3" t="n"/>
      <c r="Q454" s="3" t="n"/>
      <c r="R454" s="3" t="n"/>
      <c r="S454" s="3" t="n"/>
      <c r="T454" s="3" t="n"/>
      <c r="U454" s="3" t="n"/>
      <c r="V454" s="3" t="n"/>
      <c r="W454" s="3" t="n"/>
      <c r="X454" s="3" t="n"/>
      <c r="Y454" s="3" t="n"/>
      <c r="Z454" s="3" t="n"/>
      <c r="AA454" s="3" t="n"/>
    </row>
    <row r="455">
      <c r="A455" s="3" t="inlineStr">
        <is>
          <t>shipmentTracking.emptyPrompt</t>
        </is>
      </c>
      <c r="B455" s="3" t="inlineStr">
        <is>
          <t>Nhập thông tin để tra cứu</t>
        </is>
      </c>
      <c r="C455" s="3" t="inlineStr">
        <is>
          <t>Enter information to search</t>
        </is>
      </c>
      <c r="D455" s="3">
        <f>IFERROR(__xludf.DUMMYFUNCTION("GOOGLETRANSLATE(B455,""vi"",""en"")"),"Enter the information to search.")</f>
        <v/>
      </c>
      <c r="E455" s="3">
        <f>IF(C455&lt;&gt;"",C455, D455)</f>
        <v/>
      </c>
      <c r="F455" s="3" t="n"/>
      <c r="G455" s="3">
        <f>IFERROR(__xludf.DUMMYFUNCTION("GOOGLETRANSLATE(B455,""vi"",""km"")"),"បញ្ចូលព័ត៌មានដើម្បីស្វែងរក។")</f>
        <v/>
      </c>
      <c r="H455" s="3" t="inlineStr">
        <is>
          <t>បញ្ចូលព័ត៌មានដើម្បីស្វែងរក។</t>
        </is>
      </c>
      <c r="I455" s="3" t="n"/>
      <c r="J455" s="3">
        <f>IFERROR(__xludf.DUMMYFUNCTION("GOOGLETRANSLATE(B455,""vi"",""lo"")"),"ໃສ່ຂໍ້ມູນເພື່ອຄົ້ນຫາ.")</f>
        <v/>
      </c>
      <c r="K455" s="3">
        <f>IF(I455&lt;&gt;"",I455, J455)</f>
        <v/>
      </c>
      <c r="L455" s="3" t="inlineStr">
        <is>
          <t>បញ្ចូលព័ត៌មានដើម្បីស្វែងរក។</t>
        </is>
      </c>
      <c r="M455" s="3" t="n"/>
      <c r="N455" s="3" t="inlineStr">
        <is>
          <t>"shipmentTracking.emptyPrompt": "Enter information to search",</t>
        </is>
      </c>
      <c r="O455" s="3" t="n"/>
      <c r="P455" s="3" t="n"/>
      <c r="Q455" s="3" t="n"/>
      <c r="R455" s="3" t="n"/>
      <c r="S455" s="3" t="n"/>
      <c r="T455" s="3" t="n"/>
      <c r="U455" s="3" t="n"/>
      <c r="V455" s="3" t="n"/>
      <c r="W455" s="3" t="n"/>
      <c r="X455" s="3" t="n"/>
      <c r="Y455" s="3" t="n"/>
      <c r="Z455" s="3" t="n"/>
      <c r="AA455" s="3" t="n"/>
    </row>
    <row r="456">
      <c r="A456" s="3" t="inlineStr">
        <is>
          <t>shipmentTracking.placeholderTrackingCode</t>
        </is>
      </c>
      <c r="B456" s="3" t="inlineStr">
        <is>
          <t>Nhập mã vận đơn, khiếu nại, biên bản</t>
        </is>
      </c>
      <c r="C456" s="3" t="inlineStr">
        <is>
          <t>Enter tracking code, complaint or record number</t>
        </is>
      </c>
      <c r="D456" s="3">
        <f>IFERROR(__xludf.DUMMYFUNCTION("GOOGLETRANSLATE(B456,""vi"",""en"")"),"Enter tracking number, complaint, and record.")</f>
        <v/>
      </c>
      <c r="E456" s="3">
        <f>IF(C456&lt;&gt;"",C456, D456)</f>
        <v/>
      </c>
      <c r="F456" s="3" t="n"/>
      <c r="G456" s="3">
        <f>IFERROR(__xludf.DUMMYFUNCTION("GOOGLETRANSLATE(B456,""vi"",""km"")"),"បញ្ចូលលេខតាមដាន ពាក្យបណ្តឹង និងកំណត់ត្រា។")</f>
        <v/>
      </c>
      <c r="H456" s="3" t="inlineStr">
        <is>
          <t>បញ្ចូលលេខតាមដាន ពាក្យបណ្តឹង និងកំណត់ត្រា។</t>
        </is>
      </c>
      <c r="I456" s="3" t="n"/>
      <c r="J456" s="3">
        <f>IFERROR(__xludf.DUMMYFUNCTION("GOOGLETRANSLATE(B456,""vi"",""lo"")"),"ໃສ່ເລກຕິດຕາມ, ຄຳຮ້ອງຮຽນ ແລະ ບັນທຶກ.")</f>
        <v/>
      </c>
      <c r="K456" s="3">
        <f>IF(I456&lt;&gt;"",I456, J456)</f>
        <v/>
      </c>
      <c r="L456" s="3" t="inlineStr">
        <is>
          <t>បញ្ចូលលេខតាមដាន ពាក្យបណ្តឹង និងកំណត់ត្រា។</t>
        </is>
      </c>
      <c r="M456" s="3" t="n"/>
      <c r="N456" s="3" t="inlineStr">
        <is>
          <t>"shipmentTracking.placeholderTrackingCode": "Enter tracking code, complaint or record number",</t>
        </is>
      </c>
      <c r="O456" s="3" t="n"/>
      <c r="P456" s="3" t="n"/>
      <c r="Q456" s="3" t="n"/>
      <c r="R456" s="3" t="n"/>
      <c r="S456" s="3" t="n"/>
      <c r="T456" s="3" t="n"/>
      <c r="U456" s="3" t="n"/>
      <c r="V456" s="3" t="n"/>
      <c r="W456" s="3" t="n"/>
      <c r="X456" s="3" t="n"/>
      <c r="Y456" s="3" t="n"/>
      <c r="Z456" s="3" t="n"/>
      <c r="AA456" s="3" t="n"/>
    </row>
    <row r="457">
      <c r="A457" s="3" t="inlineStr">
        <is>
          <t>shipmentTracking.searching</t>
        </is>
      </c>
      <c r="B457" s="3" t="inlineStr">
        <is>
          <t>Đang tìm kiếm...</t>
        </is>
      </c>
      <c r="C457" s="3" t="n"/>
      <c r="D457" s="3">
        <f>IFERROR(__xludf.DUMMYFUNCTION("GOOGLETRANSLATE(B457,""vi"",""en"")"),"Searching...")</f>
        <v/>
      </c>
      <c r="E457" s="3">
        <f>IF(C457&lt;&gt;"",C457, D457)</f>
        <v/>
      </c>
      <c r="F457" s="3" t="n"/>
      <c r="G457" s="3">
        <f>IFERROR(__xludf.DUMMYFUNCTION("GOOGLETRANSLATE(B457,""vi"",""km"")"),"កំពុង​ស្វែងរក...")</f>
        <v/>
      </c>
      <c r="H457" s="3" t="inlineStr">
        <is>
          <t>កំពុងស្វែងរក...</t>
        </is>
      </c>
      <c r="I457" s="3" t="n"/>
      <c r="J457" s="3">
        <f>IFERROR(__xludf.DUMMYFUNCTION("GOOGLETRANSLATE(B457,""vi"",""lo"")"),"ກຳລັງຊອກຫາ...")</f>
        <v/>
      </c>
      <c r="K457" s="3">
        <f>IF(I457&lt;&gt;"",I457, J457)</f>
        <v/>
      </c>
      <c r="L457" s="3" t="inlineStr">
        <is>
          <t>កំពុងស្វែងរក...</t>
        </is>
      </c>
      <c r="M457" s="3" t="n"/>
      <c r="N457" s="3" t="inlineStr">
        <is>
          <t>"shipmentTracking.searching": "Searching...",</t>
        </is>
      </c>
      <c r="O457" s="3" t="n"/>
      <c r="P457" s="3" t="n"/>
      <c r="Q457" s="3" t="n"/>
      <c r="R457" s="3" t="n"/>
      <c r="S457" s="3" t="n"/>
      <c r="T457" s="3" t="n"/>
      <c r="U457" s="3" t="n"/>
      <c r="V457" s="3" t="n"/>
      <c r="W457" s="3" t="n"/>
      <c r="X457" s="3" t="n"/>
      <c r="Y457" s="3" t="n"/>
      <c r="Z457" s="3" t="n"/>
      <c r="AA457" s="3" t="n"/>
    </row>
    <row r="458">
      <c r="A458" s="3" t="inlineStr">
        <is>
          <t>shipmentTracking.trackingCode</t>
        </is>
      </c>
      <c r="B458" s="3" t="inlineStr">
        <is>
          <t>Mã vận đơn</t>
        </is>
      </c>
      <c r="C458" s="3" t="inlineStr">
        <is>
          <t>Tracking Code</t>
        </is>
      </c>
      <c r="D458" s="3">
        <f>IFERROR(__xludf.DUMMYFUNCTION("GOOGLETRANSLATE(B458,""vi"",""en"")"),"Tracking number")</f>
        <v/>
      </c>
      <c r="E458" s="3">
        <f>IF(C458&lt;&gt;"",C458, D458)</f>
        <v/>
      </c>
      <c r="F458" s="3" t="n"/>
      <c r="G458" s="3">
        <f>IFERROR(__xludf.DUMMYFUNCTION("GOOGLETRANSLATE(B458,""vi"",""km"")"),"លេខតាមដាន")</f>
        <v/>
      </c>
      <c r="H458" s="3" t="inlineStr">
        <is>
          <t>លេខកូដបុងបញ្ញើ</t>
        </is>
      </c>
      <c r="I458" s="3" t="n"/>
      <c r="J458" s="3">
        <f>IFERROR(__xludf.DUMMYFUNCTION("GOOGLETRANSLATE(B458,""vi"",""lo"")"),"ໝາຍເລກຕິດຕາມ")</f>
        <v/>
      </c>
      <c r="K458" s="3">
        <f>IF(I458&lt;&gt;"",I458, J458)</f>
        <v/>
      </c>
      <c r="L458" s="3" t="inlineStr">
        <is>
          <t>លេខកូដបុងបញ្ញើ</t>
        </is>
      </c>
      <c r="M458" s="3" t="n"/>
      <c r="N458" s="3" t="inlineStr">
        <is>
          <t>"shipmentTracking.trackingCode": "Tracking Code",</t>
        </is>
      </c>
      <c r="O458" s="3" t="n"/>
      <c r="P458" s="3" t="n"/>
      <c r="Q458" s="3" t="n"/>
      <c r="R458" s="3" t="n"/>
      <c r="S458" s="3" t="n"/>
      <c r="T458" s="3" t="n"/>
      <c r="U458" s="3" t="n"/>
      <c r="V458" s="3" t="n"/>
      <c r="W458" s="3" t="n"/>
      <c r="X458" s="3" t="n"/>
      <c r="Y458" s="3" t="n"/>
      <c r="Z458" s="3" t="n"/>
      <c r="AA458" s="3" t="n"/>
    </row>
    <row r="459">
      <c r="A459" s="3" t="inlineStr">
        <is>
          <t>shipmentTracking.validationRequired</t>
        </is>
      </c>
      <c r="B459" s="3" t="inlineStr">
        <is>
          <t>Vui lòng nhập mã vận đơn</t>
        </is>
      </c>
      <c r="C459" s="3" t="inlineStr">
        <is>
          <t>Please enter a tracking code</t>
        </is>
      </c>
      <c r="D459" s="3">
        <f>IFERROR(__xludf.DUMMYFUNCTION("GOOGLETRANSLATE(B459,""vi"",""en"")"),"Please enter the tracking number.")</f>
        <v/>
      </c>
      <c r="E459" s="3">
        <f>IF(C459&lt;&gt;"",C459, D459)</f>
        <v/>
      </c>
      <c r="F459" s="3" t="n"/>
      <c r="G459" s="3">
        <f>IFERROR(__xludf.DUMMYFUNCTION("GOOGLETRANSLATE(B459,""vi"",""km"")"),"សូមបញ្ចូលលេខតាមដាន។")</f>
        <v/>
      </c>
      <c r="H459" s="3" t="inlineStr">
        <is>
          <t>សូមបញ្ចូលលេខតាមដាន។</t>
        </is>
      </c>
      <c r="I459" s="3" t="n"/>
      <c r="J459" s="3">
        <f>IFERROR(__xludf.DUMMYFUNCTION("GOOGLETRANSLATE(B459,""vi"",""lo"")"),"ກະລຸນາໃສ່ໝາຍເລກຕິດຕາມ.")</f>
        <v/>
      </c>
      <c r="K459" s="3">
        <f>IF(I459&lt;&gt;"",I459, J459)</f>
        <v/>
      </c>
      <c r="L459" s="3" t="inlineStr">
        <is>
          <t>សូមបញ្ចូលលេខតាមដាន។</t>
        </is>
      </c>
      <c r="M459" s="3" t="n"/>
      <c r="N459" s="3" t="inlineStr">
        <is>
          <t>"shipmentTracking.validationRequired": "Please enter a tracking code",</t>
        </is>
      </c>
      <c r="O459" s="3" t="n"/>
      <c r="P459" s="3" t="n"/>
      <c r="Q459" s="3" t="n"/>
      <c r="R459" s="3" t="n"/>
      <c r="S459" s="3" t="n"/>
      <c r="T459" s="3" t="n"/>
      <c r="U459" s="3" t="n"/>
      <c r="V459" s="3" t="n"/>
      <c r="W459" s="3" t="n"/>
      <c r="X459" s="3" t="n"/>
      <c r="Y459" s="3" t="n"/>
      <c r="Z459" s="3" t="n"/>
      <c r="AA459" s="3" t="n"/>
    </row>
    <row r="460">
      <c r="A460" s="3" t="inlineStr">
        <is>
          <t>status.active</t>
        </is>
      </c>
      <c r="B460" s="3" t="inlineStr">
        <is>
          <t>Hoạt động</t>
        </is>
      </c>
      <c r="C460" s="3" t="inlineStr">
        <is>
          <t>Active</t>
        </is>
      </c>
      <c r="D460" s="3">
        <f>IFERROR(__xludf.DUMMYFUNCTION("GOOGLETRANSLATE(B460,""vi"",""en"")"),"Work")</f>
        <v/>
      </c>
      <c r="E460" s="3">
        <f>IF(C460&lt;&gt;"",C460, D460)</f>
        <v/>
      </c>
      <c r="F460" s="3" t="n"/>
      <c r="G460" s="3">
        <f>IFERROR(__xludf.DUMMYFUNCTION("GOOGLETRANSLATE(B460,""vi"",""km"")"),"ការងារ")</f>
        <v/>
      </c>
      <c r="H460" s="3" t="inlineStr">
        <is>
          <t>ដំណើរការ</t>
        </is>
      </c>
      <c r="I460" s="3" t="n"/>
      <c r="J460" s="3">
        <f>IFERROR(__xludf.DUMMYFUNCTION("GOOGLETRANSLATE(B460,""vi"",""lo"")"),"ວຽກງານ")</f>
        <v/>
      </c>
      <c r="K460" s="3">
        <f>IF(I460&lt;&gt;"",I460, J460)</f>
        <v/>
      </c>
      <c r="L460" s="3" t="inlineStr">
        <is>
          <t>ដំណើរការ</t>
        </is>
      </c>
      <c r="M460" s="3" t="n"/>
      <c r="N460" s="3" t="inlineStr">
        <is>
          <t>"status.active": "Active",</t>
        </is>
      </c>
      <c r="O460" s="3" t="n"/>
      <c r="P460" s="3" t="n"/>
      <c r="Q460" s="3" t="n"/>
      <c r="R460" s="3" t="n"/>
      <c r="S460" s="3" t="n"/>
      <c r="T460" s="3" t="n"/>
      <c r="U460" s="3" t="n"/>
      <c r="V460" s="3" t="n"/>
      <c r="W460" s="3" t="n"/>
      <c r="X460" s="3" t="n"/>
      <c r="Y460" s="3" t="n"/>
      <c r="Z460" s="3" t="n"/>
      <c r="AA460" s="3" t="n"/>
    </row>
    <row r="461">
      <c r="A461" s="3" t="inlineStr">
        <is>
          <t>status.all</t>
        </is>
      </c>
      <c r="B461" s="3" t="inlineStr">
        <is>
          <t>Tất cả</t>
        </is>
      </c>
      <c r="C461" s="3" t="inlineStr">
        <is>
          <t>All</t>
        </is>
      </c>
      <c r="D461" s="3">
        <f>IFERROR(__xludf.DUMMYFUNCTION("GOOGLETRANSLATE(B461,""vi"",""en"")"),"All")</f>
        <v/>
      </c>
      <c r="E461" s="3">
        <f>IF(C461&lt;&gt;"",C461, D461)</f>
        <v/>
      </c>
      <c r="F461" s="3" t="n"/>
      <c r="G461" s="3">
        <f>IFERROR(__xludf.DUMMYFUNCTION("GOOGLETRANSLATE(B461,""vi"",""km"")"),"ទាំងអស់")</f>
        <v/>
      </c>
      <c r="H461" s="3" t="inlineStr">
        <is>
          <t>ទាំងអស់</t>
        </is>
      </c>
      <c r="I461" s="3" t="n"/>
      <c r="J461" s="3">
        <f>IFERROR(__xludf.DUMMYFUNCTION("GOOGLETRANSLATE(B461,""vi"",""lo"")"),"ທັງໝົດ")</f>
        <v/>
      </c>
      <c r="K461" s="3">
        <f>IF(I461&lt;&gt;"",I461, J461)</f>
        <v/>
      </c>
      <c r="L461" s="3" t="inlineStr">
        <is>
          <t>ទាំងអស់</t>
        </is>
      </c>
      <c r="M461" s="3" t="n"/>
      <c r="N461" s="3" t="inlineStr">
        <is>
          <t>"status.all": "All",</t>
        </is>
      </c>
      <c r="O461" s="3" t="n"/>
      <c r="P461" s="3" t="n"/>
      <c r="Q461" s="3" t="n"/>
      <c r="R461" s="3" t="n"/>
      <c r="S461" s="3" t="n"/>
      <c r="T461" s="3" t="n"/>
      <c r="U461" s="3" t="n"/>
      <c r="V461" s="3" t="n"/>
      <c r="W461" s="3" t="n"/>
      <c r="X461" s="3" t="n"/>
      <c r="Y461" s="3" t="n"/>
      <c r="Z461" s="3" t="n"/>
      <c r="AA461" s="3" t="n"/>
    </row>
    <row r="462">
      <c r="A462" s="3" t="inlineStr">
        <is>
          <t>status.assigned</t>
        </is>
      </c>
      <c r="B462" s="3" t="inlineStr">
        <is>
          <t>Đã phân công</t>
        </is>
      </c>
      <c r="C462" s="3" t="inlineStr">
        <is>
          <t>Assigned</t>
        </is>
      </c>
      <c r="D462" s="3">
        <f>IFERROR(__xludf.DUMMYFUNCTION("GOOGLETRANSLATE(B462,""vi"",""en"")"),"Assigned")</f>
        <v/>
      </c>
      <c r="E462" s="3">
        <f>IF(C462&lt;&gt;"",C462, D462)</f>
        <v/>
      </c>
      <c r="F462" s="3" t="n"/>
      <c r="G462" s="3">
        <f>IFERROR(__xludf.DUMMYFUNCTION("GOOGLETRANSLATE(B462,""vi"",""km"")"),"បានចាត់តាំង")</f>
        <v/>
      </c>
      <c r="H462" s="3" t="inlineStr">
        <is>
          <t>បានចាត់តាំង</t>
        </is>
      </c>
      <c r="I462" s="3" t="n"/>
      <c r="J462" s="3">
        <f>IFERROR(__xludf.DUMMYFUNCTION("GOOGLETRANSLATE(B462,""vi"",""lo"")"),"ມອບໝາຍແລ້ວ")</f>
        <v/>
      </c>
      <c r="K462" s="3">
        <f>IF(I462&lt;&gt;"",I462, J462)</f>
        <v/>
      </c>
      <c r="L462" s="3" t="inlineStr">
        <is>
          <t>បានចាត់តាំង</t>
        </is>
      </c>
      <c r="M462" s="3" t="n"/>
      <c r="N462" s="3" t="inlineStr">
        <is>
          <t>"status.assigned": "Assigned",</t>
        </is>
      </c>
      <c r="O462" s="3" t="n"/>
      <c r="P462" s="3" t="n"/>
      <c r="Q462" s="3" t="n"/>
      <c r="R462" s="3" t="n"/>
      <c r="S462" s="3" t="n"/>
      <c r="T462" s="3" t="n"/>
      <c r="U462" s="3" t="n"/>
      <c r="V462" s="3" t="n"/>
      <c r="W462" s="3" t="n"/>
      <c r="X462" s="3" t="n"/>
      <c r="Y462" s="3" t="n"/>
      <c r="Z462" s="3" t="n"/>
      <c r="AA462" s="3" t="n"/>
    </row>
    <row r="463">
      <c r="A463" s="3" t="inlineStr">
        <is>
          <t>status.cancelled</t>
        </is>
      </c>
      <c r="B463" s="3" t="inlineStr">
        <is>
          <t>Đã hủy</t>
        </is>
      </c>
      <c r="C463" s="3" t="inlineStr">
        <is>
          <t>Canceled</t>
        </is>
      </c>
      <c r="D463" s="3">
        <f>IFERROR(__xludf.DUMMYFUNCTION("GOOGLETRANSLATE(B463,""vi"",""en"")"),"Cancelled")</f>
        <v/>
      </c>
      <c r="E463" s="3">
        <f>IF(C463&lt;&gt;"",C463, D463)</f>
        <v/>
      </c>
      <c r="F463" s="3" t="n"/>
      <c r="G463" s="3">
        <f>IFERROR(__xludf.DUMMYFUNCTION("GOOGLETRANSLATE(B463,""vi"",""km"")"),"បានលុបចោល")</f>
        <v/>
      </c>
      <c r="H463" s="3" t="inlineStr">
        <is>
          <t>បានលុបចោល</t>
        </is>
      </c>
      <c r="I463" s="3" t="n"/>
      <c r="J463" s="3">
        <f>IFERROR(__xludf.DUMMYFUNCTION("GOOGLETRANSLATE(B463,""vi"",""lo"")"),"ຍົກເລີກແລ້ວ")</f>
        <v/>
      </c>
      <c r="K463" s="3">
        <f>IF(I463&lt;&gt;"",I463, J463)</f>
        <v/>
      </c>
      <c r="L463" s="3" t="inlineStr">
        <is>
          <t>បានលុបចោល</t>
        </is>
      </c>
      <c r="M463" s="3" t="n"/>
      <c r="N463" s="3" t="inlineStr">
        <is>
          <t>"status.cancelled": "Canceled",</t>
        </is>
      </c>
      <c r="O463" s="3" t="n"/>
      <c r="P463" s="3" t="n"/>
      <c r="Q463" s="3" t="n"/>
      <c r="R463" s="3" t="n"/>
      <c r="S463" s="3" t="n"/>
      <c r="T463" s="3" t="n"/>
      <c r="U463" s="3" t="n"/>
      <c r="V463" s="3" t="n"/>
      <c r="W463" s="3" t="n"/>
      <c r="X463" s="3" t="n"/>
      <c r="Y463" s="3" t="n"/>
      <c r="Z463" s="3" t="n"/>
      <c r="AA463" s="3" t="n"/>
    </row>
    <row r="464">
      <c r="A464" s="3" t="inlineStr">
        <is>
          <t>status.completed</t>
        </is>
      </c>
      <c r="B464" s="3" t="inlineStr">
        <is>
          <t>Đã hoàn thành</t>
        </is>
      </c>
      <c r="C464" s="3" t="inlineStr">
        <is>
          <t>Completed</t>
        </is>
      </c>
      <c r="D464" s="3">
        <f>IFERROR(__xludf.DUMMYFUNCTION("GOOGLETRANSLATE(B464,""vi"",""en"")"),"Completed")</f>
        <v/>
      </c>
      <c r="E464" s="3">
        <f>IF(C464&lt;&gt;"",C464, D464)</f>
        <v/>
      </c>
      <c r="F464" s="3" t="n"/>
      <c r="G464" s="3">
        <f>IFERROR(__xludf.DUMMYFUNCTION("GOOGLETRANSLATE(B464,""vi"",""km"")"),"បានបញ្ចប់")</f>
        <v/>
      </c>
      <c r="H464" s="3" t="inlineStr">
        <is>
          <t>បានបញ្ចប់</t>
        </is>
      </c>
      <c r="I464" s="3" t="n"/>
      <c r="J464" s="3">
        <f>IFERROR(__xludf.DUMMYFUNCTION("GOOGLETRANSLATE(B464,""vi"",""lo"")"),"ສຳເລັດແລ້ວ")</f>
        <v/>
      </c>
      <c r="K464" s="3">
        <f>IF(I464&lt;&gt;"",I464, J464)</f>
        <v/>
      </c>
      <c r="L464" s="3" t="inlineStr">
        <is>
          <t>បានបញ្ចប់</t>
        </is>
      </c>
      <c r="M464" s="3" t="n"/>
      <c r="N464" s="3" t="inlineStr">
        <is>
          <t>"status.completed": "Completed",</t>
        </is>
      </c>
      <c r="O464" s="3" t="n"/>
      <c r="P464" s="3" t="n"/>
      <c r="Q464" s="3" t="n"/>
      <c r="R464" s="3" t="n"/>
      <c r="S464" s="3" t="n"/>
      <c r="T464" s="3" t="n"/>
      <c r="U464" s="3" t="n"/>
      <c r="V464" s="3" t="n"/>
      <c r="W464" s="3" t="n"/>
      <c r="X464" s="3" t="n"/>
      <c r="Y464" s="3" t="n"/>
      <c r="Z464" s="3" t="n"/>
      <c r="AA464" s="3" t="n"/>
    </row>
    <row r="465">
      <c r="A465" s="3" t="inlineStr">
        <is>
          <t>status.draft</t>
        </is>
      </c>
      <c r="B465" s="3" t="inlineStr">
        <is>
          <t>Bản nháp</t>
        </is>
      </c>
      <c r="C465" s="3" t="inlineStr">
        <is>
          <t>Draft</t>
        </is>
      </c>
      <c r="D465" s="3">
        <f>IFERROR(__xludf.DUMMYFUNCTION("GOOGLETRANSLATE(B465,""vi"",""en"")"),"Draft")</f>
        <v/>
      </c>
      <c r="E465" s="3">
        <f>IF(C465&lt;&gt;"",C465, D465)</f>
        <v/>
      </c>
      <c r="F465" s="3" t="n"/>
      <c r="G465" s="3">
        <f>IFERROR(__xludf.DUMMYFUNCTION("GOOGLETRANSLATE(B465,""vi"",""km"")"),"សេចក្តីព្រាង")</f>
        <v/>
      </c>
      <c r="H465" s="3" t="inlineStr">
        <is>
          <t>សេចក្តីព្រាង</t>
        </is>
      </c>
      <c r="I465" s="3" t="n"/>
      <c r="J465" s="3">
        <f>IFERROR(__xludf.DUMMYFUNCTION("GOOGLETRANSLATE(B465,""vi"",""lo"")"),"ຮ່າງ")</f>
        <v/>
      </c>
      <c r="K465" s="3">
        <f>IF(I465&lt;&gt;"",I465, J465)</f>
        <v/>
      </c>
      <c r="L465" s="3" t="inlineStr">
        <is>
          <t>សេចក្តីព្រាង</t>
        </is>
      </c>
      <c r="M465" s="3" t="n"/>
      <c r="N465" s="3" t="inlineStr">
        <is>
          <t>"status.draft": "Draft",</t>
        </is>
      </c>
      <c r="O465" s="3" t="n"/>
      <c r="P465" s="3" t="n"/>
      <c r="Q465" s="3" t="n"/>
      <c r="R465" s="3" t="n"/>
      <c r="S465" s="3" t="n"/>
      <c r="T465" s="3" t="n"/>
      <c r="U465" s="3" t="n"/>
      <c r="V465" s="3" t="n"/>
      <c r="W465" s="3" t="n"/>
      <c r="X465" s="3" t="n"/>
      <c r="Y465" s="3" t="n"/>
      <c r="Z465" s="3" t="n"/>
      <c r="AA465" s="3" t="n"/>
    </row>
    <row r="466">
      <c r="A466" s="3" t="inlineStr">
        <is>
          <t>status.inProgress</t>
        </is>
      </c>
      <c r="B466" s="3" t="inlineStr">
        <is>
          <t>Đang xử lý</t>
        </is>
      </c>
      <c r="C466" s="3" t="inlineStr">
        <is>
          <t>Processing</t>
        </is>
      </c>
      <c r="D466" s="3">
        <f>IFERROR(__xludf.DUMMYFUNCTION("GOOGLETRANSLATE(B466,""vi"",""en"")"),"Processing")</f>
        <v/>
      </c>
      <c r="E466" s="3">
        <f>IF(C466&lt;&gt;"",C466, D466)</f>
        <v/>
      </c>
      <c r="F466" s="3" t="n"/>
      <c r="G466" s="3">
        <f>IFERROR(__xludf.DUMMYFUNCTION("GOOGLETRANSLATE(B466,""vi"",""km"")"),"កំពុងដំណើរការ")</f>
        <v/>
      </c>
      <c r="H466" s="3" t="inlineStr">
        <is>
          <t>កំពុងដំណើរការ</t>
        </is>
      </c>
      <c r="I466" s="3" t="n"/>
      <c r="J466" s="3">
        <f>IFERROR(__xludf.DUMMYFUNCTION("GOOGLETRANSLATE(B466,""vi"",""lo"")"),"ການປະມວນຜົນ")</f>
        <v/>
      </c>
      <c r="K466" s="3">
        <f>IF(I466&lt;&gt;"",I466, J466)</f>
        <v/>
      </c>
      <c r="L466" s="3" t="inlineStr">
        <is>
          <t>កំពុងដំណើរការ</t>
        </is>
      </c>
      <c r="M466" s="3" t="n"/>
      <c r="N466" s="3" t="inlineStr">
        <is>
          <t>"status.inProgress": "Processing",</t>
        </is>
      </c>
      <c r="O466" s="3" t="n"/>
      <c r="P466" s="3" t="n"/>
      <c r="Q466" s="3" t="n"/>
      <c r="R466" s="3" t="n"/>
      <c r="S466" s="3" t="n"/>
      <c r="T466" s="3" t="n"/>
      <c r="U466" s="3" t="n"/>
      <c r="V466" s="3" t="n"/>
      <c r="W466" s="3" t="n"/>
      <c r="X466" s="3" t="n"/>
      <c r="Y466" s="3" t="n"/>
      <c r="Z466" s="3" t="n"/>
      <c r="AA466" s="3" t="n"/>
    </row>
    <row r="467">
      <c r="A467" s="3" t="inlineStr">
        <is>
          <t>status.inactive</t>
        </is>
      </c>
      <c r="B467" s="3" t="inlineStr">
        <is>
          <t>Không hoạt động</t>
        </is>
      </c>
      <c r="C467" s="3" t="inlineStr">
        <is>
          <t>Inactive</t>
        </is>
      </c>
      <c r="D467" s="3">
        <f>IFERROR(__xludf.DUMMYFUNCTION("GOOGLETRANSLATE(B467,""vi"",""en"")"),"Inactive")</f>
        <v/>
      </c>
      <c r="E467" s="3">
        <f>IF(C467&lt;&gt;"",C467, D467)</f>
        <v/>
      </c>
      <c r="F467" s="3" t="n"/>
      <c r="G467" s="3">
        <f>IFERROR(__xludf.DUMMYFUNCTION("GOOGLETRANSLATE(B467,""vi"",""km"")"),"អសកម្ម")</f>
        <v/>
      </c>
      <c r="H467" s="3" t="inlineStr">
        <is>
          <t>អសកម្ម</t>
        </is>
      </c>
      <c r="I467" s="3" t="n"/>
      <c r="J467" s="3">
        <f>IFERROR(__xludf.DUMMYFUNCTION("GOOGLETRANSLATE(B467,""vi"",""lo"")"),"ບໍ່ເຄື່ອນໄຫວ")</f>
        <v/>
      </c>
      <c r="K467" s="3">
        <f>IF(I467&lt;&gt;"",I467, J467)</f>
        <v/>
      </c>
      <c r="L467" s="3" t="inlineStr">
        <is>
          <t>អសកម្ម</t>
        </is>
      </c>
      <c r="M467" s="3" t="n"/>
      <c r="N467" s="3" t="inlineStr">
        <is>
          <t>"status.inactive": "Inactive",</t>
        </is>
      </c>
      <c r="O467" s="3" t="n"/>
      <c r="P467" s="3" t="n"/>
      <c r="Q467" s="3" t="n"/>
      <c r="R467" s="3" t="n"/>
      <c r="S467" s="3" t="n"/>
      <c r="T467" s="3" t="n"/>
      <c r="U467" s="3" t="n"/>
      <c r="V467" s="3" t="n"/>
      <c r="W467" s="3" t="n"/>
      <c r="X467" s="3" t="n"/>
      <c r="Y467" s="3" t="n"/>
      <c r="Z467" s="3" t="n"/>
      <c r="AA467" s="3" t="n"/>
    </row>
    <row r="468">
      <c r="A468" s="3" t="inlineStr">
        <is>
          <t>status.pendingApproval</t>
        </is>
      </c>
      <c r="B468" s="3" t="inlineStr">
        <is>
          <t>Chờ phê duyệt</t>
        </is>
      </c>
      <c r="C468" s="3" t="inlineStr">
        <is>
          <t>Pending approval</t>
        </is>
      </c>
      <c r="D468" s="3">
        <f>IFERROR(__xludf.DUMMYFUNCTION("GOOGLETRANSLATE(B468,""vi"",""en"")"),"Awaiting approval")</f>
        <v/>
      </c>
      <c r="E468" s="3">
        <f>IF(C468&lt;&gt;"",C468, D468)</f>
        <v/>
      </c>
      <c r="F468" s="3" t="n"/>
      <c r="G468" s="3">
        <f>IFERROR(__xludf.DUMMYFUNCTION("GOOGLETRANSLATE(B468,""vi"",""km"")"),"កំពុងរង់ចាំការអនុម័ត")</f>
        <v/>
      </c>
      <c r="H468" s="3" t="inlineStr">
        <is>
          <t>កំពុងរង់ចាំការអនុម័ត</t>
        </is>
      </c>
      <c r="I468" s="3" t="n"/>
      <c r="J468" s="3">
        <f>IFERROR(__xludf.DUMMYFUNCTION("GOOGLETRANSLATE(B468,""vi"",""lo"")"),"ກຳລັງລໍຖ້າການອະນຸມັດ")</f>
        <v/>
      </c>
      <c r="K468" s="3">
        <f>IF(I468&lt;&gt;"",I468, J468)</f>
        <v/>
      </c>
      <c r="L468" s="3" t="inlineStr">
        <is>
          <t>កំពុងរង់ចាំការអនុម័ត</t>
        </is>
      </c>
      <c r="M468" s="3" t="n"/>
      <c r="N468" s="3" t="inlineStr">
        <is>
          <t>"status.pendingApproval": "Pending approval",</t>
        </is>
      </c>
      <c r="O468" s="3" t="n"/>
      <c r="P468" s="3" t="n"/>
      <c r="Q468" s="3" t="n"/>
      <c r="R468" s="3" t="n"/>
      <c r="S468" s="3" t="n"/>
      <c r="T468" s="3" t="n"/>
      <c r="U468" s="3" t="n"/>
      <c r="V468" s="3" t="n"/>
      <c r="W468" s="3" t="n"/>
      <c r="X468" s="3" t="n"/>
      <c r="Y468" s="3" t="n"/>
      <c r="Z468" s="3" t="n"/>
      <c r="AA468" s="3" t="n"/>
    </row>
    <row r="469">
      <c r="A469" s="3" t="inlineStr">
        <is>
          <t>status.processed</t>
        </is>
      </c>
      <c r="B469" s="3" t="inlineStr">
        <is>
          <t>Đã xử lý</t>
        </is>
      </c>
      <c r="C469" s="3" t="inlineStr">
        <is>
          <t>Processed</t>
        </is>
      </c>
      <c r="D469" s="3">
        <f>IFERROR(__xludf.DUMMYFUNCTION("GOOGLETRANSLATE(B469,""vi"",""en"")"),"Processed")</f>
        <v/>
      </c>
      <c r="E469" s="3">
        <f>IF(C469&lt;&gt;"",C469, D469)</f>
        <v/>
      </c>
      <c r="F469" s="3" t="n"/>
      <c r="G469" s="3">
        <f>IFERROR(__xludf.DUMMYFUNCTION("GOOGLETRANSLATE(B469,""vi"",""km"")"),"បានដំណើរការ")</f>
        <v/>
      </c>
      <c r="H469" s="3" t="inlineStr">
        <is>
          <t>បានដំណើរការ</t>
        </is>
      </c>
      <c r="I469" s="3" t="n"/>
      <c r="J469" s="3">
        <f>IFERROR(__xludf.DUMMYFUNCTION("GOOGLETRANSLATE(B469,""vi"",""lo"")"),"ປະມວນຜົນແລ້ວ")</f>
        <v/>
      </c>
      <c r="K469" s="3">
        <f>IF(I469&lt;&gt;"",I469, J469)</f>
        <v/>
      </c>
      <c r="L469" s="3" t="inlineStr">
        <is>
          <t>បានដំណើរការ</t>
        </is>
      </c>
      <c r="M469" s="3" t="n"/>
      <c r="N469" s="3" t="inlineStr">
        <is>
          <t>"status.processed": "Processed",</t>
        </is>
      </c>
      <c r="O469" s="3" t="n"/>
      <c r="P469" s="3" t="n"/>
      <c r="Q469" s="3" t="n"/>
      <c r="R469" s="3" t="n"/>
      <c r="S469" s="3" t="n"/>
      <c r="T469" s="3" t="n"/>
      <c r="U469" s="3" t="n"/>
      <c r="V469" s="3" t="n"/>
      <c r="W469" s="3" t="n"/>
      <c r="X469" s="3" t="n"/>
      <c r="Y469" s="3" t="n"/>
      <c r="Z469" s="3" t="n"/>
      <c r="AA469" s="3" t="n"/>
    </row>
    <row r="470">
      <c r="A470" s="3" t="inlineStr">
        <is>
          <t>status.rejected</t>
        </is>
      </c>
      <c r="B470" s="3" t="inlineStr">
        <is>
          <t>Từ chối</t>
        </is>
      </c>
      <c r="C470" s="3" t="inlineStr">
        <is>
          <t>Rejected</t>
        </is>
      </c>
      <c r="D470" s="3">
        <f>IFERROR(__xludf.DUMMYFUNCTION("GOOGLETRANSLATE(B470,""vi"",""en"")"),"Refuse")</f>
        <v/>
      </c>
      <c r="E470" s="3">
        <f>IF(C470&lt;&gt;"",C470, D470)</f>
        <v/>
      </c>
      <c r="F470" s="3" t="n"/>
      <c r="G470" s="3">
        <f>IFERROR(__xludf.DUMMYFUNCTION("GOOGLETRANSLATE(B470,""vi"",""km"")"),"បដិសេធ")</f>
        <v/>
      </c>
      <c r="H470" s="3" t="inlineStr">
        <is>
          <t>បដិសេធ</t>
        </is>
      </c>
      <c r="I470" s="3" t="n"/>
      <c r="J470" s="3">
        <f>IFERROR(__xludf.DUMMYFUNCTION("GOOGLETRANSLATE(B470,""vi"",""lo"")"),"ປະຕິເສດ")</f>
        <v/>
      </c>
      <c r="K470" s="3">
        <f>IF(I470&lt;&gt;"",I470, J470)</f>
        <v/>
      </c>
      <c r="L470" s="3" t="inlineStr">
        <is>
          <t>បដិសេធ</t>
        </is>
      </c>
      <c r="M470" s="3" t="n"/>
      <c r="N470" s="3" t="inlineStr">
        <is>
          <t>"status.rejected": "Rejected",</t>
        </is>
      </c>
      <c r="O470" s="3" t="n"/>
      <c r="P470" s="3" t="n"/>
      <c r="Q470" s="3" t="n"/>
      <c r="R470" s="3" t="n"/>
      <c r="S470" s="3" t="n"/>
      <c r="T470" s="3" t="n"/>
      <c r="U470" s="3" t="n"/>
      <c r="V470" s="3" t="n"/>
      <c r="W470" s="3" t="n"/>
      <c r="X470" s="3" t="n"/>
      <c r="Y470" s="3" t="n"/>
      <c r="Z470" s="3" t="n"/>
      <c r="AA470" s="3" t="n"/>
    </row>
    <row r="471">
      <c r="A471" s="3" t="inlineStr">
        <is>
          <t>status.scheduled</t>
        </is>
      </c>
      <c r="B471" s="3" t="inlineStr">
        <is>
          <t>Đã lên lịch</t>
        </is>
      </c>
      <c r="C471" s="3" t="inlineStr">
        <is>
          <t>Scheduled</t>
        </is>
      </c>
      <c r="D471" s="3">
        <f>IFERROR(__xludf.DUMMYFUNCTION("GOOGLETRANSLATE(B471,""vi"",""en"")"),"Scheduled")</f>
        <v/>
      </c>
      <c r="E471" s="3">
        <f>IF(C471&lt;&gt;"",C471, D471)</f>
        <v/>
      </c>
      <c r="F471" s="3" t="n"/>
      <c r="G471" s="3">
        <f>IFERROR(__xludf.DUMMYFUNCTION("GOOGLETRANSLATE(B471,""vi"",""km"")"),"បានកំណត់ពេល")</f>
        <v/>
      </c>
      <c r="H471" s="3" t="inlineStr">
        <is>
          <t>បានកំណត់ពេល</t>
        </is>
      </c>
      <c r="I471" s="3" t="n"/>
      <c r="J471" s="3">
        <f>IFERROR(__xludf.DUMMYFUNCTION("GOOGLETRANSLATE(B471,""vi"",""lo"")"),"ກຳນົດເວລາແລ້ວ")</f>
        <v/>
      </c>
      <c r="K471" s="3">
        <f>IF(I471&lt;&gt;"",I471, J471)</f>
        <v/>
      </c>
      <c r="L471" s="3" t="inlineStr">
        <is>
          <t>បានកំណត់ពេល</t>
        </is>
      </c>
      <c r="M471" s="3" t="n"/>
      <c r="N471" s="3" t="inlineStr">
        <is>
          <t>"status.scheduled": "Scheduled",</t>
        </is>
      </c>
      <c r="O471" s="3" t="n"/>
      <c r="P471" s="3" t="n"/>
      <c r="Q471" s="3" t="n"/>
      <c r="R471" s="3" t="n"/>
      <c r="S471" s="3" t="n"/>
      <c r="T471" s="3" t="n"/>
      <c r="U471" s="3" t="n"/>
      <c r="V471" s="3" t="n"/>
      <c r="W471" s="3" t="n"/>
      <c r="X471" s="3" t="n"/>
      <c r="Y471" s="3" t="n"/>
      <c r="Z471" s="3" t="n"/>
      <c r="AA471" s="3" t="n"/>
    </row>
    <row r="472">
      <c r="A472" s="3" t="inlineStr">
        <is>
          <t>status.stopped</t>
        </is>
      </c>
      <c r="B472" s="3" t="inlineStr">
        <is>
          <t>Đã dừng</t>
        </is>
      </c>
      <c r="C472" s="3" t="inlineStr">
        <is>
          <t>Stopped</t>
        </is>
      </c>
      <c r="D472" s="3">
        <f>IFERROR(__xludf.DUMMYFUNCTION("GOOGLETRANSLATE(B472,""vi"",""en"")"),"Stopped")</f>
        <v/>
      </c>
      <c r="E472" s="3">
        <f>IF(C472&lt;&gt;"",C472, D472)</f>
        <v/>
      </c>
      <c r="F472" s="3" t="n"/>
      <c r="G472" s="3">
        <f>IFERROR(__xludf.DUMMYFUNCTION("GOOGLETRANSLATE(B472,""vi"",""km"")"),"បានឈប់")</f>
        <v/>
      </c>
      <c r="H472" s="3" t="inlineStr">
        <is>
          <t>បានឈប់</t>
        </is>
      </c>
      <c r="I472" s="3" t="n"/>
      <c r="J472" s="3">
        <f>IFERROR(__xludf.DUMMYFUNCTION("GOOGLETRANSLATE(B472,""vi"",""lo"")"),"ຢຸດແລ້ວ")</f>
        <v/>
      </c>
      <c r="K472" s="3">
        <f>IF(I472&lt;&gt;"",I472, J472)</f>
        <v/>
      </c>
      <c r="L472" s="3" t="inlineStr">
        <is>
          <t>បានឈប់</t>
        </is>
      </c>
      <c r="M472" s="3" t="n"/>
      <c r="N472" s="3" t="inlineStr">
        <is>
          <t>"status.stopped": "Stopped",</t>
        </is>
      </c>
      <c r="O472" s="3" t="n"/>
      <c r="P472" s="3" t="n"/>
      <c r="Q472" s="3" t="n"/>
      <c r="R472" s="3" t="n"/>
      <c r="S472" s="3" t="n"/>
      <c r="T472" s="3" t="n"/>
      <c r="U472" s="3" t="n"/>
      <c r="V472" s="3" t="n"/>
      <c r="W472" s="3" t="n"/>
      <c r="X472" s="3" t="n"/>
      <c r="Y472" s="3" t="n"/>
      <c r="Z472" s="3" t="n"/>
      <c r="AA472" s="3" t="n"/>
    </row>
    <row r="473">
      <c r="A473" s="3" t="inlineStr">
        <is>
          <t>status.waiting</t>
        </is>
      </c>
      <c r="B473" s="3" t="inlineStr">
        <is>
          <t>Chờ tiếp nhận</t>
        </is>
      </c>
      <c r="C473" s="3" t="inlineStr">
        <is>
          <t>Pending intake</t>
        </is>
      </c>
      <c r="D473" s="3">
        <f>IFERROR(__xludf.DUMMYFUNCTION("GOOGLETRANSLATE(B473,""vi"",""en"")"),"Awaiting receipt")</f>
        <v/>
      </c>
      <c r="E473" s="3">
        <f>IF(C473&lt;&gt;"",C473, D473)</f>
        <v/>
      </c>
      <c r="F473" s="3" t="n"/>
      <c r="G473" s="3">
        <f>IFERROR(__xludf.DUMMYFUNCTION("GOOGLETRANSLATE(B473,""vi"",""km"")"),"កំពុងរង់ចាំបង្កាន់ដៃ")</f>
        <v/>
      </c>
      <c r="H473" s="3" t="inlineStr">
        <is>
          <t>កំពុងរង់ចាំបុងបញ្ញើ</t>
        </is>
      </c>
      <c r="I473" s="3" t="n"/>
      <c r="J473" s="3">
        <f>IFERROR(__xludf.DUMMYFUNCTION("GOOGLETRANSLATE(B473,""vi"",""lo"")"),"ກຳລັງລໍຖ້າໃບຮັບເງິນ")</f>
        <v/>
      </c>
      <c r="K473" s="3">
        <f>IF(I473&lt;&gt;"",I473, J473)</f>
        <v/>
      </c>
      <c r="L473" s="3" t="inlineStr">
        <is>
          <t>កំពុងរង់ចាំបុងបញ្ញើ</t>
        </is>
      </c>
      <c r="M473" s="3" t="n"/>
      <c r="N473" s="3" t="inlineStr">
        <is>
          <t>"status.waiting": "Pending intake",</t>
        </is>
      </c>
      <c r="O473" s="3" t="n"/>
      <c r="P473" s="3" t="n"/>
      <c r="Q473" s="3" t="n"/>
      <c r="R473" s="3" t="n"/>
      <c r="S473" s="3" t="n"/>
      <c r="T473" s="3" t="n"/>
      <c r="U473" s="3" t="n"/>
      <c r="V473" s="3" t="n"/>
      <c r="W473" s="3" t="n"/>
      <c r="X473" s="3" t="n"/>
      <c r="Y473" s="3" t="n"/>
      <c r="Z473" s="3" t="n"/>
      <c r="AA473" s="3" t="n"/>
    </row>
    <row r="474">
      <c r="A474" s="3" t="inlineStr">
        <is>
          <t>time.ago</t>
        </is>
      </c>
      <c r="B474" s="3" t="inlineStr">
        <is>
          <t>{{time}} trước</t>
        </is>
      </c>
      <c r="C474" s="3" t="inlineStr">
        <is>
          <t>{{time}} ago</t>
        </is>
      </c>
      <c r="D474" s="3">
        <f>IFERROR(__xludf.DUMMYFUNCTION("GOOGLETRANSLATE(B474,""vi"",""en"")"),"{{time}} before")</f>
        <v/>
      </c>
      <c r="E474" s="3">
        <f>IF(C474&lt;&gt;"",C474, D474)</f>
        <v/>
      </c>
      <c r="F474" s="3" t="n"/>
      <c r="G474" s="3">
        <f>IFERROR(__xludf.DUMMYFUNCTION("GOOGLETRANSLATE(B474,""vi"",""km"")"),"មុន {{ពេលវេលា}}")</f>
        <v/>
      </c>
      <c r="H474" s="3" t="inlineStr">
        <is>
          <t>មុន {{ពេលវេលា}}</t>
        </is>
      </c>
      <c r="I474" s="3" t="n"/>
      <c r="J474" s="3">
        <f>IFERROR(__xludf.DUMMYFUNCTION("GOOGLETRANSLATE(B474,""vi"",""lo"")"),"ກ່ອນ {{ເວລາ}}")</f>
        <v/>
      </c>
      <c r="K474" s="3">
        <f>IF(I474&lt;&gt;"",I474, J474)</f>
        <v/>
      </c>
      <c r="L474" s="3" t="inlineStr">
        <is>
          <t>មុន {{ពេលវេលា}}</t>
        </is>
      </c>
      <c r="M474" s="3" t="n"/>
      <c r="N474" s="3" t="inlineStr">
        <is>
          <t>"time.ago": "{{time}} ago",</t>
        </is>
      </c>
      <c r="O474" s="3" t="n"/>
      <c r="P474" s="3" t="n"/>
      <c r="Q474" s="3" t="n"/>
      <c r="R474" s="3" t="n"/>
      <c r="S474" s="3" t="n"/>
      <c r="T474" s="3" t="n"/>
      <c r="U474" s="3" t="n"/>
      <c r="V474" s="3" t="n"/>
      <c r="W474" s="3" t="n"/>
      <c r="X474" s="3" t="n"/>
      <c r="Y474" s="3" t="n"/>
      <c r="Z474" s="3" t="n"/>
      <c r="AA474" s="3" t="n"/>
    </row>
    <row r="475">
      <c r="A475" s="3" t="inlineStr">
        <is>
          <t>time.day</t>
        </is>
      </c>
      <c r="B475" s="3" t="inlineStr">
        <is>
          <t>ngày</t>
        </is>
      </c>
      <c r="C475" s="3" t="inlineStr">
        <is>
          <t>Day</t>
        </is>
      </c>
      <c r="D475" s="3">
        <f>IFERROR(__xludf.DUMMYFUNCTION("GOOGLETRANSLATE(B475,""vi"",""en"")"),"day")</f>
        <v/>
      </c>
      <c r="E475" s="3">
        <f>IF(C475&lt;&gt;"",C475, D475)</f>
        <v/>
      </c>
      <c r="F475" s="3" t="n"/>
      <c r="G475" s="3">
        <f>IFERROR(__xludf.DUMMYFUNCTION("GOOGLETRANSLATE(B475,""vi"",""km"")"),"ថ្ងៃ")</f>
        <v/>
      </c>
      <c r="H475" s="3" t="inlineStr">
        <is>
          <t>ថ្ងៃ</t>
        </is>
      </c>
      <c r="I475" s="3" t="n"/>
      <c r="J475" s="3">
        <f>IFERROR(__xludf.DUMMYFUNCTION("GOOGLETRANSLATE(B475,""vi"",""lo"")"),"ມື້")</f>
        <v/>
      </c>
      <c r="K475" s="3">
        <f>IF(I475&lt;&gt;"",I475, J475)</f>
        <v/>
      </c>
      <c r="L475" s="3" t="inlineStr">
        <is>
          <t>ថ្ងៃ</t>
        </is>
      </c>
      <c r="M475" s="3" t="n"/>
      <c r="N475" s="3" t="inlineStr">
        <is>
          <t>"time.day": "Day",</t>
        </is>
      </c>
      <c r="O475" s="3" t="n"/>
      <c r="P475" s="3" t="n"/>
      <c r="Q475" s="3" t="n"/>
      <c r="R475" s="3" t="n"/>
      <c r="S475" s="3" t="n"/>
      <c r="T475" s="3" t="n"/>
      <c r="U475" s="3" t="n"/>
      <c r="V475" s="3" t="n"/>
      <c r="W475" s="3" t="n"/>
      <c r="X475" s="3" t="n"/>
      <c r="Y475" s="3" t="n"/>
      <c r="Z475" s="3" t="n"/>
      <c r="AA475" s="3" t="n"/>
    </row>
    <row r="476">
      <c r="A476" s="3" t="inlineStr">
        <is>
          <t>time.day_one</t>
        </is>
      </c>
      <c r="B476" s="3" t="inlineStr">
        <is>
          <t>1 ngày</t>
        </is>
      </c>
      <c r="C476" s="3" t="inlineStr">
        <is>
          <t>1 day</t>
        </is>
      </c>
      <c r="D476" s="3">
        <f>IFERROR(__xludf.DUMMYFUNCTION("GOOGLETRANSLATE(B476,""vi"",""en"")"),"1 day")</f>
        <v/>
      </c>
      <c r="E476" s="3">
        <f>IF(C476&lt;&gt;"",C476, D476)</f>
        <v/>
      </c>
      <c r="F476" s="3" t="n"/>
      <c r="G476" s="3">
        <f>IFERROR(__xludf.DUMMYFUNCTION("GOOGLETRANSLATE(B476,""vi"",""km"")"),"១ថ្ងៃ")</f>
        <v/>
      </c>
      <c r="H476" s="3" t="inlineStr">
        <is>
          <t>១ថ្ងៃ</t>
        </is>
      </c>
      <c r="I476" s="3" t="n"/>
      <c r="J476" s="3">
        <f>IFERROR(__xludf.DUMMYFUNCTION("GOOGLETRANSLATE(B476,""vi"",""lo"")"),"1 ມື້")</f>
        <v/>
      </c>
      <c r="K476" s="3">
        <f>IF(I476&lt;&gt;"",I476, J476)</f>
        <v/>
      </c>
      <c r="L476" s="3" t="inlineStr">
        <is>
          <t>១ថ្ងៃ</t>
        </is>
      </c>
      <c r="M476" s="3" t="n"/>
      <c r="N476" s="3" t="inlineStr">
        <is>
          <t>"time.day_one": "1 day",</t>
        </is>
      </c>
      <c r="O476" s="3" t="n"/>
      <c r="P476" s="3" t="n"/>
      <c r="Q476" s="3" t="n"/>
      <c r="R476" s="3" t="n"/>
      <c r="S476" s="3" t="n"/>
      <c r="T476" s="3" t="n"/>
      <c r="U476" s="3" t="n"/>
      <c r="V476" s="3" t="n"/>
      <c r="W476" s="3" t="n"/>
      <c r="X476" s="3" t="n"/>
      <c r="Y476" s="3" t="n"/>
      <c r="Z476" s="3" t="n"/>
      <c r="AA476" s="3" t="n"/>
    </row>
    <row r="477">
      <c r="A477" s="3" t="inlineStr">
        <is>
          <t>time.day_other</t>
        </is>
      </c>
      <c r="B477" s="3" t="inlineStr">
        <is>
          <t>{{count}} ngày</t>
        </is>
      </c>
      <c r="C477" s="3" t="inlineStr">
        <is>
          <t>{{count}} days</t>
        </is>
      </c>
      <c r="D477" s="3">
        <f>IFERROR(__xludf.DUMMYFUNCTION("GOOGLETRANSLATE(B477,""vi"",""en"")"),"{{count}} days")</f>
        <v/>
      </c>
      <c r="E477" s="3">
        <f>IF(C477&lt;&gt;"",C477, D477)</f>
        <v/>
      </c>
      <c r="F477" s="3" t="n"/>
      <c r="G477" s="3">
        <f>IFERROR(__xludf.DUMMYFUNCTION("GOOGLETRANSLATE(B477,""vi"",""km"")"),"{{count}} ថ្ងៃ")</f>
        <v/>
      </c>
      <c r="H477" s="3" t="inlineStr">
        <is>
          <t>{{count}} ថ្ងៃ</t>
        </is>
      </c>
      <c r="I477" s="3" t="n"/>
      <c r="J477" s="3">
        <f>IFERROR(__xludf.DUMMYFUNCTION("GOOGLETRANSLATE(B477,""vi"",""lo"")"),"{{count}} ມື້")</f>
        <v/>
      </c>
      <c r="K477" s="3">
        <f>IF(I477&lt;&gt;"",I477, J477)</f>
        <v/>
      </c>
      <c r="L477" s="3" t="inlineStr">
        <is>
          <t>{{count}} ថ្ងៃ</t>
        </is>
      </c>
      <c r="M477" s="3" t="n"/>
      <c r="N477" s="3" t="inlineStr">
        <is>
          <t>"time.day_other": "{{count}} days",</t>
        </is>
      </c>
      <c r="O477" s="3" t="n"/>
      <c r="P477" s="3" t="n"/>
      <c r="Q477" s="3" t="n"/>
      <c r="R477" s="3" t="n"/>
      <c r="S477" s="3" t="n"/>
      <c r="T477" s="3" t="n"/>
      <c r="U477" s="3" t="n"/>
      <c r="V477" s="3" t="n"/>
      <c r="W477" s="3" t="n"/>
      <c r="X477" s="3" t="n"/>
      <c r="Y477" s="3" t="n"/>
      <c r="Z477" s="3" t="n"/>
      <c r="AA477" s="3" t="n"/>
    </row>
    <row r="478">
      <c r="A478" s="3" t="inlineStr">
        <is>
          <t>time.hour</t>
        </is>
      </c>
      <c r="B478" s="3" t="inlineStr">
        <is>
          <t>giờ</t>
        </is>
      </c>
      <c r="C478" s="3" t="inlineStr">
        <is>
          <t>hour</t>
        </is>
      </c>
      <c r="D478" s="3">
        <f>IFERROR(__xludf.DUMMYFUNCTION("GOOGLETRANSLATE(B478,""vi"",""en"")"),"hour")</f>
        <v/>
      </c>
      <c r="E478" s="3">
        <f>IF(C478&lt;&gt;"",C478, D478)</f>
        <v/>
      </c>
      <c r="F478" s="3" t="n"/>
      <c r="G478" s="3">
        <f>IFERROR(__xludf.DUMMYFUNCTION("GOOGLETRANSLATE(B478,""vi"",""km"")"),"ម៉ោង")</f>
        <v/>
      </c>
      <c r="H478" s="3" t="inlineStr">
        <is>
          <t>ម៉ោង</t>
        </is>
      </c>
      <c r="I478" s="3" t="n"/>
      <c r="J478" s="3">
        <f>IFERROR(__xludf.DUMMYFUNCTION("GOOGLETRANSLATE(B478,""vi"",""lo"")"),"ຊົ່ວໂມງ")</f>
        <v/>
      </c>
      <c r="K478" s="3">
        <f>IF(I478&lt;&gt;"",I478, J478)</f>
        <v/>
      </c>
      <c r="L478" s="3" t="inlineStr">
        <is>
          <t>ម៉ោង</t>
        </is>
      </c>
      <c r="M478" s="3" t="n"/>
      <c r="N478" s="3" t="inlineStr">
        <is>
          <t>"time.hour": "hour",</t>
        </is>
      </c>
      <c r="O478" s="3" t="n"/>
      <c r="P478" s="3" t="n"/>
      <c r="Q478" s="3" t="n"/>
      <c r="R478" s="3" t="n"/>
      <c r="S478" s="3" t="n"/>
      <c r="T478" s="3" t="n"/>
      <c r="U478" s="3" t="n"/>
      <c r="V478" s="3" t="n"/>
      <c r="W478" s="3" t="n"/>
      <c r="X478" s="3" t="n"/>
      <c r="Y478" s="3" t="n"/>
      <c r="Z478" s="3" t="n"/>
      <c r="AA478" s="3" t="n"/>
    </row>
    <row r="479">
      <c r="A479" s="3" t="inlineStr">
        <is>
          <t>time.hour_one</t>
        </is>
      </c>
      <c r="B479" s="3" t="inlineStr">
        <is>
          <t>1 giờ</t>
        </is>
      </c>
      <c r="C479" s="3" t="inlineStr">
        <is>
          <t>1 hour</t>
        </is>
      </c>
      <c r="D479" s="3">
        <f>IFERROR(__xludf.DUMMYFUNCTION("GOOGLETRANSLATE(B479,""vi"",""en"")"),"1 hour")</f>
        <v/>
      </c>
      <c r="E479" s="3">
        <f>IF(C479&lt;&gt;"",C479, D479)</f>
        <v/>
      </c>
      <c r="F479" s="3" t="n"/>
      <c r="G479" s="3">
        <f>IFERROR(__xludf.DUMMYFUNCTION("GOOGLETRANSLATE(B479,""vi"",""km"")"),"១ ម៉ោង")</f>
        <v/>
      </c>
      <c r="H479" s="3" t="inlineStr">
        <is>
          <t>១ ម៉ោង</t>
        </is>
      </c>
      <c r="I479" s="3" t="n"/>
      <c r="J479" s="3">
        <f>IFERROR(__xludf.DUMMYFUNCTION("GOOGLETRANSLATE(B479,""vi"",""lo"")"),"1 ຊົ່ວໂມງ")</f>
        <v/>
      </c>
      <c r="K479" s="3">
        <f>IF(I479&lt;&gt;"",I479, J479)</f>
        <v/>
      </c>
      <c r="L479" s="3" t="inlineStr">
        <is>
          <t>១ ម៉ោង</t>
        </is>
      </c>
      <c r="M479" s="3" t="n"/>
      <c r="N479" s="3" t="inlineStr">
        <is>
          <t>"time.hour_one": "1 hour",</t>
        </is>
      </c>
      <c r="O479" s="3" t="n"/>
      <c r="P479" s="3" t="n"/>
      <c r="Q479" s="3" t="n"/>
      <c r="R479" s="3" t="n"/>
      <c r="S479" s="3" t="n"/>
      <c r="T479" s="3" t="n"/>
      <c r="U479" s="3" t="n"/>
      <c r="V479" s="3" t="n"/>
      <c r="W479" s="3" t="n"/>
      <c r="X479" s="3" t="n"/>
      <c r="Y479" s="3" t="n"/>
      <c r="Z479" s="3" t="n"/>
      <c r="AA479" s="3" t="n"/>
    </row>
    <row r="480">
      <c r="A480" s="3" t="inlineStr">
        <is>
          <t>time.hour_other</t>
        </is>
      </c>
      <c r="B480" s="3" t="inlineStr">
        <is>
          <t>{{count}} giờ</t>
        </is>
      </c>
      <c r="C480" s="3" t="inlineStr">
        <is>
          <t>{{count}} hours</t>
        </is>
      </c>
      <c r="D480" s="3">
        <f>IFERROR(__xludf.DUMMYFUNCTION("GOOGLETRANSLATE(B480,""vi"",""en"")"),"{{count}} hours")</f>
        <v/>
      </c>
      <c r="E480" s="3">
        <f>IF(C480&lt;&gt;"",C480, D480)</f>
        <v/>
      </c>
      <c r="F480" s="3" t="n"/>
      <c r="G480" s="3">
        <f>IFERROR(__xludf.DUMMYFUNCTION("GOOGLETRANSLATE(B480,""vi"",""km"")"),"ម៉ោង {{count}}")</f>
        <v/>
      </c>
      <c r="H480" s="3" t="inlineStr">
        <is>
          <t>ម៉ោង {{count}}</t>
        </is>
      </c>
      <c r="I480" s="3" t="n"/>
      <c r="J480" s="3">
        <f>IFERROR(__xludf.DUMMYFUNCTION("GOOGLETRANSLATE(B480,""vi"",""lo"")"),"{{count}} ຊົ່ວໂມງ")</f>
        <v/>
      </c>
      <c r="K480" s="3">
        <f>IF(I480&lt;&gt;"",I480, J480)</f>
        <v/>
      </c>
      <c r="L480" s="3" t="inlineStr">
        <is>
          <t>ម៉ោង {{count}}</t>
        </is>
      </c>
      <c r="M480" s="3" t="n"/>
      <c r="N480" s="3" t="inlineStr">
        <is>
          <t>"time.hour_other": "{{count}} hours",</t>
        </is>
      </c>
      <c r="O480" s="3" t="n"/>
      <c r="P480" s="3" t="n"/>
      <c r="Q480" s="3" t="n"/>
      <c r="R480" s="3" t="n"/>
      <c r="S480" s="3" t="n"/>
      <c r="T480" s="3" t="n"/>
      <c r="U480" s="3" t="n"/>
      <c r="V480" s="3" t="n"/>
      <c r="W480" s="3" t="n"/>
      <c r="X480" s="3" t="n"/>
      <c r="Y480" s="3" t="n"/>
      <c r="Z480" s="3" t="n"/>
      <c r="AA480" s="3" t="n"/>
    </row>
    <row r="481">
      <c r="A481" s="3" t="inlineStr">
        <is>
          <t>time.justNow</t>
        </is>
      </c>
      <c r="B481" s="3" t="inlineStr">
        <is>
          <t>vừa xong</t>
        </is>
      </c>
      <c r="C481" s="3" t="inlineStr">
        <is>
          <t>Just now</t>
        </is>
      </c>
      <c r="D481" s="3">
        <f>IFERROR(__xludf.DUMMYFUNCTION("GOOGLETRANSLATE(B481,""vi"",""en"")"),"just finished")</f>
        <v/>
      </c>
      <c r="E481" s="3">
        <f>IF(C481&lt;&gt;"",C481, D481)</f>
        <v/>
      </c>
      <c r="F481" s="3" t="n"/>
      <c r="G481" s="3">
        <f>IFERROR(__xludf.DUMMYFUNCTION("GOOGLETRANSLATE(B481,""vi"",""km"")"),"ទើប​តែ​បញ្ចប់")</f>
        <v/>
      </c>
      <c r="H481" s="3" t="inlineStr">
        <is>
          <t>ទើបតែបញ្ចប់</t>
        </is>
      </c>
      <c r="I481" s="3" t="n"/>
      <c r="J481" s="3">
        <f>IFERROR(__xludf.DUMMYFUNCTION("GOOGLETRANSLATE(B481,""vi"",""lo"")"),"ຫາກໍ່ສຳເລັດ")</f>
        <v/>
      </c>
      <c r="K481" s="3">
        <f>IF(I481&lt;&gt;"",I481, J481)</f>
        <v/>
      </c>
      <c r="L481" s="3" t="inlineStr">
        <is>
          <t>ទើបតែបញ្ចប់</t>
        </is>
      </c>
      <c r="M481" s="3" t="n"/>
      <c r="N481" s="3" t="inlineStr">
        <is>
          <t>"time.justNow": "Just now",</t>
        </is>
      </c>
      <c r="O481" s="3" t="n"/>
      <c r="P481" s="3" t="n"/>
      <c r="Q481" s="3" t="n"/>
      <c r="R481" s="3" t="n"/>
      <c r="S481" s="3" t="n"/>
      <c r="T481" s="3" t="n"/>
      <c r="U481" s="3" t="n"/>
      <c r="V481" s="3" t="n"/>
      <c r="W481" s="3" t="n"/>
      <c r="X481" s="3" t="n"/>
      <c r="Y481" s="3" t="n"/>
      <c r="Z481" s="3" t="n"/>
      <c r="AA481" s="3" t="n"/>
    </row>
    <row r="482">
      <c r="A482" s="3" t="inlineStr">
        <is>
          <t>time.minute</t>
        </is>
      </c>
      <c r="B482" s="3" t="inlineStr">
        <is>
          <t>phút</t>
        </is>
      </c>
      <c r="C482" s="3" t="inlineStr">
        <is>
          <t>minute</t>
        </is>
      </c>
      <c r="D482" s="3">
        <f>IFERROR(__xludf.DUMMYFUNCTION("GOOGLETRANSLATE(B482,""vi"",""en"")"),"minute")</f>
        <v/>
      </c>
      <c r="E482" s="3">
        <f>IF(C482&lt;&gt;"",C482, D482)</f>
        <v/>
      </c>
      <c r="F482" s="3" t="n"/>
      <c r="G482" s="3">
        <f>IFERROR(__xludf.DUMMYFUNCTION("GOOGLETRANSLATE(B482,""vi"",""km"")"),"នាទី")</f>
        <v/>
      </c>
      <c r="H482" s="3" t="inlineStr">
        <is>
          <t>នាទី</t>
        </is>
      </c>
      <c r="I482" s="3" t="n"/>
      <c r="J482" s="3">
        <f>IFERROR(__xludf.DUMMYFUNCTION("GOOGLETRANSLATE(B482,""vi"",""lo"")"),"ນາທີ")</f>
        <v/>
      </c>
      <c r="K482" s="3">
        <f>IF(I482&lt;&gt;"",I482, J482)</f>
        <v/>
      </c>
      <c r="L482" s="3" t="inlineStr">
        <is>
          <t>នាទី</t>
        </is>
      </c>
      <c r="M482" s="3" t="n"/>
      <c r="N482" s="3" t="inlineStr">
        <is>
          <t>"time.minute": "minute",</t>
        </is>
      </c>
      <c r="O482" s="3" t="n"/>
      <c r="P482" s="3" t="n"/>
      <c r="Q482" s="3" t="n"/>
      <c r="R482" s="3" t="n"/>
      <c r="S482" s="3" t="n"/>
      <c r="T482" s="3" t="n"/>
      <c r="U482" s="3" t="n"/>
      <c r="V482" s="3" t="n"/>
      <c r="W482" s="3" t="n"/>
      <c r="X482" s="3" t="n"/>
      <c r="Y482" s="3" t="n"/>
      <c r="Z482" s="3" t="n"/>
      <c r="AA482" s="3" t="n"/>
    </row>
    <row r="483">
      <c r="A483" s="3" t="inlineStr">
        <is>
          <t>time.minute_one</t>
        </is>
      </c>
      <c r="B483" s="3" t="inlineStr">
        <is>
          <t>1 phút</t>
        </is>
      </c>
      <c r="C483" s="3" t="inlineStr">
        <is>
          <t>1 minute</t>
        </is>
      </c>
      <c r="D483" s="3">
        <f>IFERROR(__xludf.DUMMYFUNCTION("GOOGLETRANSLATE(B483,""vi"",""en"")"),"1 minute")</f>
        <v/>
      </c>
      <c r="E483" s="3">
        <f>IF(C483&lt;&gt;"",C483, D483)</f>
        <v/>
      </c>
      <c r="F483" s="3" t="n"/>
      <c r="G483" s="3">
        <f>IFERROR(__xludf.DUMMYFUNCTION("GOOGLETRANSLATE(B483,""vi"",""km"")"),"១ នាទី")</f>
        <v/>
      </c>
      <c r="H483" s="3" t="inlineStr">
        <is>
          <t>១ នាទី</t>
        </is>
      </c>
      <c r="I483" s="3" t="n"/>
      <c r="J483" s="3">
        <f>IFERROR(__xludf.DUMMYFUNCTION("GOOGLETRANSLATE(B483,""vi"",""lo"")"),"1 ນາທີ")</f>
        <v/>
      </c>
      <c r="K483" s="3">
        <f>IF(I483&lt;&gt;"",I483, J483)</f>
        <v/>
      </c>
      <c r="L483" s="3" t="inlineStr">
        <is>
          <t>១ នាទី</t>
        </is>
      </c>
      <c r="M483" s="3" t="n"/>
      <c r="N483" s="3" t="inlineStr">
        <is>
          <t>"time.minute_one": "1 minute",</t>
        </is>
      </c>
      <c r="O483" s="3" t="n"/>
      <c r="P483" s="3" t="n"/>
      <c r="Q483" s="3" t="n"/>
      <c r="R483" s="3" t="n"/>
      <c r="S483" s="3" t="n"/>
      <c r="T483" s="3" t="n"/>
      <c r="U483" s="3" t="n"/>
      <c r="V483" s="3" t="n"/>
      <c r="W483" s="3" t="n"/>
      <c r="X483" s="3" t="n"/>
      <c r="Y483" s="3" t="n"/>
      <c r="Z483" s="3" t="n"/>
      <c r="AA483" s="3" t="n"/>
    </row>
    <row r="484">
      <c r="A484" s="3" t="inlineStr">
        <is>
          <t>time.minute_other</t>
        </is>
      </c>
      <c r="B484" s="3" t="inlineStr">
        <is>
          <t>{{count}} phút</t>
        </is>
      </c>
      <c r="C484" s="3" t="inlineStr">
        <is>
          <t>{{count}} minutes</t>
        </is>
      </c>
      <c r="D484" s="3">
        <f>IFERROR(__xludf.DUMMYFUNCTION("GOOGLETRANSLATE(B484,""vi"",""en"")"),"{{count}} minutes")</f>
        <v/>
      </c>
      <c r="E484" s="3">
        <f>IF(C484&lt;&gt;"",C484, D484)</f>
        <v/>
      </c>
      <c r="F484" s="3" t="n"/>
      <c r="G484" s="3">
        <f>IFERROR(__xludf.DUMMYFUNCTION("GOOGLETRANSLATE(B484,""vi"",""km"")"),"នាទី {{count}}")</f>
        <v/>
      </c>
      <c r="H484" s="3" t="inlineStr">
        <is>
          <t>នាទី {{count}}</t>
        </is>
      </c>
      <c r="I484" s="3" t="n"/>
      <c r="J484" s="3">
        <f>IFERROR(__xludf.DUMMYFUNCTION("GOOGLETRANSLATE(B484,""vi"",""lo"")"),"{{count}} ນາທີ")</f>
        <v/>
      </c>
      <c r="K484" s="3">
        <f>IF(I484&lt;&gt;"",I484, J484)</f>
        <v/>
      </c>
      <c r="L484" s="3" t="inlineStr">
        <is>
          <t>នាទី {{count}}</t>
        </is>
      </c>
      <c r="M484" s="3" t="n"/>
      <c r="N484" s="3" t="inlineStr">
        <is>
          <t>"time.minute_other": "{{count}} minutes",</t>
        </is>
      </c>
      <c r="O484" s="3" t="n"/>
      <c r="P484" s="3" t="n"/>
      <c r="Q484" s="3" t="n"/>
      <c r="R484" s="3" t="n"/>
      <c r="S484" s="3" t="n"/>
      <c r="T484" s="3" t="n"/>
      <c r="U484" s="3" t="n"/>
      <c r="V484" s="3" t="n"/>
      <c r="W484" s="3" t="n"/>
      <c r="X484" s="3" t="n"/>
      <c r="Y484" s="3" t="n"/>
      <c r="Z484" s="3" t="n"/>
      <c r="AA484" s="3" t="n"/>
    </row>
    <row r="485">
      <c r="A485" s="3" t="inlineStr">
        <is>
          <t>time.second</t>
        </is>
      </c>
      <c r="B485" s="3" t="inlineStr">
        <is>
          <t>giây</t>
        </is>
      </c>
      <c r="C485" s="3" t="inlineStr">
        <is>
          <t>second</t>
        </is>
      </c>
      <c r="D485" s="3">
        <f>IFERROR(__xludf.DUMMYFUNCTION("GOOGLETRANSLATE(B485,""vi"",""en"")"),"second")</f>
        <v/>
      </c>
      <c r="E485" s="3">
        <f>IF(C485&lt;&gt;"",C485, D485)</f>
        <v/>
      </c>
      <c r="F485" s="3" t="n"/>
      <c r="G485" s="3">
        <f>IFERROR(__xludf.DUMMYFUNCTION("GOOGLETRANSLATE(B485,""vi"",""km"")"),"ទីពីរ")</f>
        <v/>
      </c>
      <c r="H485" s="3" t="inlineStr">
        <is>
          <t>ទីពីរ</t>
        </is>
      </c>
      <c r="I485" s="3" t="n"/>
      <c r="J485" s="3">
        <f>IFERROR(__xludf.DUMMYFUNCTION("GOOGLETRANSLATE(B485,""vi"",""lo"")"),"ວິນາທີ")</f>
        <v/>
      </c>
      <c r="K485" s="3">
        <f>IF(I485&lt;&gt;"",I485, J485)</f>
        <v/>
      </c>
      <c r="L485" s="3" t="inlineStr">
        <is>
          <t>ទីពីរ</t>
        </is>
      </c>
      <c r="M485" s="3" t="n"/>
      <c r="N485" s="3" t="inlineStr">
        <is>
          <t>"time.second": "second",</t>
        </is>
      </c>
      <c r="O485" s="3" t="n"/>
      <c r="P485" s="3" t="n"/>
      <c r="Q485" s="3" t="n"/>
      <c r="R485" s="3" t="n"/>
      <c r="S485" s="3" t="n"/>
      <c r="T485" s="3" t="n"/>
      <c r="U485" s="3" t="n"/>
      <c r="V485" s="3" t="n"/>
      <c r="W485" s="3" t="n"/>
      <c r="X485" s="3" t="n"/>
      <c r="Y485" s="3" t="n"/>
      <c r="Z485" s="3" t="n"/>
      <c r="AA485" s="3" t="n"/>
    </row>
    <row r="486">
      <c r="A486" s="3" t="inlineStr">
        <is>
          <t>time.second_one</t>
        </is>
      </c>
      <c r="B486" s="3" t="inlineStr">
        <is>
          <t>1 giây</t>
        </is>
      </c>
      <c r="C486" s="3" t="inlineStr">
        <is>
          <t>1 second</t>
        </is>
      </c>
      <c r="D486" s="3">
        <f>IFERROR(__xludf.DUMMYFUNCTION("GOOGLETRANSLATE(B486,""vi"",""en"")"),"1 second")</f>
        <v/>
      </c>
      <c r="E486" s="3">
        <f>IF(C486&lt;&gt;"",C486, D486)</f>
        <v/>
      </c>
      <c r="F486" s="3" t="n"/>
      <c r="G486" s="3">
        <f>IFERROR(__xludf.DUMMYFUNCTION("GOOGLETRANSLATE(B486,""vi"",""km"")"),"១ វិនាទី")</f>
        <v/>
      </c>
      <c r="H486" s="3" t="inlineStr">
        <is>
          <t>១ វិនាទី</t>
        </is>
      </c>
      <c r="I486" s="3" t="n"/>
      <c r="J486" s="3">
        <f>IFERROR(__xludf.DUMMYFUNCTION("GOOGLETRANSLATE(B486,""vi"",""lo"")"),"1 ວິນາທີ")</f>
        <v/>
      </c>
      <c r="K486" s="3">
        <f>IF(I486&lt;&gt;"",I486, J486)</f>
        <v/>
      </c>
      <c r="L486" s="3" t="inlineStr">
        <is>
          <t>១ វិនាទី</t>
        </is>
      </c>
      <c r="M486" s="3" t="n"/>
      <c r="N486" s="3" t="inlineStr">
        <is>
          <t>"time.second_one": "1 second",</t>
        </is>
      </c>
      <c r="O486" s="3" t="n"/>
      <c r="P486" s="3" t="n"/>
      <c r="Q486" s="3" t="n"/>
      <c r="R486" s="3" t="n"/>
      <c r="S486" s="3" t="n"/>
      <c r="T486" s="3" t="n"/>
      <c r="U486" s="3" t="n"/>
      <c r="V486" s="3" t="n"/>
      <c r="W486" s="3" t="n"/>
      <c r="X486" s="3" t="n"/>
      <c r="Y486" s="3" t="n"/>
      <c r="Z486" s="3" t="n"/>
      <c r="AA486" s="3" t="n"/>
    </row>
    <row r="487">
      <c r="A487" s="3" t="inlineStr">
        <is>
          <t>time.second_other</t>
        </is>
      </c>
      <c r="B487" s="3" t="inlineStr">
        <is>
          <t>{{count}} giây</t>
        </is>
      </c>
      <c r="C487" s="3" t="inlineStr">
        <is>
          <t>{{count}} seconds</t>
        </is>
      </c>
      <c r="D487" s="3">
        <f>IFERROR(__xludf.DUMMYFUNCTION("GOOGLETRANSLATE(B487,""vi"",""en"")"),"Count seconds")</f>
        <v/>
      </c>
      <c r="E487" s="3">
        <f>IF(C487&lt;&gt;"",C487, D487)</f>
        <v/>
      </c>
      <c r="F487" s="3" t="n"/>
      <c r="G487" s="3">
        <f>IFERROR(__xludf.DUMMYFUNCTION("GOOGLETRANSLATE(B487,""vi"",""km"")"),"រាប់វិនាទី")</f>
        <v/>
      </c>
      <c r="H487" s="3" t="inlineStr">
        <is>
          <t>រាប់វិនាទី</t>
        </is>
      </c>
      <c r="I487" s="3" t="n"/>
      <c r="J487" s="3">
        <f>IFERROR(__xludf.DUMMYFUNCTION("GOOGLETRANSLATE(B487,""vi"",""lo"")"),"ນັບວິນາທີ")</f>
        <v/>
      </c>
      <c r="K487" s="3">
        <f>IF(I487&lt;&gt;"",I487, J487)</f>
        <v/>
      </c>
      <c r="L487" s="3" t="inlineStr">
        <is>
          <t>រាប់វិនាទី</t>
        </is>
      </c>
      <c r="M487" s="3" t="n"/>
      <c r="N487" s="3" t="inlineStr">
        <is>
          <t>"time.second_other": "{{count}} seconds",</t>
        </is>
      </c>
      <c r="O487" s="3" t="n"/>
      <c r="P487" s="3" t="n"/>
      <c r="Q487" s="3" t="n"/>
      <c r="R487" s="3" t="n"/>
      <c r="S487" s="3" t="n"/>
      <c r="T487" s="3" t="n"/>
      <c r="U487" s="3" t="n"/>
      <c r="V487" s="3" t="n"/>
      <c r="W487" s="3" t="n"/>
      <c r="X487" s="3" t="n"/>
      <c r="Y487" s="3" t="n"/>
      <c r="Z487" s="3" t="n"/>
      <c r="AA487" s="3" t="n"/>
    </row>
    <row r="488">
      <c r="A488" s="3" t="inlineStr">
        <is>
          <t>ttvhEvaluation.categoryEvaluation.correct</t>
        </is>
      </c>
      <c r="B488" s="3" t="inlineStr">
        <is>
          <t>Đúng</t>
        </is>
      </c>
      <c r="C488" s="3" t="inlineStr">
        <is>
          <t>Correct</t>
        </is>
      </c>
      <c r="D488" s="3">
        <f>IFERROR(__xludf.DUMMYFUNCTION("GOOGLETRANSLATE(B488,""vi"",""en"")"),"Correct")</f>
        <v/>
      </c>
      <c r="E488" s="3">
        <f>IF(C488&lt;&gt;"",C488, D488)</f>
        <v/>
      </c>
      <c r="F488" s="3" t="n"/>
      <c r="G488" s="3">
        <f>IFERROR(__xludf.DUMMYFUNCTION("GOOGLETRANSLATE(B488,""vi"",""km"")"),"ត្រឹមត្រូវ")</f>
        <v/>
      </c>
      <c r="H488" s="3" t="inlineStr">
        <is>
          <t>ត្រឹមត្រូវ</t>
        </is>
      </c>
      <c r="I488" s="3" t="n"/>
      <c r="J488" s="3">
        <f>IFERROR(__xludf.DUMMYFUNCTION("GOOGLETRANSLATE(B488,""vi"",""lo"")"),"ຖືກຕ້ອງ")</f>
        <v/>
      </c>
      <c r="K488" s="3">
        <f>IF(I488&lt;&gt;"",I488, J488)</f>
        <v/>
      </c>
      <c r="L488" s="3" t="inlineStr">
        <is>
          <t>ត្រឹមត្រូវ</t>
        </is>
      </c>
      <c r="M488" s="3" t="n"/>
      <c r="N488" s="3" t="inlineStr">
        <is>
          <t>"ttvhEvaluation.categoryEvaluation.correct": "Correct",</t>
        </is>
      </c>
      <c r="O488" s="3" t="n"/>
      <c r="P488" s="3" t="n"/>
      <c r="Q488" s="3" t="n"/>
      <c r="R488" s="3" t="n"/>
      <c r="S488" s="3" t="n"/>
      <c r="T488" s="3" t="n"/>
      <c r="U488" s="3" t="n"/>
      <c r="V488" s="3" t="n"/>
      <c r="W488" s="3" t="n"/>
      <c r="X488" s="3" t="n"/>
      <c r="Y488" s="3" t="n"/>
      <c r="Z488" s="3" t="n"/>
      <c r="AA488" s="3" t="n"/>
    </row>
    <row r="489">
      <c r="A489" s="3" t="inlineStr">
        <is>
          <t>ttvhEvaluation.categoryEvaluation.incorrect</t>
        </is>
      </c>
      <c r="B489" s="3" t="inlineStr">
        <is>
          <t>Sai</t>
        </is>
      </c>
      <c r="C489" s="3" t="inlineStr">
        <is>
          <t>Incorrect</t>
        </is>
      </c>
      <c r="D489" s="3">
        <f>IFERROR(__xludf.DUMMYFUNCTION("GOOGLETRANSLATE(B489,""vi"",""en"")"),"Wrong")</f>
        <v/>
      </c>
      <c r="E489" s="3">
        <f>IF(C489&lt;&gt;"",C489, D489)</f>
        <v/>
      </c>
      <c r="F489" s="3" t="n"/>
      <c r="G489" s="3">
        <f>IFERROR(__xludf.DUMMYFUNCTION("GOOGLETRANSLATE(B489,""vi"",""km"")"),"ខុស")</f>
        <v/>
      </c>
      <c r="H489" s="3" t="inlineStr">
        <is>
          <t>ខុស</t>
        </is>
      </c>
      <c r="I489" s="3" t="n"/>
      <c r="J489" s="3">
        <f>IFERROR(__xludf.DUMMYFUNCTION("GOOGLETRANSLATE(B489,""vi"",""lo"")"),"ຜິດ")</f>
        <v/>
      </c>
      <c r="K489" s="3">
        <f>IF(I489&lt;&gt;"",I489, J489)</f>
        <v/>
      </c>
      <c r="L489" s="3" t="inlineStr">
        <is>
          <t>ខុស</t>
        </is>
      </c>
      <c r="M489" s="3" t="n"/>
      <c r="N489" s="3" t="inlineStr">
        <is>
          <t>"ttvhEvaluation.categoryEvaluation.incorrect": "Incorrect",</t>
        </is>
      </c>
      <c r="O489" s="3" t="n"/>
      <c r="P489" s="3" t="n"/>
      <c r="Q489" s="3" t="n"/>
      <c r="R489" s="3" t="n"/>
      <c r="S489" s="3" t="n"/>
      <c r="T489" s="3" t="n"/>
      <c r="U489" s="3" t="n"/>
      <c r="V489" s="3" t="n"/>
      <c r="W489" s="3" t="n"/>
      <c r="X489" s="3" t="n"/>
      <c r="Y489" s="3" t="n"/>
      <c r="Z489" s="3" t="n"/>
      <c r="AA489" s="3" t="n"/>
    </row>
    <row r="490">
      <c r="A490" s="3" t="inlineStr">
        <is>
          <t>ttvhEvaluation.extensionEvaluation.correctExtensionReason</t>
        </is>
      </c>
      <c r="B490" s="3" t="inlineStr">
        <is>
          <t>Lý do gia hạn đúng</t>
        </is>
      </c>
      <c r="C490" s="3" t="inlineStr">
        <is>
          <t>Valid extension reason</t>
        </is>
      </c>
      <c r="D490" s="3">
        <f>IFERROR(__xludf.DUMMYFUNCTION("GOOGLETRANSLATE(B490,""vi"",""en"")"),"The reason for the extension is correct.")</f>
        <v/>
      </c>
      <c r="E490" s="3">
        <f>IF(C490&lt;&gt;"",C490, D490)</f>
        <v/>
      </c>
      <c r="F490" s="3" t="n"/>
      <c r="G490" s="3">
        <f>IFERROR(__xludf.DUMMYFUNCTION("GOOGLETRANSLATE(B490,""vi"",""km"")"),"មូលហេតុនៃការពង្រីកគឺត្រឹមត្រូវ។")</f>
        <v/>
      </c>
      <c r="H490" s="3" t="inlineStr">
        <is>
          <t>មូលហេតុនៃការពង្រីកគឺត្រឹមត្រូវ។</t>
        </is>
      </c>
      <c r="I490" s="3" t="n"/>
      <c r="J490" s="3">
        <f>IFERROR(__xludf.DUMMYFUNCTION("GOOGLETRANSLATE(B490,""vi"",""lo"")"),"ເຫດຜົນຂອງການຂະຫຍາຍແມ່ນຖືກຕ້ອງ.")</f>
        <v/>
      </c>
      <c r="K490" s="3">
        <f>IF(I490&lt;&gt;"",I490, J490)</f>
        <v/>
      </c>
      <c r="L490" s="3" t="inlineStr">
        <is>
          <t>មូលហេតុនៃការពង្រីកគឺត្រឹមត្រូវ។</t>
        </is>
      </c>
      <c r="M490" s="3" t="n"/>
      <c r="N490" s="3" t="inlineStr">
        <is>
          <t>"ttvhEvaluation.extensionEvaluation.correctExtensionReason": "Valid extension reason",</t>
        </is>
      </c>
      <c r="O490" s="3" t="n"/>
      <c r="P490" s="3" t="n"/>
      <c r="Q490" s="3" t="n"/>
      <c r="R490" s="3" t="n"/>
      <c r="S490" s="3" t="n"/>
      <c r="T490" s="3" t="n"/>
      <c r="U490" s="3" t="n"/>
      <c r="V490" s="3" t="n"/>
      <c r="W490" s="3" t="n"/>
      <c r="X490" s="3" t="n"/>
      <c r="Y490" s="3" t="n"/>
      <c r="Z490" s="3" t="n"/>
      <c r="AA490" s="3" t="n"/>
    </row>
    <row r="491">
      <c r="A491" s="3" t="inlineStr">
        <is>
          <t>ttvhEvaluation.extensionEvaluation.correctExtensionReasonSelected</t>
        </is>
      </c>
      <c r="B491" s="3" t="inlineStr">
        <is>
          <t>Chọn lý do gia hạn đúng</t>
        </is>
      </c>
      <c r="C491" s="3" t="inlineStr">
        <is>
          <t>Select valid extension reason</t>
        </is>
      </c>
      <c r="D491" s="3">
        <f>IFERROR(__xludf.DUMMYFUNCTION("GOOGLETRANSLATE(B491,""vi"",""en"")"),"Choose the correct reason for renewal.")</f>
        <v/>
      </c>
      <c r="E491" s="3">
        <f>IF(C491&lt;&gt;"",C491, D491)</f>
        <v/>
      </c>
      <c r="F491" s="3" t="n"/>
      <c r="G491" s="3">
        <f>IFERROR(__xludf.DUMMYFUNCTION("GOOGLETRANSLATE(B491,""vi"",""km"")"),"ជ្រើសរើសហេតុផលត្រឹមត្រូវសម្រាប់ការបន្ត។")</f>
        <v/>
      </c>
      <c r="H491" s="3" t="inlineStr">
        <is>
          <t>ជ្រើសរើសហេតុផលត្រឹមត្រូវសម្រាប់ការបន្ត។</t>
        </is>
      </c>
      <c r="I491" s="3" t="n"/>
      <c r="J491" s="3">
        <f>IFERROR(__xludf.DUMMYFUNCTION("GOOGLETRANSLATE(B491,""vi"",""lo"")"),"ເລືອກເຫດຜົນທີ່ຖືກຕ້ອງສຳລັບການຕໍ່ອາຍຸ.")</f>
        <v/>
      </c>
      <c r="K491" s="3">
        <f>IF(I491&lt;&gt;"",I491, J491)</f>
        <v/>
      </c>
      <c r="L491" s="3" t="inlineStr">
        <is>
          <t>ជ្រើសរើសហេតុផលត្រឹមត្រូវសម្រាប់ការបន្ត។</t>
        </is>
      </c>
      <c r="M491" s="3" t="n"/>
      <c r="N491" s="3" t="inlineStr">
        <is>
          <t>"ttvhEvaluation.extensionEvaluation.correctExtensionReasonSelected": "Select valid extension reason",</t>
        </is>
      </c>
      <c r="O491" s="3" t="n"/>
      <c r="P491" s="3" t="n"/>
      <c r="Q491" s="3" t="n"/>
      <c r="R491" s="3" t="n"/>
      <c r="S491" s="3" t="n"/>
      <c r="T491" s="3" t="n"/>
      <c r="U491" s="3" t="n"/>
      <c r="V491" s="3" t="n"/>
      <c r="W491" s="3" t="n"/>
      <c r="X491" s="3" t="n"/>
      <c r="Y491" s="3" t="n"/>
      <c r="Z491" s="3" t="n"/>
      <c r="AA491" s="3" t="n"/>
    </row>
    <row r="492">
      <c r="A492" s="3" t="inlineStr">
        <is>
          <t>ttvhEvaluation.extensionEvaluation.fakeExtension</t>
        </is>
      </c>
      <c r="B492" s="3" t="inlineStr">
        <is>
          <t>Gia hạn ảo</t>
        </is>
      </c>
      <c r="C492" s="3" t="inlineStr">
        <is>
          <t>Invalid extension</t>
        </is>
      </c>
      <c r="D492" s="3">
        <f>IFERROR(__xludf.DUMMYFUNCTION("GOOGLETRANSLATE(B492,""vi"",""en"")"),"Virtual renewal")</f>
        <v/>
      </c>
      <c r="E492" s="3">
        <f>IF(C492&lt;&gt;"",C492, D492)</f>
        <v/>
      </c>
      <c r="F492" s="3" t="n"/>
      <c r="G492" s="3">
        <f>IFERROR(__xludf.DUMMYFUNCTION("GOOGLETRANSLATE(B492,""vi"",""km"")"),"ការបន្តនិម្មិត")</f>
        <v/>
      </c>
      <c r="H492" s="3" t="inlineStr">
        <is>
          <t>ការបន្តនិម្មិត</t>
        </is>
      </c>
      <c r="I492" s="3" t="n"/>
      <c r="J492" s="3">
        <f>IFERROR(__xludf.DUMMYFUNCTION("GOOGLETRANSLATE(B492,""vi"",""lo"")"),"ການຕໍ່ອາຍຸແບບເສມືນ")</f>
        <v/>
      </c>
      <c r="K492" s="3">
        <f>IF(I492&lt;&gt;"",I492, J492)</f>
        <v/>
      </c>
      <c r="L492" s="3" t="inlineStr">
        <is>
          <t>ការបន្តនិម្មិត</t>
        </is>
      </c>
      <c r="M492" s="3" t="n"/>
      <c r="N492" s="3" t="inlineStr">
        <is>
          <t>"ttvhEvaluation.extensionEvaluation.fakeExtension": "Invalid extension",</t>
        </is>
      </c>
      <c r="O492" s="3" t="n"/>
      <c r="P492" s="3" t="n"/>
      <c r="Q492" s="3" t="n"/>
      <c r="R492" s="3" t="n"/>
      <c r="S492" s="3" t="n"/>
      <c r="T492" s="3" t="n"/>
      <c r="U492" s="3" t="n"/>
      <c r="V492" s="3" t="n"/>
      <c r="W492" s="3" t="n"/>
      <c r="X492" s="3" t="n"/>
      <c r="Y492" s="3" t="n"/>
      <c r="Z492" s="3" t="n"/>
      <c r="AA492" s="3" t="n"/>
    </row>
    <row r="493">
      <c r="A493" s="3" t="inlineStr">
        <is>
          <t>ttvhEvaluation.extensionEvaluation.wrongExtensionReason</t>
        </is>
      </c>
      <c r="B493" s="3" t="inlineStr">
        <is>
          <t>Sai lý do gia hạn</t>
        </is>
      </c>
      <c r="C493" s="3" t="inlineStr">
        <is>
          <t>Incorrect extension reason</t>
        </is>
      </c>
      <c r="D493" s="3">
        <f>IFERROR(__xludf.DUMMYFUNCTION("GOOGLETRANSLATE(B493,""vi"",""en"")"),"Incorrect reason for renewal")</f>
        <v/>
      </c>
      <c r="E493" s="3">
        <f>IF(C493&lt;&gt;"",C493, D493)</f>
        <v/>
      </c>
      <c r="F493" s="3" t="n"/>
      <c r="G493" s="3">
        <f>IFERROR(__xludf.DUMMYFUNCTION("GOOGLETRANSLATE(B493,""vi"",""km"")"),"មូលហេតុមិនត្រឹមត្រូវសម្រាប់ការបន្ត")</f>
        <v/>
      </c>
      <c r="H493" s="3" t="inlineStr">
        <is>
          <t>មូលហេតុមិនត្រឹមត្រូវសម្រាប់ការបន្ត</t>
        </is>
      </c>
      <c r="I493" s="3" t="n"/>
      <c r="J493" s="3">
        <f>IFERROR(__xludf.DUMMYFUNCTION("GOOGLETRANSLATE(B493,""vi"",""lo"")"),"ເຫດຜົນທີ່ບໍ່ຖືກຕ້ອງສຳລັບການຕໍ່ອາຍຸ")</f>
        <v/>
      </c>
      <c r="K493" s="3">
        <f>IF(I493&lt;&gt;"",I493, J493)</f>
        <v/>
      </c>
      <c r="L493" s="3" t="inlineStr">
        <is>
          <t>មូលហេតុមិនត្រឹមត្រូវសម្រាប់ការបន្ត</t>
        </is>
      </c>
      <c r="M493" s="3" t="n"/>
      <c r="N493" s="3" t="inlineStr">
        <is>
          <t>"ttvhEvaluation.extensionEvaluation.wrongExtensionReason": "Incorrect extension reason",</t>
        </is>
      </c>
      <c r="O493" s="3" t="n"/>
      <c r="P493" s="3" t="n"/>
      <c r="Q493" s="3" t="n"/>
      <c r="R493" s="3" t="n"/>
      <c r="S493" s="3" t="n"/>
      <c r="T493" s="3" t="n"/>
      <c r="U493" s="3" t="n"/>
      <c r="V493" s="3" t="n"/>
      <c r="W493" s="3" t="n"/>
      <c r="X493" s="3" t="n"/>
      <c r="Y493" s="3" t="n"/>
      <c r="Z493" s="3" t="n"/>
      <c r="AA493" s="3" t="n"/>
    </row>
    <row r="494">
      <c r="A494" s="3" t="inlineStr">
        <is>
          <t>ttvhEvaluation.processingQuality.attitudeError</t>
        </is>
      </c>
      <c r="B494" s="3" t="inlineStr">
        <is>
          <t>Lỗi thái độ</t>
        </is>
      </c>
      <c r="C494" s="3" t="inlineStr">
        <is>
          <t>Attitude issue</t>
        </is>
      </c>
      <c r="D494" s="3">
        <f>IFERROR(__xludf.DUMMYFUNCTION("GOOGLETRANSLATE(B494,""vi"",""en"")"),"Attitude error")</f>
        <v/>
      </c>
      <c r="E494" s="3">
        <f>IF(C494&lt;&gt;"",C494, D494)</f>
        <v/>
      </c>
      <c r="F494" s="3" t="n"/>
      <c r="G494" s="3">
        <f>IFERROR(__xludf.DUMMYFUNCTION("GOOGLETRANSLATE(B494,""vi"",""km"")"),"កំហុស​អាកប្បកិរិយា")</f>
        <v/>
      </c>
      <c r="H494" s="3" t="inlineStr">
        <is>
          <t>កំហុសអាកប្បកិរិយា</t>
        </is>
      </c>
      <c r="I494" s="3" t="n"/>
      <c r="J494" s="3">
        <f>IFERROR(__xludf.DUMMYFUNCTION("GOOGLETRANSLATE(B494,""vi"",""lo"")"),"ຄວາມຜິດພາດຂອງທັດສະນະຄະຕິ")</f>
        <v/>
      </c>
      <c r="K494" s="3">
        <f>IF(I494&lt;&gt;"",I494, J494)</f>
        <v/>
      </c>
      <c r="L494" s="3" t="inlineStr">
        <is>
          <t>កំហុសអាកប្បកិរិយា</t>
        </is>
      </c>
      <c r="M494" s="3" t="n"/>
      <c r="N494" s="3" t="inlineStr">
        <is>
          <t>"ttvhEvaluation.processingQuality.attitudeError": "Attitude issue",</t>
        </is>
      </c>
      <c r="O494" s="3" t="n"/>
      <c r="P494" s="3" t="n"/>
      <c r="Q494" s="3" t="n"/>
      <c r="R494" s="3" t="n"/>
      <c r="S494" s="3" t="n"/>
      <c r="T494" s="3" t="n"/>
      <c r="U494" s="3" t="n"/>
      <c r="V494" s="3" t="n"/>
      <c r="W494" s="3" t="n"/>
      <c r="X494" s="3" t="n"/>
      <c r="Y494" s="3" t="n"/>
      <c r="Z494" s="3" t="n"/>
      <c r="AA494" s="3" t="n"/>
    </row>
    <row r="495">
      <c r="A495" s="3" t="inlineStr">
        <is>
          <t>ttvhEvaluation.processingQuality.businessError</t>
        </is>
      </c>
      <c r="B495" s="3" t="inlineStr">
        <is>
          <t>Lỗi nghiệp vụ</t>
        </is>
      </c>
      <c r="C495" s="3" t="inlineStr">
        <is>
          <t>Operational issue</t>
        </is>
      </c>
      <c r="D495" s="3">
        <f>IFERROR(__xludf.DUMMYFUNCTION("GOOGLETRANSLATE(B495,""vi"",""en"")"),"Operational error")</f>
        <v/>
      </c>
      <c r="E495" s="3">
        <f>IF(C495&lt;&gt;"",C495, D495)</f>
        <v/>
      </c>
      <c r="F495" s="3" t="n"/>
      <c r="G495" s="3">
        <f>IFERROR(__xludf.DUMMYFUNCTION("GOOGLETRANSLATE(B495,""vi"",""km"")"),"កំហុសប្រតិបត្តិការ")</f>
        <v/>
      </c>
      <c r="H495" s="3" t="inlineStr">
        <is>
          <t>កំហុសប្រតិបត្តិការ</t>
        </is>
      </c>
      <c r="I495" s="3" t="n"/>
      <c r="J495" s="3">
        <f>IFERROR(__xludf.DUMMYFUNCTION("GOOGLETRANSLATE(B495,""vi"",""lo"")"),"ຄວາມຜິດພາດໃນການດຳເນີນງານ")</f>
        <v/>
      </c>
      <c r="K495" s="3">
        <f>IF(I495&lt;&gt;"",I495, J495)</f>
        <v/>
      </c>
      <c r="L495" s="3" t="inlineStr">
        <is>
          <t>កំហុសប្រតិបត្តិការ</t>
        </is>
      </c>
      <c r="M495" s="3" t="n"/>
      <c r="N495" s="3" t="inlineStr">
        <is>
          <t>"ttvhEvaluation.processingQuality.businessError": "Operational issue",</t>
        </is>
      </c>
      <c r="O495" s="3" t="n"/>
      <c r="P495" s="3" t="n"/>
      <c r="Q495" s="3" t="n"/>
      <c r="R495" s="3" t="n"/>
      <c r="S495" s="3" t="n"/>
      <c r="T495" s="3" t="n"/>
      <c r="U495" s="3" t="n"/>
      <c r="V495" s="3" t="n"/>
      <c r="W495" s="3" t="n"/>
      <c r="X495" s="3" t="n"/>
      <c r="Y495" s="3" t="n"/>
      <c r="Z495" s="3" t="n"/>
      <c r="AA495" s="3" t="n"/>
    </row>
    <row r="496">
      <c r="A496" s="3" t="inlineStr">
        <is>
          <t>ttvhEvaluation.processingQuality.closedLoop</t>
        </is>
      </c>
      <c r="B496" s="3" t="inlineStr">
        <is>
          <t>Đóng đảo</t>
        </is>
      </c>
      <c r="C496" s="3" t="inlineStr">
        <is>
          <t>Incorrect closure</t>
        </is>
      </c>
      <c r="D496" s="3">
        <f>IFERROR(__xludf.DUMMYFUNCTION("GOOGLETRANSLATE(B496,""vi"",""en"")"),"Close the island.")</f>
        <v/>
      </c>
      <c r="E496" s="3">
        <f>IF(C496&lt;&gt;"",C496, D496)</f>
        <v/>
      </c>
      <c r="F496" s="3" t="n"/>
      <c r="G496" s="3">
        <f>IFERROR(__xludf.DUMMYFUNCTION("GOOGLETRANSLATE(B496,""vi"",""km"")"),"បិទកោះ។")</f>
        <v/>
      </c>
      <c r="H496" s="3" t="inlineStr">
        <is>
          <t>បិទកោះ។</t>
        </is>
      </c>
      <c r="I496" s="3" t="n"/>
      <c r="J496" s="3">
        <f>IFERROR(__xludf.DUMMYFUNCTION("GOOGLETRANSLATE(B496,""vi"",""lo"")"),"ປິດເກາະ.")</f>
        <v/>
      </c>
      <c r="K496" s="3">
        <f>IF(I496&lt;&gt;"",I496, J496)</f>
        <v/>
      </c>
      <c r="L496" s="3" t="inlineStr">
        <is>
          <t>បិទកោះ។</t>
        </is>
      </c>
      <c r="M496" s="3" t="n"/>
      <c r="N496" s="3" t="inlineStr">
        <is>
          <t>"ttvhEvaluation.processingQuality.closedLoop": "Incorrect closure",</t>
        </is>
      </c>
      <c r="O496" s="3" t="n"/>
      <c r="P496" s="3" t="n"/>
      <c r="Q496" s="3" t="n"/>
      <c r="R496" s="3" t="n"/>
      <c r="S496" s="3" t="n"/>
      <c r="T496" s="3" t="n"/>
      <c r="U496" s="3" t="n"/>
      <c r="V496" s="3" t="n"/>
      <c r="W496" s="3" t="n"/>
      <c r="X496" s="3" t="n"/>
      <c r="Y496" s="3" t="n"/>
      <c r="Z496" s="3" t="n"/>
      <c r="AA496" s="3" t="n"/>
    </row>
    <row r="497">
      <c r="A497" s="3" t="inlineStr">
        <is>
          <t>ttvhEvaluation.processingQuality.correctBusiness</t>
        </is>
      </c>
      <c r="B497" s="3" t="inlineStr">
        <is>
          <t>Đúng nghiệp vụ</t>
        </is>
      </c>
      <c r="C497" s="3" t="inlineStr">
        <is>
          <t>Correct operation</t>
        </is>
      </c>
      <c r="D497" s="3">
        <f>IFERROR(__xludf.DUMMYFUNCTION("GOOGLETRANSLATE(B497,""vi"",""en"")"),"Proper professional conduct")</f>
        <v/>
      </c>
      <c r="E497" s="3">
        <f>IF(C497&lt;&gt;"",C497, D497)</f>
        <v/>
      </c>
      <c r="F497" s="3" t="n"/>
      <c r="G497" s="3">
        <f>IFERROR(__xludf.DUMMYFUNCTION("GOOGLETRANSLATE(B497,""vi"",""km"")"),"ក្រមសីលធម៌វិជ្ជាជីវៈត្រឹមត្រូវ")</f>
        <v/>
      </c>
      <c r="H497" s="3" t="inlineStr">
        <is>
          <t>ក្រមសីលធម៌វិជ្ជាជីវៈត្រឹមត្រូវ</t>
        </is>
      </c>
      <c r="I497" s="3" t="n"/>
      <c r="J497" s="3">
        <f>IFERROR(__xludf.DUMMYFUNCTION("GOOGLETRANSLATE(B497,""vi"",""lo"")"),"ການປະພຶດທີ່ເໝາະສົມກັບວິຊາຊີບ")</f>
        <v/>
      </c>
      <c r="K497" s="3">
        <f>IF(I497&lt;&gt;"",I497, J497)</f>
        <v/>
      </c>
      <c r="L497" s="3" t="inlineStr">
        <is>
          <t>ក្រមសីលធម៌វិជ្ជាជីវៈត្រឹមត្រូវ</t>
        </is>
      </c>
      <c r="M497" s="3" t="n"/>
      <c r="N497" s="3" t="inlineStr">
        <is>
          <t>"ttvhEvaluation.processingQuality.correctBusiness": "Correct operation",</t>
        </is>
      </c>
      <c r="O497" s="3" t="n"/>
      <c r="P497" s="3" t="n"/>
      <c r="Q497" s="3" t="n"/>
      <c r="R497" s="3" t="n"/>
      <c r="S497" s="3" t="n"/>
      <c r="T497" s="3" t="n"/>
      <c r="U497" s="3" t="n"/>
      <c r="V497" s="3" t="n"/>
      <c r="W497" s="3" t="n"/>
      <c r="X497" s="3" t="n"/>
      <c r="Y497" s="3" t="n"/>
      <c r="Z497" s="3" t="n"/>
      <c r="AA497" s="3" t="n"/>
    </row>
    <row r="498">
      <c r="A498" s="3" t="inlineStr">
        <is>
          <t>ttvhEvaluation.processingQuality.incompleteProcessing</t>
        </is>
      </c>
      <c r="B498" s="3" t="inlineStr">
        <is>
          <t>Xử lý không triệt để</t>
        </is>
      </c>
      <c r="C498" s="3" t="inlineStr">
        <is>
          <t>Incomplete resolution</t>
        </is>
      </c>
      <c r="D498" s="3">
        <f>IFERROR(__xludf.DUMMYFUNCTION("GOOGLETRANSLATE(B498,""vi"",""en"")"),"Incomplete handling")</f>
        <v/>
      </c>
      <c r="E498" s="3">
        <f>IF(C498&lt;&gt;"",C498, D498)</f>
        <v/>
      </c>
      <c r="F498" s="3" t="n"/>
      <c r="G498" s="3">
        <f>IFERROR(__xludf.DUMMYFUNCTION("GOOGLETRANSLATE(B498,""vi"",""km"")"),"ការដោះស្រាយមិនពេញលេញ")</f>
        <v/>
      </c>
      <c r="H498" s="3" t="inlineStr">
        <is>
          <t>ការដោះស្រាយមិនពេញលេញ</t>
        </is>
      </c>
      <c r="I498" s="3" t="n"/>
      <c r="J498" s="3">
        <f>IFERROR(__xludf.DUMMYFUNCTION("GOOGLETRANSLATE(B498,""vi"",""lo"")"),"ການຈັດການທີ່ບໍ່ຄົບຖ້ວນ")</f>
        <v/>
      </c>
      <c r="K498" s="3">
        <f>IF(I498&lt;&gt;"",I498, J498)</f>
        <v/>
      </c>
      <c r="L498" s="3" t="inlineStr">
        <is>
          <t>ការដោះស្រាយមិនពេញលេញ</t>
        </is>
      </c>
      <c r="M498" s="3" t="n"/>
      <c r="N498" s="3" t="inlineStr">
        <is>
          <t>"ttvhEvaluation.processingQuality.incompleteProcessing": "Incomplete resolution",</t>
        </is>
      </c>
      <c r="O498" s="3" t="n"/>
      <c r="P498" s="3" t="n"/>
      <c r="Q498" s="3" t="n"/>
      <c r="R498" s="3" t="n"/>
      <c r="S498" s="3" t="n"/>
      <c r="T498" s="3" t="n"/>
      <c r="U498" s="3" t="n"/>
      <c r="V498" s="3" t="n"/>
      <c r="W498" s="3" t="n"/>
      <c r="X498" s="3" t="n"/>
      <c r="Y498" s="3" t="n"/>
      <c r="Z498" s="3" t="n"/>
      <c r="AA498" s="3" t="n"/>
    </row>
    <row r="499">
      <c r="A499" s="3" t="inlineStr">
        <is>
          <t>ttvhEvaluation.processingQuality.missingProcessingInfo</t>
        </is>
      </c>
      <c r="B499" s="3" t="inlineStr">
        <is>
          <t>Thiếu thông tin xử lý</t>
        </is>
      </c>
      <c r="C499" s="3" t="inlineStr">
        <is>
          <t>Insufficient processing information</t>
        </is>
      </c>
      <c r="D499" s="3">
        <f>IFERROR(__xludf.DUMMYFUNCTION("GOOGLETRANSLATE(B499,""vi"",""en"")"),"Lack of processing information")</f>
        <v/>
      </c>
      <c r="E499" s="3">
        <f>IF(C499&lt;&gt;"",C499, D499)</f>
        <v/>
      </c>
      <c r="F499" s="3" t="n"/>
      <c r="G499" s="3">
        <f>IFERROR(__xludf.DUMMYFUNCTION("GOOGLETRANSLATE(B499,""vi"",""km"")"),"កង្វះព័ត៌មានដំណើរការ")</f>
        <v/>
      </c>
      <c r="H499" s="3" t="inlineStr">
        <is>
          <t>កង្វះព័ត៌មានដំណើរការ</t>
        </is>
      </c>
      <c r="I499" s="3" t="n"/>
      <c r="J499" s="3">
        <f>IFERROR(__xludf.DUMMYFUNCTION("GOOGLETRANSLATE(B499,""vi"",""lo"")"),"ຂາດຂໍ້ມູນການປະມວນຜົນ")</f>
        <v/>
      </c>
      <c r="K499" s="3">
        <f>IF(I499&lt;&gt;"",I499, J499)</f>
        <v/>
      </c>
      <c r="L499" s="3" t="inlineStr">
        <is>
          <t>កង្វះព័ត៌មានដំណើរការ</t>
        </is>
      </c>
      <c r="M499" s="3" t="n"/>
      <c r="N499" s="3" t="inlineStr">
        <is>
          <t>"ttvhEvaluation.processingQuality.missingProcessingInfo": "Insufficient processing information",</t>
        </is>
      </c>
      <c r="O499" s="3" t="n"/>
      <c r="P499" s="3" t="n"/>
      <c r="Q499" s="3" t="n"/>
      <c r="R499" s="3" t="n"/>
      <c r="S499" s="3" t="n"/>
      <c r="T499" s="3" t="n"/>
      <c r="U499" s="3" t="n"/>
      <c r="V499" s="3" t="n"/>
      <c r="W499" s="3" t="n"/>
      <c r="X499" s="3" t="n"/>
      <c r="Y499" s="3" t="n"/>
      <c r="Z499" s="3" t="n"/>
      <c r="AA499" s="3" t="n"/>
    </row>
    <row r="500">
      <c r="A500" s="3" t="inlineStr">
        <is>
          <t>ttvhEvaluation.processingQuality.responsibilityError</t>
        </is>
      </c>
      <c r="B500" s="3" t="inlineStr">
        <is>
          <t>Lỗi ý thức trách nhiệm</t>
        </is>
      </c>
      <c r="C500" s="3" t="inlineStr">
        <is>
          <t>Responsibility issue</t>
        </is>
      </c>
      <c r="D500" s="3">
        <f>IFERROR(__xludf.DUMMYFUNCTION("GOOGLETRANSLATE(B500,""vi"",""en"")"),"Failure to exercise a sense of responsibility.")</f>
        <v/>
      </c>
      <c r="E500" s="3">
        <f>IF(C500&lt;&gt;"",C500, D500)</f>
        <v/>
      </c>
      <c r="F500" s="3" t="n"/>
      <c r="G500" s="3">
        <f>IFERROR(__xludf.DUMMYFUNCTION("GOOGLETRANSLATE(B500,""vi"",""km"")"),"ការខកខានមិនបានបង្ហាញស្មារតីទទួលខុសត្រូវ។")</f>
        <v/>
      </c>
      <c r="H500" s="3" t="inlineStr">
        <is>
          <t>ការខកខានមិនបានបង្ហាញស្មារតីទទួលខុសត្រូវ។</t>
        </is>
      </c>
      <c r="I500" s="3" t="n"/>
      <c r="J500" s="3">
        <f>IFERROR(__xludf.DUMMYFUNCTION("GOOGLETRANSLATE(B500,""vi"",""lo"")"),"ການບໍ່ສະແດງຄວາມຮັບຜິດຊອບ.")</f>
        <v/>
      </c>
      <c r="K500" s="3">
        <f>IF(I500&lt;&gt;"",I500, J500)</f>
        <v/>
      </c>
      <c r="L500" s="3" t="inlineStr">
        <is>
          <t>ការខកខានមិនបានបង្ហាញស្មារតីទទួលខុសត្រូវ។</t>
        </is>
      </c>
      <c r="M500" s="3" t="n"/>
      <c r="N500" s="3" t="inlineStr">
        <is>
          <t>"ttvhEvaluation.processingQuality.responsibilityError": "Responsibility issue",</t>
        </is>
      </c>
      <c r="O500" s="3" t="n"/>
      <c r="P500" s="3" t="n"/>
      <c r="Q500" s="3" t="n"/>
      <c r="R500" s="3" t="n"/>
      <c r="S500" s="3" t="n"/>
      <c r="T500" s="3" t="n"/>
      <c r="U500" s="3" t="n"/>
      <c r="V500" s="3" t="n"/>
      <c r="W500" s="3" t="n"/>
      <c r="X500" s="3" t="n"/>
      <c r="Y500" s="3" t="n"/>
      <c r="Z500" s="3" t="n"/>
      <c r="AA500" s="3" t="n"/>
    </row>
    <row r="501">
      <c r="A501" s="3" t="inlineStr">
        <is>
          <t>ttvhEvaluation.receptionQuality.correctBusiness</t>
        </is>
      </c>
      <c r="B501" s="3" t="inlineStr">
        <is>
          <t>Đúng nghiệp vụ</t>
        </is>
      </c>
      <c r="C501" s="3" t="inlineStr">
        <is>
          <t>Correct operation</t>
        </is>
      </c>
      <c r="D501" s="3">
        <f>IFERROR(__xludf.DUMMYFUNCTION("GOOGLETRANSLATE(B501,""vi"",""en"")"),"Proper professional conduct")</f>
        <v/>
      </c>
      <c r="E501" s="3">
        <f>IF(C501&lt;&gt;"",C501, D501)</f>
        <v/>
      </c>
      <c r="F501" s="3" t="n"/>
      <c r="G501" s="3">
        <f>IFERROR(__xludf.DUMMYFUNCTION("GOOGLETRANSLATE(B501,""vi"",""km"")"),"ក្រមសីលធម៌វិជ្ជាជីវៈត្រឹមត្រូវ")</f>
        <v/>
      </c>
      <c r="H501" s="3" t="inlineStr">
        <is>
          <t>ក្រមសីលធម៌វិជ្ជាជីវៈត្រឹមត្រូវ</t>
        </is>
      </c>
      <c r="I501" s="3" t="n"/>
      <c r="J501" s="3">
        <f>IFERROR(__xludf.DUMMYFUNCTION("GOOGLETRANSLATE(B501,""vi"",""lo"")"),"ການປະພຶດທີ່ເໝາະສົມກັບວິຊາຊີບ")</f>
        <v/>
      </c>
      <c r="K501" s="3">
        <f>IF(I501&lt;&gt;"",I501, J501)</f>
        <v/>
      </c>
      <c r="L501" s="3" t="inlineStr">
        <is>
          <t>ក្រមសីលធម៌វិជ្ជាជីវៈត្រឹមត្រូវ</t>
        </is>
      </c>
      <c r="M501" s="3" t="n"/>
      <c r="N501" s="3" t="inlineStr">
        <is>
          <t>"ttvhEvaluation.receptionQuality.correctBusiness": "Correct operation",</t>
        </is>
      </c>
      <c r="O501" s="3" t="n"/>
      <c r="P501" s="3" t="n"/>
      <c r="Q501" s="3" t="n"/>
      <c r="R501" s="3" t="n"/>
      <c r="S501" s="3" t="n"/>
      <c r="T501" s="3" t="n"/>
      <c r="U501" s="3" t="n"/>
      <c r="V501" s="3" t="n"/>
      <c r="W501" s="3" t="n"/>
      <c r="X501" s="3" t="n"/>
      <c r="Y501" s="3" t="n"/>
      <c r="Z501" s="3" t="n"/>
      <c r="AA501" s="3" t="n"/>
    </row>
    <row r="502">
      <c r="A502" s="3" t="inlineStr">
        <is>
          <t>ttvhEvaluation.receptionQuality.missingContent</t>
        </is>
      </c>
      <c r="B502" s="3" t="inlineStr">
        <is>
          <t>Thiếu nội dung</t>
        </is>
      </c>
      <c r="C502" s="3" t="inlineStr">
        <is>
          <t>Missing content</t>
        </is>
      </c>
      <c r="D502" s="3">
        <f>IFERROR(__xludf.DUMMYFUNCTION("GOOGLETRANSLATE(B502,""vi"",""en"")"),"Missing content")</f>
        <v/>
      </c>
      <c r="E502" s="3">
        <f>IF(C502&lt;&gt;"",C502, D502)</f>
        <v/>
      </c>
      <c r="F502" s="3" t="n"/>
      <c r="G502" s="3">
        <f>IFERROR(__xludf.DUMMYFUNCTION("GOOGLETRANSLATE(B502,""vi"",""km"")"),"ខ្លឹមសារដែលបាត់")</f>
        <v/>
      </c>
      <c r="H502" s="3" t="inlineStr">
        <is>
          <t>ខ្លឹមសារដែលបាត់</t>
        </is>
      </c>
      <c r="I502" s="3" t="n"/>
      <c r="J502" s="3">
        <f>IFERROR(__xludf.DUMMYFUNCTION("GOOGLETRANSLATE(B502,""vi"",""lo"")"),"ເນື້ອຫາທີ່ຂາດຫາຍໄປ")</f>
        <v/>
      </c>
      <c r="K502" s="3">
        <f>IF(I502&lt;&gt;"",I502, J502)</f>
        <v/>
      </c>
      <c r="L502" s="3" t="inlineStr">
        <is>
          <t>ខ្លឹមសារដែលបាត់</t>
        </is>
      </c>
      <c r="M502" s="3" t="n"/>
      <c r="N502" s="3" t="inlineStr">
        <is>
          <t>"ttvhEvaluation.receptionQuality.missingContent": "Missing content",</t>
        </is>
      </c>
      <c r="O502" s="3" t="n"/>
      <c r="P502" s="3" t="n"/>
      <c r="Q502" s="3" t="n"/>
      <c r="R502" s="3" t="n"/>
      <c r="S502" s="3" t="n"/>
      <c r="T502" s="3" t="n"/>
      <c r="U502" s="3" t="n"/>
      <c r="V502" s="3" t="n"/>
      <c r="W502" s="3" t="n"/>
      <c r="X502" s="3" t="n"/>
      <c r="Y502" s="3" t="n"/>
      <c r="Z502" s="3" t="n"/>
      <c r="AA502" s="3" t="n"/>
    </row>
    <row r="503">
      <c r="A503" s="3" t="inlineStr">
        <is>
          <t>ttvhEvaluation.receptionQuality.wrongBusiness</t>
        </is>
      </c>
      <c r="B503" s="3" t="inlineStr">
        <is>
          <t>Sai nghiệp vụ</t>
        </is>
      </c>
      <c r="C503" s="3" t="inlineStr">
        <is>
          <t>Incorrect operation</t>
        </is>
      </c>
      <c r="D503" s="3">
        <f>IFERROR(__xludf.DUMMYFUNCTION("GOOGLETRANSLATE(B503,""vi"",""en"")"),"Incorrect procedure")</f>
        <v/>
      </c>
      <c r="E503" s="3">
        <f>IF(C503&lt;&gt;"",C503, D503)</f>
        <v/>
      </c>
      <c r="F503" s="3" t="n"/>
      <c r="G503" s="3">
        <f>IFERROR(__xludf.DUMMYFUNCTION("GOOGLETRANSLATE(B503,""vi"",""km"")"),"នីតិវិធីមិនត្រឹមត្រូវ")</f>
        <v/>
      </c>
      <c r="H503" s="3" t="inlineStr">
        <is>
          <t>នីតិវិធីមិនត្រឹមត្រូវ</t>
        </is>
      </c>
      <c r="I503" s="3" t="n"/>
      <c r="J503" s="3">
        <f>IFERROR(__xludf.DUMMYFUNCTION("GOOGLETRANSLATE(B503,""vi"",""lo"")"),"ຂັ້ນຕອນທີ່ບໍ່ຖືກຕ້ອງ")</f>
        <v/>
      </c>
      <c r="K503" s="3">
        <f>IF(I503&lt;&gt;"",I503, J503)</f>
        <v/>
      </c>
      <c r="L503" s="3" t="inlineStr">
        <is>
          <t>នីតិវិធីមិនត្រឹមត្រូវ</t>
        </is>
      </c>
      <c r="M503" s="3" t="n"/>
      <c r="N503" s="3" t="inlineStr">
        <is>
          <t>"ttvhEvaluation.receptionQuality.wrongBusiness": "Incorrect operation",</t>
        </is>
      </c>
      <c r="O503" s="3" t="n"/>
      <c r="P503" s="3" t="n"/>
      <c r="Q503" s="3" t="n"/>
      <c r="R503" s="3" t="n"/>
      <c r="S503" s="3" t="n"/>
      <c r="T503" s="3" t="n"/>
      <c r="U503" s="3" t="n"/>
      <c r="V503" s="3" t="n"/>
      <c r="W503" s="3" t="n"/>
      <c r="X503" s="3" t="n"/>
      <c r="Y503" s="3" t="n"/>
      <c r="Z503" s="3" t="n"/>
      <c r="AA503" s="3" t="n"/>
    </row>
    <row r="504">
      <c r="A504" s="3" t="inlineStr">
        <is>
          <t>ttvhEvaluation.receptionQuality.wrongComplaintType</t>
        </is>
      </c>
      <c r="B504" s="3" t="inlineStr">
        <is>
          <t>Sai loại khiếu nại</t>
        </is>
      </c>
      <c r="C504" s="3" t="inlineStr">
        <is>
          <t>Incorrect complaint type</t>
        </is>
      </c>
      <c r="D504" s="3">
        <f>IFERROR(__xludf.DUMMYFUNCTION("GOOGLETRANSLATE(B504,""vi"",""en"")"),"Incorrect type of complaint")</f>
        <v/>
      </c>
      <c r="E504" s="3">
        <f>IF(C504&lt;&gt;"",C504, D504)</f>
        <v/>
      </c>
      <c r="F504" s="3" t="n"/>
      <c r="G504" s="3">
        <f>IFERROR(__xludf.DUMMYFUNCTION("GOOGLETRANSLATE(B504,""vi"",""km"")"),"ប្រភេទពាក្យបណ្តឹងមិនត្រឹមត្រូវ")</f>
        <v/>
      </c>
      <c r="H504" s="3" t="inlineStr">
        <is>
          <t>ប្រភេទពាក្យបណ្តឹងមិនត្រឹមត្រូវ</t>
        </is>
      </c>
      <c r="I504" s="3" t="n"/>
      <c r="J504" s="3">
        <f>IFERROR(__xludf.DUMMYFUNCTION("GOOGLETRANSLATE(B504,""vi"",""lo"")"),"ປະເພດການຮ້ອງຮຽນທີ່ບໍ່ຖືກຕ້ອງ")</f>
        <v/>
      </c>
      <c r="K504" s="3">
        <f>IF(I504&lt;&gt;"",I504, J504)</f>
        <v/>
      </c>
      <c r="L504" s="3" t="inlineStr">
        <is>
          <t>ប្រភេទពាក្យបណ្តឹងមិនត្រឹមត្រូវ</t>
        </is>
      </c>
      <c r="M504" s="3" t="n"/>
      <c r="N504" s="3" t="inlineStr">
        <is>
          <t>"ttvhEvaluation.receptionQuality.wrongComplaintType": "Incorrect complaint type",</t>
        </is>
      </c>
      <c r="O504" s="3" t="n"/>
      <c r="P504" s="3" t="n"/>
      <c r="Q504" s="3" t="n"/>
      <c r="R504" s="3" t="n"/>
      <c r="S504" s="3" t="n"/>
      <c r="T504" s="3" t="n"/>
      <c r="U504" s="3" t="n"/>
      <c r="V504" s="3" t="n"/>
      <c r="W504" s="3" t="n"/>
      <c r="X504" s="3" t="n"/>
      <c r="Y504" s="3" t="n"/>
      <c r="Z504" s="3" t="n"/>
      <c r="AA504" s="3" t="n"/>
    </row>
    <row r="505">
      <c r="A505" s="3" t="inlineStr">
        <is>
          <t>ttvhEvaluation.receptionQuality.wrongHandlingUnit</t>
        </is>
      </c>
      <c r="B505" s="3" t="inlineStr">
        <is>
          <t>Sai bưu cục xử lý</t>
        </is>
      </c>
      <c r="C505" s="3" t="inlineStr">
        <is>
          <t>Incorrect processing branch</t>
        </is>
      </c>
      <c r="D505" s="3">
        <f>IFERROR(__xludf.DUMMYFUNCTION("GOOGLETRANSLATE(B505,""vi"",""en"")"),"Incorrect post office handling")</f>
        <v/>
      </c>
      <c r="E505" s="3">
        <f>IF(C505&lt;&gt;"",C505, D505)</f>
        <v/>
      </c>
      <c r="F505" s="3" t="n"/>
      <c r="G505" s="3">
        <f>IFERROR(__xludf.DUMMYFUNCTION("GOOGLETRANSLATE(B505,""vi"",""km"")"),"ការដោះស្រាយប្រៃសណីយ៍មិនត្រឹមត្រូវ")</f>
        <v/>
      </c>
      <c r="H505" s="3" t="inlineStr">
        <is>
          <t>ការដោះស្រាយប្រៃសណីយ៍មិនត្រឹមត្រូវ</t>
        </is>
      </c>
      <c r="I505" s="3" t="n"/>
      <c r="J505" s="3">
        <f>IFERROR(__xludf.DUMMYFUNCTION("GOOGLETRANSLATE(B505,""vi"",""lo"")"),"ການຈັດການໄປສະນີທີ່ບໍ່ຖືກຕ້ອງ")</f>
        <v/>
      </c>
      <c r="K505" s="3">
        <f>IF(I505&lt;&gt;"",I505, J505)</f>
        <v/>
      </c>
      <c r="L505" s="3" t="inlineStr">
        <is>
          <t>ការដោះស្រាយប្រៃសណីយ៍មិនត្រឹមត្រូវ</t>
        </is>
      </c>
      <c r="M505" s="3" t="n"/>
      <c r="N505" s="3" t="inlineStr">
        <is>
          <t>"ttvhEvaluation.receptionQuality.wrongHandlingUnit": "Incorrect processing branch",</t>
        </is>
      </c>
      <c r="O505" s="3" t="n"/>
      <c r="P505" s="3" t="n"/>
      <c r="Q505" s="3" t="n"/>
      <c r="R505" s="3" t="n"/>
      <c r="S505" s="3" t="n"/>
      <c r="T505" s="3" t="n"/>
      <c r="U505" s="3" t="n"/>
      <c r="V505" s="3" t="n"/>
      <c r="W505" s="3" t="n"/>
      <c r="X505" s="3" t="n"/>
      <c r="Y505" s="3" t="n"/>
      <c r="Z505" s="3" t="n"/>
      <c r="AA505" s="3" t="n"/>
    </row>
    <row r="506">
      <c r="A506" s="3" t="inlineStr">
        <is>
          <t>ttvhEvaluation.receptionQuality.wrongOperatingRegulation</t>
        </is>
      </c>
      <c r="B506" s="3" t="inlineStr">
        <is>
          <t>Sai quy định điều hành</t>
        </is>
      </c>
      <c r="C506" s="3" t="inlineStr">
        <is>
          <t>Incorrect operational policy</t>
        </is>
      </c>
      <c r="D506" s="3">
        <f>IFERROR(__xludf.DUMMYFUNCTION("GOOGLETRANSLATE(B506,""vi"",""en"")"),"Violation of operating regulations")</f>
        <v/>
      </c>
      <c r="E506" s="3">
        <f>IF(C506&lt;&gt;"",C506, D506)</f>
        <v/>
      </c>
      <c r="F506" s="3" t="n"/>
      <c r="G506" s="3">
        <f>IFERROR(__xludf.DUMMYFUNCTION("GOOGLETRANSLATE(B506,""vi"",""km"")"),"ការរំលោភលើបទប្បញ្ញត្តិប្រតិបត្តិការ")</f>
        <v/>
      </c>
      <c r="H506" s="3" t="inlineStr">
        <is>
          <t>ការរំលោភលើបទប្បញ្ញត្តិប្រតិបត្តិការ</t>
        </is>
      </c>
      <c r="I506" s="3" t="n"/>
      <c r="J506" s="3">
        <f>IFERROR(__xludf.DUMMYFUNCTION("GOOGLETRANSLATE(B506,""vi"",""lo"")"),"ການລະເມີດລະບຽບການດຳເນີນງານ")</f>
        <v/>
      </c>
      <c r="K506" s="3">
        <f>IF(I506&lt;&gt;"",I506, J506)</f>
        <v/>
      </c>
      <c r="L506" s="3" t="inlineStr">
        <is>
          <t>ការរំលោភលើបទប្បញ្ញត្តិប្រតិបត្តិការ</t>
        </is>
      </c>
      <c r="M506" s="3" t="n"/>
      <c r="N506" s="3" t="inlineStr">
        <is>
          <t>"ttvhEvaluation.receptionQuality.wrongOperatingRegulation": "Incorrect operational policy",</t>
        </is>
      </c>
      <c r="O506" s="3" t="n"/>
      <c r="P506" s="3" t="n"/>
      <c r="Q506" s="3" t="n"/>
      <c r="R506" s="3" t="n"/>
      <c r="S506" s="3" t="n"/>
      <c r="T506" s="3" t="n"/>
      <c r="U506" s="3" t="n"/>
      <c r="V506" s="3" t="n"/>
      <c r="W506" s="3" t="n"/>
      <c r="X506" s="3" t="n"/>
      <c r="Y506" s="3" t="n"/>
      <c r="Z506" s="3" t="n"/>
      <c r="AA506" s="3" t="n"/>
    </row>
    <row r="507">
      <c r="A507" s="3" t="inlineStr">
        <is>
          <t>ttvhEvaluation.receptionQuality.wrongOrderCode</t>
        </is>
      </c>
      <c r="B507" s="3" t="inlineStr">
        <is>
          <t>Sai mã vận đơn</t>
        </is>
      </c>
      <c r="C507" s="3" t="inlineStr">
        <is>
          <t>Invalid tracking number</t>
        </is>
      </c>
      <c r="D507" s="3">
        <f>IFERROR(__xludf.DUMMYFUNCTION("GOOGLETRANSLATE(B507,""vi"",""en"")"),"Incorrect tracking number")</f>
        <v/>
      </c>
      <c r="E507" s="3">
        <f>IF(C507&lt;&gt;"",C507, D507)</f>
        <v/>
      </c>
      <c r="F507" s="3" t="n"/>
      <c r="G507" s="3">
        <f>IFERROR(__xludf.DUMMYFUNCTION("GOOGLETRANSLATE(B507,""vi"",""km"")"),"លេខតាមដានមិនត្រឹមត្រូវ")</f>
        <v/>
      </c>
      <c r="H507" s="3" t="inlineStr">
        <is>
          <t>លេខតាមដានមិនត្រឹមត្រូវ</t>
        </is>
      </c>
      <c r="I507" s="3" t="n"/>
      <c r="J507" s="3">
        <f>IFERROR(__xludf.DUMMYFUNCTION("GOOGLETRANSLATE(B507,""vi"",""lo"")"),"ໝາຍເລກຕິດຕາມບໍ່ຖືກຕ້ອງ")</f>
        <v/>
      </c>
      <c r="K507" s="3">
        <f>IF(I507&lt;&gt;"",I507, J507)</f>
        <v/>
      </c>
      <c r="L507" s="3" t="inlineStr">
        <is>
          <t>លេខតាមដានមិនត្រឹមត្រូវ</t>
        </is>
      </c>
      <c r="M507" s="3" t="n"/>
      <c r="N507" s="3" t="inlineStr">
        <is>
          <t>"ttvhEvaluation.receptionQuality.wrongOrderCode": "Invalid tracking number",</t>
        </is>
      </c>
      <c r="O507" s="3" t="n"/>
      <c r="P507" s="3" t="n"/>
      <c r="Q507" s="3" t="n"/>
      <c r="R507" s="3" t="n"/>
      <c r="S507" s="3" t="n"/>
      <c r="T507" s="3" t="n"/>
      <c r="U507" s="3" t="n"/>
      <c r="V507" s="3" t="n"/>
      <c r="W507" s="3" t="n"/>
      <c r="X507" s="3" t="n"/>
      <c r="Y507" s="3" t="n"/>
      <c r="Z507" s="3" t="n"/>
      <c r="AA507" s="3" t="n"/>
    </row>
    <row r="508">
      <c r="A508" s="3" t="inlineStr">
        <is>
          <t>validation.email</t>
        </is>
      </c>
      <c r="B508" s="3" t="inlineStr">
        <is>
          <t>Email không hợp lệ</t>
        </is>
      </c>
      <c r="C508" s="3" t="inlineStr">
        <is>
          <t>Invalid email</t>
        </is>
      </c>
      <c r="D508" s="3">
        <f>IFERROR(__xludf.DUMMYFUNCTION("GOOGLETRANSLATE(B508,""vi"",""en"")"),"Invalid email")</f>
        <v/>
      </c>
      <c r="E508" s="3">
        <f>IF(C508&lt;&gt;"",C508, D508)</f>
        <v/>
      </c>
      <c r="F508" s="3" t="n"/>
      <c r="G508" s="3">
        <f>IFERROR(__xludf.DUMMYFUNCTION("GOOGLETRANSLATE(B508,""vi"",""km"")"),"អ៊ីមែលមិនត្រឹមត្រូវ")</f>
        <v/>
      </c>
      <c r="H508" s="3" t="inlineStr">
        <is>
          <t>អ៊ីមែលមិនត្រឹមត្រូវទេ</t>
        </is>
      </c>
      <c r="I508" s="3" t="n"/>
      <c r="J508" s="3">
        <f>IFERROR(__xludf.DUMMYFUNCTION("GOOGLETRANSLATE(B508,""vi"",""lo"")"),"ອີເມວບໍ່ຖືກຕ້ອງ")</f>
        <v/>
      </c>
      <c r="K508" s="3">
        <f>IF(I508&lt;&gt;"",I508, J508)</f>
        <v/>
      </c>
      <c r="L508" s="3" t="inlineStr">
        <is>
          <t>អ៊ីមែលមិនត្រឹមត្រូវទេ</t>
        </is>
      </c>
      <c r="M508" s="3" t="n"/>
      <c r="N508" s="3" t="inlineStr">
        <is>
          <t>"validation.email": "Invalid email",</t>
        </is>
      </c>
      <c r="O508" s="3" t="n"/>
      <c r="P508" s="3" t="n"/>
      <c r="Q508" s="3" t="n"/>
      <c r="R508" s="3" t="n"/>
      <c r="S508" s="3" t="n"/>
      <c r="T508" s="3" t="n"/>
      <c r="U508" s="3" t="n"/>
      <c r="V508" s="3" t="n"/>
      <c r="W508" s="3" t="n"/>
      <c r="X508" s="3" t="n"/>
      <c r="Y508" s="3" t="n"/>
      <c r="Z508" s="3" t="n"/>
      <c r="AA508" s="3" t="n"/>
    </row>
    <row r="509">
      <c r="A509" s="3" t="inlineStr">
        <is>
          <t>validation.invalidPhoneNumber</t>
        </is>
      </c>
      <c r="B509" s="3" t="inlineStr">
        <is>
          <t>SĐT phải gồm 10-11 số và bắt đầu bằng 0</t>
        </is>
      </c>
      <c r="C509" s="3" t="inlineStr">
        <is>
          <t>Phone number must be 10–11 digits and start with 0</t>
        </is>
      </c>
      <c r="D509" s="3">
        <f>IFERROR(__xludf.DUMMYFUNCTION("GOOGLETRANSLATE(B509,""vi"",""en"")"),"Phone numbers must consist of 10-11 digits and begin with 0.")</f>
        <v/>
      </c>
      <c r="E509" s="3">
        <f>IF(C509&lt;&gt;"",C509, D509)</f>
        <v/>
      </c>
      <c r="F509" s="3" t="n"/>
      <c r="G509" s="3">
        <f>IFERROR(__xludf.DUMMYFUNCTION("GOOGLETRANSLATE(B509,""vi"",""km"")"),"លេខទូរស័ព្ទត្រូវតែមាន ១០-១១ ខ្ទង់ ហើយចាប់ផ្តើមដោយលេខ ០។")</f>
        <v/>
      </c>
      <c r="H509" s="3" t="inlineStr">
        <is>
          <t>លេខទូរស័ព្ទត្រូវតែមាន ១០-១១ ខ្ទង់ ហើយចាប់ផ្តើមដោយលេខ ០។</t>
        </is>
      </c>
      <c r="I509" s="3" t="n"/>
      <c r="J509" s="3">
        <f>IFERROR(__xludf.DUMMYFUNCTION("GOOGLETRANSLATE(B509,""vi"",""lo"")"),"ເບີໂທລະສັບຕ້ອງມີ 10-11 ຕົວເລກ ແລະ ເລີ່ມຕົ້ນດ້ວຍ 0.")</f>
        <v/>
      </c>
      <c r="K509" s="3">
        <f>IF(I509&lt;&gt;"",I509, J509)</f>
        <v/>
      </c>
      <c r="L509" s="3" t="inlineStr">
        <is>
          <t>លេខទូរស័ព្ទត្រូវតែមាន ១០-១១ ខ្ទង់ ហើយចាប់ផ្តើមដោយលេខ ០។</t>
        </is>
      </c>
      <c r="M509" s="3" t="n"/>
      <c r="N509" s="3" t="inlineStr">
        <is>
          <t>"validation.invalidPhoneNumber": "Phone number must be 10–11 digits and start with 0",</t>
        </is>
      </c>
      <c r="O509" s="3" t="n"/>
      <c r="P509" s="3" t="n"/>
      <c r="Q509" s="3" t="n"/>
      <c r="R509" s="3" t="n"/>
      <c r="S509" s="3" t="n"/>
      <c r="T509" s="3" t="n"/>
      <c r="U509" s="3" t="n"/>
      <c r="V509" s="3" t="n"/>
      <c r="W509" s="3" t="n"/>
      <c r="X509" s="3" t="n"/>
      <c r="Y509" s="3" t="n"/>
      <c r="Z509" s="3" t="n"/>
      <c r="AA509" s="3" t="n"/>
    </row>
    <row r="510">
      <c r="A510" s="3" t="inlineStr">
        <is>
          <t>validation.max</t>
        </is>
      </c>
      <c r="B510" s="3" t="inlineStr">
        <is>
          <t>Trường này phải nhỏ hơn hoặc bằng {{max}}</t>
        </is>
      </c>
      <c r="C510" s="3" t="inlineStr">
        <is>
          <t>This field must be less than or equal to {{max}}</t>
        </is>
      </c>
      <c r="D510" s="3">
        <f>IFERROR(__xludf.DUMMYFUNCTION("GOOGLETRANSLATE(B510,""vi"",""en"")"),"This field must be less than or equal to {{max}}")</f>
        <v/>
      </c>
      <c r="E510" s="3">
        <f>IF(C510&lt;&gt;"",C510, D510)</f>
        <v/>
      </c>
      <c r="F510" s="3" t="n"/>
      <c r="G510" s="3">
        <f>IFERROR(__xludf.DUMMYFUNCTION("GOOGLETRANSLATE(B510,""vi"",""km"")"),"វាលនេះត្រូវតែតិចជាង ឬស្មើនឹង {{max}}")</f>
        <v/>
      </c>
      <c r="H510" s="3" t="inlineStr">
        <is>
          <t>វាលនេះត្រូវតែតិចជាង ឬស្មើនឹង {{max}}</t>
        </is>
      </c>
      <c r="I510" s="3" t="n"/>
      <c r="J510" s="3">
        <f>IFERROR(__xludf.DUMMYFUNCTION("GOOGLETRANSLATE(B510,""vi"",""lo"")"),"ພາກສະໜາມນີ້ຕ້ອງນ້ອຍກວ່າ ຫຼື ເທົ່າກັບ {{max}}")</f>
        <v/>
      </c>
      <c r="K510" s="3">
        <f>IF(I510&lt;&gt;"",I510, J510)</f>
        <v/>
      </c>
      <c r="L510" s="3" t="inlineStr">
        <is>
          <t>វាលនេះត្រូវតែតិចជាង ឬស្មើនឹង {{max}}</t>
        </is>
      </c>
      <c r="M510" s="3" t="n"/>
      <c r="N510" s="3" t="inlineStr">
        <is>
          <t>"validation.max": "This field must be less than or equal to {{max}}",</t>
        </is>
      </c>
      <c r="O510" s="3" t="n"/>
      <c r="P510" s="3" t="n"/>
      <c r="Q510" s="3" t="n"/>
      <c r="R510" s="3" t="n"/>
      <c r="S510" s="3" t="n"/>
      <c r="T510" s="3" t="n"/>
      <c r="U510" s="3" t="n"/>
      <c r="V510" s="3" t="n"/>
      <c r="W510" s="3" t="n"/>
      <c r="X510" s="3" t="n"/>
      <c r="Y510" s="3" t="n"/>
      <c r="Z510" s="3" t="n"/>
      <c r="AA510" s="3" t="n"/>
    </row>
    <row r="511">
      <c r="A511" s="3" t="inlineStr">
        <is>
          <t>validation.maxLength</t>
        </is>
      </c>
      <c r="B511" s="3" t="inlineStr">
        <is>
          <t>Trường này không được vượt quá {{max}} ký tự</t>
        </is>
      </c>
      <c r="C511" s="3" t="inlineStr">
        <is>
          <t>This field must not exceed {{max}} characters</t>
        </is>
      </c>
      <c r="D511" s="3">
        <f>IFERROR(__xludf.DUMMYFUNCTION("GOOGLETRANSLATE(B511,""vi"",""en"")"),"This field must not exceed {{max}} characters.")</f>
        <v/>
      </c>
      <c r="E511" s="3">
        <f>IF(C511&lt;&gt;"",C511, D511)</f>
        <v/>
      </c>
      <c r="F511" s="3" t="n"/>
      <c r="G511" s="3">
        <f>IFERROR(__xludf.DUMMYFUNCTION("GOOGLETRANSLATE(B511,""vi"",""km"")"),"វាលនេះមិនត្រូវលើសពី {{max}} តួអក្សរទេ។")</f>
        <v/>
      </c>
      <c r="H511" s="3" t="inlineStr">
        <is>
          <t>វាលនេះមិនត្រូវលើសពី {{max}} តួអក្សរទេ។</t>
        </is>
      </c>
      <c r="I511" s="3" t="n"/>
      <c r="J511" s="3">
        <f>IFERROR(__xludf.DUMMYFUNCTION("GOOGLETRANSLATE(B511,""vi"",""lo"")"),"ຊ່ອງນີ້ຕ້ອງບໍ່ເກີນ {{max}} ຕົວອັກສອນ.")</f>
        <v/>
      </c>
      <c r="K511" s="3">
        <f>IF(I511&lt;&gt;"",I511, J511)</f>
        <v/>
      </c>
      <c r="L511" s="3" t="inlineStr">
        <is>
          <t>វាលនេះមិនត្រូវលើសពី {{max}} តួអក្សរទេ។</t>
        </is>
      </c>
      <c r="M511" s="3" t="n"/>
      <c r="N511" s="3" t="inlineStr">
        <is>
          <t>"validation.maxLength": "This field must not exceed {{max}} characters",</t>
        </is>
      </c>
      <c r="O511" s="3" t="n"/>
      <c r="P511" s="3" t="n"/>
      <c r="Q511" s="3" t="n"/>
      <c r="R511" s="3" t="n"/>
      <c r="S511" s="3" t="n"/>
      <c r="T511" s="3" t="n"/>
      <c r="U511" s="3" t="n"/>
      <c r="V511" s="3" t="n"/>
      <c r="W511" s="3" t="n"/>
      <c r="X511" s="3" t="n"/>
      <c r="Y511" s="3" t="n"/>
      <c r="Z511" s="3" t="n"/>
      <c r="AA511" s="3" t="n"/>
    </row>
    <row r="512">
      <c r="A512" s="3" t="inlineStr">
        <is>
          <t>validation.min</t>
        </is>
      </c>
      <c r="B512" s="3" t="inlineStr">
        <is>
          <t>Trường này phải lớn hơn hoặc bằng {{min}}</t>
        </is>
      </c>
      <c r="C512" s="3" t="inlineStr">
        <is>
          <t>This field must be greater than or equal to {{min}}</t>
        </is>
      </c>
      <c r="D512" s="3">
        <f>IFERROR(__xludf.DUMMYFUNCTION("GOOGLETRANSLATE(B512,""vi"",""en"")"),"This field must be greater than or equal to {{min}}")</f>
        <v/>
      </c>
      <c r="E512" s="3">
        <f>IF(C512&lt;&gt;"",C512, D512)</f>
        <v/>
      </c>
      <c r="F512" s="3" t="n"/>
      <c r="G512" s="3">
        <f>IFERROR(__xludf.DUMMYFUNCTION("GOOGLETRANSLATE(B512,""vi"",""km"")"),"វាលនេះត្រូវតែធំជាង ឬស្មើនឹង {{min}}")</f>
        <v/>
      </c>
      <c r="H512" s="3" t="inlineStr">
        <is>
          <t>វាលនេះត្រូវតែធំជាង ឬស្មើនឹង {{min}}</t>
        </is>
      </c>
      <c r="I512" s="3" t="n"/>
      <c r="J512" s="3">
        <f>IFERROR(__xludf.DUMMYFUNCTION("GOOGLETRANSLATE(B512,""vi"",""lo"")"),"ພາກສະໜາມນີ້ຕ້ອງໃຫຍ່ກວ່າ ຫຼື ເທົ່າກັບ {{min}}")</f>
        <v/>
      </c>
      <c r="K512" s="3">
        <f>IF(I512&lt;&gt;"",I512, J512)</f>
        <v/>
      </c>
      <c r="L512" s="3" t="inlineStr">
        <is>
          <t>វាលនេះត្រូវតែធំជាង ឬស្មើនឹង {{min}}</t>
        </is>
      </c>
      <c r="M512" s="3" t="n"/>
      <c r="N512" s="3" t="inlineStr">
        <is>
          <t>"validation.min": "This field must be greater than or equal to {{min}}",</t>
        </is>
      </c>
      <c r="O512" s="3" t="n"/>
      <c r="P512" s="3" t="n"/>
      <c r="Q512" s="3" t="n"/>
      <c r="R512" s="3" t="n"/>
      <c r="S512" s="3" t="n"/>
      <c r="T512" s="3" t="n"/>
      <c r="U512" s="3" t="n"/>
      <c r="V512" s="3" t="n"/>
      <c r="W512" s="3" t="n"/>
      <c r="X512" s="3" t="n"/>
      <c r="Y512" s="3" t="n"/>
      <c r="Z512" s="3" t="n"/>
      <c r="AA512" s="3" t="n"/>
    </row>
    <row r="513">
      <c r="A513" s="3" t="inlineStr">
        <is>
          <t>validation.minLength</t>
        </is>
      </c>
      <c r="B513" s="3" t="inlineStr">
        <is>
          <t>Trường này phải có ít nhất {{min}} ký tự</t>
        </is>
      </c>
      <c r="C513" s="3" t="inlineStr">
        <is>
          <t>This field must have at least {{min}} characters</t>
        </is>
      </c>
      <c r="D513" s="3">
        <f>IFERROR(__xludf.DUMMYFUNCTION("GOOGLETRANSLATE(B513,""vi"",""en"")"),"This field must have at least {{min}} characters")</f>
        <v/>
      </c>
      <c r="E513" s="3">
        <f>IF(C513&lt;&gt;"",C513, D513)</f>
        <v/>
      </c>
      <c r="F513" s="3" t="n"/>
      <c r="G513" s="3">
        <f>IFERROR(__xludf.DUMMYFUNCTION("GOOGLETRANSLATE(B513,""vi"",""km"")"),"វាលនេះត្រូវតែមានយ៉ាងហោចណាស់ {{min}} តួអក្សរ")</f>
        <v/>
      </c>
      <c r="H513" s="3" t="inlineStr">
        <is>
          <t>វាលនេះត្រូវតែមានយ៉ាងហោចណាស់ {{min}} តួអក្សរ</t>
        </is>
      </c>
      <c r="I513" s="3" t="n"/>
      <c r="J513" s="3">
        <f>IFERROR(__xludf.DUMMYFUNCTION("GOOGLETRANSLATE(B513,""vi"",""lo"")"),"ຊ່ອງນີ້ຕ້ອງມີຢ່າງໜ້ອຍ {{min}} ຕົວອັກສອນ")</f>
        <v/>
      </c>
      <c r="K513" s="3">
        <f>IF(I513&lt;&gt;"",I513, J513)</f>
        <v/>
      </c>
      <c r="L513" s="3" t="inlineStr">
        <is>
          <t>វាលនេះត្រូវតែមានយ៉ាងហោចណាស់ {{min}} តួអក្សរ</t>
        </is>
      </c>
      <c r="M513" s="3" t="n"/>
      <c r="N513" s="3" t="inlineStr">
        <is>
          <t>"validation.minLength": "This field must have at least {{min}} characters",</t>
        </is>
      </c>
      <c r="O513" s="3" t="n"/>
      <c r="P513" s="3" t="n"/>
      <c r="Q513" s="3" t="n"/>
      <c r="R513" s="3" t="n"/>
      <c r="S513" s="3" t="n"/>
      <c r="T513" s="3" t="n"/>
      <c r="U513" s="3" t="n"/>
      <c r="V513" s="3" t="n"/>
      <c r="W513" s="3" t="n"/>
      <c r="X513" s="3" t="n"/>
      <c r="Y513" s="3" t="n"/>
      <c r="Z513" s="3" t="n"/>
      <c r="AA513" s="3" t="n"/>
    </row>
    <row r="514">
      <c r="A514" s="3" t="inlineStr">
        <is>
          <t>validation.noSpecialChar</t>
        </is>
      </c>
      <c r="B514" s="3" t="inlineStr">
        <is>
          <t>Chỉ cho phép nhập chữ không dấu, số và ký tự _</t>
        </is>
      </c>
      <c r="C514" s="3" t="inlineStr">
        <is>
          <t>Only a-z and 0-9 are allowed, no spaces or special characters</t>
        </is>
      </c>
      <c r="D514" s="3">
        <f>IFERROR(__xludf.DUMMYFUNCTION("GOOGLETRANSLATE(B514,""vi"",""en"")"),"Only unaccented letters, numbers, and underscores are allowed.")</f>
        <v/>
      </c>
      <c r="E514" s="3">
        <f>IF(C514&lt;&gt;"",C514, D514)</f>
        <v/>
      </c>
      <c r="F514" s="3" t="n"/>
      <c r="G514" s="3">
        <f>IFERROR(__xludf.DUMMYFUNCTION("GOOGLETRANSLATE(B514,""vi"",""km"")"),"អនុញ្ញាត​តែ​អក្សរ លេខ និង​សញ្ញា​គូស​ក្រោម​ដែល​មិន​មាន​ការ​សង្កត់​សំឡេង​ប៉ុណ្ណោះ។")</f>
        <v/>
      </c>
      <c r="H514" s="3" t="inlineStr">
        <is>
          <t>អនុញ្ញាតតែអក្សរ លេខ និងសញ្ញាគូសក្រោមដែលមិនមានការសង្កត់សំឡេងប៉ុណ្ណោះ។</t>
        </is>
      </c>
      <c r="I514" s="3" t="n"/>
      <c r="J514" s="3">
        <f>IFERROR(__xludf.DUMMYFUNCTION("GOOGLETRANSLATE(B514,""vi"",""lo"")"),"ອະນຸຍາດໃຫ້ໃຊ້ສະເພາະຕົວອັກສອນ, ຕົວເລກ ແລະ ຂີດເສັ້ນໃຕ້ທີ່ບໍ່ມີເຄື່ອງໝາຍເນັ້ນສຽງເທົ່ານັ້ນ.")</f>
        <v/>
      </c>
      <c r="K514" s="3">
        <f>IF(I514&lt;&gt;"",I514, J514)</f>
        <v/>
      </c>
      <c r="L514" s="3" t="inlineStr">
        <is>
          <t>អនុញ្ញាតតែអក្សរ លេខ និងសញ្ញាគូសក្រោមដែលមិនមានការសង្កត់សំឡេងប៉ុណ្ណោះ។</t>
        </is>
      </c>
      <c r="M514" s="3" t="n"/>
      <c r="N514" s="3" t="inlineStr">
        <is>
          <t>"validation.noSpecialChar": "Only a-z and 0-9 are allowed, no spaces or special characters",</t>
        </is>
      </c>
      <c r="O514" s="3" t="n"/>
      <c r="P514" s="3" t="n"/>
      <c r="Q514" s="3" t="n"/>
      <c r="R514" s="3" t="n"/>
      <c r="S514" s="3" t="n"/>
      <c r="T514" s="3" t="n"/>
      <c r="U514" s="3" t="n"/>
      <c r="V514" s="3" t="n"/>
      <c r="W514" s="3" t="n"/>
      <c r="X514" s="3" t="n"/>
      <c r="Y514" s="3" t="n"/>
      <c r="Z514" s="3" t="n"/>
      <c r="AA514" s="3" t="n"/>
    </row>
    <row r="515">
      <c r="A515" s="3" t="inlineStr">
        <is>
          <t>validation.number</t>
        </is>
      </c>
      <c r="B515" s="3" t="inlineStr">
        <is>
          <t>Trường này phải là số</t>
        </is>
      </c>
      <c r="C515" s="3" t="inlineStr">
        <is>
          <t>This field must be a number</t>
        </is>
      </c>
      <c r="D515" s="3">
        <f>IFERROR(__xludf.DUMMYFUNCTION("GOOGLETRANSLATE(B515,""vi"",""en"")"),"This school must be numbered")</f>
        <v/>
      </c>
      <c r="E515" s="3">
        <f>IF(C515&lt;&gt;"",C515, D515)</f>
        <v/>
      </c>
      <c r="F515" s="3" t="n"/>
      <c r="G515" s="3">
        <f>IFERROR(__xludf.DUMMYFUNCTION("GOOGLETRANSLATE(B515,""vi"",""km"")"),"សាលានេះត្រូវតែមានលេខរៀង")</f>
        <v/>
      </c>
      <c r="H515" s="3" t="inlineStr">
        <is>
          <t>សាលានេះត្រូវតែមានលេខរៀង</t>
        </is>
      </c>
      <c r="I515" s="3" t="n"/>
      <c r="J515" s="3">
        <f>IFERROR(__xludf.DUMMYFUNCTION("GOOGLETRANSLATE(B515,""vi"",""lo"")"),"ໂຮງຮຽນນີ້ຕ້ອງມີເລກໝາຍ")</f>
        <v/>
      </c>
      <c r="K515" s="3">
        <f>IF(I515&lt;&gt;"",I515, J515)</f>
        <v/>
      </c>
      <c r="L515" s="3" t="inlineStr">
        <is>
          <t>សាលានេះត្រូវតែមានលេខរៀង</t>
        </is>
      </c>
      <c r="M515" s="3" t="n"/>
      <c r="N515" s="3" t="inlineStr">
        <is>
          <t>"validation.number": "This field must be a number",</t>
        </is>
      </c>
      <c r="O515" s="3" t="n"/>
      <c r="P515" s="3" t="n"/>
      <c r="Q515" s="3" t="n"/>
      <c r="R515" s="3" t="n"/>
      <c r="S515" s="3" t="n"/>
      <c r="T515" s="3" t="n"/>
      <c r="U515" s="3" t="n"/>
      <c r="V515" s="3" t="n"/>
      <c r="W515" s="3" t="n"/>
      <c r="X515" s="3" t="n"/>
      <c r="Y515" s="3" t="n"/>
      <c r="Z515" s="3" t="n"/>
      <c r="AA515" s="3" t="n"/>
    </row>
    <row r="516">
      <c r="A516" s="3" t="inlineStr">
        <is>
          <t>validation.numberRange</t>
        </is>
      </c>
      <c r="B516" s="3" t="inlineStr">
        <is>
          <t>Nhập số lớn hơn {{min}} và nhỏ hơn {{max}}</t>
        </is>
      </c>
      <c r="C516" s="3" t="inlineStr">
        <is>
          <t>Enter a number greater than {{min}} and less than {{max}}</t>
        </is>
      </c>
      <c r="D516" s="3">
        <f>IFERROR(__xludf.DUMMYFUNCTION("GOOGLETRANSLATE(B516,""vi"",""en"")"),"Enter a number greater than {{min}} and less than {{max}}")</f>
        <v/>
      </c>
      <c r="E516" s="3">
        <f>IF(C516&lt;&gt;"",C516, D516)</f>
        <v/>
      </c>
      <c r="F516" s="3" t="n"/>
      <c r="G516" s="3">
        <f>IFERROR(__xludf.DUMMYFUNCTION("GOOGLETRANSLATE(B516,""vi"",""km"")"),"បញ្ចូលលេខធំជាង {{min}} និងតិចជាង {{max}}")</f>
        <v/>
      </c>
      <c r="H516" s="3" t="inlineStr">
        <is>
          <t>បញ្ចូលលេខធំជាង {{min}} និងតិចជាង {{max}}</t>
        </is>
      </c>
      <c r="I516" s="3" t="n"/>
      <c r="J516" s="3">
        <f>IFERROR(__xludf.DUMMYFUNCTION("GOOGLETRANSLATE(B516,""vi"",""lo"")"),"ໃສ່ຕົວເລກທີ່ໃຫຍ່ກວ່າ {{min}} ແລະ ໜ້ອຍກວ່າ {{max}}")</f>
        <v/>
      </c>
      <c r="K516" s="3">
        <f>IF(I516&lt;&gt;"",I516, J516)</f>
        <v/>
      </c>
      <c r="L516" s="3" t="inlineStr">
        <is>
          <t>បញ្ចូលលេខធំជាង {{min}} និងតិចជាង {{max}}</t>
        </is>
      </c>
      <c r="M516" s="3" t="n"/>
      <c r="N516" s="3" t="inlineStr">
        <is>
          <t>"validation.numberRange": "Enter a number greater than {{min}} and less than {{max}}",</t>
        </is>
      </c>
      <c r="O516" s="3" t="n"/>
      <c r="P516" s="3" t="n"/>
      <c r="Q516" s="3" t="n"/>
      <c r="R516" s="3" t="n"/>
      <c r="S516" s="3" t="n"/>
      <c r="T516" s="3" t="n"/>
      <c r="U516" s="3" t="n"/>
      <c r="V516" s="3" t="n"/>
      <c r="W516" s="3" t="n"/>
      <c r="X516" s="3" t="n"/>
      <c r="Y516" s="3" t="n"/>
      <c r="Z516" s="3" t="n"/>
      <c r="AA516" s="3" t="n"/>
    </row>
    <row r="517">
      <c r="A517" s="3" t="inlineStr">
        <is>
          <t>validation.pattern</t>
        </is>
      </c>
      <c r="B517" s="3" t="inlineStr">
        <is>
          <t>Trường này không hợp lệ</t>
        </is>
      </c>
      <c r="C517" s="3" t="inlineStr">
        <is>
          <t>Invalid field</t>
        </is>
      </c>
      <c r="D517" s="3">
        <f>IFERROR(__xludf.DUMMYFUNCTION("GOOGLETRANSLATE(B517,""vi"",""en"")"),"This school is invalid.")</f>
        <v/>
      </c>
      <c r="E517" s="3">
        <f>IF(C517&lt;&gt;"",C517, D517)</f>
        <v/>
      </c>
      <c r="F517" s="3" t="n"/>
      <c r="G517" s="3">
        <f>IFERROR(__xludf.DUMMYFUNCTION("GOOGLETRANSLATE(B517,""vi"",""km"")"),"សាលានេះគ្មានសុពលភាពទេ។")</f>
        <v/>
      </c>
      <c r="H517" s="3" t="inlineStr">
        <is>
          <t>សាលានេះគ្មានសុពលភាពទេ។</t>
        </is>
      </c>
      <c r="I517" s="3" t="n"/>
      <c r="J517" s="3">
        <f>IFERROR(__xludf.DUMMYFUNCTION("GOOGLETRANSLATE(B517,""vi"",""lo"")"),"ໂຮງຮຽນນີ້ບໍ່ຖືກຕ້ອງ.")</f>
        <v/>
      </c>
      <c r="K517" s="3">
        <f>IF(I517&lt;&gt;"",I517, J517)</f>
        <v/>
      </c>
      <c r="L517" s="3" t="inlineStr">
        <is>
          <t>សាលានេះគ្មានសុពលភាពទេ។</t>
        </is>
      </c>
      <c r="M517" s="3" t="n"/>
      <c r="N517" s="3" t="inlineStr">
        <is>
          <t>"validation.pattern": "Invalid field",</t>
        </is>
      </c>
      <c r="O517" s="3" t="n"/>
      <c r="P517" s="3" t="n"/>
      <c r="Q517" s="3" t="n"/>
      <c r="R517" s="3" t="n"/>
      <c r="S517" s="3" t="n"/>
      <c r="T517" s="3" t="n"/>
      <c r="U517" s="3" t="n"/>
      <c r="V517" s="3" t="n"/>
      <c r="W517" s="3" t="n"/>
      <c r="X517" s="3" t="n"/>
      <c r="Y517" s="3" t="n"/>
      <c r="Z517" s="3" t="n"/>
      <c r="AA517" s="3" t="n"/>
    </row>
    <row r="518">
      <c r="A518" s="3" t="inlineStr">
        <is>
          <t>validation.phone</t>
        </is>
      </c>
      <c r="B518" s="3" t="inlineStr">
        <is>
          <t>Số điện thoại không hợp lệ</t>
        </is>
      </c>
      <c r="C518" s="3" t="inlineStr">
        <is>
          <t>Invalid phone number</t>
        </is>
      </c>
      <c r="D518" s="3">
        <f>IFERROR(__xludf.DUMMYFUNCTION("GOOGLETRANSLATE(B518,""vi"",""en"")"),"Invalid phone number")</f>
        <v/>
      </c>
      <c r="E518" s="3">
        <f>IF(C518&lt;&gt;"",C518, D518)</f>
        <v/>
      </c>
      <c r="F518" s="3" t="n"/>
      <c r="G518" s="3">
        <f>IFERROR(__xludf.DUMMYFUNCTION("GOOGLETRANSLATE(B518,""vi"",""km"")"),"លេខទូរស័ព្ទមិនត្រឹមត្រូវ")</f>
        <v/>
      </c>
      <c r="H518" s="3" t="inlineStr">
        <is>
          <t>លេខទូរស័ព្ទមិនត្រឹមត្រូវ</t>
        </is>
      </c>
      <c r="I518" s="3" t="n"/>
      <c r="J518" s="3">
        <f>IFERROR(__xludf.DUMMYFUNCTION("GOOGLETRANSLATE(B518,""vi"",""lo"")"),"ເບີໂທລະສັບບໍ່ຖືກຕ້ອງ")</f>
        <v/>
      </c>
      <c r="K518" s="3">
        <f>IF(I518&lt;&gt;"",I518, J518)</f>
        <v/>
      </c>
      <c r="L518" s="3" t="inlineStr">
        <is>
          <t>លេខទូរស័ព្ទមិនត្រឹមត្រូវ</t>
        </is>
      </c>
      <c r="M518" s="3" t="n"/>
      <c r="N518" s="3" t="inlineStr">
        <is>
          <t>"validation.phone": "Invalid phone number",</t>
        </is>
      </c>
      <c r="O518" s="3" t="n"/>
      <c r="P518" s="3" t="n"/>
      <c r="Q518" s="3" t="n"/>
      <c r="R518" s="3" t="n"/>
      <c r="S518" s="3" t="n"/>
      <c r="T518" s="3" t="n"/>
      <c r="U518" s="3" t="n"/>
      <c r="V518" s="3" t="n"/>
      <c r="W518" s="3" t="n"/>
      <c r="X518" s="3" t="n"/>
      <c r="Y518" s="3" t="n"/>
      <c r="Z518" s="3" t="n"/>
      <c r="AA518" s="3" t="n"/>
    </row>
    <row r="519">
      <c r="A519" s="3" t="inlineStr">
        <is>
          <t>validation.required</t>
        </is>
      </c>
      <c r="B519" s="3" t="inlineStr">
        <is>
          <t>Trường này là bắt buộc</t>
        </is>
      </c>
      <c r="C519" s="3" t="inlineStr">
        <is>
          <t>This field is required</t>
        </is>
      </c>
      <c r="D519" s="3">
        <f>IFERROR(__xludf.DUMMYFUNCTION("GOOGLETRANSLATE(B519,""vi"",""en"")"),"This school is compulsory.")</f>
        <v/>
      </c>
      <c r="E519" s="3">
        <f>IF(C519&lt;&gt;"",C519, D519)</f>
        <v/>
      </c>
      <c r="F519" s="3" t="n"/>
      <c r="G519" s="3">
        <f>IFERROR(__xludf.DUMMYFUNCTION("GOOGLETRANSLATE(B519,""vi"",""km"")"),"សាលានេះជាកាតព្វកិច្ច។")</f>
        <v/>
      </c>
      <c r="H519" s="3" t="inlineStr">
        <is>
          <t>សាលានេះជាកាតព្វកិច្ច។</t>
        </is>
      </c>
      <c r="I519" s="3" t="n"/>
      <c r="J519" s="3">
        <f>IFERROR(__xludf.DUMMYFUNCTION("GOOGLETRANSLATE(B519,""vi"",""lo"")"),"ໂຮງຮຽນນີ້ແມ່ນໂຮງຮຽນບັງຄັບ.")</f>
        <v/>
      </c>
      <c r="K519" s="3">
        <f>IF(I519&lt;&gt;"",I519, J519)</f>
        <v/>
      </c>
      <c r="L519" s="3" t="inlineStr">
        <is>
          <t>សាលានេះជាកាតព្វកិច្ច។</t>
        </is>
      </c>
      <c r="M519" s="3" t="n"/>
      <c r="N519" s="3" t="inlineStr">
        <is>
          <t>"validation.required": "This field is required",</t>
        </is>
      </c>
      <c r="O519" s="3" t="n"/>
      <c r="P519" s="3" t="n"/>
      <c r="Q519" s="3" t="n"/>
      <c r="R519" s="3" t="n"/>
      <c r="S519" s="3" t="n"/>
      <c r="T519" s="3" t="n"/>
      <c r="U519" s="3" t="n"/>
      <c r="V519" s="3" t="n"/>
      <c r="W519" s="3" t="n"/>
      <c r="X519" s="3" t="n"/>
      <c r="Y519" s="3" t="n"/>
      <c r="Z519" s="3" t="n"/>
      <c r="AA519" s="3" t="n"/>
    </row>
    <row r="520">
      <c r="A520" s="3" t="inlineStr">
        <is>
          <t>workingTimeSetup.apply</t>
        </is>
      </c>
      <c r="B520" s="3" t="inlineStr">
        <is>
          <t>Áp dụng</t>
        </is>
      </c>
      <c r="C520" s="3" t="inlineStr">
        <is>
          <t>Apply</t>
        </is>
      </c>
      <c r="D520" s="3">
        <f>IFERROR(__xludf.DUMMYFUNCTION("GOOGLETRANSLATE(B520,""vi"",""en"")"),"Apply")</f>
        <v/>
      </c>
      <c r="E520" s="3">
        <f>IF(C520&lt;&gt;"",C520, D520)</f>
        <v/>
      </c>
      <c r="F520" s="3" t="n"/>
      <c r="G520" s="3">
        <f>IFERROR(__xludf.DUMMYFUNCTION("GOOGLETRANSLATE(B520,""vi"",""km"")"),"ដាក់ពាក្យ")</f>
        <v/>
      </c>
      <c r="H520" s="3" t="inlineStr">
        <is>
          <t>អនុវត្ត</t>
        </is>
      </c>
      <c r="I520" s="3" t="n"/>
      <c r="J520" s="3">
        <f>IFERROR(__xludf.DUMMYFUNCTION("GOOGLETRANSLATE(B520,""vi"",""lo"")"),"ສະໝັກ")</f>
        <v/>
      </c>
      <c r="K520" s="3">
        <f>IF(I520&lt;&gt;"",I520, J520)</f>
        <v/>
      </c>
      <c r="L520" s="3" t="inlineStr">
        <is>
          <t>អនុវត្ត</t>
        </is>
      </c>
      <c r="M520" s="3" t="n"/>
      <c r="N520" s="3" t="inlineStr">
        <is>
          <t>"workingTimeSetup.apply": "Apply",</t>
        </is>
      </c>
      <c r="O520" s="3" t="n"/>
      <c r="P520" s="3" t="n"/>
      <c r="Q520" s="3" t="n"/>
      <c r="R520" s="3" t="n"/>
      <c r="S520" s="3" t="n"/>
      <c r="T520" s="3" t="n"/>
      <c r="U520" s="3" t="n"/>
      <c r="V520" s="3" t="n"/>
      <c r="W520" s="3" t="n"/>
      <c r="X520" s="3" t="n"/>
      <c r="Y520" s="3" t="n"/>
      <c r="Z520" s="3" t="n"/>
      <c r="AA520" s="3" t="n"/>
    </row>
    <row r="521">
      <c r="A521" s="3" t="inlineStr">
        <is>
          <t>workingTimeSetup.applyDateRange</t>
        </is>
      </c>
      <c r="B521" s="3" t="inlineStr">
        <is>
          <t>Khoảng thời gian áp dụng</t>
        </is>
      </c>
      <c r="C521" s="3" t="inlineStr">
        <is>
          <t>Applicable period</t>
        </is>
      </c>
      <c r="D521" s="3">
        <f>IFERROR(__xludf.DUMMYFUNCTION("GOOGLETRANSLATE(B521,""vi"",""en"")"),"Applicable period")</f>
        <v/>
      </c>
      <c r="E521" s="3">
        <f>IF(C521&lt;&gt;"",C521, D521)</f>
        <v/>
      </c>
      <c r="F521" s="3" t="n"/>
      <c r="G521" s="3">
        <f>IFERROR(__xludf.DUMMYFUNCTION("GOOGLETRANSLATE(B521,""vi"",""km"")"),"រយៈពេលអនុវត្ត")</f>
        <v/>
      </c>
      <c r="H521" s="3" t="inlineStr">
        <is>
          <t>រយៈពេលអនុវត្ត</t>
        </is>
      </c>
      <c r="I521" s="3" t="n"/>
      <c r="J521" s="3">
        <f>IFERROR(__xludf.DUMMYFUNCTION("GOOGLETRANSLATE(B521,""vi"",""lo"")"),"ໄລຍະເວລາທີ່ນຳໃຊ້ໄດ້")</f>
        <v/>
      </c>
      <c r="K521" s="3">
        <f>IF(I521&lt;&gt;"",I521, J521)</f>
        <v/>
      </c>
      <c r="L521" s="3" t="inlineStr">
        <is>
          <t>រយៈពេលអនុវត្ត</t>
        </is>
      </c>
      <c r="M521" s="3" t="n"/>
      <c r="N521" s="3" t="inlineStr">
        <is>
          <t>"workingTimeSetup.applyDateRange": "Applicable period",</t>
        </is>
      </c>
      <c r="O521" s="3" t="n"/>
      <c r="P521" s="3" t="n"/>
      <c r="Q521" s="3" t="n"/>
      <c r="R521" s="3" t="n"/>
      <c r="S521" s="3" t="n"/>
      <c r="T521" s="3" t="n"/>
      <c r="U521" s="3" t="n"/>
      <c r="V521" s="3" t="n"/>
      <c r="W521" s="3" t="n"/>
      <c r="X521" s="3" t="n"/>
      <c r="Y521" s="3" t="n"/>
      <c r="Z521" s="3" t="n"/>
      <c r="AA521" s="3" t="n"/>
    </row>
    <row r="522">
      <c r="A522" s="3" t="inlineStr">
        <is>
          <t>workingTimeSetup.applyDays</t>
        </is>
      </c>
      <c r="B522" s="3" t="inlineStr">
        <is>
          <t>Ngày áp dụng</t>
        </is>
      </c>
      <c r="C522" s="3" t="inlineStr">
        <is>
          <t>Effective date</t>
        </is>
      </c>
      <c r="D522" s="3">
        <f>IFERROR(__xludf.DUMMYFUNCTION("GOOGLETRANSLATE(B522,""vi"",""en"")"),"Effective date")</f>
        <v/>
      </c>
      <c r="E522" s="3">
        <f>IF(C522&lt;&gt;"",C522, D522)</f>
        <v/>
      </c>
      <c r="F522" s="3" t="n"/>
      <c r="G522" s="3">
        <f>IFERROR(__xludf.DUMMYFUNCTION("GOOGLETRANSLATE(B522,""vi"",""km"")"),"កាលបរិច្ឆេទមានប្រសិទ្ធភាព")</f>
        <v/>
      </c>
      <c r="H522" s="3" t="inlineStr">
        <is>
          <t>កាលបរិច្ឆេទមានប្រសិទ្ធភាព</t>
        </is>
      </c>
      <c r="I522" s="3" t="n"/>
      <c r="J522" s="3">
        <f>IFERROR(__xludf.DUMMYFUNCTION("GOOGLETRANSLATE(B522,""vi"",""lo"")"),"ວັນທີ່ມີຜົນບັງຄັບໃຊ້")</f>
        <v/>
      </c>
      <c r="K522" s="3">
        <f>IF(I522&lt;&gt;"",I522, J522)</f>
        <v/>
      </c>
      <c r="L522" s="3" t="inlineStr">
        <is>
          <t>កាលបរិច្ឆេទមានប្រសិទ្ធភាព</t>
        </is>
      </c>
      <c r="M522" s="3" t="n"/>
      <c r="N522" s="3" t="inlineStr">
        <is>
          <t>"workingTimeSetup.applyDays": "Effective date",</t>
        </is>
      </c>
      <c r="O522" s="3" t="n"/>
      <c r="P522" s="3" t="n"/>
      <c r="Q522" s="3" t="n"/>
      <c r="R522" s="3" t="n"/>
      <c r="S522" s="3" t="n"/>
      <c r="T522" s="3" t="n"/>
      <c r="U522" s="3" t="n"/>
      <c r="V522" s="3" t="n"/>
      <c r="W522" s="3" t="n"/>
      <c r="X522" s="3" t="n"/>
      <c r="Y522" s="3" t="n"/>
      <c r="Z522" s="3" t="n"/>
      <c r="AA522" s="3" t="n"/>
    </row>
    <row r="523">
      <c r="A523" s="3" t="inlineStr">
        <is>
          <t>workingTimeSetup.applyDaysRequired</t>
        </is>
      </c>
      <c r="B523" s="3" t="inlineStr">
        <is>
          <t>Vui lòng chọn ít nhất 1 ngày áp dụng</t>
        </is>
      </c>
      <c r="C523" s="3" t="inlineStr">
        <is>
          <t>Please select at least one applicable day</t>
        </is>
      </c>
      <c r="D523" s="3">
        <f>IFERROR(__xludf.DUMMYFUNCTION("GOOGLETRANSLATE(B523,""vi"",""en"")"),"Please select at least one applicable date.")</f>
        <v/>
      </c>
      <c r="E523" s="3">
        <f>IF(C523&lt;&gt;"",C523, D523)</f>
        <v/>
      </c>
      <c r="F523" s="3" t="n"/>
      <c r="G523" s="3">
        <f>IFERROR(__xludf.DUMMYFUNCTION("GOOGLETRANSLATE(B523,""vi"",""km"")"),"សូមជ្រើសរើសយ៉ាងហោចណាស់កាលបរិច្ឆេទមួយដែលសមស្រប។")</f>
        <v/>
      </c>
      <c r="H523" s="3" t="inlineStr">
        <is>
          <t>សូមជ្រើសរើសយ៉ាងហោចណាស់កាលបរិច្ឆេទមួយដែលសមស្រប។</t>
        </is>
      </c>
      <c r="I523" s="3" t="n"/>
      <c r="J523" s="3">
        <f>IFERROR(__xludf.DUMMYFUNCTION("GOOGLETRANSLATE(B523,""vi"",""lo"")"),"ກະລຸນາເລືອກຢ່າງໜ້ອຍໜຶ່ງວັນທີທີ່ກ່ຽວຂ້ອງ.")</f>
        <v/>
      </c>
      <c r="K523" s="3">
        <f>IF(I523&lt;&gt;"",I523, J523)</f>
        <v/>
      </c>
      <c r="L523" s="3" t="inlineStr">
        <is>
          <t>សូមជ្រើសរើសយ៉ាងហោចណាស់កាលបរិច្ឆេទមួយដែលសមស្រប។</t>
        </is>
      </c>
      <c r="M523" s="3" t="n"/>
      <c r="N523" s="3" t="inlineStr">
        <is>
          <t>"workingTimeSetup.applyDaysRequired": "Please select at least one applicable day",</t>
        </is>
      </c>
      <c r="O523" s="3" t="n"/>
      <c r="P523" s="3" t="n"/>
      <c r="Q523" s="3" t="n"/>
      <c r="R523" s="3" t="n"/>
      <c r="S523" s="3" t="n"/>
      <c r="T523" s="3" t="n"/>
      <c r="U523" s="3" t="n"/>
      <c r="V523" s="3" t="n"/>
      <c r="W523" s="3" t="n"/>
      <c r="X523" s="3" t="n"/>
      <c r="Y523" s="3" t="n"/>
      <c r="Z523" s="3" t="n"/>
      <c r="AA523" s="3" t="n"/>
    </row>
    <row r="524">
      <c r="A524" s="3" t="inlineStr">
        <is>
          <t>workingTimeSetup.applyFromRequired</t>
        </is>
      </c>
      <c r="B524" s="3" t="inlineStr">
        <is>
          <t>Vui lòng chọn Ngày bắt đầu áp dụng</t>
        </is>
      </c>
      <c r="C524" s="3" t="inlineStr">
        <is>
          <t>Please select start date</t>
        </is>
      </c>
      <c r="D524" s="3">
        <f>IFERROR(__xludf.DUMMYFUNCTION("GOOGLETRANSLATE(B524,""vi"",""en"")"),"Please select the Start Date.")</f>
        <v/>
      </c>
      <c r="E524" s="3">
        <f>IF(C524&lt;&gt;"",C524, D524)</f>
        <v/>
      </c>
      <c r="F524" s="3" t="n"/>
      <c r="G524" s="3">
        <f>IFERROR(__xludf.DUMMYFUNCTION("GOOGLETRANSLATE(B524,""vi"",""km"")"),"សូមជ្រើសរើសកាលបរិច្ឆេទចាប់ផ្តើម។")</f>
        <v/>
      </c>
      <c r="H524" s="3" t="inlineStr">
        <is>
          <t>សូមជ្រើសរើសកាលបរិច្ឆេទចាប់ផ្តើម។</t>
        </is>
      </c>
      <c r="I524" s="3" t="n"/>
      <c r="J524" s="3">
        <f>IFERROR(__xludf.DUMMYFUNCTION("GOOGLETRANSLATE(B524,""vi"",""lo"")"),"ກະລຸນາເລືອກວັນທີເລີ່ມຕົ້ນ.")</f>
        <v/>
      </c>
      <c r="K524" s="3">
        <f>IF(I524&lt;&gt;"",I524, J524)</f>
        <v/>
      </c>
      <c r="L524" s="3" t="inlineStr">
        <is>
          <t>សូមជ្រើសរើសកាលបរិច្ឆេទចាប់ផ្តើម។</t>
        </is>
      </c>
      <c r="M524" s="3" t="n"/>
      <c r="N524" s="3" t="inlineStr">
        <is>
          <t>"workingTimeSetup.applyFromRequired": "Please select start date",</t>
        </is>
      </c>
      <c r="O524" s="3" t="n"/>
      <c r="P524" s="3" t="n"/>
      <c r="Q524" s="3" t="n"/>
      <c r="R524" s="3" t="n"/>
      <c r="S524" s="3" t="n"/>
      <c r="T524" s="3" t="n"/>
      <c r="U524" s="3" t="n"/>
      <c r="V524" s="3" t="n"/>
      <c r="W524" s="3" t="n"/>
      <c r="X524" s="3" t="n"/>
      <c r="Y524" s="3" t="n"/>
      <c r="Z524" s="3" t="n"/>
      <c r="AA524" s="3" t="n"/>
    </row>
    <row r="525">
      <c r="A525" s="3" t="inlineStr">
        <is>
          <t>workingTimeSetup.applyToRequired</t>
        </is>
      </c>
      <c r="B525" s="3" t="inlineStr">
        <is>
          <t>Vui lòng chọn Ngày kết thúc áp dụng</t>
        </is>
      </c>
      <c r="C525" s="3" t="inlineStr">
        <is>
          <t>Please select end date</t>
        </is>
      </c>
      <c r="D525" s="3">
        <f>IFERROR(__xludf.DUMMYFUNCTION("GOOGLETRANSLATE(B525,""vi"",""en"")"),"Please select the applicable end date.")</f>
        <v/>
      </c>
      <c r="E525" s="3">
        <f>IF(C525&lt;&gt;"",C525, D525)</f>
        <v/>
      </c>
      <c r="F525" s="3" t="n"/>
      <c r="G525" s="3">
        <f>IFERROR(__xludf.DUMMYFUNCTION("GOOGLETRANSLATE(B525,""vi"",""km"")"),"សូមជ្រើសរើសកាលបរិច្ឆេទបញ្ចប់ដែលអាចអនុវត្តបាន។")</f>
        <v/>
      </c>
      <c r="H525" s="3" t="inlineStr">
        <is>
          <t>សូមជ្រើសរើសកាលបរិច្ឆេទបញ្ចប់ដែលអាចអនុវត្តបាន។</t>
        </is>
      </c>
      <c r="I525" s="3" t="n"/>
      <c r="J525" s="3">
        <f>IFERROR(__xludf.DUMMYFUNCTION("GOOGLETRANSLATE(B525,""vi"",""lo"")"),"ກະລຸນາເລືອກວັນທີສິ້ນສຸດທີ່ກ່ຽວຂ້ອງ.")</f>
        <v/>
      </c>
      <c r="K525" s="3">
        <f>IF(I525&lt;&gt;"",I525, J525)</f>
        <v/>
      </c>
      <c r="L525" s="3" t="inlineStr">
        <is>
          <t>សូមជ្រើសរើសកាលបរិច្ឆេទបញ្ចប់ដែលអាចអនុវត្តបាន។</t>
        </is>
      </c>
      <c r="M525" s="3" t="n"/>
      <c r="N525" s="3" t="inlineStr">
        <is>
          <t>"workingTimeSetup.applyToRequired": "Please select end date",</t>
        </is>
      </c>
      <c r="O525" s="3" t="n"/>
      <c r="P525" s="3" t="n"/>
      <c r="Q525" s="3" t="n"/>
      <c r="R525" s="3" t="n"/>
      <c r="S525" s="3" t="n"/>
      <c r="T525" s="3" t="n"/>
      <c r="U525" s="3" t="n"/>
      <c r="V525" s="3" t="n"/>
      <c r="W525" s="3" t="n"/>
      <c r="X525" s="3" t="n"/>
      <c r="Y525" s="3" t="n"/>
      <c r="Z525" s="3" t="n"/>
      <c r="AA525" s="3" t="n"/>
    </row>
    <row r="526">
      <c r="A526" s="3" t="inlineStr">
        <is>
          <t>workingTimeSetup.calendarTitle</t>
        </is>
      </c>
      <c r="B526" s="3" t="inlineStr">
        <is>
          <t>Thời gian làm việc</t>
        </is>
      </c>
      <c r="C526" s="3" t="inlineStr">
        <is>
          <t>Working hours</t>
        </is>
      </c>
      <c r="D526" s="3">
        <f>IFERROR(__xludf.DUMMYFUNCTION("GOOGLETRANSLATE(B526,""vi"",""en"")"),"Working hours")</f>
        <v/>
      </c>
      <c r="E526" s="3">
        <f>IF(C526&lt;&gt;"",C526, D526)</f>
        <v/>
      </c>
      <c r="F526" s="3" t="n"/>
      <c r="G526" s="3">
        <f>IFERROR(__xludf.DUMMYFUNCTION("GOOGLETRANSLATE(B526,""vi"",""km"")"),"ម៉ោងធ្វើការ")</f>
        <v/>
      </c>
      <c r="H526" s="3" t="inlineStr">
        <is>
          <t>ម៉ោងធ្វើការ</t>
        </is>
      </c>
      <c r="I526" s="3" t="n"/>
      <c r="J526" s="3">
        <f>IFERROR(__xludf.DUMMYFUNCTION("GOOGLETRANSLATE(B526,""vi"",""lo"")"),"ຊົ່ວໂມງເຮັດວຽກ")</f>
        <v/>
      </c>
      <c r="K526" s="3">
        <f>IF(I526&lt;&gt;"",I526, J526)</f>
        <v/>
      </c>
      <c r="L526" s="3" t="inlineStr">
        <is>
          <t>ម៉ោងធ្វើការ</t>
        </is>
      </c>
      <c r="M526" s="3" t="n"/>
      <c r="N526" s="3" t="inlineStr">
        <is>
          <t>"workingTimeSetup.calendarTitle": "Working hours",</t>
        </is>
      </c>
      <c r="O526" s="3" t="n"/>
      <c r="P526" s="3" t="n"/>
      <c r="Q526" s="3" t="n"/>
      <c r="R526" s="3" t="n"/>
      <c r="S526" s="3" t="n"/>
      <c r="T526" s="3" t="n"/>
      <c r="U526" s="3" t="n"/>
      <c r="V526" s="3" t="n"/>
      <c r="W526" s="3" t="n"/>
      <c r="X526" s="3" t="n"/>
      <c r="Y526" s="3" t="n"/>
      <c r="Z526" s="3" t="n"/>
      <c r="AA526" s="3" t="n"/>
    </row>
    <row r="527">
      <c r="A527" s="3" t="inlineStr">
        <is>
          <t>workingTimeSetup.complaintMilestone</t>
        </is>
      </c>
      <c r="B527" s="3" t="inlineStr">
        <is>
          <t>Mốc giờ tính khiếu nại ngày hôm sau</t>
        </is>
      </c>
      <c r="C527" s="3" t="inlineStr">
        <is>
          <t>Next-day complaint cutoff time</t>
        </is>
      </c>
      <c r="D527" s="3">
        <f>IFERROR(__xludf.DUMMYFUNCTION("GOOGLETRANSLATE(B527,""vi"",""en"")"),"The time for processing complaints the following day.")</f>
        <v/>
      </c>
      <c r="E527" s="3">
        <f>IF(C527&lt;&gt;"",C527, D527)</f>
        <v/>
      </c>
      <c r="F527" s="3" t="n"/>
      <c r="G527" s="3">
        <f>IFERROR(__xludf.DUMMYFUNCTION("GOOGLETRANSLATE(B527,""vi"",""km"")"),"ពេលវេលាសម្រាប់ដំណើរការពាក្យបណ្តឹងនៅថ្ងៃបន្ទាប់។")</f>
        <v/>
      </c>
      <c r="H527" s="3" t="inlineStr">
        <is>
          <t>ពេលវេលាសម្រាប់ដំណើរការពាក្យបណ្តឹងនៅថ្ងៃបន្ទាប់។</t>
        </is>
      </c>
      <c r="I527" s="3" t="n"/>
      <c r="J527" s="3">
        <f>IFERROR(__xludf.DUMMYFUNCTION("GOOGLETRANSLATE(B527,""vi"",""lo"")"),"ເວລາສຳລັບການດຳເນີນການຮ້ອງຮຽນໃນມື້ຕໍ່ມາ.")</f>
        <v/>
      </c>
      <c r="K527" s="3">
        <f>IF(I527&lt;&gt;"",I527, J527)</f>
        <v/>
      </c>
      <c r="L527" s="3" t="inlineStr">
        <is>
          <t>ពេលវេលាសម្រាប់ដំណើរការពាក្យបណ្តឹងនៅថ្ងៃបន្ទាប់។</t>
        </is>
      </c>
      <c r="M527" s="3" t="n"/>
      <c r="N527" s="3" t="inlineStr">
        <is>
          <t>"workingTimeSetup.complaintMilestone": "Next-day complaint cutoff time",</t>
        </is>
      </c>
      <c r="O527" s="3" t="n"/>
      <c r="P527" s="3" t="n"/>
      <c r="Q527" s="3" t="n"/>
      <c r="R527" s="3" t="n"/>
      <c r="S527" s="3" t="n"/>
      <c r="T527" s="3" t="n"/>
      <c r="U527" s="3" t="n"/>
      <c r="V527" s="3" t="n"/>
      <c r="W527" s="3" t="n"/>
      <c r="X527" s="3" t="n"/>
      <c r="Y527" s="3" t="n"/>
      <c r="Z527" s="3" t="n"/>
      <c r="AA527" s="3" t="n"/>
    </row>
    <row r="528">
      <c r="A528" s="3" t="inlineStr">
        <is>
          <t>workingTimeSetup.complaintMilestoneOutOfRange</t>
        </is>
      </c>
      <c r="B528" s="3" t="inlineStr">
        <is>
          <t>Vui lòng chọn trong khoảng thời gian làm việc</t>
        </is>
      </c>
      <c r="C528" s="3" t="inlineStr">
        <is>
          <t>Please select within working hours</t>
        </is>
      </c>
      <c r="D528" s="3">
        <f>IFERROR(__xludf.DUMMYFUNCTION("GOOGLETRANSLATE(B528,""vi"",""en"")"),"Please select within working hours.")</f>
        <v/>
      </c>
      <c r="E528" s="3">
        <f>IF(C528&lt;&gt;"",C528, D528)</f>
        <v/>
      </c>
      <c r="F528" s="3" t="n"/>
      <c r="G528" s="3">
        <f>IFERROR(__xludf.DUMMYFUNCTION("GOOGLETRANSLATE(B528,""vi"",""km"")"),"សូមជ្រើសរើសក្នុងម៉ោងធ្វើការ។")</f>
        <v/>
      </c>
      <c r="H528" s="3" t="inlineStr">
        <is>
          <t>សូមជ្រើសរើសក្នុងម៉ោងធ្វើការ។</t>
        </is>
      </c>
      <c r="I528" s="3" t="n"/>
      <c r="J528" s="3">
        <f>IFERROR(__xludf.DUMMYFUNCTION("GOOGLETRANSLATE(B528,""vi"",""lo"")"),"ກະລຸນາເລືອກພາຍໃນເວລາເຮັດວຽກ.")</f>
        <v/>
      </c>
      <c r="K528" s="3">
        <f>IF(I528&lt;&gt;"",I528, J528)</f>
        <v/>
      </c>
      <c r="L528" s="3" t="inlineStr">
        <is>
          <t>សូមជ្រើសរើសក្នុងម៉ោងធ្វើការ។</t>
        </is>
      </c>
      <c r="M528" s="3" t="n"/>
      <c r="N528" s="3" t="inlineStr">
        <is>
          <t>"workingTimeSetup.complaintMilestoneOutOfRange": "Please select within working hours",</t>
        </is>
      </c>
      <c r="O528" s="3" t="n"/>
      <c r="P528" s="3" t="n"/>
      <c r="Q528" s="3" t="n"/>
      <c r="R528" s="3" t="n"/>
      <c r="S528" s="3" t="n"/>
      <c r="T528" s="3" t="n"/>
      <c r="U528" s="3" t="n"/>
      <c r="V528" s="3" t="n"/>
      <c r="W528" s="3" t="n"/>
      <c r="X528" s="3" t="n"/>
      <c r="Y528" s="3" t="n"/>
      <c r="Z528" s="3" t="n"/>
      <c r="AA528" s="3" t="n"/>
    </row>
    <row r="529">
      <c r="A529" s="3" t="inlineStr">
        <is>
          <t>workingTimeSetup.dayOff</t>
        </is>
      </c>
      <c r="B529" s="3" t="inlineStr">
        <is>
          <t>Ngày nghỉ</t>
        </is>
      </c>
      <c r="C529" s="3" t="inlineStr">
        <is>
          <t>Day off</t>
        </is>
      </c>
      <c r="D529" s="3">
        <f>IFERROR(__xludf.DUMMYFUNCTION("GOOGLETRANSLATE(B529,""vi"",""en"")"),"Day off")</f>
        <v/>
      </c>
      <c r="E529" s="3">
        <f>IF(C529&lt;&gt;"",C529, D529)</f>
        <v/>
      </c>
      <c r="F529" s="3" t="n"/>
      <c r="G529" s="3">
        <f>IFERROR(__xludf.DUMMYFUNCTION("GOOGLETRANSLATE(B529,""vi"",""km"")"),"ថ្ងៃឈប់សម្រាក")</f>
        <v/>
      </c>
      <c r="H529" s="3" t="inlineStr">
        <is>
          <t>ថ្ងៃឈប់សម្រាក</t>
        </is>
      </c>
      <c r="I529" s="3" t="n"/>
      <c r="J529" s="3">
        <f>IFERROR(__xludf.DUMMYFUNCTION("GOOGLETRANSLATE(B529,""vi"",""lo"")"),"ມື້ພັກ")</f>
        <v/>
      </c>
      <c r="K529" s="3">
        <f>IF(I529&lt;&gt;"",I529, J529)</f>
        <v/>
      </c>
      <c r="L529" s="3" t="inlineStr">
        <is>
          <t>ថ្ងៃឈប់សម្រាក</t>
        </is>
      </c>
      <c r="M529" s="3" t="n"/>
      <c r="N529" s="3" t="inlineStr">
        <is>
          <t>"workingTimeSetup.dayOff": "Day off",</t>
        </is>
      </c>
      <c r="O529" s="3" t="n"/>
      <c r="P529" s="3" t="n"/>
      <c r="Q529" s="3" t="n"/>
      <c r="R529" s="3" t="n"/>
      <c r="S529" s="3" t="n"/>
      <c r="T529" s="3" t="n"/>
      <c r="U529" s="3" t="n"/>
      <c r="V529" s="3" t="n"/>
      <c r="W529" s="3" t="n"/>
      <c r="X529" s="3" t="n"/>
      <c r="Y529" s="3" t="n"/>
      <c r="Z529" s="3" t="n"/>
      <c r="AA529" s="3" t="n"/>
    </row>
    <row r="530">
      <c r="A530" s="3" t="inlineStr">
        <is>
          <t>workingTimeSetup.endTime</t>
        </is>
      </c>
      <c r="B530" s="3" t="inlineStr">
        <is>
          <t>Giờ kết thúc làm việc trong ngày</t>
        </is>
      </c>
      <c r="C530" s="3" t="inlineStr">
        <is>
          <t>End of working hours</t>
        </is>
      </c>
      <c r="D530" s="3">
        <f>IFERROR(__xludf.DUMMYFUNCTION("GOOGLETRANSLATE(B530,""vi"",""en"")"),"End of work day")</f>
        <v/>
      </c>
      <c r="E530" s="3">
        <f>IF(C530&lt;&gt;"",C530, D530)</f>
        <v/>
      </c>
      <c r="F530" s="3" t="n"/>
      <c r="G530" s="3">
        <f>IFERROR(__xludf.DUMMYFUNCTION("GOOGLETRANSLATE(B530,""vi"",""km"")"),"ចុងបញ្ចប់នៃថ្ងៃធ្វើការ")</f>
        <v/>
      </c>
      <c r="H530" s="3" t="inlineStr">
        <is>
          <t>ចុងបញ្ចប់នៃថ្ងៃធ្វើការ</t>
        </is>
      </c>
      <c r="I530" s="3" t="n"/>
      <c r="J530" s="3">
        <f>IFERROR(__xludf.DUMMYFUNCTION("GOOGLETRANSLATE(B530,""vi"",""lo"")"),"ສິ້ນສຸດມື້ເຮັດວຽກ")</f>
        <v/>
      </c>
      <c r="K530" s="3">
        <f>IF(I530&lt;&gt;"",I530, J530)</f>
        <v/>
      </c>
      <c r="L530" s="3" t="inlineStr">
        <is>
          <t>ចុងបញ្ចប់នៃថ្ងៃធ្វើការ</t>
        </is>
      </c>
      <c r="M530" s="3" t="n"/>
      <c r="N530" s="3" t="inlineStr">
        <is>
          <t>"workingTimeSetup.endTime": "End of working hours",</t>
        </is>
      </c>
      <c r="O530" s="3" t="n"/>
      <c r="P530" s="3" t="n"/>
      <c r="Q530" s="3" t="n"/>
      <c r="R530" s="3" t="n"/>
      <c r="S530" s="3" t="n"/>
      <c r="T530" s="3" t="n"/>
      <c r="U530" s="3" t="n"/>
      <c r="V530" s="3" t="n"/>
      <c r="W530" s="3" t="n"/>
      <c r="X530" s="3" t="n"/>
      <c r="Y530" s="3" t="n"/>
      <c r="Z530" s="3" t="n"/>
      <c r="AA530" s="3" t="n"/>
    </row>
    <row r="531">
      <c r="A531" s="3" t="inlineStr">
        <is>
          <t>workingTimeSetup.endTimeRequired</t>
        </is>
      </c>
      <c r="B531" s="3" t="inlineStr">
        <is>
          <t>Vui lòng chọn Giờ kết thúc làm việc trong ngày</t>
        </is>
      </c>
      <c r="C531" s="3" t="inlineStr">
        <is>
          <t>Please select end of working hours</t>
        </is>
      </c>
      <c r="D531" s="3">
        <f>IFERROR(__xludf.DUMMYFUNCTION("GOOGLETRANSLATE(B531,""vi"",""en"")"),"Please select your preferred end time for the workday.")</f>
        <v/>
      </c>
      <c r="E531" s="3">
        <f>IF(C531&lt;&gt;"",C531, D531)</f>
        <v/>
      </c>
      <c r="F531" s="3" t="n"/>
      <c r="G531" s="3">
        <f>IFERROR(__xludf.DUMMYFUNCTION("GOOGLETRANSLATE(B531,""vi"",""km"")"),"សូមជ្រើសរើសម៉ោងបញ្ចប់ដែលអ្នកពេញចិត្តសម្រាប់ថ្ងៃធ្វើការ។")</f>
        <v/>
      </c>
      <c r="H531" s="3" t="inlineStr">
        <is>
          <t>សូមជ្រើសរើសម៉ោងបញ្ចប់ដែលអ្នកពេញចិត្តសម្រាប់ថ្ងៃធ្វើការ។</t>
        </is>
      </c>
      <c r="I531" s="3" t="n"/>
      <c r="J531" s="3">
        <f>IFERROR(__xludf.DUMMYFUNCTION("GOOGLETRANSLATE(B531,""vi"",""lo"")"),"ກະລຸນາເລືອກເວລາສິ້ນສຸດທີ່ທ່ານຕ້ອງການສຳລັບມື້ເຮັດວຽກ.")</f>
        <v/>
      </c>
      <c r="K531" s="3">
        <f>IF(I531&lt;&gt;"",I531, J531)</f>
        <v/>
      </c>
      <c r="L531" s="3" t="inlineStr">
        <is>
          <t>សូមជ្រើសរើសម៉ោងបញ្ចប់ដែលអ្នកពេញចិត្តសម្រាប់ថ្ងៃធ្វើការ។</t>
        </is>
      </c>
      <c r="M531" s="3" t="n"/>
      <c r="N531" s="3" t="inlineStr">
        <is>
          <t>"workingTimeSetup.endTimeRequired": "Please select end of working hours",</t>
        </is>
      </c>
      <c r="O531" s="3" t="n"/>
      <c r="P531" s="3" t="n"/>
      <c r="Q531" s="3" t="n"/>
      <c r="R531" s="3" t="n"/>
      <c r="S531" s="3" t="n"/>
      <c r="T531" s="3" t="n"/>
      <c r="U531" s="3" t="n"/>
      <c r="V531" s="3" t="n"/>
      <c r="W531" s="3" t="n"/>
      <c r="X531" s="3" t="n"/>
      <c r="Y531" s="3" t="n"/>
      <c r="Z531" s="3" t="n"/>
      <c r="AA531" s="3" t="n"/>
    </row>
    <row r="532">
      <c r="A532" s="3" t="inlineStr">
        <is>
          <t>workingTimeSetup.friday</t>
        </is>
      </c>
      <c r="B532" s="3" t="inlineStr">
        <is>
          <t>Thứ 6</t>
        </is>
      </c>
      <c r="C532" s="3" t="inlineStr">
        <is>
          <t>Friday</t>
        </is>
      </c>
      <c r="D532" s="3">
        <f>IFERROR(__xludf.DUMMYFUNCTION("GOOGLETRANSLATE(B532,""vi"",""en"")"),"Friday")</f>
        <v/>
      </c>
      <c r="E532" s="3">
        <f>IF(C532&lt;&gt;"",C532, D532)</f>
        <v/>
      </c>
      <c r="F532" s="3" t="n"/>
      <c r="G532" s="3">
        <f>IFERROR(__xludf.DUMMYFUNCTION("GOOGLETRANSLATE(B532,""vi"",""km"")"),"ថ្ងៃសុក្រ")</f>
        <v/>
      </c>
      <c r="H532" s="3" t="inlineStr">
        <is>
          <t>ថ្ងៃសុក្រ</t>
        </is>
      </c>
      <c r="I532" s="3" t="n"/>
      <c r="J532" s="3">
        <f>IFERROR(__xludf.DUMMYFUNCTION("GOOGLETRANSLATE(B532,""vi"",""lo"")"),"ວັນສຸກ")</f>
        <v/>
      </c>
      <c r="K532" s="3">
        <f>IF(I532&lt;&gt;"",I532, J532)</f>
        <v/>
      </c>
      <c r="L532" s="3" t="inlineStr">
        <is>
          <t>ថ្ងៃសុក្រ</t>
        </is>
      </c>
      <c r="M532" s="3" t="n"/>
      <c r="N532" s="3" t="inlineStr">
        <is>
          <t>"workingTimeSetup.friday": "Friday",</t>
        </is>
      </c>
      <c r="O532" s="3" t="n"/>
      <c r="P532" s="3" t="n"/>
      <c r="Q532" s="3" t="n"/>
      <c r="R532" s="3" t="n"/>
      <c r="S532" s="3" t="n"/>
      <c r="T532" s="3" t="n"/>
      <c r="U532" s="3" t="n"/>
      <c r="V532" s="3" t="n"/>
      <c r="W532" s="3" t="n"/>
      <c r="X532" s="3" t="n"/>
      <c r="Y532" s="3" t="n"/>
      <c r="Z532" s="3" t="n"/>
      <c r="AA532" s="3" t="n"/>
    </row>
    <row r="533">
      <c r="A533" s="3" t="inlineStr">
        <is>
          <t>workingTimeSetup.kpiMilestone</t>
        </is>
      </c>
      <c r="B533" s="3" t="inlineStr">
        <is>
          <t>Mốc KPI không tính đóng băng</t>
        </is>
      </c>
      <c r="C533" s="3" t="inlineStr">
        <is>
          <t>KPI freeze threshold</t>
        </is>
      </c>
      <c r="D533" s="3">
        <f>IFERROR(__xludf.DUMMYFUNCTION("GOOGLETRANSLATE(B533,""vi"",""en"")"),"KPI milestones are not counted towards the freeze.")</f>
        <v/>
      </c>
      <c r="E533" s="3">
        <f>IF(C533&lt;&gt;"",C533, D533)</f>
        <v/>
      </c>
      <c r="F533" s="3" t="n"/>
      <c r="G533" s="3">
        <f>IFERROR(__xludf.DUMMYFUNCTION("GOOGLETRANSLATE(B533,""vi"",""km"")"),"ចំណុចសំខាន់ៗនៃ KPI មិនត្រូវបានរាប់បញ្ចូលក្នុងការបង្កកទេ។")</f>
        <v/>
      </c>
      <c r="H533" s="3" t="inlineStr">
        <is>
          <t>ចំណុចសំខាន់ៗនៃ KPI មិនត្រូវបានរាប់បញ្ចូលក្នុងការបង្កកទេ។</t>
        </is>
      </c>
      <c r="I533" s="3" t="n"/>
      <c r="J533" s="3">
        <f>IFERROR(__xludf.DUMMYFUNCTION("GOOGLETRANSLATE(B533,""vi"",""lo"")"),"ຈຸດສຳຄັນຂອງ KPI ບໍ່ໄດ້ຖືກນັບເຂົ້າໃນການຢຸດຊະງັກ.")</f>
        <v/>
      </c>
      <c r="K533" s="3">
        <f>IF(I533&lt;&gt;"",I533, J533)</f>
        <v/>
      </c>
      <c r="L533" s="3" t="inlineStr">
        <is>
          <t>ចំណុចសំខាន់ៗនៃ KPI មិនត្រូវបានរាប់បញ្ចូលក្នុងការបង្កកទេ។</t>
        </is>
      </c>
      <c r="M533" s="3" t="n"/>
      <c r="N533" s="3" t="inlineStr">
        <is>
          <t>"workingTimeSetup.kpiMilestone": "KPI freeze threshold",</t>
        </is>
      </c>
      <c r="O533" s="3" t="n"/>
      <c r="P533" s="3" t="n"/>
      <c r="Q533" s="3" t="n"/>
      <c r="R533" s="3" t="n"/>
      <c r="S533" s="3" t="n"/>
      <c r="T533" s="3" t="n"/>
      <c r="U533" s="3" t="n"/>
      <c r="V533" s="3" t="n"/>
      <c r="W533" s="3" t="n"/>
      <c r="X533" s="3" t="n"/>
      <c r="Y533" s="3" t="n"/>
      <c r="Z533" s="3" t="n"/>
      <c r="AA533" s="3" t="n"/>
    </row>
    <row r="534">
      <c r="A534" s="3" t="inlineStr">
        <is>
          <t>workingTimeSetup.kpiMilestoneRequired</t>
        </is>
      </c>
      <c r="B534" s="3" t="inlineStr">
        <is>
          <t>Vui lòng nhập Mốc KPI không tính đóng băng</t>
        </is>
      </c>
      <c r="C534" s="3" t="inlineStr">
        <is>
          <t>Please enter KPI freeze threshold</t>
        </is>
      </c>
      <c r="D534" s="3">
        <f>IFERROR(__xludf.DUMMYFUNCTION("GOOGLETRANSLATE(B534,""vi"",""en"")"),"Please enter the KPI milestone excluding freezes.")</f>
        <v/>
      </c>
      <c r="E534" s="3">
        <f>IF(C534&lt;&gt;"",C534, D534)</f>
        <v/>
      </c>
      <c r="F534" s="3" t="n"/>
      <c r="G534" s="3">
        <f>IFERROR(__xludf.DUMMYFUNCTION("GOOGLETRANSLATE(B534,""vi"",""km"")"),"សូមបញ្ចូលចំណុចសំខាន់ KPI ដោយមិនរាប់បញ្ចូលការបង្កក។")</f>
        <v/>
      </c>
      <c r="H534" s="3" t="inlineStr">
        <is>
          <t>សូមបញ្ចូលចំណុចសំខាន់ KPI ដោយមិនរាប់បញ្ចូលការបង្កក។</t>
        </is>
      </c>
      <c r="I534" s="3" t="n"/>
      <c r="J534" s="3">
        <f>IFERROR(__xludf.DUMMYFUNCTION("GOOGLETRANSLATE(B534,""vi"",""lo"")"),"ກະລຸນາໃສ່ຈຸດສຳຄັນຂອງ KPI ໂດຍບໍ່ລວມເອົາການຢຸດຊົ່ວຄາວ.")</f>
        <v/>
      </c>
      <c r="K534" s="3">
        <f>IF(I534&lt;&gt;"",I534, J534)</f>
        <v/>
      </c>
      <c r="L534" s="3" t="inlineStr">
        <is>
          <t>សូមបញ្ចូលចំណុចសំខាន់ KPI ដោយមិនរាប់បញ្ចូលការបង្កក។</t>
        </is>
      </c>
      <c r="M534" s="3" t="n"/>
      <c r="N534" s="3" t="inlineStr">
        <is>
          <t>"workingTimeSetup.kpiMilestoneRequired": "Please enter KPI freeze threshold",</t>
        </is>
      </c>
      <c r="O534" s="3" t="n"/>
      <c r="P534" s="3" t="n"/>
      <c r="Q534" s="3" t="n"/>
      <c r="R534" s="3" t="n"/>
      <c r="S534" s="3" t="n"/>
      <c r="T534" s="3" t="n"/>
      <c r="U534" s="3" t="n"/>
      <c r="V534" s="3" t="n"/>
      <c r="W534" s="3" t="n"/>
      <c r="X534" s="3" t="n"/>
      <c r="Y534" s="3" t="n"/>
      <c r="Z534" s="3" t="n"/>
      <c r="AA534" s="3" t="n"/>
    </row>
    <row r="535">
      <c r="A535" s="3" t="inlineStr">
        <is>
          <t>workingTimeSetup.kpiRequired</t>
        </is>
      </c>
      <c r="B535" s="3" t="inlineStr">
        <is>
          <t>Vui lòng nhập Mốc KPI không tính đóng băng</t>
        </is>
      </c>
      <c r="C535" s="3" t="inlineStr">
        <is>
          <t>Please enter KPI freeze threshold</t>
        </is>
      </c>
      <c r="D535" s="3">
        <f>IFERROR(__xludf.DUMMYFUNCTION("GOOGLETRANSLATE(B535,""vi"",""en"")"),"Please enter the KPI milestone excluding freezes.")</f>
        <v/>
      </c>
      <c r="E535" s="3">
        <f>IF(C535&lt;&gt;"",C535, D535)</f>
        <v/>
      </c>
      <c r="F535" s="3" t="n"/>
      <c r="G535" s="3">
        <f>IFERROR(__xludf.DUMMYFUNCTION("GOOGLETRANSLATE(B535,""vi"",""km"")"),"សូមបញ្ចូលចំណុចសំខាន់ KPI ដោយមិនរាប់បញ្ចូលការបង្កក។")</f>
        <v/>
      </c>
      <c r="H535" s="3" t="inlineStr">
        <is>
          <t>សូមបញ្ចូលចំណុចសំខាន់ KPI ដោយមិនរាប់បញ្ចូលការបង្កក។</t>
        </is>
      </c>
      <c r="I535" s="3" t="n"/>
      <c r="J535" s="3">
        <f>IFERROR(__xludf.DUMMYFUNCTION("GOOGLETRANSLATE(B535,""vi"",""lo"")"),"ກະລຸນາໃສ່ຈຸດສຳຄັນຂອງ KPI ໂດຍບໍ່ລວມເອົາການຢຸດຊົ່ວຄາວ.")</f>
        <v/>
      </c>
      <c r="K535" s="3">
        <f>IF(I535&lt;&gt;"",I535, J535)</f>
        <v/>
      </c>
      <c r="L535" s="3" t="inlineStr">
        <is>
          <t>សូមបញ្ចូលចំណុចសំខាន់ KPI ដោយមិនរាប់បញ្ចូលការបង្កក។</t>
        </is>
      </c>
      <c r="M535" s="3" t="n"/>
      <c r="N535" s="3" t="inlineStr">
        <is>
          <t>"workingTimeSetup.kpiRequired": "Please enter KPI freeze threshold",</t>
        </is>
      </c>
      <c r="O535" s="3" t="n"/>
      <c r="P535" s="3" t="n"/>
      <c r="Q535" s="3" t="n"/>
      <c r="R535" s="3" t="n"/>
      <c r="S535" s="3" t="n"/>
      <c r="T535" s="3" t="n"/>
      <c r="U535" s="3" t="n"/>
      <c r="V535" s="3" t="n"/>
      <c r="W535" s="3" t="n"/>
      <c r="X535" s="3" t="n"/>
      <c r="Y535" s="3" t="n"/>
      <c r="Z535" s="3" t="n"/>
      <c r="AA535" s="3" t="n"/>
    </row>
    <row r="536">
      <c r="A536" s="3" t="inlineStr">
        <is>
          <t>workingTimeSetup.monday</t>
        </is>
      </c>
      <c r="B536" s="3" t="inlineStr">
        <is>
          <t>Thứ 2</t>
        </is>
      </c>
      <c r="C536" s="3" t="inlineStr">
        <is>
          <t>Monday</t>
        </is>
      </c>
      <c r="D536" s="3">
        <f>IFERROR(__xludf.DUMMYFUNCTION("GOOGLETRANSLATE(B536,""vi"",""en"")"),"Monday")</f>
        <v/>
      </c>
      <c r="E536" s="3">
        <f>IF(C536&lt;&gt;"",C536, D536)</f>
        <v/>
      </c>
      <c r="F536" s="3" t="n"/>
      <c r="G536" s="3">
        <f>IFERROR(__xludf.DUMMYFUNCTION("GOOGLETRANSLATE(B536,""vi"",""km"")"),"ថ្ងៃច័ន្ទ")</f>
        <v/>
      </c>
      <c r="H536" s="3" t="inlineStr">
        <is>
          <t>ថ្ងៃច័ន្ទ</t>
        </is>
      </c>
      <c r="I536" s="3" t="n"/>
      <c r="J536" s="3">
        <f>IFERROR(__xludf.DUMMYFUNCTION("GOOGLETRANSLATE(B536,""vi"",""lo"")"),"ວັນຈັນ")</f>
        <v/>
      </c>
      <c r="K536" s="3">
        <f>IF(I536&lt;&gt;"",I536, J536)</f>
        <v/>
      </c>
      <c r="L536" s="3" t="inlineStr">
        <is>
          <t>ថ្ងៃច័ន្ទ</t>
        </is>
      </c>
      <c r="M536" s="3" t="n"/>
      <c r="N536" s="3" t="inlineStr">
        <is>
          <t>"workingTimeSetup.monday": "Monday",</t>
        </is>
      </c>
      <c r="O536" s="3" t="n"/>
      <c r="P536" s="3" t="n"/>
      <c r="Q536" s="3" t="n"/>
      <c r="R536" s="3" t="n"/>
      <c r="S536" s="3" t="n"/>
      <c r="T536" s="3" t="n"/>
      <c r="U536" s="3" t="n"/>
      <c r="V536" s="3" t="n"/>
      <c r="W536" s="3" t="n"/>
      <c r="X536" s="3" t="n"/>
      <c r="Y536" s="3" t="n"/>
      <c r="Z536" s="3" t="n"/>
      <c r="AA536" s="3" t="n"/>
    </row>
    <row r="537">
      <c r="A537" s="3" t="inlineStr">
        <is>
          <t>workingTimeSetup.month</t>
        </is>
      </c>
      <c r="B537" s="3" t="inlineStr">
        <is>
          <t>Tháng</t>
        </is>
      </c>
      <c r="C537" s="3" t="inlineStr">
        <is>
          <t>Month</t>
        </is>
      </c>
      <c r="D537" s="3">
        <f>IFERROR(__xludf.DUMMYFUNCTION("GOOGLETRANSLATE(B537,""vi"",""en"")"),"Month")</f>
        <v/>
      </c>
      <c r="E537" s="3">
        <f>IF(C537&lt;&gt;"",C537, D537)</f>
        <v/>
      </c>
      <c r="F537" s="3" t="n"/>
      <c r="G537" s="3">
        <f>IFERROR(__xludf.DUMMYFUNCTION("GOOGLETRANSLATE(B537,""vi"",""km"")"),"ខែ")</f>
        <v/>
      </c>
      <c r="H537" s="3" t="inlineStr">
        <is>
          <t>ខែ</t>
        </is>
      </c>
      <c r="I537" s="3" t="n"/>
      <c r="J537" s="3">
        <f>IFERROR(__xludf.DUMMYFUNCTION("GOOGLETRANSLATE(B537,""vi"",""lo"")"),"ເດືອນ")</f>
        <v/>
      </c>
      <c r="K537" s="3">
        <f>IF(I537&lt;&gt;"",I537, J537)</f>
        <v/>
      </c>
      <c r="L537" s="3" t="inlineStr">
        <is>
          <t>ខែ</t>
        </is>
      </c>
      <c r="M537" s="3" t="n"/>
      <c r="N537" s="3" t="inlineStr">
        <is>
          <t>"workingTimeSetup.month": "Month",</t>
        </is>
      </c>
      <c r="O537" s="3" t="n"/>
      <c r="P537" s="3" t="n"/>
      <c r="Q537" s="3" t="n"/>
      <c r="R537" s="3" t="n"/>
      <c r="S537" s="3" t="n"/>
      <c r="T537" s="3" t="n"/>
      <c r="U537" s="3" t="n"/>
      <c r="V537" s="3" t="n"/>
      <c r="W537" s="3" t="n"/>
      <c r="X537" s="3" t="n"/>
      <c r="Y537" s="3" t="n"/>
      <c r="Z537" s="3" t="n"/>
      <c r="AA537" s="3" t="n"/>
    </row>
    <row r="538">
      <c r="A538" s="3" t="inlineStr">
        <is>
          <t>workingTimeSetup.monthLabel</t>
        </is>
      </c>
      <c r="B538" s="3" t="inlineStr">
        <is>
          <t>Tháng {{month}}</t>
        </is>
      </c>
      <c r="C538" s="3" t="inlineStr">
        <is>
          <t>Month {{month}}</t>
        </is>
      </c>
      <c r="D538" s="3">
        <f>IFERROR(__xludf.DUMMYFUNCTION("GOOGLETRANSLATE(B538,""vi"",""en"")"),"Month {{month}}")</f>
        <v/>
      </c>
      <c r="E538" s="3">
        <f>IF(C538&lt;&gt;"",C538, D538)</f>
        <v/>
      </c>
      <c r="F538" s="3" t="n"/>
      <c r="G538" s="3">
        <f>IFERROR(__xludf.DUMMYFUNCTION("GOOGLETRANSLATE(B538,""vi"",""km"")"),"ខែ {{ខែ}}")</f>
        <v/>
      </c>
      <c r="H538" s="3" t="inlineStr">
        <is>
          <t>ខែ {{ខែ}}</t>
        </is>
      </c>
      <c r="I538" s="3" t="n"/>
      <c r="J538" s="3">
        <f>IFERROR(__xludf.DUMMYFUNCTION("GOOGLETRANSLATE(B538,""vi"",""lo"")"),"ເດືອນ {{month}}")</f>
        <v/>
      </c>
      <c r="K538" s="3">
        <f>IF(I538&lt;&gt;"",I538, J538)</f>
        <v/>
      </c>
      <c r="L538" s="3" t="inlineStr">
        <is>
          <t>ខែ {{ខែ}}</t>
        </is>
      </c>
      <c r="M538" s="3" t="n"/>
      <c r="N538" s="3" t="inlineStr">
        <is>
          <t>"workingTimeSetup.monthLabel": "Month {{month}}",</t>
        </is>
      </c>
      <c r="O538" s="3" t="n"/>
      <c r="P538" s="3" t="n"/>
      <c r="Q538" s="3" t="n"/>
      <c r="R538" s="3" t="n"/>
      <c r="S538" s="3" t="n"/>
      <c r="T538" s="3" t="n"/>
      <c r="U538" s="3" t="n"/>
      <c r="V538" s="3" t="n"/>
      <c r="W538" s="3" t="n"/>
      <c r="X538" s="3" t="n"/>
      <c r="Y538" s="3" t="n"/>
      <c r="Z538" s="3" t="n"/>
      <c r="AA538" s="3" t="n"/>
    </row>
    <row r="539">
      <c r="A539" s="3" t="inlineStr">
        <is>
          <t>workingTimeSetup.placeholderDateRange</t>
        </is>
      </c>
      <c r="B539" s="3" t="inlineStr">
        <is>
          <t>Chọn từ ngày đến ngày</t>
        </is>
      </c>
      <c r="C539" s="3" t="inlineStr">
        <is>
          <t>Select date range</t>
        </is>
      </c>
      <c r="D539" s="3">
        <f>IFERROR(__xludf.DUMMYFUNCTION("GOOGLETRANSLATE(B539,""vi"",""en"")"),"Select date range")</f>
        <v/>
      </c>
      <c r="E539" s="3">
        <f>IF(C539&lt;&gt;"",C539, D539)</f>
        <v/>
      </c>
      <c r="F539" s="3" t="n"/>
      <c r="G539" s="3">
        <f>IFERROR(__xludf.DUMMYFUNCTION("GOOGLETRANSLATE(B539,""vi"",""km"")"),"ជ្រើសរើសចន្លោះកាលបរិច្ឆេទ")</f>
        <v/>
      </c>
      <c r="H539" s="3" t="inlineStr">
        <is>
          <t>ជ្រើសរើសចន្លោះកាលបរិច្ឆេទ</t>
        </is>
      </c>
      <c r="I539" s="3" t="n"/>
      <c r="J539" s="3">
        <f>IFERROR(__xludf.DUMMYFUNCTION("GOOGLETRANSLATE(B539,""vi"",""lo"")"),"ເລືອກຊ່ວງວັນທີ")</f>
        <v/>
      </c>
      <c r="K539" s="3">
        <f>IF(I539&lt;&gt;"",I539, J539)</f>
        <v/>
      </c>
      <c r="L539" s="3" t="inlineStr">
        <is>
          <t>ជ្រើសរើសចន្លោះកាលបរិច្ឆេទ</t>
        </is>
      </c>
      <c r="M539" s="3" t="n"/>
      <c r="N539" s="3" t="inlineStr">
        <is>
          <t>"workingTimeSetup.placeholderDateRange": "Select date range",</t>
        </is>
      </c>
      <c r="O539" s="3" t="n"/>
      <c r="P539" s="3" t="n"/>
      <c r="Q539" s="3" t="n"/>
      <c r="R539" s="3" t="n"/>
      <c r="S539" s="3" t="n"/>
      <c r="T539" s="3" t="n"/>
      <c r="U539" s="3" t="n"/>
      <c r="V539" s="3" t="n"/>
      <c r="W539" s="3" t="n"/>
      <c r="X539" s="3" t="n"/>
      <c r="Y539" s="3" t="n"/>
      <c r="Z539" s="3" t="n"/>
      <c r="AA539" s="3" t="n"/>
    </row>
    <row r="540">
      <c r="A540" s="3" t="inlineStr">
        <is>
          <t>workingTimeSetup.placeholderKpi</t>
        </is>
      </c>
      <c r="B540" s="3" t="inlineStr">
        <is>
          <t>Nhập mốc</t>
        </is>
      </c>
      <c r="C540" s="3" t="inlineStr">
        <is>
          <t>Enter threshold</t>
        </is>
      </c>
      <c r="D540" s="3">
        <f>IFERROR(__xludf.DUMMYFUNCTION("GOOGLETRANSLATE(B540,""vi"",""en"")"),"Enter milestone")</f>
        <v/>
      </c>
      <c r="E540" s="3">
        <f>IF(C540&lt;&gt;"",C540, D540)</f>
        <v/>
      </c>
      <c r="F540" s="3" t="n"/>
      <c r="G540" s="3">
        <f>IFERROR(__xludf.DUMMYFUNCTION("GOOGLETRANSLATE(B540,""vi"",""km"")"),"បញ្ចូល​ចំណុច​សំខាន់ៗ")</f>
        <v/>
      </c>
      <c r="H540" s="3" t="inlineStr">
        <is>
          <t>បញ្ចូលចំណុចសំខាន់ៗ</t>
        </is>
      </c>
      <c r="I540" s="3" t="n"/>
      <c r="J540" s="3">
        <f>IFERROR(__xludf.DUMMYFUNCTION("GOOGLETRANSLATE(B540,""vi"",""lo"")"),"ເຂົ້າສູ່ຈຸດໝາຍ")</f>
        <v/>
      </c>
      <c r="K540" s="3">
        <f>IF(I540&lt;&gt;"",I540, J540)</f>
        <v/>
      </c>
      <c r="L540" s="3" t="inlineStr">
        <is>
          <t>បញ្ចូលចំណុចសំខាន់ៗ</t>
        </is>
      </c>
      <c r="M540" s="3" t="n"/>
      <c r="N540" s="3" t="inlineStr">
        <is>
          <t>"workingTimeSetup.placeholderKpi": "Enter threshold",</t>
        </is>
      </c>
      <c r="O540" s="3" t="n"/>
      <c r="P540" s="3" t="n"/>
      <c r="Q540" s="3" t="n"/>
      <c r="R540" s="3" t="n"/>
      <c r="S540" s="3" t="n"/>
      <c r="T540" s="3" t="n"/>
      <c r="U540" s="3" t="n"/>
      <c r="V540" s="3" t="n"/>
      <c r="W540" s="3" t="n"/>
      <c r="X540" s="3" t="n"/>
      <c r="Y540" s="3" t="n"/>
      <c r="Z540" s="3" t="n"/>
      <c r="AA540" s="3" t="n"/>
    </row>
    <row r="541">
      <c r="A541" s="3" t="inlineStr">
        <is>
          <t>workingTimeSetup.placeholderTime</t>
        </is>
      </c>
      <c r="B541" s="3" t="inlineStr">
        <is>
          <t>Nhập giờ</t>
        </is>
      </c>
      <c r="C541" s="3" t="inlineStr">
        <is>
          <t>Enter time</t>
        </is>
      </c>
      <c r="D541" s="3">
        <f>IFERROR(__xludf.DUMMYFUNCTION("GOOGLETRANSLATE(B541,""vi"",""en"")"),"Enter time")</f>
        <v/>
      </c>
      <c r="E541" s="3">
        <f>IF(C541&lt;&gt;"",C541, D541)</f>
        <v/>
      </c>
      <c r="F541" s="3" t="n"/>
      <c r="G541" s="3">
        <f>IFERROR(__xludf.DUMMYFUNCTION("GOOGLETRANSLATE(B541,""vi"",""km"")"),"បញ្ចូលពេលវេលា")</f>
        <v/>
      </c>
      <c r="H541" s="3" t="inlineStr">
        <is>
          <t>បញ្ចូលពេលវេលា</t>
        </is>
      </c>
      <c r="I541" s="3" t="n"/>
      <c r="J541" s="3">
        <f>IFERROR(__xludf.DUMMYFUNCTION("GOOGLETRANSLATE(B541,""vi"",""lo"")"),"ປ້ອນເວລາ")</f>
        <v/>
      </c>
      <c r="K541" s="3">
        <f>IF(I541&lt;&gt;"",I541, J541)</f>
        <v/>
      </c>
      <c r="L541" s="3" t="inlineStr">
        <is>
          <t>បញ្ចូលពេលវេលា</t>
        </is>
      </c>
      <c r="M541" s="3" t="n"/>
      <c r="N541" s="3" t="inlineStr">
        <is>
          <t>"workingTimeSetup.placeholderTime": "Enter time",</t>
        </is>
      </c>
      <c r="O541" s="3" t="n"/>
      <c r="P541" s="3" t="n"/>
      <c r="Q541" s="3" t="n"/>
      <c r="R541" s="3" t="n"/>
      <c r="S541" s="3" t="n"/>
      <c r="T541" s="3" t="n"/>
      <c r="U541" s="3" t="n"/>
      <c r="V541" s="3" t="n"/>
      <c r="W541" s="3" t="n"/>
      <c r="X541" s="3" t="n"/>
      <c r="Y541" s="3" t="n"/>
      <c r="Z541" s="3" t="n"/>
      <c r="AA541" s="3" t="n"/>
    </row>
    <row r="542">
      <c r="A542" s="3" t="inlineStr">
        <is>
          <t>workingTimeSetup.required</t>
        </is>
      </c>
      <c r="B542" s="3" t="inlineStr">
        <is>
          <t>Trường này là bắt buộc</t>
        </is>
      </c>
      <c r="C542" s="3" t="inlineStr">
        <is>
          <t>This field is required</t>
        </is>
      </c>
      <c r="D542" s="3">
        <f>IFERROR(__xludf.DUMMYFUNCTION("GOOGLETRANSLATE(B542,""vi"",""en"")"),"This school is compulsory.")</f>
        <v/>
      </c>
      <c r="E542" s="3">
        <f>IF(C542&lt;&gt;"",C542, D542)</f>
        <v/>
      </c>
      <c r="F542" s="3" t="n"/>
      <c r="G542" s="3">
        <f>IFERROR(__xludf.DUMMYFUNCTION("GOOGLETRANSLATE(B542,""vi"",""km"")"),"សាលានេះជាកាតព្វកិច្ច។")</f>
        <v/>
      </c>
      <c r="H542" s="3" t="inlineStr">
        <is>
          <t>សាលានេះជាកាតព្វកិច្ច។</t>
        </is>
      </c>
      <c r="I542" s="3" t="n"/>
      <c r="J542" s="3">
        <f>IFERROR(__xludf.DUMMYFUNCTION("GOOGLETRANSLATE(B542,""vi"",""lo"")"),"ໂຮງຮຽນນີ້ແມ່ນໂຮງຮຽນບັງຄັບ.")</f>
        <v/>
      </c>
      <c r="K542" s="3">
        <f>IF(I542&lt;&gt;"",I542, J542)</f>
        <v/>
      </c>
      <c r="L542" s="3" t="inlineStr">
        <is>
          <t>សាលានេះជាកាតព្វកិច្ច។</t>
        </is>
      </c>
      <c r="M542" s="3" t="n"/>
      <c r="N542" s="3" t="inlineStr">
        <is>
          <t>"workingTimeSetup.required": "This field is required",</t>
        </is>
      </c>
      <c r="O542" s="3" t="n"/>
      <c r="P542" s="3" t="n"/>
      <c r="Q542" s="3" t="n"/>
      <c r="R542" s="3" t="n"/>
      <c r="S542" s="3" t="n"/>
      <c r="T542" s="3" t="n"/>
      <c r="U542" s="3" t="n"/>
      <c r="V542" s="3" t="n"/>
      <c r="W542" s="3" t="n"/>
      <c r="X542" s="3" t="n"/>
      <c r="Y542" s="3" t="n"/>
      <c r="Z542" s="3" t="n"/>
      <c r="AA542" s="3" t="n"/>
    </row>
    <row r="543">
      <c r="A543" s="3" t="inlineStr">
        <is>
          <t>workingTimeSetup.saturday</t>
        </is>
      </c>
      <c r="B543" s="3" t="inlineStr">
        <is>
          <t>Thứ 7</t>
        </is>
      </c>
      <c r="C543" s="3" t="inlineStr">
        <is>
          <t>Saturday</t>
        </is>
      </c>
      <c r="D543" s="3">
        <f>IFERROR(__xludf.DUMMYFUNCTION("GOOGLETRANSLATE(B543,""vi"",""en"")"),"Saturday")</f>
        <v/>
      </c>
      <c r="E543" s="3">
        <f>IF(C543&lt;&gt;"",C543, D543)</f>
        <v/>
      </c>
      <c r="F543" s="3" t="n"/>
      <c r="G543" s="3">
        <f>IFERROR(__xludf.DUMMYFUNCTION("GOOGLETRANSLATE(B543,""vi"",""km"")"),"ថ្ងៃសៅរ៍")</f>
        <v/>
      </c>
      <c r="H543" s="3" t="inlineStr">
        <is>
          <t>ថ្ងៃសៅរ៍</t>
        </is>
      </c>
      <c r="I543" s="3" t="n"/>
      <c r="J543" s="3">
        <f>IFERROR(__xludf.DUMMYFUNCTION("GOOGLETRANSLATE(B543,""vi"",""lo"")"),"ວັນເສົາ")</f>
        <v/>
      </c>
      <c r="K543" s="3">
        <f>IF(I543&lt;&gt;"",I543, J543)</f>
        <v/>
      </c>
      <c r="L543" s="3" t="inlineStr">
        <is>
          <t>ថ្ងៃសៅរ៍</t>
        </is>
      </c>
      <c r="M543" s="3" t="n"/>
      <c r="N543" s="3" t="inlineStr">
        <is>
          <t>"workingTimeSetup.saturday": "Saturday",</t>
        </is>
      </c>
      <c r="O543" s="3" t="n"/>
      <c r="P543" s="3" t="n"/>
      <c r="Q543" s="3" t="n"/>
      <c r="R543" s="3" t="n"/>
      <c r="S543" s="3" t="n"/>
      <c r="T543" s="3" t="n"/>
      <c r="U543" s="3" t="n"/>
      <c r="V543" s="3" t="n"/>
      <c r="W543" s="3" t="n"/>
      <c r="X543" s="3" t="n"/>
      <c r="Y543" s="3" t="n"/>
      <c r="Z543" s="3" t="n"/>
      <c r="AA543" s="3" t="n"/>
    </row>
    <row r="544">
      <c r="A544" s="3" t="inlineStr">
        <is>
          <t>workingTimeSetup.selectDateRange</t>
        </is>
      </c>
      <c r="B544" s="3" t="inlineStr">
        <is>
          <t>Chọn khoảng thời gian</t>
        </is>
      </c>
      <c r="C544" s="3" t="inlineStr">
        <is>
          <t>Select time range</t>
        </is>
      </c>
      <c r="D544" s="3">
        <f>IFERROR(__xludf.DUMMYFUNCTION("GOOGLETRANSLATE(B544,""vi"",""en"")"),"Select a time range")</f>
        <v/>
      </c>
      <c r="E544" s="3">
        <f>IF(C544&lt;&gt;"",C544, D544)</f>
        <v/>
      </c>
      <c r="F544" s="3" t="n"/>
      <c r="G544" s="3">
        <f>IFERROR(__xludf.DUMMYFUNCTION("GOOGLETRANSLATE(B544,""vi"",""km"")"),"ជ្រើសរើស​ជួរ​ពេលវេលា")</f>
        <v/>
      </c>
      <c r="H544" s="3" t="inlineStr">
        <is>
          <t>ជ្រើសរើសជួរពេលវេលា</t>
        </is>
      </c>
      <c r="I544" s="3" t="n"/>
      <c r="J544" s="3">
        <f>IFERROR(__xludf.DUMMYFUNCTION("GOOGLETRANSLATE(B544,""vi"",""lo"")"),"ເລືອກຊ່ວງເວລາ")</f>
        <v/>
      </c>
      <c r="K544" s="3">
        <f>IF(I544&lt;&gt;"",I544, J544)</f>
        <v/>
      </c>
      <c r="L544" s="3" t="inlineStr">
        <is>
          <t>ជ្រើសរើសជួរពេលវេលា</t>
        </is>
      </c>
      <c r="M544" s="3" t="n"/>
      <c r="N544" s="3" t="inlineStr">
        <is>
          <t>"workingTimeSetup.selectDateRange": "Select time range",</t>
        </is>
      </c>
      <c r="O544" s="3" t="n"/>
      <c r="P544" s="3" t="n"/>
      <c r="Q544" s="3" t="n"/>
      <c r="R544" s="3" t="n"/>
      <c r="S544" s="3" t="n"/>
      <c r="T544" s="3" t="n"/>
      <c r="U544" s="3" t="n"/>
      <c r="V544" s="3" t="n"/>
      <c r="W544" s="3" t="n"/>
      <c r="X544" s="3" t="n"/>
      <c r="Y544" s="3" t="n"/>
      <c r="Z544" s="3" t="n"/>
      <c r="AA544" s="3" t="n"/>
    </row>
    <row r="545">
      <c r="A545" s="3" t="inlineStr">
        <is>
          <t>workingTimeSetup.startMustBeforeEnd</t>
        </is>
      </c>
      <c r="B545" s="3" t="inlineStr">
        <is>
          <t>Giờ bắt đầu phải nhỏ hơn giờ kết thúc</t>
        </is>
      </c>
      <c r="C545" s="3" t="inlineStr">
        <is>
          <t>Start time must be earlier than end time</t>
        </is>
      </c>
      <c r="D545" s="3">
        <f>IFERROR(__xludf.DUMMYFUNCTION("GOOGLETRANSLATE(B545,""vi"",""en"")"),"The start time must be earlier than the end time.")</f>
        <v/>
      </c>
      <c r="E545" s="3">
        <f>IF(C545&lt;&gt;"",C545, D545)</f>
        <v/>
      </c>
      <c r="F545" s="3" t="n"/>
      <c r="G545" s="3">
        <f>IFERROR(__xludf.DUMMYFUNCTION("GOOGLETRANSLATE(B545,""vi"",""km"")"),"ពេលវេលាចាប់ផ្តើមត្រូវតែលឿនជាងពេលវេលាបញ្ចប់។")</f>
        <v/>
      </c>
      <c r="H545" s="3" t="inlineStr">
        <is>
          <t>ពេលវេលាចាប់ផ្តើមត្រូវតែលឿនជាងពេលវេលាបញ្ចប់។</t>
        </is>
      </c>
      <c r="I545" s="3" t="n"/>
      <c r="J545" s="3">
        <f>IFERROR(__xludf.DUMMYFUNCTION("GOOGLETRANSLATE(B545,""vi"",""lo"")"),"ເວລາເລີ່ມຕົ້ນຕ້ອງກ່ອນເວລາສິ້ນສຸດ.")</f>
        <v/>
      </c>
      <c r="K545" s="3">
        <f>IF(I545&lt;&gt;"",I545, J545)</f>
        <v/>
      </c>
      <c r="L545" s="3" t="inlineStr">
        <is>
          <t>ពេលវេលាចាប់ផ្តើមត្រូវតែលឿនជាងពេលវេលាបញ្ចប់។</t>
        </is>
      </c>
      <c r="M545" s="3" t="n"/>
      <c r="N545" s="3" t="inlineStr">
        <is>
          <t>"workingTimeSetup.startMustBeforeEnd": "Start time must be earlier than end time",</t>
        </is>
      </c>
      <c r="O545" s="3" t="n"/>
      <c r="P545" s="3" t="n"/>
      <c r="Q545" s="3" t="n"/>
      <c r="R545" s="3" t="n"/>
      <c r="S545" s="3" t="n"/>
      <c r="T545" s="3" t="n"/>
      <c r="U545" s="3" t="n"/>
      <c r="V545" s="3" t="n"/>
      <c r="W545" s="3" t="n"/>
      <c r="X545" s="3" t="n"/>
      <c r="Y545" s="3" t="n"/>
      <c r="Z545" s="3" t="n"/>
      <c r="AA545" s="3" t="n"/>
    </row>
    <row r="546">
      <c r="A546" s="3" t="inlineStr">
        <is>
          <t>workingTimeSetup.startTime</t>
        </is>
      </c>
      <c r="B546" s="3" t="inlineStr">
        <is>
          <t>Giờ bắt đầu làm việc trong ngày</t>
        </is>
      </c>
      <c r="C546" s="3" t="inlineStr">
        <is>
          <t>Start of working hours</t>
        </is>
      </c>
      <c r="D546" s="3">
        <f>IFERROR(__xludf.DUMMYFUNCTION("GOOGLETRANSLATE(B546,""vi"",""en"")"),"Start time of the workday")</f>
        <v/>
      </c>
      <c r="E546" s="3">
        <f>IF(C546&lt;&gt;"",C546, D546)</f>
        <v/>
      </c>
      <c r="F546" s="3" t="n"/>
      <c r="G546" s="3">
        <f>IFERROR(__xludf.DUMMYFUNCTION("GOOGLETRANSLATE(B546,""vi"",""km"")"),"ពេលវេលាចាប់ផ្តើមនៃថ្ងៃធ្វើការ")</f>
        <v/>
      </c>
      <c r="H546" s="3" t="inlineStr">
        <is>
          <t>ពេលវេលាចាប់ផ្តើមនៃថ្ងៃធ្វើការ</t>
        </is>
      </c>
      <c r="I546" s="3" t="n"/>
      <c r="J546" s="3">
        <f>IFERROR(__xludf.DUMMYFUNCTION("GOOGLETRANSLATE(B546,""vi"",""lo"")"),"ເວລາເລີ່ມຕົ້ນຂອງມື້ເຮັດວຽກ")</f>
        <v/>
      </c>
      <c r="K546" s="3">
        <f>IF(I546&lt;&gt;"",I546, J546)</f>
        <v/>
      </c>
      <c r="L546" s="3" t="inlineStr">
        <is>
          <t>ពេលវេលាចាប់ផ្តើមនៃថ្ងៃធ្វើការ</t>
        </is>
      </c>
      <c r="M546" s="3" t="n"/>
      <c r="N546" s="3" t="inlineStr">
        <is>
          <t>"workingTimeSetup.startTime": "Start of working hours",</t>
        </is>
      </c>
      <c r="O546" s="3" t="n"/>
      <c r="P546" s="3" t="n"/>
      <c r="Q546" s="3" t="n"/>
      <c r="R546" s="3" t="n"/>
      <c r="S546" s="3" t="n"/>
      <c r="T546" s="3" t="n"/>
      <c r="U546" s="3" t="n"/>
      <c r="V546" s="3" t="n"/>
      <c r="W546" s="3" t="n"/>
      <c r="X546" s="3" t="n"/>
      <c r="Y546" s="3" t="n"/>
      <c r="Z546" s="3" t="n"/>
      <c r="AA546" s="3" t="n"/>
    </row>
    <row r="547">
      <c r="A547" s="3" t="inlineStr">
        <is>
          <t>workingTimeSetup.startTimeRequired</t>
        </is>
      </c>
      <c r="B547" s="3" t="inlineStr">
        <is>
          <t>Vui lòng chọn Giờ bắt đầu làm việc trong ngày</t>
        </is>
      </c>
      <c r="C547" s="3" t="inlineStr">
        <is>
          <t>Please select start of working hours</t>
        </is>
      </c>
      <c r="D547" s="3">
        <f>IFERROR(__xludf.DUMMYFUNCTION("GOOGLETRANSLATE(B547,""vi"",""en"")"),"Please select your preferred start time for the day.")</f>
        <v/>
      </c>
      <c r="E547" s="3">
        <f>IF(C547&lt;&gt;"",C547, D547)</f>
        <v/>
      </c>
      <c r="F547" s="3" t="n"/>
      <c r="G547" s="3">
        <f>IFERROR(__xludf.DUMMYFUNCTION("GOOGLETRANSLATE(B547,""vi"",""km"")"),"សូមជ្រើសរើសពេលវេលាចាប់ផ្តើមដែលអ្នកពេញចិត្តសម្រាប់ថ្ងៃនោះ។")</f>
        <v/>
      </c>
      <c r="H547" s="3" t="inlineStr">
        <is>
          <t>សូមជ្រើសរើសពេលវេលាចាប់ផ្តើមដែលអ្នកពេញចិត្តសម្រាប់ថ្ងៃនោះ។</t>
        </is>
      </c>
      <c r="I547" s="3" t="n"/>
      <c r="J547" s="3">
        <f>IFERROR(__xludf.DUMMYFUNCTION("GOOGLETRANSLATE(B547,""vi"",""lo"")"),"ກະລຸນາເລືອກເວລາເລີ່ມຕົ້ນທີ່ທ່ານຕ້ອງການສຳລັບມື້ນັ້ນ.")</f>
        <v/>
      </c>
      <c r="K547" s="3">
        <f>IF(I547&lt;&gt;"",I547, J547)</f>
        <v/>
      </c>
      <c r="L547" s="3" t="inlineStr">
        <is>
          <t>សូមជ្រើសរើសពេលវេលាចាប់ផ្តើមដែលអ្នកពេញចិត្តសម្រាប់ថ្ងៃនោះ។</t>
        </is>
      </c>
      <c r="M547" s="3" t="n"/>
      <c r="N547" s="3" t="inlineStr">
        <is>
          <t>"workingTimeSetup.startTimeRequired": "Please select start of working hours",</t>
        </is>
      </c>
      <c r="O547" s="3" t="n"/>
      <c r="P547" s="3" t="n"/>
      <c r="Q547" s="3" t="n"/>
      <c r="R547" s="3" t="n"/>
      <c r="S547" s="3" t="n"/>
      <c r="T547" s="3" t="n"/>
      <c r="U547" s="3" t="n"/>
      <c r="V547" s="3" t="n"/>
      <c r="W547" s="3" t="n"/>
      <c r="X547" s="3" t="n"/>
      <c r="Y547" s="3" t="n"/>
      <c r="Z547" s="3" t="n"/>
      <c r="AA547" s="3" t="n"/>
    </row>
    <row r="548">
      <c r="A548" s="3" t="inlineStr">
        <is>
          <t>workingTimeSetup.sunday</t>
        </is>
      </c>
      <c r="B548" s="3" t="inlineStr">
        <is>
          <t>Chủ Nhật</t>
        </is>
      </c>
      <c r="C548" s="3" t="inlineStr">
        <is>
          <t>Sunday</t>
        </is>
      </c>
      <c r="D548" s="3">
        <f>IFERROR(__xludf.DUMMYFUNCTION("GOOGLETRANSLATE(B548,""vi"",""en"")"),"Sunday")</f>
        <v/>
      </c>
      <c r="E548" s="3">
        <f>IF(C548&lt;&gt;"",C548, D548)</f>
        <v/>
      </c>
      <c r="F548" s="3" t="n"/>
      <c r="G548" s="3">
        <f>IFERROR(__xludf.DUMMYFUNCTION("GOOGLETRANSLATE(B548,""vi"",""km"")"),"ថ្ងៃអាទិត្យ")</f>
        <v/>
      </c>
      <c r="H548" s="3" t="inlineStr">
        <is>
          <t>ថ្ងៃអាទិត្យ</t>
        </is>
      </c>
      <c r="I548" s="3" t="n"/>
      <c r="J548" s="3">
        <f>IFERROR(__xludf.DUMMYFUNCTION("GOOGLETRANSLATE(B548,""vi"",""lo"")"),"ວັນອາທິດ")</f>
        <v/>
      </c>
      <c r="K548" s="3">
        <f>IF(I548&lt;&gt;"",I548, J548)</f>
        <v/>
      </c>
      <c r="L548" s="3" t="inlineStr">
        <is>
          <t>ថ្ងៃអាទិត្យ</t>
        </is>
      </c>
      <c r="M548" s="3" t="n"/>
      <c r="N548" s="3" t="inlineStr">
        <is>
          <t>"workingTimeSetup.sunday": "Sunday",</t>
        </is>
      </c>
      <c r="O548" s="3" t="n"/>
      <c r="P548" s="3" t="n"/>
      <c r="Q548" s="3" t="n"/>
      <c r="R548" s="3" t="n"/>
      <c r="S548" s="3" t="n"/>
      <c r="T548" s="3" t="n"/>
      <c r="U548" s="3" t="n"/>
      <c r="V548" s="3" t="n"/>
      <c r="W548" s="3" t="n"/>
      <c r="X548" s="3" t="n"/>
      <c r="Y548" s="3" t="n"/>
      <c r="Z548" s="3" t="n"/>
      <c r="AA548" s="3" t="n"/>
    </row>
    <row r="549">
      <c r="A549" s="3" t="inlineStr">
        <is>
          <t>workingTimeSetup.thursday</t>
        </is>
      </c>
      <c r="B549" s="3" t="inlineStr">
        <is>
          <t>Thứ 5</t>
        </is>
      </c>
      <c r="C549" s="3" t="inlineStr">
        <is>
          <t>Thursday</t>
        </is>
      </c>
      <c r="D549" s="3">
        <f>IFERROR(__xludf.DUMMYFUNCTION("GOOGLETRANSLATE(B549,""vi"",""en"")"),"Thursday")</f>
        <v/>
      </c>
      <c r="E549" s="3">
        <f>IF(C549&lt;&gt;"",C549, D549)</f>
        <v/>
      </c>
      <c r="F549" s="3" t="n"/>
      <c r="G549" s="3">
        <f>IFERROR(__xludf.DUMMYFUNCTION("GOOGLETRANSLATE(B549,""vi"",""km"")"),"ថ្ងៃព្រហស្បតិ៍")</f>
        <v/>
      </c>
      <c r="H549" s="3" t="inlineStr">
        <is>
          <t>ថ្ងៃព្រហស្បតិ៍</t>
        </is>
      </c>
      <c r="I549" s="3" t="n"/>
      <c r="J549" s="3">
        <f>IFERROR(__xludf.DUMMYFUNCTION("GOOGLETRANSLATE(B549,""vi"",""lo"")"),"ວັນພະຫັດ")</f>
        <v/>
      </c>
      <c r="K549" s="3">
        <f>IF(I549&lt;&gt;"",I549, J549)</f>
        <v/>
      </c>
      <c r="L549" s="3" t="inlineStr">
        <is>
          <t>ថ្ងៃព្រហស្បតិ៍</t>
        </is>
      </c>
      <c r="M549" s="3" t="n"/>
      <c r="N549" s="3" t="inlineStr">
        <is>
          <t>"workingTimeSetup.thursday": "Thursday",</t>
        </is>
      </c>
      <c r="O549" s="3" t="n"/>
      <c r="P549" s="3" t="n"/>
      <c r="Q549" s="3" t="n"/>
      <c r="R549" s="3" t="n"/>
      <c r="S549" s="3" t="n"/>
      <c r="T549" s="3" t="n"/>
      <c r="U549" s="3" t="n"/>
      <c r="V549" s="3" t="n"/>
      <c r="W549" s="3" t="n"/>
      <c r="X549" s="3" t="n"/>
      <c r="Y549" s="3" t="n"/>
      <c r="Z549" s="3" t="n"/>
      <c r="AA549" s="3" t="n"/>
    </row>
    <row r="550">
      <c r="A550" s="3" t="inlineStr">
        <is>
          <t>workingTimeSetup.title</t>
        </is>
      </c>
      <c r="B550" s="3" t="inlineStr">
        <is>
          <t>Cấu hình giờ làm việc</t>
        </is>
      </c>
      <c r="C550" s="3" t="inlineStr">
        <is>
          <t>Working Hours Configuration</t>
        </is>
      </c>
      <c r="D550" s="3">
        <f>IFERROR(__xludf.DUMMYFUNCTION("GOOGLETRANSLATE(B550,""vi"",""en"")"),"Configure working hours")</f>
        <v/>
      </c>
      <c r="E550" s="3">
        <f>IF(C550&lt;&gt;"",C550, D550)</f>
        <v/>
      </c>
      <c r="F550" s="3" t="n"/>
      <c r="G550" s="3">
        <f>IFERROR(__xludf.DUMMYFUNCTION("GOOGLETRANSLATE(B550,""vi"",""km"")"),"កំណត់រចនាសម្ព័ន្ធម៉ោងធ្វើការ")</f>
        <v/>
      </c>
      <c r="H550" s="3" t="inlineStr">
        <is>
          <t>កំណត់រចនាសម្ព័ន្ធម៉ោងធ្វើការ</t>
        </is>
      </c>
      <c r="I550" s="3" t="n"/>
      <c r="J550" s="3">
        <f>IFERROR(__xludf.DUMMYFUNCTION("GOOGLETRANSLATE(B550,""vi"",""lo"")"),"ຕັ້ງຄ່າຊົ່ວໂມງເຮັດວຽກ")</f>
        <v/>
      </c>
      <c r="K550" s="3">
        <f>IF(I550&lt;&gt;"",I550, J550)</f>
        <v/>
      </c>
      <c r="L550" s="3" t="inlineStr">
        <is>
          <t>កំណត់រចនាសម្ព័ន្ធម៉ោងធ្វើការ</t>
        </is>
      </c>
      <c r="M550" s="3" t="n"/>
      <c r="N550" s="3" t="inlineStr">
        <is>
          <t>"workingTimeSetup.title": "Working Hours Configuration",</t>
        </is>
      </c>
      <c r="O550" s="3" t="n"/>
      <c r="P550" s="3" t="n"/>
      <c r="Q550" s="3" t="n"/>
      <c r="R550" s="3" t="n"/>
      <c r="S550" s="3" t="n"/>
      <c r="T550" s="3" t="n"/>
      <c r="U550" s="3" t="n"/>
      <c r="V550" s="3" t="n"/>
      <c r="W550" s="3" t="n"/>
      <c r="X550" s="3" t="n"/>
      <c r="Y550" s="3" t="n"/>
      <c r="Z550" s="3" t="n"/>
      <c r="AA550" s="3" t="n"/>
    </row>
    <row r="551">
      <c r="A551" s="3" t="inlineStr">
        <is>
          <t>workingTimeSetup.tuesday</t>
        </is>
      </c>
      <c r="B551" s="3" t="inlineStr">
        <is>
          <t>Thứ 3</t>
        </is>
      </c>
      <c r="C551" s="3" t="inlineStr">
        <is>
          <t>Tuesday</t>
        </is>
      </c>
      <c r="D551" s="3">
        <f>IFERROR(__xludf.DUMMYFUNCTION("GOOGLETRANSLATE(B551,""vi"",""en"")"),"Tuesday")</f>
        <v/>
      </c>
      <c r="E551" s="3">
        <f>IF(C551&lt;&gt;"",C551, D551)</f>
        <v/>
      </c>
      <c r="F551" s="3" t="n"/>
      <c r="G551" s="3">
        <f>IFERROR(__xludf.DUMMYFUNCTION("GOOGLETRANSLATE(B551,""vi"",""km"")"),"ថ្ងៃអង្គារ")</f>
        <v/>
      </c>
      <c r="H551" s="3" t="inlineStr">
        <is>
          <t>ថ្ងៃអង្គារ</t>
        </is>
      </c>
      <c r="I551" s="3" t="n"/>
      <c r="J551" s="3">
        <f>IFERROR(__xludf.DUMMYFUNCTION("GOOGLETRANSLATE(B551,""vi"",""lo"")"),"ວັນອັງຄານ")</f>
        <v/>
      </c>
      <c r="K551" s="3">
        <f>IF(I551&lt;&gt;"",I551, J551)</f>
        <v/>
      </c>
      <c r="L551" s="3" t="inlineStr">
        <is>
          <t>ថ្ងៃអង្គារ</t>
        </is>
      </c>
      <c r="M551" s="3" t="n"/>
      <c r="N551" s="3" t="inlineStr">
        <is>
          <t>"workingTimeSetup.tuesday": "Tuesday",</t>
        </is>
      </c>
      <c r="O551" s="3" t="n"/>
      <c r="P551" s="3" t="n"/>
      <c r="Q551" s="3" t="n"/>
      <c r="R551" s="3" t="n"/>
      <c r="S551" s="3" t="n"/>
      <c r="T551" s="3" t="n"/>
      <c r="U551" s="3" t="n"/>
      <c r="V551" s="3" t="n"/>
      <c r="W551" s="3" t="n"/>
      <c r="X551" s="3" t="n"/>
      <c r="Y551" s="3" t="n"/>
      <c r="Z551" s="3" t="n"/>
      <c r="AA551" s="3" t="n"/>
    </row>
    <row r="552">
      <c r="A552" s="3" t="inlineStr">
        <is>
          <t>workingTimeSetup.wednesday</t>
        </is>
      </c>
      <c r="B552" s="3" t="inlineStr">
        <is>
          <t>Thứ 4</t>
        </is>
      </c>
      <c r="C552" s="3" t="inlineStr">
        <is>
          <t>Wednesday</t>
        </is>
      </c>
      <c r="D552" s="3">
        <f>IFERROR(__xludf.DUMMYFUNCTION("GOOGLETRANSLATE(B552,""vi"",""en"")"),"Wednesday")</f>
        <v/>
      </c>
      <c r="E552" s="3">
        <f>IF(C552&lt;&gt;"",C552, D552)</f>
        <v/>
      </c>
      <c r="F552" s="3" t="n"/>
      <c r="G552" s="3">
        <f>IFERROR(__xludf.DUMMYFUNCTION("GOOGLETRANSLATE(B552,""vi"",""km"")"),"ថ្ងៃពុធ")</f>
        <v/>
      </c>
      <c r="H552" s="3" t="inlineStr">
        <is>
          <t>ថ្ងៃពុធ</t>
        </is>
      </c>
      <c r="I552" s="3" t="n"/>
      <c r="J552" s="3">
        <f>IFERROR(__xludf.DUMMYFUNCTION("GOOGLETRANSLATE(B552,""vi"",""lo"")"),"ວັນພຸດ")</f>
        <v/>
      </c>
      <c r="K552" s="3">
        <f>IF(I552&lt;&gt;"",I552, J552)</f>
        <v/>
      </c>
      <c r="L552" s="3" t="inlineStr">
        <is>
          <t>ថ្ងៃពុធ</t>
        </is>
      </c>
      <c r="M552" s="3" t="n"/>
      <c r="N552" s="3" t="inlineStr">
        <is>
          <t>"workingTimeSetup.wednesday": "Wednesday",</t>
        </is>
      </c>
      <c r="O552" s="3" t="n"/>
      <c r="P552" s="3" t="n"/>
      <c r="Q552" s="3" t="n"/>
      <c r="R552" s="3" t="n"/>
      <c r="S552" s="3" t="n"/>
      <c r="T552" s="3" t="n"/>
      <c r="U552" s="3" t="n"/>
      <c r="V552" s="3" t="n"/>
      <c r="W552" s="3" t="n"/>
      <c r="X552" s="3" t="n"/>
      <c r="Y552" s="3" t="n"/>
      <c r="Z552" s="3" t="n"/>
      <c r="AA552" s="3" t="n"/>
    </row>
    <row r="553">
      <c r="A553" s="3" t="inlineStr">
        <is>
          <t>workingTimeSetup.year</t>
        </is>
      </c>
      <c r="B553" s="3" t="inlineStr">
        <is>
          <t>Năm</t>
        </is>
      </c>
      <c r="C553" s="3" t="inlineStr">
        <is>
          <t>year</t>
        </is>
      </c>
      <c r="D553" s="3">
        <f>IFERROR(__xludf.DUMMYFUNCTION("GOOGLETRANSLATE(B553,""vi"",""en"")"),"Year")</f>
        <v/>
      </c>
      <c r="E553" s="3">
        <f>IF(C553&lt;&gt;"",C553, D553)</f>
        <v/>
      </c>
      <c r="F553" s="3" t="n"/>
      <c r="G553" s="3">
        <f>IFERROR(__xludf.DUMMYFUNCTION("GOOGLETRANSLATE(B553,""vi"",""km"")"),"ឆ្នាំ")</f>
        <v/>
      </c>
      <c r="H553" s="3" t="inlineStr">
        <is>
          <t>ឆ្នាំ</t>
        </is>
      </c>
      <c r="I553" s="3" t="n"/>
      <c r="J553" s="3">
        <f>IFERROR(__xludf.DUMMYFUNCTION("GOOGLETRANSLATE(B553,""vi"",""lo"")"),"ປີ")</f>
        <v/>
      </c>
      <c r="K553" s="3">
        <f>IF(I553&lt;&gt;"",I553, J553)</f>
        <v/>
      </c>
      <c r="L553" s="3" t="inlineStr">
        <is>
          <t>ឆ្នាំ</t>
        </is>
      </c>
      <c r="M553" s="3" t="n"/>
      <c r="N553" s="3" t="inlineStr">
        <is>
          <t>"workingTimeSetup.year": "year",</t>
        </is>
      </c>
      <c r="O553" s="3" t="n"/>
      <c r="P553" s="3" t="n"/>
      <c r="Q553" s="3" t="n"/>
      <c r="R553" s="3" t="n"/>
      <c r="S553" s="3" t="n"/>
      <c r="T553" s="3" t="n"/>
      <c r="U553" s="3" t="n"/>
      <c r="V553" s="3" t="n"/>
      <c r="W553" s="3" t="n"/>
      <c r="X553" s="3" t="n"/>
      <c r="Y553" s="3" t="n"/>
      <c r="Z553" s="3" t="n"/>
      <c r="AA553" s="3" t="n"/>
    </row>
    <row r="554">
      <c r="A554" s="3" t="inlineStr">
        <is>
          <t>common.bulky</t>
        </is>
      </c>
      <c r="B554" s="3" t="inlineStr">
        <is>
          <t>Cồng kềnh</t>
        </is>
      </c>
      <c r="C554" s="3" t="n"/>
      <c r="D554" s="3">
        <f>IFERROR(__xludf.DUMMYFUNCTION("GOOGLETRANSLATE(B554,""vi"",""en"")"),"Voluminous")</f>
        <v/>
      </c>
      <c r="E554" s="3">
        <f>IF(C554&lt;&gt;"",C554, D554)</f>
        <v/>
      </c>
      <c r="F554" s="3" t="n"/>
      <c r="G554" s="3">
        <f>IFERROR(__xludf.DUMMYFUNCTION("GOOGLETRANSLATE(B554,""vi"",""km"")"),"ធំសម្បើម")</f>
        <v/>
      </c>
      <c r="H554" s="3" t="inlineStr">
        <is>
          <t>ធំសម្បើម</t>
        </is>
      </c>
      <c r="I554" s="3" t="n"/>
      <c r="J554" s="3">
        <f>IFERROR(__xludf.DUMMYFUNCTION("GOOGLETRANSLATE(B554,""vi"",""lo"")"),"ໃຫຍ່ໂຕ")</f>
        <v/>
      </c>
      <c r="K554" s="3">
        <f>IF(I554&lt;&gt;"",I554, J554)</f>
        <v/>
      </c>
      <c r="L554" s="3" t="inlineStr">
        <is>
          <t>ធំសម្បើម</t>
        </is>
      </c>
      <c r="M554" s="3" t="n"/>
      <c r="N554" s="3" t="inlineStr">
        <is>
          <t>"common.bulky": "Voluminous",</t>
        </is>
      </c>
      <c r="O554" s="3" t="n"/>
      <c r="P554" s="3" t="n"/>
      <c r="Q554" s="3" t="n"/>
      <c r="R554" s="3" t="n"/>
      <c r="S554" s="3" t="n"/>
      <c r="T554" s="3" t="n"/>
      <c r="U554" s="3" t="n"/>
      <c r="V554" s="3" t="n"/>
      <c r="W554" s="3" t="n"/>
      <c r="X554" s="3" t="n"/>
      <c r="Y554" s="3" t="n"/>
      <c r="Z554" s="3" t="n"/>
      <c r="AA554" s="3" t="n"/>
    </row>
    <row r="555">
      <c r="A555" s="3" t="inlineStr">
        <is>
          <t>common.close</t>
        </is>
      </c>
      <c r="B555" s="3" t="inlineStr">
        <is>
          <t>Đóng</t>
        </is>
      </c>
      <c r="C555" s="3" t="n"/>
      <c r="D555" s="3">
        <f>IFERROR(__xludf.DUMMYFUNCTION("GOOGLETRANSLATE(B555,""vi"",""en"")"),"Close")</f>
        <v/>
      </c>
      <c r="E555" s="3">
        <f>IF(C555&lt;&gt;"",C555, D555)</f>
        <v/>
      </c>
      <c r="F555" s="3" t="n"/>
      <c r="G555" s="3">
        <f>IFERROR(__xludf.DUMMYFUNCTION("GOOGLETRANSLATE(B555,""vi"",""km"")"),"បិទ")</f>
        <v/>
      </c>
      <c r="H555" s="3" t="inlineStr">
        <is>
          <t>បិទ</t>
        </is>
      </c>
      <c r="I555" s="3" t="n"/>
      <c r="J555" s="3">
        <f>IFERROR(__xludf.DUMMYFUNCTION("GOOGLETRANSLATE(B555,""vi"",""lo"")"),"ປິດ")</f>
        <v/>
      </c>
      <c r="K555" s="3">
        <f>IF(I555&lt;&gt;"",I555, J555)</f>
        <v/>
      </c>
      <c r="L555" s="3" t="inlineStr">
        <is>
          <t>បិទ</t>
        </is>
      </c>
      <c r="M555" s="3" t="n"/>
      <c r="N555" s="3" t="inlineStr">
        <is>
          <t>"common.close": "Close",</t>
        </is>
      </c>
      <c r="O555" s="3" t="n"/>
      <c r="P555" s="3" t="n"/>
      <c r="Q555" s="3" t="n"/>
      <c r="R555" s="3" t="n"/>
      <c r="S555" s="3" t="n"/>
      <c r="T555" s="3" t="n"/>
      <c r="U555" s="3" t="n"/>
      <c r="V555" s="3" t="n"/>
      <c r="W555" s="3" t="n"/>
      <c r="X555" s="3" t="n"/>
      <c r="Y555" s="3" t="n"/>
      <c r="Z555" s="3" t="n"/>
      <c r="AA555" s="3" t="n"/>
    </row>
    <row r="556">
      <c r="A556" s="70" t="inlineStr">
        <is>
          <t>common.no</t>
        </is>
      </c>
      <c r="B556" s="3" t="inlineStr">
        <is>
          <t>Không</t>
        </is>
      </c>
      <c r="C556" s="3" t="n"/>
      <c r="D556" s="3">
        <f>IFERROR(__xludf.DUMMYFUNCTION("GOOGLETRANSLATE(B556,""vi"",""en"")"),"Are not")</f>
        <v/>
      </c>
      <c r="E556" s="3">
        <f>IF(C556&lt;&gt;"",C556, D556)</f>
        <v/>
      </c>
      <c r="F556" s="3" t="n"/>
      <c r="G556" s="3">
        <f>IFERROR(__xludf.DUMMYFUNCTION("GOOGLETRANSLATE(B556,""vi"",""km"")"),"មិនមែនទេ")</f>
        <v/>
      </c>
      <c r="H556" s="3" t="inlineStr">
        <is>
          <t>មិនមាន</t>
        </is>
      </c>
      <c r="I556" s="3" t="n"/>
      <c r="J556" s="3">
        <f>IFERROR(__xludf.DUMMYFUNCTION("GOOGLETRANSLATE(B556,""vi"",""lo"")"),"ບໍ່ແມ່ນ")</f>
        <v/>
      </c>
      <c r="K556" s="3">
        <f>IF(I556&lt;&gt;"",I556, J556)</f>
        <v/>
      </c>
      <c r="L556" s="3" t="inlineStr">
        <is>
          <t>មិនមាន</t>
        </is>
      </c>
      <c r="M556" s="3" t="n"/>
      <c r="N556" s="3" t="inlineStr">
        <is>
          <t>"common.no": "Are not",</t>
        </is>
      </c>
      <c r="O556" s="3" t="n"/>
      <c r="P556" s="3" t="n"/>
      <c r="Q556" s="3" t="n"/>
      <c r="R556" s="3" t="n"/>
      <c r="S556" s="3" t="n"/>
      <c r="T556" s="3" t="n"/>
      <c r="U556" s="3" t="n"/>
      <c r="V556" s="3" t="n"/>
      <c r="W556" s="3" t="n"/>
      <c r="X556" s="3" t="n"/>
      <c r="Y556" s="3" t="n"/>
      <c r="Z556" s="3" t="n"/>
      <c r="AA556" s="3" t="n"/>
    </row>
    <row r="557">
      <c r="A557" s="3" t="inlineStr">
        <is>
          <t>common.normal</t>
        </is>
      </c>
      <c r="B557" s="3" t="inlineStr">
        <is>
          <t>Thông thường</t>
        </is>
      </c>
      <c r="C557" s="3" t="n"/>
      <c r="D557" s="3">
        <f>IFERROR(__xludf.DUMMYFUNCTION("GOOGLETRANSLATE(B557,""vi"",""en"")"),"Normally")</f>
        <v/>
      </c>
      <c r="E557" s="3">
        <f>IF(C557&lt;&gt;"",C557, D557)</f>
        <v/>
      </c>
      <c r="F557" s="3" t="n"/>
      <c r="G557" s="3">
        <f>IFERROR(__xludf.DUMMYFUNCTION("GOOGLETRANSLATE(B557,""vi"",""km"")"),"ជាធម្មតា")</f>
        <v/>
      </c>
      <c r="H557" s="3" t="inlineStr">
        <is>
          <t>ជាធម្មតា</t>
        </is>
      </c>
      <c r="I557" s="3" t="n"/>
      <c r="J557" s="3">
        <f>IFERROR(__xludf.DUMMYFUNCTION("GOOGLETRANSLATE(B557,""vi"",""lo"")"),"ຕາມປົກກະຕິແລ້ວ")</f>
        <v/>
      </c>
      <c r="K557" s="3">
        <f>IF(I557&lt;&gt;"",I557, J557)</f>
        <v/>
      </c>
      <c r="L557" s="3" t="inlineStr">
        <is>
          <t>ជាធម្មតា</t>
        </is>
      </c>
      <c r="M557" s="3" t="n"/>
      <c r="N557" s="3" t="inlineStr">
        <is>
          <t>"common.normal": "Normally",</t>
        </is>
      </c>
      <c r="O557" s="3" t="n"/>
      <c r="P557" s="3" t="n"/>
      <c r="Q557" s="3" t="n"/>
      <c r="R557" s="3" t="n"/>
      <c r="S557" s="3" t="n"/>
      <c r="T557" s="3" t="n"/>
      <c r="U557" s="3" t="n"/>
      <c r="V557" s="3" t="n"/>
      <c r="W557" s="3" t="n"/>
      <c r="X557" s="3" t="n"/>
      <c r="Y557" s="3" t="n"/>
      <c r="Z557" s="3" t="n"/>
      <c r="AA557" s="3" t="n"/>
    </row>
    <row r="558">
      <c r="A558" s="3" t="inlineStr">
        <is>
          <t>common.specific</t>
        </is>
      </c>
      <c r="B558" s="3" t="inlineStr">
        <is>
          <t>Đặc thù</t>
        </is>
      </c>
      <c r="C558" s="3" t="n"/>
      <c r="D558" s="3">
        <f>IFERROR(__xludf.DUMMYFUNCTION("GOOGLETRANSLATE(B558,""vi"",""en"")"),"Specific")</f>
        <v/>
      </c>
      <c r="E558" s="3">
        <f>IF(C558&lt;&gt;"",C558, D558)</f>
        <v/>
      </c>
      <c r="F558" s="3" t="n"/>
      <c r="G558" s="3">
        <f>IFERROR(__xludf.DUMMYFUNCTION("GOOGLETRANSLATE(B558,""vi"",""km"")"),"ជាក់លាក់")</f>
        <v/>
      </c>
      <c r="H558" s="3" t="inlineStr">
        <is>
          <t>ជាក់លាក់</t>
        </is>
      </c>
      <c r="I558" s="3" t="n"/>
      <c r="J558" s="3">
        <f>IFERROR(__xludf.DUMMYFUNCTION("GOOGLETRANSLATE(B558,""vi"",""lo"")"),"ສະເພາະ")</f>
        <v/>
      </c>
      <c r="K558" s="3">
        <f>IF(I558&lt;&gt;"",I558, J558)</f>
        <v/>
      </c>
      <c r="L558" s="3" t="inlineStr">
        <is>
          <t>ជាក់លាក់</t>
        </is>
      </c>
      <c r="M558" s="3" t="n"/>
      <c r="N558" s="3" t="inlineStr">
        <is>
          <t>"common.specific": "Specific",</t>
        </is>
      </c>
      <c r="O558" s="3" t="n"/>
      <c r="P558" s="3" t="n"/>
      <c r="Q558" s="3" t="n"/>
      <c r="R558" s="3" t="n"/>
      <c r="S558" s="3" t="n"/>
      <c r="T558" s="3" t="n"/>
      <c r="U558" s="3" t="n"/>
      <c r="V558" s="3" t="n"/>
      <c r="W558" s="3" t="n"/>
      <c r="X558" s="3" t="n"/>
      <c r="Y558" s="3" t="n"/>
      <c r="Z558" s="3" t="n"/>
      <c r="AA558" s="3" t="n"/>
    </row>
    <row r="559">
      <c r="A559" s="3" t="inlineStr">
        <is>
          <t>common.uploadInvalidFormat</t>
        </is>
      </c>
      <c r="B559" s="3" t="inlineStr">
        <is>
          <t>File không đúng định dạng. Vui lòng tải lên file có định dạng {{format}}.</t>
        </is>
      </c>
      <c r="C559" s="3" t="n"/>
      <c r="D559" s="3">
        <f>IFERROR(__xludf.DUMMYFUNCTION("GOOGLETRANSLATE(B559,""vi"",""en"")"),"The file is not in the correct format. Please upload a file in {{format}} format.")</f>
        <v/>
      </c>
      <c r="E559" s="3">
        <f>IF(C559&lt;&gt;"",C559, D559)</f>
        <v/>
      </c>
      <c r="F559" s="3" t="n"/>
      <c r="G559" s="3">
        <f>IFERROR(__xludf.DUMMYFUNCTION("GOOGLETRANSLATE(B559,""vi"",""km"")"),"ឯកសារនេះមិនមានទម្រង់ត្រឹមត្រូវទេ។ សូមផ្ទុកឡើងឯកសារក្នុងទម្រង់ {{format}}។")</f>
        <v/>
      </c>
      <c r="H559" s="3" t="inlineStr">
        <is>
          <t>ឯកសារនេះមិនមានទម្រង់ត្រឹមត្រូវទេ។ សូមផ្ទុកឡើងឯកសារក្នុងទម្រង់ {{format}}។</t>
        </is>
      </c>
      <c r="I559" s="3" t="n"/>
      <c r="J559" s="3">
        <f>IFERROR(__xludf.DUMMYFUNCTION("GOOGLETRANSLATE(B559,""vi"",""lo"")"),"ໄຟລ໌ບໍ່ມີຮູບແບບທີ່ຖືກຕ້ອງ. ກະລຸນາອັບໂຫລດໄຟລ໌ໃນຮູບແບບ {{format}}.")</f>
        <v/>
      </c>
      <c r="K559" s="3">
        <f>IF(I559&lt;&gt;"",I559, J559)</f>
        <v/>
      </c>
      <c r="L559" s="3" t="inlineStr">
        <is>
          <t>ឯកសារនេះមិនមានទម្រង់ត្រឹមត្រូវទេ។ សូមផ្ទុកឡើងឯកសារក្នុងទម្រង់ {{format}}។</t>
        </is>
      </c>
      <c r="M559" s="3" t="n"/>
      <c r="N559" s="3" t="inlineStr">
        <is>
          <t>"common.uploadInvalidFormat": "The file is not in the correct format. Please upload a file in {{format}} format.",</t>
        </is>
      </c>
      <c r="O559" s="3" t="n"/>
      <c r="P559" s="3" t="n"/>
      <c r="Q559" s="3" t="n"/>
      <c r="R559" s="3" t="n"/>
      <c r="S559" s="3" t="n"/>
      <c r="T559" s="3" t="n"/>
      <c r="U559" s="3" t="n"/>
      <c r="V559" s="3" t="n"/>
      <c r="W559" s="3" t="n"/>
      <c r="X559" s="3" t="n"/>
      <c r="Y559" s="3" t="n"/>
      <c r="Z559" s="3" t="n"/>
      <c r="AA559" s="3" t="n"/>
    </row>
    <row r="560">
      <c r="A560" s="3" t="inlineStr">
        <is>
          <t>common.yes</t>
        </is>
      </c>
      <c r="B560" s="3" t="inlineStr">
        <is>
          <t>Có</t>
        </is>
      </c>
      <c r="C560" s="3" t="n"/>
      <c r="D560" s="3">
        <f>IFERROR(__xludf.DUMMYFUNCTION("GOOGLETRANSLATE(B560,""vi"",""en"")"),"Have")</f>
        <v/>
      </c>
      <c r="E560" s="3">
        <f>IF(C560&lt;&gt;"",C560, D560)</f>
        <v/>
      </c>
      <c r="F560" s="3" t="n"/>
      <c r="G560" s="3">
        <f>IFERROR(__xludf.DUMMYFUNCTION("GOOGLETRANSLATE(B560,""vi"",""km"")"),"មាន")</f>
        <v/>
      </c>
      <c r="H560" s="3" t="inlineStr">
        <is>
          <t>មាន</t>
        </is>
      </c>
      <c r="I560" s="3" t="n"/>
      <c r="J560" s="3">
        <f>IFERROR(__xludf.DUMMYFUNCTION("GOOGLETRANSLATE(B560,""vi"",""lo"")"),"ມີ")</f>
        <v/>
      </c>
      <c r="K560" s="3">
        <f>IF(I560&lt;&gt;"",I560, J560)</f>
        <v/>
      </c>
      <c r="L560" s="3" t="inlineStr">
        <is>
          <t>មាន</t>
        </is>
      </c>
      <c r="M560" s="3" t="n"/>
      <c r="N560" s="3" t="inlineStr">
        <is>
          <t>"common.yes": "Have",</t>
        </is>
      </c>
      <c r="O560" s="3" t="n"/>
      <c r="P560" s="3" t="n"/>
      <c r="Q560" s="3" t="n"/>
      <c r="R560" s="3" t="n"/>
      <c r="S560" s="3" t="n"/>
      <c r="T560" s="3" t="n"/>
      <c r="U560" s="3" t="n"/>
      <c r="V560" s="3" t="n"/>
      <c r="W560" s="3" t="n"/>
      <c r="X560" s="3" t="n"/>
      <c r="Y560" s="3" t="n"/>
      <c r="Z560" s="3" t="n"/>
      <c r="AA560" s="3" t="n"/>
    </row>
    <row r="561">
      <c r="A561" s="3" t="inlineStr">
        <is>
          <t>complaintManagement.assignedUser</t>
        </is>
      </c>
      <c r="B561" s="3" t="inlineStr">
        <is>
          <t>Cá nhân xử lý</t>
        </is>
      </c>
      <c r="C561" s="3" t="n"/>
      <c r="D561" s="3">
        <f>IFERROR(__xludf.DUMMYFUNCTION("GOOGLETRANSLATE(B561,""vi"",""en"")"),"Individual handling")</f>
        <v/>
      </c>
      <c r="E561" s="3">
        <f>IF(C561&lt;&gt;"",C561, D561)</f>
        <v/>
      </c>
      <c r="F561" s="3" t="n"/>
      <c r="G561" s="3">
        <f>IFERROR(__xludf.DUMMYFUNCTION("GOOGLETRANSLATE(B561,""vi"",""km"")"),"ការដោះស្រាយជាលក្ខណៈបុគ្គល")</f>
        <v/>
      </c>
      <c r="H561" s="3" t="inlineStr">
        <is>
          <t>ការដោះស្រាយជាលក្ខណៈបុគ្គល</t>
        </is>
      </c>
      <c r="I561" s="3" t="n"/>
      <c r="J561" s="3">
        <f>IFERROR(__xludf.DUMMYFUNCTION("GOOGLETRANSLATE(B561,""vi"",""lo"")"),"ການຈັດການສ່ວນບຸກຄົນ")</f>
        <v/>
      </c>
      <c r="K561" s="3">
        <f>IF(I561&lt;&gt;"",I561, J561)</f>
        <v/>
      </c>
      <c r="L561" s="3" t="inlineStr">
        <is>
          <t>ការដោះស្រាយជាលក្ខណៈបុគ្គល</t>
        </is>
      </c>
      <c r="M561" s="3" t="n"/>
      <c r="N561" s="3" t="inlineStr">
        <is>
          <t>"complaintManagement.assignedUser": "Individual handling",</t>
        </is>
      </c>
      <c r="O561" s="3" t="n"/>
      <c r="P561" s="3" t="n"/>
      <c r="Q561" s="3" t="n"/>
      <c r="R561" s="3" t="n"/>
      <c r="S561" s="3" t="n"/>
      <c r="T561" s="3" t="n"/>
      <c r="U561" s="3" t="n"/>
      <c r="V561" s="3" t="n"/>
      <c r="W561" s="3" t="n"/>
      <c r="X561" s="3" t="n"/>
      <c r="Y561" s="3" t="n"/>
      <c r="Z561" s="3" t="n"/>
      <c r="AA561" s="3" t="n"/>
    </row>
    <row r="562">
      <c r="A562" s="3" t="inlineStr">
        <is>
          <t>complaintManagement.channels.HOTLINE</t>
        </is>
      </c>
      <c r="B562" s="3" t="inlineStr">
        <is>
          <t>Tổng đài</t>
        </is>
      </c>
      <c r="C562" s="3" t="n"/>
      <c r="D562" s="3">
        <f>IFERROR(__xludf.DUMMYFUNCTION("GOOGLETRANSLATE(B562,""vi"",""en"")"),"Call center")</f>
        <v/>
      </c>
      <c r="E562" s="3">
        <f>IF(C562&lt;&gt;"",C562, D562)</f>
        <v/>
      </c>
      <c r="F562" s="3" t="n"/>
      <c r="G562" s="3">
        <f>IFERROR(__xludf.DUMMYFUNCTION("GOOGLETRANSLATE(B562,""vi"",""km"")"),"មជ្ឈមណ្ឌលហៅទូរសព្ទ")</f>
        <v/>
      </c>
      <c r="H562" s="3" t="inlineStr">
        <is>
          <t>មជ្ឈមណ្ឌលហៅទូរសព្ទ</t>
        </is>
      </c>
      <c r="I562" s="3" t="n"/>
      <c r="J562" s="3">
        <f>IFERROR(__xludf.DUMMYFUNCTION("GOOGLETRANSLATE(B562,""vi"",""lo"")"),"ສູນໂທ")</f>
        <v/>
      </c>
      <c r="K562" s="3">
        <f>IF(I562&lt;&gt;"",I562, J562)</f>
        <v/>
      </c>
      <c r="L562" s="3" t="inlineStr">
        <is>
          <t>មជ្ឈមណ្ឌលហៅទូរសព្ទ</t>
        </is>
      </c>
      <c r="M562" s="3" t="n"/>
      <c r="N562" s="3" t="inlineStr">
        <is>
          <t>"complaintManagement.channels.HOTLINE": "Call center",</t>
        </is>
      </c>
      <c r="O562" s="3" t="n"/>
      <c r="P562" s="3" t="n"/>
      <c r="Q562" s="3" t="n"/>
      <c r="R562" s="3" t="n"/>
      <c r="S562" s="3" t="n"/>
      <c r="T562" s="3" t="n"/>
      <c r="U562" s="3" t="n"/>
      <c r="V562" s="3" t="n"/>
      <c r="W562" s="3" t="n"/>
      <c r="X562" s="3" t="n"/>
      <c r="Y562" s="3" t="n"/>
      <c r="Z562" s="3" t="n"/>
      <c r="AA562" s="3" t="n"/>
    </row>
    <row r="563">
      <c r="A563" s="3" t="inlineStr">
        <is>
          <t>complaintManagement.channels.INTERNAL_SYSTEM</t>
        </is>
      </c>
      <c r="B563" s="3" t="inlineStr">
        <is>
          <t>Hệ thống nội bộ</t>
        </is>
      </c>
      <c r="C563" s="3" t="n"/>
      <c r="D563" s="3">
        <f>IFERROR(__xludf.DUMMYFUNCTION("GOOGLETRANSLATE(B563,""vi"",""en"")"),"Internal system")</f>
        <v/>
      </c>
      <c r="E563" s="3">
        <f>IF(C563&lt;&gt;"",C563, D563)</f>
        <v/>
      </c>
      <c r="F563" s="3" t="n"/>
      <c r="G563" s="3">
        <f>IFERROR(__xludf.DUMMYFUNCTION("GOOGLETRANSLATE(B563,""vi"",""km"")"),"ប្រព័ន្ធខាងក្នុង")</f>
        <v/>
      </c>
      <c r="H563" s="3" t="inlineStr">
        <is>
          <t>ប្រព័ន្ធខាងក្នុង</t>
        </is>
      </c>
      <c r="I563" s="3" t="n"/>
      <c r="J563" s="3">
        <f>IFERROR(__xludf.DUMMYFUNCTION("GOOGLETRANSLATE(B563,""vi"",""lo"")"),"ລະບົບພາຍໃນ")</f>
        <v/>
      </c>
      <c r="K563" s="3">
        <f>IF(I563&lt;&gt;"",I563, J563)</f>
        <v/>
      </c>
      <c r="L563" s="3" t="inlineStr">
        <is>
          <t>ប្រព័ន្ធខាងក្នុង</t>
        </is>
      </c>
      <c r="M563" s="3" t="n"/>
      <c r="N563" s="3" t="inlineStr">
        <is>
          <t>"complaintManagement.channels.INTERNAL_SYSTEM": "Internal system",</t>
        </is>
      </c>
      <c r="O563" s="3" t="n"/>
      <c r="P563" s="3" t="n"/>
      <c r="Q563" s="3" t="n"/>
      <c r="R563" s="3" t="n"/>
      <c r="S563" s="3" t="n"/>
      <c r="T563" s="3" t="n"/>
      <c r="U563" s="3" t="n"/>
      <c r="V563" s="3" t="n"/>
      <c r="W563" s="3" t="n"/>
      <c r="X563" s="3" t="n"/>
      <c r="Y563" s="3" t="n"/>
      <c r="Z563" s="3" t="n"/>
      <c r="AA563" s="3" t="n"/>
    </row>
    <row r="564">
      <c r="A564" s="3" t="inlineStr">
        <is>
          <t>complaintManagement.channels.MAIL</t>
        </is>
      </c>
      <c r="B564" s="3" t="inlineStr">
        <is>
          <t>Mail</t>
        </is>
      </c>
      <c r="C564" s="3" t="n"/>
      <c r="D564" s="3">
        <f>IFERROR(__xludf.DUMMYFUNCTION("GOOGLETRANSLATE(B564,""vi"",""en"")"),"Mail")</f>
        <v/>
      </c>
      <c r="E564" s="3">
        <f>IF(C564&lt;&gt;"",C564, D564)</f>
        <v/>
      </c>
      <c r="F564" s="3" t="n"/>
      <c r="G564" s="3">
        <f>IFERROR(__xludf.DUMMYFUNCTION("GOOGLETRANSLATE(B564,""vi"",""km"")"),"សំបុត្រ")</f>
        <v/>
      </c>
      <c r="H564" s="3" t="inlineStr">
        <is>
          <t>សំបុត្រ</t>
        </is>
      </c>
      <c r="I564" s="3" t="n"/>
      <c r="J564" s="3">
        <f>IFERROR(__xludf.DUMMYFUNCTION("GOOGLETRANSLATE(B564,""vi"",""lo"")"),"ຈົດໝາຍ")</f>
        <v/>
      </c>
      <c r="K564" s="3">
        <f>IF(I564&lt;&gt;"",I564, J564)</f>
        <v/>
      </c>
      <c r="L564" s="3" t="inlineStr">
        <is>
          <t>សំបុត្រ</t>
        </is>
      </c>
      <c r="M564" s="3" t="n"/>
      <c r="N564" s="3" t="inlineStr">
        <is>
          <t>"complaintManagement.channels.MAIL": "Mail",</t>
        </is>
      </c>
      <c r="O564" s="3" t="n"/>
      <c r="P564" s="3" t="n"/>
      <c r="Q564" s="3" t="n"/>
      <c r="R564" s="3" t="n"/>
      <c r="S564" s="3" t="n"/>
      <c r="T564" s="3" t="n"/>
      <c r="U564" s="3" t="n"/>
      <c r="V564" s="3" t="n"/>
      <c r="W564" s="3" t="n"/>
      <c r="X564" s="3" t="n"/>
      <c r="Y564" s="3" t="n"/>
      <c r="Z564" s="3" t="n"/>
      <c r="AA564" s="3" t="n"/>
    </row>
    <row r="565">
      <c r="A565" s="3" t="inlineStr">
        <is>
          <t>complaintManagement.channels.POST_OFFICE_CHANNEL</t>
        </is>
      </c>
      <c r="B565" s="3" t="inlineStr">
        <is>
          <t>Kênh bưu cục</t>
        </is>
      </c>
      <c r="C565" s="3" t="n"/>
      <c r="D565" s="3">
        <f>IFERROR(__xludf.DUMMYFUNCTION("GOOGLETRANSLATE(B565,""vi"",""en"")"),"Postal Channel")</f>
        <v/>
      </c>
      <c r="E565" s="3">
        <f>IF(C565&lt;&gt;"",C565, D565)</f>
        <v/>
      </c>
      <c r="F565" s="3" t="n"/>
      <c r="G565" s="3">
        <f>IFERROR(__xludf.DUMMYFUNCTION("GOOGLETRANSLATE(B565,""vi"",""km"")"),"ប៉ុស្តិ៍ប្រៃសណីយ៍")</f>
        <v/>
      </c>
      <c r="H565" s="3" t="inlineStr">
        <is>
          <t>ប៉ុស្តិ៍ប្រៃសណីយ៍</t>
        </is>
      </c>
      <c r="I565" s="3" t="n"/>
      <c r="J565" s="3">
        <f>IFERROR(__xludf.DUMMYFUNCTION("GOOGLETRANSLATE(B565,""vi"",""lo"")"),"ຊ່ອງທາງໄປສະນີ")</f>
        <v/>
      </c>
      <c r="K565" s="3">
        <f>IF(I565&lt;&gt;"",I565, J565)</f>
        <v/>
      </c>
      <c r="L565" s="3" t="inlineStr">
        <is>
          <t>ប៉ុស្តិ៍ប្រៃសណីយ៍</t>
        </is>
      </c>
      <c r="M565" s="3" t="n"/>
      <c r="N565" s="3" t="inlineStr">
        <is>
          <t>"complaintManagement.channels.POST_OFFICE_CHANNEL": "Postal Channel",</t>
        </is>
      </c>
      <c r="O565" s="3" t="n"/>
      <c r="P565" s="3" t="n"/>
      <c r="Q565" s="3" t="n"/>
      <c r="R565" s="3" t="n"/>
      <c r="S565" s="3" t="n"/>
      <c r="T565" s="3" t="n"/>
      <c r="U565" s="3" t="n"/>
      <c r="V565" s="3" t="n"/>
      <c r="W565" s="3" t="n"/>
      <c r="X565" s="3" t="n"/>
      <c r="Y565" s="3" t="n"/>
      <c r="Z565" s="3" t="n"/>
      <c r="AA565" s="3" t="n"/>
    </row>
    <row r="566">
      <c r="A566" s="3" t="inlineStr">
        <is>
          <t>complaintManagement.channels.SOCIAL_MEDIA</t>
        </is>
      </c>
      <c r="B566" s="3" t="inlineStr">
        <is>
          <t>Mạng xã hội</t>
        </is>
      </c>
      <c r="C566" s="3" t="n"/>
      <c r="D566" s="3">
        <f>IFERROR(__xludf.DUMMYFUNCTION("GOOGLETRANSLATE(B566,""vi"",""en"")"),"Social network")</f>
        <v/>
      </c>
      <c r="E566" s="3">
        <f>IF(C566&lt;&gt;"",C566, D566)</f>
        <v/>
      </c>
      <c r="F566" s="3" t="n"/>
      <c r="G566" s="3">
        <f>IFERROR(__xludf.DUMMYFUNCTION("GOOGLETRANSLATE(B566,""vi"",""km"")"),"បណ្តាញសង្គម")</f>
        <v/>
      </c>
      <c r="H566" s="3" t="inlineStr">
        <is>
          <t>បណ្តាញសង្គម</t>
        </is>
      </c>
      <c r="I566" s="3" t="n"/>
      <c r="J566" s="3">
        <f>IFERROR(__xludf.DUMMYFUNCTION("GOOGLETRANSLATE(B566,""vi"",""lo"")"),"ເຄືອຂ່າຍສັງຄົມ")</f>
        <v/>
      </c>
      <c r="K566" s="3">
        <f>IF(I566&lt;&gt;"",I566, J566)</f>
        <v/>
      </c>
      <c r="L566" s="3" t="inlineStr">
        <is>
          <t>បណ្តាញសង្គម</t>
        </is>
      </c>
      <c r="M566" s="3" t="n"/>
      <c r="N566" s="3" t="inlineStr">
        <is>
          <t>"complaintManagement.channels.SOCIAL_MEDIA": "Social network",</t>
        </is>
      </c>
      <c r="O566" s="3" t="n"/>
      <c r="P566" s="3" t="n"/>
      <c r="Q566" s="3" t="n"/>
      <c r="R566" s="3" t="n"/>
      <c r="S566" s="3" t="n"/>
      <c r="T566" s="3" t="n"/>
      <c r="U566" s="3" t="n"/>
      <c r="V566" s="3" t="n"/>
      <c r="W566" s="3" t="n"/>
      <c r="X566" s="3" t="n"/>
      <c r="Y566" s="3" t="n"/>
      <c r="Z566" s="3" t="n"/>
      <c r="AA566" s="3" t="n"/>
    </row>
    <row r="567">
      <c r="A567" s="3" t="inlineStr">
        <is>
          <t>complaintManagement.channels.WEBSITE</t>
        </is>
      </c>
      <c r="B567" s="3" t="inlineStr">
        <is>
          <t>Website</t>
        </is>
      </c>
      <c r="C567" s="3" t="n"/>
      <c r="D567" s="3">
        <f>IFERROR(__xludf.DUMMYFUNCTION("GOOGLETRANSLATE(B567,""vi"",""en"")"),"team")</f>
        <v/>
      </c>
      <c r="E567" s="3">
        <f>IF(C567&lt;&gt;"",C567, D567)</f>
        <v/>
      </c>
      <c r="F567" s="3" t="n"/>
      <c r="G567" s="3">
        <f>IFERROR(__xludf.DUMMYFUNCTION("GOOGLETRANSLATE(B567,""vi"",""km"")"),"ក្រុម")</f>
        <v/>
      </c>
      <c r="H567" s="3" t="inlineStr">
        <is>
          <t>ក្រុម</t>
        </is>
      </c>
      <c r="I567" s="3" t="n"/>
      <c r="J567" s="3">
        <f>IFERROR(__xludf.DUMMYFUNCTION("GOOGLETRANSLATE(B567,""vi"",""lo"")"),"ທີມ")</f>
        <v/>
      </c>
      <c r="K567" s="3">
        <f>IF(I567&lt;&gt;"",I567, J567)</f>
        <v/>
      </c>
      <c r="L567" s="3" t="inlineStr">
        <is>
          <t>ក្រុម</t>
        </is>
      </c>
      <c r="M567" s="3" t="n"/>
      <c r="N567" s="3" t="inlineStr">
        <is>
          <t>"complaintManagement.channels.WEBSITE": "team",</t>
        </is>
      </c>
      <c r="O567" s="3" t="n"/>
      <c r="P567" s="3" t="n"/>
      <c r="Q567" s="3" t="n"/>
      <c r="R567" s="3" t="n"/>
      <c r="S567" s="3" t="n"/>
      <c r="T567" s="3" t="n"/>
      <c r="U567" s="3" t="n"/>
      <c r="V567" s="3" t="n"/>
      <c r="W567" s="3" t="n"/>
      <c r="X567" s="3" t="n"/>
      <c r="Y567" s="3" t="n"/>
      <c r="Z567" s="3" t="n"/>
      <c r="AA567" s="3" t="n"/>
    </row>
    <row r="568">
      <c r="A568" s="3" t="inlineStr">
        <is>
          <t>complaintManagement.channels.WEB_APP_CUSTOMER</t>
        </is>
      </c>
      <c r="B568" s="3" t="inlineStr">
        <is>
          <t>Web/App khách hàng</t>
        </is>
      </c>
      <c r="C568" s="3" t="n"/>
      <c r="D568" s="3">
        <f>IFERROR(__xludf.DUMMYFUNCTION("GOOGLETRANSLATE(B568,""vi"",""en"")"),"Customer Web/App")</f>
        <v/>
      </c>
      <c r="E568" s="3">
        <f>IF(C568&lt;&gt;"",C568, D568)</f>
        <v/>
      </c>
      <c r="F568" s="3" t="n"/>
      <c r="G568" s="3">
        <f>IFERROR(__xludf.DUMMYFUNCTION("GOOGLETRANSLATE(B568,""vi"",""km"")"),"គេហទំព័រ/កម្មវិធីអតិថិជន")</f>
        <v/>
      </c>
      <c r="H568" s="3" t="inlineStr">
        <is>
          <t>គេហទំព័រ/កម្មវិធីអតិថិជន</t>
        </is>
      </c>
      <c r="I568" s="3" t="n"/>
      <c r="J568" s="3">
        <f>IFERROR(__xludf.DUMMYFUNCTION("GOOGLETRANSLATE(B568,""vi"",""lo"")"),"ເວັບ/ແອັບຂອງລູກຄ້າ")</f>
        <v/>
      </c>
      <c r="K568" s="3">
        <f>IF(I568&lt;&gt;"",I568, J568)</f>
        <v/>
      </c>
      <c r="L568" s="3" t="inlineStr">
        <is>
          <t>គេហទំព័រ/កម្មវិធីអតិថិជន</t>
        </is>
      </c>
      <c r="M568" s="3" t="n"/>
      <c r="N568" s="3" t="inlineStr">
        <is>
          <t>"complaintManagement.channels.WEB_APP_CUSTOMER": "Customer Web/App",</t>
        </is>
      </c>
      <c r="O568" s="3" t="n"/>
      <c r="P568" s="3" t="n"/>
      <c r="Q568" s="3" t="n"/>
      <c r="R568" s="3" t="n"/>
      <c r="S568" s="3" t="n"/>
      <c r="T568" s="3" t="n"/>
      <c r="U568" s="3" t="n"/>
      <c r="V568" s="3" t="n"/>
      <c r="W568" s="3" t="n"/>
      <c r="X568" s="3" t="n"/>
      <c r="Y568" s="3" t="n"/>
      <c r="Z568" s="3" t="n"/>
      <c r="AA568" s="3" t="n"/>
    </row>
    <row r="569">
      <c r="A569" s="3" t="inlineStr">
        <is>
          <t>complaintManagement.complaintCategory</t>
        </is>
      </c>
      <c r="B569" s="3" t="inlineStr">
        <is>
          <t>Phân loại phản ánh</t>
        </is>
      </c>
      <c r="C569" s="3" t="n"/>
      <c r="D569" s="3">
        <f>IFERROR(__xludf.DUMMYFUNCTION("GOOGLETRANSLATE(B569,""vi"",""en"")"),"Classification reflects")</f>
        <v/>
      </c>
      <c r="E569" s="3">
        <f>IF(C569&lt;&gt;"",C569, D569)</f>
        <v/>
      </c>
      <c r="F569" s="3" t="n"/>
      <c r="G569" s="3">
        <f>IFERROR(__xludf.DUMMYFUNCTION("GOOGLETRANSLATE(B569,""vi"",""km"")"),"ចំណាត់ថ្នាក់ឆ្លុះបញ្ចាំង")</f>
        <v/>
      </c>
      <c r="H569" s="3" t="inlineStr">
        <is>
          <t>ចំណាត់ថ្នាក់ឆ្លុះបញ្ចាំង</t>
        </is>
      </c>
      <c r="I569" s="3" t="n"/>
      <c r="J569" s="3">
        <f>IFERROR(__xludf.DUMMYFUNCTION("GOOGLETRANSLATE(B569,""vi"",""lo"")"),"ການຈັດປະເພດສະທ້ອນໃຫ້ເຫັນ")</f>
        <v/>
      </c>
      <c r="K569" s="3">
        <f>IF(I569&lt;&gt;"",I569, J569)</f>
        <v/>
      </c>
      <c r="L569" s="3" t="inlineStr">
        <is>
          <t>ចំណាត់ថ្នាក់ឆ្លុះបញ្ចាំង</t>
        </is>
      </c>
      <c r="M569" s="3" t="n"/>
      <c r="N569" s="3" t="inlineStr">
        <is>
          <t>"complaintManagement.complaintCategory": "Classification reflects",</t>
        </is>
      </c>
      <c r="O569" s="3" t="n"/>
      <c r="P569" s="3" t="n"/>
      <c r="Q569" s="3" t="n"/>
      <c r="R569" s="3" t="n"/>
      <c r="S569" s="3" t="n"/>
      <c r="T569" s="3" t="n"/>
      <c r="U569" s="3" t="n"/>
      <c r="V569" s="3" t="n"/>
      <c r="W569" s="3" t="n"/>
      <c r="X569" s="3" t="n"/>
      <c r="Y569" s="3" t="n"/>
      <c r="Z569" s="3" t="n"/>
      <c r="AA569" s="3" t="n"/>
    </row>
    <row r="570">
      <c r="A570" s="3" t="inlineStr">
        <is>
          <t>complaintManagement.complaintCount</t>
        </is>
      </c>
      <c r="B570" s="3" t="inlineStr">
        <is>
          <t>Lần phản ánh</t>
        </is>
      </c>
      <c r="C570" s="3" t="n"/>
      <c r="D570" s="3">
        <f>IFERROR(__xludf.DUMMYFUNCTION("GOOGLETRANSLATE(B570,""vi"",""en"")"),"Number of complaints")</f>
        <v/>
      </c>
      <c r="E570" s="3">
        <f>IF(C570&lt;&gt;"",C570, D570)</f>
        <v/>
      </c>
      <c r="F570" s="3" t="n"/>
      <c r="G570" s="3">
        <f>IFERROR(__xludf.DUMMYFUNCTION("GOOGLETRANSLATE(B570,""vi"",""km"")"),"ចំនួន​ពាក្យ​បណ្តឹង")</f>
        <v/>
      </c>
      <c r="H570" s="3" t="inlineStr">
        <is>
          <t>ចំនួនពាក្យបណ្តឹង</t>
        </is>
      </c>
      <c r="I570" s="3" t="n"/>
      <c r="J570" s="3">
        <f>IFERROR(__xludf.DUMMYFUNCTION("GOOGLETRANSLATE(B570,""vi"",""lo"")"),"ຈຳນວນຄຳຮ້ອງທຸກ")</f>
        <v/>
      </c>
      <c r="K570" s="3">
        <f>IF(I570&lt;&gt;"",I570, J570)</f>
        <v/>
      </c>
      <c r="L570" s="3" t="inlineStr">
        <is>
          <t>ចំនួនពាក្យបណ្តឹង</t>
        </is>
      </c>
      <c r="M570" s="3" t="n"/>
      <c r="N570" s="3" t="inlineStr">
        <is>
          <t>"complaintManagement.complaintCount": "Number of complaints",</t>
        </is>
      </c>
      <c r="O570" s="3" t="n"/>
      <c r="P570" s="3" t="n"/>
      <c r="Q570" s="3" t="n"/>
      <c r="R570" s="3" t="n"/>
      <c r="S570" s="3" t="n"/>
      <c r="T570" s="3" t="n"/>
      <c r="U570" s="3" t="n"/>
      <c r="V570" s="3" t="n"/>
      <c r="W570" s="3" t="n"/>
      <c r="X570" s="3" t="n"/>
      <c r="Y570" s="3" t="n"/>
      <c r="Z570" s="3" t="n"/>
      <c r="AA570" s="3" t="n"/>
    </row>
    <row r="571">
      <c r="A571" s="3" t="inlineStr">
        <is>
          <t>complaintManagement.completed</t>
        </is>
      </c>
      <c r="B571" s="3" t="inlineStr">
        <is>
          <t>Đã hoàn thành</t>
        </is>
      </c>
      <c r="C571" s="3" t="n"/>
      <c r="D571" s="3">
        <f>IFERROR(__xludf.DUMMYFUNCTION("GOOGLETRANSLATE(B571,""vi"",""en"")"),"Completed")</f>
        <v/>
      </c>
      <c r="E571" s="3">
        <f>IF(C571&lt;&gt;"",C571, D571)</f>
        <v/>
      </c>
      <c r="F571" s="3" t="n"/>
      <c r="G571" s="3">
        <f>IFERROR(__xludf.DUMMYFUNCTION("GOOGLETRANSLATE(B571,""vi"",""km"")"),"បានបញ្ចប់")</f>
        <v/>
      </c>
      <c r="H571" s="3" t="inlineStr">
        <is>
          <t>បានបញ្ចប់</t>
        </is>
      </c>
      <c r="I571" s="3" t="n"/>
      <c r="J571" s="3">
        <f>IFERROR(__xludf.DUMMYFUNCTION("GOOGLETRANSLATE(B571,""vi"",""lo"")"),"ສຳເລັດແລ້ວ")</f>
        <v/>
      </c>
      <c r="K571" s="3">
        <f>IF(I571&lt;&gt;"",I571, J571)</f>
        <v/>
      </c>
      <c r="L571" s="3" t="inlineStr">
        <is>
          <t>បានបញ្ចប់</t>
        </is>
      </c>
      <c r="M571" s="3" t="n"/>
      <c r="N571" s="3" t="inlineStr">
        <is>
          <t>"complaintManagement.completed": "Completed",</t>
        </is>
      </c>
      <c r="O571" s="3" t="n"/>
      <c r="P571" s="3" t="n"/>
      <c r="Q571" s="3" t="n"/>
      <c r="R571" s="3" t="n"/>
      <c r="S571" s="3" t="n"/>
      <c r="T571" s="3" t="n"/>
      <c r="U571" s="3" t="n"/>
      <c r="V571" s="3" t="n"/>
      <c r="W571" s="3" t="n"/>
      <c r="X571" s="3" t="n"/>
      <c r="Y571" s="3" t="n"/>
      <c r="Z571" s="3" t="n"/>
      <c r="AA571" s="3" t="n"/>
    </row>
    <row r="572">
      <c r="A572" s="3" t="inlineStr">
        <is>
          <t>complaintManagement.completedAt</t>
        </is>
      </c>
      <c r="B572" s="3" t="inlineStr">
        <is>
          <t>Ngày hoàn thành</t>
        </is>
      </c>
      <c r="C572" s="3" t="n"/>
      <c r="D572" s="3">
        <f>IFERROR(__xludf.DUMMYFUNCTION("GOOGLETRANSLATE(B572,""vi"",""en"")"),"Completion date")</f>
        <v/>
      </c>
      <c r="E572" s="3">
        <f>IF(C572&lt;&gt;"",C572, D572)</f>
        <v/>
      </c>
      <c r="F572" s="3" t="n"/>
      <c r="G572" s="3">
        <f>IFERROR(__xludf.DUMMYFUNCTION("GOOGLETRANSLATE(B572,""vi"",""km"")"),"កាលបរិច្ឆេទបញ្ចប់")</f>
        <v/>
      </c>
      <c r="H572" s="3" t="inlineStr">
        <is>
          <t>កាលបរិច្ឆេទបញ្ចប់</t>
        </is>
      </c>
      <c r="I572" s="3" t="n"/>
      <c r="J572" s="3">
        <f>IFERROR(__xludf.DUMMYFUNCTION("GOOGLETRANSLATE(B572,""vi"",""lo"")"),"ວັນທີສຳເລັດ")</f>
        <v/>
      </c>
      <c r="K572" s="3">
        <f>IF(I572&lt;&gt;"",I572, J572)</f>
        <v/>
      </c>
      <c r="L572" s="3" t="inlineStr">
        <is>
          <t>កាលបរិច្ឆេទបញ្ចប់</t>
        </is>
      </c>
      <c r="M572" s="3" t="n"/>
      <c r="N572" s="3" t="inlineStr">
        <is>
          <t>"complaintManagement.completedAt": "Completion date",</t>
        </is>
      </c>
      <c r="O572" s="3" t="n"/>
      <c r="P572" s="3" t="n"/>
      <c r="Q572" s="3" t="n"/>
      <c r="R572" s="3" t="n"/>
      <c r="S572" s="3" t="n"/>
      <c r="T572" s="3" t="n"/>
      <c r="U572" s="3" t="n"/>
      <c r="V572" s="3" t="n"/>
      <c r="W572" s="3" t="n"/>
      <c r="X572" s="3" t="n"/>
      <c r="Y572" s="3" t="n"/>
      <c r="Z572" s="3" t="n"/>
      <c r="AA572" s="3" t="n"/>
    </row>
    <row r="573">
      <c r="A573" s="3" t="inlineStr">
        <is>
          <t>complaintManagement.content</t>
        </is>
      </c>
      <c r="B573" s="3" t="inlineStr">
        <is>
          <t>Nội dung</t>
        </is>
      </c>
      <c r="C573" s="3" t="n"/>
      <c r="D573" s="3">
        <f>IFERROR(__xludf.DUMMYFUNCTION("GOOGLETRANSLATE(B573,""vi"",""en"")"),"Content")</f>
        <v/>
      </c>
      <c r="E573" s="3">
        <f>IF(C573&lt;&gt;"",C573, D573)</f>
        <v/>
      </c>
      <c r="F573" s="3" t="n"/>
      <c r="G573" s="3">
        <f>IFERROR(__xludf.DUMMYFUNCTION("GOOGLETRANSLATE(B573,""vi"",""km"")"),"ខ្លឹមសារ")</f>
        <v/>
      </c>
      <c r="H573" s="3" t="inlineStr">
        <is>
          <t>ខ្លឹមសារ</t>
        </is>
      </c>
      <c r="I573" s="3" t="n"/>
      <c r="J573" s="3">
        <f>IFERROR(__xludf.DUMMYFUNCTION("GOOGLETRANSLATE(B573,""vi"",""lo"")"),"ເນື້ອຫາ")</f>
        <v/>
      </c>
      <c r="K573" s="3">
        <f>IF(I573&lt;&gt;"",I573, J573)</f>
        <v/>
      </c>
      <c r="L573" s="3" t="inlineStr">
        <is>
          <t>ខ្លឹមសារ</t>
        </is>
      </c>
      <c r="M573" s="3" t="n"/>
      <c r="N573" s="3" t="inlineStr">
        <is>
          <t>"complaintManagement.content": "Content",</t>
        </is>
      </c>
      <c r="O573" s="3" t="n"/>
      <c r="P573" s="3" t="n"/>
      <c r="Q573" s="3" t="n"/>
      <c r="R573" s="3" t="n"/>
      <c r="S573" s="3" t="n"/>
      <c r="T573" s="3" t="n"/>
      <c r="U573" s="3" t="n"/>
      <c r="V573" s="3" t="n"/>
      <c r="W573" s="3" t="n"/>
      <c r="X573" s="3" t="n"/>
      <c r="Y573" s="3" t="n"/>
      <c r="Z573" s="3" t="n"/>
      <c r="AA573" s="3" t="n"/>
    </row>
    <row r="574">
      <c r="A574" s="3" t="inlineStr">
        <is>
          <t>complaintManagement.customerName</t>
        </is>
      </c>
      <c r="B574" s="3" t="inlineStr">
        <is>
          <t>Tên khách hàng</t>
        </is>
      </c>
      <c r="C574" s="3" t="n"/>
      <c r="D574" s="3">
        <f>IFERROR(__xludf.DUMMYFUNCTION("GOOGLETRANSLATE(B574,""vi"",""en"")"),"Customer name")</f>
        <v/>
      </c>
      <c r="E574" s="3">
        <f>IF(C574&lt;&gt;"",C574, D574)</f>
        <v/>
      </c>
      <c r="F574" s="3" t="n"/>
      <c r="G574" s="3">
        <f>IFERROR(__xludf.DUMMYFUNCTION("GOOGLETRANSLATE(B574,""vi"",""km"")"),"ឈ្មោះអតិថិជន")</f>
        <v/>
      </c>
      <c r="H574" s="3" t="inlineStr">
        <is>
          <t>ឈ្មោះអតិថិជន</t>
        </is>
      </c>
      <c r="I574" s="3" t="n"/>
      <c r="J574" s="3">
        <f>IFERROR(__xludf.DUMMYFUNCTION("GOOGLETRANSLATE(B574,""vi"",""lo"")"),"ຊື່ລູກຄ້າ")</f>
        <v/>
      </c>
      <c r="K574" s="3">
        <f>IF(I574&lt;&gt;"",I574, J574)</f>
        <v/>
      </c>
      <c r="L574" s="3" t="inlineStr">
        <is>
          <t>ឈ្មោះអតិថិជន</t>
        </is>
      </c>
      <c r="M574" s="3" t="n"/>
      <c r="N574" s="3" t="inlineStr">
        <is>
          <t>"complaintManagement.customerName": "Customer name",</t>
        </is>
      </c>
      <c r="O574" s="3" t="n"/>
      <c r="P574" s="3" t="n"/>
      <c r="Q574" s="3" t="n"/>
      <c r="R574" s="3" t="n"/>
      <c r="S574" s="3" t="n"/>
      <c r="T574" s="3" t="n"/>
      <c r="U574" s="3" t="n"/>
      <c r="V574" s="3" t="n"/>
      <c r="W574" s="3" t="n"/>
      <c r="X574" s="3" t="n"/>
      <c r="Y574" s="3" t="n"/>
      <c r="Z574" s="3" t="n"/>
      <c r="AA574" s="3" t="n"/>
    </row>
    <row r="575">
      <c r="A575" s="3" t="inlineStr">
        <is>
          <t>complaintManagement.phoneNumber</t>
        </is>
      </c>
      <c r="B575" s="3" t="inlineStr">
        <is>
          <t>Điện thoại</t>
        </is>
      </c>
      <c r="C575" s="3" t="n"/>
      <c r="D575" s="3">
        <f>IFERROR(__xludf.DUMMYFUNCTION("GOOGLETRANSLATE(B575,""vi"",""en"")"),"Phone")</f>
        <v/>
      </c>
      <c r="E575" s="3">
        <f>IF(C575&lt;&gt;"",C575, D575)</f>
        <v/>
      </c>
      <c r="F575" s="3" t="n"/>
      <c r="G575" s="3">
        <f>IFERROR(__xludf.DUMMYFUNCTION("GOOGLETRANSLATE(B575,""vi"",""km"")"),"ទូរស័ព្ទ")</f>
        <v/>
      </c>
      <c r="H575" s="3" t="inlineStr">
        <is>
          <t>ទូរស័ព្ទ</t>
        </is>
      </c>
      <c r="I575" s="3" t="n"/>
      <c r="J575" s="3">
        <f>IFERROR(__xludf.DUMMYFUNCTION("GOOGLETRANSLATE(B575,""vi"",""lo"")"),"ໂທລະສັບ")</f>
        <v/>
      </c>
      <c r="K575" s="3">
        <f>IF(I575&lt;&gt;"",I575, J575)</f>
        <v/>
      </c>
      <c r="L575" s="3" t="inlineStr">
        <is>
          <t>ទូរស័ព្ទ</t>
        </is>
      </c>
      <c r="M575" s="3" t="n"/>
      <c r="N575" s="3" t="inlineStr">
        <is>
          <t>"complaintManagement.phoneNumber": "Phone",</t>
        </is>
      </c>
      <c r="O575" s="3" t="n"/>
      <c r="P575" s="3" t="n"/>
      <c r="Q575" s="3" t="n"/>
      <c r="R575" s="3" t="n"/>
      <c r="S575" s="3" t="n"/>
      <c r="T575" s="3" t="n"/>
      <c r="U575" s="3" t="n"/>
      <c r="V575" s="3" t="n"/>
      <c r="W575" s="3" t="n"/>
      <c r="X575" s="3" t="n"/>
      <c r="Y575" s="3" t="n"/>
      <c r="Z575" s="3" t="n"/>
      <c r="AA575" s="3" t="n"/>
    </row>
    <row r="576">
      <c r="A576" s="3" t="inlineStr">
        <is>
          <t>complaintManagement.processed</t>
        </is>
      </c>
      <c r="B576" s="3" t="inlineStr">
        <is>
          <t>Đã phân công</t>
        </is>
      </c>
      <c r="C576" s="3" t="n"/>
      <c r="D576" s="3">
        <f>IFERROR(__xludf.DUMMYFUNCTION("GOOGLETRANSLATE(B576,""vi"",""en"")"),"Assigned")</f>
        <v/>
      </c>
      <c r="E576" s="3">
        <f>IF(C576&lt;&gt;"",C576, D576)</f>
        <v/>
      </c>
      <c r="F576" s="3" t="n"/>
      <c r="G576" s="3">
        <f>IFERROR(__xludf.DUMMYFUNCTION("GOOGLETRANSLATE(B576,""vi"",""km"")"),"បានចាត់តាំង")</f>
        <v/>
      </c>
      <c r="H576" s="3" t="inlineStr">
        <is>
          <t>បានចាត់តាំង</t>
        </is>
      </c>
      <c r="I576" s="3" t="n"/>
      <c r="J576" s="3">
        <f>IFERROR(__xludf.DUMMYFUNCTION("GOOGLETRANSLATE(B576,""vi"",""lo"")"),"ມອບໝາຍແລ້ວ")</f>
        <v/>
      </c>
      <c r="K576" s="3">
        <f>IF(I576&lt;&gt;"",I576, J576)</f>
        <v/>
      </c>
      <c r="L576" s="3" t="inlineStr">
        <is>
          <t>បានចាត់តាំង</t>
        </is>
      </c>
      <c r="M576" s="3" t="n"/>
      <c r="N576" s="3" t="inlineStr">
        <is>
          <t>"complaintManagement.processed": "Assigned",</t>
        </is>
      </c>
      <c r="O576" s="3" t="n"/>
      <c r="P576" s="3" t="n"/>
      <c r="Q576" s="3" t="n"/>
      <c r="R576" s="3" t="n"/>
      <c r="S576" s="3" t="n"/>
      <c r="T576" s="3" t="n"/>
      <c r="U576" s="3" t="n"/>
      <c r="V576" s="3" t="n"/>
      <c r="W576" s="3" t="n"/>
      <c r="X576" s="3" t="n"/>
      <c r="Y576" s="3" t="n"/>
      <c r="Z576" s="3" t="n"/>
      <c r="AA576" s="3" t="n"/>
    </row>
    <row r="577">
      <c r="A577" s="3" t="inlineStr">
        <is>
          <t>complaintManagement.processingPostOffice</t>
        </is>
      </c>
      <c r="B577" s="3" t="inlineStr">
        <is>
          <t>Bưu cục xử lý</t>
        </is>
      </c>
      <c r="C577" s="3" t="n"/>
      <c r="D577" s="3">
        <f>IFERROR(__xludf.DUMMYFUNCTION("GOOGLETRANSLATE(B577,""vi"",""en"")"),"Post office processing")</f>
        <v/>
      </c>
      <c r="E577" s="3">
        <f>IF(C577&lt;&gt;"",C577, D577)</f>
        <v/>
      </c>
      <c r="F577" s="3" t="n"/>
      <c r="G577" s="3">
        <f>IFERROR(__xludf.DUMMYFUNCTION("GOOGLETRANSLATE(B577,""vi"",""km"")"),"ដំណើរការប្រៃសណីយ៍")</f>
        <v/>
      </c>
      <c r="H577" s="3" t="inlineStr">
        <is>
          <t>ដំណើរការប្រៃសណីយ៍</t>
        </is>
      </c>
      <c r="I577" s="3" t="n"/>
      <c r="J577" s="3">
        <f>IFERROR(__xludf.DUMMYFUNCTION("GOOGLETRANSLATE(B577,""vi"",""lo"")"),"ການປະມວນຜົນຂອງຫ້ອງການໄປສະນີ")</f>
        <v/>
      </c>
      <c r="K577" s="3">
        <f>IF(I577&lt;&gt;"",I577, J577)</f>
        <v/>
      </c>
      <c r="L577" s="3" t="inlineStr">
        <is>
          <t>ដំណើរការប្រៃសណីយ៍</t>
        </is>
      </c>
      <c r="M577" s="3" t="n"/>
      <c r="N577" s="3" t="inlineStr">
        <is>
          <t>"complaintManagement.processingPostOffice": "Post office processing",</t>
        </is>
      </c>
      <c r="O577" s="3" t="n"/>
      <c r="P577" s="3" t="n"/>
      <c r="Q577" s="3" t="n"/>
      <c r="R577" s="3" t="n"/>
      <c r="S577" s="3" t="n"/>
      <c r="T577" s="3" t="n"/>
      <c r="U577" s="3" t="n"/>
      <c r="V577" s="3" t="n"/>
      <c r="W577" s="3" t="n"/>
      <c r="X577" s="3" t="n"/>
      <c r="Y577" s="3" t="n"/>
      <c r="Z577" s="3" t="n"/>
      <c r="AA577" s="3" t="n"/>
    </row>
    <row r="578">
      <c r="A578" s="3" t="inlineStr">
        <is>
          <t>complaintManagement.receiptChannel</t>
        </is>
      </c>
      <c r="B578" s="3" t="inlineStr">
        <is>
          <t>Kênh tiếp nhận</t>
        </is>
      </c>
      <c r="C578" s="3" t="n"/>
      <c r="D578" s="3">
        <f>IFERROR(__xludf.DUMMYFUNCTION("GOOGLETRANSLATE(B578,""vi"",""en"")"),"Reception channel")</f>
        <v/>
      </c>
      <c r="E578" s="3">
        <f>IF(C578&lt;&gt;"",C578, D578)</f>
        <v/>
      </c>
      <c r="F578" s="3" t="n"/>
      <c r="G578" s="3">
        <f>IFERROR(__xludf.DUMMYFUNCTION("GOOGLETRANSLATE(B578,""vi"",""km"")"),"ឆានែលទទួលភ្ញៀវ")</f>
        <v/>
      </c>
      <c r="H578" s="3" t="inlineStr">
        <is>
          <t>ឆានែលទទួលភ្ញៀវ</t>
        </is>
      </c>
      <c r="I578" s="3" t="n"/>
      <c r="J578" s="3">
        <f>IFERROR(__xludf.DUMMYFUNCTION("GOOGLETRANSLATE(B578,""vi"",""lo"")"),"ຊ່ອງຮັບ")</f>
        <v/>
      </c>
      <c r="K578" s="3">
        <f>IF(I578&lt;&gt;"",I578, J578)</f>
        <v/>
      </c>
      <c r="L578" s="3" t="inlineStr">
        <is>
          <t>ឆានែលទទួលភ្ញៀវ</t>
        </is>
      </c>
      <c r="M578" s="3" t="n"/>
      <c r="N578" s="3" t="inlineStr">
        <is>
          <t>"complaintManagement.receiptChannel": "Reception channel",</t>
        </is>
      </c>
      <c r="O578" s="3" t="n"/>
      <c r="P578" s="3" t="n"/>
      <c r="Q578" s="3" t="n"/>
      <c r="R578" s="3" t="n"/>
      <c r="S578" s="3" t="n"/>
      <c r="T578" s="3" t="n"/>
      <c r="U578" s="3" t="n"/>
      <c r="V578" s="3" t="n"/>
      <c r="W578" s="3" t="n"/>
      <c r="X578" s="3" t="n"/>
      <c r="Y578" s="3" t="n"/>
      <c r="Z578" s="3" t="n"/>
      <c r="AA578" s="3" t="n"/>
    </row>
    <row r="579">
      <c r="A579" s="3" t="inlineStr">
        <is>
          <t>complaintManagement.remainingTime</t>
        </is>
      </c>
      <c r="B579" s="3" t="inlineStr">
        <is>
          <t>Thời gian còn lại</t>
        </is>
      </c>
      <c r="C579" s="3" t="n"/>
      <c r="D579" s="3">
        <f>IFERROR(__xludf.DUMMYFUNCTION("GOOGLETRANSLATE(B579,""vi"",""en"")"),"Time remaining")</f>
        <v/>
      </c>
      <c r="E579" s="3">
        <f>IF(C579&lt;&gt;"",C579, D579)</f>
        <v/>
      </c>
      <c r="F579" s="3" t="n"/>
      <c r="G579" s="3">
        <f>IFERROR(__xludf.DUMMYFUNCTION("GOOGLETRANSLATE(B579,""vi"",""km"")"),"ពេលវេលាដែលនៅសល់")</f>
        <v/>
      </c>
      <c r="H579" s="3" t="inlineStr">
        <is>
          <t>ពេលវេលាដែលនៅសល់</t>
        </is>
      </c>
      <c r="I579" s="3" t="n"/>
      <c r="J579" s="3">
        <f>IFERROR(__xludf.DUMMYFUNCTION("GOOGLETRANSLATE(B579,""vi"",""lo"")"),"ເວລາທີ່ຍັງເຫຼືອ")</f>
        <v/>
      </c>
      <c r="K579" s="3">
        <f>IF(I579&lt;&gt;"",I579, J579)</f>
        <v/>
      </c>
      <c r="L579" s="3" t="inlineStr">
        <is>
          <t>ពេលវេលាដែលនៅសល់</t>
        </is>
      </c>
      <c r="M579" s="3" t="n"/>
      <c r="N579" s="3" t="inlineStr">
        <is>
          <t>"complaintManagement.remainingTime": "Time remaining",</t>
        </is>
      </c>
      <c r="O579" s="3" t="n"/>
      <c r="P579" s="3" t="n"/>
      <c r="Q579" s="3" t="n"/>
      <c r="R579" s="3" t="n"/>
      <c r="S579" s="3" t="n"/>
      <c r="T579" s="3" t="n"/>
      <c r="U579" s="3" t="n"/>
      <c r="V579" s="3" t="n"/>
      <c r="W579" s="3" t="n"/>
      <c r="X579" s="3" t="n"/>
      <c r="Y579" s="3" t="n"/>
      <c r="Z579" s="3" t="n"/>
      <c r="AA579" s="3" t="n"/>
    </row>
    <row r="580">
      <c r="A580" s="3" t="inlineStr">
        <is>
          <t>complaintManagement.result</t>
        </is>
      </c>
      <c r="B580" s="3" t="inlineStr">
        <is>
          <t>Kết quả</t>
        </is>
      </c>
      <c r="C580" s="3" t="n"/>
      <c r="D580" s="3">
        <f>IFERROR(__xludf.DUMMYFUNCTION("GOOGLETRANSLATE(B580,""vi"",""en"")"),"Result")</f>
        <v/>
      </c>
      <c r="E580" s="3">
        <f>IF(C580&lt;&gt;"",C580, D580)</f>
        <v/>
      </c>
      <c r="F580" s="3" t="n"/>
      <c r="G580" s="3">
        <f>IFERROR(__xludf.DUMMYFUNCTION("GOOGLETRANSLATE(B580,""vi"",""km"")"),"លទ្ធផល")</f>
        <v/>
      </c>
      <c r="H580" s="3" t="inlineStr">
        <is>
          <t>លទ្ធផល</t>
        </is>
      </c>
      <c r="I580" s="3" t="n"/>
      <c r="J580" s="3">
        <f>IFERROR(__xludf.DUMMYFUNCTION("GOOGLETRANSLATE(B580,""vi"",""lo"")"),"ຜົນໄດ້ຮັບ")</f>
        <v/>
      </c>
      <c r="K580" s="3">
        <f>IF(I580&lt;&gt;"",I580, J580)</f>
        <v/>
      </c>
      <c r="L580" s="3" t="inlineStr">
        <is>
          <t>លទ្ធផល</t>
        </is>
      </c>
      <c r="M580" s="3" t="n"/>
      <c r="N580" s="3" t="inlineStr">
        <is>
          <t>"complaintManagement.result": "Result",</t>
        </is>
      </c>
      <c r="O580" s="3" t="n"/>
      <c r="P580" s="3" t="n"/>
      <c r="Q580" s="3" t="n"/>
      <c r="R580" s="3" t="n"/>
      <c r="S580" s="3" t="n"/>
      <c r="T580" s="3" t="n"/>
      <c r="U580" s="3" t="n"/>
      <c r="V580" s="3" t="n"/>
      <c r="W580" s="3" t="n"/>
      <c r="X580" s="3" t="n"/>
      <c r="Y580" s="3" t="n"/>
      <c r="Z580" s="3" t="n"/>
      <c r="AA580" s="3" t="n"/>
    </row>
    <row r="581">
      <c r="A581" s="3" t="inlineStr">
        <is>
          <t>complaintManagement.statuses.ASSIGNED</t>
        </is>
      </c>
      <c r="B581" s="3" t="inlineStr">
        <is>
          <t>Đã phân công</t>
        </is>
      </c>
      <c r="C581" s="3" t="n"/>
      <c r="D581" s="3">
        <f>IFERROR(__xludf.DUMMYFUNCTION("GOOGLETRANSLATE(B581,""vi"",""en"")"),"Assigned")</f>
        <v/>
      </c>
      <c r="E581" s="3">
        <f>IF(C581&lt;&gt;"",C581, D581)</f>
        <v/>
      </c>
      <c r="F581" s="3" t="n"/>
      <c r="G581" s="3">
        <f>IFERROR(__xludf.DUMMYFUNCTION("GOOGLETRANSLATE(B581,""vi"",""km"")"),"បានចាត់តាំង")</f>
        <v/>
      </c>
      <c r="H581" s="3" t="inlineStr">
        <is>
          <t>បានចាត់តាំង</t>
        </is>
      </c>
      <c r="I581" s="3" t="n"/>
      <c r="J581" s="3">
        <f>IFERROR(__xludf.DUMMYFUNCTION("GOOGLETRANSLATE(B581,""vi"",""lo"")"),"ມອບໝາຍແລ້ວ")</f>
        <v/>
      </c>
      <c r="K581" s="3">
        <f>IF(I581&lt;&gt;"",I581, J581)</f>
        <v/>
      </c>
      <c r="L581" s="3" t="inlineStr">
        <is>
          <t>បានចាត់តាំង</t>
        </is>
      </c>
      <c r="M581" s="3" t="n"/>
      <c r="N581" s="3" t="inlineStr">
        <is>
          <t>"complaintManagement.statuses.ASSIGNED": "Assigned",</t>
        </is>
      </c>
      <c r="O581" s="3" t="n"/>
      <c r="P581" s="3" t="n"/>
      <c r="Q581" s="3" t="n"/>
      <c r="R581" s="3" t="n"/>
      <c r="S581" s="3" t="n"/>
      <c r="T581" s="3" t="n"/>
      <c r="U581" s="3" t="n"/>
      <c r="V581" s="3" t="n"/>
      <c r="W581" s="3" t="n"/>
      <c r="X581" s="3" t="n"/>
      <c r="Y581" s="3" t="n"/>
      <c r="Z581" s="3" t="n"/>
      <c r="AA581" s="3" t="n"/>
    </row>
    <row r="582">
      <c r="A582" s="3" t="inlineStr">
        <is>
          <t>complaintManagement.statuses.CANCELLED</t>
        </is>
      </c>
      <c r="B582" s="3" t="inlineStr">
        <is>
          <t>Đã hủy</t>
        </is>
      </c>
      <c r="C582" s="3" t="n"/>
      <c r="D582" s="3">
        <f>IFERROR(__xludf.DUMMYFUNCTION("GOOGLETRANSLATE(B582,""vi"",""en"")"),"Cancelled")</f>
        <v/>
      </c>
      <c r="E582" s="3">
        <f>IF(C582&lt;&gt;"",C582, D582)</f>
        <v/>
      </c>
      <c r="F582" s="3" t="n"/>
      <c r="G582" s="3">
        <f>IFERROR(__xludf.DUMMYFUNCTION("GOOGLETRANSLATE(B582,""vi"",""km"")"),"បានលុបចោល")</f>
        <v/>
      </c>
      <c r="H582" s="3" t="inlineStr">
        <is>
          <t>បានលុបចោល</t>
        </is>
      </c>
      <c r="I582" s="3" t="n"/>
      <c r="J582" s="3">
        <f>IFERROR(__xludf.DUMMYFUNCTION("GOOGLETRANSLATE(B582,""vi"",""lo"")"),"ຍົກເລີກແລ້ວ")</f>
        <v/>
      </c>
      <c r="K582" s="3">
        <f>IF(I582&lt;&gt;"",I582, J582)</f>
        <v/>
      </c>
      <c r="L582" s="3" t="inlineStr">
        <is>
          <t>បានលុបចោល</t>
        </is>
      </c>
      <c r="M582" s="3" t="n"/>
      <c r="N582" s="3" t="inlineStr">
        <is>
          <t>"complaintManagement.statuses.CANCELLED": "Cancelled",</t>
        </is>
      </c>
      <c r="O582" s="3" t="n"/>
      <c r="P582" s="3" t="n"/>
      <c r="Q582" s="3" t="n"/>
      <c r="R582" s="3" t="n"/>
      <c r="S582" s="3" t="n"/>
      <c r="T582" s="3" t="n"/>
      <c r="U582" s="3" t="n"/>
      <c r="V582" s="3" t="n"/>
      <c r="W582" s="3" t="n"/>
      <c r="X582" s="3" t="n"/>
      <c r="Y582" s="3" t="n"/>
      <c r="Z582" s="3" t="n"/>
      <c r="AA582" s="3" t="n"/>
    </row>
    <row r="583">
      <c r="A583" s="3" t="inlineStr">
        <is>
          <t>complaintManagement.statuses.COMPLETED</t>
        </is>
      </c>
      <c r="B583" s="3" t="inlineStr">
        <is>
          <t>Hoàn thành</t>
        </is>
      </c>
      <c r="C583" s="3" t="n"/>
      <c r="D583" s="3">
        <f>IFERROR(__xludf.DUMMYFUNCTION("GOOGLETRANSLATE(B583,""vi"",""en"")"),"Complete")</f>
        <v/>
      </c>
      <c r="E583" s="3">
        <f>IF(C583&lt;&gt;"",C583, D583)</f>
        <v/>
      </c>
      <c r="F583" s="3" t="n"/>
      <c r="G583" s="3">
        <f>IFERROR(__xludf.DUMMYFUNCTION("GOOGLETRANSLATE(B583,""vi"",""km"")"),"ពេញលេញ")</f>
        <v/>
      </c>
      <c r="H583" s="3" t="inlineStr">
        <is>
          <t>បានបញ្ចប់</t>
        </is>
      </c>
      <c r="I583" s="3" t="n"/>
      <c r="J583" s="3">
        <f>IFERROR(__xludf.DUMMYFUNCTION("GOOGLETRANSLATE(B583,""vi"",""lo"")"),"ສຳເລັດແລ້ວ")</f>
        <v/>
      </c>
      <c r="K583" s="3">
        <f>IF(I583&lt;&gt;"",I583, J583)</f>
        <v/>
      </c>
      <c r="L583" s="3" t="inlineStr">
        <is>
          <t>បានបញ្ចប់</t>
        </is>
      </c>
      <c r="M583" s="3" t="n"/>
      <c r="N583" s="3" t="inlineStr">
        <is>
          <t>"complaintManagement.statuses.COMPLETED": "Complete",</t>
        </is>
      </c>
      <c r="O583" s="3" t="n"/>
      <c r="P583" s="3" t="n"/>
      <c r="Q583" s="3" t="n"/>
      <c r="R583" s="3" t="n"/>
      <c r="S583" s="3" t="n"/>
      <c r="T583" s="3" t="n"/>
      <c r="U583" s="3" t="n"/>
      <c r="V583" s="3" t="n"/>
      <c r="W583" s="3" t="n"/>
      <c r="X583" s="3" t="n"/>
      <c r="Y583" s="3" t="n"/>
      <c r="Z583" s="3" t="n"/>
      <c r="AA583" s="3" t="n"/>
    </row>
    <row r="584">
      <c r="A584" s="3" t="inlineStr">
        <is>
          <t>complaintManagement.statuses.IN_PROGRESS</t>
        </is>
      </c>
      <c r="B584" s="3" t="inlineStr">
        <is>
          <t>Đang xử lý</t>
        </is>
      </c>
      <c r="C584" s="3" t="n"/>
      <c r="D584" s="3">
        <f>IFERROR(__xludf.DUMMYFUNCTION("GOOGLETRANSLATE(B584,""vi"",""en"")"),"Processing")</f>
        <v/>
      </c>
      <c r="E584" s="3">
        <f>IF(C584&lt;&gt;"",C584, D584)</f>
        <v/>
      </c>
      <c r="F584" s="3" t="n"/>
      <c r="G584" s="3">
        <f>IFERROR(__xludf.DUMMYFUNCTION("GOOGLETRANSLATE(B584,""vi"",""km"")"),"កំពុងដំណើរការ")</f>
        <v/>
      </c>
      <c r="H584" s="3" t="inlineStr">
        <is>
          <t>កំពុងដំណើរការ</t>
        </is>
      </c>
      <c r="I584" s="3" t="n"/>
      <c r="J584" s="3">
        <f>IFERROR(__xludf.DUMMYFUNCTION("GOOGLETRANSLATE(B584,""vi"",""lo"")"),"ການປະມວນຜົນ")</f>
        <v/>
      </c>
      <c r="K584" s="3">
        <f>IF(I584&lt;&gt;"",I584, J584)</f>
        <v/>
      </c>
      <c r="L584" s="3" t="inlineStr">
        <is>
          <t>កំពុងដំណើរការ</t>
        </is>
      </c>
      <c r="M584" s="3" t="n"/>
      <c r="N584" s="3" t="inlineStr">
        <is>
          <t>"complaintManagement.statuses.IN_PROGRESS": "Processing",</t>
        </is>
      </c>
      <c r="O584" s="3" t="n"/>
      <c r="P584" s="3" t="n"/>
      <c r="Q584" s="3" t="n"/>
      <c r="R584" s="3" t="n"/>
      <c r="S584" s="3" t="n"/>
      <c r="T584" s="3" t="n"/>
      <c r="U584" s="3" t="n"/>
      <c r="V584" s="3" t="n"/>
      <c r="W584" s="3" t="n"/>
      <c r="X584" s="3" t="n"/>
      <c r="Y584" s="3" t="n"/>
      <c r="Z584" s="3" t="n"/>
      <c r="AA584" s="3" t="n"/>
    </row>
    <row r="585">
      <c r="A585" s="3" t="inlineStr">
        <is>
          <t>complaintManagement.statuses.PROCESSED</t>
        </is>
      </c>
      <c r="B585" s="3" t="inlineStr">
        <is>
          <t>Đã xử lý</t>
        </is>
      </c>
      <c r="C585" s="3" t="n"/>
      <c r="D585" s="3">
        <f>IFERROR(__xludf.DUMMYFUNCTION("GOOGLETRANSLATE(B585,""vi"",""en"")"),"Processed")</f>
        <v/>
      </c>
      <c r="E585" s="3">
        <f>IF(C585&lt;&gt;"",C585, D585)</f>
        <v/>
      </c>
      <c r="F585" s="3" t="n"/>
      <c r="G585" s="3">
        <f>IFERROR(__xludf.DUMMYFUNCTION("GOOGLETRANSLATE(B585,""vi"",""km"")"),"បានដំណើរការ")</f>
        <v/>
      </c>
      <c r="H585" s="3" t="inlineStr">
        <is>
          <t>បានដំណើរការ</t>
        </is>
      </c>
      <c r="I585" s="3" t="n"/>
      <c r="J585" s="3">
        <f>IFERROR(__xludf.DUMMYFUNCTION("GOOGLETRANSLATE(B585,""vi"",""lo"")"),"ປະມວນຜົນແລ້ວ")</f>
        <v/>
      </c>
      <c r="K585" s="3">
        <f>IF(I585&lt;&gt;"",I585, J585)</f>
        <v/>
      </c>
      <c r="L585" s="3" t="inlineStr">
        <is>
          <t>បានដំណើរការ</t>
        </is>
      </c>
      <c r="M585" s="3" t="n"/>
      <c r="N585" s="3" t="inlineStr">
        <is>
          <t>"complaintManagement.statuses.PROCESSED": "Processed",</t>
        </is>
      </c>
      <c r="O585" s="3" t="n"/>
      <c r="P585" s="3" t="n"/>
      <c r="Q585" s="3" t="n"/>
      <c r="R585" s="3" t="n"/>
      <c r="S585" s="3" t="n"/>
      <c r="T585" s="3" t="n"/>
      <c r="U585" s="3" t="n"/>
      <c r="V585" s="3" t="n"/>
      <c r="W585" s="3" t="n"/>
      <c r="X585" s="3" t="n"/>
      <c r="Y585" s="3" t="n"/>
      <c r="Z585" s="3" t="n"/>
      <c r="AA585" s="3" t="n"/>
    </row>
    <row r="586">
      <c r="A586" s="3" t="inlineStr">
        <is>
          <t>complaintManagement.statuses.WAITING</t>
        </is>
      </c>
      <c r="B586" s="3" t="inlineStr">
        <is>
          <t>Chờ tiếp nhận</t>
        </is>
      </c>
      <c r="C586" s="3" t="n"/>
      <c r="D586" s="3">
        <f>IFERROR(__xludf.DUMMYFUNCTION("GOOGLETRANSLATE(B586,""vi"",""en"")"),"Awaiting receipt")</f>
        <v/>
      </c>
      <c r="E586" s="3">
        <f>IF(C586&lt;&gt;"",C586, D586)</f>
        <v/>
      </c>
      <c r="F586" s="3" t="n"/>
      <c r="G586" s="3">
        <f>IFERROR(__xludf.DUMMYFUNCTION("GOOGLETRANSLATE(B586,""vi"",""km"")"),"កំពុងរង់ចាំបង្កាន់ដៃ")</f>
        <v/>
      </c>
      <c r="H586" s="3" t="inlineStr">
        <is>
          <t>កំពុងរង់ចាំបុងបញ្ញើ</t>
        </is>
      </c>
      <c r="I586" s="3" t="n"/>
      <c r="J586" s="3">
        <f>IFERROR(__xludf.DUMMYFUNCTION("GOOGLETRANSLATE(B586,""vi"",""lo"")"),"ກຳລັງລໍຖ້າໃບຮັບເງິນ")</f>
        <v/>
      </c>
      <c r="K586" s="3">
        <f>IF(I586&lt;&gt;"",I586, J586)</f>
        <v/>
      </c>
      <c r="L586" s="3" t="inlineStr">
        <is>
          <t>កំពុងរង់ចាំបុងបញ្ញើ</t>
        </is>
      </c>
      <c r="M586" s="3" t="n"/>
      <c r="N586" s="3" t="inlineStr">
        <is>
          <t>"complaintManagement.statuses.WAITING": "Awaiting receipt",</t>
        </is>
      </c>
      <c r="O586" s="3" t="n"/>
      <c r="P586" s="3" t="n"/>
      <c r="Q586" s="3" t="n"/>
      <c r="R586" s="3" t="n"/>
      <c r="S586" s="3" t="n"/>
      <c r="T586" s="3" t="n"/>
      <c r="U586" s="3" t="n"/>
      <c r="V586" s="3" t="n"/>
      <c r="W586" s="3" t="n"/>
      <c r="X586" s="3" t="n"/>
      <c r="Y586" s="3" t="n"/>
      <c r="Z586" s="3" t="n"/>
      <c r="AA586" s="3" t="n"/>
    </row>
    <row r="587">
      <c r="A587" s="3" t="inlineStr">
        <is>
          <t>complaintManagement.waiting</t>
        </is>
      </c>
      <c r="B587" s="3" t="inlineStr">
        <is>
          <t>Chờ tiếp nhận</t>
        </is>
      </c>
      <c r="C587" s="3" t="n"/>
      <c r="D587" s="3">
        <f>IFERROR(__xludf.DUMMYFUNCTION("GOOGLETRANSLATE(B587,""vi"",""en"")"),"Awaiting receipt")</f>
        <v/>
      </c>
      <c r="E587" s="3">
        <f>IF(C587&lt;&gt;"",C587, D587)</f>
        <v/>
      </c>
      <c r="F587" s="3" t="n"/>
      <c r="G587" s="3">
        <f>IFERROR(__xludf.DUMMYFUNCTION("GOOGLETRANSLATE(B587,""vi"",""km"")"),"កំពុងរង់ចាំបង្កាន់ដៃ")</f>
        <v/>
      </c>
      <c r="H587" s="3" t="inlineStr">
        <is>
          <t>កំពុងរង់ចាំបុងបញ្ញើ</t>
        </is>
      </c>
      <c r="I587" s="3" t="n"/>
      <c r="J587" s="3">
        <f>IFERROR(__xludf.DUMMYFUNCTION("GOOGLETRANSLATE(B587,""vi"",""lo"")"),"ກຳລັງລໍຖ້າໃບຮັບເງິນ")</f>
        <v/>
      </c>
      <c r="K587" s="3">
        <f>IF(I587&lt;&gt;"",I587, J587)</f>
        <v/>
      </c>
      <c r="L587" s="3" t="inlineStr">
        <is>
          <t>កំពុងរង់ចាំបុងបញ្ញើ</t>
        </is>
      </c>
      <c r="M587" s="3" t="n"/>
      <c r="N587" s="3" t="inlineStr">
        <is>
          <t>"complaintManagement.waiting": "Awaiting receipt",</t>
        </is>
      </c>
      <c r="O587" s="3" t="n"/>
      <c r="P587" s="3" t="n"/>
      <c r="Q587" s="3" t="n"/>
      <c r="R587" s="3" t="n"/>
      <c r="S587" s="3" t="n"/>
      <c r="T587" s="3" t="n"/>
      <c r="U587" s="3" t="n"/>
      <c r="V587" s="3" t="n"/>
      <c r="W587" s="3" t="n"/>
      <c r="X587" s="3" t="n"/>
      <c r="Y587" s="3" t="n"/>
      <c r="Z587" s="3" t="n"/>
      <c r="AA587" s="3" t="n"/>
    </row>
    <row r="588">
      <c r="A588" s="3" t="inlineStr">
        <is>
          <t>createComplaint.extensionHours</t>
        </is>
      </c>
      <c r="B588" s="3" t="inlineStr">
        <is>
          <t>Thời gian gia hạn</t>
        </is>
      </c>
      <c r="C588" s="3" t="n"/>
      <c r="D588" s="3">
        <f>IFERROR(__xludf.DUMMYFUNCTION("GOOGLETRANSLATE(B588,""vi"",""en"")"),"Extension period")</f>
        <v/>
      </c>
      <c r="E588" s="3">
        <f>IF(C588&lt;&gt;"",C588, D588)</f>
        <v/>
      </c>
      <c r="F588" s="3" t="n"/>
      <c r="G588" s="3">
        <f>IFERROR(__xludf.DUMMYFUNCTION("GOOGLETRANSLATE(B588,""vi"",""km"")"),"រយៈពេលបន្ថែម")</f>
        <v/>
      </c>
      <c r="H588" s="3" t="inlineStr">
        <is>
          <t>រយៈពេលបន្ថែម</t>
        </is>
      </c>
      <c r="I588" s="3" t="n"/>
      <c r="J588" s="3">
        <f>IFERROR(__xludf.DUMMYFUNCTION("GOOGLETRANSLATE(B588,""vi"",""lo"")"),"ໄລຍະເວລາຂະຫຍາຍ")</f>
        <v/>
      </c>
      <c r="K588" s="3">
        <f>IF(I588&lt;&gt;"",I588, J588)</f>
        <v/>
      </c>
      <c r="L588" s="3" t="inlineStr">
        <is>
          <t>រយៈពេលបន្ថែម</t>
        </is>
      </c>
      <c r="M588" s="3" t="n"/>
      <c r="N588" s="3" t="inlineStr">
        <is>
          <t>"createComplaint.extensionHours": "Extension period",</t>
        </is>
      </c>
      <c r="O588" s="3" t="n"/>
      <c r="P588" s="3" t="n"/>
      <c r="Q588" s="3" t="n"/>
      <c r="R588" s="3" t="n"/>
      <c r="S588" s="3" t="n"/>
      <c r="T588" s="3" t="n"/>
      <c r="U588" s="3" t="n"/>
      <c r="V588" s="3" t="n"/>
      <c r="W588" s="3" t="n"/>
      <c r="X588" s="3" t="n"/>
      <c r="Y588" s="3" t="n"/>
      <c r="Z588" s="3" t="n"/>
      <c r="AA588" s="3" t="n"/>
    </row>
    <row r="589">
      <c r="A589" s="3" t="inlineStr">
        <is>
          <t>createComplaint.extensionHoursPlaceholder</t>
        </is>
      </c>
      <c r="B589" s="3" t="inlineStr">
        <is>
          <t>Nhập số giờ</t>
        </is>
      </c>
      <c r="C589" s="3" t="n"/>
      <c r="D589" s="3">
        <f>IFERROR(__xludf.DUMMYFUNCTION("GOOGLETRANSLATE(B589,""vi"",""en"")"),"Enter the number of hours")</f>
        <v/>
      </c>
      <c r="E589" s="3">
        <f>IF(C589&lt;&gt;"",C589, D589)</f>
        <v/>
      </c>
      <c r="F589" s="3" t="n"/>
      <c r="G589" s="3">
        <f>IFERROR(__xludf.DUMMYFUNCTION("GOOGLETRANSLATE(B589,""vi"",""km"")"),"បញ្ចូលចំនួនម៉ោង")</f>
        <v/>
      </c>
      <c r="H589" s="3" t="inlineStr">
        <is>
          <t>បញ្ចូលចំនួនម៉ោង</t>
        </is>
      </c>
      <c r="I589" s="3" t="n"/>
      <c r="J589" s="3">
        <f>IFERROR(__xludf.DUMMYFUNCTION("GOOGLETRANSLATE(B589,""vi"",""lo"")"),"ໃສ່ຈຳນວນຊົ່ວໂມງ")</f>
        <v/>
      </c>
      <c r="K589" s="3">
        <f>IF(I589&lt;&gt;"",I589, J589)</f>
        <v/>
      </c>
      <c r="L589" s="3" t="inlineStr">
        <is>
          <t>បញ្ចូលចំនួនម៉ោង</t>
        </is>
      </c>
      <c r="M589" s="3" t="n"/>
      <c r="N589" s="3" t="inlineStr">
        <is>
          <t>"createComplaint.extensionHoursPlaceholder": "Enter the number of hours",</t>
        </is>
      </c>
      <c r="O589" s="3" t="n"/>
      <c r="P589" s="3" t="n"/>
      <c r="Q589" s="3" t="n"/>
      <c r="R589" s="3" t="n"/>
      <c r="S589" s="3" t="n"/>
      <c r="T589" s="3" t="n"/>
      <c r="U589" s="3" t="n"/>
      <c r="V589" s="3" t="n"/>
      <c r="W589" s="3" t="n"/>
      <c r="X589" s="3" t="n"/>
      <c r="Y589" s="3" t="n"/>
      <c r="Z589" s="3" t="n"/>
      <c r="AA589" s="3" t="n"/>
    </row>
    <row r="590">
      <c r="A590" s="3" t="inlineStr">
        <is>
          <t>detailComplaint.historyDetailTitle</t>
        </is>
      </c>
      <c r="B590" s="3" t="inlineStr">
        <is>
          <t>Chi tiết lịch sử tác động</t>
        </is>
      </c>
      <c r="C590" s="3" t="n"/>
      <c r="D590" s="3">
        <f>IFERROR(__xludf.DUMMYFUNCTION("GOOGLETRANSLATE(B590,""vi"",""en"")"),"Detailed history of impact")</f>
        <v/>
      </c>
      <c r="E590" s="3">
        <f>IF(C590&lt;&gt;"",C590, D590)</f>
        <v/>
      </c>
      <c r="F590" s="3" t="n"/>
      <c r="G590" s="3">
        <f>IFERROR(__xludf.DUMMYFUNCTION("GOOGLETRANSLATE(B590,""vi"",""km"")"),"ប្រវត្តិលម្អិតនៃផលប៉ះពាល់")</f>
        <v/>
      </c>
      <c r="H590" s="3" t="inlineStr">
        <is>
          <t>ប្រវត្តិលម្អិតនៃផលប៉ះពាល់</t>
        </is>
      </c>
      <c r="I590" s="3" t="n"/>
      <c r="J590" s="3">
        <f>IFERROR(__xludf.DUMMYFUNCTION("GOOGLETRANSLATE(B590,""vi"",""lo"")"),"ປະຫວັດລະອຽດຂອງຜົນກະທົບ")</f>
        <v/>
      </c>
      <c r="K590" s="3">
        <f>IF(I590&lt;&gt;"",I590, J590)</f>
        <v/>
      </c>
      <c r="L590" s="3" t="inlineStr">
        <is>
          <t>ប្រវត្តិលម្អិតនៃផលប៉ះពាល់</t>
        </is>
      </c>
      <c r="M590" s="3" t="n"/>
      <c r="N590" s="3" t="inlineStr">
        <is>
          <t>"detailComplaint.historyDetailTitle": "Detailed history of impact",</t>
        </is>
      </c>
      <c r="O590" s="3" t="n"/>
      <c r="P590" s="3" t="n"/>
      <c r="Q590" s="3" t="n"/>
      <c r="R590" s="3" t="n"/>
      <c r="S590" s="3" t="n"/>
      <c r="T590" s="3" t="n"/>
      <c r="U590" s="3" t="n"/>
      <c r="V590" s="3" t="n"/>
      <c r="W590" s="3" t="n"/>
      <c r="X590" s="3" t="n"/>
      <c r="Y590" s="3" t="n"/>
      <c r="Z590" s="3" t="n"/>
      <c r="AA590" s="3" t="n"/>
    </row>
    <row r="591">
      <c r="A591" s="3" t="inlineStr">
        <is>
          <t>detailComplaint.responseToCustomer</t>
        </is>
      </c>
      <c r="B591" s="3" t="inlineStr">
        <is>
          <t>Nội dung trả lời khách hàng</t>
        </is>
      </c>
      <c r="C591" s="3" t="n"/>
      <c r="D591" s="3">
        <f>IFERROR(__xludf.DUMMYFUNCTION("GOOGLETRANSLATE(B591,""vi"",""en"")"),"Customer response content")</f>
        <v/>
      </c>
      <c r="E591" s="3">
        <f>IF(C591&lt;&gt;"",C591, D591)</f>
        <v/>
      </c>
      <c r="F591" s="3" t="n"/>
      <c r="G591" s="3">
        <f>IFERROR(__xludf.DUMMYFUNCTION("GOOGLETRANSLATE(B591,""vi"",""km"")"),"ខ្លឹមសារនៃការឆ្លើយតបរបស់អតិថិជន")</f>
        <v/>
      </c>
      <c r="H591" s="3" t="inlineStr">
        <is>
          <t>ខ្លឹមសារនៃការឆ្លើយតបរបស់អតិថិជន</t>
        </is>
      </c>
      <c r="I591" s="3" t="n"/>
      <c r="J591" s="3">
        <f>IFERROR(__xludf.DUMMYFUNCTION("GOOGLETRANSLATE(B591,""vi"",""lo"")"),"ເນື້ອໃນການຕອບສະໜອງຂອງລູກຄ້າ")</f>
        <v/>
      </c>
      <c r="K591" s="3">
        <f>IF(I591&lt;&gt;"",I591, J591)</f>
        <v/>
      </c>
      <c r="L591" s="3" t="inlineStr">
        <is>
          <t>ខ្លឹមសារនៃការឆ្លើយតបរបស់អតិថិជន</t>
        </is>
      </c>
      <c r="M591" s="3" t="n"/>
      <c r="N591" s="3" t="inlineStr">
        <is>
          <t>"detailComplaint.responseToCustomer": "Customer response content",</t>
        </is>
      </c>
      <c r="O591" s="3" t="n"/>
      <c r="P591" s="3" t="n"/>
      <c r="Q591" s="3" t="n"/>
      <c r="R591" s="3" t="n"/>
      <c r="S591" s="3" t="n"/>
      <c r="T591" s="3" t="n"/>
      <c r="U591" s="3" t="n"/>
      <c r="V591" s="3" t="n"/>
      <c r="W591" s="3" t="n"/>
      <c r="X591" s="3" t="n"/>
      <c r="Y591" s="3" t="n"/>
      <c r="Z591" s="3" t="n"/>
      <c r="AA591" s="3" t="n"/>
    </row>
    <row r="592">
      <c r="A592" s="3" t="inlineStr">
        <is>
          <t>detailComplaint.statusAssigned</t>
        </is>
      </c>
      <c r="B592" s="3" t="inlineStr">
        <is>
          <t>Đã phân công</t>
        </is>
      </c>
      <c r="C592" s="3" t="n"/>
      <c r="D592" s="3">
        <f>IFERROR(__xludf.DUMMYFUNCTION("GOOGLETRANSLATE(B592,""vi"",""en"")"),"Assigned")</f>
        <v/>
      </c>
      <c r="E592" s="3">
        <f>IF(C592&lt;&gt;"",C592, D592)</f>
        <v/>
      </c>
      <c r="F592" s="3" t="n"/>
      <c r="G592" s="3">
        <f>IFERROR(__xludf.DUMMYFUNCTION("GOOGLETRANSLATE(B592,""vi"",""km"")"),"បានចាត់តាំង")</f>
        <v/>
      </c>
      <c r="H592" s="3" t="inlineStr">
        <is>
          <t>បានចាត់តាំង</t>
        </is>
      </c>
      <c r="I592" s="3" t="n"/>
      <c r="J592" s="3">
        <f>IFERROR(__xludf.DUMMYFUNCTION("GOOGLETRANSLATE(B592,""vi"",""lo"")"),"ມອບໝາຍແລ້ວ")</f>
        <v/>
      </c>
      <c r="K592" s="3">
        <f>IF(I592&lt;&gt;"",I592, J592)</f>
        <v/>
      </c>
      <c r="L592" s="3" t="inlineStr">
        <is>
          <t>បានចាត់តាំង</t>
        </is>
      </c>
      <c r="M592" s="3" t="n"/>
      <c r="N592" s="3" t="inlineStr">
        <is>
          <t>"detailComplaint.statusAssigned": "Assigned",</t>
        </is>
      </c>
      <c r="O592" s="3" t="n"/>
      <c r="P592" s="3" t="n"/>
      <c r="Q592" s="3" t="n"/>
      <c r="R592" s="3" t="n"/>
      <c r="S592" s="3" t="n"/>
      <c r="T592" s="3" t="n"/>
      <c r="U592" s="3" t="n"/>
      <c r="V592" s="3" t="n"/>
      <c r="W592" s="3" t="n"/>
      <c r="X592" s="3" t="n"/>
      <c r="Y592" s="3" t="n"/>
      <c r="Z592" s="3" t="n"/>
      <c r="AA592" s="3" t="n"/>
    </row>
    <row r="593">
      <c r="A593" s="3" t="inlineStr">
        <is>
          <t>detailComplaint.statusCompleted</t>
        </is>
      </c>
      <c r="B593" s="3" t="inlineStr">
        <is>
          <t>Đã hoàn thành</t>
        </is>
      </c>
      <c r="C593" s="3" t="n"/>
      <c r="D593" s="3">
        <f>IFERROR(__xludf.DUMMYFUNCTION("GOOGLETRANSLATE(B593,""vi"",""en"")"),"Completed")</f>
        <v/>
      </c>
      <c r="E593" s="3">
        <f>IF(C593&lt;&gt;"",C593, D593)</f>
        <v/>
      </c>
      <c r="F593" s="3" t="n"/>
      <c r="G593" s="3">
        <f>IFERROR(__xludf.DUMMYFUNCTION("GOOGLETRANSLATE(B593,""vi"",""km"")"),"បានបញ្ចប់")</f>
        <v/>
      </c>
      <c r="H593" s="3" t="inlineStr">
        <is>
          <t>បានបញ្ចប់</t>
        </is>
      </c>
      <c r="I593" s="3" t="n"/>
      <c r="J593" s="3">
        <f>IFERROR(__xludf.DUMMYFUNCTION("GOOGLETRANSLATE(B593,""vi"",""lo"")"),"ສຳເລັດແລ້ວ")</f>
        <v/>
      </c>
      <c r="K593" s="3">
        <f>IF(I593&lt;&gt;"",I593, J593)</f>
        <v/>
      </c>
      <c r="L593" s="3" t="inlineStr">
        <is>
          <t>បានបញ្ចប់</t>
        </is>
      </c>
      <c r="M593" s="3" t="n"/>
      <c r="N593" s="3" t="inlineStr">
        <is>
          <t>"detailComplaint.statusCompleted": "Completed",</t>
        </is>
      </c>
      <c r="O593" s="3" t="n"/>
      <c r="P593" s="3" t="n"/>
      <c r="Q593" s="3" t="n"/>
      <c r="R593" s="3" t="n"/>
      <c r="S593" s="3" t="n"/>
      <c r="T593" s="3" t="n"/>
      <c r="U593" s="3" t="n"/>
      <c r="V593" s="3" t="n"/>
      <c r="W593" s="3" t="n"/>
      <c r="X593" s="3" t="n"/>
      <c r="Y593" s="3" t="n"/>
      <c r="Z593" s="3" t="n"/>
      <c r="AA593" s="3" t="n"/>
    </row>
    <row r="594">
      <c r="A594" s="3" t="inlineStr">
        <is>
          <t>postOfficeHanding.attachedFile</t>
        </is>
      </c>
      <c r="B594" s="3" t="inlineStr">
        <is>
          <t>File đính kèm</t>
        </is>
      </c>
      <c r="C594" s="3" t="n"/>
      <c r="D594" s="3">
        <f>IFERROR(__xludf.DUMMYFUNCTION("GOOGLETRANSLATE(B594,""vi"",""en"")"),"Attached file")</f>
        <v/>
      </c>
      <c r="E594" s="3">
        <f>IF(C594&lt;&gt;"",C594, D594)</f>
        <v/>
      </c>
      <c r="F594" s="3" t="n"/>
      <c r="G594" s="3">
        <f>IFERROR(__xludf.DUMMYFUNCTION("GOOGLETRANSLATE(B594,""vi"",""km"")"),"ឯកសារភ្ជាប់")</f>
        <v/>
      </c>
      <c r="H594" s="3" t="inlineStr">
        <is>
          <t>ឯកសារភ្ជាប់</t>
        </is>
      </c>
      <c r="I594" s="3" t="n"/>
      <c r="J594" s="3">
        <f>IFERROR(__xludf.DUMMYFUNCTION("GOOGLETRANSLATE(B594,""vi"",""lo"")"),"ໄຟລ໌ແນບ")</f>
        <v/>
      </c>
      <c r="K594" s="3">
        <f>IF(I594&lt;&gt;"",I594, J594)</f>
        <v/>
      </c>
      <c r="L594" s="3" t="inlineStr">
        <is>
          <t>ឯកសារភ្ជាប់</t>
        </is>
      </c>
      <c r="M594" s="3" t="n"/>
      <c r="N594" s="3" t="inlineStr">
        <is>
          <t>"postOfficeHanding.attachedFile": "Attached file",</t>
        </is>
      </c>
      <c r="O594" s="3" t="n"/>
      <c r="P594" s="3" t="n"/>
      <c r="Q594" s="3" t="n"/>
      <c r="R594" s="3" t="n"/>
      <c r="S594" s="3" t="n"/>
      <c r="T594" s="3" t="n"/>
      <c r="U594" s="3" t="n"/>
      <c r="V594" s="3" t="n"/>
      <c r="W594" s="3" t="n"/>
      <c r="X594" s="3" t="n"/>
      <c r="Y594" s="3" t="n"/>
      <c r="Z594" s="3" t="n"/>
      <c r="AA594" s="3" t="n"/>
    </row>
    <row r="595">
      <c r="A595" s="3" t="inlineStr">
        <is>
          <t>postOfficeHanding.btnReceive</t>
        </is>
      </c>
      <c r="B595" s="3" t="inlineStr">
        <is>
          <t>Tiếp nhận</t>
        </is>
      </c>
      <c r="C595" s="3" t="n"/>
      <c r="D595" s="3">
        <f>IFERROR(__xludf.DUMMYFUNCTION("GOOGLETRANSLATE(B595,""vi"",""en"")"),"Reception")</f>
        <v/>
      </c>
      <c r="E595" s="3">
        <f>IF(C595&lt;&gt;"",C595, D595)</f>
        <v/>
      </c>
      <c r="F595" s="3" t="n"/>
      <c r="G595" s="3">
        <f>IFERROR(__xludf.DUMMYFUNCTION("GOOGLETRANSLATE(B595,""vi"",""km"")"),"ពិធីទទួលភ្ញៀវ")</f>
        <v/>
      </c>
      <c r="H595" s="3" t="inlineStr">
        <is>
          <t>ពិធីទទួលភ្ញៀវ</t>
        </is>
      </c>
      <c r="I595" s="3" t="n"/>
      <c r="J595" s="3">
        <f>IFERROR(__xludf.DUMMYFUNCTION("GOOGLETRANSLATE(B595,""vi"",""lo"")"),"ພະນັກງານຕ້ອນຮັບ")</f>
        <v/>
      </c>
      <c r="K595" s="3">
        <f>IF(I595&lt;&gt;"",I595, J595)</f>
        <v/>
      </c>
      <c r="L595" s="3" t="inlineStr">
        <is>
          <t>ពិធីទទួលភ្ញៀវ</t>
        </is>
      </c>
      <c r="M595" s="3" t="n"/>
      <c r="N595" s="3" t="inlineStr">
        <is>
          <t>"postOfficeHanding.btnReceive": "Reception",</t>
        </is>
      </c>
      <c r="O595" s="3" t="n"/>
      <c r="P595" s="3" t="n"/>
      <c r="Q595" s="3" t="n"/>
      <c r="R595" s="3" t="n"/>
      <c r="S595" s="3" t="n"/>
      <c r="T595" s="3" t="n"/>
      <c r="U595" s="3" t="n"/>
      <c r="V595" s="3" t="n"/>
      <c r="W595" s="3" t="n"/>
      <c r="X595" s="3" t="n"/>
      <c r="Y595" s="3" t="n"/>
      <c r="Z595" s="3" t="n"/>
      <c r="AA595" s="3" t="n"/>
    </row>
    <row r="596">
      <c r="A596" s="3" t="inlineStr">
        <is>
          <t>postOfficeHanding.confirmComplete</t>
        </is>
      </c>
      <c r="B596" s="3" t="inlineStr">
        <is>
          <t>Bạn có chắc chắn muốn hoàn thành khiếu nại này?</t>
        </is>
      </c>
      <c r="C596" s="3" t="n"/>
      <c r="D596" s="3">
        <f>IFERROR(__xludf.DUMMYFUNCTION("GOOGLETRANSLATE(B596,""vi"",""en"")"),"Are you sure you want to complete this complaint?")</f>
        <v/>
      </c>
      <c r="E596" s="3">
        <f>IF(C596&lt;&gt;"",C596, D596)</f>
        <v/>
      </c>
      <c r="F596" s="3" t="n"/>
      <c r="G596" s="3">
        <f>IFERROR(__xludf.DUMMYFUNCTION("GOOGLETRANSLATE(B596,""vi"",""km"")"),"តើអ្នកពិតជាចង់បំពេញពាក្យបណ្តឹងនេះមែនទេ?")</f>
        <v/>
      </c>
      <c r="H596" s="3" t="inlineStr">
        <is>
          <t>តើអ្នកពិតជាចង់បំពេញពាក្យបណ្តឹងនេះមែនទេ?</t>
        </is>
      </c>
      <c r="I596" s="3" t="n"/>
      <c r="J596" s="3">
        <f>IFERROR(__xludf.DUMMYFUNCTION("GOOGLETRANSLATE(B596,""vi"",""lo"")"),"ທ່ານແນ່ໃຈບໍ່ວ່າທ່ານຕ້ອງການເຮັດສຳເລັດຄຳຮ້ອງທຸກນີ້?")</f>
        <v/>
      </c>
      <c r="K596" s="3">
        <f>IF(I596&lt;&gt;"",I596, J596)</f>
        <v/>
      </c>
      <c r="L596" s="3" t="inlineStr">
        <is>
          <t>តើអ្នកពិតជាចង់បំពេញពាក្យបណ្តឹងនេះមែនទេ?</t>
        </is>
      </c>
      <c r="M596" s="3" t="n"/>
      <c r="N596" s="3" t="inlineStr">
        <is>
          <t>"postOfficeHanding.confirmComplete": "Are you sure you want to complete this complaint?",</t>
        </is>
      </c>
      <c r="O596" s="3" t="n"/>
      <c r="P596" s="3" t="n"/>
      <c r="Q596" s="3" t="n"/>
      <c r="R596" s="3" t="n"/>
      <c r="S596" s="3" t="n"/>
      <c r="T596" s="3" t="n"/>
      <c r="U596" s="3" t="n"/>
      <c r="V596" s="3" t="n"/>
      <c r="W596" s="3" t="n"/>
      <c r="X596" s="3" t="n"/>
      <c r="Y596" s="3" t="n"/>
      <c r="Z596" s="3" t="n"/>
      <c r="AA596" s="3" t="n"/>
    </row>
    <row r="597">
      <c r="A597" s="3" t="inlineStr">
        <is>
          <t>postOfficeHanding.confirmCompleteTitle</t>
        </is>
      </c>
      <c r="B597" s="3" t="inlineStr">
        <is>
          <t>Xác nhận hoàn thành</t>
        </is>
      </c>
      <c r="C597" s="3" t="n"/>
      <c r="D597" s="3">
        <f>IFERROR(__xludf.DUMMYFUNCTION("GOOGLETRANSLATE(B597,""vi"",""en"")"),"Confirmation of completion")</f>
        <v/>
      </c>
      <c r="E597" s="3">
        <f>IF(C597&lt;&gt;"",C597, D597)</f>
        <v/>
      </c>
      <c r="F597" s="3" t="n"/>
      <c r="G597" s="3">
        <f>IFERROR(__xludf.DUMMYFUNCTION("GOOGLETRANSLATE(B597,""vi"",""km"")"),"ការបញ្ជាក់ពីការបញ្ចប់")</f>
        <v/>
      </c>
      <c r="H597" s="3" t="inlineStr">
        <is>
          <t>ការបញ្ជាក់ពីការបញ្ចប់</t>
        </is>
      </c>
      <c r="I597" s="3" t="n"/>
      <c r="J597" s="3">
        <f>IFERROR(__xludf.DUMMYFUNCTION("GOOGLETRANSLATE(B597,""vi"",""lo"")"),"ການຢືນຢັນການສຳເລັດ")</f>
        <v/>
      </c>
      <c r="K597" s="3">
        <f>IF(I597&lt;&gt;"",I597, J597)</f>
        <v/>
      </c>
      <c r="L597" s="3" t="inlineStr">
        <is>
          <t>ការបញ្ជាក់ពីការបញ្ចប់</t>
        </is>
      </c>
      <c r="M597" s="3" t="n"/>
      <c r="N597" s="3" t="inlineStr">
        <is>
          <t>"postOfficeHanding.confirmCompleteTitle": "Confirmation of completion",</t>
        </is>
      </c>
      <c r="O597" s="3" t="n"/>
      <c r="P597" s="3" t="n"/>
      <c r="Q597" s="3" t="n"/>
      <c r="R597" s="3" t="n"/>
      <c r="S597" s="3" t="n"/>
      <c r="T597" s="3" t="n"/>
      <c r="U597" s="3" t="n"/>
      <c r="V597" s="3" t="n"/>
      <c r="W597" s="3" t="n"/>
      <c r="X597" s="3" t="n"/>
      <c r="Y597" s="3" t="n"/>
      <c r="Z597" s="3" t="n"/>
      <c r="AA597" s="3" t="n"/>
    </row>
    <row r="598">
      <c r="A598" s="3" t="inlineStr">
        <is>
          <t>postOfficeHanding.confirmProcess</t>
        </is>
      </c>
      <c r="B598" s="3" t="inlineStr">
        <is>
          <t>Bạn có chắc chắn muốn chuyển trạng thái sang Đã xử lý?</t>
        </is>
      </c>
      <c r="C598" s="3" t="n"/>
      <c r="D598" s="3">
        <f>IFERROR(__xludf.DUMMYFUNCTION("GOOGLETRANSLATE(B598,""vi"",""en"")"),"Are you sure you want to change the status to Processed?")</f>
        <v/>
      </c>
      <c r="E598" s="3">
        <f>IF(C598&lt;&gt;"",C598, D598)</f>
        <v/>
      </c>
      <c r="F598" s="3" t="n"/>
      <c r="G598" s="3">
        <f>IFERROR(__xludf.DUMMYFUNCTION("GOOGLETRANSLATE(B598,""vi"",""km"")"),"តើអ្នកពិតជាចង់ផ្លាស់ប្តូរស្ថានភាពទៅជា បានដំណើរការហើយមែនទេ?")</f>
        <v/>
      </c>
      <c r="H598" s="3" t="inlineStr">
        <is>
          <t>តើអ្នកពិតជាចង់ផ្លាស់ប្តូរស្ថានភាពទៅជា បានដំណើរការហើយមែនទេ?</t>
        </is>
      </c>
      <c r="I598" s="3" t="n"/>
      <c r="J598" s="3">
        <f>IFERROR(__xludf.DUMMYFUNCTION("GOOGLETRANSLATE(B598,""vi"",""lo"")"),"ທ່ານແນ່ໃຈບໍ່ວ່າທ່ານຕ້ອງການປ່ຽນສະຖານະເປັນ ປະມວນຜົນແລ້ວ?")</f>
        <v/>
      </c>
      <c r="K598" s="3">
        <f>IF(I598&lt;&gt;"",I598, J598)</f>
        <v/>
      </c>
      <c r="L598" s="3" t="inlineStr">
        <is>
          <t>តើអ្នកពិតជាចង់ផ្លាស់ប្តូរស្ថានភាពទៅជា បានដំណើរការហើយមែនទេ?</t>
        </is>
      </c>
      <c r="M598" s="3" t="n"/>
      <c r="N598" s="3" t="inlineStr">
        <is>
          <t>"postOfficeHanding.confirmProcess": "Are you sure you want to change the status to Processed?",</t>
        </is>
      </c>
      <c r="O598" s="3" t="n"/>
      <c r="P598" s="3" t="n"/>
      <c r="Q598" s="3" t="n"/>
      <c r="R598" s="3" t="n"/>
      <c r="S598" s="3" t="n"/>
      <c r="T598" s="3" t="n"/>
      <c r="U598" s="3" t="n"/>
      <c r="V598" s="3" t="n"/>
      <c r="W598" s="3" t="n"/>
      <c r="X598" s="3" t="n"/>
      <c r="Y598" s="3" t="n"/>
      <c r="Z598" s="3" t="n"/>
      <c r="AA598" s="3" t="n"/>
    </row>
    <row r="599">
      <c r="A599" s="3" t="inlineStr">
        <is>
          <t>postOfficeHanding.confirmProcessTitle</t>
        </is>
      </c>
      <c r="B599" s="3" t="inlineStr">
        <is>
          <t>Xác nhận đã xử lý</t>
        </is>
      </c>
      <c r="C599" s="3" t="n"/>
      <c r="D599" s="3">
        <f>IFERROR(__xludf.DUMMYFUNCTION("GOOGLETRANSLATE(B599,""vi"",""en"")"),"Confirmation of processing")</f>
        <v/>
      </c>
      <c r="E599" s="3">
        <f>IF(C599&lt;&gt;"",C599, D599)</f>
        <v/>
      </c>
      <c r="F599" s="3" t="n"/>
      <c r="G599" s="3">
        <f>IFERROR(__xludf.DUMMYFUNCTION("GOOGLETRANSLATE(B599,""vi"",""km"")"),"ការបញ្ជាក់ពីដំណើរការ")</f>
        <v/>
      </c>
      <c r="H599" s="3" t="inlineStr">
        <is>
          <t>ការបញ្ជាក់ពីដំណើរការ</t>
        </is>
      </c>
      <c r="I599" s="3" t="n"/>
      <c r="J599" s="3">
        <f>IFERROR(__xludf.DUMMYFUNCTION("GOOGLETRANSLATE(B599,""vi"",""lo"")"),"ການຢືນຢັນການປະມວນຜົນ")</f>
        <v/>
      </c>
      <c r="K599" s="3">
        <f>IF(I599&lt;&gt;"",I599, J599)</f>
        <v/>
      </c>
      <c r="L599" s="3" t="inlineStr">
        <is>
          <t>ការបញ្ជាក់ពីដំណើរការ</t>
        </is>
      </c>
      <c r="M599" s="3" t="n"/>
      <c r="N599" s="3" t="inlineStr">
        <is>
          <t>"postOfficeHanding.confirmProcessTitle": "Confirmation of processing",</t>
        </is>
      </c>
      <c r="O599" s="3" t="n"/>
      <c r="P599" s="3" t="n"/>
      <c r="Q599" s="3" t="n"/>
      <c r="R599" s="3" t="n"/>
      <c r="S599" s="3" t="n"/>
      <c r="T599" s="3" t="n"/>
      <c r="U599" s="3" t="n"/>
      <c r="V599" s="3" t="n"/>
      <c r="W599" s="3" t="n"/>
      <c r="X599" s="3" t="n"/>
      <c r="Y599" s="3" t="n"/>
      <c r="Z599" s="3" t="n"/>
      <c r="AA599" s="3" t="n"/>
    </row>
    <row r="600">
      <c r="A600" s="3" t="inlineStr">
        <is>
          <t>postOfficeHanding.confirmUpdate</t>
        </is>
      </c>
      <c r="B600" s="3" t="inlineStr">
        <is>
          <t>Bạn có chắc chắn muốn cập nhật thông tin khiếu nại này?</t>
        </is>
      </c>
      <c r="C600" s="3" t="n"/>
      <c r="D600" s="3">
        <f>IFERROR(__xludf.DUMMYFUNCTION("GOOGLETRANSLATE(B600,""vi"",""en"")"),"Are you sure you want to update this complaint information?")</f>
        <v/>
      </c>
      <c r="E600" s="3">
        <f>IF(C600&lt;&gt;"",C600, D600)</f>
        <v/>
      </c>
      <c r="F600" s="3" t="n"/>
      <c r="G600" s="3">
        <f>IFERROR(__xludf.DUMMYFUNCTION("GOOGLETRANSLATE(B600,""vi"",""km"")"),"តើអ្នកពិតជាចង់ធ្វើបច្ចុប្បន្នភាពព័ត៌មានពាក្យបណ្តឹងនេះមែនទេ?")</f>
        <v/>
      </c>
      <c r="H600" s="3" t="inlineStr">
        <is>
          <t>តើអ្នកពិតជាចង់ធ្វើបច្ចុប្បន្នភាពព័ត៌មានពាក្យបណ្តឹងនេះមែនទេ?</t>
        </is>
      </c>
      <c r="I600" s="3" t="n"/>
      <c r="J600" s="3">
        <f>IFERROR(__xludf.DUMMYFUNCTION("GOOGLETRANSLATE(B600,""vi"",""lo"")"),"ທ່ານແນ່ໃຈບໍ່ວ່າທ່ານຕ້ອງການອັບເດດຂໍ້ມູນການຮ້ອງຮຽນນີ້?")</f>
        <v/>
      </c>
      <c r="K600" s="3">
        <f>IF(I600&lt;&gt;"",I600, J600)</f>
        <v/>
      </c>
      <c r="L600" s="3" t="inlineStr">
        <is>
          <t>តើអ្នកពិតជាចង់ធ្វើបច្ចុប្បន្នភាពព័ត៌មានពាក្យបណ្តឹងនេះមែនទេ?</t>
        </is>
      </c>
      <c r="M600" s="3" t="n"/>
      <c r="N600" s="3" t="inlineStr">
        <is>
          <t>"postOfficeHanding.confirmUpdate": "Are you sure you want to update this complaint information?",</t>
        </is>
      </c>
      <c r="O600" s="3" t="n"/>
      <c r="P600" s="3" t="n"/>
      <c r="Q600" s="3" t="n"/>
      <c r="R600" s="3" t="n"/>
      <c r="S600" s="3" t="n"/>
      <c r="T600" s="3" t="n"/>
      <c r="U600" s="3" t="n"/>
      <c r="V600" s="3" t="n"/>
      <c r="W600" s="3" t="n"/>
      <c r="X600" s="3" t="n"/>
      <c r="Y600" s="3" t="n"/>
      <c r="Z600" s="3" t="n"/>
      <c r="AA600" s="3" t="n"/>
    </row>
    <row r="601">
      <c r="A601" s="3" t="inlineStr">
        <is>
          <t>postOfficeHanding.confirmUpdateTitle</t>
        </is>
      </c>
      <c r="B601" s="3" t="inlineStr">
        <is>
          <t>Xác nhận cập nhật</t>
        </is>
      </c>
      <c r="C601" s="3" t="n"/>
      <c r="D601" s="3">
        <f>IFERROR(__xludf.DUMMYFUNCTION("GOOGLETRANSLATE(B601,""vi"",""en"")"),"Confirm update")</f>
        <v/>
      </c>
      <c r="E601" s="3">
        <f>IF(C601&lt;&gt;"",C601, D601)</f>
        <v/>
      </c>
      <c r="F601" s="3" t="n"/>
      <c r="G601" s="3">
        <f>IFERROR(__xludf.DUMMYFUNCTION("GOOGLETRANSLATE(B601,""vi"",""km"")"),"បញ្ជាក់​ការ​ធ្វើ​បច្ចុប្បន្នភាព")</f>
        <v/>
      </c>
      <c r="H601" s="3" t="inlineStr">
        <is>
          <t>បញ្ជាក់ការធ្វើបច្ចុប្បន្នភាព</t>
        </is>
      </c>
      <c r="I601" s="3" t="n"/>
      <c r="J601" s="3">
        <f>IFERROR(__xludf.DUMMYFUNCTION("GOOGLETRANSLATE(B601,""vi"",""lo"")"),"ຢືນຢັນການອັບເດດ")</f>
        <v/>
      </c>
      <c r="K601" s="3">
        <f>IF(I601&lt;&gt;"",I601, J601)</f>
        <v/>
      </c>
      <c r="L601" s="3" t="inlineStr">
        <is>
          <t>បញ្ជាក់ការធ្វើបច្ចុប្បន្នភាព</t>
        </is>
      </c>
      <c r="M601" s="3" t="n"/>
      <c r="N601" s="3" t="inlineStr">
        <is>
          <t>"postOfficeHanding.confirmUpdateTitle": "Confirm update",</t>
        </is>
      </c>
      <c r="O601" s="3" t="n"/>
      <c r="P601" s="3" t="n"/>
      <c r="Q601" s="3" t="n"/>
      <c r="R601" s="3" t="n"/>
      <c r="S601" s="3" t="n"/>
      <c r="T601" s="3" t="n"/>
      <c r="U601" s="3" t="n"/>
      <c r="V601" s="3" t="n"/>
      <c r="W601" s="3" t="n"/>
      <c r="X601" s="3" t="n"/>
      <c r="Y601" s="3" t="n"/>
      <c r="Z601" s="3" t="n"/>
      <c r="AA601" s="3" t="n"/>
    </row>
    <row r="602">
      <c r="A602" s="3" t="inlineStr">
        <is>
          <t>postOfficeHanding.tooltipCompleteFaultChanged</t>
        </is>
      </c>
      <c r="B602" s="3" t="inlineStr">
        <is>
          <t>Vui lòng nhấn Cập nhật để lưu thay đổi trước khi hoàn thành</t>
        </is>
      </c>
      <c r="C602" s="3" t="n"/>
      <c r="D602" s="3">
        <f>IFERROR(__xludf.DUMMYFUNCTION("GOOGLETRANSLATE(B602,""vi"",""en"")"),"Please click Update to save your changes before finalizing.")</f>
        <v/>
      </c>
      <c r="E602" s="3">
        <f>IF(C602&lt;&gt;"",C602, D602)</f>
        <v/>
      </c>
      <c r="F602" s="3" t="n"/>
      <c r="G602" s="3">
        <f>IFERROR(__xludf.DUMMYFUNCTION("GOOGLETRANSLATE(B602,""vi"",""km"")"),"សូមចុច ធ្វើបច្ចុប្បន្នភាព ដើម្បីរក្សាទុកការផ្លាស់ប្តូររបស់អ្នក មុនពេលបញ្ចប់។")</f>
        <v/>
      </c>
      <c r="H602" s="3" t="inlineStr">
        <is>
          <t>សូមចុច ធ្វើបច្ចុប្បន្នភាព ដើម្បីរក្សាទុកការផ្លាស់ប្តូររបស់អ្នក មុនពេលបញ្ចប់។</t>
        </is>
      </c>
      <c r="I602" s="3" t="n"/>
      <c r="J602" s="3">
        <f>IFERROR(__xludf.DUMMYFUNCTION("GOOGLETRANSLATE(B602,""vi"",""lo"")"),"ກະລຸນາຄລິກ ອັບເດດ ເພື່ອບັນທຶກການປ່ຽນແປງຂອງທ່ານກ່ອນທີ່ຈະສຳເລັດ.")</f>
        <v/>
      </c>
      <c r="K602" s="3">
        <f>IF(I602&lt;&gt;"",I602, J602)</f>
        <v/>
      </c>
      <c r="L602" s="3" t="inlineStr">
        <is>
          <t>សូមចុច ធ្វើបច្ចុប្បន្នភាព ដើម្បីរក្សាទុកការផ្លាស់ប្តូររបស់អ្នក មុនពេលបញ្ចប់។</t>
        </is>
      </c>
      <c r="M602" s="3" t="n"/>
      <c r="N602" s="3" t="inlineStr">
        <is>
          <t>"postOfficeHanding.tooltipCompleteFaultChanged": "Please click Update to save your changes before finalizing.",</t>
        </is>
      </c>
      <c r="O602" s="3" t="n"/>
      <c r="P602" s="3" t="n"/>
      <c r="Q602" s="3" t="n"/>
      <c r="R602" s="3" t="n"/>
      <c r="S602" s="3" t="n"/>
      <c r="T602" s="3" t="n"/>
      <c r="U602" s="3" t="n"/>
      <c r="V602" s="3" t="n"/>
      <c r="W602" s="3" t="n"/>
      <c r="X602" s="3" t="n"/>
      <c r="Y602" s="3" t="n"/>
      <c r="Z602" s="3" t="n"/>
      <c r="AA602" s="3" t="n"/>
    </row>
    <row r="603">
      <c r="A603" s="3" t="inlineStr">
        <is>
          <t>settingComplaint.feedbackCategorySetup.addFeedbackLevel1TitleModal</t>
        </is>
      </c>
      <c r="B603" s="3" t="inlineStr">
        <is>
          <t>Thêm phân loại phản ánh cấp 1</t>
        </is>
      </c>
      <c r="C603" s="3" t="n"/>
      <c r="D603" s="3">
        <f>IFERROR(__xludf.DUMMYFUNCTION("GOOGLETRANSLATE(B603,""vi"",""en"")"),"Add classifications reflecting level 1")</f>
        <v/>
      </c>
      <c r="E603" s="3">
        <f>IF(C603&lt;&gt;"",C603, D603)</f>
        <v/>
      </c>
      <c r="F603" s="3" t="n"/>
      <c r="G603" s="3">
        <f>IFERROR(__xludf.DUMMYFUNCTION("GOOGLETRANSLATE(B603,""vi"",""km"")"),"បន្ថែមចំណាត់ថ្នាក់ដែលឆ្លុះបញ្ចាំងពីកម្រិត 1")</f>
        <v/>
      </c>
      <c r="H603" s="3" t="inlineStr">
        <is>
          <t>បន្ថែមចំណាត់ថ្នាក់ដែលឆ្លុះបញ្ចាំងពីកម្រិត 1</t>
        </is>
      </c>
      <c r="I603" s="3" t="n"/>
      <c r="J603" s="3">
        <f>IFERROR(__xludf.DUMMYFUNCTION("GOOGLETRANSLATE(B603,""vi"",""lo"")"),"ເພີ່ມການຈັດປະເພດທີ່ສະທ້ອນເຖິງລະດັບ 1")</f>
        <v/>
      </c>
      <c r="K603" s="3">
        <f>IF(I603&lt;&gt;"",I603, J603)</f>
        <v/>
      </c>
      <c r="L603" s="3" t="inlineStr">
        <is>
          <t>បន្ថែមចំណាត់ថ្នាក់ដែលឆ្លុះបញ្ចាំងពីកម្រិត 1</t>
        </is>
      </c>
      <c r="M603" s="3" t="n"/>
      <c r="N603" s="3" t="inlineStr">
        <is>
          <t>"settingComplaint.feedbackCategorySetup.addFeedbackLevel1TitleModal": "Add classifications reflecting level 1",</t>
        </is>
      </c>
      <c r="O603" s="3" t="n"/>
      <c r="P603" s="3" t="n"/>
      <c r="Q603" s="3" t="n"/>
      <c r="R603" s="3" t="n"/>
      <c r="S603" s="3" t="n"/>
      <c r="T603" s="3" t="n"/>
      <c r="U603" s="3" t="n"/>
      <c r="V603" s="3" t="n"/>
      <c r="W603" s="3" t="n"/>
      <c r="X603" s="3" t="n"/>
      <c r="Y603" s="3" t="n"/>
      <c r="Z603" s="3" t="n"/>
      <c r="AA603" s="3" t="n"/>
    </row>
    <row r="604">
      <c r="A604" s="3" t="inlineStr">
        <is>
          <t>settingComplaint.feedbackCategorySetup.addFeedbackLevel2TitleModal</t>
        </is>
      </c>
      <c r="B604" s="3" t="inlineStr">
        <is>
          <t>Thêm phân loại phản ánh cấp 2</t>
        </is>
      </c>
      <c r="C604" s="3" t="n"/>
      <c r="D604" s="3">
        <f>IFERROR(__xludf.DUMMYFUNCTION("GOOGLETRANSLATE(B604,""vi"",""en"")"),"Add classifications that reflect level 2.")</f>
        <v/>
      </c>
      <c r="E604" s="3">
        <f>IF(C604&lt;&gt;"",C604, D604)</f>
        <v/>
      </c>
      <c r="F604" s="3" t="n"/>
      <c r="G604" s="3">
        <f>IFERROR(__xludf.DUMMYFUNCTION("GOOGLETRANSLATE(B604,""vi"",""km"")"),"បន្ថែមចំណាត់ថ្នាក់ដែលឆ្លុះបញ្ចាំងពីកម្រិតទី 2។")</f>
        <v/>
      </c>
      <c r="H604" s="3" t="inlineStr">
        <is>
          <t>បន្ថែមចំណាត់ថ្នាក់ដែលឆ្លុះបញ្ចាំងពីកម្រិតទី 2។</t>
        </is>
      </c>
      <c r="I604" s="3" t="n"/>
      <c r="J604" s="3">
        <f>IFERROR(__xludf.DUMMYFUNCTION("GOOGLETRANSLATE(B604,""vi"",""lo"")"),"ເພີ່ມການຈັດປະເພດທີ່ສະທ້ອນເຖິງລະດັບ 2.")</f>
        <v/>
      </c>
      <c r="K604" s="3">
        <f>IF(I604&lt;&gt;"",I604, J604)</f>
        <v/>
      </c>
      <c r="L604" s="3" t="inlineStr">
        <is>
          <t>បន្ថែមចំណាត់ថ្នាក់ដែលឆ្លុះបញ្ចាំងពីកម្រិតទី 2។</t>
        </is>
      </c>
      <c r="M604" s="3" t="n"/>
      <c r="N604" s="3" t="inlineStr">
        <is>
          <t>"settingComplaint.feedbackCategorySetup.addFeedbackLevel2TitleModal": "Add classifications that reflect level 2.",</t>
        </is>
      </c>
      <c r="O604" s="3" t="n"/>
      <c r="P604" s="3" t="n"/>
      <c r="Q604" s="3" t="n"/>
      <c r="R604" s="3" t="n"/>
      <c r="S604" s="3" t="n"/>
      <c r="T604" s="3" t="n"/>
      <c r="U604" s="3" t="n"/>
      <c r="V604" s="3" t="n"/>
      <c r="W604" s="3" t="n"/>
      <c r="X604" s="3" t="n"/>
      <c r="Y604" s="3" t="n"/>
      <c r="Z604" s="3" t="n"/>
      <c r="AA604" s="3" t="n"/>
    </row>
    <row r="605">
      <c r="A605" s="3" t="inlineStr">
        <is>
          <t>settingComplaint.feedbackCategorySetup.addPLLevel1</t>
        </is>
      </c>
      <c r="B605" s="3" t="inlineStr">
        <is>
          <t>Tên PL cấp 1</t>
        </is>
      </c>
      <c r="C605" s="3" t="n"/>
      <c r="D605" s="3">
        <f>IFERROR(__xludf.DUMMYFUNCTION("GOOGLETRANSLATE(B605,""vi"",""en"")"),"Level 1 PL Name")</f>
        <v/>
      </c>
      <c r="E605" s="3">
        <f>IF(C605&lt;&gt;"",C605, D605)</f>
        <v/>
      </c>
      <c r="F605" s="3" t="n"/>
      <c r="G605" s="3">
        <f>IFERROR(__xludf.DUMMYFUNCTION("GOOGLETRANSLATE(B605,""vi"",""km"")"),"ឈ្មោះ PL កម្រិត 1")</f>
        <v/>
      </c>
      <c r="H605" s="3" t="inlineStr">
        <is>
          <t>ឈ្មោះ PL កម្រិត 1</t>
        </is>
      </c>
      <c r="I605" s="3" t="n"/>
      <c r="J605" s="3">
        <f>IFERROR(__xludf.DUMMYFUNCTION("GOOGLETRANSLATE(B605,""vi"",""lo"")"),"ຊື່ PL ລະດັບ 1")</f>
        <v/>
      </c>
      <c r="K605" s="3">
        <f>IF(I605&lt;&gt;"",I605, J605)</f>
        <v/>
      </c>
      <c r="L605" s="3" t="inlineStr">
        <is>
          <t>ឈ្មោះ PL កម្រិត 1</t>
        </is>
      </c>
      <c r="M605" s="3" t="n"/>
      <c r="N605" s="3" t="inlineStr">
        <is>
          <t>"settingComplaint.feedbackCategorySetup.addPLLevel1": "Level 1 PL Name",</t>
        </is>
      </c>
      <c r="O605" s="3" t="n"/>
      <c r="P605" s="3" t="n"/>
      <c r="Q605" s="3" t="n"/>
      <c r="R605" s="3" t="n"/>
      <c r="S605" s="3" t="n"/>
      <c r="T605" s="3" t="n"/>
      <c r="U605" s="3" t="n"/>
      <c r="V605" s="3" t="n"/>
      <c r="W605" s="3" t="n"/>
      <c r="X605" s="3" t="n"/>
      <c r="Y605" s="3" t="n"/>
      <c r="Z605" s="3" t="n"/>
      <c r="AA605" s="3" t="n"/>
    </row>
    <row r="606">
      <c r="A606" s="3" t="inlineStr">
        <is>
          <t>settingComplaint.feedbackCategorySetup.addPLLevel2</t>
        </is>
      </c>
      <c r="B606" s="3" t="inlineStr">
        <is>
          <t>Tên PL cấp 2</t>
        </is>
      </c>
      <c r="C606" s="3" t="n"/>
      <c r="D606" s="3">
        <f>IFERROR(__xludf.DUMMYFUNCTION("GOOGLETRANSLATE(B606,""vi"",""en"")"),"Level 2 PL Name")</f>
        <v/>
      </c>
      <c r="E606" s="3">
        <f>IF(C606&lt;&gt;"",C606, D606)</f>
        <v/>
      </c>
      <c r="F606" s="3" t="n"/>
      <c r="G606" s="3">
        <f>IFERROR(__xludf.DUMMYFUNCTION("GOOGLETRANSLATE(B606,""vi"",""km"")"),"ឈ្មោះ PL កម្រិត 2")</f>
        <v/>
      </c>
      <c r="H606" s="3" t="inlineStr">
        <is>
          <t>ឈ្មោះ PL កម្រិត 2</t>
        </is>
      </c>
      <c r="I606" s="3" t="n"/>
      <c r="J606" s="3">
        <f>IFERROR(__xludf.DUMMYFUNCTION("GOOGLETRANSLATE(B606,""vi"",""lo"")"),"ຊື່ PL ລະດັບ 2")</f>
        <v/>
      </c>
      <c r="K606" s="3">
        <f>IF(I606&lt;&gt;"",I606, J606)</f>
        <v/>
      </c>
      <c r="L606" s="3" t="inlineStr">
        <is>
          <t>ឈ្មោះ PL កម្រិត 2</t>
        </is>
      </c>
      <c r="M606" s="3" t="n"/>
      <c r="N606" s="3" t="inlineStr">
        <is>
          <t>"settingComplaint.feedbackCategorySetup.addPLLevel2": "Level 2 PL Name",</t>
        </is>
      </c>
      <c r="O606" s="3" t="n"/>
      <c r="P606" s="3" t="n"/>
      <c r="Q606" s="3" t="n"/>
      <c r="R606" s="3" t="n"/>
      <c r="S606" s="3" t="n"/>
      <c r="T606" s="3" t="n"/>
      <c r="U606" s="3" t="n"/>
      <c r="V606" s="3" t="n"/>
      <c r="W606" s="3" t="n"/>
      <c r="X606" s="3" t="n"/>
      <c r="Y606" s="3" t="n"/>
      <c r="Z606" s="3" t="n"/>
      <c r="AA606" s="3" t="n"/>
    </row>
    <row r="607">
      <c r="A607" s="3" t="inlineStr">
        <is>
          <t>settingComplaint.feedbackCategorySetup.feedbackLevel1Title</t>
        </is>
      </c>
      <c r="B607" s="3" t="inlineStr">
        <is>
          <t>Cấu hình phân loại phản ánh cấp 1</t>
        </is>
      </c>
      <c r="C607" s="3" t="n"/>
      <c r="D607" s="3">
        <f>IFERROR(__xludf.DUMMYFUNCTION("GOOGLETRANSLATE(B607,""vi"",""en"")"),"The classification configuration reflects level 1.")</f>
        <v/>
      </c>
      <c r="E607" s="3">
        <f>IF(C607&lt;&gt;"",C607, D607)</f>
        <v/>
      </c>
      <c r="F607" s="3" t="n"/>
      <c r="G607" s="3">
        <f>IFERROR(__xludf.DUMMYFUNCTION("GOOGLETRANSLATE(B607,""vi"",""km"")"),"ការកំណត់រចនាសម្ព័ន្ធចំណាត់ថ្នាក់ឆ្លុះបញ្ចាំងពីកម្រិតទី 1។")</f>
        <v/>
      </c>
      <c r="H607" s="3" t="inlineStr">
        <is>
          <t>ការកំណត់រចនាសម្ព័ន្ធចំណាត់ថ្នាក់ឆ្លុះបញ្ចាំងពីកម្រិតទី 1។</t>
        </is>
      </c>
      <c r="I607" s="3" t="n"/>
      <c r="J607" s="3">
        <f>IFERROR(__xludf.DUMMYFUNCTION("GOOGLETRANSLATE(B607,""vi"",""lo"")"),"ການຕັ້ງຄ່າການຈັດປະເພດສະທ້ອນໃຫ້ເຫັນເຖິງລະດັບ 1.")</f>
        <v/>
      </c>
      <c r="K607" s="3">
        <f>IF(I607&lt;&gt;"",I607, J607)</f>
        <v/>
      </c>
      <c r="L607" s="3" t="inlineStr">
        <is>
          <t>ការកំណត់រចនាសម្ព័ន្ធចំណាត់ថ្នាក់ឆ្លុះបញ្ចាំងពីកម្រិតទី 1។</t>
        </is>
      </c>
      <c r="M607" s="3" t="n"/>
      <c r="N607" s="3" t="inlineStr">
        <is>
          <t>"settingComplaint.feedbackCategorySetup.feedbackLevel1Title": "The classification configuration reflects level 1.",</t>
        </is>
      </c>
      <c r="O607" s="3" t="n"/>
      <c r="P607" s="3" t="n"/>
      <c r="Q607" s="3" t="n"/>
      <c r="R607" s="3" t="n"/>
      <c r="S607" s="3" t="n"/>
      <c r="T607" s="3" t="n"/>
      <c r="U607" s="3" t="n"/>
      <c r="V607" s="3" t="n"/>
      <c r="W607" s="3" t="n"/>
      <c r="X607" s="3" t="n"/>
      <c r="Y607" s="3" t="n"/>
      <c r="Z607" s="3" t="n"/>
      <c r="AA607" s="3" t="n"/>
    </row>
    <row r="608">
      <c r="A608" s="3" t="inlineStr">
        <is>
          <t>settingComplaint.feedbackCategorySetup.feedbackLevel2Title</t>
        </is>
      </c>
      <c r="B608" s="3" t="inlineStr">
        <is>
          <t>Cấu hình phân loại phản ánh cấp 2</t>
        </is>
      </c>
      <c r="C608" s="3" t="n"/>
      <c r="D608" s="3">
        <f>IFERROR(__xludf.DUMMYFUNCTION("GOOGLETRANSLATE(B608,""vi"",""en"")"),"The classification configuration reflects level 2.")</f>
        <v/>
      </c>
      <c r="E608" s="3">
        <f>IF(C608&lt;&gt;"",C608, D608)</f>
        <v/>
      </c>
      <c r="F608" s="3" t="n"/>
      <c r="G608" s="3">
        <f>IFERROR(__xludf.DUMMYFUNCTION("GOOGLETRANSLATE(B608,""vi"",""km"")"),"ការកំណត់រចនាសម្ព័ន្ធចំណាត់ថ្នាក់ឆ្លុះបញ្ចាំងពីកម្រិតទី 2។")</f>
        <v/>
      </c>
      <c r="H608" s="3" t="inlineStr">
        <is>
          <t>ការកំណត់រចនាសម្ព័ន្ធចំណាត់ថ្នាក់ឆ្លុះបញ្ចាំងពីកម្រិតទី 2។</t>
        </is>
      </c>
      <c r="I608" s="3" t="n"/>
      <c r="J608" s="3">
        <f>IFERROR(__xludf.DUMMYFUNCTION("GOOGLETRANSLATE(B608,""vi"",""lo"")"),"ການຈັດປະເພດສະທ້ອນໃຫ້ເຫັນເຖິງລະດັບ 2.")</f>
        <v/>
      </c>
      <c r="K608" s="3">
        <f>IF(I608&lt;&gt;"",I608, J608)</f>
        <v/>
      </c>
      <c r="L608" s="3" t="inlineStr">
        <is>
          <t>ការកំណត់រចនាសម្ព័ន្ធចំណាត់ថ្នាក់ឆ្លុះបញ្ចាំងពីកម្រិតទី 2។</t>
        </is>
      </c>
      <c r="M608" s="3" t="n"/>
      <c r="N608" s="3" t="inlineStr">
        <is>
          <t>"settingComplaint.feedbackCategorySetup.feedbackLevel2Title": "The classification configuration reflects level 2.",</t>
        </is>
      </c>
      <c r="O608" s="3" t="n"/>
      <c r="P608" s="3" t="n"/>
      <c r="Q608" s="3" t="n"/>
      <c r="R608" s="3" t="n"/>
      <c r="S608" s="3" t="n"/>
      <c r="T608" s="3" t="n"/>
      <c r="U608" s="3" t="n"/>
      <c r="V608" s="3" t="n"/>
      <c r="W608" s="3" t="n"/>
      <c r="X608" s="3" t="n"/>
      <c r="Y608" s="3" t="n"/>
      <c r="Z608" s="3" t="n"/>
      <c r="AA608" s="3" t="n"/>
    </row>
    <row r="609">
      <c r="A609" s="3" t="inlineStr">
        <is>
          <t>validation.extensionHoursExceedMax</t>
        </is>
      </c>
      <c r="B609" s="3" t="inlineStr">
        <is>
          <t>Số giờ gia hạn không được vượt quá {{max}} giờ</t>
        </is>
      </c>
      <c r="C609" s="3" t="n"/>
      <c r="D609" s="3">
        <f>IFERROR(__xludf.DUMMYFUNCTION("GOOGLETRANSLATE(B609,""vi"",""en"")"),"The extension period must not exceed {{max}} hours")</f>
        <v/>
      </c>
      <c r="E609" s="3">
        <f>IF(C609&lt;&gt;"",C609, D609)</f>
        <v/>
      </c>
      <c r="F609" s="3" t="n"/>
      <c r="G609" s="3">
        <f>IFERROR(__xludf.DUMMYFUNCTION("GOOGLETRANSLATE(B609,""vi"",""km"")"),"រយៈពេលបន្ថែមមិនត្រូវលើសពី {{max}} ម៉ោងទេ")</f>
        <v/>
      </c>
      <c r="H609" s="3" t="inlineStr">
        <is>
          <t>រយៈពេលបន្ថែមមិនត្រូវលើសពី {{max}} ម៉ោងទេ</t>
        </is>
      </c>
      <c r="I609" s="3" t="n"/>
      <c r="J609" s="3">
        <f>IFERROR(__xludf.DUMMYFUNCTION("GOOGLETRANSLATE(B609,""vi"",""lo"")"),"ໄລຍະເວລາຂະຫຍາຍຕ້ອງບໍ່ເກີນ {{max}} ຊົ່ວໂມງ")</f>
        <v/>
      </c>
      <c r="K609" s="3">
        <f>IF(I609&lt;&gt;"",I609, J609)</f>
        <v/>
      </c>
      <c r="L609" s="3" t="inlineStr">
        <is>
          <t>រយៈពេលបន្ថែមមិនត្រូវលើសពី {{max}} ម៉ោងទេ</t>
        </is>
      </c>
      <c r="M609" s="3" t="n"/>
      <c r="N609" s="3" t="inlineStr">
        <is>
          <t>"validation.extensionHoursExceedMax": "The extension period must not exceed {{max}} hours",</t>
        </is>
      </c>
      <c r="O609" s="3" t="n"/>
      <c r="P609" s="3" t="n"/>
      <c r="Q609" s="3" t="n"/>
      <c r="R609" s="3" t="n"/>
      <c r="S609" s="3" t="n"/>
      <c r="T609" s="3" t="n"/>
      <c r="U609" s="3" t="n"/>
      <c r="V609" s="3" t="n"/>
      <c r="W609" s="3" t="n"/>
      <c r="X609" s="3" t="n"/>
      <c r="Y609" s="3" t="n"/>
      <c r="Z609" s="3" t="n"/>
      <c r="AA609" s="3" t="n"/>
    </row>
    <row r="610">
      <c r="A610" s="3" t="inlineStr">
        <is>
          <t>validation.extensionHoursInvalid</t>
        </is>
      </c>
      <c r="B610" s="3" t="inlineStr">
        <is>
          <t>Số giờ gia hạn phải lớn hơn 0 và tối đa 4 ký tự</t>
        </is>
      </c>
      <c r="C610" s="3" t="n"/>
      <c r="D610" s="3">
        <f>IFERROR(__xludf.DUMMYFUNCTION("GOOGLETRANSLATE(B610,""vi"",""en"")"),"The extension number must be greater than 0 and a maximum of 4 characters.")</f>
        <v/>
      </c>
      <c r="E610" s="3">
        <f>IF(C610&lt;&gt;"",C610, D610)</f>
        <v/>
      </c>
      <c r="F610" s="3" t="n"/>
      <c r="G610" s="3">
        <f>IFERROR(__xludf.DUMMYFUNCTION("GOOGLETRANSLATE(B610,""vi"",""km"")"),"លេខ​ផ្នែក​បន្ថែម​ត្រូវតែ​ធំជាង ០ និង​អតិបរមា ៤ តួអក្សរ។")</f>
        <v/>
      </c>
      <c r="H610" s="3" t="inlineStr">
        <is>
          <t>លេខផ្នែកបន្ថែមត្រូវតែធំជាង ០ និងអតិបរមា ៤ តួអក្សរ។</t>
        </is>
      </c>
      <c r="I610" s="3" t="n"/>
      <c r="J610" s="3">
        <f>IFERROR(__xludf.DUMMYFUNCTION("GOOGLETRANSLATE(B610,""vi"",""lo"")"),"ໝາຍເລກຕໍ່ຕ້ອງຫຼາຍກວ່າ 0 ແລະສູງສຸດ 4 ຕົວອັກສອນ.")</f>
        <v/>
      </c>
      <c r="K610" s="3">
        <f>IF(I610&lt;&gt;"",I610, J610)</f>
        <v/>
      </c>
      <c r="L610" s="3" t="inlineStr">
        <is>
          <t>លេខផ្នែកបន្ថែមត្រូវតែធំជាង ០ និងអតិបរមា ៤ តួអក្សរ។</t>
        </is>
      </c>
      <c r="M610" s="3" t="n"/>
      <c r="N610" s="3" t="inlineStr">
        <is>
          <t>"validation.extensionHoursInvalid": "The extension number must be greater than 0 and a maximum of 4 characters.",</t>
        </is>
      </c>
      <c r="O610" s="3" t="n"/>
      <c r="P610" s="3" t="n"/>
      <c r="Q610" s="3" t="n"/>
      <c r="R610" s="3" t="n"/>
      <c r="S610" s="3" t="n"/>
      <c r="T610" s="3" t="n"/>
      <c r="U610" s="3" t="n"/>
      <c r="V610" s="3" t="n"/>
      <c r="W610" s="3" t="n"/>
      <c r="X610" s="3" t="n"/>
      <c r="Y610" s="3" t="n"/>
      <c r="Z610" s="3" t="n"/>
      <c r="AA610" s="3" t="n"/>
    </row>
    <row r="611">
      <c r="A611" s="3" t="inlineStr">
        <is>
          <t>validation.greaterThanZeroCreate</t>
        </is>
      </c>
      <c r="B611" s="3" t="inlineStr">
        <is>
          <t>Thời gian phải lớn hơn 0</t>
        </is>
      </c>
      <c r="C611" s="3" t="n"/>
      <c r="D611" s="3">
        <f>IFERROR(__xludf.DUMMYFUNCTION("GOOGLETRANSLATE(B611,""vi"",""en"")"),"The time must be greater than 0.")</f>
        <v/>
      </c>
      <c r="E611" s="3">
        <f>IF(C611&lt;&gt;"",C611, D611)</f>
        <v/>
      </c>
      <c r="F611" s="3" t="n"/>
      <c r="G611" s="3">
        <f>IFERROR(__xludf.DUMMYFUNCTION("GOOGLETRANSLATE(B611,""vi"",""km"")"),"ពេលវេលាត្រូវតែធំជាង ០។")</f>
        <v/>
      </c>
      <c r="H611" s="3" t="inlineStr">
        <is>
          <t>ពេលវេលាត្រូវតែធំជាង ០។</t>
        </is>
      </c>
      <c r="I611" s="3" t="n"/>
      <c r="J611" s="3">
        <f>IFERROR(__xludf.DUMMYFUNCTION("GOOGLETRANSLATE(B611,""vi"",""lo"")"),"ເວລາຕ້ອງຫຼາຍກວ່າ 0.")</f>
        <v/>
      </c>
      <c r="K611" s="3">
        <f>IF(I611&lt;&gt;"",I611, J611)</f>
        <v/>
      </c>
      <c r="L611" s="3" t="inlineStr">
        <is>
          <t>ពេលវេលាត្រូវតែធំជាង ០។</t>
        </is>
      </c>
      <c r="M611" s="3" t="n"/>
      <c r="N611" s="3" t="inlineStr">
        <is>
          <t>"validation.greaterThanZeroCreate": "The time must be greater than 0.",</t>
        </is>
      </c>
      <c r="O611" s="3" t="n"/>
      <c r="P611" s="3" t="n"/>
      <c r="Q611" s="3" t="n"/>
      <c r="R611" s="3" t="n"/>
      <c r="S611" s="3" t="n"/>
      <c r="T611" s="3" t="n"/>
      <c r="U611" s="3" t="n"/>
      <c r="V611" s="3" t="n"/>
      <c r="W611" s="3" t="n"/>
      <c r="X611" s="3" t="n"/>
      <c r="Y611" s="3" t="n"/>
      <c r="Z611" s="3" t="n"/>
      <c r="AA611" s="3" t="n"/>
    </row>
    <row r="612">
      <c r="A612" s="3" t="inlineStr">
        <is>
          <t>validation.maxLengthCode</t>
        </is>
      </c>
      <c r="B612" s="3" t="inlineStr">
        <is>
          <t>Mã phân loại không được vượt quá {{max}} ký tự</t>
        </is>
      </c>
      <c r="C612" s="3" t="n"/>
      <c r="D612" s="3">
        <f>IFERROR(__xludf.DUMMYFUNCTION("GOOGLETRANSLATE(B612,""vi"",""en"")"),"The classification code must not exceed {{max}} characters.")</f>
        <v/>
      </c>
      <c r="E612" s="3">
        <f>IF(C612&lt;&gt;"",C612, D612)</f>
        <v/>
      </c>
      <c r="F612" s="3" t="n"/>
      <c r="G612" s="3">
        <f>IFERROR(__xludf.DUMMYFUNCTION("GOOGLETRANSLATE(B612,""vi"",""km"")"),"លេខកូដចំណាត់ថ្នាក់មិនត្រូវលើសពី {{max}} តួអក្សរទេ។")</f>
        <v/>
      </c>
      <c r="H612" s="3" t="inlineStr">
        <is>
          <t>លេខកូដចំណាត់ថ្នាក់មិនត្រូវលើសពី {{max}} តួអក្សរទេ។</t>
        </is>
      </c>
      <c r="I612" s="3" t="n"/>
      <c r="J612" s="3">
        <f>IFERROR(__xludf.DUMMYFUNCTION("GOOGLETRANSLATE(B612,""vi"",""lo"")"),"ລະຫັດການຈັດປະເພດຕ້ອງບໍ່ເກີນ {{max}} ຕົວອັກສອນ.")</f>
        <v/>
      </c>
      <c r="K612" s="3">
        <f>IF(I612&lt;&gt;"",I612, J612)</f>
        <v/>
      </c>
      <c r="L612" s="3" t="inlineStr">
        <is>
          <t>លេខកូដចំណាត់ថ្នាក់មិនត្រូវលើសពី {{max}} តួអក្សរទេ។</t>
        </is>
      </c>
      <c r="M612" s="3" t="n"/>
      <c r="N612" s="3" t="inlineStr">
        <is>
          <t>"validation.maxLengthCode": "The classification code must not exceed {{max}} characters.",</t>
        </is>
      </c>
      <c r="O612" s="3" t="n"/>
      <c r="P612" s="3" t="n"/>
      <c r="Q612" s="3" t="n"/>
      <c r="R612" s="3" t="n"/>
      <c r="S612" s="3" t="n"/>
      <c r="T612" s="3" t="n"/>
      <c r="U612" s="3" t="n"/>
      <c r="V612" s="3" t="n"/>
      <c r="W612" s="3" t="n"/>
      <c r="X612" s="3" t="n"/>
      <c r="Y612" s="3" t="n"/>
      <c r="Z612" s="3" t="n"/>
      <c r="AA612" s="3" t="n"/>
    </row>
    <row r="613">
      <c r="A613" s="3" t="inlineStr">
        <is>
          <t>validation.noSpecialCharCode</t>
        </is>
      </c>
      <c r="B613" s="3" t="inlineStr">
        <is>
          <t>Mã lý do không đúng định dạng</t>
        </is>
      </c>
      <c r="C613" s="3" t="n"/>
      <c r="D613" s="3">
        <f>IFERROR(__xludf.DUMMYFUNCTION("GOOGLETRANSLATE(B613,""vi"",""en"")"),"Reason code is not in the correct format.")</f>
        <v/>
      </c>
      <c r="E613" s="3">
        <f>IF(C613&lt;&gt;"",C613, D613)</f>
        <v/>
      </c>
      <c r="F613" s="3" t="n"/>
      <c r="G613" s="3">
        <f>IFERROR(__xludf.DUMMYFUNCTION("GOOGLETRANSLATE(B613,""vi"",""km"")"),"កូដហេតុផលមិនមានទម្រង់ត្រឹមត្រូវទេ។")</f>
        <v/>
      </c>
      <c r="H613" s="3" t="inlineStr">
        <is>
          <t>កូដហេតុផលមិនមានទម្រង់ត្រឹមត្រូវទេ។</t>
        </is>
      </c>
      <c r="I613" s="3" t="n"/>
      <c r="J613" s="3">
        <f>IFERROR(__xludf.DUMMYFUNCTION("GOOGLETRANSLATE(B613,""vi"",""lo"")"),"ລະຫັດເຫດຜົນບໍ່ຢູ່ໃນຮູບແບບທີ່ຖືກຕ້ອງ.")</f>
        <v/>
      </c>
      <c r="K613" s="3">
        <f>IF(I613&lt;&gt;"",I613, J613)</f>
        <v/>
      </c>
      <c r="L613" s="3" t="inlineStr">
        <is>
          <t>កូដហេតុផលមិនមានទម្រង់ត្រឹមត្រូវទេ។</t>
        </is>
      </c>
      <c r="M613" s="3" t="n"/>
      <c r="N613" s="3" t="inlineStr">
        <is>
          <t>"validation.noSpecialCharCode": "Reason code is not in the correct format.",</t>
        </is>
      </c>
      <c r="O613" s="3" t="n"/>
      <c r="P613" s="3" t="n"/>
      <c r="Q613" s="3" t="n"/>
      <c r="R613" s="3" t="n"/>
      <c r="S613" s="3" t="n"/>
      <c r="T613" s="3" t="n"/>
      <c r="U613" s="3" t="n"/>
      <c r="V613" s="3" t="n"/>
      <c r="W613" s="3" t="n"/>
      <c r="X613" s="3" t="n"/>
      <c r="Y613" s="3" t="n"/>
      <c r="Z613" s="3" t="n"/>
      <c r="AA613" s="3" t="n"/>
    </row>
    <row r="614">
      <c r="A614" s="3" t="inlineStr">
        <is>
          <t>validation.requiredCode</t>
        </is>
      </c>
      <c r="B614" s="3" t="inlineStr">
        <is>
          <t>Vui lòng nhập mã phân loại</t>
        </is>
      </c>
      <c r="C614" s="3" t="n"/>
      <c r="D614" s="3">
        <f>IFERROR(__xludf.DUMMYFUNCTION("GOOGLETRANSLATE(B614,""vi"",""en"")"),"Please enter the classification code.")</f>
        <v/>
      </c>
      <c r="E614" s="3">
        <f>IF(C614&lt;&gt;"",C614, D614)</f>
        <v/>
      </c>
      <c r="F614" s="3" t="n"/>
      <c r="G614" s="3">
        <f>IFERROR(__xludf.DUMMYFUNCTION("GOOGLETRANSLATE(B614,""vi"",""km"")"),"សូមបញ្ចូលលេខកូដចំណាត់ថ្នាក់។")</f>
        <v/>
      </c>
      <c r="H614" s="3" t="inlineStr">
        <is>
          <t>សូមបញ្ចូលលេខកូដចំណាត់ថ្នាក់។</t>
        </is>
      </c>
      <c r="I614" s="3" t="n"/>
      <c r="J614" s="3">
        <f>IFERROR(__xludf.DUMMYFUNCTION("GOOGLETRANSLATE(B614,""vi"",""lo"")"),"ກະລຸນາໃສ່ລະຫັດການຈັດປະເພດ.")</f>
        <v/>
      </c>
      <c r="K614" s="3">
        <f>IF(I614&lt;&gt;"",I614, J614)</f>
        <v/>
      </c>
      <c r="L614" s="3" t="inlineStr">
        <is>
          <t>សូមបញ្ចូលលេខកូដចំណាត់ថ្នាក់។</t>
        </is>
      </c>
      <c r="M614" s="3" t="n"/>
      <c r="N614" s="3" t="inlineStr">
        <is>
          <t>"validation.requiredCode": "Please enter the classification code.",</t>
        </is>
      </c>
      <c r="O614" s="3" t="n"/>
      <c r="P614" s="3" t="n"/>
      <c r="Q614" s="3" t="n"/>
      <c r="R614" s="3" t="n"/>
      <c r="S614" s="3" t="n"/>
      <c r="T614" s="3" t="n"/>
      <c r="U614" s="3" t="n"/>
      <c r="V614" s="3" t="n"/>
      <c r="W614" s="3" t="n"/>
      <c r="X614" s="3" t="n"/>
      <c r="Y614" s="3" t="n"/>
      <c r="Z614" s="3" t="n"/>
      <c r="AA614" s="3" t="n"/>
    </row>
    <row r="615">
      <c r="A615" s="3" t="inlineStr">
        <is>
          <t>workingTimeSetup.endMustBeAfterStart</t>
        </is>
      </c>
      <c r="B615" s="3" t="inlineStr">
        <is>
          <t>Giờ kết thúc phải lớn hơn giờ bắt đầu</t>
        </is>
      </c>
      <c r="C615" s="3" t="n"/>
      <c r="D615" s="3">
        <f>IFERROR(__xludf.DUMMYFUNCTION("GOOGLETRANSLATE(B615,""vi"",""en"")"),"The end time must be greater than the start time.")</f>
        <v/>
      </c>
      <c r="E615" s="3">
        <f>IF(C615&lt;&gt;"",C615, D615)</f>
        <v/>
      </c>
      <c r="F615" s="3" t="n"/>
      <c r="G615" s="3">
        <f>IFERROR(__xludf.DUMMYFUNCTION("GOOGLETRANSLATE(B615,""vi"",""km"")"),"ពេលវេលាបញ្ចប់ត្រូវតែធំជាងពេលវេលាចាប់ផ្តើម។")</f>
        <v/>
      </c>
      <c r="H615" s="3" t="inlineStr">
        <is>
          <t>ពេលវេលាបញ្ចប់ត្រូវតែធំជាងពេលវេលាចាប់ផ្តើម។</t>
        </is>
      </c>
      <c r="I615" s="3" t="n"/>
      <c r="J615" s="3">
        <f>IFERROR(__xludf.DUMMYFUNCTION("GOOGLETRANSLATE(B615,""vi"",""lo"")"),"ເວລາສິ້ນສຸດຕ້ອງຫຼາຍກວ່າເວລາເລີ່ມຕົ້ນ.")</f>
        <v/>
      </c>
      <c r="K615" s="3">
        <f>IF(I615&lt;&gt;"",I615, J615)</f>
        <v/>
      </c>
      <c r="L615" s="3" t="inlineStr">
        <is>
          <t>ពេលវេលាបញ្ចប់ត្រូវតែធំជាងពេលវេលាចាប់ផ្តើម។</t>
        </is>
      </c>
      <c r="M615" s="3" t="n"/>
      <c r="N615" s="3" t="inlineStr">
        <is>
          <t>"workingTimeSetup.endMustBeAfterStart": "The end time must be greater than the start time.",</t>
        </is>
      </c>
      <c r="O615" s="3" t="n"/>
      <c r="P615" s="3" t="n"/>
      <c r="Q615" s="3" t="n"/>
      <c r="R615" s="3" t="n"/>
      <c r="S615" s="3" t="n"/>
      <c r="T615" s="3" t="n"/>
      <c r="U615" s="3" t="n"/>
      <c r="V615" s="3" t="n"/>
      <c r="W615" s="3" t="n"/>
      <c r="X615" s="3" t="n"/>
      <c r="Y615" s="3" t="n"/>
      <c r="Z615" s="3" t="n"/>
      <c r="AA615" s="3" t="n"/>
    </row>
    <row r="616">
      <c r="A616" s="3" t="inlineStr">
        <is>
          <t>workingTimeSetup.invalidTimeFormat</t>
        </is>
      </c>
      <c r="B616" s="3" t="inlineStr">
        <is>
          <t>Vui lòng nhập đúng định dạng HH:MM</t>
        </is>
      </c>
      <c r="C616" s="3" t="n"/>
      <c r="D616" s="3">
        <f>IFERROR(__xludf.DUMMYFUNCTION("GOOGLETRANSLATE(B616,""vi"",""en"")"),"Please enter in the correct HH:MM format.")</f>
        <v/>
      </c>
      <c r="E616" s="3">
        <f>IF(C616&lt;&gt;"",C616, D616)</f>
        <v/>
      </c>
      <c r="F616" s="3" t="n"/>
      <c r="G616" s="3">
        <f>IFERROR(__xludf.DUMMYFUNCTION("GOOGLETRANSLATE(B616,""vi"",""km"")"),"សូមបញ្ចូលទម្រង់ HH:MM ដែលត្រឹមត្រូវ។")</f>
        <v/>
      </c>
      <c r="H616" s="3" t="inlineStr">
        <is>
          <t>សូមបញ្ចូលទម្រង់ HH:MM ដែលត្រឹមត្រូវ។</t>
        </is>
      </c>
      <c r="I616" s="3" t="n"/>
      <c r="J616" s="3">
        <f>IFERROR(__xludf.DUMMYFUNCTION("GOOGLETRANSLATE(B616,""vi"",""lo"")"),"ກະລຸນາໃສ່ຮູບແບບ HH:MM ທີ່ຖືກຕ້ອງ.")</f>
        <v/>
      </c>
      <c r="K616" s="3">
        <f>IF(I616&lt;&gt;"",I616, J616)</f>
        <v/>
      </c>
      <c r="L616" s="3" t="inlineStr">
        <is>
          <t>សូមបញ្ចូលទម្រង់ HH:MM ដែលត្រឹមត្រូវ។</t>
        </is>
      </c>
      <c r="M616" s="3" t="n"/>
      <c r="N616" s="3" t="inlineStr">
        <is>
          <t>"workingTimeSetup.invalidTimeFormat": "Please enter in the correct HH:MM format.",</t>
        </is>
      </c>
      <c r="O616" s="3" t="n"/>
      <c r="P616" s="3" t="n"/>
      <c r="Q616" s="3" t="n"/>
      <c r="R616" s="3" t="n"/>
      <c r="S616" s="3" t="n"/>
      <c r="T616" s="3" t="n"/>
      <c r="U616" s="3" t="n"/>
      <c r="V616" s="3" t="n"/>
      <c r="W616" s="3" t="n"/>
      <c r="X616" s="3" t="n"/>
      <c r="Y616" s="3" t="n"/>
      <c r="Z616" s="3" t="n"/>
      <c r="AA616" s="3" t="n"/>
    </row>
    <row r="617">
      <c r="A617" s="3" t="inlineStr">
        <is>
          <t>validation.onlyDigits</t>
        </is>
      </c>
      <c r="B617" s="3" t="inlineStr">
        <is>
          <t>Vui lòng nhập các ký tự số từ 0-9</t>
        </is>
      </c>
      <c r="C617" s="3" t="n"/>
      <c r="D617" s="3">
        <f>IFERROR(__xludf.DUMMYFUNCTION("GOOGLETRANSLATE(B617,""vi"",""en"")"),"Please enter the numeric characters from 0-9.")</f>
        <v/>
      </c>
      <c r="E617" s="3">
        <f>IF(C617&lt;&gt;"",C617, D617)</f>
        <v/>
      </c>
      <c r="F617" s="3" t="n"/>
      <c r="G617" s="3">
        <f>IFERROR(__xludf.DUMMYFUNCTION("GOOGLETRANSLATE(B617,""vi"",""km"")"),"សូមបញ្ចូលតួអក្សរលេខចាប់ពី ០ ដល់ ៩។")</f>
        <v/>
      </c>
      <c r="H617" s="3" t="inlineStr">
        <is>
          <t>សូមបញ្ចូលតួអក្សរលេខចាប់ពី ០ ដល់ ៩។</t>
        </is>
      </c>
      <c r="I617" s="3" t="n"/>
      <c r="J617" s="3">
        <f>IFERROR(__xludf.DUMMYFUNCTION("GOOGLETRANSLATE(B617,""vi"",""lo"")"),"ກະລຸນາໃສ່ຕົວອັກສອນທີ່ເປັນຕົວເລກຕັ້ງແຕ່ 0-9.")</f>
        <v/>
      </c>
      <c r="K617" s="3">
        <f>IF(I617&lt;&gt;"",I617, J617)</f>
        <v/>
      </c>
      <c r="L617" s="3" t="inlineStr">
        <is>
          <t>សូមបញ្ចូលតួអក្សរលេខចាប់ពី ០ ដល់ ៩។</t>
        </is>
      </c>
      <c r="M617" s="3" t="n"/>
      <c r="N617" s="3" t="inlineStr">
        <is>
          <t>"validation.onlyDigits": "Please enter the numeric characters from 0-9.",</t>
        </is>
      </c>
      <c r="O617" s="3" t="n"/>
      <c r="P617" s="3" t="n"/>
      <c r="Q617" s="3" t="n"/>
      <c r="R617" s="3" t="n"/>
      <c r="S617" s="3" t="n"/>
      <c r="T617" s="3" t="n"/>
      <c r="U617" s="3" t="n"/>
      <c r="V617" s="3" t="n"/>
      <c r="W617" s="3" t="n"/>
      <c r="X617" s="3" t="n"/>
      <c r="Y617" s="3" t="n"/>
      <c r="Z617" s="3" t="n"/>
      <c r="AA617" s="3" t="n"/>
    </row>
    <row r="618">
      <c r="A618" s="3" t="inlineStr">
        <is>
          <t>validation.greaterThanZero</t>
        </is>
      </c>
      <c r="B618" s="3" t="inlineStr">
        <is>
          <t>Thời gian xử lý phải lớn hơn 0</t>
        </is>
      </c>
      <c r="C618" s="3" t="n"/>
      <c r="D618" s="3">
        <f>IFERROR(__xludf.DUMMYFUNCTION("GOOGLETRANSLATE(B618,""vi"",""en"")"),"The processing time must be greater than 0.")</f>
        <v/>
      </c>
      <c r="E618" s="3">
        <f>IF(C618&lt;&gt;"",C618, D618)</f>
        <v/>
      </c>
      <c r="F618" s="3" t="n"/>
      <c r="G618" s="3">
        <f>IFERROR(__xludf.DUMMYFUNCTION("GOOGLETRANSLATE(B618,""vi"",""km"")"),"ពេលវេលាដំណើរការត្រូវតែធំជាង ០។")</f>
        <v/>
      </c>
      <c r="H618" s="3" t="inlineStr">
        <is>
          <t>ពេលវេលាដំណើរការត្រូវតែធំជាង ០។</t>
        </is>
      </c>
      <c r="I618" s="3" t="n"/>
      <c r="J618" s="3">
        <f>IFERROR(__xludf.DUMMYFUNCTION("GOOGLETRANSLATE(B618,""vi"",""lo"")"),"ເວລາປະມວນຜົນຕ້ອງຫຼາຍກວ່າ 0.")</f>
        <v/>
      </c>
      <c r="K618" s="3">
        <f>IF(I618&lt;&gt;"",I618, J618)</f>
        <v/>
      </c>
      <c r="L618" s="3" t="inlineStr">
        <is>
          <t>ពេលវេលាដំណើរការត្រូវតែធំជាង ០។</t>
        </is>
      </c>
      <c r="M618" s="3" t="n"/>
      <c r="N618" s="3" t="inlineStr">
        <is>
          <t>"validation.greaterThanZero": "The processing time must be greater than 0.",</t>
        </is>
      </c>
      <c r="O618" s="3" t="n"/>
      <c r="P618" s="3" t="n"/>
      <c r="Q618" s="3" t="n"/>
      <c r="R618" s="3" t="n"/>
      <c r="S618" s="3" t="n"/>
      <c r="T618" s="3" t="n"/>
      <c r="U618" s="3" t="n"/>
      <c r="V618" s="3" t="n"/>
      <c r="W618" s="3" t="n"/>
      <c r="X618" s="3" t="n"/>
      <c r="Y618" s="3" t="n"/>
      <c r="Z618" s="3" t="n"/>
      <c r="AA618" s="3" t="n"/>
    </row>
    <row r="619">
      <c r="A619" s="3" t="inlineStr">
        <is>
          <t>validation.maxDigits</t>
        </is>
      </c>
      <c r="B619" s="3" t="inlineStr">
        <is>
          <t>Tối đa {{max}} chữ số</t>
        </is>
      </c>
      <c r="C619" s="3" t="n"/>
      <c r="D619" s="3">
        <f>IFERROR(__xludf.DUMMYFUNCTION("GOOGLETRANSLATE(B619,""vi"",""en"")"),"Maximum {{max}} digits")</f>
        <v/>
      </c>
      <c r="E619" s="3">
        <f>IF(C619&lt;&gt;"",C619, D619)</f>
        <v/>
      </c>
      <c r="F619" s="3" t="n"/>
      <c r="G619" s="3">
        <f>IFERROR(__xludf.DUMMYFUNCTION("GOOGLETRANSLATE(B619,""vi"",""km"")"),"ខ្ទង់អតិបរមា {{max}}")</f>
        <v/>
      </c>
      <c r="H619" s="3" t="inlineStr">
        <is>
          <t>ខ្ទង់អតិបរមា {{max}}</t>
        </is>
      </c>
      <c r="I619" s="3" t="n"/>
      <c r="J619" s="3">
        <f>IFERROR(__xludf.DUMMYFUNCTION("GOOGLETRANSLATE(B619,""vi"",""lo"")"),"ຕົວເລກສູງສຸດ {{max}}")</f>
        <v/>
      </c>
      <c r="K619" s="3">
        <f>IF(I619&lt;&gt;"",I619, J619)</f>
        <v/>
      </c>
      <c r="L619" s="3" t="inlineStr">
        <is>
          <t>ខ្ទង់អតិបរមា {{max}}</t>
        </is>
      </c>
      <c r="M619" s="3" t="n"/>
      <c r="N619" s="3" t="inlineStr">
        <is>
          <t>"validation.maxDigits": "Maximum {{max}} digits",</t>
        </is>
      </c>
      <c r="O619" s="3" t="n"/>
      <c r="P619" s="3" t="n"/>
      <c r="Q619" s="3" t="n"/>
      <c r="R619" s="3" t="n"/>
      <c r="S619" s="3" t="n"/>
      <c r="T619" s="3" t="n"/>
      <c r="U619" s="3" t="n"/>
      <c r="V619" s="3" t="n"/>
      <c r="W619" s="3" t="n"/>
      <c r="X619" s="3" t="n"/>
      <c r="Y619" s="3" t="n"/>
      <c r="Z619" s="3" t="n"/>
      <c r="AA619" s="3" t="n"/>
    </row>
    <row r="620">
      <c r="A620" s="3" t="inlineStr">
        <is>
          <t>workingTimeSetup.milestoneTime</t>
        </is>
      </c>
      <c r="B620" s="3" t="inlineStr">
        <is>
          <t>Mốc: {{time}}</t>
        </is>
      </c>
      <c r="C620" s="3" t="n"/>
      <c r="D620" s="3">
        <f>IFERROR(__xludf.DUMMYFUNCTION("GOOGLETRANSLATE(B620,""vi"",""en"")"),"Milestone: {{time}}")</f>
        <v/>
      </c>
      <c r="E620" s="3">
        <f>IF(C620&lt;&gt;"",C620, D620)</f>
        <v/>
      </c>
      <c r="F620" s="3" t="n"/>
      <c r="G620" s="3">
        <f>IFERROR(__xludf.DUMMYFUNCTION("GOOGLETRANSLATE(B620,""vi"",""km"")"),"ព្រឹត្តិការណ៍​សំខាន់ៗ៖ {{time}}")</f>
        <v/>
      </c>
      <c r="H620" s="3" t="inlineStr">
        <is>
          <t>ព្រឹត្តិការណ៍សំខាន់ៗ៖ {{time}}</t>
        </is>
      </c>
      <c r="I620" s="3" t="n"/>
      <c r="J620" s="3">
        <f>IFERROR(__xludf.DUMMYFUNCTION("GOOGLETRANSLATE(B620,""vi"",""lo"")"),"ເປົ້າໝາຍ: {{time}}")</f>
        <v/>
      </c>
      <c r="K620" s="3">
        <f>IF(I620&lt;&gt;"",I620, J620)</f>
        <v/>
      </c>
      <c r="L620" s="3" t="inlineStr">
        <is>
          <t>ព្រឹត្តិការណ៍សំខាន់ៗ៖ {{time}}</t>
        </is>
      </c>
      <c r="M620" s="3" t="n"/>
      <c r="N620" s="3" t="inlineStr">
        <is>
          <t>"workingTimeSetup.milestoneTime": "Milestone: {{time}}",</t>
        </is>
      </c>
      <c r="O620" s="3" t="n"/>
      <c r="P620" s="3" t="n"/>
      <c r="Q620" s="3" t="n"/>
      <c r="R620" s="3" t="n"/>
      <c r="S620" s="3" t="n"/>
      <c r="T620" s="3" t="n"/>
      <c r="U620" s="3" t="n"/>
      <c r="V620" s="3" t="n"/>
      <c r="W620" s="3" t="n"/>
      <c r="X620" s="3" t="n"/>
      <c r="Y620" s="3" t="n"/>
      <c r="Z620" s="3" t="n"/>
      <c r="AA620" s="3" t="n"/>
    </row>
    <row r="621">
      <c r="A621" s="3" t="inlineStr">
        <is>
          <t>workingTimeSetup.settingModalTitle</t>
        </is>
      </c>
      <c r="B621" s="3" t="inlineStr">
        <is>
          <t>Cài đặt giờ làm việc</t>
        </is>
      </c>
      <c r="C621" s="3" t="n"/>
      <c r="D621" s="3">
        <f>IFERROR(__xludf.DUMMYFUNCTION("GOOGLETRANSLATE(B621,""vi"",""en"")"),"Set working hours")</f>
        <v/>
      </c>
      <c r="E621" s="3">
        <f>IF(C621&lt;&gt;"",C621, D621)</f>
        <v/>
      </c>
      <c r="F621" s="3" t="n"/>
      <c r="G621" s="3">
        <f>IFERROR(__xludf.DUMMYFUNCTION("GOOGLETRANSLATE(B621,""vi"",""km"")"),"កំណត់ម៉ោងធ្វើការ")</f>
        <v/>
      </c>
      <c r="H621" s="3" t="inlineStr">
        <is>
          <t>កំណត់ម៉ោងធ្វើការ</t>
        </is>
      </c>
      <c r="I621" s="3" t="n"/>
      <c r="J621" s="3">
        <f>IFERROR(__xludf.DUMMYFUNCTION("GOOGLETRANSLATE(B621,""vi"",""lo"")"),"ກຳນົດຊົ່ວໂມງເຮັດວຽກ")</f>
        <v/>
      </c>
      <c r="K621" s="3">
        <f>IF(I621&lt;&gt;"",I621, J621)</f>
        <v/>
      </c>
      <c r="L621" s="3" t="inlineStr">
        <is>
          <t>កំណត់ម៉ោងធ្វើការ</t>
        </is>
      </c>
      <c r="M621" s="3" t="n"/>
      <c r="N621" s="3" t="inlineStr">
        <is>
          <t>"workingTimeSetup.settingModalTitle": "Set working hours",</t>
        </is>
      </c>
      <c r="O621" s="3" t="n"/>
      <c r="P621" s="3" t="n"/>
      <c r="Q621" s="3" t="n"/>
      <c r="R621" s="3" t="n"/>
      <c r="S621" s="3" t="n"/>
      <c r="T621" s="3" t="n"/>
      <c r="U621" s="3" t="n"/>
      <c r="V621" s="3" t="n"/>
      <c r="W621" s="3" t="n"/>
      <c r="X621" s="3" t="n"/>
      <c r="Y621" s="3" t="n"/>
      <c r="Z621" s="3" t="n"/>
      <c r="AA621" s="3" t="n"/>
    </row>
    <row r="622">
      <c r="A622" s="3" t="inlineStr">
        <is>
          <t>workingTimeSetup.dateFormat</t>
        </is>
      </c>
      <c r="B622" s="97" t="inlineStr">
        <is>
          <t>Ngày' d 'tháng' M 'năm' yyyy</t>
        </is>
      </c>
      <c r="C622" s="3" t="n"/>
      <c r="D622" s="3">
        <f>IFERROR(__xludf.DUMMYFUNCTION("GOOGLETRANSLATE(B622,""vi"",""en"")"),"Day 'd 'month' M 'year' yyyy")</f>
        <v/>
      </c>
      <c r="E622" s="3">
        <f>IF(C622&lt;&gt;"",C622, D622)</f>
        <v/>
      </c>
      <c r="F622" s="3" t="inlineStr">
        <is>
          <t>ថ្ងៃ d 'ខែ' M 'ឆ្នាំ' yyyy</t>
        </is>
      </c>
      <c r="G622" s="3">
        <f>IFERROR(__xludf.DUMMYFUNCTION("GOOGLETRANSLATE(B622,""vi"",""km"")"),"ថ្ងៃ 'ខែ' ម 'ឆ្នាំ' ឆ្នាំ")</f>
        <v/>
      </c>
      <c r="H622" s="3" t="inlineStr">
        <is>
          <t>ថ្ងៃ d 'ខែ' M 'ឆ្នាំ' yyyy</t>
        </is>
      </c>
      <c r="I622" s="3" t="inlineStr">
        <is>
          <t>ມື້ d 'ເດືອນ' M 'ປີ' yyyy</t>
        </is>
      </c>
      <c r="J622" s="3">
        <f>IFERROR(__xludf.DUMMYFUNCTION("GOOGLETRANSLATE(B622,""vi"",""lo"")"),"ມື້ 'ເດືອນ' M 'ປີ' yyyyyy")</f>
        <v/>
      </c>
      <c r="K622" s="3">
        <f>IF(I622&lt;&gt;"",I622, J622)</f>
        <v/>
      </c>
      <c r="L622" s="3" t="inlineStr">
        <is>
          <t>ថ្ងៃ d 'ខែ' M 'ឆ្នាំ' yyyy</t>
        </is>
      </c>
      <c r="M622" s="3" t="n"/>
      <c r="N622" s="3" t="inlineStr">
        <is>
          <t>"workingTimeSetup.dateFormat": "Day 'd 'month' M 'year' yyyy",</t>
        </is>
      </c>
      <c r="O622" s="3" t="n"/>
      <c r="P622" s="3" t="n"/>
      <c r="Q622" s="3" t="n"/>
      <c r="R622" s="3" t="n"/>
      <c r="S622" s="3" t="n"/>
      <c r="T622" s="3" t="n"/>
      <c r="U622" s="3" t="n"/>
      <c r="V622" s="3" t="n"/>
      <c r="W622" s="3" t="n"/>
      <c r="X622" s="3" t="n"/>
      <c r="Y622" s="3" t="n"/>
      <c r="Z622" s="3" t="n"/>
      <c r="AA622" s="3" t="n"/>
    </row>
    <row r="623">
      <c r="A623" s="3" t="inlineStr">
        <is>
          <t>messages.logoutSuccess</t>
        </is>
      </c>
      <c r="B623" s="3" t="inlineStr">
        <is>
          <t>Đăng xuất thành công</t>
        </is>
      </c>
      <c r="C623" s="3" t="n"/>
      <c r="D623" s="3">
        <f>IFERROR(__xludf.DUMMYFUNCTION("GOOGLETRANSLATE(B623,""vi"",""en"")"),"Logout successful")</f>
        <v/>
      </c>
      <c r="E623" s="3">
        <f>IF(C623&lt;&gt;"",C623, D623)</f>
        <v/>
      </c>
      <c r="F623" s="3" t="n"/>
      <c r="G623" s="3">
        <f>IFERROR(__xludf.DUMMYFUNCTION("GOOGLETRANSLATE(B623,""vi"",""km"")"),"ចាកចេញដោយជោគជ័យ")</f>
        <v/>
      </c>
      <c r="H623" s="3" t="inlineStr">
        <is>
          <t>ចាកចេញដោយជោគជ័យ</t>
        </is>
      </c>
      <c r="I623" s="3" t="n"/>
      <c r="J623" s="3">
        <f>IFERROR(__xludf.DUMMYFUNCTION("GOOGLETRANSLATE(B623,""vi"",""lo"")"),"ອອກຈາກລະບົບສຳເລັດແລ້ວ")</f>
        <v/>
      </c>
      <c r="K623" s="3">
        <f>IF(I623&lt;&gt;"",I623, J623)</f>
        <v/>
      </c>
      <c r="L623" s="3" t="inlineStr">
        <is>
          <t>ចាកចេញដោយជោគជ័យ</t>
        </is>
      </c>
      <c r="M623" s="3" t="n"/>
      <c r="N623" s="3" t="inlineStr">
        <is>
          <t>"messages.logoutSuccess": "Logout successful",</t>
        </is>
      </c>
      <c r="O623" s="3" t="n"/>
      <c r="P623" s="3" t="n"/>
      <c r="Q623" s="3" t="n"/>
      <c r="R623" s="3" t="n"/>
      <c r="S623" s="3" t="n"/>
      <c r="T623" s="3" t="n"/>
      <c r="U623" s="3" t="n"/>
      <c r="V623" s="3" t="n"/>
      <c r="W623" s="3" t="n"/>
      <c r="X623" s="3" t="n"/>
      <c r="Y623" s="3" t="n"/>
      <c r="Z623" s="3" t="n"/>
      <c r="AA623" s="3" t="n"/>
    </row>
    <row r="624">
      <c r="A624" s="3" t="inlineStr">
        <is>
          <t>messages.sessionExpired</t>
        </is>
      </c>
      <c r="B624" s="3" t="inlineStr">
        <is>
          <t>Phiên đăng nhập đã hết hạn. Vui lòng đăng nhập lại.</t>
        </is>
      </c>
      <c r="C624" s="3" t="n"/>
      <c r="D624" s="3">
        <f>IFERROR(__xludf.DUMMYFUNCTION("GOOGLETRANSLATE(B624,""vi"",""en"")"),"Your login session has expired. Please log in again.")</f>
        <v/>
      </c>
      <c r="E624" s="3">
        <f>IF(C624&lt;&gt;"",C624, D624)</f>
        <v/>
      </c>
      <c r="F624" s="3" t="n"/>
      <c r="G624" s="3">
        <f>IFERROR(__xludf.DUMMYFUNCTION("GOOGLETRANSLATE(B624,""vi"",""km"")"),"វគ្គចូលរបស់អ្នកផុតកំណត់ហើយ។ សូមចូលម្តងទៀត។")</f>
        <v/>
      </c>
      <c r="H624" s="3" t="inlineStr">
        <is>
          <t>វគ្គចូលរបស់អ្នកផុតកំណត់ហើយ។ សូមចូលម្តងទៀត។</t>
        </is>
      </c>
      <c r="I624" s="3" t="n"/>
      <c r="J624" s="3">
        <f>IFERROR(__xludf.DUMMYFUNCTION("GOOGLETRANSLATE(B624,""vi"",""lo"")"),"ໄລຍະເວລາເຂົ້າສູ່ລະບົບຂອງທ່ານໝົດອາຍຸແລ້ວ. ກະລຸນາເຂົ້າສູ່ລະບົບອີກຄັ້ງ.")</f>
        <v/>
      </c>
      <c r="K624" s="3">
        <f>IF(I624&lt;&gt;"",I624, J624)</f>
        <v/>
      </c>
      <c r="L624" s="3" t="inlineStr">
        <is>
          <t>វគ្គចូលរបស់អ្នកផុតកំណត់ហើយ។ សូមចូលម្តងទៀត។</t>
        </is>
      </c>
      <c r="M624" s="3" t="n"/>
      <c r="N624" s="3" t="inlineStr">
        <is>
          <t>"messages.sessionExpired": "Your login session has expired. Please log in again.",</t>
        </is>
      </c>
      <c r="O624" s="3" t="n"/>
      <c r="P624" s="3" t="n"/>
      <c r="Q624" s="3" t="n"/>
      <c r="R624" s="3" t="n"/>
      <c r="S624" s="3" t="n"/>
      <c r="T624" s="3" t="n"/>
      <c r="U624" s="3" t="n"/>
      <c r="V624" s="3" t="n"/>
      <c r="W624" s="3" t="n"/>
      <c r="X624" s="3" t="n"/>
      <c r="Y624" s="3" t="n"/>
      <c r="Z624" s="3" t="n"/>
      <c r="AA624" s="3" t="n"/>
    </row>
    <row r="625">
      <c r="A625" s="3" t="inlineStr">
        <is>
          <t>messages.error</t>
        </is>
      </c>
      <c r="B625" s="3" t="inlineStr">
        <is>
          <t>Có lỗi xảy ra</t>
        </is>
      </c>
      <c r="C625" s="3" t="n"/>
      <c r="D625" s="3">
        <f>IFERROR(__xludf.DUMMYFUNCTION("GOOGLETRANSLATE(B625,""vi"",""en"")"),"An error occurred.")</f>
        <v/>
      </c>
      <c r="E625" s="3">
        <f>IF(C625&lt;&gt;"",C625, D625)</f>
        <v/>
      </c>
      <c r="F625" s="3" t="n"/>
      <c r="G625" s="3">
        <f>IFERROR(__xludf.DUMMYFUNCTION("GOOGLETRANSLATE(B625,""vi"",""km"")"),"កំហុសមួយបានកើតឡើង។")</f>
        <v/>
      </c>
      <c r="H625" s="3" t="inlineStr">
        <is>
          <t>កំហុសមួយបានកើតឡើង។</t>
        </is>
      </c>
      <c r="I625" s="3" t="n"/>
      <c r="J625" s="3">
        <f>IFERROR(__xludf.DUMMYFUNCTION("GOOGLETRANSLATE(B625,""vi"",""lo"")"),"ເກີດຄວາມຜິດພາດຂຶ້ນ.")</f>
        <v/>
      </c>
      <c r="K625" s="3">
        <f>IF(I625&lt;&gt;"",I625, J625)</f>
        <v/>
      </c>
      <c r="L625" s="3" t="inlineStr">
        <is>
          <t>កំហុសមួយបានកើតឡើង។</t>
        </is>
      </c>
      <c r="M625" s="3" t="n"/>
      <c r="N625" s="3" t="inlineStr">
        <is>
          <t>"messages.error": "An error occurred.",</t>
        </is>
      </c>
      <c r="O625" s="3" t="n"/>
      <c r="P625" s="3" t="n"/>
      <c r="Q625" s="3" t="n"/>
      <c r="R625" s="3" t="n"/>
      <c r="S625" s="3" t="n"/>
      <c r="T625" s="3" t="n"/>
      <c r="U625" s="3" t="n"/>
      <c r="V625" s="3" t="n"/>
      <c r="W625" s="3" t="n"/>
      <c r="X625" s="3" t="n"/>
      <c r="Y625" s="3" t="n"/>
      <c r="Z625" s="3" t="n"/>
      <c r="AA625" s="3" t="n"/>
    </row>
    <row r="626">
      <c r="A626" s="104" t="inlineStr">
        <is>
          <t>conflict</t>
        </is>
      </c>
      <c r="B626" s="104" t="inlineStr">
        <is>
          <t>Xung đột dữ liệu</t>
        </is>
      </c>
      <c r="C626" s="104" t="inlineStr">
        <is>
          <t>Data conflict</t>
        </is>
      </c>
      <c r="D626" s="3" t="n"/>
      <c r="E626" s="3" t="n"/>
      <c r="F626" s="3" t="n"/>
      <c r="G626" s="3" t="n"/>
      <c r="H626" s="3" t="inlineStr">
        <is>
          <t>ទិន្នន័យជាន់គ្នា/ប៉ះទង្គិច</t>
        </is>
      </c>
      <c r="I626" s="3" t="n"/>
      <c r="J626" s="3" t="n"/>
      <c r="K626" s="3" t="n"/>
      <c r="L626" s="3" t="inlineStr">
        <is>
          <t>ទិន្នន័យជាន់គ្នា/ប៉ះទង្គិច</t>
        </is>
      </c>
      <c r="M626" s="3" t="n"/>
      <c r="N626" s="3" t="inlineStr">
        <is>
          <t>"conflict": "",</t>
        </is>
      </c>
      <c r="O626" s="3" t="n"/>
      <c r="P626" s="3" t="n"/>
      <c r="Q626" s="3" t="n"/>
      <c r="R626" s="3" t="n"/>
      <c r="S626" s="3" t="n"/>
      <c r="T626" s="3" t="n"/>
      <c r="U626" s="3" t="n"/>
      <c r="V626" s="3" t="n"/>
      <c r="W626" s="3" t="n"/>
      <c r="X626" s="3" t="n"/>
      <c r="Y626" s="3" t="n"/>
      <c r="Z626" s="3" t="n"/>
      <c r="AA626" s="3" t="n"/>
    </row>
    <row r="627">
      <c r="A627" s="104" t="inlineStr">
        <is>
          <t>bad.request</t>
        </is>
      </c>
      <c r="B627" s="104" t="inlineStr">
        <is>
          <t>Vui lòng kiểm tra lại dữ liệu của bạn</t>
        </is>
      </c>
      <c r="C627" s="104" t="inlineStr">
        <is>
          <t>Bad request</t>
        </is>
      </c>
      <c r="D627" s="3" t="n"/>
      <c r="E627" s="3" t="n"/>
      <c r="F627" s="3" t="n"/>
      <c r="G627" s="3" t="n"/>
      <c r="H627" s="3" t="inlineStr">
        <is>
          <t>សូមពិនិត្យមើលទិន្នន័យរបស់អ្នកឡើងវិញ</t>
        </is>
      </c>
      <c r="I627" s="3" t="n"/>
      <c r="J627" s="3" t="n"/>
      <c r="K627" s="3" t="n"/>
      <c r="L627" s="3" t="inlineStr">
        <is>
          <t>សូមពិនិត្យមើលទិន្នន័យរបស់អ្នកឡើងវិញ</t>
        </is>
      </c>
      <c r="M627" s="3" t="n"/>
      <c r="N627" s="3" t="inlineStr">
        <is>
          <t>"bad.request": "",</t>
        </is>
      </c>
      <c r="O627" s="3" t="n"/>
      <c r="P627" s="3" t="n"/>
      <c r="Q627" s="3" t="n"/>
      <c r="R627" s="3" t="n"/>
      <c r="S627" s="3" t="n"/>
      <c r="T627" s="3" t="n"/>
      <c r="U627" s="3" t="n"/>
      <c r="V627" s="3" t="n"/>
      <c r="W627" s="3" t="n"/>
      <c r="X627" s="3" t="n"/>
      <c r="Y627" s="3" t="n"/>
      <c r="Z627" s="3" t="n"/>
      <c r="AA627" s="3" t="n"/>
    </row>
    <row r="628">
      <c r="A628" s="104" t="inlineStr">
        <is>
          <t>validation.minutes.inspector.assignment.missing</t>
        </is>
      </c>
      <c r="B628" s="104" t="inlineStr">
        <is>
          <t>Chi nhánh đích chưa được cấu hình chuyên quản hiệu lực</t>
        </is>
      </c>
      <c r="C628" s="104" t="inlineStr">
        <is>
          <t>No active inspector assignment configured for target branch</t>
        </is>
      </c>
      <c r="D628" s="3" t="n"/>
      <c r="E628" s="3" t="n"/>
      <c r="F628" s="3" t="n"/>
      <c r="G628" s="3" t="n"/>
      <c r="H628" s="3" t="inlineStr">
        <is>
          <t>សាខាគោលដៅមិនទាន់បានកំណត់អ្នកគ្រប់គ្រងជាក់លាក់នៅឡើយទេ</t>
        </is>
      </c>
      <c r="I628" s="3" t="n"/>
      <c r="J628" s="3" t="n"/>
      <c r="K628" s="3" t="n"/>
      <c r="L628" s="3" t="inlineStr">
        <is>
          <t>សាខាគោលដៅមិនទាន់បានកំណត់អ្នកគ្រប់គ្រងជាក់លាក់នៅឡើយទេ</t>
        </is>
      </c>
      <c r="M628" s="3" t="n"/>
      <c r="N628" s="3" t="inlineStr">
        <is>
          <t>"validation.minutes.inspector.assignment.missing": "",</t>
        </is>
      </c>
      <c r="O628" s="3" t="n"/>
      <c r="P628" s="3" t="n"/>
      <c r="Q628" s="3" t="n"/>
      <c r="R628" s="3" t="n"/>
      <c r="S628" s="3" t="n"/>
      <c r="T628" s="3" t="n"/>
      <c r="U628" s="3" t="n"/>
      <c r="V628" s="3" t="n"/>
      <c r="W628" s="3" t="n"/>
      <c r="X628" s="3" t="n"/>
      <c r="Y628" s="3" t="n"/>
      <c r="Z628" s="3" t="n"/>
      <c r="AA628" s="3" t="n"/>
    </row>
    <row r="629">
      <c r="A629" s="104" t="inlineStr">
        <is>
          <t>validation.minutes.inspector.assignment.conflict</t>
        </is>
      </c>
      <c r="B629" s="104" t="inlineStr">
        <is>
          <t>Chi nhánh đích đang có nhiều cấu hình chuyên quản hiệu lực</t>
        </is>
      </c>
      <c r="C629" s="104" t="inlineStr">
        <is>
          <t>Multiple active inspector assignments configured for target branch</t>
        </is>
      </c>
      <c r="D629" s="3" t="n"/>
      <c r="E629" s="3" t="n"/>
      <c r="F629" s="3" t="n"/>
      <c r="G629" s="3" t="n"/>
      <c r="H629" s="3" t="inlineStr">
        <is>
          <t>សាខាគោលដៅមានការកំណត់អ្នកគ្រប់គ្រងច្រើនលើសពីមួយ</t>
        </is>
      </c>
      <c r="I629" s="3" t="n"/>
      <c r="J629" s="3" t="n"/>
      <c r="K629" s="3" t="n"/>
      <c r="L629" s="3" t="inlineStr">
        <is>
          <t>សាខាគោលដៅមានការកំណត់អ្នកគ្រប់គ្រងច្រើនលើសពីមួយ</t>
        </is>
      </c>
      <c r="M629" s="3" t="n"/>
      <c r="N629" s="3" t="inlineStr">
        <is>
          <t>"validation.minutes.inspector.assignment.conflict": "",</t>
        </is>
      </c>
      <c r="O629" s="3" t="n"/>
      <c r="P629" s="3" t="n"/>
      <c r="Q629" s="3" t="n"/>
      <c r="R629" s="3" t="n"/>
      <c r="S629" s="3" t="n"/>
      <c r="T629" s="3" t="n"/>
      <c r="U629" s="3" t="n"/>
      <c r="V629" s="3" t="n"/>
      <c r="W629" s="3" t="n"/>
      <c r="X629" s="3" t="n"/>
      <c r="Y629" s="3" t="n"/>
      <c r="Z629" s="3" t="n"/>
      <c r="AA629" s="3" t="n"/>
    </row>
    <row r="630">
      <c r="A630" s="104" t="inlineStr">
        <is>
          <t>validation.minutes.unique.item.duplicate</t>
        </is>
      </c>
      <c r="B630" s="104" t="inlineStr">
        <is>
          <t>Với mã lỗi được cấu hình tạo duy nhất 1 biên bản, mỗi vận đơn chỉ được tạo 1 biên bản cho mã lỗi đó.</t>
        </is>
      </c>
      <c r="C630" s="104" t="inlineStr">
        <is>
          <t>With this unique mistake, each item code can only create one minutes record.</t>
        </is>
      </c>
      <c r="D630" s="3" t="n"/>
      <c r="E630" s="3" t="n"/>
      <c r="F630" s="3" t="n"/>
      <c r="G630" s="3" t="n"/>
      <c r="H630" s="3" t="inlineStr">
        <is>
          <t>Với លេខកូដកំហុស được ការកំណត់ tạo duy nhất 1 កំណត់ហេតុ, mỗi vận បញ្ញើ chỉ được tạo 1 កំណត់ហេតុ cho លេខកូដកំហុស đó.</t>
        </is>
      </c>
      <c r="I630" s="3" t="n"/>
      <c r="J630" s="3" t="n"/>
      <c r="K630" s="3" t="n"/>
      <c r="L630" s="3" t="inlineStr">
        <is>
          <t>Với លេខកូដកំហុស được ការកំណត់ tạo duy nhất 1 កំណត់ហេតុ, mỗi vận បញ្ញើ chỉ được tạo 1 កំណត់ហេតុ cho លេខកូដកំហុស đó.</t>
        </is>
      </c>
      <c r="M630" s="3" t="n"/>
      <c r="N630" s="3" t="inlineStr">
        <is>
          <t>"validation.minutes.unique.item.duplicate": "",</t>
        </is>
      </c>
      <c r="O630" s="3" t="n"/>
      <c r="P630" s="3" t="n"/>
      <c r="Q630" s="3" t="n"/>
      <c r="R630" s="3" t="n"/>
      <c r="S630" s="3" t="n"/>
      <c r="T630" s="3" t="n"/>
      <c r="U630" s="3" t="n"/>
      <c r="V630" s="3" t="n"/>
      <c r="W630" s="3" t="n"/>
      <c r="X630" s="3" t="n"/>
      <c r="Y630" s="3" t="n"/>
      <c r="Z630" s="3" t="n"/>
      <c r="AA630" s="3" t="n"/>
    </row>
    <row r="631">
      <c r="A631" s="104" t="inlineStr">
        <is>
          <t>validation.minutes.explain.forbidden.post.office</t>
        </is>
      </c>
      <c r="B631" s="104" t="inlineStr">
        <is>
          <t>Bạn chỉ được giải trình khi đang đăng nhập đúng bưu cục đích của biên bản.</t>
        </is>
      </c>
      <c r="C631" s="104" t="inlineStr">
        <is>
          <t>You can only explain minutes when logged in at the target post office of this minutes.</t>
        </is>
      </c>
      <c r="D631" s="3" t="n"/>
      <c r="E631" s="3" t="n"/>
      <c r="F631" s="3" t="n"/>
      <c r="G631" s="3" t="n"/>
      <c r="H631" s="3" t="inlineStr">
        <is>
          <t>Bạn chỉ được giải trình khi đang đăng nhập đúng ការិយាល័យប្រៃសណីយ៍ đích của កំណត់ហេតុ.</t>
        </is>
      </c>
      <c r="I631" s="3" t="n"/>
      <c r="J631" s="3" t="n"/>
      <c r="K631" s="3" t="n"/>
      <c r="L631" s="3" t="inlineStr">
        <is>
          <t>Bạn chỉ được giải trình khi đang đăng nhập đúng ការិយាល័យប្រៃសណីយ៍ đích của កំណត់ហេតុ.</t>
        </is>
      </c>
      <c r="M631" s="3" t="n"/>
      <c r="N631" s="3" t="inlineStr">
        <is>
          <t>"validation.minutes.explain.forbidden.post.office": "",</t>
        </is>
      </c>
      <c r="O631" s="3" t="n"/>
      <c r="P631" s="3" t="n"/>
      <c r="Q631" s="3" t="n"/>
      <c r="R631" s="3" t="n"/>
      <c r="S631" s="3" t="n"/>
      <c r="T631" s="3" t="n"/>
      <c r="U631" s="3" t="n"/>
      <c r="V631" s="3" t="n"/>
      <c r="W631" s="3" t="n"/>
      <c r="X631" s="3" t="n"/>
      <c r="Y631" s="3" t="n"/>
      <c r="Z631" s="3" t="n"/>
      <c r="AA631" s="3" t="n"/>
    </row>
    <row r="632">
      <c r="A632" s="104" t="inlineStr">
        <is>
          <t>validation.minutes.opinion.forbidden.post.office</t>
        </is>
      </c>
      <c r="B632" s="104" t="inlineStr">
        <is>
          <t>Bạn chỉ được cho ý kiến khi đang đăng nhập đúng bưu cục lập biên bản.</t>
        </is>
      </c>
      <c r="C632" s="104" t="inlineStr">
        <is>
          <t>You can only provide opinion when logged in at the created post office of this minutes.</t>
        </is>
      </c>
      <c r="D632" s="3" t="n"/>
      <c r="E632" s="3" t="n"/>
      <c r="F632" s="3" t="n"/>
      <c r="G632" s="3" t="n"/>
      <c r="H632" s="3" t="inlineStr">
        <is>
          <t>Bạn chỉ được cho ý kiến khi đang đăng nhập đúng ការិយាល័យប្រៃសណីយ៍ lập កំណត់ហេតុ.</t>
        </is>
      </c>
      <c r="I632" s="3" t="n"/>
      <c r="J632" s="3" t="n"/>
      <c r="K632" s="3" t="n"/>
      <c r="L632" s="3" t="inlineStr">
        <is>
          <t>Bạn chỉ được cho ý kiến khi đang đăng nhập đúng ការិយាល័យប្រៃសណីយ៍ lập កំណត់ហេតុ.</t>
        </is>
      </c>
      <c r="M632" s="3" t="n"/>
      <c r="N632" s="3" t="inlineStr">
        <is>
          <t>"validation.minutes.opinion.forbidden.post.office": "",</t>
        </is>
      </c>
      <c r="O632" s="3" t="n"/>
      <c r="P632" s="3" t="n"/>
      <c r="Q632" s="3" t="n"/>
      <c r="R632" s="3" t="n"/>
      <c r="S632" s="3" t="n"/>
      <c r="T632" s="3" t="n"/>
      <c r="U632" s="3" t="n"/>
      <c r="V632" s="3" t="n"/>
      <c r="W632" s="3" t="n"/>
      <c r="X632" s="3" t="n"/>
      <c r="Y632" s="3" t="n"/>
      <c r="Z632" s="3" t="n"/>
      <c r="AA632" s="3" t="n"/>
    </row>
    <row r="633">
      <c r="A633" s="104" t="inlineStr">
        <is>
          <t>validation.minutes.conclude.forbidden.inspector</t>
        </is>
      </c>
      <c r="B633" s="104" t="inlineStr">
        <is>
          <t>Chỉ chuyên quản được phân công của biên bản mới được kết luận.</t>
        </is>
      </c>
      <c r="C633" s="104" t="inlineStr">
        <is>
          <t>Only the assigned inspector of this minutes can conclude it.</t>
        </is>
      </c>
      <c r="D633" s="3" t="n"/>
      <c r="E633" s="3" t="n"/>
      <c r="F633" s="3" t="n"/>
      <c r="G633" s="3" t="n"/>
      <c r="H633" s="3" t="inlineStr">
        <is>
          <t>Chỉ chuyên quản được phân công của កំណត់ហេតុ mới được kết luận.</t>
        </is>
      </c>
      <c r="I633" s="3" t="n"/>
      <c r="J633" s="3" t="n"/>
      <c r="K633" s="3" t="n"/>
      <c r="L633" s="3" t="inlineStr">
        <is>
          <t>Chỉ chuyên quản được phân công của កំណត់ហេតុ mới được kết luận.</t>
        </is>
      </c>
      <c r="M633" s="3" t="n"/>
      <c r="N633" s="3" t="inlineStr">
        <is>
          <t>"validation.minutes.conclude.forbidden.inspector": "",</t>
        </is>
      </c>
      <c r="O633" s="3" t="n"/>
      <c r="P633" s="3" t="n"/>
      <c r="Q633" s="3" t="n"/>
      <c r="R633" s="3" t="n"/>
      <c r="S633" s="3" t="n"/>
      <c r="T633" s="3" t="n"/>
      <c r="U633" s="3" t="n"/>
      <c r="V633" s="3" t="n"/>
      <c r="W633" s="3" t="n"/>
      <c r="X633" s="3" t="n"/>
      <c r="Y633" s="3" t="n"/>
      <c r="Z633" s="3" t="n"/>
      <c r="AA633" s="3" t="n"/>
    </row>
    <row r="634">
      <c r="A634" s="104" t="inlineStr">
        <is>
          <t>validation.minutes.mistake.id.required</t>
        </is>
      </c>
      <c r="B634" s="104" t="inlineStr">
        <is>
          <t>Mã lỗi là bắt buộc</t>
        </is>
      </c>
      <c r="C634" s="104" t="inlineStr">
        <is>
          <t>Mistake code is required</t>
        </is>
      </c>
      <c r="D634" s="3" t="n"/>
      <c r="E634" s="3" t="n"/>
      <c r="F634" s="3" t="n"/>
      <c r="G634" s="3" t="n"/>
      <c r="H634" s="3" t="inlineStr">
        <is>
          <t>លេខកូដបញ្ហាគឺចាំបាច់ត្រូវបញ្ចូល</t>
        </is>
      </c>
      <c r="I634" s="3" t="n"/>
      <c r="J634" s="3" t="n"/>
      <c r="K634" s="3" t="n"/>
      <c r="L634" s="3" t="inlineStr">
        <is>
          <t>លេខកូដបញ្ហាគឺចាំបាច់ត្រូវបញ្ចូល</t>
        </is>
      </c>
      <c r="M634" s="3" t="n"/>
      <c r="N634" s="3" t="inlineStr">
        <is>
          <t>"validation.minutes.mistake.id.required": "",</t>
        </is>
      </c>
      <c r="O634" s="3" t="n"/>
      <c r="P634" s="3" t="n"/>
      <c r="Q634" s="3" t="n"/>
      <c r="R634" s="3" t="n"/>
      <c r="S634" s="3" t="n"/>
      <c r="T634" s="3" t="n"/>
      <c r="U634" s="3" t="n"/>
      <c r="V634" s="3" t="n"/>
      <c r="W634" s="3" t="n"/>
      <c r="X634" s="3" t="n"/>
      <c r="Y634" s="3" t="n"/>
      <c r="Z634" s="3" t="n"/>
      <c r="AA634" s="3" t="n"/>
    </row>
    <row r="635">
      <c r="A635" s="104" t="inlineStr">
        <is>
          <t>validation.minutes.target.branch.id.required</t>
        </is>
      </c>
      <c r="B635" s="104" t="inlineStr">
        <is>
          <t>Chi nhánh bị lập là bắt buộc</t>
        </is>
      </c>
      <c r="C635" s="104" t="inlineStr">
        <is>
          <t>Target branch is required</t>
        </is>
      </c>
      <c r="D635" s="3" t="n"/>
      <c r="E635" s="3" t="n"/>
      <c r="F635" s="3" t="n"/>
      <c r="G635" s="3" t="n"/>
      <c r="H635" s="3" t="inlineStr">
        <is>
          <t>សាខាដែលត្រូវបង្កើតកំណត់ហេតុគឺចាំបាច់ត្រូវជ្រើសរើស</t>
        </is>
      </c>
      <c r="I635" s="3" t="n"/>
      <c r="J635" s="3" t="n"/>
      <c r="K635" s="3" t="n"/>
      <c r="L635" s="3" t="inlineStr">
        <is>
          <t>សាខាដែលត្រូវបង្កើតកំណត់ហេតុគឺចាំបាច់ត្រូវជ្រើសរើស</t>
        </is>
      </c>
      <c r="M635" s="3" t="n"/>
      <c r="N635" s="3" t="inlineStr">
        <is>
          <t>"validation.minutes.target.branch.id.required": "",</t>
        </is>
      </c>
      <c r="O635" s="3" t="n"/>
      <c r="P635" s="3" t="n"/>
      <c r="Q635" s="3" t="n"/>
      <c r="R635" s="3" t="n"/>
      <c r="S635" s="3" t="n"/>
      <c r="T635" s="3" t="n"/>
      <c r="U635" s="3" t="n"/>
      <c r="V635" s="3" t="n"/>
      <c r="W635" s="3" t="n"/>
      <c r="X635" s="3" t="n"/>
      <c r="Y635" s="3" t="n"/>
      <c r="Z635" s="3" t="n"/>
      <c r="AA635" s="3" t="n"/>
    </row>
    <row r="636">
      <c r="A636" s="104" t="inlineStr">
        <is>
          <t>validation.minutes.target.post.office.id.required</t>
        </is>
      </c>
      <c r="B636" s="104" t="inlineStr">
        <is>
          <t>Bưu cục bị lập là bắt buộc</t>
        </is>
      </c>
      <c r="C636" s="104" t="inlineStr">
        <is>
          <t>Target post office is required</t>
        </is>
      </c>
      <c r="D636" s="3" t="n"/>
      <c r="E636" s="3" t="n"/>
      <c r="F636" s="3" t="n"/>
      <c r="G636" s="3" t="n"/>
      <c r="H636" s="3" t="inlineStr">
        <is>
          <t>ការិយាល័យប្រៃសណីយ៍ដែលត្រូវបង្កើតកំណត់ហេតុគឺចាំបាច់ត្រូវជ្រើសរើស</t>
        </is>
      </c>
      <c r="I636" s="3" t="n"/>
      <c r="J636" s="3" t="n"/>
      <c r="K636" s="3" t="n"/>
      <c r="L636" s="3" t="inlineStr">
        <is>
          <t>ការិយាល័យប្រៃសណីយ៍ដែលត្រូវបង្កើតកំណត់ហេតុគឺចាំបាច់ត្រូវជ្រើសរើស</t>
        </is>
      </c>
      <c r="M636" s="3" t="n"/>
      <c r="N636" s="3" t="inlineStr">
        <is>
          <t>"validation.minutes.target.post.office.id.required": "",</t>
        </is>
      </c>
      <c r="O636" s="3" t="n"/>
      <c r="P636" s="3" t="n"/>
      <c r="Q636" s="3" t="n"/>
      <c r="R636" s="3" t="n"/>
      <c r="S636" s="3" t="n"/>
      <c r="T636" s="3" t="n"/>
      <c r="U636" s="3" t="n"/>
      <c r="V636" s="3" t="n"/>
      <c r="W636" s="3" t="n"/>
      <c r="X636" s="3" t="n"/>
      <c r="Y636" s="3" t="n"/>
      <c r="Z636" s="3" t="n"/>
      <c r="AA636" s="3" t="n"/>
    </row>
    <row r="637">
      <c r="A637" s="104" t="inlineStr">
        <is>
          <t>validation.minutes.items.required</t>
        </is>
      </c>
      <c r="B637" s="104" t="inlineStr">
        <is>
          <t>Vui lòng thêm ít nhất một vận đơn hoặc tải, kiện vào biên bản</t>
        </is>
      </c>
      <c r="C637" s="104" t="inlineStr">
        <is>
          <t>At least one item is required to create minutes</t>
        </is>
      </c>
      <c r="D637" s="3" t="n"/>
      <c r="E637" s="3" t="n"/>
      <c r="F637" s="3" t="n"/>
      <c r="G637" s="3" t="n"/>
      <c r="H637" s="3" t="inlineStr">
        <is>
          <t>សូមបន្ថែមយ៉ាងហោចណាស់បុងបញ្ញើមួយ ឬបាវ/កញ្ចប់បញ្ញើមួយទៅក្នុងកំណត់ហេតុ</t>
        </is>
      </c>
      <c r="I637" s="3" t="n"/>
      <c r="J637" s="3" t="n"/>
      <c r="K637" s="3" t="n"/>
      <c r="L637" s="3" t="inlineStr">
        <is>
          <t>សូមបន្ថែមយ៉ាងហោចណាស់បុងបញ្ញើមួយ ឬបាវ/កញ្ចប់បញ្ញើមួយទៅក្នុងកំណត់ហេតុ</t>
        </is>
      </c>
      <c r="M637" s="3" t="n"/>
      <c r="N637" s="3" t="inlineStr">
        <is>
          <t>"validation.minutes.items.required": "",</t>
        </is>
      </c>
      <c r="O637" s="3" t="n"/>
      <c r="P637" s="3" t="n"/>
      <c r="Q637" s="3" t="n"/>
      <c r="R637" s="3" t="n"/>
      <c r="S637" s="3" t="n"/>
      <c r="T637" s="3" t="n"/>
      <c r="U637" s="3" t="n"/>
      <c r="V637" s="3" t="n"/>
      <c r="W637" s="3" t="n"/>
      <c r="X637" s="3" t="n"/>
      <c r="Y637" s="3" t="n"/>
      <c r="Z637" s="3" t="n"/>
      <c r="AA637" s="3" t="n"/>
    </row>
    <row r="638">
      <c r="A638" s="104" t="inlineStr">
        <is>
          <t>validation.minutes.created.violating.persons.required</t>
        </is>
      </c>
      <c r="B638" s="104" t="inlineStr">
        <is>
          <t>Vui lòng thêm ít nhất một người vi phạm vào biên bản</t>
        </is>
      </c>
      <c r="C638" s="104" t="inlineStr">
        <is>
          <t>At least one violating person is required</t>
        </is>
      </c>
      <c r="D638" s="3" t="n"/>
      <c r="E638" s="3" t="n"/>
      <c r="F638" s="3" t="n"/>
      <c r="G638" s="3" t="n"/>
      <c r="H638" s="3" t="inlineStr">
        <is>
          <t>សូមបន្ថែមយ៉ាងហោចណាស់បុគ្គលល្មើសម្នាក់ទៅក្នុងកំណត់ហេតុ</t>
        </is>
      </c>
      <c r="I638" s="3" t="n"/>
      <c r="J638" s="3" t="n"/>
      <c r="K638" s="3" t="n"/>
      <c r="L638" s="3" t="inlineStr">
        <is>
          <t>សូមបន្ថែមយ៉ាងហោចណាស់បុគ្គលល្មើសម្នាក់ទៅក្នុងកំណត់ហេតុ</t>
        </is>
      </c>
      <c r="M638" s="3" t="n"/>
      <c r="N638" s="3" t="inlineStr">
        <is>
          <t>"validation.minutes.created.violating.persons.required": "",</t>
        </is>
      </c>
      <c r="O638" s="3" t="n"/>
      <c r="P638" s="3" t="n"/>
      <c r="Q638" s="3" t="n"/>
      <c r="R638" s="3" t="n"/>
      <c r="S638" s="3" t="n"/>
      <c r="T638" s="3" t="n"/>
      <c r="U638" s="3" t="n"/>
      <c r="V638" s="3" t="n"/>
      <c r="W638" s="3" t="n"/>
      <c r="X638" s="3" t="n"/>
      <c r="Y638" s="3" t="n"/>
      <c r="Z638" s="3" t="n"/>
      <c r="AA638" s="3" t="n"/>
    </row>
    <row r="639">
      <c r="A639" s="104" t="inlineStr">
        <is>
          <t>minutes.create.failed</t>
        </is>
      </c>
      <c r="B639" s="104" t="inlineStr">
        <is>
          <t>Lỗi khi tạo biên bản</t>
        </is>
      </c>
      <c r="C639" s="104" t="inlineStr">
        <is>
          <t>Failed to create minutes</t>
        </is>
      </c>
      <c r="D639" s="3" t="n"/>
      <c r="E639" s="3" t="n"/>
      <c r="F639" s="3" t="n"/>
      <c r="G639" s="3" t="n"/>
      <c r="H639" s="3" t="inlineStr">
        <is>
          <t>មានកំហុសក្នុងការបង្កើតកំណត់ហេតុ</t>
        </is>
      </c>
      <c r="I639" s="3" t="n"/>
      <c r="J639" s="3" t="n"/>
      <c r="K639" s="3" t="n"/>
      <c r="L639" s="3" t="inlineStr">
        <is>
          <t>មានកំហុសក្នុងការបង្កើតកំណត់ហេតុ</t>
        </is>
      </c>
      <c r="M639" s="3" t="n"/>
      <c r="N639" s="3" t="inlineStr">
        <is>
          <t>"minutes.create.failed": "",</t>
        </is>
      </c>
      <c r="O639" s="3" t="n"/>
      <c r="P639" s="3" t="n"/>
      <c r="Q639" s="3" t="n"/>
      <c r="R639" s="3" t="n"/>
      <c r="S639" s="3" t="n"/>
      <c r="T639" s="3" t="n"/>
      <c r="U639" s="3" t="n"/>
      <c r="V639" s="3" t="n"/>
      <c r="W639" s="3" t="n"/>
      <c r="X639" s="3" t="n"/>
      <c r="Y639" s="3" t="n"/>
      <c r="Z639" s="3" t="n"/>
      <c r="AA639" s="3" t="n"/>
    </row>
    <row r="640">
      <c r="A640" s="104" t="inlineStr">
        <is>
          <t>mistake.group_code.invalid</t>
        </is>
      </c>
      <c r="B640" s="104" t="inlineStr">
        <is>
          <t>Mã nhóm lỗi đã tồn tại</t>
        </is>
      </c>
      <c r="C640" s="104" t="inlineStr">
        <is>
          <t>Mistake group code exists</t>
        </is>
      </c>
      <c r="D640" s="3" t="n"/>
      <c r="E640" s="3" t="n"/>
      <c r="F640" s="3" t="n"/>
      <c r="G640" s="3" t="n"/>
      <c r="H640" s="3" t="inlineStr">
        <is>
          <t>លេខកូដក្រុមបញ្ហាមានរួចហើយ</t>
        </is>
      </c>
      <c r="I640" s="3" t="n"/>
      <c r="J640" s="3" t="n"/>
      <c r="K640" s="3" t="n"/>
      <c r="L640" s="3" t="inlineStr">
        <is>
          <t>លេខកូដក្រុមបញ្ហាមានរួចហើយ</t>
        </is>
      </c>
      <c r="M640" s="3" t="n"/>
      <c r="N640" s="3" t="inlineStr">
        <is>
          <t>"mistake.group_code.invalid": "",</t>
        </is>
      </c>
      <c r="O640" s="3" t="n"/>
      <c r="P640" s="3" t="n"/>
      <c r="Q640" s="3" t="n"/>
      <c r="R640" s="3" t="n"/>
      <c r="S640" s="3" t="n"/>
      <c r="T640" s="3" t="n"/>
      <c r="U640" s="3" t="n"/>
      <c r="V640" s="3" t="n"/>
      <c r="W640" s="3" t="n"/>
      <c r="X640" s="3" t="n"/>
      <c r="Y640" s="3" t="n"/>
      <c r="Z640" s="3" t="n"/>
      <c r="AA640" s="3" t="n"/>
    </row>
    <row r="641">
      <c r="A641" s="104" t="inlineStr">
        <is>
          <t>mistake.code.invalid</t>
        </is>
      </c>
      <c r="B641" s="104" t="inlineStr">
        <is>
          <t>Mã lỗi đã tồn tại</t>
        </is>
      </c>
      <c r="C641" s="104" t="inlineStr">
        <is>
          <t>Mistake code exists</t>
        </is>
      </c>
      <c r="D641" s="3" t="n"/>
      <c r="E641" s="3" t="n"/>
      <c r="F641" s="3" t="n"/>
      <c r="G641" s="3" t="n"/>
      <c r="H641" s="3" t="inlineStr">
        <is>
          <t>លេខកូដបញ្ហាមានរួចហើយ</t>
        </is>
      </c>
      <c r="I641" s="3" t="n"/>
      <c r="J641" s="3" t="n"/>
      <c r="K641" s="3" t="n"/>
      <c r="L641" s="3" t="inlineStr">
        <is>
          <t>លេខកូដបញ្ហាមានរួចហើយ</t>
        </is>
      </c>
      <c r="M641" s="3" t="n"/>
      <c r="N641" s="3" t="inlineStr">
        <is>
          <t>"mistake.code.invalid": "",</t>
        </is>
      </c>
      <c r="O641" s="3" t="n"/>
      <c r="P641" s="3" t="n"/>
      <c r="Q641" s="3" t="n"/>
      <c r="R641" s="3" t="n"/>
      <c r="S641" s="3" t="n"/>
      <c r="T641" s="3" t="n"/>
      <c r="U641" s="3" t="n"/>
      <c r="V641" s="3" t="n"/>
      <c r="W641" s="3" t="n"/>
      <c r="X641" s="3" t="n"/>
      <c r="Y641" s="3" t="n"/>
      <c r="Z641" s="3" t="n"/>
      <c r="AA641" s="3" t="n"/>
    </row>
    <row r="642">
      <c r="A642" s="104" t="inlineStr">
        <is>
          <t>minutes.status.invalid</t>
        </is>
      </c>
      <c r="B642" s="104" t="inlineStr">
        <is>
          <t>Trạng thái biên bản không hợp lệ</t>
        </is>
      </c>
      <c r="C642" s="104" t="inlineStr">
        <is>
          <t>Minutes status invalid</t>
        </is>
      </c>
      <c r="D642" s="3" t="n"/>
      <c r="E642" s="3" t="n"/>
      <c r="F642" s="3" t="n"/>
      <c r="G642" s="3" t="n"/>
      <c r="H642" s="3" t="inlineStr">
        <is>
          <t>ស្ថានភាពកំណត់ហេតុមិនត្រឹមត្រូវទេ</t>
        </is>
      </c>
      <c r="I642" s="3" t="n"/>
      <c r="J642" s="3" t="n"/>
      <c r="K642" s="3" t="n"/>
      <c r="L642" s="3" t="inlineStr">
        <is>
          <t>ស្ថានភាពកំណត់ហេតុមិនត្រឹមត្រូវទេ</t>
        </is>
      </c>
      <c r="M642" s="3" t="n"/>
      <c r="N642" s="3" t="inlineStr">
        <is>
          <t>"minutes.status.invalid": "",</t>
        </is>
      </c>
      <c r="O642" s="3" t="n"/>
      <c r="P642" s="3" t="n"/>
      <c r="Q642" s="3" t="n"/>
      <c r="R642" s="3" t="n"/>
      <c r="S642" s="3" t="n"/>
      <c r="T642" s="3" t="n"/>
      <c r="U642" s="3" t="n"/>
      <c r="V642" s="3" t="n"/>
      <c r="W642" s="3" t="n"/>
      <c r="X642" s="3" t="n"/>
      <c r="Y642" s="3" t="n"/>
      <c r="Z642" s="3" t="n"/>
      <c r="AA642" s="3" t="n"/>
    </row>
    <row r="643">
      <c r="A643" s="104" t="inlineStr">
        <is>
          <t>minutes.expired_time.explain</t>
        </is>
      </c>
      <c r="B643" s="104" t="inlineStr">
        <is>
          <t>Biên bản quá hạn giải trình</t>
        </is>
      </c>
      <c r="C643" s="104" t="inlineStr">
        <is>
          <t>Minutes expired to explain</t>
        </is>
      </c>
      <c r="D643" s="3" t="n"/>
      <c r="E643" s="3" t="n"/>
      <c r="F643" s="3" t="n"/>
      <c r="G643" s="3" t="n"/>
      <c r="H643" s="3" t="inlineStr">
        <is>
          <t>កំណត់ហេតុផុតកំណត់ពេលបំភ្លឺ</t>
        </is>
      </c>
      <c r="I643" s="3" t="n"/>
      <c r="J643" s="3" t="n"/>
      <c r="K643" s="3" t="n"/>
      <c r="L643" s="3" t="inlineStr">
        <is>
          <t>កំណត់ហេតុផុតកំណត់ពេលបំភ្លឺ</t>
        </is>
      </c>
      <c r="M643" s="3" t="n"/>
      <c r="N643" s="3" t="inlineStr">
        <is>
          <t>"minutes.expired_time.explain": "",</t>
        </is>
      </c>
      <c r="O643" s="3" t="n"/>
      <c r="P643" s="3" t="n"/>
      <c r="Q643" s="3" t="n"/>
      <c r="R643" s="3" t="n"/>
      <c r="S643" s="3" t="n"/>
      <c r="T643" s="3" t="n"/>
      <c r="U643" s="3" t="n"/>
      <c r="V643" s="3" t="n"/>
      <c r="W643" s="3" t="n"/>
      <c r="X643" s="3" t="n"/>
      <c r="Y643" s="3" t="n"/>
      <c r="Z643" s="3" t="n"/>
      <c r="AA643" s="3" t="n"/>
    </row>
    <row r="644">
      <c r="A644" s="104" t="inlineStr">
        <is>
          <t>minutes.expired_time.opinion</t>
        </is>
      </c>
      <c r="B644" s="104" t="inlineStr">
        <is>
          <t>Biên bản quá hạn để ý kiến</t>
        </is>
      </c>
      <c r="C644" s="104" t="inlineStr">
        <is>
          <t>Minutes expired to opinion</t>
        </is>
      </c>
      <c r="D644" s="3" t="n"/>
      <c r="E644" s="3" t="n"/>
      <c r="F644" s="3" t="n"/>
      <c r="G644" s="3" t="n"/>
      <c r="H644" s="3" t="inlineStr">
        <is>
          <t>កំណត់ហេតុផុតកំណត់ពេលផ្តល់មតិ</t>
        </is>
      </c>
      <c r="I644" s="3" t="n"/>
      <c r="J644" s="3" t="n"/>
      <c r="K644" s="3" t="n"/>
      <c r="L644" s="3" t="inlineStr">
        <is>
          <t>កំណត់ហេតុផុតកំណត់ពេលផ្តល់មតិ</t>
        </is>
      </c>
      <c r="M644" s="3" t="n"/>
      <c r="N644" s="3" t="inlineStr">
        <is>
          <t>"minutes.expired_time.opinion": "",</t>
        </is>
      </c>
      <c r="O644" s="3" t="n"/>
      <c r="P644" s="3" t="n"/>
      <c r="Q644" s="3" t="n"/>
      <c r="R644" s="3" t="n"/>
      <c r="S644" s="3" t="n"/>
      <c r="T644" s="3" t="n"/>
      <c r="U644" s="3" t="n"/>
      <c r="V644" s="3" t="n"/>
      <c r="W644" s="3" t="n"/>
      <c r="X644" s="3" t="n"/>
      <c r="Y644" s="3" t="n"/>
      <c r="Z644" s="3" t="n"/>
      <c r="AA644" s="3" t="n"/>
    </row>
    <row r="645">
      <c r="A645" s="104" t="inlineStr">
        <is>
          <t>minutes.expired_time.conclude</t>
        </is>
      </c>
      <c r="B645" s="104" t="inlineStr">
        <is>
          <t>Biên bản quá hạn kết luận</t>
        </is>
      </c>
      <c r="C645" s="104" t="inlineStr">
        <is>
          <t>Minutes expired to conclude</t>
        </is>
      </c>
      <c r="D645" s="3" t="n"/>
      <c r="E645" s="3" t="n"/>
      <c r="F645" s="3" t="n"/>
      <c r="G645" s="3" t="n"/>
      <c r="H645" s="3" t="inlineStr">
        <is>
          <t>កំណត់ហេតុផុតកំណត់ពេលសន្និដ្ឋាន</t>
        </is>
      </c>
      <c r="I645" s="3" t="n"/>
      <c r="J645" s="3" t="n"/>
      <c r="K645" s="3" t="n"/>
      <c r="L645" s="3" t="inlineStr">
        <is>
          <t>កំណត់ហេតុផុតកំណត់ពេលសន្និដ្ឋាន</t>
        </is>
      </c>
      <c r="M645" s="3" t="n"/>
      <c r="N645" s="3" t="inlineStr">
        <is>
          <t>"minutes.expired_time.conclude": "",</t>
        </is>
      </c>
      <c r="O645" s="3" t="n"/>
      <c r="P645" s="3" t="n"/>
      <c r="Q645" s="3" t="n"/>
      <c r="R645" s="3" t="n"/>
      <c r="S645" s="3" t="n"/>
      <c r="T645" s="3" t="n"/>
      <c r="U645" s="3" t="n"/>
      <c r="V645" s="3" t="n"/>
      <c r="W645" s="3" t="n"/>
      <c r="X645" s="3" t="n"/>
      <c r="Y645" s="3" t="n"/>
      <c r="Z645" s="3" t="n"/>
      <c r="AA645" s="3" t="n"/>
    </row>
    <row r="646">
      <c r="A646" s="104" t="inlineStr">
        <is>
          <t>minutes.not.found</t>
        </is>
      </c>
      <c r="B646" s="104" t="inlineStr">
        <is>
          <t>Không tìm thấy biên bản</t>
        </is>
      </c>
      <c r="C646" s="104" t="inlineStr">
        <is>
          <t>Minutes not found</t>
        </is>
      </c>
      <c r="D646" s="3" t="n"/>
      <c r="E646" s="3" t="n"/>
      <c r="F646" s="3" t="n"/>
      <c r="G646" s="3" t="n"/>
      <c r="H646" s="3" t="inlineStr">
        <is>
          <t>Không tìm thấy កំណត់ហេតុ</t>
        </is>
      </c>
      <c r="I646" s="3" t="n"/>
      <c r="J646" s="3" t="n"/>
      <c r="K646" s="3" t="n"/>
      <c r="L646" s="3" t="inlineStr">
        <is>
          <t>Không tìm thấy កំណត់ហេតុ</t>
        </is>
      </c>
      <c r="M646" s="3" t="n"/>
      <c r="N646" s="3" t="inlineStr">
        <is>
          <t>"minutes.not.found": "",</t>
        </is>
      </c>
      <c r="O646" s="3" t="n"/>
      <c r="P646" s="3" t="n"/>
      <c r="Q646" s="3" t="n"/>
      <c r="R646" s="3" t="n"/>
      <c r="S646" s="3" t="n"/>
      <c r="T646" s="3" t="n"/>
      <c r="U646" s="3" t="n"/>
      <c r="V646" s="3" t="n"/>
      <c r="W646" s="3" t="n"/>
      <c r="X646" s="3" t="n"/>
      <c r="Y646" s="3" t="n"/>
      <c r="Z646" s="3" t="n"/>
      <c r="AA646" s="3" t="n"/>
    </row>
    <row r="647">
      <c r="A647" s="104" t="inlineStr">
        <is>
          <t>minutes.not.found.created.post.office</t>
        </is>
      </c>
      <c r="B647" s="104" t="inlineStr">
        <is>
          <t>Không tìm thấy bưu cục lập biên bản</t>
        </is>
      </c>
      <c r="C647" s="104" t="inlineStr">
        <is>
          <t>Not found the post office that created the minutes</t>
        </is>
      </c>
      <c r="D647" s="3" t="n"/>
      <c r="E647" s="3" t="n"/>
      <c r="F647" s="3" t="n"/>
      <c r="G647" s="3" t="n"/>
      <c r="H647" s="3" t="inlineStr">
        <is>
          <t>Không tìm thấy ការិយាល័យប្រៃសណីយ៍ lập កំណត់ហេតុ</t>
        </is>
      </c>
      <c r="I647" s="3" t="n"/>
      <c r="J647" s="3" t="n"/>
      <c r="K647" s="3" t="n"/>
      <c r="L647" s="3" t="inlineStr">
        <is>
          <t>Không tìm thấy ការិយាល័យប្រៃសណីយ៍ lập កំណត់ហេតុ</t>
        </is>
      </c>
      <c r="M647" s="3" t="n"/>
      <c r="N647" s="3" t="inlineStr">
        <is>
          <t>"minutes.not.found.created.post.office": "",</t>
        </is>
      </c>
      <c r="O647" s="3" t="n"/>
      <c r="P647" s="3" t="n"/>
      <c r="Q647" s="3" t="n"/>
      <c r="R647" s="3" t="n"/>
      <c r="S647" s="3" t="n"/>
      <c r="T647" s="3" t="n"/>
      <c r="U647" s="3" t="n"/>
      <c r="V647" s="3" t="n"/>
      <c r="W647" s="3" t="n"/>
      <c r="X647" s="3" t="n"/>
      <c r="Y647" s="3" t="n"/>
      <c r="Z647" s="3" t="n"/>
      <c r="AA647" s="3" t="n"/>
    </row>
    <row r="648">
      <c r="A648" s="104" t="inlineStr">
        <is>
          <t>minutes.not.found.created.branch</t>
        </is>
      </c>
      <c r="B648" s="104" t="inlineStr">
        <is>
          <t>Không tìm thấy chi nhánh lập biên bản</t>
        </is>
      </c>
      <c r="C648" s="104" t="inlineStr">
        <is>
          <t>Not found the branch that created the minutes</t>
        </is>
      </c>
      <c r="D648" s="3" t="n"/>
      <c r="E648" s="3" t="n"/>
      <c r="F648" s="3" t="n"/>
      <c r="G648" s="3" t="n"/>
      <c r="H648" s="3" t="inlineStr">
        <is>
          <t>Không tìm thấy សាខា lập កំណត់ហេតុ</t>
        </is>
      </c>
      <c r="I648" s="3" t="n"/>
      <c r="J648" s="3" t="n"/>
      <c r="K648" s="3" t="n"/>
      <c r="L648" s="3" t="inlineStr">
        <is>
          <t>Không tìm thấy សាខា lập កំណត់ហេតុ</t>
        </is>
      </c>
      <c r="M648" s="3" t="n"/>
      <c r="N648" s="3" t="inlineStr">
        <is>
          <t>"minutes.not.found.created.branch": "",</t>
        </is>
      </c>
      <c r="O648" s="3" t="n"/>
      <c r="P648" s="3" t="n"/>
      <c r="Q648" s="3" t="n"/>
      <c r="R648" s="3" t="n"/>
      <c r="S648" s="3" t="n"/>
      <c r="T648" s="3" t="n"/>
      <c r="U648" s="3" t="n"/>
      <c r="V648" s="3" t="n"/>
      <c r="W648" s="3" t="n"/>
      <c r="X648" s="3" t="n"/>
      <c r="Y648" s="3" t="n"/>
      <c r="Z648" s="3" t="n"/>
      <c r="AA648" s="3" t="n"/>
    </row>
    <row r="649">
      <c r="A649" s="104" t="inlineStr">
        <is>
          <t>minutes.not.found.target.post.office</t>
        </is>
      </c>
      <c r="B649" s="104" t="inlineStr">
        <is>
          <t>Không tìm thấy bưu cục bị lập biên bản</t>
        </is>
      </c>
      <c r="C649" s="104" t="inlineStr">
        <is>
          <t>Not found the target post office of the minutes</t>
        </is>
      </c>
      <c r="D649" s="3" t="n"/>
      <c r="E649" s="3" t="n"/>
      <c r="F649" s="3" t="n"/>
      <c r="G649" s="3" t="n"/>
      <c r="H649" s="3" t="inlineStr">
        <is>
          <t>Không tìm thấy ការិយាល័យប្រៃសណីយ៍ bị lập កំណត់ហេតុ</t>
        </is>
      </c>
      <c r="I649" s="3" t="n"/>
      <c r="J649" s="3" t="n"/>
      <c r="K649" s="3" t="n"/>
      <c r="L649" s="3" t="inlineStr">
        <is>
          <t>Không tìm thấy ការិយាល័យប្រៃសណីយ៍ bị lập កំណត់ហេតុ</t>
        </is>
      </c>
      <c r="M649" s="3" t="n"/>
      <c r="N649" s="3" t="inlineStr">
        <is>
          <t>"minutes.not.found.target.post.office": "",</t>
        </is>
      </c>
      <c r="O649" s="3" t="n"/>
      <c r="P649" s="3" t="n"/>
      <c r="Q649" s="3" t="n"/>
      <c r="R649" s="3" t="n"/>
      <c r="S649" s="3" t="n"/>
      <c r="T649" s="3" t="n"/>
      <c r="U649" s="3" t="n"/>
      <c r="V649" s="3" t="n"/>
      <c r="W649" s="3" t="n"/>
      <c r="X649" s="3" t="n"/>
      <c r="Y649" s="3" t="n"/>
      <c r="Z649" s="3" t="n"/>
      <c r="AA649" s="3" t="n"/>
    </row>
    <row r="650">
      <c r="A650" s="104" t="inlineStr">
        <is>
          <t>minutes.not.found.target.branch</t>
        </is>
      </c>
      <c r="B650" s="104" t="inlineStr">
        <is>
          <t>Không tìm thấy chi nhánh bị lập biên bản</t>
        </is>
      </c>
      <c r="C650" s="104" t="inlineStr">
        <is>
          <t>Not found the target branch of the minutes</t>
        </is>
      </c>
      <c r="D650" s="3" t="n"/>
      <c r="E650" s="3" t="n"/>
      <c r="F650" s="3" t="n"/>
      <c r="G650" s="3" t="n"/>
      <c r="H650" s="3" t="inlineStr">
        <is>
          <t>Không tìm thấy សាខា bị lập កំណត់ហេតុ</t>
        </is>
      </c>
      <c r="I650" s="3" t="n"/>
      <c r="J650" s="3" t="n"/>
      <c r="K650" s="3" t="n"/>
      <c r="L650" s="3" t="inlineStr">
        <is>
          <t>Không tìm thấy សាខា bị lập កំណត់ហេតុ</t>
        </is>
      </c>
      <c r="M650" s="3" t="n"/>
      <c r="N650" s="3" t="inlineStr">
        <is>
          <t>"minutes.not.found.target.branch": "",</t>
        </is>
      </c>
      <c r="O650" s="3" t="n"/>
      <c r="P650" s="3" t="n"/>
      <c r="Q650" s="3" t="n"/>
      <c r="R650" s="3" t="n"/>
      <c r="S650" s="3" t="n"/>
      <c r="T650" s="3" t="n"/>
      <c r="U650" s="3" t="n"/>
      <c r="V650" s="3" t="n"/>
      <c r="W650" s="3" t="n"/>
      <c r="X650" s="3" t="n"/>
      <c r="Y650" s="3" t="n"/>
      <c r="Z650" s="3" t="n"/>
      <c r="AA650" s="3" t="n"/>
    </row>
    <row r="651">
      <c r="A651" s="104" t="inlineStr">
        <is>
          <t>mistake.not.found</t>
        </is>
      </c>
      <c r="B651" s="104" t="inlineStr">
        <is>
          <t>Không tìm thấy mã lỗi</t>
        </is>
      </c>
      <c r="C651" s="104" t="inlineStr">
        <is>
          <t>Mistake not found</t>
        </is>
      </c>
      <c r="D651" s="3" t="n"/>
      <c r="E651" s="3" t="n"/>
      <c r="F651" s="3" t="n"/>
      <c r="G651" s="3" t="n"/>
      <c r="H651" s="3" t="inlineStr">
        <is>
          <t>Không tìm thấy លេខកូដកំហុស</t>
        </is>
      </c>
      <c r="I651" s="3" t="n"/>
      <c r="J651" s="3" t="n"/>
      <c r="K651" s="3" t="n"/>
      <c r="L651" s="3" t="inlineStr">
        <is>
          <t>Không tìm thấy លេខកូដកំហុស</t>
        </is>
      </c>
      <c r="M651" s="3" t="n"/>
      <c r="N651" s="3" t="inlineStr">
        <is>
          <t>"mistake.not.found": "",</t>
        </is>
      </c>
      <c r="O651" s="3" t="n"/>
      <c r="P651" s="3" t="n"/>
      <c r="Q651" s="3" t="n"/>
      <c r="R651" s="3" t="n"/>
      <c r="S651" s="3" t="n"/>
      <c r="T651" s="3" t="n"/>
      <c r="U651" s="3" t="n"/>
      <c r="V651" s="3" t="n"/>
      <c r="W651" s="3" t="n"/>
      <c r="X651" s="3" t="n"/>
      <c r="Y651" s="3" t="n"/>
      <c r="Z651" s="3" t="n"/>
      <c r="AA651" s="3" t="n"/>
    </row>
    <row r="652">
      <c r="A652" s="104" t="inlineStr">
        <is>
          <t>date.time.invalid</t>
        </is>
      </c>
      <c r="B652" s="104" t="inlineStr">
        <is>
          <t>Thời gian không hợp lệ</t>
        </is>
      </c>
      <c r="C652" s="104" t="inlineStr">
        <is>
          <t>Invalid date time format</t>
        </is>
      </c>
      <c r="D652" s="3" t="n"/>
      <c r="E652" s="3" t="n"/>
      <c r="F652" s="3" t="n"/>
      <c r="G652" s="3" t="n"/>
      <c r="H652" s="3" t="inlineStr">
        <is>
          <t>ពេលវេលាkhông hợp lệ</t>
        </is>
      </c>
      <c r="I652" s="3" t="n"/>
      <c r="J652" s="3" t="n"/>
      <c r="K652" s="3" t="n"/>
      <c r="L652" s="3" t="inlineStr">
        <is>
          <t>ពេលវេលាkhông hợp lệ</t>
        </is>
      </c>
      <c r="M652" s="3" t="n"/>
      <c r="N652" s="3" t="inlineStr">
        <is>
          <t>"date.time.invalid": "",</t>
        </is>
      </c>
      <c r="O652" s="3" t="n"/>
      <c r="P652" s="3" t="n"/>
      <c r="Q652" s="3" t="n"/>
      <c r="R652" s="3" t="n"/>
      <c r="S652" s="3" t="n"/>
      <c r="T652" s="3" t="n"/>
      <c r="U652" s="3" t="n"/>
      <c r="V652" s="3" t="n"/>
      <c r="W652" s="3" t="n"/>
      <c r="X652" s="3" t="n"/>
      <c r="Y652" s="3" t="n"/>
      <c r="Z652" s="3" t="n"/>
      <c r="AA652" s="3" t="n"/>
    </row>
    <row r="653">
      <c r="A653" s="104" t="inlineStr">
        <is>
          <t>minutes.compensation.ratio.invalid</t>
        </is>
      </c>
      <c r="B653" s="104" t="inlineStr">
        <is>
          <t>Tổng tỷ lệ đền bù bằng 100%</t>
        </is>
      </c>
      <c r="C653" s="104" t="inlineStr">
        <is>
          <t>Compensation ratio invalid</t>
        </is>
      </c>
      <c r="D653" s="3" t="n"/>
      <c r="E653" s="3" t="n"/>
      <c r="F653" s="3" t="n"/>
      <c r="G653" s="3" t="n"/>
      <c r="H653" s="3" t="inlineStr">
        <is>
          <t>ចំនួនអត្រា សំណង bằng 100%សរុប</t>
        </is>
      </c>
      <c r="I653" s="3" t="n"/>
      <c r="J653" s="3" t="n"/>
      <c r="K653" s="3" t="n"/>
      <c r="L653" s="3" t="inlineStr">
        <is>
          <t>ចំនួនអត្រា សំណង bằng 100%សរុប</t>
        </is>
      </c>
      <c r="M653" s="3" t="n"/>
      <c r="N653" s="3" t="inlineStr">
        <is>
          <t>"minutes.compensation.ratio.invalid": "",</t>
        </is>
      </c>
      <c r="O653" s="3" t="n"/>
      <c r="P653" s="3" t="n"/>
      <c r="Q653" s="3" t="n"/>
      <c r="R653" s="3" t="n"/>
      <c r="S653" s="3" t="n"/>
      <c r="T653" s="3" t="n"/>
      <c r="U653" s="3" t="n"/>
      <c r="V653" s="3" t="n"/>
      <c r="W653" s="3" t="n"/>
      <c r="X653" s="3" t="n"/>
      <c r="Y653" s="3" t="n"/>
      <c r="Z653" s="3" t="n"/>
      <c r="AA653" s="3" t="n"/>
    </row>
    <row r="654">
      <c r="A654" s="104" t="inlineStr">
        <is>
          <t>validation.inspector.assignment.branch.configured</t>
        </is>
      </c>
      <c r="B654" s="104" t="inlineStr">
        <is>
          <t>Chi nhánh đã được cấu hình chuyên quản</t>
        </is>
      </c>
      <c r="C654" s="104" t="inlineStr">
        <is>
          <t>An active inspector assignment already exists for this branch</t>
        </is>
      </c>
      <c r="D654" s="3" t="n"/>
      <c r="E654" s="3" t="n"/>
      <c r="F654" s="3" t="n"/>
      <c r="G654" s="3" t="n"/>
      <c r="H654" s="3" t="inlineStr">
        <is>
          <t>សាខា đã được ការកំណត់ chuyên quản</t>
        </is>
      </c>
      <c r="I654" s="3" t="n"/>
      <c r="J654" s="3" t="n"/>
      <c r="K654" s="3" t="n"/>
      <c r="L654" s="3" t="inlineStr">
        <is>
          <t>សាខា đã được ការកំណត់ chuyên quản</t>
        </is>
      </c>
      <c r="M654" s="3" t="n"/>
      <c r="N654" s="3" t="inlineStr">
        <is>
          <t>"validation.inspector.assignment.branch.configured": "",</t>
        </is>
      </c>
      <c r="O654" s="3" t="n"/>
      <c r="P654" s="3" t="n"/>
      <c r="Q654" s="3" t="n"/>
      <c r="R654" s="3" t="n"/>
      <c r="S654" s="3" t="n"/>
      <c r="T654" s="3" t="n"/>
      <c r="U654" s="3" t="n"/>
      <c r="V654" s="3" t="n"/>
      <c r="W654" s="3" t="n"/>
      <c r="X654" s="3" t="n"/>
      <c r="Y654" s="3" t="n"/>
      <c r="Z654" s="3" t="n"/>
      <c r="AA654" s="3" t="n"/>
    </row>
    <row r="655">
      <c r="A655" s="104" t="inlineStr">
        <is>
          <t>user.does.not.have.permission</t>
        </is>
      </c>
      <c r="B655" s="104" t="inlineStr">
        <is>
          <t>Người dùng không có quyền thực hiện hành động này</t>
        </is>
      </c>
      <c r="C655" s="104" t="inlineStr">
        <is>
          <t>User does not have permission to perform this action</t>
        </is>
      </c>
      <c r="D655" s="3" t="n"/>
      <c r="E655" s="3" t="n"/>
      <c r="F655" s="3" t="n"/>
      <c r="G655" s="3" t="n"/>
      <c r="H655" s="3" t="inlineStr">
        <is>
          <t>អ្នកប្រើប្រាស់មិនមានសិទ្ធិអនុវត្តសកម្មភាពនេះទេ</t>
        </is>
      </c>
      <c r="I655" s="3" t="n"/>
      <c r="J655" s="3" t="n"/>
      <c r="K655" s="3" t="n"/>
      <c r="L655" s="3" t="inlineStr">
        <is>
          <t>អ្នកប្រើប្រាស់មិនមានសិទ្ធិអនុវត្តសកម្មភាពនេះទេ</t>
        </is>
      </c>
      <c r="M655" s="3" t="n"/>
      <c r="N655" s="3" t="inlineStr">
        <is>
          <t>"user.does.not.have.permission": "",</t>
        </is>
      </c>
      <c r="O655" s="3" t="n"/>
      <c r="P655" s="3" t="n"/>
      <c r="Q655" s="3" t="n"/>
      <c r="R655" s="3" t="n"/>
      <c r="S655" s="3" t="n"/>
      <c r="T655" s="3" t="n"/>
      <c r="U655" s="3" t="n"/>
      <c r="V655" s="3" t="n"/>
      <c r="W655" s="3" t="n"/>
      <c r="X655" s="3" t="n"/>
      <c r="Y655" s="3" t="n"/>
      <c r="Z655" s="3" t="n"/>
      <c r="AA655" s="3" t="n"/>
    </row>
    <row r="656">
      <c r="A656" s="104" t="inlineStr">
        <is>
          <t>minutes.violating.post_office_user.invalid</t>
        </is>
      </c>
      <c r="B656" s="104" t="inlineStr">
        <is>
          <t>Bưu cục vi phạm hoặc người vi phạm không hợp lệ</t>
        </is>
      </c>
      <c r="C656" s="104" t="inlineStr">
        <is>
          <t>Postoffice and user invalid</t>
        </is>
      </c>
      <c r="D656" s="3" t="n"/>
      <c r="E656" s="3" t="n"/>
      <c r="F656" s="3" t="n"/>
      <c r="G656" s="3" t="n"/>
      <c r="H656" s="3" t="inlineStr">
        <is>
          <t>ការិយាល័យប្រៃសណីយ៍ vi phạm hoặc người vi phạm không hợp lệ</t>
        </is>
      </c>
      <c r="I656" s="3" t="n"/>
      <c r="J656" s="3" t="n"/>
      <c r="K656" s="3" t="n"/>
      <c r="L656" s="3" t="inlineStr">
        <is>
          <t>ការិយាល័យប្រៃសណីយ៍ vi phạm hoặc người vi phạm không hợp lệ</t>
        </is>
      </c>
      <c r="M656" s="3" t="n"/>
      <c r="N656" s="3" t="inlineStr">
        <is>
          <t>"minutes.violating.post_office_user.invalid": "",</t>
        </is>
      </c>
      <c r="O656" s="3" t="n"/>
      <c r="P656" s="3" t="n"/>
      <c r="Q656" s="3" t="n"/>
      <c r="R656" s="3" t="n"/>
      <c r="S656" s="3" t="n"/>
      <c r="T656" s="3" t="n"/>
      <c r="U656" s="3" t="n"/>
      <c r="V656" s="3" t="n"/>
      <c r="W656" s="3" t="n"/>
      <c r="X656" s="3" t="n"/>
      <c r="Y656" s="3" t="n"/>
      <c r="Z656" s="3" t="n"/>
      <c r="AA656" s="3" t="n"/>
    </row>
    <row r="657">
      <c r="A657" s="104" t="inlineStr">
        <is>
          <t>mistake.group_code.not_exists</t>
        </is>
      </c>
      <c r="B657" s="104" t="inlineStr">
        <is>
          <t>Nhóm lỗi không tồn tại</t>
        </is>
      </c>
      <c r="C657" s="104" t="inlineStr">
        <is>
          <t>Mistake group code not exists</t>
        </is>
      </c>
      <c r="D657" s="3" t="n"/>
      <c r="E657" s="3" t="n"/>
      <c r="F657" s="3" t="n"/>
      <c r="G657" s="3" t="n"/>
      <c r="H657" s="3" t="inlineStr">
        <is>
          <t>ក្រុម កំហុស không tồn tại</t>
        </is>
      </c>
      <c r="I657" s="3" t="n"/>
      <c r="J657" s="3" t="n"/>
      <c r="K657" s="3" t="n"/>
      <c r="L657" s="3" t="inlineStr">
        <is>
          <t>ក្រុម កំហុស không tồn tại</t>
        </is>
      </c>
      <c r="M657" s="3" t="n"/>
      <c r="N657" s="3" t="inlineStr">
        <is>
          <t>"mistake.group_code.not_exists": "",</t>
        </is>
      </c>
      <c r="O657" s="3" t="n"/>
      <c r="P657" s="3" t="n"/>
      <c r="Q657" s="3" t="n"/>
      <c r="R657" s="3" t="n"/>
      <c r="S657" s="3" t="n"/>
      <c r="T657" s="3" t="n"/>
      <c r="U657" s="3" t="n"/>
      <c r="V657" s="3" t="n"/>
      <c r="W657" s="3" t="n"/>
      <c r="X657" s="3" t="n"/>
      <c r="Y657" s="3" t="n"/>
      <c r="Z657" s="3" t="n"/>
      <c r="AA657" s="3" t="n"/>
    </row>
    <row r="658">
      <c r="A658" s="104" t="inlineStr">
        <is>
          <t>violationReport.general</t>
        </is>
      </c>
      <c r="B658" s="104" t="inlineStr">
        <is>
          <t>Cấu hình chuyên quản</t>
        </is>
      </c>
      <c r="C658" s="3" t="n"/>
      <c r="D658" s="3" t="n"/>
      <c r="E658" s="3" t="n"/>
      <c r="F658" s="3" t="n"/>
      <c r="G658" s="3" t="n"/>
      <c r="H658" s="3" t="inlineStr">
        <is>
          <t>ការកំណត់ chuyên quản</t>
        </is>
      </c>
      <c r="I658" s="3" t="n"/>
      <c r="J658" s="3" t="n"/>
      <c r="K658" s="3" t="n"/>
      <c r="L658" s="3" t="inlineStr">
        <is>
          <t>ការកំណត់ chuyên quản</t>
        </is>
      </c>
      <c r="M658" s="3" t="n"/>
      <c r="N658" s="3" t="inlineStr">
        <is>
          <t>"violationReport.general": "",</t>
        </is>
      </c>
      <c r="O658" s="3" t="n"/>
      <c r="P658" s="3" t="n"/>
      <c r="Q658" s="3" t="n"/>
      <c r="R658" s="3" t="n"/>
      <c r="S658" s="3" t="n"/>
      <c r="T658" s="3" t="n"/>
      <c r="U658" s="3" t="n"/>
      <c r="V658" s="3" t="n"/>
      <c r="W658" s="3" t="n"/>
      <c r="X658" s="3" t="n"/>
      <c r="Y658" s="3" t="n"/>
      <c r="Z658" s="3" t="n"/>
      <c r="AA658" s="3" t="n"/>
    </row>
    <row r="659">
      <c r="A659" s="104" t="inlineStr">
        <is>
          <t>violationReport.errorConfig</t>
        </is>
      </c>
      <c r="B659" s="104" t="inlineStr">
        <is>
          <t>Cấu hình mã lỗi</t>
        </is>
      </c>
      <c r="C659" s="3" t="n"/>
      <c r="D659" s="3" t="n"/>
      <c r="E659" s="3" t="n"/>
      <c r="F659" s="3" t="n"/>
      <c r="G659" s="3" t="n"/>
      <c r="H659" s="3" t="inlineStr">
        <is>
          <t>ការកំណត់ លេខកូដកំហុស</t>
        </is>
      </c>
      <c r="I659" s="3" t="n"/>
      <c r="J659" s="3" t="n"/>
      <c r="K659" s="3" t="n"/>
      <c r="L659" s="3" t="inlineStr">
        <is>
          <t>ការកំណត់ លេខកូដកំហុស</t>
        </is>
      </c>
      <c r="M659" s="3" t="n"/>
      <c r="N659" s="3" t="inlineStr">
        <is>
          <t>"violationReport.errorConfig": "",</t>
        </is>
      </c>
      <c r="O659" s="3" t="n"/>
      <c r="P659" s="3" t="n"/>
      <c r="Q659" s="3" t="n"/>
      <c r="R659" s="3" t="n"/>
      <c r="S659" s="3" t="n"/>
      <c r="T659" s="3" t="n"/>
      <c r="U659" s="3" t="n"/>
      <c r="V659" s="3" t="n"/>
      <c r="W659" s="3" t="n"/>
      <c r="X659" s="3" t="n"/>
      <c r="Y659" s="3" t="n"/>
      <c r="Z659" s="3" t="n"/>
      <c r="AA659" s="3" t="n"/>
    </row>
    <row r="660">
      <c r="A660" s="104" t="inlineStr">
        <is>
          <t>violationReport.generalFilter.employee</t>
        </is>
      </c>
      <c r="B660" s="104" t="inlineStr">
        <is>
          <t>Mã/tên nhân viên</t>
        </is>
      </c>
      <c r="C660" s="3" t="n"/>
      <c r="D660" s="3" t="n"/>
      <c r="E660" s="3" t="n"/>
      <c r="F660" s="3" t="n"/>
      <c r="G660" s="3" t="n"/>
      <c r="H660" s="3" t="inlineStr">
        <is>
          <t>លេខកូដ/ឈ្មោះបុគ្គលិក</t>
        </is>
      </c>
      <c r="I660" s="3" t="n"/>
      <c r="J660" s="3" t="n"/>
      <c r="K660" s="3" t="n"/>
      <c r="L660" s="3" t="inlineStr">
        <is>
          <t>លេខកូដ/ឈ្មោះបុគ្គលិក</t>
        </is>
      </c>
      <c r="M660" s="3" t="n"/>
      <c r="N660" s="3" t="inlineStr">
        <is>
          <t>"violationReport.generalFilter.employee": "",</t>
        </is>
      </c>
      <c r="O660" s="3" t="n"/>
      <c r="P660" s="3" t="n"/>
      <c r="Q660" s="3" t="n"/>
      <c r="R660" s="3" t="n"/>
      <c r="S660" s="3" t="n"/>
      <c r="T660" s="3" t="n"/>
      <c r="U660" s="3" t="n"/>
      <c r="V660" s="3" t="n"/>
      <c r="W660" s="3" t="n"/>
      <c r="X660" s="3" t="n"/>
      <c r="Y660" s="3" t="n"/>
      <c r="Z660" s="3" t="n"/>
      <c r="AA660" s="3" t="n"/>
    </row>
    <row r="661">
      <c r="A661" s="104" t="inlineStr">
        <is>
          <t>violationReport.generalFilter.employeePlaceholder</t>
        </is>
      </c>
      <c r="B661" s="104" t="inlineStr">
        <is>
          <t>Nhập mã/tên nhân viên</t>
        </is>
      </c>
      <c r="C661" s="3" t="n"/>
      <c r="D661" s="3" t="n"/>
      <c r="E661" s="3" t="n"/>
      <c r="F661" s="3" t="n"/>
      <c r="G661" s="3" t="n"/>
      <c r="H661" s="3" t="inlineStr">
        <is>
          <t>បញ្ចូលលេខកូដ/ឈ្មោះបុគ្គលិក</t>
        </is>
      </c>
      <c r="I661" s="3" t="n"/>
      <c r="J661" s="3" t="n"/>
      <c r="K661" s="3" t="n"/>
      <c r="L661" s="3" t="inlineStr">
        <is>
          <t>បញ្ចូលលេខកូដ/ឈ្មោះបុគ្គលិក</t>
        </is>
      </c>
      <c r="M661" s="3" t="n"/>
      <c r="N661" s="3" t="inlineStr">
        <is>
          <t>"violationReport.generalFilter.employeePlaceholder": "",</t>
        </is>
      </c>
      <c r="O661" s="3" t="n"/>
      <c r="P661" s="3" t="n"/>
      <c r="Q661" s="3" t="n"/>
      <c r="R661" s="3" t="n"/>
      <c r="S661" s="3" t="n"/>
      <c r="T661" s="3" t="n"/>
      <c r="U661" s="3" t="n"/>
      <c r="V661" s="3" t="n"/>
      <c r="W661" s="3" t="n"/>
      <c r="X661" s="3" t="n"/>
      <c r="Y661" s="3" t="n"/>
      <c r="Z661" s="3" t="n"/>
      <c r="AA661" s="3" t="n"/>
    </row>
    <row r="662">
      <c r="A662" s="104" t="inlineStr">
        <is>
          <t>violationReport.generalFilter.branch</t>
        </is>
      </c>
      <c r="B662" s="104" t="inlineStr">
        <is>
          <t>Chi nhánh</t>
        </is>
      </c>
      <c r="C662" s="3" t="n"/>
      <c r="D662" s="3" t="n"/>
      <c r="E662" s="3" t="n"/>
      <c r="F662" s="3" t="n"/>
      <c r="G662" s="3" t="n"/>
      <c r="H662" s="3" t="inlineStr">
        <is>
          <t>សាខា</t>
        </is>
      </c>
      <c r="I662" s="3" t="n"/>
      <c r="J662" s="3" t="n"/>
      <c r="K662" s="3" t="n"/>
      <c r="L662" s="3" t="inlineStr">
        <is>
          <t>សាខា</t>
        </is>
      </c>
      <c r="M662" s="3" t="n"/>
      <c r="N662" s="3" t="inlineStr">
        <is>
          <t>"violationReport.generalFilter.branch": "",</t>
        </is>
      </c>
      <c r="O662" s="3" t="n"/>
      <c r="P662" s="3" t="n"/>
      <c r="Q662" s="3" t="n"/>
      <c r="R662" s="3" t="n"/>
      <c r="S662" s="3" t="n"/>
      <c r="T662" s="3" t="n"/>
      <c r="U662" s="3" t="n"/>
      <c r="V662" s="3" t="n"/>
      <c r="W662" s="3" t="n"/>
      <c r="X662" s="3" t="n"/>
      <c r="Y662" s="3" t="n"/>
      <c r="Z662" s="3" t="n"/>
      <c r="AA662" s="3" t="n"/>
    </row>
    <row r="663">
      <c r="A663" s="104" t="inlineStr">
        <is>
          <t>violationReport.generalFilter.branchPlaceholder</t>
        </is>
      </c>
      <c r="B663" s="104" t="inlineStr">
        <is>
          <t>Chọn chi nhánh</t>
        </is>
      </c>
      <c r="C663" s="3" t="n"/>
      <c r="D663" s="3" t="n"/>
      <c r="E663" s="3" t="n"/>
      <c r="F663" s="3" t="n"/>
      <c r="G663" s="3" t="n"/>
      <c r="H663" s="3" t="inlineStr">
        <is>
          <t>ជ្រើសរើសសាខា</t>
        </is>
      </c>
      <c r="I663" s="3" t="n"/>
      <c r="J663" s="3" t="n"/>
      <c r="K663" s="3" t="n"/>
      <c r="L663" s="3" t="inlineStr">
        <is>
          <t>ជ្រើសរើសសាខា</t>
        </is>
      </c>
      <c r="M663" s="3" t="n"/>
      <c r="N663" s="3" t="inlineStr">
        <is>
          <t>"violationReport.generalFilter.branchPlaceholder": "",</t>
        </is>
      </c>
      <c r="O663" s="3" t="n"/>
      <c r="P663" s="3" t="n"/>
      <c r="Q663" s="3" t="n"/>
      <c r="R663" s="3" t="n"/>
      <c r="S663" s="3" t="n"/>
      <c r="T663" s="3" t="n"/>
      <c r="U663" s="3" t="n"/>
      <c r="V663" s="3" t="n"/>
      <c r="W663" s="3" t="n"/>
      <c r="X663" s="3" t="n"/>
      <c r="Y663" s="3" t="n"/>
      <c r="Z663" s="3" t="n"/>
      <c r="AA663" s="3" t="n"/>
    </row>
    <row r="664">
      <c r="A664" s="104" t="inlineStr">
        <is>
          <t>violationReport.generalFilter.confirm</t>
        </is>
      </c>
      <c r="B664" s="104" t="inlineStr">
        <is>
          <t>Xác nhận</t>
        </is>
      </c>
      <c r="C664" s="3" t="n"/>
      <c r="D664" s="3" t="n"/>
      <c r="E664" s="3" t="n"/>
      <c r="F664" s="3" t="n"/>
      <c r="G664" s="3" t="n"/>
      <c r="H664" s="3" t="inlineStr">
        <is>
          <t>បញ្ជាក់</t>
        </is>
      </c>
      <c r="I664" s="3" t="n"/>
      <c r="J664" s="3" t="n"/>
      <c r="K664" s="3" t="n"/>
      <c r="L664" s="3" t="inlineStr">
        <is>
          <t>បញ្ជាក់</t>
        </is>
      </c>
      <c r="M664" s="3" t="n"/>
      <c r="N664" s="3" t="inlineStr">
        <is>
          <t>"violationReport.generalFilter.confirm": "",</t>
        </is>
      </c>
      <c r="O664" s="3" t="n"/>
      <c r="P664" s="3" t="n"/>
      <c r="Q664" s="3" t="n"/>
      <c r="R664" s="3" t="n"/>
      <c r="S664" s="3" t="n"/>
      <c r="T664" s="3" t="n"/>
      <c r="U664" s="3" t="n"/>
      <c r="V664" s="3" t="n"/>
      <c r="W664" s="3" t="n"/>
      <c r="X664" s="3" t="n"/>
      <c r="Y664" s="3" t="n"/>
      <c r="Z664" s="3" t="n"/>
      <c r="AA664" s="3" t="n"/>
    </row>
    <row r="665">
      <c r="A665" s="104" t="inlineStr">
        <is>
          <t>violationReport.generalFilter.branchRequired</t>
        </is>
      </c>
      <c r="B665" s="104" t="inlineStr">
        <is>
          <t>Vui lòng chọn chi nhánh</t>
        </is>
      </c>
      <c r="C665" s="3" t="n"/>
      <c r="D665" s="3" t="n"/>
      <c r="E665" s="3" t="n"/>
      <c r="F665" s="3" t="n"/>
      <c r="G665" s="3" t="n"/>
      <c r="H665" s="3" t="inlineStr">
        <is>
          <t>សូមជ្រើសរើសសាខា</t>
        </is>
      </c>
      <c r="I665" s="3" t="n"/>
      <c r="J665" s="3" t="n"/>
      <c r="K665" s="3" t="n"/>
      <c r="L665" s="3" t="inlineStr">
        <is>
          <t>សូមជ្រើសរើសសាខា</t>
        </is>
      </c>
      <c r="M665" s="3" t="n"/>
      <c r="N665" s="3" t="inlineStr">
        <is>
          <t>"violationReport.generalFilter.branchRequired": "",</t>
        </is>
      </c>
      <c r="O665" s="3" t="n"/>
      <c r="P665" s="3" t="n"/>
      <c r="Q665" s="3" t="n"/>
      <c r="R665" s="3" t="n"/>
      <c r="S665" s="3" t="n"/>
      <c r="T665" s="3" t="n"/>
      <c r="U665" s="3" t="n"/>
      <c r="V665" s="3" t="n"/>
      <c r="W665" s="3" t="n"/>
      <c r="X665" s="3" t="n"/>
      <c r="Y665" s="3" t="n"/>
      <c r="Z665" s="3" t="n"/>
      <c r="AA665" s="3" t="n"/>
    </row>
    <row r="666">
      <c r="A666" s="104" t="inlineStr">
        <is>
          <t>violationReport.generalFilter.employeeRequired</t>
        </is>
      </c>
      <c r="B666" s="104" t="inlineStr">
        <is>
          <t>Vui lòng chọn nhân viên</t>
        </is>
      </c>
      <c r="C666" s="3" t="n"/>
      <c r="D666" s="3" t="n"/>
      <c r="E666" s="3" t="n"/>
      <c r="F666" s="3" t="n"/>
      <c r="G666" s="3" t="n"/>
      <c r="H666" s="3" t="inlineStr">
        <is>
          <t>សូមជ្រើសរើសបុគ្គលិក</t>
        </is>
      </c>
      <c r="I666" s="3" t="n"/>
      <c r="J666" s="3" t="n"/>
      <c r="K666" s="3" t="n"/>
      <c r="L666" s="3" t="inlineStr">
        <is>
          <t>សូមជ្រើសរើសបុគ្គលិក</t>
        </is>
      </c>
      <c r="M666" s="3" t="n"/>
      <c r="N666" s="3" t="inlineStr">
        <is>
          <t>"violationReport.generalFilter.employeeRequired": "",</t>
        </is>
      </c>
      <c r="O666" s="3" t="n"/>
      <c r="P666" s="3" t="n"/>
      <c r="Q666" s="3" t="n"/>
      <c r="R666" s="3" t="n"/>
      <c r="S666" s="3" t="n"/>
      <c r="T666" s="3" t="n"/>
      <c r="U666" s="3" t="n"/>
      <c r="V666" s="3" t="n"/>
      <c r="W666" s="3" t="n"/>
      <c r="X666" s="3" t="n"/>
      <c r="Y666" s="3" t="n"/>
      <c r="Z666" s="3" t="n"/>
      <c r="AA666" s="3" t="n"/>
    </row>
    <row r="667">
      <c r="A667" s="104" t="inlineStr">
        <is>
          <t>violationReport.generalTable.employeeCode</t>
        </is>
      </c>
      <c r="B667" s="104" t="inlineStr">
        <is>
          <t>Mã nhân viên</t>
        </is>
      </c>
      <c r="C667" s="3" t="n"/>
      <c r="D667" s="3" t="n"/>
      <c r="E667" s="3" t="n"/>
      <c r="F667" s="3" t="n"/>
      <c r="G667" s="3" t="n"/>
      <c r="H667" s="3" t="inlineStr">
        <is>
          <t>លេខកូដបុគ្គលិក</t>
        </is>
      </c>
      <c r="I667" s="3" t="n"/>
      <c r="J667" s="3" t="n"/>
      <c r="K667" s="3" t="n"/>
      <c r="L667" s="3" t="inlineStr">
        <is>
          <t>លេខកូដបុគ្គលិក</t>
        </is>
      </c>
      <c r="M667" s="3" t="n"/>
      <c r="N667" s="3" t="inlineStr">
        <is>
          <t>"violationReport.generalTable.employeeCode": "",</t>
        </is>
      </c>
      <c r="O667" s="3" t="n"/>
      <c r="P667" s="3" t="n"/>
      <c r="Q667" s="3" t="n"/>
      <c r="R667" s="3" t="n"/>
      <c r="S667" s="3" t="n"/>
      <c r="T667" s="3" t="n"/>
      <c r="U667" s="3" t="n"/>
      <c r="V667" s="3" t="n"/>
      <c r="W667" s="3" t="n"/>
      <c r="X667" s="3" t="n"/>
      <c r="Y667" s="3" t="n"/>
      <c r="Z667" s="3" t="n"/>
      <c r="AA667" s="3" t="n"/>
    </row>
    <row r="668">
      <c r="A668" s="104" t="inlineStr">
        <is>
          <t>violationReport.generalTable.employeeName</t>
        </is>
      </c>
      <c r="B668" s="104" t="inlineStr">
        <is>
          <t>Tên nhân viên</t>
        </is>
      </c>
      <c r="C668" s="3" t="n"/>
      <c r="D668" s="3" t="n"/>
      <c r="E668" s="3" t="n"/>
      <c r="F668" s="3" t="n"/>
      <c r="G668" s="3" t="n"/>
      <c r="H668" s="3" t="inlineStr">
        <is>
          <t>ឈ្មោះបុគ្គលិក</t>
        </is>
      </c>
      <c r="I668" s="3" t="n"/>
      <c r="J668" s="3" t="n"/>
      <c r="K668" s="3" t="n"/>
      <c r="L668" s="3" t="inlineStr">
        <is>
          <t>ឈ្មោះបុគ្គលិក</t>
        </is>
      </c>
      <c r="M668" s="3" t="n"/>
      <c r="N668" s="3" t="inlineStr">
        <is>
          <t>"violationReport.generalTable.employeeName": "",</t>
        </is>
      </c>
      <c r="O668" s="3" t="n"/>
      <c r="P668" s="3" t="n"/>
      <c r="Q668" s="3" t="n"/>
      <c r="R668" s="3" t="n"/>
      <c r="S668" s="3" t="n"/>
      <c r="T668" s="3" t="n"/>
      <c r="U668" s="3" t="n"/>
      <c r="V668" s="3" t="n"/>
      <c r="W668" s="3" t="n"/>
      <c r="X668" s="3" t="n"/>
      <c r="Y668" s="3" t="n"/>
      <c r="Z668" s="3" t="n"/>
      <c r="AA668" s="3" t="n"/>
    </row>
    <row r="669">
      <c r="A669" s="104" t="inlineStr">
        <is>
          <t>violationReport.generalTable.managingBranch</t>
        </is>
      </c>
      <c r="B669" s="104" t="inlineStr">
        <is>
          <t>Chi nhánh quản lý</t>
        </is>
      </c>
      <c r="C669" s="3" t="n"/>
      <c r="D669" s="3" t="n"/>
      <c r="E669" s="3" t="n"/>
      <c r="F669" s="3" t="n"/>
      <c r="G669" s="3" t="n"/>
      <c r="H669" s="3" t="inlineStr">
        <is>
          <t>សាខា គ្រប់គ្រង</t>
        </is>
      </c>
      <c r="I669" s="3" t="n"/>
      <c r="J669" s="3" t="n"/>
      <c r="K669" s="3" t="n"/>
      <c r="L669" s="3" t="inlineStr">
        <is>
          <t>សាខា គ្រប់គ្រង</t>
        </is>
      </c>
      <c r="M669" s="3" t="n"/>
      <c r="N669" s="3" t="inlineStr">
        <is>
          <t>"violationReport.generalTable.managingBranch": "",</t>
        </is>
      </c>
      <c r="O669" s="3" t="n"/>
      <c r="P669" s="3" t="n"/>
      <c r="Q669" s="3" t="n"/>
      <c r="R669" s="3" t="n"/>
      <c r="S669" s="3" t="n"/>
      <c r="T669" s="3" t="n"/>
      <c r="U669" s="3" t="n"/>
      <c r="V669" s="3" t="n"/>
      <c r="W669" s="3" t="n"/>
      <c r="X669" s="3" t="n"/>
      <c r="Y669" s="3" t="n"/>
      <c r="Z669" s="3" t="n"/>
      <c r="AA669" s="3" t="n"/>
    </row>
    <row r="670">
      <c r="A670" s="104" t="inlineStr">
        <is>
          <t>violationReport.generalTable.actions</t>
        </is>
      </c>
      <c r="B670" s="104" t="inlineStr">
        <is>
          <t>Thao tác</t>
        </is>
      </c>
      <c r="C670" s="3" t="n"/>
      <c r="D670" s="3" t="n"/>
      <c r="E670" s="3" t="n"/>
      <c r="F670" s="3" t="n"/>
      <c r="G670" s="3" t="n"/>
      <c r="H670" s="3" t="inlineStr">
        <is>
          <t>ប្រតិបត្តិការ</t>
        </is>
      </c>
      <c r="I670" s="3" t="n"/>
      <c r="J670" s="3" t="n"/>
      <c r="K670" s="3" t="n"/>
      <c r="L670" s="3" t="inlineStr">
        <is>
          <t>ប្រតិបត្តិការ</t>
        </is>
      </c>
      <c r="M670" s="3" t="n"/>
      <c r="N670" s="3" t="inlineStr">
        <is>
          <t>"violationReport.generalTable.actions": "",</t>
        </is>
      </c>
      <c r="O670" s="3" t="n"/>
      <c r="P670" s="3" t="n"/>
      <c r="Q670" s="3" t="n"/>
      <c r="R670" s="3" t="n"/>
      <c r="S670" s="3" t="n"/>
      <c r="T670" s="3" t="n"/>
      <c r="U670" s="3" t="n"/>
      <c r="V670" s="3" t="n"/>
      <c r="W670" s="3" t="n"/>
      <c r="X670" s="3" t="n"/>
      <c r="Y670" s="3" t="n"/>
      <c r="Z670" s="3" t="n"/>
      <c r="AA670" s="3" t="n"/>
    </row>
    <row r="671">
      <c r="A671" s="104" t="inlineStr">
        <is>
          <t>violationReport.generalTable.notification</t>
        </is>
      </c>
      <c r="B671" s="104" t="inlineStr">
        <is>
          <t>Thông báo</t>
        </is>
      </c>
      <c r="C671" s="3" t="n"/>
      <c r="D671" s="3" t="n"/>
      <c r="E671" s="3" t="n"/>
      <c r="F671" s="3" t="n"/>
      <c r="G671" s="3" t="n"/>
      <c r="H671" s="3" t="inlineStr">
        <is>
          <t>ការជូនដំណឹង</t>
        </is>
      </c>
      <c r="I671" s="3" t="n"/>
      <c r="J671" s="3" t="n"/>
      <c r="K671" s="3" t="n"/>
      <c r="L671" s="3" t="inlineStr">
        <is>
          <t>ការជូនដំណឹង</t>
        </is>
      </c>
      <c r="M671" s="3" t="n"/>
      <c r="N671" s="3" t="inlineStr">
        <is>
          <t>"violationReport.generalTable.notification": "",</t>
        </is>
      </c>
      <c r="O671" s="3" t="n"/>
      <c r="P671" s="3" t="n"/>
      <c r="Q671" s="3" t="n"/>
      <c r="R671" s="3" t="n"/>
      <c r="S671" s="3" t="n"/>
      <c r="T671" s="3" t="n"/>
      <c r="U671" s="3" t="n"/>
      <c r="V671" s="3" t="n"/>
      <c r="W671" s="3" t="n"/>
      <c r="X671" s="3" t="n"/>
      <c r="Y671" s="3" t="n"/>
      <c r="Z671" s="3" t="n"/>
      <c r="AA671" s="3" t="n"/>
    </row>
    <row r="672">
      <c r="A672" s="104" t="inlineStr">
        <is>
          <t>violationReport.generalTable.deleteConfirm</t>
        </is>
      </c>
      <c r="B672" s="104" t="inlineStr">
        <is>
          <t>Bạn có chắc chắn muốn xóa cấu hình này không?</t>
        </is>
      </c>
      <c r="C672" s="3" t="n"/>
      <c r="D672" s="3" t="n"/>
      <c r="E672" s="3" t="n"/>
      <c r="F672" s="3" t="n"/>
      <c r="G672" s="3" t="n"/>
      <c r="H672" s="3" t="inlineStr">
        <is>
          <t>Bạn có chắc chắn muốn លុប ការកំណត់ này không?</t>
        </is>
      </c>
      <c r="I672" s="3" t="n"/>
      <c r="J672" s="3" t="n"/>
      <c r="K672" s="3" t="n"/>
      <c r="L672" s="3" t="inlineStr">
        <is>
          <t>Bạn có chắc chắn muốn លុប ការកំណត់ này không?</t>
        </is>
      </c>
      <c r="M672" s="3" t="n"/>
      <c r="N672" s="3" t="inlineStr">
        <is>
          <t>"violationReport.generalTable.deleteConfirm": "",</t>
        </is>
      </c>
      <c r="O672" s="3" t="n"/>
      <c r="P672" s="3" t="n"/>
      <c r="Q672" s="3" t="n"/>
      <c r="R672" s="3" t="n"/>
      <c r="S672" s="3" t="n"/>
      <c r="T672" s="3" t="n"/>
      <c r="U672" s="3" t="n"/>
      <c r="V672" s="3" t="n"/>
      <c r="W672" s="3" t="n"/>
      <c r="X672" s="3" t="n"/>
      <c r="Y672" s="3" t="n"/>
      <c r="Z672" s="3" t="n"/>
      <c r="AA672" s="3" t="n"/>
    </row>
    <row r="673">
      <c r="A673" s="104" t="inlineStr">
        <is>
          <t>violationReport.generalTableActions.edit</t>
        </is>
      </c>
      <c r="B673" s="104" t="inlineStr">
        <is>
          <t>Chỉnh sửa</t>
        </is>
      </c>
      <c r="C673" s="3" t="n"/>
      <c r="D673" s="3" t="n"/>
      <c r="E673" s="3" t="n"/>
      <c r="F673" s="3" t="n"/>
      <c r="G673" s="3" t="n"/>
      <c r="H673" s="3" t="inlineStr">
        <is>
          <t>កែសម្រួល</t>
        </is>
      </c>
      <c r="I673" s="3" t="n"/>
      <c r="J673" s="3" t="n"/>
      <c r="K673" s="3" t="n"/>
      <c r="L673" s="3" t="inlineStr">
        <is>
          <t>កែសម្រួល</t>
        </is>
      </c>
      <c r="M673" s="3" t="n"/>
      <c r="N673" s="3" t="inlineStr">
        <is>
          <t>"violationReport.generalTableActions.edit": "",</t>
        </is>
      </c>
      <c r="O673" s="3" t="n"/>
      <c r="P673" s="3" t="n"/>
      <c r="Q673" s="3" t="n"/>
      <c r="R673" s="3" t="n"/>
      <c r="S673" s="3" t="n"/>
      <c r="T673" s="3" t="n"/>
      <c r="U673" s="3" t="n"/>
      <c r="V673" s="3" t="n"/>
      <c r="W673" s="3" t="n"/>
      <c r="X673" s="3" t="n"/>
      <c r="Y673" s="3" t="n"/>
      <c r="Z673" s="3" t="n"/>
      <c r="AA673" s="3" t="n"/>
    </row>
    <row r="674">
      <c r="A674" s="104" t="inlineStr">
        <is>
          <t>violationReport.generalTableActions.delete</t>
        </is>
      </c>
      <c r="B674" s="104" t="inlineStr">
        <is>
          <t>Xóa</t>
        </is>
      </c>
      <c r="C674" s="3" t="n"/>
      <c r="D674" s="3" t="n"/>
      <c r="E674" s="3" t="n"/>
      <c r="F674" s="3" t="n"/>
      <c r="G674" s="3" t="n"/>
      <c r="H674" s="3" t="inlineStr">
        <is>
          <t>លុប</t>
        </is>
      </c>
      <c r="I674" s="3" t="n"/>
      <c r="J674" s="3" t="n"/>
      <c r="K674" s="3" t="n"/>
      <c r="L674" s="3" t="inlineStr">
        <is>
          <t>លុប</t>
        </is>
      </c>
      <c r="M674" s="3" t="n"/>
      <c r="N674" s="3" t="inlineStr">
        <is>
          <t>"violationReport.generalTableActions.delete": "",</t>
        </is>
      </c>
      <c r="O674" s="3" t="n"/>
      <c r="P674" s="3" t="n"/>
      <c r="Q674" s="3" t="n"/>
      <c r="R674" s="3" t="n"/>
      <c r="S674" s="3" t="n"/>
      <c r="T674" s="3" t="n"/>
      <c r="U674" s="3" t="n"/>
      <c r="V674" s="3" t="n"/>
      <c r="W674" s="3" t="n"/>
      <c r="X674" s="3" t="n"/>
      <c r="Y674" s="3" t="n"/>
      <c r="Z674" s="3" t="n"/>
      <c r="AA674" s="3" t="n"/>
    </row>
    <row r="675">
      <c r="A675" s="104" t="inlineStr">
        <is>
          <t>violationReport.generalTableActions.view</t>
        </is>
      </c>
      <c r="B675" s="104" t="inlineStr">
        <is>
          <t>Xem chi tiết</t>
        </is>
      </c>
      <c r="C675" s="3" t="n"/>
      <c r="D675" s="3" t="n"/>
      <c r="E675" s="3" t="n"/>
      <c r="F675" s="3" t="n"/>
      <c r="G675" s="3" t="n"/>
      <c r="H675" s="3" t="inlineStr">
        <is>
          <t>មើលព័ត៌មានលម្អិត</t>
        </is>
      </c>
      <c r="I675" s="3" t="n"/>
      <c r="J675" s="3" t="n"/>
      <c r="K675" s="3" t="n"/>
      <c r="L675" s="3" t="inlineStr">
        <is>
          <t>មើលព័ត៌មានលម្អិត</t>
        </is>
      </c>
      <c r="M675" s="3" t="n"/>
      <c r="N675" s="3" t="inlineStr">
        <is>
          <t>"violationReport.generalTableActions.view": "",</t>
        </is>
      </c>
      <c r="O675" s="3" t="n"/>
      <c r="P675" s="3" t="n"/>
      <c r="Q675" s="3" t="n"/>
      <c r="R675" s="3" t="n"/>
      <c r="S675" s="3" t="n"/>
      <c r="T675" s="3" t="n"/>
      <c r="U675" s="3" t="n"/>
      <c r="V675" s="3" t="n"/>
      <c r="W675" s="3" t="n"/>
      <c r="X675" s="3" t="n"/>
      <c r="Y675" s="3" t="n"/>
      <c r="Z675" s="3" t="n"/>
      <c r="AA675" s="3" t="n"/>
    </row>
    <row r="676">
      <c r="A676" s="104" t="inlineStr">
        <is>
          <t>violationReport.errorGroup.title</t>
        </is>
      </c>
      <c r="B676" s="104" t="inlineStr">
        <is>
          <t>Cấu hình nhóm lỗi</t>
        </is>
      </c>
      <c r="C676" s="3" t="n"/>
      <c r="D676" s="3" t="n"/>
      <c r="E676" s="3" t="n"/>
      <c r="F676" s="3" t="n"/>
      <c r="G676" s="3" t="n"/>
      <c r="H676" s="3" t="inlineStr">
        <is>
          <t>ការកំណត់ ក្រុម កំហុស</t>
        </is>
      </c>
      <c r="I676" s="3" t="n"/>
      <c r="J676" s="3" t="n"/>
      <c r="K676" s="3" t="n"/>
      <c r="L676" s="3" t="inlineStr">
        <is>
          <t>ការកំណត់ ក្រុម កំហុស</t>
        </is>
      </c>
      <c r="M676" s="3" t="n"/>
      <c r="N676" s="3" t="inlineStr">
        <is>
          <t>"violationReport.errorGroup.title": "",</t>
        </is>
      </c>
      <c r="O676" s="3" t="n"/>
      <c r="P676" s="3" t="n"/>
      <c r="Q676" s="3" t="n"/>
      <c r="R676" s="3" t="n"/>
      <c r="S676" s="3" t="n"/>
      <c r="T676" s="3" t="n"/>
      <c r="U676" s="3" t="n"/>
      <c r="V676" s="3" t="n"/>
      <c r="W676" s="3" t="n"/>
      <c r="X676" s="3" t="n"/>
      <c r="Y676" s="3" t="n"/>
      <c r="Z676" s="3" t="n"/>
      <c r="AA676" s="3" t="n"/>
    </row>
    <row r="677">
      <c r="A677" s="104" t="inlineStr">
        <is>
          <t>violationReport.errorGroup.errorGroupCode</t>
        </is>
      </c>
      <c r="B677" s="104" t="inlineStr">
        <is>
          <t>Mã nhóm lỗi</t>
        </is>
      </c>
      <c r="C677" s="3" t="n"/>
      <c r="D677" s="3" t="n"/>
      <c r="E677" s="3" t="n"/>
      <c r="F677" s="3" t="n"/>
      <c r="G677" s="3" t="n"/>
      <c r="H677" s="3" t="inlineStr">
        <is>
          <t>លេខកូដក្រុមបញ្ហា</t>
        </is>
      </c>
      <c r="I677" s="3" t="n"/>
      <c r="J677" s="3" t="n"/>
      <c r="K677" s="3" t="n"/>
      <c r="L677" s="3" t="inlineStr">
        <is>
          <t>លេខកូដក្រុមបញ្ហា</t>
        </is>
      </c>
      <c r="M677" s="3" t="n"/>
      <c r="N677" s="3" t="inlineStr">
        <is>
          <t>"violationReport.errorGroup.errorGroupCode": "",</t>
        </is>
      </c>
      <c r="O677" s="3" t="n"/>
      <c r="P677" s="3" t="n"/>
      <c r="Q677" s="3" t="n"/>
      <c r="R677" s="3" t="n"/>
      <c r="S677" s="3" t="n"/>
      <c r="T677" s="3" t="n"/>
      <c r="U677" s="3" t="n"/>
      <c r="V677" s="3" t="n"/>
      <c r="W677" s="3" t="n"/>
      <c r="X677" s="3" t="n"/>
      <c r="Y677" s="3" t="n"/>
      <c r="Z677" s="3" t="n"/>
      <c r="AA677" s="3" t="n"/>
    </row>
    <row r="678">
      <c r="A678" s="104" t="inlineStr">
        <is>
          <t>violationReport.errorGroup.errorGroupCodePlaceholder</t>
        </is>
      </c>
      <c r="B678" s="104" t="inlineStr">
        <is>
          <t>Nhập mã nhóm lỗi</t>
        </is>
      </c>
      <c r="C678" s="3" t="n"/>
      <c r="D678" s="3" t="n"/>
      <c r="E678" s="3" t="n"/>
      <c r="F678" s="3" t="n"/>
      <c r="G678" s="3" t="n"/>
      <c r="H678" s="3" t="inlineStr">
        <is>
          <t>បញ្ចូលលេខកូដក្រុមបញ្ហា</t>
        </is>
      </c>
      <c r="I678" s="3" t="n"/>
      <c r="J678" s="3" t="n"/>
      <c r="K678" s="3" t="n"/>
      <c r="L678" s="3" t="inlineStr">
        <is>
          <t>បញ្ចូលលេខកូដក្រុមបញ្ហា</t>
        </is>
      </c>
      <c r="M678" s="3" t="n"/>
      <c r="N678" s="3" t="inlineStr">
        <is>
          <t>"violationReport.errorGroup.errorGroupCodePlaceholder": "",</t>
        </is>
      </c>
      <c r="O678" s="3" t="n"/>
      <c r="P678" s="3" t="n"/>
      <c r="Q678" s="3" t="n"/>
      <c r="R678" s="3" t="n"/>
      <c r="S678" s="3" t="n"/>
      <c r="T678" s="3" t="n"/>
      <c r="U678" s="3" t="n"/>
      <c r="V678" s="3" t="n"/>
      <c r="W678" s="3" t="n"/>
      <c r="X678" s="3" t="n"/>
      <c r="Y678" s="3" t="n"/>
      <c r="Z678" s="3" t="n"/>
      <c r="AA678" s="3" t="n"/>
    </row>
    <row r="679">
      <c r="A679" s="104" t="inlineStr">
        <is>
          <t>violationReport.errorGroup.errorGroupName</t>
        </is>
      </c>
      <c r="B679" s="104" t="inlineStr">
        <is>
          <t>Tên nhóm lỗi</t>
        </is>
      </c>
      <c r="C679" s="3" t="n"/>
      <c r="D679" s="3" t="n"/>
      <c r="E679" s="3" t="n"/>
      <c r="F679" s="3" t="n"/>
      <c r="G679" s="3" t="n"/>
      <c r="H679" s="3" t="inlineStr">
        <is>
          <t>ឈ្មោះក្រុម កំហុស</t>
        </is>
      </c>
      <c r="I679" s="3" t="n"/>
      <c r="J679" s="3" t="n"/>
      <c r="K679" s="3" t="n"/>
      <c r="L679" s="3" t="inlineStr">
        <is>
          <t>ឈ្មោះក្រុម កំហុស</t>
        </is>
      </c>
      <c r="M679" s="3" t="n"/>
      <c r="N679" s="3" t="inlineStr">
        <is>
          <t>"violationReport.errorGroup.errorGroupName": "",</t>
        </is>
      </c>
      <c r="O679" s="3" t="n"/>
      <c r="P679" s="3" t="n"/>
      <c r="Q679" s="3" t="n"/>
      <c r="R679" s="3" t="n"/>
      <c r="S679" s="3" t="n"/>
      <c r="T679" s="3" t="n"/>
      <c r="U679" s="3" t="n"/>
      <c r="V679" s="3" t="n"/>
      <c r="W679" s="3" t="n"/>
      <c r="X679" s="3" t="n"/>
      <c r="Y679" s="3" t="n"/>
      <c r="Z679" s="3" t="n"/>
      <c r="AA679" s="3" t="n"/>
    </row>
    <row r="680">
      <c r="A680" s="104" t="inlineStr">
        <is>
          <t>violationReport.errorGroup.errorGroupNamePlaceholder</t>
        </is>
      </c>
      <c r="B680" s="104" t="inlineStr">
        <is>
          <t>Nhập tên nhóm lỗi</t>
        </is>
      </c>
      <c r="C680" s="3" t="n"/>
      <c r="D680" s="3" t="n"/>
      <c r="E680" s="3" t="n"/>
      <c r="F680" s="3" t="n"/>
      <c r="G680" s="3" t="n"/>
      <c r="H680" s="3" t="inlineStr">
        <is>
          <t>បញ្ចូលឈ្មោះ ក្រុម កំហុស</t>
        </is>
      </c>
      <c r="I680" s="3" t="n"/>
      <c r="J680" s="3" t="n"/>
      <c r="K680" s="3" t="n"/>
      <c r="L680" s="3" t="inlineStr">
        <is>
          <t>បញ្ចូលឈ្មោះ ក្រុម កំហុស</t>
        </is>
      </c>
      <c r="M680" s="3" t="n"/>
      <c r="N680" s="3" t="inlineStr">
        <is>
          <t>"violationReport.errorGroup.errorGroupNamePlaceholder": "",</t>
        </is>
      </c>
      <c r="O680" s="3" t="n"/>
      <c r="P680" s="3" t="n"/>
      <c r="Q680" s="3" t="n"/>
      <c r="R680" s="3" t="n"/>
      <c r="S680" s="3" t="n"/>
      <c r="T680" s="3" t="n"/>
      <c r="U680" s="3" t="n"/>
      <c r="V680" s="3" t="n"/>
      <c r="W680" s="3" t="n"/>
      <c r="X680" s="3" t="n"/>
      <c r="Y680" s="3" t="n"/>
      <c r="Z680" s="3" t="n"/>
      <c r="AA680" s="3" t="n"/>
    </row>
    <row r="681">
      <c r="A681" s="104" t="inlineStr">
        <is>
          <t>violationReport.errorGroup.save</t>
        </is>
      </c>
      <c r="B681" s="104" t="inlineStr">
        <is>
          <t>Ghi lại</t>
        </is>
      </c>
      <c r="C681" s="3" t="n"/>
      <c r="D681" s="3" t="n"/>
      <c r="E681" s="3" t="n"/>
      <c r="F681" s="3" t="n"/>
      <c r="G681" s="3" t="n"/>
      <c r="H681" s="3" t="inlineStr">
        <is>
          <t>កត់ត្រាទុក</t>
        </is>
      </c>
      <c r="I681" s="3" t="n"/>
      <c r="J681" s="3" t="n"/>
      <c r="K681" s="3" t="n"/>
      <c r="L681" s="3" t="inlineStr">
        <is>
          <t>កត់ត្រាទុក</t>
        </is>
      </c>
      <c r="M681" s="3" t="n"/>
      <c r="N681" s="3" t="inlineStr">
        <is>
          <t>"violationReport.errorGroup.save": "",</t>
        </is>
      </c>
      <c r="O681" s="3" t="n"/>
      <c r="P681" s="3" t="n"/>
      <c r="Q681" s="3" t="n"/>
      <c r="R681" s="3" t="n"/>
      <c r="S681" s="3" t="n"/>
      <c r="T681" s="3" t="n"/>
      <c r="U681" s="3" t="n"/>
      <c r="V681" s="3" t="n"/>
      <c r="W681" s="3" t="n"/>
      <c r="X681" s="3" t="n"/>
      <c r="Y681" s="3" t="n"/>
      <c r="Z681" s="3" t="n"/>
      <c r="AA681" s="3" t="n"/>
    </row>
    <row r="682">
      <c r="A682" s="104" t="inlineStr">
        <is>
          <t>violationReport.errorGroup.success</t>
        </is>
      </c>
      <c r="B682" s="104" t="inlineStr">
        <is>
          <t>Thêm mới nhóm lỗi thành công!</t>
        </is>
      </c>
      <c r="C682" s="3" t="n"/>
      <c r="D682" s="3" t="n"/>
      <c r="E682" s="3" t="n"/>
      <c r="F682" s="3" t="n"/>
      <c r="G682" s="3" t="n"/>
      <c r="H682" s="3" t="inlineStr">
        <is>
          <t>បន្ថែមថ្មី ក្រុម កំហុស ជោគជ័យ!</t>
        </is>
      </c>
      <c r="I682" s="3" t="n"/>
      <c r="J682" s="3" t="n"/>
      <c r="K682" s="3" t="n"/>
      <c r="L682" s="3" t="inlineStr">
        <is>
          <t>បន្ថែមថ្មី ក្រុម កំហុស ជោគជ័យ!</t>
        </is>
      </c>
      <c r="M682" s="3" t="n"/>
      <c r="N682" s="3" t="inlineStr">
        <is>
          <t>"violationReport.errorGroup.success": "",</t>
        </is>
      </c>
      <c r="O682" s="3" t="n"/>
      <c r="P682" s="3" t="n"/>
      <c r="Q682" s="3" t="n"/>
      <c r="R682" s="3" t="n"/>
      <c r="S682" s="3" t="n"/>
      <c r="T682" s="3" t="n"/>
      <c r="U682" s="3" t="n"/>
      <c r="V682" s="3" t="n"/>
      <c r="W682" s="3" t="n"/>
      <c r="X682" s="3" t="n"/>
      <c r="Y682" s="3" t="n"/>
      <c r="Z682" s="3" t="n"/>
      <c r="AA682" s="3" t="n"/>
    </row>
    <row r="683">
      <c r="A683" s="104" t="inlineStr">
        <is>
          <t>violationReport.errorGroup.failed</t>
        </is>
      </c>
      <c r="B683" s="104" t="inlineStr">
        <is>
          <t>Thêm mới nhóm lỗi thất bại!</t>
        </is>
      </c>
      <c r="C683" s="3" t="n"/>
      <c r="D683" s="3" t="n"/>
      <c r="E683" s="3" t="n"/>
      <c r="F683" s="3" t="n"/>
      <c r="G683" s="3" t="n"/>
      <c r="H683" s="3" t="inlineStr">
        <is>
          <t>បន្ថែមថ្មី ក្រុម កំហុស បរាជ័យ!</t>
        </is>
      </c>
      <c r="I683" s="3" t="n"/>
      <c r="J683" s="3" t="n"/>
      <c r="K683" s="3" t="n"/>
      <c r="L683" s="3" t="inlineStr">
        <is>
          <t>បន្ថែមថ្មី ក្រុម កំហុស បរាជ័យ!</t>
        </is>
      </c>
      <c r="M683" s="3" t="n"/>
      <c r="N683" s="3" t="inlineStr">
        <is>
          <t>"violationReport.errorGroup.failed": "",</t>
        </is>
      </c>
      <c r="O683" s="3" t="n"/>
      <c r="P683" s="3" t="n"/>
      <c r="Q683" s="3" t="n"/>
      <c r="R683" s="3" t="n"/>
      <c r="S683" s="3" t="n"/>
      <c r="T683" s="3" t="n"/>
      <c r="U683" s="3" t="n"/>
      <c r="V683" s="3" t="n"/>
      <c r="W683" s="3" t="n"/>
      <c r="X683" s="3" t="n"/>
      <c r="Y683" s="3" t="n"/>
      <c r="Z683" s="3" t="n"/>
      <c r="AA683" s="3" t="n"/>
    </row>
    <row r="684">
      <c r="A684" s="104" t="inlineStr">
        <is>
          <t>violationReport.errorGroup.clearData</t>
        </is>
      </c>
      <c r="B684" s="104" t="inlineStr">
        <is>
          <t>Xóa dữ liệu</t>
        </is>
      </c>
      <c r="C684" s="3" t="n"/>
      <c r="D684" s="3" t="n"/>
      <c r="E684" s="3" t="n"/>
      <c r="F684" s="3" t="n"/>
      <c r="G684" s="3" t="n"/>
      <c r="H684" s="3" t="inlineStr">
        <is>
          <t>លុប dữ liệu</t>
        </is>
      </c>
      <c r="I684" s="3" t="n"/>
      <c r="J684" s="3" t="n"/>
      <c r="K684" s="3" t="n"/>
      <c r="L684" s="3" t="inlineStr">
        <is>
          <t>លុប dữ liệu</t>
        </is>
      </c>
      <c r="M684" s="3" t="n"/>
      <c r="N684" s="3" t="inlineStr">
        <is>
          <t>"violationReport.errorGroup.clearData": "",</t>
        </is>
      </c>
      <c r="O684" s="3" t="n"/>
      <c r="P684" s="3" t="n"/>
      <c r="Q684" s="3" t="n"/>
      <c r="R684" s="3" t="n"/>
      <c r="S684" s="3" t="n"/>
      <c r="T684" s="3" t="n"/>
      <c r="U684" s="3" t="n"/>
      <c r="V684" s="3" t="n"/>
      <c r="W684" s="3" t="n"/>
      <c r="X684" s="3" t="n"/>
      <c r="Y684" s="3" t="n"/>
      <c r="Z684" s="3" t="n"/>
      <c r="AA684" s="3" t="n"/>
    </row>
    <row r="685">
      <c r="A685" s="104" t="inlineStr">
        <is>
          <t>violationReport.errorDetail.title</t>
        </is>
      </c>
      <c r="B685" s="104" t="inlineStr">
        <is>
          <t>Cấu hình chi tiết mã lỗi</t>
        </is>
      </c>
      <c r="C685" s="3" t="n"/>
      <c r="D685" s="3" t="n"/>
      <c r="E685" s="3" t="n"/>
      <c r="F685" s="3" t="n"/>
      <c r="G685" s="3" t="n"/>
      <c r="H685" s="3" t="inlineStr">
        <is>
          <t>ការកំណត់ ព័ត៌មានលម្អិត លេខកូដកំហុស</t>
        </is>
      </c>
      <c r="I685" s="3" t="n"/>
      <c r="J685" s="3" t="n"/>
      <c r="K685" s="3" t="n"/>
      <c r="L685" s="3" t="inlineStr">
        <is>
          <t>ការកំណត់ ព័ត៌មានលម្អិត លេខកូដកំហុស</t>
        </is>
      </c>
      <c r="M685" s="3" t="n"/>
      <c r="N685" s="3" t="inlineStr">
        <is>
          <t>"violationReport.errorDetail.title": "",</t>
        </is>
      </c>
      <c r="O685" s="3" t="n"/>
      <c r="P685" s="3" t="n"/>
      <c r="Q685" s="3" t="n"/>
      <c r="R685" s="3" t="n"/>
      <c r="S685" s="3" t="n"/>
      <c r="T685" s="3" t="n"/>
      <c r="U685" s="3" t="n"/>
      <c r="V685" s="3" t="n"/>
      <c r="W685" s="3" t="n"/>
      <c r="X685" s="3" t="n"/>
      <c r="Y685" s="3" t="n"/>
      <c r="Z685" s="3" t="n"/>
      <c r="AA685" s="3" t="n"/>
    </row>
    <row r="686">
      <c r="A686" s="104" t="inlineStr">
        <is>
          <t>violationReport.errorDetail.errorGroup</t>
        </is>
      </c>
      <c r="B686" s="104" t="inlineStr">
        <is>
          <t>Nhóm lỗi</t>
        </is>
      </c>
      <c r="C686" s="3" t="n"/>
      <c r="D686" s="3" t="n"/>
      <c r="E686" s="3" t="n"/>
      <c r="F686" s="3" t="n"/>
      <c r="G686" s="3" t="n"/>
      <c r="H686" s="3" t="inlineStr">
        <is>
          <t>ក្រុម កំហុស</t>
        </is>
      </c>
      <c r="I686" s="3" t="n"/>
      <c r="J686" s="3" t="n"/>
      <c r="K686" s="3" t="n"/>
      <c r="L686" s="3" t="inlineStr">
        <is>
          <t>ក្រុម កំហុស</t>
        </is>
      </c>
      <c r="M686" s="3" t="n"/>
      <c r="N686" s="3" t="inlineStr">
        <is>
          <t>"violationReport.errorDetail.errorGroup": "",</t>
        </is>
      </c>
      <c r="O686" s="3" t="n"/>
      <c r="P686" s="3" t="n"/>
      <c r="Q686" s="3" t="n"/>
      <c r="R686" s="3" t="n"/>
      <c r="S686" s="3" t="n"/>
      <c r="T686" s="3" t="n"/>
      <c r="U686" s="3" t="n"/>
      <c r="V686" s="3" t="n"/>
      <c r="W686" s="3" t="n"/>
      <c r="X686" s="3" t="n"/>
      <c r="Y686" s="3" t="n"/>
      <c r="Z686" s="3" t="n"/>
      <c r="AA686" s="3" t="n"/>
    </row>
    <row r="687">
      <c r="A687" s="104" t="inlineStr">
        <is>
          <t>violationReport.errorDetail.errorGroupPlaceholder</t>
        </is>
      </c>
      <c r="B687" s="104" t="inlineStr">
        <is>
          <t>Chọn nhóm lỗi</t>
        </is>
      </c>
      <c r="C687" s="3" t="n"/>
      <c r="D687" s="3" t="n"/>
      <c r="E687" s="3" t="n"/>
      <c r="F687" s="3" t="n"/>
      <c r="G687" s="3" t="n"/>
      <c r="H687" s="3" t="inlineStr">
        <is>
          <t>ជ្រើសរើសក្រុម កំហុស</t>
        </is>
      </c>
      <c r="I687" s="3" t="n"/>
      <c r="J687" s="3" t="n"/>
      <c r="K687" s="3" t="n"/>
      <c r="L687" s="3" t="inlineStr">
        <is>
          <t>ជ្រើសរើសក្រុម កំហុស</t>
        </is>
      </c>
      <c r="M687" s="3" t="n"/>
      <c r="N687" s="3" t="inlineStr">
        <is>
          <t>"violationReport.errorDetail.errorGroupPlaceholder": "",</t>
        </is>
      </c>
      <c r="O687" s="3" t="n"/>
      <c r="P687" s="3" t="n"/>
      <c r="Q687" s="3" t="n"/>
      <c r="R687" s="3" t="n"/>
      <c r="S687" s="3" t="n"/>
      <c r="T687" s="3" t="n"/>
      <c r="U687" s="3" t="n"/>
      <c r="V687" s="3" t="n"/>
      <c r="W687" s="3" t="n"/>
      <c r="X687" s="3" t="n"/>
      <c r="Y687" s="3" t="n"/>
      <c r="Z687" s="3" t="n"/>
      <c r="AA687" s="3" t="n"/>
    </row>
    <row r="688">
      <c r="A688" s="104" t="inlineStr">
        <is>
          <t>violationReport.errorDetail.errorTypeName</t>
        </is>
      </c>
      <c r="B688" s="104" t="inlineStr">
        <is>
          <t>Phân loại lỗi chi tiết</t>
        </is>
      </c>
      <c r="C688" s="3" t="n"/>
      <c r="D688" s="3" t="n"/>
      <c r="E688" s="3" t="n"/>
      <c r="F688" s="3" t="n"/>
      <c r="G688" s="3" t="n"/>
      <c r="H688" s="3" t="inlineStr">
        <is>
          <t>ចំណាត់ថ្នាក់ កំហុស ព័ត៌មានលម្អិត</t>
        </is>
      </c>
      <c r="I688" s="3" t="n"/>
      <c r="J688" s="3" t="n"/>
      <c r="K688" s="3" t="n"/>
      <c r="L688" s="3" t="inlineStr">
        <is>
          <t>ចំណាត់ថ្នាក់ កំហុស ព័ត៌មានលម្អិត</t>
        </is>
      </c>
      <c r="M688" s="3" t="n"/>
      <c r="N688" s="3" t="inlineStr">
        <is>
          <t>"violationReport.errorDetail.errorTypeName": "",</t>
        </is>
      </c>
      <c r="O688" s="3" t="n"/>
      <c r="P688" s="3" t="n"/>
      <c r="Q688" s="3" t="n"/>
      <c r="R688" s="3" t="n"/>
      <c r="S688" s="3" t="n"/>
      <c r="T688" s="3" t="n"/>
      <c r="U688" s="3" t="n"/>
      <c r="V688" s="3" t="n"/>
      <c r="W688" s="3" t="n"/>
      <c r="X688" s="3" t="n"/>
      <c r="Y688" s="3" t="n"/>
      <c r="Z688" s="3" t="n"/>
      <c r="AA688" s="3" t="n"/>
    </row>
    <row r="689">
      <c r="A689" s="104" t="inlineStr">
        <is>
          <t>violationReport.errorDetail.errorTypeNamePlaceholder</t>
        </is>
      </c>
      <c r="B689" s="104" t="inlineStr">
        <is>
          <t>Nhập tên lỗi chi tiết</t>
        </is>
      </c>
      <c r="C689" s="3" t="n"/>
      <c r="D689" s="3" t="n"/>
      <c r="E689" s="3" t="n"/>
      <c r="F689" s="3" t="n"/>
      <c r="G689" s="3" t="n"/>
      <c r="H689" s="3" t="inlineStr">
        <is>
          <t>បញ្ចូលឈ្មោះ កំហុស ព័ត៌មានលម្អិត</t>
        </is>
      </c>
      <c r="I689" s="3" t="n"/>
      <c r="J689" s="3" t="n"/>
      <c r="K689" s="3" t="n"/>
      <c r="L689" s="3" t="inlineStr">
        <is>
          <t>បញ្ចូលឈ្មោះ កំហុស ព័ត៌មានលម្អិត</t>
        </is>
      </c>
      <c r="M689" s="3" t="n"/>
      <c r="N689" s="3" t="inlineStr">
        <is>
          <t>"violationReport.errorDetail.errorTypeNamePlaceholder": "",</t>
        </is>
      </c>
      <c r="O689" s="3" t="n"/>
      <c r="P689" s="3" t="n"/>
      <c r="Q689" s="3" t="n"/>
      <c r="R689" s="3" t="n"/>
      <c r="S689" s="3" t="n"/>
      <c r="T689" s="3" t="n"/>
      <c r="U689" s="3" t="n"/>
      <c r="V689" s="3" t="n"/>
      <c r="W689" s="3" t="n"/>
      <c r="X689" s="3" t="n"/>
      <c r="Y689" s="3" t="n"/>
      <c r="Z689" s="3" t="n"/>
      <c r="AA689" s="3" t="n"/>
    </row>
    <row r="690">
      <c r="A690" s="104" t="inlineStr">
        <is>
          <t>violationReport.errorDetail.errorTypeCode</t>
        </is>
      </c>
      <c r="B690" s="104" t="inlineStr">
        <is>
          <t>Mã lỗi chi tiết</t>
        </is>
      </c>
      <c r="C690" s="3" t="n"/>
      <c r="D690" s="3" t="n"/>
      <c r="E690" s="3" t="n"/>
      <c r="F690" s="3" t="n"/>
      <c r="G690" s="3" t="n"/>
      <c r="H690" s="3" t="inlineStr">
        <is>
          <t>លេខកូដកំហុស ព័ត៌មានលម្អិត</t>
        </is>
      </c>
      <c r="I690" s="3" t="n"/>
      <c r="J690" s="3" t="n"/>
      <c r="K690" s="3" t="n"/>
      <c r="L690" s="3" t="inlineStr">
        <is>
          <t>លេខកូដកំហុស ព័ត៌មានលម្អិត</t>
        </is>
      </c>
      <c r="M690" s="3" t="n"/>
      <c r="N690" s="3" t="inlineStr">
        <is>
          <t>"violationReport.errorDetail.errorTypeCode": "",</t>
        </is>
      </c>
      <c r="O690" s="3" t="n"/>
      <c r="P690" s="3" t="n"/>
      <c r="Q690" s="3" t="n"/>
      <c r="R690" s="3" t="n"/>
      <c r="S690" s="3" t="n"/>
      <c r="T690" s="3" t="n"/>
      <c r="U690" s="3" t="n"/>
      <c r="V690" s="3" t="n"/>
      <c r="W690" s="3" t="n"/>
      <c r="X690" s="3" t="n"/>
      <c r="Y690" s="3" t="n"/>
      <c r="Z690" s="3" t="n"/>
      <c r="AA690" s="3" t="n"/>
    </row>
    <row r="691">
      <c r="A691" s="104" t="inlineStr">
        <is>
          <t>violationReport.errorDetail.errorTypeCodePlaceholder</t>
        </is>
      </c>
      <c r="B691" s="104" t="inlineStr">
        <is>
          <t>Nhập mã lỗi chi tiết</t>
        </is>
      </c>
      <c r="C691" s="3" t="n"/>
      <c r="D691" s="3" t="n"/>
      <c r="E691" s="3" t="n"/>
      <c r="F691" s="3" t="n"/>
      <c r="G691" s="3" t="n"/>
      <c r="H691" s="3" t="inlineStr">
        <is>
          <t>បញ្ចូលលេខកូដកំហុស ព័ត៌មានលម្អិត</t>
        </is>
      </c>
      <c r="I691" s="3" t="n"/>
      <c r="J691" s="3" t="n"/>
      <c r="K691" s="3" t="n"/>
      <c r="L691" s="3" t="inlineStr">
        <is>
          <t>បញ្ចូលលេខកូដកំហុស ព័ត៌មានលម្អិត</t>
        </is>
      </c>
      <c r="M691" s="3" t="n"/>
      <c r="N691" s="3" t="inlineStr">
        <is>
          <t>"violationReport.errorDetail.errorTypeCodePlaceholder": "",</t>
        </is>
      </c>
      <c r="O691" s="3" t="n"/>
      <c r="P691" s="3" t="n"/>
      <c r="Q691" s="3" t="n"/>
      <c r="R691" s="3" t="n"/>
      <c r="S691" s="3" t="n"/>
      <c r="T691" s="3" t="n"/>
      <c r="U691" s="3" t="n"/>
      <c r="V691" s="3" t="n"/>
      <c r="W691" s="3" t="n"/>
      <c r="X691" s="3" t="n"/>
      <c r="Y691" s="3" t="n"/>
      <c r="Z691" s="3" t="n"/>
      <c r="AA691" s="3" t="n"/>
    </row>
    <row r="692">
      <c r="A692" s="104" t="inlineStr">
        <is>
          <t>violationReport.errorDetail.wrongMinuteConfirmHour</t>
        </is>
      </c>
      <c r="B692" s="104" t="inlineStr">
        <is>
          <t>Xác nhận biên bản đúng sai</t>
        </is>
      </c>
      <c r="C692" s="3" t="n"/>
      <c r="D692" s="3" t="n"/>
      <c r="E692" s="3" t="n"/>
      <c r="F692" s="3" t="n"/>
      <c r="G692" s="3" t="n"/>
      <c r="H692" s="3" t="inlineStr">
        <is>
          <t>បញ្ជាក់ កំណត់ហេតុ đúng sai</t>
        </is>
      </c>
      <c r="I692" s="3" t="n"/>
      <c r="J692" s="3" t="n"/>
      <c r="K692" s="3" t="n"/>
      <c r="L692" s="3" t="inlineStr">
        <is>
          <t>បញ្ជាក់ កំណត់ហេតុ đúng sai</t>
        </is>
      </c>
      <c r="M692" s="3" t="n"/>
      <c r="N692" s="3" t="inlineStr">
        <is>
          <t>"violationReport.errorDetail.wrongMinuteConfirmHour": "",</t>
        </is>
      </c>
      <c r="O692" s="3" t="n"/>
      <c r="P692" s="3" t="n"/>
      <c r="Q692" s="3" t="n"/>
      <c r="R692" s="3" t="n"/>
      <c r="S692" s="3" t="n"/>
      <c r="T692" s="3" t="n"/>
      <c r="U692" s="3" t="n"/>
      <c r="V692" s="3" t="n"/>
      <c r="W692" s="3" t="n"/>
      <c r="X692" s="3" t="n"/>
      <c r="Y692" s="3" t="n"/>
      <c r="Z692" s="3" t="n"/>
      <c r="AA692" s="3" t="n"/>
    </row>
    <row r="693">
      <c r="A693" s="104" t="inlineStr">
        <is>
          <t>violationReport.errorDetail.wrongMinuteConfirmHourPlaceholder</t>
        </is>
      </c>
      <c r="B693" s="104" t="inlineStr">
        <is>
          <t>Nhập thời gian (h)</t>
        </is>
      </c>
      <c r="C693" s="3" t="n"/>
      <c r="D693" s="3" t="n"/>
      <c r="E693" s="3" t="n"/>
      <c r="F693" s="3" t="n"/>
      <c r="G693" s="3" t="n"/>
      <c r="H693" s="3" t="inlineStr">
        <is>
          <t>បញ្ចូលពេលវេលា (h)</t>
        </is>
      </c>
      <c r="I693" s="3" t="n"/>
      <c r="J693" s="3" t="n"/>
      <c r="K693" s="3" t="n"/>
      <c r="L693" s="3" t="inlineStr">
        <is>
          <t>បញ្ចូលពេលវេលា (h)</t>
        </is>
      </c>
      <c r="M693" s="3" t="n"/>
      <c r="N693" s="3" t="inlineStr">
        <is>
          <t>"violationReport.errorDetail.wrongMinuteConfirmHourPlaceholder": "",</t>
        </is>
      </c>
      <c r="O693" s="3" t="n"/>
      <c r="P693" s="3" t="n"/>
      <c r="Q693" s="3" t="n"/>
      <c r="R693" s="3" t="n"/>
      <c r="S693" s="3" t="n"/>
      <c r="T693" s="3" t="n"/>
      <c r="U693" s="3" t="n"/>
      <c r="V693" s="3" t="n"/>
      <c r="W693" s="3" t="n"/>
      <c r="X693" s="3" t="n"/>
      <c r="Y693" s="3" t="n"/>
      <c r="Z693" s="3" t="n"/>
      <c r="AA693" s="3" t="n"/>
    </row>
    <row r="694">
      <c r="A694" s="104" t="inlineStr">
        <is>
          <t>violationReport.errorDetail.conclusionHour</t>
        </is>
      </c>
      <c r="B694" s="104" t="inlineStr">
        <is>
          <t>Thời gian kết luận</t>
        </is>
      </c>
      <c r="C694" s="3" t="n"/>
      <c r="D694" s="3" t="n"/>
      <c r="E694" s="3" t="n"/>
      <c r="F694" s="3" t="n"/>
      <c r="G694" s="3" t="n"/>
      <c r="H694" s="3" t="inlineStr">
        <is>
          <t>ពេលវេលាkết luận</t>
        </is>
      </c>
      <c r="I694" s="3" t="n"/>
      <c r="J694" s="3" t="n"/>
      <c r="K694" s="3" t="n"/>
      <c r="L694" s="3" t="inlineStr">
        <is>
          <t>ពេលវេលាkết luận</t>
        </is>
      </c>
      <c r="M694" s="3" t="n"/>
      <c r="N694" s="3" t="inlineStr">
        <is>
          <t>"violationReport.errorDetail.conclusionHour": "",</t>
        </is>
      </c>
      <c r="O694" s="3" t="n"/>
      <c r="P694" s="3" t="n"/>
      <c r="Q694" s="3" t="n"/>
      <c r="R694" s="3" t="n"/>
      <c r="S694" s="3" t="n"/>
      <c r="T694" s="3" t="n"/>
      <c r="U694" s="3" t="n"/>
      <c r="V694" s="3" t="n"/>
      <c r="W694" s="3" t="n"/>
      <c r="X694" s="3" t="n"/>
      <c r="Y694" s="3" t="n"/>
      <c r="Z694" s="3" t="n"/>
      <c r="AA694" s="3" t="n"/>
    </row>
    <row r="695">
      <c r="A695" s="104" t="inlineStr">
        <is>
          <t>violationReport.errorDetail.conclusionHourPlaceholder</t>
        </is>
      </c>
      <c r="B695" s="104" t="inlineStr">
        <is>
          <t>Nhập thời gian (h)</t>
        </is>
      </c>
      <c r="C695" s="3" t="n"/>
      <c r="D695" s="3" t="n"/>
      <c r="E695" s="3" t="n"/>
      <c r="F695" s="3" t="n"/>
      <c r="G695" s="3" t="n"/>
      <c r="H695" s="3" t="inlineStr">
        <is>
          <t>បញ្ចូលពេលវេលា (h)</t>
        </is>
      </c>
      <c r="I695" s="3" t="n"/>
      <c r="J695" s="3" t="n"/>
      <c r="K695" s="3" t="n"/>
      <c r="L695" s="3" t="inlineStr">
        <is>
          <t>បញ្ចូលពេលវេលា (h)</t>
        </is>
      </c>
      <c r="M695" s="3" t="n"/>
      <c r="N695" s="3" t="inlineStr">
        <is>
          <t>"violationReport.errorDetail.conclusionHourPlaceholder": "",</t>
        </is>
      </c>
      <c r="O695" s="3" t="n"/>
      <c r="P695" s="3" t="n"/>
      <c r="Q695" s="3" t="n"/>
      <c r="R695" s="3" t="n"/>
      <c r="S695" s="3" t="n"/>
      <c r="T695" s="3" t="n"/>
      <c r="U695" s="3" t="n"/>
      <c r="V695" s="3" t="n"/>
      <c r="W695" s="3" t="n"/>
      <c r="X695" s="3" t="n"/>
      <c r="Y695" s="3" t="n"/>
      <c r="Z695" s="3" t="n"/>
      <c r="AA695" s="3" t="n"/>
    </row>
    <row r="696">
      <c r="A696" s="104" t="inlineStr">
        <is>
          <t>violationReport.errorDetail.personalPenaltyPoint</t>
        </is>
      </c>
      <c r="B696" s="104" t="inlineStr">
        <is>
          <t>Điểm phạt cá nhân</t>
        </is>
      </c>
      <c r="C696" s="3" t="n"/>
      <c r="D696" s="3" t="n"/>
      <c r="E696" s="3" t="n"/>
      <c r="F696" s="3" t="n"/>
      <c r="G696" s="3" t="n"/>
      <c r="H696" s="3" t="inlineStr">
        <is>
          <t>ពិន្ទុពិន័យបុគ្គល</t>
        </is>
      </c>
      <c r="I696" s="3" t="n"/>
      <c r="J696" s="3" t="n"/>
      <c r="K696" s="3" t="n"/>
      <c r="L696" s="3" t="inlineStr">
        <is>
          <t>ពិន្ទុពិន័យបុគ្គល</t>
        </is>
      </c>
      <c r="M696" s="3" t="n"/>
      <c r="N696" s="3" t="inlineStr">
        <is>
          <t>"violationReport.errorDetail.personalPenaltyPoint": "",</t>
        </is>
      </c>
      <c r="O696" s="3" t="n"/>
      <c r="P696" s="3" t="n"/>
      <c r="Q696" s="3" t="n"/>
      <c r="R696" s="3" t="n"/>
      <c r="S696" s="3" t="n"/>
      <c r="T696" s="3" t="n"/>
      <c r="U696" s="3" t="n"/>
      <c r="V696" s="3" t="n"/>
      <c r="W696" s="3" t="n"/>
      <c r="X696" s="3" t="n"/>
      <c r="Y696" s="3" t="n"/>
      <c r="Z696" s="3" t="n"/>
      <c r="AA696" s="3" t="n"/>
    </row>
    <row r="697">
      <c r="A697" s="104" t="inlineStr">
        <is>
          <t>violationReport.errorDetail.personalPenaltyPointPlaceholder</t>
        </is>
      </c>
      <c r="B697" s="104" t="inlineStr">
        <is>
          <t>Nhập điểm phạt cá nhân</t>
        </is>
      </c>
      <c r="C697" s="3" t="n"/>
      <c r="D697" s="3" t="n"/>
      <c r="E697" s="3" t="n"/>
      <c r="F697" s="3" t="n"/>
      <c r="G697" s="3" t="n"/>
      <c r="H697" s="3" t="inlineStr">
        <is>
          <t>បញ្ចូលđiểm phạt cá nhân</t>
        </is>
      </c>
      <c r="I697" s="3" t="n"/>
      <c r="J697" s="3" t="n"/>
      <c r="K697" s="3" t="n"/>
      <c r="L697" s="3" t="inlineStr">
        <is>
          <t>បញ្ចូលđiểm phạt cá nhân</t>
        </is>
      </c>
      <c r="M697" s="3" t="n"/>
      <c r="N697" s="3" t="inlineStr">
        <is>
          <t>"violationReport.errorDetail.personalPenaltyPointPlaceholder": "",</t>
        </is>
      </c>
      <c r="O697" s="3" t="n"/>
      <c r="P697" s="3" t="n"/>
      <c r="Q697" s="3" t="n"/>
      <c r="R697" s="3" t="n"/>
      <c r="S697" s="3" t="n"/>
      <c r="T697" s="3" t="n"/>
      <c r="U697" s="3" t="n"/>
      <c r="V697" s="3" t="n"/>
      <c r="W697" s="3" t="n"/>
      <c r="X697" s="3" t="n"/>
      <c r="Y697" s="3" t="n"/>
      <c r="Z697" s="3" t="n"/>
      <c r="AA697" s="3" t="n"/>
    </row>
    <row r="698">
      <c r="A698" s="104" t="inlineStr">
        <is>
          <t>violationReport.errorDetail.personalRewardPoint</t>
        </is>
      </c>
      <c r="B698" s="104" t="inlineStr">
        <is>
          <t>Điểm thưởng cá nhân</t>
        </is>
      </c>
      <c r="C698" s="3" t="n"/>
      <c r="D698" s="3" t="n"/>
      <c r="E698" s="3" t="n"/>
      <c r="F698" s="3" t="n"/>
      <c r="G698" s="3" t="n"/>
      <c r="H698" s="3" t="inlineStr">
        <is>
          <t>ពិន្ទុលើកទឹកចិត្តបុគ្គល</t>
        </is>
      </c>
      <c r="I698" s="3" t="n"/>
      <c r="J698" s="3" t="n"/>
      <c r="K698" s="3" t="n"/>
      <c r="L698" s="3" t="inlineStr">
        <is>
          <t>ពិន្ទុលើកទឹកចិត្តបុគ្គល</t>
        </is>
      </c>
      <c r="M698" s="3" t="n"/>
      <c r="N698" s="3" t="inlineStr">
        <is>
          <t>"violationReport.errorDetail.personalRewardPoint": "",</t>
        </is>
      </c>
      <c r="O698" s="3" t="n"/>
      <c r="P698" s="3" t="n"/>
      <c r="Q698" s="3" t="n"/>
      <c r="R698" s="3" t="n"/>
      <c r="S698" s="3" t="n"/>
      <c r="T698" s="3" t="n"/>
      <c r="U698" s="3" t="n"/>
      <c r="V698" s="3" t="n"/>
      <c r="W698" s="3" t="n"/>
      <c r="X698" s="3" t="n"/>
      <c r="Y698" s="3" t="n"/>
      <c r="Z698" s="3" t="n"/>
      <c r="AA698" s="3" t="n"/>
    </row>
    <row r="699">
      <c r="A699" s="104" t="inlineStr">
        <is>
          <t>violationReport.errorDetail.personalRewardPointPlaceholder</t>
        </is>
      </c>
      <c r="B699" s="104" t="inlineStr">
        <is>
          <t>Nhập điểm thưởng cá nhân</t>
        </is>
      </c>
      <c r="C699" s="3" t="n"/>
      <c r="D699" s="3" t="n"/>
      <c r="E699" s="3" t="n"/>
      <c r="F699" s="3" t="n"/>
      <c r="G699" s="3" t="n"/>
      <c r="H699" s="3" t="inlineStr">
        <is>
          <t>បញ្ចូលđiểm thưởng cá nhân</t>
        </is>
      </c>
      <c r="I699" s="3" t="n"/>
      <c r="J699" s="3" t="n"/>
      <c r="K699" s="3" t="n"/>
      <c r="L699" s="3" t="inlineStr">
        <is>
          <t>បញ្ចូលđiểm thưởng cá nhân</t>
        </is>
      </c>
      <c r="M699" s="3" t="n"/>
      <c r="N699" s="3" t="inlineStr">
        <is>
          <t>"violationReport.errorDetail.personalRewardPointPlaceholder": "",</t>
        </is>
      </c>
      <c r="O699" s="3" t="n"/>
      <c r="P699" s="3" t="n"/>
      <c r="Q699" s="3" t="n"/>
      <c r="R699" s="3" t="n"/>
      <c r="S699" s="3" t="n"/>
      <c r="T699" s="3" t="n"/>
      <c r="U699" s="3" t="n"/>
      <c r="V699" s="3" t="n"/>
      <c r="W699" s="3" t="n"/>
      <c r="X699" s="3" t="n"/>
      <c r="Y699" s="3" t="n"/>
      <c r="Z699" s="3" t="n"/>
      <c r="AA699" s="3" t="n"/>
    </row>
    <row r="700">
      <c r="A700" s="104" t="inlineStr">
        <is>
          <t>violationReport.errorDetail.compensationUnitUsd</t>
        </is>
      </c>
      <c r="B700" s="104" t="inlineStr">
        <is>
          <t>Đơn vị tiền/điểm</t>
        </is>
      </c>
      <c r="C700" s="3" t="n"/>
      <c r="D700" s="3" t="n"/>
      <c r="E700" s="3" t="n"/>
      <c r="F700" s="3" t="n"/>
      <c r="G700" s="3" t="n"/>
      <c r="H700" s="3" t="inlineStr">
        <is>
          <t>បញ្ញើ vị tiền/điểm</t>
        </is>
      </c>
      <c r="I700" s="3" t="n"/>
      <c r="J700" s="3" t="n"/>
      <c r="K700" s="3" t="n"/>
      <c r="L700" s="3" t="inlineStr">
        <is>
          <t>បញ្ញើ vị tiền/điểm</t>
        </is>
      </c>
      <c r="M700" s="3" t="n"/>
      <c r="N700" s="3" t="inlineStr">
        <is>
          <t>"violationReport.errorDetail.compensationUnitUsd": "",</t>
        </is>
      </c>
      <c r="O700" s="3" t="n"/>
      <c r="P700" s="3" t="n"/>
      <c r="Q700" s="3" t="n"/>
      <c r="R700" s="3" t="n"/>
      <c r="S700" s="3" t="n"/>
      <c r="T700" s="3" t="n"/>
      <c r="U700" s="3" t="n"/>
      <c r="V700" s="3" t="n"/>
      <c r="W700" s="3" t="n"/>
      <c r="X700" s="3" t="n"/>
      <c r="Y700" s="3" t="n"/>
      <c r="Z700" s="3" t="n"/>
      <c r="AA700" s="3" t="n"/>
    </row>
    <row r="701">
      <c r="A701" s="104" t="inlineStr">
        <is>
          <t>violationReport.errorDetail.compensationUnitUsdPlaceholder</t>
        </is>
      </c>
      <c r="B701" s="104" t="inlineStr">
        <is>
          <t>Nhập tiền/điểm phạt cá nhân</t>
        </is>
      </c>
      <c r="C701" s="3" t="n"/>
      <c r="D701" s="3" t="n"/>
      <c r="E701" s="3" t="n"/>
      <c r="F701" s="3" t="n"/>
      <c r="G701" s="3" t="n"/>
      <c r="H701" s="3" t="inlineStr">
        <is>
          <t>បញ្ចូលtiền/điểm phạt cá nhân</t>
        </is>
      </c>
      <c r="I701" s="3" t="n"/>
      <c r="J701" s="3" t="n"/>
      <c r="K701" s="3" t="n"/>
      <c r="L701" s="3" t="inlineStr">
        <is>
          <t>បញ្ចូលtiền/điểm phạt cá nhân</t>
        </is>
      </c>
      <c r="M701" s="3" t="n"/>
      <c r="N701" s="3" t="inlineStr">
        <is>
          <t>"violationReport.errorDetail.compensationUnitUsdPlaceholder": "",</t>
        </is>
      </c>
      <c r="O701" s="3" t="n"/>
      <c r="P701" s="3" t="n"/>
      <c r="Q701" s="3" t="n"/>
      <c r="R701" s="3" t="n"/>
      <c r="S701" s="3" t="n"/>
      <c r="T701" s="3" t="n"/>
      <c r="U701" s="3" t="n"/>
      <c r="V701" s="3" t="n"/>
      <c r="W701" s="3" t="n"/>
      <c r="X701" s="3" t="n"/>
      <c r="Y701" s="3" t="n"/>
      <c r="Z701" s="3" t="n"/>
      <c r="AA701" s="3" t="n"/>
    </row>
    <row r="702">
      <c r="A702" s="104" t="inlineStr">
        <is>
          <t>violationReport.errorDetail.unitPenaltyPoint</t>
        </is>
      </c>
      <c r="B702" s="104" t="inlineStr">
        <is>
          <t>Điểm phạt trưởng đơn vị</t>
        </is>
      </c>
      <c r="C702" s="3" t="n"/>
      <c r="D702" s="3" t="n"/>
      <c r="E702" s="3" t="n"/>
      <c r="F702" s="3" t="n"/>
      <c r="G702" s="3" t="n"/>
      <c r="H702" s="3" t="inlineStr">
        <is>
          <t>Điểm phạt trưởng បញ្ញើ vị</t>
        </is>
      </c>
      <c r="I702" s="3" t="n"/>
      <c r="J702" s="3" t="n"/>
      <c r="K702" s="3" t="n"/>
      <c r="L702" s="3" t="inlineStr">
        <is>
          <t>Điểm phạt trưởng បញ្ញើ vị</t>
        </is>
      </c>
      <c r="M702" s="3" t="n"/>
      <c r="N702" s="3" t="inlineStr">
        <is>
          <t>"violationReport.errorDetail.unitPenaltyPoint": "",</t>
        </is>
      </c>
      <c r="O702" s="3" t="n"/>
      <c r="P702" s="3" t="n"/>
      <c r="Q702" s="3" t="n"/>
      <c r="R702" s="3" t="n"/>
      <c r="S702" s="3" t="n"/>
      <c r="T702" s="3" t="n"/>
      <c r="U702" s="3" t="n"/>
      <c r="V702" s="3" t="n"/>
      <c r="W702" s="3" t="n"/>
      <c r="X702" s="3" t="n"/>
      <c r="Y702" s="3" t="n"/>
      <c r="Z702" s="3" t="n"/>
      <c r="AA702" s="3" t="n"/>
    </row>
    <row r="703">
      <c r="A703" s="104" t="inlineStr">
        <is>
          <t>violationReport.errorDetail.unitPenaltyPointPlaceholder</t>
        </is>
      </c>
      <c r="B703" s="104" t="inlineStr">
        <is>
          <t>Nhập điểm phạt</t>
        </is>
      </c>
      <c r="C703" s="3" t="n"/>
      <c r="D703" s="3" t="n"/>
      <c r="E703" s="3" t="n"/>
      <c r="F703" s="3" t="n"/>
      <c r="G703" s="3" t="n"/>
      <c r="H703" s="3" t="inlineStr">
        <is>
          <t>បញ្ចូលđiểm phạt</t>
        </is>
      </c>
      <c r="I703" s="3" t="n"/>
      <c r="J703" s="3" t="n"/>
      <c r="K703" s="3" t="n"/>
      <c r="L703" s="3" t="inlineStr">
        <is>
          <t>បញ្ចូលđiểm phạt</t>
        </is>
      </c>
      <c r="M703" s="3" t="n"/>
      <c r="N703" s="3" t="inlineStr">
        <is>
          <t>"violationReport.errorDetail.unitPenaltyPointPlaceholder": "",</t>
        </is>
      </c>
      <c r="O703" s="3" t="n"/>
      <c r="P703" s="3" t="n"/>
      <c r="Q703" s="3" t="n"/>
      <c r="R703" s="3" t="n"/>
      <c r="S703" s="3" t="n"/>
      <c r="T703" s="3" t="n"/>
      <c r="U703" s="3" t="n"/>
      <c r="V703" s="3" t="n"/>
      <c r="W703" s="3" t="n"/>
      <c r="X703" s="3" t="n"/>
      <c r="Y703" s="3" t="n"/>
      <c r="Z703" s="3" t="n"/>
      <c r="AA703" s="3" t="n"/>
    </row>
    <row r="704">
      <c r="A704" s="104" t="inlineStr">
        <is>
          <t>violationReport.errorDetail.postOfficeCompensationPoint</t>
        </is>
      </c>
      <c r="B704" s="104" t="inlineStr">
        <is>
          <t>Điểm trừ bưu cục</t>
        </is>
      </c>
      <c r="C704" s="3" t="n"/>
      <c r="D704" s="3" t="n"/>
      <c r="E704" s="3" t="n"/>
      <c r="F704" s="3" t="n"/>
      <c r="G704" s="3" t="n"/>
      <c r="H704" s="3" t="inlineStr">
        <is>
          <t>Điểm trừ ការិយាល័យប្រៃសណីយ៍</t>
        </is>
      </c>
      <c r="I704" s="3" t="n"/>
      <c r="J704" s="3" t="n"/>
      <c r="K704" s="3" t="n"/>
      <c r="L704" s="3" t="inlineStr">
        <is>
          <t>Điểm trừ ការិយាល័យប្រៃសណីយ៍</t>
        </is>
      </c>
      <c r="M704" s="3" t="n"/>
      <c r="N704" s="3" t="inlineStr">
        <is>
          <t>"violationReport.errorDetail.postOfficeCompensationPoint": "",</t>
        </is>
      </c>
      <c r="O704" s="3" t="n"/>
      <c r="P704" s="3" t="n"/>
      <c r="Q704" s="3" t="n"/>
      <c r="R704" s="3" t="n"/>
      <c r="S704" s="3" t="n"/>
      <c r="T704" s="3" t="n"/>
      <c r="U704" s="3" t="n"/>
      <c r="V704" s="3" t="n"/>
      <c r="W704" s="3" t="n"/>
      <c r="X704" s="3" t="n"/>
      <c r="Y704" s="3" t="n"/>
      <c r="Z704" s="3" t="n"/>
      <c r="AA704" s="3" t="n"/>
    </row>
    <row r="705">
      <c r="A705" s="104" t="inlineStr">
        <is>
          <t>violationReport.errorDetail.postOfficeCompensationPointPlaceholder</t>
        </is>
      </c>
      <c r="B705" s="104" t="inlineStr">
        <is>
          <t>Nhập điểm trừ bưu cục</t>
        </is>
      </c>
      <c r="C705" s="3" t="n"/>
      <c r="D705" s="3" t="n"/>
      <c r="E705" s="3" t="n"/>
      <c r="F705" s="3" t="n"/>
      <c r="G705" s="3" t="n"/>
      <c r="H705" s="3" t="inlineStr">
        <is>
          <t>បញ្ចូលđiểm trừ ការិយាល័យប្រៃសណីយ៍</t>
        </is>
      </c>
      <c r="I705" s="3" t="n"/>
      <c r="J705" s="3" t="n"/>
      <c r="K705" s="3" t="n"/>
      <c r="L705" s="3" t="inlineStr">
        <is>
          <t>បញ្ចូលđiểm trừ ការិយាល័យប្រៃសណីយ៍</t>
        </is>
      </c>
      <c r="M705" s="3" t="n"/>
      <c r="N705" s="3" t="inlineStr">
        <is>
          <t>"violationReport.errorDetail.postOfficeCompensationPointPlaceholder": "",</t>
        </is>
      </c>
      <c r="O705" s="3" t="n"/>
      <c r="P705" s="3" t="n"/>
      <c r="Q705" s="3" t="n"/>
      <c r="R705" s="3" t="n"/>
      <c r="S705" s="3" t="n"/>
      <c r="T705" s="3" t="n"/>
      <c r="U705" s="3" t="n"/>
      <c r="V705" s="3" t="n"/>
      <c r="W705" s="3" t="n"/>
      <c r="X705" s="3" t="n"/>
      <c r="Y705" s="3" t="n"/>
      <c r="Z705" s="3" t="n"/>
      <c r="AA705" s="3" t="n"/>
    </row>
    <row r="706">
      <c r="A706" s="104" t="inlineStr">
        <is>
          <t>violationReport.errorDetail.autoCompleteWhenImport</t>
        </is>
      </c>
      <c r="B706" s="104" t="inlineStr">
        <is>
          <t>Tự động hoàn thành khi nộp</t>
        </is>
      </c>
      <c r="C706" s="3" t="n"/>
      <c r="D706" s="3" t="n"/>
      <c r="E706" s="3" t="n"/>
      <c r="F706" s="3" t="n"/>
      <c r="G706" s="3" t="n"/>
      <c r="H706" s="3" t="inlineStr">
        <is>
          <t>Tự động បានបញ្ចប់ khi nộp</t>
        </is>
      </c>
      <c r="I706" s="3" t="n"/>
      <c r="J706" s="3" t="n"/>
      <c r="K706" s="3" t="n"/>
      <c r="L706" s="3" t="inlineStr">
        <is>
          <t>Tự động បានបញ្ចប់ khi nộp</t>
        </is>
      </c>
      <c r="M706" s="3" t="n"/>
      <c r="N706" s="3" t="inlineStr">
        <is>
          <t>"violationReport.errorDetail.autoCompleteWhenImport": "",</t>
        </is>
      </c>
      <c r="O706" s="3" t="n"/>
      <c r="P706" s="3" t="n"/>
      <c r="Q706" s="3" t="n"/>
      <c r="R706" s="3" t="n"/>
      <c r="S706" s="3" t="n"/>
      <c r="T706" s="3" t="n"/>
      <c r="U706" s="3" t="n"/>
      <c r="V706" s="3" t="n"/>
      <c r="W706" s="3" t="n"/>
      <c r="X706" s="3" t="n"/>
      <c r="Y706" s="3" t="n"/>
      <c r="Z706" s="3" t="n"/>
      <c r="AA706" s="3" t="n"/>
    </row>
    <row r="707">
      <c r="A707" s="104" t="inlineStr">
        <is>
          <t>violationReport.errorDetail.createOnlyOneRecord</t>
        </is>
      </c>
      <c r="B707" s="104" t="inlineStr">
        <is>
          <t>Tạo duy nhất 1 biên bản</t>
        </is>
      </c>
      <c r="C707" s="3" t="n"/>
      <c r="D707" s="3" t="n"/>
      <c r="E707" s="3" t="n"/>
      <c r="F707" s="3" t="n"/>
      <c r="G707" s="3" t="n"/>
      <c r="H707" s="3" t="inlineStr">
        <is>
          <t>បង្កើតduy nhất 1 កំណត់ហេតុ</t>
        </is>
      </c>
      <c r="I707" s="3" t="n"/>
      <c r="J707" s="3" t="n"/>
      <c r="K707" s="3" t="n"/>
      <c r="L707" s="3" t="inlineStr">
        <is>
          <t>បង្កើតduy nhất 1 កំណត់ហេតុ</t>
        </is>
      </c>
      <c r="M707" s="3" t="n"/>
      <c r="N707" s="3" t="inlineStr">
        <is>
          <t>"violationReport.errorDetail.createOnlyOneRecord": "",</t>
        </is>
      </c>
      <c r="O707" s="3" t="n"/>
      <c r="P707" s="3" t="n"/>
      <c r="Q707" s="3" t="n"/>
      <c r="R707" s="3" t="n"/>
      <c r="S707" s="3" t="n"/>
      <c r="T707" s="3" t="n"/>
      <c r="U707" s="3" t="n"/>
      <c r="V707" s="3" t="n"/>
      <c r="W707" s="3" t="n"/>
      <c r="X707" s="3" t="n"/>
      <c r="Y707" s="3" t="n"/>
      <c r="Z707" s="3" t="n"/>
      <c r="AA707" s="3" t="n"/>
    </row>
    <row r="708">
      <c r="A708" s="104" t="inlineStr">
        <is>
          <t>violationReport.errorDetail.compensation</t>
        </is>
      </c>
      <c r="B708" s="104" t="inlineStr">
        <is>
          <t>Bồi thường</t>
        </is>
      </c>
      <c r="C708" s="3" t="n"/>
      <c r="D708" s="3" t="n"/>
      <c r="E708" s="3" t="n"/>
      <c r="F708" s="3" t="n"/>
      <c r="G708" s="3" t="n"/>
      <c r="H708" s="3" t="inlineStr">
        <is>
          <t>សំណង</t>
        </is>
      </c>
      <c r="I708" s="3" t="n"/>
      <c r="J708" s="3" t="n"/>
      <c r="K708" s="3" t="n"/>
      <c r="L708" s="3" t="inlineStr">
        <is>
          <t>សំណង</t>
        </is>
      </c>
      <c r="M708" s="3" t="n"/>
      <c r="N708" s="3" t="inlineStr">
        <is>
          <t>"violationReport.errorDetail.compensation": "",</t>
        </is>
      </c>
      <c r="O708" s="3" t="n"/>
      <c r="P708" s="3" t="n"/>
      <c r="Q708" s="3" t="n"/>
      <c r="R708" s="3" t="n"/>
      <c r="S708" s="3" t="n"/>
      <c r="T708" s="3" t="n"/>
      <c r="U708" s="3" t="n"/>
      <c r="V708" s="3" t="n"/>
      <c r="W708" s="3" t="n"/>
      <c r="X708" s="3" t="n"/>
      <c r="Y708" s="3" t="n"/>
      <c r="Z708" s="3" t="n"/>
      <c r="AA708" s="3" t="n"/>
    </row>
    <row r="709">
      <c r="A709" s="104" t="inlineStr">
        <is>
          <t>violationReport.errorDetail.save</t>
        </is>
      </c>
      <c r="B709" s="104" t="inlineStr">
        <is>
          <t>Ghi lại</t>
        </is>
      </c>
      <c r="C709" s="3" t="n"/>
      <c r="D709" s="3" t="n"/>
      <c r="E709" s="3" t="n"/>
      <c r="F709" s="3" t="n"/>
      <c r="G709" s="3" t="n"/>
      <c r="H709" s="3" t="inlineStr">
        <is>
          <t>កត់ត្រាទុក</t>
        </is>
      </c>
      <c r="I709" s="3" t="n"/>
      <c r="J709" s="3" t="n"/>
      <c r="K709" s="3" t="n"/>
      <c r="L709" s="3" t="inlineStr">
        <is>
          <t>កត់ត្រាទុក</t>
        </is>
      </c>
      <c r="M709" s="3" t="n"/>
      <c r="N709" s="3" t="inlineStr">
        <is>
          <t>"violationReport.errorDetail.save": "",</t>
        </is>
      </c>
      <c r="O709" s="3" t="n"/>
      <c r="P709" s="3" t="n"/>
      <c r="Q709" s="3" t="n"/>
      <c r="R709" s="3" t="n"/>
      <c r="S709" s="3" t="n"/>
      <c r="T709" s="3" t="n"/>
      <c r="U709" s="3" t="n"/>
      <c r="V709" s="3" t="n"/>
      <c r="W709" s="3" t="n"/>
      <c r="X709" s="3" t="n"/>
      <c r="Y709" s="3" t="n"/>
      <c r="Z709" s="3" t="n"/>
      <c r="AA709" s="3" t="n"/>
    </row>
    <row r="710">
      <c r="A710" s="104" t="inlineStr">
        <is>
          <t>violationReport.errorDetail.errorCodeListTitle</t>
        </is>
      </c>
      <c r="B710" s="104" t="inlineStr">
        <is>
          <t>Danh sách mã lỗi</t>
        </is>
      </c>
      <c r="C710" s="3" t="n"/>
      <c r="D710" s="3" t="n"/>
      <c r="E710" s="3" t="n"/>
      <c r="F710" s="3" t="n"/>
      <c r="G710" s="3" t="n"/>
      <c r="H710" s="3" t="inlineStr">
        <is>
          <t>បញ្ជីលេខកូដកំហុស</t>
        </is>
      </c>
      <c r="I710" s="3" t="n"/>
      <c r="J710" s="3" t="n"/>
      <c r="K710" s="3" t="n"/>
      <c r="L710" s="3" t="inlineStr">
        <is>
          <t>បញ្ជីលេខកូដកំហុស</t>
        </is>
      </c>
      <c r="M710" s="3" t="n"/>
      <c r="N710" s="3" t="inlineStr">
        <is>
          <t>"violationReport.errorDetail.errorCodeListTitle": "",</t>
        </is>
      </c>
      <c r="O710" s="3" t="n"/>
      <c r="P710" s="3" t="n"/>
      <c r="Q710" s="3" t="n"/>
      <c r="R710" s="3" t="n"/>
      <c r="S710" s="3" t="n"/>
      <c r="T710" s="3" t="n"/>
      <c r="U710" s="3" t="n"/>
      <c r="V710" s="3" t="n"/>
      <c r="W710" s="3" t="n"/>
      <c r="X710" s="3" t="n"/>
      <c r="Y710" s="3" t="n"/>
      <c r="Z710" s="3" t="n"/>
      <c r="AA710" s="3" t="n"/>
    </row>
    <row r="711">
      <c r="A711" s="104" t="inlineStr">
        <is>
          <t>violationReport.errorDetail.tableErrorTypeName</t>
        </is>
      </c>
      <c r="B711" s="104" t="inlineStr">
        <is>
          <t>Tên lỗi chi tiết</t>
        </is>
      </c>
      <c r="C711" s="3" t="n"/>
      <c r="D711" s="3" t="n"/>
      <c r="E711" s="3" t="n"/>
      <c r="F711" s="3" t="n"/>
      <c r="G711" s="3" t="n"/>
      <c r="H711" s="3" t="inlineStr">
        <is>
          <t>ឈ្មោះកំហុស ព័ត៌មានលម្អិត</t>
        </is>
      </c>
      <c r="I711" s="3" t="n"/>
      <c r="J711" s="3" t="n"/>
      <c r="K711" s="3" t="n"/>
      <c r="L711" s="3" t="inlineStr">
        <is>
          <t>ឈ្មោះកំហុស ព័ត៌មានលម្អិត</t>
        </is>
      </c>
      <c r="M711" s="3" t="n"/>
      <c r="N711" s="3" t="inlineStr">
        <is>
          <t>"violationReport.errorDetail.tableErrorTypeName": "",</t>
        </is>
      </c>
      <c r="O711" s="3" t="n"/>
      <c r="P711" s="3" t="n"/>
      <c r="Q711" s="3" t="n"/>
      <c r="R711" s="3" t="n"/>
      <c r="S711" s="3" t="n"/>
      <c r="T711" s="3" t="n"/>
      <c r="U711" s="3" t="n"/>
      <c r="V711" s="3" t="n"/>
      <c r="W711" s="3" t="n"/>
      <c r="X711" s="3" t="n"/>
      <c r="Y711" s="3" t="n"/>
      <c r="Z711" s="3" t="n"/>
      <c r="AA711" s="3" t="n"/>
    </row>
    <row r="712">
      <c r="A712" s="104" t="inlineStr">
        <is>
          <t>violationReport.errorDetail.columnAutomatic</t>
        </is>
      </c>
      <c r="B712" s="104" t="inlineStr">
        <is>
          <t>Tự động</t>
        </is>
      </c>
      <c r="C712" s="3" t="n"/>
      <c r="D712" s="3" t="n"/>
      <c r="E712" s="3" t="n"/>
      <c r="F712" s="3" t="n"/>
      <c r="G712" s="3" t="n"/>
      <c r="H712" s="3" t="inlineStr">
        <is>
          <t>ស្វ័យប្រវត្តិ</t>
        </is>
      </c>
      <c r="I712" s="3" t="n"/>
      <c r="J712" s="3" t="n"/>
      <c r="K712" s="3" t="n"/>
      <c r="L712" s="3" t="inlineStr">
        <is>
          <t>ស្វ័យប្រវត្តិ</t>
        </is>
      </c>
      <c r="M712" s="3" t="n"/>
      <c r="N712" s="3" t="inlineStr">
        <is>
          <t>"violationReport.errorDetail.columnAutomatic": "",</t>
        </is>
      </c>
      <c r="O712" s="3" t="n"/>
      <c r="P712" s="3" t="n"/>
      <c r="Q712" s="3" t="n"/>
      <c r="R712" s="3" t="n"/>
      <c r="S712" s="3" t="n"/>
      <c r="T712" s="3" t="n"/>
      <c r="U712" s="3" t="n"/>
      <c r="V712" s="3" t="n"/>
      <c r="W712" s="3" t="n"/>
      <c r="X712" s="3" t="n"/>
      <c r="Y712" s="3" t="n"/>
      <c r="Z712" s="3" t="n"/>
      <c r="AA712" s="3" t="n"/>
    </row>
    <row r="713">
      <c r="A713" s="104" t="inlineStr">
        <is>
          <t>violationReport.errorDetail.columnConfirmHour</t>
        </is>
      </c>
      <c r="B713" s="104" t="inlineStr">
        <is>
          <t>Thời gian xác nhận đúng, sai (h)</t>
        </is>
      </c>
      <c r="C713" s="3" t="n"/>
      <c r="D713" s="3" t="n"/>
      <c r="E713" s="3" t="n"/>
      <c r="F713" s="3" t="n"/>
      <c r="G713" s="3" t="n"/>
      <c r="H713" s="3" t="inlineStr">
        <is>
          <t>ពេលវេលាបញ្ជាក់ đúng, sai (h)</t>
        </is>
      </c>
      <c r="I713" s="3" t="n"/>
      <c r="J713" s="3" t="n"/>
      <c r="K713" s="3" t="n"/>
      <c r="L713" s="3" t="inlineStr">
        <is>
          <t>ពេលវេលាបញ្ជាក់ đúng, sai (h)</t>
        </is>
      </c>
      <c r="M713" s="3" t="n"/>
      <c r="N713" s="3" t="inlineStr">
        <is>
          <t>"violationReport.errorDetail.columnConfirmHour": "",</t>
        </is>
      </c>
      <c r="O713" s="3" t="n"/>
      <c r="P713" s="3" t="n"/>
      <c r="Q713" s="3" t="n"/>
      <c r="R713" s="3" t="n"/>
      <c r="S713" s="3" t="n"/>
      <c r="T713" s="3" t="n"/>
      <c r="U713" s="3" t="n"/>
      <c r="V713" s="3" t="n"/>
      <c r="W713" s="3" t="n"/>
      <c r="X713" s="3" t="n"/>
      <c r="Y713" s="3" t="n"/>
      <c r="Z713" s="3" t="n"/>
      <c r="AA713" s="3" t="n"/>
    </row>
    <row r="714">
      <c r="A714" s="104" t="inlineStr">
        <is>
          <t>violationReport.errorDetail.columnConclusionHour</t>
        </is>
      </c>
      <c r="B714" s="104" t="inlineStr">
        <is>
          <t>Thời gian kết luận (h)</t>
        </is>
      </c>
      <c r="C714" s="3" t="n"/>
      <c r="D714" s="3" t="n"/>
      <c r="E714" s="3" t="n"/>
      <c r="F714" s="3" t="n"/>
      <c r="G714" s="3" t="n"/>
      <c r="H714" s="3" t="inlineStr">
        <is>
          <t>ពេលវេលាkết luận (h)</t>
        </is>
      </c>
      <c r="I714" s="3" t="n"/>
      <c r="J714" s="3" t="n"/>
      <c r="K714" s="3" t="n"/>
      <c r="L714" s="3" t="inlineStr">
        <is>
          <t>ពេលវេលាkết luận (h)</t>
        </is>
      </c>
      <c r="M714" s="3" t="n"/>
      <c r="N714" s="3" t="inlineStr">
        <is>
          <t>"violationReport.errorDetail.columnConclusionHour": "",</t>
        </is>
      </c>
      <c r="O714" s="3" t="n"/>
      <c r="P714" s="3" t="n"/>
      <c r="Q714" s="3" t="n"/>
      <c r="R714" s="3" t="n"/>
      <c r="S714" s="3" t="n"/>
      <c r="T714" s="3" t="n"/>
      <c r="U714" s="3" t="n"/>
      <c r="V714" s="3" t="n"/>
      <c r="W714" s="3" t="n"/>
      <c r="X714" s="3" t="n"/>
      <c r="Y714" s="3" t="n"/>
      <c r="Z714" s="3" t="n"/>
      <c r="AA714" s="3" t="n"/>
    </row>
    <row r="715">
      <c r="A715" s="104" t="inlineStr">
        <is>
          <t>violationReport.errorDetail.viewActionHistory</t>
        </is>
      </c>
      <c r="B715" s="104" t="inlineStr">
        <is>
          <t>Xem lịch sử tác động</t>
        </is>
      </c>
      <c r="C715" s="3" t="n"/>
      <c r="D715" s="3" t="n"/>
      <c r="E715" s="3" t="n"/>
      <c r="F715" s="3" t="n"/>
      <c r="G715" s="3" t="n"/>
      <c r="H715" s="3" t="inlineStr">
        <is>
          <t>Xem ប្រវត្តិ tác động</t>
        </is>
      </c>
      <c r="I715" s="3" t="n"/>
      <c r="J715" s="3" t="n"/>
      <c r="K715" s="3" t="n"/>
      <c r="L715" s="3" t="inlineStr">
        <is>
          <t>Xem ប្រវត្តិ tác động</t>
        </is>
      </c>
      <c r="M715" s="3" t="n"/>
      <c r="N715" s="3" t="inlineStr">
        <is>
          <t>"violationReport.errorDetail.viewActionHistory": "",</t>
        </is>
      </c>
      <c r="O715" s="3" t="n"/>
      <c r="P715" s="3" t="n"/>
      <c r="Q715" s="3" t="n"/>
      <c r="R715" s="3" t="n"/>
      <c r="S715" s="3" t="n"/>
      <c r="T715" s="3" t="n"/>
      <c r="U715" s="3" t="n"/>
      <c r="V715" s="3" t="n"/>
      <c r="W715" s="3" t="n"/>
      <c r="X715" s="3" t="n"/>
      <c r="Y715" s="3" t="n"/>
      <c r="Z715" s="3" t="n"/>
      <c r="AA715" s="3" t="n"/>
    </row>
    <row r="716">
      <c r="A716" s="104" t="inlineStr">
        <is>
          <t>violationReport.errorDetail.yes</t>
        </is>
      </c>
      <c r="B716" s="104" t="inlineStr">
        <is>
          <t>Có</t>
        </is>
      </c>
      <c r="C716" s="3" t="n"/>
      <c r="D716" s="3" t="n"/>
      <c r="E716" s="3" t="n"/>
      <c r="F716" s="3" t="n"/>
      <c r="G716" s="3" t="n"/>
      <c r="H716" s="3" t="inlineStr">
        <is>
          <t>មាន</t>
        </is>
      </c>
      <c r="I716" s="3" t="n"/>
      <c r="J716" s="3" t="n"/>
      <c r="K716" s="3" t="n"/>
      <c r="L716" s="3" t="inlineStr">
        <is>
          <t>មាន</t>
        </is>
      </c>
      <c r="M716" s="3" t="n"/>
      <c r="N716" s="3" t="inlineStr">
        <is>
          <t>"violationReport.errorDetail.yes": "",</t>
        </is>
      </c>
      <c r="O716" s="3" t="n"/>
      <c r="P716" s="3" t="n"/>
      <c r="Q716" s="3" t="n"/>
      <c r="R716" s="3" t="n"/>
      <c r="S716" s="3" t="n"/>
      <c r="T716" s="3" t="n"/>
      <c r="U716" s="3" t="n"/>
      <c r="V716" s="3" t="n"/>
      <c r="W716" s="3" t="n"/>
      <c r="X716" s="3" t="n"/>
      <c r="Y716" s="3" t="n"/>
      <c r="Z716" s="3" t="n"/>
      <c r="AA716" s="3" t="n"/>
    </row>
    <row r="717">
      <c r="A717" s="101" t="inlineStr">
        <is>
          <t>violationReport.errorDetail.no</t>
        </is>
      </c>
      <c r="B717" s="104" t="inlineStr">
        <is>
          <t>Không</t>
        </is>
      </c>
      <c r="C717" s="3" t="n"/>
      <c r="D717" s="3" t="n"/>
      <c r="E717" s="3" t="n"/>
      <c r="F717" s="3" t="n"/>
      <c r="G717" s="3" t="n"/>
      <c r="H717" s="3" t="inlineStr">
        <is>
          <t>មិនមាន</t>
        </is>
      </c>
      <c r="I717" s="3" t="n"/>
      <c r="J717" s="3" t="n"/>
      <c r="K717" s="3" t="n"/>
      <c r="L717" s="3" t="inlineStr">
        <is>
          <t>មិនមាន</t>
        </is>
      </c>
      <c r="M717" s="3" t="n"/>
      <c r="N717" s="3" t="inlineStr">
        <is>
          <t>"violationReport.errorDetail.no": "",</t>
        </is>
      </c>
      <c r="O717" s="3" t="n"/>
      <c r="P717" s="3" t="n"/>
      <c r="Q717" s="3" t="n"/>
      <c r="R717" s="3" t="n"/>
      <c r="S717" s="3" t="n"/>
      <c r="T717" s="3" t="n"/>
      <c r="U717" s="3" t="n"/>
      <c r="V717" s="3" t="n"/>
      <c r="W717" s="3" t="n"/>
      <c r="X717" s="3" t="n"/>
      <c r="Y717" s="3" t="n"/>
      <c r="Z717" s="3" t="n"/>
      <c r="AA717" s="3" t="n"/>
    </row>
    <row r="718">
      <c r="A718" s="104" t="inlineStr">
        <is>
          <t>violationReport.errorDetail.greaterThanZero</t>
        </is>
      </c>
      <c r="B718" s="104" t="inlineStr">
        <is>
          <t>Vui lòng nhập giá trị lớn hơn hoặc bằng 0</t>
        </is>
      </c>
      <c r="C718" s="3" t="n"/>
      <c r="D718" s="3" t="n"/>
      <c r="E718" s="3" t="n"/>
      <c r="F718" s="3" t="n"/>
      <c r="G718" s="3" t="n"/>
      <c r="H718" s="3" t="inlineStr">
        <is>
          <t>សូមបញ្ចូលgiá trị lớn hơn hoặc bằng 0</t>
        </is>
      </c>
      <c r="I718" s="3" t="n"/>
      <c r="J718" s="3" t="n"/>
      <c r="K718" s="3" t="n"/>
      <c r="L718" s="3" t="inlineStr">
        <is>
          <t>សូមបញ្ចូលgiá trị lớn hơn hoặc bằng 0</t>
        </is>
      </c>
      <c r="M718" s="3" t="n"/>
      <c r="N718" s="3" t="inlineStr">
        <is>
          <t>"violationReport.errorDetail.greaterThanZero": "",</t>
        </is>
      </c>
      <c r="O718" s="3" t="n"/>
      <c r="P718" s="3" t="n"/>
      <c r="Q718" s="3" t="n"/>
      <c r="R718" s="3" t="n"/>
      <c r="S718" s="3" t="n"/>
      <c r="T718" s="3" t="n"/>
      <c r="U718" s="3" t="n"/>
      <c r="V718" s="3" t="n"/>
      <c r="W718" s="3" t="n"/>
      <c r="X718" s="3" t="n"/>
      <c r="Y718" s="3" t="n"/>
      <c r="Z718" s="3" t="n"/>
      <c r="AA718" s="3" t="n"/>
    </row>
    <row r="719">
      <c r="A719" s="104" t="inlineStr">
        <is>
          <t>violationReport.errorDetail.delete.title</t>
        </is>
      </c>
      <c r="B719" s="104" t="inlineStr">
        <is>
          <t>Xóa lỗi</t>
        </is>
      </c>
      <c r="C719" s="3" t="n"/>
      <c r="D719" s="3" t="n"/>
      <c r="E719" s="3" t="n"/>
      <c r="F719" s="3" t="n"/>
      <c r="G719" s="3" t="n"/>
      <c r="H719" s="3" t="inlineStr">
        <is>
          <t>លុប កំហុស</t>
        </is>
      </c>
      <c r="I719" s="3" t="n"/>
      <c r="J719" s="3" t="n"/>
      <c r="K719" s="3" t="n"/>
      <c r="L719" s="3" t="inlineStr">
        <is>
          <t>លុប កំហុស</t>
        </is>
      </c>
      <c r="M719" s="3" t="n"/>
      <c r="N719" s="3" t="inlineStr">
        <is>
          <t>"violationReport.errorDetail.delete.title": "",</t>
        </is>
      </c>
      <c r="O719" s="3" t="n"/>
      <c r="P719" s="3" t="n"/>
      <c r="Q719" s="3" t="n"/>
      <c r="R719" s="3" t="n"/>
      <c r="S719" s="3" t="n"/>
      <c r="T719" s="3" t="n"/>
      <c r="U719" s="3" t="n"/>
      <c r="V719" s="3" t="n"/>
      <c r="W719" s="3" t="n"/>
      <c r="X719" s="3" t="n"/>
      <c r="Y719" s="3" t="n"/>
      <c r="Z719" s="3" t="n"/>
      <c r="AA719" s="3" t="n"/>
    </row>
    <row r="720">
      <c r="A720" s="104" t="inlineStr">
        <is>
          <t>violationReport.errorDetail.delete.detailOption</t>
        </is>
      </c>
      <c r="B720" s="104" t="inlineStr">
        <is>
          <t>Chi tiết lỗi</t>
        </is>
      </c>
      <c r="C720" s="3" t="n"/>
      <c r="D720" s="3" t="n"/>
      <c r="E720" s="3" t="n"/>
      <c r="F720" s="3" t="n"/>
      <c r="G720" s="3" t="n"/>
      <c r="H720" s="3" t="inlineStr">
        <is>
          <t>ព័ត៌មានលម្អិតកំហុស</t>
        </is>
      </c>
      <c r="I720" s="3" t="n"/>
      <c r="J720" s="3" t="n"/>
      <c r="K720" s="3" t="n"/>
      <c r="L720" s="3" t="inlineStr">
        <is>
          <t>ព័ត៌មានលម្អិតកំហុស</t>
        </is>
      </c>
      <c r="M720" s="3" t="n"/>
      <c r="N720" s="3" t="inlineStr">
        <is>
          <t>"violationReport.errorDetail.delete.detailOption": "",</t>
        </is>
      </c>
      <c r="O720" s="3" t="n"/>
      <c r="P720" s="3" t="n"/>
      <c r="Q720" s="3" t="n"/>
      <c r="R720" s="3" t="n"/>
      <c r="S720" s="3" t="n"/>
      <c r="T720" s="3" t="n"/>
      <c r="U720" s="3" t="n"/>
      <c r="V720" s="3" t="n"/>
      <c r="W720" s="3" t="n"/>
      <c r="X720" s="3" t="n"/>
      <c r="Y720" s="3" t="n"/>
      <c r="Z720" s="3" t="n"/>
      <c r="AA720" s="3" t="n"/>
    </row>
    <row r="721">
      <c r="A721" s="104" t="inlineStr">
        <is>
          <t>violationReport.errorDetail.delete.groupOption</t>
        </is>
      </c>
      <c r="B721" s="104" t="inlineStr">
        <is>
          <t>Nhóm lỗi tương ứng</t>
        </is>
      </c>
      <c r="C721" s="3" t="n"/>
      <c r="D721" s="3" t="n"/>
      <c r="E721" s="3" t="n"/>
      <c r="F721" s="3" t="n"/>
      <c r="G721" s="3" t="n"/>
      <c r="H721" s="3" t="inlineStr">
        <is>
          <t>ក្រុម កំហុស tương ứng</t>
        </is>
      </c>
      <c r="I721" s="3" t="n"/>
      <c r="J721" s="3" t="n"/>
      <c r="K721" s="3" t="n"/>
      <c r="L721" s="3" t="inlineStr">
        <is>
          <t>ក្រុម កំហុស tương ứng</t>
        </is>
      </c>
      <c r="M721" s="3" t="n"/>
      <c r="N721" s="3" t="inlineStr">
        <is>
          <t>"violationReport.errorDetail.delete.groupOption": "",</t>
        </is>
      </c>
      <c r="O721" s="3" t="n"/>
      <c r="P721" s="3" t="n"/>
      <c r="Q721" s="3" t="n"/>
      <c r="R721" s="3" t="n"/>
      <c r="S721" s="3" t="n"/>
      <c r="T721" s="3" t="n"/>
      <c r="U721" s="3" t="n"/>
      <c r="V721" s="3" t="n"/>
      <c r="W721" s="3" t="n"/>
      <c r="X721" s="3" t="n"/>
      <c r="Y721" s="3" t="n"/>
      <c r="Z721" s="3" t="n"/>
      <c r="AA721" s="3" t="n"/>
    </row>
    <row r="722">
      <c r="A722" s="104" t="inlineStr">
        <is>
          <t>violationReport.errorDetail.delete.confirm</t>
        </is>
      </c>
      <c r="B722" s="104" t="inlineStr">
        <is>
          <t>Xác nhận xóa</t>
        </is>
      </c>
      <c r="C722" s="3" t="n"/>
      <c r="D722" s="3" t="n"/>
      <c r="E722" s="3" t="n"/>
      <c r="F722" s="3" t="n"/>
      <c r="G722" s="3" t="n"/>
      <c r="H722" s="3" t="inlineStr">
        <is>
          <t>បញ្ជាក់ លុប</t>
        </is>
      </c>
      <c r="I722" s="3" t="n"/>
      <c r="J722" s="3" t="n"/>
      <c r="K722" s="3" t="n"/>
      <c r="L722" s="3" t="inlineStr">
        <is>
          <t>បញ្ជាក់ លុប</t>
        </is>
      </c>
      <c r="M722" s="3" t="n"/>
      <c r="N722" s="3" t="inlineStr">
        <is>
          <t>"violationReport.errorDetail.delete.confirm": "",</t>
        </is>
      </c>
      <c r="O722" s="3" t="n"/>
      <c r="P722" s="3" t="n"/>
      <c r="Q722" s="3" t="n"/>
      <c r="R722" s="3" t="n"/>
      <c r="S722" s="3" t="n"/>
      <c r="T722" s="3" t="n"/>
      <c r="U722" s="3" t="n"/>
      <c r="V722" s="3" t="n"/>
      <c r="W722" s="3" t="n"/>
      <c r="X722" s="3" t="n"/>
      <c r="Y722" s="3" t="n"/>
      <c r="Z722" s="3" t="n"/>
      <c r="AA722" s="3" t="n"/>
    </row>
    <row r="723">
      <c r="A723" s="104" t="inlineStr">
        <is>
          <t>violationReport.errorDetail.createSuccess</t>
        </is>
      </c>
      <c r="B723" s="104" t="inlineStr">
        <is>
          <t>Thêm mới mã lỗi thành công</t>
        </is>
      </c>
      <c r="C723" s="3" t="n"/>
      <c r="D723" s="3" t="n"/>
      <c r="E723" s="3" t="n"/>
      <c r="F723" s="3" t="n"/>
      <c r="G723" s="3" t="n"/>
      <c r="H723" s="3" t="inlineStr">
        <is>
          <t>បន្ថែមថ្មី លេខកូដកំហុស ជោគជ័យ</t>
        </is>
      </c>
      <c r="I723" s="3" t="n"/>
      <c r="J723" s="3" t="n"/>
      <c r="K723" s="3" t="n"/>
      <c r="L723" s="3" t="inlineStr">
        <is>
          <t>បន្ថែមថ្មី លេខកូដកំហុស ជោគជ័យ</t>
        </is>
      </c>
      <c r="M723" s="3" t="n"/>
      <c r="N723" s="3" t="inlineStr">
        <is>
          <t>"violationReport.errorDetail.createSuccess": "",</t>
        </is>
      </c>
      <c r="O723" s="3" t="n"/>
      <c r="P723" s="3" t="n"/>
      <c r="Q723" s="3" t="n"/>
      <c r="R723" s="3" t="n"/>
      <c r="S723" s="3" t="n"/>
      <c r="T723" s="3" t="n"/>
      <c r="U723" s="3" t="n"/>
      <c r="V723" s="3" t="n"/>
      <c r="W723" s="3" t="n"/>
      <c r="X723" s="3" t="n"/>
      <c r="Y723" s="3" t="n"/>
      <c r="Z723" s="3" t="n"/>
      <c r="AA723" s="3" t="n"/>
    </row>
    <row r="724">
      <c r="A724" s="104" t="inlineStr">
        <is>
          <t>violationReport.errorDetail.createFailed</t>
        </is>
      </c>
      <c r="B724" s="104" t="inlineStr">
        <is>
          <t>Thêm mới mã lỗi thất bại</t>
        </is>
      </c>
      <c r="C724" s="3" t="n"/>
      <c r="D724" s="3" t="n"/>
      <c r="E724" s="3" t="n"/>
      <c r="F724" s="3" t="n"/>
      <c r="G724" s="3" t="n"/>
      <c r="H724" s="3" t="inlineStr">
        <is>
          <t>បន្ថែមថ្មី លេខកូដកំហុស បរាជ័យ</t>
        </is>
      </c>
      <c r="I724" s="3" t="n"/>
      <c r="J724" s="3" t="n"/>
      <c r="K724" s="3" t="n"/>
      <c r="L724" s="3" t="inlineStr">
        <is>
          <t>បន្ថែមថ្មី លេខកូដកំហុស បរាជ័យ</t>
        </is>
      </c>
      <c r="M724" s="3" t="n"/>
      <c r="N724" s="3" t="inlineStr">
        <is>
          <t>"violationReport.errorDetail.createFailed": "",</t>
        </is>
      </c>
      <c r="O724" s="3" t="n"/>
      <c r="P724" s="3" t="n"/>
      <c r="Q724" s="3" t="n"/>
      <c r="R724" s="3" t="n"/>
      <c r="S724" s="3" t="n"/>
      <c r="T724" s="3" t="n"/>
      <c r="U724" s="3" t="n"/>
      <c r="V724" s="3" t="n"/>
      <c r="W724" s="3" t="n"/>
      <c r="X724" s="3" t="n"/>
      <c r="Y724" s="3" t="n"/>
      <c r="Z724" s="3" t="n"/>
      <c r="AA724" s="3" t="n"/>
    </row>
    <row r="725">
      <c r="A725" s="104" t="inlineStr">
        <is>
          <t>violationReport.errorDetail.editSuccess</t>
        </is>
      </c>
      <c r="B725" s="104" t="inlineStr">
        <is>
          <t>Cập nhật mã lỗi thành công</t>
        </is>
      </c>
      <c r="C725" s="3" t="n"/>
      <c r="D725" s="3" t="n"/>
      <c r="E725" s="3" t="n"/>
      <c r="F725" s="3" t="n"/>
      <c r="G725" s="3" t="n"/>
      <c r="H725" s="3" t="inlineStr">
        <is>
          <t>ធ្វើបច្ចុប្បន្នភាពលេខកូដកំហុស ជោគជ័យ</t>
        </is>
      </c>
      <c r="I725" s="3" t="n"/>
      <c r="J725" s="3" t="n"/>
      <c r="K725" s="3" t="n"/>
      <c r="L725" s="3" t="inlineStr">
        <is>
          <t>ធ្វើបច្ចុប្បន្នភាពលេខកូដកំហុស ជោគជ័យ</t>
        </is>
      </c>
      <c r="M725" s="3" t="n"/>
      <c r="N725" s="3" t="inlineStr">
        <is>
          <t>"violationReport.errorDetail.editSuccess": "",</t>
        </is>
      </c>
      <c r="O725" s="3" t="n"/>
      <c r="P725" s="3" t="n"/>
      <c r="Q725" s="3" t="n"/>
      <c r="R725" s="3" t="n"/>
      <c r="S725" s="3" t="n"/>
      <c r="T725" s="3" t="n"/>
      <c r="U725" s="3" t="n"/>
      <c r="V725" s="3" t="n"/>
      <c r="W725" s="3" t="n"/>
      <c r="X725" s="3" t="n"/>
      <c r="Y725" s="3" t="n"/>
      <c r="Z725" s="3" t="n"/>
      <c r="AA725" s="3" t="n"/>
    </row>
    <row r="726">
      <c r="A726" s="104" t="inlineStr">
        <is>
          <t>violationReport.errorDetail.editFailed</t>
        </is>
      </c>
      <c r="B726" s="104" t="inlineStr">
        <is>
          <t>Cập nhật mã lỗi thất bại</t>
        </is>
      </c>
      <c r="C726" s="3" t="n"/>
      <c r="D726" s="3" t="n"/>
      <c r="E726" s="3" t="n"/>
      <c r="F726" s="3" t="n"/>
      <c r="G726" s="3" t="n"/>
      <c r="H726" s="3" t="inlineStr">
        <is>
          <t>ធ្វើបច្ចុប្បន្នភាពលេខកូដកំហុស បរាជ័យ</t>
        </is>
      </c>
      <c r="I726" s="3" t="n"/>
      <c r="J726" s="3" t="n"/>
      <c r="K726" s="3" t="n"/>
      <c r="L726" s="3" t="inlineStr">
        <is>
          <t>ធ្វើបច្ចុប្បន្នភាពលេខកូដកំហុស បរាជ័យ</t>
        </is>
      </c>
      <c r="M726" s="3" t="n"/>
      <c r="N726" s="3" t="inlineStr">
        <is>
          <t>"violationReport.errorDetail.editFailed": "",</t>
        </is>
      </c>
      <c r="O726" s="3" t="n"/>
      <c r="P726" s="3" t="n"/>
      <c r="Q726" s="3" t="n"/>
      <c r="R726" s="3" t="n"/>
      <c r="S726" s="3" t="n"/>
      <c r="T726" s="3" t="n"/>
      <c r="U726" s="3" t="n"/>
      <c r="V726" s="3" t="n"/>
      <c r="W726" s="3" t="n"/>
      <c r="X726" s="3" t="n"/>
      <c r="Y726" s="3" t="n"/>
      <c r="Z726" s="3" t="n"/>
      <c r="AA726" s="3" t="n"/>
    </row>
    <row r="727">
      <c r="A727" s="104" t="inlineStr">
        <is>
          <t>violationReport.errorHistory.errorCode</t>
        </is>
      </c>
      <c r="B727" s="104" t="inlineStr">
        <is>
          <t>Mã lỗi</t>
        </is>
      </c>
      <c r="C727" s="3" t="n"/>
      <c r="D727" s="3" t="n"/>
      <c r="E727" s="3" t="n"/>
      <c r="F727" s="3" t="n"/>
      <c r="G727" s="3" t="n"/>
      <c r="H727" s="3" t="inlineStr">
        <is>
          <t>លេខកូដកំហុស/បញ្ហា</t>
        </is>
      </c>
      <c r="I727" s="3" t="n"/>
      <c r="J727" s="3" t="n"/>
      <c r="K727" s="3" t="n"/>
      <c r="L727" s="3" t="inlineStr">
        <is>
          <t>លេខកូដកំហុស/បញ្ហា</t>
        </is>
      </c>
      <c r="M727" s="3" t="n"/>
      <c r="N727" s="3" t="inlineStr">
        <is>
          <t>"violationReport.errorHistory.errorCode": "",</t>
        </is>
      </c>
      <c r="O727" s="3" t="n"/>
      <c r="P727" s="3" t="n"/>
      <c r="Q727" s="3" t="n"/>
      <c r="R727" s="3" t="n"/>
      <c r="S727" s="3" t="n"/>
      <c r="T727" s="3" t="n"/>
      <c r="U727" s="3" t="n"/>
      <c r="V727" s="3" t="n"/>
      <c r="W727" s="3" t="n"/>
      <c r="X727" s="3" t="n"/>
      <c r="Y727" s="3" t="n"/>
      <c r="Z727" s="3" t="n"/>
      <c r="AA727" s="3" t="n"/>
    </row>
    <row r="728">
      <c r="A728" s="104" t="inlineStr">
        <is>
          <t>violationReport.errorHistory.errorDetail</t>
        </is>
      </c>
      <c r="B728" s="104" t="inlineStr">
        <is>
          <t>Chi tiết lỗi</t>
        </is>
      </c>
      <c r="C728" s="3" t="n"/>
      <c r="D728" s="3" t="n"/>
      <c r="E728" s="3" t="n"/>
      <c r="F728" s="3" t="n"/>
      <c r="G728" s="3" t="n"/>
      <c r="H728" s="3" t="inlineStr">
        <is>
          <t>ព័ត៌មានលម្អិតកំហុស</t>
        </is>
      </c>
      <c r="I728" s="3" t="n"/>
      <c r="J728" s="3" t="n"/>
      <c r="K728" s="3" t="n"/>
      <c r="L728" s="3" t="inlineStr">
        <is>
          <t>ព័ត៌មានលម្អិតកំហុស</t>
        </is>
      </c>
      <c r="M728" s="3" t="n"/>
      <c r="N728" s="3" t="inlineStr">
        <is>
          <t>"violationReport.errorHistory.errorDetail": "",</t>
        </is>
      </c>
      <c r="O728" s="3" t="n"/>
      <c r="P728" s="3" t="n"/>
      <c r="Q728" s="3" t="n"/>
      <c r="R728" s="3" t="n"/>
      <c r="S728" s="3" t="n"/>
      <c r="T728" s="3" t="n"/>
      <c r="U728" s="3" t="n"/>
      <c r="V728" s="3" t="n"/>
      <c r="W728" s="3" t="n"/>
      <c r="X728" s="3" t="n"/>
      <c r="Y728" s="3" t="n"/>
      <c r="Z728" s="3" t="n"/>
      <c r="AA728" s="3" t="n"/>
    </row>
    <row r="729">
      <c r="A729" s="104" t="inlineStr">
        <is>
          <t>violationReport.errorHistory.errorGroupName</t>
        </is>
      </c>
      <c r="B729" s="104" t="inlineStr">
        <is>
          <t>Tên nhóm lỗi</t>
        </is>
      </c>
      <c r="C729" s="3" t="n"/>
      <c r="D729" s="3" t="n"/>
      <c r="E729" s="3" t="n"/>
      <c r="F729" s="3" t="n"/>
      <c r="G729" s="3" t="n"/>
      <c r="H729" s="3" t="inlineStr">
        <is>
          <t>ឈ្មោះក្រុម កំហុស</t>
        </is>
      </c>
      <c r="I729" s="3" t="n"/>
      <c r="J729" s="3" t="n"/>
      <c r="K729" s="3" t="n"/>
      <c r="L729" s="3" t="inlineStr">
        <is>
          <t>ឈ្មោះក្រុម កំហុស</t>
        </is>
      </c>
      <c r="M729" s="3" t="n"/>
      <c r="N729" s="3" t="inlineStr">
        <is>
          <t>"violationReport.errorHistory.errorGroupName": "",</t>
        </is>
      </c>
      <c r="O729" s="3" t="n"/>
      <c r="P729" s="3" t="n"/>
      <c r="Q729" s="3" t="n"/>
      <c r="R729" s="3" t="n"/>
      <c r="S729" s="3" t="n"/>
      <c r="T729" s="3" t="n"/>
      <c r="U729" s="3" t="n"/>
      <c r="V729" s="3" t="n"/>
      <c r="W729" s="3" t="n"/>
      <c r="X729" s="3" t="n"/>
      <c r="Y729" s="3" t="n"/>
      <c r="Z729" s="3" t="n"/>
      <c r="AA729" s="3" t="n"/>
    </row>
    <row r="730">
      <c r="A730" s="104" t="inlineStr">
        <is>
          <t>violationReport.errorHistory.autoComplete</t>
        </is>
      </c>
      <c r="B730" s="104" t="inlineStr">
        <is>
          <t>Tự động hoàn thành</t>
        </is>
      </c>
      <c r="C730" s="3" t="n"/>
      <c r="D730" s="3" t="n"/>
      <c r="E730" s="3" t="n"/>
      <c r="F730" s="3" t="n"/>
      <c r="G730" s="3" t="n"/>
      <c r="H730" s="3" t="inlineStr">
        <is>
          <t>Tự động បានបញ្ចប់</t>
        </is>
      </c>
      <c r="I730" s="3" t="n"/>
      <c r="J730" s="3" t="n"/>
      <c r="K730" s="3" t="n"/>
      <c r="L730" s="3" t="inlineStr">
        <is>
          <t>Tự động បានបញ្ចប់</t>
        </is>
      </c>
      <c r="M730" s="3" t="n"/>
      <c r="N730" s="3" t="inlineStr">
        <is>
          <t>"violationReport.errorHistory.autoComplete": "",</t>
        </is>
      </c>
      <c r="O730" s="3" t="n"/>
      <c r="P730" s="3" t="n"/>
      <c r="Q730" s="3" t="n"/>
      <c r="R730" s="3" t="n"/>
      <c r="S730" s="3" t="n"/>
      <c r="T730" s="3" t="n"/>
      <c r="U730" s="3" t="n"/>
      <c r="V730" s="3" t="n"/>
      <c r="W730" s="3" t="n"/>
      <c r="X730" s="3" t="n"/>
      <c r="Y730" s="3" t="n"/>
      <c r="Z730" s="3" t="n"/>
      <c r="AA730" s="3" t="n"/>
    </row>
    <row r="731">
      <c r="A731" s="104" t="inlineStr">
        <is>
          <t>violationReport.errorHistory.createSingleRecord</t>
        </is>
      </c>
      <c r="B731" s="104" t="inlineStr">
        <is>
          <t>Tạo duy nhất 1 BB</t>
        </is>
      </c>
      <c r="C731" s="3" t="n"/>
      <c r="D731" s="3" t="n"/>
      <c r="E731" s="3" t="n"/>
      <c r="F731" s="3" t="n"/>
      <c r="G731" s="3" t="n"/>
      <c r="H731" s="3" t="inlineStr">
        <is>
          <t>បង្កើតduy nhất 1 BB</t>
        </is>
      </c>
      <c r="I731" s="3" t="n"/>
      <c r="J731" s="3" t="n"/>
      <c r="K731" s="3" t="n"/>
      <c r="L731" s="3" t="inlineStr">
        <is>
          <t>បង្កើតduy nhất 1 BB</t>
        </is>
      </c>
      <c r="M731" s="3" t="n"/>
      <c r="N731" s="3" t="inlineStr">
        <is>
          <t>"violationReport.errorHistory.createSingleRecord": "",</t>
        </is>
      </c>
      <c r="O731" s="3" t="n"/>
      <c r="P731" s="3" t="n"/>
      <c r="Q731" s="3" t="n"/>
      <c r="R731" s="3" t="n"/>
      <c r="S731" s="3" t="n"/>
      <c r="T731" s="3" t="n"/>
      <c r="U731" s="3" t="n"/>
      <c r="V731" s="3" t="n"/>
      <c r="W731" s="3" t="n"/>
      <c r="X731" s="3" t="n"/>
      <c r="Y731" s="3" t="n"/>
      <c r="Z731" s="3" t="n"/>
      <c r="AA731" s="3" t="n"/>
    </row>
    <row r="732">
      <c r="A732" s="104" t="inlineStr">
        <is>
          <t>violationReport.errorHistory.compensation</t>
        </is>
      </c>
      <c r="B732" s="104" t="inlineStr">
        <is>
          <t>Bồi thường</t>
        </is>
      </c>
      <c r="C732" s="3" t="n"/>
      <c r="D732" s="3" t="n"/>
      <c r="E732" s="3" t="n"/>
      <c r="F732" s="3" t="n"/>
      <c r="G732" s="3" t="n"/>
      <c r="H732" s="3" t="inlineStr">
        <is>
          <t>សំណង</t>
        </is>
      </c>
      <c r="I732" s="3" t="n"/>
      <c r="J732" s="3" t="n"/>
      <c r="K732" s="3" t="n"/>
      <c r="L732" s="3" t="inlineStr">
        <is>
          <t>សំណង</t>
        </is>
      </c>
      <c r="M732" s="3" t="n"/>
      <c r="N732" s="3" t="inlineStr">
        <is>
          <t>"violationReport.errorHistory.compensation": "",</t>
        </is>
      </c>
      <c r="O732" s="3" t="n"/>
      <c r="P732" s="3" t="n"/>
      <c r="Q732" s="3" t="n"/>
      <c r="R732" s="3" t="n"/>
      <c r="S732" s="3" t="n"/>
      <c r="T732" s="3" t="n"/>
      <c r="U732" s="3" t="n"/>
      <c r="V732" s="3" t="n"/>
      <c r="W732" s="3" t="n"/>
      <c r="X732" s="3" t="n"/>
      <c r="Y732" s="3" t="n"/>
      <c r="Z732" s="3" t="n"/>
      <c r="AA732" s="3" t="n"/>
    </row>
    <row r="733">
      <c r="A733" s="104" t="inlineStr">
        <is>
          <t>violationReport.errorHistory.confirmHour</t>
        </is>
      </c>
      <c r="B733" s="104" t="inlineStr">
        <is>
          <t>Thời gian xác nhận đúng, sai (h)</t>
        </is>
      </c>
      <c r="C733" s="3" t="n"/>
      <c r="D733" s="3" t="n"/>
      <c r="E733" s="3" t="n"/>
      <c r="F733" s="3" t="n"/>
      <c r="G733" s="3" t="n"/>
      <c r="H733" s="3" t="inlineStr">
        <is>
          <t>ពេលវេលាបញ្ជាក់ đúng, sai (h)</t>
        </is>
      </c>
      <c r="I733" s="3" t="n"/>
      <c r="J733" s="3" t="n"/>
      <c r="K733" s="3" t="n"/>
      <c r="L733" s="3" t="inlineStr">
        <is>
          <t>ពេលវេលាបញ្ជាក់ đúng, sai (h)</t>
        </is>
      </c>
      <c r="M733" s="3" t="n"/>
      <c r="N733" s="3" t="inlineStr">
        <is>
          <t>"violationReport.errorHistory.confirmHour": "",</t>
        </is>
      </c>
      <c r="O733" s="3" t="n"/>
      <c r="P733" s="3" t="n"/>
      <c r="Q733" s="3" t="n"/>
      <c r="R733" s="3" t="n"/>
      <c r="S733" s="3" t="n"/>
      <c r="T733" s="3" t="n"/>
      <c r="U733" s="3" t="n"/>
      <c r="V733" s="3" t="n"/>
      <c r="W733" s="3" t="n"/>
      <c r="X733" s="3" t="n"/>
      <c r="Y733" s="3" t="n"/>
      <c r="Z733" s="3" t="n"/>
      <c r="AA733" s="3" t="n"/>
    </row>
    <row r="734">
      <c r="A734" s="104" t="inlineStr">
        <is>
          <t>violationReport.errorHistory.conclusionHour</t>
        </is>
      </c>
      <c r="B734" s="104" t="inlineStr">
        <is>
          <t>Thời gian TTVH kết luận (h)</t>
        </is>
      </c>
      <c r="C734" s="3" t="n"/>
      <c r="D734" s="3" t="n"/>
      <c r="E734" s="3" t="n"/>
      <c r="F734" s="3" t="n"/>
      <c r="G734" s="3" t="n"/>
      <c r="H734" s="3" t="inlineStr">
        <is>
          <t>ពេលវេលាTTVH kết luận (h)</t>
        </is>
      </c>
      <c r="I734" s="3" t="n"/>
      <c r="J734" s="3" t="n"/>
      <c r="K734" s="3" t="n"/>
      <c r="L734" s="3" t="inlineStr">
        <is>
          <t>ពេលវេលាTTVH kết luận (h)</t>
        </is>
      </c>
      <c r="M734" s="3" t="n"/>
      <c r="N734" s="3" t="inlineStr">
        <is>
          <t>"violationReport.errorHistory.conclusionHour": "",</t>
        </is>
      </c>
      <c r="O734" s="3" t="n"/>
      <c r="P734" s="3" t="n"/>
      <c r="Q734" s="3" t="n"/>
      <c r="R734" s="3" t="n"/>
      <c r="S734" s="3" t="n"/>
      <c r="T734" s="3" t="n"/>
      <c r="U734" s="3" t="n"/>
      <c r="V734" s="3" t="n"/>
      <c r="W734" s="3" t="n"/>
      <c r="X734" s="3" t="n"/>
      <c r="Y734" s="3" t="n"/>
      <c r="Z734" s="3" t="n"/>
      <c r="AA734" s="3" t="n"/>
    </row>
    <row r="735">
      <c r="A735" s="104" t="inlineStr">
        <is>
          <t>violationReport.errorHistory.personalPenaltyPoint</t>
        </is>
      </c>
      <c r="B735" s="104" t="inlineStr">
        <is>
          <t>Điểm phạt cá nhân</t>
        </is>
      </c>
      <c r="C735" s="3" t="n"/>
      <c r="D735" s="3" t="n"/>
      <c r="E735" s="3" t="n"/>
      <c r="F735" s="3" t="n"/>
      <c r="G735" s="3" t="n"/>
      <c r="H735" s="3" t="inlineStr">
        <is>
          <t>ពិន្ទុពិន័យបុគ្គល</t>
        </is>
      </c>
      <c r="I735" s="3" t="n"/>
      <c r="J735" s="3" t="n"/>
      <c r="K735" s="3" t="n"/>
      <c r="L735" s="3" t="inlineStr">
        <is>
          <t>ពិន្ទុពិន័យបុគ្គល</t>
        </is>
      </c>
      <c r="M735" s="3" t="n"/>
      <c r="N735" s="3" t="inlineStr">
        <is>
          <t>"violationReport.errorHistory.personalPenaltyPoint": "",</t>
        </is>
      </c>
      <c r="O735" s="3" t="n"/>
      <c r="P735" s="3" t="n"/>
      <c r="Q735" s="3" t="n"/>
      <c r="R735" s="3" t="n"/>
      <c r="S735" s="3" t="n"/>
      <c r="T735" s="3" t="n"/>
      <c r="U735" s="3" t="n"/>
      <c r="V735" s="3" t="n"/>
      <c r="W735" s="3" t="n"/>
      <c r="X735" s="3" t="n"/>
      <c r="Y735" s="3" t="n"/>
      <c r="Z735" s="3" t="n"/>
      <c r="AA735" s="3" t="n"/>
    </row>
    <row r="736">
      <c r="A736" s="104" t="inlineStr">
        <is>
          <t>violationReport.errorHistory.compensationUnitLak</t>
        </is>
      </c>
      <c r="B736" s="104" t="inlineStr">
        <is>
          <t>Đơn vị tiền/điểm</t>
        </is>
      </c>
      <c r="C736" s="3" t="n"/>
      <c r="D736" s="3" t="n"/>
      <c r="E736" s="3" t="n"/>
      <c r="F736" s="3" t="n"/>
      <c r="G736" s="3" t="n"/>
      <c r="H736" s="3" t="inlineStr">
        <is>
          <t>បញ្ញើ vị tiền/điểm</t>
        </is>
      </c>
      <c r="I736" s="3" t="n"/>
      <c r="J736" s="3" t="n"/>
      <c r="K736" s="3" t="n"/>
      <c r="L736" s="3" t="inlineStr">
        <is>
          <t>បញ្ញើ vị tiền/điểm</t>
        </is>
      </c>
      <c r="M736" s="3" t="n"/>
      <c r="N736" s="3" t="inlineStr">
        <is>
          <t>"violationReport.errorHistory.compensationUnitLak": "",</t>
        </is>
      </c>
      <c r="O736" s="3" t="n"/>
      <c r="P736" s="3" t="n"/>
      <c r="Q736" s="3" t="n"/>
      <c r="R736" s="3" t="n"/>
      <c r="S736" s="3" t="n"/>
      <c r="T736" s="3" t="n"/>
      <c r="U736" s="3" t="n"/>
      <c r="V736" s="3" t="n"/>
      <c r="W736" s="3" t="n"/>
      <c r="X736" s="3" t="n"/>
      <c r="Y736" s="3" t="n"/>
      <c r="Z736" s="3" t="n"/>
      <c r="AA736" s="3" t="n"/>
    </row>
    <row r="737">
      <c r="A737" s="104" t="inlineStr">
        <is>
          <t>violationReport.errorHistory.unitManagerPenaltyPoint</t>
        </is>
      </c>
      <c r="B737" s="104" t="inlineStr">
        <is>
          <t>Điểm phạt trưởng đơn vị</t>
        </is>
      </c>
      <c r="C737" s="3" t="n"/>
      <c r="D737" s="3" t="n"/>
      <c r="E737" s="3" t="n"/>
      <c r="F737" s="3" t="n"/>
      <c r="G737" s="3" t="n"/>
      <c r="H737" s="3" t="inlineStr">
        <is>
          <t>Điểm phạt trưởng បញ្ញើ vị</t>
        </is>
      </c>
      <c r="I737" s="3" t="n"/>
      <c r="J737" s="3" t="n"/>
      <c r="K737" s="3" t="n"/>
      <c r="L737" s="3" t="inlineStr">
        <is>
          <t>Điểm phạt trưởng បញ្ញើ vị</t>
        </is>
      </c>
      <c r="M737" s="3" t="n"/>
      <c r="N737" s="3" t="inlineStr">
        <is>
          <t>"violationReport.errorHistory.unitManagerPenaltyPoint": "",</t>
        </is>
      </c>
      <c r="O737" s="3" t="n"/>
      <c r="P737" s="3" t="n"/>
      <c r="Q737" s="3" t="n"/>
      <c r="R737" s="3" t="n"/>
      <c r="S737" s="3" t="n"/>
      <c r="T737" s="3" t="n"/>
      <c r="U737" s="3" t="n"/>
      <c r="V737" s="3" t="n"/>
      <c r="W737" s="3" t="n"/>
      <c r="X737" s="3" t="n"/>
      <c r="Y737" s="3" t="n"/>
      <c r="Z737" s="3" t="n"/>
      <c r="AA737" s="3" t="n"/>
    </row>
    <row r="738">
      <c r="A738" s="104" t="inlineStr">
        <is>
          <t>violationReport.errorHistory.postOfficeDeductionPoint</t>
        </is>
      </c>
      <c r="B738" s="104" t="inlineStr">
        <is>
          <t>Điểm trừ bưu cục</t>
        </is>
      </c>
      <c r="C738" s="3" t="n"/>
      <c r="D738" s="3" t="n"/>
      <c r="E738" s="3" t="n"/>
      <c r="F738" s="3" t="n"/>
      <c r="G738" s="3" t="n"/>
      <c r="H738" s="3" t="inlineStr">
        <is>
          <t>Điểm trừ ការិយាល័យប្រៃសណីយ៍</t>
        </is>
      </c>
      <c r="I738" s="3" t="n"/>
      <c r="J738" s="3" t="n"/>
      <c r="K738" s="3" t="n"/>
      <c r="L738" s="3" t="inlineStr">
        <is>
          <t>Điểm trừ ការិយាល័យប្រៃសណីយ៍</t>
        </is>
      </c>
      <c r="M738" s="3" t="n"/>
      <c r="N738" s="3" t="inlineStr">
        <is>
          <t>"violationReport.errorHistory.postOfficeDeductionPoint": "",</t>
        </is>
      </c>
      <c r="O738" s="3" t="n"/>
      <c r="P738" s="3" t="n"/>
      <c r="Q738" s="3" t="n"/>
      <c r="R738" s="3" t="n"/>
      <c r="S738" s="3" t="n"/>
      <c r="T738" s="3" t="n"/>
      <c r="U738" s="3" t="n"/>
      <c r="V738" s="3" t="n"/>
      <c r="W738" s="3" t="n"/>
      <c r="X738" s="3" t="n"/>
      <c r="Y738" s="3" t="n"/>
      <c r="Z738" s="3" t="n"/>
      <c r="AA738" s="3" t="n"/>
    </row>
    <row r="739">
      <c r="A739" s="104" t="inlineStr">
        <is>
          <t>violationReport.errorHistory.updatedBy</t>
        </is>
      </c>
      <c r="B739" s="104" t="inlineStr">
        <is>
          <t>Người sửa</t>
        </is>
      </c>
      <c r="C739" s="3" t="n"/>
      <c r="D739" s="3" t="n"/>
      <c r="E739" s="3" t="n"/>
      <c r="F739" s="3" t="n"/>
      <c r="G739" s="3" t="n"/>
      <c r="H739" s="3" t="inlineStr">
        <is>
          <t>អ្នកកែប្រែ</t>
        </is>
      </c>
      <c r="I739" s="3" t="n"/>
      <c r="J739" s="3" t="n"/>
      <c r="K739" s="3" t="n"/>
      <c r="L739" s="3" t="inlineStr">
        <is>
          <t>អ្នកកែប្រែ</t>
        </is>
      </c>
      <c r="M739" s="3" t="n"/>
      <c r="N739" s="3" t="inlineStr">
        <is>
          <t>"violationReport.errorHistory.updatedBy": "",</t>
        </is>
      </c>
      <c r="O739" s="3" t="n"/>
      <c r="P739" s="3" t="n"/>
      <c r="Q739" s="3" t="n"/>
      <c r="R739" s="3" t="n"/>
      <c r="S739" s="3" t="n"/>
      <c r="T739" s="3" t="n"/>
      <c r="U739" s="3" t="n"/>
      <c r="V739" s="3" t="n"/>
      <c r="W739" s="3" t="n"/>
      <c r="X739" s="3" t="n"/>
      <c r="Y739" s="3" t="n"/>
      <c r="Z739" s="3" t="n"/>
      <c r="AA739" s="3" t="n"/>
    </row>
    <row r="740">
      <c r="A740" s="104" t="inlineStr">
        <is>
          <t>violationReport.errorHistory.updatedAt</t>
        </is>
      </c>
      <c r="B740" s="104" t="inlineStr">
        <is>
          <t>Ngày sửa</t>
        </is>
      </c>
      <c r="C740" s="3" t="n"/>
      <c r="D740" s="3" t="n"/>
      <c r="E740" s="3" t="n"/>
      <c r="F740" s="3" t="n"/>
      <c r="G740" s="3" t="n"/>
      <c r="H740" s="3" t="inlineStr">
        <is>
          <t>កាលបរិច្ឆេទsửa</t>
        </is>
      </c>
      <c r="I740" s="3" t="n"/>
      <c r="J740" s="3" t="n"/>
      <c r="K740" s="3" t="n"/>
      <c r="L740" s="3" t="inlineStr">
        <is>
          <t>កាលបរិច្ឆេទsửa</t>
        </is>
      </c>
      <c r="M740" s="3" t="n"/>
      <c r="N740" s="3" t="inlineStr">
        <is>
          <t>"violationReport.errorHistory.updatedAt": "",</t>
        </is>
      </c>
      <c r="O740" s="3" t="n"/>
      <c r="P740" s="3" t="n"/>
      <c r="Q740" s="3" t="n"/>
      <c r="R740" s="3" t="n"/>
      <c r="S740" s="3" t="n"/>
      <c r="T740" s="3" t="n"/>
      <c r="U740" s="3" t="n"/>
      <c r="V740" s="3" t="n"/>
      <c r="W740" s="3" t="n"/>
      <c r="X740" s="3" t="n"/>
      <c r="Y740" s="3" t="n"/>
      <c r="Z740" s="3" t="n"/>
      <c r="AA740" s="3" t="n"/>
    </row>
    <row r="741">
      <c r="A741" s="104" t="inlineStr">
        <is>
          <t>violationReportConclude.errorTitle</t>
        </is>
      </c>
      <c r="B741" s="104" t="inlineStr">
        <is>
          <t>Lỗi</t>
        </is>
      </c>
      <c r="C741" s="3" t="n"/>
      <c r="D741" s="3" t="n"/>
      <c r="E741" s="3" t="n"/>
      <c r="F741" s="3" t="n"/>
      <c r="G741" s="3" t="n"/>
      <c r="H741" s="3" t="inlineStr">
        <is>
          <t>កំហុស</t>
        </is>
      </c>
      <c r="I741" s="3" t="n"/>
      <c r="J741" s="3" t="n"/>
      <c r="K741" s="3" t="n"/>
      <c r="L741" s="3" t="inlineStr">
        <is>
          <t>កំហុស</t>
        </is>
      </c>
      <c r="M741" s="3" t="n"/>
      <c r="N741" s="3" t="inlineStr">
        <is>
          <t>"violationReportConclude.errorTitle": "",</t>
        </is>
      </c>
      <c r="O741" s="3" t="n"/>
      <c r="P741" s="3" t="n"/>
      <c r="Q741" s="3" t="n"/>
      <c r="R741" s="3" t="n"/>
      <c r="S741" s="3" t="n"/>
      <c r="T741" s="3" t="n"/>
      <c r="U741" s="3" t="n"/>
      <c r="V741" s="3" t="n"/>
      <c r="W741" s="3" t="n"/>
      <c r="X741" s="3" t="n"/>
      <c r="Y741" s="3" t="n"/>
      <c r="Z741" s="3" t="n"/>
      <c r="AA741" s="3" t="n"/>
    </row>
    <row r="742">
      <c r="A742" s="104" t="inlineStr">
        <is>
          <t>violationReportConclude.status.all</t>
        </is>
      </c>
      <c r="B742" s="104" t="inlineStr">
        <is>
          <t>Tất cả</t>
        </is>
      </c>
      <c r="C742" s="3" t="n"/>
      <c r="D742" s="3" t="n"/>
      <c r="E742" s="3" t="n"/>
      <c r="F742" s="3" t="n"/>
      <c r="G742" s="3" t="n"/>
      <c r="H742" s="3" t="inlineStr">
        <is>
          <t>ទាំងអស់</t>
        </is>
      </c>
      <c r="I742" s="3" t="n"/>
      <c r="J742" s="3" t="n"/>
      <c r="K742" s="3" t="n"/>
      <c r="L742" s="3" t="inlineStr">
        <is>
          <t>ទាំងអស់</t>
        </is>
      </c>
      <c r="M742" s="3" t="n"/>
      <c r="N742" s="3" t="inlineStr">
        <is>
          <t>"violationReportConclude.status.all": "",</t>
        </is>
      </c>
      <c r="O742" s="3" t="n"/>
      <c r="P742" s="3" t="n"/>
      <c r="Q742" s="3" t="n"/>
      <c r="R742" s="3" t="n"/>
      <c r="S742" s="3" t="n"/>
      <c r="T742" s="3" t="n"/>
      <c r="U742" s="3" t="n"/>
      <c r="V742" s="3" t="n"/>
      <c r="W742" s="3" t="n"/>
      <c r="X742" s="3" t="n"/>
      <c r="Y742" s="3" t="n"/>
      <c r="Z742" s="3" t="n"/>
      <c r="AA742" s="3" t="n"/>
    </row>
    <row r="743">
      <c r="A743" s="104" t="inlineStr">
        <is>
          <t>violationReportConclude.status.not_explained</t>
        </is>
      </c>
      <c r="B743" s="104" t="inlineStr">
        <is>
          <t>Chưa giải trình</t>
        </is>
      </c>
      <c r="C743" s="3" t="n"/>
      <c r="D743" s="3" t="n"/>
      <c r="E743" s="3" t="n"/>
      <c r="F743" s="3" t="n"/>
      <c r="G743" s="3" t="n"/>
      <c r="H743" s="3" t="inlineStr">
        <is>
          <t>មិនទាន់បំភ្លឺ/បកស្រាយ</t>
        </is>
      </c>
      <c r="I743" s="3" t="n"/>
      <c r="J743" s="3" t="n"/>
      <c r="K743" s="3" t="n"/>
      <c r="L743" s="3" t="inlineStr">
        <is>
          <t>មិនទាន់បំភ្លឺ/បកស្រាយ</t>
        </is>
      </c>
      <c r="M743" s="3" t="n"/>
      <c r="N743" s="3" t="inlineStr">
        <is>
          <t>"violationReportConclude.status.not_explained": "",</t>
        </is>
      </c>
      <c r="O743" s="3" t="n"/>
      <c r="P743" s="3" t="n"/>
      <c r="Q743" s="3" t="n"/>
      <c r="R743" s="3" t="n"/>
      <c r="S743" s="3" t="n"/>
      <c r="T743" s="3" t="n"/>
      <c r="U743" s="3" t="n"/>
      <c r="V743" s="3" t="n"/>
      <c r="W743" s="3" t="n"/>
      <c r="X743" s="3" t="n"/>
      <c r="Y743" s="3" t="n"/>
      <c r="Z743" s="3" t="n"/>
      <c r="AA743" s="3" t="n"/>
    </row>
    <row r="744">
      <c r="A744" s="104" t="inlineStr">
        <is>
          <t>violationReportConclude.status.closed</t>
        </is>
      </c>
      <c r="B744" s="104" t="inlineStr">
        <is>
          <t>Đóng biên bản</t>
        </is>
      </c>
      <c r="C744" s="3" t="n"/>
      <c r="D744" s="3" t="n"/>
      <c r="E744" s="3" t="n"/>
      <c r="F744" s="3" t="n"/>
      <c r="G744" s="3" t="n"/>
      <c r="H744" s="3" t="inlineStr">
        <is>
          <t>Đóng កំណត់ហេតុ</t>
        </is>
      </c>
      <c r="I744" s="3" t="n"/>
      <c r="J744" s="3" t="n"/>
      <c r="K744" s="3" t="n"/>
      <c r="L744" s="3" t="inlineStr">
        <is>
          <t>Đóng កំណត់ហេតុ</t>
        </is>
      </c>
      <c r="M744" s="3" t="n"/>
      <c r="N744" s="3" t="inlineStr">
        <is>
          <t>"violationReportConclude.status.closed": "",</t>
        </is>
      </c>
      <c r="O744" s="3" t="n"/>
      <c r="P744" s="3" t="n"/>
      <c r="Q744" s="3" t="n"/>
      <c r="R744" s="3" t="n"/>
      <c r="S744" s="3" t="n"/>
      <c r="T744" s="3" t="n"/>
      <c r="U744" s="3" t="n"/>
      <c r="V744" s="3" t="n"/>
      <c r="W744" s="3" t="n"/>
      <c r="X744" s="3" t="n"/>
      <c r="Y744" s="3" t="n"/>
      <c r="Z744" s="3" t="n"/>
      <c r="AA744" s="3" t="n"/>
    </row>
    <row r="745">
      <c r="A745" s="104" t="inlineStr">
        <is>
          <t>violationReportConclude.status.incorrect</t>
        </is>
      </c>
      <c r="B745" s="104" t="inlineStr">
        <is>
          <t>Lập sai</t>
        </is>
      </c>
      <c r="C745" s="3" t="n"/>
      <c r="D745" s="3" t="n"/>
      <c r="E745" s="3" t="n"/>
      <c r="F745" s="3" t="n"/>
      <c r="G745" s="3" t="n"/>
      <c r="H745" s="3" t="inlineStr">
        <is>
          <t>បង្កើតខុស</t>
        </is>
      </c>
      <c r="I745" s="3" t="n"/>
      <c r="J745" s="3" t="n"/>
      <c r="K745" s="3" t="n"/>
      <c r="L745" s="3" t="inlineStr">
        <is>
          <t>បង្កើតខុស</t>
        </is>
      </c>
      <c r="M745" s="3" t="n"/>
      <c r="N745" s="3" t="inlineStr">
        <is>
          <t>"violationReportConclude.status.incorrect": "",</t>
        </is>
      </c>
      <c r="O745" s="3" t="n"/>
      <c r="P745" s="3" t="n"/>
      <c r="Q745" s="3" t="n"/>
      <c r="R745" s="3" t="n"/>
      <c r="S745" s="3" t="n"/>
      <c r="T745" s="3" t="n"/>
      <c r="U745" s="3" t="n"/>
      <c r="V745" s="3" t="n"/>
      <c r="W745" s="3" t="n"/>
      <c r="X745" s="3" t="n"/>
      <c r="Y745" s="3" t="n"/>
      <c r="Z745" s="3" t="n"/>
      <c r="AA745" s="3" t="n"/>
    </row>
    <row r="746">
      <c r="A746" s="104" t="inlineStr">
        <is>
          <t>violationReportConclude.status.opinion</t>
        </is>
      </c>
      <c r="B746" s="104" t="inlineStr">
        <is>
          <t>BB ý kiến</t>
        </is>
      </c>
      <c r="C746" s="3" t="n"/>
      <c r="D746" s="3" t="n"/>
      <c r="E746" s="3" t="n"/>
      <c r="F746" s="3" t="n"/>
      <c r="G746" s="3" t="n"/>
      <c r="H746" s="3" t="inlineStr">
        <is>
          <t>កំណត់ហេតុផ្តល់មតិ</t>
        </is>
      </c>
      <c r="I746" s="3" t="n"/>
      <c r="J746" s="3" t="n"/>
      <c r="K746" s="3" t="n"/>
      <c r="L746" s="3" t="inlineStr">
        <is>
          <t>កំណត់ហេតុផ្តល់មតិ</t>
        </is>
      </c>
      <c r="M746" s="3" t="n"/>
      <c r="N746" s="3" t="inlineStr">
        <is>
          <t>"violationReportConclude.status.opinion": "",</t>
        </is>
      </c>
      <c r="O746" s="3" t="n"/>
      <c r="P746" s="3" t="n"/>
      <c r="Q746" s="3" t="n"/>
      <c r="R746" s="3" t="n"/>
      <c r="S746" s="3" t="n"/>
      <c r="T746" s="3" t="n"/>
      <c r="U746" s="3" t="n"/>
      <c r="V746" s="3" t="n"/>
      <c r="W746" s="3" t="n"/>
      <c r="X746" s="3" t="n"/>
      <c r="Y746" s="3" t="n"/>
      <c r="Z746" s="3" t="n"/>
      <c r="AA746" s="3" t="n"/>
    </row>
    <row r="747">
      <c r="A747" s="104" t="inlineStr">
        <is>
          <t>violationReportConclude.status.cancelled</t>
        </is>
      </c>
      <c r="B747" s="104" t="inlineStr">
        <is>
          <t>Hủy</t>
        </is>
      </c>
      <c r="C747" s="3" t="n"/>
      <c r="D747" s="3" t="n"/>
      <c r="E747" s="3" t="n"/>
      <c r="F747" s="3" t="n"/>
      <c r="G747" s="3" t="n"/>
      <c r="H747" s="3" t="inlineStr">
        <is>
          <t>លុបចោល</t>
        </is>
      </c>
      <c r="I747" s="3" t="n"/>
      <c r="J747" s="3" t="n"/>
      <c r="K747" s="3" t="n"/>
      <c r="L747" s="3" t="inlineStr">
        <is>
          <t>លុបចោល</t>
        </is>
      </c>
      <c r="M747" s="3" t="n"/>
      <c r="N747" s="3" t="inlineStr">
        <is>
          <t>"violationReportConclude.status.cancelled": "",</t>
        </is>
      </c>
      <c r="O747" s="3" t="n"/>
      <c r="P747" s="3" t="n"/>
      <c r="Q747" s="3" t="n"/>
      <c r="R747" s="3" t="n"/>
      <c r="S747" s="3" t="n"/>
      <c r="T747" s="3" t="n"/>
      <c r="U747" s="3" t="n"/>
      <c r="V747" s="3" t="n"/>
      <c r="W747" s="3" t="n"/>
      <c r="X747" s="3" t="n"/>
      <c r="Y747" s="3" t="n"/>
      <c r="Z747" s="3" t="n"/>
      <c r="AA747" s="3" t="n"/>
    </row>
    <row r="748">
      <c r="A748" s="104" t="inlineStr">
        <is>
          <t>violationReportConclude.status.completed</t>
        </is>
      </c>
      <c r="B748" s="104" t="inlineStr">
        <is>
          <t>Hoàn thành</t>
        </is>
      </c>
      <c r="C748" s="3" t="n"/>
      <c r="D748" s="3" t="n"/>
      <c r="E748" s="3" t="n"/>
      <c r="F748" s="3" t="n"/>
      <c r="G748" s="3" t="n"/>
      <c r="H748" s="3" t="inlineStr">
        <is>
          <t>បានបញ្ចប់</t>
        </is>
      </c>
      <c r="I748" s="3" t="n"/>
      <c r="J748" s="3" t="n"/>
      <c r="K748" s="3" t="n"/>
      <c r="L748" s="3" t="inlineStr">
        <is>
          <t>បានបញ្ចប់</t>
        </is>
      </c>
      <c r="M748" s="3" t="n"/>
      <c r="N748" s="3" t="inlineStr">
        <is>
          <t>"violationReportConclude.status.completed": "",</t>
        </is>
      </c>
      <c r="O748" s="3" t="n"/>
      <c r="P748" s="3" t="n"/>
      <c r="Q748" s="3" t="n"/>
      <c r="R748" s="3" t="n"/>
      <c r="S748" s="3" t="n"/>
      <c r="T748" s="3" t="n"/>
      <c r="U748" s="3" t="n"/>
      <c r="V748" s="3" t="n"/>
      <c r="W748" s="3" t="n"/>
      <c r="X748" s="3" t="n"/>
      <c r="Y748" s="3" t="n"/>
      <c r="Z748" s="3" t="n"/>
      <c r="AA748" s="3" t="n"/>
    </row>
    <row r="749">
      <c r="A749" s="104" t="inlineStr">
        <is>
          <t>violationReportConclude.status.compensating</t>
        </is>
      </c>
      <c r="B749" s="104" t="inlineStr">
        <is>
          <t>Đang bồi thường</t>
        </is>
      </c>
      <c r="C749" s="3" t="n"/>
      <c r="D749" s="3" t="n"/>
      <c r="E749" s="3" t="n"/>
      <c r="F749" s="3" t="n"/>
      <c r="G749" s="3" t="n"/>
      <c r="H749" s="3" t="inlineStr">
        <is>
          <t>កំពុងដំណើរការសំណង</t>
        </is>
      </c>
      <c r="I749" s="3" t="n"/>
      <c r="J749" s="3" t="n"/>
      <c r="K749" s="3" t="n"/>
      <c r="L749" s="3" t="inlineStr">
        <is>
          <t>កំពុងដំណើរការសំណង</t>
        </is>
      </c>
      <c r="M749" s="3" t="n"/>
      <c r="N749" s="3" t="inlineStr">
        <is>
          <t>"violationReportConclude.status.compensating": "",</t>
        </is>
      </c>
      <c r="O749" s="3" t="n"/>
      <c r="P749" s="3" t="n"/>
      <c r="Q749" s="3" t="n"/>
      <c r="R749" s="3" t="n"/>
      <c r="S749" s="3" t="n"/>
      <c r="T749" s="3" t="n"/>
      <c r="U749" s="3" t="n"/>
      <c r="V749" s="3" t="n"/>
      <c r="W749" s="3" t="n"/>
      <c r="X749" s="3" t="n"/>
      <c r="Y749" s="3" t="n"/>
      <c r="Z749" s="3" t="n"/>
      <c r="AA749" s="3" t="n"/>
    </row>
    <row r="750">
      <c r="A750" s="104" t="inlineStr">
        <is>
          <t>violationReportConclude.status.compensated</t>
        </is>
      </c>
      <c r="B750" s="104" t="inlineStr">
        <is>
          <t>Đã bồi thường</t>
        </is>
      </c>
      <c r="C750" s="3" t="n"/>
      <c r="D750" s="3" t="n"/>
      <c r="E750" s="3" t="n"/>
      <c r="F750" s="3" t="n"/>
      <c r="G750" s="3" t="n"/>
      <c r="H750" s="3" t="inlineStr">
        <is>
          <t>បានទូទាត់សំណងរួចរាល់</t>
        </is>
      </c>
      <c r="I750" s="3" t="n"/>
      <c r="J750" s="3" t="n"/>
      <c r="K750" s="3" t="n"/>
      <c r="L750" s="3" t="inlineStr">
        <is>
          <t>បានទូទាត់សំណងរួចរាល់</t>
        </is>
      </c>
      <c r="M750" s="3" t="n"/>
      <c r="N750" s="3" t="inlineStr">
        <is>
          <t>"violationReportConclude.status.compensated": "",</t>
        </is>
      </c>
      <c r="O750" s="3" t="n"/>
      <c r="P750" s="3" t="n"/>
      <c r="Q750" s="3" t="n"/>
      <c r="R750" s="3" t="n"/>
      <c r="S750" s="3" t="n"/>
      <c r="T750" s="3" t="n"/>
      <c r="U750" s="3" t="n"/>
      <c r="V750" s="3" t="n"/>
      <c r="W750" s="3" t="n"/>
      <c r="X750" s="3" t="n"/>
      <c r="Y750" s="3" t="n"/>
      <c r="Z750" s="3" t="n"/>
      <c r="AA750" s="3" t="n"/>
    </row>
    <row r="751">
      <c r="A751" s="104" t="inlineStr">
        <is>
          <t>violationReportConclude.status.compensation_cancelled</t>
        </is>
      </c>
      <c r="B751" s="104" t="inlineStr">
        <is>
          <t>Hủy bồi thường</t>
        </is>
      </c>
      <c r="C751" s="3" t="n"/>
      <c r="D751" s="3" t="n"/>
      <c r="E751" s="3" t="n"/>
      <c r="F751" s="3" t="n"/>
      <c r="G751" s="3" t="n"/>
      <c r="H751" s="3" t="inlineStr">
        <is>
          <t>លុបចោល សំណង</t>
        </is>
      </c>
      <c r="I751" s="3" t="n"/>
      <c r="J751" s="3" t="n"/>
      <c r="K751" s="3" t="n"/>
      <c r="L751" s="3" t="inlineStr">
        <is>
          <t>លុបចោល សំណង</t>
        </is>
      </c>
      <c r="M751" s="3" t="n"/>
      <c r="N751" s="3" t="inlineStr">
        <is>
          <t>"violationReportConclude.status.compensation_cancelled": "",</t>
        </is>
      </c>
      <c r="O751" s="3" t="n"/>
      <c r="P751" s="3" t="n"/>
      <c r="Q751" s="3" t="n"/>
      <c r="R751" s="3" t="n"/>
      <c r="S751" s="3" t="n"/>
      <c r="T751" s="3" t="n"/>
      <c r="U751" s="3" t="n"/>
      <c r="V751" s="3" t="n"/>
      <c r="W751" s="3" t="n"/>
      <c r="X751" s="3" t="n"/>
      <c r="Y751" s="3" t="n"/>
      <c r="Z751" s="3" t="n"/>
      <c r="AA751" s="3" t="n"/>
    </row>
    <row r="752">
      <c r="A752" s="104" t="inlineStr">
        <is>
          <t>violationReportConclude.opinion</t>
        </is>
      </c>
      <c r="B752" s="104" t="inlineStr">
        <is>
          <t>Ý kiến</t>
        </is>
      </c>
      <c r="C752" s="3" t="n"/>
      <c r="D752" s="3" t="n"/>
      <c r="E752" s="3" t="n"/>
      <c r="F752" s="3" t="n"/>
      <c r="G752" s="3" t="n"/>
      <c r="H752" s="3" t="inlineStr">
        <is>
          <t>មតិយោបល់</t>
        </is>
      </c>
      <c r="I752" s="3" t="n"/>
      <c r="J752" s="3" t="n"/>
      <c r="K752" s="3" t="n"/>
      <c r="L752" s="3" t="inlineStr">
        <is>
          <t>មតិយោបល់</t>
        </is>
      </c>
      <c r="M752" s="3" t="n"/>
      <c r="N752" s="3" t="inlineStr">
        <is>
          <t>"violationReportConclude.opinion": "",</t>
        </is>
      </c>
      <c r="O752" s="3" t="n"/>
      <c r="P752" s="3" t="n"/>
      <c r="Q752" s="3" t="n"/>
      <c r="R752" s="3" t="n"/>
      <c r="S752" s="3" t="n"/>
      <c r="T752" s="3" t="n"/>
      <c r="U752" s="3" t="n"/>
      <c r="V752" s="3" t="n"/>
      <c r="W752" s="3" t="n"/>
      <c r="X752" s="3" t="n"/>
      <c r="Y752" s="3" t="n"/>
      <c r="Z752" s="3" t="n"/>
      <c r="AA752" s="3" t="n"/>
    </row>
    <row r="753">
      <c r="A753" s="104" t="inlineStr">
        <is>
          <t>violationReportConclude.colStatus</t>
        </is>
      </c>
      <c r="B753" s="104" t="inlineStr">
        <is>
          <t>Trạng thái</t>
        </is>
      </c>
      <c r="C753" s="3" t="n"/>
      <c r="D753" s="3" t="n"/>
      <c r="E753" s="3" t="n"/>
      <c r="F753" s="3" t="n"/>
      <c r="G753" s="3" t="n"/>
      <c r="H753" s="3" t="inlineStr">
        <is>
          <t>ស្ថានភាព</t>
        </is>
      </c>
      <c r="I753" s="3" t="n"/>
      <c r="J753" s="3" t="n"/>
      <c r="K753" s="3" t="n"/>
      <c r="L753" s="3" t="inlineStr">
        <is>
          <t>ស្ថានភាព</t>
        </is>
      </c>
      <c r="M753" s="3" t="n"/>
      <c r="N753" s="3" t="inlineStr">
        <is>
          <t>"violationReportConclude.colStatus": "",</t>
        </is>
      </c>
      <c r="O753" s="3" t="n"/>
      <c r="P753" s="3" t="n"/>
      <c r="Q753" s="3" t="n"/>
      <c r="R753" s="3" t="n"/>
      <c r="S753" s="3" t="n"/>
      <c r="T753" s="3" t="n"/>
      <c r="U753" s="3" t="n"/>
      <c r="V753" s="3" t="n"/>
      <c r="W753" s="3" t="n"/>
      <c r="X753" s="3" t="n"/>
      <c r="Y753" s="3" t="n"/>
      <c r="Z753" s="3" t="n"/>
      <c r="AA753" s="3" t="n"/>
    </row>
    <row r="754">
      <c r="A754" s="104" t="inlineStr">
        <is>
          <t>violationReportConclude.tabIncoming</t>
        </is>
      </c>
      <c r="B754" s="104" t="inlineStr">
        <is>
          <t>Biên bản đến</t>
        </is>
      </c>
      <c r="C754" s="3" t="n"/>
      <c r="D754" s="3" t="n"/>
      <c r="E754" s="3" t="n"/>
      <c r="F754" s="3" t="n"/>
      <c r="G754" s="3" t="n"/>
      <c r="H754" s="3" t="inlineStr">
        <is>
          <t>កំណត់ហេតុ đến</t>
        </is>
      </c>
      <c r="I754" s="3" t="n"/>
      <c r="J754" s="3" t="n"/>
      <c r="K754" s="3" t="n"/>
      <c r="L754" s="3" t="inlineStr">
        <is>
          <t>កំណត់ហេតុ đến</t>
        </is>
      </c>
      <c r="M754" s="3" t="n"/>
      <c r="N754" s="3" t="inlineStr">
        <is>
          <t>"violationReportConclude.tabIncoming": "",</t>
        </is>
      </c>
      <c r="O754" s="3" t="n"/>
      <c r="P754" s="3" t="n"/>
      <c r="Q754" s="3" t="n"/>
      <c r="R754" s="3" t="n"/>
      <c r="S754" s="3" t="n"/>
      <c r="T754" s="3" t="n"/>
      <c r="U754" s="3" t="n"/>
      <c r="V754" s="3" t="n"/>
      <c r="W754" s="3" t="n"/>
      <c r="X754" s="3" t="n"/>
      <c r="Y754" s="3" t="n"/>
      <c r="Z754" s="3" t="n"/>
      <c r="AA754" s="3" t="n"/>
    </row>
    <row r="755">
      <c r="A755" s="104" t="inlineStr">
        <is>
          <t>violationReportConclude.tabOutgoing</t>
        </is>
      </c>
      <c r="B755" s="104" t="inlineStr">
        <is>
          <t>Biên bản đi</t>
        </is>
      </c>
      <c r="C755" s="3" t="n"/>
      <c r="D755" s="3" t="n"/>
      <c r="E755" s="3" t="n"/>
      <c r="F755" s="3" t="n"/>
      <c r="G755" s="3" t="n"/>
      <c r="H755" s="3" t="inlineStr">
        <is>
          <t>កំណត់ហេតុ đi</t>
        </is>
      </c>
      <c r="I755" s="3" t="n"/>
      <c r="J755" s="3" t="n"/>
      <c r="K755" s="3" t="n"/>
      <c r="L755" s="3" t="inlineStr">
        <is>
          <t>កំណត់ហេតុ đi</t>
        </is>
      </c>
      <c r="M755" s="3" t="n"/>
      <c r="N755" s="3" t="inlineStr">
        <is>
          <t>"violationReportConclude.tabOutgoing": "",</t>
        </is>
      </c>
      <c r="O755" s="3" t="n"/>
      <c r="P755" s="3" t="n"/>
      <c r="Q755" s="3" t="n"/>
      <c r="R755" s="3" t="n"/>
      <c r="S755" s="3" t="n"/>
      <c r="T755" s="3" t="n"/>
      <c r="U755" s="3" t="n"/>
      <c r="V755" s="3" t="n"/>
      <c r="W755" s="3" t="n"/>
      <c r="X755" s="3" t="n"/>
      <c r="Y755" s="3" t="n"/>
      <c r="Z755" s="3" t="n"/>
      <c r="AA755" s="3" t="n"/>
    </row>
    <row r="756">
      <c r="A756" s="104" t="inlineStr">
        <is>
          <t>violationReportConclude.colCreatedAt</t>
        </is>
      </c>
      <c r="B756" s="104" t="inlineStr">
        <is>
          <t>Ngày tạo</t>
        </is>
      </c>
      <c r="C756" s="3" t="n"/>
      <c r="D756" s="3" t="n"/>
      <c r="E756" s="3" t="n"/>
      <c r="F756" s="3" t="n"/>
      <c r="G756" s="3" t="n"/>
      <c r="H756" s="3" t="inlineStr">
        <is>
          <t>កាលបរិច្ឆេទបង្កើត</t>
        </is>
      </c>
      <c r="I756" s="3" t="n"/>
      <c r="J756" s="3" t="n"/>
      <c r="K756" s="3" t="n"/>
      <c r="L756" s="3" t="inlineStr">
        <is>
          <t>កាលបរិច្ឆេទបង្កើត</t>
        </is>
      </c>
      <c r="M756" s="3" t="n"/>
      <c r="N756" s="3" t="inlineStr">
        <is>
          <t>"violationReportConclude.colCreatedAt": "",</t>
        </is>
      </c>
      <c r="O756" s="3" t="n"/>
      <c r="P756" s="3" t="n"/>
      <c r="Q756" s="3" t="n"/>
      <c r="R756" s="3" t="n"/>
      <c r="S756" s="3" t="n"/>
      <c r="T756" s="3" t="n"/>
      <c r="U756" s="3" t="n"/>
      <c r="V756" s="3" t="n"/>
      <c r="W756" s="3" t="n"/>
      <c r="X756" s="3" t="n"/>
      <c r="Y756" s="3" t="n"/>
      <c r="Z756" s="3" t="n"/>
      <c r="AA756" s="3" t="n"/>
    </row>
    <row r="757">
      <c r="A757" s="104" t="inlineStr">
        <is>
          <t>violationReportConclude.colRecordCode</t>
        </is>
      </c>
      <c r="B757" s="104" t="inlineStr">
        <is>
          <t>Mã biên bản</t>
        </is>
      </c>
      <c r="C757" s="3" t="n"/>
      <c r="D757" s="3" t="n"/>
      <c r="E757" s="3" t="n"/>
      <c r="F757" s="3" t="n"/>
      <c r="G757" s="3" t="n"/>
      <c r="H757" s="3" t="inlineStr">
        <is>
          <t>លេខកូដកំណត់ហេតុ</t>
        </is>
      </c>
      <c r="I757" s="3" t="n"/>
      <c r="J757" s="3" t="n"/>
      <c r="K757" s="3" t="n"/>
      <c r="L757" s="3" t="inlineStr">
        <is>
          <t>លេខកូដកំណត់ហេតុ</t>
        </is>
      </c>
      <c r="M757" s="3" t="n"/>
      <c r="N757" s="3" t="inlineStr">
        <is>
          <t>"violationReportConclude.colRecordCode": "",</t>
        </is>
      </c>
      <c r="O757" s="3" t="n"/>
      <c r="P757" s="3" t="n"/>
      <c r="Q757" s="3" t="n"/>
      <c r="R757" s="3" t="n"/>
      <c r="S757" s="3" t="n"/>
      <c r="T757" s="3" t="n"/>
      <c r="U757" s="3" t="n"/>
      <c r="V757" s="3" t="n"/>
      <c r="W757" s="3" t="n"/>
      <c r="X757" s="3" t="n"/>
      <c r="Y757" s="3" t="n"/>
      <c r="Z757" s="3" t="n"/>
      <c r="AA757" s="3" t="n"/>
    </row>
    <row r="758">
      <c r="A758" s="104" t="inlineStr">
        <is>
          <t>violationReportConclude.colCreatingPostOffice</t>
        </is>
      </c>
      <c r="B758" s="104" t="inlineStr">
        <is>
          <t>Bưu cục lập</t>
        </is>
      </c>
      <c r="C758" s="3" t="n"/>
      <c r="D758" s="3" t="n"/>
      <c r="E758" s="3" t="n"/>
      <c r="F758" s="3" t="n"/>
      <c r="G758" s="3" t="n"/>
      <c r="H758" s="3" t="inlineStr">
        <is>
          <t>ការិយាល័យប្រៃសណីយ៍ lập</t>
        </is>
      </c>
      <c r="I758" s="3" t="n"/>
      <c r="J758" s="3" t="n"/>
      <c r="K758" s="3" t="n"/>
      <c r="L758" s="3" t="inlineStr">
        <is>
          <t>ការិយាល័យប្រៃសណីយ៍ lập</t>
        </is>
      </c>
      <c r="M758" s="3" t="n"/>
      <c r="N758" s="3" t="inlineStr">
        <is>
          <t>"violationReportConclude.colCreatingPostOffice": "",</t>
        </is>
      </c>
      <c r="O758" s="3" t="n"/>
      <c r="P758" s="3" t="n"/>
      <c r="Q758" s="3" t="n"/>
      <c r="R758" s="3" t="n"/>
      <c r="S758" s="3" t="n"/>
      <c r="T758" s="3" t="n"/>
      <c r="U758" s="3" t="n"/>
      <c r="V758" s="3" t="n"/>
      <c r="W758" s="3" t="n"/>
      <c r="X758" s="3" t="n"/>
      <c r="Y758" s="3" t="n"/>
      <c r="Z758" s="3" t="n"/>
      <c r="AA758" s="3" t="n"/>
    </row>
    <row r="759">
      <c r="A759" s="104" t="inlineStr">
        <is>
          <t>violationReportConclude.colCreator</t>
        </is>
      </c>
      <c r="B759" s="104" t="inlineStr">
        <is>
          <t>Người lập</t>
        </is>
      </c>
      <c r="C759" s="3" t="n"/>
      <c r="D759" s="3" t="n"/>
      <c r="E759" s="3" t="n"/>
      <c r="F759" s="3" t="n"/>
      <c r="G759" s="3" t="n"/>
      <c r="H759" s="3" t="inlineStr">
        <is>
          <t>អ្នកបង្កើតកំណត់ហេតុ</t>
        </is>
      </c>
      <c r="I759" s="3" t="n"/>
      <c r="J759" s="3" t="n"/>
      <c r="K759" s="3" t="n"/>
      <c r="L759" s="3" t="inlineStr">
        <is>
          <t>អ្នកបង្កើតកំណត់ហេតុ</t>
        </is>
      </c>
      <c r="M759" s="3" t="n"/>
      <c r="N759" s="3" t="inlineStr">
        <is>
          <t>"violationReportConclude.colCreator": "",</t>
        </is>
      </c>
      <c r="O759" s="3" t="n"/>
      <c r="P759" s="3" t="n"/>
      <c r="Q759" s="3" t="n"/>
      <c r="R759" s="3" t="n"/>
      <c r="S759" s="3" t="n"/>
      <c r="T759" s="3" t="n"/>
      <c r="U759" s="3" t="n"/>
      <c r="V759" s="3" t="n"/>
      <c r="W759" s="3" t="n"/>
      <c r="X759" s="3" t="n"/>
      <c r="Y759" s="3" t="n"/>
      <c r="Z759" s="3" t="n"/>
      <c r="AA759" s="3" t="n"/>
    </row>
    <row r="760">
      <c r="A760" s="104" t="inlineStr">
        <is>
          <t>violationReportConclude.colAffectedPostOffice</t>
        </is>
      </c>
      <c r="B760" s="104" t="inlineStr">
        <is>
          <t>Bưu cục vi phạm</t>
        </is>
      </c>
      <c r="C760" s="3" t="n"/>
      <c r="D760" s="3" t="n"/>
      <c r="E760" s="3" t="n"/>
      <c r="F760" s="3" t="n"/>
      <c r="G760" s="3" t="n"/>
      <c r="H760" s="3" t="inlineStr">
        <is>
          <t>ការិយាល័យប្រៃសណីយ៍ vi phạm</t>
        </is>
      </c>
      <c r="I760" s="3" t="n"/>
      <c r="J760" s="3" t="n"/>
      <c r="K760" s="3" t="n"/>
      <c r="L760" s="3" t="inlineStr">
        <is>
          <t>ការិយាល័យប្រៃសណីយ៍ vi phạm</t>
        </is>
      </c>
      <c r="M760" s="3" t="n"/>
      <c r="N760" s="3" t="inlineStr">
        <is>
          <t>"violationReportConclude.colAffectedPostOffice": "",</t>
        </is>
      </c>
      <c r="O760" s="3" t="n"/>
      <c r="P760" s="3" t="n"/>
      <c r="Q760" s="3" t="n"/>
      <c r="R760" s="3" t="n"/>
      <c r="S760" s="3" t="n"/>
      <c r="T760" s="3" t="n"/>
      <c r="U760" s="3" t="n"/>
      <c r="V760" s="3" t="n"/>
      <c r="W760" s="3" t="n"/>
      <c r="X760" s="3" t="n"/>
      <c r="Y760" s="3" t="n"/>
      <c r="Z760" s="3" t="n"/>
      <c r="AA760" s="3" t="n"/>
    </row>
    <row r="761">
      <c r="A761" s="104" t="inlineStr">
        <is>
          <t>violationReportConclude.colErrorCode</t>
        </is>
      </c>
      <c r="B761" s="104" t="inlineStr">
        <is>
          <t>Mã lỗi</t>
        </is>
      </c>
      <c r="C761" s="3" t="n"/>
      <c r="D761" s="3" t="n"/>
      <c r="E761" s="3" t="n"/>
      <c r="F761" s="3" t="n"/>
      <c r="G761" s="3" t="n"/>
      <c r="H761" s="3" t="inlineStr">
        <is>
          <t>លេខកូដកំហុស/បញ្ហា</t>
        </is>
      </c>
      <c r="I761" s="3" t="n"/>
      <c r="J761" s="3" t="n"/>
      <c r="K761" s="3" t="n"/>
      <c r="L761" s="3" t="inlineStr">
        <is>
          <t>លេខកូដកំហុស/បញ្ហា</t>
        </is>
      </c>
      <c r="M761" s="3" t="n"/>
      <c r="N761" s="3" t="inlineStr">
        <is>
          <t>"violationReportConclude.colErrorCode": "",</t>
        </is>
      </c>
      <c r="O761" s="3" t="n"/>
      <c r="P761" s="3" t="n"/>
      <c r="Q761" s="3" t="n"/>
      <c r="R761" s="3" t="n"/>
      <c r="S761" s="3" t="n"/>
      <c r="T761" s="3" t="n"/>
      <c r="U761" s="3" t="n"/>
      <c r="V761" s="3" t="n"/>
      <c r="W761" s="3" t="n"/>
      <c r="X761" s="3" t="n"/>
      <c r="Y761" s="3" t="n"/>
      <c r="Z761" s="3" t="n"/>
      <c r="AA761" s="3" t="n"/>
    </row>
    <row r="762">
      <c r="A762" s="104" t="inlineStr">
        <is>
          <t>violationReportConclude.colErrorName</t>
        </is>
      </c>
      <c r="B762" s="104" t="inlineStr">
        <is>
          <t>Tên lỗi</t>
        </is>
      </c>
      <c r="C762" s="3" t="n"/>
      <c r="D762" s="3" t="n"/>
      <c r="E762" s="3" t="n"/>
      <c r="F762" s="3" t="n"/>
      <c r="G762" s="3" t="n"/>
      <c r="H762" s="3" t="inlineStr">
        <is>
          <t>ឈ្មោះកំហុស</t>
        </is>
      </c>
      <c r="I762" s="3" t="n"/>
      <c r="J762" s="3" t="n"/>
      <c r="K762" s="3" t="n"/>
      <c r="L762" s="3" t="inlineStr">
        <is>
          <t>ឈ្មោះកំហុស</t>
        </is>
      </c>
      <c r="M762" s="3" t="n"/>
      <c r="N762" s="3" t="inlineStr">
        <is>
          <t>"violationReportConclude.colErrorName": "",</t>
        </is>
      </c>
      <c r="O762" s="3" t="n"/>
      <c r="P762" s="3" t="n"/>
      <c r="Q762" s="3" t="n"/>
      <c r="R762" s="3" t="n"/>
      <c r="S762" s="3" t="n"/>
      <c r="T762" s="3" t="n"/>
      <c r="U762" s="3" t="n"/>
      <c r="V762" s="3" t="n"/>
      <c r="W762" s="3" t="n"/>
      <c r="X762" s="3" t="n"/>
      <c r="Y762" s="3" t="n"/>
      <c r="Z762" s="3" t="n"/>
      <c r="AA762" s="3" t="n"/>
    </row>
    <row r="763">
      <c r="A763" s="104" t="inlineStr">
        <is>
          <t>violationReportConclude.colViolator</t>
        </is>
      </c>
      <c r="B763" s="104" t="inlineStr">
        <is>
          <t>Cá nhân vi phạm</t>
        </is>
      </c>
      <c r="C763" s="3" t="n"/>
      <c r="D763" s="3" t="n"/>
      <c r="E763" s="3" t="n"/>
      <c r="F763" s="3" t="n"/>
      <c r="G763" s="3" t="n"/>
      <c r="H763" s="3" t="inlineStr">
        <is>
          <t>បុគ្គលល្មើស</t>
        </is>
      </c>
      <c r="I763" s="3" t="n"/>
      <c r="J763" s="3" t="n"/>
      <c r="K763" s="3" t="n"/>
      <c r="L763" s="3" t="inlineStr">
        <is>
          <t>បុគ្គលល្មើស</t>
        </is>
      </c>
      <c r="M763" s="3" t="n"/>
      <c r="N763" s="3" t="inlineStr">
        <is>
          <t>"violationReportConclude.colViolator": "",</t>
        </is>
      </c>
      <c r="O763" s="3" t="n"/>
      <c r="P763" s="3" t="n"/>
      <c r="Q763" s="3" t="n"/>
      <c r="R763" s="3" t="n"/>
      <c r="S763" s="3" t="n"/>
      <c r="T763" s="3" t="n"/>
      <c r="U763" s="3" t="n"/>
      <c r="V763" s="3" t="n"/>
      <c r="W763" s="3" t="n"/>
      <c r="X763" s="3" t="n"/>
      <c r="Y763" s="3" t="n"/>
      <c r="Z763" s="3" t="n"/>
      <c r="AA763" s="3" t="n"/>
    </row>
    <row r="764">
      <c r="A764" s="104" t="inlineStr">
        <is>
          <t>violationReportConclude.colRemainingTime</t>
        </is>
      </c>
      <c r="B764" s="104" t="inlineStr">
        <is>
          <t>Thời gian xác nhận còn lại (h)</t>
        </is>
      </c>
      <c r="C764" s="3" t="n"/>
      <c r="D764" s="3" t="n"/>
      <c r="E764" s="3" t="n"/>
      <c r="F764" s="3" t="n"/>
      <c r="G764" s="3" t="n"/>
      <c r="H764" s="3" t="inlineStr">
        <is>
          <t>ពេលវេលាបញ្ជាក់ còn lại (h)</t>
        </is>
      </c>
      <c r="I764" s="3" t="n"/>
      <c r="J764" s="3" t="n"/>
      <c r="K764" s="3" t="n"/>
      <c r="L764" s="3" t="inlineStr">
        <is>
          <t>ពេលវេលាបញ្ជាក់ còn lại (h)</t>
        </is>
      </c>
      <c r="M764" s="3" t="n"/>
      <c r="N764" s="3" t="inlineStr">
        <is>
          <t>"violationReportConclude.colRemainingTime": "",</t>
        </is>
      </c>
      <c r="O764" s="3" t="n"/>
      <c r="P764" s="3" t="n"/>
      <c r="Q764" s="3" t="n"/>
      <c r="R764" s="3" t="n"/>
      <c r="S764" s="3" t="n"/>
      <c r="T764" s="3" t="n"/>
      <c r="U764" s="3" t="n"/>
      <c r="V764" s="3" t="n"/>
      <c r="W764" s="3" t="n"/>
      <c r="X764" s="3" t="n"/>
      <c r="Y764" s="3" t="n"/>
      <c r="Z764" s="3" t="n"/>
      <c r="AA764" s="3" t="n"/>
    </row>
    <row r="765">
      <c r="A765" s="104" t="inlineStr">
        <is>
          <t>violationReportConclude.colComplaintCount</t>
        </is>
      </c>
      <c r="B765" s="104" t="inlineStr">
        <is>
          <t>Khiếu nại tồn</t>
        </is>
      </c>
      <c r="C765" s="3" t="n"/>
      <c r="D765" s="3" t="n"/>
      <c r="E765" s="3" t="n"/>
      <c r="F765" s="3" t="n"/>
      <c r="G765" s="3" t="n"/>
      <c r="H765" s="3" t="inlineStr">
        <is>
          <t>ពាក្យបណ្ដឹង tồn</t>
        </is>
      </c>
      <c r="I765" s="3" t="n"/>
      <c r="J765" s="3" t="n"/>
      <c r="K765" s="3" t="n"/>
      <c r="L765" s="3" t="inlineStr">
        <is>
          <t>ពាក្យបណ្ដឹង tồn</t>
        </is>
      </c>
      <c r="M765" s="3" t="n"/>
      <c r="N765" s="3" t="inlineStr">
        <is>
          <t>"violationReportConclude.colComplaintCount": "",</t>
        </is>
      </c>
      <c r="O765" s="3" t="n"/>
      <c r="P765" s="3" t="n"/>
      <c r="Q765" s="3" t="n"/>
      <c r="R765" s="3" t="n"/>
      <c r="S765" s="3" t="n"/>
      <c r="T765" s="3" t="n"/>
      <c r="U765" s="3" t="n"/>
      <c r="V765" s="3" t="n"/>
      <c r="W765" s="3" t="n"/>
      <c r="X765" s="3" t="n"/>
      <c r="Y765" s="3" t="n"/>
      <c r="Z765" s="3" t="n"/>
      <c r="AA765" s="3" t="n"/>
    </row>
    <row r="766">
      <c r="A766" s="104" t="inlineStr">
        <is>
          <t>violationReportConclude.colTrackingCode</t>
        </is>
      </c>
      <c r="B766" s="104" t="inlineStr">
        <is>
          <t>Mã vận đơn/tải kiện/CCDC</t>
        </is>
      </c>
      <c r="C766" s="3" t="n"/>
      <c r="D766" s="3" t="n"/>
      <c r="E766" s="3" t="n"/>
      <c r="F766" s="3" t="n"/>
      <c r="G766" s="3" t="n"/>
      <c r="H766" s="3" t="inlineStr">
        <is>
          <t>លេខកូដvận បញ្ញើ/tải kiện/CCDC</t>
        </is>
      </c>
      <c r="I766" s="3" t="n"/>
      <c r="J766" s="3" t="n"/>
      <c r="K766" s="3" t="n"/>
      <c r="L766" s="3" t="inlineStr">
        <is>
          <t>លេខកូដvận បញ្ញើ/tải kiện/CCDC</t>
        </is>
      </c>
      <c r="M766" s="3" t="n"/>
      <c r="N766" s="3" t="inlineStr">
        <is>
          <t>"violationReportConclude.colTrackingCode": "",</t>
        </is>
      </c>
      <c r="O766" s="3" t="n"/>
      <c r="P766" s="3" t="n"/>
      <c r="Q766" s="3" t="n"/>
      <c r="R766" s="3" t="n"/>
      <c r="S766" s="3" t="n"/>
      <c r="T766" s="3" t="n"/>
      <c r="U766" s="3" t="n"/>
      <c r="V766" s="3" t="n"/>
      <c r="W766" s="3" t="n"/>
      <c r="X766" s="3" t="n"/>
      <c r="Y766" s="3" t="n"/>
      <c r="Z766" s="3" t="n"/>
      <c r="AA766" s="3" t="n"/>
    </row>
    <row r="767">
      <c r="A767" s="104" t="inlineStr">
        <is>
          <t>violationReportConclude.colTrackingCodeShort</t>
        </is>
      </c>
      <c r="B767" s="104" t="inlineStr">
        <is>
          <t>Mã vận đơn, tải/kiện</t>
        </is>
      </c>
      <c r="C767" s="3" t="n"/>
      <c r="D767" s="3" t="n"/>
      <c r="E767" s="3" t="n"/>
      <c r="F767" s="3" t="n"/>
      <c r="G767" s="3" t="n"/>
      <c r="H767" s="3" t="inlineStr">
        <is>
          <t>លេខកូដvận បញ្ញើ, tải/kiện</t>
        </is>
      </c>
      <c r="I767" s="3" t="n"/>
      <c r="J767" s="3" t="n"/>
      <c r="K767" s="3" t="n"/>
      <c r="L767" s="3" t="inlineStr">
        <is>
          <t>លេខកូដvận បញ្ញើ, tải/kiện</t>
        </is>
      </c>
      <c r="M767" s="3" t="n"/>
      <c r="N767" s="3" t="inlineStr">
        <is>
          <t>"violationReportConclude.colTrackingCodeShort": "",</t>
        </is>
      </c>
      <c r="O767" s="3" t="n"/>
      <c r="P767" s="3" t="n"/>
      <c r="Q767" s="3" t="n"/>
      <c r="R767" s="3" t="n"/>
      <c r="S767" s="3" t="n"/>
      <c r="T767" s="3" t="n"/>
      <c r="U767" s="3" t="n"/>
      <c r="V767" s="3" t="n"/>
      <c r="W767" s="3" t="n"/>
      <c r="X767" s="3" t="n"/>
      <c r="Y767" s="3" t="n"/>
      <c r="Z767" s="3" t="n"/>
      <c r="AA767" s="3" t="n"/>
    </row>
    <row r="768">
      <c r="A768" s="104" t="inlineStr">
        <is>
          <t>violationReportConclude.colType</t>
        </is>
      </c>
      <c r="B768" s="104" t="inlineStr">
        <is>
          <t>Loại</t>
        </is>
      </c>
      <c r="C768" s="3" t="n"/>
      <c r="D768" s="3" t="n"/>
      <c r="E768" s="3" t="n"/>
      <c r="F768" s="3" t="n"/>
      <c r="G768" s="3" t="n"/>
      <c r="H768" s="3" t="inlineStr">
        <is>
          <t>ប្រភេទ</t>
        </is>
      </c>
      <c r="I768" s="3" t="n"/>
      <c r="J768" s="3" t="n"/>
      <c r="K768" s="3" t="n"/>
      <c r="L768" s="3" t="inlineStr">
        <is>
          <t>ប្រភេទ</t>
        </is>
      </c>
      <c r="M768" s="3" t="n"/>
      <c r="N768" s="3" t="inlineStr">
        <is>
          <t>"violationReportConclude.colType": "",</t>
        </is>
      </c>
      <c r="O768" s="3" t="n"/>
      <c r="P768" s="3" t="n"/>
      <c r="Q768" s="3" t="n"/>
      <c r="R768" s="3" t="n"/>
      <c r="S768" s="3" t="n"/>
      <c r="T768" s="3" t="n"/>
      <c r="U768" s="3" t="n"/>
      <c r="V768" s="3" t="n"/>
      <c r="W768" s="3" t="n"/>
      <c r="X768" s="3" t="n"/>
      <c r="Y768" s="3" t="n"/>
      <c r="Z768" s="3" t="n"/>
      <c r="AA768" s="3" t="n"/>
    </row>
    <row r="769">
      <c r="A769" s="104" t="inlineStr">
        <is>
          <t>violationReportConclude.colOriginPostOffice</t>
        </is>
      </c>
      <c r="B769" s="104" t="inlineStr">
        <is>
          <t>Bưu cục gốc</t>
        </is>
      </c>
      <c r="C769" s="3" t="n"/>
      <c r="D769" s="3" t="n"/>
      <c r="E769" s="3" t="n"/>
      <c r="F769" s="3" t="n"/>
      <c r="G769" s="3" t="n"/>
      <c r="H769" s="3" t="inlineStr">
        <is>
          <t>ការិយាល័យប្រៃសណីយ៍ដើម</t>
        </is>
      </c>
      <c r="I769" s="3" t="n"/>
      <c r="J769" s="3" t="n"/>
      <c r="K769" s="3" t="n"/>
      <c r="L769" s="3" t="inlineStr">
        <is>
          <t>ការិយាល័យប្រៃសណីយ៍ដើម</t>
        </is>
      </c>
      <c r="M769" s="3" t="n"/>
      <c r="N769" s="3" t="inlineStr">
        <is>
          <t>"violationReportConclude.colOriginPostOffice": "",</t>
        </is>
      </c>
      <c r="O769" s="3" t="n"/>
      <c r="P769" s="3" t="n"/>
      <c r="Q769" s="3" t="n"/>
      <c r="R769" s="3" t="n"/>
      <c r="S769" s="3" t="n"/>
      <c r="T769" s="3" t="n"/>
      <c r="U769" s="3" t="n"/>
      <c r="V769" s="3" t="n"/>
      <c r="W769" s="3" t="n"/>
      <c r="X769" s="3" t="n"/>
      <c r="Y769" s="3" t="n"/>
      <c r="Z769" s="3" t="n"/>
      <c r="AA769" s="3" t="n"/>
    </row>
    <row r="770">
      <c r="A770" s="104" t="inlineStr">
        <is>
          <t>violationReportConclude.colShipmentCode</t>
        </is>
      </c>
      <c r="B770" s="104" t="inlineStr">
        <is>
          <t>Mã tải</t>
        </is>
      </c>
      <c r="C770" s="3" t="n"/>
      <c r="D770" s="3" t="n"/>
      <c r="E770" s="3" t="n"/>
      <c r="F770" s="3" t="n"/>
      <c r="G770" s="3" t="n"/>
      <c r="H770" s="3" t="inlineStr">
        <is>
          <t>លេខកូដtải</t>
        </is>
      </c>
      <c r="I770" s="3" t="n"/>
      <c r="J770" s="3" t="n"/>
      <c r="K770" s="3" t="n"/>
      <c r="L770" s="3" t="inlineStr">
        <is>
          <t>លេខកូដtải</t>
        </is>
      </c>
      <c r="M770" s="3" t="n"/>
      <c r="N770" s="3" t="inlineStr">
        <is>
          <t>"violationReportConclude.colShipmentCode": "",</t>
        </is>
      </c>
      <c r="O770" s="3" t="n"/>
      <c r="P770" s="3" t="n"/>
      <c r="Q770" s="3" t="n"/>
      <c r="R770" s="3" t="n"/>
      <c r="S770" s="3" t="n"/>
      <c r="T770" s="3" t="n"/>
      <c r="U770" s="3" t="n"/>
      <c r="V770" s="3" t="n"/>
      <c r="W770" s="3" t="n"/>
      <c r="X770" s="3" t="n"/>
      <c r="Y770" s="3" t="n"/>
      <c r="Z770" s="3" t="n"/>
      <c r="AA770" s="3" t="n"/>
    </row>
    <row r="771">
      <c r="A771" s="104" t="inlineStr">
        <is>
          <t>violationReportConclude.colUnit</t>
        </is>
      </c>
      <c r="B771" s="104" t="inlineStr">
        <is>
          <t>Đơn vị/bưu cục</t>
        </is>
      </c>
      <c r="C771" s="3" t="n"/>
      <c r="D771" s="3" t="n"/>
      <c r="E771" s="3" t="n"/>
      <c r="F771" s="3" t="n"/>
      <c r="G771" s="3" t="n"/>
      <c r="H771" s="3" t="inlineStr">
        <is>
          <t>បញ្ញើ vị/ការិយាល័យប្រៃសណីយ៍</t>
        </is>
      </c>
      <c r="I771" s="3" t="n"/>
      <c r="J771" s="3" t="n"/>
      <c r="K771" s="3" t="n"/>
      <c r="L771" s="3" t="inlineStr">
        <is>
          <t>បញ្ញើ vị/ការិយាល័យប្រៃសណីយ៍</t>
        </is>
      </c>
      <c r="M771" s="3" t="n"/>
      <c r="N771" s="3" t="inlineStr">
        <is>
          <t>"violationReportConclude.colUnit": "",</t>
        </is>
      </c>
      <c r="O771" s="3" t="n"/>
      <c r="P771" s="3" t="n"/>
      <c r="Q771" s="3" t="n"/>
      <c r="R771" s="3" t="n"/>
      <c r="S771" s="3" t="n"/>
      <c r="T771" s="3" t="n"/>
      <c r="U771" s="3" t="n"/>
      <c r="V771" s="3" t="n"/>
      <c r="W771" s="3" t="n"/>
      <c r="X771" s="3" t="n"/>
      <c r="Y771" s="3" t="n"/>
      <c r="Z771" s="3" t="n"/>
      <c r="AA771" s="3" t="n"/>
    </row>
    <row r="772">
      <c r="A772" s="104" t="inlineStr">
        <is>
          <t>violationReportConclude.colProcessContent</t>
        </is>
      </c>
      <c r="B772" s="104" t="inlineStr">
        <is>
          <t>Nội dung xử lý</t>
        </is>
      </c>
      <c r="C772" s="3" t="n"/>
      <c r="D772" s="3" t="n"/>
      <c r="E772" s="3" t="n"/>
      <c r="F772" s="3" t="n"/>
      <c r="G772" s="3" t="n"/>
      <c r="H772" s="3" t="inlineStr">
        <is>
          <t>ខ្លឹមសារ xử lý</t>
        </is>
      </c>
      <c r="I772" s="3" t="n"/>
      <c r="J772" s="3" t="n"/>
      <c r="K772" s="3" t="n"/>
      <c r="L772" s="3" t="inlineStr">
        <is>
          <t>ខ្លឹមសារ xử lý</t>
        </is>
      </c>
      <c r="M772" s="3" t="n"/>
      <c r="N772" s="3" t="inlineStr">
        <is>
          <t>"violationReportConclude.colProcessContent": "",</t>
        </is>
      </c>
      <c r="O772" s="3" t="n"/>
      <c r="P772" s="3" t="n"/>
      <c r="Q772" s="3" t="n"/>
      <c r="R772" s="3" t="n"/>
      <c r="S772" s="3" t="n"/>
      <c r="T772" s="3" t="n"/>
      <c r="U772" s="3" t="n"/>
      <c r="V772" s="3" t="n"/>
      <c r="W772" s="3" t="n"/>
      <c r="X772" s="3" t="n"/>
      <c r="Y772" s="3" t="n"/>
      <c r="Z772" s="3" t="n"/>
      <c r="AA772" s="3" t="n"/>
    </row>
    <row r="773">
      <c r="A773" s="104" t="inlineStr">
        <is>
          <t>violationReportConclude.colIsCorrect</t>
        </is>
      </c>
      <c r="B773" s="104" t="inlineStr">
        <is>
          <t>Xác nhận đúng/sai</t>
        </is>
      </c>
      <c r="C773" s="3" t="n"/>
      <c r="D773" s="3" t="n"/>
      <c r="E773" s="3" t="n"/>
      <c r="F773" s="3" t="n"/>
      <c r="G773" s="3" t="n"/>
      <c r="H773" s="3" t="inlineStr">
        <is>
          <t>បញ្ជាក់ đúng/sai</t>
        </is>
      </c>
      <c r="I773" s="3" t="n"/>
      <c r="J773" s="3" t="n"/>
      <c r="K773" s="3" t="n"/>
      <c r="L773" s="3" t="inlineStr">
        <is>
          <t>បញ្ជាក់ đúng/sai</t>
        </is>
      </c>
      <c r="M773" s="3" t="n"/>
      <c r="N773" s="3" t="inlineStr">
        <is>
          <t>"violationReportConclude.colIsCorrect": "",</t>
        </is>
      </c>
      <c r="O773" s="3" t="n"/>
      <c r="P773" s="3" t="n"/>
      <c r="Q773" s="3" t="n"/>
      <c r="R773" s="3" t="n"/>
      <c r="S773" s="3" t="n"/>
      <c r="T773" s="3" t="n"/>
      <c r="U773" s="3" t="n"/>
      <c r="V773" s="3" t="n"/>
      <c r="W773" s="3" t="n"/>
      <c r="X773" s="3" t="n"/>
      <c r="Y773" s="3" t="n"/>
      <c r="Z773" s="3" t="n"/>
      <c r="AA773" s="3" t="n"/>
    </row>
    <row r="774">
      <c r="A774" s="104" t="inlineStr">
        <is>
          <t>violationReportConclude.colAttachmentFile</t>
        </is>
      </c>
      <c r="B774" s="104" t="inlineStr">
        <is>
          <t>File đính kèm</t>
        </is>
      </c>
      <c r="C774" s="3" t="n"/>
      <c r="D774" s="3" t="n"/>
      <c r="E774" s="3" t="n"/>
      <c r="F774" s="3" t="n"/>
      <c r="G774" s="3" t="n"/>
      <c r="H774" s="3" t="inlineStr">
        <is>
          <t>ឯកសារភ្ជាប់</t>
        </is>
      </c>
      <c r="I774" s="3" t="n"/>
      <c r="J774" s="3" t="n"/>
      <c r="K774" s="3" t="n"/>
      <c r="L774" s="3" t="inlineStr">
        <is>
          <t>ឯកសារភ្ជាប់</t>
        </is>
      </c>
      <c r="M774" s="3" t="n"/>
      <c r="N774" s="3" t="inlineStr">
        <is>
          <t>"violationReportConclude.colAttachmentFile": "",</t>
        </is>
      </c>
      <c r="O774" s="3" t="n"/>
      <c r="P774" s="3" t="n"/>
      <c r="Q774" s="3" t="n"/>
      <c r="R774" s="3" t="n"/>
      <c r="S774" s="3" t="n"/>
      <c r="T774" s="3" t="n"/>
      <c r="U774" s="3" t="n"/>
      <c r="V774" s="3" t="n"/>
      <c r="W774" s="3" t="n"/>
      <c r="X774" s="3" t="n"/>
      <c r="Y774" s="3" t="n"/>
      <c r="Z774" s="3" t="n"/>
      <c r="AA774" s="3" t="n"/>
    </row>
    <row r="775">
      <c r="A775" s="104" t="inlineStr">
        <is>
          <t>violationReportConclude.colCompensationRate</t>
        </is>
      </c>
      <c r="B775" s="104" t="inlineStr">
        <is>
          <t>Tỉ lệ đền bù</t>
        </is>
      </c>
      <c r="C775" s="3" t="n"/>
      <c r="D775" s="3" t="n"/>
      <c r="E775" s="3" t="n"/>
      <c r="F775" s="3" t="n"/>
      <c r="G775" s="3" t="n"/>
      <c r="H775" s="3" t="inlineStr">
        <is>
          <t>Tỉ lệ សំណង</t>
        </is>
      </c>
      <c r="I775" s="3" t="n"/>
      <c r="J775" s="3" t="n"/>
      <c r="K775" s="3" t="n"/>
      <c r="L775" s="3" t="inlineStr">
        <is>
          <t>Tỉ lệ សំណង</t>
        </is>
      </c>
      <c r="M775" s="3" t="n"/>
      <c r="N775" s="3" t="inlineStr">
        <is>
          <t>"violationReportConclude.colCompensationRate": "",</t>
        </is>
      </c>
      <c r="O775" s="3" t="n"/>
      <c r="P775" s="3" t="n"/>
      <c r="Q775" s="3" t="n"/>
      <c r="R775" s="3" t="n"/>
      <c r="S775" s="3" t="n"/>
      <c r="T775" s="3" t="n"/>
      <c r="U775" s="3" t="n"/>
      <c r="V775" s="3" t="n"/>
      <c r="W775" s="3" t="n"/>
      <c r="X775" s="3" t="n"/>
      <c r="Y775" s="3" t="n"/>
      <c r="Z775" s="3" t="n"/>
      <c r="AA775" s="3" t="n"/>
    </row>
    <row r="776">
      <c r="A776" s="104" t="inlineStr">
        <is>
          <t>violationReportConclude.colUnitCode</t>
        </is>
      </c>
      <c r="B776" s="104" t="inlineStr">
        <is>
          <t>Mã đơn vị</t>
        </is>
      </c>
      <c r="C776" s="3" t="n"/>
      <c r="D776" s="3" t="n"/>
      <c r="E776" s="3" t="n"/>
      <c r="F776" s="3" t="n"/>
      <c r="G776" s="3" t="n"/>
      <c r="H776" s="3" t="inlineStr">
        <is>
          <t>លេខកូដបញ្ញើ vị</t>
        </is>
      </c>
      <c r="I776" s="3" t="n"/>
      <c r="J776" s="3" t="n"/>
      <c r="K776" s="3" t="n"/>
      <c r="L776" s="3" t="inlineStr">
        <is>
          <t>លេខកូដបញ្ញើ vị</t>
        </is>
      </c>
      <c r="M776" s="3" t="n"/>
      <c r="N776" s="3" t="inlineStr">
        <is>
          <t>"violationReportConclude.colUnitCode": "",</t>
        </is>
      </c>
      <c r="O776" s="3" t="n"/>
      <c r="P776" s="3" t="n"/>
      <c r="Q776" s="3" t="n"/>
      <c r="R776" s="3" t="n"/>
      <c r="S776" s="3" t="n"/>
      <c r="T776" s="3" t="n"/>
      <c r="U776" s="3" t="n"/>
      <c r="V776" s="3" t="n"/>
      <c r="W776" s="3" t="n"/>
      <c r="X776" s="3" t="n"/>
      <c r="Y776" s="3" t="n"/>
      <c r="Z776" s="3" t="n"/>
      <c r="AA776" s="3" t="n"/>
    </row>
    <row r="777">
      <c r="A777" s="104" t="inlineStr">
        <is>
          <t>violationReportConclude.colUnitName</t>
        </is>
      </c>
      <c r="B777" s="104" t="inlineStr">
        <is>
          <t>Tên đơn vị</t>
        </is>
      </c>
      <c r="C777" s="3" t="n"/>
      <c r="D777" s="3" t="n"/>
      <c r="E777" s="3" t="n"/>
      <c r="F777" s="3" t="n"/>
      <c r="G777" s="3" t="n"/>
      <c r="H777" s="3" t="inlineStr">
        <is>
          <t>ឈ្មោះបញ្ញើ vị</t>
        </is>
      </c>
      <c r="I777" s="3" t="n"/>
      <c r="J777" s="3" t="n"/>
      <c r="K777" s="3" t="n"/>
      <c r="L777" s="3" t="inlineStr">
        <is>
          <t>ឈ្មោះបញ្ញើ vị</t>
        </is>
      </c>
      <c r="M777" s="3" t="n"/>
      <c r="N777" s="3" t="inlineStr">
        <is>
          <t>"violationReportConclude.colUnitName": "",</t>
        </is>
      </c>
      <c r="O777" s="3" t="n"/>
      <c r="P777" s="3" t="n"/>
      <c r="Q777" s="3" t="n"/>
      <c r="R777" s="3" t="n"/>
      <c r="S777" s="3" t="n"/>
      <c r="T777" s="3" t="n"/>
      <c r="U777" s="3" t="n"/>
      <c r="V777" s="3" t="n"/>
      <c r="W777" s="3" t="n"/>
      <c r="X777" s="3" t="n"/>
      <c r="Y777" s="3" t="n"/>
      <c r="Z777" s="3" t="n"/>
      <c r="AA777" s="3" t="n"/>
    </row>
    <row r="778">
      <c r="A778" s="104" t="inlineStr">
        <is>
          <t>violationReportConclude.colBranch</t>
        </is>
      </c>
      <c r="B778" s="104" t="inlineStr">
        <is>
          <t>Chi nhánh</t>
        </is>
      </c>
      <c r="C778" s="3" t="n"/>
      <c r="D778" s="3" t="n"/>
      <c r="E778" s="3" t="n"/>
      <c r="F778" s="3" t="n"/>
      <c r="G778" s="3" t="n"/>
      <c r="H778" s="3" t="inlineStr">
        <is>
          <t>សាខា</t>
        </is>
      </c>
      <c r="I778" s="3" t="n"/>
      <c r="J778" s="3" t="n"/>
      <c r="K778" s="3" t="n"/>
      <c r="L778" s="3" t="inlineStr">
        <is>
          <t>សាខា</t>
        </is>
      </c>
      <c r="M778" s="3" t="n"/>
      <c r="N778" s="3" t="inlineStr">
        <is>
          <t>"violationReportConclude.colBranch": "",</t>
        </is>
      </c>
      <c r="O778" s="3" t="n"/>
      <c r="P778" s="3" t="n"/>
      <c r="Q778" s="3" t="n"/>
      <c r="R778" s="3" t="n"/>
      <c r="S778" s="3" t="n"/>
      <c r="T778" s="3" t="n"/>
      <c r="U778" s="3" t="n"/>
      <c r="V778" s="3" t="n"/>
      <c r="W778" s="3" t="n"/>
      <c r="X778" s="3" t="n"/>
      <c r="Y778" s="3" t="n"/>
      <c r="Z778" s="3" t="n"/>
      <c r="AA778" s="3" t="n"/>
    </row>
    <row r="779">
      <c r="A779" s="104" t="inlineStr">
        <is>
          <t>violationReportConclude.colNote</t>
        </is>
      </c>
      <c r="B779" s="104" t="inlineStr">
        <is>
          <t>Ghi chú</t>
        </is>
      </c>
      <c r="C779" s="3" t="n"/>
      <c r="D779" s="3" t="n"/>
      <c r="E779" s="3" t="n"/>
      <c r="F779" s="3" t="n"/>
      <c r="G779" s="3" t="n"/>
      <c r="H779" s="3" t="inlineStr">
        <is>
          <t>ចំណាំ</t>
        </is>
      </c>
      <c r="I779" s="3" t="n"/>
      <c r="J779" s="3" t="n"/>
      <c r="K779" s="3" t="n"/>
      <c r="L779" s="3" t="inlineStr">
        <is>
          <t>ចំណាំ</t>
        </is>
      </c>
      <c r="M779" s="3" t="n"/>
      <c r="N779" s="3" t="inlineStr">
        <is>
          <t>"violationReportConclude.colNote": "",</t>
        </is>
      </c>
      <c r="O779" s="3" t="n"/>
      <c r="P779" s="3" t="n"/>
      <c r="Q779" s="3" t="n"/>
      <c r="R779" s="3" t="n"/>
      <c r="S779" s="3" t="n"/>
      <c r="T779" s="3" t="n"/>
      <c r="U779" s="3" t="n"/>
      <c r="V779" s="3" t="n"/>
      <c r="W779" s="3" t="n"/>
      <c r="X779" s="3" t="n"/>
      <c r="Y779" s="3" t="n"/>
      <c r="Z779" s="3" t="n"/>
      <c r="AA779" s="3" t="n"/>
    </row>
    <row r="780">
      <c r="A780" s="104" t="inlineStr">
        <is>
          <t>violationReportConclude.colActionTime</t>
        </is>
      </c>
      <c r="B780" s="104" t="inlineStr">
        <is>
          <t>Thời gian</t>
        </is>
      </c>
      <c r="C780" s="3" t="n"/>
      <c r="D780" s="3" t="n"/>
      <c r="E780" s="3" t="n"/>
      <c r="F780" s="3" t="n"/>
      <c r="G780" s="3" t="n"/>
      <c r="H780" s="3" t="inlineStr">
        <is>
          <t>ពេលវេលា</t>
        </is>
      </c>
      <c r="I780" s="3" t="n"/>
      <c r="J780" s="3" t="n"/>
      <c r="K780" s="3" t="n"/>
      <c r="L780" s="3" t="inlineStr">
        <is>
          <t>ពេលវេលា</t>
        </is>
      </c>
      <c r="M780" s="3" t="n"/>
      <c r="N780" s="3" t="inlineStr">
        <is>
          <t>"violationReportConclude.colActionTime": "",</t>
        </is>
      </c>
      <c r="O780" s="3" t="n"/>
      <c r="P780" s="3" t="n"/>
      <c r="Q780" s="3" t="n"/>
      <c r="R780" s="3" t="n"/>
      <c r="S780" s="3" t="n"/>
      <c r="T780" s="3" t="n"/>
      <c r="U780" s="3" t="n"/>
      <c r="V780" s="3" t="n"/>
      <c r="W780" s="3" t="n"/>
      <c r="X780" s="3" t="n"/>
      <c r="Y780" s="3" t="n"/>
      <c r="Z780" s="3" t="n"/>
      <c r="AA780" s="3" t="n"/>
    </row>
    <row r="781">
      <c r="A781" s="104" t="inlineStr">
        <is>
          <t>violationReportConclude.colActionUnit</t>
        </is>
      </c>
      <c r="B781" s="104" t="inlineStr">
        <is>
          <t>Đơn vị tác động</t>
        </is>
      </c>
      <c r="C781" s="3" t="n"/>
      <c r="D781" s="3" t="n"/>
      <c r="E781" s="3" t="n"/>
      <c r="F781" s="3" t="n"/>
      <c r="G781" s="3" t="n"/>
      <c r="H781" s="3" t="inlineStr">
        <is>
          <t>បញ្ញើ vị tác động</t>
        </is>
      </c>
      <c r="I781" s="3" t="n"/>
      <c r="J781" s="3" t="n"/>
      <c r="K781" s="3" t="n"/>
      <c r="L781" s="3" t="inlineStr">
        <is>
          <t>បញ្ញើ vị tác động</t>
        </is>
      </c>
      <c r="M781" s="3" t="n"/>
      <c r="N781" s="3" t="inlineStr">
        <is>
          <t>"violationReportConclude.colActionUnit": "",</t>
        </is>
      </c>
      <c r="O781" s="3" t="n"/>
      <c r="P781" s="3" t="n"/>
      <c r="Q781" s="3" t="n"/>
      <c r="R781" s="3" t="n"/>
      <c r="S781" s="3" t="n"/>
      <c r="T781" s="3" t="n"/>
      <c r="U781" s="3" t="n"/>
      <c r="V781" s="3" t="n"/>
      <c r="W781" s="3" t="n"/>
      <c r="X781" s="3" t="n"/>
      <c r="Y781" s="3" t="n"/>
      <c r="Z781" s="3" t="n"/>
      <c r="AA781" s="3" t="n"/>
    </row>
    <row r="782">
      <c r="A782" s="104" t="inlineStr">
        <is>
          <t>violationReportConclude.colActor</t>
        </is>
      </c>
      <c r="B782" s="104" t="inlineStr">
        <is>
          <t>Người tác động</t>
        </is>
      </c>
      <c r="C782" s="3" t="n"/>
      <c r="D782" s="3" t="n"/>
      <c r="E782" s="3" t="n"/>
      <c r="F782" s="3" t="n"/>
      <c r="G782" s="3" t="n"/>
      <c r="H782" s="3" t="inlineStr">
        <is>
          <t>អ្នកធ្វើប្រតិបត្តិការ</t>
        </is>
      </c>
      <c r="I782" s="3" t="n"/>
      <c r="J782" s="3" t="n"/>
      <c r="K782" s="3" t="n"/>
      <c r="L782" s="3" t="inlineStr">
        <is>
          <t>អ្នកធ្វើប្រតិបត្តិការ</t>
        </is>
      </c>
      <c r="M782" s="3" t="n"/>
      <c r="N782" s="3" t="inlineStr">
        <is>
          <t>"violationReportConclude.colActor": "",</t>
        </is>
      </c>
      <c r="O782" s="3" t="n"/>
      <c r="P782" s="3" t="n"/>
      <c r="Q782" s="3" t="n"/>
      <c r="R782" s="3" t="n"/>
      <c r="S782" s="3" t="n"/>
      <c r="T782" s="3" t="n"/>
      <c r="U782" s="3" t="n"/>
      <c r="V782" s="3" t="n"/>
      <c r="W782" s="3" t="n"/>
      <c r="X782" s="3" t="n"/>
      <c r="Y782" s="3" t="n"/>
      <c r="Z782" s="3" t="n"/>
      <c r="AA782" s="3" t="n"/>
    </row>
    <row r="783">
      <c r="A783" s="104" t="inlineStr">
        <is>
          <t>violationReportConclude.colAction</t>
        </is>
      </c>
      <c r="B783" s="104" t="inlineStr">
        <is>
          <t>Tác động</t>
        </is>
      </c>
      <c r="C783" s="3" t="n"/>
      <c r="D783" s="3" t="n"/>
      <c r="E783" s="3" t="n"/>
      <c r="F783" s="3" t="n"/>
      <c r="G783" s="3" t="n"/>
      <c r="H783" s="3" t="inlineStr">
        <is>
          <t>ប្រតិបត្តិការ</t>
        </is>
      </c>
      <c r="I783" s="3" t="n"/>
      <c r="J783" s="3" t="n"/>
      <c r="K783" s="3" t="n"/>
      <c r="L783" s="3" t="inlineStr">
        <is>
          <t>ប្រតិបត្តិការ</t>
        </is>
      </c>
      <c r="M783" s="3" t="n"/>
      <c r="N783" s="3" t="inlineStr">
        <is>
          <t>"violationReportConclude.colAction": "",</t>
        </is>
      </c>
      <c r="O783" s="3" t="n"/>
      <c r="P783" s="3" t="n"/>
      <c r="Q783" s="3" t="n"/>
      <c r="R783" s="3" t="n"/>
      <c r="S783" s="3" t="n"/>
      <c r="T783" s="3" t="n"/>
      <c r="U783" s="3" t="n"/>
      <c r="V783" s="3" t="n"/>
      <c r="W783" s="3" t="n"/>
      <c r="X783" s="3" t="n"/>
      <c r="Y783" s="3" t="n"/>
      <c r="Z783" s="3" t="n"/>
      <c r="AA783" s="3" t="n"/>
    </row>
    <row r="784">
      <c r="A784" s="104" t="inlineStr">
        <is>
          <t>violationReportConclude.colFile</t>
        </is>
      </c>
      <c r="B784" s="104" t="inlineStr">
        <is>
          <t>Tệp tin</t>
        </is>
      </c>
      <c r="C784" s="3" t="n"/>
      <c r="D784" s="3" t="n"/>
      <c r="E784" s="3" t="n"/>
      <c r="F784" s="3" t="n"/>
      <c r="G784" s="3" t="n"/>
      <c r="H784" s="3" t="inlineStr">
        <is>
          <t>ឯកសារ</t>
        </is>
      </c>
      <c r="I784" s="3" t="n"/>
      <c r="J784" s="3" t="n"/>
      <c r="K784" s="3" t="n"/>
      <c r="L784" s="3" t="inlineStr">
        <is>
          <t>ឯកសារ</t>
        </is>
      </c>
      <c r="M784" s="3" t="n"/>
      <c r="N784" s="3" t="inlineStr">
        <is>
          <t>"violationReportConclude.colFile": "",</t>
        </is>
      </c>
      <c r="O784" s="3" t="n"/>
      <c r="P784" s="3" t="n"/>
      <c r="Q784" s="3" t="n"/>
      <c r="R784" s="3" t="n"/>
      <c r="S784" s="3" t="n"/>
      <c r="T784" s="3" t="n"/>
      <c r="U784" s="3" t="n"/>
      <c r="V784" s="3" t="n"/>
      <c r="W784" s="3" t="n"/>
      <c r="X784" s="3" t="n"/>
      <c r="Y784" s="3" t="n"/>
      <c r="Z784" s="3" t="n"/>
      <c r="AA784" s="3" t="n"/>
    </row>
    <row r="785">
      <c r="A785" s="104" t="inlineStr">
        <is>
          <t>violationReportConclude.colPostOfficeInput</t>
        </is>
      </c>
      <c r="B785" s="104" t="inlineStr">
        <is>
          <t>Bưu cục nhập</t>
        </is>
      </c>
      <c r="C785" s="3" t="n"/>
      <c r="D785" s="3" t="n"/>
      <c r="E785" s="3" t="n"/>
      <c r="F785" s="3" t="n"/>
      <c r="G785" s="3" t="n"/>
      <c r="H785" s="3" t="inlineStr">
        <is>
          <t>ការិយាល័យប្រៃសណីយ៍បញ្ចូលទិន្នន័យ</t>
        </is>
      </c>
      <c r="I785" s="3" t="n"/>
      <c r="J785" s="3" t="n"/>
      <c r="K785" s="3" t="n"/>
      <c r="L785" s="3" t="inlineStr">
        <is>
          <t>ការិយាល័យប្រៃសណីយ៍បញ្ចូលទិន្នន័យ</t>
        </is>
      </c>
      <c r="M785" s="3" t="n"/>
      <c r="N785" s="3" t="inlineStr">
        <is>
          <t>"violationReportConclude.colPostOfficeInput": "",</t>
        </is>
      </c>
      <c r="O785" s="3" t="n"/>
      <c r="P785" s="3" t="n"/>
      <c r="Q785" s="3" t="n"/>
      <c r="R785" s="3" t="n"/>
      <c r="S785" s="3" t="n"/>
      <c r="T785" s="3" t="n"/>
      <c r="U785" s="3" t="n"/>
      <c r="V785" s="3" t="n"/>
      <c r="W785" s="3" t="n"/>
      <c r="X785" s="3" t="n"/>
      <c r="Y785" s="3" t="n"/>
      <c r="Z785" s="3" t="n"/>
      <c r="AA785" s="3" t="n"/>
    </row>
    <row r="786">
      <c r="A786" s="104" t="inlineStr">
        <is>
          <t>violationReportConclude.colInputTime</t>
        </is>
      </c>
      <c r="B786" s="104" t="inlineStr">
        <is>
          <t>Thời gian nhập</t>
        </is>
      </c>
      <c r="C786" s="3" t="n"/>
      <c r="D786" s="3" t="n"/>
      <c r="E786" s="3" t="n"/>
      <c r="F786" s="3" t="n"/>
      <c r="G786" s="3" t="n"/>
      <c r="H786" s="3" t="inlineStr">
        <is>
          <t>ពេលវេលាnhập</t>
        </is>
      </c>
      <c r="I786" s="3" t="n"/>
      <c r="J786" s="3" t="n"/>
      <c r="K786" s="3" t="n"/>
      <c r="L786" s="3" t="inlineStr">
        <is>
          <t>ពេលវេលាnhập</t>
        </is>
      </c>
      <c r="M786" s="3" t="n"/>
      <c r="N786" s="3" t="inlineStr">
        <is>
          <t>"violationReportConclude.colInputTime": "",</t>
        </is>
      </c>
      <c r="O786" s="3" t="n"/>
      <c r="P786" s="3" t="n"/>
      <c r="Q786" s="3" t="n"/>
      <c r="R786" s="3" t="n"/>
      <c r="S786" s="3" t="n"/>
      <c r="T786" s="3" t="n"/>
      <c r="U786" s="3" t="n"/>
      <c r="V786" s="3" t="n"/>
      <c r="W786" s="3" t="n"/>
      <c r="X786" s="3" t="n"/>
      <c r="Y786" s="3" t="n"/>
      <c r="Z786" s="3" t="n"/>
      <c r="AA786" s="3" t="n"/>
    </row>
    <row r="787">
      <c r="A787" s="104" t="inlineStr">
        <is>
          <t>violationReportConclude.colContent</t>
        </is>
      </c>
      <c r="B787" s="104" t="inlineStr">
        <is>
          <t>Nội dung</t>
        </is>
      </c>
      <c r="C787" s="3" t="n"/>
      <c r="D787" s="3" t="n"/>
      <c r="E787" s="3" t="n"/>
      <c r="F787" s="3" t="n"/>
      <c r="G787" s="3" t="n"/>
      <c r="H787" s="3" t="inlineStr">
        <is>
          <t>ខ្លឹមសារ</t>
        </is>
      </c>
      <c r="I787" s="3" t="n"/>
      <c r="J787" s="3" t="n"/>
      <c r="K787" s="3" t="n"/>
      <c r="L787" s="3" t="inlineStr">
        <is>
          <t>ខ្លឹមសារ</t>
        </is>
      </c>
      <c r="M787" s="3" t="n"/>
      <c r="N787" s="3" t="inlineStr">
        <is>
          <t>"violationReportConclude.colContent": "",</t>
        </is>
      </c>
      <c r="O787" s="3" t="n"/>
      <c r="P787" s="3" t="n"/>
      <c r="Q787" s="3" t="n"/>
      <c r="R787" s="3" t="n"/>
      <c r="S787" s="3" t="n"/>
      <c r="T787" s="3" t="n"/>
      <c r="U787" s="3" t="n"/>
      <c r="V787" s="3" t="n"/>
      <c r="W787" s="3" t="n"/>
      <c r="X787" s="3" t="n"/>
      <c r="Y787" s="3" t="n"/>
      <c r="Z787" s="3" t="n"/>
      <c r="AA787" s="3" t="n"/>
    </row>
    <row r="788">
      <c r="A788" s="104" t="inlineStr">
        <is>
          <t>violationReportConclude.sectionGeneralInfo</t>
        </is>
      </c>
      <c r="B788" s="104" t="inlineStr">
        <is>
          <t>Thông tin chung</t>
        </is>
      </c>
      <c r="C788" s="3" t="n"/>
      <c r="D788" s="3" t="n"/>
      <c r="E788" s="3" t="n"/>
      <c r="F788" s="3" t="n"/>
      <c r="G788" s="3" t="n"/>
      <c r="H788" s="3" t="inlineStr">
        <is>
          <t>ព័ត៌មាន chung</t>
        </is>
      </c>
      <c r="I788" s="3" t="n"/>
      <c r="J788" s="3" t="n"/>
      <c r="K788" s="3" t="n"/>
      <c r="L788" s="3" t="inlineStr">
        <is>
          <t>ព័ត៌មាន chung</t>
        </is>
      </c>
      <c r="M788" s="3" t="n"/>
      <c r="N788" s="3" t="inlineStr">
        <is>
          <t>"violationReportConclude.sectionGeneralInfo": "",</t>
        </is>
      </c>
      <c r="O788" s="3" t="n"/>
      <c r="P788" s="3" t="n"/>
      <c r="Q788" s="3" t="n"/>
      <c r="R788" s="3" t="n"/>
      <c r="S788" s="3" t="n"/>
      <c r="T788" s="3" t="n"/>
      <c r="U788" s="3" t="n"/>
      <c r="V788" s="3" t="n"/>
      <c r="W788" s="3" t="n"/>
      <c r="X788" s="3" t="n"/>
      <c r="Y788" s="3" t="n"/>
      <c r="Z788" s="3" t="n"/>
      <c r="AA788" s="3" t="n"/>
    </row>
    <row r="789">
      <c r="A789" s="104" t="inlineStr">
        <is>
          <t>violationReportConclude.sectionErrorInfo</t>
        </is>
      </c>
      <c r="B789" s="104" t="inlineStr">
        <is>
          <t>Thông tin lỗi</t>
        </is>
      </c>
      <c r="C789" s="3" t="n"/>
      <c r="D789" s="3" t="n"/>
      <c r="E789" s="3" t="n"/>
      <c r="F789" s="3" t="n"/>
      <c r="G789" s="3" t="n"/>
      <c r="H789" s="3" t="inlineStr">
        <is>
          <t>ព័ត៌មាន កំហុស</t>
        </is>
      </c>
      <c r="I789" s="3" t="n"/>
      <c r="J789" s="3" t="n"/>
      <c r="K789" s="3" t="n"/>
      <c r="L789" s="3" t="inlineStr">
        <is>
          <t>ព័ត៌មាន កំហុស</t>
        </is>
      </c>
      <c r="M789" s="3" t="n"/>
      <c r="N789" s="3" t="inlineStr">
        <is>
          <t>"violationReportConclude.sectionErrorInfo": "",</t>
        </is>
      </c>
      <c r="O789" s="3" t="n"/>
      <c r="P789" s="3" t="n"/>
      <c r="Q789" s="3" t="n"/>
      <c r="R789" s="3" t="n"/>
      <c r="S789" s="3" t="n"/>
      <c r="T789" s="3" t="n"/>
      <c r="U789" s="3" t="n"/>
      <c r="V789" s="3" t="n"/>
      <c r="W789" s="3" t="n"/>
      <c r="X789" s="3" t="n"/>
      <c r="Y789" s="3" t="n"/>
      <c r="Z789" s="3" t="n"/>
      <c r="AA789" s="3" t="n"/>
    </row>
    <row r="790">
      <c r="A790" s="104" t="inlineStr">
        <is>
          <t>violationReportConclude.sectionContent</t>
        </is>
      </c>
      <c r="B790" s="104" t="inlineStr">
        <is>
          <t>Nội dung</t>
        </is>
      </c>
      <c r="C790" s="3" t="n"/>
      <c r="D790" s="3" t="n"/>
      <c r="E790" s="3" t="n"/>
      <c r="F790" s="3" t="n"/>
      <c r="G790" s="3" t="n"/>
      <c r="H790" s="3" t="inlineStr">
        <is>
          <t>ខ្លឹមសារ</t>
        </is>
      </c>
      <c r="I790" s="3" t="n"/>
      <c r="J790" s="3" t="n"/>
      <c r="K790" s="3" t="n"/>
      <c r="L790" s="3" t="inlineStr">
        <is>
          <t>ខ្លឹមសារ</t>
        </is>
      </c>
      <c r="M790" s="3" t="n"/>
      <c r="N790" s="3" t="inlineStr">
        <is>
          <t>"violationReportConclude.sectionContent": "",</t>
        </is>
      </c>
      <c r="O790" s="3" t="n"/>
      <c r="P790" s="3" t="n"/>
      <c r="Q790" s="3" t="n"/>
      <c r="R790" s="3" t="n"/>
      <c r="S790" s="3" t="n"/>
      <c r="T790" s="3" t="n"/>
      <c r="U790" s="3" t="n"/>
      <c r="V790" s="3" t="n"/>
      <c r="W790" s="3" t="n"/>
      <c r="X790" s="3" t="n"/>
      <c r="Y790" s="3" t="n"/>
      <c r="Z790" s="3" t="n"/>
      <c r="AA790" s="3" t="n"/>
    </row>
    <row r="791">
      <c r="A791" s="104" t="inlineStr">
        <is>
          <t>violationReportConclude.sectionTrackingList</t>
        </is>
      </c>
      <c r="B791" s="104" t="inlineStr">
        <is>
          <t>Danh sách vận đơn/tải/CCDC</t>
        </is>
      </c>
      <c r="C791" s="3" t="n"/>
      <c r="D791" s="3" t="n"/>
      <c r="E791" s="3" t="n"/>
      <c r="F791" s="3" t="n"/>
      <c r="G791" s="3" t="n"/>
      <c r="H791" s="3" t="inlineStr">
        <is>
          <t>បញ្ជីvận បញ្ញើ/tải/CCDC</t>
        </is>
      </c>
      <c r="I791" s="3" t="n"/>
      <c r="J791" s="3" t="n"/>
      <c r="K791" s="3" t="n"/>
      <c r="L791" s="3" t="inlineStr">
        <is>
          <t>បញ្ជីvận បញ្ញើ/tải/CCDC</t>
        </is>
      </c>
      <c r="M791" s="3" t="n"/>
      <c r="N791" s="3" t="inlineStr">
        <is>
          <t>"violationReportConclude.sectionTrackingList": "",</t>
        </is>
      </c>
      <c r="O791" s="3" t="n"/>
      <c r="P791" s="3" t="n"/>
      <c r="Q791" s="3" t="n"/>
      <c r="R791" s="3" t="n"/>
      <c r="S791" s="3" t="n"/>
      <c r="T791" s="3" t="n"/>
      <c r="U791" s="3" t="n"/>
      <c r="V791" s="3" t="n"/>
      <c r="W791" s="3" t="n"/>
      <c r="X791" s="3" t="n"/>
      <c r="Y791" s="3" t="n"/>
      <c r="Z791" s="3" t="n"/>
      <c r="AA791" s="3" t="n"/>
    </row>
    <row r="792">
      <c r="A792" s="104" t="inlineStr">
        <is>
          <t>violationReportConclude.sectionTrackingListShort</t>
        </is>
      </c>
      <c r="B792" s="104" t="inlineStr">
        <is>
          <t>Danh sách đơn, tải/kiện</t>
        </is>
      </c>
      <c r="C792" s="3" t="n"/>
      <c r="D792" s="3" t="n"/>
      <c r="E792" s="3" t="n"/>
      <c r="F792" s="3" t="n"/>
      <c r="G792" s="3" t="n"/>
      <c r="H792" s="3" t="inlineStr">
        <is>
          <t>បញ្ជីបញ្ញើ, tải/kiện</t>
        </is>
      </c>
      <c r="I792" s="3" t="n"/>
      <c r="J792" s="3" t="n"/>
      <c r="K792" s="3" t="n"/>
      <c r="L792" s="3" t="inlineStr">
        <is>
          <t>បញ្ជីបញ្ញើ, tải/kiện</t>
        </is>
      </c>
      <c r="M792" s="3" t="n"/>
      <c r="N792" s="3" t="inlineStr">
        <is>
          <t>"violationReportConclude.sectionTrackingListShort": "",</t>
        </is>
      </c>
      <c r="O792" s="3" t="n"/>
      <c r="P792" s="3" t="n"/>
      <c r="Q792" s="3" t="n"/>
      <c r="R792" s="3" t="n"/>
      <c r="S792" s="3" t="n"/>
      <c r="T792" s="3" t="n"/>
      <c r="U792" s="3" t="n"/>
      <c r="V792" s="3" t="n"/>
      <c r="W792" s="3" t="n"/>
      <c r="X792" s="3" t="n"/>
      <c r="Y792" s="3" t="n"/>
      <c r="Z792" s="3" t="n"/>
      <c r="AA792" s="3" t="n"/>
    </row>
    <row r="793">
      <c r="A793" s="104" t="inlineStr">
        <is>
          <t>violationReportConclude.sectionTrackingForRecord</t>
        </is>
      </c>
      <c r="B793" s="104" t="inlineStr">
        <is>
          <t>Lập cho vận đơn, tải/kiện</t>
        </is>
      </c>
      <c r="C793" s="3" t="n"/>
      <c r="D793" s="3" t="n"/>
      <c r="E793" s="3" t="n"/>
      <c r="F793" s="3" t="n"/>
      <c r="G793" s="3" t="n"/>
      <c r="H793" s="3" t="inlineStr">
        <is>
          <t>Lập cho vận បញ្ញើ, tải/kiện</t>
        </is>
      </c>
      <c r="I793" s="3" t="n"/>
      <c r="J793" s="3" t="n"/>
      <c r="K793" s="3" t="n"/>
      <c r="L793" s="3" t="inlineStr">
        <is>
          <t>Lập cho vận បញ្ញើ, tải/kiện</t>
        </is>
      </c>
      <c r="M793" s="3" t="n"/>
      <c r="N793" s="3" t="inlineStr">
        <is>
          <t>"violationReportConclude.sectionTrackingForRecord": "",</t>
        </is>
      </c>
      <c r="O793" s="3" t="n"/>
      <c r="P793" s="3" t="n"/>
      <c r="Q793" s="3" t="n"/>
      <c r="R793" s="3" t="n"/>
      <c r="S793" s="3" t="n"/>
      <c r="T793" s="3" t="n"/>
      <c r="U793" s="3" t="n"/>
      <c r="V793" s="3" t="n"/>
      <c r="W793" s="3" t="n"/>
      <c r="X793" s="3" t="n"/>
      <c r="Y793" s="3" t="n"/>
      <c r="Z793" s="3" t="n"/>
      <c r="AA793" s="3" t="n"/>
    </row>
    <row r="794">
      <c r="A794" s="104" t="inlineStr">
        <is>
          <t>violationReportConclude.sectionTrackingInput</t>
        </is>
      </c>
      <c r="B794" s="104" t="inlineStr">
        <is>
          <t>Mã vận đơn, tải/kiện</t>
        </is>
      </c>
      <c r="C794" s="3" t="n"/>
      <c r="D794" s="3" t="n"/>
      <c r="E794" s="3" t="n"/>
      <c r="F794" s="3" t="n"/>
      <c r="G794" s="3" t="n"/>
      <c r="H794" s="3" t="inlineStr">
        <is>
          <t>លេខកូដvận បញ្ញើ, tải/kiện</t>
        </is>
      </c>
      <c r="I794" s="3" t="n"/>
      <c r="J794" s="3" t="n"/>
      <c r="K794" s="3" t="n"/>
      <c r="L794" s="3" t="inlineStr">
        <is>
          <t>លេខកូដvận បញ្ញើ, tải/kiện</t>
        </is>
      </c>
      <c r="M794" s="3" t="n"/>
      <c r="N794" s="3" t="inlineStr">
        <is>
          <t>"violationReportConclude.sectionTrackingInput": "",</t>
        </is>
      </c>
      <c r="O794" s="3" t="n"/>
      <c r="P794" s="3" t="n"/>
      <c r="Q794" s="3" t="n"/>
      <c r="R794" s="3" t="n"/>
      <c r="S794" s="3" t="n"/>
      <c r="T794" s="3" t="n"/>
      <c r="U794" s="3" t="n"/>
      <c r="V794" s="3" t="n"/>
      <c r="W794" s="3" t="n"/>
      <c r="X794" s="3" t="n"/>
      <c r="Y794" s="3" t="n"/>
      <c r="Z794" s="3" t="n"/>
      <c r="AA794" s="3" t="n"/>
    </row>
    <row r="795">
      <c r="A795" s="104" t="inlineStr">
        <is>
          <t>violationReportConclude.sectionViolationUnit</t>
        </is>
      </c>
      <c r="B795" s="104" t="inlineStr">
        <is>
          <t>Đơn vị vi phạm</t>
        </is>
      </c>
      <c r="C795" s="3" t="n"/>
      <c r="D795" s="3" t="n"/>
      <c r="E795" s="3" t="n"/>
      <c r="F795" s="3" t="n"/>
      <c r="G795" s="3" t="n"/>
      <c r="H795" s="3" t="inlineStr">
        <is>
          <t>បញ្ញើ vị vi phạm</t>
        </is>
      </c>
      <c r="I795" s="3" t="n"/>
      <c r="J795" s="3" t="n"/>
      <c r="K795" s="3" t="n"/>
      <c r="L795" s="3" t="inlineStr">
        <is>
          <t>បញ្ញើ vị vi phạm</t>
        </is>
      </c>
      <c r="M795" s="3" t="n"/>
      <c r="N795" s="3" t="inlineStr">
        <is>
          <t>"violationReportConclude.sectionViolationUnit": "",</t>
        </is>
      </c>
      <c r="O795" s="3" t="n"/>
      <c r="P795" s="3" t="n"/>
      <c r="Q795" s="3" t="n"/>
      <c r="R795" s="3" t="n"/>
      <c r="S795" s="3" t="n"/>
      <c r="T795" s="3" t="n"/>
      <c r="U795" s="3" t="n"/>
      <c r="V795" s="3" t="n"/>
      <c r="W795" s="3" t="n"/>
      <c r="X795" s="3" t="n"/>
      <c r="Y795" s="3" t="n"/>
      <c r="Z795" s="3" t="n"/>
      <c r="AA795" s="3" t="n"/>
    </row>
    <row r="796">
      <c r="A796" s="104" t="inlineStr">
        <is>
          <t>violationReportConclude.sectionConclusion</t>
        </is>
      </c>
      <c r="B796" s="104" t="inlineStr">
        <is>
          <t>Kết luận</t>
        </is>
      </c>
      <c r="C796" s="3" t="n"/>
      <c r="D796" s="3" t="n"/>
      <c r="E796" s="3" t="n"/>
      <c r="F796" s="3" t="n"/>
      <c r="G796" s="3" t="n"/>
      <c r="H796" s="3" t="inlineStr">
        <is>
          <t>សេចក្តីសន្និដ្ឋាន</t>
        </is>
      </c>
      <c r="I796" s="3" t="n"/>
      <c r="J796" s="3" t="n"/>
      <c r="K796" s="3" t="n"/>
      <c r="L796" s="3" t="inlineStr">
        <is>
          <t>សេចក្តីសន្និដ្ឋាន</t>
        </is>
      </c>
      <c r="M796" s="3" t="n"/>
      <c r="N796" s="3" t="inlineStr">
        <is>
          <t>"violationReportConclude.sectionConclusion": "",</t>
        </is>
      </c>
      <c r="O796" s="3" t="n"/>
      <c r="P796" s="3" t="n"/>
      <c r="Q796" s="3" t="n"/>
      <c r="R796" s="3" t="n"/>
      <c r="S796" s="3" t="n"/>
      <c r="T796" s="3" t="n"/>
      <c r="U796" s="3" t="n"/>
      <c r="V796" s="3" t="n"/>
      <c r="W796" s="3" t="n"/>
      <c r="X796" s="3" t="n"/>
      <c r="Y796" s="3" t="n"/>
      <c r="Z796" s="3" t="n"/>
      <c r="AA796" s="3" t="n"/>
    </row>
    <row r="797">
      <c r="A797" s="104" t="inlineStr">
        <is>
          <t>violationReportConclude.sectionProcessInfo</t>
        </is>
      </c>
      <c r="B797" s="104" t="inlineStr">
        <is>
          <t>Thông tin xử lý biên bản tại bưu cục</t>
        </is>
      </c>
      <c r="C797" s="3" t="n"/>
      <c r="D797" s="3" t="n"/>
      <c r="E797" s="3" t="n"/>
      <c r="F797" s="3" t="n"/>
      <c r="G797" s="3" t="n"/>
      <c r="H797" s="3" t="inlineStr">
        <is>
          <t>ព័ត៌មាន xử lý កំណត់ហេតុ tại ការិយាល័យប្រៃសណីយ៍</t>
        </is>
      </c>
      <c r="I797" s="3" t="n"/>
      <c r="J797" s="3" t="n"/>
      <c r="K797" s="3" t="n"/>
      <c r="L797" s="3" t="inlineStr">
        <is>
          <t>ព័ត៌មាន xử lý កំណត់ហេតុ tại ការិយាល័យប្រៃសណីយ៍</t>
        </is>
      </c>
      <c r="M797" s="3" t="n"/>
      <c r="N797" s="3" t="inlineStr">
        <is>
          <t>"violationReportConclude.sectionProcessInfo": "",</t>
        </is>
      </c>
      <c r="O797" s="3" t="n"/>
      <c r="P797" s="3" t="n"/>
      <c r="Q797" s="3" t="n"/>
      <c r="R797" s="3" t="n"/>
      <c r="S797" s="3" t="n"/>
      <c r="T797" s="3" t="n"/>
      <c r="U797" s="3" t="n"/>
      <c r="V797" s="3" t="n"/>
      <c r="W797" s="3" t="n"/>
      <c r="X797" s="3" t="n"/>
      <c r="Y797" s="3" t="n"/>
      <c r="Z797" s="3" t="n"/>
      <c r="AA797" s="3" t="n"/>
    </row>
    <row r="798">
      <c r="A798" s="104" t="inlineStr">
        <is>
          <t>violationReportConclude.sectionActionHistory</t>
        </is>
      </c>
      <c r="B798" s="104" t="inlineStr">
        <is>
          <t>Lịch sử tác động</t>
        </is>
      </c>
      <c r="C798" s="3" t="n"/>
      <c r="D798" s="3" t="n"/>
      <c r="E798" s="3" t="n"/>
      <c r="F798" s="3" t="n"/>
      <c r="G798" s="3" t="n"/>
      <c r="H798" s="3" t="inlineStr">
        <is>
          <t>ប្រវត្តិ tác động</t>
        </is>
      </c>
      <c r="I798" s="3" t="n"/>
      <c r="J798" s="3" t="n"/>
      <c r="K798" s="3" t="n"/>
      <c r="L798" s="3" t="inlineStr">
        <is>
          <t>ប្រវត្តិ tác động</t>
        </is>
      </c>
      <c r="M798" s="3" t="n"/>
      <c r="N798" s="3" t="inlineStr">
        <is>
          <t>"violationReportConclude.sectionActionHistory": "",</t>
        </is>
      </c>
      <c r="O798" s="3" t="n"/>
      <c r="P798" s="3" t="n"/>
      <c r="Q798" s="3" t="n"/>
      <c r="R798" s="3" t="n"/>
      <c r="S798" s="3" t="n"/>
      <c r="T798" s="3" t="n"/>
      <c r="U798" s="3" t="n"/>
      <c r="V798" s="3" t="n"/>
      <c r="W798" s="3" t="n"/>
      <c r="X798" s="3" t="n"/>
      <c r="Y798" s="3" t="n"/>
      <c r="Z798" s="3" t="n"/>
      <c r="AA798" s="3" t="n"/>
    </row>
    <row r="799">
      <c r="A799" s="104" t="inlineStr">
        <is>
          <t>violationReportConclude.sectionExplainHistory</t>
        </is>
      </c>
      <c r="B799" s="104" t="inlineStr">
        <is>
          <t>Lịch sử giải trình</t>
        </is>
      </c>
      <c r="C799" s="3" t="n"/>
      <c r="D799" s="3" t="n"/>
      <c r="E799" s="3" t="n"/>
      <c r="F799" s="3" t="n"/>
      <c r="G799" s="3" t="n"/>
      <c r="H799" s="3" t="inlineStr">
        <is>
          <t>ប្រវត្តិ giải trình</t>
        </is>
      </c>
      <c r="I799" s="3" t="n"/>
      <c r="J799" s="3" t="n"/>
      <c r="K799" s="3" t="n"/>
      <c r="L799" s="3" t="inlineStr">
        <is>
          <t>ប្រវត្តិ giải trình</t>
        </is>
      </c>
      <c r="M799" s="3" t="n"/>
      <c r="N799" s="3" t="inlineStr">
        <is>
          <t>"violationReportConclude.sectionExplainHistory": "",</t>
        </is>
      </c>
      <c r="O799" s="3" t="n"/>
      <c r="P799" s="3" t="n"/>
      <c r="Q799" s="3" t="n"/>
      <c r="R799" s="3" t="n"/>
      <c r="S799" s="3" t="n"/>
      <c r="T799" s="3" t="n"/>
      <c r="U799" s="3" t="n"/>
      <c r="V799" s="3" t="n"/>
      <c r="W799" s="3" t="n"/>
      <c r="X799" s="3" t="n"/>
      <c r="Y799" s="3" t="n"/>
      <c r="Z799" s="3" t="n"/>
      <c r="AA799" s="3" t="n"/>
    </row>
    <row r="800">
      <c r="A800" s="104" t="inlineStr">
        <is>
          <t>violationReportConclude.lblRecordCreator</t>
        </is>
      </c>
      <c r="B800" s="104" t="inlineStr">
        <is>
          <t>Nhân viên lập</t>
        </is>
      </c>
      <c r="C800" s="3" t="n"/>
      <c r="D800" s="3" t="n"/>
      <c r="E800" s="3" t="n"/>
      <c r="F800" s="3" t="n"/>
      <c r="G800" s="3" t="n"/>
      <c r="H800" s="3" t="inlineStr">
        <is>
          <t>បុគ្គលិក lập</t>
        </is>
      </c>
      <c r="I800" s="3" t="n"/>
      <c r="J800" s="3" t="n"/>
      <c r="K800" s="3" t="n"/>
      <c r="L800" s="3" t="inlineStr">
        <is>
          <t>បុគ្គលិក lập</t>
        </is>
      </c>
      <c r="M800" s="3" t="n"/>
      <c r="N800" s="3" t="inlineStr">
        <is>
          <t>"violationReportConclude.lblRecordCreator": "",</t>
        </is>
      </c>
      <c r="O800" s="3" t="n"/>
      <c r="P800" s="3" t="n"/>
      <c r="Q800" s="3" t="n"/>
      <c r="R800" s="3" t="n"/>
      <c r="S800" s="3" t="n"/>
      <c r="T800" s="3" t="n"/>
      <c r="U800" s="3" t="n"/>
      <c r="V800" s="3" t="n"/>
      <c r="W800" s="3" t="n"/>
      <c r="X800" s="3" t="n"/>
      <c r="Y800" s="3" t="n"/>
      <c r="Z800" s="3" t="n"/>
      <c r="AA800" s="3" t="n"/>
    </row>
    <row r="801">
      <c r="A801" s="104" t="inlineStr">
        <is>
          <t>violationReportConclude.lblRecordCode</t>
        </is>
      </c>
      <c r="B801" s="104" t="inlineStr">
        <is>
          <t>Mã biên bản</t>
        </is>
      </c>
      <c r="C801" s="3" t="n"/>
      <c r="D801" s="3" t="n"/>
      <c r="E801" s="3" t="n"/>
      <c r="F801" s="3" t="n"/>
      <c r="G801" s="3" t="n"/>
      <c r="H801" s="3" t="inlineStr">
        <is>
          <t>លេខកូដកំណត់ហេតុ</t>
        </is>
      </c>
      <c r="I801" s="3" t="n"/>
      <c r="J801" s="3" t="n"/>
      <c r="K801" s="3" t="n"/>
      <c r="L801" s="3" t="inlineStr">
        <is>
          <t>លេខកូដកំណត់ហេតុ</t>
        </is>
      </c>
      <c r="M801" s="3" t="n"/>
      <c r="N801" s="3" t="inlineStr">
        <is>
          <t>"violationReportConclude.lblRecordCode": "",</t>
        </is>
      </c>
      <c r="O801" s="3" t="n"/>
      <c r="P801" s="3" t="n"/>
      <c r="Q801" s="3" t="n"/>
      <c r="R801" s="3" t="n"/>
      <c r="S801" s="3" t="n"/>
      <c r="T801" s="3" t="n"/>
      <c r="U801" s="3" t="n"/>
      <c r="V801" s="3" t="n"/>
      <c r="W801" s="3" t="n"/>
      <c r="X801" s="3" t="n"/>
      <c r="Y801" s="3" t="n"/>
      <c r="Z801" s="3" t="n"/>
      <c r="AA801" s="3" t="n"/>
    </row>
    <row r="802">
      <c r="A802" s="104" t="inlineStr">
        <is>
          <t>violationReportConclude.lblCreatedDate</t>
        </is>
      </c>
      <c r="B802" s="104" t="inlineStr">
        <is>
          <t>Ngày lập</t>
        </is>
      </c>
      <c r="C802" s="3" t="n"/>
      <c r="D802" s="3" t="n"/>
      <c r="E802" s="3" t="n"/>
      <c r="F802" s="3" t="n"/>
      <c r="G802" s="3" t="n"/>
      <c r="H802" s="3" t="inlineStr">
        <is>
          <t>កាលបរិច្ឆេទlập</t>
        </is>
      </c>
      <c r="I802" s="3" t="n"/>
      <c r="J802" s="3" t="n"/>
      <c r="K802" s="3" t="n"/>
      <c r="L802" s="3" t="inlineStr">
        <is>
          <t>កាលបរិច្ឆេទlập</t>
        </is>
      </c>
      <c r="M802" s="3" t="n"/>
      <c r="N802" s="3" t="inlineStr">
        <is>
          <t>"violationReportConclude.lblCreatedDate": "",</t>
        </is>
      </c>
      <c r="O802" s="3" t="n"/>
      <c r="P802" s="3" t="n"/>
      <c r="Q802" s="3" t="n"/>
      <c r="R802" s="3" t="n"/>
      <c r="S802" s="3" t="n"/>
      <c r="T802" s="3" t="n"/>
      <c r="U802" s="3" t="n"/>
      <c r="V802" s="3" t="n"/>
      <c r="W802" s="3" t="n"/>
      <c r="X802" s="3" t="n"/>
      <c r="Y802" s="3" t="n"/>
      <c r="Z802" s="3" t="n"/>
      <c r="AA802" s="3" t="n"/>
    </row>
    <row r="803">
      <c r="A803" s="104" t="inlineStr">
        <is>
          <t>violationReportConclude.lblReferenceCode</t>
        </is>
      </c>
      <c r="B803" s="104" t="inlineStr">
        <is>
          <t>Mã biên bản tham chiếu</t>
        </is>
      </c>
      <c r="C803" s="3" t="n"/>
      <c r="D803" s="3" t="n"/>
      <c r="E803" s="3" t="n"/>
      <c r="F803" s="3" t="n"/>
      <c r="G803" s="3" t="n"/>
      <c r="H803" s="3" t="inlineStr">
        <is>
          <t>លេខកូដកំណត់ហេតុ tham chiếu</t>
        </is>
      </c>
      <c r="I803" s="3" t="n"/>
      <c r="J803" s="3" t="n"/>
      <c r="K803" s="3" t="n"/>
      <c r="L803" s="3" t="inlineStr">
        <is>
          <t>លេខកូដកំណត់ហេតុ tham chiếu</t>
        </is>
      </c>
      <c r="M803" s="3" t="n"/>
      <c r="N803" s="3" t="inlineStr">
        <is>
          <t>"violationReportConclude.lblReferenceCode": "",</t>
        </is>
      </c>
      <c r="O803" s="3" t="n"/>
      <c r="P803" s="3" t="n"/>
      <c r="Q803" s="3" t="n"/>
      <c r="R803" s="3" t="n"/>
      <c r="S803" s="3" t="n"/>
      <c r="T803" s="3" t="n"/>
      <c r="U803" s="3" t="n"/>
      <c r="V803" s="3" t="n"/>
      <c r="W803" s="3" t="n"/>
      <c r="X803" s="3" t="n"/>
      <c r="Y803" s="3" t="n"/>
      <c r="Z803" s="3" t="n"/>
      <c r="AA803" s="3" t="n"/>
    </row>
    <row r="804">
      <c r="A804" s="104" t="inlineStr">
        <is>
          <t>violationReportConclude.lblPostOfficeFiled</t>
        </is>
      </c>
      <c r="B804" s="104" t="inlineStr">
        <is>
          <t>Bưu cục bị lập</t>
        </is>
      </c>
      <c r="C804" s="3" t="n"/>
      <c r="D804" s="3" t="n"/>
      <c r="E804" s="3" t="n"/>
      <c r="F804" s="3" t="n"/>
      <c r="G804" s="3" t="n"/>
      <c r="H804" s="3" t="inlineStr">
        <is>
          <t>ការិយាល័យប្រៃសណីយ៍ bị lập</t>
        </is>
      </c>
      <c r="I804" s="3" t="n"/>
      <c r="J804" s="3" t="n"/>
      <c r="K804" s="3" t="n"/>
      <c r="L804" s="3" t="inlineStr">
        <is>
          <t>ការិយាល័យប្រៃសណីយ៍ bị lập</t>
        </is>
      </c>
      <c r="M804" s="3" t="n"/>
      <c r="N804" s="3" t="inlineStr">
        <is>
          <t>"violationReportConclude.lblPostOfficeFiled": "",</t>
        </is>
      </c>
      <c r="O804" s="3" t="n"/>
      <c r="P804" s="3" t="n"/>
      <c r="Q804" s="3" t="n"/>
      <c r="R804" s="3" t="n"/>
      <c r="S804" s="3" t="n"/>
      <c r="T804" s="3" t="n"/>
      <c r="U804" s="3" t="n"/>
      <c r="V804" s="3" t="n"/>
      <c r="W804" s="3" t="n"/>
      <c r="X804" s="3" t="n"/>
      <c r="Y804" s="3" t="n"/>
      <c r="Z804" s="3" t="n"/>
      <c r="AA804" s="3" t="n"/>
    </row>
    <row r="805">
      <c r="A805" s="104" t="inlineStr">
        <is>
          <t>violationReportConclude.lblCreatingPostOffice</t>
        </is>
      </c>
      <c r="B805" s="104" t="inlineStr">
        <is>
          <t>Bưu cục lập</t>
        </is>
      </c>
      <c r="C805" s="3" t="n"/>
      <c r="D805" s="3" t="n"/>
      <c r="E805" s="3" t="n"/>
      <c r="F805" s="3" t="n"/>
      <c r="G805" s="3" t="n"/>
      <c r="H805" s="3" t="inlineStr">
        <is>
          <t>ការិយាល័យប្រៃសណីយ៍ lập</t>
        </is>
      </c>
      <c r="I805" s="3" t="n"/>
      <c r="J805" s="3" t="n"/>
      <c r="K805" s="3" t="n"/>
      <c r="L805" s="3" t="inlineStr">
        <is>
          <t>ការិយាល័យប្រៃសណីយ៍ lập</t>
        </is>
      </c>
      <c r="M805" s="3" t="n"/>
      <c r="N805" s="3" t="inlineStr">
        <is>
          <t>"violationReportConclude.lblCreatingPostOffice": "",</t>
        </is>
      </c>
      <c r="O805" s="3" t="n"/>
      <c r="P805" s="3" t="n"/>
      <c r="Q805" s="3" t="n"/>
      <c r="R805" s="3" t="n"/>
      <c r="S805" s="3" t="n"/>
      <c r="T805" s="3" t="n"/>
      <c r="U805" s="3" t="n"/>
      <c r="V805" s="3" t="n"/>
      <c r="W805" s="3" t="n"/>
      <c r="X805" s="3" t="n"/>
      <c r="Y805" s="3" t="n"/>
      <c r="Z805" s="3" t="n"/>
      <c r="AA805" s="3" t="n"/>
    </row>
    <row r="806">
      <c r="A806" s="104" t="inlineStr">
        <is>
          <t>violationReportConclude.lblTargetPO</t>
        </is>
      </c>
      <c r="B806" s="104" t="inlineStr">
        <is>
          <t>Lập cho bưu cục</t>
        </is>
      </c>
      <c r="C806" s="3" t="n"/>
      <c r="D806" s="3" t="n"/>
      <c r="E806" s="3" t="n"/>
      <c r="F806" s="3" t="n"/>
      <c r="G806" s="3" t="n"/>
      <c r="H806" s="3" t="inlineStr">
        <is>
          <t>Lập cho ការិយាល័យប្រៃសណីយ៍</t>
        </is>
      </c>
      <c r="I806" s="3" t="n"/>
      <c r="J806" s="3" t="n"/>
      <c r="K806" s="3" t="n"/>
      <c r="L806" s="3" t="inlineStr">
        <is>
          <t>Lập cho ការិយាល័យប្រៃសណីយ៍</t>
        </is>
      </c>
      <c r="M806" s="3" t="n"/>
      <c r="N806" s="3" t="inlineStr">
        <is>
          <t>"violationReportConclude.lblTargetPO": "",</t>
        </is>
      </c>
      <c r="O806" s="3" t="n"/>
      <c r="P806" s="3" t="n"/>
      <c r="Q806" s="3" t="n"/>
      <c r="R806" s="3" t="n"/>
      <c r="S806" s="3" t="n"/>
      <c r="T806" s="3" t="n"/>
      <c r="U806" s="3" t="n"/>
      <c r="V806" s="3" t="n"/>
      <c r="W806" s="3" t="n"/>
      <c r="X806" s="3" t="n"/>
      <c r="Y806" s="3" t="n"/>
      <c r="Z806" s="3" t="n"/>
      <c r="AA806" s="3" t="n"/>
    </row>
    <row r="807">
      <c r="A807" s="104" t="inlineStr">
        <is>
          <t>violationReportConclude.lblErrorCode</t>
        </is>
      </c>
      <c r="B807" s="104" t="inlineStr">
        <is>
          <t>Mã lỗi</t>
        </is>
      </c>
      <c r="C807" s="3" t="n"/>
      <c r="D807" s="3" t="n"/>
      <c r="E807" s="3" t="n"/>
      <c r="F807" s="3" t="n"/>
      <c r="G807" s="3" t="n"/>
      <c r="H807" s="3" t="inlineStr">
        <is>
          <t>លេខកូដកំហុស/បញ្ហា</t>
        </is>
      </c>
      <c r="I807" s="3" t="n"/>
      <c r="J807" s="3" t="n"/>
      <c r="K807" s="3" t="n"/>
      <c r="L807" s="3" t="inlineStr">
        <is>
          <t>លេខកូដកំហុស/បញ្ហា</t>
        </is>
      </c>
      <c r="M807" s="3" t="n"/>
      <c r="N807" s="3" t="inlineStr">
        <is>
          <t>"violationReportConclude.lblErrorCode": "",</t>
        </is>
      </c>
      <c r="O807" s="3" t="n"/>
      <c r="P807" s="3" t="n"/>
      <c r="Q807" s="3" t="n"/>
      <c r="R807" s="3" t="n"/>
      <c r="S807" s="3" t="n"/>
      <c r="T807" s="3" t="n"/>
      <c r="U807" s="3" t="n"/>
      <c r="V807" s="3" t="n"/>
      <c r="W807" s="3" t="n"/>
      <c r="X807" s="3" t="n"/>
      <c r="Y807" s="3" t="n"/>
      <c r="Z807" s="3" t="n"/>
      <c r="AA807" s="3" t="n"/>
    </row>
    <row r="808">
      <c r="A808" s="104" t="inlineStr">
        <is>
          <t>violationReportConclude.lblErrorIndicator</t>
        </is>
      </c>
      <c r="B808" s="104" t="inlineStr">
        <is>
          <t>Chỉ tiêu lỗi</t>
        </is>
      </c>
      <c r="C808" s="3" t="n"/>
      <c r="D808" s="3" t="n"/>
      <c r="E808" s="3" t="n"/>
      <c r="F808" s="3" t="n"/>
      <c r="G808" s="3" t="n"/>
      <c r="H808" s="3" t="inlineStr">
        <is>
          <t>Chỉ tiêu កំហុស</t>
        </is>
      </c>
      <c r="I808" s="3" t="n"/>
      <c r="J808" s="3" t="n"/>
      <c r="K808" s="3" t="n"/>
      <c r="L808" s="3" t="inlineStr">
        <is>
          <t>Chỉ tiêu កំហុស</t>
        </is>
      </c>
      <c r="M808" s="3" t="n"/>
      <c r="N808" s="3" t="inlineStr">
        <is>
          <t>"violationReportConclude.lblErrorIndicator": "",</t>
        </is>
      </c>
      <c r="O808" s="3" t="n"/>
      <c r="P808" s="3" t="n"/>
      <c r="Q808" s="3" t="n"/>
      <c r="R808" s="3" t="n"/>
      <c r="S808" s="3" t="n"/>
      <c r="T808" s="3" t="n"/>
      <c r="U808" s="3" t="n"/>
      <c r="V808" s="3" t="n"/>
      <c r="W808" s="3" t="n"/>
      <c r="X808" s="3" t="n"/>
      <c r="Y808" s="3" t="n"/>
      <c r="Z808" s="3" t="n"/>
      <c r="AA808" s="3" t="n"/>
    </row>
    <row r="809">
      <c r="A809" s="104" t="inlineStr">
        <is>
          <t>violationReportConclude.lblErrorDetail</t>
        </is>
      </c>
      <c r="B809" s="104" t="inlineStr">
        <is>
          <t>Chi tiết lỗi</t>
        </is>
      </c>
      <c r="C809" s="3" t="n"/>
      <c r="D809" s="3" t="n"/>
      <c r="E809" s="3" t="n"/>
      <c r="F809" s="3" t="n"/>
      <c r="G809" s="3" t="n"/>
      <c r="H809" s="3" t="inlineStr">
        <is>
          <t>ព័ត៌មានលម្អិតកំហុស</t>
        </is>
      </c>
      <c r="I809" s="3" t="n"/>
      <c r="J809" s="3" t="n"/>
      <c r="K809" s="3" t="n"/>
      <c r="L809" s="3" t="inlineStr">
        <is>
          <t>ព័ត៌មានលម្អិតកំហុស</t>
        </is>
      </c>
      <c r="M809" s="3" t="n"/>
      <c r="N809" s="3" t="inlineStr">
        <is>
          <t>"violationReportConclude.lblErrorDetail": "",</t>
        </is>
      </c>
      <c r="O809" s="3" t="n"/>
      <c r="P809" s="3" t="n"/>
      <c r="Q809" s="3" t="n"/>
      <c r="R809" s="3" t="n"/>
      <c r="S809" s="3" t="n"/>
      <c r="T809" s="3" t="n"/>
      <c r="U809" s="3" t="n"/>
      <c r="V809" s="3" t="n"/>
      <c r="W809" s="3" t="n"/>
      <c r="X809" s="3" t="n"/>
      <c r="Y809" s="3" t="n"/>
      <c r="Z809" s="3" t="n"/>
      <c r="AA809" s="3" t="n"/>
    </row>
    <row r="810">
      <c r="A810" s="104" t="inlineStr">
        <is>
          <t>violationReportConclude.lblErrorDetailShort</t>
        </is>
      </c>
      <c r="B810" s="104" t="inlineStr">
        <is>
          <t>Chi tiết</t>
        </is>
      </c>
      <c r="C810" s="3" t="n"/>
      <c r="D810" s="3" t="n"/>
      <c r="E810" s="3" t="n"/>
      <c r="F810" s="3" t="n"/>
      <c r="G810" s="3" t="n"/>
      <c r="H810" s="3" t="inlineStr">
        <is>
          <t>ព័ត៌មានលម្អិត</t>
        </is>
      </c>
      <c r="I810" s="3" t="n"/>
      <c r="J810" s="3" t="n"/>
      <c r="K810" s="3" t="n"/>
      <c r="L810" s="3" t="inlineStr">
        <is>
          <t>ព័ត៌មានលម្អិត</t>
        </is>
      </c>
      <c r="M810" s="3" t="n"/>
      <c r="N810" s="3" t="inlineStr">
        <is>
          <t>"violationReportConclude.lblErrorDetailShort": "",</t>
        </is>
      </c>
      <c r="O810" s="3" t="n"/>
      <c r="P810" s="3" t="n"/>
      <c r="Q810" s="3" t="n"/>
      <c r="R810" s="3" t="n"/>
      <c r="S810" s="3" t="n"/>
      <c r="T810" s="3" t="n"/>
      <c r="U810" s="3" t="n"/>
      <c r="V810" s="3" t="n"/>
      <c r="W810" s="3" t="n"/>
      <c r="X810" s="3" t="n"/>
      <c r="Y810" s="3" t="n"/>
      <c r="Z810" s="3" t="n"/>
      <c r="AA810" s="3" t="n"/>
    </row>
    <row r="811">
      <c r="A811" s="104" t="inlineStr">
        <is>
          <t>violationReportConclude.lblErrorRecord</t>
        </is>
      </c>
      <c r="B811" s="104" t="inlineStr">
        <is>
          <t>Lỗi biên bản</t>
        </is>
      </c>
      <c r="C811" s="3" t="n"/>
      <c r="D811" s="3" t="n"/>
      <c r="E811" s="3" t="n"/>
      <c r="F811" s="3" t="n"/>
      <c r="G811" s="3" t="n"/>
      <c r="H811" s="3" t="inlineStr">
        <is>
          <t>កំហុស កំណត់ហេតុ</t>
        </is>
      </c>
      <c r="I811" s="3" t="n"/>
      <c r="J811" s="3" t="n"/>
      <c r="K811" s="3" t="n"/>
      <c r="L811" s="3" t="inlineStr">
        <is>
          <t>កំហុស កំណត់ហេតុ</t>
        </is>
      </c>
      <c r="M811" s="3" t="n"/>
      <c r="N811" s="3" t="inlineStr">
        <is>
          <t>"violationReportConclude.lblErrorRecord": "",</t>
        </is>
      </c>
      <c r="O811" s="3" t="n"/>
      <c r="P811" s="3" t="n"/>
      <c r="Q811" s="3" t="n"/>
      <c r="R811" s="3" t="n"/>
      <c r="S811" s="3" t="n"/>
      <c r="T811" s="3" t="n"/>
      <c r="U811" s="3" t="n"/>
      <c r="V811" s="3" t="n"/>
      <c r="W811" s="3" t="n"/>
      <c r="X811" s="3" t="n"/>
      <c r="Y811" s="3" t="n"/>
      <c r="Z811" s="3" t="n"/>
      <c r="AA811" s="3" t="n"/>
    </row>
    <row r="812">
      <c r="A812" s="104" t="inlineStr">
        <is>
          <t>violationReportConclude.lblStatus</t>
        </is>
      </c>
      <c r="B812" s="104" t="inlineStr">
        <is>
          <t>Trạng thái</t>
        </is>
      </c>
      <c r="C812" s="3" t="n"/>
      <c r="D812" s="3" t="n"/>
      <c r="E812" s="3" t="n"/>
      <c r="F812" s="3" t="n"/>
      <c r="G812" s="3" t="n"/>
      <c r="H812" s="3" t="inlineStr">
        <is>
          <t>ស្ថានភាព</t>
        </is>
      </c>
      <c r="I812" s="3" t="n"/>
      <c r="J812" s="3" t="n"/>
      <c r="K812" s="3" t="n"/>
      <c r="L812" s="3" t="inlineStr">
        <is>
          <t>ស្ថានភាព</t>
        </is>
      </c>
      <c r="M812" s="3" t="n"/>
      <c r="N812" s="3" t="inlineStr">
        <is>
          <t>"violationReportConclude.lblStatus": "",</t>
        </is>
      </c>
      <c r="O812" s="3" t="n"/>
      <c r="P812" s="3" t="n"/>
      <c r="Q812" s="3" t="n"/>
      <c r="R812" s="3" t="n"/>
      <c r="S812" s="3" t="n"/>
      <c r="T812" s="3" t="n"/>
      <c r="U812" s="3" t="n"/>
      <c r="V812" s="3" t="n"/>
      <c r="W812" s="3" t="n"/>
      <c r="X812" s="3" t="n"/>
      <c r="Y812" s="3" t="n"/>
      <c r="Z812" s="3" t="n"/>
      <c r="AA812" s="3" t="n"/>
    </row>
    <row r="813">
      <c r="A813" s="104" t="inlineStr">
        <is>
          <t>violationReportConclude.lblViolator</t>
        </is>
      </c>
      <c r="B813" s="104" t="inlineStr">
        <is>
          <t>Cá nhân vi phạm</t>
        </is>
      </c>
      <c r="C813" s="3" t="n"/>
      <c r="D813" s="3" t="n"/>
      <c r="E813" s="3" t="n"/>
      <c r="F813" s="3" t="n"/>
      <c r="G813" s="3" t="n"/>
      <c r="H813" s="3" t="inlineStr">
        <is>
          <t>បុគ្គលល្មើស</t>
        </is>
      </c>
      <c r="I813" s="3" t="n"/>
      <c r="J813" s="3" t="n"/>
      <c r="K813" s="3" t="n"/>
      <c r="L813" s="3" t="inlineStr">
        <is>
          <t>បុគ្គលល្មើស</t>
        </is>
      </c>
      <c r="M813" s="3" t="n"/>
      <c r="N813" s="3" t="inlineStr">
        <is>
          <t>"violationReportConclude.lblViolator": "",</t>
        </is>
      </c>
      <c r="O813" s="3" t="n"/>
      <c r="P813" s="3" t="n"/>
      <c r="Q813" s="3" t="n"/>
      <c r="R813" s="3" t="n"/>
      <c r="S813" s="3" t="n"/>
      <c r="T813" s="3" t="n"/>
      <c r="U813" s="3" t="n"/>
      <c r="V813" s="3" t="n"/>
      <c r="W813" s="3" t="n"/>
      <c r="X813" s="3" t="n"/>
      <c r="Y813" s="3" t="n"/>
      <c r="Z813" s="3" t="n"/>
      <c r="AA813" s="3" t="n"/>
    </row>
    <row r="814">
      <c r="A814" s="104" t="inlineStr">
        <is>
          <t>violationReportConclude.lblRecordContent</t>
        </is>
      </c>
      <c r="B814" s="104" t="inlineStr">
        <is>
          <t>Nội dung biên bản</t>
        </is>
      </c>
      <c r="C814" s="3" t="n"/>
      <c r="D814" s="3" t="n"/>
      <c r="E814" s="3" t="n"/>
      <c r="F814" s="3" t="n"/>
      <c r="G814" s="3" t="n"/>
      <c r="H814" s="3" t="inlineStr">
        <is>
          <t>ខ្លឹមសារ កំណត់ហេតុ</t>
        </is>
      </c>
      <c r="I814" s="3" t="n"/>
      <c r="J814" s="3" t="n"/>
      <c r="K814" s="3" t="n"/>
      <c r="L814" s="3" t="inlineStr">
        <is>
          <t>ខ្លឹមសារ កំណត់ហេតុ</t>
        </is>
      </c>
      <c r="M814" s="3" t="n"/>
      <c r="N814" s="3" t="inlineStr">
        <is>
          <t>"violationReportConclude.lblRecordContent": "",</t>
        </is>
      </c>
      <c r="O814" s="3" t="n"/>
      <c r="P814" s="3" t="n"/>
      <c r="Q814" s="3" t="n"/>
      <c r="R814" s="3" t="n"/>
      <c r="S814" s="3" t="n"/>
      <c r="T814" s="3" t="n"/>
      <c r="U814" s="3" t="n"/>
      <c r="V814" s="3" t="n"/>
      <c r="W814" s="3" t="n"/>
      <c r="X814" s="3" t="n"/>
      <c r="Y814" s="3" t="n"/>
      <c r="Z814" s="3" t="n"/>
      <c r="AA814" s="3" t="n"/>
    </row>
    <row r="815">
      <c r="A815" s="104" t="inlineStr">
        <is>
          <t>violationReportConclude.lblAttachmentFile</t>
        </is>
      </c>
      <c r="B815" s="104" t="inlineStr">
        <is>
          <t>File đính kèm</t>
        </is>
      </c>
      <c r="C815" s="3" t="n"/>
      <c r="D815" s="3" t="n"/>
      <c r="E815" s="3" t="n"/>
      <c r="F815" s="3" t="n"/>
      <c r="G815" s="3" t="n"/>
      <c r="H815" s="3" t="inlineStr">
        <is>
          <t>ឯកសារភ្ជាប់</t>
        </is>
      </c>
      <c r="I815" s="3" t="n"/>
      <c r="J815" s="3" t="n"/>
      <c r="K815" s="3" t="n"/>
      <c r="L815" s="3" t="inlineStr">
        <is>
          <t>ឯកសារភ្ជាប់</t>
        </is>
      </c>
      <c r="M815" s="3" t="n"/>
      <c r="N815" s="3" t="inlineStr">
        <is>
          <t>"violationReportConclude.lblAttachmentFile": "",</t>
        </is>
      </c>
      <c r="O815" s="3" t="n"/>
      <c r="P815" s="3" t="n"/>
      <c r="Q815" s="3" t="n"/>
      <c r="R815" s="3" t="n"/>
      <c r="S815" s="3" t="n"/>
      <c r="T815" s="3" t="n"/>
      <c r="U815" s="3" t="n"/>
      <c r="V815" s="3" t="n"/>
      <c r="W815" s="3" t="n"/>
      <c r="X815" s="3" t="n"/>
      <c r="Y815" s="3" t="n"/>
      <c r="Z815" s="3" t="n"/>
      <c r="AA815" s="3" t="n"/>
    </row>
    <row r="816">
      <c r="A816" s="104" t="inlineStr">
        <is>
          <t>violationReportConclude.lblKpiDeadline</t>
        </is>
      </c>
      <c r="B816" s="104" t="inlineStr">
        <is>
          <t>Ngày hết KPI kết luận</t>
        </is>
      </c>
      <c r="C816" s="3" t="n"/>
      <c r="D816" s="3" t="n"/>
      <c r="E816" s="3" t="n"/>
      <c r="F816" s="3" t="n"/>
      <c r="G816" s="3" t="n"/>
      <c r="H816" s="3" t="inlineStr">
        <is>
          <t>កាលបរិច្ឆេទhết KPI kết luận</t>
        </is>
      </c>
      <c r="I816" s="3" t="n"/>
      <c r="J816" s="3" t="n"/>
      <c r="K816" s="3" t="n"/>
      <c r="L816" s="3" t="inlineStr">
        <is>
          <t>កាលបរិច្ឆេទhết KPI kết luận</t>
        </is>
      </c>
      <c r="M816" s="3" t="n"/>
      <c r="N816" s="3" t="inlineStr">
        <is>
          <t>"violationReportConclude.lblKpiDeadline": "",</t>
        </is>
      </c>
      <c r="O816" s="3" t="n"/>
      <c r="P816" s="3" t="n"/>
      <c r="Q816" s="3" t="n"/>
      <c r="R816" s="3" t="n"/>
      <c r="S816" s="3" t="n"/>
      <c r="T816" s="3" t="n"/>
      <c r="U816" s="3" t="n"/>
      <c r="V816" s="3" t="n"/>
      <c r="W816" s="3" t="n"/>
      <c r="X816" s="3" t="n"/>
      <c r="Y816" s="3" t="n"/>
      <c r="Z816" s="3" t="n"/>
      <c r="AA816" s="3" t="n"/>
    </row>
    <row r="817">
      <c r="A817" s="104" t="inlineStr">
        <is>
          <t>violationReportConclude.lblKpiExplainDeadline</t>
        </is>
      </c>
      <c r="B817" s="104" t="inlineStr">
        <is>
          <t>Ngày hết KPI giải trình</t>
        </is>
      </c>
      <c r="C817" s="3" t="n"/>
      <c r="D817" s="3" t="n"/>
      <c r="E817" s="3" t="n"/>
      <c r="F817" s="3" t="n"/>
      <c r="G817" s="3" t="n"/>
      <c r="H817" s="3" t="inlineStr">
        <is>
          <t>កាលបរិច្ឆេទhết KPI giải trình</t>
        </is>
      </c>
      <c r="I817" s="3" t="n"/>
      <c r="J817" s="3" t="n"/>
      <c r="K817" s="3" t="n"/>
      <c r="L817" s="3" t="inlineStr">
        <is>
          <t>កាលបរិច្ឆេទhết KPI giải trình</t>
        </is>
      </c>
      <c r="M817" s="3" t="n"/>
      <c r="N817" s="3" t="inlineStr">
        <is>
          <t>"violationReportConclude.lblKpiExplainDeadline": "",</t>
        </is>
      </c>
      <c r="O817" s="3" t="n"/>
      <c r="P817" s="3" t="n"/>
      <c r="Q817" s="3" t="n"/>
      <c r="R817" s="3" t="n"/>
      <c r="S817" s="3" t="n"/>
      <c r="T817" s="3" t="n"/>
      <c r="U817" s="3" t="n"/>
      <c r="V817" s="3" t="n"/>
      <c r="W817" s="3" t="n"/>
      <c r="X817" s="3" t="n"/>
      <c r="Y817" s="3" t="n"/>
      <c r="Z817" s="3" t="n"/>
      <c r="AA817" s="3" t="n"/>
    </row>
    <row r="818">
      <c r="A818" s="104" t="inlineStr">
        <is>
          <t>violationReportConclude.lblConclusionContent</t>
        </is>
      </c>
      <c r="B818" s="104" t="inlineStr">
        <is>
          <t>Nội dung kết luận</t>
        </is>
      </c>
      <c r="C818" s="3" t="n"/>
      <c r="D818" s="3" t="n"/>
      <c r="E818" s="3" t="n"/>
      <c r="F818" s="3" t="n"/>
      <c r="G818" s="3" t="n"/>
      <c r="H818" s="3" t="inlineStr">
        <is>
          <t>ខ្លឹមសារ kết luận</t>
        </is>
      </c>
      <c r="I818" s="3" t="n"/>
      <c r="J818" s="3" t="n"/>
      <c r="K818" s="3" t="n"/>
      <c r="L818" s="3" t="inlineStr">
        <is>
          <t>ខ្លឹមសារ kết luận</t>
        </is>
      </c>
      <c r="M818" s="3" t="n"/>
      <c r="N818" s="3" t="inlineStr">
        <is>
          <t>"violationReportConclude.lblConclusionContent": "",</t>
        </is>
      </c>
      <c r="O818" s="3" t="n"/>
      <c r="P818" s="3" t="n"/>
      <c r="Q818" s="3" t="n"/>
      <c r="R818" s="3" t="n"/>
      <c r="S818" s="3" t="n"/>
      <c r="T818" s="3" t="n"/>
      <c r="U818" s="3" t="n"/>
      <c r="V818" s="3" t="n"/>
      <c r="W818" s="3" t="n"/>
      <c r="X818" s="3" t="n"/>
      <c r="Y818" s="3" t="n"/>
      <c r="Z818" s="3" t="n"/>
      <c r="AA818" s="3" t="n"/>
    </row>
    <row r="819">
      <c r="A819" s="104" t="inlineStr">
        <is>
          <t>violationReportConclude.btnExplainHistory</t>
        </is>
      </c>
      <c r="B819" s="104" t="inlineStr">
        <is>
          <t>Lịch sử giải trình</t>
        </is>
      </c>
      <c r="C819" s="3" t="n"/>
      <c r="D819" s="3" t="n"/>
      <c r="E819" s="3" t="n"/>
      <c r="F819" s="3" t="n"/>
      <c r="G819" s="3" t="n"/>
      <c r="H819" s="3" t="inlineStr">
        <is>
          <t>ប្រវត្តិ giải trình</t>
        </is>
      </c>
      <c r="I819" s="3" t="n"/>
      <c r="J819" s="3" t="n"/>
      <c r="K819" s="3" t="n"/>
      <c r="L819" s="3" t="inlineStr">
        <is>
          <t>ប្រវត្តិ giải trình</t>
        </is>
      </c>
      <c r="M819" s="3" t="n"/>
      <c r="N819" s="3" t="inlineStr">
        <is>
          <t>"violationReportConclude.btnExplainHistory": "",</t>
        </is>
      </c>
      <c r="O819" s="3" t="n"/>
      <c r="P819" s="3" t="n"/>
      <c r="Q819" s="3" t="n"/>
      <c r="R819" s="3" t="n"/>
      <c r="S819" s="3" t="n"/>
      <c r="T819" s="3" t="n"/>
      <c r="U819" s="3" t="n"/>
      <c r="V819" s="3" t="n"/>
      <c r="W819" s="3" t="n"/>
      <c r="X819" s="3" t="n"/>
      <c r="Y819" s="3" t="n"/>
      <c r="Z819" s="3" t="n"/>
      <c r="AA819" s="3" t="n"/>
    </row>
    <row r="820">
      <c r="A820" s="104" t="inlineStr">
        <is>
          <t>violationReportConclude.btnConfirmCorrect</t>
        </is>
      </c>
      <c r="B820" s="104" t="inlineStr">
        <is>
          <t>Xác nhận biên bản lập đúng</t>
        </is>
      </c>
      <c r="C820" s="3" t="n"/>
      <c r="D820" s="3" t="n"/>
      <c r="E820" s="3" t="n"/>
      <c r="F820" s="3" t="n"/>
      <c r="G820" s="3" t="n"/>
      <c r="H820" s="3" t="inlineStr">
        <is>
          <t>បញ្ជាក់ កំណត់ហេតុ lập đúng</t>
        </is>
      </c>
      <c r="I820" s="3" t="n"/>
      <c r="J820" s="3" t="n"/>
      <c r="K820" s="3" t="n"/>
      <c r="L820" s="3" t="inlineStr">
        <is>
          <t>បញ្ជាក់ កំណត់ហេតុ lập đúng</t>
        </is>
      </c>
      <c r="M820" s="3" t="n"/>
      <c r="N820" s="3" t="inlineStr">
        <is>
          <t>"violationReportConclude.btnConfirmCorrect": "",</t>
        </is>
      </c>
      <c r="O820" s="3" t="n"/>
      <c r="P820" s="3" t="n"/>
      <c r="Q820" s="3" t="n"/>
      <c r="R820" s="3" t="n"/>
      <c r="S820" s="3" t="n"/>
      <c r="T820" s="3" t="n"/>
      <c r="U820" s="3" t="n"/>
      <c r="V820" s="3" t="n"/>
      <c r="W820" s="3" t="n"/>
      <c r="X820" s="3" t="n"/>
      <c r="Y820" s="3" t="n"/>
      <c r="Z820" s="3" t="n"/>
      <c r="AA820" s="3" t="n"/>
    </row>
    <row r="821">
      <c r="A821" s="104" t="inlineStr">
        <is>
          <t>violationReportConclude.btnConfirmIncorrect</t>
        </is>
      </c>
      <c r="B821" s="104" t="inlineStr">
        <is>
          <t>Xác nhận biên bản lập sai</t>
        </is>
      </c>
      <c r="C821" s="3" t="n"/>
      <c r="D821" s="3" t="n"/>
      <c r="E821" s="3" t="n"/>
      <c r="F821" s="3" t="n"/>
      <c r="G821" s="3" t="n"/>
      <c r="H821" s="3" t="inlineStr">
        <is>
          <t>បញ្ជាក់ កំណត់ហេតុ lập sai</t>
        </is>
      </c>
      <c r="I821" s="3" t="n"/>
      <c r="J821" s="3" t="n"/>
      <c r="K821" s="3" t="n"/>
      <c r="L821" s="3" t="inlineStr">
        <is>
          <t>បញ្ជាក់ កំណត់ហេតុ lập sai</t>
        </is>
      </c>
      <c r="M821" s="3" t="n"/>
      <c r="N821" s="3" t="inlineStr">
        <is>
          <t>"violationReportConclude.btnConfirmIncorrect": "",</t>
        </is>
      </c>
      <c r="O821" s="3" t="n"/>
      <c r="P821" s="3" t="n"/>
      <c r="Q821" s="3" t="n"/>
      <c r="R821" s="3" t="n"/>
      <c r="S821" s="3" t="n"/>
      <c r="T821" s="3" t="n"/>
      <c r="U821" s="3" t="n"/>
      <c r="V821" s="3" t="n"/>
      <c r="W821" s="3" t="n"/>
      <c r="X821" s="3" t="n"/>
      <c r="Y821" s="3" t="n"/>
      <c r="Z821" s="3" t="n"/>
      <c r="AA821" s="3" t="n"/>
    </row>
    <row r="822">
      <c r="A822" s="104" t="inlineStr">
        <is>
          <t>violationReportConclude.btnCreateInternal</t>
        </is>
      </c>
      <c r="B822" s="104" t="inlineStr">
        <is>
          <t>Tạo biên bản nội bộ</t>
        </is>
      </c>
      <c r="C822" s="3" t="n"/>
      <c r="D822" s="3" t="n"/>
      <c r="E822" s="3" t="n"/>
      <c r="F822" s="3" t="n"/>
      <c r="G822" s="3" t="n"/>
      <c r="H822" s="3" t="inlineStr">
        <is>
          <t>បង្កើតកំណត់ហេតុ nội bộ</t>
        </is>
      </c>
      <c r="I822" s="3" t="n"/>
      <c r="J822" s="3" t="n"/>
      <c r="K822" s="3" t="n"/>
      <c r="L822" s="3" t="inlineStr">
        <is>
          <t>បង្កើតកំណត់ហេតុ nội bộ</t>
        </is>
      </c>
      <c r="M822" s="3" t="n"/>
      <c r="N822" s="3" t="inlineStr">
        <is>
          <t>"violationReportConclude.btnCreateInternal": "",</t>
        </is>
      </c>
      <c r="O822" s="3" t="n"/>
      <c r="P822" s="3" t="n"/>
      <c r="Q822" s="3" t="n"/>
      <c r="R822" s="3" t="n"/>
      <c r="S822" s="3" t="n"/>
      <c r="T822" s="3" t="n"/>
      <c r="U822" s="3" t="n"/>
      <c r="V822" s="3" t="n"/>
      <c r="W822" s="3" t="n"/>
      <c r="X822" s="3" t="n"/>
      <c r="Y822" s="3" t="n"/>
      <c r="Z822" s="3" t="n"/>
      <c r="AA822" s="3" t="n"/>
    </row>
    <row r="823">
      <c r="A823" s="104" t="inlineStr">
        <is>
          <t>violationReportConclude.btnTransfer</t>
        </is>
      </c>
      <c r="B823" s="104" t="inlineStr">
        <is>
          <t>Chuyển xử lý</t>
        </is>
      </c>
      <c r="C823" s="3" t="n"/>
      <c r="D823" s="3" t="n"/>
      <c r="E823" s="3" t="n"/>
      <c r="F823" s="3" t="n"/>
      <c r="G823" s="3" t="n"/>
      <c r="H823" s="3" t="inlineStr">
        <is>
          <t>បញ្ជូនទៅដោះស្រាយ</t>
        </is>
      </c>
      <c r="I823" s="3" t="n"/>
      <c r="J823" s="3" t="n"/>
      <c r="K823" s="3" t="n"/>
      <c r="L823" s="3" t="inlineStr">
        <is>
          <t>បញ្ជូនទៅដោះស្រាយ</t>
        </is>
      </c>
      <c r="M823" s="3" t="n"/>
      <c r="N823" s="3" t="inlineStr">
        <is>
          <t>"violationReportConclude.btnTransfer": "",</t>
        </is>
      </c>
      <c r="O823" s="3" t="n"/>
      <c r="P823" s="3" t="n"/>
      <c r="Q823" s="3" t="n"/>
      <c r="R823" s="3" t="n"/>
      <c r="S823" s="3" t="n"/>
      <c r="T823" s="3" t="n"/>
      <c r="U823" s="3" t="n"/>
      <c r="V823" s="3" t="n"/>
      <c r="W823" s="3" t="n"/>
      <c r="X823" s="3" t="n"/>
      <c r="Y823" s="3" t="n"/>
      <c r="Z823" s="3" t="n"/>
      <c r="AA823" s="3" t="n"/>
    </row>
    <row r="824">
      <c r="A824" s="104" t="inlineStr">
        <is>
          <t>violationReportConclude.titleCreate</t>
        </is>
      </c>
      <c r="B824" s="104" t="inlineStr">
        <is>
          <t>Tạo biên bản nội bộ</t>
        </is>
      </c>
      <c r="C824" s="3" t="n"/>
      <c r="D824" s="3" t="n"/>
      <c r="E824" s="3" t="n"/>
      <c r="F824" s="3" t="n"/>
      <c r="G824" s="3" t="n"/>
      <c r="H824" s="3" t="inlineStr">
        <is>
          <t>បង្កើតកំណត់ហេតុ nội bộ</t>
        </is>
      </c>
      <c r="I824" s="3" t="n"/>
      <c r="J824" s="3" t="n"/>
      <c r="K824" s="3" t="n"/>
      <c r="L824" s="3" t="inlineStr">
        <is>
          <t>បង្កើតកំណត់ហេតុ nội bộ</t>
        </is>
      </c>
      <c r="M824" s="3" t="n"/>
      <c r="N824" s="3" t="inlineStr">
        <is>
          <t>"violationReportConclude.titleCreate": "",</t>
        </is>
      </c>
      <c r="O824" s="3" t="n"/>
      <c r="P824" s="3" t="n"/>
      <c r="Q824" s="3" t="n"/>
      <c r="R824" s="3" t="n"/>
      <c r="S824" s="3" t="n"/>
      <c r="T824" s="3" t="n"/>
      <c r="U824" s="3" t="n"/>
      <c r="V824" s="3" t="n"/>
      <c r="W824" s="3" t="n"/>
      <c r="X824" s="3" t="n"/>
      <c r="Y824" s="3" t="n"/>
      <c r="Z824" s="3" t="n"/>
      <c r="AA824" s="3" t="n"/>
    </row>
    <row r="825">
      <c r="A825" s="104" t="inlineStr">
        <is>
          <t>violationReportConclude.titleConcludeDetail</t>
        </is>
      </c>
      <c r="B825" s="104" t="inlineStr">
        <is>
          <t>Kết luận biên bản</t>
        </is>
      </c>
      <c r="C825" s="3" t="n"/>
      <c r="D825" s="3" t="n"/>
      <c r="E825" s="3" t="n"/>
      <c r="F825" s="3" t="n"/>
      <c r="G825" s="3" t="n"/>
      <c r="H825" s="3" t="inlineStr">
        <is>
          <t>ការសន្និដ្ឋានកំណត់ហេតុ</t>
        </is>
      </c>
      <c r="I825" s="3" t="n"/>
      <c r="J825" s="3" t="n"/>
      <c r="K825" s="3" t="n"/>
      <c r="L825" s="3" t="inlineStr">
        <is>
          <t>ការសន្និដ្ឋានកំណត់ហេតុ</t>
        </is>
      </c>
      <c r="M825" s="3" t="n"/>
      <c r="N825" s="3" t="inlineStr">
        <is>
          <t>"violationReportConclude.titleConcludeDetail": "",</t>
        </is>
      </c>
      <c r="O825" s="3" t="n"/>
      <c r="P825" s="3" t="n"/>
      <c r="Q825" s="3" t="n"/>
      <c r="R825" s="3" t="n"/>
      <c r="S825" s="3" t="n"/>
      <c r="T825" s="3" t="n"/>
      <c r="U825" s="3" t="n"/>
      <c r="V825" s="3" t="n"/>
      <c r="W825" s="3" t="n"/>
      <c r="X825" s="3" t="n"/>
      <c r="Y825" s="3" t="n"/>
      <c r="Z825" s="3" t="n"/>
      <c r="AA825" s="3" t="n"/>
    </row>
    <row r="826">
      <c r="A826" s="104" t="inlineStr">
        <is>
          <t>violationReportConclude.badgeConcluding</t>
        </is>
      </c>
      <c r="B826" s="104" t="inlineStr">
        <is>
          <t>Biên bản kết xét</t>
        </is>
      </c>
      <c r="C826" s="3" t="n"/>
      <c r="D826" s="3" t="n"/>
      <c r="E826" s="3" t="n"/>
      <c r="F826" s="3" t="n"/>
      <c r="G826" s="3" t="n"/>
      <c r="H826" s="3" t="inlineStr">
        <is>
          <t>កំណត់ហេតុ kết xét</t>
        </is>
      </c>
      <c r="I826" s="3" t="n"/>
      <c r="J826" s="3" t="n"/>
      <c r="K826" s="3" t="n"/>
      <c r="L826" s="3" t="inlineStr">
        <is>
          <t>កំណត់ហេតុ kết xét</t>
        </is>
      </c>
      <c r="M826" s="3" t="n"/>
      <c r="N826" s="3" t="inlineStr">
        <is>
          <t>"violationReportConclude.badgeConcluding": "",</t>
        </is>
      </c>
      <c r="O826" s="3" t="n"/>
      <c r="P826" s="3" t="n"/>
      <c r="Q826" s="3" t="n"/>
      <c r="R826" s="3" t="n"/>
      <c r="S826" s="3" t="n"/>
      <c r="T826" s="3" t="n"/>
      <c r="U826" s="3" t="n"/>
      <c r="V826" s="3" t="n"/>
      <c r="W826" s="3" t="n"/>
      <c r="X826" s="3" t="n"/>
      <c r="Y826" s="3" t="n"/>
      <c r="Z826" s="3" t="n"/>
      <c r="AA826" s="3" t="n"/>
    </row>
    <row r="827">
      <c r="A827" s="104" t="inlineStr">
        <is>
          <t>violationReportConclude.badgeNotExplained</t>
        </is>
      </c>
      <c r="B827" s="104" t="inlineStr">
        <is>
          <t>Chưa giải trình biên bản</t>
        </is>
      </c>
      <c r="C827" s="3" t="n"/>
      <c r="D827" s="3" t="n"/>
      <c r="E827" s="3" t="n"/>
      <c r="F827" s="3" t="n"/>
      <c r="G827" s="3" t="n"/>
      <c r="H827" s="3" t="inlineStr">
        <is>
          <t>Chưa giải trình កំណត់ហេតុ</t>
        </is>
      </c>
      <c r="I827" s="3" t="n"/>
      <c r="J827" s="3" t="n"/>
      <c r="K827" s="3" t="n"/>
      <c r="L827" s="3" t="inlineStr">
        <is>
          <t>Chưa giải trình កំណត់ហេតុ</t>
        </is>
      </c>
      <c r="M827" s="3" t="n"/>
      <c r="N827" s="3" t="inlineStr">
        <is>
          <t>"violationReportConclude.badgeNotExplained": "",</t>
        </is>
      </c>
      <c r="O827" s="3" t="n"/>
      <c r="P827" s="3" t="n"/>
      <c r="Q827" s="3" t="n"/>
      <c r="R827" s="3" t="n"/>
      <c r="S827" s="3" t="n"/>
      <c r="T827" s="3" t="n"/>
      <c r="U827" s="3" t="n"/>
      <c r="V827" s="3" t="n"/>
      <c r="W827" s="3" t="n"/>
      <c r="X827" s="3" t="n"/>
      <c r="Y827" s="3" t="n"/>
      <c r="Z827" s="3" t="n"/>
      <c r="AA827" s="3" t="n"/>
    </row>
    <row r="828">
      <c r="A828" s="104" t="inlineStr">
        <is>
          <t>violationReportConclude.titleDetailMinutes</t>
        </is>
      </c>
      <c r="B828" s="104" t="inlineStr">
        <is>
          <t>Chi tiết biên bản</t>
        </is>
      </c>
      <c r="C828" s="3" t="n"/>
      <c r="D828" s="3" t="n"/>
      <c r="E828" s="3" t="n"/>
      <c r="F828" s="3" t="n"/>
      <c r="G828" s="3" t="n"/>
      <c r="H828" s="3" t="inlineStr">
        <is>
          <t>ព័ត៌មានលម្អិតកំណត់ហេតុ</t>
        </is>
      </c>
      <c r="I828" s="3" t="n"/>
      <c r="J828" s="3" t="n"/>
      <c r="K828" s="3" t="n"/>
      <c r="L828" s="3" t="inlineStr">
        <is>
          <t>ព័ត៌មានលម្អិតកំណត់ហេតុ</t>
        </is>
      </c>
      <c r="M828" s="3" t="n"/>
      <c r="N828" s="3" t="inlineStr">
        <is>
          <t>"violationReportConclude.titleDetailMinutes": "",</t>
        </is>
      </c>
      <c r="O828" s="3" t="n"/>
      <c r="P828" s="3" t="n"/>
      <c r="Q828" s="3" t="n"/>
      <c r="R828" s="3" t="n"/>
      <c r="S828" s="3" t="n"/>
      <c r="T828" s="3" t="n"/>
      <c r="U828" s="3" t="n"/>
      <c r="V828" s="3" t="n"/>
      <c r="W828" s="3" t="n"/>
      <c r="X828" s="3" t="n"/>
      <c r="Y828" s="3" t="n"/>
      <c r="Z828" s="3" t="n"/>
      <c r="AA828" s="3" t="n"/>
    </row>
    <row r="829">
      <c r="A829" s="104" t="inlineStr">
        <is>
          <t>violationReportConclude.dialogAddViolationUnit</t>
        </is>
      </c>
      <c r="B829" s="104" t="inlineStr">
        <is>
          <t>Thêm mới đơn vị vi phạm</t>
        </is>
      </c>
      <c r="C829" s="3" t="n"/>
      <c r="D829" s="3" t="n"/>
      <c r="E829" s="3" t="n"/>
      <c r="F829" s="3" t="n"/>
      <c r="G829" s="3" t="n"/>
      <c r="H829" s="3" t="inlineStr">
        <is>
          <t>បន្ថែមថ្មី បញ្ញើ vị vi phạm</t>
        </is>
      </c>
      <c r="I829" s="3" t="n"/>
      <c r="J829" s="3" t="n"/>
      <c r="K829" s="3" t="n"/>
      <c r="L829" s="3" t="inlineStr">
        <is>
          <t>បន្ថែមថ្មី បញ្ញើ vị vi phạm</t>
        </is>
      </c>
      <c r="M829" s="3" t="n"/>
      <c r="N829" s="3" t="inlineStr">
        <is>
          <t>"violationReportConclude.dialogAddViolationUnit": "",</t>
        </is>
      </c>
      <c r="O829" s="3" t="n"/>
      <c r="P829" s="3" t="n"/>
      <c r="Q829" s="3" t="n"/>
      <c r="R829" s="3" t="n"/>
      <c r="S829" s="3" t="n"/>
      <c r="T829" s="3" t="n"/>
      <c r="U829" s="3" t="n"/>
      <c r="V829" s="3" t="n"/>
      <c r="W829" s="3" t="n"/>
      <c r="X829" s="3" t="n"/>
      <c r="Y829" s="3" t="n"/>
      <c r="Z829" s="3" t="n"/>
      <c r="AA829" s="3" t="n"/>
    </row>
    <row r="830">
      <c r="A830" s="104" t="inlineStr">
        <is>
          <t>violationReportConclude.dialogEditViolationUnit</t>
        </is>
      </c>
      <c r="B830" s="104" t="inlineStr">
        <is>
          <t>Cập nhật đơn vị vi phạm</t>
        </is>
      </c>
      <c r="C830" s="3" t="n"/>
      <c r="D830" s="3" t="n"/>
      <c r="E830" s="3" t="n"/>
      <c r="F830" s="3" t="n"/>
      <c r="G830" s="3" t="n"/>
      <c r="H830" s="3" t="inlineStr">
        <is>
          <t>ធ្វើបច្ចុប្បន្នភាពបញ្ញើ vị vi phạm</t>
        </is>
      </c>
      <c r="I830" s="3" t="n"/>
      <c r="J830" s="3" t="n"/>
      <c r="K830" s="3" t="n"/>
      <c r="L830" s="3" t="inlineStr">
        <is>
          <t>ធ្វើបច្ចុប្បន្នភាពបញ្ញើ vị vi phạm</t>
        </is>
      </c>
      <c r="M830" s="3" t="n"/>
      <c r="N830" s="3" t="inlineStr">
        <is>
          <t>"violationReportConclude.dialogEditViolationUnit": "",</t>
        </is>
      </c>
      <c r="O830" s="3" t="n"/>
      <c r="P830" s="3" t="n"/>
      <c r="Q830" s="3" t="n"/>
      <c r="R830" s="3" t="n"/>
      <c r="S830" s="3" t="n"/>
      <c r="T830" s="3" t="n"/>
      <c r="U830" s="3" t="n"/>
      <c r="V830" s="3" t="n"/>
      <c r="W830" s="3" t="n"/>
      <c r="X830" s="3" t="n"/>
      <c r="Y830" s="3" t="n"/>
      <c r="Z830" s="3" t="n"/>
      <c r="AA830" s="3" t="n"/>
    </row>
    <row r="831">
      <c r="A831" s="104" t="inlineStr">
        <is>
          <t>violationReportConclude.dialogNotice</t>
        </is>
      </c>
      <c r="B831" s="104" t="inlineStr">
        <is>
          <t>Thông báo</t>
        </is>
      </c>
      <c r="C831" s="3" t="n"/>
      <c r="D831" s="3" t="n"/>
      <c r="E831" s="3" t="n"/>
      <c r="F831" s="3" t="n"/>
      <c r="G831" s="3" t="n"/>
      <c r="H831" s="3" t="inlineStr">
        <is>
          <t>ការជូនដំណឹង</t>
        </is>
      </c>
      <c r="I831" s="3" t="n"/>
      <c r="J831" s="3" t="n"/>
      <c r="K831" s="3" t="n"/>
      <c r="L831" s="3" t="inlineStr">
        <is>
          <t>ការជូនដំណឹង</t>
        </is>
      </c>
      <c r="M831" s="3" t="n"/>
      <c r="N831" s="3" t="inlineStr">
        <is>
          <t>"violationReportConclude.dialogNotice": "",</t>
        </is>
      </c>
      <c r="O831" s="3" t="n"/>
      <c r="P831" s="3" t="n"/>
      <c r="Q831" s="3" t="n"/>
      <c r="R831" s="3" t="n"/>
      <c r="S831" s="3" t="n"/>
      <c r="T831" s="3" t="n"/>
      <c r="U831" s="3" t="n"/>
      <c r="V831" s="3" t="n"/>
      <c r="W831" s="3" t="n"/>
      <c r="X831" s="3" t="n"/>
      <c r="Y831" s="3" t="n"/>
      <c r="Z831" s="3" t="n"/>
      <c r="AA831" s="3" t="n"/>
    </row>
    <row r="832">
      <c r="A832" s="104" t="inlineStr">
        <is>
          <t>violationReportConclude.dialogConfirmCorrectMsg</t>
        </is>
      </c>
      <c r="B832" s="104" t="inlineStr">
        <is>
          <t>Đồng chí có chắc chắn xác nhận biên bản lập đúng?</t>
        </is>
      </c>
      <c r="C832" s="3" t="n"/>
      <c r="D832" s="3" t="n"/>
      <c r="E832" s="3" t="n"/>
      <c r="F832" s="3" t="n"/>
      <c r="G832" s="3" t="n"/>
      <c r="H832" s="3" t="inlineStr">
        <is>
          <t>Đồng chí có chắc chắn បញ្ជាក់ កំណត់ហេតុ lập đúng?</t>
        </is>
      </c>
      <c r="I832" s="3" t="n"/>
      <c r="J832" s="3" t="n"/>
      <c r="K832" s="3" t="n"/>
      <c r="L832" s="3" t="inlineStr">
        <is>
          <t>Đồng chí có chắc chắn បញ្ជាក់ កំណត់ហេតុ lập đúng?</t>
        </is>
      </c>
      <c r="M832" s="3" t="n"/>
      <c r="N832" s="3" t="inlineStr">
        <is>
          <t>"violationReportConclude.dialogConfirmCorrectMsg": "",</t>
        </is>
      </c>
      <c r="O832" s="3" t="n"/>
      <c r="P832" s="3" t="n"/>
      <c r="Q832" s="3" t="n"/>
      <c r="R832" s="3" t="n"/>
      <c r="S832" s="3" t="n"/>
      <c r="T832" s="3" t="n"/>
      <c r="U832" s="3" t="n"/>
      <c r="V832" s="3" t="n"/>
      <c r="W832" s="3" t="n"/>
      <c r="X832" s="3" t="n"/>
      <c r="Y832" s="3" t="n"/>
      <c r="Z832" s="3" t="n"/>
      <c r="AA832" s="3" t="n"/>
    </row>
    <row r="833">
      <c r="A833" s="104" t="inlineStr">
        <is>
          <t>violationReportConclude.dialogConfirmCorrectNote</t>
        </is>
      </c>
      <c r="B833" s="104" t="inlineStr">
        <is>
          <t>Với lựa chọn này, bưu cục sẽ phải chịu trách nhiệm trước khách hàng nếu có khiếu nại/bồi thường. Hãy cân nhắc lựa chọn này!</t>
        </is>
      </c>
      <c r="C833" s="3" t="n"/>
      <c r="D833" s="3" t="n"/>
      <c r="E833" s="3" t="n"/>
      <c r="F833" s="3" t="n"/>
      <c r="G833" s="3" t="n"/>
      <c r="H833" s="3" t="inlineStr">
        <is>
          <t>Với lựa chọn này, ការិយាល័យប្រៃសណីយ៍ sẽ phải chịu trách nhiệm trước អតិថិជន nếu có ពាក្យបណ្ដឹង/សំណង. Hãy cân nhắc lựa chọn này!</t>
        </is>
      </c>
      <c r="I833" s="3" t="n"/>
      <c r="J833" s="3" t="n"/>
      <c r="K833" s="3" t="n"/>
      <c r="L833" s="3" t="inlineStr">
        <is>
          <t>Với lựa chọn này, ការិយាល័យប្រៃសណីយ៍ sẽ phải chịu trách nhiệm trước អតិថិជន nếu có ពាក្យបណ្ដឹង/សំណង. Hãy cân nhắc lựa chọn này!</t>
        </is>
      </c>
      <c r="M833" s="3" t="n"/>
      <c r="N833" s="3" t="inlineStr">
        <is>
          <t>"violationReportConclude.dialogConfirmCorrectNote": "",</t>
        </is>
      </c>
      <c r="O833" s="3" t="n"/>
      <c r="P833" s="3" t="n"/>
      <c r="Q833" s="3" t="n"/>
      <c r="R833" s="3" t="n"/>
      <c r="S833" s="3" t="n"/>
      <c r="T833" s="3" t="n"/>
      <c r="U833" s="3" t="n"/>
      <c r="V833" s="3" t="n"/>
      <c r="W833" s="3" t="n"/>
      <c r="X833" s="3" t="n"/>
      <c r="Y833" s="3" t="n"/>
      <c r="Z833" s="3" t="n"/>
      <c r="AA833" s="3" t="n"/>
    </row>
    <row r="834">
      <c r="A834" s="104" t="inlineStr">
        <is>
          <t>violationReportConclude.dialogConfirmIncorrectMsg</t>
        </is>
      </c>
      <c r="B834" s="104" t="inlineStr">
        <is>
          <t>Đồng chí có chắc chắn xác nhận biên bản lập sai?</t>
        </is>
      </c>
      <c r="C834" s="3" t="n"/>
      <c r="D834" s="3" t="n"/>
      <c r="E834" s="3" t="n"/>
      <c r="F834" s="3" t="n"/>
      <c r="G834" s="3" t="n"/>
      <c r="H834" s="3" t="inlineStr">
        <is>
          <t>Đồng chí có chắc chắn បញ្ជាក់ កំណត់ហេតុ lập sai?</t>
        </is>
      </c>
      <c r="I834" s="3" t="n"/>
      <c r="J834" s="3" t="n"/>
      <c r="K834" s="3" t="n"/>
      <c r="L834" s="3" t="inlineStr">
        <is>
          <t>Đồng chí có chắc chắn បញ្ជាក់ កំណត់ហេតុ lập sai?</t>
        </is>
      </c>
      <c r="M834" s="3" t="n"/>
      <c r="N834" s="3" t="inlineStr">
        <is>
          <t>"violationReportConclude.dialogConfirmIncorrectMsg": "",</t>
        </is>
      </c>
      <c r="O834" s="3" t="n"/>
      <c r="P834" s="3" t="n"/>
      <c r="Q834" s="3" t="n"/>
      <c r="R834" s="3" t="n"/>
      <c r="S834" s="3" t="n"/>
      <c r="T834" s="3" t="n"/>
      <c r="U834" s="3" t="n"/>
      <c r="V834" s="3" t="n"/>
      <c r="W834" s="3" t="n"/>
      <c r="X834" s="3" t="n"/>
      <c r="Y834" s="3" t="n"/>
      <c r="Z834" s="3" t="n"/>
      <c r="AA834" s="3" t="n"/>
    </row>
    <row r="835">
      <c r="A835" s="104" t="inlineStr">
        <is>
          <t>violationReportConclude.dialogConfirmIncorrectNote</t>
        </is>
      </c>
      <c r="B835" s="104" t="inlineStr">
        <is>
          <t>Với lựa chọn này biên bản sẽ được kết luận lại. Hãy giải trình đủ lý do</t>
        </is>
      </c>
      <c r="C835" s="3" t="n"/>
      <c r="D835" s="3" t="n"/>
      <c r="E835" s="3" t="n"/>
      <c r="F835" s="3" t="n"/>
      <c r="G835" s="3" t="n"/>
      <c r="H835" s="3" t="inlineStr">
        <is>
          <t>Với lựa chọn này កំណត់ហេតុ sẽ được kết luận lại. Hãy giải trình đủ មូលហេតុ</t>
        </is>
      </c>
      <c r="I835" s="3" t="n"/>
      <c r="J835" s="3" t="n"/>
      <c r="K835" s="3" t="n"/>
      <c r="L835" s="3" t="inlineStr">
        <is>
          <t>Với lựa chọn này កំណត់ហេតុ sẽ được kết luận lại. Hãy giải trình đủ មូលហេតុ</t>
        </is>
      </c>
      <c r="M835" s="3" t="n"/>
      <c r="N835" s="3" t="inlineStr">
        <is>
          <t>"violationReportConclude.dialogConfirmIncorrectNote": "",</t>
        </is>
      </c>
      <c r="O835" s="3" t="n"/>
      <c r="P835" s="3" t="n"/>
      <c r="Q835" s="3" t="n"/>
      <c r="R835" s="3" t="n"/>
      <c r="S835" s="3" t="n"/>
      <c r="T835" s="3" t="n"/>
      <c r="U835" s="3" t="n"/>
      <c r="V835" s="3" t="n"/>
      <c r="W835" s="3" t="n"/>
      <c r="X835" s="3" t="n"/>
      <c r="Y835" s="3" t="n"/>
      <c r="Z835" s="3" t="n"/>
      <c r="AA835" s="3" t="n"/>
    </row>
    <row r="836">
      <c r="A836" s="104" t="inlineStr">
        <is>
          <t>violationReportConclude.dialogConfirmCorrectNoteConclude</t>
        </is>
      </c>
      <c r="B836" s="104" t="inlineStr">
        <is>
          <t>Với lựa chọn này, biên bản sẽ được chuyển về BCVP hoặc TTVH kết luận!</t>
        </is>
      </c>
      <c r="C836" s="3" t="n"/>
      <c r="D836" s="3" t="n"/>
      <c r="E836" s="3" t="n"/>
      <c r="F836" s="3" t="n"/>
      <c r="G836" s="3" t="n"/>
      <c r="H836" s="3" t="inlineStr">
        <is>
          <t>Với lựa chọn này, កំណត់ហេតុ sẽ được chuyển về BCVP hoặc TTVH kết luận!</t>
        </is>
      </c>
      <c r="I836" s="3" t="n"/>
      <c r="J836" s="3" t="n"/>
      <c r="K836" s="3" t="n"/>
      <c r="L836" s="3" t="inlineStr">
        <is>
          <t>Với lựa chọn này, កំណត់ហេតុ sẽ được chuyển về BCVP hoặc TTVH kết luận!</t>
        </is>
      </c>
      <c r="M836" s="3" t="n"/>
      <c r="N836" s="3" t="inlineStr">
        <is>
          <t>"violationReportConclude.dialogConfirmCorrectNoteConclude": "",</t>
        </is>
      </c>
      <c r="O836" s="3" t="n"/>
      <c r="P836" s="3" t="n"/>
      <c r="Q836" s="3" t="n"/>
      <c r="R836" s="3" t="n"/>
      <c r="S836" s="3" t="n"/>
      <c r="T836" s="3" t="n"/>
      <c r="U836" s="3" t="n"/>
      <c r="V836" s="3" t="n"/>
      <c r="W836" s="3" t="n"/>
      <c r="X836" s="3" t="n"/>
      <c r="Y836" s="3" t="n"/>
      <c r="Z836" s="3" t="n"/>
      <c r="AA836" s="3" t="n"/>
    </row>
    <row r="837">
      <c r="A837" s="104" t="inlineStr">
        <is>
          <t>violationReportConclude.dialogConfirmIncorrectNoteConclude</t>
        </is>
      </c>
      <c r="B837" s="104" t="inlineStr">
        <is>
          <t>Với lựa chọn này biên bản sẽ bị hủy!</t>
        </is>
      </c>
      <c r="C837" s="3" t="n"/>
      <c r="D837" s="3" t="n"/>
      <c r="E837" s="3" t="n"/>
      <c r="F837" s="3" t="n"/>
      <c r="G837" s="3" t="n"/>
      <c r="H837" s="3" t="inlineStr">
        <is>
          <t>Với lựa chọn này កំណត់ហេតុ sẽ bị លុបចោល!</t>
        </is>
      </c>
      <c r="I837" s="3" t="n"/>
      <c r="J837" s="3" t="n"/>
      <c r="K837" s="3" t="n"/>
      <c r="L837" s="3" t="inlineStr">
        <is>
          <t>Với lựa chọn này កំណត់ហេតុ sẽ bị លុបចោល!</t>
        </is>
      </c>
      <c r="M837" s="3" t="n"/>
      <c r="N837" s="3" t="inlineStr">
        <is>
          <t>"violationReportConclude.dialogConfirmIncorrectNoteConclude": "",</t>
        </is>
      </c>
      <c r="O837" s="3" t="n"/>
      <c r="P837" s="3" t="n"/>
      <c r="Q837" s="3" t="n"/>
      <c r="R837" s="3" t="n"/>
      <c r="S837" s="3" t="n"/>
      <c r="T837" s="3" t="n"/>
      <c r="U837" s="3" t="n"/>
      <c r="V837" s="3" t="n"/>
      <c r="W837" s="3" t="n"/>
      <c r="X837" s="3" t="n"/>
      <c r="Y837" s="3" t="n"/>
      <c r="Z837" s="3" t="n"/>
      <c r="AA837" s="3" t="n"/>
    </row>
    <row r="838">
      <c r="A838" s="104" t="inlineStr">
        <is>
          <t>violationReportConclude.formSearchPlaceholder</t>
        </is>
      </c>
      <c r="B838" s="104" t="inlineStr">
        <is>
          <t>Nhập mã biên bản, vận đơn</t>
        </is>
      </c>
      <c r="C838" s="3" t="n"/>
      <c r="D838" s="3" t="n"/>
      <c r="E838" s="3" t="n"/>
      <c r="F838" s="3" t="n"/>
      <c r="G838" s="3" t="n"/>
      <c r="H838" s="3" t="inlineStr">
        <is>
          <t>បញ្ចូលលេខកូដ កំណត់ហេតុ, vận បញ្ញើ</t>
        </is>
      </c>
      <c r="I838" s="3" t="n"/>
      <c r="J838" s="3" t="n"/>
      <c r="K838" s="3" t="n"/>
      <c r="L838" s="3" t="inlineStr">
        <is>
          <t>បញ្ចូលលេខកូដ កំណត់ហេតុ, vận បញ្ញើ</t>
        </is>
      </c>
      <c r="M838" s="3" t="n"/>
      <c r="N838" s="3" t="inlineStr">
        <is>
          <t>"violationReportConclude.formSearchPlaceholder": "",</t>
        </is>
      </c>
      <c r="O838" s="3" t="n"/>
      <c r="P838" s="3" t="n"/>
      <c r="Q838" s="3" t="n"/>
      <c r="R838" s="3" t="n"/>
      <c r="S838" s="3" t="n"/>
      <c r="T838" s="3" t="n"/>
      <c r="U838" s="3" t="n"/>
      <c r="V838" s="3" t="n"/>
      <c r="W838" s="3" t="n"/>
      <c r="X838" s="3" t="n"/>
      <c r="Y838" s="3" t="n"/>
      <c r="Z838" s="3" t="n"/>
      <c r="AA838" s="3" t="n"/>
    </row>
    <row r="839">
      <c r="A839" s="104" t="inlineStr">
        <is>
          <t>violationReportConclude.formUnitLabel</t>
        </is>
      </c>
      <c r="B839" s="104" t="inlineStr">
        <is>
          <t>Đơn vị/bưu cục</t>
        </is>
      </c>
      <c r="C839" s="3" t="n"/>
      <c r="D839" s="3" t="n"/>
      <c r="E839" s="3" t="n"/>
      <c r="F839" s="3" t="n"/>
      <c r="G839" s="3" t="n"/>
      <c r="H839" s="3" t="inlineStr">
        <is>
          <t>បញ្ញើ vị/ការិយាល័យប្រៃសណីយ៍</t>
        </is>
      </c>
      <c r="I839" s="3" t="n"/>
      <c r="J839" s="3" t="n"/>
      <c r="K839" s="3" t="n"/>
      <c r="L839" s="3" t="inlineStr">
        <is>
          <t>បញ្ញើ vị/ការិយាល័យប្រៃសណីយ៍</t>
        </is>
      </c>
      <c r="M839" s="3" t="n"/>
      <c r="N839" s="3" t="inlineStr">
        <is>
          <t>"violationReportConclude.formUnitLabel": "",</t>
        </is>
      </c>
      <c r="O839" s="3" t="n"/>
      <c r="P839" s="3" t="n"/>
      <c r="Q839" s="3" t="n"/>
      <c r="R839" s="3" t="n"/>
      <c r="S839" s="3" t="n"/>
      <c r="T839" s="3" t="n"/>
      <c r="U839" s="3" t="n"/>
      <c r="V839" s="3" t="n"/>
      <c r="W839" s="3" t="n"/>
      <c r="X839" s="3" t="n"/>
      <c r="Y839" s="3" t="n"/>
      <c r="Z839" s="3" t="n"/>
      <c r="AA839" s="3" t="n"/>
    </row>
    <row r="840">
      <c r="A840" s="104" t="inlineStr">
        <is>
          <t>violationReportConclude.formUnitPlaceholder</t>
        </is>
      </c>
      <c r="B840" s="104" t="inlineStr">
        <is>
          <t>Nhập tên đơn vị/bưu cục</t>
        </is>
      </c>
      <c r="C840" s="3" t="n"/>
      <c r="D840" s="3" t="n"/>
      <c r="E840" s="3" t="n"/>
      <c r="F840" s="3" t="n"/>
      <c r="G840" s="3" t="n"/>
      <c r="H840" s="3" t="inlineStr">
        <is>
          <t>បញ្ចូលឈ្មោះ បញ្ញើ vị/ការិយាល័យប្រៃសណីយ៍</t>
        </is>
      </c>
      <c r="I840" s="3" t="n"/>
      <c r="J840" s="3" t="n"/>
      <c r="K840" s="3" t="n"/>
      <c r="L840" s="3" t="inlineStr">
        <is>
          <t>បញ្ចូលឈ្មោះ បញ្ញើ vị/ការិយាល័យប្រៃសណីយ៍</t>
        </is>
      </c>
      <c r="M840" s="3" t="n"/>
      <c r="N840" s="3" t="inlineStr">
        <is>
          <t>"violationReportConclude.formUnitPlaceholder": "",</t>
        </is>
      </c>
      <c r="O840" s="3" t="n"/>
      <c r="P840" s="3" t="n"/>
      <c r="Q840" s="3" t="n"/>
      <c r="R840" s="3" t="n"/>
      <c r="S840" s="3" t="n"/>
      <c r="T840" s="3" t="n"/>
      <c r="U840" s="3" t="n"/>
      <c r="V840" s="3" t="n"/>
      <c r="W840" s="3" t="n"/>
      <c r="X840" s="3" t="n"/>
      <c r="Y840" s="3" t="n"/>
      <c r="Z840" s="3" t="n"/>
      <c r="AA840" s="3" t="n"/>
    </row>
    <row r="841">
      <c r="A841" s="104" t="inlineStr">
        <is>
          <t>violationReportConclude.formContentPlaceholder</t>
        </is>
      </c>
      <c r="B841" s="104" t="inlineStr">
        <is>
          <t>Nhập nội dung</t>
        </is>
      </c>
      <c r="C841" s="3" t="n"/>
      <c r="D841" s="3" t="n"/>
      <c r="E841" s="3" t="n"/>
      <c r="F841" s="3" t="n"/>
      <c r="G841" s="3" t="n"/>
      <c r="H841" s="3" t="inlineStr">
        <is>
          <t>បញ្ចូលខ្លឹមសារ</t>
        </is>
      </c>
      <c r="I841" s="3" t="n"/>
      <c r="J841" s="3" t="n"/>
      <c r="K841" s="3" t="n"/>
      <c r="L841" s="3" t="inlineStr">
        <is>
          <t>បញ្ចូលខ្លឹមសារ</t>
        </is>
      </c>
      <c r="M841" s="3" t="n"/>
      <c r="N841" s="3" t="inlineStr">
        <is>
          <t>"violationReportConclude.formContentPlaceholder": "",</t>
        </is>
      </c>
      <c r="O841" s="3" t="n"/>
      <c r="P841" s="3" t="n"/>
      <c r="Q841" s="3" t="n"/>
      <c r="R841" s="3" t="n"/>
      <c r="S841" s="3" t="n"/>
      <c r="T841" s="3" t="n"/>
      <c r="U841" s="3" t="n"/>
      <c r="V841" s="3" t="n"/>
      <c r="W841" s="3" t="n"/>
      <c r="X841" s="3" t="n"/>
      <c r="Y841" s="3" t="n"/>
      <c r="Z841" s="3" t="n"/>
      <c r="AA841" s="3" t="n"/>
    </row>
    <row r="842">
      <c r="A842" s="104" t="inlineStr">
        <is>
          <t>violationReportConclude.formViolatorPlaceholder</t>
        </is>
      </c>
      <c r="B842" s="104" t="inlineStr">
        <is>
          <t>Chọn cá nhân vi phạm</t>
        </is>
      </c>
      <c r="C842" s="3" t="n"/>
      <c r="D842" s="3" t="n"/>
      <c r="E842" s="3" t="n"/>
      <c r="F842" s="3" t="n"/>
      <c r="G842" s="3" t="n"/>
      <c r="H842" s="3" t="inlineStr">
        <is>
          <t>ជ្រើសរើសcá nhân vi phạm</t>
        </is>
      </c>
      <c r="I842" s="3" t="n"/>
      <c r="J842" s="3" t="n"/>
      <c r="K842" s="3" t="n"/>
      <c r="L842" s="3" t="inlineStr">
        <is>
          <t>ជ្រើសរើសcá nhân vi phạm</t>
        </is>
      </c>
      <c r="M842" s="3" t="n"/>
      <c r="N842" s="3" t="inlineStr">
        <is>
          <t>"violationReportConclude.formViolatorPlaceholder": "",</t>
        </is>
      </c>
      <c r="O842" s="3" t="n"/>
      <c r="P842" s="3" t="n"/>
      <c r="Q842" s="3" t="n"/>
      <c r="R842" s="3" t="n"/>
      <c r="S842" s="3" t="n"/>
      <c r="T842" s="3" t="n"/>
      <c r="U842" s="3" t="n"/>
      <c r="V842" s="3" t="n"/>
      <c r="W842" s="3" t="n"/>
      <c r="X842" s="3" t="n"/>
      <c r="Y842" s="3" t="n"/>
      <c r="Z842" s="3" t="n"/>
      <c r="AA842" s="3" t="n"/>
    </row>
    <row r="843">
      <c r="A843" s="104" t="inlineStr">
        <is>
          <t>violationReportConclude.formStaffPlaceholder</t>
        </is>
      </c>
      <c r="B843" s="104" t="inlineStr">
        <is>
          <t>Chọn nhân viên</t>
        </is>
      </c>
      <c r="C843" s="3" t="n"/>
      <c r="D843" s="3" t="n"/>
      <c r="E843" s="3" t="n"/>
      <c r="F843" s="3" t="n"/>
      <c r="G843" s="3" t="n"/>
      <c r="H843" s="3" t="inlineStr">
        <is>
          <t>ជ្រើសរើសបុគ្គលិក</t>
        </is>
      </c>
      <c r="I843" s="3" t="n"/>
      <c r="J843" s="3" t="n"/>
      <c r="K843" s="3" t="n"/>
      <c r="L843" s="3" t="inlineStr">
        <is>
          <t>ជ្រើសរើសបុគ្គលិក</t>
        </is>
      </c>
      <c r="M843" s="3" t="n"/>
      <c r="N843" s="3" t="inlineStr">
        <is>
          <t>"violationReportConclude.formStaffPlaceholder": "",</t>
        </is>
      </c>
      <c r="O843" s="3" t="n"/>
      <c r="P843" s="3" t="n"/>
      <c r="Q843" s="3" t="n"/>
      <c r="R843" s="3" t="n"/>
      <c r="S843" s="3" t="n"/>
      <c r="T843" s="3" t="n"/>
      <c r="U843" s="3" t="n"/>
      <c r="V843" s="3" t="n"/>
      <c r="W843" s="3" t="n"/>
      <c r="X843" s="3" t="n"/>
      <c r="Y843" s="3" t="n"/>
      <c r="Z843" s="3" t="n"/>
      <c r="AA843" s="3" t="n"/>
    </row>
    <row r="844">
      <c r="A844" s="104" t="inlineStr">
        <is>
          <t>violationReportConclude.formIsCorrectLabel</t>
        </is>
      </c>
      <c r="B844" s="104" t="inlineStr">
        <is>
          <t>Xác nhận đúng sai</t>
        </is>
      </c>
      <c r="C844" s="3" t="n"/>
      <c r="D844" s="3" t="n"/>
      <c r="E844" s="3" t="n"/>
      <c r="F844" s="3" t="n"/>
      <c r="G844" s="3" t="n"/>
      <c r="H844" s="3" t="inlineStr">
        <is>
          <t>បញ្ជាក់ đúng sai</t>
        </is>
      </c>
      <c r="I844" s="3" t="n"/>
      <c r="J844" s="3" t="n"/>
      <c r="K844" s="3" t="n"/>
      <c r="L844" s="3" t="inlineStr">
        <is>
          <t>បញ្ជាក់ đúng sai</t>
        </is>
      </c>
      <c r="M844" s="3" t="n"/>
      <c r="N844" s="3" t="inlineStr">
        <is>
          <t>"violationReportConclude.formIsCorrectLabel": "",</t>
        </is>
      </c>
      <c r="O844" s="3" t="n"/>
      <c r="P844" s="3" t="n"/>
      <c r="Q844" s="3" t="n"/>
      <c r="R844" s="3" t="n"/>
      <c r="S844" s="3" t="n"/>
      <c r="T844" s="3" t="n"/>
      <c r="U844" s="3" t="n"/>
      <c r="V844" s="3" t="n"/>
      <c r="W844" s="3" t="n"/>
      <c r="X844" s="3" t="n"/>
      <c r="Y844" s="3" t="n"/>
      <c r="Z844" s="3" t="n"/>
      <c r="AA844" s="3" t="n"/>
    </row>
    <row r="845">
      <c r="A845" s="104" t="inlineStr">
        <is>
          <t>violationReportConclude.formIsCorrectPlaceholder</t>
        </is>
      </c>
      <c r="B845" s="104" t="inlineStr">
        <is>
          <t>Chọn xác nhận</t>
        </is>
      </c>
      <c r="C845" s="3" t="n"/>
      <c r="D845" s="3" t="n"/>
      <c r="E845" s="3" t="n"/>
      <c r="F845" s="3" t="n"/>
      <c r="G845" s="3" t="n"/>
      <c r="H845" s="3" t="inlineStr">
        <is>
          <t>ជ្រើសរើសបញ្ជាក់</t>
        </is>
      </c>
      <c r="I845" s="3" t="n"/>
      <c r="J845" s="3" t="n"/>
      <c r="K845" s="3" t="n"/>
      <c r="L845" s="3" t="inlineStr">
        <is>
          <t>ជ្រើសរើសបញ្ជាក់</t>
        </is>
      </c>
      <c r="M845" s="3" t="n"/>
      <c r="N845" s="3" t="inlineStr">
        <is>
          <t>"violationReportConclude.formIsCorrectPlaceholder": "",</t>
        </is>
      </c>
      <c r="O845" s="3" t="n"/>
      <c r="P845" s="3" t="n"/>
      <c r="Q845" s="3" t="n"/>
      <c r="R845" s="3" t="n"/>
      <c r="S845" s="3" t="n"/>
      <c r="T845" s="3" t="n"/>
      <c r="U845" s="3" t="n"/>
      <c r="V845" s="3" t="n"/>
      <c r="W845" s="3" t="n"/>
      <c r="X845" s="3" t="n"/>
      <c r="Y845" s="3" t="n"/>
      <c r="Z845" s="3" t="n"/>
      <c r="AA845" s="3" t="n"/>
    </row>
    <row r="846">
      <c r="A846" s="104" t="inlineStr">
        <is>
          <t>violationReportConclude.formCompensationRateLabel</t>
        </is>
      </c>
      <c r="B846" s="104" t="inlineStr">
        <is>
          <t>Tỉ lệ đền bù (%)</t>
        </is>
      </c>
      <c r="C846" s="3" t="n"/>
      <c r="D846" s="3" t="n"/>
      <c r="E846" s="3" t="n"/>
      <c r="F846" s="3" t="n"/>
      <c r="G846" s="3" t="n"/>
      <c r="H846" s="3" t="inlineStr">
        <is>
          <t>Tỉ lệ សំណង (%)</t>
        </is>
      </c>
      <c r="I846" s="3" t="n"/>
      <c r="J846" s="3" t="n"/>
      <c r="K846" s="3" t="n"/>
      <c r="L846" s="3" t="inlineStr">
        <is>
          <t>Tỉ lệ សំណង (%)</t>
        </is>
      </c>
      <c r="M846" s="3" t="n"/>
      <c r="N846" s="3" t="inlineStr">
        <is>
          <t>"violationReportConclude.formCompensationRateLabel": "",</t>
        </is>
      </c>
      <c r="O846" s="3" t="n"/>
      <c r="P846" s="3" t="n"/>
      <c r="Q846" s="3" t="n"/>
      <c r="R846" s="3" t="n"/>
      <c r="S846" s="3" t="n"/>
      <c r="T846" s="3" t="n"/>
      <c r="U846" s="3" t="n"/>
      <c r="V846" s="3" t="n"/>
      <c r="W846" s="3" t="n"/>
      <c r="X846" s="3" t="n"/>
      <c r="Y846" s="3" t="n"/>
      <c r="Z846" s="3" t="n"/>
      <c r="AA846" s="3" t="n"/>
    </row>
    <row r="847">
      <c r="A847" s="104" t="inlineStr">
        <is>
          <t>violationReportConclude.formCompensationRatePlaceholder</t>
        </is>
      </c>
      <c r="B847" s="104" t="inlineStr">
        <is>
          <t>Nhập tỉ lệ đền bù</t>
        </is>
      </c>
      <c r="C847" s="3" t="n"/>
      <c r="D847" s="3" t="n"/>
      <c r="E847" s="3" t="n"/>
      <c r="F847" s="3" t="n"/>
      <c r="G847" s="3" t="n"/>
      <c r="H847" s="3" t="inlineStr">
        <is>
          <t>បញ្ចូលtỉ lệ សំណង</t>
        </is>
      </c>
      <c r="I847" s="3" t="n"/>
      <c r="J847" s="3" t="n"/>
      <c r="K847" s="3" t="n"/>
      <c r="L847" s="3" t="inlineStr">
        <is>
          <t>បញ្ចូលtỉ lệ សំណង</t>
        </is>
      </c>
      <c r="M847" s="3" t="n"/>
      <c r="N847" s="3" t="inlineStr">
        <is>
          <t>"violationReportConclude.formCompensationRatePlaceholder": "",</t>
        </is>
      </c>
      <c r="O847" s="3" t="n"/>
      <c r="P847" s="3" t="n"/>
      <c r="Q847" s="3" t="n"/>
      <c r="R847" s="3" t="n"/>
      <c r="S847" s="3" t="n"/>
      <c r="T847" s="3" t="n"/>
      <c r="U847" s="3" t="n"/>
      <c r="V847" s="3" t="n"/>
      <c r="W847" s="3" t="n"/>
      <c r="X847" s="3" t="n"/>
      <c r="Y847" s="3" t="n"/>
      <c r="Z847" s="3" t="n"/>
      <c r="AA847" s="3" t="n"/>
    </row>
    <row r="848">
      <c r="A848" s="104" t="inlineStr">
        <is>
          <t>violationReportConclude.formErrorGroupLabel</t>
        </is>
      </c>
      <c r="B848" s="104" t="inlineStr">
        <is>
          <t>Nhóm lỗi</t>
        </is>
      </c>
      <c r="C848" s="3" t="n"/>
      <c r="D848" s="3" t="n"/>
      <c r="E848" s="3" t="n"/>
      <c r="F848" s="3" t="n"/>
      <c r="G848" s="3" t="n"/>
      <c r="H848" s="3" t="inlineStr">
        <is>
          <t>ក្រុម កំហុស</t>
        </is>
      </c>
      <c r="I848" s="3" t="n"/>
      <c r="J848" s="3" t="n"/>
      <c r="K848" s="3" t="n"/>
      <c r="L848" s="3" t="inlineStr">
        <is>
          <t>ក្រុម កំហុស</t>
        </is>
      </c>
      <c r="M848" s="3" t="n"/>
      <c r="N848" s="3" t="inlineStr">
        <is>
          <t>"violationReportConclude.formErrorGroupLabel": "",</t>
        </is>
      </c>
      <c r="O848" s="3" t="n"/>
      <c r="P848" s="3" t="n"/>
      <c r="Q848" s="3" t="n"/>
      <c r="R848" s="3" t="n"/>
      <c r="S848" s="3" t="n"/>
      <c r="T848" s="3" t="n"/>
      <c r="U848" s="3" t="n"/>
      <c r="V848" s="3" t="n"/>
      <c r="W848" s="3" t="n"/>
      <c r="X848" s="3" t="n"/>
      <c r="Y848" s="3" t="n"/>
      <c r="Z848" s="3" t="n"/>
      <c r="AA848" s="3" t="n"/>
    </row>
    <row r="849">
      <c r="A849" s="104" t="inlineStr">
        <is>
          <t>violationReportConclude.formErrorGroupPlaceholder</t>
        </is>
      </c>
      <c r="B849" s="104" t="inlineStr">
        <is>
          <t>Chọn nhóm lỗi</t>
        </is>
      </c>
      <c r="C849" s="3" t="n"/>
      <c r="D849" s="3" t="n"/>
      <c r="E849" s="3" t="n"/>
      <c r="F849" s="3" t="n"/>
      <c r="G849" s="3" t="n"/>
      <c r="H849" s="3" t="inlineStr">
        <is>
          <t>ជ្រើសរើសក្រុម កំហុស</t>
        </is>
      </c>
      <c r="I849" s="3" t="n"/>
      <c r="J849" s="3" t="n"/>
      <c r="K849" s="3" t="n"/>
      <c r="L849" s="3" t="inlineStr">
        <is>
          <t>ជ្រើសរើសក្រុម កំហុស</t>
        </is>
      </c>
      <c r="M849" s="3" t="n"/>
      <c r="N849" s="3" t="inlineStr">
        <is>
          <t>"violationReportConclude.formErrorGroupPlaceholder": "",</t>
        </is>
      </c>
      <c r="O849" s="3" t="n"/>
      <c r="P849" s="3" t="n"/>
      <c r="Q849" s="3" t="n"/>
      <c r="R849" s="3" t="n"/>
      <c r="S849" s="3" t="n"/>
      <c r="T849" s="3" t="n"/>
      <c r="U849" s="3" t="n"/>
      <c r="V849" s="3" t="n"/>
      <c r="W849" s="3" t="n"/>
      <c r="X849" s="3" t="n"/>
      <c r="Y849" s="3" t="n"/>
      <c r="Z849" s="3" t="n"/>
      <c r="AA849" s="3" t="n"/>
    </row>
    <row r="850">
      <c r="A850" s="104" t="inlineStr">
        <is>
          <t>violationReportConclude.formErrorDetailLabel</t>
        </is>
      </c>
      <c r="B850" s="104" t="inlineStr">
        <is>
          <t>Chi tiết lỗi</t>
        </is>
      </c>
      <c r="C850" s="3" t="n"/>
      <c r="D850" s="3" t="n"/>
      <c r="E850" s="3" t="n"/>
      <c r="F850" s="3" t="n"/>
      <c r="G850" s="3" t="n"/>
      <c r="H850" s="3" t="inlineStr">
        <is>
          <t>ព័ត៌មានលម្អិតកំហុស</t>
        </is>
      </c>
      <c r="I850" s="3" t="n"/>
      <c r="J850" s="3" t="n"/>
      <c r="K850" s="3" t="n"/>
      <c r="L850" s="3" t="inlineStr">
        <is>
          <t>ព័ត៌មានលម្អិតកំហុស</t>
        </is>
      </c>
      <c r="M850" s="3" t="n"/>
      <c r="N850" s="3" t="inlineStr">
        <is>
          <t>"violationReportConclude.formErrorDetailLabel": "",</t>
        </is>
      </c>
      <c r="O850" s="3" t="n"/>
      <c r="P850" s="3" t="n"/>
      <c r="Q850" s="3" t="n"/>
      <c r="R850" s="3" t="n"/>
      <c r="S850" s="3" t="n"/>
      <c r="T850" s="3" t="n"/>
      <c r="U850" s="3" t="n"/>
      <c r="V850" s="3" t="n"/>
      <c r="W850" s="3" t="n"/>
      <c r="X850" s="3" t="n"/>
      <c r="Y850" s="3" t="n"/>
      <c r="Z850" s="3" t="n"/>
      <c r="AA850" s="3" t="n"/>
    </row>
    <row r="851">
      <c r="A851" s="104" t="inlineStr">
        <is>
          <t>violationReportConclude.formErrorDetailPlaceholder</t>
        </is>
      </c>
      <c r="B851" s="104" t="inlineStr">
        <is>
          <t>Chọn chi tiết lỗi</t>
        </is>
      </c>
      <c r="C851" s="3" t="n"/>
      <c r="D851" s="3" t="n"/>
      <c r="E851" s="3" t="n"/>
      <c r="F851" s="3" t="n"/>
      <c r="G851" s="3" t="n"/>
      <c r="H851" s="3" t="inlineStr">
        <is>
          <t>ជ្រើសរើសព័ត៌មានលម្អិត កំហុស</t>
        </is>
      </c>
      <c r="I851" s="3" t="n"/>
      <c r="J851" s="3" t="n"/>
      <c r="K851" s="3" t="n"/>
      <c r="L851" s="3" t="inlineStr">
        <is>
          <t>ជ្រើសរើសព័ត៌មានលម្អិត កំហុស</t>
        </is>
      </c>
      <c r="M851" s="3" t="n"/>
      <c r="N851" s="3" t="inlineStr">
        <is>
          <t>"violationReportConclude.formErrorDetailPlaceholder": "",</t>
        </is>
      </c>
      <c r="O851" s="3" t="n"/>
      <c r="P851" s="3" t="n"/>
      <c r="Q851" s="3" t="n"/>
      <c r="R851" s="3" t="n"/>
      <c r="S851" s="3" t="n"/>
      <c r="T851" s="3" t="n"/>
      <c r="U851" s="3" t="n"/>
      <c r="V851" s="3" t="n"/>
      <c r="W851" s="3" t="n"/>
      <c r="X851" s="3" t="n"/>
      <c r="Y851" s="3" t="n"/>
      <c r="Z851" s="3" t="n"/>
      <c r="AA851" s="3" t="n"/>
    </row>
    <row r="852">
      <c r="A852" s="104" t="inlineStr">
        <is>
          <t>violationReportConclude.formErrorCodePlaceholder</t>
        </is>
      </c>
      <c r="B852" s="104" t="inlineStr">
        <is>
          <t>Nhập mã lỗi</t>
        </is>
      </c>
      <c r="C852" s="3" t="n"/>
      <c r="D852" s="3" t="n"/>
      <c r="E852" s="3" t="n"/>
      <c r="F852" s="3" t="n"/>
      <c r="G852" s="3" t="n"/>
      <c r="H852" s="3" t="inlineStr">
        <is>
          <t>បញ្ចូលលេខកូដកំហុស</t>
        </is>
      </c>
      <c r="I852" s="3" t="n"/>
      <c r="J852" s="3" t="n"/>
      <c r="K852" s="3" t="n"/>
      <c r="L852" s="3" t="inlineStr">
        <is>
          <t>បញ្ចូលលេខកូដកំហុស</t>
        </is>
      </c>
      <c r="M852" s="3" t="n"/>
      <c r="N852" s="3" t="inlineStr">
        <is>
          <t>"violationReportConclude.formErrorCodePlaceholder": "",</t>
        </is>
      </c>
      <c r="O852" s="3" t="n"/>
      <c r="P852" s="3" t="n"/>
      <c r="Q852" s="3" t="n"/>
      <c r="R852" s="3" t="n"/>
      <c r="S852" s="3" t="n"/>
      <c r="T852" s="3" t="n"/>
      <c r="U852" s="3" t="n"/>
      <c r="V852" s="3" t="n"/>
      <c r="W852" s="3" t="n"/>
      <c r="X852" s="3" t="n"/>
      <c r="Y852" s="3" t="n"/>
      <c r="Z852" s="3" t="n"/>
      <c r="AA852" s="3" t="n"/>
    </row>
    <row r="853">
      <c r="A853" s="104" t="inlineStr">
        <is>
          <t>violationReportConclude.formPostOfficeFiledPlaceholder</t>
        </is>
      </c>
      <c r="B853" s="104" t="inlineStr">
        <is>
          <t>Chọn bưu cục</t>
        </is>
      </c>
      <c r="C853" s="3" t="n"/>
      <c r="D853" s="3" t="n"/>
      <c r="E853" s="3" t="n"/>
      <c r="F853" s="3" t="n"/>
      <c r="G853" s="3" t="n"/>
      <c r="H853" s="3" t="inlineStr">
        <is>
          <t>ជ្រើសរើសការិយាល័យប្រៃសណីយ៍</t>
        </is>
      </c>
      <c r="I853" s="3" t="n"/>
      <c r="J853" s="3" t="n"/>
      <c r="K853" s="3" t="n"/>
      <c r="L853" s="3" t="inlineStr">
        <is>
          <t>ជ្រើសរើសការិយាល័យប្រៃសណីយ៍</t>
        </is>
      </c>
      <c r="M853" s="3" t="n"/>
      <c r="N853" s="3" t="inlineStr">
        <is>
          <t>"violationReportConclude.formPostOfficeFiledPlaceholder": "",</t>
        </is>
      </c>
      <c r="O853" s="3" t="n"/>
      <c r="P853" s="3" t="n"/>
      <c r="Q853" s="3" t="n"/>
      <c r="R853" s="3" t="n"/>
      <c r="S853" s="3" t="n"/>
      <c r="T853" s="3" t="n"/>
      <c r="U853" s="3" t="n"/>
      <c r="V853" s="3" t="n"/>
      <c r="W853" s="3" t="n"/>
      <c r="X853" s="3" t="n"/>
      <c r="Y853" s="3" t="n"/>
      <c r="Z853" s="3" t="n"/>
      <c r="AA853" s="3" t="n"/>
    </row>
    <row r="854">
      <c r="A854" s="104" t="inlineStr">
        <is>
          <t>violationReportConclude.formReferenceCodePlaceholder</t>
        </is>
      </c>
      <c r="B854" s="104" t="inlineStr">
        <is>
          <t>Nhập mã biên bản</t>
        </is>
      </c>
      <c r="C854" s="3" t="n"/>
      <c r="D854" s="3" t="n"/>
      <c r="E854" s="3" t="n"/>
      <c r="F854" s="3" t="n"/>
      <c r="G854" s="3" t="n"/>
      <c r="H854" s="3" t="inlineStr">
        <is>
          <t>បញ្ចូលលេខកូដ កំណត់ហេតុ</t>
        </is>
      </c>
      <c r="I854" s="3" t="n"/>
      <c r="J854" s="3" t="n"/>
      <c r="K854" s="3" t="n"/>
      <c r="L854" s="3" t="inlineStr">
        <is>
          <t>បញ្ចូលលេខកូដ កំណត់ហេតុ</t>
        </is>
      </c>
      <c r="M854" s="3" t="n"/>
      <c r="N854" s="3" t="inlineStr">
        <is>
          <t>"violationReportConclude.formReferenceCodePlaceholder": "",</t>
        </is>
      </c>
      <c r="O854" s="3" t="n"/>
      <c r="P854" s="3" t="n"/>
      <c r="Q854" s="3" t="n"/>
      <c r="R854" s="3" t="n"/>
      <c r="S854" s="3" t="n"/>
      <c r="T854" s="3" t="n"/>
      <c r="U854" s="3" t="n"/>
      <c r="V854" s="3" t="n"/>
      <c r="W854" s="3" t="n"/>
      <c r="X854" s="3" t="n"/>
      <c r="Y854" s="3" t="n"/>
      <c r="Z854" s="3" t="n"/>
      <c r="AA854" s="3" t="n"/>
    </row>
    <row r="855">
      <c r="A855" s="104" t="inlineStr">
        <is>
          <t>violationReportConclude.validationDateRangeMax</t>
        </is>
      </c>
      <c r="B855" s="104" t="inlineStr">
        <is>
          <t>Khoảng thời gian tìm kiếm không được vượt quá {{max}} ngày</t>
        </is>
      </c>
      <c r="C855" s="3" t="n"/>
      <c r="D855" s="3" t="n"/>
      <c r="E855" s="3" t="n"/>
      <c r="F855" s="3" t="n"/>
      <c r="G855" s="3" t="n"/>
      <c r="H855" s="3" t="inlineStr">
        <is>
          <t>Khoảng ពេលវេលា ស្វែងរក không được vượt quá {{max}} កាលបរិច្ឆេទ</t>
        </is>
      </c>
      <c r="I855" s="3" t="n"/>
      <c r="J855" s="3" t="n"/>
      <c r="K855" s="3" t="n"/>
      <c r="L855" s="3" t="inlineStr">
        <is>
          <t>Khoảng ពេលវេលា ស្វែងរក không được vượt quá {{max}} កាលបរិច្ឆេទ</t>
        </is>
      </c>
      <c r="M855" s="3" t="n"/>
      <c r="N855" s="3" t="inlineStr">
        <is>
          <t>"violationReportConclude.validationDateRangeMax": "",</t>
        </is>
      </c>
      <c r="O855" s="3" t="n"/>
      <c r="P855" s="3" t="n"/>
      <c r="Q855" s="3" t="n"/>
      <c r="R855" s="3" t="n"/>
      <c r="S855" s="3" t="n"/>
      <c r="T855" s="3" t="n"/>
      <c r="U855" s="3" t="n"/>
      <c r="V855" s="3" t="n"/>
      <c r="W855" s="3" t="n"/>
      <c r="X855" s="3" t="n"/>
      <c r="Y855" s="3" t="n"/>
      <c r="Z855" s="3" t="n"/>
      <c r="AA855" s="3" t="n"/>
    </row>
    <row r="856">
      <c r="A856" s="104" t="inlineStr">
        <is>
          <t>violationReportConclude.validationUnit</t>
        </is>
      </c>
      <c r="B856" s="104" t="inlineStr">
        <is>
          <t>Vui lòng nhập đơn vị /bưu cục</t>
        </is>
      </c>
      <c r="C856" s="3" t="n"/>
      <c r="D856" s="3" t="n"/>
      <c r="E856" s="3" t="n"/>
      <c r="F856" s="3" t="n"/>
      <c r="G856" s="3" t="n"/>
      <c r="H856" s="3" t="inlineStr">
        <is>
          <t>សូមបញ្ចូលបញ្ញើ vị /ការិយាល័យប្រៃសណីយ៍</t>
        </is>
      </c>
      <c r="I856" s="3" t="n"/>
      <c r="J856" s="3" t="n"/>
      <c r="K856" s="3" t="n"/>
      <c r="L856" s="3" t="inlineStr">
        <is>
          <t>សូមបញ្ចូលបញ្ញើ vị /ការិយាល័យប្រៃសណីយ៍</t>
        </is>
      </c>
      <c r="M856" s="3" t="n"/>
      <c r="N856" s="3" t="inlineStr">
        <is>
          <t>"violationReportConclude.validationUnit": "",</t>
        </is>
      </c>
      <c r="O856" s="3" t="n"/>
      <c r="P856" s="3" t="n"/>
      <c r="Q856" s="3" t="n"/>
      <c r="R856" s="3" t="n"/>
      <c r="S856" s="3" t="n"/>
      <c r="T856" s="3" t="n"/>
      <c r="U856" s="3" t="n"/>
      <c r="V856" s="3" t="n"/>
      <c r="W856" s="3" t="n"/>
      <c r="X856" s="3" t="n"/>
      <c r="Y856" s="3" t="n"/>
      <c r="Z856" s="3" t="n"/>
      <c r="AA856" s="3" t="n"/>
    </row>
    <row r="857">
      <c r="A857" s="104" t="inlineStr">
        <is>
          <t>violationReportConclude.validationContent</t>
        </is>
      </c>
      <c r="B857" s="104" t="inlineStr">
        <is>
          <t>Vui lòng nhập nội dung xử lý</t>
        </is>
      </c>
      <c r="C857" s="3" t="n"/>
      <c r="D857" s="3" t="n"/>
      <c r="E857" s="3" t="n"/>
      <c r="F857" s="3" t="n"/>
      <c r="G857" s="3" t="n"/>
      <c r="H857" s="3" t="inlineStr">
        <is>
          <t>សូមបញ្ចូលខ្លឹមសារ xử lý</t>
        </is>
      </c>
      <c r="I857" s="3" t="n"/>
      <c r="J857" s="3" t="n"/>
      <c r="K857" s="3" t="n"/>
      <c r="L857" s="3" t="inlineStr">
        <is>
          <t>សូមបញ្ចូលខ្លឹមសារ xử lý</t>
        </is>
      </c>
      <c r="M857" s="3" t="n"/>
      <c r="N857" s="3" t="inlineStr">
        <is>
          <t>"violationReportConclude.validationContent": "",</t>
        </is>
      </c>
      <c r="O857" s="3" t="n"/>
      <c r="P857" s="3" t="n"/>
      <c r="Q857" s="3" t="n"/>
      <c r="R857" s="3" t="n"/>
      <c r="S857" s="3" t="n"/>
      <c r="T857" s="3" t="n"/>
      <c r="U857" s="3" t="n"/>
      <c r="V857" s="3" t="n"/>
      <c r="W857" s="3" t="n"/>
      <c r="X857" s="3" t="n"/>
      <c r="Y857" s="3" t="n"/>
      <c r="Z857" s="3" t="n"/>
      <c r="AA857" s="3" t="n"/>
    </row>
    <row r="858">
      <c r="A858" s="104" t="inlineStr">
        <is>
          <t>violationReportConclude.validationViolator</t>
        </is>
      </c>
      <c r="B858" s="104" t="inlineStr">
        <is>
          <t>Vui lòng chọn cá nhân vi phạm</t>
        </is>
      </c>
      <c r="C858" s="3" t="n"/>
      <c r="D858" s="3" t="n"/>
      <c r="E858" s="3" t="n"/>
      <c r="F858" s="3" t="n"/>
      <c r="G858" s="3" t="n"/>
      <c r="H858" s="3" t="inlineStr">
        <is>
          <t>សូមជ្រើសរើសcá nhân vi phạm</t>
        </is>
      </c>
      <c r="I858" s="3" t="n"/>
      <c r="J858" s="3" t="n"/>
      <c r="K858" s="3" t="n"/>
      <c r="L858" s="3" t="inlineStr">
        <is>
          <t>សូមជ្រើសរើសcá nhân vi phạm</t>
        </is>
      </c>
      <c r="M858" s="3" t="n"/>
      <c r="N858" s="3" t="inlineStr">
        <is>
          <t>"violationReportConclude.validationViolator": "",</t>
        </is>
      </c>
      <c r="O858" s="3" t="n"/>
      <c r="P858" s="3" t="n"/>
      <c r="Q858" s="3" t="n"/>
      <c r="R858" s="3" t="n"/>
      <c r="S858" s="3" t="n"/>
      <c r="T858" s="3" t="n"/>
      <c r="U858" s="3" t="n"/>
      <c r="V858" s="3" t="n"/>
      <c r="W858" s="3" t="n"/>
      <c r="X858" s="3" t="n"/>
      <c r="Y858" s="3" t="n"/>
      <c r="Z858" s="3" t="n"/>
      <c r="AA858" s="3" t="n"/>
    </row>
    <row r="859">
      <c r="A859" s="104" t="inlineStr">
        <is>
          <t>violationReportConclude.validationIsCorrect</t>
        </is>
      </c>
      <c r="B859" s="104" t="inlineStr">
        <is>
          <t>Vui lòng chọn xác nhận</t>
        </is>
      </c>
      <c r="C859" s="3" t="n"/>
      <c r="D859" s="3" t="n"/>
      <c r="E859" s="3" t="n"/>
      <c r="F859" s="3" t="n"/>
      <c r="G859" s="3" t="n"/>
      <c r="H859" s="3" t="inlineStr">
        <is>
          <t>សូមជ្រើសរើសបញ្ជាក់</t>
        </is>
      </c>
      <c r="I859" s="3" t="n"/>
      <c r="J859" s="3" t="n"/>
      <c r="K859" s="3" t="n"/>
      <c r="L859" s="3" t="inlineStr">
        <is>
          <t>សូមជ្រើសរើសបញ្ជាក់</t>
        </is>
      </c>
      <c r="M859" s="3" t="n"/>
      <c r="N859" s="3" t="inlineStr">
        <is>
          <t>"violationReportConclude.validationIsCorrect": "",</t>
        </is>
      </c>
      <c r="O859" s="3" t="n"/>
      <c r="P859" s="3" t="n"/>
      <c r="Q859" s="3" t="n"/>
      <c r="R859" s="3" t="n"/>
      <c r="S859" s="3" t="n"/>
      <c r="T859" s="3" t="n"/>
      <c r="U859" s="3" t="n"/>
      <c r="V859" s="3" t="n"/>
      <c r="W859" s="3" t="n"/>
      <c r="X859" s="3" t="n"/>
      <c r="Y859" s="3" t="n"/>
      <c r="Z859" s="3" t="n"/>
      <c r="AA859" s="3" t="n"/>
    </row>
    <row r="860">
      <c r="A860" s="104" t="inlineStr">
        <is>
          <t>violationReportConclude.trackingTypeVanDon</t>
        </is>
      </c>
      <c r="B860" s="104" t="inlineStr">
        <is>
          <t>Vận đơn</t>
        </is>
      </c>
      <c r="C860" s="3" t="n"/>
      <c r="D860" s="3" t="n"/>
      <c r="E860" s="3" t="n"/>
      <c r="F860" s="3" t="n"/>
      <c r="G860" s="3" t="n"/>
      <c r="H860" s="3" t="inlineStr">
        <is>
          <t>បុងបញ្ញើ</t>
        </is>
      </c>
      <c r="I860" s="3" t="n"/>
      <c r="J860" s="3" t="n"/>
      <c r="K860" s="3" t="n"/>
      <c r="L860" s="3" t="inlineStr">
        <is>
          <t>បុងបញ្ញើ</t>
        </is>
      </c>
      <c r="M860" s="3" t="n"/>
      <c r="N860" s="3" t="inlineStr">
        <is>
          <t>"violationReportConclude.trackingTypeVanDon": "",</t>
        </is>
      </c>
      <c r="O860" s="3" t="n"/>
      <c r="P860" s="3" t="n"/>
      <c r="Q860" s="3" t="n"/>
      <c r="R860" s="3" t="n"/>
      <c r="S860" s="3" t="n"/>
      <c r="T860" s="3" t="n"/>
      <c r="U860" s="3" t="n"/>
      <c r="V860" s="3" t="n"/>
      <c r="W860" s="3" t="n"/>
      <c r="X860" s="3" t="n"/>
      <c r="Y860" s="3" t="n"/>
      <c r="Z860" s="3" t="n"/>
      <c r="AA860" s="3" t="n"/>
    </row>
    <row r="861">
      <c r="A861" s="104" t="inlineStr">
        <is>
          <t>violationReportConclude.trackingTypeTaiKien</t>
        </is>
      </c>
      <c r="B861" s="104" t="inlineStr">
        <is>
          <t>Tải/kiện</t>
        </is>
      </c>
      <c r="C861" s="3" t="n"/>
      <c r="D861" s="3" t="n"/>
      <c r="E861" s="3" t="n"/>
      <c r="F861" s="3" t="n"/>
      <c r="G861" s="3" t="n"/>
      <c r="H861" s="3" t="inlineStr">
        <is>
          <t>បាវបញ្ញើ/កញ្ចប់បញ្ញើ</t>
        </is>
      </c>
      <c r="I861" s="3" t="n"/>
      <c r="J861" s="3" t="n"/>
      <c r="K861" s="3" t="n"/>
      <c r="L861" s="3" t="inlineStr">
        <is>
          <t>បាវបញ្ញើ/កញ្ចប់បញ្ញើ</t>
        </is>
      </c>
      <c r="M861" s="3" t="n"/>
      <c r="N861" s="3" t="inlineStr">
        <is>
          <t>"violationReportConclude.trackingTypeTaiKien": "",</t>
        </is>
      </c>
      <c r="O861" s="3" t="n"/>
      <c r="P861" s="3" t="n"/>
      <c r="Q861" s="3" t="n"/>
      <c r="R861" s="3" t="n"/>
      <c r="S861" s="3" t="n"/>
      <c r="T861" s="3" t="n"/>
      <c r="U861" s="3" t="n"/>
      <c r="V861" s="3" t="n"/>
      <c r="W861" s="3" t="n"/>
      <c r="X861" s="3" t="n"/>
      <c r="Y861" s="3" t="n"/>
      <c r="Z861" s="3" t="n"/>
      <c r="AA861" s="3" t="n"/>
    </row>
    <row r="862">
      <c r="A862" s="104" t="inlineStr">
        <is>
          <t>violationReportConclude.trackingNoResults</t>
        </is>
      </c>
      <c r="B862" s="104" t="inlineStr">
        <is>
          <t>Không tìm thấy kết quả</t>
        </is>
      </c>
      <c r="C862" s="3" t="n"/>
      <c r="D862" s="3" t="n"/>
      <c r="E862" s="3" t="n"/>
      <c r="F862" s="3" t="n"/>
      <c r="G862" s="3" t="n"/>
      <c r="H862" s="3" t="inlineStr">
        <is>
          <t>Không tìm thấy លទ្ធផល</t>
        </is>
      </c>
      <c r="I862" s="3" t="n"/>
      <c r="J862" s="3" t="n"/>
      <c r="K862" s="3" t="n"/>
      <c r="L862" s="3" t="inlineStr">
        <is>
          <t>Không tìm thấy លទ្ធផល</t>
        </is>
      </c>
      <c r="M862" s="3" t="n"/>
      <c r="N862" s="3" t="inlineStr">
        <is>
          <t>"violationReportConclude.trackingNoResults": "",</t>
        </is>
      </c>
      <c r="O862" s="3" t="n"/>
      <c r="P862" s="3" t="n"/>
      <c r="Q862" s="3" t="n"/>
      <c r="R862" s="3" t="n"/>
      <c r="S862" s="3" t="n"/>
      <c r="T862" s="3" t="n"/>
      <c r="U862" s="3" t="n"/>
      <c r="V862" s="3" t="n"/>
      <c r="W862" s="3" t="n"/>
      <c r="X862" s="3" t="n"/>
      <c r="Y862" s="3" t="n"/>
      <c r="Z862" s="3" t="n"/>
      <c r="AA862" s="3" t="n"/>
    </row>
    <row r="863">
      <c r="A863" s="104" t="inlineStr">
        <is>
          <t>violationReportConclude.trackingNoMatch</t>
        </is>
      </c>
      <c r="B863" s="104" t="inlineStr">
        <is>
          <t>Không có dữ liệu phù hợp</t>
        </is>
      </c>
      <c r="C863" s="3" t="n"/>
      <c r="D863" s="3" t="n"/>
      <c r="E863" s="3" t="n"/>
      <c r="F863" s="3" t="n"/>
      <c r="G863" s="3" t="n"/>
      <c r="H863" s="3" t="inlineStr">
        <is>
          <t>មិនមានទិន្នន័យសមស្របទេ</t>
        </is>
      </c>
      <c r="I863" s="3" t="n"/>
      <c r="J863" s="3" t="n"/>
      <c r="K863" s="3" t="n"/>
      <c r="L863" s="3" t="inlineStr">
        <is>
          <t>មិនមានទិន្នន័យសមស្របទេ</t>
        </is>
      </c>
      <c r="M863" s="3" t="n"/>
      <c r="N863" s="3" t="inlineStr">
        <is>
          <t>"violationReportConclude.trackingNoMatch": "",</t>
        </is>
      </c>
      <c r="O863" s="3" t="n"/>
      <c r="P863" s="3" t="n"/>
      <c r="Q863" s="3" t="n"/>
      <c r="R863" s="3" t="n"/>
      <c r="S863" s="3" t="n"/>
      <c r="T863" s="3" t="n"/>
      <c r="U863" s="3" t="n"/>
      <c r="V863" s="3" t="n"/>
      <c r="W863" s="3" t="n"/>
      <c r="X863" s="3" t="n"/>
      <c r="Y863" s="3" t="n"/>
      <c r="Z863" s="3" t="n"/>
      <c r="AA863" s="3" t="n"/>
    </row>
    <row r="864">
      <c r="A864" s="104" t="inlineStr">
        <is>
          <t>violationReportConclude.trackingMixedType</t>
        </is>
      </c>
      <c r="B864" s="104" t="inlineStr">
        <is>
          <t>Biên bản chỉ được lập cho 1 loại: Vận đơn hoặc Tải/kiện</t>
        </is>
      </c>
      <c r="C864" s="3" t="n"/>
      <c r="D864" s="3" t="n"/>
      <c r="E864" s="3" t="n"/>
      <c r="F864" s="3" t="n"/>
      <c r="G864" s="3" t="n"/>
      <c r="H864" s="3" t="inlineStr">
        <is>
          <t>កំណត់ហេតុ chỉ được lập cho 1 ប្រភេទ: Vận បញ្ញើ hoặc Tải/kiện</t>
        </is>
      </c>
      <c r="I864" s="3" t="n"/>
      <c r="J864" s="3" t="n"/>
      <c r="K864" s="3" t="n"/>
      <c r="L864" s="3" t="inlineStr">
        <is>
          <t>កំណត់ហេតុ chỉ được lập cho 1 ប្រភេទ: Vận បញ្ញើ hoặc Tải/kiện</t>
        </is>
      </c>
      <c r="M864" s="3" t="n"/>
      <c r="N864" s="3" t="inlineStr">
        <is>
          <t>"violationReportConclude.trackingMixedType": "",</t>
        </is>
      </c>
      <c r="O864" s="3" t="n"/>
      <c r="P864" s="3" t="n"/>
      <c r="Q864" s="3" t="n"/>
      <c r="R864" s="3" t="n"/>
      <c r="S864" s="3" t="n"/>
      <c r="T864" s="3" t="n"/>
      <c r="U864" s="3" t="n"/>
      <c r="V864" s="3" t="n"/>
      <c r="W864" s="3" t="n"/>
      <c r="X864" s="3" t="n"/>
      <c r="Y864" s="3" t="n"/>
      <c r="Z864" s="3" t="n"/>
      <c r="AA864" s="3" t="n"/>
    </row>
    <row r="865">
      <c r="A865" s="104" t="inlineStr">
        <is>
          <t>violationReportConclude.trackingAlreadyAdded</t>
        </is>
      </c>
      <c r="B865" s="104" t="inlineStr">
        <is>
          <t>Vận đơn/Tải/Kiện đã được thêm</t>
        </is>
      </c>
      <c r="C865" s="3" t="n"/>
      <c r="D865" s="3" t="n"/>
      <c r="E865" s="3" t="n"/>
      <c r="F865" s="3" t="n"/>
      <c r="G865" s="3" t="n"/>
      <c r="H865" s="3" t="inlineStr">
        <is>
          <t>Vận បញ្ញើ/Tải/Kiện đã được thêm</t>
        </is>
      </c>
      <c r="I865" s="3" t="n"/>
      <c r="J865" s="3" t="n"/>
      <c r="K865" s="3" t="n"/>
      <c r="L865" s="3" t="inlineStr">
        <is>
          <t>Vận បញ្ញើ/Tải/Kiện đã được thêm</t>
        </is>
      </c>
      <c r="M865" s="3" t="n"/>
      <c r="N865" s="3" t="inlineStr">
        <is>
          <t>"violationReportConclude.trackingAlreadyAdded": "",</t>
        </is>
      </c>
      <c r="O865" s="3" t="n"/>
      <c r="P865" s="3" t="n"/>
      <c r="Q865" s="3" t="n"/>
      <c r="R865" s="3" t="n"/>
      <c r="S865" s="3" t="n"/>
      <c r="T865" s="3" t="n"/>
      <c r="U865" s="3" t="n"/>
      <c r="V865" s="3" t="n"/>
      <c r="W865" s="3" t="n"/>
      <c r="X865" s="3" t="n"/>
      <c r="Y865" s="3" t="n"/>
      <c r="Z865" s="3" t="n"/>
      <c r="AA865" s="3" t="n"/>
    </row>
    <row r="866">
      <c r="A866" s="104" t="inlineStr">
        <is>
          <t>violationReportConclude.trackingMaxCodes</t>
        </is>
      </c>
      <c r="B866" s="104" t="inlineStr">
        <is>
          <t>Tối đa {{max}} mã được nhập cùng lúc</t>
        </is>
      </c>
      <c r="C866" s="3" t="n"/>
      <c r="D866" s="3" t="n"/>
      <c r="E866" s="3" t="n"/>
      <c r="F866" s="3" t="n"/>
      <c r="G866" s="3" t="n"/>
      <c r="H866" s="3" t="inlineStr">
        <is>
          <t>Tối đa {{max}} លេខកូដ được nhập cùng lúc</t>
        </is>
      </c>
      <c r="I866" s="3" t="n"/>
      <c r="J866" s="3" t="n"/>
      <c r="K866" s="3" t="n"/>
      <c r="L866" s="3" t="inlineStr">
        <is>
          <t>Tối đa {{max}} លេខកូដ được nhập cùng lúc</t>
        </is>
      </c>
      <c r="M866" s="3" t="n"/>
      <c r="N866" s="3" t="inlineStr">
        <is>
          <t>"violationReportConclude.trackingMaxCodes": "",</t>
        </is>
      </c>
      <c r="O866" s="3" t="n"/>
      <c r="P866" s="3" t="n"/>
      <c r="Q866" s="3" t="n"/>
      <c r="R866" s="3" t="n"/>
      <c r="S866" s="3" t="n"/>
      <c r="T866" s="3" t="n"/>
      <c r="U866" s="3" t="n"/>
      <c r="V866" s="3" t="n"/>
      <c r="W866" s="3" t="n"/>
      <c r="X866" s="3" t="n"/>
      <c r="Y866" s="3" t="n"/>
      <c r="Z866" s="3" t="n"/>
      <c r="AA866" s="3" t="n"/>
    </row>
    <row r="867">
      <c r="A867" s="104" t="inlineStr">
        <is>
          <t>violationReportConclude.trackingInputPlaceholder</t>
        </is>
      </c>
      <c r="B867" s="104" t="inlineStr">
        <is>
          <t>Nhập mã vận đơn, tải/kiện</t>
        </is>
      </c>
      <c r="C867" s="3" t="n"/>
      <c r="D867" s="3" t="n"/>
      <c r="E867" s="3" t="n"/>
      <c r="F867" s="3" t="n"/>
      <c r="G867" s="3" t="n"/>
      <c r="H867" s="3" t="inlineStr">
        <is>
          <t>បញ្ចូលលេខកូដបញ្ញើ, tải/kiện</t>
        </is>
      </c>
      <c r="I867" s="3" t="n"/>
      <c r="J867" s="3" t="n"/>
      <c r="K867" s="3" t="n"/>
      <c r="L867" s="3" t="inlineStr">
        <is>
          <t>បញ្ចូលលេខកូដបញ្ញើ, tải/kiện</t>
        </is>
      </c>
      <c r="M867" s="3" t="n"/>
      <c r="N867" s="3" t="inlineStr">
        <is>
          <t>"violationReportConclude.trackingInputPlaceholder": "",</t>
        </is>
      </c>
      <c r="O867" s="3" t="n"/>
      <c r="P867" s="3" t="n"/>
      <c r="Q867" s="3" t="n"/>
      <c r="R867" s="3" t="n"/>
      <c r="S867" s="3" t="n"/>
      <c r="T867" s="3" t="n"/>
      <c r="U867" s="3" t="n"/>
      <c r="V867" s="3" t="n"/>
      <c r="W867" s="3" t="n"/>
      <c r="X867" s="3" t="n"/>
      <c r="Y867" s="3" t="n"/>
      <c r="Z867" s="3" t="n"/>
      <c r="AA867" s="3" t="n"/>
    </row>
    <row r="868">
      <c r="A868" s="104" t="inlineStr">
        <is>
          <t>violationReportConclude.trackingCodeNotFound</t>
        </is>
      </c>
      <c r="B868" s="104" t="inlineStr">
        <is>
          <t>Mã {{code}} không tìm thấy</t>
        </is>
      </c>
      <c r="C868" s="3" t="n"/>
      <c r="D868" s="3" t="n"/>
      <c r="E868" s="3" t="n"/>
      <c r="F868" s="3" t="n"/>
      <c r="G868" s="3" t="n"/>
      <c r="H868" s="3" t="inlineStr">
        <is>
          <t>លេខកូដ{{code}} không tìm thấy</t>
        </is>
      </c>
      <c r="I868" s="3" t="n"/>
      <c r="J868" s="3" t="n"/>
      <c r="K868" s="3" t="n"/>
      <c r="L868" s="3" t="inlineStr">
        <is>
          <t>លេខកូដ{{code}} không tìm thấy</t>
        </is>
      </c>
      <c r="M868" s="3" t="n"/>
      <c r="N868" s="3" t="inlineStr">
        <is>
          <t>"violationReportConclude.trackingCodeNotFound": "",</t>
        </is>
      </c>
      <c r="O868" s="3" t="n"/>
      <c r="P868" s="3" t="n"/>
      <c r="Q868" s="3" t="n"/>
      <c r="R868" s="3" t="n"/>
      <c r="S868" s="3" t="n"/>
      <c r="T868" s="3" t="n"/>
      <c r="U868" s="3" t="n"/>
      <c r="V868" s="3" t="n"/>
      <c r="W868" s="3" t="n"/>
      <c r="X868" s="3" t="n"/>
      <c r="Y868" s="3" t="n"/>
      <c r="Z868" s="3" t="n"/>
      <c r="AA868" s="3" t="n"/>
    </row>
    <row r="869">
      <c r="A869" s="104" t="inlineStr">
        <is>
          <t>violationReportConclude.trackingCodeAlreadyAdded</t>
        </is>
      </c>
      <c r="B869" s="104" t="inlineStr">
        <is>
          <t>Mã {{code}} đã được thêm</t>
        </is>
      </c>
      <c r="C869" s="3" t="n"/>
      <c r="D869" s="3" t="n"/>
      <c r="E869" s="3" t="n"/>
      <c r="F869" s="3" t="n"/>
      <c r="G869" s="3" t="n"/>
      <c r="H869" s="3" t="inlineStr">
        <is>
          <t>លេខកូដ{{code}} đã được thêm</t>
        </is>
      </c>
      <c r="I869" s="3" t="n"/>
      <c r="J869" s="3" t="n"/>
      <c r="K869" s="3" t="n"/>
      <c r="L869" s="3" t="inlineStr">
        <is>
          <t>លេខកូដ{{code}} đã được thêm</t>
        </is>
      </c>
      <c r="M869" s="3" t="n"/>
      <c r="N869" s="3" t="inlineStr">
        <is>
          <t>"violationReportConclude.trackingCodeAlreadyAdded": "",</t>
        </is>
      </c>
      <c r="O869" s="3" t="n"/>
      <c r="P869" s="3" t="n"/>
      <c r="Q869" s="3" t="n"/>
      <c r="R869" s="3" t="n"/>
      <c r="S869" s="3" t="n"/>
      <c r="T869" s="3" t="n"/>
      <c r="U869" s="3" t="n"/>
      <c r="V869" s="3" t="n"/>
      <c r="W869" s="3" t="n"/>
      <c r="X869" s="3" t="n"/>
      <c r="Y869" s="3" t="n"/>
      <c r="Z869" s="3" t="n"/>
      <c r="AA869" s="3" t="n"/>
    </row>
    <row r="870">
      <c r="A870" s="104" t="inlineStr">
        <is>
          <t>violationReportConclude.noData</t>
        </is>
      </c>
      <c r="B870" s="104" t="inlineStr">
        <is>
          <t>Không có dữ liệu</t>
        </is>
      </c>
      <c r="C870" s="3" t="n"/>
      <c r="D870" s="3" t="n"/>
      <c r="E870" s="3" t="n"/>
      <c r="F870" s="3" t="n"/>
      <c r="G870" s="3" t="n"/>
      <c r="H870" s="3" t="inlineStr">
        <is>
          <t>មិនមានទិន្នន័យទេ</t>
        </is>
      </c>
      <c r="I870" s="3" t="n"/>
      <c r="J870" s="3" t="n"/>
      <c r="K870" s="3" t="n"/>
      <c r="L870" s="3" t="inlineStr">
        <is>
          <t>មិនមានទិន្នន័យទេ</t>
        </is>
      </c>
      <c r="M870" s="3" t="n"/>
      <c r="N870" s="3" t="inlineStr">
        <is>
          <t>"violationReportConclude.noData": "",</t>
        </is>
      </c>
      <c r="O870" s="3" t="n"/>
      <c r="P870" s="3" t="n"/>
      <c r="Q870" s="3" t="n"/>
      <c r="R870" s="3" t="n"/>
      <c r="S870" s="3" t="n"/>
      <c r="T870" s="3" t="n"/>
      <c r="U870" s="3" t="n"/>
      <c r="V870" s="3" t="n"/>
      <c r="W870" s="3" t="n"/>
      <c r="X870" s="3" t="n"/>
      <c r="Y870" s="3" t="n"/>
      <c r="Z870" s="3" t="n"/>
      <c r="AA870" s="3" t="n"/>
    </row>
    <row r="871">
      <c r="A871" s="104" t="inlineStr">
        <is>
          <t>violationReportConclude.createSuccess</t>
        </is>
      </c>
      <c r="B871" s="104" t="inlineStr">
        <is>
          <t>Tạo biên bản thành công</t>
        </is>
      </c>
      <c r="C871" s="3" t="n"/>
      <c r="D871" s="3" t="n"/>
      <c r="E871" s="3" t="n"/>
      <c r="F871" s="3" t="n"/>
      <c r="G871" s="3" t="n"/>
      <c r="H871" s="3" t="inlineStr">
        <is>
          <t>បង្កើតកំណត់ហេតុ ជោគជ័យ</t>
        </is>
      </c>
      <c r="I871" s="3" t="n"/>
      <c r="J871" s="3" t="n"/>
      <c r="K871" s="3" t="n"/>
      <c r="L871" s="3" t="inlineStr">
        <is>
          <t>បង្កើតកំណត់ហេតុ ជោគជ័យ</t>
        </is>
      </c>
      <c r="M871" s="3" t="n"/>
      <c r="N871" s="3" t="inlineStr">
        <is>
          <t>"violationReportConclude.createSuccess": "",</t>
        </is>
      </c>
      <c r="O871" s="3" t="n"/>
      <c r="P871" s="3" t="n"/>
      <c r="Q871" s="3" t="n"/>
      <c r="R871" s="3" t="n"/>
      <c r="S871" s="3" t="n"/>
      <c r="T871" s="3" t="n"/>
      <c r="U871" s="3" t="n"/>
      <c r="V871" s="3" t="n"/>
      <c r="W871" s="3" t="n"/>
      <c r="X871" s="3" t="n"/>
      <c r="Y871" s="3" t="n"/>
      <c r="Z871" s="3" t="n"/>
      <c r="AA871" s="3" t="n"/>
    </row>
    <row r="872">
      <c r="A872" s="104" t="inlineStr">
        <is>
          <t>violationReportConclude.processSuccess</t>
        </is>
      </c>
      <c r="B872" s="104" t="inlineStr">
        <is>
          <t>Xác nhận thành công</t>
        </is>
      </c>
      <c r="C872" s="3" t="n"/>
      <c r="D872" s="3" t="n"/>
      <c r="E872" s="3" t="n"/>
      <c r="F872" s="3" t="n"/>
      <c r="G872" s="3" t="n"/>
      <c r="H872" s="3" t="inlineStr">
        <is>
          <t>បញ្ជាក់ ជោគជ័យ</t>
        </is>
      </c>
      <c r="I872" s="3" t="n"/>
      <c r="J872" s="3" t="n"/>
      <c r="K872" s="3" t="n"/>
      <c r="L872" s="3" t="inlineStr">
        <is>
          <t>បញ្ជាក់ ជោគជ័យ</t>
        </is>
      </c>
      <c r="M872" s="3" t="n"/>
      <c r="N872" s="3" t="inlineStr">
        <is>
          <t>"violationReportConclude.processSuccess": "",</t>
        </is>
      </c>
      <c r="O872" s="3" t="n"/>
      <c r="P872" s="3" t="n"/>
      <c r="Q872" s="3" t="n"/>
      <c r="R872" s="3" t="n"/>
      <c r="S872" s="3" t="n"/>
      <c r="T872" s="3" t="n"/>
      <c r="U872" s="3" t="n"/>
      <c r="V872" s="3" t="n"/>
      <c r="W872" s="3" t="n"/>
      <c r="X872" s="3" t="n"/>
      <c r="Y872" s="3" t="n"/>
      <c r="Z872" s="3" t="n"/>
      <c r="AA872" s="3" t="n"/>
    </row>
    <row r="873">
      <c r="A873" s="104" t="inlineStr">
        <is>
          <t>violationReportConclude.processSuccessCorrect</t>
        </is>
      </c>
      <c r="B873" s="104" t="inlineStr">
        <is>
          <t>Biên bản đã được xác nhận lập đúng thành công</t>
        </is>
      </c>
      <c r="C873" s="3" t="n"/>
      <c r="D873" s="3" t="n"/>
      <c r="E873" s="3" t="n"/>
      <c r="F873" s="3" t="n"/>
      <c r="G873" s="3" t="n"/>
      <c r="H873" s="3" t="inlineStr">
        <is>
          <t>កំណត់ហេតុ đã được បញ្ជាក់ lập đúng ជោគជ័យ</t>
        </is>
      </c>
      <c r="I873" s="3" t="n"/>
      <c r="J873" s="3" t="n"/>
      <c r="K873" s="3" t="n"/>
      <c r="L873" s="3" t="inlineStr">
        <is>
          <t>កំណត់ហេតុ đã được បញ្ជាក់ lập đúng ជោគជ័យ</t>
        </is>
      </c>
      <c r="M873" s="3" t="n"/>
      <c r="N873" s="3" t="inlineStr">
        <is>
          <t>"violationReportConclude.processSuccessCorrect": "",</t>
        </is>
      </c>
      <c r="O873" s="3" t="n"/>
      <c r="P873" s="3" t="n"/>
      <c r="Q873" s="3" t="n"/>
      <c r="R873" s="3" t="n"/>
      <c r="S873" s="3" t="n"/>
      <c r="T873" s="3" t="n"/>
      <c r="U873" s="3" t="n"/>
      <c r="V873" s="3" t="n"/>
      <c r="W873" s="3" t="n"/>
      <c r="X873" s="3" t="n"/>
      <c r="Y873" s="3" t="n"/>
      <c r="Z873" s="3" t="n"/>
      <c r="AA873" s="3" t="n"/>
    </row>
    <row r="874">
      <c r="A874" s="104" t="inlineStr">
        <is>
          <t>violationReportConclude.processSuccessInCorrect</t>
        </is>
      </c>
      <c r="B874" s="104" t="inlineStr">
        <is>
          <t>Biên bản đã được xác nhận lập sai và chờ kết luận!</t>
        </is>
      </c>
      <c r="C874" s="3" t="n"/>
      <c r="D874" s="3" t="n"/>
      <c r="E874" s="3" t="n"/>
      <c r="F874" s="3" t="n"/>
      <c r="G874" s="3" t="n"/>
      <c r="H874" s="3" t="inlineStr">
        <is>
          <t>កំណត់ហេតុ đã được បញ្ជាក់ lập sai và chờ kết luận!</t>
        </is>
      </c>
      <c r="I874" s="3" t="n"/>
      <c r="J874" s="3" t="n"/>
      <c r="K874" s="3" t="n"/>
      <c r="L874" s="3" t="inlineStr">
        <is>
          <t>កំណត់ហេតុ đã được បញ្ជាក់ lập sai và chờ kết luận!</t>
        </is>
      </c>
      <c r="M874" s="3" t="n"/>
      <c r="N874" s="3" t="inlineStr">
        <is>
          <t>"violationReportConclude.processSuccessInCorrect": "",</t>
        </is>
      </c>
      <c r="O874" s="3" t="n"/>
      <c r="P874" s="3" t="n"/>
      <c r="Q874" s="3" t="n"/>
      <c r="R874" s="3" t="n"/>
      <c r="S874" s="3" t="n"/>
      <c r="T874" s="3" t="n"/>
      <c r="U874" s="3" t="n"/>
      <c r="V874" s="3" t="n"/>
      <c r="W874" s="3" t="n"/>
      <c r="X874" s="3" t="n"/>
      <c r="Y874" s="3" t="n"/>
      <c r="Z874" s="3" t="n"/>
      <c r="AA874" s="3" t="n"/>
    </row>
    <row r="875">
      <c r="A875" s="104" t="inlineStr">
        <is>
          <t>violationReportConclude.processSuccessCorrectConclude</t>
        </is>
      </c>
      <c r="B875" s="104" t="inlineStr">
        <is>
          <t>Biên bản đã được chuyển về BCVP/TTVH thành công!</t>
        </is>
      </c>
      <c r="C875" s="3" t="n"/>
      <c r="D875" s="3" t="n"/>
      <c r="E875" s="3" t="n"/>
      <c r="F875" s="3" t="n"/>
      <c r="G875" s="3" t="n"/>
      <c r="H875" s="3" t="inlineStr">
        <is>
          <t>កំណត់ហេតុ đã được chuyển về BCVP/TTVH ជោគជ័យ!</t>
        </is>
      </c>
      <c r="I875" s="3" t="n"/>
      <c r="J875" s="3" t="n"/>
      <c r="K875" s="3" t="n"/>
      <c r="L875" s="3" t="inlineStr">
        <is>
          <t>កំណត់ហេតុ đã được chuyển về BCVP/TTVH ជោគជ័យ!</t>
        </is>
      </c>
      <c r="M875" s="3" t="n"/>
      <c r="N875" s="3" t="inlineStr">
        <is>
          <t>"violationReportConclude.processSuccessCorrectConclude": "",</t>
        </is>
      </c>
      <c r="O875" s="3" t="n"/>
      <c r="P875" s="3" t="n"/>
      <c r="Q875" s="3" t="n"/>
      <c r="R875" s="3" t="n"/>
      <c r="S875" s="3" t="n"/>
      <c r="T875" s="3" t="n"/>
      <c r="U875" s="3" t="n"/>
      <c r="V875" s="3" t="n"/>
      <c r="W875" s="3" t="n"/>
      <c r="X875" s="3" t="n"/>
      <c r="Y875" s="3" t="n"/>
      <c r="Z875" s="3" t="n"/>
      <c r="AA875" s="3" t="n"/>
    </row>
    <row r="876">
      <c r="A876" s="104" t="inlineStr">
        <is>
          <t>violationReportConclude.processSuccessInCorrectConclude</t>
        </is>
      </c>
      <c r="B876" s="104" t="inlineStr">
        <is>
          <t>Biên bản được kết luận lại thành công!</t>
        </is>
      </c>
      <c r="C876" s="3" t="n"/>
      <c r="D876" s="3" t="n"/>
      <c r="E876" s="3" t="n"/>
      <c r="F876" s="3" t="n"/>
      <c r="G876" s="3" t="n"/>
      <c r="H876" s="3" t="inlineStr">
        <is>
          <t>កំណត់ហេតុ được kết luận lại ជោគជ័យ!</t>
        </is>
      </c>
      <c r="I876" s="3" t="n"/>
      <c r="J876" s="3" t="n"/>
      <c r="K876" s="3" t="n"/>
      <c r="L876" s="3" t="inlineStr">
        <is>
          <t>កំណត់ហេតុ được kết luận lại ជោគជ័យ!</t>
        </is>
      </c>
      <c r="M876" s="3" t="n"/>
      <c r="N876" s="3" t="inlineStr">
        <is>
          <t>"violationReportConclude.processSuccessInCorrectConclude": "",</t>
        </is>
      </c>
      <c r="O876" s="3" t="n"/>
      <c r="P876" s="3" t="n"/>
      <c r="Q876" s="3" t="n"/>
      <c r="R876" s="3" t="n"/>
      <c r="S876" s="3" t="n"/>
      <c r="T876" s="3" t="n"/>
      <c r="U876" s="3" t="n"/>
      <c r="V876" s="3" t="n"/>
      <c r="W876" s="3" t="n"/>
      <c r="X876" s="3" t="n"/>
      <c r="Y876" s="3" t="n"/>
      <c r="Z876" s="3" t="n"/>
      <c r="AA876" s="3" t="n"/>
    </row>
    <row r="877">
      <c r="A877" s="104" t="inlineStr">
        <is>
          <t>violationReportConclude.uploadFileError</t>
        </is>
      </c>
      <c r="B877" s="104" t="inlineStr">
        <is>
          <t>Upload file thất bại, vui lòng thử lại</t>
        </is>
      </c>
      <c r="C877" s="3" t="n"/>
      <c r="D877" s="3" t="n"/>
      <c r="E877" s="3" t="n"/>
      <c r="F877" s="3" t="n"/>
      <c r="G877" s="3" t="n"/>
      <c r="H877" s="3" t="inlineStr">
        <is>
          <t>Upload file បរាជ័យ, vui lòng thử lại</t>
        </is>
      </c>
      <c r="I877" s="3" t="n"/>
      <c r="J877" s="3" t="n"/>
      <c r="K877" s="3" t="n"/>
      <c r="L877" s="3" t="inlineStr">
        <is>
          <t>Upload file បរាជ័យ, vui lòng thử lại</t>
        </is>
      </c>
      <c r="M877" s="3" t="n"/>
      <c r="N877" s="3" t="inlineStr">
        <is>
          <t>"violationReportConclude.uploadFileError": "",</t>
        </is>
      </c>
      <c r="O877" s="3" t="n"/>
      <c r="P877" s="3" t="n"/>
      <c r="Q877" s="3" t="n"/>
      <c r="R877" s="3" t="n"/>
      <c r="S877" s="3" t="n"/>
      <c r="T877" s="3" t="n"/>
      <c r="U877" s="3" t="n"/>
      <c r="V877" s="3" t="n"/>
      <c r="W877" s="3" t="n"/>
      <c r="X877" s="3" t="n"/>
      <c r="Y877" s="3" t="n"/>
      <c r="Z877" s="3" t="n"/>
      <c r="AA877" s="3" t="n"/>
    </row>
    <row r="878">
      <c r="A878" s="104" t="inlineStr">
        <is>
          <t>violationReportConclude.validationReferenceNotFound</t>
        </is>
      </c>
      <c r="B878" s="104" t="inlineStr">
        <is>
          <t>Mã biên bản tham chiếu không tồn tại</t>
        </is>
      </c>
      <c r="C878" s="3" t="n"/>
      <c r="D878" s="3" t="n"/>
      <c r="E878" s="3" t="n"/>
      <c r="F878" s="3" t="n"/>
      <c r="G878" s="3" t="n"/>
      <c r="H878" s="3" t="inlineStr">
        <is>
          <t>លេខកូដកំណត់ហេតុ tham chiếu không tồn tại</t>
        </is>
      </c>
      <c r="I878" s="3" t="n"/>
      <c r="J878" s="3" t="n"/>
      <c r="K878" s="3" t="n"/>
      <c r="L878" s="3" t="inlineStr">
        <is>
          <t>លេខកូដកំណត់ហេតុ tham chiếu không tồn tại</t>
        </is>
      </c>
      <c r="M878" s="3" t="n"/>
      <c r="N878" s="3" t="inlineStr">
        <is>
          <t>"violationReportConclude.validationReferenceNotFound": "",</t>
        </is>
      </c>
      <c r="O878" s="3" t="n"/>
      <c r="P878" s="3" t="n"/>
      <c r="Q878" s="3" t="n"/>
      <c r="R878" s="3" t="n"/>
      <c r="S878" s="3" t="n"/>
      <c r="T878" s="3" t="n"/>
      <c r="U878" s="3" t="n"/>
      <c r="V878" s="3" t="n"/>
      <c r="W878" s="3" t="n"/>
      <c r="X878" s="3" t="n"/>
      <c r="Y878" s="3" t="n"/>
      <c r="Z878" s="3" t="n"/>
      <c r="AA878" s="3" t="n"/>
    </row>
    <row r="879">
      <c r="A879" s="104" t="inlineStr">
        <is>
          <t>violationReportConclude.validationViolatorRequired</t>
        </is>
      </c>
      <c r="B879" s="104" t="inlineStr">
        <is>
          <t>Vui lòng chọn cá nhân vi phạm trước khi xác nhận</t>
        </is>
      </c>
      <c r="C879" s="3" t="n"/>
      <c r="D879" s="3" t="n"/>
      <c r="E879" s="3" t="n"/>
      <c r="F879" s="3" t="n"/>
      <c r="G879" s="3" t="n"/>
      <c r="H879" s="3" t="inlineStr">
        <is>
          <t>សូមជ្រើសរើសcá nhân vi phạm trước khi បញ្ជាក់</t>
        </is>
      </c>
      <c r="I879" s="3" t="n"/>
      <c r="J879" s="3" t="n"/>
      <c r="K879" s="3" t="n"/>
      <c r="L879" s="3" t="inlineStr">
        <is>
          <t>សូមជ្រើសរើសcá nhân vi phạm trước khi បញ្ជាក់</t>
        </is>
      </c>
      <c r="M879" s="3" t="n"/>
      <c r="N879" s="3" t="inlineStr">
        <is>
          <t>"violationReportConclude.validationViolatorRequired": "",</t>
        </is>
      </c>
      <c r="O879" s="3" t="n"/>
      <c r="P879" s="3" t="n"/>
      <c r="Q879" s="3" t="n"/>
      <c r="R879" s="3" t="n"/>
      <c r="S879" s="3" t="n"/>
      <c r="T879" s="3" t="n"/>
      <c r="U879" s="3" t="n"/>
      <c r="V879" s="3" t="n"/>
      <c r="W879" s="3" t="n"/>
      <c r="X879" s="3" t="n"/>
      <c r="Y879" s="3" t="n"/>
      <c r="Z879" s="3" t="n"/>
      <c r="AA879" s="3" t="n"/>
    </row>
    <row r="880">
      <c r="A880" s="104" t="inlineStr">
        <is>
          <t>violationReportConclude.ttvhConclude</t>
        </is>
      </c>
      <c r="B880" s="104" t="inlineStr">
        <is>
          <t>TTVH kết luận</t>
        </is>
      </c>
      <c r="C880" s="3" t="n"/>
      <c r="D880" s="3" t="n"/>
      <c r="E880" s="3" t="n"/>
      <c r="F880" s="3" t="n"/>
      <c r="G880" s="3" t="n"/>
      <c r="H880" s="3" t="inlineStr">
        <is>
          <t>មជ្ឈមណ្ឌលប្រតិបត្តិការសន្និដ្ឋាន</t>
        </is>
      </c>
      <c r="I880" s="3" t="n"/>
      <c r="J880" s="3" t="n"/>
      <c r="K880" s="3" t="n"/>
      <c r="L880" s="3" t="inlineStr">
        <is>
          <t>មជ្ឈមណ្ឌលប្រតិបត្តិការសន្និដ្ឋាន</t>
        </is>
      </c>
      <c r="M880" s="3" t="n"/>
      <c r="N880" s="3" t="inlineStr">
        <is>
          <t>"violationReportConclude.ttvhConclude": "",</t>
        </is>
      </c>
      <c r="O880" s="3" t="n"/>
      <c r="P880" s="3" t="n"/>
      <c r="Q880" s="3" t="n"/>
      <c r="R880" s="3" t="n"/>
      <c r="S880" s="3" t="n"/>
      <c r="T880" s="3" t="n"/>
      <c r="U880" s="3" t="n"/>
      <c r="V880" s="3" t="n"/>
      <c r="W880" s="3" t="n"/>
      <c r="X880" s="3" t="n"/>
      <c r="Y880" s="3" t="n"/>
      <c r="Z880" s="3" t="n"/>
      <c r="AA880" s="3" t="n"/>
    </row>
    <row r="881">
      <c r="A881" s="104" t="inlineStr">
        <is>
          <t>violationReportConclude.dialogCreateMinutesAutoCloseLabel</t>
        </is>
      </c>
      <c r="B881" s="104" t="inlineStr">
        <is>
          <t>Đồng chí có chắc chắn tạo biên bản với mã lỗi tự động hoàn thành?</t>
        </is>
      </c>
      <c r="C881" s="3" t="n"/>
      <c r="D881" s="3" t="n"/>
      <c r="E881" s="3" t="n"/>
      <c r="F881" s="3" t="n"/>
      <c r="G881" s="3" t="n"/>
      <c r="H881" s="3" t="inlineStr">
        <is>
          <t>Đồng chí có chắc chắn tạo កំណត់ហេតុ với លេខកូដកំហុស tự động បានបញ្ចប់?</t>
        </is>
      </c>
      <c r="I881" s="3" t="n"/>
      <c r="J881" s="3" t="n"/>
      <c r="K881" s="3" t="n"/>
      <c r="L881" s="3" t="inlineStr">
        <is>
          <t>Đồng chí có chắc chắn tạo កំណត់ហេតុ với លេខកូដកំហុស tự động បានបញ្ចប់?</t>
        </is>
      </c>
      <c r="M881" s="3" t="n"/>
      <c r="N881" s="3" t="inlineStr">
        <is>
          <t>"violationReportConclude.dialogCreateMinutesAutoCloseLabel": "",</t>
        </is>
      </c>
      <c r="O881" s="3" t="n"/>
      <c r="P881" s="3" t="n"/>
      <c r="Q881" s="3" t="n"/>
      <c r="R881" s="3" t="n"/>
      <c r="S881" s="3" t="n"/>
      <c r="T881" s="3" t="n"/>
      <c r="U881" s="3" t="n"/>
      <c r="V881" s="3" t="n"/>
      <c r="W881" s="3" t="n"/>
      <c r="X881" s="3" t="n"/>
      <c r="Y881" s="3" t="n"/>
      <c r="Z881" s="3" t="n"/>
      <c r="AA881" s="3" t="n"/>
    </row>
    <row r="882">
      <c r="A882" s="104" t="inlineStr">
        <is>
          <t>violationReportConclude.dialogCreateMinutesAutoCloseDesc</t>
        </is>
      </c>
      <c r="B882" s="104" t="inlineStr">
        <is>
          <t>Với lựa chọn này biên bản sẽ tự động hoàn thành mà không cần giải trình.</t>
        </is>
      </c>
      <c r="C882" s="3" t="n"/>
      <c r="D882" s="3" t="n"/>
      <c r="E882" s="3" t="n"/>
      <c r="F882" s="3" t="n"/>
      <c r="G882" s="3" t="n"/>
      <c r="H882" s="3" t="inlineStr">
        <is>
          <t>Với lựa chọn này កំណត់ហេតុ sẽ tự động បានបញ្ចប់ mà không cần giải trình.</t>
        </is>
      </c>
      <c r="I882" s="3" t="n"/>
      <c r="J882" s="3" t="n"/>
      <c r="K882" s="3" t="n"/>
      <c r="L882" s="3" t="inlineStr">
        <is>
          <t>Với lựa chọn này កំណត់ហេតុ sẽ tự động បានបញ្ចប់ mà không cần giải trình.</t>
        </is>
      </c>
      <c r="M882" s="3" t="n"/>
      <c r="N882" s="3" t="inlineStr">
        <is>
          <t>"violationReportConclude.dialogCreateMinutesAutoCloseDesc": "",</t>
        </is>
      </c>
      <c r="O882" s="3" t="n"/>
      <c r="P882" s="3" t="n"/>
      <c r="Q882" s="3" t="n"/>
      <c r="R882" s="3" t="n"/>
      <c r="S882" s="3" t="n"/>
      <c r="T882" s="3" t="n"/>
      <c r="U882" s="3" t="n"/>
      <c r="V882" s="3" t="n"/>
      <c r="W882" s="3" t="n"/>
      <c r="X882" s="3" t="n"/>
      <c r="Y882" s="3" t="n"/>
      <c r="Z882" s="3" t="n"/>
      <c r="AA882" s="3" t="n"/>
    </row>
    <row r="883">
      <c r="A883" s="104" t="inlineStr">
        <is>
          <t>violationReportConclude.validationCompensationRate</t>
        </is>
      </c>
      <c r="B883" s="104" t="inlineStr">
        <is>
          <t>Vui lòng nhập lớn hơn hoặc bằng 0 và nhỏ hơn hoặc bằng 100</t>
        </is>
      </c>
      <c r="C883" s="3" t="n"/>
      <c r="D883" s="3" t="n"/>
      <c r="E883" s="3" t="n"/>
      <c r="F883" s="3" t="n"/>
      <c r="G883" s="3" t="n"/>
      <c r="H883" s="3" t="inlineStr">
        <is>
          <t>សូមបញ្ចូលlớn hơn hoặc bằng 0 và nhỏ hơn hoặc bằng 100</t>
        </is>
      </c>
      <c r="I883" s="3" t="n"/>
      <c r="J883" s="3" t="n"/>
      <c r="K883" s="3" t="n"/>
      <c r="L883" s="3" t="inlineStr">
        <is>
          <t>សូមបញ្ចូលlớn hơn hoặc bằng 0 và nhỏ hơn hoặc bằng 100</t>
        </is>
      </c>
      <c r="M883" s="3" t="n"/>
      <c r="N883" s="3" t="inlineStr">
        <is>
          <t>"violationReportConclude.validationCompensationRate": "",</t>
        </is>
      </c>
      <c r="O883" s="3" t="n"/>
      <c r="P883" s="3" t="n"/>
      <c r="Q883" s="3" t="n"/>
      <c r="R883" s="3" t="n"/>
      <c r="S883" s="3" t="n"/>
      <c r="T883" s="3" t="n"/>
      <c r="U883" s="3" t="n"/>
      <c r="V883" s="3" t="n"/>
      <c r="W883" s="3" t="n"/>
      <c r="X883" s="3" t="n"/>
      <c r="Y883" s="3" t="n"/>
      <c r="Z883" s="3" t="n"/>
      <c r="AA883" s="3" t="n"/>
    </row>
    <row r="884">
      <c r="A884" s="104" t="inlineStr">
        <is>
          <t>violationReportConclude.formConfirmPlaceholder</t>
        </is>
      </c>
      <c r="B884" s="104" t="inlineStr">
        <is>
          <t>Vui lòng chọn đúng/sai</t>
        </is>
      </c>
      <c r="C884" s="3" t="n"/>
      <c r="D884" s="3" t="n"/>
      <c r="E884" s="3" t="n"/>
      <c r="F884" s="3" t="n"/>
      <c r="G884" s="3" t="n"/>
      <c r="H884" s="3" t="inlineStr">
        <is>
          <t>សូមជ្រើសរើសđúng/sai</t>
        </is>
      </c>
      <c r="I884" s="3" t="n"/>
      <c r="J884" s="3" t="n"/>
      <c r="K884" s="3" t="n"/>
      <c r="L884" s="3" t="inlineStr">
        <is>
          <t>សូមជ្រើសរើសđúng/sai</t>
        </is>
      </c>
      <c r="M884" s="3" t="n"/>
      <c r="N884" s="3" t="inlineStr">
        <is>
          <t>"violationReportConclude.formConfirmPlaceholder": "",</t>
        </is>
      </c>
      <c r="O884" s="3" t="n"/>
      <c r="P884" s="3" t="n"/>
      <c r="Q884" s="3" t="n"/>
      <c r="R884" s="3" t="n"/>
      <c r="S884" s="3" t="n"/>
      <c r="T884" s="3" t="n"/>
      <c r="U884" s="3" t="n"/>
      <c r="V884" s="3" t="n"/>
      <c r="W884" s="3" t="n"/>
      <c r="X884" s="3" t="n"/>
      <c r="Y884" s="3" t="n"/>
      <c r="Z884" s="3" t="n"/>
      <c r="AA884" s="3" t="n"/>
    </row>
    <row r="885">
      <c r="A885" s="104" t="inlineStr">
        <is>
          <t>violationReportConclude.confirmViolation</t>
        </is>
      </c>
      <c r="B885" s="104" t="inlineStr">
        <is>
          <t>Vui lòng chọn đúng đơn vị vi phạm và cá nhân vi phạm</t>
        </is>
      </c>
      <c r="C885" s="3" t="n"/>
      <c r="D885" s="3" t="n"/>
      <c r="E885" s="3" t="n"/>
      <c r="F885" s="3" t="n"/>
      <c r="G885" s="3" t="n"/>
      <c r="H885" s="3" t="inlineStr">
        <is>
          <t>សូមជ្រើសរើសđúng បញ្ញើ vị vi phạm và cá nhân vi phạm</t>
        </is>
      </c>
      <c r="I885" s="3" t="n"/>
      <c r="J885" s="3" t="n"/>
      <c r="K885" s="3" t="n"/>
      <c r="L885" s="3" t="inlineStr">
        <is>
          <t>សូមជ្រើសរើសđúng បញ្ញើ vị vi phạm và cá nhân vi phạm</t>
        </is>
      </c>
      <c r="M885" s="3" t="n"/>
      <c r="N885" s="3" t="inlineStr">
        <is>
          <t>"violationReportConclude.confirmViolation": "",</t>
        </is>
      </c>
      <c r="O885" s="3" t="n"/>
      <c r="P885" s="3" t="n"/>
      <c r="Q885" s="3" t="n"/>
      <c r="R885" s="3" t="n"/>
      <c r="S885" s="3" t="n"/>
      <c r="T885" s="3" t="n"/>
      <c r="U885" s="3" t="n"/>
      <c r="V885" s="3" t="n"/>
      <c r="W885" s="3" t="n"/>
      <c r="X885" s="3" t="n"/>
      <c r="Y885" s="3" t="n"/>
      <c r="Z885" s="3" t="n"/>
      <c r="AA885" s="3" t="n"/>
    </row>
    <row r="886">
      <c r="A886" s="104" t="inlineStr">
        <is>
          <t>violationReportConclude.actionType.create</t>
        </is>
      </c>
      <c r="B886" s="104" t="inlineStr">
        <is>
          <t>Tạo mới</t>
        </is>
      </c>
      <c r="C886" s="3" t="n"/>
      <c r="D886" s="3" t="n"/>
      <c r="E886" s="3" t="n"/>
      <c r="F886" s="3" t="n"/>
      <c r="G886" s="3" t="n"/>
      <c r="H886" s="3" t="inlineStr">
        <is>
          <t>បង្កើតថ្មី</t>
        </is>
      </c>
      <c r="I886" s="3" t="n"/>
      <c r="J886" s="3" t="n"/>
      <c r="K886" s="3" t="n"/>
      <c r="L886" s="3" t="inlineStr">
        <is>
          <t>បង្កើតថ្មី</t>
        </is>
      </c>
      <c r="M886" s="3" t="n"/>
      <c r="N886" s="3" t="inlineStr">
        <is>
          <t>"violationReportConclude.actionType.create": "",</t>
        </is>
      </c>
      <c r="O886" s="3" t="n"/>
      <c r="P886" s="3" t="n"/>
      <c r="Q886" s="3" t="n"/>
      <c r="R886" s="3" t="n"/>
      <c r="S886" s="3" t="n"/>
      <c r="T886" s="3" t="n"/>
      <c r="U886" s="3" t="n"/>
      <c r="V886" s="3" t="n"/>
      <c r="W886" s="3" t="n"/>
      <c r="X886" s="3" t="n"/>
      <c r="Y886" s="3" t="n"/>
      <c r="Z886" s="3" t="n"/>
      <c r="AA886" s="3" t="n"/>
    </row>
    <row r="887">
      <c r="A887" s="104" t="inlineStr">
        <is>
          <t>violationReportConclude.actionType.autoClose</t>
        </is>
      </c>
      <c r="B887" s="104" t="inlineStr">
        <is>
          <t>Kết luận tự động</t>
        </is>
      </c>
      <c r="C887" s="3" t="n"/>
      <c r="D887" s="3" t="n"/>
      <c r="E887" s="3" t="n"/>
      <c r="F887" s="3" t="n"/>
      <c r="G887" s="3" t="n"/>
      <c r="H887" s="3" t="inlineStr">
        <is>
          <t>សន្និដ្ឋានដោយស្វ័យប្រវត្តិ</t>
        </is>
      </c>
      <c r="I887" s="3" t="n"/>
      <c r="J887" s="3" t="n"/>
      <c r="K887" s="3" t="n"/>
      <c r="L887" s="3" t="inlineStr">
        <is>
          <t>សន្និដ្ឋានដោយស្វ័យប្រវត្តិ</t>
        </is>
      </c>
      <c r="M887" s="3" t="n"/>
      <c r="N887" s="3" t="inlineStr">
        <is>
          <t>"violationReportConclude.actionType.autoClose": "",</t>
        </is>
      </c>
      <c r="O887" s="3" t="n"/>
      <c r="P887" s="3" t="n"/>
      <c r="Q887" s="3" t="n"/>
      <c r="R887" s="3" t="n"/>
      <c r="S887" s="3" t="n"/>
      <c r="T887" s="3" t="n"/>
      <c r="U887" s="3" t="n"/>
      <c r="V887" s="3" t="n"/>
      <c r="W887" s="3" t="n"/>
      <c r="X887" s="3" t="n"/>
      <c r="Y887" s="3" t="n"/>
      <c r="Z887" s="3" t="n"/>
      <c r="AA887" s="3" t="n"/>
    </row>
    <row r="888">
      <c r="A888" s="104" t="inlineStr">
        <is>
          <t>violationReportConclude.actionType.expireConfirm</t>
        </is>
      </c>
      <c r="B888" s="104" t="inlineStr">
        <is>
          <t>Hết KPI giải trình</t>
        </is>
      </c>
      <c r="C888" s="3" t="n"/>
      <c r="D888" s="3" t="n"/>
      <c r="E888" s="3" t="n"/>
      <c r="F888" s="3" t="n"/>
      <c r="G888" s="3" t="n"/>
      <c r="H888" s="3" t="inlineStr">
        <is>
          <t>ផុតកំណត់កាលបរិច្ឆេទ KPI បំភ្លឺ</t>
        </is>
      </c>
      <c r="I888" s="3" t="n"/>
      <c r="J888" s="3" t="n"/>
      <c r="K888" s="3" t="n"/>
      <c r="L888" s="3" t="inlineStr">
        <is>
          <t>ផុតកំណត់កាលបរិច្ឆេទ KPI បំភ្លឺ</t>
        </is>
      </c>
      <c r="M888" s="3" t="n"/>
      <c r="N888" s="3" t="inlineStr">
        <is>
          <t>"violationReportConclude.actionType.expireConfirm": "",</t>
        </is>
      </c>
      <c r="O888" s="3" t="n"/>
      <c r="P888" s="3" t="n"/>
      <c r="Q888" s="3" t="n"/>
      <c r="R888" s="3" t="n"/>
      <c r="S888" s="3" t="n"/>
      <c r="T888" s="3" t="n"/>
      <c r="U888" s="3" t="n"/>
      <c r="V888" s="3" t="n"/>
      <c r="W888" s="3" t="n"/>
      <c r="X888" s="3" t="n"/>
      <c r="Y888" s="3" t="n"/>
      <c r="Z888" s="3" t="n"/>
      <c r="AA888" s="3" t="n"/>
    </row>
    <row r="889">
      <c r="A889" s="104" t="inlineStr">
        <is>
          <t>violationReportConclude.actionType.complete</t>
        </is>
      </c>
      <c r="B889" s="104" t="inlineStr">
        <is>
          <t>Hoàn thành biên bản</t>
        </is>
      </c>
      <c r="C889" s="3" t="n"/>
      <c r="D889" s="3" t="n"/>
      <c r="E889" s="3" t="n"/>
      <c r="F889" s="3" t="n"/>
      <c r="G889" s="3" t="n"/>
      <c r="H889" s="3" t="inlineStr">
        <is>
          <t>បានបញ្ចប់ កំណត់ហេតុ</t>
        </is>
      </c>
      <c r="I889" s="3" t="n"/>
      <c r="J889" s="3" t="n"/>
      <c r="K889" s="3" t="n"/>
      <c r="L889" s="3" t="inlineStr">
        <is>
          <t>បានបញ្ចប់ កំណត់ហេតុ</t>
        </is>
      </c>
      <c r="M889" s="3" t="n"/>
      <c r="N889" s="3" t="inlineStr">
        <is>
          <t>"violationReportConclude.actionType.complete": "",</t>
        </is>
      </c>
      <c r="O889" s="3" t="n"/>
      <c r="P889" s="3" t="n"/>
      <c r="Q889" s="3" t="n"/>
      <c r="R889" s="3" t="n"/>
      <c r="S889" s="3" t="n"/>
      <c r="T889" s="3" t="n"/>
      <c r="U889" s="3" t="n"/>
      <c r="V889" s="3" t="n"/>
      <c r="W889" s="3" t="n"/>
      <c r="X889" s="3" t="n"/>
      <c r="Y889" s="3" t="n"/>
      <c r="Z889" s="3" t="n"/>
      <c r="AA889" s="3" t="n"/>
    </row>
    <row r="890">
      <c r="A890" s="104" t="inlineStr">
        <is>
          <t>violationReportConclude.actionType.opinion</t>
        </is>
      </c>
      <c r="B890" s="104" t="inlineStr">
        <is>
          <t>Biên bản ý kiến</t>
        </is>
      </c>
      <c r="C890" s="3" t="n"/>
      <c r="D890" s="3" t="n"/>
      <c r="E890" s="3" t="n"/>
      <c r="F890" s="3" t="n"/>
      <c r="G890" s="3" t="n"/>
      <c r="H890" s="3" t="inlineStr">
        <is>
          <t>កំណត់ហេតុ ý kiến</t>
        </is>
      </c>
      <c r="I890" s="3" t="n"/>
      <c r="J890" s="3" t="n"/>
      <c r="K890" s="3" t="n"/>
      <c r="L890" s="3" t="inlineStr">
        <is>
          <t>កំណត់ហេតុ ý kiến</t>
        </is>
      </c>
      <c r="M890" s="3" t="n"/>
      <c r="N890" s="3" t="inlineStr">
        <is>
          <t>"violationReportConclude.actionType.opinion": "",</t>
        </is>
      </c>
      <c r="O890" s="3" t="n"/>
      <c r="P890" s="3" t="n"/>
      <c r="Q890" s="3" t="n"/>
      <c r="R890" s="3" t="n"/>
      <c r="S890" s="3" t="n"/>
      <c r="T890" s="3" t="n"/>
      <c r="U890" s="3" t="n"/>
      <c r="V890" s="3" t="n"/>
      <c r="W890" s="3" t="n"/>
      <c r="X890" s="3" t="n"/>
      <c r="Y890" s="3" t="n"/>
      <c r="Z890" s="3" t="n"/>
      <c r="AA890" s="3" t="n"/>
    </row>
    <row r="891">
      <c r="A891" s="104" t="inlineStr">
        <is>
          <t>violationReportConclude.actionType.cancel</t>
        </is>
      </c>
      <c r="B891" s="104" t="inlineStr">
        <is>
          <t>Hủy biên bản</t>
        </is>
      </c>
      <c r="C891" s="3" t="n"/>
      <c r="D891" s="3" t="n"/>
      <c r="E891" s="3" t="n"/>
      <c r="F891" s="3" t="n"/>
      <c r="G891" s="3" t="n"/>
      <c r="H891" s="3" t="inlineStr">
        <is>
          <t>លុបចោល កំណត់ហេតុ</t>
        </is>
      </c>
      <c r="I891" s="3" t="n"/>
      <c r="J891" s="3" t="n"/>
      <c r="K891" s="3" t="n"/>
      <c r="L891" s="3" t="inlineStr">
        <is>
          <t>លុបចោល កំណត់ហេតុ</t>
        </is>
      </c>
      <c r="M891" s="3" t="n"/>
      <c r="N891" s="3" t="inlineStr">
        <is>
          <t>"violationReportConclude.actionType.cancel": "",</t>
        </is>
      </c>
      <c r="O891" s="3" t="n"/>
      <c r="P891" s="3" t="n"/>
      <c r="Q891" s="3" t="n"/>
      <c r="R891" s="3" t="n"/>
      <c r="S891" s="3" t="n"/>
      <c r="T891" s="3" t="n"/>
      <c r="U891" s="3" t="n"/>
      <c r="V891" s="3" t="n"/>
      <c r="W891" s="3" t="n"/>
      <c r="X891" s="3" t="n"/>
      <c r="Y891" s="3" t="n"/>
      <c r="Z891" s="3" t="n"/>
      <c r="AA891" s="3" t="n"/>
    </row>
    <row r="892">
      <c r="A892" s="104" t="inlineStr">
        <is>
          <t>violationReportConclude.actionType.markWrong</t>
        </is>
      </c>
      <c r="B892" s="104" t="inlineStr">
        <is>
          <t>Biên bản lập sai</t>
        </is>
      </c>
      <c r="C892" s="3" t="n"/>
      <c r="D892" s="3" t="n"/>
      <c r="E892" s="3" t="n"/>
      <c r="F892" s="3" t="n"/>
      <c r="G892" s="3" t="n"/>
      <c r="H892" s="3" t="inlineStr">
        <is>
          <t>កំណត់ហេតុ lập sai</t>
        </is>
      </c>
      <c r="I892" s="3" t="n"/>
      <c r="J892" s="3" t="n"/>
      <c r="K892" s="3" t="n"/>
      <c r="L892" s="3" t="inlineStr">
        <is>
          <t>កំណត់ហេតុ lập sai</t>
        </is>
      </c>
      <c r="M892" s="3" t="n"/>
      <c r="N892" s="3" t="inlineStr">
        <is>
          <t>"violationReportConclude.actionType.markWrong": "",</t>
        </is>
      </c>
      <c r="O892" s="3" t="n"/>
      <c r="P892" s="3" t="n"/>
      <c r="Q892" s="3" t="n"/>
      <c r="R892" s="3" t="n"/>
      <c r="S892" s="3" t="n"/>
      <c r="T892" s="3" t="n"/>
      <c r="U892" s="3" t="n"/>
      <c r="V892" s="3" t="n"/>
      <c r="W892" s="3" t="n"/>
      <c r="X892" s="3" t="n"/>
      <c r="Y892" s="3" t="n"/>
      <c r="Z892" s="3" t="n"/>
      <c r="AA892" s="3" t="n"/>
    </row>
    <row r="893">
      <c r="A893" s="104" t="inlineStr">
        <is>
          <t>violationReportConclude.actionType.ttvhCorrect</t>
        </is>
      </c>
      <c r="B893" s="104" t="inlineStr">
        <is>
          <t>Hoàn thành biên bản</t>
        </is>
      </c>
      <c r="C893" s="3" t="n"/>
      <c r="D893" s="3" t="n"/>
      <c r="E893" s="3" t="n"/>
      <c r="F893" s="3" t="n"/>
      <c r="G893" s="3" t="n"/>
      <c r="H893" s="3" t="inlineStr">
        <is>
          <t>បានបញ្ចប់ កំណត់ហេតុ</t>
        </is>
      </c>
      <c r="I893" s="3" t="n"/>
      <c r="J893" s="3" t="n"/>
      <c r="K893" s="3" t="n"/>
      <c r="L893" s="3" t="inlineStr">
        <is>
          <t>បានបញ្ចប់ កំណត់ហេតុ</t>
        </is>
      </c>
      <c r="M893" s="3" t="n"/>
      <c r="N893" s="3" t="inlineStr">
        <is>
          <t>"violationReportConclude.actionType.ttvhCorrect": "",</t>
        </is>
      </c>
      <c r="O893" s="3" t="n"/>
      <c r="P893" s="3" t="n"/>
      <c r="Q893" s="3" t="n"/>
      <c r="R893" s="3" t="n"/>
      <c r="S893" s="3" t="n"/>
      <c r="T893" s="3" t="n"/>
      <c r="U893" s="3" t="n"/>
      <c r="V893" s="3" t="n"/>
      <c r="W893" s="3" t="n"/>
      <c r="X893" s="3" t="n"/>
      <c r="Y893" s="3" t="n"/>
      <c r="Z893" s="3" t="n"/>
      <c r="AA893" s="3" t="n"/>
    </row>
    <row r="894">
      <c r="A894" s="104" t="inlineStr">
        <is>
          <t>violationReportConclude.actionType.ttvtWrong</t>
        </is>
      </c>
      <c r="B894" s="104" t="inlineStr">
        <is>
          <t>Biên bản hủy</t>
        </is>
      </c>
      <c r="C894" s="3" t="n"/>
      <c r="D894" s="3" t="n"/>
      <c r="E894" s="3" t="n"/>
      <c r="F894" s="3" t="n"/>
      <c r="G894" s="3" t="n"/>
      <c r="H894" s="3" t="inlineStr">
        <is>
          <t>កំណត់ហេតុ លុបចោល</t>
        </is>
      </c>
      <c r="I894" s="3" t="n"/>
      <c r="J894" s="3" t="n"/>
      <c r="K894" s="3" t="n"/>
      <c r="L894" s="3" t="inlineStr">
        <is>
          <t>កំណត់ហេតុ លុបចោល</t>
        </is>
      </c>
      <c r="M894" s="3" t="n"/>
      <c r="N894" s="3" t="inlineStr">
        <is>
          <t>"violationReportConclude.actionType.ttvtWrong": "",</t>
        </is>
      </c>
      <c r="O894" s="3" t="n"/>
      <c r="P894" s="3" t="n"/>
      <c r="Q894" s="3" t="n"/>
      <c r="R894" s="3" t="n"/>
      <c r="S894" s="3" t="n"/>
      <c r="T894" s="3" t="n"/>
      <c r="U894" s="3" t="n"/>
      <c r="V894" s="3" t="n"/>
      <c r="W894" s="3" t="n"/>
      <c r="X894" s="3" t="n"/>
      <c r="Y894" s="3" t="n"/>
      <c r="Z894" s="3" t="n"/>
      <c r="AA894" s="3" t="n"/>
    </row>
    <row r="895">
      <c r="A895" s="104" t="inlineStr">
        <is>
          <t>violationReportConclude.actionType.compensationStart</t>
        </is>
      </c>
      <c r="B895" s="104" t="inlineStr">
        <is>
          <t>Đang bồi thường</t>
        </is>
      </c>
      <c r="C895" s="3" t="n"/>
      <c r="D895" s="3" t="n"/>
      <c r="E895" s="3" t="n"/>
      <c r="F895" s="3" t="n"/>
      <c r="G895" s="3" t="n"/>
      <c r="H895" s="3" t="inlineStr">
        <is>
          <t>កំពុងដំណើរការសំណង</t>
        </is>
      </c>
      <c r="I895" s="3" t="n"/>
      <c r="J895" s="3" t="n"/>
      <c r="K895" s="3" t="n"/>
      <c r="L895" s="3" t="inlineStr">
        <is>
          <t>កំពុងដំណើរការសំណង</t>
        </is>
      </c>
      <c r="M895" s="3" t="n"/>
      <c r="N895" s="3" t="inlineStr">
        <is>
          <t>"violationReportConclude.actionType.compensationStart": "",</t>
        </is>
      </c>
      <c r="O895" s="3" t="n"/>
      <c r="P895" s="3" t="n"/>
      <c r="Q895" s="3" t="n"/>
      <c r="R895" s="3" t="n"/>
      <c r="S895" s="3" t="n"/>
      <c r="T895" s="3" t="n"/>
      <c r="U895" s="3" t="n"/>
      <c r="V895" s="3" t="n"/>
      <c r="W895" s="3" t="n"/>
      <c r="X895" s="3" t="n"/>
      <c r="Y895" s="3" t="n"/>
      <c r="Z895" s="3" t="n"/>
      <c r="AA895" s="3" t="n"/>
    </row>
    <row r="896">
      <c r="A896" s="104" t="inlineStr">
        <is>
          <t>violationReportConclude.actionType.compensationDone</t>
        </is>
      </c>
      <c r="B896" s="104" t="inlineStr">
        <is>
          <t>Hoàn thành bồi thường</t>
        </is>
      </c>
      <c r="C896" s="3" t="n"/>
      <c r="D896" s="3" t="n"/>
      <c r="E896" s="3" t="n"/>
      <c r="F896" s="3" t="n"/>
      <c r="G896" s="3" t="n"/>
      <c r="H896" s="3" t="inlineStr">
        <is>
          <t>បានបញ្ចប់ សំណង</t>
        </is>
      </c>
      <c r="I896" s="3" t="n"/>
      <c r="J896" s="3" t="n"/>
      <c r="K896" s="3" t="n"/>
      <c r="L896" s="3" t="inlineStr">
        <is>
          <t>បានបញ្ចប់ សំណង</t>
        </is>
      </c>
      <c r="M896" s="3" t="n"/>
      <c r="N896" s="3" t="inlineStr">
        <is>
          <t>"violationReportConclude.actionType.compensationDone": "",</t>
        </is>
      </c>
      <c r="O896" s="3" t="n"/>
      <c r="P896" s="3" t="n"/>
      <c r="Q896" s="3" t="n"/>
      <c r="R896" s="3" t="n"/>
      <c r="S896" s="3" t="n"/>
      <c r="T896" s="3" t="n"/>
      <c r="U896" s="3" t="n"/>
      <c r="V896" s="3" t="n"/>
      <c r="W896" s="3" t="n"/>
      <c r="X896" s="3" t="n"/>
      <c r="Y896" s="3" t="n"/>
      <c r="Z896" s="3" t="n"/>
      <c r="AA896" s="3" t="n"/>
    </row>
    <row r="897">
      <c r="A897" s="104" t="inlineStr">
        <is>
          <t>violationReportConclude.actionType.compensationCancel</t>
        </is>
      </c>
      <c r="B897" s="104" t="inlineStr">
        <is>
          <t>Huỷ bồi thường</t>
        </is>
      </c>
      <c r="C897" s="3" t="n"/>
      <c r="D897" s="3" t="n"/>
      <c r="E897" s="3" t="n"/>
      <c r="F897" s="3" t="n"/>
      <c r="G897" s="3" t="n"/>
      <c r="H897" s="3" t="inlineStr">
        <is>
          <t>Huỷ សំណង</t>
        </is>
      </c>
      <c r="I897" s="3" t="n"/>
      <c r="J897" s="3" t="n"/>
      <c r="K897" s="3" t="n"/>
      <c r="L897" s="3" t="inlineStr">
        <is>
          <t>Huỷ សំណង</t>
        </is>
      </c>
      <c r="M897" s="3" t="n"/>
      <c r="N897" s="3" t="inlineStr">
        <is>
          <t>"violationReportConclude.actionType.compensationCancel": "",</t>
        </is>
      </c>
      <c r="O897" s="3" t="n"/>
      <c r="P897" s="3" t="n"/>
      <c r="Q897" s="3" t="n"/>
      <c r="R897" s="3" t="n"/>
      <c r="S897" s="3" t="n"/>
      <c r="T897" s="3" t="n"/>
      <c r="U897" s="3" t="n"/>
      <c r="V897" s="3" t="n"/>
      <c r="W897" s="3" t="n"/>
      <c r="X897" s="3" t="n"/>
      <c r="Y897" s="3" t="n"/>
      <c r="Z897" s="3" t="n"/>
      <c r="AA897" s="3" t="n"/>
    </row>
    <row r="898">
      <c r="A898" s="104" t="n"/>
      <c r="B898" s="104" t="n"/>
      <c r="C898" s="3" t="n"/>
      <c r="D898" s="3" t="n"/>
      <c r="E898" s="3" t="n"/>
      <c r="F898" s="3" t="n"/>
      <c r="G898" s="3" t="n"/>
      <c r="H898" s="3" t="inlineStr"/>
      <c r="I898" s="3" t="n"/>
      <c r="J898" s="3" t="n"/>
      <c r="K898" s="3" t="n"/>
      <c r="L898" s="3" t="inlineStr"/>
      <c r="M898" s="3" t="n"/>
      <c r="N898" s="3" t="inlineStr"/>
      <c r="O898" s="3" t="n"/>
      <c r="P898" s="3" t="n"/>
      <c r="Q898" s="3" t="n"/>
      <c r="R898" s="3" t="n"/>
      <c r="S898" s="3" t="n"/>
      <c r="T898" s="3" t="n"/>
      <c r="U898" s="3" t="n"/>
      <c r="V898" s="3" t="n"/>
      <c r="W898" s="3" t="n"/>
      <c r="X898" s="3" t="n"/>
      <c r="Y898" s="3" t="n"/>
      <c r="Z898" s="3" t="n"/>
      <c r="AA898" s="3" t="n"/>
    </row>
    <row r="899">
      <c r="A899" s="104" t="inlineStr">
        <is>
          <t>violationReportConclude.createMinutesValidate.groupError</t>
        </is>
      </c>
      <c r="B899" s="104" t="inlineStr">
        <is>
          <t>Vui lòng chọn nhóm lỗi</t>
        </is>
      </c>
      <c r="C899" s="3" t="n"/>
      <c r="D899" s="3" t="n"/>
      <c r="E899" s="3" t="n"/>
      <c r="F899" s="3" t="n"/>
      <c r="G899" s="3" t="n"/>
      <c r="H899" s="3" t="inlineStr">
        <is>
          <t>សូមជ្រើសរើសក្រុម កំហុស</t>
        </is>
      </c>
      <c r="I899" s="3" t="n"/>
      <c r="J899" s="3" t="n"/>
      <c r="K899" s="3" t="n"/>
      <c r="L899" s="3" t="inlineStr">
        <is>
          <t>សូមជ្រើសរើសក្រុម កំហុស</t>
        </is>
      </c>
      <c r="M899" s="3" t="n"/>
      <c r="N899" s="3" t="inlineStr">
        <is>
          <t>"violationReportConclude.createMinutesValidate.groupError": "",</t>
        </is>
      </c>
      <c r="O899" s="3" t="n"/>
      <c r="P899" s="3" t="n"/>
      <c r="Q899" s="3" t="n"/>
      <c r="R899" s="3" t="n"/>
      <c r="S899" s="3" t="n"/>
      <c r="T899" s="3" t="n"/>
      <c r="U899" s="3" t="n"/>
      <c r="V899" s="3" t="n"/>
      <c r="W899" s="3" t="n"/>
      <c r="X899" s="3" t="n"/>
      <c r="Y899" s="3" t="n"/>
      <c r="Z899" s="3" t="n"/>
      <c r="AA899" s="3" t="n"/>
    </row>
    <row r="900">
      <c r="A900" s="104" t="inlineStr">
        <is>
          <t>violationReportConclude.createMinutesValidate.detailError</t>
        </is>
      </c>
      <c r="B900" s="104" t="inlineStr">
        <is>
          <t>Vui lòng chọn chi tiết lỗi</t>
        </is>
      </c>
      <c r="C900" s="3" t="n"/>
      <c r="D900" s="3" t="n"/>
      <c r="E900" s="3" t="n"/>
      <c r="F900" s="3" t="n"/>
      <c r="G900" s="3" t="n"/>
      <c r="H900" s="3" t="inlineStr">
        <is>
          <t>សូមជ្រើសរើសព័ត៌មានលម្អិត កំហុស</t>
        </is>
      </c>
      <c r="I900" s="3" t="n"/>
      <c r="J900" s="3" t="n"/>
      <c r="K900" s="3" t="n"/>
      <c r="L900" s="3" t="inlineStr">
        <is>
          <t>សូមជ្រើសរើសព័ត៌មានលម្អិត កំហុស</t>
        </is>
      </c>
      <c r="M900" s="3" t="n"/>
      <c r="N900" s="3" t="inlineStr">
        <is>
          <t>"violationReportConclude.createMinutesValidate.detailError": "",</t>
        </is>
      </c>
      <c r="O900" s="3" t="n"/>
      <c r="P900" s="3" t="n"/>
      <c r="Q900" s="3" t="n"/>
      <c r="R900" s="3" t="n"/>
      <c r="S900" s="3" t="n"/>
      <c r="T900" s="3" t="n"/>
      <c r="U900" s="3" t="n"/>
      <c r="V900" s="3" t="n"/>
      <c r="W900" s="3" t="n"/>
      <c r="X900" s="3" t="n"/>
      <c r="Y900" s="3" t="n"/>
      <c r="Z900" s="3" t="n"/>
      <c r="AA900" s="3" t="n"/>
    </row>
    <row r="901">
      <c r="A901" s="104" t="inlineStr">
        <is>
          <t>violationReportConclude.createMinutesValidate.codeError</t>
        </is>
      </c>
      <c r="B901" s="104" t="inlineStr">
        <is>
          <t>Vui lòng nhập mã lỗi</t>
        </is>
      </c>
      <c r="C901" s="3" t="n"/>
      <c r="D901" s="3" t="n"/>
      <c r="E901" s="3" t="n"/>
      <c r="F901" s="3" t="n"/>
      <c r="G901" s="3" t="n"/>
      <c r="H901" s="3" t="inlineStr">
        <is>
          <t>សូមបញ្ចូលលេខកូដកំហុស</t>
        </is>
      </c>
      <c r="I901" s="3" t="n"/>
      <c r="J901" s="3" t="n"/>
      <c r="K901" s="3" t="n"/>
      <c r="L901" s="3" t="inlineStr">
        <is>
          <t>សូមបញ្ចូលលេខកូដកំហុស</t>
        </is>
      </c>
      <c r="M901" s="3" t="n"/>
      <c r="N901" s="3" t="inlineStr">
        <is>
          <t>"violationReportConclude.createMinutesValidate.codeError": "",</t>
        </is>
      </c>
      <c r="O901" s="3" t="n"/>
      <c r="P901" s="3" t="n"/>
      <c r="Q901" s="3" t="n"/>
      <c r="R901" s="3" t="n"/>
      <c r="S901" s="3" t="n"/>
      <c r="T901" s="3" t="n"/>
      <c r="U901" s="3" t="n"/>
      <c r="V901" s="3" t="n"/>
      <c r="W901" s="3" t="n"/>
      <c r="X901" s="3" t="n"/>
      <c r="Y901" s="3" t="n"/>
      <c r="Z901" s="3" t="n"/>
      <c r="AA901" s="3" t="n"/>
    </row>
    <row r="902">
      <c r="A902" s="104" t="inlineStr">
        <is>
          <t>violationReportConclude.createMinutesValidate.postOfficeError</t>
        </is>
      </c>
      <c r="B902" s="104" t="inlineStr">
        <is>
          <t>Vui lòng chọn bưu cục bị lập</t>
        </is>
      </c>
      <c r="C902" s="3" t="n"/>
      <c r="D902" s="3" t="n"/>
      <c r="E902" s="3" t="n"/>
      <c r="F902" s="3" t="n"/>
      <c r="G902" s="3" t="n"/>
      <c r="H902" s="3" t="inlineStr">
        <is>
          <t>សូមជ្រើសរើសការិយាល័យប្រៃសណីយ៍ bị lập</t>
        </is>
      </c>
      <c r="I902" s="3" t="n"/>
      <c r="J902" s="3" t="n"/>
      <c r="K902" s="3" t="n"/>
      <c r="L902" s="3" t="inlineStr">
        <is>
          <t>សូមជ្រើសរើសការិយាល័យប្រៃសណីយ៍ bị lập</t>
        </is>
      </c>
      <c r="M902" s="3" t="n"/>
      <c r="N902" s="3" t="inlineStr">
        <is>
          <t>"violationReportConclude.createMinutesValidate.postOfficeError": "",</t>
        </is>
      </c>
      <c r="O902" s="3" t="n"/>
      <c r="P902" s="3" t="n"/>
      <c r="Q902" s="3" t="n"/>
      <c r="R902" s="3" t="n"/>
      <c r="S902" s="3" t="n"/>
      <c r="T902" s="3" t="n"/>
      <c r="U902" s="3" t="n"/>
      <c r="V902" s="3" t="n"/>
      <c r="W902" s="3" t="n"/>
      <c r="X902" s="3" t="n"/>
      <c r="Y902" s="3" t="n"/>
      <c r="Z902" s="3" t="n"/>
      <c r="AA902" s="3" t="n"/>
    </row>
    <row r="903">
      <c r="A903" s="104" t="inlineStr">
        <is>
          <t>violationReportConclude.createMinutesValidate.violatorError</t>
        </is>
      </c>
      <c r="B903" s="104" t="inlineStr">
        <is>
          <t>Vui lòng chọn cá nhân vi phạm</t>
        </is>
      </c>
      <c r="C903" s="3" t="n"/>
      <c r="D903" s="3" t="n"/>
      <c r="E903" s="3" t="n"/>
      <c r="F903" s="3" t="n"/>
      <c r="G903" s="3" t="n"/>
      <c r="H903" s="3" t="inlineStr">
        <is>
          <t>សូមជ្រើសរើសcá nhân vi phạm</t>
        </is>
      </c>
      <c r="I903" s="3" t="n"/>
      <c r="J903" s="3" t="n"/>
      <c r="K903" s="3" t="n"/>
      <c r="L903" s="3" t="inlineStr">
        <is>
          <t>សូមជ្រើសរើសcá nhân vi phạm</t>
        </is>
      </c>
      <c r="M903" s="3" t="n"/>
      <c r="N903" s="3" t="inlineStr">
        <is>
          <t>"violationReportConclude.createMinutesValidate.violatorError": "",</t>
        </is>
      </c>
      <c r="O903" s="3" t="n"/>
      <c r="P903" s="3" t="n"/>
      <c r="Q903" s="3" t="n"/>
      <c r="R903" s="3" t="n"/>
      <c r="S903" s="3" t="n"/>
      <c r="T903" s="3" t="n"/>
      <c r="U903" s="3" t="n"/>
      <c r="V903" s="3" t="n"/>
      <c r="W903" s="3" t="n"/>
      <c r="X903" s="3" t="n"/>
      <c r="Y903" s="3" t="n"/>
      <c r="Z903" s="3" t="n"/>
      <c r="AA903" s="3" t="n"/>
    </row>
    <row r="904">
      <c r="A904" s="104" t="inlineStr">
        <is>
          <t>violationReportConclude.createMinutesValidate.contentError</t>
        </is>
      </c>
      <c r="B904" s="104" t="inlineStr">
        <is>
          <t>Vui lòng nhập nội dung</t>
        </is>
      </c>
      <c r="C904" s="3" t="n"/>
      <c r="D904" s="3" t="n"/>
      <c r="E904" s="3" t="n"/>
      <c r="F904" s="3" t="n"/>
      <c r="G904" s="3" t="n"/>
      <c r="H904" s="3" t="inlineStr">
        <is>
          <t>សូមបញ្ចូលខ្លឹមសារ</t>
        </is>
      </c>
      <c r="I904" s="3" t="n"/>
      <c r="J904" s="3" t="n"/>
      <c r="K904" s="3" t="n"/>
      <c r="L904" s="3" t="inlineStr">
        <is>
          <t>សូមបញ្ចូលខ្លឹមសារ</t>
        </is>
      </c>
      <c r="M904" s="3" t="n"/>
      <c r="N904" s="3" t="inlineStr">
        <is>
          <t>"violationReportConclude.createMinutesValidate.contentError": "",</t>
        </is>
      </c>
      <c r="O904" s="3" t="n"/>
      <c r="P904" s="3" t="n"/>
      <c r="Q904" s="3" t="n"/>
      <c r="R904" s="3" t="n"/>
      <c r="S904" s="3" t="n"/>
      <c r="T904" s="3" t="n"/>
      <c r="U904" s="3" t="n"/>
      <c r="V904" s="3" t="n"/>
      <c r="W904" s="3" t="n"/>
      <c r="X904" s="3" t="n"/>
      <c r="Y904" s="3" t="n"/>
      <c r="Z904" s="3" t="n"/>
      <c r="AA904" s="3" t="n"/>
    </row>
    <row r="905">
      <c r="A905" s="104" t="inlineStr">
        <is>
          <t>user.role.invalid</t>
        </is>
      </c>
      <c r="B905" s="104" t="inlineStr">
        <is>
          <t>Chức danh của {0} không hợp lệ</t>
        </is>
      </c>
      <c r="C905" s="3" t="n"/>
      <c r="D905" s="3" t="n"/>
      <c r="E905" s="3" t="n"/>
      <c r="F905" s="3" t="n"/>
      <c r="G905" s="3" t="n"/>
      <c r="H905" s="3" t="inlineStr">
        <is>
          <t>Chức danh của {0} không hợp lệ</t>
        </is>
      </c>
      <c r="I905" s="3" t="n"/>
      <c r="J905" s="3" t="n"/>
      <c r="K905" s="3" t="n"/>
      <c r="L905" s="3" t="inlineStr">
        <is>
          <t>Chức danh của {0} không hợp lệ</t>
        </is>
      </c>
      <c r="M905" s="3" t="n"/>
      <c r="N905" s="3" t="inlineStr">
        <is>
          <t>"user.role.invalid": "",</t>
        </is>
      </c>
      <c r="O905" s="3" t="n"/>
      <c r="P905" s="3" t="n"/>
      <c r="Q905" s="3" t="n"/>
      <c r="R905" s="3" t="n"/>
      <c r="S905" s="3" t="n"/>
      <c r="T905" s="3" t="n"/>
      <c r="U905" s="3" t="n"/>
      <c r="V905" s="3" t="n"/>
      <c r="W905" s="3" t="n"/>
      <c r="X905" s="3" t="n"/>
      <c r="Y905" s="3" t="n"/>
      <c r="Z905" s="3" t="n"/>
      <c r="AA905" s="3" t="n"/>
    </row>
    <row r="906">
      <c r="A906" s="104" t="inlineStr">
        <is>
          <t>compensation.case.not.found</t>
        </is>
      </c>
      <c r="B906" s="104" t="inlineStr">
        <is>
          <t>Không tìm thấy hồ sơ bồi thường</t>
        </is>
      </c>
      <c r="C906" s="3" t="n"/>
      <c r="D906" s="3" t="n"/>
      <c r="E906" s="3" t="n"/>
      <c r="F906" s="3" t="n"/>
      <c r="G906" s="3" t="n"/>
      <c r="H906" s="3" t="inlineStr">
        <is>
          <t>Không tìm thấy hồ sơ សំណង</t>
        </is>
      </c>
      <c r="I906" s="3" t="n"/>
      <c r="J906" s="3" t="n"/>
      <c r="K906" s="3" t="n"/>
      <c r="L906" s="3" t="inlineStr">
        <is>
          <t>Không tìm thấy hồ sơ សំណង</t>
        </is>
      </c>
      <c r="M906" s="3" t="n"/>
      <c r="N906" s="3" t="inlineStr">
        <is>
          <t>"compensation.case.not.found": "",</t>
        </is>
      </c>
      <c r="O906" s="3" t="n"/>
      <c r="P906" s="3" t="n"/>
      <c r="Q906" s="3" t="n"/>
      <c r="R906" s="3" t="n"/>
      <c r="S906" s="3" t="n"/>
      <c r="T906" s="3" t="n"/>
      <c r="U906" s="3" t="n"/>
      <c r="V906" s="3" t="n"/>
      <c r="W906" s="3" t="n"/>
      <c r="X906" s="3" t="n"/>
      <c r="Y906" s="3" t="n"/>
      <c r="Z906" s="3" t="n"/>
      <c r="AA906" s="3" t="n"/>
    </row>
    <row r="907">
      <c r="A907" s="104" t="inlineStr">
        <is>
          <t>bank.account.invalid</t>
        </is>
      </c>
      <c r="B907" s="104" t="inlineStr">
        <is>
          <t>Thông tin tài khoản ngân hàng không hợp lệ</t>
        </is>
      </c>
      <c r="C907" s="3" t="n"/>
      <c r="D907" s="3" t="n"/>
      <c r="E907" s="3" t="n"/>
      <c r="F907" s="3" t="n"/>
      <c r="G907" s="3" t="n"/>
      <c r="H907" s="3" t="inlineStr">
        <is>
          <t>ព័ត៌មាន tài khoản ngân ទំនិញ không hợp lệ</t>
        </is>
      </c>
      <c r="I907" s="3" t="n"/>
      <c r="J907" s="3" t="n"/>
      <c r="K907" s="3" t="n"/>
      <c r="L907" s="3" t="inlineStr">
        <is>
          <t>ព័ត៌មាន tài khoản ngân ទំនិញ không hợp lệ</t>
        </is>
      </c>
      <c r="M907" s="3" t="n"/>
      <c r="N907" s="3" t="inlineStr">
        <is>
          <t>"bank.account.invalid": "",</t>
        </is>
      </c>
      <c r="O907" s="3" t="n"/>
      <c r="P907" s="3" t="n"/>
      <c r="Q907" s="3" t="n"/>
      <c r="R907" s="3" t="n"/>
      <c r="S907" s="3" t="n"/>
      <c r="T907" s="3" t="n"/>
      <c r="U907" s="3" t="n"/>
      <c r="V907" s="3" t="n"/>
      <c r="W907" s="3" t="n"/>
      <c r="X907" s="3" t="n"/>
      <c r="Y907" s="3" t="n"/>
      <c r="Z907" s="3" t="n"/>
      <c r="AA907" s="3" t="n"/>
    </row>
    <row r="908">
      <c r="A908" s="104" t="inlineStr">
        <is>
          <t>compensation_case.status.invalid</t>
        </is>
      </c>
      <c r="B908" s="104" t="inlineStr">
        <is>
          <t>Trạng thái hồ sơ bồi thường không hợp lệ</t>
        </is>
      </c>
      <c r="C908" s="3" t="n"/>
      <c r="D908" s="3" t="n"/>
      <c r="E908" s="3" t="n"/>
      <c r="F908" s="3" t="n"/>
      <c r="G908" s="3" t="n"/>
      <c r="H908" s="3" t="inlineStr">
        <is>
          <t>ស្ថានភាព hồ sơ សំណង không hợp lệ</t>
        </is>
      </c>
      <c r="I908" s="3" t="n"/>
      <c r="J908" s="3" t="n"/>
      <c r="K908" s="3" t="n"/>
      <c r="L908" s="3" t="inlineStr">
        <is>
          <t>ស្ថានភាព hồ sơ សំណង không hợp lệ</t>
        </is>
      </c>
      <c r="M908" s="3" t="n"/>
      <c r="N908" s="3" t="inlineStr">
        <is>
          <t>"compensation_case.status.invalid": "",</t>
        </is>
      </c>
      <c r="O908" s="3" t="n"/>
      <c r="P908" s="3" t="n"/>
      <c r="Q908" s="3" t="n"/>
      <c r="R908" s="3" t="n"/>
      <c r="S908" s="3" t="n"/>
      <c r="T908" s="3" t="n"/>
      <c r="U908" s="3" t="n"/>
      <c r="V908" s="3" t="n"/>
      <c r="W908" s="3" t="n"/>
      <c r="X908" s="3" t="n"/>
      <c r="Y908" s="3" t="n"/>
      <c r="Z908" s="3" t="n"/>
      <c r="AA908" s="3" t="n"/>
    </row>
    <row r="909">
      <c r="A909" s="104" t="inlineStr">
        <is>
          <t>export.excel.max.limit.exceeded</t>
        </is>
      </c>
      <c r="B909" s="104" t="inlineStr">
        <is>
          <t>Số lượng bản ghi vượt quá giới hạn tối đa là {0}</t>
        </is>
      </c>
      <c r="C909" s="3" t="n"/>
      <c r="D909" s="3" t="n"/>
      <c r="E909" s="3" t="n"/>
      <c r="F909" s="3" t="n"/>
      <c r="G909" s="3" t="n"/>
      <c r="H909" s="3" t="inlineStr">
        <is>
          <t>ចំនួន bản ghi vượt quá giới hạn tối đa là {0}</t>
        </is>
      </c>
      <c r="I909" s="3" t="n"/>
      <c r="J909" s="3" t="n"/>
      <c r="K909" s="3" t="n"/>
      <c r="L909" s="3" t="inlineStr">
        <is>
          <t>ចំនួន bản ghi vượt quá giới hạn tối đa là {0}</t>
        </is>
      </c>
      <c r="M909" s="3" t="n"/>
      <c r="N909" s="3" t="inlineStr">
        <is>
          <t>"export.excel.max.limit.exceeded": "",</t>
        </is>
      </c>
      <c r="O909" s="3" t="n"/>
      <c r="P909" s="3" t="n"/>
      <c r="Q909" s="3" t="n"/>
      <c r="R909" s="3" t="n"/>
      <c r="S909" s="3" t="n"/>
      <c r="T909" s="3" t="n"/>
      <c r="U909" s="3" t="n"/>
      <c r="V909" s="3" t="n"/>
      <c r="W909" s="3" t="n"/>
      <c r="X909" s="3" t="n"/>
      <c r="Y909" s="3" t="n"/>
      <c r="Z909" s="3" t="n"/>
      <c r="AA909" s="3" t="n"/>
    </row>
    <row r="910">
      <c r="A910" s="105" t="inlineStr">
        <is>
          <t>compensation.title</t>
        </is>
      </c>
      <c r="B910" s="105" t="inlineStr">
        <is>
          <t>Hồ sơ bồi thường</t>
        </is>
      </c>
      <c r="C910" s="3" t="n"/>
      <c r="D910" s="3" t="n"/>
      <c r="E910" s="3" t="n"/>
      <c r="F910" s="3" t="n"/>
      <c r="G910" s="3" t="n"/>
      <c r="H910" s="3" t="inlineStr">
        <is>
          <t>Hồ sơ សំណង</t>
        </is>
      </c>
      <c r="I910" s="3" t="n"/>
      <c r="J910" s="3" t="n"/>
      <c r="K910" s="3" t="n"/>
      <c r="L910" s="3" t="inlineStr">
        <is>
          <t>Hồ sơ សំណង</t>
        </is>
      </c>
      <c r="M910" s="3" t="n"/>
      <c r="N910" s="3" t="inlineStr">
        <is>
          <t>"compensation.title": "",</t>
        </is>
      </c>
      <c r="O910" s="3" t="n"/>
      <c r="P910" s="3" t="n"/>
      <c r="Q910" s="3" t="n"/>
      <c r="R910" s="3" t="n"/>
      <c r="S910" s="3" t="n"/>
      <c r="T910" s="3" t="n"/>
      <c r="U910" s="3" t="n"/>
      <c r="V910" s="3" t="n"/>
      <c r="W910" s="3" t="n"/>
      <c r="X910" s="3" t="n"/>
      <c r="Y910" s="3" t="n"/>
      <c r="Z910" s="3" t="n"/>
      <c r="AA910" s="3" t="n"/>
    </row>
    <row r="911">
      <c r="A911" s="105" t="inlineStr">
        <is>
          <t>compensation.list</t>
        </is>
      </c>
      <c r="B911" s="105" t="inlineStr">
        <is>
          <t>Danh sách hồ sơ</t>
        </is>
      </c>
      <c r="C911" s="3" t="n"/>
      <c r="D911" s="3" t="n"/>
      <c r="E911" s="3" t="n"/>
      <c r="F911" s="3" t="n"/>
      <c r="G911" s="3" t="n"/>
      <c r="H911" s="3" t="inlineStr">
        <is>
          <t>បញ្ជីhồ sơ</t>
        </is>
      </c>
      <c r="I911" s="3" t="n"/>
      <c r="J911" s="3" t="n"/>
      <c r="K911" s="3" t="n"/>
      <c r="L911" s="3" t="inlineStr">
        <is>
          <t>បញ្ជីhồ sơ</t>
        </is>
      </c>
      <c r="M911" s="3" t="n"/>
      <c r="N911" s="3" t="inlineStr">
        <is>
          <t>"compensation.list": "",</t>
        </is>
      </c>
      <c r="O911" s="3" t="n"/>
      <c r="P911" s="3" t="n"/>
      <c r="Q911" s="3" t="n"/>
      <c r="R911" s="3" t="n"/>
      <c r="S911" s="3" t="n"/>
      <c r="T911" s="3" t="n"/>
      <c r="U911" s="3" t="n"/>
      <c r="V911" s="3" t="n"/>
      <c r="W911" s="3" t="n"/>
      <c r="X911" s="3" t="n"/>
      <c r="Y911" s="3" t="n"/>
      <c r="Z911" s="3" t="n"/>
      <c r="AA911" s="3" t="n"/>
    </row>
    <row r="912">
      <c r="A912" s="105" t="inlineStr">
        <is>
          <t>compensation.money</t>
        </is>
      </c>
      <c r="B912" s="105" t="inlineStr">
        <is>
          <t>Đi tiền</t>
        </is>
      </c>
      <c r="C912" s="3" t="n"/>
      <c r="D912" s="3" t="n"/>
      <c r="E912" s="3" t="n"/>
      <c r="F912" s="3" t="n"/>
      <c r="G912" s="3" t="n"/>
      <c r="H912" s="3" t="inlineStr">
        <is>
          <t>បញ្ជូនប្រាក់</t>
        </is>
      </c>
      <c r="I912" s="3" t="n"/>
      <c r="J912" s="3" t="n"/>
      <c r="K912" s="3" t="n"/>
      <c r="L912" s="3" t="inlineStr">
        <is>
          <t>បញ្ជូនប្រាក់</t>
        </is>
      </c>
      <c r="M912" s="3" t="n"/>
      <c r="N912" s="3" t="inlineStr">
        <is>
          <t>"compensation.money": "",</t>
        </is>
      </c>
      <c r="O912" s="3" t="n"/>
      <c r="P912" s="3" t="n"/>
      <c r="Q912" s="3" t="n"/>
      <c r="R912" s="3" t="n"/>
      <c r="S912" s="3" t="n"/>
      <c r="T912" s="3" t="n"/>
      <c r="U912" s="3" t="n"/>
      <c r="V912" s="3" t="n"/>
      <c r="W912" s="3" t="n"/>
      <c r="X912" s="3" t="n"/>
      <c r="Y912" s="3" t="n"/>
      <c r="Z912" s="3" t="n"/>
      <c r="AA912" s="3" t="n"/>
    </row>
    <row r="913">
      <c r="A913" s="105" t="inlineStr">
        <is>
          <t>compensation.colStatus</t>
        </is>
      </c>
      <c r="B913" s="105" t="inlineStr">
        <is>
          <t>Trạng thái</t>
        </is>
      </c>
      <c r="C913" s="3" t="n"/>
      <c r="D913" s="3" t="n"/>
      <c r="E913" s="3" t="n"/>
      <c r="F913" s="3" t="n"/>
      <c r="G913" s="3" t="n"/>
      <c r="H913" s="3" t="inlineStr">
        <is>
          <t>ស្ថានភាព</t>
        </is>
      </c>
      <c r="I913" s="3" t="n"/>
      <c r="J913" s="3" t="n"/>
      <c r="K913" s="3" t="n"/>
      <c r="L913" s="3" t="inlineStr">
        <is>
          <t>ស្ថានភាព</t>
        </is>
      </c>
      <c r="M913" s="3" t="n"/>
      <c r="N913" s="3" t="inlineStr">
        <is>
          <t>"compensation.colStatus": "",</t>
        </is>
      </c>
      <c r="O913" s="3" t="n"/>
      <c r="P913" s="3" t="n"/>
      <c r="Q913" s="3" t="n"/>
      <c r="R913" s="3" t="n"/>
      <c r="S913" s="3" t="n"/>
      <c r="T913" s="3" t="n"/>
      <c r="U913" s="3" t="n"/>
      <c r="V913" s="3" t="n"/>
      <c r="W913" s="3" t="n"/>
      <c r="X913" s="3" t="n"/>
      <c r="Y913" s="3" t="n"/>
      <c r="Z913" s="3" t="n"/>
      <c r="AA913" s="3" t="n"/>
    </row>
    <row r="914">
      <c r="A914" s="105" t="inlineStr">
        <is>
          <t>compensation.colProfileCode</t>
        </is>
      </c>
      <c r="B914" s="105" t="inlineStr">
        <is>
          <t>Mã hồ sơ</t>
        </is>
      </c>
      <c r="C914" s="3" t="n"/>
      <c r="D914" s="3" t="n"/>
      <c r="E914" s="3" t="n"/>
      <c r="F914" s="3" t="n"/>
      <c r="G914" s="3" t="n"/>
      <c r="H914" s="3" t="inlineStr">
        <is>
          <t>លេខកូដhồ sơ</t>
        </is>
      </c>
      <c r="I914" s="3" t="n"/>
      <c r="J914" s="3" t="n"/>
      <c r="K914" s="3" t="n"/>
      <c r="L914" s="3" t="inlineStr">
        <is>
          <t>លេខកូដhồ sơ</t>
        </is>
      </c>
      <c r="M914" s="3" t="n"/>
      <c r="N914" s="3" t="inlineStr">
        <is>
          <t>"compensation.colProfileCode": "",</t>
        </is>
      </c>
      <c r="O914" s="3" t="n"/>
      <c r="P914" s="3" t="n"/>
      <c r="Q914" s="3" t="n"/>
      <c r="R914" s="3" t="n"/>
      <c r="S914" s="3" t="n"/>
      <c r="T914" s="3" t="n"/>
      <c r="U914" s="3" t="n"/>
      <c r="V914" s="3" t="n"/>
      <c r="W914" s="3" t="n"/>
      <c r="X914" s="3" t="n"/>
      <c r="Y914" s="3" t="n"/>
      <c r="Z914" s="3" t="n"/>
      <c r="AA914" s="3" t="n"/>
    </row>
    <row r="915">
      <c r="A915" s="105" t="inlineStr">
        <is>
          <t>compensation.colMinutesCode</t>
        </is>
      </c>
      <c r="B915" s="105" t="inlineStr">
        <is>
          <t>Mã biên bản</t>
        </is>
      </c>
      <c r="C915" s="3" t="n"/>
      <c r="D915" s="3" t="n"/>
      <c r="E915" s="3" t="n"/>
      <c r="F915" s="3" t="n"/>
      <c r="G915" s="3" t="n"/>
      <c r="H915" s="3" t="inlineStr">
        <is>
          <t>លេខកូដកំណត់ហេតុ</t>
        </is>
      </c>
      <c r="I915" s="3" t="n"/>
      <c r="J915" s="3" t="n"/>
      <c r="K915" s="3" t="n"/>
      <c r="L915" s="3" t="inlineStr">
        <is>
          <t>លេខកូដកំណត់ហេតុ</t>
        </is>
      </c>
      <c r="M915" s="3" t="n"/>
      <c r="N915" s="3" t="inlineStr">
        <is>
          <t>"compensation.colMinutesCode": "",</t>
        </is>
      </c>
      <c r="O915" s="3" t="n"/>
      <c r="P915" s="3" t="n"/>
      <c r="Q915" s="3" t="n"/>
      <c r="R915" s="3" t="n"/>
      <c r="S915" s="3" t="n"/>
      <c r="T915" s="3" t="n"/>
      <c r="U915" s="3" t="n"/>
      <c r="V915" s="3" t="n"/>
      <c r="W915" s="3" t="n"/>
      <c r="X915" s="3" t="n"/>
      <c r="Y915" s="3" t="n"/>
      <c r="Z915" s="3" t="n"/>
      <c r="AA915" s="3" t="n"/>
    </row>
    <row r="916">
      <c r="A916" s="105" t="inlineStr">
        <is>
          <t>compensation.colProfileType</t>
        </is>
      </c>
      <c r="B916" s="105" t="inlineStr">
        <is>
          <t>Loại hồ sơ</t>
        </is>
      </c>
      <c r="C916" s="3" t="n"/>
      <c r="D916" s="3" t="n"/>
      <c r="E916" s="3" t="n"/>
      <c r="F916" s="3" t="n"/>
      <c r="G916" s="3" t="n"/>
      <c r="H916" s="3" t="inlineStr">
        <is>
          <t>ប្រភេទ hồ sơ</t>
        </is>
      </c>
      <c r="I916" s="3" t="n"/>
      <c r="J916" s="3" t="n"/>
      <c r="K916" s="3" t="n"/>
      <c r="L916" s="3" t="inlineStr">
        <is>
          <t>ប្រភេទ hồ sơ</t>
        </is>
      </c>
      <c r="M916" s="3" t="n"/>
      <c r="N916" s="3" t="inlineStr">
        <is>
          <t>"compensation.colProfileType": "",</t>
        </is>
      </c>
      <c r="O916" s="3" t="n"/>
      <c r="P916" s="3" t="n"/>
      <c r="Q916" s="3" t="n"/>
      <c r="R916" s="3" t="n"/>
      <c r="S916" s="3" t="n"/>
      <c r="T916" s="3" t="n"/>
      <c r="U916" s="3" t="n"/>
      <c r="V916" s="3" t="n"/>
      <c r="W916" s="3" t="n"/>
      <c r="X916" s="3" t="n"/>
      <c r="Y916" s="3" t="n"/>
      <c r="Z916" s="3" t="n"/>
      <c r="AA916" s="3" t="n"/>
    </row>
    <row r="917">
      <c r="A917" s="105" t="inlineStr">
        <is>
          <t>compensation.colWaybillCode</t>
        </is>
      </c>
      <c r="B917" s="105" t="inlineStr">
        <is>
          <t>Mã vận đơn</t>
        </is>
      </c>
      <c r="C917" s="3" t="n"/>
      <c r="D917" s="3" t="n"/>
      <c r="E917" s="3" t="n"/>
      <c r="F917" s="3" t="n"/>
      <c r="G917" s="3" t="n"/>
      <c r="H917" s="3" t="inlineStr">
        <is>
          <t>លេខកូដបុងបញ្ញើ</t>
        </is>
      </c>
      <c r="I917" s="3" t="n"/>
      <c r="J917" s="3" t="n"/>
      <c r="K917" s="3" t="n"/>
      <c r="L917" s="3" t="inlineStr">
        <is>
          <t>លេខកូដបុងបញ្ញើ</t>
        </is>
      </c>
      <c r="M917" s="3" t="n"/>
      <c r="N917" s="3" t="inlineStr">
        <is>
          <t>"compensation.colWaybillCode": "",</t>
        </is>
      </c>
      <c r="O917" s="3" t="n"/>
      <c r="P917" s="3" t="n"/>
      <c r="Q917" s="3" t="n"/>
      <c r="R917" s="3" t="n"/>
      <c r="S917" s="3" t="n"/>
      <c r="T917" s="3" t="n"/>
      <c r="U917" s="3" t="n"/>
      <c r="V917" s="3" t="n"/>
      <c r="W917" s="3" t="n"/>
      <c r="X917" s="3" t="n"/>
      <c r="Y917" s="3" t="n"/>
      <c r="Z917" s="3" t="n"/>
      <c r="AA917" s="3" t="n"/>
    </row>
    <row r="918">
      <c r="A918" s="105" t="inlineStr">
        <is>
          <t>compensation.colCompensationPostOffice</t>
        </is>
      </c>
      <c r="B918" s="105" t="inlineStr">
        <is>
          <t>BC bồi thường</t>
        </is>
      </c>
      <c r="C918" s="3" t="n"/>
      <c r="D918" s="3" t="n"/>
      <c r="E918" s="3" t="n"/>
      <c r="F918" s="3" t="n"/>
      <c r="G918" s="3" t="n"/>
      <c r="H918" s="3" t="inlineStr">
        <is>
          <t>BC សំណង</t>
        </is>
      </c>
      <c r="I918" s="3" t="n"/>
      <c r="J918" s="3" t="n"/>
      <c r="K918" s="3" t="n"/>
      <c r="L918" s="3" t="inlineStr">
        <is>
          <t>BC សំណង</t>
        </is>
      </c>
      <c r="M918" s="3" t="n"/>
      <c r="N918" s="3" t="inlineStr">
        <is>
          <t>"compensation.colCompensationPostOffice": "",</t>
        </is>
      </c>
      <c r="O918" s="3" t="n"/>
      <c r="P918" s="3" t="n"/>
      <c r="Q918" s="3" t="n"/>
      <c r="R918" s="3" t="n"/>
      <c r="S918" s="3" t="n"/>
      <c r="T918" s="3" t="n"/>
      <c r="U918" s="3" t="n"/>
      <c r="V918" s="3" t="n"/>
      <c r="W918" s="3" t="n"/>
      <c r="X918" s="3" t="n"/>
      <c r="Y918" s="3" t="n"/>
      <c r="Z918" s="3" t="n"/>
      <c r="AA918" s="3" t="n"/>
    </row>
    <row r="919">
      <c r="A919" s="105" t="inlineStr">
        <is>
          <t>compensation.colCreatedPostOffice</t>
        </is>
      </c>
      <c r="B919" s="105" t="inlineStr">
        <is>
          <t>BC tạo</t>
        </is>
      </c>
      <c r="C919" s="3" t="n"/>
      <c r="D919" s="3" t="n"/>
      <c r="E919" s="3" t="n"/>
      <c r="F919" s="3" t="n"/>
      <c r="G919" s="3" t="n"/>
      <c r="H919" s="3" t="inlineStr">
        <is>
          <t>ការិយាល័យប្រៃសណីយ៍បង្កើត</t>
        </is>
      </c>
      <c r="I919" s="3" t="n"/>
      <c r="J919" s="3" t="n"/>
      <c r="K919" s="3" t="n"/>
      <c r="L919" s="3" t="inlineStr">
        <is>
          <t>ការិយាល័យប្រៃសណីយ៍បង្កើត</t>
        </is>
      </c>
      <c r="M919" s="3" t="n"/>
      <c r="N919" s="3" t="inlineStr">
        <is>
          <t>"compensation.colCreatedPostOffice": "",</t>
        </is>
      </c>
      <c r="O919" s="3" t="n"/>
      <c r="P919" s="3" t="n"/>
      <c r="Q919" s="3" t="n"/>
      <c r="R919" s="3" t="n"/>
      <c r="S919" s="3" t="n"/>
      <c r="T919" s="3" t="n"/>
      <c r="U919" s="3" t="n"/>
      <c r="V919" s="3" t="n"/>
      <c r="W919" s="3" t="n"/>
      <c r="X919" s="3" t="n"/>
      <c r="Y919" s="3" t="n"/>
      <c r="Z919" s="3" t="n"/>
      <c r="AA919" s="3" t="n"/>
    </row>
    <row r="920">
      <c r="A920" s="105" t="inlineStr">
        <is>
          <t>compensation.colOriginalPostOffice</t>
        </is>
      </c>
      <c r="B920" s="105" t="inlineStr">
        <is>
          <t>BC gốc</t>
        </is>
      </c>
      <c r="C920" s="3" t="n"/>
      <c r="D920" s="3" t="n"/>
      <c r="E920" s="3" t="n"/>
      <c r="F920" s="3" t="n"/>
      <c r="G920" s="3" t="n"/>
      <c r="H920" s="3" t="inlineStr">
        <is>
          <t>ការិយាល័យប្រៃសណីយ៍ដើម</t>
        </is>
      </c>
      <c r="I920" s="3" t="n"/>
      <c r="J920" s="3" t="n"/>
      <c r="K920" s="3" t="n"/>
      <c r="L920" s="3" t="inlineStr">
        <is>
          <t>ការិយាល័យប្រៃសណីយ៍ដើម</t>
        </is>
      </c>
      <c r="M920" s="3" t="n"/>
      <c r="N920" s="3" t="inlineStr">
        <is>
          <t>"compensation.colOriginalPostOffice": "",</t>
        </is>
      </c>
      <c r="O920" s="3" t="n"/>
      <c r="P920" s="3" t="n"/>
      <c r="Q920" s="3" t="n"/>
      <c r="R920" s="3" t="n"/>
      <c r="S920" s="3" t="n"/>
      <c r="T920" s="3" t="n"/>
      <c r="U920" s="3" t="n"/>
      <c r="V920" s="3" t="n"/>
      <c r="W920" s="3" t="n"/>
      <c r="X920" s="3" t="n"/>
      <c r="Y920" s="3" t="n"/>
      <c r="Z920" s="3" t="n"/>
      <c r="AA920" s="3" t="n"/>
    </row>
    <row r="921">
      <c r="A921" s="105" t="inlineStr">
        <is>
          <t>compensation.actionComplete</t>
        </is>
      </c>
      <c r="B921" s="105" t="inlineStr">
        <is>
          <t>Hoàn thiện</t>
        </is>
      </c>
      <c r="C921" s="3" t="n"/>
      <c r="D921" s="3" t="n"/>
      <c r="E921" s="3" t="n"/>
      <c r="F921" s="3" t="n"/>
      <c r="G921" s="3" t="n"/>
      <c r="H921" s="3" t="inlineStr">
        <is>
          <t>បំពេញរួចរាល់</t>
        </is>
      </c>
      <c r="I921" s="3" t="n"/>
      <c r="J921" s="3" t="n"/>
      <c r="K921" s="3" t="n"/>
      <c r="L921" s="3" t="inlineStr">
        <is>
          <t>បំពេញរួចរាល់</t>
        </is>
      </c>
      <c r="M921" s="3" t="n"/>
      <c r="N921" s="3" t="inlineStr">
        <is>
          <t>"compensation.actionComplete": "",</t>
        </is>
      </c>
      <c r="O921" s="3" t="n"/>
      <c r="P921" s="3" t="n"/>
      <c r="Q921" s="3" t="n"/>
      <c r="R921" s="3" t="n"/>
      <c r="S921" s="3" t="n"/>
      <c r="T921" s="3" t="n"/>
      <c r="U921" s="3" t="n"/>
      <c r="V921" s="3" t="n"/>
      <c r="W921" s="3" t="n"/>
      <c r="X921" s="3" t="n"/>
      <c r="Y921" s="3" t="n"/>
      <c r="Z921" s="3" t="n"/>
      <c r="AA921" s="3" t="n"/>
    </row>
    <row r="922">
      <c r="A922" s="105" t="inlineStr">
        <is>
          <t>compensation.colAttachmentFile</t>
        </is>
      </c>
      <c r="B922" s="105" t="inlineStr">
        <is>
          <t>Hồ sơ đính kèm</t>
        </is>
      </c>
      <c r="C922" s="3" t="n"/>
      <c r="D922" s="3" t="n"/>
      <c r="E922" s="3" t="n"/>
      <c r="F922" s="3" t="n"/>
      <c r="G922" s="3" t="n"/>
      <c r="H922" s="3" t="inlineStr">
        <is>
          <t>ឯកសារភ្ជាប់</t>
        </is>
      </c>
      <c r="I922" s="3" t="n"/>
      <c r="J922" s="3" t="n"/>
      <c r="K922" s="3" t="n"/>
      <c r="L922" s="3" t="inlineStr">
        <is>
          <t>ឯកសារភ្ជាប់</t>
        </is>
      </c>
      <c r="M922" s="3" t="n"/>
      <c r="N922" s="3" t="inlineStr">
        <is>
          <t>"compensation.colAttachmentFile": "",</t>
        </is>
      </c>
      <c r="O922" s="3" t="n"/>
      <c r="P922" s="3" t="n"/>
      <c r="Q922" s="3" t="n"/>
      <c r="R922" s="3" t="n"/>
      <c r="S922" s="3" t="n"/>
      <c r="T922" s="3" t="n"/>
      <c r="U922" s="3" t="n"/>
      <c r="V922" s="3" t="n"/>
      <c r="W922" s="3" t="n"/>
      <c r="X922" s="3" t="n"/>
      <c r="Y922" s="3" t="n"/>
      <c r="Z922" s="3" t="n"/>
      <c r="AA922" s="3" t="n"/>
    </row>
    <row r="923">
      <c r="A923" s="105" t="inlineStr">
        <is>
          <t>compensation.success</t>
        </is>
      </c>
      <c r="B923" s="105" t="inlineStr">
        <is>
          <t>Thành công</t>
        </is>
      </c>
      <c r="C923" s="3" t="n"/>
      <c r="D923" s="3" t="n"/>
      <c r="E923" s="3" t="n"/>
      <c r="F923" s="3" t="n"/>
      <c r="G923" s="3" t="n"/>
      <c r="H923" s="3" t="inlineStr">
        <is>
          <t>ជោគជ័យ</t>
        </is>
      </c>
      <c r="I923" s="3" t="n"/>
      <c r="J923" s="3" t="n"/>
      <c r="K923" s="3" t="n"/>
      <c r="L923" s="3" t="inlineStr">
        <is>
          <t>ជោគជ័យ</t>
        </is>
      </c>
      <c r="M923" s="3" t="n"/>
      <c r="N923" s="3" t="inlineStr">
        <is>
          <t>"compensation.success": "",</t>
        </is>
      </c>
      <c r="O923" s="3" t="n"/>
      <c r="P923" s="3" t="n"/>
      <c r="Q923" s="3" t="n"/>
      <c r="R923" s="3" t="n"/>
      <c r="S923" s="3" t="n"/>
      <c r="T923" s="3" t="n"/>
      <c r="U923" s="3" t="n"/>
      <c r="V923" s="3" t="n"/>
      <c r="W923" s="3" t="n"/>
      <c r="X923" s="3" t="n"/>
      <c r="Y923" s="3" t="n"/>
      <c r="Z923" s="3" t="n"/>
      <c r="AA923" s="3" t="n"/>
    </row>
    <row r="924">
      <c r="A924" s="105" t="inlineStr">
        <is>
          <t>compensation.failed</t>
        </is>
      </c>
      <c r="B924" s="105" t="inlineStr">
        <is>
          <t>Thất bại</t>
        </is>
      </c>
      <c r="C924" s="3" t="n"/>
      <c r="D924" s="3" t="n"/>
      <c r="E924" s="3" t="n"/>
      <c r="F924" s="3" t="n"/>
      <c r="G924" s="3" t="n"/>
      <c r="H924" s="3" t="inlineStr">
        <is>
          <t>បរាជ័យ</t>
        </is>
      </c>
      <c r="I924" s="3" t="n"/>
      <c r="J924" s="3" t="n"/>
      <c r="K924" s="3" t="n"/>
      <c r="L924" s="3" t="inlineStr">
        <is>
          <t>បរាជ័យ</t>
        </is>
      </c>
      <c r="M924" s="3" t="n"/>
      <c r="N924" s="3" t="inlineStr">
        <is>
          <t>"compensation.failed": "",</t>
        </is>
      </c>
      <c r="O924" s="3" t="n"/>
      <c r="P924" s="3" t="n"/>
      <c r="Q924" s="3" t="n"/>
      <c r="R924" s="3" t="n"/>
      <c r="S924" s="3" t="n"/>
      <c r="T924" s="3" t="n"/>
      <c r="U924" s="3" t="n"/>
      <c r="V924" s="3" t="n"/>
      <c r="W924" s="3" t="n"/>
      <c r="X924" s="3" t="n"/>
      <c r="Y924" s="3" t="n"/>
      <c r="Z924" s="3" t="n"/>
      <c r="AA924" s="3" t="n"/>
    </row>
    <row r="925">
      <c r="A925" s="105" t="inlineStr">
        <is>
          <t>compensation.exampleDownload</t>
        </is>
      </c>
      <c r="B925" s="105" t="inlineStr">
        <is>
          <t>Tải file mẫu</t>
        </is>
      </c>
      <c r="C925" s="3" t="n"/>
      <c r="D925" s="3" t="n"/>
      <c r="E925" s="3" t="n"/>
      <c r="F925" s="3" t="n"/>
      <c r="G925" s="3" t="n"/>
      <c r="H925" s="3" t="inlineStr">
        <is>
          <t>ទាញយកឯកសារគំរូ</t>
        </is>
      </c>
      <c r="I925" s="3" t="n"/>
      <c r="J925" s="3" t="n"/>
      <c r="K925" s="3" t="n"/>
      <c r="L925" s="3" t="inlineStr">
        <is>
          <t>ទាញយកឯកសារគំរូ</t>
        </is>
      </c>
      <c r="M925" s="3" t="n"/>
      <c r="N925" s="3" t="inlineStr">
        <is>
          <t>"compensation.exampleDownload": "",</t>
        </is>
      </c>
      <c r="O925" s="3" t="n"/>
      <c r="P925" s="3" t="n"/>
      <c r="Q925" s="3" t="n"/>
      <c r="R925" s="3" t="n"/>
      <c r="S925" s="3" t="n"/>
      <c r="T925" s="3" t="n"/>
      <c r="U925" s="3" t="n"/>
      <c r="V925" s="3" t="n"/>
      <c r="W925" s="3" t="n"/>
      <c r="X925" s="3" t="n"/>
      <c r="Y925" s="3" t="n"/>
      <c r="Z925" s="3" t="n"/>
      <c r="AA925" s="3" t="n"/>
    </row>
    <row r="926">
      <c r="A926" s="105" t="inlineStr">
        <is>
          <t>compensation.fileNameListCompensationExel</t>
        </is>
      </c>
      <c r="B926" s="105" t="inlineStr">
        <is>
          <t>Baocaodanhsachhosoboithuong</t>
        </is>
      </c>
      <c r="C926" s="3" t="n"/>
      <c r="D926" s="3" t="n"/>
      <c r="E926" s="3" t="n"/>
      <c r="F926" s="3" t="n"/>
      <c r="G926" s="3" t="n"/>
      <c r="H926" s="3" t="inlineStr">
        <is>
          <t>Baocaodanhsachhosoboithuong</t>
        </is>
      </c>
      <c r="I926" s="3" t="n"/>
      <c r="J926" s="3" t="n"/>
      <c r="K926" s="3" t="n"/>
      <c r="L926" s="3" t="inlineStr">
        <is>
          <t>Baocaodanhsachhosoboithuong</t>
        </is>
      </c>
      <c r="M926" s="3" t="n"/>
      <c r="N926" s="3" t="inlineStr">
        <is>
          <t>"compensation.fileNameListCompensationExel": "",</t>
        </is>
      </c>
      <c r="O926" s="3" t="n"/>
      <c r="P926" s="3" t="n"/>
      <c r="Q926" s="3" t="n"/>
      <c r="R926" s="3" t="n"/>
      <c r="S926" s="3" t="n"/>
      <c r="T926" s="3" t="n"/>
      <c r="U926" s="3" t="n"/>
      <c r="V926" s="3" t="n"/>
      <c r="W926" s="3" t="n"/>
      <c r="X926" s="3" t="n"/>
      <c r="Y926" s="3" t="n"/>
      <c r="Z926" s="3" t="n"/>
      <c r="AA926" s="3" t="n"/>
    </row>
    <row r="927">
      <c r="A927" s="105" t="inlineStr">
        <is>
          <t>compensation.formSearchPlaceholderList</t>
        </is>
      </c>
      <c r="B927" s="105" t="inlineStr">
        <is>
          <t>Nhập mã vận đơn/tải kiện, mã HSBT</t>
        </is>
      </c>
      <c r="C927" s="3" t="n"/>
      <c r="D927" s="3" t="n"/>
      <c r="E927" s="3" t="n"/>
      <c r="F927" s="3" t="n"/>
      <c r="G927" s="3" t="n"/>
      <c r="H927" s="3" t="inlineStr">
        <is>
          <t>បញ្ចូលលេខកូដបញ្ញើ/tải kiện, លេខកូដ HSBT</t>
        </is>
      </c>
      <c r="I927" s="3" t="n"/>
      <c r="J927" s="3" t="n"/>
      <c r="K927" s="3" t="n"/>
      <c r="L927" s="3" t="inlineStr">
        <is>
          <t>បញ្ចូលលេខកូដបញ្ញើ/tải kiện, លេខកូដ HSBT</t>
        </is>
      </c>
      <c r="M927" s="3" t="n"/>
      <c r="N927" s="3" t="inlineStr">
        <is>
          <t>"compensation.formSearchPlaceholderList": "",</t>
        </is>
      </c>
      <c r="O927" s="3" t="n"/>
      <c r="P927" s="3" t="n"/>
      <c r="Q927" s="3" t="n"/>
      <c r="R927" s="3" t="n"/>
      <c r="S927" s="3" t="n"/>
      <c r="T927" s="3" t="n"/>
      <c r="U927" s="3" t="n"/>
      <c r="V927" s="3" t="n"/>
      <c r="W927" s="3" t="n"/>
      <c r="X927" s="3" t="n"/>
      <c r="Y927" s="3" t="n"/>
      <c r="Z927" s="3" t="n"/>
      <c r="AA927" s="3" t="n"/>
    </row>
    <row r="928">
      <c r="A928" s="105" t="inlineStr">
        <is>
          <t>compensation.status.completing</t>
        </is>
      </c>
      <c r="B928" s="105" t="inlineStr">
        <is>
          <t>Đang hoàn thiện</t>
        </is>
      </c>
      <c r="C928" s="3" t="n"/>
      <c r="D928" s="3" t="n"/>
      <c r="E928" s="3" t="n"/>
      <c r="F928" s="3" t="n"/>
      <c r="G928" s="3" t="n"/>
      <c r="H928" s="3" t="inlineStr">
        <is>
          <t>កំពុងបំពេញបន្ថែម</t>
        </is>
      </c>
      <c r="I928" s="3" t="n"/>
      <c r="J928" s="3" t="n"/>
      <c r="K928" s="3" t="n"/>
      <c r="L928" s="3" t="inlineStr">
        <is>
          <t>កំពុងបំពេញបន្ថែម</t>
        </is>
      </c>
      <c r="M928" s="3" t="n"/>
      <c r="N928" s="3" t="inlineStr">
        <is>
          <t>"compensation.status.completing": "",</t>
        </is>
      </c>
      <c r="O928" s="3" t="n"/>
      <c r="P928" s="3" t="n"/>
      <c r="Q928" s="3" t="n"/>
      <c r="R928" s="3" t="n"/>
      <c r="S928" s="3" t="n"/>
      <c r="T928" s="3" t="n"/>
      <c r="U928" s="3" t="n"/>
      <c r="V928" s="3" t="n"/>
      <c r="W928" s="3" t="n"/>
      <c r="X928" s="3" t="n"/>
      <c r="Y928" s="3" t="n"/>
      <c r="Z928" s="3" t="n"/>
      <c r="AA928" s="3" t="n"/>
    </row>
    <row r="929">
      <c r="A929" s="105" t="inlineStr">
        <is>
          <t>compensation.status.paying</t>
        </is>
      </c>
      <c r="B929" s="105" t="inlineStr">
        <is>
          <t>Đang thanh toán</t>
        </is>
      </c>
      <c r="C929" s="3" t="n"/>
      <c r="D929" s="3" t="n"/>
      <c r="E929" s="3" t="n"/>
      <c r="F929" s="3" t="n"/>
      <c r="G929" s="3" t="n"/>
      <c r="H929" s="3" t="inlineStr">
        <is>
          <t>Đang ទូទាត់ប្រាក់</t>
        </is>
      </c>
      <c r="I929" s="3" t="n"/>
      <c r="J929" s="3" t="n"/>
      <c r="K929" s="3" t="n"/>
      <c r="L929" s="3" t="inlineStr">
        <is>
          <t>Đang ទូទាត់ប្រាក់</t>
        </is>
      </c>
      <c r="M929" s="3" t="n"/>
      <c r="N929" s="3" t="inlineStr">
        <is>
          <t>"compensation.status.paying": "",</t>
        </is>
      </c>
      <c r="O929" s="3" t="n"/>
      <c r="P929" s="3" t="n"/>
      <c r="Q929" s="3" t="n"/>
      <c r="R929" s="3" t="n"/>
      <c r="S929" s="3" t="n"/>
      <c r="T929" s="3" t="n"/>
      <c r="U929" s="3" t="n"/>
      <c r="V929" s="3" t="n"/>
      <c r="W929" s="3" t="n"/>
      <c r="X929" s="3" t="n"/>
      <c r="Y929" s="3" t="n"/>
      <c r="Z929" s="3" t="n"/>
      <c r="AA929" s="3" t="n"/>
    </row>
    <row r="930">
      <c r="A930" s="105" t="inlineStr">
        <is>
          <t>compensation.status.paid</t>
        </is>
      </c>
      <c r="B930" s="105" t="inlineStr">
        <is>
          <t>Đã thanh toán</t>
        </is>
      </c>
      <c r="C930" s="3" t="n"/>
      <c r="D930" s="3" t="n"/>
      <c r="E930" s="3" t="n"/>
      <c r="F930" s="3" t="n"/>
      <c r="G930" s="3" t="n"/>
      <c r="H930" s="3" t="inlineStr">
        <is>
          <t>Đã ទូទាត់ប្រាក់</t>
        </is>
      </c>
      <c r="I930" s="3" t="n"/>
      <c r="J930" s="3" t="n"/>
      <c r="K930" s="3" t="n"/>
      <c r="L930" s="3" t="inlineStr">
        <is>
          <t>Đã ទូទាត់ប្រាក់</t>
        </is>
      </c>
      <c r="M930" s="3" t="n"/>
      <c r="N930" s="3" t="inlineStr">
        <is>
          <t>"compensation.status.paid": "",</t>
        </is>
      </c>
      <c r="O930" s="3" t="n"/>
      <c r="P930" s="3" t="n"/>
      <c r="Q930" s="3" t="n"/>
      <c r="R930" s="3" t="n"/>
      <c r="S930" s="3" t="n"/>
      <c r="T930" s="3" t="n"/>
      <c r="U930" s="3" t="n"/>
      <c r="V930" s="3" t="n"/>
      <c r="W930" s="3" t="n"/>
      <c r="X930" s="3" t="n"/>
      <c r="Y930" s="3" t="n"/>
      <c r="Z930" s="3" t="n"/>
      <c r="AA930" s="3" t="n"/>
    </row>
    <row r="931">
      <c r="A931" s="105" t="inlineStr">
        <is>
          <t>compensation.detail.title</t>
        </is>
      </c>
      <c r="B931" s="105" t="inlineStr">
        <is>
          <t>Chi tiết hồ sơ bồi thường</t>
        </is>
      </c>
      <c r="C931" s="3" t="n"/>
      <c r="D931" s="3" t="n"/>
      <c r="E931" s="3" t="n"/>
      <c r="F931" s="3" t="n"/>
      <c r="G931" s="3" t="n"/>
      <c r="H931" s="3" t="inlineStr">
        <is>
          <t>ព័ត៌មានលម្អិតhồ sơ សំណង</t>
        </is>
      </c>
      <c r="I931" s="3" t="n"/>
      <c r="J931" s="3" t="n"/>
      <c r="K931" s="3" t="n"/>
      <c r="L931" s="3" t="inlineStr">
        <is>
          <t>ព័ត៌មានលម្អិតhồ sơ សំណង</t>
        </is>
      </c>
      <c r="M931" s="3" t="n"/>
      <c r="N931" s="3" t="inlineStr">
        <is>
          <t>"compensation.detail.title": "",</t>
        </is>
      </c>
      <c r="O931" s="3" t="n"/>
      <c r="P931" s="3" t="n"/>
      <c r="Q931" s="3" t="n"/>
      <c r="R931" s="3" t="n"/>
      <c r="S931" s="3" t="n"/>
      <c r="T931" s="3" t="n"/>
      <c r="U931" s="3" t="n"/>
      <c r="V931" s="3" t="n"/>
      <c r="W931" s="3" t="n"/>
      <c r="X931" s="3" t="n"/>
      <c r="Y931" s="3" t="n"/>
      <c r="Z931" s="3" t="n"/>
      <c r="AA931" s="3" t="n"/>
    </row>
    <row r="932">
      <c r="A932" s="105" t="inlineStr">
        <is>
          <t>compensation.detail.sectionGeneralInfo</t>
        </is>
      </c>
      <c r="B932" s="105" t="inlineStr">
        <is>
          <t>Thông tin chung</t>
        </is>
      </c>
      <c r="C932" s="3" t="n"/>
      <c r="D932" s="3" t="n"/>
      <c r="E932" s="3" t="n"/>
      <c r="F932" s="3" t="n"/>
      <c r="G932" s="3" t="n"/>
      <c r="H932" s="3" t="inlineStr">
        <is>
          <t>ព័ត៌មាន chung</t>
        </is>
      </c>
      <c r="I932" s="3" t="n"/>
      <c r="J932" s="3" t="n"/>
      <c r="K932" s="3" t="n"/>
      <c r="L932" s="3" t="inlineStr">
        <is>
          <t>ព័ត៌មាន chung</t>
        </is>
      </c>
      <c r="M932" s="3" t="n"/>
      <c r="N932" s="3" t="inlineStr">
        <is>
          <t>"compensation.detail.sectionGeneralInfo": "",</t>
        </is>
      </c>
      <c r="O932" s="3" t="n"/>
      <c r="P932" s="3" t="n"/>
      <c r="Q932" s="3" t="n"/>
      <c r="R932" s="3" t="n"/>
      <c r="S932" s="3" t="n"/>
      <c r="T932" s="3" t="n"/>
      <c r="U932" s="3" t="n"/>
      <c r="V932" s="3" t="n"/>
      <c r="W932" s="3" t="n"/>
      <c r="X932" s="3" t="n"/>
      <c r="Y932" s="3" t="n"/>
      <c r="Z932" s="3" t="n"/>
      <c r="AA932" s="3" t="n"/>
    </row>
    <row r="933">
      <c r="A933" s="105" t="inlineStr">
        <is>
          <t>compensation.detail.sectionProfileInfo</t>
        </is>
      </c>
      <c r="B933" s="105" t="inlineStr">
        <is>
          <t>Thông tin hồ sơ</t>
        </is>
      </c>
      <c r="C933" s="3" t="n"/>
      <c r="D933" s="3" t="n"/>
      <c r="E933" s="3" t="n"/>
      <c r="F933" s="3" t="n"/>
      <c r="G933" s="3" t="n"/>
      <c r="H933" s="3" t="inlineStr">
        <is>
          <t>ព័ត៌មាន hồ sơ</t>
        </is>
      </c>
      <c r="I933" s="3" t="n"/>
      <c r="J933" s="3" t="n"/>
      <c r="K933" s="3" t="n"/>
      <c r="L933" s="3" t="inlineStr">
        <is>
          <t>ព័ត៌មាន hồ sơ</t>
        </is>
      </c>
      <c r="M933" s="3" t="n"/>
      <c r="N933" s="3" t="inlineStr">
        <is>
          <t>"compensation.detail.sectionProfileInfo": "",</t>
        </is>
      </c>
      <c r="O933" s="3" t="n"/>
      <c r="P933" s="3" t="n"/>
      <c r="Q933" s="3" t="n"/>
      <c r="R933" s="3" t="n"/>
      <c r="S933" s="3" t="n"/>
      <c r="T933" s="3" t="n"/>
      <c r="U933" s="3" t="n"/>
      <c r="V933" s="3" t="n"/>
      <c r="W933" s="3" t="n"/>
      <c r="X933" s="3" t="n"/>
      <c r="Y933" s="3" t="n"/>
      <c r="Z933" s="3" t="n"/>
      <c r="AA933" s="3" t="n"/>
    </row>
    <row r="934">
      <c r="A934" s="105" t="inlineStr">
        <is>
          <t>compensation.detail.sectionContent</t>
        </is>
      </c>
      <c r="B934" s="105" t="inlineStr">
        <is>
          <t>Nội dung</t>
        </is>
      </c>
      <c r="C934" s="3" t="n"/>
      <c r="D934" s="3" t="n"/>
      <c r="E934" s="3" t="n"/>
      <c r="F934" s="3" t="n"/>
      <c r="G934" s="3" t="n"/>
      <c r="H934" s="3" t="inlineStr">
        <is>
          <t>ខ្លឹមសារ</t>
        </is>
      </c>
      <c r="I934" s="3" t="n"/>
      <c r="J934" s="3" t="n"/>
      <c r="K934" s="3" t="n"/>
      <c r="L934" s="3" t="inlineStr">
        <is>
          <t>ខ្លឹមសារ</t>
        </is>
      </c>
      <c r="M934" s="3" t="n"/>
      <c r="N934" s="3" t="inlineStr">
        <is>
          <t>"compensation.detail.sectionContent": "",</t>
        </is>
      </c>
      <c r="O934" s="3" t="n"/>
      <c r="P934" s="3" t="n"/>
      <c r="Q934" s="3" t="n"/>
      <c r="R934" s="3" t="n"/>
      <c r="S934" s="3" t="n"/>
      <c r="T934" s="3" t="n"/>
      <c r="U934" s="3" t="n"/>
      <c r="V934" s="3" t="n"/>
      <c r="W934" s="3" t="n"/>
      <c r="X934" s="3" t="n"/>
      <c r="Y934" s="3" t="n"/>
      <c r="Z934" s="3" t="n"/>
      <c r="AA934" s="3" t="n"/>
    </row>
    <row r="935">
      <c r="A935" s="105" t="inlineStr">
        <is>
          <t>compensation.detail.lblCreatedAt</t>
        </is>
      </c>
      <c r="B935" s="105" t="inlineStr">
        <is>
          <t>Ngày lập</t>
        </is>
      </c>
      <c r="C935" s="3" t="n"/>
      <c r="D935" s="3" t="n"/>
      <c r="E935" s="3" t="n"/>
      <c r="F935" s="3" t="n"/>
      <c r="G935" s="3" t="n"/>
      <c r="H935" s="3" t="inlineStr">
        <is>
          <t>កាលបរិច្ឆេទlập</t>
        </is>
      </c>
      <c r="I935" s="3" t="n"/>
      <c r="J935" s="3" t="n"/>
      <c r="K935" s="3" t="n"/>
      <c r="L935" s="3" t="inlineStr">
        <is>
          <t>កាលបរិច្ឆេទlập</t>
        </is>
      </c>
      <c r="M935" s="3" t="n"/>
      <c r="N935" s="3" t="inlineStr">
        <is>
          <t>"compensation.detail.lblCreatedAt": "",</t>
        </is>
      </c>
      <c r="O935" s="3" t="n"/>
      <c r="P935" s="3" t="n"/>
      <c r="Q935" s="3" t="n"/>
      <c r="R935" s="3" t="n"/>
      <c r="S935" s="3" t="n"/>
      <c r="T935" s="3" t="n"/>
      <c r="U935" s="3" t="n"/>
      <c r="V935" s="3" t="n"/>
      <c r="W935" s="3" t="n"/>
      <c r="X935" s="3" t="n"/>
      <c r="Y935" s="3" t="n"/>
      <c r="Z935" s="3" t="n"/>
      <c r="AA935" s="3" t="n"/>
    </row>
    <row r="936">
      <c r="A936" s="105" t="inlineStr">
        <is>
          <t>compensation.detail.lblCreatedUnit</t>
        </is>
      </c>
      <c r="B936" s="105" t="inlineStr">
        <is>
          <t>Bưu cục lập</t>
        </is>
      </c>
      <c r="C936" s="3" t="n"/>
      <c r="D936" s="3" t="n"/>
      <c r="E936" s="3" t="n"/>
      <c r="F936" s="3" t="n"/>
      <c r="G936" s="3" t="n"/>
      <c r="H936" s="3" t="inlineStr">
        <is>
          <t>ការិយាល័យប្រៃសណីយ៍ lập</t>
        </is>
      </c>
      <c r="I936" s="3" t="n"/>
      <c r="J936" s="3" t="n"/>
      <c r="K936" s="3" t="n"/>
      <c r="L936" s="3" t="inlineStr">
        <is>
          <t>ការិយាល័យប្រៃសណីយ៍ lập</t>
        </is>
      </c>
      <c r="M936" s="3" t="n"/>
      <c r="N936" s="3" t="inlineStr">
        <is>
          <t>"compensation.detail.lblCreatedUnit": "",</t>
        </is>
      </c>
      <c r="O936" s="3" t="n"/>
      <c r="P936" s="3" t="n"/>
      <c r="Q936" s="3" t="n"/>
      <c r="R936" s="3" t="n"/>
      <c r="S936" s="3" t="n"/>
      <c r="T936" s="3" t="n"/>
      <c r="U936" s="3" t="n"/>
      <c r="V936" s="3" t="n"/>
      <c r="W936" s="3" t="n"/>
      <c r="X936" s="3" t="n"/>
      <c r="Y936" s="3" t="n"/>
      <c r="Z936" s="3" t="n"/>
      <c r="AA936" s="3" t="n"/>
    </row>
    <row r="937">
      <c r="A937" s="105" t="inlineStr">
        <is>
          <t>compensation.detail.lblViolatingPostOffice</t>
        </is>
      </c>
      <c r="B937" s="105" t="inlineStr">
        <is>
          <t>Bưu cục vi phạm</t>
        </is>
      </c>
      <c r="C937" s="3" t="n"/>
      <c r="D937" s="3" t="n"/>
      <c r="E937" s="3" t="n"/>
      <c r="F937" s="3" t="n"/>
      <c r="G937" s="3" t="n"/>
      <c r="H937" s="3" t="inlineStr">
        <is>
          <t>ការិយាល័យប្រៃសណីយ៍ vi phạm</t>
        </is>
      </c>
      <c r="I937" s="3" t="n"/>
      <c r="J937" s="3" t="n"/>
      <c r="K937" s="3" t="n"/>
      <c r="L937" s="3" t="inlineStr">
        <is>
          <t>ការិយាល័យប្រៃសណីយ៍ vi phạm</t>
        </is>
      </c>
      <c r="M937" s="3" t="n"/>
      <c r="N937" s="3" t="inlineStr">
        <is>
          <t>"compensation.detail.lblViolatingPostOffice": "",</t>
        </is>
      </c>
      <c r="O937" s="3" t="n"/>
      <c r="P937" s="3" t="n"/>
      <c r="Q937" s="3" t="n"/>
      <c r="R937" s="3" t="n"/>
      <c r="S937" s="3" t="n"/>
      <c r="T937" s="3" t="n"/>
      <c r="U937" s="3" t="n"/>
      <c r="V937" s="3" t="n"/>
      <c r="W937" s="3" t="n"/>
      <c r="X937" s="3" t="n"/>
      <c r="Y937" s="3" t="n"/>
      <c r="Z937" s="3" t="n"/>
      <c r="AA937" s="3" t="n"/>
    </row>
    <row r="938">
      <c r="A938" s="105" t="inlineStr">
        <is>
          <t>compensation.detail.lblViolatingPerson</t>
        </is>
      </c>
      <c r="B938" s="105" t="inlineStr">
        <is>
          <t>Cá nhân vi phạm</t>
        </is>
      </c>
      <c r="C938" s="3" t="n"/>
      <c r="D938" s="3" t="n"/>
      <c r="E938" s="3" t="n"/>
      <c r="F938" s="3" t="n"/>
      <c r="G938" s="3" t="n"/>
      <c r="H938" s="3" t="inlineStr">
        <is>
          <t>បុគ្គលល្មើស</t>
        </is>
      </c>
      <c r="I938" s="3" t="n"/>
      <c r="J938" s="3" t="n"/>
      <c r="K938" s="3" t="n"/>
      <c r="L938" s="3" t="inlineStr">
        <is>
          <t>បុគ្គលល្មើស</t>
        </is>
      </c>
      <c r="M938" s="3" t="n"/>
      <c r="N938" s="3" t="inlineStr">
        <is>
          <t>"compensation.detail.lblViolatingPerson": "",</t>
        </is>
      </c>
      <c r="O938" s="3" t="n"/>
      <c r="P938" s="3" t="n"/>
      <c r="Q938" s="3" t="n"/>
      <c r="R938" s="3" t="n"/>
      <c r="S938" s="3" t="n"/>
      <c r="T938" s="3" t="n"/>
      <c r="U938" s="3" t="n"/>
      <c r="V938" s="3" t="n"/>
      <c r="W938" s="3" t="n"/>
      <c r="X938" s="3" t="n"/>
      <c r="Y938" s="3" t="n"/>
      <c r="Z938" s="3" t="n"/>
      <c r="AA938" s="3" t="n"/>
    </row>
    <row r="939">
      <c r="A939" s="105" t="inlineStr">
        <is>
          <t>compensation.detail.lblMinutesCode</t>
        </is>
      </c>
      <c r="B939" s="105" t="inlineStr">
        <is>
          <t>Mã biên bản</t>
        </is>
      </c>
      <c r="C939" s="3" t="n"/>
      <c r="D939" s="3" t="n"/>
      <c r="E939" s="3" t="n"/>
      <c r="F939" s="3" t="n"/>
      <c r="G939" s="3" t="n"/>
      <c r="H939" s="3" t="inlineStr">
        <is>
          <t>លេខកូដកំណត់ហេតុ</t>
        </is>
      </c>
      <c r="I939" s="3" t="n"/>
      <c r="J939" s="3" t="n"/>
      <c r="K939" s="3" t="n"/>
      <c r="L939" s="3" t="inlineStr">
        <is>
          <t>លេខកូដកំណត់ហេតុ</t>
        </is>
      </c>
      <c r="M939" s="3" t="n"/>
      <c r="N939" s="3" t="inlineStr">
        <is>
          <t>"compensation.detail.lblMinutesCode": "",</t>
        </is>
      </c>
      <c r="O939" s="3" t="n"/>
      <c r="P939" s="3" t="n"/>
      <c r="Q939" s="3" t="n"/>
      <c r="R939" s="3" t="n"/>
      <c r="S939" s="3" t="n"/>
      <c r="T939" s="3" t="n"/>
      <c r="U939" s="3" t="n"/>
      <c r="V939" s="3" t="n"/>
      <c r="W939" s="3" t="n"/>
      <c r="X939" s="3" t="n"/>
      <c r="Y939" s="3" t="n"/>
      <c r="Z939" s="3" t="n"/>
      <c r="AA939" s="3" t="n"/>
    </row>
    <row r="940">
      <c r="A940" s="105" t="inlineStr">
        <is>
          <t>compensation.detail.lblErrorCode</t>
        </is>
      </c>
      <c r="B940" s="105" t="inlineStr">
        <is>
          <t>Lỗi biên bản</t>
        </is>
      </c>
      <c r="C940" s="3" t="n"/>
      <c r="D940" s="3" t="n"/>
      <c r="E940" s="3" t="n"/>
      <c r="F940" s="3" t="n"/>
      <c r="G940" s="3" t="n"/>
      <c r="H940" s="3" t="inlineStr">
        <is>
          <t>កំហុស កំណត់ហេតុ</t>
        </is>
      </c>
      <c r="I940" s="3" t="n"/>
      <c r="J940" s="3" t="n"/>
      <c r="K940" s="3" t="n"/>
      <c r="L940" s="3" t="inlineStr">
        <is>
          <t>កំហុស កំណត់ហេតុ</t>
        </is>
      </c>
      <c r="M940" s="3" t="n"/>
      <c r="N940" s="3" t="inlineStr">
        <is>
          <t>"compensation.detail.lblErrorCode": "",</t>
        </is>
      </c>
      <c r="O940" s="3" t="n"/>
      <c r="P940" s="3" t="n"/>
      <c r="Q940" s="3" t="n"/>
      <c r="R940" s="3" t="n"/>
      <c r="S940" s="3" t="n"/>
      <c r="T940" s="3" t="n"/>
      <c r="U940" s="3" t="n"/>
      <c r="V940" s="3" t="n"/>
      <c r="W940" s="3" t="n"/>
      <c r="X940" s="3" t="n"/>
      <c r="Y940" s="3" t="n"/>
      <c r="Z940" s="3" t="n"/>
      <c r="AA940" s="3" t="n"/>
    </row>
    <row r="941">
      <c r="A941" s="105" t="inlineStr">
        <is>
          <t>compensation.detail.lblStatus</t>
        </is>
      </c>
      <c r="B941" s="105" t="inlineStr">
        <is>
          <t>Trạng thái</t>
        </is>
      </c>
      <c r="C941" s="3" t="n"/>
      <c r="D941" s="3" t="n"/>
      <c r="E941" s="3" t="n"/>
      <c r="F941" s="3" t="n"/>
      <c r="G941" s="3" t="n"/>
      <c r="H941" s="3" t="inlineStr">
        <is>
          <t>ស្ថានភាព</t>
        </is>
      </c>
      <c r="I941" s="3" t="n"/>
      <c r="J941" s="3" t="n"/>
      <c r="K941" s="3" t="n"/>
      <c r="L941" s="3" t="inlineStr">
        <is>
          <t>ស្ថានភាព</t>
        </is>
      </c>
      <c r="M941" s="3" t="n"/>
      <c r="N941" s="3" t="inlineStr">
        <is>
          <t>"compensation.detail.lblStatus": "",</t>
        </is>
      </c>
      <c r="O941" s="3" t="n"/>
      <c r="P941" s="3" t="n"/>
      <c r="Q941" s="3" t="n"/>
      <c r="R941" s="3" t="n"/>
      <c r="S941" s="3" t="n"/>
      <c r="T941" s="3" t="n"/>
      <c r="U941" s="3" t="n"/>
      <c r="V941" s="3" t="n"/>
      <c r="W941" s="3" t="n"/>
      <c r="X941" s="3" t="n"/>
      <c r="Y941" s="3" t="n"/>
      <c r="Z941" s="3" t="n"/>
      <c r="AA941" s="3" t="n"/>
    </row>
    <row r="942">
      <c r="A942" s="105" t="inlineStr">
        <is>
          <t>compensation.detail.lblCompensationProfileCode</t>
        </is>
      </c>
      <c r="B942" s="105" t="inlineStr">
        <is>
          <t>Mã hồ sơ bồi thường</t>
        </is>
      </c>
      <c r="C942" s="3" t="n"/>
      <c r="D942" s="3" t="n"/>
      <c r="E942" s="3" t="n"/>
      <c r="F942" s="3" t="n"/>
      <c r="G942" s="3" t="n"/>
      <c r="H942" s="3" t="inlineStr">
        <is>
          <t>លេខកូដhồ sơ សំណង</t>
        </is>
      </c>
      <c r="I942" s="3" t="n"/>
      <c r="J942" s="3" t="n"/>
      <c r="K942" s="3" t="n"/>
      <c r="L942" s="3" t="inlineStr">
        <is>
          <t>លេខកូដhồ sơ សំណង</t>
        </is>
      </c>
      <c r="M942" s="3" t="n"/>
      <c r="N942" s="3" t="inlineStr">
        <is>
          <t>"compensation.detail.lblCompensationProfileCode": "",</t>
        </is>
      </c>
      <c r="O942" s="3" t="n"/>
      <c r="P942" s="3" t="n"/>
      <c r="Q942" s="3" t="n"/>
      <c r="R942" s="3" t="n"/>
      <c r="S942" s="3" t="n"/>
      <c r="T942" s="3" t="n"/>
      <c r="U942" s="3" t="n"/>
      <c r="V942" s="3" t="n"/>
      <c r="W942" s="3" t="n"/>
      <c r="X942" s="3" t="n"/>
      <c r="Y942" s="3" t="n"/>
      <c r="Z942" s="3" t="n"/>
      <c r="AA942" s="3" t="n"/>
    </row>
    <row r="943">
      <c r="A943" s="105" t="inlineStr">
        <is>
          <t>compensation.detail.lblWaybillCode</t>
        </is>
      </c>
      <c r="B943" s="105" t="inlineStr">
        <is>
          <t>Mã vận đơn/tải kiện</t>
        </is>
      </c>
      <c r="C943" s="3" t="n"/>
      <c r="D943" s="3" t="n"/>
      <c r="E943" s="3" t="n"/>
      <c r="F943" s="3" t="n"/>
      <c r="G943" s="3" t="n"/>
      <c r="H943" s="3" t="inlineStr">
        <is>
          <t>លេខកូដvận បញ្ញើ/tải kiện</t>
        </is>
      </c>
      <c r="I943" s="3" t="n"/>
      <c r="J943" s="3" t="n"/>
      <c r="K943" s="3" t="n"/>
      <c r="L943" s="3" t="inlineStr">
        <is>
          <t>លេខកូដvận បញ្ញើ/tải kiện</t>
        </is>
      </c>
      <c r="M943" s="3" t="n"/>
      <c r="N943" s="3" t="inlineStr">
        <is>
          <t>"compensation.detail.lblWaybillCode": "",</t>
        </is>
      </c>
      <c r="O943" s="3" t="n"/>
      <c r="P943" s="3" t="n"/>
      <c r="Q943" s="3" t="n"/>
      <c r="R943" s="3" t="n"/>
      <c r="S943" s="3" t="n"/>
      <c r="T943" s="3" t="n"/>
      <c r="U943" s="3" t="n"/>
      <c r="V943" s="3" t="n"/>
      <c r="W943" s="3" t="n"/>
      <c r="X943" s="3" t="n"/>
      <c r="Y943" s="3" t="n"/>
      <c r="Z943" s="3" t="n"/>
      <c r="AA943" s="3" t="n"/>
    </row>
    <row r="944">
      <c r="A944" s="105" t="inlineStr">
        <is>
          <t>compensation.detail.lblContent</t>
        </is>
      </c>
      <c r="B944" s="105" t="inlineStr">
        <is>
          <t>Nội dung biên bản</t>
        </is>
      </c>
      <c r="C944" s="3" t="n"/>
      <c r="D944" s="3" t="n"/>
      <c r="E944" s="3" t="n"/>
      <c r="F944" s="3" t="n"/>
      <c r="G944" s="3" t="n"/>
      <c r="H944" s="3" t="inlineStr">
        <is>
          <t>ខ្លឹមសារ កំណត់ហេតុ</t>
        </is>
      </c>
      <c r="I944" s="3" t="n"/>
      <c r="J944" s="3" t="n"/>
      <c r="K944" s="3" t="n"/>
      <c r="L944" s="3" t="inlineStr">
        <is>
          <t>ខ្លឹមសារ កំណត់ហេតុ</t>
        </is>
      </c>
      <c r="M944" s="3" t="n"/>
      <c r="N944" s="3" t="inlineStr">
        <is>
          <t>"compensation.detail.lblContent": "",</t>
        </is>
      </c>
      <c r="O944" s="3" t="n"/>
      <c r="P944" s="3" t="n"/>
      <c r="Q944" s="3" t="n"/>
      <c r="R944" s="3" t="n"/>
      <c r="S944" s="3" t="n"/>
      <c r="T944" s="3" t="n"/>
      <c r="U944" s="3" t="n"/>
      <c r="V944" s="3" t="n"/>
      <c r="W944" s="3" t="n"/>
      <c r="X944" s="3" t="n"/>
      <c r="Y944" s="3" t="n"/>
      <c r="Z944" s="3" t="n"/>
      <c r="AA944" s="3" t="n"/>
    </row>
    <row r="945">
      <c r="A945" s="105" t="inlineStr">
        <is>
          <t>compensation.detail.lblAttachmentFile</t>
        </is>
      </c>
      <c r="B945" s="105" t="inlineStr">
        <is>
          <t>File đính kèm</t>
        </is>
      </c>
      <c r="C945" s="3" t="n"/>
      <c r="D945" s="3" t="n"/>
      <c r="E945" s="3" t="n"/>
      <c r="F945" s="3" t="n"/>
      <c r="G945" s="3" t="n"/>
      <c r="H945" s="3" t="inlineStr">
        <is>
          <t>ឯកសារភ្ជាប់</t>
        </is>
      </c>
      <c r="I945" s="3" t="n"/>
      <c r="J945" s="3" t="n"/>
      <c r="K945" s="3" t="n"/>
      <c r="L945" s="3" t="inlineStr">
        <is>
          <t>ឯកសារភ្ជាប់</t>
        </is>
      </c>
      <c r="M945" s="3" t="n"/>
      <c r="N945" s="3" t="inlineStr">
        <is>
          <t>"compensation.detail.lblAttachmentFile": "",</t>
        </is>
      </c>
      <c r="O945" s="3" t="n"/>
      <c r="P945" s="3" t="n"/>
      <c r="Q945" s="3" t="n"/>
      <c r="R945" s="3" t="n"/>
      <c r="S945" s="3" t="n"/>
      <c r="T945" s="3" t="n"/>
      <c r="U945" s="3" t="n"/>
      <c r="V945" s="3" t="n"/>
      <c r="W945" s="3" t="n"/>
      <c r="X945" s="3" t="n"/>
      <c r="Y945" s="3" t="n"/>
      <c r="Z945" s="3" t="n"/>
      <c r="AA945" s="3" t="n"/>
    </row>
    <row r="946">
      <c r="A946" s="105" t="inlineStr">
        <is>
          <t>compensation.detail.sectionRateInfo</t>
        </is>
      </c>
      <c r="B946" s="105" t="inlineStr">
        <is>
          <t>Thông tin tỷ lệ đền bù</t>
        </is>
      </c>
      <c r="C946" s="3" t="n"/>
      <c r="D946" s="3" t="n"/>
      <c r="E946" s="3" t="n"/>
      <c r="F946" s="3" t="n"/>
      <c r="G946" s="3" t="n"/>
      <c r="H946" s="3" t="inlineStr">
        <is>
          <t>ព័ត៌មាន អត្រា សំណង</t>
        </is>
      </c>
      <c r="I946" s="3" t="n"/>
      <c r="J946" s="3" t="n"/>
      <c r="K946" s="3" t="n"/>
      <c r="L946" s="3" t="inlineStr">
        <is>
          <t>ព័ត៌មាន អត្រា សំណង</t>
        </is>
      </c>
      <c r="M946" s="3" t="n"/>
      <c r="N946" s="3" t="inlineStr">
        <is>
          <t>"compensation.detail.sectionRateInfo": "",</t>
        </is>
      </c>
      <c r="O946" s="3" t="n"/>
      <c r="P946" s="3" t="n"/>
      <c r="Q946" s="3" t="n"/>
      <c r="R946" s="3" t="n"/>
      <c r="S946" s="3" t="n"/>
      <c r="T946" s="3" t="n"/>
      <c r="U946" s="3" t="n"/>
      <c r="V946" s="3" t="n"/>
      <c r="W946" s="3" t="n"/>
      <c r="X946" s="3" t="n"/>
      <c r="Y946" s="3" t="n"/>
      <c r="Z946" s="3" t="n"/>
      <c r="AA946" s="3" t="n"/>
    </row>
    <row r="947">
      <c r="A947" s="105" t="inlineStr">
        <is>
          <t>compensation.detail.colPostOffice</t>
        </is>
      </c>
      <c r="B947" s="105" t="inlineStr">
        <is>
          <t>Đơn vị/Bưu cục</t>
        </is>
      </c>
      <c r="C947" s="3" t="n"/>
      <c r="D947" s="3" t="n"/>
      <c r="E947" s="3" t="n"/>
      <c r="F947" s="3" t="n"/>
      <c r="G947" s="3" t="n"/>
      <c r="H947" s="3" t="inlineStr">
        <is>
          <t>បញ្ញើ vị/ការិយាល័យប្រៃសណីយ៍</t>
        </is>
      </c>
      <c r="I947" s="3" t="n"/>
      <c r="J947" s="3" t="n"/>
      <c r="K947" s="3" t="n"/>
      <c r="L947" s="3" t="inlineStr">
        <is>
          <t>បញ្ញើ vị/ការិយាល័យប្រៃសណីយ៍</t>
        </is>
      </c>
      <c r="M947" s="3" t="n"/>
      <c r="N947" s="3" t="inlineStr">
        <is>
          <t>"compensation.detail.colPostOffice": "",</t>
        </is>
      </c>
      <c r="O947" s="3" t="n"/>
      <c r="P947" s="3" t="n"/>
      <c r="Q947" s="3" t="n"/>
      <c r="R947" s="3" t="n"/>
      <c r="S947" s="3" t="n"/>
      <c r="T947" s="3" t="n"/>
      <c r="U947" s="3" t="n"/>
      <c r="V947" s="3" t="n"/>
      <c r="W947" s="3" t="n"/>
      <c r="X947" s="3" t="n"/>
      <c r="Y947" s="3" t="n"/>
      <c r="Z947" s="3" t="n"/>
      <c r="AA947" s="3" t="n"/>
    </row>
    <row r="948">
      <c r="A948" s="105" t="inlineStr">
        <is>
          <t>compensation.detail.colCompensationRate</t>
        </is>
      </c>
      <c r="B948" s="105" t="inlineStr">
        <is>
          <t>Tỷ lệ bồi thường</t>
        </is>
      </c>
      <c r="C948" s="3" t="n"/>
      <c r="D948" s="3" t="n"/>
      <c r="E948" s="3" t="n"/>
      <c r="F948" s="3" t="n"/>
      <c r="G948" s="3" t="n"/>
      <c r="H948" s="3" t="inlineStr">
        <is>
          <t>អត្រា សំណង</t>
        </is>
      </c>
      <c r="I948" s="3" t="n"/>
      <c r="J948" s="3" t="n"/>
      <c r="K948" s="3" t="n"/>
      <c r="L948" s="3" t="inlineStr">
        <is>
          <t>អត្រា សំណង</t>
        </is>
      </c>
      <c r="M948" s="3" t="n"/>
      <c r="N948" s="3" t="inlineStr">
        <is>
          <t>"compensation.detail.colCompensationRate": "",</t>
        </is>
      </c>
      <c r="O948" s="3" t="n"/>
      <c r="P948" s="3" t="n"/>
      <c r="Q948" s="3" t="n"/>
      <c r="R948" s="3" t="n"/>
      <c r="S948" s="3" t="n"/>
      <c r="T948" s="3" t="n"/>
      <c r="U948" s="3" t="n"/>
      <c r="V948" s="3" t="n"/>
      <c r="W948" s="3" t="n"/>
      <c r="X948" s="3" t="n"/>
      <c r="Y948" s="3" t="n"/>
      <c r="Z948" s="3" t="n"/>
      <c r="AA948" s="3" t="n"/>
    </row>
    <row r="949">
      <c r="A949" s="105" t="inlineStr">
        <is>
          <t>compensation.detail.colAmount</t>
        </is>
      </c>
      <c r="B949" s="105" t="inlineStr">
        <is>
          <t>Thành tiền</t>
        </is>
      </c>
      <c r="C949" s="3" t="n"/>
      <c r="D949" s="3" t="n"/>
      <c r="E949" s="3" t="n"/>
      <c r="F949" s="3" t="n"/>
      <c r="G949" s="3" t="n"/>
      <c r="H949" s="3" t="inlineStr">
        <is>
          <t>ទឹកប្រាក់សរុប</t>
        </is>
      </c>
      <c r="I949" s="3" t="n"/>
      <c r="J949" s="3" t="n"/>
      <c r="K949" s="3" t="n"/>
      <c r="L949" s="3" t="inlineStr">
        <is>
          <t>ទឹកប្រាក់សរុប</t>
        </is>
      </c>
      <c r="M949" s="3" t="n"/>
      <c r="N949" s="3" t="inlineStr">
        <is>
          <t>"compensation.detail.colAmount": "",</t>
        </is>
      </c>
      <c r="O949" s="3" t="n"/>
      <c r="P949" s="3" t="n"/>
      <c r="Q949" s="3" t="n"/>
      <c r="R949" s="3" t="n"/>
      <c r="S949" s="3" t="n"/>
      <c r="T949" s="3" t="n"/>
      <c r="U949" s="3" t="n"/>
      <c r="V949" s="3" t="n"/>
      <c r="W949" s="3" t="n"/>
      <c r="X949" s="3" t="n"/>
      <c r="Y949" s="3" t="n"/>
      <c r="Z949" s="3" t="n"/>
      <c r="AA949" s="3" t="n"/>
    </row>
    <row r="950">
      <c r="A950" s="105" t="inlineStr">
        <is>
          <t>compensation.detail.sectionWaybillInfo</t>
        </is>
      </c>
      <c r="B950" s="105" t="inlineStr">
        <is>
          <t>Thông tin đền bù vận đơn</t>
        </is>
      </c>
      <c r="C950" s="3" t="n"/>
      <c r="D950" s="3" t="n"/>
      <c r="E950" s="3" t="n"/>
      <c r="F950" s="3" t="n"/>
      <c r="G950" s="3" t="n"/>
      <c r="H950" s="3" t="inlineStr">
        <is>
          <t>ព័ត៌មាន សំណង vận បញ្ញើ</t>
        </is>
      </c>
      <c r="I950" s="3" t="n"/>
      <c r="J950" s="3" t="n"/>
      <c r="K950" s="3" t="n"/>
      <c r="L950" s="3" t="inlineStr">
        <is>
          <t>ព័ត៌មាន សំណង vận បញ្ញើ</t>
        </is>
      </c>
      <c r="M950" s="3" t="n"/>
      <c r="N950" s="3" t="inlineStr">
        <is>
          <t>"compensation.detail.sectionWaybillInfo": "",</t>
        </is>
      </c>
      <c r="O950" s="3" t="n"/>
      <c r="P950" s="3" t="n"/>
      <c r="Q950" s="3" t="n"/>
      <c r="R950" s="3" t="n"/>
      <c r="S950" s="3" t="n"/>
      <c r="T950" s="3" t="n"/>
      <c r="U950" s="3" t="n"/>
      <c r="V950" s="3" t="n"/>
      <c r="W950" s="3" t="n"/>
      <c r="X950" s="3" t="n"/>
      <c r="Y950" s="3" t="n"/>
      <c r="Z950" s="3" t="n"/>
      <c r="AA950" s="3" t="n"/>
    </row>
    <row r="951">
      <c r="A951" s="105" t="inlineStr">
        <is>
          <t>compensation.detail.lblGoodsValue</t>
        </is>
      </c>
      <c r="B951" s="105" t="inlineStr">
        <is>
          <t>Giá trị hàng hóa</t>
        </is>
      </c>
      <c r="C951" s="3" t="n"/>
      <c r="D951" s="3" t="n"/>
      <c r="E951" s="3" t="n"/>
      <c r="F951" s="3" t="n"/>
      <c r="G951" s="3" t="n"/>
      <c r="H951" s="3" t="inlineStr">
        <is>
          <t>Giá trị ទំនិញ</t>
        </is>
      </c>
      <c r="I951" s="3" t="n"/>
      <c r="J951" s="3" t="n"/>
      <c r="K951" s="3" t="n"/>
      <c r="L951" s="3" t="inlineStr">
        <is>
          <t>Giá trị ទំនិញ</t>
        </is>
      </c>
      <c r="M951" s="3" t="n"/>
      <c r="N951" s="3" t="inlineStr">
        <is>
          <t>"compensation.detail.lblGoodsValue": "",</t>
        </is>
      </c>
      <c r="O951" s="3" t="n"/>
      <c r="P951" s="3" t="n"/>
      <c r="Q951" s="3" t="n"/>
      <c r="R951" s="3" t="n"/>
      <c r="S951" s="3" t="n"/>
      <c r="T951" s="3" t="n"/>
      <c r="U951" s="3" t="n"/>
      <c r="V951" s="3" t="n"/>
      <c r="W951" s="3" t="n"/>
      <c r="X951" s="3" t="n"/>
      <c r="Y951" s="3" t="n"/>
      <c r="Z951" s="3" t="n"/>
      <c r="AA951" s="3" t="n"/>
    </row>
    <row r="952">
      <c r="A952" s="105" t="inlineStr">
        <is>
          <t>compensation.detail.lblInvoiceValue</t>
        </is>
      </c>
      <c r="B952" s="105" t="inlineStr">
        <is>
          <t>Giá trị hóa đơn</t>
        </is>
      </c>
      <c r="C952" s="3" t="n"/>
      <c r="D952" s="3" t="n"/>
      <c r="E952" s="3" t="n"/>
      <c r="F952" s="3" t="n"/>
      <c r="G952" s="3" t="n"/>
      <c r="H952" s="3" t="inlineStr">
        <is>
          <t>Giá trị hóa បញ្ញើ</t>
        </is>
      </c>
      <c r="I952" s="3" t="n"/>
      <c r="J952" s="3" t="n"/>
      <c r="K952" s="3" t="n"/>
      <c r="L952" s="3" t="inlineStr">
        <is>
          <t>Giá trị hóa បញ្ញើ</t>
        </is>
      </c>
      <c r="M952" s="3" t="n"/>
      <c r="N952" s="3" t="inlineStr">
        <is>
          <t>"compensation.detail.lblInvoiceValue": "",</t>
        </is>
      </c>
      <c r="O952" s="3" t="n"/>
      <c r="P952" s="3" t="n"/>
      <c r="Q952" s="3" t="n"/>
      <c r="R952" s="3" t="n"/>
      <c r="S952" s="3" t="n"/>
      <c r="T952" s="3" t="n"/>
      <c r="U952" s="3" t="n"/>
      <c r="V952" s="3" t="n"/>
      <c r="W952" s="3" t="n"/>
      <c r="X952" s="3" t="n"/>
      <c r="Y952" s="3" t="n"/>
      <c r="Z952" s="3" t="n"/>
      <c r="AA952" s="3" t="n"/>
    </row>
    <row r="953">
      <c r="A953" s="105" t="inlineStr">
        <is>
          <t>compensation.detail.lblCod</t>
        </is>
      </c>
      <c r="B953" s="105" t="inlineStr">
        <is>
          <t>COD</t>
        </is>
      </c>
      <c r="C953" s="3" t="n"/>
      <c r="D953" s="3" t="n"/>
      <c r="E953" s="3" t="n"/>
      <c r="F953" s="3" t="n"/>
      <c r="G953" s="3" t="n"/>
      <c r="H953" s="3" t="inlineStr">
        <is>
          <t>ប្រាក់ COD</t>
        </is>
      </c>
      <c r="I953" s="3" t="n"/>
      <c r="J953" s="3" t="n"/>
      <c r="K953" s="3" t="n"/>
      <c r="L953" s="3" t="inlineStr">
        <is>
          <t>ប្រាក់ COD</t>
        </is>
      </c>
      <c r="M953" s="3" t="n"/>
      <c r="N953" s="3" t="inlineStr">
        <is>
          <t>"compensation.detail.lblCod": "",</t>
        </is>
      </c>
      <c r="O953" s="3" t="n"/>
      <c r="P953" s="3" t="n"/>
      <c r="Q953" s="3" t="n"/>
      <c r="R953" s="3" t="n"/>
      <c r="S953" s="3" t="n"/>
      <c r="T953" s="3" t="n"/>
      <c r="U953" s="3" t="n"/>
      <c r="V953" s="3" t="n"/>
      <c r="W953" s="3" t="n"/>
      <c r="X953" s="3" t="n"/>
      <c r="Y953" s="3" t="n"/>
      <c r="Z953" s="3" t="n"/>
      <c r="AA953" s="3" t="n"/>
    </row>
    <row r="954">
      <c r="A954" s="105" t="inlineStr">
        <is>
          <t>compensation.detail.lblService</t>
        </is>
      </c>
      <c r="B954" s="105" t="inlineStr">
        <is>
          <t>Dịch vụ</t>
        </is>
      </c>
      <c r="C954" s="3" t="n"/>
      <c r="D954" s="3" t="n"/>
      <c r="E954" s="3" t="n"/>
      <c r="F954" s="3" t="n"/>
      <c r="G954" s="3" t="n"/>
      <c r="H954" s="3" t="inlineStr">
        <is>
          <t>សេវាកម្ម</t>
        </is>
      </c>
      <c r="I954" s="3" t="n"/>
      <c r="J954" s="3" t="n"/>
      <c r="K954" s="3" t="n"/>
      <c r="L954" s="3" t="inlineStr">
        <is>
          <t>សេវាកម្ម</t>
        </is>
      </c>
      <c r="M954" s="3" t="n"/>
      <c r="N954" s="3" t="inlineStr">
        <is>
          <t>"compensation.detail.lblService": "",</t>
        </is>
      </c>
      <c r="O954" s="3" t="n"/>
      <c r="P954" s="3" t="n"/>
      <c r="Q954" s="3" t="n"/>
      <c r="R954" s="3" t="n"/>
      <c r="S954" s="3" t="n"/>
      <c r="T954" s="3" t="n"/>
      <c r="U954" s="3" t="n"/>
      <c r="V954" s="3" t="n"/>
      <c r="W954" s="3" t="n"/>
      <c r="X954" s="3" t="n"/>
      <c r="Y954" s="3" t="n"/>
      <c r="Z954" s="3" t="n"/>
      <c r="AA954" s="3" t="n"/>
    </row>
    <row r="955">
      <c r="A955" s="105" t="inlineStr">
        <is>
          <t>compensation.detail.lblGoodsContent</t>
        </is>
      </c>
      <c r="B955" s="105" t="inlineStr">
        <is>
          <t>Nội dung hàng hóa</t>
        </is>
      </c>
      <c r="C955" s="3" t="n"/>
      <c r="D955" s="3" t="n"/>
      <c r="E955" s="3" t="n"/>
      <c r="F955" s="3" t="n"/>
      <c r="G955" s="3" t="n"/>
      <c r="H955" s="3" t="inlineStr">
        <is>
          <t>ខ្លឹមសារ ទំនិញ</t>
        </is>
      </c>
      <c r="I955" s="3" t="n"/>
      <c r="J955" s="3" t="n"/>
      <c r="K955" s="3" t="n"/>
      <c r="L955" s="3" t="inlineStr">
        <is>
          <t>ខ្លឹមសារ ទំនិញ</t>
        </is>
      </c>
      <c r="M955" s="3" t="n"/>
      <c r="N955" s="3" t="inlineStr">
        <is>
          <t>"compensation.detail.lblGoodsContent": "",</t>
        </is>
      </c>
      <c r="O955" s="3" t="n"/>
      <c r="P955" s="3" t="n"/>
      <c r="Q955" s="3" t="n"/>
      <c r="R955" s="3" t="n"/>
      <c r="S955" s="3" t="n"/>
      <c r="T955" s="3" t="n"/>
      <c r="U955" s="3" t="n"/>
      <c r="V955" s="3" t="n"/>
      <c r="W955" s="3" t="n"/>
      <c r="X955" s="3" t="n"/>
      <c r="Y955" s="3" t="n"/>
      <c r="Z955" s="3" t="n"/>
      <c r="AA955" s="3" t="n"/>
    </row>
    <row r="956">
      <c r="A956" s="105" t="inlineStr">
        <is>
          <t>compensation.detail.lblDocuments</t>
        </is>
      </c>
      <c r="B956" s="105" t="inlineStr">
        <is>
          <t>Hồ sơ chứng từ đi kèm</t>
        </is>
      </c>
      <c r="C956" s="3" t="n"/>
      <c r="D956" s="3" t="n"/>
      <c r="E956" s="3" t="n"/>
      <c r="F956" s="3" t="n"/>
      <c r="G956" s="3" t="n"/>
      <c r="H956" s="3" t="inlineStr">
        <is>
          <t>ឯកសារភស្តុតាងភ្ជាប់មកជាមួយ</t>
        </is>
      </c>
      <c r="I956" s="3" t="n"/>
      <c r="J956" s="3" t="n"/>
      <c r="K956" s="3" t="n"/>
      <c r="L956" s="3" t="inlineStr">
        <is>
          <t>ឯកសារភស្តុតាងភ្ជាប់មកជាមួយ</t>
        </is>
      </c>
      <c r="M956" s="3" t="n"/>
      <c r="N956" s="3" t="inlineStr">
        <is>
          <t>"compensation.detail.lblDocuments": "",</t>
        </is>
      </c>
      <c r="O956" s="3" t="n"/>
      <c r="P956" s="3" t="n"/>
      <c r="Q956" s="3" t="n"/>
      <c r="R956" s="3" t="n"/>
      <c r="S956" s="3" t="n"/>
      <c r="T956" s="3" t="n"/>
      <c r="U956" s="3" t="n"/>
      <c r="V956" s="3" t="n"/>
      <c r="W956" s="3" t="n"/>
      <c r="X956" s="3" t="n"/>
      <c r="Y956" s="3" t="n"/>
      <c r="Z956" s="3" t="n"/>
      <c r="AA956" s="3" t="n"/>
    </row>
    <row r="957">
      <c r="A957" s="105" t="inlineStr">
        <is>
          <t>compensation.detail.lblBcgValue</t>
        </is>
      </c>
      <c r="B957" s="105" t="inlineStr">
        <is>
          <t>Giá trị đền bù BCG nhập</t>
        </is>
      </c>
      <c r="C957" s="3" t="n"/>
      <c r="D957" s="3" t="n"/>
      <c r="E957" s="3" t="n"/>
      <c r="F957" s="3" t="n"/>
      <c r="G957" s="3" t="n"/>
      <c r="H957" s="3" t="inlineStr">
        <is>
          <t>Giá trị សំណង BCG nhập</t>
        </is>
      </c>
      <c r="I957" s="3" t="n"/>
      <c r="J957" s="3" t="n"/>
      <c r="K957" s="3" t="n"/>
      <c r="L957" s="3" t="inlineStr">
        <is>
          <t>Giá trị សំណង BCG nhập</t>
        </is>
      </c>
      <c r="M957" s="3" t="n"/>
      <c r="N957" s="3" t="inlineStr">
        <is>
          <t>"compensation.detail.lblBcgValue": "",</t>
        </is>
      </c>
      <c r="O957" s="3" t="n"/>
      <c r="P957" s="3" t="n"/>
      <c r="Q957" s="3" t="n"/>
      <c r="R957" s="3" t="n"/>
      <c r="S957" s="3" t="n"/>
      <c r="T957" s="3" t="n"/>
      <c r="U957" s="3" t="n"/>
      <c r="V957" s="3" t="n"/>
      <c r="W957" s="3" t="n"/>
      <c r="X957" s="3" t="n"/>
      <c r="Y957" s="3" t="n"/>
      <c r="Z957" s="3" t="n"/>
      <c r="AA957" s="3" t="n"/>
    </row>
    <row r="958">
      <c r="A958" s="105" t="inlineStr">
        <is>
          <t>compensation.detail.lblBcgInfo</t>
        </is>
      </c>
      <c r="B958" s="105" t="inlineStr">
        <is>
          <t>BCG_Thông tin đền bù</t>
        </is>
      </c>
      <c r="C958" s="3" t="n"/>
      <c r="D958" s="3" t="n"/>
      <c r="E958" s="3" t="n"/>
      <c r="F958" s="3" t="n"/>
      <c r="G958" s="3" t="n"/>
      <c r="H958" s="3" t="inlineStr">
        <is>
          <t>BCG_Thông tin សំណង</t>
        </is>
      </c>
      <c r="I958" s="3" t="n"/>
      <c r="J958" s="3" t="n"/>
      <c r="K958" s="3" t="n"/>
      <c r="L958" s="3" t="inlineStr">
        <is>
          <t>BCG_Thông tin សំណង</t>
        </is>
      </c>
      <c r="M958" s="3" t="n"/>
      <c r="N958" s="3" t="inlineStr">
        <is>
          <t>"compensation.detail.lblBcgInfo": "",</t>
        </is>
      </c>
      <c r="O958" s="3" t="n"/>
      <c r="P958" s="3" t="n"/>
      <c r="Q958" s="3" t="n"/>
      <c r="R958" s="3" t="n"/>
      <c r="S958" s="3" t="n"/>
      <c r="T958" s="3" t="n"/>
      <c r="U958" s="3" t="n"/>
      <c r="V958" s="3" t="n"/>
      <c r="W958" s="3" t="n"/>
      <c r="X958" s="3" t="n"/>
      <c r="Y958" s="3" t="n"/>
      <c r="Z958" s="3" t="n"/>
      <c r="AA958" s="3" t="n"/>
    </row>
    <row r="959">
      <c r="A959" s="105" t="inlineStr">
        <is>
          <t>compensation.detail.sectionBankInfo</t>
        </is>
      </c>
      <c r="B959" s="105" t="inlineStr">
        <is>
          <t>Thông tin chuyển khoản</t>
        </is>
      </c>
      <c r="C959" s="3" t="n"/>
      <c r="D959" s="3" t="n"/>
      <c r="E959" s="3" t="n"/>
      <c r="F959" s="3" t="n"/>
      <c r="G959" s="3" t="n"/>
      <c r="H959" s="3" t="inlineStr">
        <is>
          <t>ព័ត៌មាន chuyển khoản</t>
        </is>
      </c>
      <c r="I959" s="3" t="n"/>
      <c r="J959" s="3" t="n"/>
      <c r="K959" s="3" t="n"/>
      <c r="L959" s="3" t="inlineStr">
        <is>
          <t>ព័ត៌មាន chuyển khoản</t>
        </is>
      </c>
      <c r="M959" s="3" t="n"/>
      <c r="N959" s="3" t="inlineStr">
        <is>
          <t>"compensation.detail.sectionBankInfo": "",</t>
        </is>
      </c>
      <c r="O959" s="3" t="n"/>
      <c r="P959" s="3" t="n"/>
      <c r="Q959" s="3" t="n"/>
      <c r="R959" s="3" t="n"/>
      <c r="S959" s="3" t="n"/>
      <c r="T959" s="3" t="n"/>
      <c r="U959" s="3" t="n"/>
      <c r="V959" s="3" t="n"/>
      <c r="W959" s="3" t="n"/>
      <c r="X959" s="3" t="n"/>
      <c r="Y959" s="3" t="n"/>
      <c r="Z959" s="3" t="n"/>
      <c r="AA959" s="3" t="n"/>
    </row>
    <row r="960">
      <c r="A960" s="105" t="inlineStr">
        <is>
          <t>compensation.detail.lblCustomerId</t>
        </is>
      </c>
      <c r="B960" s="105" t="inlineStr">
        <is>
          <t>Mã khách hàng</t>
        </is>
      </c>
      <c r="C960" s="3" t="n"/>
      <c r="D960" s="3" t="n"/>
      <c r="E960" s="3" t="n"/>
      <c r="F960" s="3" t="n"/>
      <c r="G960" s="3" t="n"/>
      <c r="H960" s="3" t="inlineStr">
        <is>
          <t>លេខកូដអតិថិជន</t>
        </is>
      </c>
      <c r="I960" s="3" t="n"/>
      <c r="J960" s="3" t="n"/>
      <c r="K960" s="3" t="n"/>
      <c r="L960" s="3" t="inlineStr">
        <is>
          <t>លេខកូដអតិថិជន</t>
        </is>
      </c>
      <c r="M960" s="3" t="n"/>
      <c r="N960" s="3" t="inlineStr">
        <is>
          <t>"compensation.detail.lblCustomerId": "",</t>
        </is>
      </c>
      <c r="O960" s="3" t="n"/>
      <c r="P960" s="3" t="n"/>
      <c r="Q960" s="3" t="n"/>
      <c r="R960" s="3" t="n"/>
      <c r="S960" s="3" t="n"/>
      <c r="T960" s="3" t="n"/>
      <c r="U960" s="3" t="n"/>
      <c r="V960" s="3" t="n"/>
      <c r="W960" s="3" t="n"/>
      <c r="X960" s="3" t="n"/>
      <c r="Y960" s="3" t="n"/>
      <c r="Z960" s="3" t="n"/>
      <c r="AA960" s="3" t="n"/>
    </row>
    <row r="961">
      <c r="A961" s="105" t="inlineStr">
        <is>
          <t>compensation.detail.lblCustomerName</t>
        </is>
      </c>
      <c r="B961" s="105" t="inlineStr">
        <is>
          <t>Tên khách hàng</t>
        </is>
      </c>
      <c r="C961" s="3" t="n"/>
      <c r="D961" s="3" t="n"/>
      <c r="E961" s="3" t="n"/>
      <c r="F961" s="3" t="n"/>
      <c r="G961" s="3" t="n"/>
      <c r="H961" s="3" t="inlineStr">
        <is>
          <t>ឈ្មោះអតិថិជន</t>
        </is>
      </c>
      <c r="I961" s="3" t="n"/>
      <c r="J961" s="3" t="n"/>
      <c r="K961" s="3" t="n"/>
      <c r="L961" s="3" t="inlineStr">
        <is>
          <t>ឈ្មោះអតិថិជន</t>
        </is>
      </c>
      <c r="M961" s="3" t="n"/>
      <c r="N961" s="3" t="inlineStr">
        <is>
          <t>"compensation.detail.lblCustomerName": "",</t>
        </is>
      </c>
      <c r="O961" s="3" t="n"/>
      <c r="P961" s="3" t="n"/>
      <c r="Q961" s="3" t="n"/>
      <c r="R961" s="3" t="n"/>
      <c r="S961" s="3" t="n"/>
      <c r="T961" s="3" t="n"/>
      <c r="U961" s="3" t="n"/>
      <c r="V961" s="3" t="n"/>
      <c r="W961" s="3" t="n"/>
      <c r="X961" s="3" t="n"/>
      <c r="Y961" s="3" t="n"/>
      <c r="Z961" s="3" t="n"/>
      <c r="AA961" s="3" t="n"/>
    </row>
    <row r="962">
      <c r="A962" s="105" t="inlineStr">
        <is>
          <t>compensation.detail.lblIdNumber</t>
        </is>
      </c>
      <c r="B962" s="105" t="inlineStr">
        <is>
          <t>Số CMT/CCCD</t>
        </is>
      </c>
      <c r="C962" s="3" t="n"/>
      <c r="D962" s="3" t="n"/>
      <c r="E962" s="3" t="n"/>
      <c r="F962" s="3" t="n"/>
      <c r="G962" s="3" t="n"/>
      <c r="H962" s="3" t="inlineStr">
        <is>
          <t>លេខអត្តសញ្ញាណប័ណ្ណ</t>
        </is>
      </c>
      <c r="I962" s="3" t="n"/>
      <c r="J962" s="3" t="n"/>
      <c r="K962" s="3" t="n"/>
      <c r="L962" s="3" t="inlineStr">
        <is>
          <t>លេខអត្តសញ្ញាណប័ណ្ណ</t>
        </is>
      </c>
      <c r="M962" s="3" t="n"/>
      <c r="N962" s="3" t="inlineStr">
        <is>
          <t>"compensation.detail.lblIdNumber": "",</t>
        </is>
      </c>
      <c r="O962" s="3" t="n"/>
      <c r="P962" s="3" t="n"/>
      <c r="Q962" s="3" t="n"/>
      <c r="R962" s="3" t="n"/>
      <c r="S962" s="3" t="n"/>
      <c r="T962" s="3" t="n"/>
      <c r="U962" s="3" t="n"/>
      <c r="V962" s="3" t="n"/>
      <c r="W962" s="3" t="n"/>
      <c r="X962" s="3" t="n"/>
      <c r="Y962" s="3" t="n"/>
      <c r="Z962" s="3" t="n"/>
      <c r="AA962" s="3" t="n"/>
    </row>
    <row r="963">
      <c r="A963" s="105" t="inlineStr">
        <is>
          <t>compensation.detail.lblPhone</t>
        </is>
      </c>
      <c r="B963" s="105" t="inlineStr">
        <is>
          <t>Số điện thoại</t>
        </is>
      </c>
      <c r="C963" s="3" t="n"/>
      <c r="D963" s="3" t="n"/>
      <c r="E963" s="3" t="n"/>
      <c r="F963" s="3" t="n"/>
      <c r="G963" s="3" t="n"/>
      <c r="H963" s="3" t="inlineStr">
        <is>
          <t>លេខទូរស័ព្ទ</t>
        </is>
      </c>
      <c r="I963" s="3" t="n"/>
      <c r="J963" s="3" t="n"/>
      <c r="K963" s="3" t="n"/>
      <c r="L963" s="3" t="inlineStr">
        <is>
          <t>លេខទូរស័ព្ទ</t>
        </is>
      </c>
      <c r="M963" s="3" t="n"/>
      <c r="N963" s="3" t="inlineStr">
        <is>
          <t>"compensation.detail.lblPhone": "",</t>
        </is>
      </c>
      <c r="O963" s="3" t="n"/>
      <c r="P963" s="3" t="n"/>
      <c r="Q963" s="3" t="n"/>
      <c r="R963" s="3" t="n"/>
      <c r="S963" s="3" t="n"/>
      <c r="T963" s="3" t="n"/>
      <c r="U963" s="3" t="n"/>
      <c r="V963" s="3" t="n"/>
      <c r="W963" s="3" t="n"/>
      <c r="X963" s="3" t="n"/>
      <c r="Y963" s="3" t="n"/>
      <c r="Z963" s="3" t="n"/>
      <c r="AA963" s="3" t="n"/>
    </row>
    <row r="964">
      <c r="A964" s="105" t="inlineStr">
        <is>
          <t>compensation.detail.lblEmail</t>
        </is>
      </c>
      <c r="B964" s="105" t="inlineStr">
        <is>
          <t>Email</t>
        </is>
      </c>
      <c r="C964" s="3" t="n"/>
      <c r="D964" s="3" t="n"/>
      <c r="E964" s="3" t="n"/>
      <c r="F964" s="3" t="n"/>
      <c r="G964" s="3" t="n"/>
      <c r="H964" s="3" t="inlineStr">
        <is>
          <t>Email</t>
        </is>
      </c>
      <c r="I964" s="3" t="n"/>
      <c r="J964" s="3" t="n"/>
      <c r="K964" s="3" t="n"/>
      <c r="L964" s="3" t="inlineStr">
        <is>
          <t>Email</t>
        </is>
      </c>
      <c r="M964" s="3" t="n"/>
      <c r="N964" s="3" t="inlineStr">
        <is>
          <t>"compensation.detail.lblEmail": "",</t>
        </is>
      </c>
      <c r="O964" s="3" t="n"/>
      <c r="P964" s="3" t="n"/>
      <c r="Q964" s="3" t="n"/>
      <c r="R964" s="3" t="n"/>
      <c r="S964" s="3" t="n"/>
      <c r="T964" s="3" t="n"/>
      <c r="U964" s="3" t="n"/>
      <c r="V964" s="3" t="n"/>
      <c r="W964" s="3" t="n"/>
      <c r="X964" s="3" t="n"/>
      <c r="Y964" s="3" t="n"/>
      <c r="Z964" s="3" t="n"/>
      <c r="AA964" s="3" t="n"/>
    </row>
    <row r="965">
      <c r="A965" s="105" t="inlineStr">
        <is>
          <t>compensation.detail.lblAddress</t>
        </is>
      </c>
      <c r="B965" s="105" t="inlineStr">
        <is>
          <t>Địa chỉ</t>
        </is>
      </c>
      <c r="C965" s="3" t="n"/>
      <c r="D965" s="3" t="n"/>
      <c r="E965" s="3" t="n"/>
      <c r="F965" s="3" t="n"/>
      <c r="G965" s="3" t="n"/>
      <c r="H965" s="3" t="inlineStr">
        <is>
          <t>អាសយដ្ឋាន</t>
        </is>
      </c>
      <c r="I965" s="3" t="n"/>
      <c r="J965" s="3" t="n"/>
      <c r="K965" s="3" t="n"/>
      <c r="L965" s="3" t="inlineStr">
        <is>
          <t>អាសយដ្ឋាន</t>
        </is>
      </c>
      <c r="M965" s="3" t="n"/>
      <c r="N965" s="3" t="inlineStr">
        <is>
          <t>"compensation.detail.lblAddress": "",</t>
        </is>
      </c>
      <c r="O965" s="3" t="n"/>
      <c r="P965" s="3" t="n"/>
      <c r="Q965" s="3" t="n"/>
      <c r="R965" s="3" t="n"/>
      <c r="S965" s="3" t="n"/>
      <c r="T965" s="3" t="n"/>
      <c r="U965" s="3" t="n"/>
      <c r="V965" s="3" t="n"/>
      <c r="W965" s="3" t="n"/>
      <c r="X965" s="3" t="n"/>
      <c r="Y965" s="3" t="n"/>
      <c r="Z965" s="3" t="n"/>
      <c r="AA965" s="3" t="n"/>
    </row>
    <row r="966">
      <c r="A966" s="105" t="inlineStr">
        <is>
          <t>compensation.detail.lblBank</t>
        </is>
      </c>
      <c r="B966" s="105" t="inlineStr">
        <is>
          <t>Ngân hàng</t>
        </is>
      </c>
      <c r="C966" s="3" t="n"/>
      <c r="D966" s="3" t="n"/>
      <c r="E966" s="3" t="n"/>
      <c r="F966" s="3" t="n"/>
      <c r="G966" s="3" t="n"/>
      <c r="H966" s="3" t="inlineStr">
        <is>
          <t>ធនាគារ</t>
        </is>
      </c>
      <c r="I966" s="3" t="n"/>
      <c r="J966" s="3" t="n"/>
      <c r="K966" s="3" t="n"/>
      <c r="L966" s="3" t="inlineStr">
        <is>
          <t>ធនាគារ</t>
        </is>
      </c>
      <c r="M966" s="3" t="n"/>
      <c r="N966" s="3" t="inlineStr">
        <is>
          <t>"compensation.detail.lblBank": "",</t>
        </is>
      </c>
      <c r="O966" s="3" t="n"/>
      <c r="P966" s="3" t="n"/>
      <c r="Q966" s="3" t="n"/>
      <c r="R966" s="3" t="n"/>
      <c r="S966" s="3" t="n"/>
      <c r="T966" s="3" t="n"/>
      <c r="U966" s="3" t="n"/>
      <c r="V966" s="3" t="n"/>
      <c r="W966" s="3" t="n"/>
      <c r="X966" s="3" t="n"/>
      <c r="Y966" s="3" t="n"/>
      <c r="Z966" s="3" t="n"/>
      <c r="AA966" s="3" t="n"/>
    </row>
    <row r="967">
      <c r="A967" s="105" t="inlineStr">
        <is>
          <t>compensation.detail.lblAccountNumber</t>
        </is>
      </c>
      <c r="B967" s="105" t="inlineStr">
        <is>
          <t>Số tài khoản</t>
        </is>
      </c>
      <c r="C967" s="3" t="n"/>
      <c r="D967" s="3" t="n"/>
      <c r="E967" s="3" t="n"/>
      <c r="F967" s="3" t="n"/>
      <c r="G967" s="3" t="n"/>
      <c r="H967" s="3" t="inlineStr">
        <is>
          <t>លេខគណនីធនាគារ</t>
        </is>
      </c>
      <c r="I967" s="3" t="n"/>
      <c r="J967" s="3" t="n"/>
      <c r="K967" s="3" t="n"/>
      <c r="L967" s="3" t="inlineStr">
        <is>
          <t>លេខគណនីធនាគារ</t>
        </is>
      </c>
      <c r="M967" s="3" t="n"/>
      <c r="N967" s="3" t="inlineStr">
        <is>
          <t>"compensation.detail.lblAccountNumber": "",</t>
        </is>
      </c>
      <c r="O967" s="3" t="n"/>
      <c r="P967" s="3" t="n"/>
      <c r="Q967" s="3" t="n"/>
      <c r="R967" s="3" t="n"/>
      <c r="S967" s="3" t="n"/>
      <c r="T967" s="3" t="n"/>
      <c r="U967" s="3" t="n"/>
      <c r="V967" s="3" t="n"/>
      <c r="W967" s="3" t="n"/>
      <c r="X967" s="3" t="n"/>
      <c r="Y967" s="3" t="n"/>
      <c r="Z967" s="3" t="n"/>
      <c r="AA967" s="3" t="n"/>
    </row>
    <row r="968">
      <c r="A968" s="105" t="inlineStr">
        <is>
          <t>compensation.detail.lblBeneficiary</t>
        </is>
      </c>
      <c r="B968" s="105" t="inlineStr">
        <is>
          <t>Người thụ hưởng</t>
        </is>
      </c>
      <c r="C968" s="3" t="n"/>
      <c r="D968" s="3" t="n"/>
      <c r="E968" s="3" t="n"/>
      <c r="F968" s="3" t="n"/>
      <c r="G968" s="3" t="n"/>
      <c r="H968" s="3" t="inlineStr">
        <is>
          <t>អ្នកទទួលផល/អ្នកទទួលប្រាក់</t>
        </is>
      </c>
      <c r="I968" s="3" t="n"/>
      <c r="J968" s="3" t="n"/>
      <c r="K968" s="3" t="n"/>
      <c r="L968" s="3" t="inlineStr">
        <is>
          <t>អ្នកទទួលផល/អ្នកទទួលប្រាក់</t>
        </is>
      </c>
      <c r="M968" s="3" t="n"/>
      <c r="N968" s="3" t="inlineStr">
        <is>
          <t>"compensation.detail.lblBeneficiary": "",</t>
        </is>
      </c>
      <c r="O968" s="3" t="n"/>
      <c r="P968" s="3" t="n"/>
      <c r="Q968" s="3" t="n"/>
      <c r="R968" s="3" t="n"/>
      <c r="S968" s="3" t="n"/>
      <c r="T968" s="3" t="n"/>
      <c r="U968" s="3" t="n"/>
      <c r="V968" s="3" t="n"/>
      <c r="W968" s="3" t="n"/>
      <c r="X968" s="3" t="n"/>
      <c r="Y968" s="3" t="n"/>
      <c r="Z968" s="3" t="n"/>
      <c r="AA968" s="3" t="n"/>
    </row>
    <row r="969">
      <c r="A969" s="105" t="inlineStr">
        <is>
          <t>compensation.detail.lblDebitAccount</t>
        </is>
      </c>
      <c r="B969" s="105" t="inlineStr">
        <is>
          <t>Tài khoản nợ</t>
        </is>
      </c>
      <c r="C969" s="3" t="n"/>
      <c r="D969" s="3" t="n"/>
      <c r="E969" s="3" t="n"/>
      <c r="F969" s="3" t="n"/>
      <c r="G969" s="3" t="n"/>
      <c r="H969" s="3" t="inlineStr">
        <is>
          <t>គណនីជំពាក់</t>
        </is>
      </c>
      <c r="I969" s="3" t="n"/>
      <c r="J969" s="3" t="n"/>
      <c r="K969" s="3" t="n"/>
      <c r="L969" s="3" t="inlineStr">
        <is>
          <t>គណនីជំពាក់</t>
        </is>
      </c>
      <c r="M969" s="3" t="n"/>
      <c r="N969" s="3" t="inlineStr">
        <is>
          <t>"compensation.detail.lblDebitAccount": "",</t>
        </is>
      </c>
      <c r="O969" s="3" t="n"/>
      <c r="P969" s="3" t="n"/>
      <c r="Q969" s="3" t="n"/>
      <c r="R969" s="3" t="n"/>
      <c r="S969" s="3" t="n"/>
      <c r="T969" s="3" t="n"/>
      <c r="U969" s="3" t="n"/>
      <c r="V969" s="3" t="n"/>
      <c r="W969" s="3" t="n"/>
      <c r="X969" s="3" t="n"/>
      <c r="Y969" s="3" t="n"/>
      <c r="Z969" s="3" t="n"/>
      <c r="AA969" s="3" t="n"/>
    </row>
    <row r="970">
      <c r="A970" s="105" t="inlineStr">
        <is>
          <t>compensation.detail.sectionActionHistory</t>
        </is>
      </c>
      <c r="B970" s="105" t="inlineStr">
        <is>
          <t>Lịch sử tác động</t>
        </is>
      </c>
      <c r="C970" s="3" t="n"/>
      <c r="D970" s="3" t="n"/>
      <c r="E970" s="3" t="n"/>
      <c r="F970" s="3" t="n"/>
      <c r="G970" s="3" t="n"/>
      <c r="H970" s="3" t="inlineStr">
        <is>
          <t>ប្រវត្តិ tác động</t>
        </is>
      </c>
      <c r="I970" s="3" t="n"/>
      <c r="J970" s="3" t="n"/>
      <c r="K970" s="3" t="n"/>
      <c r="L970" s="3" t="inlineStr">
        <is>
          <t>ប្រវត្តិ tác động</t>
        </is>
      </c>
      <c r="M970" s="3" t="n"/>
      <c r="N970" s="3" t="inlineStr">
        <is>
          <t>"compensation.detail.sectionActionHistory": "",</t>
        </is>
      </c>
      <c r="O970" s="3" t="n"/>
      <c r="P970" s="3" t="n"/>
      <c r="Q970" s="3" t="n"/>
      <c r="R970" s="3" t="n"/>
      <c r="S970" s="3" t="n"/>
      <c r="T970" s="3" t="n"/>
      <c r="U970" s="3" t="n"/>
      <c r="V970" s="3" t="n"/>
      <c r="W970" s="3" t="n"/>
      <c r="X970" s="3" t="n"/>
      <c r="Y970" s="3" t="n"/>
      <c r="Z970" s="3" t="n"/>
      <c r="AA970" s="3" t="n"/>
    </row>
    <row r="971">
      <c r="A971" s="105" t="inlineStr">
        <is>
          <t>compensation.detail.colStatus</t>
        </is>
      </c>
      <c r="B971" s="105" t="inlineStr">
        <is>
          <t>Trạng thái</t>
        </is>
      </c>
      <c r="C971" s="3" t="n"/>
      <c r="D971" s="3" t="n"/>
      <c r="E971" s="3" t="n"/>
      <c r="F971" s="3" t="n"/>
      <c r="G971" s="3" t="n"/>
      <c r="H971" s="3" t="inlineStr">
        <is>
          <t>ស្ថានភាព</t>
        </is>
      </c>
      <c r="I971" s="3" t="n"/>
      <c r="J971" s="3" t="n"/>
      <c r="K971" s="3" t="n"/>
      <c r="L971" s="3" t="inlineStr">
        <is>
          <t>ស្ថានភាព</t>
        </is>
      </c>
      <c r="M971" s="3" t="n"/>
      <c r="N971" s="3" t="inlineStr">
        <is>
          <t>"compensation.detail.colStatus": "",</t>
        </is>
      </c>
      <c r="O971" s="3" t="n"/>
      <c r="P971" s="3" t="n"/>
      <c r="Q971" s="3" t="n"/>
      <c r="R971" s="3" t="n"/>
      <c r="S971" s="3" t="n"/>
      <c r="T971" s="3" t="n"/>
      <c r="U971" s="3" t="n"/>
      <c r="V971" s="3" t="n"/>
      <c r="W971" s="3" t="n"/>
      <c r="X971" s="3" t="n"/>
      <c r="Y971" s="3" t="n"/>
      <c r="Z971" s="3" t="n"/>
      <c r="AA971" s="3" t="n"/>
    </row>
    <row r="972">
      <c r="A972" s="105" t="inlineStr">
        <is>
          <t>compensation.detail.colDateTime</t>
        </is>
      </c>
      <c r="B972" s="105" t="inlineStr">
        <is>
          <t>Ngày giờ</t>
        </is>
      </c>
      <c r="C972" s="3" t="n"/>
      <c r="D972" s="3" t="n"/>
      <c r="E972" s="3" t="n"/>
      <c r="F972" s="3" t="n"/>
      <c r="G972" s="3" t="n"/>
      <c r="H972" s="3" t="inlineStr">
        <is>
          <t>កាលបរិច្ឆេទម៉ោង</t>
        </is>
      </c>
      <c r="I972" s="3" t="n"/>
      <c r="J972" s="3" t="n"/>
      <c r="K972" s="3" t="n"/>
      <c r="L972" s="3" t="inlineStr">
        <is>
          <t>កាលបរិច្ឆេទម៉ោង</t>
        </is>
      </c>
      <c r="M972" s="3" t="n"/>
      <c r="N972" s="3" t="inlineStr">
        <is>
          <t>"compensation.detail.colDateTime": "",</t>
        </is>
      </c>
      <c r="O972" s="3" t="n"/>
      <c r="P972" s="3" t="n"/>
      <c r="Q972" s="3" t="n"/>
      <c r="R972" s="3" t="n"/>
      <c r="S972" s="3" t="n"/>
      <c r="T972" s="3" t="n"/>
      <c r="U972" s="3" t="n"/>
      <c r="V972" s="3" t="n"/>
      <c r="W972" s="3" t="n"/>
      <c r="X972" s="3" t="n"/>
      <c r="Y972" s="3" t="n"/>
      <c r="Z972" s="3" t="n"/>
      <c r="AA972" s="3" t="n"/>
    </row>
    <row r="973">
      <c r="A973" s="105" t="inlineStr">
        <is>
          <t>compensation.detail.colUnit</t>
        </is>
      </c>
      <c r="B973" s="105" t="inlineStr">
        <is>
          <t>Đơn vị tác động</t>
        </is>
      </c>
      <c r="C973" s="3" t="n"/>
      <c r="D973" s="3" t="n"/>
      <c r="E973" s="3" t="n"/>
      <c r="F973" s="3" t="n"/>
      <c r="G973" s="3" t="n"/>
      <c r="H973" s="3" t="inlineStr">
        <is>
          <t>បញ្ញើ vị tác động</t>
        </is>
      </c>
      <c r="I973" s="3" t="n"/>
      <c r="J973" s="3" t="n"/>
      <c r="K973" s="3" t="n"/>
      <c r="L973" s="3" t="inlineStr">
        <is>
          <t>បញ្ញើ vị tác động</t>
        </is>
      </c>
      <c r="M973" s="3" t="n"/>
      <c r="N973" s="3" t="inlineStr">
        <is>
          <t>"compensation.detail.colUnit": "",</t>
        </is>
      </c>
      <c r="O973" s="3" t="n"/>
      <c r="P973" s="3" t="n"/>
      <c r="Q973" s="3" t="n"/>
      <c r="R973" s="3" t="n"/>
      <c r="S973" s="3" t="n"/>
      <c r="T973" s="3" t="n"/>
      <c r="U973" s="3" t="n"/>
      <c r="V973" s="3" t="n"/>
      <c r="W973" s="3" t="n"/>
      <c r="X973" s="3" t="n"/>
      <c r="Y973" s="3" t="n"/>
      <c r="Z973" s="3" t="n"/>
      <c r="AA973" s="3" t="n"/>
    </row>
    <row r="974">
      <c r="A974" s="105" t="inlineStr">
        <is>
          <t>compensation.detail.colActor</t>
        </is>
      </c>
      <c r="B974" s="105" t="inlineStr">
        <is>
          <t>Người tác động</t>
        </is>
      </c>
      <c r="C974" s="3" t="n"/>
      <c r="D974" s="3" t="n"/>
      <c r="E974" s="3" t="n"/>
      <c r="F974" s="3" t="n"/>
      <c r="G974" s="3" t="n"/>
      <c r="H974" s="3" t="inlineStr">
        <is>
          <t>អ្នកធ្វើប្រតិបត្តិការ</t>
        </is>
      </c>
      <c r="I974" s="3" t="n"/>
      <c r="J974" s="3" t="n"/>
      <c r="K974" s="3" t="n"/>
      <c r="L974" s="3" t="inlineStr">
        <is>
          <t>អ្នកធ្វើប្រតិបត្តិការ</t>
        </is>
      </c>
      <c r="M974" s="3" t="n"/>
      <c r="N974" s="3" t="inlineStr">
        <is>
          <t>"compensation.detail.colActor": "",</t>
        </is>
      </c>
      <c r="O974" s="3" t="n"/>
      <c r="P974" s="3" t="n"/>
      <c r="Q974" s="3" t="n"/>
      <c r="R974" s="3" t="n"/>
      <c r="S974" s="3" t="n"/>
      <c r="T974" s="3" t="n"/>
      <c r="U974" s="3" t="n"/>
      <c r="V974" s="3" t="n"/>
      <c r="W974" s="3" t="n"/>
      <c r="X974" s="3" t="n"/>
      <c r="Y974" s="3" t="n"/>
      <c r="Z974" s="3" t="n"/>
      <c r="AA974" s="3" t="n"/>
    </row>
    <row r="975">
      <c r="A975" s="105" t="inlineStr">
        <is>
          <t>compensation.detail.colProfileType</t>
        </is>
      </c>
      <c r="B975" s="105" t="inlineStr">
        <is>
          <t>Loại hồ sơ</t>
        </is>
      </c>
      <c r="C975" s="3" t="n"/>
      <c r="D975" s="3" t="n"/>
      <c r="E975" s="3" t="n"/>
      <c r="F975" s="3" t="n"/>
      <c r="G975" s="3" t="n"/>
      <c r="H975" s="3" t="inlineStr">
        <is>
          <t>ប្រភេទ hồ sơ</t>
        </is>
      </c>
      <c r="I975" s="3" t="n"/>
      <c r="J975" s="3" t="n"/>
      <c r="K975" s="3" t="n"/>
      <c r="L975" s="3" t="inlineStr">
        <is>
          <t>ប្រភេទ hồ sơ</t>
        </is>
      </c>
      <c r="M975" s="3" t="n"/>
      <c r="N975" s="3" t="inlineStr">
        <is>
          <t>"compensation.detail.colProfileType": "",</t>
        </is>
      </c>
      <c r="O975" s="3" t="n"/>
      <c r="P975" s="3" t="n"/>
      <c r="Q975" s="3" t="n"/>
      <c r="R975" s="3" t="n"/>
      <c r="S975" s="3" t="n"/>
      <c r="T975" s="3" t="n"/>
      <c r="U975" s="3" t="n"/>
      <c r="V975" s="3" t="n"/>
      <c r="W975" s="3" t="n"/>
      <c r="X975" s="3" t="n"/>
      <c r="Y975" s="3" t="n"/>
      <c r="Z975" s="3" t="n"/>
      <c r="AA975" s="3" t="n"/>
    </row>
    <row r="976">
      <c r="A976" s="105" t="inlineStr">
        <is>
          <t>compensation.detail.colContent</t>
        </is>
      </c>
      <c r="B976" s="105" t="inlineStr">
        <is>
          <t>Nội dung</t>
        </is>
      </c>
      <c r="C976" s="3" t="n"/>
      <c r="D976" s="3" t="n"/>
      <c r="E976" s="3" t="n"/>
      <c r="F976" s="3" t="n"/>
      <c r="G976" s="3" t="n"/>
      <c r="H976" s="3" t="inlineStr">
        <is>
          <t>ខ្លឹមសារ</t>
        </is>
      </c>
      <c r="I976" s="3" t="n"/>
      <c r="J976" s="3" t="n"/>
      <c r="K976" s="3" t="n"/>
      <c r="L976" s="3" t="inlineStr">
        <is>
          <t>ខ្លឹមសារ</t>
        </is>
      </c>
      <c r="M976" s="3" t="n"/>
      <c r="N976" s="3" t="inlineStr">
        <is>
          <t>"compensation.detail.colContent": "",</t>
        </is>
      </c>
      <c r="O976" s="3" t="n"/>
      <c r="P976" s="3" t="n"/>
      <c r="Q976" s="3" t="n"/>
      <c r="R976" s="3" t="n"/>
      <c r="S976" s="3" t="n"/>
      <c r="T976" s="3" t="n"/>
      <c r="U976" s="3" t="n"/>
      <c r="V976" s="3" t="n"/>
      <c r="W976" s="3" t="n"/>
      <c r="X976" s="3" t="n"/>
      <c r="Y976" s="3" t="n"/>
      <c r="Z976" s="3" t="n"/>
      <c r="AA976" s="3" t="n"/>
    </row>
    <row r="977">
      <c r="A977" s="105" t="inlineStr">
        <is>
          <t>compensation.detail.colRemainingTime</t>
        </is>
      </c>
      <c r="B977" s="105" t="inlineStr">
        <is>
          <t>Thời gian còn lại</t>
        </is>
      </c>
      <c r="C977" s="3" t="n"/>
      <c r="D977" s="3" t="n"/>
      <c r="E977" s="3" t="n"/>
      <c r="F977" s="3" t="n"/>
      <c r="G977" s="3" t="n"/>
      <c r="H977" s="3" t="inlineStr">
        <is>
          <t>ពេលវេលាcòn lại</t>
        </is>
      </c>
      <c r="I977" s="3" t="n"/>
      <c r="J977" s="3" t="n"/>
      <c r="K977" s="3" t="n"/>
      <c r="L977" s="3" t="inlineStr">
        <is>
          <t>ពេលវេលាcòn lại</t>
        </is>
      </c>
      <c r="M977" s="3" t="n"/>
      <c r="N977" s="3" t="inlineStr">
        <is>
          <t>"compensation.detail.colRemainingTime": "",</t>
        </is>
      </c>
      <c r="O977" s="3" t="n"/>
      <c r="P977" s="3" t="n"/>
      <c r="Q977" s="3" t="n"/>
      <c r="R977" s="3" t="n"/>
      <c r="S977" s="3" t="n"/>
      <c r="T977" s="3" t="n"/>
      <c r="U977" s="3" t="n"/>
      <c r="V977" s="3" t="n"/>
      <c r="W977" s="3" t="n"/>
      <c r="X977" s="3" t="n"/>
      <c r="Y977" s="3" t="n"/>
      <c r="Z977" s="3" t="n"/>
      <c r="AA977" s="3" t="n"/>
    </row>
    <row r="978">
      <c r="A978" s="105" t="inlineStr">
        <is>
          <t>compensation.detail.colFile</t>
        </is>
      </c>
      <c r="B978" s="105" t="inlineStr">
        <is>
          <t>Tệp tin</t>
        </is>
      </c>
      <c r="C978" s="3" t="n"/>
      <c r="D978" s="3" t="n"/>
      <c r="E978" s="3" t="n"/>
      <c r="F978" s="3" t="n"/>
      <c r="G978" s="3" t="n"/>
      <c r="H978" s="3" t="inlineStr">
        <is>
          <t>ឯកសារ</t>
        </is>
      </c>
      <c r="I978" s="3" t="n"/>
      <c r="J978" s="3" t="n"/>
      <c r="K978" s="3" t="n"/>
      <c r="L978" s="3" t="inlineStr">
        <is>
          <t>ឯកសារ</t>
        </is>
      </c>
      <c r="M978" s="3" t="n"/>
      <c r="N978" s="3" t="inlineStr">
        <is>
          <t>"compensation.detail.colFile": "",</t>
        </is>
      </c>
      <c r="O978" s="3" t="n"/>
      <c r="P978" s="3" t="n"/>
      <c r="Q978" s="3" t="n"/>
      <c r="R978" s="3" t="n"/>
      <c r="S978" s="3" t="n"/>
      <c r="T978" s="3" t="n"/>
      <c r="U978" s="3" t="n"/>
      <c r="V978" s="3" t="n"/>
      <c r="W978" s="3" t="n"/>
      <c r="X978" s="3" t="n"/>
      <c r="Y978" s="3" t="n"/>
      <c r="Z978" s="3" t="n"/>
      <c r="AA978" s="3" t="n"/>
    </row>
    <row r="979">
      <c r="A979" s="105" t="inlineStr">
        <is>
          <t>compensation.detail.noData</t>
        </is>
      </c>
      <c r="B979" s="105" t="inlineStr">
        <is>
          <t>Không có dữ liệu</t>
        </is>
      </c>
      <c r="C979" s="3" t="n"/>
      <c r="D979" s="3" t="n"/>
      <c r="E979" s="3" t="n"/>
      <c r="F979" s="3" t="n"/>
      <c r="G979" s="3" t="n"/>
      <c r="H979" s="3" t="inlineStr">
        <is>
          <t>មិនមានទិន្នន័យទេ</t>
        </is>
      </c>
      <c r="I979" s="3" t="n"/>
      <c r="J979" s="3" t="n"/>
      <c r="K979" s="3" t="n"/>
      <c r="L979" s="3" t="inlineStr">
        <is>
          <t>មិនមានទិន្នន័យទេ</t>
        </is>
      </c>
      <c r="M979" s="3" t="n"/>
      <c r="N979" s="3" t="inlineStr">
        <is>
          <t>"compensation.detail.noData": "",</t>
        </is>
      </c>
      <c r="O979" s="3" t="n"/>
      <c r="P979" s="3" t="n"/>
      <c r="Q979" s="3" t="n"/>
      <c r="R979" s="3" t="n"/>
      <c r="S979" s="3" t="n"/>
      <c r="T979" s="3" t="n"/>
      <c r="U979" s="3" t="n"/>
      <c r="V979" s="3" t="n"/>
      <c r="W979" s="3" t="n"/>
      <c r="X979" s="3" t="n"/>
      <c r="Y979" s="3" t="n"/>
      <c r="Z979" s="3" t="n"/>
      <c r="AA979" s="3" t="n"/>
    </row>
    <row r="980">
      <c r="A980" s="105" t="inlineStr">
        <is>
          <t>compensation.detail.lblPTCReply</t>
        </is>
      </c>
      <c r="B980" s="105" t="inlineStr">
        <is>
          <t>PTC phản hồi</t>
        </is>
      </c>
      <c r="C980" s="3" t="n"/>
      <c r="D980" s="3" t="n"/>
      <c r="E980" s="3" t="n"/>
      <c r="F980" s="3" t="n"/>
      <c r="G980" s="3" t="n"/>
      <c r="H980" s="3" t="inlineStr">
        <is>
          <t>មតិឆ្លើយតបដឹកជញ្ជូនជោគជ័យ (PTC)</t>
        </is>
      </c>
      <c r="I980" s="3" t="n"/>
      <c r="J980" s="3" t="n"/>
      <c r="K980" s="3" t="n"/>
      <c r="L980" s="3" t="inlineStr">
        <is>
          <t>មតិឆ្លើយតបដឹកជញ្ជូនជោគជ័យ (PTC)</t>
        </is>
      </c>
      <c r="M980" s="3" t="n"/>
      <c r="N980" s="3" t="inlineStr">
        <is>
          <t>"compensation.detail.lblPTCReply": "",</t>
        </is>
      </c>
      <c r="O980" s="3" t="n"/>
      <c r="P980" s="3" t="n"/>
      <c r="Q980" s="3" t="n"/>
      <c r="R980" s="3" t="n"/>
      <c r="S980" s="3" t="n"/>
      <c r="T980" s="3" t="n"/>
      <c r="U980" s="3" t="n"/>
      <c r="V980" s="3" t="n"/>
      <c r="W980" s="3" t="n"/>
      <c r="X980" s="3" t="n"/>
      <c r="Y980" s="3" t="n"/>
      <c r="Z980" s="3" t="n"/>
      <c r="AA980" s="3" t="n"/>
    </row>
    <row r="981">
      <c r="A981" s="105" t="inlineStr">
        <is>
          <t>compensation.complete.title</t>
        </is>
      </c>
      <c r="B981" s="105" t="inlineStr">
        <is>
          <t>Hoàn thiện hồ sơ</t>
        </is>
      </c>
      <c r="C981" s="3" t="n"/>
      <c r="D981" s="3" t="n"/>
      <c r="E981" s="3" t="n"/>
      <c r="F981" s="3" t="n"/>
      <c r="G981" s="3" t="n"/>
      <c r="H981" s="3" t="inlineStr">
        <is>
          <t>បំពេញសំណុំឯកសាររួចរាល់</t>
        </is>
      </c>
      <c r="I981" s="3" t="n"/>
      <c r="J981" s="3" t="n"/>
      <c r="K981" s="3" t="n"/>
      <c r="L981" s="3" t="inlineStr">
        <is>
          <t>បំពេញសំណុំឯកសាររួចរាល់</t>
        </is>
      </c>
      <c r="M981" s="3" t="n"/>
      <c r="N981" s="3" t="inlineStr">
        <is>
          <t>"compensation.complete.title": "",</t>
        </is>
      </c>
      <c r="O981" s="3" t="n"/>
      <c r="P981" s="3" t="n"/>
      <c r="Q981" s="3" t="n"/>
      <c r="R981" s="3" t="n"/>
      <c r="S981" s="3" t="n"/>
      <c r="T981" s="3" t="n"/>
      <c r="U981" s="3" t="n"/>
      <c r="V981" s="3" t="n"/>
      <c r="W981" s="3" t="n"/>
      <c r="X981" s="3" t="n"/>
      <c r="Y981" s="3" t="n"/>
      <c r="Z981" s="3" t="n"/>
      <c r="AA981" s="3" t="n"/>
    </row>
    <row r="982">
      <c r="A982" s="105" t="inlineStr">
        <is>
          <t>compensation.complete.documentsRequired</t>
        </is>
      </c>
      <c r="B982" s="105" t="inlineStr">
        <is>
          <t>Vui lòng tải lên hồ sơ chứng từ đi kèm</t>
        </is>
      </c>
      <c r="C982" s="3" t="n"/>
      <c r="D982" s="3" t="n"/>
      <c r="E982" s="3" t="n"/>
      <c r="F982" s="3" t="n"/>
      <c r="G982" s="3" t="n"/>
      <c r="H982" s="3" t="inlineStr">
        <is>
          <t>Vui lòng បង្ហោះឡើង hồ sơ chứng từ đi kèm</t>
        </is>
      </c>
      <c r="I982" s="3" t="n"/>
      <c r="J982" s="3" t="n"/>
      <c r="K982" s="3" t="n"/>
      <c r="L982" s="3" t="inlineStr">
        <is>
          <t>Vui lòng បង្ហោះឡើង hồ sơ chứng từ đi kèm</t>
        </is>
      </c>
      <c r="M982" s="3" t="n"/>
      <c r="N982" s="3" t="inlineStr">
        <is>
          <t>"compensation.complete.documentsRequired": "",</t>
        </is>
      </c>
      <c r="O982" s="3" t="n"/>
      <c r="P982" s="3" t="n"/>
      <c r="Q982" s="3" t="n"/>
      <c r="R982" s="3" t="n"/>
      <c r="S982" s="3" t="n"/>
      <c r="T982" s="3" t="n"/>
      <c r="U982" s="3" t="n"/>
      <c r="V982" s="3" t="n"/>
      <c r="W982" s="3" t="n"/>
      <c r="X982" s="3" t="n"/>
      <c r="Y982" s="3" t="n"/>
      <c r="Z982" s="3" t="n"/>
      <c r="AA982" s="3" t="n"/>
    </row>
    <row r="983">
      <c r="A983" s="105" t="inlineStr">
        <is>
          <t>compensation.complete.updateSuccess</t>
        </is>
      </c>
      <c r="B983" s="105" t="inlineStr">
        <is>
          <t>Cập nhật hồ sơ bồi thường thành công</t>
        </is>
      </c>
      <c r="C983" s="3" t="n"/>
      <c r="D983" s="3" t="n"/>
      <c r="E983" s="3" t="n"/>
      <c r="F983" s="3" t="n"/>
      <c r="G983" s="3" t="n"/>
      <c r="H983" s="3" t="inlineStr">
        <is>
          <t>ធ្វើបច្ចុប្បន្នភាពhồ sơ សំណង ជោគជ័យ</t>
        </is>
      </c>
      <c r="I983" s="3" t="n"/>
      <c r="J983" s="3" t="n"/>
      <c r="K983" s="3" t="n"/>
      <c r="L983" s="3" t="inlineStr">
        <is>
          <t>ធ្វើបច្ចុប្បន្នភាពhồ sơ សំណង ជោគជ័យ</t>
        </is>
      </c>
      <c r="M983" s="3" t="n"/>
      <c r="N983" s="3" t="inlineStr">
        <is>
          <t>"compensation.complete.updateSuccess": "",</t>
        </is>
      </c>
      <c r="O983" s="3" t="n"/>
      <c r="P983" s="3" t="n"/>
      <c r="Q983" s="3" t="n"/>
      <c r="R983" s="3" t="n"/>
      <c r="S983" s="3" t="n"/>
      <c r="T983" s="3" t="n"/>
      <c r="U983" s="3" t="n"/>
      <c r="V983" s="3" t="n"/>
      <c r="W983" s="3" t="n"/>
      <c r="X983" s="3" t="n"/>
      <c r="Y983" s="3" t="n"/>
      <c r="Z983" s="3" t="n"/>
      <c r="AA983" s="3" t="n"/>
    </row>
    <row r="984">
      <c r="A984" s="105" t="inlineStr">
        <is>
          <t>compensation.complete.placeholderBcgValue</t>
        </is>
      </c>
      <c r="B984" s="105" t="inlineStr">
        <is>
          <t>Nhập giá trị đền bù</t>
        </is>
      </c>
      <c r="C984" s="3" t="n"/>
      <c r="D984" s="3" t="n"/>
      <c r="E984" s="3" t="n"/>
      <c r="F984" s="3" t="n"/>
      <c r="G984" s="3" t="n"/>
      <c r="H984" s="3" t="inlineStr">
        <is>
          <t>បញ្ចូលgiá trị សំណង</t>
        </is>
      </c>
      <c r="I984" s="3" t="n"/>
      <c r="J984" s="3" t="n"/>
      <c r="K984" s="3" t="n"/>
      <c r="L984" s="3" t="inlineStr">
        <is>
          <t>បញ្ចូលgiá trị សំណង</t>
        </is>
      </c>
      <c r="M984" s="3" t="n"/>
      <c r="N984" s="3" t="inlineStr">
        <is>
          <t>"compensation.complete.placeholderBcgValue": "",</t>
        </is>
      </c>
      <c r="O984" s="3" t="n"/>
      <c r="P984" s="3" t="n"/>
      <c r="Q984" s="3" t="n"/>
      <c r="R984" s="3" t="n"/>
      <c r="S984" s="3" t="n"/>
      <c r="T984" s="3" t="n"/>
      <c r="U984" s="3" t="n"/>
      <c r="V984" s="3" t="n"/>
      <c r="W984" s="3" t="n"/>
      <c r="X984" s="3" t="n"/>
      <c r="Y984" s="3" t="n"/>
      <c r="Z984" s="3" t="n"/>
      <c r="AA984" s="3" t="n"/>
    </row>
    <row r="985">
      <c r="A985" s="105" t="inlineStr">
        <is>
          <t>compensation.complete.placeholderBcgInfo</t>
        </is>
      </c>
      <c r="B985" s="105" t="inlineStr">
        <is>
          <t>Nhập thông tin đền bù</t>
        </is>
      </c>
      <c r="C985" s="3" t="n"/>
      <c r="D985" s="3" t="n"/>
      <c r="E985" s="3" t="n"/>
      <c r="F985" s="3" t="n"/>
      <c r="G985" s="3" t="n"/>
      <c r="H985" s="3" t="inlineStr">
        <is>
          <t>បញ្ចូលព័ត៌មាន សំណង</t>
        </is>
      </c>
      <c r="I985" s="3" t="n"/>
      <c r="J985" s="3" t="n"/>
      <c r="K985" s="3" t="n"/>
      <c r="L985" s="3" t="inlineStr">
        <is>
          <t>បញ្ចូលព័ត៌មាន សំណង</t>
        </is>
      </c>
      <c r="M985" s="3" t="n"/>
      <c r="N985" s="3" t="inlineStr">
        <is>
          <t>"compensation.complete.placeholderBcgInfo": "",</t>
        </is>
      </c>
      <c r="O985" s="3" t="n"/>
      <c r="P985" s="3" t="n"/>
      <c r="Q985" s="3" t="n"/>
      <c r="R985" s="3" t="n"/>
      <c r="S985" s="3" t="n"/>
      <c r="T985" s="3" t="n"/>
      <c r="U985" s="3" t="n"/>
      <c r="V985" s="3" t="n"/>
      <c r="W985" s="3" t="n"/>
      <c r="X985" s="3" t="n"/>
      <c r="Y985" s="3" t="n"/>
      <c r="Z985" s="3" t="n"/>
      <c r="AA985" s="3" t="n"/>
    </row>
    <row r="986">
      <c r="A986" s="105" t="inlineStr">
        <is>
          <t>compensation.complete.placeholderCustomerId</t>
        </is>
      </c>
      <c r="B986" s="105" t="inlineStr">
        <is>
          <t>Nhập mã khách hàng</t>
        </is>
      </c>
      <c r="C986" s="3" t="n"/>
      <c r="D986" s="3" t="n"/>
      <c r="E986" s="3" t="n"/>
      <c r="F986" s="3" t="n"/>
      <c r="G986" s="3" t="n"/>
      <c r="H986" s="3" t="inlineStr">
        <is>
          <t>បញ្ចូលលេខកូដអតិថិជន</t>
        </is>
      </c>
      <c r="I986" s="3" t="n"/>
      <c r="J986" s="3" t="n"/>
      <c r="K986" s="3" t="n"/>
      <c r="L986" s="3" t="inlineStr">
        <is>
          <t>បញ្ចូលលេខកូដអតិថិជន</t>
        </is>
      </c>
      <c r="M986" s="3" t="n"/>
      <c r="N986" s="3" t="inlineStr">
        <is>
          <t>"compensation.complete.placeholderCustomerId": "",</t>
        </is>
      </c>
      <c r="O986" s="3" t="n"/>
      <c r="P986" s="3" t="n"/>
      <c r="Q986" s="3" t="n"/>
      <c r="R986" s="3" t="n"/>
      <c r="S986" s="3" t="n"/>
      <c r="T986" s="3" t="n"/>
      <c r="U986" s="3" t="n"/>
      <c r="V986" s="3" t="n"/>
      <c r="W986" s="3" t="n"/>
      <c r="X986" s="3" t="n"/>
      <c r="Y986" s="3" t="n"/>
      <c r="Z986" s="3" t="n"/>
      <c r="AA986" s="3" t="n"/>
    </row>
    <row r="987">
      <c r="A987" s="105" t="inlineStr">
        <is>
          <t>compensation.complete.placeholderCustomerName</t>
        </is>
      </c>
      <c r="B987" s="105" t="inlineStr">
        <is>
          <t>Nhập tên khách hàng</t>
        </is>
      </c>
      <c r="C987" s="3" t="n"/>
      <c r="D987" s="3" t="n"/>
      <c r="E987" s="3" t="n"/>
      <c r="F987" s="3" t="n"/>
      <c r="G987" s="3" t="n"/>
      <c r="H987" s="3" t="inlineStr">
        <is>
          <t>បញ្ចូលឈ្មោះអតិថិជន</t>
        </is>
      </c>
      <c r="I987" s="3" t="n"/>
      <c r="J987" s="3" t="n"/>
      <c r="K987" s="3" t="n"/>
      <c r="L987" s="3" t="inlineStr">
        <is>
          <t>បញ្ចូលឈ្មោះអតិថិជន</t>
        </is>
      </c>
      <c r="M987" s="3" t="n"/>
      <c r="N987" s="3" t="inlineStr">
        <is>
          <t>"compensation.complete.placeholderCustomerName": "",</t>
        </is>
      </c>
      <c r="O987" s="3" t="n"/>
      <c r="P987" s="3" t="n"/>
      <c r="Q987" s="3" t="n"/>
      <c r="R987" s="3" t="n"/>
      <c r="S987" s="3" t="n"/>
      <c r="T987" s="3" t="n"/>
      <c r="U987" s="3" t="n"/>
      <c r="V987" s="3" t="n"/>
      <c r="W987" s="3" t="n"/>
      <c r="X987" s="3" t="n"/>
      <c r="Y987" s="3" t="n"/>
      <c r="Z987" s="3" t="n"/>
      <c r="AA987" s="3" t="n"/>
    </row>
    <row r="988">
      <c r="A988" s="105" t="inlineStr">
        <is>
          <t>compensation.complete.placeholderIdNumber</t>
        </is>
      </c>
      <c r="B988" s="105" t="inlineStr">
        <is>
          <t>Nhập số CMT/CCCD</t>
        </is>
      </c>
      <c r="C988" s="3" t="n"/>
      <c r="D988" s="3" t="n"/>
      <c r="E988" s="3" t="n"/>
      <c r="F988" s="3" t="n"/>
      <c r="G988" s="3" t="n"/>
      <c r="H988" s="3" t="inlineStr">
        <is>
          <t>បញ្ចូលsố CMT/CCCD</t>
        </is>
      </c>
      <c r="I988" s="3" t="n"/>
      <c r="J988" s="3" t="n"/>
      <c r="K988" s="3" t="n"/>
      <c r="L988" s="3" t="inlineStr">
        <is>
          <t>បញ្ចូលsố CMT/CCCD</t>
        </is>
      </c>
      <c r="M988" s="3" t="n"/>
      <c r="N988" s="3" t="inlineStr">
        <is>
          <t>"compensation.complete.placeholderIdNumber": "",</t>
        </is>
      </c>
      <c r="O988" s="3" t="n"/>
      <c r="P988" s="3" t="n"/>
      <c r="Q988" s="3" t="n"/>
      <c r="R988" s="3" t="n"/>
      <c r="S988" s="3" t="n"/>
      <c r="T988" s="3" t="n"/>
      <c r="U988" s="3" t="n"/>
      <c r="V988" s="3" t="n"/>
      <c r="W988" s="3" t="n"/>
      <c r="X988" s="3" t="n"/>
      <c r="Y988" s="3" t="n"/>
      <c r="Z988" s="3" t="n"/>
      <c r="AA988" s="3" t="n"/>
    </row>
    <row r="989">
      <c r="A989" s="105" t="inlineStr">
        <is>
          <t>compensation.complete.placeholderPhone</t>
        </is>
      </c>
      <c r="B989" s="105" t="inlineStr">
        <is>
          <t>Nhập số điện thoại</t>
        </is>
      </c>
      <c r="C989" s="3" t="n"/>
      <c r="D989" s="3" t="n"/>
      <c r="E989" s="3" t="n"/>
      <c r="F989" s="3" t="n"/>
      <c r="G989" s="3" t="n"/>
      <c r="H989" s="3" t="inlineStr">
        <is>
          <t>បញ្ចូលលេខទូរស័ព្ទ</t>
        </is>
      </c>
      <c r="I989" s="3" t="n"/>
      <c r="J989" s="3" t="n"/>
      <c r="K989" s="3" t="n"/>
      <c r="L989" s="3" t="inlineStr">
        <is>
          <t>បញ្ចូលលេខទូរស័ព្ទ</t>
        </is>
      </c>
      <c r="M989" s="3" t="n"/>
      <c r="N989" s="3" t="inlineStr">
        <is>
          <t>"compensation.complete.placeholderPhone": "",</t>
        </is>
      </c>
      <c r="O989" s="3" t="n"/>
      <c r="P989" s="3" t="n"/>
      <c r="Q989" s="3" t="n"/>
      <c r="R989" s="3" t="n"/>
      <c r="S989" s="3" t="n"/>
      <c r="T989" s="3" t="n"/>
      <c r="U989" s="3" t="n"/>
      <c r="V989" s="3" t="n"/>
      <c r="W989" s="3" t="n"/>
      <c r="X989" s="3" t="n"/>
      <c r="Y989" s="3" t="n"/>
      <c r="Z989" s="3" t="n"/>
      <c r="AA989" s="3" t="n"/>
    </row>
    <row r="990">
      <c r="A990" s="105" t="inlineStr">
        <is>
          <t>compensation.complete.placeholderEmail</t>
        </is>
      </c>
      <c r="B990" s="105" t="inlineStr">
        <is>
          <t>Nhập email</t>
        </is>
      </c>
      <c r="C990" s="3" t="n"/>
      <c r="D990" s="3" t="n"/>
      <c r="E990" s="3" t="n"/>
      <c r="F990" s="3" t="n"/>
      <c r="G990" s="3" t="n"/>
      <c r="H990" s="3" t="inlineStr">
        <is>
          <t>បញ្ចូលemail</t>
        </is>
      </c>
      <c r="I990" s="3" t="n"/>
      <c r="J990" s="3" t="n"/>
      <c r="K990" s="3" t="n"/>
      <c r="L990" s="3" t="inlineStr">
        <is>
          <t>បញ្ចូលemail</t>
        </is>
      </c>
      <c r="M990" s="3" t="n"/>
      <c r="N990" s="3" t="inlineStr">
        <is>
          <t>"compensation.complete.placeholderEmail": "",</t>
        </is>
      </c>
      <c r="O990" s="3" t="n"/>
      <c r="P990" s="3" t="n"/>
      <c r="Q990" s="3" t="n"/>
      <c r="R990" s="3" t="n"/>
      <c r="S990" s="3" t="n"/>
      <c r="T990" s="3" t="n"/>
      <c r="U990" s="3" t="n"/>
      <c r="V990" s="3" t="n"/>
      <c r="W990" s="3" t="n"/>
      <c r="X990" s="3" t="n"/>
      <c r="Y990" s="3" t="n"/>
      <c r="Z990" s="3" t="n"/>
      <c r="AA990" s="3" t="n"/>
    </row>
    <row r="991">
      <c r="A991" s="105" t="inlineStr">
        <is>
          <t>compensation.complete.placeholderAddress</t>
        </is>
      </c>
      <c r="B991" s="105" t="inlineStr">
        <is>
          <t>Nhập địa chỉ</t>
        </is>
      </c>
      <c r="C991" s="3" t="n"/>
      <c r="D991" s="3" t="n"/>
      <c r="E991" s="3" t="n"/>
      <c r="F991" s="3" t="n"/>
      <c r="G991" s="3" t="n"/>
      <c r="H991" s="3" t="inlineStr">
        <is>
          <t>បញ្ចូលអាសយដ្ឋាន</t>
        </is>
      </c>
      <c r="I991" s="3" t="n"/>
      <c r="J991" s="3" t="n"/>
      <c r="K991" s="3" t="n"/>
      <c r="L991" s="3" t="inlineStr">
        <is>
          <t>បញ្ចូលអាសយដ្ឋាន</t>
        </is>
      </c>
      <c r="M991" s="3" t="n"/>
      <c r="N991" s="3" t="inlineStr">
        <is>
          <t>"compensation.complete.placeholderAddress": "",</t>
        </is>
      </c>
      <c r="O991" s="3" t="n"/>
      <c r="P991" s="3" t="n"/>
      <c r="Q991" s="3" t="n"/>
      <c r="R991" s="3" t="n"/>
      <c r="S991" s="3" t="n"/>
      <c r="T991" s="3" t="n"/>
      <c r="U991" s="3" t="n"/>
      <c r="V991" s="3" t="n"/>
      <c r="W991" s="3" t="n"/>
      <c r="X991" s="3" t="n"/>
      <c r="Y991" s="3" t="n"/>
      <c r="Z991" s="3" t="n"/>
      <c r="AA991" s="3" t="n"/>
    </row>
    <row r="992">
      <c r="A992" s="105" t="inlineStr">
        <is>
          <t>compensation.complete.placeholderBank</t>
        </is>
      </c>
      <c r="B992" s="105" t="inlineStr">
        <is>
          <t>Chọn ngân hàng</t>
        </is>
      </c>
      <c r="C992" s="3" t="n"/>
      <c r="D992" s="3" t="n"/>
      <c r="E992" s="3" t="n"/>
      <c r="F992" s="3" t="n"/>
      <c r="G992" s="3" t="n"/>
      <c r="H992" s="3" t="inlineStr">
        <is>
          <t>ជ្រើសរើសngân ទំនិញ</t>
        </is>
      </c>
      <c r="I992" s="3" t="n"/>
      <c r="J992" s="3" t="n"/>
      <c r="K992" s="3" t="n"/>
      <c r="L992" s="3" t="inlineStr">
        <is>
          <t>ជ្រើសរើសngân ទំនិញ</t>
        </is>
      </c>
      <c r="M992" s="3" t="n"/>
      <c r="N992" s="3" t="inlineStr">
        <is>
          <t>"compensation.complete.placeholderBank": "",</t>
        </is>
      </c>
      <c r="O992" s="3" t="n"/>
      <c r="P992" s="3" t="n"/>
      <c r="Q992" s="3" t="n"/>
      <c r="R992" s="3" t="n"/>
      <c r="S992" s="3" t="n"/>
      <c r="T992" s="3" t="n"/>
      <c r="U992" s="3" t="n"/>
      <c r="V992" s="3" t="n"/>
      <c r="W992" s="3" t="n"/>
      <c r="X992" s="3" t="n"/>
      <c r="Y992" s="3" t="n"/>
      <c r="Z992" s="3" t="n"/>
      <c r="AA992" s="3" t="n"/>
    </row>
    <row r="993">
      <c r="A993" s="105" t="inlineStr">
        <is>
          <t>compensation.complete.placeholderAccountNumber</t>
        </is>
      </c>
      <c r="B993" s="105" t="inlineStr">
        <is>
          <t>Nhập số tài khoản</t>
        </is>
      </c>
      <c r="C993" s="3" t="n"/>
      <c r="D993" s="3" t="n"/>
      <c r="E993" s="3" t="n"/>
      <c r="F993" s="3" t="n"/>
      <c r="G993" s="3" t="n"/>
      <c r="H993" s="3" t="inlineStr">
        <is>
          <t>បញ្ចូលsố tài khoản</t>
        </is>
      </c>
      <c r="I993" s="3" t="n"/>
      <c r="J993" s="3" t="n"/>
      <c r="K993" s="3" t="n"/>
      <c r="L993" s="3" t="inlineStr">
        <is>
          <t>បញ្ចូលsố tài khoản</t>
        </is>
      </c>
      <c r="M993" s="3" t="n"/>
      <c r="N993" s="3" t="inlineStr">
        <is>
          <t>"compensation.complete.placeholderAccountNumber": "",</t>
        </is>
      </c>
      <c r="O993" s="3" t="n"/>
      <c r="P993" s="3" t="n"/>
      <c r="Q993" s="3" t="n"/>
      <c r="R993" s="3" t="n"/>
      <c r="S993" s="3" t="n"/>
      <c r="T993" s="3" t="n"/>
      <c r="U993" s="3" t="n"/>
      <c r="V993" s="3" t="n"/>
      <c r="W993" s="3" t="n"/>
      <c r="X993" s="3" t="n"/>
      <c r="Y993" s="3" t="n"/>
      <c r="Z993" s="3" t="n"/>
      <c r="AA993" s="3" t="n"/>
    </row>
    <row r="994">
      <c r="A994" s="105" t="inlineStr">
        <is>
          <t>compensation.complete.placeholderBeneficiary</t>
        </is>
      </c>
      <c r="B994" s="105" t="inlineStr">
        <is>
          <t>Nhập người thụ hưởng</t>
        </is>
      </c>
      <c r="C994" s="3" t="n"/>
      <c r="D994" s="3" t="n"/>
      <c r="E994" s="3" t="n"/>
      <c r="F994" s="3" t="n"/>
      <c r="G994" s="3" t="n"/>
      <c r="H994" s="3" t="inlineStr">
        <is>
          <t>បញ្ចូលngười thụ hưởng</t>
        </is>
      </c>
      <c r="I994" s="3" t="n"/>
      <c r="J994" s="3" t="n"/>
      <c r="K994" s="3" t="n"/>
      <c r="L994" s="3" t="inlineStr">
        <is>
          <t>បញ្ចូលngười thụ hưởng</t>
        </is>
      </c>
      <c r="M994" s="3" t="n"/>
      <c r="N994" s="3" t="inlineStr">
        <is>
          <t>"compensation.complete.placeholderBeneficiary": "",</t>
        </is>
      </c>
      <c r="O994" s="3" t="n"/>
      <c r="P994" s="3" t="n"/>
      <c r="Q994" s="3" t="n"/>
      <c r="R994" s="3" t="n"/>
      <c r="S994" s="3" t="n"/>
      <c r="T994" s="3" t="n"/>
      <c r="U994" s="3" t="n"/>
      <c r="V994" s="3" t="n"/>
      <c r="W994" s="3" t="n"/>
      <c r="X994" s="3" t="n"/>
      <c r="Y994" s="3" t="n"/>
      <c r="Z994" s="3" t="n"/>
      <c r="AA994" s="3" t="n"/>
    </row>
    <row r="995">
      <c r="A995" s="105" t="inlineStr">
        <is>
          <t>compensation.complete.placeholderDebitAccount</t>
        </is>
      </c>
      <c r="B995" s="105" t="inlineStr">
        <is>
          <t>Nhập tài khoản nợ</t>
        </is>
      </c>
      <c r="C995" s="3" t="n"/>
      <c r="D995" s="3" t="n"/>
      <c r="E995" s="3" t="n"/>
      <c r="F995" s="3" t="n"/>
      <c r="G995" s="3" t="n"/>
      <c r="H995" s="3" t="inlineStr">
        <is>
          <t>បញ្ចូលtài khoản nợ</t>
        </is>
      </c>
      <c r="I995" s="3" t="n"/>
      <c r="J995" s="3" t="n"/>
      <c r="K995" s="3" t="n"/>
      <c r="L995" s="3" t="inlineStr">
        <is>
          <t>បញ្ចូលtài khoản nợ</t>
        </is>
      </c>
      <c r="M995" s="3" t="n"/>
      <c r="N995" s="3" t="inlineStr">
        <is>
          <t>"compensation.complete.placeholderDebitAccount": "",</t>
        </is>
      </c>
      <c r="O995" s="3" t="n"/>
      <c r="P995" s="3" t="n"/>
      <c r="Q995" s="3" t="n"/>
      <c r="R995" s="3" t="n"/>
      <c r="S995" s="3" t="n"/>
      <c r="T995" s="3" t="n"/>
      <c r="U995" s="3" t="n"/>
      <c r="V995" s="3" t="n"/>
      <c r="W995" s="3" t="n"/>
      <c r="X995" s="3" t="n"/>
      <c r="Y995" s="3" t="n"/>
      <c r="Z995" s="3" t="n"/>
      <c r="AA995" s="3" t="n"/>
    </row>
    <row r="996">
      <c r="A996" s="105" t="inlineStr">
        <is>
          <t>compensation.complete.invalidPhone</t>
        </is>
      </c>
      <c r="B996" s="105" t="inlineStr">
        <is>
          <t>Số điện thoại không hợp lệ</t>
        </is>
      </c>
      <c r="C996" s="3" t="n"/>
      <c r="D996" s="3" t="n"/>
      <c r="E996" s="3" t="n"/>
      <c r="F996" s="3" t="n"/>
      <c r="G996" s="3" t="n"/>
      <c r="H996" s="3" t="inlineStr">
        <is>
          <t>លេខទូរស័ព្ទ không hợp lệ</t>
        </is>
      </c>
      <c r="I996" s="3" t="n"/>
      <c r="J996" s="3" t="n"/>
      <c r="K996" s="3" t="n"/>
      <c r="L996" s="3" t="inlineStr">
        <is>
          <t>លេខទូរស័ព្ទ không hợp lệ</t>
        </is>
      </c>
      <c r="M996" s="3" t="n"/>
      <c r="N996" s="3" t="inlineStr">
        <is>
          <t>"compensation.complete.invalidPhone": "",</t>
        </is>
      </c>
      <c r="O996" s="3" t="n"/>
      <c r="P996" s="3" t="n"/>
      <c r="Q996" s="3" t="n"/>
      <c r="R996" s="3" t="n"/>
      <c r="S996" s="3" t="n"/>
      <c r="T996" s="3" t="n"/>
      <c r="U996" s="3" t="n"/>
      <c r="V996" s="3" t="n"/>
      <c r="W996" s="3" t="n"/>
      <c r="X996" s="3" t="n"/>
      <c r="Y996" s="3" t="n"/>
      <c r="Z996" s="3" t="n"/>
      <c r="AA996" s="3" t="n"/>
    </row>
    <row r="997">
      <c r="A997" s="105" t="inlineStr">
        <is>
          <t>compensation.complete.invalidEmail</t>
        </is>
      </c>
      <c r="B997" s="105" t="inlineStr">
        <is>
          <t>Email không hợp lệ</t>
        </is>
      </c>
      <c r="C997" s="3" t="n"/>
      <c r="D997" s="3" t="n"/>
      <c r="E997" s="3" t="n"/>
      <c r="F997" s="3" t="n"/>
      <c r="G997" s="3" t="n"/>
      <c r="H997" s="3" t="inlineStr">
        <is>
          <t>អ៊ីមែលមិនត្រឹមត្រូវទេ</t>
        </is>
      </c>
      <c r="I997" s="3" t="n"/>
      <c r="J997" s="3" t="n"/>
      <c r="K997" s="3" t="n"/>
      <c r="L997" s="3" t="inlineStr">
        <is>
          <t>អ៊ីមែលមិនត្រឹមត្រូវទេ</t>
        </is>
      </c>
      <c r="M997" s="3" t="n"/>
      <c r="N997" s="3" t="inlineStr">
        <is>
          <t>"compensation.complete.invalidEmail": "",</t>
        </is>
      </c>
      <c r="O997" s="3" t="n"/>
      <c r="P997" s="3" t="n"/>
      <c r="Q997" s="3" t="n"/>
      <c r="R997" s="3" t="n"/>
      <c r="S997" s="3" t="n"/>
      <c r="T997" s="3" t="n"/>
      <c r="U997" s="3" t="n"/>
      <c r="V997" s="3" t="n"/>
      <c r="W997" s="3" t="n"/>
      <c r="X997" s="3" t="n"/>
      <c r="Y997" s="3" t="n"/>
      <c r="Z997" s="3" t="n"/>
      <c r="AA997" s="3" t="n"/>
    </row>
    <row r="998">
      <c r="A998" s="105" t="inlineStr">
        <is>
          <t>compensation.complete.invalidIdentify</t>
        </is>
      </c>
      <c r="B998" s="105" t="inlineStr">
        <is>
          <t>Số CMT/CCCD không hợp lệ</t>
        </is>
      </c>
      <c r="C998" s="3" t="n"/>
      <c r="D998" s="3" t="n"/>
      <c r="E998" s="3" t="n"/>
      <c r="F998" s="3" t="n"/>
      <c r="G998" s="3" t="n"/>
      <c r="H998" s="3" t="inlineStr">
        <is>
          <t>លេខអត្តសញ្ញាណប័ណ្ណមិនត្រឹមត្រូវទេ</t>
        </is>
      </c>
      <c r="I998" s="3" t="n"/>
      <c r="J998" s="3" t="n"/>
      <c r="K998" s="3" t="n"/>
      <c r="L998" s="3" t="inlineStr">
        <is>
          <t>លេខអត្តសញ្ញាណប័ណ្ណមិនត្រឹមត្រូវទេ</t>
        </is>
      </c>
      <c r="M998" s="3" t="n"/>
      <c r="N998" s="3" t="inlineStr">
        <is>
          <t>"compensation.complete.invalidIdentify": "",</t>
        </is>
      </c>
      <c r="O998" s="3" t="n"/>
      <c r="P998" s="3" t="n"/>
      <c r="Q998" s="3" t="n"/>
      <c r="R998" s="3" t="n"/>
      <c r="S998" s="3" t="n"/>
      <c r="T998" s="3" t="n"/>
      <c r="U998" s="3" t="n"/>
      <c r="V998" s="3" t="n"/>
      <c r="W998" s="3" t="n"/>
      <c r="X998" s="3" t="n"/>
      <c r="Y998" s="3" t="n"/>
      <c r="Z998" s="3" t="n"/>
      <c r="AA998" s="3" t="n"/>
    </row>
    <row r="999">
      <c r="A999" s="105" t="inlineStr">
        <is>
          <t>compensation.complete.invalidBcgValue</t>
        </is>
      </c>
      <c r="B999" s="105" t="inlineStr">
        <is>
          <t>Giá trị bồi thường không hợp lệ</t>
        </is>
      </c>
      <c r="C999" s="3" t="n"/>
      <c r="D999" s="3" t="n"/>
      <c r="E999" s="3" t="n"/>
      <c r="F999" s="3" t="n"/>
      <c r="G999" s="3" t="n"/>
      <c r="H999" s="3" t="inlineStr">
        <is>
          <t>Giá trị សំណង không hợp lệ</t>
        </is>
      </c>
      <c r="I999" s="3" t="n"/>
      <c r="J999" s="3" t="n"/>
      <c r="K999" s="3" t="n"/>
      <c r="L999" s="3" t="inlineStr">
        <is>
          <t>Giá trị សំណង không hợp lệ</t>
        </is>
      </c>
      <c r="M999" s="3" t="n"/>
      <c r="N999" s="3" t="inlineStr">
        <is>
          <t>"compensation.complete.invalidBcgValue": "",</t>
        </is>
      </c>
      <c r="O999" s="3" t="n"/>
      <c r="P999" s="3" t="n"/>
      <c r="Q999" s="3" t="n"/>
      <c r="R999" s="3" t="n"/>
      <c r="S999" s="3" t="n"/>
      <c r="T999" s="3" t="n"/>
      <c r="U999" s="3" t="n"/>
      <c r="V999" s="3" t="n"/>
      <c r="W999" s="3" t="n"/>
      <c r="X999" s="3" t="n"/>
      <c r="Y999" s="3" t="n"/>
      <c r="Z999" s="3" t="n"/>
      <c r="AA999" s="3" t="n"/>
    </row>
    <row r="1000">
      <c r="A1000" s="105" t="inlineStr">
        <is>
          <t>compensation.complete.invalidBcgValueLength</t>
        </is>
      </c>
      <c r="B1000" s="105" t="inlineStr">
        <is>
          <t>Giá trị bồi thường không được vượt quá 100 ký tự</t>
        </is>
      </c>
      <c r="C1000" s="3" t="n"/>
      <c r="D1000" s="3" t="n"/>
      <c r="E1000" s="3" t="n"/>
      <c r="F1000" s="3" t="n"/>
      <c r="G1000" s="3" t="n"/>
      <c r="H1000" s="3" t="inlineStr">
        <is>
          <t>Giá trị សំណង không được vượt quá 100 ký tự</t>
        </is>
      </c>
      <c r="I1000" s="3" t="n"/>
      <c r="J1000" s="3" t="n"/>
      <c r="K1000" s="3" t="n"/>
      <c r="L1000" s="3" t="inlineStr">
        <is>
          <t>Giá trị សំណង không được vượt quá 100 ký tự</t>
        </is>
      </c>
      <c r="M1000" s="3" t="n"/>
      <c r="N1000" s="3" t="inlineStr">
        <is>
          <t>"compensation.complete.invalidBcgValueLength": "",</t>
        </is>
      </c>
      <c r="O1000" s="3" t="n"/>
      <c r="P1000" s="3" t="n"/>
      <c r="Q1000" s="3" t="n"/>
      <c r="R1000" s="3" t="n"/>
      <c r="S1000" s="3" t="n"/>
      <c r="T1000" s="3" t="n"/>
      <c r="U1000" s="3" t="n"/>
      <c r="V1000" s="3" t="n"/>
      <c r="W1000" s="3" t="n"/>
      <c r="X1000" s="3" t="n"/>
      <c r="Y1000" s="3" t="n"/>
      <c r="Z1000" s="3" t="n"/>
      <c r="AA1000" s="3" t="n"/>
    </row>
    <row r="1001">
      <c r="A1001" s="105" t="inlineStr">
        <is>
          <t>compensation.complete.clearForm</t>
        </is>
      </c>
      <c r="B1001" s="105" t="inlineStr">
        <is>
          <t>Xóa thông tin</t>
        </is>
      </c>
      <c r="C1001" s="3" t="n"/>
      <c r="D1001" s="3" t="n"/>
      <c r="E1001" s="3" t="n"/>
      <c r="F1001" s="3" t="n"/>
      <c r="G1001" s="3" t="n"/>
      <c r="H1001" s="3" t="inlineStr">
        <is>
          <t>លុប ព័ត៌មាន</t>
        </is>
      </c>
      <c r="I1001" s="3" t="n"/>
      <c r="J1001" s="3" t="n"/>
      <c r="K1001" s="3" t="n"/>
      <c r="L1001" s="3" t="inlineStr">
        <is>
          <t>លុប ព័ត៌មាន</t>
        </is>
      </c>
      <c r="M1001" s="3" t="n"/>
      <c r="N1001" s="3" t="inlineStr">
        <is>
          <t>"compensation.complete.clearForm": "",</t>
        </is>
      </c>
      <c r="O1001" s="3" t="n"/>
      <c r="P1001" s="3" t="n"/>
      <c r="Q1001" s="3" t="n"/>
      <c r="R1001" s="3" t="n"/>
      <c r="S1001" s="3" t="n"/>
      <c r="T1001" s="3" t="n"/>
      <c r="U1001" s="3" t="n"/>
      <c r="V1001" s="3" t="n"/>
      <c r="W1001" s="3" t="n"/>
      <c r="X1001" s="3" t="n"/>
      <c r="Y1001" s="3" t="n"/>
      <c r="Z1001" s="3" t="n"/>
      <c r="AA1001" s="3" t="n"/>
    </row>
    <row r="1002">
      <c r="A1002" s="105" t="inlineStr">
        <is>
          <t>compensation.complete.confirmTitle</t>
        </is>
      </c>
      <c r="B1002" s="105" t="inlineStr">
        <is>
          <t>Thông báo</t>
        </is>
      </c>
      <c r="C1002" s="3" t="n"/>
      <c r="D1002" s="3" t="n"/>
      <c r="E1002" s="3" t="n"/>
      <c r="F1002" s="3" t="n"/>
      <c r="G1002" s="3" t="n"/>
      <c r="H1002" s="3" t="inlineStr">
        <is>
          <t>ការជូនដំណឹង</t>
        </is>
      </c>
      <c r="I1002" s="3" t="n"/>
      <c r="J1002" s="3" t="n"/>
      <c r="K1002" s="3" t="n"/>
      <c r="L1002" s="3" t="inlineStr">
        <is>
          <t>ការជូនដំណឹង</t>
        </is>
      </c>
      <c r="M1002" s="3" t="n"/>
      <c r="N1002" s="3" t="inlineStr">
        <is>
          <t>"compensation.complete.confirmTitle": "",</t>
        </is>
      </c>
      <c r="O1002" s="3" t="n"/>
      <c r="P1002" s="3" t="n"/>
      <c r="Q1002" s="3" t="n"/>
      <c r="R1002" s="3" t="n"/>
      <c r="S1002" s="3" t="n"/>
      <c r="T1002" s="3" t="n"/>
      <c r="U1002" s="3" t="n"/>
      <c r="V1002" s="3" t="n"/>
      <c r="W1002" s="3" t="n"/>
      <c r="X1002" s="3" t="n"/>
      <c r="Y1002" s="3" t="n"/>
      <c r="Z1002" s="3" t="n"/>
      <c r="AA1002" s="3" t="n"/>
    </row>
    <row r="1003">
      <c r="A1003" s="105" t="inlineStr">
        <is>
          <t>compensation.complete.confirmDesc</t>
        </is>
      </c>
      <c r="B1003" s="105" t="inlineStr">
        <is>
          <t>Bạn có chắc chắn xác nhận các thông tin đã nhập?</t>
        </is>
      </c>
      <c r="C1003" s="3" t="n"/>
      <c r="D1003" s="3" t="n"/>
      <c r="E1003" s="3" t="n"/>
      <c r="F1003" s="3" t="n"/>
      <c r="G1003" s="3" t="n"/>
      <c r="H1003" s="3" t="inlineStr">
        <is>
          <t>Bạn có chắc chắn បញ្ជាក់ các ព័ត៌មាន đã nhập?</t>
        </is>
      </c>
      <c r="I1003" s="3" t="n"/>
      <c r="J1003" s="3" t="n"/>
      <c r="K1003" s="3" t="n"/>
      <c r="L1003" s="3" t="inlineStr">
        <is>
          <t>Bạn có chắc chắn បញ្ជាក់ các ព័ត៌មាន đã nhập?</t>
        </is>
      </c>
      <c r="M1003" s="3" t="n"/>
      <c r="N1003" s="3" t="inlineStr">
        <is>
          <t>"compensation.complete.confirmDesc": "",</t>
        </is>
      </c>
      <c r="O1003" s="3" t="n"/>
      <c r="P1003" s="3" t="n"/>
      <c r="Q1003" s="3" t="n"/>
      <c r="R1003" s="3" t="n"/>
      <c r="S1003" s="3" t="n"/>
      <c r="T1003" s="3" t="n"/>
      <c r="U1003" s="3" t="n"/>
      <c r="V1003" s="3" t="n"/>
      <c r="W1003" s="3" t="n"/>
      <c r="X1003" s="3" t="n"/>
      <c r="Y1003" s="3" t="n"/>
      <c r="Z1003" s="3" t="n"/>
      <c r="AA1003" s="3" t="n"/>
    </row>
    <row r="1004">
      <c r="A1004" s="105" t="inlineStr">
        <is>
          <t>compensation.complete.completeSuccess</t>
        </is>
      </c>
      <c r="B1004" s="105" t="inlineStr">
        <is>
          <t>Hoàn thiện hồ sơ {{code}} thành công! (Hồ sơ được chuyển đến Phòng tài chính)</t>
        </is>
      </c>
      <c r="C1004" s="3" t="n"/>
      <c r="D1004" s="3" t="n"/>
      <c r="E1004" s="3" t="n"/>
      <c r="F1004" s="3" t="n"/>
      <c r="G1004" s="3" t="n"/>
      <c r="H1004" s="3" t="inlineStr">
        <is>
          <t>Hoàn thiện hồ sơ {{code}} ជោគជ័យ! (Hồ sơ được chuyển đến Phòng tài chính)</t>
        </is>
      </c>
      <c r="I1004" s="3" t="n"/>
      <c r="J1004" s="3" t="n"/>
      <c r="K1004" s="3" t="n"/>
      <c r="L1004" s="3" t="inlineStr">
        <is>
          <t>Hoàn thiện hồ sơ {{code}} ជោគជ័យ! (Hồ sơ được chuyển đến Phòng tài chính)</t>
        </is>
      </c>
      <c r="M1004" s="3" t="n"/>
      <c r="N1004" s="3" t="inlineStr">
        <is>
          <t>"compensation.complete.completeSuccess": "",</t>
        </is>
      </c>
      <c r="O1004" s="3" t="n"/>
      <c r="P1004" s="3" t="n"/>
      <c r="Q1004" s="3" t="n"/>
      <c r="R1004" s="3" t="n"/>
      <c r="S1004" s="3" t="n"/>
      <c r="T1004" s="3" t="n"/>
      <c r="U1004" s="3" t="n"/>
      <c r="V1004" s="3" t="n"/>
      <c r="W1004" s="3" t="n"/>
      <c r="X1004" s="3" t="n"/>
      <c r="Y1004" s="3" t="n"/>
      <c r="Z1004" s="3" t="n"/>
      <c r="AA1004" s="3" t="n"/>
    </row>
    <row r="1005">
      <c r="A1005" s="105" t="inlineStr">
        <is>
          <t>compensation.complete.clearConfirmDesc</t>
        </is>
      </c>
      <c r="B1005" s="105" t="inlineStr">
        <is>
          <t>Bạn chắc chắn muốn xoá thông tin đã nhập?</t>
        </is>
      </c>
      <c r="C1005" s="3" t="n"/>
      <c r="D1005" s="3" t="n"/>
      <c r="E1005" s="3" t="n"/>
      <c r="F1005" s="3" t="n"/>
      <c r="G1005" s="3" t="n"/>
      <c r="H1005" s="3" t="inlineStr">
        <is>
          <t>Bạn chắc chắn muốn xoá ព័ត៌មាន đã nhập?</t>
        </is>
      </c>
      <c r="I1005" s="3" t="n"/>
      <c r="J1005" s="3" t="n"/>
      <c r="K1005" s="3" t="n"/>
      <c r="L1005" s="3" t="inlineStr">
        <is>
          <t>Bạn chắc chắn muốn xoá ព័ត៌មាន đã nhập?</t>
        </is>
      </c>
      <c r="M1005" s="3" t="n"/>
      <c r="N1005" s="3" t="inlineStr">
        <is>
          <t>"compensation.complete.clearConfirmDesc": "",</t>
        </is>
      </c>
      <c r="O1005" s="3" t="n"/>
      <c r="P1005" s="3" t="n"/>
      <c r="Q1005" s="3" t="n"/>
      <c r="R1005" s="3" t="n"/>
      <c r="S1005" s="3" t="n"/>
      <c r="T1005" s="3" t="n"/>
      <c r="U1005" s="3" t="n"/>
      <c r="V1005" s="3" t="n"/>
      <c r="W1005" s="3" t="n"/>
      <c r="X1005" s="3" t="n"/>
      <c r="Y1005" s="3" t="n"/>
      <c r="Z1005" s="3" t="n"/>
      <c r="AA1005" s="3" t="n"/>
    </row>
    <row r="1006">
      <c r="A1006" s="105" t="inlineStr">
        <is>
          <t>compensation.case.supplement</t>
        </is>
      </c>
      <c r="B1006" s="105" t="inlineStr">
        <is>
          <t>Hồ sơ bổ sung</t>
        </is>
      </c>
      <c r="C1006" s="3" t="n"/>
      <c r="D1006" s="3" t="n"/>
      <c r="E1006" s="3" t="n"/>
      <c r="F1006" s="3" t="n"/>
      <c r="G1006" s="3" t="n"/>
      <c r="H1006" s="3" t="inlineStr">
        <is>
          <t>សំណុំឯកសារបំពេញបន្ថែម</t>
        </is>
      </c>
      <c r="I1006" s="3" t="n"/>
      <c r="J1006" s="3" t="n"/>
      <c r="K1006" s="3" t="n"/>
      <c r="L1006" s="3" t="inlineStr">
        <is>
          <t>សំណុំឯកសារបំពេញបន្ថែម</t>
        </is>
      </c>
      <c r="M1006" s="3" t="n"/>
      <c r="N1006" s="3" t="inlineStr">
        <is>
          <t>"compensation.case.supplement": "",</t>
        </is>
      </c>
      <c r="O1006" s="3" t="n"/>
      <c r="P1006" s="3" t="n"/>
      <c r="Q1006" s="3" t="n"/>
      <c r="R1006" s="3" t="n"/>
      <c r="S1006" s="3" t="n"/>
      <c r="T1006" s="3" t="n"/>
      <c r="U1006" s="3" t="n"/>
      <c r="V1006" s="3" t="n"/>
      <c r="W1006" s="3" t="n"/>
      <c r="X1006" s="3" t="n"/>
      <c r="Y1006" s="3" t="n"/>
      <c r="Z1006" s="3" t="n"/>
      <c r="AA1006" s="3" t="n"/>
    </row>
    <row r="1007">
      <c r="A1007" s="105" t="inlineStr">
        <is>
          <t>compensation.case.new</t>
        </is>
      </c>
      <c r="B1007" s="105" t="inlineStr">
        <is>
          <t>Hồ sơ mới</t>
        </is>
      </c>
      <c r="C1007" s="3" t="n"/>
      <c r="D1007" s="3" t="n"/>
      <c r="E1007" s="3" t="n"/>
      <c r="F1007" s="3" t="n"/>
      <c r="G1007" s="3" t="n"/>
      <c r="H1007" s="3" t="inlineStr">
        <is>
          <t>សំណុំឯកសារថ្មី</t>
        </is>
      </c>
      <c r="I1007" s="3" t="n"/>
      <c r="J1007" s="3" t="n"/>
      <c r="K1007" s="3" t="n"/>
      <c r="L1007" s="3" t="inlineStr">
        <is>
          <t>សំណុំឯកសារថ្មី</t>
        </is>
      </c>
      <c r="M1007" s="3" t="n"/>
      <c r="N1007" s="3" t="inlineStr">
        <is>
          <t>"compensation.case.new": "",</t>
        </is>
      </c>
      <c r="O1007" s="3" t="n"/>
      <c r="P1007" s="3" t="n"/>
      <c r="Q1007" s="3" t="n"/>
      <c r="R1007" s="3" t="n"/>
      <c r="S1007" s="3" t="n"/>
      <c r="T1007" s="3" t="n"/>
      <c r="U1007" s="3" t="n"/>
      <c r="V1007" s="3" t="n"/>
      <c r="W1007" s="3" t="n"/>
      <c r="X1007" s="3" t="n"/>
      <c r="Y1007" s="3" t="n"/>
      <c r="Z1007" s="3" t="n"/>
      <c r="AA1007" s="3" t="n"/>
    </row>
    <row r="1008">
      <c r="A1008" s="105" t="inlineStr">
        <is>
          <t>compensation.case.placeholderDebitAccount</t>
        </is>
      </c>
      <c r="B1008" s="105" t="inlineStr">
        <is>
          <t>Nhập tài khoản nợ</t>
        </is>
      </c>
      <c r="C1008" s="3" t="n"/>
      <c r="D1008" s="3" t="n"/>
      <c r="E1008" s="3" t="n"/>
      <c r="F1008" s="3" t="n"/>
      <c r="G1008" s="3" t="n"/>
      <c r="H1008" s="3" t="inlineStr">
        <is>
          <t>បញ្ចូលtài khoản nợ</t>
        </is>
      </c>
      <c r="I1008" s="3" t="n"/>
      <c r="J1008" s="3" t="n"/>
      <c r="K1008" s="3" t="n"/>
      <c r="L1008" s="3" t="inlineStr">
        <is>
          <t>បញ្ចូលtài khoản nợ</t>
        </is>
      </c>
      <c r="M1008" s="3" t="n"/>
      <c r="N1008" s="3" t="inlineStr">
        <is>
          <t>"compensation.case.placeholderDebitAccount": "",</t>
        </is>
      </c>
      <c r="O1008" s="3" t="n"/>
      <c r="P1008" s="3" t="n"/>
      <c r="Q1008" s="3" t="n"/>
      <c r="R1008" s="3" t="n"/>
      <c r="S1008" s="3" t="n"/>
      <c r="T1008" s="3" t="n"/>
      <c r="U1008" s="3" t="n"/>
      <c r="V1008" s="3" t="n"/>
      <c r="W1008" s="3" t="n"/>
      <c r="X1008" s="3" t="n"/>
      <c r="Y1008" s="3" t="n"/>
      <c r="Z1008" s="3" t="n"/>
      <c r="AA1008" s="3" t="n"/>
    </row>
    <row r="1009">
      <c r="A1009" s="105" t="inlineStr">
        <is>
          <t>compensation.moneyFilter.placeholderKeyword</t>
        </is>
      </c>
      <c r="B1009" s="105" t="inlineStr">
        <is>
          <t>Nhập mã vận đơn/tải kiện</t>
        </is>
      </c>
      <c r="C1009" s="3" t="n"/>
      <c r="D1009" s="3" t="n"/>
      <c r="E1009" s="3" t="n"/>
      <c r="F1009" s="3" t="n"/>
      <c r="G1009" s="3" t="n"/>
      <c r="H1009" s="3" t="inlineStr">
        <is>
          <t>បញ្ចូលលេខកូដបញ្ញើ/tải kiện</t>
        </is>
      </c>
      <c r="I1009" s="3" t="n"/>
      <c r="J1009" s="3" t="n"/>
      <c r="K1009" s="3" t="n"/>
      <c r="L1009" s="3" t="inlineStr">
        <is>
          <t>បញ្ចូលលេខកូដបញ្ញើ/tải kiện</t>
        </is>
      </c>
      <c r="M1009" s="3" t="n"/>
      <c r="N1009" s="3" t="inlineStr">
        <is>
          <t>"compensation.moneyFilter.placeholderKeyword": "",</t>
        </is>
      </c>
      <c r="O1009" s="3" t="n"/>
      <c r="P1009" s="3" t="n"/>
      <c r="Q1009" s="3" t="n"/>
      <c r="R1009" s="3" t="n"/>
      <c r="S1009" s="3" t="n"/>
      <c r="T1009" s="3" t="n"/>
      <c r="U1009" s="3" t="n"/>
      <c r="V1009" s="3" t="n"/>
      <c r="W1009" s="3" t="n"/>
      <c r="X1009" s="3" t="n"/>
      <c r="Y1009" s="3" t="n"/>
      <c r="Z1009" s="3" t="n"/>
      <c r="AA1009" s="3" t="n"/>
    </row>
    <row r="1010">
      <c r="A1010" s="105" t="inlineStr">
        <is>
          <t>compensation.moneyFilter.placeholderCreationTime</t>
        </is>
      </c>
      <c r="B1010" s="105" t="inlineStr">
        <is>
          <t>Chọn thời gian</t>
        </is>
      </c>
      <c r="C1010" s="3" t="n"/>
      <c r="D1010" s="3" t="n"/>
      <c r="E1010" s="3" t="n"/>
      <c r="F1010" s="3" t="n"/>
      <c r="G1010" s="3" t="n"/>
      <c r="H1010" s="3" t="inlineStr">
        <is>
          <t>ជ្រើសរើសពេលវេលា</t>
        </is>
      </c>
      <c r="I1010" s="3" t="n"/>
      <c r="J1010" s="3" t="n"/>
      <c r="K1010" s="3" t="n"/>
      <c r="L1010" s="3" t="inlineStr">
        <is>
          <t>ជ្រើសរើសពេលវេលា</t>
        </is>
      </c>
      <c r="M1010" s="3" t="n"/>
      <c r="N1010" s="3" t="inlineStr">
        <is>
          <t>"compensation.moneyFilter.placeholderCreationTime": "",</t>
        </is>
      </c>
      <c r="O1010" s="3" t="n"/>
      <c r="P1010" s="3" t="n"/>
      <c r="Q1010" s="3" t="n"/>
      <c r="R1010" s="3" t="n"/>
      <c r="S1010" s="3" t="n"/>
      <c r="T1010" s="3" t="n"/>
      <c r="U1010" s="3" t="n"/>
      <c r="V1010" s="3" t="n"/>
      <c r="W1010" s="3" t="n"/>
      <c r="X1010" s="3" t="n"/>
      <c r="Y1010" s="3" t="n"/>
      <c r="Z1010" s="3" t="n"/>
      <c r="AA1010" s="3" t="n"/>
    </row>
    <row r="1011">
      <c r="A1011" s="105" t="inlineStr">
        <is>
          <t>compensation.moneyTable.colRequestingUnit</t>
        </is>
      </c>
      <c r="B1011" s="105" t="inlineStr">
        <is>
          <t>Đơn vị đề nghị</t>
        </is>
      </c>
      <c r="C1011" s="3" t="n"/>
      <c r="D1011" s="3" t="n"/>
      <c r="E1011" s="3" t="n"/>
      <c r="F1011" s="3" t="n"/>
      <c r="G1011" s="3" t="n"/>
      <c r="H1011" s="3" t="inlineStr">
        <is>
          <t>បញ្ញើ vị đề nghị</t>
        </is>
      </c>
      <c r="I1011" s="3" t="n"/>
      <c r="J1011" s="3" t="n"/>
      <c r="K1011" s="3" t="n"/>
      <c r="L1011" s="3" t="inlineStr">
        <is>
          <t>បញ្ញើ vị đề nghị</t>
        </is>
      </c>
      <c r="M1011" s="3" t="n"/>
      <c r="N1011" s="3" t="inlineStr">
        <is>
          <t>"compensation.moneyTable.colRequestingUnit": "",</t>
        </is>
      </c>
      <c r="O1011" s="3" t="n"/>
      <c r="P1011" s="3" t="n"/>
      <c r="Q1011" s="3" t="n"/>
      <c r="R1011" s="3" t="n"/>
      <c r="S1011" s="3" t="n"/>
      <c r="T1011" s="3" t="n"/>
      <c r="U1011" s="3" t="n"/>
      <c r="V1011" s="3" t="n"/>
      <c r="W1011" s="3" t="n"/>
      <c r="X1011" s="3" t="n"/>
      <c r="Y1011" s="3" t="n"/>
      <c r="Z1011" s="3" t="n"/>
      <c r="AA1011" s="3" t="n"/>
    </row>
    <row r="1012">
      <c r="A1012" s="105" t="inlineStr">
        <is>
          <t>compensation.moneyTable.colCustomerName</t>
        </is>
      </c>
      <c r="B1012" s="105" t="inlineStr">
        <is>
          <t>Tên khách hàng</t>
        </is>
      </c>
      <c r="C1012" s="3" t="n"/>
      <c r="D1012" s="3" t="n"/>
      <c r="E1012" s="3" t="n"/>
      <c r="F1012" s="3" t="n"/>
      <c r="G1012" s="3" t="n"/>
      <c r="H1012" s="3" t="inlineStr">
        <is>
          <t>ឈ្មោះអតិថិជន</t>
        </is>
      </c>
      <c r="I1012" s="3" t="n"/>
      <c r="J1012" s="3" t="n"/>
      <c r="K1012" s="3" t="n"/>
      <c r="L1012" s="3" t="inlineStr">
        <is>
          <t>ឈ្មោះអតិថិជន</t>
        </is>
      </c>
      <c r="M1012" s="3" t="n"/>
      <c r="N1012" s="3" t="inlineStr">
        <is>
          <t>"compensation.moneyTable.colCustomerName": "",</t>
        </is>
      </c>
      <c r="O1012" s="3" t="n"/>
      <c r="P1012" s="3" t="n"/>
      <c r="Q1012" s="3" t="n"/>
      <c r="R1012" s="3" t="n"/>
      <c r="S1012" s="3" t="n"/>
      <c r="T1012" s="3" t="n"/>
      <c r="U1012" s="3" t="n"/>
      <c r="V1012" s="3" t="n"/>
      <c r="W1012" s="3" t="n"/>
      <c r="X1012" s="3" t="n"/>
      <c r="Y1012" s="3" t="n"/>
      <c r="Z1012" s="3" t="n"/>
      <c r="AA1012" s="3" t="n"/>
    </row>
    <row r="1013">
      <c r="A1013" s="105" t="inlineStr">
        <is>
          <t>compensation.moneyTable.colTransferContent</t>
        </is>
      </c>
      <c r="B1013" s="105" t="inlineStr">
        <is>
          <t>Nội dung chuyển tiền</t>
        </is>
      </c>
      <c r="C1013" s="3" t="n"/>
      <c r="D1013" s="3" t="n"/>
      <c r="E1013" s="3" t="n"/>
      <c r="F1013" s="3" t="n"/>
      <c r="G1013" s="3" t="n"/>
      <c r="H1013" s="3" t="inlineStr">
        <is>
          <t>ខ្លឹមសារ chuyển tiền</t>
        </is>
      </c>
      <c r="I1013" s="3" t="n"/>
      <c r="J1013" s="3" t="n"/>
      <c r="K1013" s="3" t="n"/>
      <c r="L1013" s="3" t="inlineStr">
        <is>
          <t>ខ្លឹមសារ chuyển tiền</t>
        </is>
      </c>
      <c r="M1013" s="3" t="n"/>
      <c r="N1013" s="3" t="inlineStr">
        <is>
          <t>"compensation.moneyTable.colTransferContent": "",</t>
        </is>
      </c>
      <c r="O1013" s="3" t="n"/>
      <c r="P1013" s="3" t="n"/>
      <c r="Q1013" s="3" t="n"/>
      <c r="R1013" s="3" t="n"/>
      <c r="S1013" s="3" t="n"/>
      <c r="T1013" s="3" t="n"/>
      <c r="U1013" s="3" t="n"/>
      <c r="V1013" s="3" t="n"/>
      <c r="W1013" s="3" t="n"/>
      <c r="X1013" s="3" t="n"/>
      <c r="Y1013" s="3" t="n"/>
      <c r="Z1013" s="3" t="n"/>
      <c r="AA1013" s="3" t="n"/>
    </row>
    <row r="1014">
      <c r="A1014" s="105" t="inlineStr">
        <is>
          <t>compensation.moneyTable.colReceivingAccountName</t>
        </is>
      </c>
      <c r="B1014" s="105" t="inlineStr">
        <is>
          <t>Tên tài khoản nhận</t>
        </is>
      </c>
      <c r="C1014" s="3" t="n"/>
      <c r="D1014" s="3" t="n"/>
      <c r="E1014" s="3" t="n"/>
      <c r="F1014" s="3" t="n"/>
      <c r="G1014" s="3" t="n"/>
      <c r="H1014" s="3" t="inlineStr">
        <is>
          <t>ឈ្មោះtài khoản ទទួល</t>
        </is>
      </c>
      <c r="I1014" s="3" t="n"/>
      <c r="J1014" s="3" t="n"/>
      <c r="K1014" s="3" t="n"/>
      <c r="L1014" s="3" t="inlineStr">
        <is>
          <t>ឈ្មោះtài khoản ទទួល</t>
        </is>
      </c>
      <c r="M1014" s="3" t="n"/>
      <c r="N1014" s="3" t="inlineStr">
        <is>
          <t>"compensation.moneyTable.colReceivingAccountName": "",</t>
        </is>
      </c>
      <c r="O1014" s="3" t="n"/>
      <c r="P1014" s="3" t="n"/>
      <c r="Q1014" s="3" t="n"/>
      <c r="R1014" s="3" t="n"/>
      <c r="S1014" s="3" t="n"/>
      <c r="T1014" s="3" t="n"/>
      <c r="U1014" s="3" t="n"/>
      <c r="V1014" s="3" t="n"/>
      <c r="W1014" s="3" t="n"/>
      <c r="X1014" s="3" t="n"/>
      <c r="Y1014" s="3" t="n"/>
      <c r="Z1014" s="3" t="n"/>
      <c r="AA1014" s="3" t="n"/>
    </row>
    <row r="1015">
      <c r="A1015" s="105" t="inlineStr">
        <is>
          <t>compensation.moneyTable.colBankName</t>
        </is>
      </c>
      <c r="B1015" s="105" t="inlineStr">
        <is>
          <t>Ngân hàng</t>
        </is>
      </c>
      <c r="C1015" s="3" t="n"/>
      <c r="D1015" s="3" t="n"/>
      <c r="E1015" s="3" t="n"/>
      <c r="F1015" s="3" t="n"/>
      <c r="G1015" s="3" t="n"/>
      <c r="H1015" s="3" t="inlineStr">
        <is>
          <t>ធនាគារ</t>
        </is>
      </c>
      <c r="I1015" s="3" t="n"/>
      <c r="J1015" s="3" t="n"/>
      <c r="K1015" s="3" t="n"/>
      <c r="L1015" s="3" t="inlineStr">
        <is>
          <t>ធនាគារ</t>
        </is>
      </c>
      <c r="M1015" s="3" t="n"/>
      <c r="N1015" s="3" t="inlineStr">
        <is>
          <t>"compensation.moneyTable.colBankName": "",</t>
        </is>
      </c>
      <c r="O1015" s="3" t="n"/>
      <c r="P1015" s="3" t="n"/>
      <c r="Q1015" s="3" t="n"/>
      <c r="R1015" s="3" t="n"/>
      <c r="S1015" s="3" t="n"/>
      <c r="T1015" s="3" t="n"/>
      <c r="U1015" s="3" t="n"/>
      <c r="V1015" s="3" t="n"/>
      <c r="W1015" s="3" t="n"/>
      <c r="X1015" s="3" t="n"/>
      <c r="Y1015" s="3" t="n"/>
      <c r="Z1015" s="3" t="n"/>
      <c r="AA1015" s="3" t="n"/>
    </row>
    <row r="1016">
      <c r="A1016" s="105" t="inlineStr">
        <is>
          <t>compensation.moneyTable.colBankAccountNo</t>
        </is>
      </c>
      <c r="B1016" s="105" t="inlineStr">
        <is>
          <t>Số tài khoản</t>
        </is>
      </c>
      <c r="C1016" s="3" t="n"/>
      <c r="D1016" s="3" t="n"/>
      <c r="E1016" s="3" t="n"/>
      <c r="F1016" s="3" t="n"/>
      <c r="G1016" s="3" t="n"/>
      <c r="H1016" s="3" t="inlineStr">
        <is>
          <t>លេខគណនីធនាគារ</t>
        </is>
      </c>
      <c r="I1016" s="3" t="n"/>
      <c r="J1016" s="3" t="n"/>
      <c r="K1016" s="3" t="n"/>
      <c r="L1016" s="3" t="inlineStr">
        <is>
          <t>លេខគណនីធនាគារ</t>
        </is>
      </c>
      <c r="M1016" s="3" t="n"/>
      <c r="N1016" s="3" t="inlineStr">
        <is>
          <t>"compensation.moneyTable.colBankAccountNo": "",</t>
        </is>
      </c>
      <c r="O1016" s="3" t="n"/>
      <c r="P1016" s="3" t="n"/>
      <c r="Q1016" s="3" t="n"/>
      <c r="R1016" s="3" t="n"/>
      <c r="S1016" s="3" t="n"/>
      <c r="T1016" s="3" t="n"/>
      <c r="U1016" s="3" t="n"/>
      <c r="V1016" s="3" t="n"/>
      <c r="W1016" s="3" t="n"/>
      <c r="X1016" s="3" t="n"/>
      <c r="Y1016" s="3" t="n"/>
      <c r="Z1016" s="3" t="n"/>
      <c r="AA1016" s="3" t="n"/>
    </row>
    <row r="1017">
      <c r="A1017" s="105" t="inlineStr">
        <is>
          <t>compensation.moneyTable.colCompensationAmount</t>
        </is>
      </c>
      <c r="B1017" s="105" t="inlineStr">
        <is>
          <t>Số tiền đền bù</t>
        </is>
      </c>
      <c r="C1017" s="3" t="n"/>
      <c r="D1017" s="3" t="n"/>
      <c r="E1017" s="3" t="n"/>
      <c r="F1017" s="3" t="n"/>
      <c r="G1017" s="3" t="n"/>
      <c r="H1017" s="3" t="inlineStr">
        <is>
          <t>ចំនួនទឹកប្រាក់ សំណង</t>
        </is>
      </c>
      <c r="I1017" s="3" t="n"/>
      <c r="J1017" s="3" t="n"/>
      <c r="K1017" s="3" t="n"/>
      <c r="L1017" s="3" t="inlineStr">
        <is>
          <t>ចំនួនទឹកប្រាក់ សំណង</t>
        </is>
      </c>
      <c r="M1017" s="3" t="n"/>
      <c r="N1017" s="3" t="inlineStr">
        <is>
          <t>"compensation.moneyTable.colCompensationAmount": "",</t>
        </is>
      </c>
      <c r="O1017" s="3" t="n"/>
      <c r="P1017" s="3" t="n"/>
      <c r="Q1017" s="3" t="n"/>
      <c r="R1017" s="3" t="n"/>
      <c r="S1017" s="3" t="n"/>
      <c r="T1017" s="3" t="n"/>
      <c r="U1017" s="3" t="n"/>
      <c r="V1017" s="3" t="n"/>
      <c r="W1017" s="3" t="n"/>
      <c r="X1017" s="3" t="n"/>
      <c r="Y1017" s="3" t="n"/>
      <c r="Z1017" s="3" t="n"/>
      <c r="AA1017" s="3" t="n"/>
    </row>
    <row r="1018">
      <c r="A1018" s="105" t="inlineStr">
        <is>
          <t>compensation.moneyTable.colDeductedFeeAmount</t>
        </is>
      </c>
      <c r="B1018" s="105" t="inlineStr">
        <is>
          <t>Số tiền cấn trừ cước</t>
        </is>
      </c>
      <c r="C1018" s="3" t="n"/>
      <c r="D1018" s="3" t="n"/>
      <c r="E1018" s="3" t="n"/>
      <c r="F1018" s="3" t="n"/>
      <c r="G1018" s="3" t="n"/>
      <c r="H1018" s="3" t="inlineStr">
        <is>
          <t>ចំនួនទឹកប្រាក់ cấn trừ cước</t>
        </is>
      </c>
      <c r="I1018" s="3" t="n"/>
      <c r="J1018" s="3" t="n"/>
      <c r="K1018" s="3" t="n"/>
      <c r="L1018" s="3" t="inlineStr">
        <is>
          <t>ចំនួនទឹកប្រាក់ cấn trừ cước</t>
        </is>
      </c>
      <c r="M1018" s="3" t="n"/>
      <c r="N1018" s="3" t="inlineStr">
        <is>
          <t>"compensation.moneyTable.colDeductedFeeAmount": "",</t>
        </is>
      </c>
      <c r="O1018" s="3" t="n"/>
      <c r="P1018" s="3" t="n"/>
      <c r="Q1018" s="3" t="n"/>
      <c r="R1018" s="3" t="n"/>
      <c r="S1018" s="3" t="n"/>
      <c r="T1018" s="3" t="n"/>
      <c r="U1018" s="3" t="n"/>
      <c r="V1018" s="3" t="n"/>
      <c r="W1018" s="3" t="n"/>
      <c r="X1018" s="3" t="n"/>
      <c r="Y1018" s="3" t="n"/>
      <c r="Z1018" s="3" t="n"/>
      <c r="AA1018" s="3" t="n"/>
    </row>
    <row r="1019">
      <c r="A1019" s="105" t="inlineStr">
        <is>
          <t>compensation.moneyTable.colCustomerTransferAmount</t>
        </is>
      </c>
      <c r="B1019" s="105" t="inlineStr">
        <is>
          <t>Số tiền chuyển khoản khách hàng</t>
        </is>
      </c>
      <c r="C1019" s="3" t="n"/>
      <c r="D1019" s="3" t="n"/>
      <c r="E1019" s="3" t="n"/>
      <c r="F1019" s="3" t="n"/>
      <c r="G1019" s="3" t="n"/>
      <c r="H1019" s="3" t="inlineStr">
        <is>
          <t>ចំនួនទឹកប្រាក់ chuyển khoản អតិថិជន</t>
        </is>
      </c>
      <c r="I1019" s="3" t="n"/>
      <c r="J1019" s="3" t="n"/>
      <c r="K1019" s="3" t="n"/>
      <c r="L1019" s="3" t="inlineStr">
        <is>
          <t>ចំនួនទឹកប្រាក់ chuyển khoản អតិថិជន</t>
        </is>
      </c>
      <c r="M1019" s="3" t="n"/>
      <c r="N1019" s="3" t="inlineStr">
        <is>
          <t>"compensation.moneyTable.colCustomerTransferAmount": "",</t>
        </is>
      </c>
      <c r="O1019" s="3" t="n"/>
      <c r="P1019" s="3" t="n"/>
      <c r="Q1019" s="3" t="n"/>
      <c r="R1019" s="3" t="n"/>
      <c r="S1019" s="3" t="n"/>
      <c r="T1019" s="3" t="n"/>
      <c r="U1019" s="3" t="n"/>
      <c r="V1019" s="3" t="n"/>
      <c r="W1019" s="3" t="n"/>
      <c r="X1019" s="3" t="n"/>
      <c r="Y1019" s="3" t="n"/>
      <c r="Z1019" s="3" t="n"/>
      <c r="AA1019" s="3" t="n"/>
    </row>
    <row r="1020">
      <c r="A1020" s="105" t="inlineStr">
        <is>
          <t>compensation.moneyTable.colProfileStatus</t>
        </is>
      </c>
      <c r="B1020" s="105" t="inlineStr">
        <is>
          <t>Trạng thái hồ sơ</t>
        </is>
      </c>
      <c r="C1020" s="3" t="n"/>
      <c r="D1020" s="3" t="n"/>
      <c r="E1020" s="3" t="n"/>
      <c r="F1020" s="3" t="n"/>
      <c r="G1020" s="3" t="n"/>
      <c r="H1020" s="3" t="inlineStr">
        <is>
          <t>ស្ថានភាព hồ sơ</t>
        </is>
      </c>
      <c r="I1020" s="3" t="n"/>
      <c r="J1020" s="3" t="n"/>
      <c r="K1020" s="3" t="n"/>
      <c r="L1020" s="3" t="inlineStr">
        <is>
          <t>ស្ថានភាព hồ sơ</t>
        </is>
      </c>
      <c r="M1020" s="3" t="n"/>
      <c r="N1020" s="3" t="inlineStr">
        <is>
          <t>"compensation.moneyTable.colProfileStatus": "",</t>
        </is>
      </c>
      <c r="O1020" s="3" t="n"/>
      <c r="P1020" s="3" t="n"/>
      <c r="Q1020" s="3" t="n"/>
      <c r="R1020" s="3" t="n"/>
      <c r="S1020" s="3" t="n"/>
      <c r="T1020" s="3" t="n"/>
      <c r="U1020" s="3" t="n"/>
      <c r="V1020" s="3" t="n"/>
      <c r="W1020" s="3" t="n"/>
      <c r="X1020" s="3" t="n"/>
      <c r="Y1020" s="3" t="n"/>
      <c r="Z1020" s="3" t="n"/>
      <c r="AA1020" s="3" t="n"/>
    </row>
    <row r="1021">
      <c r="A1021" s="105" t="inlineStr">
        <is>
          <t>compensation.moneyTable.colPaymentStatus</t>
        </is>
      </c>
      <c r="B1021" s="105" t="inlineStr">
        <is>
          <t>Trạng thái thanh toán</t>
        </is>
      </c>
      <c r="C1021" s="3" t="n"/>
      <c r="D1021" s="3" t="n"/>
      <c r="E1021" s="3" t="n"/>
      <c r="F1021" s="3" t="n"/>
      <c r="G1021" s="3" t="n"/>
      <c r="H1021" s="3" t="inlineStr">
        <is>
          <t>ស្ថានភាព ទូទាត់ប្រាក់</t>
        </is>
      </c>
      <c r="I1021" s="3" t="n"/>
      <c r="J1021" s="3" t="n"/>
      <c r="K1021" s="3" t="n"/>
      <c r="L1021" s="3" t="inlineStr">
        <is>
          <t>ស្ថានភាព ទូទាត់ប្រាក់</t>
        </is>
      </c>
      <c r="M1021" s="3" t="n"/>
      <c r="N1021" s="3" t="inlineStr">
        <is>
          <t>"compensation.moneyTable.colPaymentStatus": "",</t>
        </is>
      </c>
      <c r="O1021" s="3" t="n"/>
      <c r="P1021" s="3" t="n"/>
      <c r="Q1021" s="3" t="n"/>
      <c r="R1021" s="3" t="n"/>
      <c r="S1021" s="3" t="n"/>
      <c r="T1021" s="3" t="n"/>
      <c r="U1021" s="3" t="n"/>
      <c r="V1021" s="3" t="n"/>
      <c r="W1021" s="3" t="n"/>
      <c r="X1021" s="3" t="n"/>
      <c r="Y1021" s="3" t="n"/>
      <c r="Z1021" s="3" t="n"/>
      <c r="AA1021" s="3" t="n"/>
    </row>
    <row r="1022">
      <c r="A1022" s="105" t="inlineStr">
        <is>
          <t>compensation.moneyModal.title</t>
        </is>
      </c>
      <c r="B1022" s="105" t="inlineStr">
        <is>
          <t>Thông báo</t>
        </is>
      </c>
      <c r="C1022" s="3" t="n"/>
      <c r="D1022" s="3" t="n"/>
      <c r="E1022" s="3" t="n"/>
      <c r="F1022" s="3" t="n"/>
      <c r="G1022" s="3" t="n"/>
      <c r="H1022" s="3" t="inlineStr">
        <is>
          <t>ការជូនដំណឹង</t>
        </is>
      </c>
      <c r="I1022" s="3" t="n"/>
      <c r="J1022" s="3" t="n"/>
      <c r="K1022" s="3" t="n"/>
      <c r="L1022" s="3" t="inlineStr">
        <is>
          <t>ការជូនដំណឹង</t>
        </is>
      </c>
      <c r="M1022" s="3" t="n"/>
      <c r="N1022" s="3" t="inlineStr">
        <is>
          <t>"compensation.moneyModal.title": "",</t>
        </is>
      </c>
      <c r="O1022" s="3" t="n"/>
      <c r="P1022" s="3" t="n"/>
      <c r="Q1022" s="3" t="n"/>
      <c r="R1022" s="3" t="n"/>
      <c r="S1022" s="3" t="n"/>
      <c r="T1022" s="3" t="n"/>
      <c r="U1022" s="3" t="n"/>
      <c r="V1022" s="3" t="n"/>
      <c r="W1022" s="3" t="n"/>
      <c r="X1022" s="3" t="n"/>
      <c r="Y1022" s="3" t="n"/>
      <c r="Z1022" s="3" t="n"/>
      <c r="AA1022" s="3" t="n"/>
    </row>
    <row r="1023">
      <c r="A1023" s="105" t="inlineStr">
        <is>
          <t>compensation.moneyModal.successDescription</t>
        </is>
      </c>
      <c r="B1023" s="105" t="inlineStr">
        <is>
          <t>Xác nhận đã thanh toán hồ sơ và tải file ký lên.</t>
        </is>
      </c>
      <c r="C1023" s="3" t="n"/>
      <c r="D1023" s="3" t="n"/>
      <c r="E1023" s="3" t="n"/>
      <c r="F1023" s="3" t="n"/>
      <c r="G1023" s="3" t="n"/>
      <c r="H1023" s="3" t="inlineStr">
        <is>
          <t>បញ្ជាក់ đã ទូទាត់ប្រាក់ hồ sơ và tải file ký lên.</t>
        </is>
      </c>
      <c r="I1023" s="3" t="n"/>
      <c r="J1023" s="3" t="n"/>
      <c r="K1023" s="3" t="n"/>
      <c r="L1023" s="3" t="inlineStr">
        <is>
          <t>បញ្ជាក់ đã ទូទាត់ប្រាក់ hồ sơ và tải file ký lên.</t>
        </is>
      </c>
      <c r="M1023" s="3" t="n"/>
      <c r="N1023" s="3" t="inlineStr">
        <is>
          <t>"compensation.moneyModal.successDescription": "",</t>
        </is>
      </c>
      <c r="O1023" s="3" t="n"/>
      <c r="P1023" s="3" t="n"/>
      <c r="Q1023" s="3" t="n"/>
      <c r="R1023" s="3" t="n"/>
      <c r="S1023" s="3" t="n"/>
      <c r="T1023" s="3" t="n"/>
      <c r="U1023" s="3" t="n"/>
      <c r="V1023" s="3" t="n"/>
      <c r="W1023" s="3" t="n"/>
      <c r="X1023" s="3" t="n"/>
      <c r="Y1023" s="3" t="n"/>
      <c r="Z1023" s="3" t="n"/>
      <c r="AA1023" s="3" t="n"/>
    </row>
    <row r="1024">
      <c r="A1024" s="105" t="inlineStr">
        <is>
          <t>compensation.moneyModal.failedDescription</t>
        </is>
      </c>
      <c r="B1024" s="105" t="inlineStr">
        <is>
          <t>Xác nhận thanh toán thất bại và nhập lý do chuyển khoản thất bại.</t>
        </is>
      </c>
      <c r="C1024" s="3" t="n"/>
      <c r="D1024" s="3" t="n"/>
      <c r="E1024" s="3" t="n"/>
      <c r="F1024" s="3" t="n"/>
      <c r="G1024" s="3" t="n"/>
      <c r="H1024" s="3" t="inlineStr">
        <is>
          <t>បញ្ជាក់ ទូទាត់ប្រាក់ បរាជ័យ và nhập មូលហេតុ chuyển khoản បរាជ័យ.</t>
        </is>
      </c>
      <c r="I1024" s="3" t="n"/>
      <c r="J1024" s="3" t="n"/>
      <c r="K1024" s="3" t="n"/>
      <c r="L1024" s="3" t="inlineStr">
        <is>
          <t>បញ្ជាក់ ទូទាត់ប្រាក់ បរាជ័យ và nhập មូលហេតុ chuyển khoản បរាជ័យ.</t>
        </is>
      </c>
      <c r="M1024" s="3" t="n"/>
      <c r="N1024" s="3" t="inlineStr">
        <is>
          <t>"compensation.moneyModal.failedDescription": "",</t>
        </is>
      </c>
      <c r="O1024" s="3" t="n"/>
      <c r="P1024" s="3" t="n"/>
      <c r="Q1024" s="3" t="n"/>
      <c r="R1024" s="3" t="n"/>
      <c r="S1024" s="3" t="n"/>
      <c r="T1024" s="3" t="n"/>
      <c r="U1024" s="3" t="n"/>
      <c r="V1024" s="3" t="n"/>
      <c r="W1024" s="3" t="n"/>
      <c r="X1024" s="3" t="n"/>
      <c r="Y1024" s="3" t="n"/>
      <c r="Z1024" s="3" t="n"/>
      <c r="AA1024" s="3" t="n"/>
    </row>
    <row r="1025">
      <c r="A1025" s="105" t="inlineStr">
        <is>
          <t>compensation.moneyModal.confirmPaid</t>
        </is>
      </c>
      <c r="B1025" s="105" t="inlineStr">
        <is>
          <t>Bạn chắc chắn đã thanh toán thành công cho hồ sơ</t>
        </is>
      </c>
      <c r="C1025" s="3" t="n"/>
      <c r="D1025" s="3" t="n"/>
      <c r="E1025" s="3" t="n"/>
      <c r="F1025" s="3" t="n"/>
      <c r="G1025" s="3" t="n"/>
      <c r="H1025" s="3" t="inlineStr">
        <is>
          <t>Bạn chắc chắn đã ទូទាត់ប្រាក់ ជោគជ័យ cho hồ sơ</t>
        </is>
      </c>
      <c r="I1025" s="3" t="n"/>
      <c r="J1025" s="3" t="n"/>
      <c r="K1025" s="3" t="n"/>
      <c r="L1025" s="3" t="inlineStr">
        <is>
          <t>Bạn chắc chắn đã ទូទាត់ប្រាក់ ជោគជ័យ cho hồ sơ</t>
        </is>
      </c>
      <c r="M1025" s="3" t="n"/>
      <c r="N1025" s="3" t="inlineStr">
        <is>
          <t>"compensation.moneyModal.confirmPaid": "",</t>
        </is>
      </c>
      <c r="O1025" s="3" t="n"/>
      <c r="P1025" s="3" t="n"/>
      <c r="Q1025" s="3" t="n"/>
      <c r="R1025" s="3" t="n"/>
      <c r="S1025" s="3" t="n"/>
      <c r="T1025" s="3" t="n"/>
      <c r="U1025" s="3" t="n"/>
      <c r="V1025" s="3" t="n"/>
      <c r="W1025" s="3" t="n"/>
      <c r="X1025" s="3" t="n"/>
      <c r="Y1025" s="3" t="n"/>
      <c r="Z1025" s="3" t="n"/>
      <c r="AA1025" s="3" t="n"/>
    </row>
    <row r="1026">
      <c r="A1026" s="105" t="inlineStr">
        <is>
          <t>compensation.moneyModal.confirmPaidNote</t>
        </is>
      </c>
      <c r="B1026" s="105" t="inlineStr">
        <is>
          <t>(Sau khi xác nhận quá trình bồi thường hồ sơ sẽ hoàn thành)</t>
        </is>
      </c>
      <c r="C1026" s="3" t="n"/>
      <c r="D1026" s="3" t="n"/>
      <c r="E1026" s="3" t="n"/>
      <c r="F1026" s="3" t="n"/>
      <c r="G1026" s="3" t="n"/>
      <c r="H1026" s="3" t="inlineStr">
        <is>
          <t>(Sau khi បញ្ជាក់ quá trình សំណង hồ sơ sẽ បានបញ្ចប់)</t>
        </is>
      </c>
      <c r="I1026" s="3" t="n"/>
      <c r="J1026" s="3" t="n"/>
      <c r="K1026" s="3" t="n"/>
      <c r="L1026" s="3" t="inlineStr">
        <is>
          <t>(Sau khi បញ្ជាក់ quá trình សំណង hồ sơ sẽ បានបញ្ចប់)</t>
        </is>
      </c>
      <c r="M1026" s="3" t="n"/>
      <c r="N1026" s="3" t="inlineStr">
        <is>
          <t>"compensation.moneyModal.confirmPaidNote": "",</t>
        </is>
      </c>
      <c r="O1026" s="3" t="n"/>
      <c r="P1026" s="3" t="n"/>
      <c r="Q1026" s="3" t="n"/>
      <c r="R1026" s="3" t="n"/>
      <c r="S1026" s="3" t="n"/>
      <c r="T1026" s="3" t="n"/>
      <c r="U1026" s="3" t="n"/>
      <c r="V1026" s="3" t="n"/>
      <c r="W1026" s="3" t="n"/>
      <c r="X1026" s="3" t="n"/>
      <c r="Y1026" s="3" t="n"/>
      <c r="Z1026" s="3" t="n"/>
      <c r="AA1026" s="3" t="n"/>
    </row>
    <row r="1027">
      <c r="A1027" s="105" t="inlineStr">
        <is>
          <t>compensation.moneyModal.confirmPaidFailed</t>
        </is>
      </c>
      <c r="B1027" s="105" t="inlineStr">
        <is>
          <t>Bạn chắc chắn không thể thanh toán hồ sơ</t>
        </is>
      </c>
      <c r="C1027" s="3" t="n"/>
      <c r="D1027" s="3" t="n"/>
      <c r="E1027" s="3" t="n"/>
      <c r="F1027" s="3" t="n"/>
      <c r="G1027" s="3" t="n"/>
      <c r="H1027" s="3" t="inlineStr">
        <is>
          <t>Bạn chắc chắn không thể ទូទាត់ប្រាក់ hồ sơ</t>
        </is>
      </c>
      <c r="I1027" s="3" t="n"/>
      <c r="J1027" s="3" t="n"/>
      <c r="K1027" s="3" t="n"/>
      <c r="L1027" s="3" t="inlineStr">
        <is>
          <t>Bạn chắc chắn không thể ទូទាត់ប្រាក់ hồ sơ</t>
        </is>
      </c>
      <c r="M1027" s="3" t="n"/>
      <c r="N1027" s="3" t="inlineStr">
        <is>
          <t>"compensation.moneyModal.confirmPaidFailed": "",</t>
        </is>
      </c>
      <c r="O1027" s="3" t="n"/>
      <c r="P1027" s="3" t="n"/>
      <c r="Q1027" s="3" t="n"/>
      <c r="R1027" s="3" t="n"/>
      <c r="S1027" s="3" t="n"/>
      <c r="T1027" s="3" t="n"/>
      <c r="U1027" s="3" t="n"/>
      <c r="V1027" s="3" t="n"/>
      <c r="W1027" s="3" t="n"/>
      <c r="X1027" s="3" t="n"/>
      <c r="Y1027" s="3" t="n"/>
      <c r="Z1027" s="3" t="n"/>
      <c r="AA1027" s="3" t="n"/>
    </row>
    <row r="1028">
      <c r="A1028" s="105" t="inlineStr">
        <is>
          <t>compensation.moneyModal.confirmPaidFailedNote</t>
        </is>
      </c>
      <c r="B1028" s="105" t="inlineStr">
        <is>
          <t>(Sau khi xác nhận thất bại, hồ sơ sẽ được trả về Bưu cục gốc)</t>
        </is>
      </c>
      <c r="C1028" s="3" t="n"/>
      <c r="D1028" s="3" t="n"/>
      <c r="E1028" s="3" t="n"/>
      <c r="F1028" s="3" t="n"/>
      <c r="G1028" s="3" t="n"/>
      <c r="H1028" s="3" t="inlineStr">
        <is>
          <t>(Sau khi បញ្ជាក់ បរាជ័យ, hồ sơ sẽ được trả về ការិយាល័យប្រៃសណីយ៍ gốc)</t>
        </is>
      </c>
      <c r="I1028" s="3" t="n"/>
      <c r="J1028" s="3" t="n"/>
      <c r="K1028" s="3" t="n"/>
      <c r="L1028" s="3" t="inlineStr">
        <is>
          <t>(Sau khi បញ្ជាក់ បរាជ័យ, hồ sơ sẽ được trả về ការិយាល័យប្រៃសណីយ៍ gốc)</t>
        </is>
      </c>
      <c r="M1028" s="3" t="n"/>
      <c r="N1028" s="3" t="inlineStr">
        <is>
          <t>"compensation.moneyModal.confirmPaidFailedNote": "",</t>
        </is>
      </c>
      <c r="O1028" s="3" t="n"/>
      <c r="P1028" s="3" t="n"/>
      <c r="Q1028" s="3" t="n"/>
      <c r="R1028" s="3" t="n"/>
      <c r="S1028" s="3" t="n"/>
      <c r="T1028" s="3" t="n"/>
      <c r="U1028" s="3" t="n"/>
      <c r="V1028" s="3" t="n"/>
      <c r="W1028" s="3" t="n"/>
      <c r="X1028" s="3" t="n"/>
      <c r="Y1028" s="3" t="n"/>
      <c r="Z1028" s="3" t="n"/>
      <c r="AA1028" s="3" t="n"/>
    </row>
    <row r="1029">
      <c r="A1029" s="105" t="inlineStr">
        <is>
          <t>compensation.moneyModal.uploadSignedFile</t>
        </is>
      </c>
      <c r="B1029" s="105" t="inlineStr">
        <is>
          <t>Tải file ký lên</t>
        </is>
      </c>
      <c r="C1029" s="3" t="n"/>
      <c r="D1029" s="3" t="n"/>
      <c r="E1029" s="3" t="n"/>
      <c r="F1029" s="3" t="n"/>
      <c r="G1029" s="3" t="n"/>
      <c r="H1029" s="3" t="inlineStr">
        <is>
          <t>បង្ហោះឯកសារចុះហត្ថលេខាឡើង</t>
        </is>
      </c>
      <c r="I1029" s="3" t="n"/>
      <c r="J1029" s="3" t="n"/>
      <c r="K1029" s="3" t="n"/>
      <c r="L1029" s="3" t="inlineStr">
        <is>
          <t>បង្ហោះឯកសារចុះហត្ថលេខាឡើង</t>
        </is>
      </c>
      <c r="M1029" s="3" t="n"/>
      <c r="N1029" s="3" t="inlineStr">
        <is>
          <t>"compensation.moneyModal.uploadSignedFile": "",</t>
        </is>
      </c>
      <c r="O1029" s="3" t="n"/>
      <c r="P1029" s="3" t="n"/>
      <c r="Q1029" s="3" t="n"/>
      <c r="R1029" s="3" t="n"/>
      <c r="S1029" s="3" t="n"/>
      <c r="T1029" s="3" t="n"/>
      <c r="U1029" s="3" t="n"/>
      <c r="V1029" s="3" t="n"/>
      <c r="W1029" s="3" t="n"/>
      <c r="X1029" s="3" t="n"/>
      <c r="Y1029" s="3" t="n"/>
      <c r="Z1029" s="3" t="n"/>
      <c r="AA1029" s="3" t="n"/>
    </row>
    <row r="1030">
      <c r="A1030" s="105" t="inlineStr">
        <is>
          <t>compensation.moneyModal.failedReasonLabel</t>
        </is>
      </c>
      <c r="B1030" s="105" t="inlineStr">
        <is>
          <t>Nhập lý do thất bại</t>
        </is>
      </c>
      <c r="C1030" s="3" t="n"/>
      <c r="D1030" s="3" t="n"/>
      <c r="E1030" s="3" t="n"/>
      <c r="F1030" s="3" t="n"/>
      <c r="G1030" s="3" t="n"/>
      <c r="H1030" s="3" t="inlineStr">
        <is>
          <t>បញ្ចូលមូលហេតុ បរាជ័យ</t>
        </is>
      </c>
      <c r="I1030" s="3" t="n"/>
      <c r="J1030" s="3" t="n"/>
      <c r="K1030" s="3" t="n"/>
      <c r="L1030" s="3" t="inlineStr">
        <is>
          <t>បញ្ចូលមូលហេតុ បរាជ័យ</t>
        </is>
      </c>
      <c r="M1030" s="3" t="n"/>
      <c r="N1030" s="3" t="inlineStr">
        <is>
          <t>"compensation.moneyModal.failedReasonLabel": "",</t>
        </is>
      </c>
      <c r="O1030" s="3" t="n"/>
      <c r="P1030" s="3" t="n"/>
      <c r="Q1030" s="3" t="n"/>
      <c r="R1030" s="3" t="n"/>
      <c r="S1030" s="3" t="n"/>
      <c r="T1030" s="3" t="n"/>
      <c r="U1030" s="3" t="n"/>
      <c r="V1030" s="3" t="n"/>
      <c r="W1030" s="3" t="n"/>
      <c r="X1030" s="3" t="n"/>
      <c r="Y1030" s="3" t="n"/>
      <c r="Z1030" s="3" t="n"/>
      <c r="AA1030" s="3" t="n"/>
    </row>
    <row r="1031">
      <c r="A1031" s="105" t="inlineStr">
        <is>
          <t>compensation.moneyModal.failedReasonPlaceholder</t>
        </is>
      </c>
      <c r="B1031" s="105" t="inlineStr">
        <is>
          <t>Nhập lý do</t>
        </is>
      </c>
      <c r="C1031" s="3" t="n"/>
      <c r="D1031" s="3" t="n"/>
      <c r="E1031" s="3" t="n"/>
      <c r="F1031" s="3" t="n"/>
      <c r="G1031" s="3" t="n"/>
      <c r="H1031" s="3" t="inlineStr">
        <is>
          <t>បញ្ចូលមូលហេតុ</t>
        </is>
      </c>
      <c r="I1031" s="3" t="n"/>
      <c r="J1031" s="3" t="n"/>
      <c r="K1031" s="3" t="n"/>
      <c r="L1031" s="3" t="inlineStr">
        <is>
          <t>បញ្ចូលមូលហេតុ</t>
        </is>
      </c>
      <c r="M1031" s="3" t="n"/>
      <c r="N1031" s="3" t="inlineStr">
        <is>
          <t>"compensation.moneyModal.failedReasonPlaceholder": "",</t>
        </is>
      </c>
      <c r="O1031" s="3" t="n"/>
      <c r="P1031" s="3" t="n"/>
      <c r="Q1031" s="3" t="n"/>
      <c r="R1031" s="3" t="n"/>
      <c r="S1031" s="3" t="n"/>
      <c r="T1031" s="3" t="n"/>
      <c r="U1031" s="3" t="n"/>
      <c r="V1031" s="3" t="n"/>
      <c r="W1031" s="3" t="n"/>
      <c r="X1031" s="3" t="n"/>
      <c r="Y1031" s="3" t="n"/>
      <c r="Z1031" s="3" t="n"/>
      <c r="AA1031" s="3" t="n"/>
    </row>
    <row r="1032">
      <c r="A1032" s="105" t="inlineStr">
        <is>
          <t>compensation.moneyModal.failedReasonRequired</t>
        </is>
      </c>
      <c r="B1032" s="105" t="inlineStr">
        <is>
          <t>Vui lòng nhập lý do chuyển khoản thất bại</t>
        </is>
      </c>
      <c r="C1032" s="3" t="n"/>
      <c r="D1032" s="3" t="n"/>
      <c r="E1032" s="3" t="n"/>
      <c r="F1032" s="3" t="n"/>
      <c r="G1032" s="3" t="n"/>
      <c r="H1032" s="3" t="inlineStr">
        <is>
          <t>សូមបញ្ចូលមូលហេតុ chuyển khoản បរាជ័យ</t>
        </is>
      </c>
      <c r="I1032" s="3" t="n"/>
      <c r="J1032" s="3" t="n"/>
      <c r="K1032" s="3" t="n"/>
      <c r="L1032" s="3" t="inlineStr">
        <is>
          <t>សូមបញ្ចូលមូលហេតុ chuyển khoản បរាជ័យ</t>
        </is>
      </c>
      <c r="M1032" s="3" t="n"/>
      <c r="N1032" s="3" t="inlineStr">
        <is>
          <t>"compensation.moneyModal.failedReasonRequired": "",</t>
        </is>
      </c>
      <c r="O1032" s="3" t="n"/>
      <c r="P1032" s="3" t="n"/>
      <c r="Q1032" s="3" t="n"/>
      <c r="R1032" s="3" t="n"/>
      <c r="S1032" s="3" t="n"/>
      <c r="T1032" s="3" t="n"/>
      <c r="U1032" s="3" t="n"/>
      <c r="V1032" s="3" t="n"/>
      <c r="W1032" s="3" t="n"/>
      <c r="X1032" s="3" t="n"/>
      <c r="Y1032" s="3" t="n"/>
      <c r="Z1032" s="3" t="n"/>
      <c r="AA1032" s="3" t="n"/>
    </row>
    <row r="1033">
      <c r="A1033" s="105" t="inlineStr">
        <is>
          <t>compensation.moneyModal.toastConfirmSuccess</t>
        </is>
      </c>
      <c r="B1033" s="105" t="inlineStr">
        <is>
          <t>Thanh toán bồi thường hồ sơ {{code}} thành công!</t>
        </is>
      </c>
      <c r="C1033" s="3" t="n"/>
      <c r="D1033" s="3" t="n"/>
      <c r="E1033" s="3" t="n"/>
      <c r="F1033" s="3" t="n"/>
      <c r="G1033" s="3" t="n"/>
      <c r="H1033" s="3" t="inlineStr">
        <is>
          <t>ទូទាត់ប្រាក់ សំណង hồ sơ {{code}} ជោគជ័យ!</t>
        </is>
      </c>
      <c r="I1033" s="3" t="n"/>
      <c r="J1033" s="3" t="n"/>
      <c r="K1033" s="3" t="n"/>
      <c r="L1033" s="3" t="inlineStr">
        <is>
          <t>ទូទាត់ប្រាក់ សំណង hồ sơ {{code}} ជោគជ័យ!</t>
        </is>
      </c>
      <c r="M1033" s="3" t="n"/>
      <c r="N1033" s="3" t="inlineStr">
        <is>
          <t>"compensation.moneyModal.toastConfirmSuccess": "",</t>
        </is>
      </c>
      <c r="O1033" s="3" t="n"/>
      <c r="P1033" s="3" t="n"/>
      <c r="Q1033" s="3" t="n"/>
      <c r="R1033" s="3" t="n"/>
      <c r="S1033" s="3" t="n"/>
      <c r="T1033" s="3" t="n"/>
      <c r="U1033" s="3" t="n"/>
      <c r="V1033" s="3" t="n"/>
      <c r="W1033" s="3" t="n"/>
      <c r="X1033" s="3" t="n"/>
      <c r="Y1033" s="3" t="n"/>
      <c r="Z1033" s="3" t="n"/>
      <c r="AA1033" s="3" t="n"/>
    </row>
    <row r="1034">
      <c r="A1034" s="105" t="inlineStr">
        <is>
          <t>compensation.moneyModal.toastConfirmFailedRecorded</t>
        </is>
      </c>
      <c r="B1034" s="105" t="inlineStr">
        <is>
          <t>Xác nhận thanh toán thất bại hồ sơ {{code}} thành công! (Hồ sơ chuyển về Bưu cục gốc)</t>
        </is>
      </c>
      <c r="C1034" s="3" t="n"/>
      <c r="D1034" s="3" t="n"/>
      <c r="E1034" s="3" t="n"/>
      <c r="F1034" s="3" t="n"/>
      <c r="G1034" s="3" t="n"/>
      <c r="H1034" s="3" t="inlineStr">
        <is>
          <t>បញ្ជាក់ ទូទាត់ប្រាក់ បរាជ័យ hồ sơ {{code}} ជោគជ័យ! (Hồ sơ chuyển về ការិយាល័យប្រៃសណីយ៍ gốc)</t>
        </is>
      </c>
      <c r="I1034" s="3" t="n"/>
      <c r="J1034" s="3" t="n"/>
      <c r="K1034" s="3" t="n"/>
      <c r="L1034" s="3" t="inlineStr">
        <is>
          <t>បញ្ជាក់ ទូទាត់ប្រាក់ បរាជ័យ hồ sơ {{code}} ជោគជ័យ! (Hồ sơ chuyển về ការិយាល័យប្រៃសណីយ៍ gốc)</t>
        </is>
      </c>
      <c r="M1034" s="3" t="n"/>
      <c r="N1034" s="3" t="inlineStr">
        <is>
          <t>"compensation.moneyModal.toastConfirmFailedRecorded": "",</t>
        </is>
      </c>
      <c r="O1034" s="3" t="n"/>
      <c r="P1034" s="3" t="n"/>
      <c r="Q1034" s="3" t="n"/>
      <c r="R1034" s="3" t="n"/>
      <c r="S1034" s="3" t="n"/>
      <c r="T1034" s="3" t="n"/>
      <c r="U1034" s="3" t="n"/>
      <c r="V1034" s="3" t="n"/>
      <c r="W1034" s="3" t="n"/>
      <c r="X1034" s="3" t="n"/>
      <c r="Y1034" s="3" t="n"/>
      <c r="Z1034" s="3" t="n"/>
      <c r="AA1034" s="3" t="n"/>
    </row>
    <row r="1035">
      <c r="A1035" s="105" t="inlineStr">
        <is>
          <t>compensation.moneyModal.successFileRequired</t>
        </is>
      </c>
      <c r="B1035" s="105" t="inlineStr">
        <is>
          <t>Vui lòng tải file ký lên để hoàn tất quá trình bồi thường</t>
        </is>
      </c>
      <c r="C1035" s="3" t="n"/>
      <c r="D1035" s="3" t="n"/>
      <c r="E1035" s="3" t="n"/>
      <c r="F1035" s="3" t="n"/>
      <c r="G1035" s="3" t="n"/>
      <c r="H1035" s="3" t="inlineStr">
        <is>
          <t>Vui lòng tải file ký lên để រួចរាល់ quá trình សំណង</t>
        </is>
      </c>
      <c r="I1035" s="3" t="n"/>
      <c r="J1035" s="3" t="n"/>
      <c r="K1035" s="3" t="n"/>
      <c r="L1035" s="3" t="inlineStr">
        <is>
          <t>Vui lòng tải file ký lên để រួចរាល់ quá trình សំណង</t>
        </is>
      </c>
      <c r="M1035" s="3" t="n"/>
      <c r="N1035" s="3" t="inlineStr">
        <is>
          <t>"compensation.moneyModal.successFileRequired": "",</t>
        </is>
      </c>
      <c r="O1035" s="3" t="n"/>
      <c r="P1035" s="3" t="n"/>
      <c r="Q1035" s="3" t="n"/>
      <c r="R1035" s="3" t="n"/>
      <c r="S1035" s="3" t="n"/>
      <c r="T1035" s="3" t="n"/>
      <c r="U1035" s="3" t="n"/>
      <c r="V1035" s="3" t="n"/>
      <c r="W1035" s="3" t="n"/>
      <c r="X1035" s="3" t="n"/>
      <c r="Y1035" s="3" t="n"/>
      <c r="Z1035" s="3" t="n"/>
      <c r="AA1035" s="3" t="n"/>
    </row>
    <row r="1036">
      <c r="A1036" s="105" t="inlineStr">
        <is>
          <t>compensation.report.timeRange</t>
        </is>
      </c>
      <c r="B1036" s="105" t="inlineStr">
        <is>
          <t>Thời gian</t>
        </is>
      </c>
      <c r="C1036" s="3" t="n"/>
      <c r="D1036" s="3" t="n"/>
      <c r="E1036" s="3" t="n"/>
      <c r="F1036" s="3" t="n"/>
      <c r="G1036" s="3" t="n"/>
      <c r="H1036" s="3" t="inlineStr">
        <is>
          <t>ពេលវេលា</t>
        </is>
      </c>
      <c r="I1036" s="3" t="n"/>
      <c r="J1036" s="3" t="n"/>
      <c r="K1036" s="3" t="n"/>
      <c r="L1036" s="3" t="inlineStr">
        <is>
          <t>ពេលវេលា</t>
        </is>
      </c>
      <c r="M1036" s="3" t="n"/>
      <c r="N1036" s="3" t="inlineStr">
        <is>
          <t>"compensation.report.timeRange": "",</t>
        </is>
      </c>
      <c r="O1036" s="3" t="n"/>
      <c r="P1036" s="3" t="n"/>
      <c r="Q1036" s="3" t="n"/>
      <c r="R1036" s="3" t="n"/>
      <c r="S1036" s="3" t="n"/>
      <c r="T1036" s="3" t="n"/>
      <c r="U1036" s="3" t="n"/>
      <c r="V1036" s="3" t="n"/>
      <c r="W1036" s="3" t="n"/>
      <c r="X1036" s="3" t="n"/>
      <c r="Y1036" s="3" t="n"/>
      <c r="Z1036" s="3" t="n"/>
      <c r="AA1036" s="3" t="n"/>
    </row>
    <row r="1037">
      <c r="A1037" s="105" t="inlineStr">
        <is>
          <t>compensation.report.branch</t>
        </is>
      </c>
      <c r="B1037" s="105" t="inlineStr">
        <is>
          <t>Chi nhánh</t>
        </is>
      </c>
      <c r="C1037" s="3" t="n"/>
      <c r="D1037" s="3" t="n"/>
      <c r="E1037" s="3" t="n"/>
      <c r="F1037" s="3" t="n"/>
      <c r="G1037" s="3" t="n"/>
      <c r="H1037" s="3" t="inlineStr">
        <is>
          <t>សាខា</t>
        </is>
      </c>
      <c r="I1037" s="3" t="n"/>
      <c r="J1037" s="3" t="n"/>
      <c r="K1037" s="3" t="n"/>
      <c r="L1037" s="3" t="inlineStr">
        <is>
          <t>សាខា</t>
        </is>
      </c>
      <c r="M1037" s="3" t="n"/>
      <c r="N1037" s="3" t="inlineStr">
        <is>
          <t>"compensation.report.branch": "",</t>
        </is>
      </c>
      <c r="O1037" s="3" t="n"/>
      <c r="P1037" s="3" t="n"/>
      <c r="Q1037" s="3" t="n"/>
      <c r="R1037" s="3" t="n"/>
      <c r="S1037" s="3" t="n"/>
      <c r="T1037" s="3" t="n"/>
      <c r="U1037" s="3" t="n"/>
      <c r="V1037" s="3" t="n"/>
      <c r="W1037" s="3" t="n"/>
      <c r="X1037" s="3" t="n"/>
      <c r="Y1037" s="3" t="n"/>
      <c r="Z1037" s="3" t="n"/>
      <c r="AA1037" s="3" t="n"/>
    </row>
    <row r="1038">
      <c r="A1038" s="105" t="inlineStr">
        <is>
          <t>compensation.report.placeholderBranch</t>
        </is>
      </c>
      <c r="B1038" s="105" t="inlineStr">
        <is>
          <t>Chọn chi nhánh</t>
        </is>
      </c>
      <c r="C1038" s="3" t="n"/>
      <c r="D1038" s="3" t="n"/>
      <c r="E1038" s="3" t="n"/>
      <c r="F1038" s="3" t="n"/>
      <c r="G1038" s="3" t="n"/>
      <c r="H1038" s="3" t="inlineStr">
        <is>
          <t>ជ្រើសរើសសាខា</t>
        </is>
      </c>
      <c r="I1038" s="3" t="n"/>
      <c r="J1038" s="3" t="n"/>
      <c r="K1038" s="3" t="n"/>
      <c r="L1038" s="3" t="inlineStr">
        <is>
          <t>ជ្រើសរើសសាខា</t>
        </is>
      </c>
      <c r="M1038" s="3" t="n"/>
      <c r="N1038" s="3" t="inlineStr">
        <is>
          <t>"compensation.report.placeholderBranch": "",</t>
        </is>
      </c>
      <c r="O1038" s="3" t="n"/>
      <c r="P1038" s="3" t="n"/>
      <c r="Q1038" s="3" t="n"/>
      <c r="R1038" s="3" t="n"/>
      <c r="S1038" s="3" t="n"/>
      <c r="T1038" s="3" t="n"/>
      <c r="U1038" s="3" t="n"/>
      <c r="V1038" s="3" t="n"/>
      <c r="W1038" s="3" t="n"/>
      <c r="X1038" s="3" t="n"/>
      <c r="Y1038" s="3" t="n"/>
      <c r="Z1038" s="3" t="n"/>
      <c r="AA1038" s="3" t="n"/>
    </row>
    <row r="1039">
      <c r="A1039" s="105" t="inlineStr">
        <is>
          <t>compensation.report.tableMainTitle</t>
        </is>
      </c>
      <c r="B1039" s="105" t="inlineStr">
        <is>
          <t>Báo cáo hồ sơ bồi thường theo trạng thái</t>
        </is>
      </c>
      <c r="C1039" s="3" t="n"/>
      <c r="D1039" s="3" t="n"/>
      <c r="E1039" s="3" t="n"/>
      <c r="F1039" s="3" t="n"/>
      <c r="G1039" s="3" t="n"/>
      <c r="H1039" s="3" t="inlineStr">
        <is>
          <t>របាយការណ៍hồ sơ សំណង theo ស្ថានភាព</t>
        </is>
      </c>
      <c r="I1039" s="3" t="n"/>
      <c r="J1039" s="3" t="n"/>
      <c r="K1039" s="3" t="n"/>
      <c r="L1039" s="3" t="inlineStr">
        <is>
          <t>របាយការណ៍hồ sơ សំណង theo ស្ថានភាព</t>
        </is>
      </c>
      <c r="M1039" s="3" t="n"/>
      <c r="N1039" s="3" t="inlineStr">
        <is>
          <t>"compensation.report.tableMainTitle": "",</t>
        </is>
      </c>
      <c r="O1039" s="3" t="n"/>
      <c r="P1039" s="3" t="n"/>
      <c r="Q1039" s="3" t="n"/>
      <c r="R1039" s="3" t="n"/>
      <c r="S1039" s="3" t="n"/>
      <c r="T1039" s="3" t="n"/>
      <c r="U1039" s="3" t="n"/>
      <c r="V1039" s="3" t="n"/>
      <c r="W1039" s="3" t="n"/>
      <c r="X1039" s="3" t="n"/>
      <c r="Y1039" s="3" t="n"/>
      <c r="Z1039" s="3" t="n"/>
      <c r="AA1039" s="3" t="n"/>
    </row>
    <row r="1040">
      <c r="A1040" s="105" t="inlineStr">
        <is>
          <t>compensation.report.colRegion</t>
        </is>
      </c>
      <c r="B1040" s="105" t="inlineStr">
        <is>
          <t>Vùng</t>
        </is>
      </c>
      <c r="C1040" s="3" t="n"/>
      <c r="D1040" s="3" t="n"/>
      <c r="E1040" s="3" t="n"/>
      <c r="F1040" s="3" t="n"/>
      <c r="G1040" s="3" t="n"/>
      <c r="H1040" s="3" t="inlineStr">
        <is>
          <t>តំបន់</t>
        </is>
      </c>
      <c r="I1040" s="3" t="n"/>
      <c r="J1040" s="3" t="n"/>
      <c r="K1040" s="3" t="n"/>
      <c r="L1040" s="3" t="inlineStr">
        <is>
          <t>តំបន់</t>
        </is>
      </c>
      <c r="M1040" s="3" t="n"/>
      <c r="N1040" s="3" t="inlineStr">
        <is>
          <t>"compensation.report.colRegion": "",</t>
        </is>
      </c>
      <c r="O1040" s="3" t="n"/>
      <c r="P1040" s="3" t="n"/>
      <c r="Q1040" s="3" t="n"/>
      <c r="R1040" s="3" t="n"/>
      <c r="S1040" s="3" t="n"/>
      <c r="T1040" s="3" t="n"/>
      <c r="U1040" s="3" t="n"/>
      <c r="V1040" s="3" t="n"/>
      <c r="W1040" s="3" t="n"/>
      <c r="X1040" s="3" t="n"/>
      <c r="Y1040" s="3" t="n"/>
      <c r="Z1040" s="3" t="n"/>
      <c r="AA1040" s="3" t="n"/>
    </row>
    <row r="1041">
      <c r="A1041" s="105" t="inlineStr">
        <is>
          <t>compensation.report.colGroupByStatus</t>
        </is>
      </c>
      <c r="B1041" s="105" t="inlineStr">
        <is>
          <t>Số lượng hồ sơ theo trạng thái</t>
        </is>
      </c>
      <c r="C1041" s="3" t="n"/>
      <c r="D1041" s="3" t="n"/>
      <c r="E1041" s="3" t="n"/>
      <c r="F1041" s="3" t="n"/>
      <c r="G1041" s="3" t="n"/>
      <c r="H1041" s="3" t="inlineStr">
        <is>
          <t>ចំនួនសំណុំឯកសារតាមស្ថានភាព</t>
        </is>
      </c>
      <c r="I1041" s="3" t="n"/>
      <c r="J1041" s="3" t="n"/>
      <c r="K1041" s="3" t="n"/>
      <c r="L1041" s="3" t="inlineStr">
        <is>
          <t>ចំនួនសំណុំឯកសារតាមស្ថានភាព</t>
        </is>
      </c>
      <c r="M1041" s="3" t="n"/>
      <c r="N1041" s="3" t="inlineStr">
        <is>
          <t>"compensation.report.colGroupByStatus": "",</t>
        </is>
      </c>
      <c r="O1041" s="3" t="n"/>
      <c r="P1041" s="3" t="n"/>
      <c r="Q1041" s="3" t="n"/>
      <c r="R1041" s="3" t="n"/>
      <c r="S1041" s="3" t="n"/>
      <c r="T1041" s="3" t="n"/>
      <c r="U1041" s="3" t="n"/>
      <c r="V1041" s="3" t="n"/>
      <c r="W1041" s="3" t="n"/>
      <c r="X1041" s="3" t="n"/>
      <c r="Y1041" s="3" t="n"/>
      <c r="Z1041" s="3" t="n"/>
      <c r="AA1041" s="3" t="n"/>
    </row>
    <row r="1042">
      <c r="A1042" s="105" t="inlineStr">
        <is>
          <t>compensation.report.statusInProgress</t>
        </is>
      </c>
      <c r="B1042" s="105" t="inlineStr">
        <is>
          <t>Đang hoàn thiện</t>
        </is>
      </c>
      <c r="C1042" s="3" t="n"/>
      <c r="D1042" s="3" t="n"/>
      <c r="E1042" s="3" t="n"/>
      <c r="F1042" s="3" t="n"/>
      <c r="G1042" s="3" t="n"/>
      <c r="H1042" s="3" t="inlineStr">
        <is>
          <t>កំពុងបំពេញបន្ថែម</t>
        </is>
      </c>
      <c r="I1042" s="3" t="n"/>
      <c r="J1042" s="3" t="n"/>
      <c r="K1042" s="3" t="n"/>
      <c r="L1042" s="3" t="inlineStr">
        <is>
          <t>កំពុងបំពេញបន្ថែម</t>
        </is>
      </c>
      <c r="M1042" s="3" t="n"/>
      <c r="N1042" s="3" t="inlineStr">
        <is>
          <t>"compensation.report.statusInProgress": "",</t>
        </is>
      </c>
      <c r="O1042" s="3" t="n"/>
      <c r="P1042" s="3" t="n"/>
      <c r="Q1042" s="3" t="n"/>
      <c r="R1042" s="3" t="n"/>
      <c r="S1042" s="3" t="n"/>
      <c r="T1042" s="3" t="n"/>
      <c r="U1042" s="3" t="n"/>
      <c r="V1042" s="3" t="n"/>
      <c r="W1042" s="3" t="n"/>
      <c r="X1042" s="3" t="n"/>
      <c r="Y1042" s="3" t="n"/>
      <c r="Z1042" s="3" t="n"/>
      <c r="AA1042" s="3" t="n"/>
    </row>
    <row r="1043">
      <c r="A1043" s="105" t="inlineStr">
        <is>
          <t>compensation.report.statusCompensating</t>
        </is>
      </c>
      <c r="B1043" s="105" t="inlineStr">
        <is>
          <t>Đang bồi thường</t>
        </is>
      </c>
      <c r="C1043" s="3" t="n"/>
      <c r="D1043" s="3" t="n"/>
      <c r="E1043" s="3" t="n"/>
      <c r="F1043" s="3" t="n"/>
      <c r="G1043" s="3" t="n"/>
      <c r="H1043" s="3" t="inlineStr">
        <is>
          <t>កំពុងដំណើរការសំណង</t>
        </is>
      </c>
      <c r="I1043" s="3" t="n"/>
      <c r="J1043" s="3" t="n"/>
      <c r="K1043" s="3" t="n"/>
      <c r="L1043" s="3" t="inlineStr">
        <is>
          <t>កំពុងដំណើរការសំណង</t>
        </is>
      </c>
      <c r="M1043" s="3" t="n"/>
      <c r="N1043" s="3" t="inlineStr">
        <is>
          <t>"compensation.report.statusCompensating": "",</t>
        </is>
      </c>
      <c r="O1043" s="3" t="n"/>
      <c r="P1043" s="3" t="n"/>
      <c r="Q1043" s="3" t="n"/>
      <c r="R1043" s="3" t="n"/>
      <c r="S1043" s="3" t="n"/>
      <c r="T1043" s="3" t="n"/>
      <c r="U1043" s="3" t="n"/>
      <c r="V1043" s="3" t="n"/>
      <c r="W1043" s="3" t="n"/>
      <c r="X1043" s="3" t="n"/>
      <c r="Y1043" s="3" t="n"/>
      <c r="Z1043" s="3" t="n"/>
      <c r="AA1043" s="3" t="n"/>
    </row>
    <row r="1044">
      <c r="A1044" s="105" t="inlineStr">
        <is>
          <t>compensation.report.statusCompensated</t>
        </is>
      </c>
      <c r="B1044" s="105" t="inlineStr">
        <is>
          <t>Đã bồi thường</t>
        </is>
      </c>
      <c r="C1044" s="3" t="n"/>
      <c r="D1044" s="3" t="n"/>
      <c r="E1044" s="3" t="n"/>
      <c r="F1044" s="3" t="n"/>
      <c r="G1044" s="3" t="n"/>
      <c r="H1044" s="3" t="inlineStr">
        <is>
          <t>បានទូទាត់សំណងរួចរាល់</t>
        </is>
      </c>
      <c r="I1044" s="3" t="n"/>
      <c r="J1044" s="3" t="n"/>
      <c r="K1044" s="3" t="n"/>
      <c r="L1044" s="3" t="inlineStr">
        <is>
          <t>បានទូទាត់សំណងរួចរាល់</t>
        </is>
      </c>
      <c r="M1044" s="3" t="n"/>
      <c r="N1044" s="3" t="inlineStr">
        <is>
          <t>"compensation.report.statusCompensated": "",</t>
        </is>
      </c>
      <c r="O1044" s="3" t="n"/>
      <c r="P1044" s="3" t="n"/>
      <c r="Q1044" s="3" t="n"/>
      <c r="R1044" s="3" t="n"/>
      <c r="S1044" s="3" t="n"/>
      <c r="T1044" s="3" t="n"/>
      <c r="U1044" s="3" t="n"/>
      <c r="V1044" s="3" t="n"/>
      <c r="W1044" s="3" t="n"/>
      <c r="X1044" s="3" t="n"/>
      <c r="Y1044" s="3" t="n"/>
      <c r="Z1044" s="3" t="n"/>
      <c r="AA1044" s="3" t="n"/>
    </row>
    <row r="1045">
      <c r="A1045" s="105" t="inlineStr">
        <is>
          <t>compensation.report.exportExcelDetail</t>
        </is>
      </c>
      <c r="B1045" s="105" t="inlineStr">
        <is>
          <t>Xuất Excel chi tiết</t>
        </is>
      </c>
      <c r="C1045" s="3" t="n"/>
      <c r="D1045" s="3" t="n"/>
      <c r="E1045" s="3" t="n"/>
      <c r="F1045" s="3" t="n"/>
      <c r="G1045" s="3" t="n"/>
      <c r="H1045" s="3" t="inlineStr">
        <is>
          <t>ទាញយក Excel លម្អិត</t>
        </is>
      </c>
      <c r="I1045" s="3" t="n"/>
      <c r="J1045" s="3" t="n"/>
      <c r="K1045" s="3" t="n"/>
      <c r="L1045" s="3" t="inlineStr">
        <is>
          <t>ទាញយក Excel លម្អិត</t>
        </is>
      </c>
      <c r="M1045" s="3" t="n"/>
      <c r="N1045" s="3" t="inlineStr">
        <is>
          <t>"compensation.report.exportExcelDetail": "",</t>
        </is>
      </c>
      <c r="O1045" s="3" t="n"/>
      <c r="P1045" s="3" t="n"/>
      <c r="Q1045" s="3" t="n"/>
      <c r="R1045" s="3" t="n"/>
      <c r="S1045" s="3" t="n"/>
      <c r="T1045" s="3" t="n"/>
      <c r="U1045" s="3" t="n"/>
      <c r="V1045" s="3" t="n"/>
      <c r="W1045" s="3" t="n"/>
      <c r="X1045" s="3" t="n"/>
      <c r="Y1045" s="3" t="n"/>
      <c r="Z1045" s="3" t="n"/>
      <c r="AA1045" s="3" t="n"/>
    </row>
    <row r="1046">
      <c r="A1046" s="105" t="inlineStr">
        <is>
          <t>compensation.actionHistory.complete</t>
        </is>
      </c>
      <c r="B1046" s="105" t="inlineStr">
        <is>
          <t>Hoàn thiện</t>
        </is>
      </c>
      <c r="C1046" s="3" t="n"/>
      <c r="D1046" s="3" t="n"/>
      <c r="E1046" s="3" t="n"/>
      <c r="F1046" s="3" t="n"/>
      <c r="G1046" s="3" t="n"/>
      <c r="H1046" s="3" t="inlineStr">
        <is>
          <t>បំពេញរួចរាល់</t>
        </is>
      </c>
      <c r="I1046" s="3" t="n"/>
      <c r="J1046" s="3" t="n"/>
      <c r="K1046" s="3" t="n"/>
      <c r="L1046" s="3" t="inlineStr">
        <is>
          <t>បំពេញរួចរាល់</t>
        </is>
      </c>
      <c r="M1046" s="3" t="n"/>
      <c r="N1046" s="3" t="inlineStr">
        <is>
          <t>"compensation.actionHistory.complete": "",</t>
        </is>
      </c>
      <c r="O1046" s="3" t="n"/>
      <c r="P1046" s="3" t="n"/>
      <c r="Q1046" s="3" t="n"/>
      <c r="R1046" s="3" t="n"/>
      <c r="S1046" s="3" t="n"/>
      <c r="T1046" s="3" t="n"/>
      <c r="U1046" s="3" t="n"/>
      <c r="V1046" s="3" t="n"/>
      <c r="W1046" s="3" t="n"/>
      <c r="X1046" s="3" t="n"/>
      <c r="Y1046" s="3" t="n"/>
      <c r="Z1046" s="3" t="n"/>
      <c r="AA1046" s="3" t="n"/>
    </row>
    <row r="1047">
      <c r="A1047" s="105" t="inlineStr">
        <is>
          <t>compensation.actionHistory.paymentFail</t>
        </is>
      </c>
      <c r="B1047" s="105" t="inlineStr">
        <is>
          <t>Thanh toán lỗi</t>
        </is>
      </c>
      <c r="C1047" s="3" t="n"/>
      <c r="D1047" s="3" t="n"/>
      <c r="E1047" s="3" t="n"/>
      <c r="F1047" s="3" t="n"/>
      <c r="G1047" s="3" t="n"/>
      <c r="H1047" s="3" t="inlineStr">
        <is>
          <t>ការទូទាត់មានបញ្ហា</t>
        </is>
      </c>
      <c r="I1047" s="3" t="n"/>
      <c r="J1047" s="3" t="n"/>
      <c r="K1047" s="3" t="n"/>
      <c r="L1047" s="3" t="inlineStr">
        <is>
          <t>ការទូទាត់មានបញ្ហា</t>
        </is>
      </c>
      <c r="M1047" s="3" t="n"/>
      <c r="N1047" s="3" t="inlineStr">
        <is>
          <t>"compensation.actionHistory.paymentFail": "",</t>
        </is>
      </c>
      <c r="O1047" s="3" t="n"/>
      <c r="P1047" s="3" t="n"/>
      <c r="Q1047" s="3" t="n"/>
      <c r="R1047" s="3" t="n"/>
      <c r="S1047" s="3" t="n"/>
      <c r="T1047" s="3" t="n"/>
      <c r="U1047" s="3" t="n"/>
      <c r="V1047" s="3" t="n"/>
      <c r="W1047" s="3" t="n"/>
      <c r="X1047" s="3" t="n"/>
      <c r="Y1047" s="3" t="n"/>
      <c r="Z1047" s="3" t="n"/>
      <c r="AA1047" s="3" t="n"/>
    </row>
    <row r="1048">
      <c r="A1048" s="105" t="inlineStr">
        <is>
          <t>compensation.actionHistory.paymentSuccess</t>
        </is>
      </c>
      <c r="B1048" s="105" t="inlineStr">
        <is>
          <t>Thanh toán thành công</t>
        </is>
      </c>
      <c r="C1048" s="3" t="n"/>
      <c r="D1048" s="3" t="n"/>
      <c r="E1048" s="3" t="n"/>
      <c r="F1048" s="3" t="n"/>
      <c r="G1048" s="3" t="n"/>
      <c r="H1048" s="3" t="inlineStr">
        <is>
          <t>ការទូទាត់ជោគជ័យ</t>
        </is>
      </c>
      <c r="I1048" s="3" t="n"/>
      <c r="J1048" s="3" t="n"/>
      <c r="K1048" s="3" t="n"/>
      <c r="L1048" s="3" t="inlineStr">
        <is>
          <t>ការទូទាត់ជោគជ័យ</t>
        </is>
      </c>
      <c r="M1048" s="3" t="n"/>
      <c r="N1048" s="3" t="inlineStr">
        <is>
          <t>"compensation.actionHistory.paymentSuccess": "",</t>
        </is>
      </c>
      <c r="O1048" s="3" t="n"/>
      <c r="P1048" s="3" t="n"/>
      <c r="Q1048" s="3" t="n"/>
      <c r="R1048" s="3" t="n"/>
      <c r="S1048" s="3" t="n"/>
      <c r="T1048" s="3" t="n"/>
      <c r="U1048" s="3" t="n"/>
      <c r="V1048" s="3" t="n"/>
      <c r="W1048" s="3" t="n"/>
      <c r="X1048" s="3" t="n"/>
      <c r="Y1048" s="3" t="n"/>
      <c r="Z1048" s="3" t="n"/>
      <c r="AA1048" s="3" t="n"/>
    </row>
    <row r="1049">
      <c r="A1049" s="105" t="n"/>
      <c r="B1049" s="105" t="inlineStr">
        <is>
          <t>Yêu cầu khác</t>
        </is>
      </c>
      <c r="C1049" s="3" t="n"/>
      <c r="D1049" s="3" t="n"/>
      <c r="E1049" s="3" t="n"/>
      <c r="F1049" s="3" t="n"/>
      <c r="G1049" s="3" t="n"/>
      <c r="H1049" s="3" t="inlineStr">
        <is>
          <t>សំណើផ្សេងៗ</t>
        </is>
      </c>
      <c r="I1049" s="3" t="n"/>
      <c r="J1049" s="3" t="n"/>
      <c r="K1049" s="3" t="n"/>
      <c r="L1049" s="3" t="inlineStr">
        <is>
          <t>សំណើផ្សេងៗ</t>
        </is>
      </c>
      <c r="M1049" s="3" t="n"/>
      <c r="N1049" s="3" t="inlineStr"/>
      <c r="O1049" s="3" t="n"/>
      <c r="P1049" s="3" t="n"/>
      <c r="Q1049" s="3" t="n"/>
      <c r="R1049" s="3" t="n"/>
      <c r="S1049" s="3" t="n"/>
      <c r="T1049" s="3" t="n"/>
      <c r="U1049" s="3" t="n"/>
      <c r="V1049" s="3" t="n"/>
      <c r="W1049" s="3" t="n"/>
      <c r="X1049" s="3" t="n"/>
      <c r="Y1049" s="3" t="n"/>
      <c r="Z1049" s="3" t="n"/>
      <c r="AA1049" s="3" t="n"/>
    </row>
    <row r="1050">
      <c r="A1050" s="105" t="n"/>
      <c r="B1050" s="105" t="inlineStr">
        <is>
          <t>hư hỏng, vỡ, suy suyển bưu gửi</t>
        </is>
      </c>
      <c r="C1050" s="3" t="n"/>
      <c r="D1050" s="3" t="n"/>
      <c r="E1050" s="3" t="n"/>
      <c r="F1050" s="3" t="n"/>
      <c r="G1050" s="3" t="n"/>
      <c r="H1050" s="3" t="inlineStr">
        <is>
          <t>កញ្ចប់បញ្ញើខូចខាត បែកបាក់ ឬបាត់បង់ផ្នែកខ្លះ</t>
        </is>
      </c>
      <c r="I1050" s="3" t="n"/>
      <c r="J1050" s="3" t="n"/>
      <c r="K1050" s="3" t="n"/>
      <c r="L1050" s="3" t="inlineStr">
        <is>
          <t>កញ្ចប់បញ្ញើខូចខាត បែកបាក់ ឬបាត់បង់ផ្នែកខ្លះ</t>
        </is>
      </c>
      <c r="M1050" s="3" t="n"/>
      <c r="N1050" s="3" t="inlineStr"/>
      <c r="O1050" s="3" t="n"/>
      <c r="P1050" s="3" t="n"/>
      <c r="Q1050" s="3" t="n"/>
      <c r="R1050" s="3" t="n"/>
      <c r="S1050" s="3" t="n"/>
      <c r="T1050" s="3" t="n"/>
      <c r="U1050" s="3" t="n"/>
      <c r="V1050" s="3" t="n"/>
      <c r="W1050" s="3" t="n"/>
      <c r="X1050" s="3" t="n"/>
      <c r="Y1050" s="3" t="n"/>
      <c r="Z1050" s="3" t="n"/>
      <c r="AA1050" s="3" t="n"/>
    </row>
    <row r="1051">
      <c r="A1051" s="105" t="n"/>
      <c r="B1051" s="105" t="inlineStr">
        <is>
          <t>Mất bưu gửi</t>
        </is>
      </c>
      <c r="C1051" s="3" t="n"/>
      <c r="D1051" s="3" t="n"/>
      <c r="E1051" s="3" t="n"/>
      <c r="F1051" s="3" t="n"/>
      <c r="G1051" s="3" t="n"/>
      <c r="H1051" s="3" t="inlineStr">
        <is>
          <t>បាត់បង់កញ្ចប់បញ្ញើ</t>
        </is>
      </c>
      <c r="I1051" s="3" t="n"/>
      <c r="J1051" s="3" t="n"/>
      <c r="K1051" s="3" t="n"/>
      <c r="L1051" s="3" t="inlineStr">
        <is>
          <t>បាត់បង់កញ្ចប់បញ្ញើ</t>
        </is>
      </c>
      <c r="M1051" s="3" t="n"/>
      <c r="N1051" s="3" t="inlineStr"/>
      <c r="O1051" s="3" t="n"/>
      <c r="P1051" s="3" t="n"/>
      <c r="Q1051" s="3" t="n"/>
      <c r="R1051" s="3" t="n"/>
      <c r="S1051" s="3" t="n"/>
      <c r="T1051" s="3" t="n"/>
      <c r="U1051" s="3" t="n"/>
      <c r="V1051" s="3" t="n"/>
      <c r="W1051" s="3" t="n"/>
      <c r="X1051" s="3" t="n"/>
      <c r="Y1051" s="3" t="n"/>
      <c r="Z1051" s="3" t="n"/>
      <c r="AA1051" s="3" t="n"/>
    </row>
    <row r="1052">
      <c r="A1052" s="105" t="n"/>
      <c r="B1052" s="105" t="inlineStr">
        <is>
          <t>Khiếu nại về giá cước, tiền COD, chính sách</t>
        </is>
      </c>
      <c r="C1052" s="3" t="n"/>
      <c r="D1052" s="3" t="n"/>
      <c r="E1052" s="3" t="n"/>
      <c r="F1052" s="3" t="n"/>
      <c r="G1052" s="3" t="n"/>
      <c r="H1052" s="3" t="inlineStr">
        <is>
          <t>ពាក្យបណ្ដឹងអំពីតម្លៃសេវា ប្រាក់ COD ឬគោលការណ៍</t>
        </is>
      </c>
      <c r="I1052" s="3" t="n"/>
      <c r="J1052" s="3" t="n"/>
      <c r="K1052" s="3" t="n"/>
      <c r="L1052" s="3" t="inlineStr">
        <is>
          <t>ពាក្យបណ្ដឹងអំពីតម្លៃសេវា ប្រាក់ COD ឬគោលការណ៍</t>
        </is>
      </c>
      <c r="M1052" s="3" t="n"/>
      <c r="N1052" s="3" t="inlineStr"/>
      <c r="O1052" s="3" t="n"/>
      <c r="P1052" s="3" t="n"/>
      <c r="Q1052" s="3" t="n"/>
      <c r="R1052" s="3" t="n"/>
      <c r="S1052" s="3" t="n"/>
      <c r="T1052" s="3" t="n"/>
      <c r="U1052" s="3" t="n"/>
      <c r="V1052" s="3" t="n"/>
      <c r="W1052" s="3" t="n"/>
      <c r="X1052" s="3" t="n"/>
      <c r="Y1052" s="3" t="n"/>
      <c r="Z1052" s="3" t="n"/>
      <c r="AA1052" s="3" t="n"/>
    </row>
    <row r="1053">
      <c r="A1053" s="105" t="n"/>
      <c r="B1053" s="105" t="inlineStr">
        <is>
          <t>Nhận bưu gửi chậm muộn</t>
        </is>
      </c>
      <c r="C1053" s="3" t="n"/>
      <c r="D1053" s="3" t="n"/>
      <c r="E1053" s="3" t="n"/>
      <c r="F1053" s="3" t="n"/>
      <c r="G1053" s="3" t="n"/>
      <c r="H1053" s="3" t="inlineStr">
        <is>
          <t>ទទួលកញ្ចប់បញ្ញើយឺតយ៉ាវ</t>
        </is>
      </c>
      <c r="I1053" s="3" t="n"/>
      <c r="J1053" s="3" t="n"/>
      <c r="K1053" s="3" t="n"/>
      <c r="L1053" s="3" t="inlineStr">
        <is>
          <t>ទទួលកញ្ចប់បញ្ញើយឺតយ៉ាវ</t>
        </is>
      </c>
      <c r="M1053" s="3" t="n"/>
      <c r="N1053" s="3" t="inlineStr"/>
      <c r="O1053" s="3" t="n"/>
      <c r="P1053" s="3" t="n"/>
      <c r="Q1053" s="3" t="n"/>
      <c r="R1053" s="3" t="n"/>
      <c r="S1053" s="3" t="n"/>
      <c r="T1053" s="3" t="n"/>
      <c r="U1053" s="3" t="n"/>
      <c r="V1053" s="3" t="n"/>
      <c r="W1053" s="3" t="n"/>
      <c r="X1053" s="3" t="n"/>
      <c r="Y1053" s="3" t="n"/>
      <c r="Z1053" s="3" t="n"/>
      <c r="AA1053" s="3" t="n"/>
    </row>
    <row r="1054">
      <c r="A1054" s="105" t="n"/>
      <c r="B1054" s="105" t="inlineStr">
        <is>
          <t>Thiếu nhiệt tình, từ chối hỗ trợ KH</t>
        </is>
      </c>
      <c r="C1054" s="3" t="n"/>
      <c r="D1054" s="3" t="n"/>
      <c r="E1054" s="3" t="n"/>
      <c r="F1054" s="3" t="n"/>
      <c r="G1054" s="3" t="n"/>
      <c r="H1054" s="3" t="inlineStr">
        <is>
          <t>ខ្វះការយកចិត្តទុកដាក់ ឬបដិសេធមិនជួយអតិថិជន</t>
        </is>
      </c>
      <c r="I1054" s="3" t="n"/>
      <c r="J1054" s="3" t="n"/>
      <c r="K1054" s="3" t="n"/>
      <c r="L1054" s="3" t="inlineStr">
        <is>
          <t>ខ្វះការយកចិត្តទុកដាក់ ឬបដិសេធមិនជួយអតិថិជន</t>
        </is>
      </c>
      <c r="M1054" s="3" t="n"/>
      <c r="N1054" s="3" t="inlineStr"/>
      <c r="O1054" s="3" t="n"/>
      <c r="P1054" s="3" t="n"/>
      <c r="Q1054" s="3" t="n"/>
      <c r="R1054" s="3" t="n"/>
      <c r="S1054" s="3" t="n"/>
      <c r="T1054" s="3" t="n"/>
      <c r="U1054" s="3" t="n"/>
      <c r="V1054" s="3" t="n"/>
      <c r="W1054" s="3" t="n"/>
      <c r="X1054" s="3" t="n"/>
      <c r="Y1054" s="3" t="n"/>
      <c r="Z1054" s="3" t="n"/>
      <c r="AA1054" s="3" t="n"/>
    </row>
    <row r="1055">
      <c r="A1055" s="105" t="n"/>
      <c r="B1055" s="105" t="inlineStr">
        <is>
          <t>Xác minh kết quả phát bưu gửi</t>
        </is>
      </c>
      <c r="C1055" s="3" t="n"/>
      <c r="D1055" s="3" t="n"/>
      <c r="E1055" s="3" t="n"/>
      <c r="F1055" s="3" t="n"/>
      <c r="G1055" s="3" t="n"/>
      <c r="H1055" s="3" t="inlineStr">
        <is>
          <t>Xác minh លទ្ធផល ដឹកចែក bưu ផ្ញើ</t>
        </is>
      </c>
      <c r="I1055" s="3" t="n"/>
      <c r="J1055" s="3" t="n"/>
      <c r="K1055" s="3" t="n"/>
      <c r="L1055" s="3" t="inlineStr">
        <is>
          <t>Xác minh លទ្ធផល ដឹកចែក bưu ផ្ញើ</t>
        </is>
      </c>
      <c r="M1055" s="3" t="n"/>
      <c r="N1055" s="3" t="inlineStr"/>
      <c r="O1055" s="3" t="n"/>
      <c r="P1055" s="3" t="n"/>
      <c r="Q1055" s="3" t="n"/>
      <c r="R1055" s="3" t="n"/>
      <c r="S1055" s="3" t="n"/>
      <c r="T1055" s="3" t="n"/>
      <c r="U1055" s="3" t="n"/>
      <c r="V1055" s="3" t="n"/>
      <c r="W1055" s="3" t="n"/>
      <c r="X1055" s="3" t="n"/>
      <c r="Y1055" s="3" t="n"/>
      <c r="Z1055" s="3" t="n"/>
      <c r="AA1055" s="3" t="n"/>
    </row>
    <row r="1056">
      <c r="A1056" s="105" t="n"/>
      <c r="B1056" s="105" t="n"/>
      <c r="C1056" s="3" t="n"/>
      <c r="D1056" s="3" t="n"/>
      <c r="E1056" s="3" t="n"/>
      <c r="F1056" s="3" t="n"/>
      <c r="G1056" s="3" t="n"/>
      <c r="H1056" s="3" t="inlineStr"/>
      <c r="I1056" s="3" t="n"/>
      <c r="J1056" s="3" t="n"/>
      <c r="K1056" s="3" t="n"/>
      <c r="L1056" s="3" t="inlineStr"/>
      <c r="M1056" s="3" t="n"/>
      <c r="N1056" s="3" t="inlineStr"/>
      <c r="O1056" s="3" t="n"/>
      <c r="P1056" s="3" t="n"/>
      <c r="Q1056" s="3" t="n"/>
      <c r="R1056" s="3" t="n"/>
      <c r="S1056" s="3" t="n"/>
      <c r="T1056" s="3" t="n"/>
      <c r="U1056" s="3" t="n"/>
      <c r="V1056" s="3" t="n"/>
      <c r="W1056" s="3" t="n"/>
      <c r="X1056" s="3" t="n"/>
      <c r="Y1056" s="3" t="n"/>
      <c r="Z1056" s="3" t="n"/>
      <c r="AA1056" s="3" t="n"/>
    </row>
    <row r="1057">
      <c r="A1057" s="105" t="n"/>
      <c r="B1057" s="105" t="n"/>
      <c r="C1057" s="3" t="n"/>
      <c r="D1057" s="3" t="n"/>
      <c r="E1057" s="3" t="n"/>
      <c r="F1057" s="3" t="n"/>
      <c r="G1057" s="3" t="n"/>
      <c r="H1057" s="3" t="inlineStr"/>
      <c r="I1057" s="3" t="n"/>
      <c r="J1057" s="3" t="n"/>
      <c r="K1057" s="3" t="n"/>
      <c r="L1057" s="3" t="inlineStr"/>
      <c r="M1057" s="3" t="n"/>
      <c r="N1057" s="3" t="inlineStr"/>
      <c r="O1057" s="3" t="n"/>
      <c r="P1057" s="3" t="n"/>
      <c r="Q1057" s="3" t="n"/>
      <c r="R1057" s="3" t="n"/>
      <c r="S1057" s="3" t="n"/>
      <c r="T1057" s="3" t="n"/>
      <c r="U1057" s="3" t="n"/>
      <c r="V1057" s="3" t="n"/>
      <c r="W1057" s="3" t="n"/>
      <c r="X1057" s="3" t="n"/>
      <c r="Y1057" s="3" t="n"/>
      <c r="Z1057" s="3" t="n"/>
      <c r="AA1057" s="3" t="n"/>
    </row>
    <row r="1058">
      <c r="A1058" s="105" t="n"/>
      <c r="B1058" s="105" t="n"/>
      <c r="C1058" s="3" t="n"/>
      <c r="D1058" s="3" t="n"/>
      <c r="E1058" s="3" t="n"/>
      <c r="F1058" s="3" t="n"/>
      <c r="G1058" s="3" t="n"/>
      <c r="H1058" s="3" t="inlineStr"/>
      <c r="I1058" s="3" t="n"/>
      <c r="J1058" s="3" t="n"/>
      <c r="K1058" s="3" t="n"/>
      <c r="L1058" s="3" t="inlineStr"/>
      <c r="M1058" s="3" t="n"/>
      <c r="N1058" s="3" t="inlineStr"/>
      <c r="O1058" s="3" t="n"/>
      <c r="P1058" s="3" t="n"/>
      <c r="Q1058" s="3" t="n"/>
      <c r="R1058" s="3" t="n"/>
      <c r="S1058" s="3" t="n"/>
      <c r="T1058" s="3" t="n"/>
      <c r="U1058" s="3" t="n"/>
      <c r="V1058" s="3" t="n"/>
      <c r="W1058" s="3" t="n"/>
      <c r="X1058" s="3" t="n"/>
      <c r="Y1058" s="3" t="n"/>
      <c r="Z1058" s="3" t="n"/>
      <c r="AA1058" s="3" t="n"/>
    </row>
    <row r="1059">
      <c r="A1059" s="105" t="n"/>
      <c r="B1059" s="105" t="n"/>
      <c r="C1059" s="3" t="n"/>
      <c r="D1059" s="3" t="n"/>
      <c r="E1059" s="3" t="n"/>
      <c r="F1059" s="3" t="n"/>
      <c r="G1059" s="3" t="n"/>
      <c r="H1059" s="3" t="inlineStr"/>
      <c r="I1059" s="3" t="n"/>
      <c r="J1059" s="3" t="n"/>
      <c r="K1059" s="3" t="n"/>
      <c r="L1059" s="3" t="inlineStr"/>
      <c r="M1059" s="3" t="n"/>
      <c r="N1059" s="3" t="inlineStr"/>
      <c r="O1059" s="3" t="n"/>
      <c r="P1059" s="3" t="n"/>
      <c r="Q1059" s="3" t="n"/>
      <c r="R1059" s="3" t="n"/>
      <c r="S1059" s="3" t="n"/>
      <c r="T1059" s="3" t="n"/>
      <c r="U1059" s="3" t="n"/>
      <c r="V1059" s="3" t="n"/>
      <c r="W1059" s="3" t="n"/>
      <c r="X1059" s="3" t="n"/>
      <c r="Y1059" s="3" t="n"/>
      <c r="Z1059" s="3" t="n"/>
      <c r="AA1059" s="3" t="n"/>
    </row>
    <row r="1060">
      <c r="A1060" s="105" t="n"/>
      <c r="B1060" s="105" t="n"/>
      <c r="C1060" s="3" t="n"/>
      <c r="D1060" s="3" t="n"/>
      <c r="E1060" s="3" t="n"/>
      <c r="F1060" s="3" t="n"/>
      <c r="G1060" s="3" t="n"/>
      <c r="H1060" s="3" t="inlineStr"/>
      <c r="I1060" s="3" t="n"/>
      <c r="J1060" s="3" t="n"/>
      <c r="K1060" s="3" t="n"/>
      <c r="L1060" s="3" t="inlineStr"/>
      <c r="M1060" s="3" t="n"/>
      <c r="N1060" s="3" t="inlineStr"/>
      <c r="O1060" s="3" t="n"/>
      <c r="P1060" s="3" t="n"/>
      <c r="Q1060" s="3" t="n"/>
      <c r="R1060" s="3" t="n"/>
      <c r="S1060" s="3" t="n"/>
      <c r="T1060" s="3" t="n"/>
      <c r="U1060" s="3" t="n"/>
      <c r="V1060" s="3" t="n"/>
      <c r="W1060" s="3" t="n"/>
      <c r="X1060" s="3" t="n"/>
      <c r="Y1060" s="3" t="n"/>
      <c r="Z1060" s="3" t="n"/>
      <c r="AA1060" s="3" t="n"/>
    </row>
    <row r="1061">
      <c r="A1061" s="105" t="n"/>
      <c r="B1061" s="105" t="n"/>
      <c r="C1061" s="3" t="n"/>
      <c r="D1061" s="3" t="n"/>
      <c r="E1061" s="3" t="n"/>
      <c r="F1061" s="3" t="n"/>
      <c r="G1061" s="3" t="n"/>
      <c r="H1061" s="3" t="inlineStr"/>
      <c r="I1061" s="3" t="n"/>
      <c r="J1061" s="3" t="n"/>
      <c r="K1061" s="3" t="n"/>
      <c r="L1061" s="3" t="inlineStr"/>
      <c r="M1061" s="3" t="n"/>
      <c r="N1061" s="3" t="inlineStr"/>
      <c r="O1061" s="3" t="n"/>
      <c r="P1061" s="3" t="n"/>
      <c r="Q1061" s="3" t="n"/>
      <c r="R1061" s="3" t="n"/>
      <c r="S1061" s="3" t="n"/>
      <c r="T1061" s="3" t="n"/>
      <c r="U1061" s="3" t="n"/>
      <c r="V1061" s="3" t="n"/>
      <c r="W1061" s="3" t="n"/>
      <c r="X1061" s="3" t="n"/>
      <c r="Y1061" s="3" t="n"/>
      <c r="Z1061" s="3" t="n"/>
      <c r="AA1061" s="3" t="n"/>
    </row>
    <row r="1062">
      <c r="A1062" s="105" t="n"/>
      <c r="B1062" s="105" t="n"/>
      <c r="C1062" s="3" t="n"/>
      <c r="D1062" s="3" t="n"/>
      <c r="E1062" s="3" t="n"/>
      <c r="F1062" s="3" t="n"/>
      <c r="G1062" s="3" t="n"/>
      <c r="H1062" s="3" t="inlineStr"/>
      <c r="I1062" s="3" t="n"/>
      <c r="J1062" s="3" t="n"/>
      <c r="K1062" s="3" t="n"/>
      <c r="L1062" s="3" t="inlineStr"/>
      <c r="M1062" s="3" t="n"/>
      <c r="N1062" s="3" t="inlineStr"/>
      <c r="O1062" s="3" t="n"/>
      <c r="P1062" s="3" t="n"/>
      <c r="Q1062" s="3" t="n"/>
      <c r="R1062" s="3" t="n"/>
      <c r="S1062" s="3" t="n"/>
      <c r="T1062" s="3" t="n"/>
      <c r="U1062" s="3" t="n"/>
      <c r="V1062" s="3" t="n"/>
      <c r="W1062" s="3" t="n"/>
      <c r="X1062" s="3" t="n"/>
      <c r="Y1062" s="3" t="n"/>
      <c r="Z1062" s="3" t="n"/>
      <c r="AA1062" s="3" t="n"/>
    </row>
    <row r="1063">
      <c r="A1063" s="105" t="n"/>
      <c r="B1063" s="105" t="n"/>
      <c r="C1063" s="3" t="n"/>
      <c r="D1063" s="3" t="n"/>
      <c r="E1063" s="3" t="n"/>
      <c r="F1063" s="3" t="n"/>
      <c r="G1063" s="3" t="n"/>
      <c r="H1063" s="3" t="inlineStr"/>
      <c r="I1063" s="3" t="n"/>
      <c r="J1063" s="3" t="n"/>
      <c r="K1063" s="3" t="n"/>
      <c r="L1063" s="3" t="inlineStr"/>
      <c r="M1063" s="3" t="n"/>
      <c r="N1063" s="3" t="inlineStr"/>
      <c r="O1063" s="3" t="n"/>
      <c r="P1063" s="3" t="n"/>
      <c r="Q1063" s="3" t="n"/>
      <c r="R1063" s="3" t="n"/>
      <c r="S1063" s="3" t="n"/>
      <c r="T1063" s="3" t="n"/>
      <c r="U1063" s="3" t="n"/>
      <c r="V1063" s="3" t="n"/>
      <c r="W1063" s="3" t="n"/>
      <c r="X1063" s="3" t="n"/>
      <c r="Y1063" s="3" t="n"/>
      <c r="Z1063" s="3" t="n"/>
      <c r="AA1063" s="3" t="n"/>
    </row>
    <row r="1064">
      <c r="A1064" s="105" t="n"/>
      <c r="B1064" s="105" t="n"/>
      <c r="C1064" s="3" t="n"/>
      <c r="D1064" s="3" t="n"/>
      <c r="E1064" s="3" t="n"/>
      <c r="F1064" s="3" t="n"/>
      <c r="G1064" s="3" t="n"/>
      <c r="H1064" s="3" t="inlineStr"/>
      <c r="I1064" s="3" t="n"/>
      <c r="J1064" s="3" t="n"/>
      <c r="K1064" s="3" t="n"/>
      <c r="L1064" s="3" t="inlineStr"/>
      <c r="M1064" s="3" t="n"/>
      <c r="N1064" s="3" t="inlineStr"/>
      <c r="O1064" s="3" t="n"/>
      <c r="P1064" s="3" t="n"/>
      <c r="Q1064" s="3" t="n"/>
      <c r="R1064" s="3" t="n"/>
      <c r="S1064" s="3" t="n"/>
      <c r="T1064" s="3" t="n"/>
      <c r="U1064" s="3" t="n"/>
      <c r="V1064" s="3" t="n"/>
      <c r="W1064" s="3" t="n"/>
      <c r="X1064" s="3" t="n"/>
      <c r="Y1064" s="3" t="n"/>
      <c r="Z1064" s="3" t="n"/>
      <c r="AA1064" s="3" t="n"/>
    </row>
    <row r="1065">
      <c r="A1065" s="105" t="n"/>
      <c r="B1065" s="105" t="n"/>
      <c r="C1065" s="3" t="n"/>
      <c r="D1065" s="3" t="n"/>
      <c r="E1065" s="3" t="n"/>
      <c r="F1065" s="3" t="n"/>
      <c r="G1065" s="3" t="n"/>
      <c r="H1065" s="3" t="inlineStr"/>
      <c r="I1065" s="3" t="n"/>
      <c r="J1065" s="3" t="n"/>
      <c r="K1065" s="3" t="n"/>
      <c r="L1065" s="3" t="inlineStr"/>
      <c r="M1065" s="3" t="n"/>
      <c r="N1065" s="3" t="inlineStr"/>
      <c r="O1065" s="3" t="n"/>
      <c r="P1065" s="3" t="n"/>
      <c r="Q1065" s="3" t="n"/>
      <c r="R1065" s="3" t="n"/>
      <c r="S1065" s="3" t="n"/>
      <c r="T1065" s="3" t="n"/>
      <c r="U1065" s="3" t="n"/>
      <c r="V1065" s="3" t="n"/>
      <c r="W1065" s="3" t="n"/>
      <c r="X1065" s="3" t="n"/>
      <c r="Y1065" s="3" t="n"/>
      <c r="Z1065" s="3" t="n"/>
      <c r="AA1065" s="3" t="n"/>
    </row>
    <row r="1066">
      <c r="A1066" s="105" t="n"/>
      <c r="B1066" s="105" t="n"/>
      <c r="C1066" s="3" t="n"/>
      <c r="D1066" s="3" t="n"/>
      <c r="E1066" s="3" t="n"/>
      <c r="F1066" s="3" t="n"/>
      <c r="G1066" s="3" t="n"/>
      <c r="H1066" s="3" t="inlineStr"/>
      <c r="I1066" s="3" t="n"/>
      <c r="J1066" s="3" t="n"/>
      <c r="K1066" s="3" t="n"/>
      <c r="L1066" s="3" t="inlineStr"/>
      <c r="M1066" s="3" t="n"/>
      <c r="N1066" s="3" t="inlineStr"/>
      <c r="O1066" s="3" t="n"/>
      <c r="P1066" s="3" t="n"/>
      <c r="Q1066" s="3" t="n"/>
      <c r="R1066" s="3" t="n"/>
      <c r="S1066" s="3" t="n"/>
      <c r="T1066" s="3" t="n"/>
      <c r="U1066" s="3" t="n"/>
      <c r="V1066" s="3" t="n"/>
      <c r="W1066" s="3" t="n"/>
      <c r="X1066" s="3" t="n"/>
      <c r="Y1066" s="3" t="n"/>
      <c r="Z1066" s="3" t="n"/>
      <c r="AA1066" s="3" t="n"/>
    </row>
    <row r="1067">
      <c r="A1067" s="105" t="n"/>
      <c r="B1067" s="105" t="n"/>
      <c r="C1067" s="3" t="n"/>
      <c r="D1067" s="3" t="n"/>
      <c r="E1067" s="3" t="n"/>
      <c r="F1067" s="3" t="n"/>
      <c r="G1067" s="3" t="n"/>
      <c r="H1067" s="3" t="inlineStr"/>
      <c r="I1067" s="3" t="n"/>
      <c r="J1067" s="3" t="n"/>
      <c r="K1067" s="3" t="n"/>
      <c r="L1067" s="3" t="inlineStr"/>
      <c r="M1067" s="3" t="n"/>
      <c r="N1067" s="3" t="inlineStr"/>
      <c r="O1067" s="3" t="n"/>
      <c r="P1067" s="3" t="n"/>
      <c r="Q1067" s="3" t="n"/>
      <c r="R1067" s="3" t="n"/>
      <c r="S1067" s="3" t="n"/>
      <c r="T1067" s="3" t="n"/>
      <c r="U1067" s="3" t="n"/>
      <c r="V1067" s="3" t="n"/>
      <c r="W1067" s="3" t="n"/>
      <c r="X1067" s="3" t="n"/>
      <c r="Y1067" s="3" t="n"/>
      <c r="Z1067" s="3" t="n"/>
      <c r="AA1067" s="3" t="n"/>
    </row>
    <row r="1068">
      <c r="A1068" s="105" t="n"/>
      <c r="B1068" s="105" t="n"/>
      <c r="C1068" s="3" t="n"/>
      <c r="D1068" s="3" t="n"/>
      <c r="E1068" s="3" t="n"/>
      <c r="F1068" s="3" t="n"/>
      <c r="G1068" s="3" t="n"/>
      <c r="H1068" s="3" t="inlineStr"/>
      <c r="I1068" s="3" t="n"/>
      <c r="J1068" s="3" t="n"/>
      <c r="K1068" s="3" t="n"/>
      <c r="L1068" s="3" t="inlineStr"/>
      <c r="M1068" s="3" t="n"/>
      <c r="N1068" s="3" t="inlineStr"/>
      <c r="O1068" s="3" t="n"/>
      <c r="P1068" s="3" t="n"/>
      <c r="Q1068" s="3" t="n"/>
      <c r="R1068" s="3" t="n"/>
      <c r="S1068" s="3" t="n"/>
      <c r="T1068" s="3" t="n"/>
      <c r="U1068" s="3" t="n"/>
      <c r="V1068" s="3" t="n"/>
      <c r="W1068" s="3" t="n"/>
      <c r="X1068" s="3" t="n"/>
      <c r="Y1068" s="3" t="n"/>
      <c r="Z1068" s="3" t="n"/>
      <c r="AA1068" s="3" t="n"/>
    </row>
    <row r="1069">
      <c r="A1069" s="105" t="n"/>
      <c r="B1069" s="105" t="n"/>
      <c r="C1069" s="3" t="n"/>
      <c r="D1069" s="3" t="n"/>
      <c r="E1069" s="3" t="n"/>
      <c r="F1069" s="3" t="n"/>
      <c r="G1069" s="3" t="n"/>
      <c r="H1069" s="3" t="inlineStr"/>
      <c r="I1069" s="3" t="n"/>
      <c r="J1069" s="3" t="n"/>
      <c r="K1069" s="3" t="n"/>
      <c r="L1069" s="3" t="inlineStr"/>
      <c r="M1069" s="3" t="n"/>
      <c r="N1069" s="3" t="inlineStr"/>
      <c r="O1069" s="3" t="n"/>
      <c r="P1069" s="3" t="n"/>
      <c r="Q1069" s="3" t="n"/>
      <c r="R1069" s="3" t="n"/>
      <c r="S1069" s="3" t="n"/>
      <c r="T1069" s="3" t="n"/>
      <c r="U1069" s="3" t="n"/>
      <c r="V1069" s="3" t="n"/>
      <c r="W1069" s="3" t="n"/>
      <c r="X1069" s="3" t="n"/>
      <c r="Y1069" s="3" t="n"/>
      <c r="Z1069" s="3" t="n"/>
      <c r="AA1069" s="3" t="n"/>
    </row>
    <row r="1070">
      <c r="A1070" s="105" t="n"/>
      <c r="B1070" s="105" t="n"/>
      <c r="C1070" s="3" t="n"/>
      <c r="D1070" s="3" t="n"/>
      <c r="E1070" s="3" t="n"/>
      <c r="F1070" s="3" t="n"/>
      <c r="G1070" s="3" t="n"/>
      <c r="H1070" s="3" t="inlineStr"/>
      <c r="I1070" s="3" t="n"/>
      <c r="J1070" s="3" t="n"/>
      <c r="K1070" s="3" t="n"/>
      <c r="L1070" s="3" t="inlineStr"/>
      <c r="M1070" s="3" t="n"/>
      <c r="N1070" s="3" t="inlineStr"/>
      <c r="O1070" s="3" t="n"/>
      <c r="P1070" s="3" t="n"/>
      <c r="Q1070" s="3" t="n"/>
      <c r="R1070" s="3" t="n"/>
      <c r="S1070" s="3" t="n"/>
      <c r="T1070" s="3" t="n"/>
      <c r="U1070" s="3" t="n"/>
      <c r="V1070" s="3" t="n"/>
      <c r="W1070" s="3" t="n"/>
      <c r="X1070" s="3" t="n"/>
      <c r="Y1070" s="3" t="n"/>
      <c r="Z1070" s="3" t="n"/>
      <c r="AA1070" s="3" t="n"/>
    </row>
    <row r="1071">
      <c r="A1071" s="105" t="n"/>
      <c r="B1071" s="105" t="n"/>
      <c r="C1071" s="3" t="n"/>
      <c r="D1071" s="3" t="n"/>
      <c r="E1071" s="3" t="n"/>
      <c r="F1071" s="3" t="n"/>
      <c r="G1071" s="3" t="n"/>
      <c r="H1071" s="3" t="inlineStr"/>
      <c r="I1071" s="3" t="n"/>
      <c r="J1071" s="3" t="n"/>
      <c r="K1071" s="3" t="n"/>
      <c r="L1071" s="3" t="inlineStr"/>
      <c r="M1071" s="3" t="n"/>
      <c r="N1071" s="3" t="inlineStr"/>
      <c r="O1071" s="3" t="n"/>
      <c r="P1071" s="3" t="n"/>
      <c r="Q1071" s="3" t="n"/>
      <c r="R1071" s="3" t="n"/>
      <c r="S1071" s="3" t="n"/>
      <c r="T1071" s="3" t="n"/>
      <c r="U1071" s="3" t="n"/>
      <c r="V1071" s="3" t="n"/>
      <c r="W1071" s="3" t="n"/>
      <c r="X1071" s="3" t="n"/>
      <c r="Y1071" s="3" t="n"/>
      <c r="Z1071" s="3" t="n"/>
      <c r="AA1071" s="3" t="n"/>
    </row>
    <row r="1072">
      <c r="A1072" s="105" t="n"/>
      <c r="B1072" s="105" t="n"/>
      <c r="C1072" s="3" t="n"/>
      <c r="D1072" s="3" t="n"/>
      <c r="E1072" s="3" t="n"/>
      <c r="F1072" s="3" t="n"/>
      <c r="G1072" s="3" t="n"/>
      <c r="H1072" s="3" t="inlineStr"/>
      <c r="I1072" s="3" t="n"/>
      <c r="J1072" s="3" t="n"/>
      <c r="K1072" s="3" t="n"/>
      <c r="L1072" s="3" t="inlineStr"/>
      <c r="M1072" s="3" t="n"/>
      <c r="N1072" s="3" t="inlineStr"/>
      <c r="O1072" s="3" t="n"/>
      <c r="P1072" s="3" t="n"/>
      <c r="Q1072" s="3" t="n"/>
      <c r="R1072" s="3" t="n"/>
      <c r="S1072" s="3" t="n"/>
      <c r="T1072" s="3" t="n"/>
      <c r="U1072" s="3" t="n"/>
      <c r="V1072" s="3" t="n"/>
      <c r="W1072" s="3" t="n"/>
      <c r="X1072" s="3" t="n"/>
      <c r="Y1072" s="3" t="n"/>
      <c r="Z1072" s="3" t="n"/>
      <c r="AA1072" s="3" t="n"/>
    </row>
    <row r="1073">
      <c r="A1073" s="105" t="n"/>
      <c r="B1073" s="105" t="n"/>
      <c r="C1073" s="3" t="n"/>
      <c r="D1073" s="3" t="n"/>
      <c r="E1073" s="3" t="n"/>
      <c r="F1073" s="3" t="n"/>
      <c r="G1073" s="3" t="n"/>
      <c r="H1073" s="3" t="inlineStr"/>
      <c r="I1073" s="3" t="n"/>
      <c r="J1073" s="3" t="n"/>
      <c r="K1073" s="3" t="n"/>
      <c r="L1073" s="3" t="inlineStr"/>
      <c r="M1073" s="3" t="n"/>
      <c r="N1073" s="3" t="inlineStr"/>
      <c r="O1073" s="3" t="n"/>
      <c r="P1073" s="3" t="n"/>
      <c r="Q1073" s="3" t="n"/>
      <c r="R1073" s="3" t="n"/>
      <c r="S1073" s="3" t="n"/>
      <c r="T1073" s="3" t="n"/>
      <c r="U1073" s="3" t="n"/>
      <c r="V1073" s="3" t="n"/>
      <c r="W1073" s="3" t="n"/>
      <c r="X1073" s="3" t="n"/>
      <c r="Y1073" s="3" t="n"/>
      <c r="Z1073" s="3" t="n"/>
      <c r="AA1073" s="3" t="n"/>
    </row>
    <row r="1074">
      <c r="A1074" s="105" t="n"/>
      <c r="B1074" s="105" t="n"/>
      <c r="C1074" s="3" t="n"/>
      <c r="D1074" s="3" t="n"/>
      <c r="E1074" s="3" t="n"/>
      <c r="F1074" s="3" t="n"/>
      <c r="G1074" s="3" t="n"/>
      <c r="H1074" s="3" t="inlineStr"/>
      <c r="I1074" s="3" t="n"/>
      <c r="J1074" s="3" t="n"/>
      <c r="K1074" s="3" t="n"/>
      <c r="L1074" s="3" t="inlineStr"/>
      <c r="M1074" s="3" t="n"/>
      <c r="N1074" s="3" t="inlineStr"/>
      <c r="O1074" s="3" t="n"/>
      <c r="P1074" s="3" t="n"/>
      <c r="Q1074" s="3" t="n"/>
      <c r="R1074" s="3" t="n"/>
      <c r="S1074" s="3" t="n"/>
      <c r="T1074" s="3" t="n"/>
      <c r="U1074" s="3" t="n"/>
      <c r="V1074" s="3" t="n"/>
      <c r="W1074" s="3" t="n"/>
      <c r="X1074" s="3" t="n"/>
      <c r="Y1074" s="3" t="n"/>
      <c r="Z1074" s="3" t="n"/>
      <c r="AA1074" s="3" t="n"/>
    </row>
    <row r="1075">
      <c r="A1075" s="105" t="n"/>
      <c r="B1075" s="105" t="n"/>
      <c r="C1075" s="3" t="n"/>
      <c r="D1075" s="3" t="n"/>
      <c r="E1075" s="3" t="n"/>
      <c r="F1075" s="3" t="n"/>
      <c r="G1075" s="3" t="n"/>
      <c r="H1075" s="3" t="inlineStr"/>
      <c r="I1075" s="3" t="n"/>
      <c r="J1075" s="3" t="n"/>
      <c r="K1075" s="3" t="n"/>
      <c r="L1075" s="3" t="inlineStr"/>
      <c r="M1075" s="3" t="n"/>
      <c r="N1075" s="3" t="inlineStr"/>
      <c r="O1075" s="3" t="n"/>
      <c r="P1075" s="3" t="n"/>
      <c r="Q1075" s="3" t="n"/>
      <c r="R1075" s="3" t="n"/>
      <c r="S1075" s="3" t="n"/>
      <c r="T1075" s="3" t="n"/>
      <c r="U1075" s="3" t="n"/>
      <c r="V1075" s="3" t="n"/>
      <c r="W1075" s="3" t="n"/>
      <c r="X1075" s="3" t="n"/>
      <c r="Y1075" s="3" t="n"/>
      <c r="Z1075" s="3" t="n"/>
      <c r="AA1075" s="3" t="n"/>
    </row>
    <row r="1076">
      <c r="A1076" s="105" t="n"/>
      <c r="B1076" s="105" t="n"/>
      <c r="C1076" s="3" t="n"/>
      <c r="D1076" s="3" t="n"/>
      <c r="E1076" s="3" t="n"/>
      <c r="F1076" s="3" t="n"/>
      <c r="G1076" s="3" t="n"/>
      <c r="H1076" s="3" t="inlineStr"/>
      <c r="I1076" s="3" t="n"/>
      <c r="J1076" s="3" t="n"/>
      <c r="K1076" s="3" t="n"/>
      <c r="L1076" s="3" t="inlineStr"/>
      <c r="M1076" s="3" t="n"/>
      <c r="N1076" s="3" t="inlineStr"/>
      <c r="O1076" s="3" t="n"/>
      <c r="P1076" s="3" t="n"/>
      <c r="Q1076" s="3" t="n"/>
      <c r="R1076" s="3" t="n"/>
      <c r="S1076" s="3" t="n"/>
      <c r="T1076" s="3" t="n"/>
      <c r="U1076" s="3" t="n"/>
      <c r="V1076" s="3" t="n"/>
      <c r="W1076" s="3" t="n"/>
      <c r="X1076" s="3" t="n"/>
      <c r="Y1076" s="3" t="n"/>
      <c r="Z1076" s="3" t="n"/>
      <c r="AA1076" s="3" t="n"/>
    </row>
    <row r="1077">
      <c r="A1077" s="105" t="n"/>
      <c r="B1077" s="105" t="n"/>
      <c r="C1077" s="3" t="n"/>
      <c r="D1077" s="3" t="n"/>
      <c r="E1077" s="3" t="n"/>
      <c r="F1077" s="3" t="n"/>
      <c r="G1077" s="3" t="n"/>
      <c r="H1077" s="3" t="inlineStr"/>
      <c r="I1077" s="3" t="n"/>
      <c r="J1077" s="3" t="n"/>
      <c r="K1077" s="3" t="n"/>
      <c r="L1077" s="3" t="inlineStr"/>
      <c r="M1077" s="3" t="n"/>
      <c r="N1077" s="3" t="inlineStr"/>
      <c r="O1077" s="3" t="n"/>
      <c r="P1077" s="3" t="n"/>
      <c r="Q1077" s="3" t="n"/>
      <c r="R1077" s="3" t="n"/>
      <c r="S1077" s="3" t="n"/>
      <c r="T1077" s="3" t="n"/>
      <c r="U1077" s="3" t="n"/>
      <c r="V1077" s="3" t="n"/>
      <c r="W1077" s="3" t="n"/>
      <c r="X1077" s="3" t="n"/>
      <c r="Y1077" s="3" t="n"/>
      <c r="Z1077" s="3" t="n"/>
      <c r="AA1077" s="3" t="n"/>
    </row>
    <row r="1078">
      <c r="A1078" s="105" t="n"/>
      <c r="B1078" s="105" t="n"/>
      <c r="C1078" s="3" t="n"/>
      <c r="D1078" s="3" t="n"/>
      <c r="E1078" s="3" t="n"/>
      <c r="F1078" s="3" t="n"/>
      <c r="G1078" s="3" t="n"/>
      <c r="H1078" s="3" t="inlineStr"/>
      <c r="I1078" s="3" t="n"/>
      <c r="J1078" s="3" t="n"/>
      <c r="K1078" s="3" t="n"/>
      <c r="L1078" s="3" t="inlineStr"/>
      <c r="M1078" s="3" t="n"/>
      <c r="N1078" s="3" t="inlineStr"/>
      <c r="O1078" s="3" t="n"/>
      <c r="P1078" s="3" t="n"/>
      <c r="Q1078" s="3" t="n"/>
      <c r="R1078" s="3" t="n"/>
      <c r="S1078" s="3" t="n"/>
      <c r="T1078" s="3" t="n"/>
      <c r="U1078" s="3" t="n"/>
      <c r="V1078" s="3" t="n"/>
      <c r="W1078" s="3" t="n"/>
      <c r="X1078" s="3" t="n"/>
      <c r="Y1078" s="3" t="n"/>
      <c r="Z1078" s="3" t="n"/>
      <c r="AA1078" s="3" t="n"/>
    </row>
    <row r="1079">
      <c r="A1079" s="105" t="n"/>
      <c r="B1079" s="105" t="n"/>
      <c r="C1079" s="3" t="n"/>
      <c r="D1079" s="3" t="n"/>
      <c r="E1079" s="3" t="n"/>
      <c r="F1079" s="3" t="n"/>
      <c r="G1079" s="3" t="n"/>
      <c r="H1079" s="3" t="inlineStr"/>
      <c r="I1079" s="3" t="n"/>
      <c r="J1079" s="3" t="n"/>
      <c r="K1079" s="3" t="n"/>
      <c r="L1079" s="3" t="inlineStr"/>
      <c r="M1079" s="3" t="n"/>
      <c r="N1079" s="3" t="inlineStr"/>
      <c r="O1079" s="3" t="n"/>
      <c r="P1079" s="3" t="n"/>
      <c r="Q1079" s="3" t="n"/>
      <c r="R1079" s="3" t="n"/>
      <c r="S1079" s="3" t="n"/>
      <c r="T1079" s="3" t="n"/>
      <c r="U1079" s="3" t="n"/>
      <c r="V1079" s="3" t="n"/>
      <c r="W1079" s="3" t="n"/>
      <c r="X1079" s="3" t="n"/>
      <c r="Y1079" s="3" t="n"/>
      <c r="Z1079" s="3" t="n"/>
      <c r="AA1079" s="3" t="n"/>
    </row>
    <row r="1080">
      <c r="A1080" s="105" t="n"/>
      <c r="B1080" s="105" t="n"/>
      <c r="C1080" s="3" t="n"/>
      <c r="D1080" s="3" t="n"/>
      <c r="E1080" s="3" t="n"/>
      <c r="F1080" s="3" t="n"/>
      <c r="G1080" s="3" t="n"/>
      <c r="H1080" s="3" t="inlineStr"/>
      <c r="I1080" s="3" t="n"/>
      <c r="J1080" s="3" t="n"/>
      <c r="K1080" s="3" t="n"/>
      <c r="L1080" s="3" t="inlineStr"/>
      <c r="M1080" s="3" t="n"/>
      <c r="N1080" s="3" t="inlineStr"/>
      <c r="O1080" s="3" t="n"/>
      <c r="P1080" s="3" t="n"/>
      <c r="Q1080" s="3" t="n"/>
      <c r="R1080" s="3" t="n"/>
      <c r="S1080" s="3" t="n"/>
      <c r="T1080" s="3" t="n"/>
      <c r="U1080" s="3" t="n"/>
      <c r="V1080" s="3" t="n"/>
      <c r="W1080" s="3" t="n"/>
      <c r="X1080" s="3" t="n"/>
      <c r="Y1080" s="3" t="n"/>
      <c r="Z1080" s="3" t="n"/>
      <c r="AA1080" s="3" t="n"/>
    </row>
    <row r="1081">
      <c r="A1081" s="105" t="n"/>
      <c r="B1081" s="105" t="n"/>
      <c r="C1081" s="3" t="n"/>
      <c r="D1081" s="3" t="n"/>
      <c r="E1081" s="3" t="n"/>
      <c r="F1081" s="3" t="n"/>
      <c r="G1081" s="3" t="n"/>
      <c r="H1081" s="3" t="inlineStr"/>
      <c r="I1081" s="3" t="n"/>
      <c r="J1081" s="3" t="n"/>
      <c r="K1081" s="3" t="n"/>
      <c r="L1081" s="3" t="inlineStr"/>
      <c r="M1081" s="3" t="n"/>
      <c r="N1081" s="3" t="inlineStr"/>
      <c r="O1081" s="3" t="n"/>
      <c r="P1081" s="3" t="n"/>
      <c r="Q1081" s="3" t="n"/>
      <c r="R1081" s="3" t="n"/>
      <c r="S1081" s="3" t="n"/>
      <c r="T1081" s="3" t="n"/>
      <c r="U1081" s="3" t="n"/>
      <c r="V1081" s="3" t="n"/>
      <c r="W1081" s="3" t="n"/>
      <c r="X1081" s="3" t="n"/>
      <c r="Y1081" s="3" t="n"/>
      <c r="Z1081" s="3" t="n"/>
      <c r="AA1081" s="3" t="n"/>
    </row>
    <row r="1082">
      <c r="A1082" s="105" t="n"/>
      <c r="B1082" s="105" t="n"/>
      <c r="C1082" s="3" t="n"/>
      <c r="D1082" s="3" t="n"/>
      <c r="E1082" s="3" t="n"/>
      <c r="F1082" s="3" t="n"/>
      <c r="G1082" s="3" t="n"/>
      <c r="H1082" s="3" t="inlineStr"/>
      <c r="I1082" s="3" t="n"/>
      <c r="J1082" s="3" t="n"/>
      <c r="K1082" s="3" t="n"/>
      <c r="L1082" s="3" t="inlineStr"/>
      <c r="M1082" s="3" t="n"/>
      <c r="N1082" s="3" t="inlineStr"/>
      <c r="O1082" s="3" t="n"/>
      <c r="P1082" s="3" t="n"/>
      <c r="Q1082" s="3" t="n"/>
      <c r="R1082" s="3" t="n"/>
      <c r="S1082" s="3" t="n"/>
      <c r="T1082" s="3" t="n"/>
      <c r="U1082" s="3" t="n"/>
      <c r="V1082" s="3" t="n"/>
      <c r="W1082" s="3" t="n"/>
      <c r="X1082" s="3" t="n"/>
      <c r="Y1082" s="3" t="n"/>
      <c r="Z1082" s="3" t="n"/>
      <c r="AA1082" s="3" t="n"/>
    </row>
    <row r="1083">
      <c r="A1083" s="105" t="n"/>
      <c r="B1083" s="105" t="n"/>
      <c r="C1083" s="3" t="n"/>
      <c r="D1083" s="3" t="n"/>
      <c r="E1083" s="3" t="n"/>
      <c r="F1083" s="3" t="n"/>
      <c r="G1083" s="3" t="n"/>
      <c r="H1083" s="3" t="inlineStr"/>
      <c r="I1083" s="3" t="n"/>
      <c r="J1083" s="3" t="n"/>
      <c r="K1083" s="3" t="n"/>
      <c r="L1083" s="3" t="inlineStr"/>
      <c r="M1083" s="3" t="n"/>
      <c r="N1083" s="3" t="inlineStr"/>
      <c r="O1083" s="3" t="n"/>
      <c r="P1083" s="3" t="n"/>
      <c r="Q1083" s="3" t="n"/>
      <c r="R1083" s="3" t="n"/>
      <c r="S1083" s="3" t="n"/>
      <c r="T1083" s="3" t="n"/>
      <c r="U1083" s="3" t="n"/>
      <c r="V1083" s="3" t="n"/>
      <c r="W1083" s="3" t="n"/>
      <c r="X1083" s="3" t="n"/>
      <c r="Y1083" s="3" t="n"/>
      <c r="Z1083" s="3" t="n"/>
      <c r="AA1083" s="3" t="n"/>
    </row>
    <row r="1084">
      <c r="A1084" s="105" t="n"/>
      <c r="B1084" s="105" t="n"/>
      <c r="C1084" s="3" t="n"/>
      <c r="D1084" s="3" t="n"/>
      <c r="E1084" s="3" t="n"/>
      <c r="F1084" s="3" t="n"/>
      <c r="G1084" s="3" t="n"/>
      <c r="H1084" s="3" t="inlineStr"/>
      <c r="I1084" s="3" t="n"/>
      <c r="J1084" s="3" t="n"/>
      <c r="K1084" s="3" t="n"/>
      <c r="L1084" s="3" t="inlineStr"/>
      <c r="M1084" s="3" t="n"/>
      <c r="N1084" s="3" t="inlineStr"/>
      <c r="O1084" s="3" t="n"/>
      <c r="P1084" s="3" t="n"/>
      <c r="Q1084" s="3" t="n"/>
      <c r="R1084" s="3" t="n"/>
      <c r="S1084" s="3" t="n"/>
      <c r="T1084" s="3" t="n"/>
      <c r="U1084" s="3" t="n"/>
      <c r="V1084" s="3" t="n"/>
      <c r="W1084" s="3" t="n"/>
      <c r="X1084" s="3" t="n"/>
      <c r="Y1084" s="3" t="n"/>
      <c r="Z1084" s="3" t="n"/>
      <c r="AA1084" s="3" t="n"/>
    </row>
    <row r="1085">
      <c r="A1085" s="105" t="n"/>
      <c r="B1085" s="105" t="n"/>
      <c r="C1085" s="3" t="n"/>
      <c r="D1085" s="3" t="n"/>
      <c r="E1085" s="3" t="n"/>
      <c r="F1085" s="3" t="n"/>
      <c r="G1085" s="3" t="n"/>
      <c r="H1085" s="3" t="inlineStr"/>
      <c r="I1085" s="3" t="n"/>
      <c r="J1085" s="3" t="n"/>
      <c r="K1085" s="3" t="n"/>
      <c r="L1085" s="3" t="inlineStr"/>
      <c r="M1085" s="3" t="n"/>
      <c r="N1085" s="3" t="inlineStr"/>
      <c r="O1085" s="3" t="n"/>
      <c r="P1085" s="3" t="n"/>
      <c r="Q1085" s="3" t="n"/>
      <c r="R1085" s="3" t="n"/>
      <c r="S1085" s="3" t="n"/>
      <c r="T1085" s="3" t="n"/>
      <c r="U1085" s="3" t="n"/>
      <c r="V1085" s="3" t="n"/>
      <c r="W1085" s="3" t="n"/>
      <c r="X1085" s="3" t="n"/>
      <c r="Y1085" s="3" t="n"/>
      <c r="Z1085" s="3" t="n"/>
      <c r="AA1085" s="3" t="n"/>
    </row>
    <row r="1086">
      <c r="A1086" s="105" t="n"/>
      <c r="B1086" s="105" t="n"/>
      <c r="C1086" s="3" t="n"/>
      <c r="D1086" s="3" t="n"/>
      <c r="E1086" s="3" t="n"/>
      <c r="F1086" s="3" t="n"/>
      <c r="G1086" s="3" t="n"/>
      <c r="H1086" s="3" t="inlineStr"/>
      <c r="I1086" s="3" t="n"/>
      <c r="J1086" s="3" t="n"/>
      <c r="K1086" s="3" t="n"/>
      <c r="L1086" s="3" t="inlineStr"/>
      <c r="M1086" s="3" t="n"/>
      <c r="N1086" s="3" t="inlineStr"/>
      <c r="O1086" s="3" t="n"/>
      <c r="P1086" s="3" t="n"/>
      <c r="Q1086" s="3" t="n"/>
      <c r="R1086" s="3" t="n"/>
      <c r="S1086" s="3" t="n"/>
      <c r="T1086" s="3" t="n"/>
      <c r="U1086" s="3" t="n"/>
      <c r="V1086" s="3" t="n"/>
      <c r="W1086" s="3" t="n"/>
      <c r="X1086" s="3" t="n"/>
      <c r="Y1086" s="3" t="n"/>
      <c r="Z1086" s="3" t="n"/>
      <c r="AA1086" s="3" t="n"/>
    </row>
    <row r="1087">
      <c r="A1087" s="105" t="n"/>
      <c r="B1087" s="105" t="n"/>
      <c r="C1087" s="3" t="n"/>
      <c r="D1087" s="3" t="n"/>
      <c r="E1087" s="3" t="n"/>
      <c r="F1087" s="3" t="n"/>
      <c r="G1087" s="3" t="n"/>
      <c r="H1087" s="3" t="inlineStr"/>
      <c r="I1087" s="3" t="n"/>
      <c r="J1087" s="3" t="n"/>
      <c r="K1087" s="3" t="n"/>
      <c r="L1087" s="3" t="inlineStr"/>
      <c r="M1087" s="3" t="n"/>
      <c r="N1087" s="3" t="inlineStr"/>
      <c r="O1087" s="3" t="n"/>
      <c r="P1087" s="3" t="n"/>
      <c r="Q1087" s="3" t="n"/>
      <c r="R1087" s="3" t="n"/>
      <c r="S1087" s="3" t="n"/>
      <c r="T1087" s="3" t="n"/>
      <c r="U1087" s="3" t="n"/>
      <c r="V1087" s="3" t="n"/>
      <c r="W1087" s="3" t="n"/>
      <c r="X1087" s="3" t="n"/>
      <c r="Y1087" s="3" t="n"/>
      <c r="Z1087" s="3" t="n"/>
      <c r="AA1087" s="3" t="n"/>
    </row>
    <row r="1088">
      <c r="A1088" s="105" t="n"/>
      <c r="B1088" s="105" t="n"/>
      <c r="C1088" s="3" t="n"/>
      <c r="D1088" s="3" t="n"/>
      <c r="E1088" s="3" t="n"/>
      <c r="F1088" s="3" t="n"/>
      <c r="G1088" s="3" t="n"/>
      <c r="H1088" s="3" t="inlineStr"/>
      <c r="I1088" s="3" t="n"/>
      <c r="J1088" s="3" t="n"/>
      <c r="K1088" s="3" t="n"/>
      <c r="L1088" s="3" t="inlineStr"/>
      <c r="M1088" s="3" t="n"/>
      <c r="N1088" s="3" t="inlineStr"/>
      <c r="O1088" s="3" t="n"/>
      <c r="P1088" s="3" t="n"/>
      <c r="Q1088" s="3" t="n"/>
      <c r="R1088" s="3" t="n"/>
      <c r="S1088" s="3" t="n"/>
      <c r="T1088" s="3" t="n"/>
      <c r="U1088" s="3" t="n"/>
      <c r="V1088" s="3" t="n"/>
      <c r="W1088" s="3" t="n"/>
      <c r="X1088" s="3" t="n"/>
      <c r="Y1088" s="3" t="n"/>
      <c r="Z1088" s="3" t="n"/>
      <c r="AA1088" s="3" t="n"/>
    </row>
    <row r="1089">
      <c r="A1089" s="105" t="n"/>
      <c r="B1089" s="105" t="n"/>
      <c r="C1089" s="3" t="n"/>
      <c r="D1089" s="3" t="n"/>
      <c r="E1089" s="3" t="n"/>
      <c r="F1089" s="3" t="n"/>
      <c r="G1089" s="3" t="n"/>
      <c r="H1089" s="3" t="inlineStr"/>
      <c r="I1089" s="3" t="n"/>
      <c r="J1089" s="3" t="n"/>
      <c r="K1089" s="3" t="n"/>
      <c r="L1089" s="3" t="inlineStr"/>
      <c r="M1089" s="3" t="n"/>
      <c r="N1089" s="3" t="inlineStr"/>
      <c r="O1089" s="3" t="n"/>
      <c r="P1089" s="3" t="n"/>
      <c r="Q1089" s="3" t="n"/>
      <c r="R1089" s="3" t="n"/>
      <c r="S1089" s="3" t="n"/>
      <c r="T1089" s="3" t="n"/>
      <c r="U1089" s="3" t="n"/>
      <c r="V1089" s="3" t="n"/>
      <c r="W1089" s="3" t="n"/>
      <c r="X1089" s="3" t="n"/>
      <c r="Y1089" s="3" t="n"/>
      <c r="Z1089" s="3" t="n"/>
      <c r="AA1089" s="3" t="n"/>
    </row>
    <row r="1090">
      <c r="A1090" s="105" t="n"/>
      <c r="B1090" s="105" t="n"/>
      <c r="C1090" s="3" t="n"/>
      <c r="D1090" s="3" t="n"/>
      <c r="E1090" s="3" t="n"/>
      <c r="F1090" s="3" t="n"/>
      <c r="G1090" s="3" t="n"/>
      <c r="H1090" s="3" t="inlineStr"/>
      <c r="I1090" s="3" t="n"/>
      <c r="J1090" s="3" t="n"/>
      <c r="K1090" s="3" t="n"/>
      <c r="L1090" s="3" t="inlineStr"/>
      <c r="M1090" s="3" t="n"/>
      <c r="N1090" s="3" t="inlineStr"/>
      <c r="O1090" s="3" t="n"/>
      <c r="P1090" s="3" t="n"/>
      <c r="Q1090" s="3" t="n"/>
      <c r="R1090" s="3" t="n"/>
      <c r="S1090" s="3" t="n"/>
      <c r="T1090" s="3" t="n"/>
      <c r="U1090" s="3" t="n"/>
      <c r="V1090" s="3" t="n"/>
      <c r="W1090" s="3" t="n"/>
      <c r="X1090" s="3" t="n"/>
      <c r="Y1090" s="3" t="n"/>
      <c r="Z1090" s="3" t="n"/>
      <c r="AA1090" s="3" t="n"/>
    </row>
    <row r="1091">
      <c r="A1091" s="105" t="n"/>
      <c r="B1091" s="105" t="n"/>
      <c r="C1091" s="3" t="n"/>
      <c r="D1091" s="3" t="n"/>
      <c r="E1091" s="3" t="n"/>
      <c r="F1091" s="3" t="n"/>
      <c r="G1091" s="3" t="n"/>
      <c r="H1091" s="3" t="inlineStr"/>
      <c r="I1091" s="3" t="n"/>
      <c r="J1091" s="3" t="n"/>
      <c r="K1091" s="3" t="n"/>
      <c r="L1091" s="3" t="inlineStr"/>
      <c r="M1091" s="3" t="n"/>
      <c r="N1091" s="3" t="inlineStr"/>
      <c r="O1091" s="3" t="n"/>
      <c r="P1091" s="3" t="n"/>
      <c r="Q1091" s="3" t="n"/>
      <c r="R1091" s="3" t="n"/>
      <c r="S1091" s="3" t="n"/>
      <c r="T1091" s="3" t="n"/>
      <c r="U1091" s="3" t="n"/>
      <c r="V1091" s="3" t="n"/>
      <c r="W1091" s="3" t="n"/>
      <c r="X1091" s="3" t="n"/>
      <c r="Y1091" s="3" t="n"/>
      <c r="Z1091" s="3" t="n"/>
      <c r="AA1091" s="3" t="n"/>
    </row>
    <row r="1092">
      <c r="A1092" s="105" t="n"/>
      <c r="B1092" s="105" t="n"/>
      <c r="C1092" s="3" t="n"/>
      <c r="D1092" s="3" t="n"/>
      <c r="E1092" s="3" t="n"/>
      <c r="F1092" s="3" t="n"/>
      <c r="G1092" s="3" t="n"/>
      <c r="H1092" s="3" t="inlineStr"/>
      <c r="I1092" s="3" t="n"/>
      <c r="J1092" s="3" t="n"/>
      <c r="K1092" s="3" t="n"/>
      <c r="L1092" s="3" t="inlineStr"/>
      <c r="M1092" s="3" t="n"/>
      <c r="N1092" s="3" t="inlineStr"/>
      <c r="O1092" s="3" t="n"/>
      <c r="P1092" s="3" t="n"/>
      <c r="Q1092" s="3" t="n"/>
      <c r="R1092" s="3" t="n"/>
      <c r="S1092" s="3" t="n"/>
      <c r="T1092" s="3" t="n"/>
      <c r="U1092" s="3" t="n"/>
      <c r="V1092" s="3" t="n"/>
      <c r="W1092" s="3" t="n"/>
      <c r="X1092" s="3" t="n"/>
      <c r="Y1092" s="3" t="n"/>
      <c r="Z1092" s="3" t="n"/>
      <c r="AA1092" s="3" t="n"/>
    </row>
    <row r="1093">
      <c r="A1093" s="105" t="n"/>
      <c r="B1093" s="105" t="n"/>
      <c r="C1093" s="3" t="n"/>
      <c r="D1093" s="3" t="n"/>
      <c r="E1093" s="3" t="n"/>
      <c r="F1093" s="3" t="n"/>
      <c r="G1093" s="3" t="n"/>
      <c r="H1093" s="3" t="inlineStr"/>
      <c r="I1093" s="3" t="n"/>
      <c r="J1093" s="3" t="n"/>
      <c r="K1093" s="3" t="n"/>
      <c r="L1093" s="3" t="inlineStr"/>
      <c r="M1093" s="3" t="n"/>
      <c r="N1093" s="3" t="inlineStr"/>
      <c r="O1093" s="3" t="n"/>
      <c r="P1093" s="3" t="n"/>
      <c r="Q1093" s="3" t="n"/>
      <c r="R1093" s="3" t="n"/>
      <c r="S1093" s="3" t="n"/>
      <c r="T1093" s="3" t="n"/>
      <c r="U1093" s="3" t="n"/>
      <c r="V1093" s="3" t="n"/>
      <c r="W1093" s="3" t="n"/>
      <c r="X1093" s="3" t="n"/>
      <c r="Y1093" s="3" t="n"/>
      <c r="Z1093" s="3" t="n"/>
      <c r="AA1093" s="3" t="n"/>
    </row>
    <row r="1094">
      <c r="A1094" s="105" t="n"/>
      <c r="B1094" s="105" t="n"/>
      <c r="C1094" s="3" t="n"/>
      <c r="D1094" s="3" t="n"/>
      <c r="E1094" s="3" t="n"/>
      <c r="F1094" s="3" t="n"/>
      <c r="G1094" s="3" t="n"/>
      <c r="H1094" s="3" t="inlineStr"/>
      <c r="I1094" s="3" t="n"/>
      <c r="J1094" s="3" t="n"/>
      <c r="K1094" s="3" t="n"/>
      <c r="L1094" s="3" t="inlineStr"/>
      <c r="M1094" s="3" t="n"/>
      <c r="N1094" s="3" t="inlineStr"/>
      <c r="O1094" s="3" t="n"/>
      <c r="P1094" s="3" t="n"/>
      <c r="Q1094" s="3" t="n"/>
      <c r="R1094" s="3" t="n"/>
      <c r="S1094" s="3" t="n"/>
      <c r="T1094" s="3" t="n"/>
      <c r="U1094" s="3" t="n"/>
      <c r="V1094" s="3" t="n"/>
      <c r="W1094" s="3" t="n"/>
      <c r="X1094" s="3" t="n"/>
      <c r="Y1094" s="3" t="n"/>
      <c r="Z1094" s="3" t="n"/>
      <c r="AA1094" s="3" t="n"/>
    </row>
    <row r="1095">
      <c r="A1095" s="105" t="n"/>
      <c r="B1095" s="105" t="n"/>
      <c r="C1095" s="3" t="n"/>
      <c r="D1095" s="3" t="n"/>
      <c r="E1095" s="3" t="n"/>
      <c r="F1095" s="3" t="n"/>
      <c r="G1095" s="3" t="n"/>
      <c r="H1095" s="3" t="inlineStr"/>
      <c r="I1095" s="3" t="n"/>
      <c r="J1095" s="3" t="n"/>
      <c r="K1095" s="3" t="n"/>
      <c r="L1095" s="3" t="inlineStr"/>
      <c r="M1095" s="3" t="n"/>
      <c r="N1095" s="3" t="inlineStr"/>
      <c r="O1095" s="3" t="n"/>
      <c r="P1095" s="3" t="n"/>
      <c r="Q1095" s="3" t="n"/>
      <c r="R1095" s="3" t="n"/>
      <c r="S1095" s="3" t="n"/>
      <c r="T1095" s="3" t="n"/>
      <c r="U1095" s="3" t="n"/>
      <c r="V1095" s="3" t="n"/>
      <c r="W1095" s="3" t="n"/>
      <c r="X1095" s="3" t="n"/>
      <c r="Y1095" s="3" t="n"/>
      <c r="Z1095" s="3" t="n"/>
      <c r="AA1095" s="3" t="n"/>
    </row>
    <row r="1096">
      <c r="A1096" s="105" t="n"/>
      <c r="B1096" s="105" t="n"/>
      <c r="C1096" s="3" t="n"/>
      <c r="D1096" s="3" t="n"/>
      <c r="E1096" s="3" t="n"/>
      <c r="F1096" s="3" t="n"/>
      <c r="G1096" s="3" t="n"/>
      <c r="H1096" s="3" t="inlineStr"/>
      <c r="I1096" s="3" t="n"/>
      <c r="J1096" s="3" t="n"/>
      <c r="K1096" s="3" t="n"/>
      <c r="L1096" s="3" t="inlineStr"/>
      <c r="M1096" s="3" t="n"/>
      <c r="N1096" s="3" t="inlineStr"/>
      <c r="O1096" s="3" t="n"/>
      <c r="P1096" s="3" t="n"/>
      <c r="Q1096" s="3" t="n"/>
      <c r="R1096" s="3" t="n"/>
      <c r="S1096" s="3" t="n"/>
      <c r="T1096" s="3" t="n"/>
      <c r="U1096" s="3" t="n"/>
      <c r="V1096" s="3" t="n"/>
      <c r="W1096" s="3" t="n"/>
      <c r="X1096" s="3" t="n"/>
      <c r="Y1096" s="3" t="n"/>
      <c r="Z1096" s="3" t="n"/>
      <c r="AA1096" s="3" t="n"/>
    </row>
    <row r="1097">
      <c r="A1097" s="105" t="n"/>
      <c r="B1097" s="105" t="n"/>
      <c r="C1097" s="3" t="n"/>
      <c r="D1097" s="3" t="n"/>
      <c r="E1097" s="3" t="n"/>
      <c r="F1097" s="3" t="n"/>
      <c r="G1097" s="3" t="n"/>
      <c r="H1097" s="3" t="inlineStr"/>
      <c r="I1097" s="3" t="n"/>
      <c r="J1097" s="3" t="n"/>
      <c r="K1097" s="3" t="n"/>
      <c r="L1097" s="3" t="inlineStr"/>
      <c r="M1097" s="3" t="n"/>
      <c r="N1097" s="3" t="inlineStr"/>
      <c r="O1097" s="3" t="n"/>
      <c r="P1097" s="3" t="n"/>
      <c r="Q1097" s="3" t="n"/>
      <c r="R1097" s="3" t="n"/>
      <c r="S1097" s="3" t="n"/>
      <c r="T1097" s="3" t="n"/>
      <c r="U1097" s="3" t="n"/>
      <c r="V1097" s="3" t="n"/>
      <c r="W1097" s="3" t="n"/>
      <c r="X1097" s="3" t="n"/>
      <c r="Y1097" s="3" t="n"/>
      <c r="Z1097" s="3" t="n"/>
      <c r="AA1097" s="3" t="n"/>
    </row>
    <row r="1098">
      <c r="A1098" s="105" t="n"/>
      <c r="B1098" s="105" t="n"/>
      <c r="C1098" s="3" t="n"/>
      <c r="D1098" s="3" t="n"/>
      <c r="E1098" s="3" t="n"/>
      <c r="F1098" s="3" t="n"/>
      <c r="G1098" s="3" t="n"/>
      <c r="H1098" s="3" t="inlineStr"/>
      <c r="I1098" s="3" t="n"/>
      <c r="J1098" s="3" t="n"/>
      <c r="K1098" s="3" t="n"/>
      <c r="L1098" s="3" t="inlineStr"/>
      <c r="M1098" s="3" t="n"/>
      <c r="N1098" s="3" t="inlineStr"/>
      <c r="O1098" s="3" t="n"/>
      <c r="P1098" s="3" t="n"/>
      <c r="Q1098" s="3" t="n"/>
      <c r="R1098" s="3" t="n"/>
      <c r="S1098" s="3" t="n"/>
      <c r="T1098" s="3" t="n"/>
      <c r="U1098" s="3" t="n"/>
      <c r="V1098" s="3" t="n"/>
      <c r="W1098" s="3" t="n"/>
      <c r="X1098" s="3" t="n"/>
      <c r="Y1098" s="3" t="n"/>
      <c r="Z1098" s="3" t="n"/>
      <c r="AA1098" s="3" t="n"/>
    </row>
    <row r="1099">
      <c r="A1099" s="105" t="n"/>
      <c r="B1099" s="105" t="n"/>
      <c r="C1099" s="3" t="n"/>
      <c r="D1099" s="3" t="n"/>
      <c r="E1099" s="3" t="n"/>
      <c r="F1099" s="3" t="n"/>
      <c r="G1099" s="3" t="n"/>
      <c r="H1099" s="3" t="inlineStr"/>
      <c r="I1099" s="3" t="n"/>
      <c r="J1099" s="3" t="n"/>
      <c r="K1099" s="3" t="n"/>
      <c r="L1099" s="3" t="inlineStr"/>
      <c r="M1099" s="3" t="n"/>
      <c r="N1099" s="3" t="inlineStr"/>
      <c r="O1099" s="3" t="n"/>
      <c r="P1099" s="3" t="n"/>
      <c r="Q1099" s="3" t="n"/>
      <c r="R1099" s="3" t="n"/>
      <c r="S1099" s="3" t="n"/>
      <c r="T1099" s="3" t="n"/>
      <c r="U1099" s="3" t="n"/>
      <c r="V1099" s="3" t="n"/>
      <c r="W1099" s="3" t="n"/>
      <c r="X1099" s="3" t="n"/>
      <c r="Y1099" s="3" t="n"/>
      <c r="Z1099" s="3" t="n"/>
      <c r="AA1099" s="3" t="n"/>
    </row>
    <row r="1100">
      <c r="A1100" s="105" t="n"/>
      <c r="B1100" s="105" t="n"/>
      <c r="C1100" s="3" t="n"/>
      <c r="D1100" s="3" t="n"/>
      <c r="E1100" s="3" t="n"/>
      <c r="F1100" s="3" t="n"/>
      <c r="G1100" s="3" t="n"/>
      <c r="H1100" s="3" t="inlineStr"/>
      <c r="I1100" s="3" t="n"/>
      <c r="J1100" s="3" t="n"/>
      <c r="K1100" s="3" t="n"/>
      <c r="L1100" s="3" t="inlineStr"/>
      <c r="M1100" s="3" t="n"/>
      <c r="N1100" s="3" t="inlineStr"/>
      <c r="O1100" s="3" t="n"/>
      <c r="P1100" s="3" t="n"/>
      <c r="Q1100" s="3" t="n"/>
      <c r="R1100" s="3" t="n"/>
      <c r="S1100" s="3" t="n"/>
      <c r="T1100" s="3" t="n"/>
      <c r="U1100" s="3" t="n"/>
      <c r="V1100" s="3" t="n"/>
      <c r="W1100" s="3" t="n"/>
      <c r="X1100" s="3" t="n"/>
      <c r="Y1100" s="3" t="n"/>
      <c r="Z1100" s="3" t="n"/>
      <c r="AA1100" s="3" t="n"/>
    </row>
    <row r="1101">
      <c r="A1101" s="105" t="n"/>
      <c r="B1101" s="105" t="n"/>
      <c r="C1101" s="3" t="n"/>
      <c r="D1101" s="3" t="n"/>
      <c r="E1101" s="3" t="n"/>
      <c r="F1101" s="3" t="n"/>
      <c r="G1101" s="3" t="n"/>
      <c r="H1101" s="3" t="inlineStr"/>
      <c r="I1101" s="3" t="n"/>
      <c r="J1101" s="3" t="n"/>
      <c r="K1101" s="3" t="n"/>
      <c r="L1101" s="3" t="inlineStr"/>
      <c r="M1101" s="3" t="n"/>
      <c r="N1101" s="3" t="inlineStr"/>
      <c r="O1101" s="3" t="n"/>
      <c r="P1101" s="3" t="n"/>
      <c r="Q1101" s="3" t="n"/>
      <c r="R1101" s="3" t="n"/>
      <c r="S1101" s="3" t="n"/>
      <c r="T1101" s="3" t="n"/>
      <c r="U1101" s="3" t="n"/>
      <c r="V1101" s="3" t="n"/>
      <c r="W1101" s="3" t="n"/>
      <c r="X1101" s="3" t="n"/>
      <c r="Y1101" s="3" t="n"/>
      <c r="Z1101" s="3" t="n"/>
      <c r="AA1101" s="3" t="n"/>
    </row>
    <row r="1102">
      <c r="A1102" s="105" t="n"/>
      <c r="B1102" s="105" t="n"/>
      <c r="C1102" s="3" t="n"/>
      <c r="D1102" s="3" t="n"/>
      <c r="E1102" s="3" t="n"/>
      <c r="F1102" s="3" t="n"/>
      <c r="G1102" s="3" t="n"/>
      <c r="H1102" s="3" t="inlineStr"/>
      <c r="I1102" s="3" t="n"/>
      <c r="J1102" s="3" t="n"/>
      <c r="K1102" s="3" t="n"/>
      <c r="L1102" s="3" t="inlineStr"/>
      <c r="M1102" s="3" t="n"/>
      <c r="N1102" s="3" t="inlineStr"/>
      <c r="O1102" s="3" t="n"/>
      <c r="P1102" s="3" t="n"/>
      <c r="Q1102" s="3" t="n"/>
      <c r="R1102" s="3" t="n"/>
      <c r="S1102" s="3" t="n"/>
      <c r="T1102" s="3" t="n"/>
      <c r="U1102" s="3" t="n"/>
      <c r="V1102" s="3" t="n"/>
      <c r="W1102" s="3" t="n"/>
      <c r="X1102" s="3" t="n"/>
      <c r="Y1102" s="3" t="n"/>
      <c r="Z1102" s="3" t="n"/>
      <c r="AA1102" s="3" t="n"/>
    </row>
    <row r="1103">
      <c r="A1103" s="105" t="n"/>
      <c r="B1103" s="105" t="n"/>
      <c r="C1103" s="3" t="n"/>
      <c r="D1103" s="3" t="n"/>
      <c r="E1103" s="3" t="n"/>
      <c r="F1103" s="3" t="n"/>
      <c r="G1103" s="3" t="n"/>
      <c r="H1103" s="3" t="inlineStr"/>
      <c r="I1103" s="3" t="n"/>
      <c r="J1103" s="3" t="n"/>
      <c r="K1103" s="3" t="n"/>
      <c r="L1103" s="3" t="inlineStr"/>
      <c r="M1103" s="3" t="n"/>
      <c r="N1103" s="3" t="inlineStr"/>
      <c r="O1103" s="3" t="n"/>
      <c r="P1103" s="3" t="n"/>
      <c r="Q1103" s="3" t="n"/>
      <c r="R1103" s="3" t="n"/>
      <c r="S1103" s="3" t="n"/>
      <c r="T1103" s="3" t="n"/>
      <c r="U1103" s="3" t="n"/>
      <c r="V1103" s="3" t="n"/>
      <c r="W1103" s="3" t="n"/>
      <c r="X1103" s="3" t="n"/>
      <c r="Y1103" s="3" t="n"/>
      <c r="Z1103" s="3" t="n"/>
      <c r="AA1103" s="3" t="n"/>
    </row>
    <row r="1104">
      <c r="A1104" s="105" t="n"/>
      <c r="B1104" s="105" t="n"/>
      <c r="C1104" s="3" t="n"/>
      <c r="D1104" s="3" t="n"/>
      <c r="E1104" s="3" t="n"/>
      <c r="F1104" s="3" t="n"/>
      <c r="G1104" s="3" t="n"/>
      <c r="H1104" s="3" t="inlineStr"/>
      <c r="I1104" s="3" t="n"/>
      <c r="J1104" s="3" t="n"/>
      <c r="K1104" s="3" t="n"/>
      <c r="L1104" s="3" t="inlineStr"/>
      <c r="M1104" s="3" t="n"/>
      <c r="N1104" s="3" t="inlineStr"/>
      <c r="O1104" s="3" t="n"/>
      <c r="P1104" s="3" t="n"/>
      <c r="Q1104" s="3" t="n"/>
      <c r="R1104" s="3" t="n"/>
      <c r="S1104" s="3" t="n"/>
      <c r="T1104" s="3" t="n"/>
      <c r="U1104" s="3" t="n"/>
      <c r="V1104" s="3" t="n"/>
      <c r="W1104" s="3" t="n"/>
      <c r="X1104" s="3" t="n"/>
      <c r="Y1104" s="3" t="n"/>
      <c r="Z1104" s="3" t="n"/>
      <c r="AA1104" s="3" t="n"/>
    </row>
    <row r="1105">
      <c r="A1105" s="105" t="n"/>
      <c r="B1105" s="105" t="n"/>
      <c r="C1105" s="3" t="n"/>
      <c r="D1105" s="3" t="n"/>
      <c r="E1105" s="3" t="n"/>
      <c r="F1105" s="3" t="n"/>
      <c r="G1105" s="3" t="n"/>
      <c r="H1105" s="3" t="inlineStr"/>
      <c r="I1105" s="3" t="n"/>
      <c r="J1105" s="3" t="n"/>
      <c r="K1105" s="3" t="n"/>
      <c r="L1105" s="3" t="inlineStr"/>
      <c r="M1105" s="3" t="n"/>
      <c r="N1105" s="3" t="inlineStr"/>
      <c r="O1105" s="3" t="n"/>
      <c r="P1105" s="3" t="n"/>
      <c r="Q1105" s="3" t="n"/>
      <c r="R1105" s="3" t="n"/>
      <c r="S1105" s="3" t="n"/>
      <c r="T1105" s="3" t="n"/>
      <c r="U1105" s="3" t="n"/>
      <c r="V1105" s="3" t="n"/>
      <c r="W1105" s="3" t="n"/>
      <c r="X1105" s="3" t="n"/>
      <c r="Y1105" s="3" t="n"/>
      <c r="Z1105" s="3" t="n"/>
      <c r="AA1105" s="3" t="n"/>
    </row>
    <row r="1106">
      <c r="A1106" s="105" t="n"/>
      <c r="B1106" s="105" t="n"/>
      <c r="C1106" s="3" t="n"/>
      <c r="D1106" s="3" t="n"/>
      <c r="E1106" s="3" t="n"/>
      <c r="F1106" s="3" t="n"/>
      <c r="G1106" s="3" t="n"/>
      <c r="H1106" s="3" t="inlineStr"/>
      <c r="I1106" s="3" t="n"/>
      <c r="J1106" s="3" t="n"/>
      <c r="K1106" s="3" t="n"/>
      <c r="L1106" s="3" t="inlineStr"/>
      <c r="M1106" s="3" t="n"/>
      <c r="N1106" s="3" t="inlineStr"/>
      <c r="O1106" s="3" t="n"/>
      <c r="P1106" s="3" t="n"/>
      <c r="Q1106" s="3" t="n"/>
      <c r="R1106" s="3" t="n"/>
      <c r="S1106" s="3" t="n"/>
      <c r="T1106" s="3" t="n"/>
      <c r="U1106" s="3" t="n"/>
      <c r="V1106" s="3" t="n"/>
      <c r="W1106" s="3" t="n"/>
      <c r="X1106" s="3" t="n"/>
      <c r="Y1106" s="3" t="n"/>
      <c r="Z1106" s="3" t="n"/>
      <c r="AA1106" s="3" t="n"/>
    </row>
    <row r="1107">
      <c r="A1107" s="105" t="n"/>
      <c r="B1107" s="105" t="n"/>
      <c r="C1107" s="3" t="n"/>
      <c r="D1107" s="3" t="n"/>
      <c r="E1107" s="3" t="n"/>
      <c r="F1107" s="3" t="n"/>
      <c r="G1107" s="3" t="n"/>
      <c r="H1107" s="3" t="inlineStr"/>
      <c r="I1107" s="3" t="n"/>
      <c r="J1107" s="3" t="n"/>
      <c r="K1107" s="3" t="n"/>
      <c r="L1107" s="3" t="inlineStr"/>
      <c r="M1107" s="3" t="n"/>
      <c r="N1107" s="3" t="inlineStr"/>
      <c r="O1107" s="3" t="n"/>
      <c r="P1107" s="3" t="n"/>
      <c r="Q1107" s="3" t="n"/>
      <c r="R1107" s="3" t="n"/>
      <c r="S1107" s="3" t="n"/>
      <c r="T1107" s="3" t="n"/>
      <c r="U1107" s="3" t="n"/>
      <c r="V1107" s="3" t="n"/>
      <c r="W1107" s="3" t="n"/>
      <c r="X1107" s="3" t="n"/>
      <c r="Y1107" s="3" t="n"/>
      <c r="Z1107" s="3" t="n"/>
      <c r="AA1107" s="3" t="n"/>
    </row>
    <row r="1108">
      <c r="A1108" s="105" t="n"/>
      <c r="B1108" s="105" t="n"/>
      <c r="C1108" s="3" t="n"/>
      <c r="D1108" s="3" t="n"/>
      <c r="E1108" s="3" t="n"/>
      <c r="F1108" s="3" t="n"/>
      <c r="G1108" s="3" t="n"/>
      <c r="H1108" s="3" t="inlineStr"/>
      <c r="I1108" s="3" t="n"/>
      <c r="J1108" s="3" t="n"/>
      <c r="K1108" s="3" t="n"/>
      <c r="L1108" s="3" t="inlineStr"/>
      <c r="M1108" s="3" t="n"/>
      <c r="N1108" s="3" t="inlineStr"/>
      <c r="O1108" s="3" t="n"/>
      <c r="P1108" s="3" t="n"/>
      <c r="Q1108" s="3" t="n"/>
      <c r="R1108" s="3" t="n"/>
      <c r="S1108" s="3" t="n"/>
      <c r="T1108" s="3" t="n"/>
      <c r="U1108" s="3" t="n"/>
      <c r="V1108" s="3" t="n"/>
      <c r="W1108" s="3" t="n"/>
      <c r="X1108" s="3" t="n"/>
      <c r="Y1108" s="3" t="n"/>
      <c r="Z1108" s="3" t="n"/>
      <c r="AA1108" s="3" t="n"/>
    </row>
    <row r="1109">
      <c r="A1109" s="105" t="n"/>
      <c r="B1109" s="105" t="n"/>
      <c r="C1109" s="3" t="n"/>
      <c r="D1109" s="3" t="n"/>
      <c r="E1109" s="3" t="n"/>
      <c r="F1109" s="3" t="n"/>
      <c r="G1109" s="3" t="n"/>
      <c r="H1109" s="3" t="inlineStr"/>
      <c r="I1109" s="3" t="n"/>
      <c r="J1109" s="3" t="n"/>
      <c r="K1109" s="3" t="n"/>
      <c r="L1109" s="3" t="inlineStr"/>
      <c r="M1109" s="3" t="n"/>
      <c r="N1109" s="3" t="inlineStr"/>
      <c r="O1109" s="3" t="n"/>
      <c r="P1109" s="3" t="n"/>
      <c r="Q1109" s="3" t="n"/>
      <c r="R1109" s="3" t="n"/>
      <c r="S1109" s="3" t="n"/>
      <c r="T1109" s="3" t="n"/>
      <c r="U1109" s="3" t="n"/>
      <c r="V1109" s="3" t="n"/>
      <c r="W1109" s="3" t="n"/>
      <c r="X1109" s="3" t="n"/>
      <c r="Y1109" s="3" t="n"/>
      <c r="Z1109" s="3" t="n"/>
      <c r="AA1109" s="3" t="n"/>
    </row>
    <row r="1110">
      <c r="A1110" s="105" t="n"/>
      <c r="B1110" s="105" t="n"/>
      <c r="C1110" s="3" t="n"/>
      <c r="D1110" s="3" t="n"/>
      <c r="E1110" s="3" t="n"/>
      <c r="F1110" s="3" t="n"/>
      <c r="G1110" s="3" t="n"/>
      <c r="H1110" s="3" t="inlineStr"/>
      <c r="I1110" s="3" t="n"/>
      <c r="J1110" s="3" t="n"/>
      <c r="K1110" s="3" t="n"/>
      <c r="L1110" s="3" t="inlineStr"/>
      <c r="M1110" s="3" t="n"/>
      <c r="N1110" s="3" t="inlineStr"/>
      <c r="O1110" s="3" t="n"/>
      <c r="P1110" s="3" t="n"/>
      <c r="Q1110" s="3" t="n"/>
      <c r="R1110" s="3" t="n"/>
      <c r="S1110" s="3" t="n"/>
      <c r="T1110" s="3" t="n"/>
      <c r="U1110" s="3" t="n"/>
      <c r="V1110" s="3" t="n"/>
      <c r="W1110" s="3" t="n"/>
      <c r="X1110" s="3" t="n"/>
      <c r="Y1110" s="3" t="n"/>
      <c r="Z1110" s="3" t="n"/>
      <c r="AA1110" s="3" t="n"/>
    </row>
    <row r="1111">
      <c r="A1111" s="105" t="n"/>
      <c r="B1111" s="105" t="n"/>
      <c r="C1111" s="3" t="n"/>
      <c r="D1111" s="3" t="n"/>
      <c r="E1111" s="3" t="n"/>
      <c r="F1111" s="3" t="n"/>
      <c r="G1111" s="3" t="n"/>
      <c r="H1111" s="3" t="inlineStr"/>
      <c r="I1111" s="3" t="n"/>
      <c r="J1111" s="3" t="n"/>
      <c r="K1111" s="3" t="n"/>
      <c r="L1111" s="3" t="inlineStr"/>
      <c r="M1111" s="3" t="n"/>
      <c r="N1111" s="3" t="inlineStr"/>
      <c r="O1111" s="3" t="n"/>
      <c r="P1111" s="3" t="n"/>
      <c r="Q1111" s="3" t="n"/>
      <c r="R1111" s="3" t="n"/>
      <c r="S1111" s="3" t="n"/>
      <c r="T1111" s="3" t="n"/>
      <c r="U1111" s="3" t="n"/>
      <c r="V1111" s="3" t="n"/>
      <c r="W1111" s="3" t="n"/>
      <c r="X1111" s="3" t="n"/>
      <c r="Y1111" s="3" t="n"/>
      <c r="Z1111" s="3" t="n"/>
      <c r="AA1111" s="3" t="n"/>
    </row>
    <row r="1112">
      <c r="A1112" s="105" t="n"/>
      <c r="B1112" s="105" t="n"/>
      <c r="C1112" s="3" t="n"/>
      <c r="D1112" s="3" t="n"/>
      <c r="E1112" s="3" t="n"/>
      <c r="F1112" s="3" t="n"/>
      <c r="G1112" s="3" t="n"/>
      <c r="H1112" s="3" t="inlineStr"/>
      <c r="I1112" s="3" t="n"/>
      <c r="J1112" s="3" t="n"/>
      <c r="K1112" s="3" t="n"/>
      <c r="L1112" s="3" t="inlineStr"/>
      <c r="M1112" s="3" t="n"/>
      <c r="N1112" s="3" t="inlineStr"/>
      <c r="O1112" s="3" t="n"/>
      <c r="P1112" s="3" t="n"/>
      <c r="Q1112" s="3" t="n"/>
      <c r="R1112" s="3" t="n"/>
      <c r="S1112" s="3" t="n"/>
      <c r="T1112" s="3" t="n"/>
      <c r="U1112" s="3" t="n"/>
      <c r="V1112" s="3" t="n"/>
      <c r="W1112" s="3" t="n"/>
      <c r="X1112" s="3" t="n"/>
      <c r="Y1112" s="3" t="n"/>
      <c r="Z1112" s="3" t="n"/>
      <c r="AA1112" s="3" t="n"/>
    </row>
    <row r="1113">
      <c r="A1113" s="105" t="n"/>
      <c r="B1113" s="105" t="n"/>
      <c r="C1113" s="3" t="n"/>
      <c r="D1113" s="3" t="n"/>
      <c r="E1113" s="3" t="n"/>
      <c r="F1113" s="3" t="n"/>
      <c r="G1113" s="3" t="n"/>
      <c r="H1113" s="3" t="inlineStr"/>
      <c r="I1113" s="3" t="n"/>
      <c r="J1113" s="3" t="n"/>
      <c r="K1113" s="3" t="n"/>
      <c r="L1113" s="3" t="inlineStr"/>
      <c r="M1113" s="3" t="n"/>
      <c r="N1113" s="3" t="inlineStr"/>
      <c r="O1113" s="3" t="n"/>
      <c r="P1113" s="3" t="n"/>
      <c r="Q1113" s="3" t="n"/>
      <c r="R1113" s="3" t="n"/>
      <c r="S1113" s="3" t="n"/>
      <c r="T1113" s="3" t="n"/>
      <c r="U1113" s="3" t="n"/>
      <c r="V1113" s="3" t="n"/>
      <c r="W1113" s="3" t="n"/>
      <c r="X1113" s="3" t="n"/>
      <c r="Y1113" s="3" t="n"/>
      <c r="Z1113" s="3" t="n"/>
      <c r="AA1113" s="3" t="n"/>
    </row>
    <row r="1114">
      <c r="A1114" s="105" t="n"/>
      <c r="B1114" s="105" t="n"/>
      <c r="C1114" s="3" t="n"/>
      <c r="D1114" s="3" t="n"/>
      <c r="E1114" s="3" t="n"/>
      <c r="F1114" s="3" t="n"/>
      <c r="G1114" s="3" t="n"/>
      <c r="H1114" s="3" t="inlineStr"/>
      <c r="I1114" s="3" t="n"/>
      <c r="J1114" s="3" t="n"/>
      <c r="K1114" s="3" t="n"/>
      <c r="L1114" s="3" t="inlineStr"/>
      <c r="M1114" s="3" t="n"/>
      <c r="N1114" s="3" t="inlineStr"/>
      <c r="O1114" s="3" t="n"/>
      <c r="P1114" s="3" t="n"/>
      <c r="Q1114" s="3" t="n"/>
      <c r="R1114" s="3" t="n"/>
      <c r="S1114" s="3" t="n"/>
      <c r="T1114" s="3" t="n"/>
      <c r="U1114" s="3" t="n"/>
      <c r="V1114" s="3" t="n"/>
      <c r="W1114" s="3" t="n"/>
      <c r="X1114" s="3" t="n"/>
      <c r="Y1114" s="3" t="n"/>
      <c r="Z1114" s="3" t="n"/>
      <c r="AA1114" s="3" t="n"/>
    </row>
    <row r="1115">
      <c r="A1115" s="105" t="n"/>
      <c r="B1115" s="105" t="n"/>
      <c r="C1115" s="3" t="n"/>
      <c r="D1115" s="3" t="n"/>
      <c r="E1115" s="3" t="n"/>
      <c r="F1115" s="3" t="n"/>
      <c r="G1115" s="3" t="n"/>
      <c r="H1115" s="3" t="inlineStr"/>
      <c r="I1115" s="3" t="n"/>
      <c r="J1115" s="3" t="n"/>
      <c r="K1115" s="3" t="n"/>
      <c r="L1115" s="3" t="inlineStr"/>
      <c r="M1115" s="3" t="n"/>
      <c r="N1115" s="3" t="inlineStr"/>
      <c r="O1115" s="3" t="n"/>
      <c r="P1115" s="3" t="n"/>
      <c r="Q1115" s="3" t="n"/>
      <c r="R1115" s="3" t="n"/>
      <c r="S1115" s="3" t="n"/>
      <c r="T1115" s="3" t="n"/>
      <c r="U1115" s="3" t="n"/>
      <c r="V1115" s="3" t="n"/>
      <c r="W1115" s="3" t="n"/>
      <c r="X1115" s="3" t="n"/>
      <c r="Y1115" s="3" t="n"/>
      <c r="Z1115" s="3" t="n"/>
      <c r="AA1115" s="3" t="n"/>
    </row>
    <row r="1116">
      <c r="A1116" s="105" t="n"/>
      <c r="B1116" s="105" t="n"/>
      <c r="C1116" s="3" t="n"/>
      <c r="D1116" s="3" t="n"/>
      <c r="E1116" s="3" t="n"/>
      <c r="F1116" s="3" t="n"/>
      <c r="G1116" s="3" t="n"/>
      <c r="H1116" s="3" t="inlineStr"/>
      <c r="I1116" s="3" t="n"/>
      <c r="J1116" s="3" t="n"/>
      <c r="K1116" s="3" t="n"/>
      <c r="L1116" s="3" t="inlineStr"/>
      <c r="M1116" s="3" t="n"/>
      <c r="N1116" s="3" t="inlineStr"/>
      <c r="O1116" s="3" t="n"/>
      <c r="P1116" s="3" t="n"/>
      <c r="Q1116" s="3" t="n"/>
      <c r="R1116" s="3" t="n"/>
      <c r="S1116" s="3" t="n"/>
      <c r="T1116" s="3" t="n"/>
      <c r="U1116" s="3" t="n"/>
      <c r="V1116" s="3" t="n"/>
      <c r="W1116" s="3" t="n"/>
      <c r="X1116" s="3" t="n"/>
      <c r="Y1116" s="3" t="n"/>
      <c r="Z1116" s="3" t="n"/>
      <c r="AA1116" s="3" t="n"/>
    </row>
    <row r="1117">
      <c r="A1117" s="105" t="n"/>
      <c r="B1117" s="105" t="n"/>
      <c r="C1117" s="3" t="n"/>
      <c r="D1117" s="3" t="n"/>
      <c r="E1117" s="3" t="n"/>
      <c r="F1117" s="3" t="n"/>
      <c r="G1117" s="3" t="n"/>
      <c r="H1117" s="3" t="inlineStr"/>
      <c r="I1117" s="3" t="n"/>
      <c r="J1117" s="3" t="n"/>
      <c r="K1117" s="3" t="n"/>
      <c r="L1117" s="3" t="inlineStr"/>
      <c r="M1117" s="3" t="n"/>
      <c r="N1117" s="3" t="inlineStr"/>
      <c r="O1117" s="3" t="n"/>
      <c r="P1117" s="3" t="n"/>
      <c r="Q1117" s="3" t="n"/>
      <c r="R1117" s="3" t="n"/>
      <c r="S1117" s="3" t="n"/>
      <c r="T1117" s="3" t="n"/>
      <c r="U1117" s="3" t="n"/>
      <c r="V1117" s="3" t="n"/>
      <c r="W1117" s="3" t="n"/>
      <c r="X1117" s="3" t="n"/>
      <c r="Y1117" s="3" t="n"/>
      <c r="Z1117" s="3" t="n"/>
      <c r="AA1117" s="3" t="n"/>
    </row>
    <row r="1118">
      <c r="A1118" s="105" t="n"/>
      <c r="B1118" s="105" t="n"/>
      <c r="C1118" s="3" t="n"/>
      <c r="D1118" s="3" t="n"/>
      <c r="E1118" s="3" t="n"/>
      <c r="F1118" s="3" t="n"/>
      <c r="G1118" s="3" t="n"/>
      <c r="H1118" s="3" t="inlineStr"/>
      <c r="I1118" s="3" t="n"/>
      <c r="J1118" s="3" t="n"/>
      <c r="K1118" s="3" t="n"/>
      <c r="L1118" s="3" t="inlineStr"/>
      <c r="M1118" s="3" t="n"/>
      <c r="N1118" s="3" t="inlineStr"/>
      <c r="O1118" s="3" t="n"/>
      <c r="P1118" s="3" t="n"/>
      <c r="Q1118" s="3" t="n"/>
      <c r="R1118" s="3" t="n"/>
      <c r="S1118" s="3" t="n"/>
      <c r="T1118" s="3" t="n"/>
      <c r="U1118" s="3" t="n"/>
      <c r="V1118" s="3" t="n"/>
      <c r="W1118" s="3" t="n"/>
      <c r="X1118" s="3" t="n"/>
      <c r="Y1118" s="3" t="n"/>
      <c r="Z1118" s="3" t="n"/>
      <c r="AA1118" s="3" t="n"/>
    </row>
    <row r="1119">
      <c r="A1119" s="105" t="n"/>
      <c r="B1119" s="105" t="n"/>
      <c r="C1119" s="3" t="n"/>
      <c r="D1119" s="3" t="n"/>
      <c r="E1119" s="3" t="n"/>
      <c r="F1119" s="3" t="n"/>
      <c r="G1119" s="3" t="n"/>
      <c r="H1119" s="3" t="inlineStr"/>
      <c r="I1119" s="3" t="n"/>
      <c r="J1119" s="3" t="n"/>
      <c r="K1119" s="3" t="n"/>
      <c r="L1119" s="3" t="inlineStr"/>
      <c r="M1119" s="3" t="n"/>
      <c r="N1119" s="3" t="inlineStr"/>
      <c r="O1119" s="3" t="n"/>
      <c r="P1119" s="3" t="n"/>
      <c r="Q1119" s="3" t="n"/>
      <c r="R1119" s="3" t="n"/>
      <c r="S1119" s="3" t="n"/>
      <c r="T1119" s="3" t="n"/>
      <c r="U1119" s="3" t="n"/>
      <c r="V1119" s="3" t="n"/>
      <c r="W1119" s="3" t="n"/>
      <c r="X1119" s="3" t="n"/>
      <c r="Y1119" s="3" t="n"/>
      <c r="Z1119" s="3" t="n"/>
      <c r="AA1119" s="3" t="n"/>
    </row>
    <row r="1120">
      <c r="A1120" s="105" t="n"/>
      <c r="B1120" s="105" t="n"/>
      <c r="C1120" s="3" t="n"/>
      <c r="D1120" s="3" t="n"/>
      <c r="E1120" s="3" t="n"/>
      <c r="F1120" s="3" t="n"/>
      <c r="G1120" s="3" t="n"/>
      <c r="H1120" s="3" t="inlineStr"/>
      <c r="I1120" s="3" t="n"/>
      <c r="J1120" s="3" t="n"/>
      <c r="K1120" s="3" t="n"/>
      <c r="L1120" s="3" t="inlineStr"/>
      <c r="M1120" s="3" t="n"/>
      <c r="N1120" s="3" t="inlineStr"/>
      <c r="O1120" s="3" t="n"/>
      <c r="P1120" s="3" t="n"/>
      <c r="Q1120" s="3" t="n"/>
      <c r="R1120" s="3" t="n"/>
      <c r="S1120" s="3" t="n"/>
      <c r="T1120" s="3" t="n"/>
      <c r="U1120" s="3" t="n"/>
      <c r="V1120" s="3" t="n"/>
      <c r="W1120" s="3" t="n"/>
      <c r="X1120" s="3" t="n"/>
      <c r="Y1120" s="3" t="n"/>
      <c r="Z1120" s="3" t="n"/>
      <c r="AA1120" s="3" t="n"/>
    </row>
    <row r="1121">
      <c r="A1121" s="105" t="n"/>
      <c r="B1121" s="105" t="n"/>
      <c r="C1121" s="3" t="n"/>
      <c r="D1121" s="3" t="n"/>
      <c r="E1121" s="3" t="n"/>
      <c r="F1121" s="3" t="n"/>
      <c r="G1121" s="3" t="n"/>
      <c r="H1121" s="3" t="inlineStr"/>
      <c r="I1121" s="3" t="n"/>
      <c r="J1121" s="3" t="n"/>
      <c r="K1121" s="3" t="n"/>
      <c r="L1121" s="3" t="inlineStr"/>
      <c r="M1121" s="3" t="n"/>
      <c r="N1121" s="3" t="inlineStr"/>
      <c r="O1121" s="3" t="n"/>
      <c r="P1121" s="3" t="n"/>
      <c r="Q1121" s="3" t="n"/>
      <c r="R1121" s="3" t="n"/>
      <c r="S1121" s="3" t="n"/>
      <c r="T1121" s="3" t="n"/>
      <c r="U1121" s="3" t="n"/>
      <c r="V1121" s="3" t="n"/>
      <c r="W1121" s="3" t="n"/>
      <c r="X1121" s="3" t="n"/>
      <c r="Y1121" s="3" t="n"/>
      <c r="Z1121" s="3" t="n"/>
      <c r="AA1121" s="3" t="n"/>
    </row>
    <row r="1122">
      <c r="A1122" s="105" t="n"/>
      <c r="B1122" s="105" t="n"/>
      <c r="C1122" s="3" t="n"/>
      <c r="D1122" s="3" t="n"/>
      <c r="E1122" s="3" t="n"/>
      <c r="F1122" s="3" t="n"/>
      <c r="G1122" s="3" t="n"/>
      <c r="H1122" s="3" t="inlineStr"/>
      <c r="I1122" s="3" t="n"/>
      <c r="J1122" s="3" t="n"/>
      <c r="K1122" s="3" t="n"/>
      <c r="L1122" s="3" t="inlineStr"/>
      <c r="M1122" s="3" t="n"/>
      <c r="N1122" s="3" t="inlineStr"/>
      <c r="O1122" s="3" t="n"/>
      <c r="P1122" s="3" t="n"/>
      <c r="Q1122" s="3" t="n"/>
      <c r="R1122" s="3" t="n"/>
      <c r="S1122" s="3" t="n"/>
      <c r="T1122" s="3" t="n"/>
      <c r="U1122" s="3" t="n"/>
      <c r="V1122" s="3" t="n"/>
      <c r="W1122" s="3" t="n"/>
      <c r="X1122" s="3" t="n"/>
      <c r="Y1122" s="3" t="n"/>
      <c r="Z1122" s="3" t="n"/>
      <c r="AA1122" s="3" t="n"/>
    </row>
    <row r="1123">
      <c r="A1123" s="105" t="n"/>
      <c r="B1123" s="105" t="n"/>
      <c r="C1123" s="3" t="n"/>
      <c r="D1123" s="3" t="n"/>
      <c r="E1123" s="3" t="n"/>
      <c r="F1123" s="3" t="n"/>
      <c r="G1123" s="3" t="n"/>
      <c r="H1123" s="3" t="inlineStr"/>
      <c r="I1123" s="3" t="n"/>
      <c r="J1123" s="3" t="n"/>
      <c r="K1123" s="3" t="n"/>
      <c r="L1123" s="3" t="inlineStr"/>
      <c r="M1123" s="3" t="n"/>
      <c r="N1123" s="3" t="inlineStr"/>
      <c r="O1123" s="3" t="n"/>
      <c r="P1123" s="3" t="n"/>
      <c r="Q1123" s="3" t="n"/>
      <c r="R1123" s="3" t="n"/>
      <c r="S1123" s="3" t="n"/>
      <c r="T1123" s="3" t="n"/>
      <c r="U1123" s="3" t="n"/>
      <c r="V1123" s="3" t="n"/>
      <c r="W1123" s="3" t="n"/>
      <c r="X1123" s="3" t="n"/>
      <c r="Y1123" s="3" t="n"/>
      <c r="Z1123" s="3" t="n"/>
      <c r="AA1123" s="3" t="n"/>
    </row>
    <row r="1124">
      <c r="A1124" s="105" t="n"/>
      <c r="B1124" s="105" t="n"/>
      <c r="C1124" s="3" t="n"/>
      <c r="D1124" s="3" t="n"/>
      <c r="E1124" s="3" t="n"/>
      <c r="F1124" s="3" t="n"/>
      <c r="G1124" s="3" t="n"/>
      <c r="H1124" s="3" t="inlineStr"/>
      <c r="I1124" s="3" t="n"/>
      <c r="J1124" s="3" t="n"/>
      <c r="K1124" s="3" t="n"/>
      <c r="L1124" s="3" t="inlineStr"/>
      <c r="M1124" s="3" t="n"/>
      <c r="N1124" s="3" t="inlineStr"/>
      <c r="O1124" s="3" t="n"/>
      <c r="P1124" s="3" t="n"/>
      <c r="Q1124" s="3" t="n"/>
      <c r="R1124" s="3" t="n"/>
      <c r="S1124" s="3" t="n"/>
      <c r="T1124" s="3" t="n"/>
      <c r="U1124" s="3" t="n"/>
      <c r="V1124" s="3" t="n"/>
      <c r="W1124" s="3" t="n"/>
      <c r="X1124" s="3" t="n"/>
      <c r="Y1124" s="3" t="n"/>
      <c r="Z1124" s="3" t="n"/>
      <c r="AA1124" s="3" t="n"/>
    </row>
    <row r="1125">
      <c r="A1125" s="105" t="n"/>
      <c r="B1125" s="105" t="n"/>
      <c r="C1125" s="3" t="n"/>
      <c r="D1125" s="3" t="n"/>
      <c r="E1125" s="3" t="n"/>
      <c r="F1125" s="3" t="n"/>
      <c r="G1125" s="3" t="n"/>
      <c r="H1125" s="3" t="inlineStr"/>
      <c r="I1125" s="3" t="n"/>
      <c r="J1125" s="3" t="n"/>
      <c r="K1125" s="3" t="n"/>
      <c r="L1125" s="3" t="inlineStr"/>
      <c r="M1125" s="3" t="n"/>
      <c r="N1125" s="3" t="inlineStr"/>
      <c r="O1125" s="3" t="n"/>
      <c r="P1125" s="3" t="n"/>
      <c r="Q1125" s="3" t="n"/>
      <c r="R1125" s="3" t="n"/>
      <c r="S1125" s="3" t="n"/>
      <c r="T1125" s="3" t="n"/>
      <c r="U1125" s="3" t="n"/>
      <c r="V1125" s="3" t="n"/>
      <c r="W1125" s="3" t="n"/>
      <c r="X1125" s="3" t="n"/>
      <c r="Y1125" s="3" t="n"/>
      <c r="Z1125" s="3" t="n"/>
      <c r="AA1125" s="3" t="n"/>
    </row>
    <row r="1126">
      <c r="A1126" s="105" t="n"/>
      <c r="B1126" s="105" t="n"/>
      <c r="C1126" s="3" t="n"/>
      <c r="D1126" s="3" t="n"/>
      <c r="E1126" s="3" t="n"/>
      <c r="F1126" s="3" t="n"/>
      <c r="G1126" s="3" t="n"/>
      <c r="H1126" s="3" t="inlineStr"/>
      <c r="I1126" s="3" t="n"/>
      <c r="J1126" s="3" t="n"/>
      <c r="K1126" s="3" t="n"/>
      <c r="L1126" s="3" t="inlineStr"/>
      <c r="M1126" s="3" t="n"/>
      <c r="N1126" s="3" t="inlineStr"/>
      <c r="O1126" s="3" t="n"/>
      <c r="P1126" s="3" t="n"/>
      <c r="Q1126" s="3" t="n"/>
      <c r="R1126" s="3" t="n"/>
      <c r="S1126" s="3" t="n"/>
      <c r="T1126" s="3" t="n"/>
      <c r="U1126" s="3" t="n"/>
      <c r="V1126" s="3" t="n"/>
      <c r="W1126" s="3" t="n"/>
      <c r="X1126" s="3" t="n"/>
      <c r="Y1126" s="3" t="n"/>
      <c r="Z1126" s="3" t="n"/>
      <c r="AA1126" s="3" t="n"/>
    </row>
    <row r="1127">
      <c r="A1127" s="105" t="n"/>
      <c r="B1127" s="105" t="n"/>
      <c r="C1127" s="3" t="n"/>
      <c r="D1127" s="3" t="n"/>
      <c r="E1127" s="3" t="n"/>
      <c r="F1127" s="3" t="n"/>
      <c r="G1127" s="3" t="n"/>
      <c r="H1127" s="3" t="inlineStr"/>
      <c r="I1127" s="3" t="n"/>
      <c r="J1127" s="3" t="n"/>
      <c r="K1127" s="3" t="n"/>
      <c r="L1127" s="3" t="inlineStr"/>
      <c r="M1127" s="3" t="n"/>
      <c r="N1127" s="3" t="inlineStr"/>
      <c r="O1127" s="3" t="n"/>
      <c r="P1127" s="3" t="n"/>
      <c r="Q1127" s="3" t="n"/>
      <c r="R1127" s="3" t="n"/>
      <c r="S1127" s="3" t="n"/>
      <c r="T1127" s="3" t="n"/>
      <c r="U1127" s="3" t="n"/>
      <c r="V1127" s="3" t="n"/>
      <c r="W1127" s="3" t="n"/>
      <c r="X1127" s="3" t="n"/>
      <c r="Y1127" s="3" t="n"/>
      <c r="Z1127" s="3" t="n"/>
      <c r="AA1127" s="3" t="n"/>
    </row>
    <row r="1128">
      <c r="A1128" s="105" t="n"/>
      <c r="B1128" s="105" t="n"/>
      <c r="C1128" s="3" t="n"/>
      <c r="D1128" s="3" t="n"/>
      <c r="E1128" s="3" t="n"/>
      <c r="F1128" s="3" t="n"/>
      <c r="G1128" s="3" t="n"/>
      <c r="H1128" s="3" t="inlineStr"/>
      <c r="I1128" s="3" t="n"/>
      <c r="J1128" s="3" t="n"/>
      <c r="K1128" s="3" t="n"/>
      <c r="L1128" s="3" t="inlineStr"/>
      <c r="M1128" s="3" t="n"/>
      <c r="N1128" s="3" t="inlineStr"/>
      <c r="O1128" s="3" t="n"/>
      <c r="P1128" s="3" t="n"/>
      <c r="Q1128" s="3" t="n"/>
      <c r="R1128" s="3" t="n"/>
      <c r="S1128" s="3" t="n"/>
      <c r="T1128" s="3" t="n"/>
      <c r="U1128" s="3" t="n"/>
      <c r="V1128" s="3" t="n"/>
      <c r="W1128" s="3" t="n"/>
      <c r="X1128" s="3" t="n"/>
      <c r="Y1128" s="3" t="n"/>
      <c r="Z1128" s="3" t="n"/>
      <c r="AA1128" s="3" t="n"/>
    </row>
    <row r="1129">
      <c r="A1129" s="105" t="n"/>
      <c r="B1129" s="105" t="n"/>
      <c r="C1129" s="3" t="n"/>
      <c r="D1129" s="3" t="n"/>
      <c r="E1129" s="3" t="n"/>
      <c r="F1129" s="3" t="n"/>
      <c r="G1129" s="3" t="n"/>
      <c r="H1129" s="3" t="inlineStr"/>
      <c r="I1129" s="3" t="n"/>
      <c r="J1129" s="3" t="n"/>
      <c r="K1129" s="3" t="n"/>
      <c r="L1129" s="3" t="inlineStr"/>
      <c r="M1129" s="3" t="n"/>
      <c r="N1129" s="3" t="inlineStr"/>
      <c r="O1129" s="3" t="n"/>
      <c r="P1129" s="3" t="n"/>
      <c r="Q1129" s="3" t="n"/>
      <c r="R1129" s="3" t="n"/>
      <c r="S1129" s="3" t="n"/>
      <c r="T1129" s="3" t="n"/>
      <c r="U1129" s="3" t="n"/>
      <c r="V1129" s="3" t="n"/>
      <c r="W1129" s="3" t="n"/>
      <c r="X1129" s="3" t="n"/>
      <c r="Y1129" s="3" t="n"/>
      <c r="Z1129" s="3" t="n"/>
      <c r="AA1129" s="3" t="n"/>
    </row>
    <row r="1130">
      <c r="A1130" s="105" t="n"/>
      <c r="B1130" s="105" t="n"/>
      <c r="C1130" s="3" t="n"/>
      <c r="D1130" s="3" t="n"/>
      <c r="E1130" s="3" t="n"/>
      <c r="F1130" s="3" t="n"/>
      <c r="G1130" s="3" t="n"/>
      <c r="H1130" s="3" t="inlineStr"/>
      <c r="I1130" s="3" t="n"/>
      <c r="J1130" s="3" t="n"/>
      <c r="K1130" s="3" t="n"/>
      <c r="L1130" s="3" t="inlineStr"/>
      <c r="M1130" s="3" t="n"/>
      <c r="N1130" s="3" t="inlineStr"/>
      <c r="O1130" s="3" t="n"/>
      <c r="P1130" s="3" t="n"/>
      <c r="Q1130" s="3" t="n"/>
      <c r="R1130" s="3" t="n"/>
      <c r="S1130" s="3" t="n"/>
      <c r="T1130" s="3" t="n"/>
      <c r="U1130" s="3" t="n"/>
      <c r="V1130" s="3" t="n"/>
      <c r="W1130" s="3" t="n"/>
      <c r="X1130" s="3" t="n"/>
      <c r="Y1130" s="3" t="n"/>
      <c r="Z1130" s="3" t="n"/>
      <c r="AA1130" s="3" t="n"/>
    </row>
    <row r="1131">
      <c r="A1131" s="105" t="n"/>
      <c r="B1131" s="105" t="n"/>
      <c r="C1131" s="3" t="n"/>
      <c r="D1131" s="3" t="n"/>
      <c r="E1131" s="3" t="n"/>
      <c r="F1131" s="3" t="n"/>
      <c r="G1131" s="3" t="n"/>
      <c r="H1131" s="3" t="inlineStr"/>
      <c r="I1131" s="3" t="n"/>
      <c r="J1131" s="3" t="n"/>
      <c r="K1131" s="3" t="n"/>
      <c r="L1131" s="3" t="inlineStr"/>
      <c r="M1131" s="3" t="n"/>
      <c r="N1131" s="3" t="inlineStr"/>
      <c r="O1131" s="3" t="n"/>
      <c r="P1131" s="3" t="n"/>
      <c r="Q1131" s="3" t="n"/>
      <c r="R1131" s="3" t="n"/>
      <c r="S1131" s="3" t="n"/>
      <c r="T1131" s="3" t="n"/>
      <c r="U1131" s="3" t="n"/>
      <c r="V1131" s="3" t="n"/>
      <c r="W1131" s="3" t="n"/>
      <c r="X1131" s="3" t="n"/>
      <c r="Y1131" s="3" t="n"/>
      <c r="Z1131" s="3" t="n"/>
      <c r="AA1131" s="3" t="n"/>
    </row>
    <row r="1132">
      <c r="A1132" s="105" t="n"/>
      <c r="B1132" s="105" t="n"/>
      <c r="C1132" s="3" t="n"/>
      <c r="D1132" s="3" t="n"/>
      <c r="E1132" s="3" t="n"/>
      <c r="F1132" s="3" t="n"/>
      <c r="G1132" s="3" t="n"/>
      <c r="H1132" s="3" t="inlineStr"/>
      <c r="I1132" s="3" t="n"/>
      <c r="J1132" s="3" t="n"/>
      <c r="K1132" s="3" t="n"/>
      <c r="L1132" s="3" t="inlineStr"/>
      <c r="M1132" s="3" t="n"/>
      <c r="N1132" s="3" t="inlineStr"/>
      <c r="O1132" s="3" t="n"/>
      <c r="P1132" s="3" t="n"/>
      <c r="Q1132" s="3" t="n"/>
      <c r="R1132" s="3" t="n"/>
      <c r="S1132" s="3" t="n"/>
      <c r="T1132" s="3" t="n"/>
      <c r="U1132" s="3" t="n"/>
      <c r="V1132" s="3" t="n"/>
      <c r="W1132" s="3" t="n"/>
      <c r="X1132" s="3" t="n"/>
      <c r="Y1132" s="3" t="n"/>
      <c r="Z1132" s="3" t="n"/>
      <c r="AA1132" s="3" t="n"/>
    </row>
    <row r="1133">
      <c r="A1133" s="105" t="n"/>
      <c r="B1133" s="105" t="n"/>
      <c r="C1133" s="3" t="n"/>
      <c r="D1133" s="3" t="n"/>
      <c r="E1133" s="3" t="n"/>
      <c r="F1133" s="3" t="n"/>
      <c r="G1133" s="3" t="n"/>
      <c r="H1133" s="3" t="inlineStr"/>
      <c r="I1133" s="3" t="n"/>
      <c r="J1133" s="3" t="n"/>
      <c r="K1133" s="3" t="n"/>
      <c r="L1133" s="3" t="inlineStr"/>
      <c r="M1133" s="3" t="n"/>
      <c r="N1133" s="3" t="inlineStr"/>
      <c r="O1133" s="3" t="n"/>
      <c r="P1133" s="3" t="n"/>
      <c r="Q1133" s="3" t="n"/>
      <c r="R1133" s="3" t="n"/>
      <c r="S1133" s="3" t="n"/>
      <c r="T1133" s="3" t="n"/>
      <c r="U1133" s="3" t="n"/>
      <c r="V1133" s="3" t="n"/>
      <c r="W1133" s="3" t="n"/>
      <c r="X1133" s="3" t="n"/>
      <c r="Y1133" s="3" t="n"/>
      <c r="Z1133" s="3" t="n"/>
      <c r="AA1133" s="3" t="n"/>
    </row>
    <row r="1134">
      <c r="A1134" s="105" t="n"/>
      <c r="B1134" s="105" t="n"/>
      <c r="C1134" s="3" t="n"/>
      <c r="D1134" s="3" t="n"/>
      <c r="E1134" s="3" t="n"/>
      <c r="F1134" s="3" t="n"/>
      <c r="G1134" s="3" t="n"/>
      <c r="H1134" s="3" t="inlineStr"/>
      <c r="I1134" s="3" t="n"/>
      <c r="J1134" s="3" t="n"/>
      <c r="K1134" s="3" t="n"/>
      <c r="L1134" s="3" t="inlineStr"/>
      <c r="M1134" s="3" t="n"/>
      <c r="N1134" s="3" t="inlineStr"/>
      <c r="O1134" s="3" t="n"/>
      <c r="P1134" s="3" t="n"/>
      <c r="Q1134" s="3" t="n"/>
      <c r="R1134" s="3" t="n"/>
      <c r="S1134" s="3" t="n"/>
      <c r="T1134" s="3" t="n"/>
      <c r="U1134" s="3" t="n"/>
      <c r="V1134" s="3" t="n"/>
      <c r="W1134" s="3" t="n"/>
      <c r="X1134" s="3" t="n"/>
      <c r="Y1134" s="3" t="n"/>
      <c r="Z1134" s="3" t="n"/>
      <c r="AA1134" s="3" t="n"/>
    </row>
    <row r="1135">
      <c r="A1135" s="105" t="n"/>
      <c r="B1135" s="105" t="n"/>
      <c r="C1135" s="3" t="n"/>
      <c r="D1135" s="3" t="n"/>
      <c r="E1135" s="3" t="n"/>
      <c r="F1135" s="3" t="n"/>
      <c r="G1135" s="3" t="n"/>
      <c r="H1135" s="3" t="inlineStr"/>
      <c r="I1135" s="3" t="n"/>
      <c r="J1135" s="3" t="n"/>
      <c r="K1135" s="3" t="n"/>
      <c r="L1135" s="3" t="inlineStr"/>
      <c r="M1135" s="3" t="n"/>
      <c r="N1135" s="3" t="inlineStr"/>
      <c r="O1135" s="3" t="n"/>
      <c r="P1135" s="3" t="n"/>
      <c r="Q1135" s="3" t="n"/>
      <c r="R1135" s="3" t="n"/>
      <c r="S1135" s="3" t="n"/>
      <c r="T1135" s="3" t="n"/>
      <c r="U1135" s="3" t="n"/>
      <c r="V1135" s="3" t="n"/>
      <c r="W1135" s="3" t="n"/>
      <c r="X1135" s="3" t="n"/>
      <c r="Y1135" s="3" t="n"/>
      <c r="Z1135" s="3" t="n"/>
      <c r="AA1135" s="3" t="n"/>
    </row>
    <row r="1136">
      <c r="A1136" s="105" t="n"/>
      <c r="B1136" s="105" t="n"/>
      <c r="C1136" s="3" t="n"/>
      <c r="D1136" s="3" t="n"/>
      <c r="E1136" s="3" t="n"/>
      <c r="F1136" s="3" t="n"/>
      <c r="G1136" s="3" t="n"/>
      <c r="H1136" s="3" t="inlineStr"/>
      <c r="I1136" s="3" t="n"/>
      <c r="J1136" s="3" t="n"/>
      <c r="K1136" s="3" t="n"/>
      <c r="L1136" s="3" t="inlineStr"/>
      <c r="M1136" s="3" t="n"/>
      <c r="N1136" s="3" t="inlineStr"/>
      <c r="O1136" s="3" t="n"/>
      <c r="P1136" s="3" t="n"/>
      <c r="Q1136" s="3" t="n"/>
      <c r="R1136" s="3" t="n"/>
      <c r="S1136" s="3" t="n"/>
      <c r="T1136" s="3" t="n"/>
      <c r="U1136" s="3" t="n"/>
      <c r="V1136" s="3" t="n"/>
      <c r="W1136" s="3" t="n"/>
      <c r="X1136" s="3" t="n"/>
      <c r="Y1136" s="3" t="n"/>
      <c r="Z1136" s="3" t="n"/>
      <c r="AA1136" s="3" t="n"/>
    </row>
    <row r="1137">
      <c r="A1137" s="105" t="n"/>
      <c r="B1137" s="105" t="n"/>
      <c r="C1137" s="3" t="n"/>
      <c r="D1137" s="3" t="n"/>
      <c r="E1137" s="3" t="n"/>
      <c r="F1137" s="3" t="n"/>
      <c r="G1137" s="3" t="n"/>
      <c r="H1137" s="3" t="inlineStr"/>
      <c r="I1137" s="3" t="n"/>
      <c r="J1137" s="3" t="n"/>
      <c r="K1137" s="3" t="n"/>
      <c r="L1137" s="3" t="inlineStr"/>
      <c r="M1137" s="3" t="n"/>
      <c r="N1137" s="3" t="inlineStr"/>
      <c r="O1137" s="3" t="n"/>
      <c r="P1137" s="3" t="n"/>
      <c r="Q1137" s="3" t="n"/>
      <c r="R1137" s="3" t="n"/>
      <c r="S1137" s="3" t="n"/>
      <c r="T1137" s="3" t="n"/>
      <c r="U1137" s="3" t="n"/>
      <c r="V1137" s="3" t="n"/>
      <c r="W1137" s="3" t="n"/>
      <c r="X1137" s="3" t="n"/>
      <c r="Y1137" s="3" t="n"/>
      <c r="Z1137" s="3" t="n"/>
      <c r="AA1137" s="3" t="n"/>
    </row>
    <row r="1138">
      <c r="A1138" s="105" t="n"/>
      <c r="B1138" s="105" t="n"/>
      <c r="C1138" s="3" t="n"/>
      <c r="D1138" s="3" t="n"/>
      <c r="E1138" s="3" t="n"/>
      <c r="F1138" s="3" t="n"/>
      <c r="G1138" s="3" t="n"/>
      <c r="H1138" s="3" t="inlineStr"/>
      <c r="I1138" s="3" t="n"/>
      <c r="J1138" s="3" t="n"/>
      <c r="K1138" s="3" t="n"/>
      <c r="L1138" s="3" t="inlineStr"/>
      <c r="M1138" s="3" t="n"/>
      <c r="N1138" s="3" t="inlineStr"/>
      <c r="O1138" s="3" t="n"/>
      <c r="P1138" s="3" t="n"/>
      <c r="Q1138" s="3" t="n"/>
      <c r="R1138" s="3" t="n"/>
      <c r="S1138" s="3" t="n"/>
      <c r="T1138" s="3" t="n"/>
      <c r="U1138" s="3" t="n"/>
      <c r="V1138" s="3" t="n"/>
      <c r="W1138" s="3" t="n"/>
      <c r="X1138" s="3" t="n"/>
      <c r="Y1138" s="3" t="n"/>
      <c r="Z1138" s="3" t="n"/>
      <c r="AA1138" s="3" t="n"/>
    </row>
    <row r="1139">
      <c r="A1139" s="105" t="n"/>
      <c r="B1139" s="105" t="n"/>
      <c r="C1139" s="3" t="n"/>
      <c r="D1139" s="3" t="n"/>
      <c r="E1139" s="3" t="n"/>
      <c r="F1139" s="3" t="n"/>
      <c r="G1139" s="3" t="n"/>
      <c r="H1139" s="3" t="inlineStr"/>
      <c r="I1139" s="3" t="n"/>
      <c r="J1139" s="3" t="n"/>
      <c r="K1139" s="3" t="n"/>
      <c r="L1139" s="3" t="inlineStr"/>
      <c r="M1139" s="3" t="n"/>
      <c r="N1139" s="3" t="inlineStr"/>
      <c r="O1139" s="3" t="n"/>
      <c r="P1139" s="3" t="n"/>
      <c r="Q1139" s="3" t="n"/>
      <c r="R1139" s="3" t="n"/>
      <c r="S1139" s="3" t="n"/>
      <c r="T1139" s="3" t="n"/>
      <c r="U1139" s="3" t="n"/>
      <c r="V1139" s="3" t="n"/>
      <c r="W1139" s="3" t="n"/>
      <c r="X1139" s="3" t="n"/>
      <c r="Y1139" s="3" t="n"/>
      <c r="Z1139" s="3" t="n"/>
      <c r="AA1139" s="3" t="n"/>
    </row>
    <row r="1140">
      <c r="A1140" s="105" t="n"/>
      <c r="B1140" s="105" t="n"/>
      <c r="C1140" s="3" t="n"/>
      <c r="D1140" s="3" t="n"/>
      <c r="E1140" s="3" t="n"/>
      <c r="F1140" s="3" t="n"/>
      <c r="G1140" s="3" t="n"/>
      <c r="H1140" s="3" t="inlineStr"/>
      <c r="I1140" s="3" t="n"/>
      <c r="J1140" s="3" t="n"/>
      <c r="K1140" s="3" t="n"/>
      <c r="L1140" s="3" t="inlineStr"/>
      <c r="M1140" s="3" t="n"/>
      <c r="N1140" s="3" t="inlineStr"/>
      <c r="O1140" s="3" t="n"/>
      <c r="P1140" s="3" t="n"/>
      <c r="Q1140" s="3" t="n"/>
      <c r="R1140" s="3" t="n"/>
      <c r="S1140" s="3" t="n"/>
      <c r="T1140" s="3" t="n"/>
      <c r="U1140" s="3" t="n"/>
      <c r="V1140" s="3" t="n"/>
      <c r="W1140" s="3" t="n"/>
      <c r="X1140" s="3" t="n"/>
      <c r="Y1140" s="3" t="n"/>
      <c r="Z1140" s="3" t="n"/>
      <c r="AA1140" s="3" t="n"/>
    </row>
    <row r="1141">
      <c r="A1141" s="105" t="n"/>
      <c r="B1141" s="105" t="n"/>
      <c r="C1141" s="3" t="n"/>
      <c r="D1141" s="3" t="n"/>
      <c r="E1141" s="3" t="n"/>
      <c r="F1141" s="3" t="n"/>
      <c r="G1141" s="3" t="n"/>
      <c r="H1141" s="3" t="inlineStr"/>
      <c r="I1141" s="3" t="n"/>
      <c r="J1141" s="3" t="n"/>
      <c r="K1141" s="3" t="n"/>
      <c r="L1141" s="3" t="inlineStr"/>
      <c r="M1141" s="3" t="n"/>
      <c r="N1141" s="3" t="inlineStr"/>
      <c r="O1141" s="3" t="n"/>
      <c r="P1141" s="3" t="n"/>
      <c r="Q1141" s="3" t="n"/>
      <c r="R1141" s="3" t="n"/>
      <c r="S1141" s="3" t="n"/>
      <c r="T1141" s="3" t="n"/>
      <c r="U1141" s="3" t="n"/>
      <c r="V1141" s="3" t="n"/>
      <c r="W1141" s="3" t="n"/>
      <c r="X1141" s="3" t="n"/>
      <c r="Y1141" s="3" t="n"/>
      <c r="Z1141" s="3" t="n"/>
      <c r="AA1141" s="3" t="n"/>
    </row>
    <row r="1142">
      <c r="A1142" s="105" t="n"/>
      <c r="B1142" s="105" t="n"/>
      <c r="C1142" s="3" t="n"/>
      <c r="D1142" s="3" t="n"/>
      <c r="E1142" s="3" t="n"/>
      <c r="F1142" s="3" t="n"/>
      <c r="G1142" s="3" t="n"/>
      <c r="H1142" s="3" t="inlineStr"/>
      <c r="I1142" s="3" t="n"/>
      <c r="J1142" s="3" t="n"/>
      <c r="K1142" s="3" t="n"/>
      <c r="L1142" s="3" t="inlineStr"/>
      <c r="M1142" s="3" t="n"/>
      <c r="N1142" s="3" t="inlineStr"/>
      <c r="O1142" s="3" t="n"/>
      <c r="P1142" s="3" t="n"/>
      <c r="Q1142" s="3" t="n"/>
      <c r="R1142" s="3" t="n"/>
      <c r="S1142" s="3" t="n"/>
      <c r="T1142" s="3" t="n"/>
      <c r="U1142" s="3" t="n"/>
      <c r="V1142" s="3" t="n"/>
      <c r="W1142" s="3" t="n"/>
      <c r="X1142" s="3" t="n"/>
      <c r="Y1142" s="3" t="n"/>
      <c r="Z1142" s="3" t="n"/>
      <c r="AA1142" s="3" t="n"/>
    </row>
    <row r="1143">
      <c r="A1143" s="105" t="n"/>
      <c r="B1143" s="105" t="n"/>
      <c r="C1143" s="3" t="n"/>
      <c r="D1143" s="3" t="n"/>
      <c r="E1143" s="3" t="n"/>
      <c r="F1143" s="3" t="n"/>
      <c r="G1143" s="3" t="n"/>
      <c r="H1143" s="3" t="inlineStr"/>
      <c r="I1143" s="3" t="n"/>
      <c r="J1143" s="3" t="n"/>
      <c r="K1143" s="3" t="n"/>
      <c r="L1143" s="3" t="inlineStr"/>
      <c r="M1143" s="3" t="n"/>
      <c r="N1143" s="3" t="inlineStr"/>
      <c r="O1143" s="3" t="n"/>
      <c r="P1143" s="3" t="n"/>
      <c r="Q1143" s="3" t="n"/>
      <c r="R1143" s="3" t="n"/>
      <c r="S1143" s="3" t="n"/>
      <c r="T1143" s="3" t="n"/>
      <c r="U1143" s="3" t="n"/>
      <c r="V1143" s="3" t="n"/>
      <c r="W1143" s="3" t="n"/>
      <c r="X1143" s="3" t="n"/>
      <c r="Y1143" s="3" t="n"/>
      <c r="Z1143" s="3" t="n"/>
      <c r="AA1143" s="3" t="n"/>
    </row>
    <row r="1144">
      <c r="A1144" s="105" t="n"/>
      <c r="B1144" s="105" t="n"/>
      <c r="C1144" s="3" t="n"/>
      <c r="D1144" s="3" t="n"/>
      <c r="E1144" s="3" t="n"/>
      <c r="F1144" s="3" t="n"/>
      <c r="G1144" s="3" t="n"/>
      <c r="H1144" s="3" t="inlineStr"/>
      <c r="I1144" s="3" t="n"/>
      <c r="J1144" s="3" t="n"/>
      <c r="K1144" s="3" t="n"/>
      <c r="L1144" s="3" t="inlineStr"/>
      <c r="M1144" s="3" t="n"/>
      <c r="N1144" s="3" t="inlineStr"/>
      <c r="O1144" s="3" t="n"/>
      <c r="P1144" s="3" t="n"/>
      <c r="Q1144" s="3" t="n"/>
      <c r="R1144" s="3" t="n"/>
      <c r="S1144" s="3" t="n"/>
      <c r="T1144" s="3" t="n"/>
      <c r="U1144" s="3" t="n"/>
      <c r="V1144" s="3" t="n"/>
      <c r="W1144" s="3" t="n"/>
      <c r="X1144" s="3" t="n"/>
      <c r="Y1144" s="3" t="n"/>
      <c r="Z1144" s="3" t="n"/>
      <c r="AA1144" s="3" t="n"/>
    </row>
    <row r="1145">
      <c r="A1145" s="105" t="n"/>
      <c r="B1145" s="105" t="n"/>
      <c r="C1145" s="3" t="n"/>
      <c r="D1145" s="3" t="n"/>
      <c r="E1145" s="3" t="n"/>
      <c r="F1145" s="3" t="n"/>
      <c r="G1145" s="3" t="n"/>
      <c r="H1145" s="3" t="inlineStr"/>
      <c r="I1145" s="3" t="n"/>
      <c r="J1145" s="3" t="n"/>
      <c r="K1145" s="3" t="n"/>
      <c r="L1145" s="3" t="inlineStr"/>
      <c r="M1145" s="3" t="n"/>
      <c r="N1145" s="3" t="inlineStr"/>
      <c r="O1145" s="3" t="n"/>
      <c r="P1145" s="3" t="n"/>
      <c r="Q1145" s="3" t="n"/>
      <c r="R1145" s="3" t="n"/>
      <c r="S1145" s="3" t="n"/>
      <c r="T1145" s="3" t="n"/>
      <c r="U1145" s="3" t="n"/>
      <c r="V1145" s="3" t="n"/>
      <c r="W1145" s="3" t="n"/>
      <c r="X1145" s="3" t="n"/>
      <c r="Y1145" s="3" t="n"/>
      <c r="Z1145" s="3" t="n"/>
      <c r="AA1145" s="3" t="n"/>
    </row>
    <row r="1146">
      <c r="A1146" s="105" t="n"/>
      <c r="B1146" s="105" t="n"/>
      <c r="C1146" s="3" t="n"/>
      <c r="D1146" s="3" t="n"/>
      <c r="E1146" s="3" t="n"/>
      <c r="F1146" s="3" t="n"/>
      <c r="G1146" s="3" t="n"/>
      <c r="H1146" s="3" t="inlineStr"/>
      <c r="I1146" s="3" t="n"/>
      <c r="J1146" s="3" t="n"/>
      <c r="K1146" s="3" t="n"/>
      <c r="L1146" s="3" t="inlineStr"/>
      <c r="M1146" s="3" t="n"/>
      <c r="N1146" s="3" t="inlineStr"/>
      <c r="O1146" s="3" t="n"/>
      <c r="P1146" s="3" t="n"/>
      <c r="Q1146" s="3" t="n"/>
      <c r="R1146" s="3" t="n"/>
      <c r="S1146" s="3" t="n"/>
      <c r="T1146" s="3" t="n"/>
      <c r="U1146" s="3" t="n"/>
      <c r="V1146" s="3" t="n"/>
      <c r="W1146" s="3" t="n"/>
      <c r="X1146" s="3" t="n"/>
      <c r="Y1146" s="3" t="n"/>
      <c r="Z1146" s="3" t="n"/>
      <c r="AA1146" s="3" t="n"/>
    </row>
    <row r="1147">
      <c r="A1147" s="105" t="n"/>
      <c r="B1147" s="105" t="n"/>
      <c r="C1147" s="3" t="n"/>
      <c r="D1147" s="3" t="n"/>
      <c r="E1147" s="3" t="n"/>
      <c r="F1147" s="3" t="n"/>
      <c r="G1147" s="3" t="n"/>
      <c r="H1147" s="3" t="inlineStr"/>
      <c r="I1147" s="3" t="n"/>
      <c r="J1147" s="3" t="n"/>
      <c r="K1147" s="3" t="n"/>
      <c r="L1147" s="3" t="inlineStr"/>
      <c r="M1147" s="3" t="n"/>
      <c r="N1147" s="3" t="inlineStr"/>
      <c r="O1147" s="3" t="n"/>
      <c r="P1147" s="3" t="n"/>
      <c r="Q1147" s="3" t="n"/>
      <c r="R1147" s="3" t="n"/>
      <c r="S1147" s="3" t="n"/>
      <c r="T1147" s="3" t="n"/>
      <c r="U1147" s="3" t="n"/>
      <c r="V1147" s="3" t="n"/>
      <c r="W1147" s="3" t="n"/>
      <c r="X1147" s="3" t="n"/>
      <c r="Y1147" s="3" t="n"/>
      <c r="Z1147" s="3" t="n"/>
      <c r="AA1147" s="3" t="n"/>
    </row>
    <row r="1148">
      <c r="A1148" s="105" t="n"/>
      <c r="B1148" s="105" t="n"/>
      <c r="C1148" s="3" t="n"/>
      <c r="D1148" s="3" t="n"/>
      <c r="E1148" s="3" t="n"/>
      <c r="F1148" s="3" t="n"/>
      <c r="G1148" s="3" t="n"/>
      <c r="H1148" s="3" t="inlineStr"/>
      <c r="I1148" s="3" t="n"/>
      <c r="J1148" s="3" t="n"/>
      <c r="K1148" s="3" t="n"/>
      <c r="L1148" s="3" t="inlineStr"/>
      <c r="M1148" s="3" t="n"/>
      <c r="N1148" s="3" t="inlineStr"/>
      <c r="O1148" s="3" t="n"/>
      <c r="P1148" s="3" t="n"/>
      <c r="Q1148" s="3" t="n"/>
      <c r="R1148" s="3" t="n"/>
      <c r="S1148" s="3" t="n"/>
      <c r="T1148" s="3" t="n"/>
      <c r="U1148" s="3" t="n"/>
      <c r="V1148" s="3" t="n"/>
      <c r="W1148" s="3" t="n"/>
      <c r="X1148" s="3" t="n"/>
      <c r="Y1148" s="3" t="n"/>
      <c r="Z1148" s="3" t="n"/>
      <c r="AA1148" s="3" t="n"/>
    </row>
    <row r="1149">
      <c r="A1149" s="105" t="n"/>
      <c r="B1149" s="105" t="n"/>
      <c r="C1149" s="3" t="n"/>
      <c r="D1149" s="3" t="n"/>
      <c r="E1149" s="3" t="n"/>
      <c r="F1149" s="3" t="n"/>
      <c r="G1149" s="3" t="n"/>
      <c r="H1149" s="3" t="inlineStr"/>
      <c r="I1149" s="3" t="n"/>
      <c r="J1149" s="3" t="n"/>
      <c r="K1149" s="3" t="n"/>
      <c r="L1149" s="3" t="inlineStr"/>
      <c r="M1149" s="3" t="n"/>
      <c r="N1149" s="3" t="inlineStr"/>
      <c r="O1149" s="3" t="n"/>
      <c r="P1149" s="3" t="n"/>
      <c r="Q1149" s="3" t="n"/>
      <c r="R1149" s="3" t="n"/>
      <c r="S1149" s="3" t="n"/>
      <c r="T1149" s="3" t="n"/>
      <c r="U1149" s="3" t="n"/>
      <c r="V1149" s="3" t="n"/>
      <c r="W1149" s="3" t="n"/>
      <c r="X1149" s="3" t="n"/>
      <c r="Y1149" s="3" t="n"/>
      <c r="Z1149" s="3" t="n"/>
      <c r="AA1149" s="3" t="n"/>
    </row>
    <row r="1150">
      <c r="A1150" s="105" t="n"/>
      <c r="B1150" s="105" t="n"/>
      <c r="C1150" s="3" t="n"/>
      <c r="D1150" s="3" t="n"/>
      <c r="E1150" s="3" t="n"/>
      <c r="F1150" s="3" t="n"/>
      <c r="G1150" s="3" t="n"/>
      <c r="H1150" s="3" t="inlineStr"/>
      <c r="I1150" s="3" t="n"/>
      <c r="J1150" s="3" t="n"/>
      <c r="K1150" s="3" t="n"/>
      <c r="L1150" s="3" t="inlineStr"/>
      <c r="M1150" s="3" t="n"/>
      <c r="N1150" s="3" t="inlineStr"/>
      <c r="O1150" s="3" t="n"/>
      <c r="P1150" s="3" t="n"/>
      <c r="Q1150" s="3" t="n"/>
      <c r="R1150" s="3" t="n"/>
      <c r="S1150" s="3" t="n"/>
      <c r="T1150" s="3" t="n"/>
      <c r="U1150" s="3" t="n"/>
      <c r="V1150" s="3" t="n"/>
      <c r="W1150" s="3" t="n"/>
      <c r="X1150" s="3" t="n"/>
      <c r="Y1150" s="3" t="n"/>
      <c r="Z1150" s="3" t="n"/>
      <c r="AA1150" s="3" t="n"/>
    </row>
    <row r="1151">
      <c r="A1151" s="105" t="n"/>
      <c r="B1151" s="105" t="n"/>
      <c r="C1151" s="3" t="n"/>
      <c r="D1151" s="3" t="n"/>
      <c r="E1151" s="3" t="n"/>
      <c r="F1151" s="3" t="n"/>
      <c r="G1151" s="3" t="n"/>
      <c r="H1151" s="3" t="inlineStr"/>
      <c r="I1151" s="3" t="n"/>
      <c r="J1151" s="3" t="n"/>
      <c r="K1151" s="3" t="n"/>
      <c r="L1151" s="3" t="inlineStr"/>
      <c r="M1151" s="3" t="n"/>
      <c r="N1151" s="3" t="inlineStr"/>
      <c r="O1151" s="3" t="n"/>
      <c r="P1151" s="3" t="n"/>
      <c r="Q1151" s="3" t="n"/>
      <c r="R1151" s="3" t="n"/>
      <c r="S1151" s="3" t="n"/>
      <c r="T1151" s="3" t="n"/>
      <c r="U1151" s="3" t="n"/>
      <c r="V1151" s="3" t="n"/>
      <c r="W1151" s="3" t="n"/>
      <c r="X1151" s="3" t="n"/>
      <c r="Y1151" s="3" t="n"/>
      <c r="Z1151" s="3" t="n"/>
      <c r="AA1151" s="3" t="n"/>
    </row>
    <row r="1152">
      <c r="A1152" s="105" t="n"/>
      <c r="B1152" s="105" t="n"/>
      <c r="C1152" s="3" t="n"/>
      <c r="D1152" s="3" t="n"/>
      <c r="E1152" s="3" t="n"/>
      <c r="F1152" s="3" t="n"/>
      <c r="G1152" s="3" t="n"/>
      <c r="H1152" s="3" t="inlineStr"/>
      <c r="I1152" s="3" t="n"/>
      <c r="J1152" s="3" t="n"/>
      <c r="K1152" s="3" t="n"/>
      <c r="L1152" s="3" t="inlineStr"/>
      <c r="M1152" s="3" t="n"/>
      <c r="N1152" s="3" t="inlineStr"/>
      <c r="O1152" s="3" t="n"/>
      <c r="P1152" s="3" t="n"/>
      <c r="Q1152" s="3" t="n"/>
      <c r="R1152" s="3" t="n"/>
      <c r="S1152" s="3" t="n"/>
      <c r="T1152" s="3" t="n"/>
      <c r="U1152" s="3" t="n"/>
      <c r="V1152" s="3" t="n"/>
      <c r="W1152" s="3" t="n"/>
      <c r="X1152" s="3" t="n"/>
      <c r="Y1152" s="3" t="n"/>
      <c r="Z1152" s="3" t="n"/>
      <c r="AA1152" s="3" t="n"/>
    </row>
    <row r="1153">
      <c r="A1153" s="105" t="n"/>
      <c r="B1153" s="105" t="n"/>
      <c r="C1153" s="3" t="n"/>
      <c r="D1153" s="3" t="n"/>
      <c r="E1153" s="3" t="n"/>
      <c r="F1153" s="3" t="n"/>
      <c r="G1153" s="3" t="n"/>
      <c r="H1153" s="3" t="inlineStr"/>
      <c r="I1153" s="3" t="n"/>
      <c r="J1153" s="3" t="n"/>
      <c r="K1153" s="3" t="n"/>
      <c r="L1153" s="3" t="inlineStr"/>
      <c r="M1153" s="3" t="n"/>
      <c r="N1153" s="3" t="inlineStr"/>
      <c r="O1153" s="3" t="n"/>
      <c r="P1153" s="3" t="n"/>
      <c r="Q1153" s="3" t="n"/>
      <c r="R1153" s="3" t="n"/>
      <c r="S1153" s="3" t="n"/>
      <c r="T1153" s="3" t="n"/>
      <c r="U1153" s="3" t="n"/>
      <c r="V1153" s="3" t="n"/>
      <c r="W1153" s="3" t="n"/>
      <c r="X1153" s="3" t="n"/>
      <c r="Y1153" s="3" t="n"/>
      <c r="Z1153" s="3" t="n"/>
      <c r="AA1153" s="3" t="n"/>
    </row>
    <row r="1154">
      <c r="A1154" s="105" t="n"/>
      <c r="B1154" s="105" t="n"/>
      <c r="C1154" s="3" t="n"/>
      <c r="D1154" s="3" t="n"/>
      <c r="E1154" s="3" t="n"/>
      <c r="F1154" s="3" t="n"/>
      <c r="G1154" s="3" t="n"/>
      <c r="H1154" s="3" t="inlineStr"/>
      <c r="I1154" s="3" t="n"/>
      <c r="J1154" s="3" t="n"/>
      <c r="K1154" s="3" t="n"/>
      <c r="L1154" s="3" t="inlineStr"/>
      <c r="M1154" s="3" t="n"/>
      <c r="N1154" s="3" t="inlineStr"/>
      <c r="O1154" s="3" t="n"/>
      <c r="P1154" s="3" t="n"/>
      <c r="Q1154" s="3" t="n"/>
      <c r="R1154" s="3" t="n"/>
      <c r="S1154" s="3" t="n"/>
      <c r="T1154" s="3" t="n"/>
      <c r="U1154" s="3" t="n"/>
      <c r="V1154" s="3" t="n"/>
      <c r="W1154" s="3" t="n"/>
      <c r="X1154" s="3" t="n"/>
      <c r="Y1154" s="3" t="n"/>
      <c r="Z1154" s="3" t="n"/>
      <c r="AA1154" s="3" t="n"/>
    </row>
    <row r="1155">
      <c r="A1155" s="105" t="n"/>
      <c r="B1155" s="105" t="n"/>
      <c r="C1155" s="3" t="n"/>
      <c r="D1155" s="3" t="n"/>
      <c r="E1155" s="3" t="n"/>
      <c r="F1155" s="3" t="n"/>
      <c r="G1155" s="3" t="n"/>
      <c r="H1155" s="3" t="inlineStr"/>
      <c r="I1155" s="3" t="n"/>
      <c r="J1155" s="3" t="n"/>
      <c r="K1155" s="3" t="n"/>
      <c r="L1155" s="3" t="inlineStr"/>
      <c r="M1155" s="3" t="n"/>
      <c r="N1155" s="3" t="inlineStr"/>
      <c r="O1155" s="3" t="n"/>
      <c r="P1155" s="3" t="n"/>
      <c r="Q1155" s="3" t="n"/>
      <c r="R1155" s="3" t="n"/>
      <c r="S1155" s="3" t="n"/>
      <c r="T1155" s="3" t="n"/>
      <c r="U1155" s="3" t="n"/>
      <c r="V1155" s="3" t="n"/>
      <c r="W1155" s="3" t="n"/>
      <c r="X1155" s="3" t="n"/>
      <c r="Y1155" s="3" t="n"/>
      <c r="Z1155" s="3" t="n"/>
      <c r="AA1155" s="3" t="n"/>
    </row>
    <row r="1156">
      <c r="A1156" s="105" t="n"/>
      <c r="B1156" s="105" t="n"/>
      <c r="C1156" s="3" t="n"/>
      <c r="D1156" s="3" t="n"/>
      <c r="E1156" s="3" t="n"/>
      <c r="F1156" s="3" t="n"/>
      <c r="G1156" s="3" t="n"/>
      <c r="H1156" s="3" t="inlineStr"/>
      <c r="I1156" s="3" t="n"/>
      <c r="J1156" s="3" t="n"/>
      <c r="K1156" s="3" t="n"/>
      <c r="L1156" s="3" t="inlineStr"/>
      <c r="M1156" s="3" t="n"/>
      <c r="N1156" s="3" t="inlineStr"/>
      <c r="O1156" s="3" t="n"/>
      <c r="P1156" s="3" t="n"/>
      <c r="Q1156" s="3" t="n"/>
      <c r="R1156" s="3" t="n"/>
      <c r="S1156" s="3" t="n"/>
      <c r="T1156" s="3" t="n"/>
      <c r="U1156" s="3" t="n"/>
      <c r="V1156" s="3" t="n"/>
      <c r="W1156" s="3" t="n"/>
      <c r="X1156" s="3" t="n"/>
      <c r="Y1156" s="3" t="n"/>
      <c r="Z1156" s="3" t="n"/>
      <c r="AA1156" s="3" t="n"/>
    </row>
    <row r="1157">
      <c r="A1157" s="105" t="n"/>
      <c r="B1157" s="105" t="n"/>
      <c r="C1157" s="3" t="n"/>
      <c r="D1157" s="3" t="n"/>
      <c r="E1157" s="3" t="n"/>
      <c r="F1157" s="3" t="n"/>
      <c r="G1157" s="3" t="n"/>
      <c r="H1157" s="3" t="inlineStr"/>
      <c r="I1157" s="3" t="n"/>
      <c r="J1157" s="3" t="n"/>
      <c r="K1157" s="3" t="n"/>
      <c r="L1157" s="3" t="inlineStr"/>
      <c r="M1157" s="3" t="n"/>
      <c r="N1157" s="3" t="inlineStr"/>
      <c r="O1157" s="3" t="n"/>
      <c r="P1157" s="3" t="n"/>
      <c r="Q1157" s="3" t="n"/>
      <c r="R1157" s="3" t="n"/>
      <c r="S1157" s="3" t="n"/>
      <c r="T1157" s="3" t="n"/>
      <c r="U1157" s="3" t="n"/>
      <c r="V1157" s="3" t="n"/>
      <c r="W1157" s="3" t="n"/>
      <c r="X1157" s="3" t="n"/>
      <c r="Y1157" s="3" t="n"/>
      <c r="Z1157" s="3" t="n"/>
      <c r="AA1157" s="3" t="n"/>
    </row>
    <row r="1158">
      <c r="A1158" s="105" t="n"/>
      <c r="B1158" s="105" t="n"/>
      <c r="C1158" s="3" t="n"/>
      <c r="D1158" s="3" t="n"/>
      <c r="E1158" s="3" t="n"/>
      <c r="F1158" s="3" t="n"/>
      <c r="G1158" s="3" t="n"/>
      <c r="H1158" s="3" t="inlineStr"/>
      <c r="I1158" s="3" t="n"/>
      <c r="J1158" s="3" t="n"/>
      <c r="K1158" s="3" t="n"/>
      <c r="L1158" s="3" t="inlineStr"/>
      <c r="M1158" s="3" t="n"/>
      <c r="N1158" s="3" t="inlineStr"/>
      <c r="O1158" s="3" t="n"/>
      <c r="P1158" s="3" t="n"/>
      <c r="Q1158" s="3" t="n"/>
      <c r="R1158" s="3" t="n"/>
      <c r="S1158" s="3" t="n"/>
      <c r="T1158" s="3" t="n"/>
      <c r="U1158" s="3" t="n"/>
      <c r="V1158" s="3" t="n"/>
      <c r="W1158" s="3" t="n"/>
      <c r="X1158" s="3" t="n"/>
      <c r="Y1158" s="3" t="n"/>
      <c r="Z1158" s="3" t="n"/>
      <c r="AA1158" s="3" t="n"/>
    </row>
    <row r="1159">
      <c r="A1159" s="105" t="n"/>
      <c r="B1159" s="105" t="n"/>
      <c r="C1159" s="3" t="n"/>
      <c r="D1159" s="3" t="n"/>
      <c r="E1159" s="3" t="n"/>
      <c r="F1159" s="3" t="n"/>
      <c r="G1159" s="3" t="n"/>
      <c r="H1159" s="3" t="inlineStr"/>
      <c r="I1159" s="3" t="n"/>
      <c r="J1159" s="3" t="n"/>
      <c r="K1159" s="3" t="n"/>
      <c r="L1159" s="3" t="inlineStr"/>
      <c r="M1159" s="3" t="n"/>
      <c r="N1159" s="3" t="inlineStr"/>
      <c r="O1159" s="3" t="n"/>
      <c r="P1159" s="3" t="n"/>
      <c r="Q1159" s="3" t="n"/>
      <c r="R1159" s="3" t="n"/>
      <c r="S1159" s="3" t="n"/>
      <c r="T1159" s="3" t="n"/>
      <c r="U1159" s="3" t="n"/>
      <c r="V1159" s="3" t="n"/>
      <c r="W1159" s="3" t="n"/>
      <c r="X1159" s="3" t="n"/>
      <c r="Y1159" s="3" t="n"/>
      <c r="Z1159" s="3" t="n"/>
      <c r="AA1159" s="3" t="n"/>
    </row>
    <row r="1160">
      <c r="A1160" s="105" t="n"/>
      <c r="B1160" s="105" t="n"/>
      <c r="C1160" s="3" t="n"/>
      <c r="D1160" s="3" t="n"/>
      <c r="E1160" s="3" t="n"/>
      <c r="F1160" s="3" t="n"/>
      <c r="G1160" s="3" t="n"/>
      <c r="H1160" s="3" t="inlineStr"/>
      <c r="I1160" s="3" t="n"/>
      <c r="J1160" s="3" t="n"/>
      <c r="K1160" s="3" t="n"/>
      <c r="L1160" s="3" t="inlineStr"/>
      <c r="M1160" s="3" t="n"/>
      <c r="N1160" s="3" t="inlineStr"/>
      <c r="O1160" s="3" t="n"/>
      <c r="P1160" s="3" t="n"/>
      <c r="Q1160" s="3" t="n"/>
      <c r="R1160" s="3" t="n"/>
      <c r="S1160" s="3" t="n"/>
      <c r="T1160" s="3" t="n"/>
      <c r="U1160" s="3" t="n"/>
      <c r="V1160" s="3" t="n"/>
      <c r="W1160" s="3" t="n"/>
      <c r="X1160" s="3" t="n"/>
      <c r="Y1160" s="3" t="n"/>
      <c r="Z1160" s="3" t="n"/>
      <c r="AA1160" s="3" t="n"/>
    </row>
    <row r="1161">
      <c r="A1161" s="105" t="n"/>
      <c r="B1161" s="105" t="n"/>
      <c r="C1161" s="3" t="n"/>
      <c r="D1161" s="3" t="n"/>
      <c r="E1161" s="3" t="n"/>
      <c r="F1161" s="3" t="n"/>
      <c r="G1161" s="3" t="n"/>
      <c r="H1161" s="3" t="inlineStr"/>
      <c r="I1161" s="3" t="n"/>
      <c r="J1161" s="3" t="n"/>
      <c r="K1161" s="3" t="n"/>
      <c r="L1161" s="3" t="inlineStr"/>
      <c r="M1161" s="3" t="n"/>
      <c r="N1161" s="3" t="inlineStr"/>
      <c r="O1161" s="3" t="n"/>
      <c r="P1161" s="3" t="n"/>
      <c r="Q1161" s="3" t="n"/>
      <c r="R1161" s="3" t="n"/>
      <c r="S1161" s="3" t="n"/>
      <c r="T1161" s="3" t="n"/>
      <c r="U1161" s="3" t="n"/>
      <c r="V1161" s="3" t="n"/>
      <c r="W1161" s="3" t="n"/>
      <c r="X1161" s="3" t="n"/>
      <c r="Y1161" s="3" t="n"/>
      <c r="Z1161" s="3" t="n"/>
      <c r="AA1161" s="3" t="n"/>
    </row>
    <row r="1162">
      <c r="A1162" s="105" t="n"/>
      <c r="B1162" s="105" t="n"/>
      <c r="C1162" s="3" t="n"/>
      <c r="D1162" s="3" t="n"/>
      <c r="E1162" s="3" t="n"/>
      <c r="F1162" s="3" t="n"/>
      <c r="G1162" s="3" t="n"/>
      <c r="H1162" s="3" t="inlineStr"/>
      <c r="I1162" s="3" t="n"/>
      <c r="J1162" s="3" t="n"/>
      <c r="K1162" s="3" t="n"/>
      <c r="L1162" s="3" t="inlineStr"/>
      <c r="M1162" s="3" t="n"/>
      <c r="N1162" s="3" t="inlineStr"/>
      <c r="O1162" s="3" t="n"/>
      <c r="P1162" s="3" t="n"/>
      <c r="Q1162" s="3" t="n"/>
      <c r="R1162" s="3" t="n"/>
      <c r="S1162" s="3" t="n"/>
      <c r="T1162" s="3" t="n"/>
      <c r="U1162" s="3" t="n"/>
      <c r="V1162" s="3" t="n"/>
      <c r="W1162" s="3" t="n"/>
      <c r="X1162" s="3" t="n"/>
      <c r="Y1162" s="3" t="n"/>
      <c r="Z1162" s="3" t="n"/>
      <c r="AA1162" s="3" t="n"/>
    </row>
    <row r="1163">
      <c r="A1163" s="105" t="n"/>
      <c r="B1163" s="105" t="n"/>
      <c r="C1163" s="3" t="n"/>
      <c r="D1163" s="3" t="n"/>
      <c r="E1163" s="3" t="n"/>
      <c r="F1163" s="3" t="n"/>
      <c r="G1163" s="3" t="n"/>
      <c r="H1163" s="3" t="inlineStr"/>
      <c r="I1163" s="3" t="n"/>
      <c r="J1163" s="3" t="n"/>
      <c r="K1163" s="3" t="n"/>
      <c r="L1163" s="3" t="inlineStr"/>
      <c r="M1163" s="3" t="n"/>
      <c r="N1163" s="3" t="inlineStr"/>
      <c r="O1163" s="3" t="n"/>
      <c r="P1163" s="3" t="n"/>
      <c r="Q1163" s="3" t="n"/>
      <c r="R1163" s="3" t="n"/>
      <c r="S1163" s="3" t="n"/>
      <c r="T1163" s="3" t="n"/>
      <c r="U1163" s="3" t="n"/>
      <c r="V1163" s="3" t="n"/>
      <c r="W1163" s="3" t="n"/>
      <c r="X1163" s="3" t="n"/>
      <c r="Y1163" s="3" t="n"/>
      <c r="Z1163" s="3" t="n"/>
      <c r="AA1163" s="3" t="n"/>
    </row>
    <row r="1164">
      <c r="A1164" s="105" t="n"/>
      <c r="B1164" s="105" t="n"/>
      <c r="C1164" s="3" t="n"/>
      <c r="D1164" s="3" t="n"/>
      <c r="E1164" s="3" t="n"/>
      <c r="F1164" s="3" t="n"/>
      <c r="G1164" s="3" t="n"/>
      <c r="H1164" s="3" t="inlineStr"/>
      <c r="I1164" s="3" t="n"/>
      <c r="J1164" s="3" t="n"/>
      <c r="K1164" s="3" t="n"/>
      <c r="L1164" s="3" t="inlineStr"/>
      <c r="M1164" s="3" t="n"/>
      <c r="N1164" s="3" t="inlineStr"/>
      <c r="O1164" s="3" t="n"/>
      <c r="P1164" s="3" t="n"/>
      <c r="Q1164" s="3" t="n"/>
      <c r="R1164" s="3" t="n"/>
      <c r="S1164" s="3" t="n"/>
      <c r="T1164" s="3" t="n"/>
      <c r="U1164" s="3" t="n"/>
      <c r="V1164" s="3" t="n"/>
      <c r="W1164" s="3" t="n"/>
      <c r="X1164" s="3" t="n"/>
      <c r="Y1164" s="3" t="n"/>
      <c r="Z1164" s="3" t="n"/>
      <c r="AA1164" s="3" t="n"/>
    </row>
    <row r="1165">
      <c r="A1165" s="105" t="n"/>
      <c r="B1165" s="105" t="n"/>
      <c r="C1165" s="3" t="n"/>
      <c r="D1165" s="3" t="n"/>
      <c r="E1165" s="3" t="n"/>
      <c r="F1165" s="3" t="n"/>
      <c r="G1165" s="3" t="n"/>
      <c r="H1165" s="3" t="inlineStr"/>
      <c r="I1165" s="3" t="n"/>
      <c r="J1165" s="3" t="n"/>
      <c r="K1165" s="3" t="n"/>
      <c r="L1165" s="3" t="inlineStr"/>
      <c r="M1165" s="3" t="n"/>
      <c r="N1165" s="3" t="inlineStr"/>
      <c r="O1165" s="3" t="n"/>
      <c r="P1165" s="3" t="n"/>
      <c r="Q1165" s="3" t="n"/>
      <c r="R1165" s="3" t="n"/>
      <c r="S1165" s="3" t="n"/>
      <c r="T1165" s="3" t="n"/>
      <c r="U1165" s="3" t="n"/>
      <c r="V1165" s="3" t="n"/>
      <c r="W1165" s="3" t="n"/>
      <c r="X1165" s="3" t="n"/>
      <c r="Y1165" s="3" t="n"/>
      <c r="Z1165" s="3" t="n"/>
      <c r="AA1165" s="3" t="n"/>
    </row>
    <row r="1166">
      <c r="A1166" s="105" t="n"/>
      <c r="B1166" s="105" t="n"/>
      <c r="C1166" s="3" t="n"/>
      <c r="D1166" s="3" t="n"/>
      <c r="E1166" s="3" t="n"/>
      <c r="F1166" s="3" t="n"/>
      <c r="G1166" s="3" t="n"/>
      <c r="H1166" s="3" t="inlineStr"/>
      <c r="I1166" s="3" t="n"/>
      <c r="J1166" s="3" t="n"/>
      <c r="K1166" s="3" t="n"/>
      <c r="L1166" s="3" t="inlineStr"/>
      <c r="M1166" s="3" t="n"/>
      <c r="N1166" s="3" t="inlineStr"/>
      <c r="O1166" s="3" t="n"/>
      <c r="P1166" s="3" t="n"/>
      <c r="Q1166" s="3" t="n"/>
      <c r="R1166" s="3" t="n"/>
      <c r="S1166" s="3" t="n"/>
      <c r="T1166" s="3" t="n"/>
      <c r="U1166" s="3" t="n"/>
      <c r="V1166" s="3" t="n"/>
      <c r="W1166" s="3" t="n"/>
      <c r="X1166" s="3" t="n"/>
      <c r="Y1166" s="3" t="n"/>
      <c r="Z1166" s="3" t="n"/>
      <c r="AA1166" s="3" t="n"/>
    </row>
    <row r="1167">
      <c r="A1167" s="105" t="n"/>
      <c r="B1167" s="105" t="n"/>
      <c r="C1167" s="3" t="n"/>
      <c r="D1167" s="3" t="n"/>
      <c r="E1167" s="3" t="n"/>
      <c r="F1167" s="3" t="n"/>
      <c r="G1167" s="3" t="n"/>
      <c r="H1167" s="3" t="inlineStr"/>
      <c r="I1167" s="3" t="n"/>
      <c r="J1167" s="3" t="n"/>
      <c r="K1167" s="3" t="n"/>
      <c r="L1167" s="3" t="inlineStr"/>
      <c r="M1167" s="3" t="n"/>
      <c r="N1167" s="3" t="inlineStr"/>
      <c r="O1167" s="3" t="n"/>
      <c r="P1167" s="3" t="n"/>
      <c r="Q1167" s="3" t="n"/>
      <c r="R1167" s="3" t="n"/>
      <c r="S1167" s="3" t="n"/>
      <c r="T1167" s="3" t="n"/>
      <c r="U1167" s="3" t="n"/>
      <c r="V1167" s="3" t="n"/>
      <c r="W1167" s="3" t="n"/>
      <c r="X1167" s="3" t="n"/>
      <c r="Y1167" s="3" t="n"/>
      <c r="Z1167" s="3" t="n"/>
      <c r="AA1167" s="3" t="n"/>
    </row>
    <row r="1168">
      <c r="A1168" s="105" t="n"/>
      <c r="B1168" s="105" t="n"/>
      <c r="C1168" s="3" t="n"/>
      <c r="D1168" s="3" t="n"/>
      <c r="E1168" s="3" t="n"/>
      <c r="F1168" s="3" t="n"/>
      <c r="G1168" s="3" t="n"/>
      <c r="H1168" s="3" t="inlineStr"/>
      <c r="I1168" s="3" t="n"/>
      <c r="J1168" s="3" t="n"/>
      <c r="K1168" s="3" t="n"/>
      <c r="L1168" s="3" t="inlineStr"/>
      <c r="M1168" s="3" t="n"/>
      <c r="N1168" s="3" t="inlineStr"/>
      <c r="O1168" s="3" t="n"/>
      <c r="P1168" s="3" t="n"/>
      <c r="Q1168" s="3" t="n"/>
      <c r="R1168" s="3" t="n"/>
      <c r="S1168" s="3" t="n"/>
      <c r="T1168" s="3" t="n"/>
      <c r="U1168" s="3" t="n"/>
      <c r="V1168" s="3" t="n"/>
      <c r="W1168" s="3" t="n"/>
      <c r="X1168" s="3" t="n"/>
      <c r="Y1168" s="3" t="n"/>
      <c r="Z1168" s="3" t="n"/>
      <c r="AA1168" s="3" t="n"/>
    </row>
    <row r="1169">
      <c r="A1169" s="105" t="n"/>
      <c r="B1169" s="105" t="n"/>
      <c r="C1169" s="3" t="n"/>
      <c r="D1169" s="3" t="n"/>
      <c r="E1169" s="3" t="n"/>
      <c r="F1169" s="3" t="n"/>
      <c r="G1169" s="3" t="n"/>
      <c r="H1169" s="3" t="inlineStr"/>
      <c r="I1169" s="3" t="n"/>
      <c r="J1169" s="3" t="n"/>
      <c r="K1169" s="3" t="n"/>
      <c r="L1169" s="3" t="inlineStr"/>
      <c r="M1169" s="3" t="n"/>
      <c r="N1169" s="3" t="inlineStr"/>
      <c r="O1169" s="3" t="n"/>
      <c r="P1169" s="3" t="n"/>
      <c r="Q1169" s="3" t="n"/>
      <c r="R1169" s="3" t="n"/>
      <c r="S1169" s="3" t="n"/>
      <c r="T1169" s="3" t="n"/>
      <c r="U1169" s="3" t="n"/>
      <c r="V1169" s="3" t="n"/>
      <c r="W1169" s="3" t="n"/>
      <c r="X1169" s="3" t="n"/>
      <c r="Y1169" s="3" t="n"/>
      <c r="Z1169" s="3" t="n"/>
      <c r="AA1169" s="3" t="n"/>
    </row>
    <row r="1170">
      <c r="A1170" s="105" t="n"/>
      <c r="B1170" s="105" t="n"/>
      <c r="C1170" s="3" t="n"/>
      <c r="D1170" s="3" t="n"/>
      <c r="E1170" s="3" t="n"/>
      <c r="F1170" s="3" t="n"/>
      <c r="G1170" s="3" t="n"/>
      <c r="H1170" s="3" t="inlineStr"/>
      <c r="I1170" s="3" t="n"/>
      <c r="J1170" s="3" t="n"/>
      <c r="K1170" s="3" t="n"/>
      <c r="L1170" s="3" t="inlineStr"/>
      <c r="M1170" s="3" t="n"/>
      <c r="N1170" s="3" t="inlineStr"/>
      <c r="O1170" s="3" t="n"/>
      <c r="P1170" s="3" t="n"/>
      <c r="Q1170" s="3" t="n"/>
      <c r="R1170" s="3" t="n"/>
      <c r="S1170" s="3" t="n"/>
      <c r="T1170" s="3" t="n"/>
      <c r="U1170" s="3" t="n"/>
      <c r="V1170" s="3" t="n"/>
      <c r="W1170" s="3" t="n"/>
      <c r="X1170" s="3" t="n"/>
      <c r="Y1170" s="3" t="n"/>
      <c r="Z1170" s="3" t="n"/>
      <c r="AA1170" s="3" t="n"/>
    </row>
    <row r="1171">
      <c r="A1171" s="105" t="n"/>
      <c r="B1171" s="105" t="n"/>
      <c r="C1171" s="3" t="n"/>
      <c r="D1171" s="3" t="n"/>
      <c r="E1171" s="3" t="n"/>
      <c r="F1171" s="3" t="n"/>
      <c r="G1171" s="3" t="n"/>
      <c r="H1171" s="3" t="inlineStr"/>
      <c r="I1171" s="3" t="n"/>
      <c r="J1171" s="3" t="n"/>
      <c r="K1171" s="3" t="n"/>
      <c r="L1171" s="3" t="inlineStr"/>
      <c r="M1171" s="3" t="n"/>
      <c r="N1171" s="3" t="inlineStr"/>
      <c r="O1171" s="3" t="n"/>
      <c r="P1171" s="3" t="n"/>
      <c r="Q1171" s="3" t="n"/>
      <c r="R1171" s="3" t="n"/>
      <c r="S1171" s="3" t="n"/>
      <c r="T1171" s="3" t="n"/>
      <c r="U1171" s="3" t="n"/>
      <c r="V1171" s="3" t="n"/>
      <c r="W1171" s="3" t="n"/>
      <c r="X1171" s="3" t="n"/>
      <c r="Y1171" s="3" t="n"/>
      <c r="Z1171" s="3" t="n"/>
      <c r="AA1171" s="3" t="n"/>
    </row>
    <row r="1172">
      <c r="A1172" s="105" t="n"/>
      <c r="B1172" s="105" t="n"/>
      <c r="C1172" s="3" t="n"/>
      <c r="D1172" s="3" t="n"/>
      <c r="E1172" s="3" t="n"/>
      <c r="F1172" s="3" t="n"/>
      <c r="G1172" s="3" t="n"/>
      <c r="H1172" s="3" t="inlineStr"/>
      <c r="I1172" s="3" t="n"/>
      <c r="J1172" s="3" t="n"/>
      <c r="K1172" s="3" t="n"/>
      <c r="L1172" s="3" t="inlineStr"/>
      <c r="M1172" s="3" t="n"/>
      <c r="N1172" s="3" t="inlineStr"/>
      <c r="O1172" s="3" t="n"/>
      <c r="P1172" s="3" t="n"/>
      <c r="Q1172" s="3" t="n"/>
      <c r="R1172" s="3" t="n"/>
      <c r="S1172" s="3" t="n"/>
      <c r="T1172" s="3" t="n"/>
      <c r="U1172" s="3" t="n"/>
      <c r="V1172" s="3" t="n"/>
      <c r="W1172" s="3" t="n"/>
      <c r="X1172" s="3" t="n"/>
      <c r="Y1172" s="3" t="n"/>
      <c r="Z1172" s="3" t="n"/>
      <c r="AA1172" s="3" t="n"/>
    </row>
    <row r="1173">
      <c r="A1173" s="105" t="n"/>
      <c r="B1173" s="105" t="n"/>
      <c r="C1173" s="3" t="n"/>
      <c r="D1173" s="3" t="n"/>
      <c r="E1173" s="3" t="n"/>
      <c r="F1173" s="3" t="n"/>
      <c r="G1173" s="3" t="n"/>
      <c r="H1173" s="3" t="inlineStr"/>
      <c r="I1173" s="3" t="n"/>
      <c r="J1173" s="3" t="n"/>
      <c r="K1173" s="3" t="n"/>
      <c r="L1173" s="3" t="inlineStr"/>
      <c r="M1173" s="3" t="n"/>
      <c r="N1173" s="3" t="inlineStr"/>
      <c r="O1173" s="3" t="n"/>
      <c r="P1173" s="3" t="n"/>
      <c r="Q1173" s="3" t="n"/>
      <c r="R1173" s="3" t="n"/>
      <c r="S1173" s="3" t="n"/>
      <c r="T1173" s="3" t="n"/>
      <c r="U1173" s="3" t="n"/>
      <c r="V1173" s="3" t="n"/>
      <c r="W1173" s="3" t="n"/>
      <c r="X1173" s="3" t="n"/>
      <c r="Y1173" s="3" t="n"/>
      <c r="Z1173" s="3" t="n"/>
      <c r="AA1173" s="3" t="n"/>
    </row>
    <row r="1174">
      <c r="A1174" s="105" t="n"/>
      <c r="B1174" s="105" t="n"/>
      <c r="C1174" s="3" t="n"/>
      <c r="D1174" s="3" t="n"/>
      <c r="E1174" s="3" t="n"/>
      <c r="F1174" s="3" t="n"/>
      <c r="G1174" s="3" t="n"/>
      <c r="H1174" s="3" t="inlineStr"/>
      <c r="I1174" s="3" t="n"/>
      <c r="J1174" s="3" t="n"/>
      <c r="K1174" s="3" t="n"/>
      <c r="L1174" s="3" t="inlineStr"/>
      <c r="M1174" s="3" t="n"/>
      <c r="N1174" s="3" t="inlineStr"/>
      <c r="O1174" s="3" t="n"/>
      <c r="P1174" s="3" t="n"/>
      <c r="Q1174" s="3" t="n"/>
      <c r="R1174" s="3" t="n"/>
      <c r="S1174" s="3" t="n"/>
      <c r="T1174" s="3" t="n"/>
      <c r="U1174" s="3" t="n"/>
      <c r="V1174" s="3" t="n"/>
      <c r="W1174" s="3" t="n"/>
      <c r="X1174" s="3" t="n"/>
      <c r="Y1174" s="3" t="n"/>
      <c r="Z1174" s="3" t="n"/>
      <c r="AA1174" s="3" t="n"/>
    </row>
    <row r="1175">
      <c r="A1175" s="105" t="n"/>
      <c r="B1175" s="105" t="n"/>
      <c r="C1175" s="3" t="n"/>
      <c r="D1175" s="3" t="n"/>
      <c r="E1175" s="3" t="n"/>
      <c r="F1175" s="3" t="n"/>
      <c r="G1175" s="3" t="n"/>
      <c r="H1175" s="3" t="inlineStr"/>
      <c r="I1175" s="3" t="n"/>
      <c r="J1175" s="3" t="n"/>
      <c r="K1175" s="3" t="n"/>
      <c r="L1175" s="3" t="inlineStr"/>
      <c r="M1175" s="3" t="n"/>
      <c r="N1175" s="3" t="inlineStr"/>
      <c r="O1175" s="3" t="n"/>
      <c r="P1175" s="3" t="n"/>
      <c r="Q1175" s="3" t="n"/>
      <c r="R1175" s="3" t="n"/>
      <c r="S1175" s="3" t="n"/>
      <c r="T1175" s="3" t="n"/>
      <c r="U1175" s="3" t="n"/>
      <c r="V1175" s="3" t="n"/>
      <c r="W1175" s="3" t="n"/>
      <c r="X1175" s="3" t="n"/>
      <c r="Y1175" s="3" t="n"/>
      <c r="Z1175" s="3" t="n"/>
      <c r="AA1175" s="3" t="n"/>
    </row>
    <row r="1176">
      <c r="A1176" s="105" t="n"/>
      <c r="B1176" s="105" t="n"/>
      <c r="C1176" s="3" t="n"/>
      <c r="D1176" s="3" t="n"/>
      <c r="E1176" s="3" t="n"/>
      <c r="F1176" s="3" t="n"/>
      <c r="G1176" s="3" t="n"/>
      <c r="H1176" s="3" t="inlineStr"/>
      <c r="I1176" s="3" t="n"/>
      <c r="J1176" s="3" t="n"/>
      <c r="K1176" s="3" t="n"/>
      <c r="L1176" s="3" t="inlineStr"/>
      <c r="M1176" s="3" t="n"/>
      <c r="N1176" s="3" t="inlineStr"/>
      <c r="O1176" s="3" t="n"/>
      <c r="P1176" s="3" t="n"/>
      <c r="Q1176" s="3" t="n"/>
      <c r="R1176" s="3" t="n"/>
      <c r="S1176" s="3" t="n"/>
      <c r="T1176" s="3" t="n"/>
      <c r="U1176" s="3" t="n"/>
      <c r="V1176" s="3" t="n"/>
      <c r="W1176" s="3" t="n"/>
      <c r="X1176" s="3" t="n"/>
      <c r="Y1176" s="3" t="n"/>
      <c r="Z1176" s="3" t="n"/>
      <c r="AA1176" s="3" t="n"/>
    </row>
    <row r="1177">
      <c r="A1177" s="105" t="n"/>
      <c r="B1177" s="105" t="n"/>
      <c r="C1177" s="3" t="n"/>
      <c r="D1177" s="3" t="n"/>
      <c r="E1177" s="3" t="n"/>
      <c r="F1177" s="3" t="n"/>
      <c r="G1177" s="3" t="n"/>
      <c r="H1177" s="3" t="inlineStr"/>
      <c r="I1177" s="3" t="n"/>
      <c r="J1177" s="3" t="n"/>
      <c r="K1177" s="3" t="n"/>
      <c r="L1177" s="3" t="inlineStr"/>
      <c r="M1177" s="3" t="n"/>
      <c r="N1177" s="3" t="inlineStr"/>
      <c r="O1177" s="3" t="n"/>
      <c r="P1177" s="3" t="n"/>
      <c r="Q1177" s="3" t="n"/>
      <c r="R1177" s="3" t="n"/>
      <c r="S1177" s="3" t="n"/>
      <c r="T1177" s="3" t="n"/>
      <c r="U1177" s="3" t="n"/>
      <c r="V1177" s="3" t="n"/>
      <c r="W1177" s="3" t="n"/>
      <c r="X1177" s="3" t="n"/>
      <c r="Y1177" s="3" t="n"/>
      <c r="Z1177" s="3" t="n"/>
      <c r="AA1177" s="3" t="n"/>
    </row>
    <row r="1178">
      <c r="A1178" s="105" t="n"/>
      <c r="B1178" s="105" t="n"/>
      <c r="C1178" s="3" t="n"/>
      <c r="D1178" s="3" t="n"/>
      <c r="E1178" s="3" t="n"/>
      <c r="F1178" s="3" t="n"/>
      <c r="G1178" s="3" t="n"/>
      <c r="H1178" s="3" t="inlineStr"/>
      <c r="I1178" s="3" t="n"/>
      <c r="J1178" s="3" t="n"/>
      <c r="K1178" s="3" t="n"/>
      <c r="L1178" s="3" t="inlineStr"/>
      <c r="M1178" s="3" t="n"/>
      <c r="N1178" s="3" t="inlineStr"/>
      <c r="O1178" s="3" t="n"/>
      <c r="P1178" s="3" t="n"/>
      <c r="Q1178" s="3" t="n"/>
      <c r="R1178" s="3" t="n"/>
      <c r="S1178" s="3" t="n"/>
      <c r="T1178" s="3" t="n"/>
      <c r="U1178" s="3" t="n"/>
      <c r="V1178" s="3" t="n"/>
      <c r="W1178" s="3" t="n"/>
      <c r="X1178" s="3" t="n"/>
      <c r="Y1178" s="3" t="n"/>
      <c r="Z1178" s="3" t="n"/>
      <c r="AA1178" s="3" t="n"/>
    </row>
    <row r="1179">
      <c r="A1179" s="105" t="n"/>
      <c r="B1179" s="105" t="n"/>
      <c r="C1179" s="3" t="n"/>
      <c r="D1179" s="3" t="n"/>
      <c r="E1179" s="3" t="n"/>
      <c r="F1179" s="3" t="n"/>
      <c r="G1179" s="3" t="n"/>
      <c r="H1179" s="3" t="inlineStr"/>
      <c r="I1179" s="3" t="n"/>
      <c r="J1179" s="3" t="n"/>
      <c r="K1179" s="3" t="n"/>
      <c r="L1179" s="3" t="inlineStr"/>
      <c r="M1179" s="3" t="n"/>
      <c r="N1179" s="3" t="inlineStr"/>
      <c r="O1179" s="3" t="n"/>
      <c r="P1179" s="3" t="n"/>
      <c r="Q1179" s="3" t="n"/>
      <c r="R1179" s="3" t="n"/>
      <c r="S1179" s="3" t="n"/>
      <c r="T1179" s="3" t="n"/>
      <c r="U1179" s="3" t="n"/>
      <c r="V1179" s="3" t="n"/>
      <c r="W1179" s="3" t="n"/>
      <c r="X1179" s="3" t="n"/>
      <c r="Y1179" s="3" t="n"/>
      <c r="Z1179" s="3" t="n"/>
      <c r="AA1179" s="3" t="n"/>
    </row>
    <row r="1180">
      <c r="A1180" s="105" t="n"/>
      <c r="B1180" s="105" t="n"/>
      <c r="C1180" s="3" t="n"/>
      <c r="D1180" s="3" t="n"/>
      <c r="E1180" s="3" t="n"/>
      <c r="F1180" s="3" t="n"/>
      <c r="G1180" s="3" t="n"/>
      <c r="H1180" s="3" t="inlineStr"/>
      <c r="I1180" s="3" t="n"/>
      <c r="J1180" s="3" t="n"/>
      <c r="K1180" s="3" t="n"/>
      <c r="L1180" s="3" t="inlineStr"/>
      <c r="M1180" s="3" t="n"/>
      <c r="N1180" s="3" t="inlineStr"/>
      <c r="O1180" s="3" t="n"/>
      <c r="P1180" s="3" t="n"/>
      <c r="Q1180" s="3" t="n"/>
      <c r="R1180" s="3" t="n"/>
      <c r="S1180" s="3" t="n"/>
      <c r="T1180" s="3" t="n"/>
      <c r="U1180" s="3" t="n"/>
      <c r="V1180" s="3" t="n"/>
      <c r="W1180" s="3" t="n"/>
      <c r="X1180" s="3" t="n"/>
      <c r="Y1180" s="3" t="n"/>
      <c r="Z1180" s="3" t="n"/>
      <c r="AA1180" s="3" t="n"/>
    </row>
    <row r="1181">
      <c r="A1181" s="105" t="n"/>
      <c r="B1181" s="105" t="n"/>
      <c r="C1181" s="3" t="n"/>
      <c r="D1181" s="3" t="n"/>
      <c r="E1181" s="3" t="n"/>
      <c r="F1181" s="3" t="n"/>
      <c r="G1181" s="3" t="n"/>
      <c r="H1181" s="3" t="inlineStr"/>
      <c r="I1181" s="3" t="n"/>
      <c r="J1181" s="3" t="n"/>
      <c r="K1181" s="3" t="n"/>
      <c r="L1181" s="3" t="inlineStr"/>
      <c r="M1181" s="3" t="n"/>
      <c r="N1181" s="3" t="inlineStr"/>
      <c r="O1181" s="3" t="n"/>
      <c r="P1181" s="3" t="n"/>
      <c r="Q1181" s="3" t="n"/>
      <c r="R1181" s="3" t="n"/>
      <c r="S1181" s="3" t="n"/>
      <c r="T1181" s="3" t="n"/>
      <c r="U1181" s="3" t="n"/>
      <c r="V1181" s="3" t="n"/>
      <c r="W1181" s="3" t="n"/>
      <c r="X1181" s="3" t="n"/>
      <c r="Y1181" s="3" t="n"/>
      <c r="Z1181" s="3" t="n"/>
      <c r="AA1181" s="3" t="n"/>
    </row>
    <row r="1182">
      <c r="A1182" s="105" t="n"/>
      <c r="B1182" s="105" t="n"/>
      <c r="C1182" s="3" t="n"/>
      <c r="D1182" s="3" t="n"/>
      <c r="E1182" s="3" t="n"/>
      <c r="F1182" s="3" t="n"/>
      <c r="G1182" s="3" t="n"/>
      <c r="H1182" s="3" t="inlineStr"/>
      <c r="I1182" s="3" t="n"/>
      <c r="J1182" s="3" t="n"/>
      <c r="K1182" s="3" t="n"/>
      <c r="L1182" s="3" t="inlineStr"/>
      <c r="M1182" s="3" t="n"/>
      <c r="N1182" s="3" t="inlineStr"/>
      <c r="O1182" s="3" t="n"/>
      <c r="P1182" s="3" t="n"/>
      <c r="Q1182" s="3" t="n"/>
      <c r="R1182" s="3" t="n"/>
      <c r="S1182" s="3" t="n"/>
      <c r="T1182" s="3" t="n"/>
      <c r="U1182" s="3" t="n"/>
      <c r="V1182" s="3" t="n"/>
      <c r="W1182" s="3" t="n"/>
      <c r="X1182" s="3" t="n"/>
      <c r="Y1182" s="3" t="n"/>
      <c r="Z1182" s="3" t="n"/>
      <c r="AA1182" s="3" t="n"/>
    </row>
    <row r="1183">
      <c r="A1183" s="105" t="n"/>
      <c r="B1183" s="105" t="n"/>
      <c r="C1183" s="3" t="n"/>
      <c r="D1183" s="3" t="n"/>
      <c r="E1183" s="3" t="n"/>
      <c r="F1183" s="3" t="n"/>
      <c r="G1183" s="3" t="n"/>
      <c r="H1183" s="3" t="inlineStr"/>
      <c r="I1183" s="3" t="n"/>
      <c r="J1183" s="3" t="n"/>
      <c r="K1183" s="3" t="n"/>
      <c r="L1183" s="3" t="inlineStr"/>
      <c r="M1183" s="3" t="n"/>
      <c r="N1183" s="3" t="inlineStr"/>
      <c r="O1183" s="3" t="n"/>
      <c r="P1183" s="3" t="n"/>
      <c r="Q1183" s="3" t="n"/>
      <c r="R1183" s="3" t="n"/>
      <c r="S1183" s="3" t="n"/>
      <c r="T1183" s="3" t="n"/>
      <c r="U1183" s="3" t="n"/>
      <c r="V1183" s="3" t="n"/>
      <c r="W1183" s="3" t="n"/>
      <c r="X1183" s="3" t="n"/>
      <c r="Y1183" s="3" t="n"/>
      <c r="Z1183" s="3" t="n"/>
      <c r="AA1183" s="3" t="n"/>
    </row>
    <row r="1184">
      <c r="A1184" s="105" t="n"/>
      <c r="B1184" s="105" t="n"/>
      <c r="C1184" s="3" t="n"/>
      <c r="D1184" s="3" t="n"/>
      <c r="E1184" s="3" t="n"/>
      <c r="F1184" s="3" t="n"/>
      <c r="G1184" s="3" t="n"/>
      <c r="H1184" s="3" t="inlineStr"/>
      <c r="I1184" s="3" t="n"/>
      <c r="J1184" s="3" t="n"/>
      <c r="K1184" s="3" t="n"/>
      <c r="L1184" s="3" t="inlineStr"/>
      <c r="M1184" s="3" t="n"/>
      <c r="N1184" s="3" t="inlineStr"/>
      <c r="O1184" s="3" t="n"/>
      <c r="P1184" s="3" t="n"/>
      <c r="Q1184" s="3" t="n"/>
      <c r="R1184" s="3" t="n"/>
      <c r="S1184" s="3" t="n"/>
      <c r="T1184" s="3" t="n"/>
      <c r="U1184" s="3" t="n"/>
      <c r="V1184" s="3" t="n"/>
      <c r="W1184" s="3" t="n"/>
      <c r="X1184" s="3" t="n"/>
      <c r="Y1184" s="3" t="n"/>
      <c r="Z1184" s="3" t="n"/>
      <c r="AA1184" s="3" t="n"/>
    </row>
    <row r="1185">
      <c r="A1185" s="105" t="n"/>
      <c r="B1185" s="105" t="n"/>
      <c r="C1185" s="3" t="n"/>
      <c r="D1185" s="3" t="n"/>
      <c r="E1185" s="3" t="n"/>
      <c r="F1185" s="3" t="n"/>
      <c r="G1185" s="3" t="n"/>
      <c r="H1185" s="3" t="inlineStr"/>
      <c r="I1185" s="3" t="n"/>
      <c r="J1185" s="3" t="n"/>
      <c r="K1185" s="3" t="n"/>
      <c r="L1185" s="3" t="inlineStr"/>
      <c r="M1185" s="3" t="n"/>
      <c r="N1185" s="3" t="inlineStr"/>
      <c r="O1185" s="3" t="n"/>
      <c r="P1185" s="3" t="n"/>
      <c r="Q1185" s="3" t="n"/>
      <c r="R1185" s="3" t="n"/>
      <c r="S1185" s="3" t="n"/>
      <c r="T1185" s="3" t="n"/>
      <c r="U1185" s="3" t="n"/>
      <c r="V1185" s="3" t="n"/>
      <c r="W1185" s="3" t="n"/>
      <c r="X1185" s="3" t="n"/>
      <c r="Y1185" s="3" t="n"/>
      <c r="Z1185" s="3" t="n"/>
      <c r="AA1185" s="3" t="n"/>
    </row>
    <row r="1186">
      <c r="A1186" s="105" t="n"/>
      <c r="B1186" s="105" t="n"/>
      <c r="C1186" s="3" t="n"/>
      <c r="D1186" s="3" t="n"/>
      <c r="E1186" s="3" t="n"/>
      <c r="F1186" s="3" t="n"/>
      <c r="G1186" s="3" t="n"/>
      <c r="H1186" s="3" t="inlineStr"/>
      <c r="I1186" s="3" t="n"/>
      <c r="J1186" s="3" t="n"/>
      <c r="K1186" s="3" t="n"/>
      <c r="L1186" s="3" t="inlineStr"/>
      <c r="M1186" s="3" t="n"/>
      <c r="N1186" s="3" t="inlineStr"/>
      <c r="O1186" s="3" t="n"/>
      <c r="P1186" s="3" t="n"/>
      <c r="Q1186" s="3" t="n"/>
      <c r="R1186" s="3" t="n"/>
      <c r="S1186" s="3" t="n"/>
      <c r="T1186" s="3" t="n"/>
      <c r="U1186" s="3" t="n"/>
      <c r="V1186" s="3" t="n"/>
      <c r="W1186" s="3" t="n"/>
      <c r="X1186" s="3" t="n"/>
      <c r="Y1186" s="3" t="n"/>
      <c r="Z1186" s="3" t="n"/>
      <c r="AA1186" s="3" t="n"/>
    </row>
    <row r="1187">
      <c r="A1187" s="105" t="n"/>
      <c r="B1187" s="105" t="n"/>
      <c r="C1187" s="3" t="n"/>
      <c r="D1187" s="3" t="n"/>
      <c r="E1187" s="3" t="n"/>
      <c r="F1187" s="3" t="n"/>
      <c r="G1187" s="3" t="n"/>
      <c r="H1187" s="3" t="inlineStr"/>
      <c r="I1187" s="3" t="n"/>
      <c r="J1187" s="3" t="n"/>
      <c r="K1187" s="3" t="n"/>
      <c r="L1187" s="3" t="inlineStr"/>
      <c r="M1187" s="3" t="n"/>
      <c r="N1187" s="3" t="inlineStr"/>
      <c r="O1187" s="3" t="n"/>
      <c r="P1187" s="3" t="n"/>
      <c r="Q1187" s="3" t="n"/>
      <c r="R1187" s="3" t="n"/>
      <c r="S1187" s="3" t="n"/>
      <c r="T1187" s="3" t="n"/>
      <c r="U1187" s="3" t="n"/>
      <c r="V1187" s="3" t="n"/>
      <c r="W1187" s="3" t="n"/>
      <c r="X1187" s="3" t="n"/>
      <c r="Y1187" s="3" t="n"/>
      <c r="Z1187" s="3" t="n"/>
      <c r="AA1187" s="3" t="n"/>
    </row>
    <row r="1188">
      <c r="A1188" s="105" t="n"/>
      <c r="B1188" s="105" t="n"/>
      <c r="C1188" s="3" t="n"/>
      <c r="D1188" s="3" t="n"/>
      <c r="E1188" s="3" t="n"/>
      <c r="F1188" s="3" t="n"/>
      <c r="G1188" s="3" t="n"/>
      <c r="H1188" s="3" t="inlineStr"/>
      <c r="I1188" s="3" t="n"/>
      <c r="J1188" s="3" t="n"/>
      <c r="K1188" s="3" t="n"/>
      <c r="L1188" s="3" t="inlineStr"/>
      <c r="M1188" s="3" t="n"/>
      <c r="N1188" s="3" t="inlineStr"/>
      <c r="O1188" s="3" t="n"/>
      <c r="P1188" s="3" t="n"/>
      <c r="Q1188" s="3" t="n"/>
      <c r="R1188" s="3" t="n"/>
      <c r="S1188" s="3" t="n"/>
      <c r="T1188" s="3" t="n"/>
      <c r="U1188" s="3" t="n"/>
      <c r="V1188" s="3" t="n"/>
      <c r="W1188" s="3" t="n"/>
      <c r="X1188" s="3" t="n"/>
      <c r="Y1188" s="3" t="n"/>
      <c r="Z1188" s="3" t="n"/>
      <c r="AA1188" s="3" t="n"/>
    </row>
    <row r="1189">
      <c r="A1189" s="105" t="n"/>
      <c r="B1189" s="105" t="n"/>
      <c r="C1189" s="3" t="n"/>
      <c r="D1189" s="3" t="n"/>
      <c r="E1189" s="3" t="n"/>
      <c r="F1189" s="3" t="n"/>
      <c r="G1189" s="3" t="n"/>
      <c r="H1189" s="3" t="inlineStr"/>
      <c r="I1189" s="3" t="n"/>
      <c r="J1189" s="3" t="n"/>
      <c r="K1189" s="3" t="n"/>
      <c r="L1189" s="3" t="inlineStr"/>
      <c r="M1189" s="3" t="n"/>
      <c r="N1189" s="3" t="inlineStr"/>
      <c r="O1189" s="3" t="n"/>
      <c r="P1189" s="3" t="n"/>
      <c r="Q1189" s="3" t="n"/>
      <c r="R1189" s="3" t="n"/>
      <c r="S1189" s="3" t="n"/>
      <c r="T1189" s="3" t="n"/>
      <c r="U1189" s="3" t="n"/>
      <c r="V1189" s="3" t="n"/>
      <c r="W1189" s="3" t="n"/>
      <c r="X1189" s="3" t="n"/>
      <c r="Y1189" s="3" t="n"/>
      <c r="Z1189" s="3" t="n"/>
      <c r="AA1189" s="3" t="n"/>
    </row>
    <row r="1190">
      <c r="A1190" s="105" t="n"/>
      <c r="B1190" s="105" t="n"/>
      <c r="C1190" s="3" t="n"/>
      <c r="D1190" s="3" t="n"/>
      <c r="E1190" s="3" t="n"/>
      <c r="F1190" s="3" t="n"/>
      <c r="G1190" s="3" t="n"/>
      <c r="H1190" s="3" t="inlineStr"/>
      <c r="I1190" s="3" t="n"/>
      <c r="J1190" s="3" t="n"/>
      <c r="K1190" s="3" t="n"/>
      <c r="L1190" s="3" t="inlineStr"/>
      <c r="M1190" s="3" t="n"/>
      <c r="N1190" s="3" t="inlineStr"/>
      <c r="O1190" s="3" t="n"/>
      <c r="P1190" s="3" t="n"/>
      <c r="Q1190" s="3" t="n"/>
      <c r="R1190" s="3" t="n"/>
      <c r="S1190" s="3" t="n"/>
      <c r="T1190" s="3" t="n"/>
      <c r="U1190" s="3" t="n"/>
      <c r="V1190" s="3" t="n"/>
      <c r="W1190" s="3" t="n"/>
      <c r="X1190" s="3" t="n"/>
      <c r="Y1190" s="3" t="n"/>
      <c r="Z1190" s="3" t="n"/>
      <c r="AA1190" s="3" t="n"/>
    </row>
    <row r="1191">
      <c r="A1191" s="105" t="n"/>
      <c r="B1191" s="105" t="n"/>
      <c r="C1191" s="3" t="n"/>
      <c r="D1191" s="3" t="n"/>
      <c r="E1191" s="3" t="n"/>
      <c r="F1191" s="3" t="n"/>
      <c r="G1191" s="3" t="n"/>
      <c r="H1191" s="3" t="inlineStr"/>
      <c r="I1191" s="3" t="n"/>
      <c r="J1191" s="3" t="n"/>
      <c r="K1191" s="3" t="n"/>
      <c r="L1191" s="3" t="inlineStr"/>
      <c r="M1191" s="3" t="n"/>
      <c r="N1191" s="3" t="inlineStr"/>
      <c r="O1191" s="3" t="n"/>
      <c r="P1191" s="3" t="n"/>
      <c r="Q1191" s="3" t="n"/>
      <c r="R1191" s="3" t="n"/>
      <c r="S1191" s="3" t="n"/>
      <c r="T1191" s="3" t="n"/>
      <c r="U1191" s="3" t="n"/>
      <c r="V1191" s="3" t="n"/>
      <c r="W1191" s="3" t="n"/>
      <c r="X1191" s="3" t="n"/>
      <c r="Y1191" s="3" t="n"/>
      <c r="Z1191" s="3" t="n"/>
      <c r="AA1191" s="3" t="n"/>
    </row>
    <row r="1192">
      <c r="A1192" s="105" t="n"/>
      <c r="B1192" s="105" t="n"/>
      <c r="C1192" s="3" t="n"/>
      <c r="D1192" s="3" t="n"/>
      <c r="E1192" s="3" t="n"/>
      <c r="F1192" s="3" t="n"/>
      <c r="G1192" s="3" t="n"/>
      <c r="H1192" s="3" t="inlineStr"/>
      <c r="I1192" s="3" t="n"/>
      <c r="J1192" s="3" t="n"/>
      <c r="K1192" s="3" t="n"/>
      <c r="L1192" s="3" t="inlineStr"/>
      <c r="M1192" s="3" t="n"/>
      <c r="N1192" s="3" t="inlineStr"/>
      <c r="O1192" s="3" t="n"/>
      <c r="P1192" s="3" t="n"/>
      <c r="Q1192" s="3" t="n"/>
      <c r="R1192" s="3" t="n"/>
      <c r="S1192" s="3" t="n"/>
      <c r="T1192" s="3" t="n"/>
      <c r="U1192" s="3" t="n"/>
      <c r="V1192" s="3" t="n"/>
      <c r="W1192" s="3" t="n"/>
      <c r="X1192" s="3" t="n"/>
      <c r="Y1192" s="3" t="n"/>
      <c r="Z1192" s="3" t="n"/>
      <c r="AA1192" s="3" t="n"/>
    </row>
    <row r="1193">
      <c r="A1193" s="105" t="n"/>
      <c r="B1193" s="105" t="n"/>
      <c r="C1193" s="3" t="n"/>
      <c r="D1193" s="3" t="n"/>
      <c r="E1193" s="3" t="n"/>
      <c r="F1193" s="3" t="n"/>
      <c r="G1193" s="3" t="n"/>
      <c r="H1193" s="3" t="inlineStr"/>
      <c r="I1193" s="3" t="n"/>
      <c r="J1193" s="3" t="n"/>
      <c r="K1193" s="3" t="n"/>
      <c r="L1193" s="3" t="inlineStr"/>
      <c r="M1193" s="3" t="n"/>
      <c r="N1193" s="3" t="inlineStr"/>
      <c r="O1193" s="3" t="n"/>
      <c r="P1193" s="3" t="n"/>
      <c r="Q1193" s="3" t="n"/>
      <c r="R1193" s="3" t="n"/>
      <c r="S1193" s="3" t="n"/>
      <c r="T1193" s="3" t="n"/>
      <c r="U1193" s="3" t="n"/>
      <c r="V1193" s="3" t="n"/>
      <c r="W1193" s="3" t="n"/>
      <c r="X1193" s="3" t="n"/>
      <c r="Y1193" s="3" t="n"/>
      <c r="Z1193" s="3" t="n"/>
      <c r="AA1193" s="3" t="n"/>
    </row>
    <row r="1194">
      <c r="A1194" s="105" t="n"/>
      <c r="B1194" s="105" t="n"/>
      <c r="C1194" s="3" t="n"/>
      <c r="D1194" s="3" t="n"/>
      <c r="E1194" s="3" t="n"/>
      <c r="F1194" s="3" t="n"/>
      <c r="G1194" s="3" t="n"/>
      <c r="H1194" s="3" t="inlineStr"/>
      <c r="I1194" s="3" t="n"/>
      <c r="J1194" s="3" t="n"/>
      <c r="K1194" s="3" t="n"/>
      <c r="L1194" s="3" t="inlineStr"/>
      <c r="M1194" s="3" t="n"/>
      <c r="N1194" s="3" t="inlineStr"/>
      <c r="O1194" s="3" t="n"/>
      <c r="P1194" s="3" t="n"/>
      <c r="Q1194" s="3" t="n"/>
      <c r="R1194" s="3" t="n"/>
      <c r="S1194" s="3" t="n"/>
      <c r="T1194" s="3" t="n"/>
      <c r="U1194" s="3" t="n"/>
      <c r="V1194" s="3" t="n"/>
      <c r="W1194" s="3" t="n"/>
      <c r="X1194" s="3" t="n"/>
      <c r="Y1194" s="3" t="n"/>
      <c r="Z1194" s="3" t="n"/>
      <c r="AA1194" s="3" t="n"/>
    </row>
    <row r="1195">
      <c r="A1195" s="105" t="n"/>
      <c r="B1195" s="105" t="n"/>
      <c r="C1195" s="3" t="n"/>
      <c r="D1195" s="3" t="n"/>
      <c r="E1195" s="3" t="n"/>
      <c r="F1195" s="3" t="n"/>
      <c r="G1195" s="3" t="n"/>
      <c r="H1195" s="3" t="inlineStr"/>
      <c r="I1195" s="3" t="n"/>
      <c r="J1195" s="3" t="n"/>
      <c r="K1195" s="3" t="n"/>
      <c r="L1195" s="3" t="inlineStr"/>
      <c r="M1195" s="3" t="n"/>
      <c r="N1195" s="3" t="inlineStr"/>
      <c r="O1195" s="3" t="n"/>
      <c r="P1195" s="3" t="n"/>
      <c r="Q1195" s="3" t="n"/>
      <c r="R1195" s="3" t="n"/>
      <c r="S1195" s="3" t="n"/>
      <c r="T1195" s="3" t="n"/>
      <c r="U1195" s="3" t="n"/>
      <c r="V1195" s="3" t="n"/>
      <c r="W1195" s="3" t="n"/>
      <c r="X1195" s="3" t="n"/>
      <c r="Y1195" s="3" t="n"/>
      <c r="Z1195" s="3" t="n"/>
      <c r="AA1195" s="3" t="n"/>
    </row>
    <row r="1196">
      <c r="A1196" s="105" t="n"/>
      <c r="B1196" s="105" t="n"/>
      <c r="C1196" s="3" t="n"/>
      <c r="D1196" s="3" t="n"/>
      <c r="E1196" s="3" t="n"/>
      <c r="F1196" s="3" t="n"/>
      <c r="G1196" s="3" t="n"/>
      <c r="H1196" s="3" t="inlineStr"/>
      <c r="I1196" s="3" t="n"/>
      <c r="J1196" s="3" t="n"/>
      <c r="K1196" s="3" t="n"/>
      <c r="L1196" s="3" t="inlineStr"/>
      <c r="M1196" s="3" t="n"/>
      <c r="N1196" s="3" t="inlineStr"/>
      <c r="O1196" s="3" t="n"/>
      <c r="P1196" s="3" t="n"/>
      <c r="Q1196" s="3" t="n"/>
      <c r="R1196" s="3" t="n"/>
      <c r="S1196" s="3" t="n"/>
      <c r="T1196" s="3" t="n"/>
      <c r="U1196" s="3" t="n"/>
      <c r="V1196" s="3" t="n"/>
      <c r="W1196" s="3" t="n"/>
      <c r="X1196" s="3" t="n"/>
      <c r="Y1196" s="3" t="n"/>
      <c r="Z1196" s="3" t="n"/>
      <c r="AA1196" s="3" t="n"/>
    </row>
    <row r="1197">
      <c r="A1197" s="105" t="n"/>
      <c r="B1197" s="105" t="n"/>
      <c r="C1197" s="3" t="n"/>
      <c r="D1197" s="3" t="n"/>
      <c r="E1197" s="3" t="n"/>
      <c r="F1197" s="3" t="n"/>
      <c r="G1197" s="3" t="n"/>
      <c r="H1197" s="3" t="inlineStr"/>
      <c r="I1197" s="3" t="n"/>
      <c r="J1197" s="3" t="n"/>
      <c r="K1197" s="3" t="n"/>
      <c r="L1197" s="3" t="inlineStr"/>
      <c r="M1197" s="3" t="n"/>
      <c r="N1197" s="3" t="inlineStr"/>
      <c r="O1197" s="3" t="n"/>
      <c r="P1197" s="3" t="n"/>
      <c r="Q1197" s="3" t="n"/>
      <c r="R1197" s="3" t="n"/>
      <c r="S1197" s="3" t="n"/>
      <c r="T1197" s="3" t="n"/>
      <c r="U1197" s="3" t="n"/>
      <c r="V1197" s="3" t="n"/>
      <c r="W1197" s="3" t="n"/>
      <c r="X1197" s="3" t="n"/>
      <c r="Y1197" s="3" t="n"/>
      <c r="Z1197" s="3" t="n"/>
      <c r="AA1197" s="3" t="n"/>
    </row>
    <row r="1198">
      <c r="A1198" s="105" t="n"/>
      <c r="B1198" s="105" t="n"/>
      <c r="C1198" s="3" t="n"/>
      <c r="D1198" s="3" t="n"/>
      <c r="E1198" s="3" t="n"/>
      <c r="F1198" s="3" t="n"/>
      <c r="G1198" s="3" t="n"/>
      <c r="H1198" s="3" t="inlineStr"/>
      <c r="I1198" s="3" t="n"/>
      <c r="J1198" s="3" t="n"/>
      <c r="K1198" s="3" t="n"/>
      <c r="L1198" s="3" t="inlineStr"/>
      <c r="M1198" s="3" t="n"/>
      <c r="N1198" s="3" t="inlineStr"/>
      <c r="O1198" s="3" t="n"/>
      <c r="P1198" s="3" t="n"/>
      <c r="Q1198" s="3" t="n"/>
      <c r="R1198" s="3" t="n"/>
      <c r="S1198" s="3" t="n"/>
      <c r="T1198" s="3" t="n"/>
      <c r="U1198" s="3" t="n"/>
      <c r="V1198" s="3" t="n"/>
      <c r="W1198" s="3" t="n"/>
      <c r="X1198" s="3" t="n"/>
      <c r="Y1198" s="3" t="n"/>
      <c r="Z1198" s="3" t="n"/>
      <c r="AA1198" s="3" t="n"/>
    </row>
    <row r="1199">
      <c r="A1199" s="105" t="n"/>
      <c r="B1199" s="105" t="n"/>
      <c r="C1199" s="3" t="n"/>
      <c r="D1199" s="3" t="n"/>
      <c r="E1199" s="3" t="n"/>
      <c r="F1199" s="3" t="n"/>
      <c r="G1199" s="3" t="n"/>
      <c r="H1199" s="3" t="inlineStr"/>
      <c r="I1199" s="3" t="n"/>
      <c r="J1199" s="3" t="n"/>
      <c r="K1199" s="3" t="n"/>
      <c r="L1199" s="3" t="inlineStr"/>
      <c r="M1199" s="3" t="n"/>
      <c r="N1199" s="3" t="inlineStr"/>
      <c r="O1199" s="3" t="n"/>
      <c r="P1199" s="3" t="n"/>
      <c r="Q1199" s="3" t="n"/>
      <c r="R1199" s="3" t="n"/>
      <c r="S1199" s="3" t="n"/>
      <c r="T1199" s="3" t="n"/>
      <c r="U1199" s="3" t="n"/>
      <c r="V1199" s="3" t="n"/>
      <c r="W1199" s="3" t="n"/>
      <c r="X1199" s="3" t="n"/>
      <c r="Y1199" s="3" t="n"/>
      <c r="Z1199" s="3" t="n"/>
      <c r="AA1199" s="3" t="n"/>
    </row>
    <row r="1200">
      <c r="A1200" s="105" t="n"/>
      <c r="B1200" s="105" t="n"/>
      <c r="C1200" s="3" t="n"/>
      <c r="D1200" s="3" t="n"/>
      <c r="E1200" s="3" t="n"/>
      <c r="F1200" s="3" t="n"/>
      <c r="G1200" s="3" t="n"/>
      <c r="H1200" s="3" t="inlineStr"/>
      <c r="I1200" s="3" t="n"/>
      <c r="J1200" s="3" t="n"/>
      <c r="K1200" s="3" t="n"/>
      <c r="L1200" s="3" t="inlineStr"/>
      <c r="M1200" s="3" t="n"/>
      <c r="N1200" s="3" t="inlineStr"/>
      <c r="O1200" s="3" t="n"/>
      <c r="P1200" s="3" t="n"/>
      <c r="Q1200" s="3" t="n"/>
      <c r="R1200" s="3" t="n"/>
      <c r="S1200" s="3" t="n"/>
      <c r="T1200" s="3" t="n"/>
      <c r="U1200" s="3" t="n"/>
      <c r="V1200" s="3" t="n"/>
      <c r="W1200" s="3" t="n"/>
      <c r="X1200" s="3" t="n"/>
      <c r="Y1200" s="3" t="n"/>
      <c r="Z1200" s="3" t="n"/>
      <c r="AA1200" s="3" t="n"/>
    </row>
    <row r="1201">
      <c r="A1201" s="105" t="n"/>
      <c r="B1201" s="105" t="n"/>
      <c r="C1201" s="3" t="n"/>
      <c r="D1201" s="3" t="n"/>
      <c r="E1201" s="3" t="n"/>
      <c r="F1201" s="3" t="n"/>
      <c r="G1201" s="3" t="n"/>
      <c r="H1201" s="3" t="inlineStr"/>
      <c r="I1201" s="3" t="n"/>
      <c r="J1201" s="3" t="n"/>
      <c r="K1201" s="3" t="n"/>
      <c r="L1201" s="3" t="inlineStr"/>
      <c r="M1201" s="3" t="n"/>
      <c r="N1201" s="3" t="inlineStr"/>
      <c r="O1201" s="3" t="n"/>
      <c r="P1201" s="3" t="n"/>
      <c r="Q1201" s="3" t="n"/>
      <c r="R1201" s="3" t="n"/>
      <c r="S1201" s="3" t="n"/>
      <c r="T1201" s="3" t="n"/>
      <c r="U1201" s="3" t="n"/>
      <c r="V1201" s="3" t="n"/>
      <c r="W1201" s="3" t="n"/>
      <c r="X1201" s="3" t="n"/>
      <c r="Y1201" s="3" t="n"/>
      <c r="Z1201" s="3" t="n"/>
      <c r="AA1201" s="3" t="n"/>
    </row>
    <row r="1202">
      <c r="A1202" s="105" t="n"/>
      <c r="B1202" s="105" t="n"/>
      <c r="C1202" s="3" t="n"/>
      <c r="D1202" s="3" t="n"/>
      <c r="E1202" s="3" t="n"/>
      <c r="F1202" s="3" t="n"/>
      <c r="G1202" s="3" t="n"/>
      <c r="H1202" s="3" t="inlineStr"/>
      <c r="I1202" s="3" t="n"/>
      <c r="J1202" s="3" t="n"/>
      <c r="K1202" s="3" t="n"/>
      <c r="L1202" s="3" t="inlineStr"/>
      <c r="M1202" s="3" t="n"/>
      <c r="N1202" s="3" t="inlineStr"/>
      <c r="O1202" s="3" t="n"/>
      <c r="P1202" s="3" t="n"/>
      <c r="Q1202" s="3" t="n"/>
      <c r="R1202" s="3" t="n"/>
      <c r="S1202" s="3" t="n"/>
      <c r="T1202" s="3" t="n"/>
      <c r="U1202" s="3" t="n"/>
      <c r="V1202" s="3" t="n"/>
      <c r="W1202" s="3" t="n"/>
      <c r="X1202" s="3" t="n"/>
      <c r="Y1202" s="3" t="n"/>
      <c r="Z1202" s="3" t="n"/>
      <c r="AA1202" s="3" t="n"/>
    </row>
    <row r="1203">
      <c r="A1203" s="105" t="n"/>
      <c r="B1203" s="105" t="n"/>
      <c r="C1203" s="3" t="n"/>
      <c r="D1203" s="3" t="n"/>
      <c r="E1203" s="3" t="n"/>
      <c r="F1203" s="3" t="n"/>
      <c r="G1203" s="3" t="n"/>
      <c r="H1203" s="3" t="inlineStr"/>
      <c r="I1203" s="3" t="n"/>
      <c r="J1203" s="3" t="n"/>
      <c r="K1203" s="3" t="n"/>
      <c r="L1203" s="3" t="inlineStr"/>
      <c r="M1203" s="3" t="n"/>
      <c r="N1203" s="3" t="inlineStr"/>
      <c r="O1203" s="3" t="n"/>
      <c r="P1203" s="3" t="n"/>
      <c r="Q1203" s="3" t="n"/>
      <c r="R1203" s="3" t="n"/>
      <c r="S1203" s="3" t="n"/>
      <c r="T1203" s="3" t="n"/>
      <c r="U1203" s="3" t="n"/>
      <c r="V1203" s="3" t="n"/>
      <c r="W1203" s="3" t="n"/>
      <c r="X1203" s="3" t="n"/>
      <c r="Y1203" s="3" t="n"/>
      <c r="Z1203" s="3" t="n"/>
      <c r="AA1203" s="3" t="n"/>
    </row>
    <row r="1204">
      <c r="A1204" s="105" t="n"/>
      <c r="B1204" s="105" t="n"/>
      <c r="C1204" s="3" t="n"/>
      <c r="D1204" s="3" t="n"/>
      <c r="E1204" s="3" t="n"/>
      <c r="F1204" s="3" t="n"/>
      <c r="G1204" s="3" t="n"/>
      <c r="H1204" s="3" t="inlineStr"/>
      <c r="I1204" s="3" t="n"/>
      <c r="J1204" s="3" t="n"/>
      <c r="K1204" s="3" t="n"/>
      <c r="L1204" s="3" t="inlineStr"/>
      <c r="M1204" s="3" t="n"/>
      <c r="N1204" s="3" t="inlineStr"/>
      <c r="O1204" s="3" t="n"/>
      <c r="P1204" s="3" t="n"/>
      <c r="Q1204" s="3" t="n"/>
      <c r="R1204" s="3" t="n"/>
      <c r="S1204" s="3" t="n"/>
      <c r="T1204" s="3" t="n"/>
      <c r="U1204" s="3" t="n"/>
      <c r="V1204" s="3" t="n"/>
      <c r="W1204" s="3" t="n"/>
      <c r="X1204" s="3" t="n"/>
      <c r="Y1204" s="3" t="n"/>
      <c r="Z1204" s="3" t="n"/>
      <c r="AA1204" s="3" t="n"/>
    </row>
    <row r="1205">
      <c r="A1205" s="105" t="n"/>
      <c r="B1205" s="105" t="n"/>
      <c r="C1205" s="3" t="n"/>
      <c r="D1205" s="3" t="n"/>
      <c r="E1205" s="3" t="n"/>
      <c r="F1205" s="3" t="n"/>
      <c r="G1205" s="3" t="n"/>
      <c r="H1205" s="3" t="inlineStr"/>
      <c r="I1205" s="3" t="n"/>
      <c r="J1205" s="3" t="n"/>
      <c r="K1205" s="3" t="n"/>
      <c r="L1205" s="3" t="inlineStr"/>
      <c r="M1205" s="3" t="n"/>
      <c r="N1205" s="3" t="inlineStr"/>
      <c r="O1205" s="3" t="n"/>
      <c r="P1205" s="3" t="n"/>
      <c r="Q1205" s="3" t="n"/>
      <c r="R1205" s="3" t="n"/>
      <c r="S1205" s="3" t="n"/>
      <c r="T1205" s="3" t="n"/>
      <c r="U1205" s="3" t="n"/>
      <c r="V1205" s="3" t="n"/>
      <c r="W1205" s="3" t="n"/>
      <c r="X1205" s="3" t="n"/>
      <c r="Y1205" s="3" t="n"/>
      <c r="Z1205" s="3" t="n"/>
      <c r="AA1205" s="3" t="n"/>
    </row>
    <row r="1206">
      <c r="A1206" s="105" t="n"/>
      <c r="B1206" s="105" t="n"/>
      <c r="C1206" s="3" t="n"/>
      <c r="D1206" s="3" t="n"/>
      <c r="E1206" s="3" t="n"/>
      <c r="F1206" s="3" t="n"/>
      <c r="G1206" s="3" t="n"/>
      <c r="H1206" s="3" t="inlineStr"/>
      <c r="I1206" s="3" t="n"/>
      <c r="J1206" s="3" t="n"/>
      <c r="K1206" s="3" t="n"/>
      <c r="L1206" s="3" t="inlineStr"/>
      <c r="M1206" s="3" t="n"/>
      <c r="N1206" s="3" t="inlineStr"/>
      <c r="O1206" s="3" t="n"/>
      <c r="P1206" s="3" t="n"/>
      <c r="Q1206" s="3" t="n"/>
      <c r="R1206" s="3" t="n"/>
      <c r="S1206" s="3" t="n"/>
      <c r="T1206" s="3" t="n"/>
      <c r="U1206" s="3" t="n"/>
      <c r="V1206" s="3" t="n"/>
      <c r="W1206" s="3" t="n"/>
      <c r="X1206" s="3" t="n"/>
      <c r="Y1206" s="3" t="n"/>
      <c r="Z1206" s="3" t="n"/>
      <c r="AA1206" s="3" t="n"/>
    </row>
    <row r="1207">
      <c r="A1207" s="105" t="n"/>
      <c r="B1207" s="105" t="n"/>
      <c r="C1207" s="3" t="n"/>
      <c r="D1207" s="3" t="n"/>
      <c r="E1207" s="3" t="n"/>
      <c r="F1207" s="3" t="n"/>
      <c r="G1207" s="3" t="n"/>
      <c r="H1207" s="3" t="inlineStr"/>
      <c r="I1207" s="3" t="n"/>
      <c r="J1207" s="3" t="n"/>
      <c r="K1207" s="3" t="n"/>
      <c r="L1207" s="3" t="inlineStr"/>
      <c r="M1207" s="3" t="n"/>
      <c r="N1207" s="3" t="inlineStr"/>
      <c r="O1207" s="3" t="n"/>
      <c r="P1207" s="3" t="n"/>
      <c r="Q1207" s="3" t="n"/>
      <c r="R1207" s="3" t="n"/>
      <c r="S1207" s="3" t="n"/>
      <c r="T1207" s="3" t="n"/>
      <c r="U1207" s="3" t="n"/>
      <c r="V1207" s="3" t="n"/>
      <c r="W1207" s="3" t="n"/>
      <c r="X1207" s="3" t="n"/>
      <c r="Y1207" s="3" t="n"/>
      <c r="Z1207" s="3" t="n"/>
      <c r="AA1207" s="3" t="n"/>
    </row>
    <row r="1208">
      <c r="A1208" s="105" t="n"/>
      <c r="B1208" s="105" t="n"/>
      <c r="C1208" s="3" t="n"/>
      <c r="D1208" s="3" t="n"/>
      <c r="E1208" s="3" t="n"/>
      <c r="F1208" s="3" t="n"/>
      <c r="G1208" s="3" t="n"/>
      <c r="H1208" s="3" t="inlineStr"/>
      <c r="I1208" s="3" t="n"/>
      <c r="J1208" s="3" t="n"/>
      <c r="K1208" s="3" t="n"/>
      <c r="L1208" s="3" t="inlineStr"/>
      <c r="M1208" s="3" t="n"/>
      <c r="N1208" s="3" t="inlineStr"/>
      <c r="O1208" s="3" t="n"/>
      <c r="P1208" s="3" t="n"/>
      <c r="Q1208" s="3" t="n"/>
      <c r="R1208" s="3" t="n"/>
      <c r="S1208" s="3" t="n"/>
      <c r="T1208" s="3" t="n"/>
      <c r="U1208" s="3" t="n"/>
      <c r="V1208" s="3" t="n"/>
      <c r="W1208" s="3" t="n"/>
      <c r="X1208" s="3" t="n"/>
      <c r="Y1208" s="3" t="n"/>
      <c r="Z1208" s="3" t="n"/>
      <c r="AA1208" s="3" t="n"/>
    </row>
    <row r="1209">
      <c r="A1209" s="105" t="n"/>
      <c r="B1209" s="105" t="n"/>
      <c r="C1209" s="3" t="n"/>
      <c r="D1209" s="3" t="n"/>
      <c r="E1209" s="3" t="n"/>
      <c r="F1209" s="3" t="n"/>
      <c r="G1209" s="3" t="n"/>
      <c r="H1209" s="3" t="inlineStr"/>
      <c r="I1209" s="3" t="n"/>
      <c r="J1209" s="3" t="n"/>
      <c r="K1209" s="3" t="n"/>
      <c r="L1209" s="3" t="inlineStr"/>
      <c r="M1209" s="3" t="n"/>
      <c r="N1209" s="3" t="inlineStr"/>
      <c r="O1209" s="3" t="n"/>
      <c r="P1209" s="3" t="n"/>
      <c r="Q1209" s="3" t="n"/>
      <c r="R1209" s="3" t="n"/>
      <c r="S1209" s="3" t="n"/>
      <c r="T1209" s="3" t="n"/>
      <c r="U1209" s="3" t="n"/>
      <c r="V1209" s="3" t="n"/>
      <c r="W1209" s="3" t="n"/>
      <c r="X1209" s="3" t="n"/>
      <c r="Y1209" s="3" t="n"/>
      <c r="Z1209" s="3" t="n"/>
      <c r="AA1209" s="3" t="n"/>
    </row>
    <row r="1210">
      <c r="A1210" s="105" t="n"/>
      <c r="B1210" s="105" t="n"/>
      <c r="C1210" s="3" t="n"/>
      <c r="D1210" s="3" t="n"/>
      <c r="E1210" s="3" t="n"/>
      <c r="F1210" s="3" t="n"/>
      <c r="G1210" s="3" t="n"/>
      <c r="H1210" s="3" t="inlineStr"/>
      <c r="I1210" s="3" t="n"/>
      <c r="J1210" s="3" t="n"/>
      <c r="K1210" s="3" t="n"/>
      <c r="L1210" s="3" t="inlineStr"/>
      <c r="M1210" s="3" t="n"/>
      <c r="N1210" s="3" t="inlineStr"/>
      <c r="O1210" s="3" t="n"/>
      <c r="P1210" s="3" t="n"/>
      <c r="Q1210" s="3" t="n"/>
      <c r="R1210" s="3" t="n"/>
      <c r="S1210" s="3" t="n"/>
      <c r="T1210" s="3" t="n"/>
      <c r="U1210" s="3" t="n"/>
      <c r="V1210" s="3" t="n"/>
      <c r="W1210" s="3" t="n"/>
      <c r="X1210" s="3" t="n"/>
      <c r="Y1210" s="3" t="n"/>
      <c r="Z1210" s="3" t="n"/>
      <c r="AA1210" s="3" t="n"/>
    </row>
    <row r="1211">
      <c r="A1211" s="105" t="n"/>
      <c r="B1211" s="105" t="n"/>
      <c r="C1211" s="3" t="n"/>
      <c r="D1211" s="3" t="n"/>
      <c r="E1211" s="3" t="n"/>
      <c r="F1211" s="3" t="n"/>
      <c r="G1211" s="3" t="n"/>
      <c r="H1211" s="3" t="inlineStr"/>
      <c r="I1211" s="3" t="n"/>
      <c r="J1211" s="3" t="n"/>
      <c r="K1211" s="3" t="n"/>
      <c r="L1211" s="3" t="inlineStr"/>
      <c r="M1211" s="3" t="n"/>
      <c r="N1211" s="3" t="inlineStr"/>
      <c r="O1211" s="3" t="n"/>
      <c r="P1211" s="3" t="n"/>
      <c r="Q1211" s="3" t="n"/>
      <c r="R1211" s="3" t="n"/>
      <c r="S1211" s="3" t="n"/>
      <c r="T1211" s="3" t="n"/>
      <c r="U1211" s="3" t="n"/>
      <c r="V1211" s="3" t="n"/>
      <c r="W1211" s="3" t="n"/>
      <c r="X1211" s="3" t="n"/>
      <c r="Y1211" s="3" t="n"/>
      <c r="Z1211" s="3" t="n"/>
      <c r="AA1211" s="3" t="n"/>
    </row>
    <row r="1212">
      <c r="A1212" s="105" t="n"/>
      <c r="B1212" s="105" t="n"/>
      <c r="C1212" s="3" t="n"/>
      <c r="D1212" s="3" t="n"/>
      <c r="E1212" s="3" t="n"/>
      <c r="F1212" s="3" t="n"/>
      <c r="G1212" s="3" t="n"/>
      <c r="H1212" s="3" t="inlineStr"/>
      <c r="I1212" s="3" t="n"/>
      <c r="J1212" s="3" t="n"/>
      <c r="K1212" s="3" t="n"/>
      <c r="L1212" s="3" t="inlineStr"/>
      <c r="M1212" s="3" t="n"/>
      <c r="N1212" s="3" t="inlineStr"/>
      <c r="O1212" s="3" t="n"/>
      <c r="P1212" s="3" t="n"/>
      <c r="Q1212" s="3" t="n"/>
      <c r="R1212" s="3" t="n"/>
      <c r="S1212" s="3" t="n"/>
      <c r="T1212" s="3" t="n"/>
      <c r="U1212" s="3" t="n"/>
      <c r="V1212" s="3" t="n"/>
      <c r="W1212" s="3" t="n"/>
      <c r="X1212" s="3" t="n"/>
      <c r="Y1212" s="3" t="n"/>
      <c r="Z1212" s="3" t="n"/>
      <c r="AA1212" s="3" t="n"/>
    </row>
    <row r="1213">
      <c r="A1213" s="105" t="n"/>
      <c r="B1213" s="105" t="n"/>
      <c r="C1213" s="3" t="n"/>
      <c r="D1213" s="3" t="n"/>
      <c r="E1213" s="3" t="n"/>
      <c r="F1213" s="3" t="n"/>
      <c r="G1213" s="3" t="n"/>
      <c r="H1213" s="3" t="inlineStr"/>
      <c r="I1213" s="3" t="n"/>
      <c r="J1213" s="3" t="n"/>
      <c r="K1213" s="3" t="n"/>
      <c r="L1213" s="3" t="inlineStr"/>
      <c r="M1213" s="3" t="n"/>
      <c r="N1213" s="3" t="inlineStr"/>
      <c r="O1213" s="3" t="n"/>
      <c r="P1213" s="3" t="n"/>
      <c r="Q1213" s="3" t="n"/>
      <c r="R1213" s="3" t="n"/>
      <c r="S1213" s="3" t="n"/>
      <c r="T1213" s="3" t="n"/>
      <c r="U1213" s="3" t="n"/>
      <c r="V1213" s="3" t="n"/>
      <c r="W1213" s="3" t="n"/>
      <c r="X1213" s="3" t="n"/>
      <c r="Y1213" s="3" t="n"/>
      <c r="Z1213" s="3" t="n"/>
      <c r="AA1213" s="3" t="n"/>
    </row>
    <row r="1214">
      <c r="A1214" s="105" t="n"/>
      <c r="B1214" s="105" t="n"/>
      <c r="C1214" s="3" t="n"/>
      <c r="D1214" s="3" t="n"/>
      <c r="E1214" s="3" t="n"/>
      <c r="F1214" s="3" t="n"/>
      <c r="G1214" s="3" t="n"/>
      <c r="H1214" s="3" t="inlineStr"/>
      <c r="I1214" s="3" t="n"/>
      <c r="J1214" s="3" t="n"/>
      <c r="K1214" s="3" t="n"/>
      <c r="L1214" s="3" t="inlineStr"/>
      <c r="M1214" s="3" t="n"/>
      <c r="N1214" s="3" t="inlineStr"/>
      <c r="O1214" s="3" t="n"/>
      <c r="P1214" s="3" t="n"/>
      <c r="Q1214" s="3" t="n"/>
      <c r="R1214" s="3" t="n"/>
      <c r="S1214" s="3" t="n"/>
      <c r="T1214" s="3" t="n"/>
      <c r="U1214" s="3" t="n"/>
      <c r="V1214" s="3" t="n"/>
      <c r="W1214" s="3" t="n"/>
      <c r="X1214" s="3" t="n"/>
      <c r="Y1214" s="3" t="n"/>
      <c r="Z1214" s="3" t="n"/>
      <c r="AA1214" s="3" t="n"/>
    </row>
    <row r="1215">
      <c r="A1215" s="105" t="n"/>
      <c r="B1215" s="105" t="n"/>
      <c r="C1215" s="3" t="n"/>
      <c r="D1215" s="3" t="n"/>
      <c r="E1215" s="3" t="n"/>
      <c r="F1215" s="3" t="n"/>
      <c r="G1215" s="3" t="n"/>
      <c r="H1215" s="3" t="inlineStr"/>
      <c r="I1215" s="3" t="n"/>
      <c r="J1215" s="3" t="n"/>
      <c r="K1215" s="3" t="n"/>
      <c r="L1215" s="3" t="inlineStr"/>
      <c r="M1215" s="3" t="n"/>
      <c r="N1215" s="3" t="inlineStr"/>
      <c r="O1215" s="3" t="n"/>
      <c r="P1215" s="3" t="n"/>
      <c r="Q1215" s="3" t="n"/>
      <c r="R1215" s="3" t="n"/>
      <c r="S1215" s="3" t="n"/>
      <c r="T1215" s="3" t="n"/>
      <c r="U1215" s="3" t="n"/>
      <c r="V1215" s="3" t="n"/>
      <c r="W1215" s="3" t="n"/>
      <c r="X1215" s="3" t="n"/>
      <c r="Y1215" s="3" t="n"/>
      <c r="Z1215" s="3" t="n"/>
      <c r="AA1215" s="3" t="n"/>
    </row>
    <row r="1216">
      <c r="A1216" s="105" t="n"/>
      <c r="B1216" s="105" t="n"/>
      <c r="C1216" s="3" t="n"/>
      <c r="D1216" s="3" t="n"/>
      <c r="E1216" s="3" t="n"/>
      <c r="F1216" s="3" t="n"/>
      <c r="G1216" s="3" t="n"/>
      <c r="H1216" s="3" t="inlineStr"/>
      <c r="I1216" s="3" t="n"/>
      <c r="J1216" s="3" t="n"/>
      <c r="K1216" s="3" t="n"/>
      <c r="L1216" s="3" t="inlineStr"/>
      <c r="M1216" s="3" t="n"/>
      <c r="N1216" s="3" t="inlineStr"/>
      <c r="O1216" s="3" t="n"/>
      <c r="P1216" s="3" t="n"/>
      <c r="Q1216" s="3" t="n"/>
      <c r="R1216" s="3" t="n"/>
      <c r="S1216" s="3" t="n"/>
      <c r="T1216" s="3" t="n"/>
      <c r="U1216" s="3" t="n"/>
      <c r="V1216" s="3" t="n"/>
      <c r="W1216" s="3" t="n"/>
      <c r="X1216" s="3" t="n"/>
      <c r="Y1216" s="3" t="n"/>
      <c r="Z1216" s="3" t="n"/>
      <c r="AA1216" s="3" t="n"/>
    </row>
    <row r="1217">
      <c r="A1217" s="105" t="n"/>
      <c r="B1217" s="105" t="n"/>
      <c r="C1217" s="3" t="n"/>
      <c r="D1217" s="3" t="n"/>
      <c r="E1217" s="3" t="n"/>
      <c r="F1217" s="3" t="n"/>
      <c r="G1217" s="3" t="n"/>
      <c r="H1217" s="3" t="inlineStr"/>
      <c r="I1217" s="3" t="n"/>
      <c r="J1217" s="3" t="n"/>
      <c r="K1217" s="3" t="n"/>
      <c r="L1217" s="3" t="inlineStr"/>
      <c r="M1217" s="3" t="n"/>
      <c r="N1217" s="3" t="inlineStr"/>
      <c r="O1217" s="3" t="n"/>
      <c r="P1217" s="3" t="n"/>
      <c r="Q1217" s="3" t="n"/>
      <c r="R1217" s="3" t="n"/>
      <c r="S1217" s="3" t="n"/>
      <c r="T1217" s="3" t="n"/>
      <c r="U1217" s="3" t="n"/>
      <c r="V1217" s="3" t="n"/>
      <c r="W1217" s="3" t="n"/>
      <c r="X1217" s="3" t="n"/>
      <c r="Y1217" s="3" t="n"/>
      <c r="Z1217" s="3" t="n"/>
      <c r="AA1217" s="3" t="n"/>
    </row>
    <row r="1218">
      <c r="A1218" s="105" t="n"/>
      <c r="B1218" s="105" t="n"/>
      <c r="C1218" s="3" t="n"/>
      <c r="D1218" s="3" t="n"/>
      <c r="E1218" s="3" t="n"/>
      <c r="F1218" s="3" t="n"/>
      <c r="G1218" s="3" t="n"/>
      <c r="H1218" s="3" t="inlineStr"/>
      <c r="I1218" s="3" t="n"/>
      <c r="J1218" s="3" t="n"/>
      <c r="K1218" s="3" t="n"/>
      <c r="L1218" s="3" t="inlineStr"/>
      <c r="M1218" s="3" t="n"/>
      <c r="N1218" s="3" t="inlineStr"/>
      <c r="O1218" s="3" t="n"/>
      <c r="P1218" s="3" t="n"/>
      <c r="Q1218" s="3" t="n"/>
      <c r="R1218" s="3" t="n"/>
      <c r="S1218" s="3" t="n"/>
      <c r="T1218" s="3" t="n"/>
      <c r="U1218" s="3" t="n"/>
      <c r="V1218" s="3" t="n"/>
      <c r="W1218" s="3" t="n"/>
      <c r="X1218" s="3" t="n"/>
      <c r="Y1218" s="3" t="n"/>
      <c r="Z1218" s="3" t="n"/>
      <c r="AA1218" s="3" t="n"/>
    </row>
    <row r="1219">
      <c r="A1219" s="105" t="n"/>
      <c r="B1219" s="105" t="n"/>
      <c r="C1219" s="3" t="n"/>
      <c r="D1219" s="3" t="n"/>
      <c r="E1219" s="3" t="n"/>
      <c r="F1219" s="3" t="n"/>
      <c r="G1219" s="3" t="n"/>
      <c r="H1219" s="3" t="inlineStr"/>
      <c r="I1219" s="3" t="n"/>
      <c r="J1219" s="3" t="n"/>
      <c r="K1219" s="3" t="n"/>
      <c r="L1219" s="3" t="inlineStr"/>
      <c r="M1219" s="3" t="n"/>
      <c r="N1219" s="3" t="inlineStr"/>
      <c r="O1219" s="3" t="n"/>
      <c r="P1219" s="3" t="n"/>
      <c r="Q1219" s="3" t="n"/>
      <c r="R1219" s="3" t="n"/>
      <c r="S1219" s="3" t="n"/>
      <c r="T1219" s="3" t="n"/>
      <c r="U1219" s="3" t="n"/>
      <c r="V1219" s="3" t="n"/>
      <c r="W1219" s="3" t="n"/>
      <c r="X1219" s="3" t="n"/>
      <c r="Y1219" s="3" t="n"/>
      <c r="Z1219" s="3" t="n"/>
      <c r="AA1219" s="3" t="n"/>
    </row>
    <row r="1220">
      <c r="A1220" s="105" t="n"/>
      <c r="B1220" s="105" t="n"/>
      <c r="C1220" s="3" t="n"/>
      <c r="D1220" s="3" t="n"/>
      <c r="E1220" s="3" t="n"/>
      <c r="F1220" s="3" t="n"/>
      <c r="G1220" s="3" t="n"/>
      <c r="H1220" s="3" t="inlineStr"/>
      <c r="I1220" s="3" t="n"/>
      <c r="J1220" s="3" t="n"/>
      <c r="K1220" s="3" t="n"/>
      <c r="L1220" s="3" t="inlineStr"/>
      <c r="M1220" s="3" t="n"/>
      <c r="N1220" s="3" t="inlineStr"/>
      <c r="O1220" s="3" t="n"/>
      <c r="P1220" s="3" t="n"/>
      <c r="Q1220" s="3" t="n"/>
      <c r="R1220" s="3" t="n"/>
      <c r="S1220" s="3" t="n"/>
      <c r="T1220" s="3" t="n"/>
      <c r="U1220" s="3" t="n"/>
      <c r="V1220" s="3" t="n"/>
      <c r="W1220" s="3" t="n"/>
      <c r="X1220" s="3" t="n"/>
      <c r="Y1220" s="3" t="n"/>
      <c r="Z1220" s="3" t="n"/>
      <c r="AA1220" s="3" t="n"/>
    </row>
    <row r="1221">
      <c r="A1221" s="105" t="n"/>
      <c r="B1221" s="105" t="n"/>
      <c r="C1221" s="3" t="n"/>
      <c r="D1221" s="3" t="n"/>
      <c r="E1221" s="3" t="n"/>
      <c r="F1221" s="3" t="n"/>
      <c r="G1221" s="3" t="n"/>
      <c r="H1221" s="3" t="inlineStr"/>
      <c r="I1221" s="3" t="n"/>
      <c r="J1221" s="3" t="n"/>
      <c r="K1221" s="3" t="n"/>
      <c r="L1221" s="3" t="inlineStr"/>
      <c r="M1221" s="3" t="n"/>
      <c r="N1221" s="3" t="inlineStr"/>
      <c r="O1221" s="3" t="n"/>
      <c r="P1221" s="3" t="n"/>
      <c r="Q1221" s="3" t="n"/>
      <c r="R1221" s="3" t="n"/>
      <c r="S1221" s="3" t="n"/>
      <c r="T1221" s="3" t="n"/>
      <c r="U1221" s="3" t="n"/>
      <c r="V1221" s="3" t="n"/>
      <c r="W1221" s="3" t="n"/>
      <c r="X1221" s="3" t="n"/>
      <c r="Y1221" s="3" t="n"/>
      <c r="Z1221" s="3" t="n"/>
      <c r="AA1221" s="3" t="n"/>
    </row>
    <row r="1222">
      <c r="A1222" s="105" t="n"/>
      <c r="B1222" s="105" t="n"/>
      <c r="C1222" s="3" t="n"/>
      <c r="D1222" s="3" t="n"/>
      <c r="E1222" s="3" t="n"/>
      <c r="F1222" s="3" t="n"/>
      <c r="G1222" s="3" t="n"/>
      <c r="H1222" s="3" t="inlineStr"/>
      <c r="I1222" s="3" t="n"/>
      <c r="J1222" s="3" t="n"/>
      <c r="K1222" s="3" t="n"/>
      <c r="L1222" s="3" t="inlineStr"/>
      <c r="M1222" s="3" t="n"/>
      <c r="N1222" s="3" t="inlineStr"/>
      <c r="O1222" s="3" t="n"/>
      <c r="P1222" s="3" t="n"/>
      <c r="Q1222" s="3" t="n"/>
      <c r="R1222" s="3" t="n"/>
      <c r="S1222" s="3" t="n"/>
      <c r="T1222" s="3" t="n"/>
      <c r="U1222" s="3" t="n"/>
      <c r="V1222" s="3" t="n"/>
      <c r="W1222" s="3" t="n"/>
      <c r="X1222" s="3" t="n"/>
      <c r="Y1222" s="3" t="n"/>
      <c r="Z1222" s="3" t="n"/>
      <c r="AA1222" s="3" t="n"/>
    </row>
    <row r="1223">
      <c r="A1223" s="105" t="n"/>
      <c r="B1223" s="105" t="n"/>
      <c r="C1223" s="3" t="n"/>
      <c r="D1223" s="3" t="n"/>
      <c r="E1223" s="3" t="n"/>
      <c r="F1223" s="3" t="n"/>
      <c r="G1223" s="3" t="n"/>
      <c r="H1223" s="3" t="inlineStr"/>
      <c r="I1223" s="3" t="n"/>
      <c r="J1223" s="3" t="n"/>
      <c r="K1223" s="3" t="n"/>
      <c r="L1223" s="3" t="inlineStr"/>
      <c r="M1223" s="3" t="n"/>
      <c r="N1223" s="3" t="inlineStr"/>
      <c r="O1223" s="3" t="n"/>
      <c r="P1223" s="3" t="n"/>
      <c r="Q1223" s="3" t="n"/>
      <c r="R1223" s="3" t="n"/>
      <c r="S1223" s="3" t="n"/>
      <c r="T1223" s="3" t="n"/>
      <c r="U1223" s="3" t="n"/>
      <c r="V1223" s="3" t="n"/>
      <c r="W1223" s="3" t="n"/>
      <c r="X1223" s="3" t="n"/>
      <c r="Y1223" s="3" t="n"/>
      <c r="Z1223" s="3" t="n"/>
      <c r="AA1223" s="3" t="n"/>
    </row>
    <row r="1224">
      <c r="A1224" s="105" t="n"/>
      <c r="B1224" s="105" t="n"/>
      <c r="C1224" s="3" t="n"/>
      <c r="D1224" s="3" t="n"/>
      <c r="E1224" s="3" t="n"/>
      <c r="F1224" s="3" t="n"/>
      <c r="G1224" s="3" t="n"/>
      <c r="H1224" s="3" t="inlineStr"/>
      <c r="I1224" s="3" t="n"/>
      <c r="J1224" s="3" t="n"/>
      <c r="K1224" s="3" t="n"/>
      <c r="L1224" s="3" t="inlineStr"/>
      <c r="M1224" s="3" t="n"/>
      <c r="N1224" s="3" t="inlineStr"/>
      <c r="O1224" s="3" t="n"/>
      <c r="P1224" s="3" t="n"/>
      <c r="Q1224" s="3" t="n"/>
      <c r="R1224" s="3" t="n"/>
      <c r="S1224" s="3" t="n"/>
      <c r="T1224" s="3" t="n"/>
      <c r="U1224" s="3" t="n"/>
      <c r="V1224" s="3" t="n"/>
      <c r="W1224" s="3" t="n"/>
      <c r="X1224" s="3" t="n"/>
      <c r="Y1224" s="3" t="n"/>
      <c r="Z1224" s="3" t="n"/>
      <c r="AA1224" s="3" t="n"/>
    </row>
    <row r="1225">
      <c r="A1225" s="105" t="n"/>
      <c r="B1225" s="105" t="n"/>
      <c r="C1225" s="3" t="n"/>
      <c r="D1225" s="3" t="n"/>
      <c r="E1225" s="3" t="n"/>
      <c r="F1225" s="3" t="n"/>
      <c r="G1225" s="3" t="n"/>
      <c r="H1225" s="3" t="inlineStr"/>
      <c r="I1225" s="3" t="n"/>
      <c r="J1225" s="3" t="n"/>
      <c r="K1225" s="3" t="n"/>
      <c r="L1225" s="3" t="inlineStr"/>
      <c r="M1225" s="3" t="n"/>
      <c r="N1225" s="3" t="inlineStr"/>
      <c r="O1225" s="3" t="n"/>
      <c r="P1225" s="3" t="n"/>
      <c r="Q1225" s="3" t="n"/>
      <c r="R1225" s="3" t="n"/>
      <c r="S1225" s="3" t="n"/>
      <c r="T1225" s="3" t="n"/>
      <c r="U1225" s="3" t="n"/>
      <c r="V1225" s="3" t="n"/>
      <c r="W1225" s="3" t="n"/>
      <c r="X1225" s="3" t="n"/>
      <c r="Y1225" s="3" t="n"/>
      <c r="Z1225" s="3" t="n"/>
      <c r="AA1225" s="3" t="n"/>
    </row>
    <row r="1226">
      <c r="A1226" s="105" t="n"/>
      <c r="B1226" s="105" t="n"/>
      <c r="C1226" s="3" t="n"/>
      <c r="D1226" s="3" t="n"/>
      <c r="E1226" s="3" t="n"/>
      <c r="F1226" s="3" t="n"/>
      <c r="G1226" s="3" t="n"/>
      <c r="H1226" s="3" t="inlineStr"/>
      <c r="I1226" s="3" t="n"/>
      <c r="J1226" s="3" t="n"/>
      <c r="K1226" s="3" t="n"/>
      <c r="L1226" s="3" t="inlineStr"/>
      <c r="M1226" s="3" t="n"/>
      <c r="N1226" s="3" t="inlineStr"/>
      <c r="O1226" s="3" t="n"/>
      <c r="P1226" s="3" t="n"/>
      <c r="Q1226" s="3" t="n"/>
      <c r="R1226" s="3" t="n"/>
      <c r="S1226" s="3" t="n"/>
      <c r="T1226" s="3" t="n"/>
      <c r="U1226" s="3" t="n"/>
      <c r="V1226" s="3" t="n"/>
      <c r="W1226" s="3" t="n"/>
      <c r="X1226" s="3" t="n"/>
      <c r="Y1226" s="3" t="n"/>
      <c r="Z1226" s="3" t="n"/>
      <c r="AA1226" s="3" t="n"/>
    </row>
    <row r="1227">
      <c r="A1227" s="105" t="n"/>
      <c r="B1227" s="105" t="n"/>
      <c r="C1227" s="3" t="n"/>
      <c r="D1227" s="3" t="n"/>
      <c r="E1227" s="3" t="n"/>
      <c r="F1227" s="3" t="n"/>
      <c r="G1227" s="3" t="n"/>
      <c r="H1227" s="3" t="inlineStr"/>
      <c r="I1227" s="3" t="n"/>
      <c r="J1227" s="3" t="n"/>
      <c r="K1227" s="3" t="n"/>
      <c r="L1227" s="3" t="inlineStr"/>
      <c r="M1227" s="3" t="n"/>
      <c r="N1227" s="3" t="inlineStr"/>
      <c r="O1227" s="3" t="n"/>
      <c r="P1227" s="3" t="n"/>
      <c r="Q1227" s="3" t="n"/>
      <c r="R1227" s="3" t="n"/>
      <c r="S1227" s="3" t="n"/>
      <c r="T1227" s="3" t="n"/>
      <c r="U1227" s="3" t="n"/>
      <c r="V1227" s="3" t="n"/>
      <c r="W1227" s="3" t="n"/>
      <c r="X1227" s="3" t="n"/>
      <c r="Y1227" s="3" t="n"/>
      <c r="Z1227" s="3" t="n"/>
      <c r="AA1227" s="3" t="n"/>
    </row>
    <row r="1228">
      <c r="A1228" s="105" t="n"/>
      <c r="B1228" s="105" t="n"/>
      <c r="C1228" s="3" t="n"/>
      <c r="D1228" s="3" t="n"/>
      <c r="E1228" s="3" t="n"/>
      <c r="F1228" s="3" t="n"/>
      <c r="G1228" s="3" t="n"/>
      <c r="H1228" s="3" t="inlineStr"/>
      <c r="I1228" s="3" t="n"/>
      <c r="J1228" s="3" t="n"/>
      <c r="K1228" s="3" t="n"/>
      <c r="L1228" s="3" t="inlineStr"/>
      <c r="M1228" s="3" t="n"/>
      <c r="N1228" s="3" t="inlineStr"/>
      <c r="O1228" s="3" t="n"/>
      <c r="P1228" s="3" t="n"/>
      <c r="Q1228" s="3" t="n"/>
      <c r="R1228" s="3" t="n"/>
      <c r="S1228" s="3" t="n"/>
      <c r="T1228" s="3" t="n"/>
      <c r="U1228" s="3" t="n"/>
      <c r="V1228" s="3" t="n"/>
      <c r="W1228" s="3" t="n"/>
      <c r="X1228" s="3" t="n"/>
      <c r="Y1228" s="3" t="n"/>
      <c r="Z1228" s="3" t="n"/>
      <c r="AA1228" s="3" t="n"/>
    </row>
    <row r="1229">
      <c r="A1229" s="105" t="n"/>
      <c r="B1229" s="105" t="n"/>
      <c r="C1229" s="3" t="n"/>
      <c r="D1229" s="3" t="n"/>
      <c r="E1229" s="3" t="n"/>
      <c r="F1229" s="3" t="n"/>
      <c r="G1229" s="3" t="n"/>
      <c r="H1229" s="3" t="inlineStr"/>
      <c r="I1229" s="3" t="n"/>
      <c r="J1229" s="3" t="n"/>
      <c r="K1229" s="3" t="n"/>
      <c r="L1229" s="3" t="inlineStr"/>
      <c r="M1229" s="3" t="n"/>
      <c r="N1229" s="3" t="inlineStr"/>
      <c r="O1229" s="3" t="n"/>
      <c r="P1229" s="3" t="n"/>
      <c r="Q1229" s="3" t="n"/>
      <c r="R1229" s="3" t="n"/>
      <c r="S1229" s="3" t="n"/>
      <c r="T1229" s="3" t="n"/>
      <c r="U1229" s="3" t="n"/>
      <c r="V1229" s="3" t="n"/>
      <c r="W1229" s="3" t="n"/>
      <c r="X1229" s="3" t="n"/>
      <c r="Y1229" s="3" t="n"/>
      <c r="Z1229" s="3" t="n"/>
      <c r="AA1229" s="3" t="n"/>
    </row>
    <row r="1230">
      <c r="A1230" s="105" t="n"/>
      <c r="B1230" s="105" t="n"/>
      <c r="C1230" s="3" t="n"/>
      <c r="D1230" s="3" t="n"/>
      <c r="E1230" s="3" t="n"/>
      <c r="F1230" s="3" t="n"/>
      <c r="G1230" s="3" t="n"/>
      <c r="H1230" s="3" t="inlineStr"/>
      <c r="I1230" s="3" t="n"/>
      <c r="J1230" s="3" t="n"/>
      <c r="K1230" s="3" t="n"/>
      <c r="L1230" s="3" t="inlineStr"/>
      <c r="M1230" s="3" t="n"/>
      <c r="N1230" s="3" t="inlineStr"/>
      <c r="O1230" s="3" t="n"/>
      <c r="P1230" s="3" t="n"/>
      <c r="Q1230" s="3" t="n"/>
      <c r="R1230" s="3" t="n"/>
      <c r="S1230" s="3" t="n"/>
      <c r="T1230" s="3" t="n"/>
      <c r="U1230" s="3" t="n"/>
      <c r="V1230" s="3" t="n"/>
      <c r="W1230" s="3" t="n"/>
      <c r="X1230" s="3" t="n"/>
      <c r="Y1230" s="3" t="n"/>
      <c r="Z1230" s="3" t="n"/>
      <c r="AA1230" s="3" t="n"/>
    </row>
    <row r="1231">
      <c r="A1231" s="105" t="n"/>
      <c r="B1231" s="105" t="n"/>
      <c r="C1231" s="3" t="n"/>
      <c r="D1231" s="3" t="n"/>
      <c r="E1231" s="3" t="n"/>
      <c r="F1231" s="3" t="n"/>
      <c r="G1231" s="3" t="n"/>
      <c r="H1231" s="3" t="inlineStr"/>
      <c r="I1231" s="3" t="n"/>
      <c r="J1231" s="3" t="n"/>
      <c r="K1231" s="3" t="n"/>
      <c r="L1231" s="3" t="inlineStr"/>
      <c r="M1231" s="3" t="n"/>
      <c r="N1231" s="3" t="inlineStr"/>
      <c r="O1231" s="3" t="n"/>
      <c r="P1231" s="3" t="n"/>
      <c r="Q1231" s="3" t="n"/>
      <c r="R1231" s="3" t="n"/>
      <c r="S1231" s="3" t="n"/>
      <c r="T1231" s="3" t="n"/>
      <c r="U1231" s="3" t="n"/>
      <c r="V1231" s="3" t="n"/>
      <c r="W1231" s="3" t="n"/>
      <c r="X1231" s="3" t="n"/>
      <c r="Y1231" s="3" t="n"/>
      <c r="Z1231" s="3" t="n"/>
      <c r="AA1231" s="3" t="n"/>
    </row>
    <row r="1232">
      <c r="A1232" s="105" t="n"/>
      <c r="B1232" s="105" t="n"/>
      <c r="C1232" s="3" t="n"/>
      <c r="D1232" s="3" t="n"/>
      <c r="E1232" s="3" t="n"/>
      <c r="F1232" s="3" t="n"/>
      <c r="G1232" s="3" t="n"/>
      <c r="H1232" s="3" t="inlineStr"/>
      <c r="I1232" s="3" t="n"/>
      <c r="J1232" s="3" t="n"/>
      <c r="K1232" s="3" t="n"/>
      <c r="L1232" s="3" t="inlineStr"/>
      <c r="M1232" s="3" t="n"/>
      <c r="N1232" s="3" t="inlineStr"/>
      <c r="O1232" s="3" t="n"/>
      <c r="P1232" s="3" t="n"/>
      <c r="Q1232" s="3" t="n"/>
      <c r="R1232" s="3" t="n"/>
      <c r="S1232" s="3" t="n"/>
      <c r="T1232" s="3" t="n"/>
      <c r="U1232" s="3" t="n"/>
      <c r="V1232" s="3" t="n"/>
      <c r="W1232" s="3" t="n"/>
      <c r="X1232" s="3" t="n"/>
      <c r="Y1232" s="3" t="n"/>
      <c r="Z1232" s="3" t="n"/>
      <c r="AA1232" s="3" t="n"/>
    </row>
    <row r="1233">
      <c r="A1233" s="105" t="n"/>
      <c r="B1233" s="105" t="n"/>
      <c r="C1233" s="3" t="n"/>
      <c r="D1233" s="3" t="n"/>
      <c r="E1233" s="3" t="n"/>
      <c r="F1233" s="3" t="n"/>
      <c r="G1233" s="3" t="n"/>
      <c r="H1233" s="3" t="inlineStr"/>
      <c r="I1233" s="3" t="n"/>
      <c r="J1233" s="3" t="n"/>
      <c r="K1233" s="3" t="n"/>
      <c r="L1233" s="3" t="inlineStr"/>
      <c r="M1233" s="3" t="n"/>
      <c r="N1233" s="3" t="inlineStr"/>
      <c r="O1233" s="3" t="n"/>
      <c r="P1233" s="3" t="n"/>
      <c r="Q1233" s="3" t="n"/>
      <c r="R1233" s="3" t="n"/>
      <c r="S1233" s="3" t="n"/>
      <c r="T1233" s="3" t="n"/>
      <c r="U1233" s="3" t="n"/>
      <c r="V1233" s="3" t="n"/>
      <c r="W1233" s="3" t="n"/>
      <c r="X1233" s="3" t="n"/>
      <c r="Y1233" s="3" t="n"/>
      <c r="Z1233" s="3" t="n"/>
      <c r="AA1233" s="3" t="n"/>
    </row>
    <row r="1234">
      <c r="A1234" s="105" t="n"/>
      <c r="B1234" s="105" t="n"/>
      <c r="C1234" s="3" t="n"/>
      <c r="D1234" s="3" t="n"/>
      <c r="E1234" s="3" t="n"/>
      <c r="F1234" s="3" t="n"/>
      <c r="G1234" s="3" t="n"/>
      <c r="H1234" s="3" t="inlineStr"/>
      <c r="I1234" s="3" t="n"/>
      <c r="J1234" s="3" t="n"/>
      <c r="K1234" s="3" t="n"/>
      <c r="L1234" s="3" t="inlineStr"/>
      <c r="M1234" s="3" t="n"/>
      <c r="N1234" s="3" t="inlineStr"/>
      <c r="O1234" s="3" t="n"/>
      <c r="P1234" s="3" t="n"/>
      <c r="Q1234" s="3" t="n"/>
      <c r="R1234" s="3" t="n"/>
      <c r="S1234" s="3" t="n"/>
      <c r="T1234" s="3" t="n"/>
      <c r="U1234" s="3" t="n"/>
      <c r="V1234" s="3" t="n"/>
      <c r="W1234" s="3" t="n"/>
      <c r="X1234" s="3" t="n"/>
      <c r="Y1234" s="3" t="n"/>
      <c r="Z1234" s="3" t="n"/>
      <c r="AA1234" s="3" t="n"/>
    </row>
    <row r="1235">
      <c r="A1235" s="105" t="n"/>
      <c r="B1235" s="105" t="n"/>
      <c r="C1235" s="3" t="n"/>
      <c r="D1235" s="3" t="n"/>
      <c r="E1235" s="3" t="n"/>
      <c r="F1235" s="3" t="n"/>
      <c r="G1235" s="3" t="n"/>
      <c r="H1235" s="3" t="inlineStr"/>
      <c r="I1235" s="3" t="n"/>
      <c r="J1235" s="3" t="n"/>
      <c r="K1235" s="3" t="n"/>
      <c r="L1235" s="3" t="inlineStr"/>
      <c r="M1235" s="3" t="n"/>
      <c r="N1235" s="3" t="inlineStr"/>
      <c r="O1235" s="3" t="n"/>
      <c r="P1235" s="3" t="n"/>
      <c r="Q1235" s="3" t="n"/>
      <c r="R1235" s="3" t="n"/>
      <c r="S1235" s="3" t="n"/>
      <c r="T1235" s="3" t="n"/>
      <c r="U1235" s="3" t="n"/>
      <c r="V1235" s="3" t="n"/>
      <c r="W1235" s="3" t="n"/>
      <c r="X1235" s="3" t="n"/>
      <c r="Y1235" s="3" t="n"/>
      <c r="Z1235" s="3" t="n"/>
      <c r="AA1235" s="3" t="n"/>
    </row>
    <row r="1236">
      <c r="A1236" s="105" t="n"/>
      <c r="B1236" s="105" t="n"/>
      <c r="C1236" s="3" t="n"/>
      <c r="D1236" s="3" t="n"/>
      <c r="E1236" s="3" t="n"/>
      <c r="F1236" s="3" t="n"/>
      <c r="G1236" s="3" t="n"/>
      <c r="H1236" s="3" t="inlineStr"/>
      <c r="I1236" s="3" t="n"/>
      <c r="J1236" s="3" t="n"/>
      <c r="K1236" s="3" t="n"/>
      <c r="L1236" s="3" t="inlineStr"/>
      <c r="M1236" s="3" t="n"/>
      <c r="N1236" s="3" t="inlineStr"/>
      <c r="O1236" s="3" t="n"/>
      <c r="P1236" s="3" t="n"/>
      <c r="Q1236" s="3" t="n"/>
      <c r="R1236" s="3" t="n"/>
      <c r="S1236" s="3" t="n"/>
      <c r="T1236" s="3" t="n"/>
      <c r="U1236" s="3" t="n"/>
      <c r="V1236" s="3" t="n"/>
      <c r="W1236" s="3" t="n"/>
      <c r="X1236" s="3" t="n"/>
      <c r="Y1236" s="3" t="n"/>
      <c r="Z1236" s="3" t="n"/>
      <c r="AA1236" s="3" t="n"/>
    </row>
    <row r="1237">
      <c r="A1237" s="105" t="n"/>
      <c r="B1237" s="105" t="n"/>
      <c r="C1237" s="3" t="n"/>
      <c r="D1237" s="3" t="n"/>
      <c r="E1237" s="3" t="n"/>
      <c r="F1237" s="3" t="n"/>
      <c r="G1237" s="3" t="n"/>
      <c r="H1237" s="3" t="inlineStr"/>
      <c r="I1237" s="3" t="n"/>
      <c r="J1237" s="3" t="n"/>
      <c r="K1237" s="3" t="n"/>
      <c r="L1237" s="3" t="inlineStr"/>
      <c r="M1237" s="3" t="n"/>
      <c r="N1237" s="3" t="inlineStr"/>
      <c r="O1237" s="3" t="n"/>
      <c r="P1237" s="3" t="n"/>
      <c r="Q1237" s="3" t="n"/>
      <c r="R1237" s="3" t="n"/>
      <c r="S1237" s="3" t="n"/>
      <c r="T1237" s="3" t="n"/>
      <c r="U1237" s="3" t="n"/>
      <c r="V1237" s="3" t="n"/>
      <c r="W1237" s="3" t="n"/>
      <c r="X1237" s="3" t="n"/>
      <c r="Y1237" s="3" t="n"/>
      <c r="Z1237" s="3" t="n"/>
      <c r="AA1237" s="3" t="n"/>
    </row>
    <row r="1238">
      <c r="A1238" s="105" t="n"/>
      <c r="B1238" s="105" t="n"/>
      <c r="C1238" s="3" t="n"/>
      <c r="D1238" s="3" t="n"/>
      <c r="E1238" s="3" t="n"/>
      <c r="F1238" s="3" t="n"/>
      <c r="G1238" s="3" t="n"/>
      <c r="H1238" s="3" t="inlineStr"/>
      <c r="I1238" s="3" t="n"/>
      <c r="J1238" s="3" t="n"/>
      <c r="K1238" s="3" t="n"/>
      <c r="L1238" s="3" t="inlineStr"/>
      <c r="M1238" s="3" t="n"/>
      <c r="N1238" s="3" t="inlineStr"/>
      <c r="O1238" s="3" t="n"/>
      <c r="P1238" s="3" t="n"/>
      <c r="Q1238" s="3" t="n"/>
      <c r="R1238" s="3" t="n"/>
      <c r="S1238" s="3" t="n"/>
      <c r="T1238" s="3" t="n"/>
      <c r="U1238" s="3" t="n"/>
      <c r="V1238" s="3" t="n"/>
      <c r="W1238" s="3" t="n"/>
      <c r="X1238" s="3" t="n"/>
      <c r="Y1238" s="3" t="n"/>
      <c r="Z1238" s="3" t="n"/>
      <c r="AA1238" s="3" t="n"/>
    </row>
    <row r="1239">
      <c r="A1239" s="105" t="n"/>
      <c r="B1239" s="105" t="n"/>
      <c r="C1239" s="3" t="n"/>
      <c r="D1239" s="3" t="n"/>
      <c r="E1239" s="3" t="n"/>
      <c r="F1239" s="3" t="n"/>
      <c r="G1239" s="3" t="n"/>
      <c r="H1239" s="3" t="inlineStr"/>
      <c r="I1239" s="3" t="n"/>
      <c r="J1239" s="3" t="n"/>
      <c r="K1239" s="3" t="n"/>
      <c r="L1239" s="3" t="inlineStr"/>
      <c r="M1239" s="3" t="n"/>
      <c r="N1239" s="3" t="inlineStr"/>
      <c r="O1239" s="3" t="n"/>
      <c r="P1239" s="3" t="n"/>
      <c r="Q1239" s="3" t="n"/>
      <c r="R1239" s="3" t="n"/>
      <c r="S1239" s="3" t="n"/>
      <c r="T1239" s="3" t="n"/>
      <c r="U1239" s="3" t="n"/>
      <c r="V1239" s="3" t="n"/>
      <c r="W1239" s="3" t="n"/>
      <c r="X1239" s="3" t="n"/>
      <c r="Y1239" s="3" t="n"/>
      <c r="Z1239" s="3" t="n"/>
      <c r="AA1239" s="3" t="n"/>
    </row>
    <row r="1240">
      <c r="A1240" s="105" t="n"/>
      <c r="B1240" s="105" t="n"/>
      <c r="C1240" s="3" t="n"/>
      <c r="D1240" s="3" t="n"/>
      <c r="E1240" s="3" t="n"/>
      <c r="F1240" s="3" t="n"/>
      <c r="G1240" s="3" t="n"/>
      <c r="H1240" s="3" t="inlineStr"/>
      <c r="I1240" s="3" t="n"/>
      <c r="J1240" s="3" t="n"/>
      <c r="K1240" s="3" t="n"/>
      <c r="L1240" s="3" t="inlineStr"/>
      <c r="M1240" s="3" t="n"/>
      <c r="N1240" s="3" t="inlineStr"/>
      <c r="O1240" s="3" t="n"/>
      <c r="P1240" s="3" t="n"/>
      <c r="Q1240" s="3" t="n"/>
      <c r="R1240" s="3" t="n"/>
      <c r="S1240" s="3" t="n"/>
      <c r="T1240" s="3" t="n"/>
      <c r="U1240" s="3" t="n"/>
      <c r="V1240" s="3" t="n"/>
      <c r="W1240" s="3" t="n"/>
      <c r="X1240" s="3" t="n"/>
      <c r="Y1240" s="3" t="n"/>
      <c r="Z1240" s="3" t="n"/>
      <c r="AA1240" s="3" t="n"/>
    </row>
    <row r="1241">
      <c r="A1241" s="105" t="n"/>
      <c r="B1241" s="105" t="n"/>
      <c r="C1241" s="3" t="n"/>
      <c r="D1241" s="3" t="n"/>
      <c r="E1241" s="3" t="n"/>
      <c r="F1241" s="3" t="n"/>
      <c r="G1241" s="3" t="n"/>
      <c r="H1241" s="3" t="inlineStr"/>
      <c r="I1241" s="3" t="n"/>
      <c r="J1241" s="3" t="n"/>
      <c r="K1241" s="3" t="n"/>
      <c r="L1241" s="3" t="inlineStr"/>
      <c r="M1241" s="3" t="n"/>
      <c r="N1241" s="3" t="inlineStr"/>
      <c r="O1241" s="3" t="n"/>
      <c r="P1241" s="3" t="n"/>
      <c r="Q1241" s="3" t="n"/>
      <c r="R1241" s="3" t="n"/>
      <c r="S1241" s="3" t="n"/>
      <c r="T1241" s="3" t="n"/>
      <c r="U1241" s="3" t="n"/>
      <c r="V1241" s="3" t="n"/>
      <c r="W1241" s="3" t="n"/>
      <c r="X1241" s="3" t="n"/>
      <c r="Y1241" s="3" t="n"/>
      <c r="Z1241" s="3" t="n"/>
      <c r="AA1241" s="3" t="n"/>
    </row>
    <row r="1242">
      <c r="A1242" s="105" t="n"/>
      <c r="B1242" s="105" t="n"/>
      <c r="C1242" s="3" t="n"/>
      <c r="D1242" s="3" t="n"/>
      <c r="E1242" s="3" t="n"/>
      <c r="F1242" s="3" t="n"/>
      <c r="G1242" s="3" t="n"/>
      <c r="H1242" s="3" t="inlineStr"/>
      <c r="I1242" s="3" t="n"/>
      <c r="J1242" s="3" t="n"/>
      <c r="K1242" s="3" t="n"/>
      <c r="L1242" s="3" t="inlineStr"/>
      <c r="M1242" s="3" t="n"/>
      <c r="N1242" s="3" t="inlineStr"/>
      <c r="O1242" s="3" t="n"/>
      <c r="P1242" s="3" t="n"/>
      <c r="Q1242" s="3" t="n"/>
      <c r="R1242" s="3" t="n"/>
      <c r="S1242" s="3" t="n"/>
      <c r="T1242" s="3" t="n"/>
      <c r="U1242" s="3" t="n"/>
      <c r="V1242" s="3" t="n"/>
      <c r="W1242" s="3" t="n"/>
      <c r="X1242" s="3" t="n"/>
      <c r="Y1242" s="3" t="n"/>
      <c r="Z1242" s="3" t="n"/>
      <c r="AA1242" s="3" t="n"/>
    </row>
    <row r="1243">
      <c r="A1243" s="105" t="n"/>
      <c r="B1243" s="105" t="n"/>
      <c r="C1243" s="3" t="n"/>
      <c r="D1243" s="3" t="n"/>
      <c r="E1243" s="3" t="n"/>
      <c r="F1243" s="3" t="n"/>
      <c r="G1243" s="3" t="n"/>
      <c r="H1243" s="3" t="inlineStr"/>
      <c r="I1243" s="3" t="n"/>
      <c r="J1243" s="3" t="n"/>
      <c r="K1243" s="3" t="n"/>
      <c r="L1243" s="3" t="inlineStr"/>
      <c r="M1243" s="3" t="n"/>
      <c r="N1243" s="3" t="inlineStr"/>
      <c r="O1243" s="3" t="n"/>
      <c r="P1243" s="3" t="n"/>
      <c r="Q1243" s="3" t="n"/>
      <c r="R1243" s="3" t="n"/>
      <c r="S1243" s="3" t="n"/>
      <c r="T1243" s="3" t="n"/>
      <c r="U1243" s="3" t="n"/>
      <c r="V1243" s="3" t="n"/>
      <c r="W1243" s="3" t="n"/>
      <c r="X1243" s="3" t="n"/>
      <c r="Y1243" s="3" t="n"/>
      <c r="Z1243" s="3" t="n"/>
      <c r="AA1243" s="3" t="n"/>
    </row>
    <row r="1244">
      <c r="A1244" s="105" t="n"/>
      <c r="B1244" s="105" t="n"/>
      <c r="C1244" s="3" t="n"/>
      <c r="D1244" s="3" t="n"/>
      <c r="E1244" s="3" t="n"/>
      <c r="F1244" s="3" t="n"/>
      <c r="G1244" s="3" t="n"/>
      <c r="H1244" s="3" t="inlineStr"/>
      <c r="I1244" s="3" t="n"/>
      <c r="J1244" s="3" t="n"/>
      <c r="K1244" s="3" t="n"/>
      <c r="L1244" s="3" t="inlineStr"/>
      <c r="M1244" s="3" t="n"/>
      <c r="N1244" s="3" t="inlineStr"/>
      <c r="O1244" s="3" t="n"/>
      <c r="P1244" s="3" t="n"/>
      <c r="Q1244" s="3" t="n"/>
      <c r="R1244" s="3" t="n"/>
      <c r="S1244" s="3" t="n"/>
      <c r="T1244" s="3" t="n"/>
      <c r="U1244" s="3" t="n"/>
      <c r="V1244" s="3" t="n"/>
      <c r="W1244" s="3" t="n"/>
      <c r="X1244" s="3" t="n"/>
      <c r="Y1244" s="3" t="n"/>
      <c r="Z1244" s="3" t="n"/>
      <c r="AA1244" s="3" t="n"/>
    </row>
    <row r="1245">
      <c r="A1245" s="105" t="n"/>
      <c r="B1245" s="105" t="n"/>
      <c r="C1245" s="3" t="n"/>
      <c r="D1245" s="3" t="n"/>
      <c r="E1245" s="3" t="n"/>
      <c r="F1245" s="3" t="n"/>
      <c r="G1245" s="3" t="n"/>
      <c r="H1245" s="3" t="inlineStr"/>
      <c r="I1245" s="3" t="n"/>
      <c r="J1245" s="3" t="n"/>
      <c r="K1245" s="3" t="n"/>
      <c r="L1245" s="3" t="inlineStr"/>
      <c r="M1245" s="3" t="n"/>
      <c r="N1245" s="3" t="inlineStr"/>
      <c r="O1245" s="3" t="n"/>
      <c r="P1245" s="3" t="n"/>
      <c r="Q1245" s="3" t="n"/>
      <c r="R1245" s="3" t="n"/>
      <c r="S1245" s="3" t="n"/>
      <c r="T1245" s="3" t="n"/>
      <c r="U1245" s="3" t="n"/>
      <c r="V1245" s="3" t="n"/>
      <c r="W1245" s="3" t="n"/>
      <c r="X1245" s="3" t="n"/>
      <c r="Y1245" s="3" t="n"/>
      <c r="Z1245" s="3" t="n"/>
      <c r="AA1245" s="3" t="n"/>
    </row>
    <row r="1246">
      <c r="A1246" s="105" t="n"/>
      <c r="B1246" s="105" t="n"/>
      <c r="C1246" s="3" t="n"/>
      <c r="D1246" s="3" t="n"/>
      <c r="E1246" s="3" t="n"/>
      <c r="F1246" s="3" t="n"/>
      <c r="G1246" s="3" t="n"/>
      <c r="H1246" s="3" t="inlineStr"/>
      <c r="I1246" s="3" t="n"/>
      <c r="J1246" s="3" t="n"/>
      <c r="K1246" s="3" t="n"/>
      <c r="L1246" s="3" t="inlineStr"/>
      <c r="M1246" s="3" t="n"/>
      <c r="N1246" s="3" t="inlineStr"/>
      <c r="O1246" s="3" t="n"/>
      <c r="P1246" s="3" t="n"/>
      <c r="Q1246" s="3" t="n"/>
      <c r="R1246" s="3" t="n"/>
      <c r="S1246" s="3" t="n"/>
      <c r="T1246" s="3" t="n"/>
      <c r="U1246" s="3" t="n"/>
      <c r="V1246" s="3" t="n"/>
      <c r="W1246" s="3" t="n"/>
      <c r="X1246" s="3" t="n"/>
      <c r="Y1246" s="3" t="n"/>
      <c r="Z1246" s="3" t="n"/>
      <c r="AA1246" s="3" t="n"/>
    </row>
    <row r="1247">
      <c r="A1247" s="105" t="n"/>
      <c r="B1247" s="105" t="n"/>
      <c r="C1247" s="3" t="n"/>
      <c r="D1247" s="3" t="n"/>
      <c r="E1247" s="3" t="n"/>
      <c r="F1247" s="3" t="n"/>
      <c r="G1247" s="3" t="n"/>
      <c r="H1247" s="3" t="inlineStr"/>
      <c r="I1247" s="3" t="n"/>
      <c r="J1247" s="3" t="n"/>
      <c r="K1247" s="3" t="n"/>
      <c r="L1247" s="3" t="inlineStr"/>
      <c r="M1247" s="3" t="n"/>
      <c r="N1247" s="3" t="inlineStr"/>
      <c r="O1247" s="3" t="n"/>
      <c r="P1247" s="3" t="n"/>
      <c r="Q1247" s="3" t="n"/>
      <c r="R1247" s="3" t="n"/>
      <c r="S1247" s="3" t="n"/>
      <c r="T1247" s="3" t="n"/>
      <c r="U1247" s="3" t="n"/>
      <c r="V1247" s="3" t="n"/>
      <c r="W1247" s="3" t="n"/>
      <c r="X1247" s="3" t="n"/>
      <c r="Y1247" s="3" t="n"/>
      <c r="Z1247" s="3" t="n"/>
      <c r="AA1247" s="3" t="n"/>
    </row>
    <row r="1248">
      <c r="A1248" s="105" t="n"/>
      <c r="B1248" s="105" t="n"/>
      <c r="C1248" s="3" t="n"/>
      <c r="D1248" s="3" t="n"/>
      <c r="E1248" s="3" t="n"/>
      <c r="F1248" s="3" t="n"/>
      <c r="G1248" s="3" t="n"/>
      <c r="H1248" s="3" t="inlineStr"/>
      <c r="I1248" s="3" t="n"/>
      <c r="J1248" s="3" t="n"/>
      <c r="K1248" s="3" t="n"/>
      <c r="L1248" s="3" t="inlineStr"/>
      <c r="M1248" s="3" t="n"/>
      <c r="N1248" s="3" t="inlineStr"/>
      <c r="O1248" s="3" t="n"/>
      <c r="P1248" s="3" t="n"/>
      <c r="Q1248" s="3" t="n"/>
      <c r="R1248" s="3" t="n"/>
      <c r="S1248" s="3" t="n"/>
      <c r="T1248" s="3" t="n"/>
      <c r="U1248" s="3" t="n"/>
      <c r="V1248" s="3" t="n"/>
      <c r="W1248" s="3" t="n"/>
      <c r="X1248" s="3" t="n"/>
      <c r="Y1248" s="3" t="n"/>
      <c r="Z1248" s="3" t="n"/>
      <c r="AA1248" s="3" t="n"/>
    </row>
    <row r="1249">
      <c r="A1249" s="105" t="n"/>
      <c r="B1249" s="105" t="n"/>
      <c r="C1249" s="3" t="n"/>
      <c r="D1249" s="3" t="n"/>
      <c r="E1249" s="3" t="n"/>
      <c r="F1249" s="3" t="n"/>
      <c r="G1249" s="3" t="n"/>
      <c r="H1249" s="3" t="inlineStr"/>
      <c r="I1249" s="3" t="n"/>
      <c r="J1249" s="3" t="n"/>
      <c r="K1249" s="3" t="n"/>
      <c r="L1249" s="3" t="inlineStr"/>
      <c r="M1249" s="3" t="n"/>
      <c r="N1249" s="3" t="inlineStr"/>
      <c r="O1249" s="3" t="n"/>
      <c r="P1249" s="3" t="n"/>
      <c r="Q1249" s="3" t="n"/>
      <c r="R1249" s="3" t="n"/>
      <c r="S1249" s="3" t="n"/>
      <c r="T1249" s="3" t="n"/>
      <c r="U1249" s="3" t="n"/>
      <c r="V1249" s="3" t="n"/>
      <c r="W1249" s="3" t="n"/>
      <c r="X1249" s="3" t="n"/>
      <c r="Y1249" s="3" t="n"/>
      <c r="Z1249" s="3" t="n"/>
      <c r="AA1249" s="3" t="n"/>
    </row>
    <row r="1250">
      <c r="A1250" s="105" t="n"/>
      <c r="B1250" s="105" t="n"/>
      <c r="C1250" s="3" t="n"/>
      <c r="D1250" s="3" t="n"/>
      <c r="E1250" s="3" t="n"/>
      <c r="F1250" s="3" t="n"/>
      <c r="G1250" s="3" t="n"/>
      <c r="H1250" s="3" t="inlineStr"/>
      <c r="I1250" s="3" t="n"/>
      <c r="J1250" s="3" t="n"/>
      <c r="K1250" s="3" t="n"/>
      <c r="L1250" s="3" t="inlineStr"/>
      <c r="M1250" s="3" t="n"/>
      <c r="N1250" s="3" t="inlineStr"/>
      <c r="O1250" s="3" t="n"/>
      <c r="P1250" s="3" t="n"/>
      <c r="Q1250" s="3" t="n"/>
      <c r="R1250" s="3" t="n"/>
      <c r="S1250" s="3" t="n"/>
      <c r="T1250" s="3" t="n"/>
      <c r="U1250" s="3" t="n"/>
      <c r="V1250" s="3" t="n"/>
      <c r="W1250" s="3" t="n"/>
      <c r="X1250" s="3" t="n"/>
      <c r="Y1250" s="3" t="n"/>
      <c r="Z1250" s="3" t="n"/>
      <c r="AA1250" s="3" t="n"/>
    </row>
    <row r="1251">
      <c r="A1251" s="105" t="n"/>
      <c r="B1251" s="105" t="n"/>
      <c r="C1251" s="3" t="n"/>
      <c r="D1251" s="3" t="n"/>
      <c r="E1251" s="3" t="n"/>
      <c r="F1251" s="3" t="n"/>
      <c r="G1251" s="3" t="n"/>
      <c r="H1251" s="3" t="inlineStr"/>
      <c r="I1251" s="3" t="n"/>
      <c r="J1251" s="3" t="n"/>
      <c r="K1251" s="3" t="n"/>
      <c r="L1251" s="3" t="inlineStr"/>
      <c r="M1251" s="3" t="n"/>
      <c r="N1251" s="3" t="inlineStr"/>
      <c r="O1251" s="3" t="n"/>
      <c r="P1251" s="3" t="n"/>
      <c r="Q1251" s="3" t="n"/>
      <c r="R1251" s="3" t="n"/>
      <c r="S1251" s="3" t="n"/>
      <c r="T1251" s="3" t="n"/>
      <c r="U1251" s="3" t="n"/>
      <c r="V1251" s="3" t="n"/>
      <c r="W1251" s="3" t="n"/>
      <c r="X1251" s="3" t="n"/>
      <c r="Y1251" s="3" t="n"/>
      <c r="Z1251" s="3" t="n"/>
      <c r="AA1251" s="3" t="n"/>
    </row>
    <row r="1252">
      <c r="A1252" s="105" t="n"/>
      <c r="B1252" s="105" t="n"/>
      <c r="C1252" s="3" t="n"/>
      <c r="D1252" s="3" t="n"/>
      <c r="E1252" s="3" t="n"/>
      <c r="F1252" s="3" t="n"/>
      <c r="G1252" s="3" t="n"/>
      <c r="H1252" s="3" t="inlineStr"/>
      <c r="I1252" s="3" t="n"/>
      <c r="J1252" s="3" t="n"/>
      <c r="K1252" s="3" t="n"/>
      <c r="L1252" s="3" t="inlineStr"/>
      <c r="M1252" s="3" t="n"/>
      <c r="N1252" s="3" t="inlineStr"/>
      <c r="O1252" s="3" t="n"/>
      <c r="P1252" s="3" t="n"/>
      <c r="Q1252" s="3" t="n"/>
      <c r="R1252" s="3" t="n"/>
      <c r="S1252" s="3" t="n"/>
      <c r="T1252" s="3" t="n"/>
      <c r="U1252" s="3" t="n"/>
      <c r="V1252" s="3" t="n"/>
      <c r="W1252" s="3" t="n"/>
      <c r="X1252" s="3" t="n"/>
      <c r="Y1252" s="3" t="n"/>
      <c r="Z1252" s="3" t="n"/>
      <c r="AA1252" s="3" t="n"/>
    </row>
    <row r="1253">
      <c r="A1253" s="105" t="n"/>
      <c r="B1253" s="105" t="n"/>
      <c r="C1253" s="3" t="n"/>
      <c r="D1253" s="3" t="n"/>
      <c r="E1253" s="3" t="n"/>
      <c r="F1253" s="3" t="n"/>
      <c r="G1253" s="3" t="n"/>
      <c r="H1253" s="3" t="inlineStr"/>
      <c r="I1253" s="3" t="n"/>
      <c r="J1253" s="3" t="n"/>
      <c r="K1253" s="3" t="n"/>
      <c r="L1253" s="3" t="inlineStr"/>
      <c r="M1253" s="3" t="n"/>
      <c r="N1253" s="3" t="inlineStr"/>
      <c r="O1253" s="3" t="n"/>
      <c r="P1253" s="3" t="n"/>
      <c r="Q1253" s="3" t="n"/>
      <c r="R1253" s="3" t="n"/>
      <c r="S1253" s="3" t="n"/>
      <c r="T1253" s="3" t="n"/>
      <c r="U1253" s="3" t="n"/>
      <c r="V1253" s="3" t="n"/>
      <c r="W1253" s="3" t="n"/>
      <c r="X1253" s="3" t="n"/>
      <c r="Y1253" s="3" t="n"/>
      <c r="Z1253" s="3" t="n"/>
      <c r="AA1253" s="3" t="n"/>
    </row>
    <row r="1254">
      <c r="A1254" s="105" t="n"/>
      <c r="B1254" s="105" t="n"/>
      <c r="C1254" s="3" t="n"/>
      <c r="D1254" s="3" t="n"/>
      <c r="E1254" s="3" t="n"/>
      <c r="F1254" s="3" t="n"/>
      <c r="G1254" s="3" t="n"/>
      <c r="H1254" s="3" t="inlineStr"/>
      <c r="I1254" s="3" t="n"/>
      <c r="J1254" s="3" t="n"/>
      <c r="K1254" s="3" t="n"/>
      <c r="L1254" s="3" t="inlineStr"/>
      <c r="M1254" s="3" t="n"/>
      <c r="N1254" s="3" t="inlineStr"/>
      <c r="O1254" s="3" t="n"/>
      <c r="P1254" s="3" t="n"/>
      <c r="Q1254" s="3" t="n"/>
      <c r="R1254" s="3" t="n"/>
      <c r="S1254" s="3" t="n"/>
      <c r="T1254" s="3" t="n"/>
      <c r="U1254" s="3" t="n"/>
      <c r="V1254" s="3" t="n"/>
      <c r="W1254" s="3" t="n"/>
      <c r="X1254" s="3" t="n"/>
      <c r="Y1254" s="3" t="n"/>
      <c r="Z1254" s="3" t="n"/>
      <c r="AA1254" s="3" t="n"/>
    </row>
    <row r="1255">
      <c r="A1255" s="105" t="n"/>
      <c r="B1255" s="105" t="n"/>
      <c r="C1255" s="3" t="n"/>
      <c r="D1255" s="3" t="n"/>
      <c r="E1255" s="3" t="n"/>
      <c r="F1255" s="3" t="n"/>
      <c r="G1255" s="3" t="n"/>
      <c r="H1255" s="3" t="inlineStr"/>
      <c r="I1255" s="3" t="n"/>
      <c r="J1255" s="3" t="n"/>
      <c r="K1255" s="3" t="n"/>
      <c r="L1255" s="3" t="inlineStr"/>
      <c r="M1255" s="3" t="n"/>
      <c r="N1255" s="3" t="inlineStr"/>
      <c r="O1255" s="3" t="n"/>
      <c r="P1255" s="3" t="n"/>
      <c r="Q1255" s="3" t="n"/>
      <c r="R1255" s="3" t="n"/>
      <c r="S1255" s="3" t="n"/>
      <c r="T1255" s="3" t="n"/>
      <c r="U1255" s="3" t="n"/>
      <c r="V1255" s="3" t="n"/>
      <c r="W1255" s="3" t="n"/>
      <c r="X1255" s="3" t="n"/>
      <c r="Y1255" s="3" t="n"/>
      <c r="Z1255" s="3" t="n"/>
      <c r="AA1255" s="3" t="n"/>
    </row>
    <row r="1256">
      <c r="A1256" s="105" t="n"/>
      <c r="B1256" s="105" t="n"/>
      <c r="C1256" s="3" t="n"/>
      <c r="D1256" s="3" t="n"/>
      <c r="E1256" s="3" t="n"/>
      <c r="F1256" s="3" t="n"/>
      <c r="G1256" s="3" t="n"/>
      <c r="H1256" s="3" t="inlineStr"/>
      <c r="I1256" s="3" t="n"/>
      <c r="J1256" s="3" t="n"/>
      <c r="K1256" s="3" t="n"/>
      <c r="L1256" s="3" t="inlineStr"/>
      <c r="M1256" s="3" t="n"/>
      <c r="N1256" s="3" t="inlineStr"/>
      <c r="O1256" s="3" t="n"/>
      <c r="P1256" s="3" t="n"/>
      <c r="Q1256" s="3" t="n"/>
      <c r="R1256" s="3" t="n"/>
      <c r="S1256" s="3" t="n"/>
      <c r="T1256" s="3" t="n"/>
      <c r="U1256" s="3" t="n"/>
      <c r="V1256" s="3" t="n"/>
      <c r="W1256" s="3" t="n"/>
      <c r="X1256" s="3" t="n"/>
      <c r="Y1256" s="3" t="n"/>
      <c r="Z1256" s="3" t="n"/>
      <c r="AA1256" s="3" t="n"/>
    </row>
    <row r="1257">
      <c r="A1257" s="105" t="n"/>
      <c r="B1257" s="105" t="n"/>
      <c r="C1257" s="3" t="n"/>
      <c r="D1257" s="3" t="n"/>
      <c r="E1257" s="3" t="n"/>
      <c r="F1257" s="3" t="n"/>
      <c r="G1257" s="3" t="n"/>
      <c r="H1257" s="3" t="inlineStr"/>
      <c r="I1257" s="3" t="n"/>
      <c r="J1257" s="3" t="n"/>
      <c r="K1257" s="3" t="n"/>
      <c r="L1257" s="3" t="inlineStr"/>
      <c r="M1257" s="3" t="n"/>
      <c r="N1257" s="3" t="inlineStr"/>
      <c r="O1257" s="3" t="n"/>
      <c r="P1257" s="3" t="n"/>
      <c r="Q1257" s="3" t="n"/>
      <c r="R1257" s="3" t="n"/>
      <c r="S1257" s="3" t="n"/>
      <c r="T1257" s="3" t="n"/>
      <c r="U1257" s="3" t="n"/>
      <c r="V1257" s="3" t="n"/>
      <c r="W1257" s="3" t="n"/>
      <c r="X1257" s="3" t="n"/>
      <c r="Y1257" s="3" t="n"/>
      <c r="Z1257" s="3" t="n"/>
      <c r="AA1257" s="3" t="n"/>
    </row>
    <row r="1258">
      <c r="A1258" s="105" t="n"/>
      <c r="B1258" s="105" t="n"/>
      <c r="C1258" s="3" t="n"/>
      <c r="D1258" s="3" t="n"/>
      <c r="E1258" s="3" t="n"/>
      <c r="F1258" s="3" t="n"/>
      <c r="G1258" s="3" t="n"/>
      <c r="H1258" s="3" t="inlineStr"/>
      <c r="I1258" s="3" t="n"/>
      <c r="J1258" s="3" t="n"/>
      <c r="K1258" s="3" t="n"/>
      <c r="L1258" s="3" t="inlineStr"/>
      <c r="M1258" s="3" t="n"/>
      <c r="N1258" s="3" t="inlineStr"/>
      <c r="O1258" s="3" t="n"/>
      <c r="P1258" s="3" t="n"/>
      <c r="Q1258" s="3" t="n"/>
      <c r="R1258" s="3" t="n"/>
      <c r="S1258" s="3" t="n"/>
      <c r="T1258" s="3" t="n"/>
      <c r="U1258" s="3" t="n"/>
      <c r="V1258" s="3" t="n"/>
      <c r="W1258" s="3" t="n"/>
      <c r="X1258" s="3" t="n"/>
      <c r="Y1258" s="3" t="n"/>
      <c r="Z1258" s="3" t="n"/>
      <c r="AA1258" s="3" t="n"/>
    </row>
    <row r="1259">
      <c r="A1259" s="105" t="n"/>
      <c r="B1259" s="105" t="n"/>
      <c r="C1259" s="3" t="n"/>
      <c r="D1259" s="3" t="n"/>
      <c r="E1259" s="3" t="n"/>
      <c r="F1259" s="3" t="n"/>
      <c r="G1259" s="3" t="n"/>
      <c r="H1259" s="3" t="inlineStr"/>
      <c r="I1259" s="3" t="n"/>
      <c r="J1259" s="3" t="n"/>
      <c r="K1259" s="3" t="n"/>
      <c r="L1259" s="3" t="inlineStr"/>
      <c r="M1259" s="3" t="n"/>
      <c r="N1259" s="3" t="inlineStr"/>
      <c r="O1259" s="3" t="n"/>
      <c r="P1259" s="3" t="n"/>
      <c r="Q1259" s="3" t="n"/>
      <c r="R1259" s="3" t="n"/>
      <c r="S1259" s="3" t="n"/>
      <c r="T1259" s="3" t="n"/>
      <c r="U1259" s="3" t="n"/>
      <c r="V1259" s="3" t="n"/>
      <c r="W1259" s="3" t="n"/>
      <c r="X1259" s="3" t="n"/>
      <c r="Y1259" s="3" t="n"/>
      <c r="Z1259" s="3" t="n"/>
      <c r="AA1259" s="3" t="n"/>
    </row>
    <row r="1260">
      <c r="A1260" s="105" t="n"/>
      <c r="B1260" s="105" t="n"/>
      <c r="C1260" s="3" t="n"/>
      <c r="D1260" s="3" t="n"/>
      <c r="E1260" s="3" t="n"/>
      <c r="F1260" s="3" t="n"/>
      <c r="G1260" s="3" t="n"/>
      <c r="H1260" s="3" t="inlineStr"/>
      <c r="I1260" s="3" t="n"/>
      <c r="J1260" s="3" t="n"/>
      <c r="K1260" s="3" t="n"/>
      <c r="L1260" s="3" t="inlineStr"/>
      <c r="M1260" s="3" t="n"/>
      <c r="N1260" s="3" t="inlineStr"/>
      <c r="O1260" s="3" t="n"/>
      <c r="P1260" s="3" t="n"/>
      <c r="Q1260" s="3" t="n"/>
      <c r="R1260" s="3" t="n"/>
      <c r="S1260" s="3" t="n"/>
      <c r="T1260" s="3" t="n"/>
      <c r="U1260" s="3" t="n"/>
      <c r="V1260" s="3" t="n"/>
      <c r="W1260" s="3" t="n"/>
      <c r="X1260" s="3" t="n"/>
      <c r="Y1260" s="3" t="n"/>
      <c r="Z1260" s="3" t="n"/>
      <c r="AA1260" s="3" t="n"/>
    </row>
    <row r="1261">
      <c r="A1261" s="105" t="n"/>
      <c r="B1261" s="105" t="n"/>
      <c r="C1261" s="3" t="n"/>
      <c r="D1261" s="3" t="n"/>
      <c r="E1261" s="3" t="n"/>
      <c r="F1261" s="3" t="n"/>
      <c r="G1261" s="3" t="n"/>
      <c r="H1261" s="3" t="inlineStr"/>
      <c r="I1261" s="3" t="n"/>
      <c r="J1261" s="3" t="n"/>
      <c r="K1261" s="3" t="n"/>
      <c r="L1261" s="3" t="inlineStr"/>
      <c r="M1261" s="3" t="n"/>
      <c r="N1261" s="3" t="inlineStr"/>
      <c r="O1261" s="3" t="n"/>
      <c r="P1261" s="3" t="n"/>
      <c r="Q1261" s="3" t="n"/>
      <c r="R1261" s="3" t="n"/>
      <c r="S1261" s="3" t="n"/>
      <c r="T1261" s="3" t="n"/>
      <c r="U1261" s="3" t="n"/>
      <c r="V1261" s="3" t="n"/>
      <c r="W1261" s="3" t="n"/>
      <c r="X1261" s="3" t="n"/>
      <c r="Y1261" s="3" t="n"/>
      <c r="Z1261" s="3" t="n"/>
      <c r="AA1261" s="3" t="n"/>
    </row>
    <row r="1262">
      <c r="A1262" s="105" t="n"/>
      <c r="B1262" s="105" t="n"/>
      <c r="C1262" s="3" t="n"/>
      <c r="D1262" s="3" t="n"/>
      <c r="E1262" s="3" t="n"/>
      <c r="F1262" s="3" t="n"/>
      <c r="G1262" s="3" t="n"/>
      <c r="H1262" s="3" t="inlineStr"/>
      <c r="I1262" s="3" t="n"/>
      <c r="J1262" s="3" t="n"/>
      <c r="K1262" s="3" t="n"/>
      <c r="L1262" s="3" t="inlineStr"/>
      <c r="M1262" s="3" t="n"/>
      <c r="N1262" s="3" t="inlineStr"/>
      <c r="O1262" s="3" t="n"/>
      <c r="P1262" s="3" t="n"/>
      <c r="Q1262" s="3" t="n"/>
      <c r="R1262" s="3" t="n"/>
      <c r="S1262" s="3" t="n"/>
      <c r="T1262" s="3" t="n"/>
      <c r="U1262" s="3" t="n"/>
      <c r="V1262" s="3" t="n"/>
      <c r="W1262" s="3" t="n"/>
      <c r="X1262" s="3" t="n"/>
      <c r="Y1262" s="3" t="n"/>
      <c r="Z1262" s="3" t="n"/>
      <c r="AA1262" s="3" t="n"/>
    </row>
    <row r="1263">
      <c r="A1263" s="105" t="n"/>
      <c r="B1263" s="105" t="n"/>
      <c r="C1263" s="3" t="n"/>
      <c r="D1263" s="3" t="n"/>
      <c r="E1263" s="3" t="n"/>
      <c r="F1263" s="3" t="n"/>
      <c r="G1263" s="3" t="n"/>
      <c r="H1263" s="3" t="inlineStr"/>
      <c r="I1263" s="3" t="n"/>
      <c r="J1263" s="3" t="n"/>
      <c r="K1263" s="3" t="n"/>
      <c r="L1263" s="3" t="inlineStr"/>
      <c r="M1263" s="3" t="n"/>
      <c r="N1263" s="3" t="inlineStr"/>
      <c r="O1263" s="3" t="n"/>
      <c r="P1263" s="3" t="n"/>
      <c r="Q1263" s="3" t="n"/>
      <c r="R1263" s="3" t="n"/>
      <c r="S1263" s="3" t="n"/>
      <c r="T1263" s="3" t="n"/>
      <c r="U1263" s="3" t="n"/>
      <c r="V1263" s="3" t="n"/>
      <c r="W1263" s="3" t="n"/>
      <c r="X1263" s="3" t="n"/>
      <c r="Y1263" s="3" t="n"/>
      <c r="Z1263" s="3" t="n"/>
      <c r="AA1263" s="3" t="n"/>
    </row>
    <row r="1264">
      <c r="A1264" s="105" t="n"/>
      <c r="B1264" s="105" t="n"/>
      <c r="C1264" s="3" t="n"/>
      <c r="D1264" s="3" t="n"/>
      <c r="E1264" s="3" t="n"/>
      <c r="F1264" s="3" t="n"/>
      <c r="G1264" s="3" t="n"/>
      <c r="H1264" s="3" t="inlineStr"/>
      <c r="I1264" s="3" t="n"/>
      <c r="J1264" s="3" t="n"/>
      <c r="K1264" s="3" t="n"/>
      <c r="L1264" s="3" t="inlineStr"/>
      <c r="M1264" s="3" t="n"/>
      <c r="N1264" s="3" t="inlineStr"/>
      <c r="O1264" s="3" t="n"/>
      <c r="P1264" s="3" t="n"/>
      <c r="Q1264" s="3" t="n"/>
      <c r="R1264" s="3" t="n"/>
      <c r="S1264" s="3" t="n"/>
      <c r="T1264" s="3" t="n"/>
      <c r="U1264" s="3" t="n"/>
      <c r="V1264" s="3" t="n"/>
      <c r="W1264" s="3" t="n"/>
      <c r="X1264" s="3" t="n"/>
      <c r="Y1264" s="3" t="n"/>
      <c r="Z1264" s="3" t="n"/>
      <c r="AA1264" s="3" t="n"/>
    </row>
    <row r="1265">
      <c r="A1265" s="105" t="n"/>
      <c r="B1265" s="105" t="n"/>
      <c r="C1265" s="3" t="n"/>
      <c r="D1265" s="3" t="n"/>
      <c r="E1265" s="3" t="n"/>
      <c r="F1265" s="3" t="n"/>
      <c r="G1265" s="3" t="n"/>
      <c r="H1265" s="3" t="inlineStr"/>
      <c r="I1265" s="3" t="n"/>
      <c r="J1265" s="3" t="n"/>
      <c r="K1265" s="3" t="n"/>
      <c r="L1265" s="3" t="inlineStr"/>
      <c r="M1265" s="3" t="n"/>
      <c r="N1265" s="3" t="inlineStr"/>
      <c r="O1265" s="3" t="n"/>
      <c r="P1265" s="3" t="n"/>
      <c r="Q1265" s="3" t="n"/>
      <c r="R1265" s="3" t="n"/>
      <c r="S1265" s="3" t="n"/>
      <c r="T1265" s="3" t="n"/>
      <c r="U1265" s="3" t="n"/>
      <c r="V1265" s="3" t="n"/>
      <c r="W1265" s="3" t="n"/>
      <c r="X1265" s="3" t="n"/>
      <c r="Y1265" s="3" t="n"/>
      <c r="Z1265" s="3" t="n"/>
      <c r="AA1265" s="3" t="n"/>
    </row>
    <row r="1266">
      <c r="A1266" s="105" t="n"/>
      <c r="B1266" s="105" t="n"/>
      <c r="C1266" s="3" t="n"/>
      <c r="D1266" s="3" t="n"/>
      <c r="E1266" s="3" t="n"/>
      <c r="F1266" s="3" t="n"/>
      <c r="G1266" s="3" t="n"/>
      <c r="H1266" s="3" t="inlineStr"/>
      <c r="I1266" s="3" t="n"/>
      <c r="J1266" s="3" t="n"/>
      <c r="K1266" s="3" t="n"/>
      <c r="L1266" s="3" t="inlineStr"/>
      <c r="M1266" s="3" t="n"/>
      <c r="N1266" s="3" t="inlineStr"/>
      <c r="O1266" s="3" t="n"/>
      <c r="P1266" s="3" t="n"/>
      <c r="Q1266" s="3" t="n"/>
      <c r="R1266" s="3" t="n"/>
      <c r="S1266" s="3" t="n"/>
      <c r="T1266" s="3" t="n"/>
      <c r="U1266" s="3" t="n"/>
      <c r="V1266" s="3" t="n"/>
      <c r="W1266" s="3" t="n"/>
      <c r="X1266" s="3" t="n"/>
      <c r="Y1266" s="3" t="n"/>
      <c r="Z1266" s="3" t="n"/>
      <c r="AA1266" s="3" t="n"/>
    </row>
    <row r="1267">
      <c r="A1267" s="105" t="n"/>
      <c r="B1267" s="105" t="n"/>
      <c r="C1267" s="3" t="n"/>
      <c r="D1267" s="3" t="n"/>
      <c r="E1267" s="3" t="n"/>
      <c r="F1267" s="3" t="n"/>
      <c r="G1267" s="3" t="n"/>
      <c r="H1267" s="3" t="inlineStr"/>
      <c r="I1267" s="3" t="n"/>
      <c r="J1267" s="3" t="n"/>
      <c r="K1267" s="3" t="n"/>
      <c r="L1267" s="3" t="inlineStr"/>
      <c r="M1267" s="3" t="n"/>
      <c r="N1267" s="3" t="inlineStr"/>
      <c r="O1267" s="3" t="n"/>
      <c r="P1267" s="3" t="n"/>
      <c r="Q1267" s="3" t="n"/>
      <c r="R1267" s="3" t="n"/>
      <c r="S1267" s="3" t="n"/>
      <c r="T1267" s="3" t="n"/>
      <c r="U1267" s="3" t="n"/>
      <c r="V1267" s="3" t="n"/>
      <c r="W1267" s="3" t="n"/>
      <c r="X1267" s="3" t="n"/>
      <c r="Y1267" s="3" t="n"/>
      <c r="Z1267" s="3" t="n"/>
      <c r="AA1267" s="3" t="n"/>
    </row>
    <row r="1268">
      <c r="A1268" s="105" t="n"/>
      <c r="B1268" s="105" t="n"/>
      <c r="C1268" s="3" t="n"/>
      <c r="D1268" s="3" t="n"/>
      <c r="E1268" s="3" t="n"/>
      <c r="F1268" s="3" t="n"/>
      <c r="G1268" s="3" t="n"/>
      <c r="H1268" s="3" t="inlineStr"/>
      <c r="I1268" s="3" t="n"/>
      <c r="J1268" s="3" t="n"/>
      <c r="K1268" s="3" t="n"/>
      <c r="L1268" s="3" t="inlineStr"/>
      <c r="M1268" s="3" t="n"/>
      <c r="N1268" s="3" t="inlineStr"/>
      <c r="O1268" s="3" t="n"/>
      <c r="P1268" s="3" t="n"/>
      <c r="Q1268" s="3" t="n"/>
      <c r="R1268" s="3" t="n"/>
      <c r="S1268" s="3" t="n"/>
      <c r="T1268" s="3" t="n"/>
      <c r="U1268" s="3" t="n"/>
      <c r="V1268" s="3" t="n"/>
      <c r="W1268" s="3" t="n"/>
      <c r="X1268" s="3" t="n"/>
      <c r="Y1268" s="3" t="n"/>
      <c r="Z1268" s="3" t="n"/>
      <c r="AA1268" s="3" t="n"/>
    </row>
    <row r="1269">
      <c r="A1269" s="105" t="n"/>
      <c r="B1269" s="105" t="n"/>
      <c r="C1269" s="3" t="n"/>
      <c r="D1269" s="3" t="n"/>
      <c r="E1269" s="3" t="n"/>
      <c r="F1269" s="3" t="n"/>
      <c r="G1269" s="3" t="n"/>
      <c r="H1269" s="3" t="inlineStr"/>
      <c r="I1269" s="3" t="n"/>
      <c r="J1269" s="3" t="n"/>
      <c r="K1269" s="3" t="n"/>
      <c r="L1269" s="3" t="inlineStr"/>
      <c r="M1269" s="3" t="n"/>
      <c r="N1269" s="3" t="inlineStr"/>
      <c r="O1269" s="3" t="n"/>
      <c r="P1269" s="3" t="n"/>
      <c r="Q1269" s="3" t="n"/>
      <c r="R1269" s="3" t="n"/>
      <c r="S1269" s="3" t="n"/>
      <c r="T1269" s="3" t="n"/>
      <c r="U1269" s="3" t="n"/>
      <c r="V1269" s="3" t="n"/>
      <c r="W1269" s="3" t="n"/>
      <c r="X1269" s="3" t="n"/>
      <c r="Y1269" s="3" t="n"/>
      <c r="Z1269" s="3" t="n"/>
      <c r="AA1269" s="3" t="n"/>
    </row>
    <row r="1270">
      <c r="A1270" s="105" t="n"/>
      <c r="B1270" s="105" t="n"/>
      <c r="C1270" s="3" t="n"/>
      <c r="D1270" s="3" t="n"/>
      <c r="E1270" s="3" t="n"/>
      <c r="F1270" s="3" t="n"/>
      <c r="G1270" s="3" t="n"/>
      <c r="H1270" s="3" t="inlineStr"/>
      <c r="I1270" s="3" t="n"/>
      <c r="J1270" s="3" t="n"/>
      <c r="K1270" s="3" t="n"/>
      <c r="L1270" s="3" t="inlineStr"/>
      <c r="M1270" s="3" t="n"/>
      <c r="N1270" s="3" t="inlineStr"/>
      <c r="O1270" s="3" t="n"/>
      <c r="P1270" s="3" t="n"/>
      <c r="Q1270" s="3" t="n"/>
      <c r="R1270" s="3" t="n"/>
      <c r="S1270" s="3" t="n"/>
      <c r="T1270" s="3" t="n"/>
      <c r="U1270" s="3" t="n"/>
      <c r="V1270" s="3" t="n"/>
      <c r="W1270" s="3" t="n"/>
      <c r="X1270" s="3" t="n"/>
      <c r="Y1270" s="3" t="n"/>
      <c r="Z1270" s="3" t="n"/>
      <c r="AA1270" s="3" t="n"/>
    </row>
    <row r="1271">
      <c r="A1271" s="105" t="n"/>
      <c r="B1271" s="105" t="n"/>
      <c r="C1271" s="3" t="n"/>
      <c r="D1271" s="3" t="n"/>
      <c r="E1271" s="3" t="n"/>
      <c r="F1271" s="3" t="n"/>
      <c r="G1271" s="3" t="n"/>
      <c r="H1271" s="3" t="inlineStr"/>
      <c r="I1271" s="3" t="n"/>
      <c r="J1271" s="3" t="n"/>
      <c r="K1271" s="3" t="n"/>
      <c r="L1271" s="3" t="inlineStr"/>
      <c r="M1271" s="3" t="n"/>
      <c r="N1271" s="3" t="inlineStr"/>
      <c r="O1271" s="3" t="n"/>
      <c r="P1271" s="3" t="n"/>
      <c r="Q1271" s="3" t="n"/>
      <c r="R1271" s="3" t="n"/>
      <c r="S1271" s="3" t="n"/>
      <c r="T1271" s="3" t="n"/>
      <c r="U1271" s="3" t="n"/>
      <c r="V1271" s="3" t="n"/>
      <c r="W1271" s="3" t="n"/>
      <c r="X1271" s="3" t="n"/>
      <c r="Y1271" s="3" t="n"/>
      <c r="Z1271" s="3" t="n"/>
      <c r="AA1271" s="3" t="n"/>
    </row>
    <row r="1272">
      <c r="A1272" s="105" t="n"/>
      <c r="B1272" s="105" t="n"/>
      <c r="C1272" s="3" t="n"/>
      <c r="D1272" s="3" t="n"/>
      <c r="E1272" s="3" t="n"/>
      <c r="F1272" s="3" t="n"/>
      <c r="G1272" s="3" t="n"/>
      <c r="H1272" s="3" t="inlineStr"/>
      <c r="I1272" s="3" t="n"/>
      <c r="J1272" s="3" t="n"/>
      <c r="K1272" s="3" t="n"/>
      <c r="L1272" s="3" t="inlineStr"/>
      <c r="M1272" s="3" t="n"/>
      <c r="N1272" s="3" t="inlineStr"/>
      <c r="O1272" s="3" t="n"/>
      <c r="P1272" s="3" t="n"/>
      <c r="Q1272" s="3" t="n"/>
      <c r="R1272" s="3" t="n"/>
      <c r="S1272" s="3" t="n"/>
      <c r="T1272" s="3" t="n"/>
      <c r="U1272" s="3" t="n"/>
      <c r="V1272" s="3" t="n"/>
      <c r="W1272" s="3" t="n"/>
      <c r="X1272" s="3" t="n"/>
      <c r="Y1272" s="3" t="n"/>
      <c r="Z1272" s="3" t="n"/>
      <c r="AA1272" s="3" t="n"/>
    </row>
    <row r="1273">
      <c r="A1273" s="105" t="n"/>
      <c r="B1273" s="105" t="n"/>
      <c r="C1273" s="3" t="n"/>
      <c r="D1273" s="3" t="n"/>
      <c r="E1273" s="3" t="n"/>
      <c r="F1273" s="3" t="n"/>
      <c r="G1273" s="3" t="n"/>
      <c r="H1273" s="3" t="inlineStr"/>
      <c r="I1273" s="3" t="n"/>
      <c r="J1273" s="3" t="n"/>
      <c r="K1273" s="3" t="n"/>
      <c r="L1273" s="3" t="inlineStr"/>
      <c r="M1273" s="3" t="n"/>
      <c r="N1273" s="3" t="inlineStr"/>
      <c r="O1273" s="3" t="n"/>
      <c r="P1273" s="3" t="n"/>
      <c r="Q1273" s="3" t="n"/>
      <c r="R1273" s="3" t="n"/>
      <c r="S1273" s="3" t="n"/>
      <c r="T1273" s="3" t="n"/>
      <c r="U1273" s="3" t="n"/>
      <c r="V1273" s="3" t="n"/>
      <c r="W1273" s="3" t="n"/>
      <c r="X1273" s="3" t="n"/>
      <c r="Y1273" s="3" t="n"/>
      <c r="Z1273" s="3" t="n"/>
      <c r="AA1273" s="3" t="n"/>
    </row>
    <row r="1274">
      <c r="A1274" s="105" t="n"/>
      <c r="B1274" s="105" t="n"/>
      <c r="C1274" s="3" t="n"/>
      <c r="D1274" s="3" t="n"/>
      <c r="E1274" s="3" t="n"/>
      <c r="F1274" s="3" t="n"/>
      <c r="G1274" s="3" t="n"/>
      <c r="H1274" s="3" t="inlineStr"/>
      <c r="I1274" s="3" t="n"/>
      <c r="J1274" s="3" t="n"/>
      <c r="K1274" s="3" t="n"/>
      <c r="L1274" s="3" t="inlineStr"/>
      <c r="M1274" s="3" t="n"/>
      <c r="N1274" s="3" t="inlineStr"/>
      <c r="O1274" s="3" t="n"/>
      <c r="P1274" s="3" t="n"/>
      <c r="Q1274" s="3" t="n"/>
      <c r="R1274" s="3" t="n"/>
      <c r="S1274" s="3" t="n"/>
      <c r="T1274" s="3" t="n"/>
      <c r="U1274" s="3" t="n"/>
      <c r="V1274" s="3" t="n"/>
      <c r="W1274" s="3" t="n"/>
      <c r="X1274" s="3" t="n"/>
      <c r="Y1274" s="3" t="n"/>
      <c r="Z1274" s="3" t="n"/>
      <c r="AA1274" s="3" t="n"/>
    </row>
    <row r="1275">
      <c r="A1275" s="105" t="n"/>
      <c r="B1275" s="105" t="n"/>
      <c r="C1275" s="3" t="n"/>
      <c r="D1275" s="3" t="n"/>
      <c r="E1275" s="3" t="n"/>
      <c r="F1275" s="3" t="n"/>
      <c r="G1275" s="3" t="n"/>
      <c r="H1275" s="3" t="inlineStr"/>
      <c r="I1275" s="3" t="n"/>
      <c r="J1275" s="3" t="n"/>
      <c r="K1275" s="3" t="n"/>
      <c r="L1275" s="3" t="inlineStr"/>
      <c r="M1275" s="3" t="n"/>
      <c r="N1275" s="3" t="inlineStr"/>
      <c r="O1275" s="3" t="n"/>
      <c r="P1275" s="3" t="n"/>
      <c r="Q1275" s="3" t="n"/>
      <c r="R1275" s="3" t="n"/>
      <c r="S1275" s="3" t="n"/>
      <c r="T1275" s="3" t="n"/>
      <c r="U1275" s="3" t="n"/>
      <c r="V1275" s="3" t="n"/>
      <c r="W1275" s="3" t="n"/>
      <c r="X1275" s="3" t="n"/>
      <c r="Y1275" s="3" t="n"/>
      <c r="Z1275" s="3" t="n"/>
      <c r="AA1275" s="3" t="n"/>
    </row>
    <row r="1276">
      <c r="A1276" s="105" t="n"/>
      <c r="B1276" s="105" t="n"/>
      <c r="C1276" s="3" t="n"/>
      <c r="D1276" s="3" t="n"/>
      <c r="E1276" s="3" t="n"/>
      <c r="F1276" s="3" t="n"/>
      <c r="G1276" s="3" t="n"/>
      <c r="H1276" s="3" t="inlineStr"/>
      <c r="I1276" s="3" t="n"/>
      <c r="J1276" s="3" t="n"/>
      <c r="K1276" s="3" t="n"/>
      <c r="L1276" s="3" t="inlineStr"/>
      <c r="M1276" s="3" t="n"/>
      <c r="N1276" s="3" t="inlineStr"/>
      <c r="O1276" s="3" t="n"/>
      <c r="P1276" s="3" t="n"/>
      <c r="Q1276" s="3" t="n"/>
      <c r="R1276" s="3" t="n"/>
      <c r="S1276" s="3" t="n"/>
      <c r="T1276" s="3" t="n"/>
      <c r="U1276" s="3" t="n"/>
      <c r="V1276" s="3" t="n"/>
      <c r="W1276" s="3" t="n"/>
      <c r="X1276" s="3" t="n"/>
      <c r="Y1276" s="3" t="n"/>
      <c r="Z1276" s="3" t="n"/>
      <c r="AA1276" s="3" t="n"/>
    </row>
    <row r="1277">
      <c r="A1277" s="105" t="n"/>
      <c r="B1277" s="105" t="n"/>
      <c r="C1277" s="3" t="n"/>
      <c r="D1277" s="3" t="n"/>
      <c r="E1277" s="3" t="n"/>
      <c r="F1277" s="3" t="n"/>
      <c r="G1277" s="3" t="n"/>
      <c r="H1277" s="3" t="inlineStr"/>
      <c r="I1277" s="3" t="n"/>
      <c r="J1277" s="3" t="n"/>
      <c r="K1277" s="3" t="n"/>
      <c r="L1277" s="3" t="inlineStr"/>
      <c r="M1277" s="3" t="n"/>
      <c r="N1277" s="3" t="inlineStr"/>
      <c r="O1277" s="3" t="n"/>
      <c r="P1277" s="3" t="n"/>
      <c r="Q1277" s="3" t="n"/>
      <c r="R1277" s="3" t="n"/>
      <c r="S1277" s="3" t="n"/>
      <c r="T1277" s="3" t="n"/>
      <c r="U1277" s="3" t="n"/>
      <c r="V1277" s="3" t="n"/>
      <c r="W1277" s="3" t="n"/>
      <c r="X1277" s="3" t="n"/>
      <c r="Y1277" s="3" t="n"/>
      <c r="Z1277" s="3" t="n"/>
      <c r="AA1277" s="3" t="n"/>
    </row>
    <row r="1278">
      <c r="A1278" s="105" t="n"/>
      <c r="B1278" s="105" t="n"/>
      <c r="C1278" s="3" t="n"/>
      <c r="D1278" s="3" t="n"/>
      <c r="E1278" s="3" t="n"/>
      <c r="F1278" s="3" t="n"/>
      <c r="G1278" s="3" t="n"/>
      <c r="H1278" s="3" t="inlineStr"/>
      <c r="I1278" s="3" t="n"/>
      <c r="J1278" s="3" t="n"/>
      <c r="K1278" s="3" t="n"/>
      <c r="L1278" s="3" t="inlineStr"/>
      <c r="M1278" s="3" t="n"/>
      <c r="N1278" s="3" t="inlineStr"/>
      <c r="O1278" s="3" t="n"/>
      <c r="P1278" s="3" t="n"/>
      <c r="Q1278" s="3" t="n"/>
      <c r="R1278" s="3" t="n"/>
      <c r="S1278" s="3" t="n"/>
      <c r="T1278" s="3" t="n"/>
      <c r="U1278" s="3" t="n"/>
      <c r="V1278" s="3" t="n"/>
      <c r="W1278" s="3" t="n"/>
      <c r="X1278" s="3" t="n"/>
      <c r="Y1278" s="3" t="n"/>
      <c r="Z1278" s="3" t="n"/>
      <c r="AA1278" s="3" t="n"/>
    </row>
    <row r="1279">
      <c r="A1279" s="105" t="n"/>
      <c r="B1279" s="105" t="n"/>
      <c r="C1279" s="3" t="n"/>
      <c r="D1279" s="3" t="n"/>
      <c r="E1279" s="3" t="n"/>
      <c r="F1279" s="3" t="n"/>
      <c r="G1279" s="3" t="n"/>
      <c r="H1279" s="3" t="inlineStr"/>
      <c r="I1279" s="3" t="n"/>
      <c r="J1279" s="3" t="n"/>
      <c r="K1279" s="3" t="n"/>
      <c r="L1279" s="3" t="inlineStr"/>
      <c r="M1279" s="3" t="n"/>
      <c r="N1279" s="3" t="inlineStr"/>
      <c r="O1279" s="3" t="n"/>
      <c r="P1279" s="3" t="n"/>
      <c r="Q1279" s="3" t="n"/>
      <c r="R1279" s="3" t="n"/>
      <c r="S1279" s="3" t="n"/>
      <c r="T1279" s="3" t="n"/>
      <c r="U1279" s="3" t="n"/>
      <c r="V1279" s="3" t="n"/>
      <c r="W1279" s="3" t="n"/>
      <c r="X1279" s="3" t="n"/>
      <c r="Y1279" s="3" t="n"/>
      <c r="Z1279" s="3" t="n"/>
      <c r="AA1279" s="3" t="n"/>
    </row>
    <row r="1280">
      <c r="A1280" s="105" t="n"/>
      <c r="B1280" s="105" t="n"/>
      <c r="C1280" s="3" t="n"/>
      <c r="D1280" s="3" t="n"/>
      <c r="E1280" s="3" t="n"/>
      <c r="F1280" s="3" t="n"/>
      <c r="G1280" s="3" t="n"/>
      <c r="H1280" s="3" t="inlineStr"/>
      <c r="I1280" s="3" t="n"/>
      <c r="J1280" s="3" t="n"/>
      <c r="K1280" s="3" t="n"/>
      <c r="L1280" s="3" t="inlineStr"/>
      <c r="M1280" s="3" t="n"/>
      <c r="N1280" s="3" t="inlineStr"/>
      <c r="O1280" s="3" t="n"/>
      <c r="P1280" s="3" t="n"/>
      <c r="Q1280" s="3" t="n"/>
      <c r="R1280" s="3" t="n"/>
      <c r="S1280" s="3" t="n"/>
      <c r="T1280" s="3" t="n"/>
      <c r="U1280" s="3" t="n"/>
      <c r="V1280" s="3" t="n"/>
      <c r="W1280" s="3" t="n"/>
      <c r="X1280" s="3" t="n"/>
      <c r="Y1280" s="3" t="n"/>
      <c r="Z1280" s="3" t="n"/>
      <c r="AA1280" s="3" t="n"/>
    </row>
    <row r="1281">
      <c r="A1281" s="105" t="n"/>
      <c r="B1281" s="105" t="n"/>
      <c r="C1281" s="3" t="n"/>
      <c r="D1281" s="3" t="n"/>
      <c r="E1281" s="3" t="n"/>
      <c r="F1281" s="3" t="n"/>
      <c r="G1281" s="3" t="n"/>
      <c r="H1281" s="3" t="inlineStr"/>
      <c r="I1281" s="3" t="n"/>
      <c r="J1281" s="3" t="n"/>
      <c r="K1281" s="3" t="n"/>
      <c r="L1281" s="3" t="inlineStr"/>
      <c r="M1281" s="3" t="n"/>
      <c r="N1281" s="3" t="inlineStr"/>
      <c r="O1281" s="3" t="n"/>
      <c r="P1281" s="3" t="n"/>
      <c r="Q1281" s="3" t="n"/>
      <c r="R1281" s="3" t="n"/>
      <c r="S1281" s="3" t="n"/>
      <c r="T1281" s="3" t="n"/>
      <c r="U1281" s="3" t="n"/>
      <c r="V1281" s="3" t="n"/>
      <c r="W1281" s="3" t="n"/>
      <c r="X1281" s="3" t="n"/>
      <c r="Y1281" s="3" t="n"/>
      <c r="Z1281" s="3" t="n"/>
      <c r="AA1281" s="3" t="n"/>
    </row>
    <row r="1282">
      <c r="A1282" s="105" t="n"/>
      <c r="B1282" s="105" t="n"/>
      <c r="C1282" s="3" t="n"/>
      <c r="D1282" s="3" t="n"/>
      <c r="E1282" s="3" t="n"/>
      <c r="F1282" s="3" t="n"/>
      <c r="G1282" s="3" t="n"/>
      <c r="H1282" s="3" t="inlineStr"/>
      <c r="I1282" s="3" t="n"/>
      <c r="J1282" s="3" t="n"/>
      <c r="K1282" s="3" t="n"/>
      <c r="L1282" s="3" t="inlineStr"/>
      <c r="M1282" s="3" t="n"/>
      <c r="N1282" s="3" t="inlineStr"/>
      <c r="O1282" s="3" t="n"/>
      <c r="P1282" s="3" t="n"/>
      <c r="Q1282" s="3" t="n"/>
      <c r="R1282" s="3" t="n"/>
      <c r="S1282" s="3" t="n"/>
      <c r="T1282" s="3" t="n"/>
      <c r="U1282" s="3" t="n"/>
      <c r="V1282" s="3" t="n"/>
      <c r="W1282" s="3" t="n"/>
      <c r="X1282" s="3" t="n"/>
      <c r="Y1282" s="3" t="n"/>
      <c r="Z1282" s="3" t="n"/>
      <c r="AA1282" s="3" t="n"/>
    </row>
    <row r="1283">
      <c r="A1283" s="105" t="n"/>
      <c r="B1283" s="105" t="n"/>
      <c r="C1283" s="3" t="n"/>
      <c r="D1283" s="3" t="n"/>
      <c r="E1283" s="3" t="n"/>
      <c r="F1283" s="3" t="n"/>
      <c r="G1283" s="3" t="n"/>
      <c r="H1283" s="3" t="inlineStr"/>
      <c r="I1283" s="3" t="n"/>
      <c r="J1283" s="3" t="n"/>
      <c r="K1283" s="3" t="n"/>
      <c r="L1283" s="3" t="inlineStr"/>
      <c r="M1283" s="3" t="n"/>
      <c r="N1283" s="3" t="inlineStr"/>
      <c r="O1283" s="3" t="n"/>
      <c r="P1283" s="3" t="n"/>
      <c r="Q1283" s="3" t="n"/>
      <c r="R1283" s="3" t="n"/>
      <c r="S1283" s="3" t="n"/>
      <c r="T1283" s="3" t="n"/>
      <c r="U1283" s="3" t="n"/>
      <c r="V1283" s="3" t="n"/>
      <c r="W1283" s="3" t="n"/>
      <c r="X1283" s="3" t="n"/>
      <c r="Y1283" s="3" t="n"/>
      <c r="Z1283" s="3" t="n"/>
      <c r="AA1283" s="3" t="n"/>
    </row>
    <row r="1284">
      <c r="A1284" s="105" t="n"/>
      <c r="B1284" s="105" t="n"/>
      <c r="C1284" s="3" t="n"/>
      <c r="D1284" s="3" t="n"/>
      <c r="E1284" s="3" t="n"/>
      <c r="F1284" s="3" t="n"/>
      <c r="G1284" s="3" t="n"/>
      <c r="H1284" s="3" t="inlineStr"/>
      <c r="I1284" s="3" t="n"/>
      <c r="J1284" s="3" t="n"/>
      <c r="K1284" s="3" t="n"/>
      <c r="L1284" s="3" t="inlineStr"/>
      <c r="M1284" s="3" t="n"/>
      <c r="N1284" s="3" t="inlineStr"/>
      <c r="O1284" s="3" t="n"/>
      <c r="P1284" s="3" t="n"/>
      <c r="Q1284" s="3" t="n"/>
      <c r="R1284" s="3" t="n"/>
      <c r="S1284" s="3" t="n"/>
      <c r="T1284" s="3" t="n"/>
      <c r="U1284" s="3" t="n"/>
      <c r="V1284" s="3" t="n"/>
      <c r="W1284" s="3" t="n"/>
      <c r="X1284" s="3" t="n"/>
      <c r="Y1284" s="3" t="n"/>
      <c r="Z1284" s="3" t="n"/>
      <c r="AA1284" s="3" t="n"/>
    </row>
    <row r="1285">
      <c r="A1285" s="105" t="n"/>
      <c r="B1285" s="105" t="n"/>
      <c r="C1285" s="3" t="n"/>
      <c r="D1285" s="3" t="n"/>
      <c r="E1285" s="3" t="n"/>
      <c r="F1285" s="3" t="n"/>
      <c r="G1285" s="3" t="n"/>
      <c r="H1285" s="3" t="inlineStr"/>
      <c r="I1285" s="3" t="n"/>
      <c r="J1285" s="3" t="n"/>
      <c r="K1285" s="3" t="n"/>
      <c r="L1285" s="3" t="inlineStr"/>
      <c r="M1285" s="3" t="n"/>
      <c r="N1285" s="3" t="inlineStr"/>
      <c r="O1285" s="3" t="n"/>
      <c r="P1285" s="3" t="n"/>
      <c r="Q1285" s="3" t="n"/>
      <c r="R1285" s="3" t="n"/>
      <c r="S1285" s="3" t="n"/>
      <c r="T1285" s="3" t="n"/>
      <c r="U1285" s="3" t="n"/>
      <c r="V1285" s="3" t="n"/>
      <c r="W1285" s="3" t="n"/>
      <c r="X1285" s="3" t="n"/>
      <c r="Y1285" s="3" t="n"/>
      <c r="Z1285" s="3" t="n"/>
      <c r="AA1285" s="3" t="n"/>
    </row>
    <row r="1286">
      <c r="A1286" s="105" t="n"/>
      <c r="B1286" s="105" t="n"/>
      <c r="C1286" s="3" t="n"/>
      <c r="D1286" s="3" t="n"/>
      <c r="E1286" s="3" t="n"/>
      <c r="F1286" s="3" t="n"/>
      <c r="G1286" s="3" t="n"/>
      <c r="H1286" s="3" t="inlineStr"/>
      <c r="I1286" s="3" t="n"/>
      <c r="J1286" s="3" t="n"/>
      <c r="K1286" s="3" t="n"/>
      <c r="L1286" s="3" t="inlineStr"/>
      <c r="M1286" s="3" t="n"/>
      <c r="N1286" s="3" t="inlineStr"/>
      <c r="O1286" s="3" t="n"/>
      <c r="P1286" s="3" t="n"/>
      <c r="Q1286" s="3" t="n"/>
      <c r="R1286" s="3" t="n"/>
      <c r="S1286" s="3" t="n"/>
      <c r="T1286" s="3" t="n"/>
      <c r="U1286" s="3" t="n"/>
      <c r="V1286" s="3" t="n"/>
      <c r="W1286" s="3" t="n"/>
      <c r="X1286" s="3" t="n"/>
      <c r="Y1286" s="3" t="n"/>
      <c r="Z1286" s="3" t="n"/>
      <c r="AA1286" s="3" t="n"/>
    </row>
    <row r="1287">
      <c r="A1287" s="105" t="n"/>
      <c r="B1287" s="105" t="n"/>
      <c r="C1287" s="3" t="n"/>
      <c r="D1287" s="3" t="n"/>
      <c r="E1287" s="3" t="n"/>
      <c r="F1287" s="3" t="n"/>
      <c r="G1287" s="3" t="n"/>
      <c r="H1287" s="3" t="inlineStr"/>
      <c r="I1287" s="3" t="n"/>
      <c r="J1287" s="3" t="n"/>
      <c r="K1287" s="3" t="n"/>
      <c r="L1287" s="3" t="inlineStr"/>
      <c r="M1287" s="3" t="n"/>
      <c r="N1287" s="3" t="inlineStr"/>
      <c r="O1287" s="3" t="n"/>
      <c r="P1287" s="3" t="n"/>
      <c r="Q1287" s="3" t="n"/>
      <c r="R1287" s="3" t="n"/>
      <c r="S1287" s="3" t="n"/>
      <c r="T1287" s="3" t="n"/>
      <c r="U1287" s="3" t="n"/>
      <c r="V1287" s="3" t="n"/>
      <c r="W1287" s="3" t="n"/>
      <c r="X1287" s="3" t="n"/>
      <c r="Y1287" s="3" t="n"/>
      <c r="Z1287" s="3" t="n"/>
      <c r="AA1287" s="3" t="n"/>
    </row>
    <row r="1288">
      <c r="A1288" s="105" t="n"/>
      <c r="B1288" s="105" t="n"/>
      <c r="C1288" s="3" t="n"/>
      <c r="D1288" s="3" t="n"/>
      <c r="E1288" s="3" t="n"/>
      <c r="F1288" s="3" t="n"/>
      <c r="G1288" s="3" t="n"/>
      <c r="H1288" s="3" t="inlineStr"/>
      <c r="I1288" s="3" t="n"/>
      <c r="J1288" s="3" t="n"/>
      <c r="K1288" s="3" t="n"/>
      <c r="L1288" s="3" t="inlineStr"/>
      <c r="M1288" s="3" t="n"/>
      <c r="N1288" s="3" t="inlineStr"/>
      <c r="O1288" s="3" t="n"/>
      <c r="P1288" s="3" t="n"/>
      <c r="Q1288" s="3" t="n"/>
      <c r="R1288" s="3" t="n"/>
      <c r="S1288" s="3" t="n"/>
      <c r="T1288" s="3" t="n"/>
      <c r="U1288" s="3" t="n"/>
      <c r="V1288" s="3" t="n"/>
      <c r="W1288" s="3" t="n"/>
      <c r="X1288" s="3" t="n"/>
      <c r="Y1288" s="3" t="n"/>
      <c r="Z1288" s="3" t="n"/>
      <c r="AA1288" s="3" t="n"/>
    </row>
    <row r="1289">
      <c r="A1289" s="105" t="n"/>
      <c r="B1289" s="105" t="n"/>
      <c r="C1289" s="3" t="n"/>
      <c r="D1289" s="3" t="n"/>
      <c r="E1289" s="3" t="n"/>
      <c r="F1289" s="3" t="n"/>
      <c r="G1289" s="3" t="n"/>
      <c r="H1289" s="3" t="inlineStr"/>
      <c r="I1289" s="3" t="n"/>
      <c r="J1289" s="3" t="n"/>
      <c r="K1289" s="3" t="n"/>
      <c r="L1289" s="3" t="inlineStr"/>
      <c r="M1289" s="3" t="n"/>
      <c r="N1289" s="3" t="inlineStr"/>
      <c r="O1289" s="3" t="n"/>
      <c r="P1289" s="3" t="n"/>
      <c r="Q1289" s="3" t="n"/>
      <c r="R1289" s="3" t="n"/>
      <c r="S1289" s="3" t="n"/>
      <c r="T1289" s="3" t="n"/>
      <c r="U1289" s="3" t="n"/>
      <c r="V1289" s="3" t="n"/>
      <c r="W1289" s="3" t="n"/>
      <c r="X1289" s="3" t="n"/>
      <c r="Y1289" s="3" t="n"/>
      <c r="Z1289" s="3" t="n"/>
      <c r="AA1289" s="3" t="n"/>
    </row>
    <row r="1290">
      <c r="A1290" s="105" t="n"/>
      <c r="B1290" s="105" t="n"/>
      <c r="C1290" s="3" t="n"/>
      <c r="D1290" s="3" t="n"/>
      <c r="E1290" s="3" t="n"/>
      <c r="F1290" s="3" t="n"/>
      <c r="G1290" s="3" t="n"/>
      <c r="H1290" s="3" t="inlineStr"/>
      <c r="I1290" s="3" t="n"/>
      <c r="J1290" s="3" t="n"/>
      <c r="K1290" s="3" t="n"/>
      <c r="L1290" s="3" t="inlineStr"/>
      <c r="M1290" s="3" t="n"/>
      <c r="N1290" s="3" t="inlineStr"/>
      <c r="O1290" s="3" t="n"/>
      <c r="P1290" s="3" t="n"/>
      <c r="Q1290" s="3" t="n"/>
      <c r="R1290" s="3" t="n"/>
      <c r="S1290" s="3" t="n"/>
      <c r="T1290" s="3" t="n"/>
      <c r="U1290" s="3" t="n"/>
      <c r="V1290" s="3" t="n"/>
      <c r="W1290" s="3" t="n"/>
      <c r="X1290" s="3" t="n"/>
      <c r="Y1290" s="3" t="n"/>
      <c r="Z1290" s="3" t="n"/>
      <c r="AA1290" s="3" t="n"/>
    </row>
    <row r="1291">
      <c r="A1291" s="105" t="n"/>
      <c r="B1291" s="105" t="n"/>
      <c r="C1291" s="3" t="n"/>
      <c r="D1291" s="3" t="n"/>
      <c r="E1291" s="3" t="n"/>
      <c r="F1291" s="3" t="n"/>
      <c r="G1291" s="3" t="n"/>
      <c r="H1291" s="3" t="inlineStr"/>
      <c r="I1291" s="3" t="n"/>
      <c r="J1291" s="3" t="n"/>
      <c r="K1291" s="3" t="n"/>
      <c r="L1291" s="3" t="inlineStr"/>
      <c r="M1291" s="3" t="n"/>
      <c r="N1291" s="3" t="inlineStr"/>
      <c r="O1291" s="3" t="n"/>
      <c r="P1291" s="3" t="n"/>
      <c r="Q1291" s="3" t="n"/>
      <c r="R1291" s="3" t="n"/>
      <c r="S1291" s="3" t="n"/>
      <c r="T1291" s="3" t="n"/>
      <c r="U1291" s="3" t="n"/>
      <c r="V1291" s="3" t="n"/>
      <c r="W1291" s="3" t="n"/>
      <c r="X1291" s="3" t="n"/>
      <c r="Y1291" s="3" t="n"/>
      <c r="Z1291" s="3" t="n"/>
      <c r="AA1291" s="3" t="n"/>
    </row>
    <row r="1292">
      <c r="A1292" s="105" t="n"/>
      <c r="B1292" s="105" t="n"/>
      <c r="C1292" s="3" t="n"/>
      <c r="D1292" s="3" t="n"/>
      <c r="E1292" s="3" t="n"/>
      <c r="F1292" s="3" t="n"/>
      <c r="G1292" s="3" t="n"/>
      <c r="H1292" s="3" t="inlineStr"/>
      <c r="I1292" s="3" t="n"/>
      <c r="J1292" s="3" t="n"/>
      <c r="K1292" s="3" t="n"/>
      <c r="L1292" s="3" t="inlineStr"/>
      <c r="M1292" s="3" t="n"/>
      <c r="N1292" s="3" t="inlineStr"/>
      <c r="O1292" s="3" t="n"/>
      <c r="P1292" s="3" t="n"/>
      <c r="Q1292" s="3" t="n"/>
      <c r="R1292" s="3" t="n"/>
      <c r="S1292" s="3" t="n"/>
      <c r="T1292" s="3" t="n"/>
      <c r="U1292" s="3" t="n"/>
      <c r="V1292" s="3" t="n"/>
      <c r="W1292" s="3" t="n"/>
      <c r="X1292" s="3" t="n"/>
      <c r="Y1292" s="3" t="n"/>
      <c r="Z1292" s="3" t="n"/>
      <c r="AA1292" s="3" t="n"/>
    </row>
    <row r="1293">
      <c r="A1293" s="105" t="n"/>
      <c r="B1293" s="105" t="n"/>
      <c r="C1293" s="3" t="n"/>
      <c r="D1293" s="3" t="n"/>
      <c r="E1293" s="3" t="n"/>
      <c r="F1293" s="3" t="n"/>
      <c r="G1293" s="3" t="n"/>
      <c r="H1293" s="3" t="inlineStr"/>
      <c r="I1293" s="3" t="n"/>
      <c r="J1293" s="3" t="n"/>
      <c r="K1293" s="3" t="n"/>
      <c r="L1293" s="3" t="inlineStr"/>
      <c r="M1293" s="3" t="n"/>
      <c r="N1293" s="3" t="inlineStr"/>
      <c r="O1293" s="3" t="n"/>
      <c r="P1293" s="3" t="n"/>
      <c r="Q1293" s="3" t="n"/>
      <c r="R1293" s="3" t="n"/>
      <c r="S1293" s="3" t="n"/>
      <c r="T1293" s="3" t="n"/>
      <c r="U1293" s="3" t="n"/>
      <c r="V1293" s="3" t="n"/>
      <c r="W1293" s="3" t="n"/>
      <c r="X1293" s="3" t="n"/>
      <c r="Y1293" s="3" t="n"/>
      <c r="Z1293" s="3" t="n"/>
      <c r="AA1293" s="3" t="n"/>
    </row>
    <row r="1294">
      <c r="A1294" s="105" t="n"/>
      <c r="B1294" s="105" t="n"/>
      <c r="C1294" s="3" t="n"/>
      <c r="D1294" s="3" t="n"/>
      <c r="E1294" s="3" t="n"/>
      <c r="F1294" s="3" t="n"/>
      <c r="G1294" s="3" t="n"/>
      <c r="H1294" s="3" t="inlineStr"/>
      <c r="I1294" s="3" t="n"/>
      <c r="J1294" s="3" t="n"/>
      <c r="K1294" s="3" t="n"/>
      <c r="L1294" s="3" t="inlineStr"/>
      <c r="M1294" s="3" t="n"/>
      <c r="N1294" s="3" t="inlineStr"/>
      <c r="O1294" s="3" t="n"/>
      <c r="P1294" s="3" t="n"/>
      <c r="Q1294" s="3" t="n"/>
      <c r="R1294" s="3" t="n"/>
      <c r="S1294" s="3" t="n"/>
      <c r="T1294" s="3" t="n"/>
      <c r="U1294" s="3" t="n"/>
      <c r="V1294" s="3" t="n"/>
      <c r="W1294" s="3" t="n"/>
      <c r="X1294" s="3" t="n"/>
      <c r="Y1294" s="3" t="n"/>
      <c r="Z1294" s="3" t="n"/>
      <c r="AA1294" s="3" t="n"/>
    </row>
    <row r="1295">
      <c r="A1295" s="105" t="n"/>
      <c r="B1295" s="105" t="n"/>
      <c r="C1295" s="3" t="n"/>
      <c r="D1295" s="3" t="n"/>
      <c r="E1295" s="3" t="n"/>
      <c r="F1295" s="3" t="n"/>
      <c r="G1295" s="3" t="n"/>
      <c r="H1295" s="3" t="inlineStr"/>
      <c r="I1295" s="3" t="n"/>
      <c r="J1295" s="3" t="n"/>
      <c r="K1295" s="3" t="n"/>
      <c r="L1295" s="3" t="inlineStr"/>
      <c r="M1295" s="3" t="n"/>
      <c r="N1295" s="3" t="inlineStr"/>
      <c r="O1295" s="3" t="n"/>
      <c r="P1295" s="3" t="n"/>
      <c r="Q1295" s="3" t="n"/>
      <c r="R1295" s="3" t="n"/>
      <c r="S1295" s="3" t="n"/>
      <c r="T1295" s="3" t="n"/>
      <c r="U1295" s="3" t="n"/>
      <c r="V1295" s="3" t="n"/>
      <c r="W1295" s="3" t="n"/>
      <c r="X1295" s="3" t="n"/>
      <c r="Y1295" s="3" t="n"/>
      <c r="Z1295" s="3" t="n"/>
      <c r="AA1295" s="3" t="n"/>
    </row>
    <row r="1296">
      <c r="A1296" s="105" t="n"/>
      <c r="B1296" s="105" t="n"/>
      <c r="C1296" s="3" t="n"/>
      <c r="D1296" s="3" t="n"/>
      <c r="E1296" s="3" t="n"/>
      <c r="F1296" s="3" t="n"/>
      <c r="G1296" s="3" t="n"/>
      <c r="H1296" s="3" t="inlineStr"/>
      <c r="I1296" s="3" t="n"/>
      <c r="J1296" s="3" t="n"/>
      <c r="K1296" s="3" t="n"/>
      <c r="L1296" s="3" t="inlineStr"/>
      <c r="M1296" s="3" t="n"/>
      <c r="N1296" s="3" t="inlineStr"/>
      <c r="O1296" s="3" t="n"/>
      <c r="P1296" s="3" t="n"/>
      <c r="Q1296" s="3" t="n"/>
      <c r="R1296" s="3" t="n"/>
      <c r="S1296" s="3" t="n"/>
      <c r="T1296" s="3" t="n"/>
      <c r="U1296" s="3" t="n"/>
      <c r="V1296" s="3" t="n"/>
      <c r="W1296" s="3" t="n"/>
      <c r="X1296" s="3" t="n"/>
      <c r="Y1296" s="3" t="n"/>
      <c r="Z1296" s="3" t="n"/>
      <c r="AA1296" s="3" t="n"/>
    </row>
    <row r="1297">
      <c r="A1297" s="105" t="n"/>
      <c r="B1297" s="105" t="n"/>
      <c r="C1297" s="3" t="n"/>
      <c r="D1297" s="3" t="n"/>
      <c r="E1297" s="3" t="n"/>
      <c r="F1297" s="3" t="n"/>
      <c r="G1297" s="3" t="n"/>
      <c r="H1297" s="3" t="inlineStr"/>
      <c r="I1297" s="3" t="n"/>
      <c r="J1297" s="3" t="n"/>
      <c r="K1297" s="3" t="n"/>
      <c r="L1297" s="3" t="inlineStr"/>
      <c r="M1297" s="3" t="n"/>
      <c r="N1297" s="3" t="inlineStr"/>
      <c r="O1297" s="3" t="n"/>
      <c r="P1297" s="3" t="n"/>
      <c r="Q1297" s="3" t="n"/>
      <c r="R1297" s="3" t="n"/>
      <c r="S1297" s="3" t="n"/>
      <c r="T1297" s="3" t="n"/>
      <c r="U1297" s="3" t="n"/>
      <c r="V1297" s="3" t="n"/>
      <c r="W1297" s="3" t="n"/>
      <c r="X1297" s="3" t="n"/>
      <c r="Y1297" s="3" t="n"/>
      <c r="Z1297" s="3" t="n"/>
      <c r="AA1297" s="3" t="n"/>
    </row>
    <row r="1298">
      <c r="A1298" s="105" t="n"/>
      <c r="B1298" s="105" t="n"/>
      <c r="C1298" s="3" t="n"/>
      <c r="D1298" s="3" t="n"/>
      <c r="E1298" s="3" t="n"/>
      <c r="F1298" s="3" t="n"/>
      <c r="G1298" s="3" t="n"/>
      <c r="H1298" s="3" t="inlineStr"/>
      <c r="I1298" s="3" t="n"/>
      <c r="J1298" s="3" t="n"/>
      <c r="K1298" s="3" t="n"/>
      <c r="L1298" s="3" t="inlineStr"/>
      <c r="M1298" s="3" t="n"/>
      <c r="N1298" s="3" t="inlineStr"/>
      <c r="O1298" s="3" t="n"/>
      <c r="P1298" s="3" t="n"/>
      <c r="Q1298" s="3" t="n"/>
      <c r="R1298" s="3" t="n"/>
      <c r="S1298" s="3" t="n"/>
      <c r="T1298" s="3" t="n"/>
      <c r="U1298" s="3" t="n"/>
      <c r="V1298" s="3" t="n"/>
      <c r="W1298" s="3" t="n"/>
      <c r="X1298" s="3" t="n"/>
      <c r="Y1298" s="3" t="n"/>
      <c r="Z1298" s="3" t="n"/>
      <c r="AA1298" s="3" t="n"/>
    </row>
    <row r="1299">
      <c r="A1299" s="105" t="n"/>
      <c r="B1299" s="105" t="n"/>
      <c r="C1299" s="3" t="n"/>
      <c r="D1299" s="3" t="n"/>
      <c r="E1299" s="3" t="n"/>
      <c r="F1299" s="3" t="n"/>
      <c r="G1299" s="3" t="n"/>
      <c r="H1299" s="3" t="inlineStr"/>
      <c r="I1299" s="3" t="n"/>
      <c r="J1299" s="3" t="n"/>
      <c r="K1299" s="3" t="n"/>
      <c r="L1299" s="3" t="inlineStr"/>
      <c r="M1299" s="3" t="n"/>
      <c r="N1299" s="3" t="inlineStr"/>
      <c r="O1299" s="3" t="n"/>
      <c r="P1299" s="3" t="n"/>
      <c r="Q1299" s="3" t="n"/>
      <c r="R1299" s="3" t="n"/>
      <c r="S1299" s="3" t="n"/>
      <c r="T1299" s="3" t="n"/>
      <c r="U1299" s="3" t="n"/>
      <c r="V1299" s="3" t="n"/>
      <c r="W1299" s="3" t="n"/>
      <c r="X1299" s="3" t="n"/>
      <c r="Y1299" s="3" t="n"/>
      <c r="Z1299" s="3" t="n"/>
      <c r="AA1299" s="3" t="n"/>
    </row>
    <row r="1300">
      <c r="A1300" s="105" t="n"/>
      <c r="B1300" s="105" t="n"/>
      <c r="C1300" s="3" t="n"/>
      <c r="D1300" s="3" t="n"/>
      <c r="E1300" s="3" t="n"/>
      <c r="F1300" s="3" t="n"/>
      <c r="G1300" s="3" t="n"/>
      <c r="H1300" s="3" t="inlineStr"/>
      <c r="I1300" s="3" t="n"/>
      <c r="J1300" s="3" t="n"/>
      <c r="K1300" s="3" t="n"/>
      <c r="L1300" s="3" t="inlineStr"/>
      <c r="M1300" s="3" t="n"/>
      <c r="N1300" s="3" t="inlineStr"/>
      <c r="O1300" s="3" t="n"/>
      <c r="P1300" s="3" t="n"/>
      <c r="Q1300" s="3" t="n"/>
      <c r="R1300" s="3" t="n"/>
      <c r="S1300" s="3" t="n"/>
      <c r="T1300" s="3" t="n"/>
      <c r="U1300" s="3" t="n"/>
      <c r="V1300" s="3" t="n"/>
      <c r="W1300" s="3" t="n"/>
      <c r="X1300" s="3" t="n"/>
      <c r="Y1300" s="3" t="n"/>
      <c r="Z1300" s="3" t="n"/>
      <c r="AA1300" s="3" t="n"/>
    </row>
    <row r="1301">
      <c r="A1301" s="105" t="n"/>
      <c r="B1301" s="105" t="n"/>
      <c r="C1301" s="3" t="n"/>
      <c r="D1301" s="3" t="n"/>
      <c r="E1301" s="3" t="n"/>
      <c r="F1301" s="3" t="n"/>
      <c r="G1301" s="3" t="n"/>
      <c r="H1301" s="3" t="inlineStr"/>
      <c r="I1301" s="3" t="n"/>
      <c r="J1301" s="3" t="n"/>
      <c r="K1301" s="3" t="n"/>
      <c r="L1301" s="3" t="inlineStr"/>
      <c r="M1301" s="3" t="n"/>
      <c r="N1301" s="3" t="inlineStr"/>
      <c r="O1301" s="3" t="n"/>
      <c r="P1301" s="3" t="n"/>
      <c r="Q1301" s="3" t="n"/>
      <c r="R1301" s="3" t="n"/>
      <c r="S1301" s="3" t="n"/>
      <c r="T1301" s="3" t="n"/>
      <c r="U1301" s="3" t="n"/>
      <c r="V1301" s="3" t="n"/>
      <c r="W1301" s="3" t="n"/>
      <c r="X1301" s="3" t="n"/>
      <c r="Y1301" s="3" t="n"/>
      <c r="Z1301" s="3" t="n"/>
      <c r="AA1301" s="3" t="n"/>
    </row>
    <row r="1302">
      <c r="A1302" s="105" t="n"/>
      <c r="B1302" s="105" t="n"/>
      <c r="C1302" s="3" t="n"/>
      <c r="D1302" s="3" t="n"/>
      <c r="E1302" s="3" t="n"/>
      <c r="F1302" s="3" t="n"/>
      <c r="G1302" s="3" t="n"/>
      <c r="H1302" s="3" t="inlineStr"/>
      <c r="I1302" s="3" t="n"/>
      <c r="J1302" s="3" t="n"/>
      <c r="K1302" s="3" t="n"/>
      <c r="L1302" s="3" t="inlineStr"/>
      <c r="M1302" s="3" t="n"/>
      <c r="N1302" s="3" t="inlineStr"/>
      <c r="O1302" s="3" t="n"/>
      <c r="P1302" s="3" t="n"/>
      <c r="Q1302" s="3" t="n"/>
      <c r="R1302" s="3" t="n"/>
      <c r="S1302" s="3" t="n"/>
      <c r="T1302" s="3" t="n"/>
      <c r="U1302" s="3" t="n"/>
      <c r="V1302" s="3" t="n"/>
      <c r="W1302" s="3" t="n"/>
      <c r="X1302" s="3" t="n"/>
      <c r="Y1302" s="3" t="n"/>
      <c r="Z1302" s="3" t="n"/>
      <c r="AA1302" s="3" t="n"/>
    </row>
    <row r="1303">
      <c r="A1303" s="105" t="n"/>
      <c r="B1303" s="105" t="n"/>
      <c r="C1303" s="3" t="n"/>
      <c r="D1303" s="3" t="n"/>
      <c r="E1303" s="3" t="n"/>
      <c r="F1303" s="3" t="n"/>
      <c r="G1303" s="3" t="n"/>
      <c r="H1303" s="3" t="inlineStr"/>
      <c r="I1303" s="3" t="n"/>
      <c r="J1303" s="3" t="n"/>
      <c r="K1303" s="3" t="n"/>
      <c r="L1303" s="3" t="inlineStr"/>
      <c r="M1303" s="3" t="n"/>
      <c r="N1303" s="3" t="inlineStr"/>
      <c r="O1303" s="3" t="n"/>
      <c r="P1303" s="3" t="n"/>
      <c r="Q1303" s="3" t="n"/>
      <c r="R1303" s="3" t="n"/>
      <c r="S1303" s="3" t="n"/>
      <c r="T1303" s="3" t="n"/>
      <c r="U1303" s="3" t="n"/>
      <c r="V1303" s="3" t="n"/>
      <c r="W1303" s="3" t="n"/>
      <c r="X1303" s="3" t="n"/>
      <c r="Y1303" s="3" t="n"/>
      <c r="Z1303" s="3" t="n"/>
      <c r="AA1303" s="3" t="n"/>
    </row>
    <row r="1304">
      <c r="A1304" s="105" t="n"/>
      <c r="B1304" s="105" t="n"/>
      <c r="C1304" s="3" t="n"/>
      <c r="D1304" s="3" t="n"/>
      <c r="E1304" s="3" t="n"/>
      <c r="F1304" s="3" t="n"/>
      <c r="G1304" s="3" t="n"/>
      <c r="H1304" s="3" t="inlineStr"/>
      <c r="I1304" s="3" t="n"/>
      <c r="J1304" s="3" t="n"/>
      <c r="K1304" s="3" t="n"/>
      <c r="L1304" s="3" t="inlineStr"/>
      <c r="M1304" s="3" t="n"/>
      <c r="N1304" s="3" t="inlineStr"/>
      <c r="O1304" s="3" t="n"/>
      <c r="P1304" s="3" t="n"/>
      <c r="Q1304" s="3" t="n"/>
      <c r="R1304" s="3" t="n"/>
      <c r="S1304" s="3" t="n"/>
      <c r="T1304" s="3" t="n"/>
      <c r="U1304" s="3" t="n"/>
      <c r="V1304" s="3" t="n"/>
      <c r="W1304" s="3" t="n"/>
      <c r="X1304" s="3" t="n"/>
      <c r="Y1304" s="3" t="n"/>
      <c r="Z1304" s="3" t="n"/>
      <c r="AA1304" s="3" t="n"/>
    </row>
    <row r="1305">
      <c r="A1305" s="105" t="n"/>
      <c r="B1305" s="105" t="n"/>
      <c r="C1305" s="3" t="n"/>
      <c r="D1305" s="3" t="n"/>
      <c r="E1305" s="3" t="n"/>
      <c r="F1305" s="3" t="n"/>
      <c r="G1305" s="3" t="n"/>
      <c r="H1305" s="3" t="inlineStr"/>
      <c r="I1305" s="3" t="n"/>
      <c r="J1305" s="3" t="n"/>
      <c r="K1305" s="3" t="n"/>
      <c r="L1305" s="3" t="inlineStr"/>
      <c r="M1305" s="3" t="n"/>
      <c r="N1305" s="3" t="inlineStr"/>
      <c r="O1305" s="3" t="n"/>
      <c r="P1305" s="3" t="n"/>
      <c r="Q1305" s="3" t="n"/>
      <c r="R1305" s="3" t="n"/>
      <c r="S1305" s="3" t="n"/>
      <c r="T1305" s="3" t="n"/>
      <c r="U1305" s="3" t="n"/>
      <c r="V1305" s="3" t="n"/>
      <c r="W1305" s="3" t="n"/>
      <c r="X1305" s="3" t="n"/>
      <c r="Y1305" s="3" t="n"/>
      <c r="Z1305" s="3" t="n"/>
      <c r="AA1305" s="3" t="n"/>
    </row>
    <row r="1306">
      <c r="A1306" s="105" t="n"/>
      <c r="B1306" s="105" t="n"/>
      <c r="C1306" s="3" t="n"/>
      <c r="D1306" s="3" t="n"/>
      <c r="E1306" s="3" t="n"/>
      <c r="F1306" s="3" t="n"/>
      <c r="G1306" s="3" t="n"/>
      <c r="H1306" s="3" t="inlineStr"/>
      <c r="I1306" s="3" t="n"/>
      <c r="J1306" s="3" t="n"/>
      <c r="K1306" s="3" t="n"/>
      <c r="L1306" s="3" t="inlineStr"/>
      <c r="M1306" s="3" t="n"/>
      <c r="N1306" s="3" t="inlineStr"/>
      <c r="O1306" s="3" t="n"/>
      <c r="P1306" s="3" t="n"/>
      <c r="Q1306" s="3" t="n"/>
      <c r="R1306" s="3" t="n"/>
      <c r="S1306" s="3" t="n"/>
      <c r="T1306" s="3" t="n"/>
      <c r="U1306" s="3" t="n"/>
      <c r="V1306" s="3" t="n"/>
      <c r="W1306" s="3" t="n"/>
      <c r="X1306" s="3" t="n"/>
      <c r="Y1306" s="3" t="n"/>
      <c r="Z1306" s="3" t="n"/>
      <c r="AA1306" s="3" t="n"/>
    </row>
    <row r="1307">
      <c r="A1307" s="105" t="n"/>
      <c r="B1307" s="105" t="n"/>
      <c r="C1307" s="3" t="n"/>
      <c r="D1307" s="3" t="n"/>
      <c r="E1307" s="3" t="n"/>
      <c r="F1307" s="3" t="n"/>
      <c r="G1307" s="3" t="n"/>
      <c r="H1307" s="3" t="inlineStr"/>
      <c r="I1307" s="3" t="n"/>
      <c r="J1307" s="3" t="n"/>
      <c r="K1307" s="3" t="n"/>
      <c r="L1307" s="3" t="inlineStr"/>
      <c r="M1307" s="3" t="n"/>
      <c r="N1307" s="3" t="inlineStr"/>
      <c r="O1307" s="3" t="n"/>
      <c r="P1307" s="3" t="n"/>
      <c r="Q1307" s="3" t="n"/>
      <c r="R1307" s="3" t="n"/>
      <c r="S1307" s="3" t="n"/>
      <c r="T1307" s="3" t="n"/>
      <c r="U1307" s="3" t="n"/>
      <c r="V1307" s="3" t="n"/>
      <c r="W1307" s="3" t="n"/>
      <c r="X1307" s="3" t="n"/>
      <c r="Y1307" s="3" t="n"/>
      <c r="Z1307" s="3" t="n"/>
      <c r="AA1307" s="3" t="n"/>
    </row>
    <row r="1308">
      <c r="A1308" s="105" t="n"/>
      <c r="B1308" s="105" t="n"/>
      <c r="C1308" s="3" t="n"/>
      <c r="D1308" s="3" t="n"/>
      <c r="E1308" s="3" t="n"/>
      <c r="F1308" s="3" t="n"/>
      <c r="G1308" s="3" t="n"/>
      <c r="H1308" s="3" t="inlineStr"/>
      <c r="I1308" s="3" t="n"/>
      <c r="J1308" s="3" t="n"/>
      <c r="K1308" s="3" t="n"/>
      <c r="L1308" s="3" t="inlineStr"/>
      <c r="M1308" s="3" t="n"/>
      <c r="N1308" s="3" t="inlineStr"/>
      <c r="O1308" s="3" t="n"/>
      <c r="P1308" s="3" t="n"/>
      <c r="Q1308" s="3" t="n"/>
      <c r="R1308" s="3" t="n"/>
      <c r="S1308" s="3" t="n"/>
      <c r="T1308" s="3" t="n"/>
      <c r="U1308" s="3" t="n"/>
      <c r="V1308" s="3" t="n"/>
      <c r="W1308" s="3" t="n"/>
      <c r="X1308" s="3" t="n"/>
      <c r="Y1308" s="3" t="n"/>
      <c r="Z1308" s="3" t="n"/>
      <c r="AA1308" s="3" t="n"/>
    </row>
    <row r="1309">
      <c r="A1309" s="105" t="n"/>
      <c r="B1309" s="105" t="n"/>
      <c r="C1309" s="3" t="n"/>
      <c r="D1309" s="3" t="n"/>
      <c r="E1309" s="3" t="n"/>
      <c r="F1309" s="3" t="n"/>
      <c r="G1309" s="3" t="n"/>
      <c r="H1309" s="3" t="inlineStr"/>
      <c r="I1309" s="3" t="n"/>
      <c r="J1309" s="3" t="n"/>
      <c r="K1309" s="3" t="n"/>
      <c r="L1309" s="3" t="inlineStr"/>
      <c r="M1309" s="3" t="n"/>
      <c r="N1309" s="3" t="inlineStr"/>
      <c r="O1309" s="3" t="n"/>
      <c r="P1309" s="3" t="n"/>
      <c r="Q1309" s="3" t="n"/>
      <c r="R1309" s="3" t="n"/>
      <c r="S1309" s="3" t="n"/>
      <c r="T1309" s="3" t="n"/>
      <c r="U1309" s="3" t="n"/>
      <c r="V1309" s="3" t="n"/>
      <c r="W1309" s="3" t="n"/>
      <c r="X1309" s="3" t="n"/>
      <c r="Y1309" s="3" t="n"/>
      <c r="Z1309" s="3" t="n"/>
      <c r="AA1309" s="3" t="n"/>
    </row>
    <row r="1310">
      <c r="A1310" s="105" t="n"/>
      <c r="B1310" s="105" t="n"/>
      <c r="C1310" s="3" t="n"/>
      <c r="D1310" s="3" t="n"/>
      <c r="E1310" s="3" t="n"/>
      <c r="F1310" s="3" t="n"/>
      <c r="G1310" s="3" t="n"/>
      <c r="H1310" s="3" t="inlineStr"/>
      <c r="I1310" s="3" t="n"/>
      <c r="J1310" s="3" t="n"/>
      <c r="K1310" s="3" t="n"/>
      <c r="L1310" s="3" t="inlineStr"/>
      <c r="M1310" s="3" t="n"/>
      <c r="N1310" s="3" t="inlineStr"/>
      <c r="O1310" s="3" t="n"/>
      <c r="P1310" s="3" t="n"/>
      <c r="Q1310" s="3" t="n"/>
      <c r="R1310" s="3" t="n"/>
      <c r="S1310" s="3" t="n"/>
      <c r="T1310" s="3" t="n"/>
      <c r="U1310" s="3" t="n"/>
      <c r="V1310" s="3" t="n"/>
      <c r="W1310" s="3" t="n"/>
      <c r="X1310" s="3" t="n"/>
      <c r="Y1310" s="3" t="n"/>
      <c r="Z1310" s="3" t="n"/>
      <c r="AA1310" s="3" t="n"/>
    </row>
    <row r="1311">
      <c r="A1311" s="105" t="n"/>
      <c r="B1311" s="105" t="n"/>
      <c r="C1311" s="3" t="n"/>
      <c r="D1311" s="3" t="n"/>
      <c r="E1311" s="3" t="n"/>
      <c r="F1311" s="3" t="n"/>
      <c r="G1311" s="3" t="n"/>
      <c r="H1311" s="3" t="inlineStr"/>
      <c r="I1311" s="3" t="n"/>
      <c r="J1311" s="3" t="n"/>
      <c r="K1311" s="3" t="n"/>
      <c r="L1311" s="3" t="inlineStr"/>
      <c r="M1311" s="3" t="n"/>
      <c r="N1311" s="3" t="inlineStr"/>
      <c r="O1311" s="3" t="n"/>
      <c r="P1311" s="3" t="n"/>
      <c r="Q1311" s="3" t="n"/>
      <c r="R1311" s="3" t="n"/>
      <c r="S1311" s="3" t="n"/>
      <c r="T1311" s="3" t="n"/>
      <c r="U1311" s="3" t="n"/>
      <c r="V1311" s="3" t="n"/>
      <c r="W1311" s="3" t="n"/>
      <c r="X1311" s="3" t="n"/>
      <c r="Y1311" s="3" t="n"/>
      <c r="Z1311" s="3" t="n"/>
      <c r="AA1311" s="3" t="n"/>
    </row>
    <row r="1312">
      <c r="A1312" s="105" t="n"/>
      <c r="B1312" s="105" t="n"/>
      <c r="C1312" s="3" t="n"/>
      <c r="D1312" s="3" t="n"/>
      <c r="E1312" s="3" t="n"/>
      <c r="F1312" s="3" t="n"/>
      <c r="G1312" s="3" t="n"/>
      <c r="H1312" s="3" t="inlineStr"/>
      <c r="I1312" s="3" t="n"/>
      <c r="J1312" s="3" t="n"/>
      <c r="K1312" s="3" t="n"/>
      <c r="L1312" s="3" t="inlineStr"/>
      <c r="M1312" s="3" t="n"/>
      <c r="N1312" s="3" t="inlineStr"/>
      <c r="O1312" s="3" t="n"/>
      <c r="P1312" s="3" t="n"/>
      <c r="Q1312" s="3" t="n"/>
      <c r="R1312" s="3" t="n"/>
      <c r="S1312" s="3" t="n"/>
      <c r="T1312" s="3" t="n"/>
      <c r="U1312" s="3" t="n"/>
      <c r="V1312" s="3" t="n"/>
      <c r="W1312" s="3" t="n"/>
      <c r="X1312" s="3" t="n"/>
      <c r="Y1312" s="3" t="n"/>
      <c r="Z1312" s="3" t="n"/>
      <c r="AA1312" s="3" t="n"/>
    </row>
    <row r="1313">
      <c r="A1313" s="105" t="n"/>
      <c r="B1313" s="105" t="n"/>
      <c r="C1313" s="3" t="n"/>
      <c r="D1313" s="3" t="n"/>
      <c r="E1313" s="3" t="n"/>
      <c r="F1313" s="3" t="n"/>
      <c r="G1313" s="3" t="n"/>
      <c r="H1313" s="3" t="inlineStr"/>
      <c r="I1313" s="3" t="n"/>
      <c r="J1313" s="3" t="n"/>
      <c r="K1313" s="3" t="n"/>
      <c r="L1313" s="3" t="inlineStr"/>
      <c r="M1313" s="3" t="n"/>
      <c r="N1313" s="3" t="inlineStr"/>
      <c r="O1313" s="3" t="n"/>
      <c r="P1313" s="3" t="n"/>
      <c r="Q1313" s="3" t="n"/>
      <c r="R1313" s="3" t="n"/>
      <c r="S1313" s="3" t="n"/>
      <c r="T1313" s="3" t="n"/>
      <c r="U1313" s="3" t="n"/>
      <c r="V1313" s="3" t="n"/>
      <c r="W1313" s="3" t="n"/>
      <c r="X1313" s="3" t="n"/>
      <c r="Y1313" s="3" t="n"/>
      <c r="Z1313" s="3" t="n"/>
      <c r="AA1313" s="3" t="n"/>
    </row>
    <row r="1314">
      <c r="A1314" s="105" t="n"/>
      <c r="B1314" s="105" t="n"/>
      <c r="C1314" s="3" t="n"/>
      <c r="D1314" s="3" t="n"/>
      <c r="E1314" s="3" t="n"/>
      <c r="F1314" s="3" t="n"/>
      <c r="G1314" s="3" t="n"/>
      <c r="H1314" s="3" t="inlineStr"/>
      <c r="I1314" s="3" t="n"/>
      <c r="J1314" s="3" t="n"/>
      <c r="K1314" s="3" t="n"/>
      <c r="L1314" s="3" t="inlineStr"/>
      <c r="M1314" s="3" t="n"/>
      <c r="N1314" s="3" t="inlineStr"/>
      <c r="O1314" s="3" t="n"/>
      <c r="P1314" s="3" t="n"/>
      <c r="Q1314" s="3" t="n"/>
      <c r="R1314" s="3" t="n"/>
      <c r="S1314" s="3" t="n"/>
      <c r="T1314" s="3" t="n"/>
      <c r="U1314" s="3" t="n"/>
      <c r="V1314" s="3" t="n"/>
      <c r="W1314" s="3" t="n"/>
      <c r="X1314" s="3" t="n"/>
      <c r="Y1314" s="3" t="n"/>
      <c r="Z1314" s="3" t="n"/>
      <c r="AA1314" s="3" t="n"/>
    </row>
    <row r="1315">
      <c r="A1315" s="105" t="n"/>
      <c r="B1315" s="105" t="n"/>
      <c r="C1315" s="3" t="n"/>
      <c r="D1315" s="3" t="n"/>
      <c r="E1315" s="3" t="n"/>
      <c r="F1315" s="3" t="n"/>
      <c r="G1315" s="3" t="n"/>
      <c r="H1315" s="3" t="inlineStr"/>
      <c r="I1315" s="3" t="n"/>
      <c r="J1315" s="3" t="n"/>
      <c r="K1315" s="3" t="n"/>
      <c r="L1315" s="3" t="inlineStr"/>
      <c r="M1315" s="3" t="n"/>
      <c r="N1315" s="3" t="inlineStr"/>
      <c r="O1315" s="3" t="n"/>
      <c r="P1315" s="3" t="n"/>
      <c r="Q1315" s="3" t="n"/>
      <c r="R1315" s="3" t="n"/>
      <c r="S1315" s="3" t="n"/>
      <c r="T1315" s="3" t="n"/>
      <c r="U1315" s="3" t="n"/>
      <c r="V1315" s="3" t="n"/>
      <c r="W1315" s="3" t="n"/>
      <c r="X1315" s="3" t="n"/>
      <c r="Y1315" s="3" t="n"/>
      <c r="Z1315" s="3" t="n"/>
      <c r="AA1315" s="3" t="n"/>
    </row>
    <row r="1316">
      <c r="A1316" s="105" t="n"/>
      <c r="B1316" s="105" t="n"/>
      <c r="C1316" s="3" t="n"/>
      <c r="D1316" s="3" t="n"/>
      <c r="E1316" s="3" t="n"/>
      <c r="F1316" s="3" t="n"/>
      <c r="G1316" s="3" t="n"/>
      <c r="H1316" s="3" t="inlineStr"/>
      <c r="I1316" s="3" t="n"/>
      <c r="J1316" s="3" t="n"/>
      <c r="K1316" s="3" t="n"/>
      <c r="L1316" s="3" t="inlineStr"/>
      <c r="M1316" s="3" t="n"/>
      <c r="N1316" s="3" t="inlineStr"/>
      <c r="O1316" s="3" t="n"/>
      <c r="P1316" s="3" t="n"/>
      <c r="Q1316" s="3" t="n"/>
      <c r="R1316" s="3" t="n"/>
      <c r="S1316" s="3" t="n"/>
      <c r="T1316" s="3" t="n"/>
      <c r="U1316" s="3" t="n"/>
      <c r="V1316" s="3" t="n"/>
      <c r="W1316" s="3" t="n"/>
      <c r="X1316" s="3" t="n"/>
      <c r="Y1316" s="3" t="n"/>
      <c r="Z1316" s="3" t="n"/>
      <c r="AA1316" s="3" t="n"/>
    </row>
    <row r="1317">
      <c r="A1317" s="105" t="n"/>
      <c r="B1317" s="105" t="n"/>
      <c r="C1317" s="3" t="n"/>
      <c r="D1317" s="3" t="n"/>
      <c r="E1317" s="3" t="n"/>
      <c r="F1317" s="3" t="n"/>
      <c r="G1317" s="3" t="n"/>
      <c r="H1317" s="3" t="inlineStr"/>
      <c r="I1317" s="3" t="n"/>
      <c r="J1317" s="3" t="n"/>
      <c r="K1317" s="3" t="n"/>
      <c r="L1317" s="3" t="inlineStr"/>
      <c r="M1317" s="3" t="n"/>
      <c r="N1317" s="3" t="inlineStr"/>
      <c r="O1317" s="3" t="n"/>
      <c r="P1317" s="3" t="n"/>
      <c r="Q1317" s="3" t="n"/>
      <c r="R1317" s="3" t="n"/>
      <c r="S1317" s="3" t="n"/>
      <c r="T1317" s="3" t="n"/>
      <c r="U1317" s="3" t="n"/>
      <c r="V1317" s="3" t="n"/>
      <c r="W1317" s="3" t="n"/>
      <c r="X1317" s="3" t="n"/>
      <c r="Y1317" s="3" t="n"/>
      <c r="Z1317" s="3" t="n"/>
      <c r="AA1317" s="3" t="n"/>
    </row>
    <row r="1318">
      <c r="A1318" s="105" t="n"/>
      <c r="B1318" s="105" t="n"/>
      <c r="C1318" s="3" t="n"/>
      <c r="D1318" s="3" t="n"/>
      <c r="E1318" s="3" t="n"/>
      <c r="F1318" s="3" t="n"/>
      <c r="G1318" s="3" t="n"/>
      <c r="H1318" s="3" t="inlineStr"/>
      <c r="I1318" s="3" t="n"/>
      <c r="J1318" s="3" t="n"/>
      <c r="K1318" s="3" t="n"/>
      <c r="L1318" s="3" t="inlineStr"/>
      <c r="M1318" s="3" t="n"/>
      <c r="N1318" s="3" t="inlineStr"/>
      <c r="O1318" s="3" t="n"/>
      <c r="P1318" s="3" t="n"/>
      <c r="Q1318" s="3" t="n"/>
      <c r="R1318" s="3" t="n"/>
      <c r="S1318" s="3" t="n"/>
      <c r="T1318" s="3" t="n"/>
      <c r="U1318" s="3" t="n"/>
      <c r="V1318" s="3" t="n"/>
      <c r="W1318" s="3" t="n"/>
      <c r="X1318" s="3" t="n"/>
      <c r="Y1318" s="3" t="n"/>
      <c r="Z1318" s="3" t="n"/>
      <c r="AA1318" s="3" t="n"/>
    </row>
    <row r="1319">
      <c r="A1319" s="105" t="n"/>
      <c r="B1319" s="105" t="n"/>
      <c r="C1319" s="3" t="n"/>
      <c r="D1319" s="3" t="n"/>
      <c r="E1319" s="3" t="n"/>
      <c r="F1319" s="3" t="n"/>
      <c r="G1319" s="3" t="n"/>
      <c r="H1319" s="3" t="inlineStr"/>
      <c r="I1319" s="3" t="n"/>
      <c r="J1319" s="3" t="n"/>
      <c r="K1319" s="3" t="n"/>
      <c r="L1319" s="3" t="inlineStr"/>
      <c r="M1319" s="3" t="n"/>
      <c r="N1319" s="3" t="inlineStr"/>
      <c r="O1319" s="3" t="n"/>
      <c r="P1319" s="3" t="n"/>
      <c r="Q1319" s="3" t="n"/>
      <c r="R1319" s="3" t="n"/>
      <c r="S1319" s="3" t="n"/>
      <c r="T1319" s="3" t="n"/>
      <c r="U1319" s="3" t="n"/>
      <c r="V1319" s="3" t="n"/>
      <c r="W1319" s="3" t="n"/>
      <c r="X1319" s="3" t="n"/>
      <c r="Y1319" s="3" t="n"/>
      <c r="Z1319" s="3" t="n"/>
      <c r="AA1319" s="3" t="n"/>
    </row>
    <row r="1320">
      <c r="A1320" s="105" t="n"/>
      <c r="B1320" s="105" t="n"/>
      <c r="C1320" s="3" t="n"/>
      <c r="D1320" s="3" t="n"/>
      <c r="E1320" s="3" t="n"/>
      <c r="F1320" s="3" t="n"/>
      <c r="G1320" s="3" t="n"/>
      <c r="H1320" s="3" t="inlineStr"/>
      <c r="I1320" s="3" t="n"/>
      <c r="J1320" s="3" t="n"/>
      <c r="K1320" s="3" t="n"/>
      <c r="L1320" s="3" t="inlineStr"/>
      <c r="M1320" s="3" t="n"/>
      <c r="N1320" s="3" t="inlineStr"/>
      <c r="O1320" s="3" t="n"/>
      <c r="P1320" s="3" t="n"/>
      <c r="Q1320" s="3" t="n"/>
      <c r="R1320" s="3" t="n"/>
      <c r="S1320" s="3" t="n"/>
      <c r="T1320" s="3" t="n"/>
      <c r="U1320" s="3" t="n"/>
      <c r="V1320" s="3" t="n"/>
      <c r="W1320" s="3" t="n"/>
      <c r="X1320" s="3" t="n"/>
      <c r="Y1320" s="3" t="n"/>
      <c r="Z1320" s="3" t="n"/>
      <c r="AA1320" s="3" t="n"/>
    </row>
    <row r="1321">
      <c r="A1321" s="105" t="n"/>
      <c r="B1321" s="105" t="n"/>
      <c r="C1321" s="3" t="n"/>
      <c r="D1321" s="3" t="n"/>
      <c r="E1321" s="3" t="n"/>
      <c r="F1321" s="3" t="n"/>
      <c r="G1321" s="3" t="n"/>
      <c r="H1321" s="3" t="inlineStr"/>
      <c r="I1321" s="3" t="n"/>
      <c r="J1321" s="3" t="n"/>
      <c r="K1321" s="3" t="n"/>
      <c r="L1321" s="3" t="inlineStr"/>
      <c r="M1321" s="3" t="n"/>
      <c r="N1321" s="3" t="inlineStr"/>
      <c r="O1321" s="3" t="n"/>
      <c r="P1321" s="3" t="n"/>
      <c r="Q1321" s="3" t="n"/>
      <c r="R1321" s="3" t="n"/>
      <c r="S1321" s="3" t="n"/>
      <c r="T1321" s="3" t="n"/>
      <c r="U1321" s="3" t="n"/>
      <c r="V1321" s="3" t="n"/>
      <c r="W1321" s="3" t="n"/>
      <c r="X1321" s="3" t="n"/>
      <c r="Y1321" s="3" t="n"/>
      <c r="Z1321" s="3" t="n"/>
      <c r="AA1321" s="3" t="n"/>
    </row>
    <row r="1322">
      <c r="A1322" s="105" t="n"/>
      <c r="B1322" s="105" t="n"/>
      <c r="C1322" s="3" t="n"/>
      <c r="D1322" s="3" t="n"/>
      <c r="E1322" s="3" t="n"/>
      <c r="F1322" s="3" t="n"/>
      <c r="G1322" s="3" t="n"/>
      <c r="H1322" s="3" t="inlineStr"/>
      <c r="I1322" s="3" t="n"/>
      <c r="J1322" s="3" t="n"/>
      <c r="K1322" s="3" t="n"/>
      <c r="L1322" s="3" t="inlineStr"/>
      <c r="M1322" s="3" t="n"/>
      <c r="N1322" s="3" t="inlineStr"/>
      <c r="O1322" s="3" t="n"/>
      <c r="P1322" s="3" t="n"/>
      <c r="Q1322" s="3" t="n"/>
      <c r="R1322" s="3" t="n"/>
      <c r="S1322" s="3" t="n"/>
      <c r="T1322" s="3" t="n"/>
      <c r="U1322" s="3" t="n"/>
      <c r="V1322" s="3" t="n"/>
      <c r="W1322" s="3" t="n"/>
      <c r="X1322" s="3" t="n"/>
      <c r="Y1322" s="3" t="n"/>
      <c r="Z1322" s="3" t="n"/>
      <c r="AA1322" s="3" t="n"/>
    </row>
    <row r="1323">
      <c r="A1323" s="105" t="n"/>
      <c r="B1323" s="105" t="n"/>
      <c r="C1323" s="3" t="n"/>
      <c r="D1323" s="3" t="n"/>
      <c r="E1323" s="3" t="n"/>
      <c r="F1323" s="3" t="n"/>
      <c r="G1323" s="3" t="n"/>
      <c r="H1323" s="3" t="inlineStr"/>
      <c r="I1323" s="3" t="n"/>
      <c r="J1323" s="3" t="n"/>
      <c r="K1323" s="3" t="n"/>
      <c r="L1323" s="3" t="inlineStr"/>
      <c r="M1323" s="3" t="n"/>
      <c r="N1323" s="3" t="inlineStr"/>
      <c r="O1323" s="3" t="n"/>
      <c r="P1323" s="3" t="n"/>
      <c r="Q1323" s="3" t="n"/>
      <c r="R1323" s="3" t="n"/>
      <c r="S1323" s="3" t="n"/>
      <c r="T1323" s="3" t="n"/>
      <c r="U1323" s="3" t="n"/>
      <c r="V1323" s="3" t="n"/>
      <c r="W1323" s="3" t="n"/>
      <c r="X1323" s="3" t="n"/>
      <c r="Y1323" s="3" t="n"/>
      <c r="Z1323" s="3" t="n"/>
      <c r="AA1323" s="3" t="n"/>
    </row>
    <row r="1324">
      <c r="A1324" s="105" t="n"/>
      <c r="B1324" s="105" t="n"/>
      <c r="C1324" s="3" t="n"/>
      <c r="D1324" s="3" t="n"/>
      <c r="E1324" s="3" t="n"/>
      <c r="F1324" s="3" t="n"/>
      <c r="G1324" s="3" t="n"/>
      <c r="H1324" s="3" t="inlineStr"/>
      <c r="I1324" s="3" t="n"/>
      <c r="J1324" s="3" t="n"/>
      <c r="K1324" s="3" t="n"/>
      <c r="L1324" s="3" t="inlineStr"/>
      <c r="M1324" s="3" t="n"/>
      <c r="N1324" s="3" t="inlineStr"/>
      <c r="O1324" s="3" t="n"/>
      <c r="P1324" s="3" t="n"/>
      <c r="Q1324" s="3" t="n"/>
      <c r="R1324" s="3" t="n"/>
      <c r="S1324" s="3" t="n"/>
      <c r="T1324" s="3" t="n"/>
      <c r="U1324" s="3" t="n"/>
      <c r="V1324" s="3" t="n"/>
      <c r="W1324" s="3" t="n"/>
      <c r="X1324" s="3" t="n"/>
      <c r="Y1324" s="3" t="n"/>
      <c r="Z1324" s="3" t="n"/>
      <c r="AA1324" s="3" t="n"/>
    </row>
    <row r="1325">
      <c r="A1325" s="105" t="n"/>
      <c r="B1325" s="105" t="n"/>
      <c r="C1325" s="3" t="n"/>
      <c r="D1325" s="3" t="n"/>
      <c r="E1325" s="3" t="n"/>
      <c r="F1325" s="3" t="n"/>
      <c r="G1325" s="3" t="n"/>
      <c r="H1325" s="3" t="inlineStr"/>
      <c r="I1325" s="3" t="n"/>
      <c r="J1325" s="3" t="n"/>
      <c r="K1325" s="3" t="n"/>
      <c r="L1325" s="3" t="inlineStr"/>
      <c r="M1325" s="3" t="n"/>
      <c r="N1325" s="3" t="inlineStr"/>
      <c r="O1325" s="3" t="n"/>
      <c r="P1325" s="3" t="n"/>
      <c r="Q1325" s="3" t="n"/>
      <c r="R1325" s="3" t="n"/>
      <c r="S1325" s="3" t="n"/>
      <c r="T1325" s="3" t="n"/>
      <c r="U1325" s="3" t="n"/>
      <c r="V1325" s="3" t="n"/>
      <c r="W1325" s="3" t="n"/>
      <c r="X1325" s="3" t="n"/>
      <c r="Y1325" s="3" t="n"/>
      <c r="Z1325" s="3" t="n"/>
      <c r="AA1325" s="3" t="n"/>
    </row>
    <row r="1326">
      <c r="A1326" s="105" t="n"/>
      <c r="B1326" s="105" t="n"/>
      <c r="C1326" s="3" t="n"/>
      <c r="D1326" s="3" t="n"/>
      <c r="E1326" s="3" t="n"/>
      <c r="F1326" s="3" t="n"/>
      <c r="G1326" s="3" t="n"/>
      <c r="H1326" s="3" t="inlineStr"/>
      <c r="I1326" s="3" t="n"/>
      <c r="J1326" s="3" t="n"/>
      <c r="K1326" s="3" t="n"/>
      <c r="L1326" s="3" t="inlineStr"/>
      <c r="M1326" s="3" t="n"/>
      <c r="N1326" s="3" t="inlineStr"/>
      <c r="O1326" s="3" t="n"/>
      <c r="P1326" s="3" t="n"/>
      <c r="Q1326" s="3" t="n"/>
      <c r="R1326" s="3" t="n"/>
      <c r="S1326" s="3" t="n"/>
      <c r="T1326" s="3" t="n"/>
      <c r="U1326" s="3" t="n"/>
      <c r="V1326" s="3" t="n"/>
      <c r="W1326" s="3" t="n"/>
      <c r="X1326" s="3" t="n"/>
      <c r="Y1326" s="3" t="n"/>
      <c r="Z1326" s="3" t="n"/>
      <c r="AA1326" s="3" t="n"/>
    </row>
    <row r="1327">
      <c r="A1327" s="105" t="n"/>
      <c r="B1327" s="105" t="n"/>
      <c r="C1327" s="3" t="n"/>
      <c r="D1327" s="3" t="n"/>
      <c r="E1327" s="3" t="n"/>
      <c r="F1327" s="3" t="n"/>
      <c r="G1327" s="3" t="n"/>
      <c r="H1327" s="3" t="inlineStr"/>
      <c r="I1327" s="3" t="n"/>
      <c r="J1327" s="3" t="n"/>
      <c r="K1327" s="3" t="n"/>
      <c r="L1327" s="3" t="inlineStr"/>
      <c r="M1327" s="3" t="n"/>
      <c r="N1327" s="3" t="inlineStr"/>
      <c r="O1327" s="3" t="n"/>
      <c r="P1327" s="3" t="n"/>
      <c r="Q1327" s="3" t="n"/>
      <c r="R1327" s="3" t="n"/>
      <c r="S1327" s="3" t="n"/>
      <c r="T1327" s="3" t="n"/>
      <c r="U1327" s="3" t="n"/>
      <c r="V1327" s="3" t="n"/>
      <c r="W1327" s="3" t="n"/>
      <c r="X1327" s="3" t="n"/>
      <c r="Y1327" s="3" t="n"/>
      <c r="Z1327" s="3" t="n"/>
      <c r="AA1327" s="3" t="n"/>
    </row>
    <row r="1328">
      <c r="A1328" s="105" t="n"/>
      <c r="B1328" s="105" t="n"/>
      <c r="C1328" s="3" t="n"/>
      <c r="D1328" s="3" t="n"/>
      <c r="E1328" s="3" t="n"/>
      <c r="F1328" s="3" t="n"/>
      <c r="G1328" s="3" t="n"/>
      <c r="H1328" s="3" t="inlineStr"/>
      <c r="I1328" s="3" t="n"/>
      <c r="J1328" s="3" t="n"/>
      <c r="K1328" s="3" t="n"/>
      <c r="L1328" s="3" t="inlineStr"/>
      <c r="M1328" s="3" t="n"/>
      <c r="N1328" s="3" t="inlineStr"/>
      <c r="O1328" s="3" t="n"/>
      <c r="P1328" s="3" t="n"/>
      <c r="Q1328" s="3" t="n"/>
      <c r="R1328" s="3" t="n"/>
      <c r="S1328" s="3" t="n"/>
      <c r="T1328" s="3" t="n"/>
      <c r="U1328" s="3" t="n"/>
      <c r="V1328" s="3" t="n"/>
      <c r="W1328" s="3" t="n"/>
      <c r="X1328" s="3" t="n"/>
      <c r="Y1328" s="3" t="n"/>
      <c r="Z1328" s="3" t="n"/>
      <c r="AA1328" s="3" t="n"/>
    </row>
    <row r="1329">
      <c r="A1329" s="105" t="n"/>
      <c r="B1329" s="105" t="n"/>
      <c r="C1329" s="3" t="n"/>
      <c r="D1329" s="3" t="n"/>
      <c r="E1329" s="3" t="n"/>
      <c r="F1329" s="3" t="n"/>
      <c r="G1329" s="3" t="n"/>
      <c r="H1329" s="3" t="inlineStr"/>
      <c r="I1329" s="3" t="n"/>
      <c r="J1329" s="3" t="n"/>
      <c r="K1329" s="3" t="n"/>
      <c r="L1329" s="3" t="inlineStr"/>
      <c r="M1329" s="3" t="n"/>
      <c r="N1329" s="3" t="inlineStr"/>
      <c r="O1329" s="3" t="n"/>
      <c r="P1329" s="3" t="n"/>
      <c r="Q1329" s="3" t="n"/>
      <c r="R1329" s="3" t="n"/>
      <c r="S1329" s="3" t="n"/>
      <c r="T1329" s="3" t="n"/>
      <c r="U1329" s="3" t="n"/>
      <c r="V1329" s="3" t="n"/>
      <c r="W1329" s="3" t="n"/>
      <c r="X1329" s="3" t="n"/>
      <c r="Y1329" s="3" t="n"/>
      <c r="Z1329" s="3" t="n"/>
      <c r="AA1329" s="3" t="n"/>
    </row>
    <row r="1330">
      <c r="A1330" s="105" t="n"/>
      <c r="B1330" s="105" t="n"/>
      <c r="C1330" s="3" t="n"/>
      <c r="D1330" s="3" t="n"/>
      <c r="E1330" s="3" t="n"/>
      <c r="F1330" s="3" t="n"/>
      <c r="G1330" s="3" t="n"/>
      <c r="H1330" s="3" t="inlineStr"/>
      <c r="I1330" s="3" t="n"/>
      <c r="J1330" s="3" t="n"/>
      <c r="K1330" s="3" t="n"/>
      <c r="L1330" s="3" t="inlineStr"/>
      <c r="M1330" s="3" t="n"/>
      <c r="N1330" s="3" t="inlineStr"/>
      <c r="O1330" s="3" t="n"/>
      <c r="P1330" s="3" t="n"/>
      <c r="Q1330" s="3" t="n"/>
      <c r="R1330" s="3" t="n"/>
      <c r="S1330" s="3" t="n"/>
      <c r="T1330" s="3" t="n"/>
      <c r="U1330" s="3" t="n"/>
      <c r="V1330" s="3" t="n"/>
      <c r="W1330" s="3" t="n"/>
      <c r="X1330" s="3" t="n"/>
      <c r="Y1330" s="3" t="n"/>
      <c r="Z1330" s="3" t="n"/>
      <c r="AA1330" s="3" t="n"/>
    </row>
    <row r="1331">
      <c r="A1331" s="105" t="n"/>
      <c r="B1331" s="105" t="n"/>
      <c r="C1331" s="3" t="n"/>
      <c r="D1331" s="3" t="n"/>
      <c r="E1331" s="3" t="n"/>
      <c r="F1331" s="3" t="n"/>
      <c r="G1331" s="3" t="n"/>
      <c r="H1331" s="3" t="inlineStr"/>
      <c r="I1331" s="3" t="n"/>
      <c r="J1331" s="3" t="n"/>
      <c r="K1331" s="3" t="n"/>
      <c r="L1331" s="3" t="inlineStr"/>
      <c r="M1331" s="3" t="n"/>
      <c r="N1331" s="3" t="inlineStr"/>
      <c r="O1331" s="3" t="n"/>
      <c r="P1331" s="3" t="n"/>
      <c r="Q1331" s="3" t="n"/>
      <c r="R1331" s="3" t="n"/>
      <c r="S1331" s="3" t="n"/>
      <c r="T1331" s="3" t="n"/>
      <c r="U1331" s="3" t="n"/>
      <c r="V1331" s="3" t="n"/>
      <c r="W1331" s="3" t="n"/>
      <c r="X1331" s="3" t="n"/>
      <c r="Y1331" s="3" t="n"/>
      <c r="Z1331" s="3" t="n"/>
      <c r="AA1331" s="3" t="n"/>
    </row>
    <row r="1332">
      <c r="A1332" s="105" t="n"/>
      <c r="B1332" s="105" t="n"/>
      <c r="C1332" s="3" t="n"/>
      <c r="D1332" s="3" t="n"/>
      <c r="E1332" s="3" t="n"/>
      <c r="F1332" s="3" t="n"/>
      <c r="G1332" s="3" t="n"/>
      <c r="H1332" s="3" t="inlineStr"/>
      <c r="I1332" s="3" t="n"/>
      <c r="J1332" s="3" t="n"/>
      <c r="K1332" s="3" t="n"/>
      <c r="L1332" s="3" t="inlineStr"/>
      <c r="M1332" s="3" t="n"/>
      <c r="N1332" s="3" t="inlineStr"/>
      <c r="O1332" s="3" t="n"/>
      <c r="P1332" s="3" t="n"/>
      <c r="Q1332" s="3" t="n"/>
      <c r="R1332" s="3" t="n"/>
      <c r="S1332" s="3" t="n"/>
      <c r="T1332" s="3" t="n"/>
      <c r="U1332" s="3" t="n"/>
      <c r="V1332" s="3" t="n"/>
      <c r="W1332" s="3" t="n"/>
      <c r="X1332" s="3" t="n"/>
      <c r="Y1332" s="3" t="n"/>
      <c r="Z1332" s="3" t="n"/>
      <c r="AA1332" s="3" t="n"/>
    </row>
    <row r="1333">
      <c r="A1333" s="105" t="n"/>
      <c r="B1333" s="105" t="n"/>
      <c r="C1333" s="3" t="n"/>
      <c r="D1333" s="3" t="n"/>
      <c r="E1333" s="3" t="n"/>
      <c r="F1333" s="3" t="n"/>
      <c r="G1333" s="3" t="n"/>
      <c r="H1333" s="3" t="inlineStr"/>
      <c r="I1333" s="3" t="n"/>
      <c r="J1333" s="3" t="n"/>
      <c r="K1333" s="3" t="n"/>
      <c r="L1333" s="3" t="inlineStr"/>
      <c r="M1333" s="3" t="n"/>
      <c r="N1333" s="3" t="inlineStr"/>
      <c r="O1333" s="3" t="n"/>
      <c r="P1333" s="3" t="n"/>
      <c r="Q1333" s="3" t="n"/>
      <c r="R1333" s="3" t="n"/>
      <c r="S1333" s="3" t="n"/>
      <c r="T1333" s="3" t="n"/>
      <c r="U1333" s="3" t="n"/>
      <c r="V1333" s="3" t="n"/>
      <c r="W1333" s="3" t="n"/>
      <c r="X1333" s="3" t="n"/>
      <c r="Y1333" s="3" t="n"/>
      <c r="Z1333" s="3" t="n"/>
      <c r="AA1333" s="3" t="n"/>
    </row>
    <row r="1334">
      <c r="A1334" s="105" t="n"/>
      <c r="B1334" s="105" t="n"/>
      <c r="C1334" s="3" t="n"/>
      <c r="D1334" s="3" t="n"/>
      <c r="E1334" s="3" t="n"/>
      <c r="F1334" s="3" t="n"/>
      <c r="G1334" s="3" t="n"/>
      <c r="H1334" s="3" t="inlineStr"/>
      <c r="I1334" s="3" t="n"/>
      <c r="J1334" s="3" t="n"/>
      <c r="K1334" s="3" t="n"/>
      <c r="L1334" s="3" t="inlineStr"/>
      <c r="M1334" s="3" t="n"/>
      <c r="N1334" s="3" t="inlineStr"/>
      <c r="O1334" s="3" t="n"/>
      <c r="P1334" s="3" t="n"/>
      <c r="Q1334" s="3" t="n"/>
      <c r="R1334" s="3" t="n"/>
      <c r="S1334" s="3" t="n"/>
      <c r="T1334" s="3" t="n"/>
      <c r="U1334" s="3" t="n"/>
      <c r="V1334" s="3" t="n"/>
      <c r="W1334" s="3" t="n"/>
      <c r="X1334" s="3" t="n"/>
      <c r="Y1334" s="3" t="n"/>
      <c r="Z1334" s="3" t="n"/>
      <c r="AA1334" s="3" t="n"/>
    </row>
    <row r="1335">
      <c r="A1335" s="105" t="n"/>
      <c r="B1335" s="105" t="n"/>
      <c r="C1335" s="3" t="n"/>
      <c r="D1335" s="3" t="n"/>
      <c r="E1335" s="3" t="n"/>
      <c r="F1335" s="3" t="n"/>
      <c r="G1335" s="3" t="n"/>
      <c r="H1335" s="3" t="inlineStr"/>
      <c r="I1335" s="3" t="n"/>
      <c r="J1335" s="3" t="n"/>
      <c r="K1335" s="3" t="n"/>
      <c r="L1335" s="3" t="inlineStr"/>
      <c r="M1335" s="3" t="n"/>
      <c r="N1335" s="3" t="inlineStr"/>
      <c r="O1335" s="3" t="n"/>
      <c r="P1335" s="3" t="n"/>
      <c r="Q1335" s="3" t="n"/>
      <c r="R1335" s="3" t="n"/>
      <c r="S1335" s="3" t="n"/>
      <c r="T1335" s="3" t="n"/>
      <c r="U1335" s="3" t="n"/>
      <c r="V1335" s="3" t="n"/>
      <c r="W1335" s="3" t="n"/>
      <c r="X1335" s="3" t="n"/>
      <c r="Y1335" s="3" t="n"/>
      <c r="Z1335" s="3" t="n"/>
      <c r="AA1335" s="3" t="n"/>
    </row>
    <row r="1336">
      <c r="A1336" s="105" t="n"/>
      <c r="B1336" s="105" t="n"/>
      <c r="C1336" s="3" t="n"/>
      <c r="D1336" s="3" t="n"/>
      <c r="E1336" s="3" t="n"/>
      <c r="F1336" s="3" t="n"/>
      <c r="G1336" s="3" t="n"/>
      <c r="H1336" s="3" t="inlineStr"/>
      <c r="I1336" s="3" t="n"/>
      <c r="J1336" s="3" t="n"/>
      <c r="K1336" s="3" t="n"/>
      <c r="L1336" s="3" t="inlineStr"/>
      <c r="M1336" s="3" t="n"/>
      <c r="N1336" s="3" t="inlineStr"/>
      <c r="O1336" s="3" t="n"/>
      <c r="P1336" s="3" t="n"/>
      <c r="Q1336" s="3" t="n"/>
      <c r="R1336" s="3" t="n"/>
      <c r="S1336" s="3" t="n"/>
      <c r="T1336" s="3" t="n"/>
      <c r="U1336" s="3" t="n"/>
      <c r="V1336" s="3" t="n"/>
      <c r="W1336" s="3" t="n"/>
      <c r="X1336" s="3" t="n"/>
      <c r="Y1336" s="3" t="n"/>
      <c r="Z1336" s="3" t="n"/>
      <c r="AA1336" s="3" t="n"/>
    </row>
    <row r="1337">
      <c r="A1337" s="105" t="n"/>
      <c r="B1337" s="105" t="n"/>
      <c r="C1337" s="3" t="n"/>
      <c r="D1337" s="3" t="n"/>
      <c r="E1337" s="3" t="n"/>
      <c r="F1337" s="3" t="n"/>
      <c r="G1337" s="3" t="n"/>
      <c r="H1337" s="3" t="inlineStr"/>
      <c r="I1337" s="3" t="n"/>
      <c r="J1337" s="3" t="n"/>
      <c r="K1337" s="3" t="n"/>
      <c r="L1337" s="3" t="inlineStr"/>
      <c r="M1337" s="3" t="n"/>
      <c r="N1337" s="3" t="inlineStr"/>
      <c r="O1337" s="3" t="n"/>
      <c r="P1337" s="3" t="n"/>
      <c r="Q1337" s="3" t="n"/>
      <c r="R1337" s="3" t="n"/>
      <c r="S1337" s="3" t="n"/>
      <c r="T1337" s="3" t="n"/>
      <c r="U1337" s="3" t="n"/>
      <c r="V1337" s="3" t="n"/>
      <c r="W1337" s="3" t="n"/>
      <c r="X1337" s="3" t="n"/>
      <c r="Y1337" s="3" t="n"/>
      <c r="Z1337" s="3" t="n"/>
      <c r="AA1337" s="3" t="n"/>
    </row>
    <row r="1338">
      <c r="A1338" s="105" t="n"/>
      <c r="B1338" s="105" t="n"/>
      <c r="C1338" s="3" t="n"/>
      <c r="D1338" s="3" t="n"/>
      <c r="E1338" s="3" t="n"/>
      <c r="F1338" s="3" t="n"/>
      <c r="G1338" s="3" t="n"/>
      <c r="H1338" s="3" t="inlineStr"/>
      <c r="I1338" s="3" t="n"/>
      <c r="J1338" s="3" t="n"/>
      <c r="K1338" s="3" t="n"/>
      <c r="L1338" s="3" t="inlineStr"/>
      <c r="M1338" s="3" t="n"/>
      <c r="N1338" s="3" t="inlineStr"/>
      <c r="O1338" s="3" t="n"/>
      <c r="P1338" s="3" t="n"/>
      <c r="Q1338" s="3" t="n"/>
      <c r="R1338" s="3" t="n"/>
      <c r="S1338" s="3" t="n"/>
      <c r="T1338" s="3" t="n"/>
      <c r="U1338" s="3" t="n"/>
      <c r="V1338" s="3" t="n"/>
      <c r="W1338" s="3" t="n"/>
      <c r="X1338" s="3" t="n"/>
      <c r="Y1338" s="3" t="n"/>
      <c r="Z1338" s="3" t="n"/>
      <c r="AA1338" s="3" t="n"/>
    </row>
    <row r="1339">
      <c r="A1339" s="105" t="n"/>
      <c r="B1339" s="105" t="n"/>
      <c r="C1339" s="3" t="n"/>
      <c r="D1339" s="3" t="n"/>
      <c r="E1339" s="3" t="n"/>
      <c r="F1339" s="3" t="n"/>
      <c r="G1339" s="3" t="n"/>
      <c r="H1339" s="3" t="inlineStr"/>
      <c r="I1339" s="3" t="n"/>
      <c r="J1339" s="3" t="n"/>
      <c r="K1339" s="3" t="n"/>
      <c r="L1339" s="3" t="inlineStr"/>
      <c r="M1339" s="3" t="n"/>
      <c r="N1339" s="3" t="inlineStr"/>
      <c r="O1339" s="3" t="n"/>
      <c r="P1339" s="3" t="n"/>
      <c r="Q1339" s="3" t="n"/>
      <c r="R1339" s="3" t="n"/>
      <c r="S1339" s="3" t="n"/>
      <c r="T1339" s="3" t="n"/>
      <c r="U1339" s="3" t="n"/>
      <c r="V1339" s="3" t="n"/>
      <c r="W1339" s="3" t="n"/>
      <c r="X1339" s="3" t="n"/>
      <c r="Y1339" s="3" t="n"/>
      <c r="Z1339" s="3" t="n"/>
      <c r="AA1339" s="3" t="n"/>
    </row>
    <row r="1340">
      <c r="A1340" s="105" t="n"/>
      <c r="B1340" s="105" t="n"/>
      <c r="C1340" s="3" t="n"/>
      <c r="D1340" s="3" t="n"/>
      <c r="E1340" s="3" t="n"/>
      <c r="F1340" s="3" t="n"/>
      <c r="G1340" s="3" t="n"/>
      <c r="H1340" s="3" t="inlineStr"/>
      <c r="I1340" s="3" t="n"/>
      <c r="J1340" s="3" t="n"/>
      <c r="K1340" s="3" t="n"/>
      <c r="L1340" s="3" t="inlineStr"/>
      <c r="M1340" s="3" t="n"/>
      <c r="N1340" s="3" t="inlineStr"/>
      <c r="O1340" s="3" t="n"/>
      <c r="P1340" s="3" t="n"/>
      <c r="Q1340" s="3" t="n"/>
      <c r="R1340" s="3" t="n"/>
      <c r="S1340" s="3" t="n"/>
      <c r="T1340" s="3" t="n"/>
      <c r="U1340" s="3" t="n"/>
      <c r="V1340" s="3" t="n"/>
      <c r="W1340" s="3" t="n"/>
      <c r="X1340" s="3" t="n"/>
      <c r="Y1340" s="3" t="n"/>
      <c r="Z1340" s="3" t="n"/>
      <c r="AA1340" s="3" t="n"/>
    </row>
    <row r="1341">
      <c r="A1341" s="105" t="n"/>
      <c r="B1341" s="105" t="n"/>
      <c r="C1341" s="3" t="n"/>
      <c r="D1341" s="3" t="n"/>
      <c r="E1341" s="3" t="n"/>
      <c r="F1341" s="3" t="n"/>
      <c r="G1341" s="3" t="n"/>
      <c r="H1341" s="3" t="inlineStr"/>
      <c r="I1341" s="3" t="n"/>
      <c r="J1341" s="3" t="n"/>
      <c r="K1341" s="3" t="n"/>
      <c r="L1341" s="3" t="inlineStr"/>
      <c r="M1341" s="3" t="n"/>
      <c r="N1341" s="3" t="inlineStr"/>
      <c r="O1341" s="3" t="n"/>
      <c r="P1341" s="3" t="n"/>
      <c r="Q1341" s="3" t="n"/>
      <c r="R1341" s="3" t="n"/>
      <c r="S1341" s="3" t="n"/>
      <c r="T1341" s="3" t="n"/>
      <c r="U1341" s="3" t="n"/>
      <c r="V1341" s="3" t="n"/>
      <c r="W1341" s="3" t="n"/>
      <c r="X1341" s="3" t="n"/>
      <c r="Y1341" s="3" t="n"/>
      <c r="Z1341" s="3" t="n"/>
      <c r="AA1341" s="3" t="n"/>
    </row>
    <row r="1342">
      <c r="A1342" s="105" t="n"/>
      <c r="B1342" s="105" t="n"/>
      <c r="C1342" s="3" t="n"/>
      <c r="D1342" s="3" t="n"/>
      <c r="E1342" s="3" t="n"/>
      <c r="F1342" s="3" t="n"/>
      <c r="G1342" s="3" t="n"/>
      <c r="H1342" s="3" t="inlineStr"/>
      <c r="I1342" s="3" t="n"/>
      <c r="J1342" s="3" t="n"/>
      <c r="K1342" s="3" t="n"/>
      <c r="L1342" s="3" t="inlineStr"/>
      <c r="M1342" s="3" t="n"/>
      <c r="N1342" s="3" t="inlineStr"/>
      <c r="O1342" s="3" t="n"/>
      <c r="P1342" s="3" t="n"/>
      <c r="Q1342" s="3" t="n"/>
      <c r="R1342" s="3" t="n"/>
      <c r="S1342" s="3" t="n"/>
      <c r="T1342" s="3" t="n"/>
      <c r="U1342" s="3" t="n"/>
      <c r="V1342" s="3" t="n"/>
      <c r="W1342" s="3" t="n"/>
      <c r="X1342" s="3" t="n"/>
      <c r="Y1342" s="3" t="n"/>
      <c r="Z1342" s="3" t="n"/>
      <c r="AA1342" s="3" t="n"/>
    </row>
    <row r="1343">
      <c r="A1343" s="105" t="n"/>
      <c r="B1343" s="105" t="n"/>
      <c r="C1343" s="3" t="n"/>
      <c r="D1343" s="3" t="n"/>
      <c r="E1343" s="3" t="n"/>
      <c r="F1343" s="3" t="n"/>
      <c r="G1343" s="3" t="n"/>
      <c r="H1343" s="3" t="inlineStr"/>
      <c r="I1343" s="3" t="n"/>
      <c r="J1343" s="3" t="n"/>
      <c r="K1343" s="3" t="n"/>
      <c r="L1343" s="3" t="inlineStr"/>
      <c r="M1343" s="3" t="n"/>
      <c r="N1343" s="3" t="inlineStr"/>
      <c r="O1343" s="3" t="n"/>
      <c r="P1343" s="3" t="n"/>
      <c r="Q1343" s="3" t="n"/>
      <c r="R1343" s="3" t="n"/>
      <c r="S1343" s="3" t="n"/>
      <c r="T1343" s="3" t="n"/>
      <c r="U1343" s="3" t="n"/>
      <c r="V1343" s="3" t="n"/>
      <c r="W1343" s="3" t="n"/>
      <c r="X1343" s="3" t="n"/>
      <c r="Y1343" s="3" t="n"/>
      <c r="Z1343" s="3" t="n"/>
      <c r="AA1343" s="3" t="n"/>
    </row>
    <row r="1344">
      <c r="A1344" s="105" t="n"/>
      <c r="B1344" s="105" t="n"/>
      <c r="C1344" s="3" t="n"/>
      <c r="D1344" s="3" t="n"/>
      <c r="E1344" s="3" t="n"/>
      <c r="F1344" s="3" t="n"/>
      <c r="G1344" s="3" t="n"/>
      <c r="H1344" s="3" t="inlineStr"/>
      <c r="I1344" s="3" t="n"/>
      <c r="J1344" s="3" t="n"/>
      <c r="K1344" s="3" t="n"/>
      <c r="L1344" s="3" t="inlineStr"/>
      <c r="M1344" s="3" t="n"/>
      <c r="N1344" s="3" t="inlineStr"/>
      <c r="O1344" s="3" t="n"/>
      <c r="P1344" s="3" t="n"/>
      <c r="Q1344" s="3" t="n"/>
      <c r="R1344" s="3" t="n"/>
      <c r="S1344" s="3" t="n"/>
      <c r="T1344" s="3" t="n"/>
      <c r="U1344" s="3" t="n"/>
      <c r="V1344" s="3" t="n"/>
      <c r="W1344" s="3" t="n"/>
      <c r="X1344" s="3" t="n"/>
      <c r="Y1344" s="3" t="n"/>
      <c r="Z1344" s="3" t="n"/>
      <c r="AA1344" s="3" t="n"/>
    </row>
    <row r="1345">
      <c r="A1345" s="105" t="n"/>
      <c r="B1345" s="105" t="n"/>
      <c r="C1345" s="3" t="n"/>
      <c r="D1345" s="3" t="n"/>
      <c r="E1345" s="3" t="n"/>
      <c r="F1345" s="3" t="n"/>
      <c r="G1345" s="3" t="n"/>
      <c r="H1345" s="3" t="inlineStr"/>
      <c r="I1345" s="3" t="n"/>
      <c r="J1345" s="3" t="n"/>
      <c r="K1345" s="3" t="n"/>
      <c r="L1345" s="3" t="inlineStr"/>
      <c r="M1345" s="3" t="n"/>
      <c r="N1345" s="3" t="inlineStr"/>
      <c r="O1345" s="3" t="n"/>
      <c r="P1345" s="3" t="n"/>
      <c r="Q1345" s="3" t="n"/>
      <c r="R1345" s="3" t="n"/>
      <c r="S1345" s="3" t="n"/>
      <c r="T1345" s="3" t="n"/>
      <c r="U1345" s="3" t="n"/>
      <c r="V1345" s="3" t="n"/>
      <c r="W1345" s="3" t="n"/>
      <c r="X1345" s="3" t="n"/>
      <c r="Y1345" s="3" t="n"/>
      <c r="Z1345" s="3" t="n"/>
      <c r="AA1345" s="3" t="n"/>
    </row>
    <row r="1346">
      <c r="A1346" s="105" t="n"/>
      <c r="B1346" s="105" t="n"/>
      <c r="C1346" s="3" t="n"/>
      <c r="D1346" s="3" t="n"/>
      <c r="E1346" s="3" t="n"/>
      <c r="F1346" s="3" t="n"/>
      <c r="G1346" s="3" t="n"/>
      <c r="H1346" s="3" t="inlineStr"/>
      <c r="I1346" s="3" t="n"/>
      <c r="J1346" s="3" t="n"/>
      <c r="K1346" s="3" t="n"/>
      <c r="L1346" s="3" t="inlineStr"/>
      <c r="M1346" s="3" t="n"/>
      <c r="N1346" s="3" t="inlineStr"/>
      <c r="O1346" s="3" t="n"/>
      <c r="P1346" s="3" t="n"/>
      <c r="Q1346" s="3" t="n"/>
      <c r="R1346" s="3" t="n"/>
      <c r="S1346" s="3" t="n"/>
      <c r="T1346" s="3" t="n"/>
      <c r="U1346" s="3" t="n"/>
      <c r="V1346" s="3" t="n"/>
      <c r="W1346" s="3" t="n"/>
      <c r="X1346" s="3" t="n"/>
      <c r="Y1346" s="3" t="n"/>
      <c r="Z1346" s="3" t="n"/>
      <c r="AA1346" s="3" t="n"/>
    </row>
    <row r="1347">
      <c r="A1347" s="105" t="n"/>
      <c r="B1347" s="105" t="n"/>
      <c r="C1347" s="3" t="n"/>
      <c r="D1347" s="3" t="n"/>
      <c r="E1347" s="3" t="n"/>
      <c r="F1347" s="3" t="n"/>
      <c r="G1347" s="3" t="n"/>
      <c r="H1347" s="3" t="inlineStr"/>
      <c r="I1347" s="3" t="n"/>
      <c r="J1347" s="3" t="n"/>
      <c r="K1347" s="3" t="n"/>
      <c r="L1347" s="3" t="inlineStr"/>
      <c r="M1347" s="3" t="n"/>
      <c r="N1347" s="3" t="inlineStr"/>
      <c r="O1347" s="3" t="n"/>
      <c r="P1347" s="3" t="n"/>
      <c r="Q1347" s="3" t="n"/>
      <c r="R1347" s="3" t="n"/>
      <c r="S1347" s="3" t="n"/>
      <c r="T1347" s="3" t="n"/>
      <c r="U1347" s="3" t="n"/>
      <c r="V1347" s="3" t="n"/>
      <c r="W1347" s="3" t="n"/>
      <c r="X1347" s="3" t="n"/>
      <c r="Y1347" s="3" t="n"/>
      <c r="Z1347" s="3" t="n"/>
      <c r="AA1347" s="3" t="n"/>
    </row>
    <row r="1348">
      <c r="A1348" s="105" t="n"/>
      <c r="B1348" s="105" t="n"/>
      <c r="C1348" s="3" t="n"/>
      <c r="D1348" s="3" t="n"/>
      <c r="E1348" s="3" t="n"/>
      <c r="F1348" s="3" t="n"/>
      <c r="G1348" s="3" t="n"/>
      <c r="H1348" s="3" t="inlineStr"/>
      <c r="I1348" s="3" t="n"/>
      <c r="J1348" s="3" t="n"/>
      <c r="K1348" s="3" t="n"/>
      <c r="L1348" s="3" t="inlineStr"/>
      <c r="M1348" s="3" t="n"/>
      <c r="N1348" s="3" t="inlineStr"/>
      <c r="O1348" s="3" t="n"/>
      <c r="P1348" s="3" t="n"/>
      <c r="Q1348" s="3" t="n"/>
      <c r="R1348" s="3" t="n"/>
      <c r="S1348" s="3" t="n"/>
      <c r="T1348" s="3" t="n"/>
      <c r="U1348" s="3" t="n"/>
      <c r="V1348" s="3" t="n"/>
      <c r="W1348" s="3" t="n"/>
      <c r="X1348" s="3" t="n"/>
      <c r="Y1348" s="3" t="n"/>
      <c r="Z1348" s="3" t="n"/>
      <c r="AA1348" s="3" t="n"/>
    </row>
    <row r="1349">
      <c r="A1349" s="105" t="n"/>
      <c r="B1349" s="105" t="n"/>
      <c r="C1349" s="3" t="n"/>
      <c r="D1349" s="3" t="n"/>
      <c r="E1349" s="3" t="n"/>
      <c r="F1349" s="3" t="n"/>
      <c r="G1349" s="3" t="n"/>
      <c r="H1349" s="3" t="inlineStr"/>
      <c r="I1349" s="3" t="n"/>
      <c r="J1349" s="3" t="n"/>
      <c r="K1349" s="3" t="n"/>
      <c r="L1349" s="3" t="inlineStr"/>
      <c r="M1349" s="3" t="n"/>
      <c r="N1349" s="3" t="inlineStr"/>
      <c r="O1349" s="3" t="n"/>
      <c r="P1349" s="3" t="n"/>
      <c r="Q1349" s="3" t="n"/>
      <c r="R1349" s="3" t="n"/>
      <c r="S1349" s="3" t="n"/>
      <c r="T1349" s="3" t="n"/>
      <c r="U1349" s="3" t="n"/>
      <c r="V1349" s="3" t="n"/>
      <c r="W1349" s="3" t="n"/>
      <c r="X1349" s="3" t="n"/>
      <c r="Y1349" s="3" t="n"/>
      <c r="Z1349" s="3" t="n"/>
      <c r="AA1349" s="3" t="n"/>
    </row>
    <row r="1350">
      <c r="A1350" s="105" t="n"/>
      <c r="B1350" s="105" t="n"/>
      <c r="C1350" s="3" t="n"/>
      <c r="D1350" s="3" t="n"/>
      <c r="E1350" s="3" t="n"/>
      <c r="F1350" s="3" t="n"/>
      <c r="G1350" s="3" t="n"/>
      <c r="H1350" s="3" t="inlineStr"/>
      <c r="I1350" s="3" t="n"/>
      <c r="J1350" s="3" t="n"/>
      <c r="K1350" s="3" t="n"/>
      <c r="L1350" s="3" t="inlineStr"/>
      <c r="M1350" s="3" t="n"/>
      <c r="N1350" s="3" t="inlineStr"/>
      <c r="O1350" s="3" t="n"/>
      <c r="P1350" s="3" t="n"/>
      <c r="Q1350" s="3" t="n"/>
      <c r="R1350" s="3" t="n"/>
      <c r="S1350" s="3" t="n"/>
      <c r="T1350" s="3" t="n"/>
      <c r="U1350" s="3" t="n"/>
      <c r="V1350" s="3" t="n"/>
      <c r="W1350" s="3" t="n"/>
      <c r="X1350" s="3" t="n"/>
      <c r="Y1350" s="3" t="n"/>
      <c r="Z1350" s="3" t="n"/>
      <c r="AA1350" s="3" t="n"/>
    </row>
    <row r="1351">
      <c r="A1351" s="105" t="n"/>
      <c r="B1351" s="105" t="n"/>
      <c r="C1351" s="3" t="n"/>
      <c r="D1351" s="3" t="n"/>
      <c r="E1351" s="3" t="n"/>
      <c r="F1351" s="3" t="n"/>
      <c r="G1351" s="3" t="n"/>
      <c r="H1351" s="3" t="inlineStr"/>
      <c r="I1351" s="3" t="n"/>
      <c r="J1351" s="3" t="n"/>
      <c r="K1351" s="3" t="n"/>
      <c r="L1351" s="3" t="inlineStr"/>
      <c r="M1351" s="3" t="n"/>
      <c r="N1351" s="3" t="inlineStr"/>
      <c r="O1351" s="3" t="n"/>
      <c r="P1351" s="3" t="n"/>
      <c r="Q1351" s="3" t="n"/>
      <c r="R1351" s="3" t="n"/>
      <c r="S1351" s="3" t="n"/>
      <c r="T1351" s="3" t="n"/>
      <c r="U1351" s="3" t="n"/>
      <c r="V1351" s="3" t="n"/>
      <c r="W1351" s="3" t="n"/>
      <c r="X1351" s="3" t="n"/>
      <c r="Y1351" s="3" t="n"/>
      <c r="Z1351" s="3" t="n"/>
      <c r="AA1351" s="3" t="n"/>
    </row>
    <row r="1352">
      <c r="A1352" s="105" t="n"/>
      <c r="B1352" s="105" t="n"/>
      <c r="C1352" s="3" t="n"/>
      <c r="D1352" s="3" t="n"/>
      <c r="E1352" s="3" t="n"/>
      <c r="F1352" s="3" t="n"/>
      <c r="G1352" s="3" t="n"/>
      <c r="H1352" s="3" t="inlineStr"/>
      <c r="I1352" s="3" t="n"/>
      <c r="J1352" s="3" t="n"/>
      <c r="K1352" s="3" t="n"/>
      <c r="L1352" s="3" t="inlineStr"/>
      <c r="M1352" s="3" t="n"/>
      <c r="N1352" s="3" t="inlineStr"/>
      <c r="O1352" s="3" t="n"/>
      <c r="P1352" s="3" t="n"/>
      <c r="Q1352" s="3" t="n"/>
      <c r="R1352" s="3" t="n"/>
      <c r="S1352" s="3" t="n"/>
      <c r="T1352" s="3" t="n"/>
      <c r="U1352" s="3" t="n"/>
      <c r="V1352" s="3" t="n"/>
      <c r="W1352" s="3" t="n"/>
      <c r="X1352" s="3" t="n"/>
      <c r="Y1352" s="3" t="n"/>
      <c r="Z1352" s="3" t="n"/>
      <c r="AA1352" s="3" t="n"/>
    </row>
    <row r="1353">
      <c r="A1353" s="105" t="n"/>
      <c r="B1353" s="105" t="n"/>
      <c r="C1353" s="3" t="n"/>
      <c r="D1353" s="3" t="n"/>
      <c r="E1353" s="3" t="n"/>
      <c r="F1353" s="3" t="n"/>
      <c r="G1353" s="3" t="n"/>
      <c r="H1353" s="3" t="inlineStr"/>
      <c r="I1353" s="3" t="n"/>
      <c r="J1353" s="3" t="n"/>
      <c r="K1353" s="3" t="n"/>
      <c r="L1353" s="3" t="inlineStr"/>
      <c r="M1353" s="3" t="n"/>
      <c r="N1353" s="3" t="inlineStr"/>
      <c r="O1353" s="3" t="n"/>
      <c r="P1353" s="3" t="n"/>
      <c r="Q1353" s="3" t="n"/>
      <c r="R1353" s="3" t="n"/>
      <c r="S1353" s="3" t="n"/>
      <c r="T1353" s="3" t="n"/>
      <c r="U1353" s="3" t="n"/>
      <c r="V1353" s="3" t="n"/>
      <c r="W1353" s="3" t="n"/>
      <c r="X1353" s="3" t="n"/>
      <c r="Y1353" s="3" t="n"/>
      <c r="Z1353" s="3" t="n"/>
      <c r="AA1353" s="3" t="n"/>
    </row>
    <row r="1354">
      <c r="A1354" s="105" t="n"/>
      <c r="B1354" s="105" t="n"/>
      <c r="C1354" s="3" t="n"/>
      <c r="D1354" s="3" t="n"/>
      <c r="E1354" s="3" t="n"/>
      <c r="F1354" s="3" t="n"/>
      <c r="G1354" s="3" t="n"/>
      <c r="H1354" s="3" t="inlineStr"/>
      <c r="I1354" s="3" t="n"/>
      <c r="J1354" s="3" t="n"/>
      <c r="K1354" s="3" t="n"/>
      <c r="L1354" s="3" t="inlineStr"/>
      <c r="M1354" s="3" t="n"/>
      <c r="N1354" s="3" t="inlineStr"/>
      <c r="O1354" s="3" t="n"/>
      <c r="P1354" s="3" t="n"/>
      <c r="Q1354" s="3" t="n"/>
      <c r="R1354" s="3" t="n"/>
      <c r="S1354" s="3" t="n"/>
      <c r="T1354" s="3" t="n"/>
      <c r="U1354" s="3" t="n"/>
      <c r="V1354" s="3" t="n"/>
      <c r="W1354" s="3" t="n"/>
      <c r="X1354" s="3" t="n"/>
      <c r="Y1354" s="3" t="n"/>
      <c r="Z1354" s="3" t="n"/>
      <c r="AA1354" s="3" t="n"/>
    </row>
    <row r="1355">
      <c r="A1355" s="105" t="n"/>
      <c r="B1355" s="105" t="n"/>
      <c r="C1355" s="3" t="n"/>
      <c r="D1355" s="3" t="n"/>
      <c r="E1355" s="3" t="n"/>
      <c r="F1355" s="3" t="n"/>
      <c r="G1355" s="3" t="n"/>
      <c r="H1355" s="3" t="inlineStr"/>
      <c r="I1355" s="3" t="n"/>
      <c r="J1355" s="3" t="n"/>
      <c r="K1355" s="3" t="n"/>
      <c r="L1355" s="3" t="inlineStr"/>
      <c r="M1355" s="3" t="n"/>
      <c r="N1355" s="3" t="inlineStr"/>
      <c r="O1355" s="3" t="n"/>
      <c r="P1355" s="3" t="n"/>
      <c r="Q1355" s="3" t="n"/>
      <c r="R1355" s="3" t="n"/>
      <c r="S1355" s="3" t="n"/>
      <c r="T1355" s="3" t="n"/>
      <c r="U1355" s="3" t="n"/>
      <c r="V1355" s="3" t="n"/>
      <c r="W1355" s="3" t="n"/>
      <c r="X1355" s="3" t="n"/>
      <c r="Y1355" s="3" t="n"/>
      <c r="Z1355" s="3" t="n"/>
      <c r="AA1355" s="3" t="n"/>
    </row>
    <row r="1356">
      <c r="A1356" s="105" t="n"/>
      <c r="B1356" s="105" t="n"/>
      <c r="C1356" s="3" t="n"/>
      <c r="D1356" s="3" t="n"/>
      <c r="E1356" s="3" t="n"/>
      <c r="F1356" s="3" t="n"/>
      <c r="G1356" s="3" t="n"/>
      <c r="H1356" s="3" t="inlineStr"/>
      <c r="I1356" s="3" t="n"/>
      <c r="J1356" s="3" t="n"/>
      <c r="K1356" s="3" t="n"/>
      <c r="L1356" s="3" t="inlineStr"/>
      <c r="M1356" s="3" t="n"/>
      <c r="N1356" s="3" t="inlineStr"/>
      <c r="O1356" s="3" t="n"/>
      <c r="P1356" s="3" t="n"/>
      <c r="Q1356" s="3" t="n"/>
      <c r="R1356" s="3" t="n"/>
      <c r="S1356" s="3" t="n"/>
      <c r="T1356" s="3" t="n"/>
      <c r="U1356" s="3" t="n"/>
      <c r="V1356" s="3" t="n"/>
      <c r="W1356" s="3" t="n"/>
      <c r="X1356" s="3" t="n"/>
      <c r="Y1356" s="3" t="n"/>
      <c r="Z1356" s="3" t="n"/>
      <c r="AA1356" s="3" t="n"/>
    </row>
    <row r="1357">
      <c r="A1357" s="105" t="n"/>
      <c r="B1357" s="105" t="n"/>
      <c r="C1357" s="3" t="n"/>
      <c r="D1357" s="3" t="n"/>
      <c r="E1357" s="3" t="n"/>
      <c r="F1357" s="3" t="n"/>
      <c r="G1357" s="3" t="n"/>
      <c r="H1357" s="3" t="inlineStr"/>
      <c r="I1357" s="3" t="n"/>
      <c r="J1357" s="3" t="n"/>
      <c r="K1357" s="3" t="n"/>
      <c r="L1357" s="3" t="inlineStr"/>
      <c r="M1357" s="3" t="n"/>
      <c r="N1357" s="3" t="inlineStr"/>
      <c r="O1357" s="3" t="n"/>
      <c r="P1357" s="3" t="n"/>
      <c r="Q1357" s="3" t="n"/>
      <c r="R1357" s="3" t="n"/>
      <c r="S1357" s="3" t="n"/>
      <c r="T1357" s="3" t="n"/>
      <c r="U1357" s="3" t="n"/>
      <c r="V1357" s="3" t="n"/>
      <c r="W1357" s="3" t="n"/>
      <c r="X1357" s="3" t="n"/>
      <c r="Y1357" s="3" t="n"/>
      <c r="Z1357" s="3" t="n"/>
      <c r="AA1357" s="3" t="n"/>
    </row>
    <row r="1358">
      <c r="A1358" s="105" t="n"/>
      <c r="B1358" s="105" t="n"/>
      <c r="C1358" s="3" t="n"/>
      <c r="D1358" s="3" t="n"/>
      <c r="E1358" s="3" t="n"/>
      <c r="F1358" s="3" t="n"/>
      <c r="G1358" s="3" t="n"/>
      <c r="H1358" s="3" t="inlineStr"/>
      <c r="I1358" s="3" t="n"/>
      <c r="J1358" s="3" t="n"/>
      <c r="K1358" s="3" t="n"/>
      <c r="L1358" s="3" t="inlineStr"/>
      <c r="M1358" s="3" t="n"/>
      <c r="N1358" s="3" t="inlineStr"/>
      <c r="O1358" s="3" t="n"/>
      <c r="P1358" s="3" t="n"/>
      <c r="Q1358" s="3" t="n"/>
      <c r="R1358" s="3" t="n"/>
      <c r="S1358" s="3" t="n"/>
      <c r="T1358" s="3" t="n"/>
      <c r="U1358" s="3" t="n"/>
      <c r="V1358" s="3" t="n"/>
      <c r="W1358" s="3" t="n"/>
      <c r="X1358" s="3" t="n"/>
      <c r="Y1358" s="3" t="n"/>
      <c r="Z1358" s="3" t="n"/>
      <c r="AA1358" s="3" t="n"/>
    </row>
    <row r="1359">
      <c r="A1359" s="105" t="n"/>
      <c r="B1359" s="105" t="n"/>
      <c r="C1359" s="3" t="n"/>
      <c r="D1359" s="3" t="n"/>
      <c r="E1359" s="3" t="n"/>
      <c r="F1359" s="3" t="n"/>
      <c r="G1359" s="3" t="n"/>
      <c r="H1359" s="3" t="inlineStr"/>
      <c r="I1359" s="3" t="n"/>
      <c r="J1359" s="3" t="n"/>
      <c r="K1359" s="3" t="n"/>
      <c r="L1359" s="3" t="inlineStr"/>
      <c r="M1359" s="3" t="n"/>
      <c r="N1359" s="3" t="inlineStr"/>
      <c r="O1359" s="3" t="n"/>
      <c r="P1359" s="3" t="n"/>
      <c r="Q1359" s="3" t="n"/>
      <c r="R1359" s="3" t="n"/>
      <c r="S1359" s="3" t="n"/>
      <c r="T1359" s="3" t="n"/>
      <c r="U1359" s="3" t="n"/>
      <c r="V1359" s="3" t="n"/>
      <c r="W1359" s="3" t="n"/>
      <c r="X1359" s="3" t="n"/>
      <c r="Y1359" s="3" t="n"/>
      <c r="Z1359" s="3" t="n"/>
      <c r="AA1359" s="3" t="n"/>
    </row>
    <row r="1360">
      <c r="A1360" s="105" t="n"/>
      <c r="B1360" s="105" t="n"/>
      <c r="C1360" s="3" t="n"/>
      <c r="D1360" s="3" t="n"/>
      <c r="E1360" s="3" t="n"/>
      <c r="F1360" s="3" t="n"/>
      <c r="G1360" s="3" t="n"/>
      <c r="H1360" s="3" t="inlineStr"/>
      <c r="I1360" s="3" t="n"/>
      <c r="J1360" s="3" t="n"/>
      <c r="K1360" s="3" t="n"/>
      <c r="L1360" s="3" t="inlineStr"/>
      <c r="M1360" s="3" t="n"/>
      <c r="N1360" s="3" t="inlineStr"/>
      <c r="O1360" s="3" t="n"/>
      <c r="P1360" s="3" t="n"/>
      <c r="Q1360" s="3" t="n"/>
      <c r="R1360" s="3" t="n"/>
      <c r="S1360" s="3" t="n"/>
      <c r="T1360" s="3" t="n"/>
      <c r="U1360" s="3" t="n"/>
      <c r="V1360" s="3" t="n"/>
      <c r="W1360" s="3" t="n"/>
      <c r="X1360" s="3" t="n"/>
      <c r="Y1360" s="3" t="n"/>
      <c r="Z1360" s="3" t="n"/>
      <c r="AA1360" s="3" t="n"/>
    </row>
    <row r="1361">
      <c r="A1361" s="105" t="n"/>
      <c r="B1361" s="105" t="n"/>
      <c r="C1361" s="3" t="n"/>
      <c r="D1361" s="3" t="n"/>
      <c r="E1361" s="3" t="n"/>
      <c r="F1361" s="3" t="n"/>
      <c r="G1361" s="3" t="n"/>
      <c r="H1361" s="3" t="inlineStr"/>
      <c r="I1361" s="3" t="n"/>
      <c r="J1361" s="3" t="n"/>
      <c r="K1361" s="3" t="n"/>
      <c r="L1361" s="3" t="inlineStr"/>
      <c r="M1361" s="3" t="n"/>
      <c r="N1361" s="3" t="inlineStr"/>
      <c r="O1361" s="3" t="n"/>
      <c r="P1361" s="3" t="n"/>
      <c r="Q1361" s="3" t="n"/>
      <c r="R1361" s="3" t="n"/>
      <c r="S1361" s="3" t="n"/>
      <c r="T1361" s="3" t="n"/>
      <c r="U1361" s="3" t="n"/>
      <c r="V1361" s="3" t="n"/>
      <c r="W1361" s="3" t="n"/>
      <c r="X1361" s="3" t="n"/>
      <c r="Y1361" s="3" t="n"/>
      <c r="Z1361" s="3" t="n"/>
      <c r="AA1361" s="3" t="n"/>
    </row>
    <row r="1362">
      <c r="A1362" s="105" t="n"/>
      <c r="B1362" s="105" t="n"/>
      <c r="C1362" s="3" t="n"/>
      <c r="D1362" s="3" t="n"/>
      <c r="E1362" s="3" t="n"/>
      <c r="F1362" s="3" t="n"/>
      <c r="G1362" s="3" t="n"/>
      <c r="H1362" s="3" t="inlineStr"/>
      <c r="I1362" s="3" t="n"/>
      <c r="J1362" s="3" t="n"/>
      <c r="K1362" s="3" t="n"/>
      <c r="L1362" s="3" t="inlineStr"/>
      <c r="M1362" s="3" t="n"/>
      <c r="N1362" s="3" t="inlineStr"/>
      <c r="O1362" s="3" t="n"/>
      <c r="P1362" s="3" t="n"/>
      <c r="Q1362" s="3" t="n"/>
      <c r="R1362" s="3" t="n"/>
      <c r="S1362" s="3" t="n"/>
      <c r="T1362" s="3" t="n"/>
      <c r="U1362" s="3" t="n"/>
      <c r="V1362" s="3" t="n"/>
      <c r="W1362" s="3" t="n"/>
      <c r="X1362" s="3" t="n"/>
      <c r="Y1362" s="3" t="n"/>
      <c r="Z1362" s="3" t="n"/>
      <c r="AA1362" s="3" t="n"/>
    </row>
    <row r="1363">
      <c r="A1363" s="105" t="n"/>
      <c r="B1363" s="105" t="n"/>
      <c r="C1363" s="3" t="n"/>
      <c r="D1363" s="3" t="n"/>
      <c r="E1363" s="3" t="n"/>
      <c r="F1363" s="3" t="n"/>
      <c r="G1363" s="3" t="n"/>
      <c r="H1363" s="3" t="inlineStr"/>
      <c r="I1363" s="3" t="n"/>
      <c r="J1363" s="3" t="n"/>
      <c r="K1363" s="3" t="n"/>
      <c r="L1363" s="3" t="inlineStr"/>
      <c r="M1363" s="3" t="n"/>
      <c r="N1363" s="3" t="inlineStr"/>
      <c r="O1363" s="3" t="n"/>
      <c r="P1363" s="3" t="n"/>
      <c r="Q1363" s="3" t="n"/>
      <c r="R1363" s="3" t="n"/>
      <c r="S1363" s="3" t="n"/>
      <c r="T1363" s="3" t="n"/>
      <c r="U1363" s="3" t="n"/>
      <c r="V1363" s="3" t="n"/>
      <c r="W1363" s="3" t="n"/>
      <c r="X1363" s="3" t="n"/>
      <c r="Y1363" s="3" t="n"/>
      <c r="Z1363" s="3" t="n"/>
      <c r="AA1363" s="3" t="n"/>
    </row>
    <row r="1364">
      <c r="A1364" s="105" t="n"/>
      <c r="B1364" s="105" t="n"/>
      <c r="C1364" s="3" t="n"/>
      <c r="D1364" s="3" t="n"/>
      <c r="E1364" s="3" t="n"/>
      <c r="F1364" s="3" t="n"/>
      <c r="G1364" s="3" t="n"/>
      <c r="H1364" s="3" t="inlineStr"/>
      <c r="I1364" s="3" t="n"/>
      <c r="J1364" s="3" t="n"/>
      <c r="K1364" s="3" t="n"/>
      <c r="L1364" s="3" t="inlineStr"/>
      <c r="M1364" s="3" t="n"/>
      <c r="N1364" s="3" t="inlineStr"/>
      <c r="O1364" s="3" t="n"/>
      <c r="P1364" s="3" t="n"/>
      <c r="Q1364" s="3" t="n"/>
      <c r="R1364" s="3" t="n"/>
      <c r="S1364" s="3" t="n"/>
      <c r="T1364" s="3" t="n"/>
      <c r="U1364" s="3" t="n"/>
      <c r="V1364" s="3" t="n"/>
      <c r="W1364" s="3" t="n"/>
      <c r="X1364" s="3" t="n"/>
      <c r="Y1364" s="3" t="n"/>
      <c r="Z1364" s="3" t="n"/>
      <c r="AA1364" s="3" t="n"/>
    </row>
    <row r="1365">
      <c r="A1365" s="105" t="n"/>
      <c r="B1365" s="105" t="n"/>
      <c r="C1365" s="3" t="n"/>
      <c r="D1365" s="3" t="n"/>
      <c r="E1365" s="3" t="n"/>
      <c r="F1365" s="3" t="n"/>
      <c r="G1365" s="3" t="n"/>
      <c r="H1365" s="3" t="inlineStr"/>
      <c r="I1365" s="3" t="n"/>
      <c r="J1365" s="3" t="n"/>
      <c r="K1365" s="3" t="n"/>
      <c r="L1365" s="3" t="inlineStr"/>
      <c r="M1365" s="3" t="n"/>
      <c r="N1365" s="3" t="inlineStr"/>
      <c r="O1365" s="3" t="n"/>
      <c r="P1365" s="3" t="n"/>
      <c r="Q1365" s="3" t="n"/>
      <c r="R1365" s="3" t="n"/>
      <c r="S1365" s="3" t="n"/>
      <c r="T1365" s="3" t="n"/>
      <c r="U1365" s="3" t="n"/>
      <c r="V1365" s="3" t="n"/>
      <c r="W1365" s="3" t="n"/>
      <c r="X1365" s="3" t="n"/>
      <c r="Y1365" s="3" t="n"/>
      <c r="Z1365" s="3" t="n"/>
      <c r="AA1365" s="3" t="n"/>
    </row>
    <row r="1366">
      <c r="A1366" s="105" t="n"/>
      <c r="B1366" s="105" t="n"/>
      <c r="C1366" s="3" t="n"/>
      <c r="D1366" s="3" t="n"/>
      <c r="E1366" s="3" t="n"/>
      <c r="F1366" s="3" t="n"/>
      <c r="G1366" s="3" t="n"/>
      <c r="H1366" s="3" t="inlineStr"/>
      <c r="I1366" s="3" t="n"/>
      <c r="J1366" s="3" t="n"/>
      <c r="K1366" s="3" t="n"/>
      <c r="L1366" s="3" t="inlineStr"/>
      <c r="M1366" s="3" t="n"/>
      <c r="N1366" s="3" t="inlineStr"/>
      <c r="O1366" s="3" t="n"/>
      <c r="P1366" s="3" t="n"/>
      <c r="Q1366" s="3" t="n"/>
      <c r="R1366" s="3" t="n"/>
      <c r="S1366" s="3" t="n"/>
      <c r="T1366" s="3" t="n"/>
      <c r="U1366" s="3" t="n"/>
      <c r="V1366" s="3" t="n"/>
      <c r="W1366" s="3" t="n"/>
      <c r="X1366" s="3" t="n"/>
      <c r="Y1366" s="3" t="n"/>
      <c r="Z1366" s="3" t="n"/>
      <c r="AA1366" s="3" t="n"/>
    </row>
    <row r="1367">
      <c r="A1367" s="105" t="n"/>
      <c r="B1367" s="105" t="n"/>
      <c r="C1367" s="3" t="n"/>
      <c r="D1367" s="3" t="n"/>
      <c r="E1367" s="3" t="n"/>
      <c r="F1367" s="3" t="n"/>
      <c r="G1367" s="3" t="n"/>
      <c r="H1367" s="3" t="inlineStr"/>
      <c r="I1367" s="3" t="n"/>
      <c r="J1367" s="3" t="n"/>
      <c r="K1367" s="3" t="n"/>
      <c r="L1367" s="3" t="inlineStr"/>
      <c r="M1367" s="3" t="n"/>
      <c r="N1367" s="3" t="inlineStr"/>
      <c r="O1367" s="3" t="n"/>
      <c r="P1367" s="3" t="n"/>
      <c r="Q1367" s="3" t="n"/>
      <c r="R1367" s="3" t="n"/>
      <c r="S1367" s="3" t="n"/>
      <c r="T1367" s="3" t="n"/>
      <c r="U1367" s="3" t="n"/>
      <c r="V1367" s="3" t="n"/>
      <c r="W1367" s="3" t="n"/>
      <c r="X1367" s="3" t="n"/>
      <c r="Y1367" s="3" t="n"/>
      <c r="Z1367" s="3" t="n"/>
      <c r="AA1367" s="3" t="n"/>
    </row>
    <row r="1368">
      <c r="A1368" s="105" t="n"/>
      <c r="B1368" s="105" t="n"/>
      <c r="C1368" s="3" t="n"/>
      <c r="D1368" s="3" t="n"/>
      <c r="E1368" s="3" t="n"/>
      <c r="F1368" s="3" t="n"/>
      <c r="G1368" s="3" t="n"/>
      <c r="H1368" s="3" t="inlineStr"/>
      <c r="I1368" s="3" t="n"/>
      <c r="J1368" s="3" t="n"/>
      <c r="K1368" s="3" t="n"/>
      <c r="L1368" s="3" t="inlineStr"/>
      <c r="M1368" s="3" t="n"/>
      <c r="N1368" s="3" t="inlineStr"/>
      <c r="O1368" s="3" t="n"/>
      <c r="P1368" s="3" t="n"/>
      <c r="Q1368" s="3" t="n"/>
      <c r="R1368" s="3" t="n"/>
      <c r="S1368" s="3" t="n"/>
      <c r="T1368" s="3" t="n"/>
      <c r="U1368" s="3" t="n"/>
      <c r="V1368" s="3" t="n"/>
      <c r="W1368" s="3" t="n"/>
      <c r="X1368" s="3" t="n"/>
      <c r="Y1368" s="3" t="n"/>
      <c r="Z1368" s="3" t="n"/>
      <c r="AA1368" s="3" t="n"/>
    </row>
    <row r="1369">
      <c r="A1369" s="105" t="n"/>
      <c r="B1369" s="105" t="n"/>
      <c r="C1369" s="3" t="n"/>
      <c r="D1369" s="3" t="n"/>
      <c r="E1369" s="3" t="n"/>
      <c r="F1369" s="3" t="n"/>
      <c r="G1369" s="3" t="n"/>
      <c r="H1369" s="3" t="inlineStr"/>
      <c r="I1369" s="3" t="n"/>
      <c r="J1369" s="3" t="n"/>
      <c r="K1369" s="3" t="n"/>
      <c r="L1369" s="3" t="inlineStr"/>
      <c r="M1369" s="3" t="n"/>
      <c r="N1369" s="3" t="inlineStr"/>
      <c r="O1369" s="3" t="n"/>
      <c r="P1369" s="3" t="n"/>
      <c r="Q1369" s="3" t="n"/>
      <c r="R1369" s="3" t="n"/>
      <c r="S1369" s="3" t="n"/>
      <c r="T1369" s="3" t="n"/>
      <c r="U1369" s="3" t="n"/>
      <c r="V1369" s="3" t="n"/>
      <c r="W1369" s="3" t="n"/>
      <c r="X1369" s="3" t="n"/>
      <c r="Y1369" s="3" t="n"/>
      <c r="Z1369" s="3" t="n"/>
      <c r="AA1369" s="3" t="n"/>
    </row>
    <row r="1370">
      <c r="A1370" s="105" t="n"/>
      <c r="B1370" s="105" t="n"/>
      <c r="C1370" s="3" t="n"/>
      <c r="D1370" s="3" t="n"/>
      <c r="E1370" s="3" t="n"/>
      <c r="F1370" s="3" t="n"/>
      <c r="G1370" s="3" t="n"/>
      <c r="H1370" s="3" t="inlineStr"/>
      <c r="I1370" s="3" t="n"/>
      <c r="J1370" s="3" t="n"/>
      <c r="K1370" s="3" t="n"/>
      <c r="L1370" s="3" t="inlineStr"/>
      <c r="M1370" s="3" t="n"/>
      <c r="N1370" s="3" t="inlineStr"/>
      <c r="O1370" s="3" t="n"/>
      <c r="P1370" s="3" t="n"/>
      <c r="Q1370" s="3" t="n"/>
      <c r="R1370" s="3" t="n"/>
      <c r="S1370" s="3" t="n"/>
      <c r="T1370" s="3" t="n"/>
      <c r="U1370" s="3" t="n"/>
      <c r="V1370" s="3" t="n"/>
      <c r="W1370" s="3" t="n"/>
      <c r="X1370" s="3" t="n"/>
      <c r="Y1370" s="3" t="n"/>
      <c r="Z1370" s="3" t="n"/>
      <c r="AA1370" s="3" t="n"/>
    </row>
    <row r="1371">
      <c r="A1371" s="105" t="n"/>
      <c r="B1371" s="105" t="n"/>
      <c r="C1371" s="3" t="n"/>
      <c r="D1371" s="3" t="n"/>
      <c r="E1371" s="3" t="n"/>
      <c r="F1371" s="3" t="n"/>
      <c r="G1371" s="3" t="n"/>
      <c r="H1371" s="3" t="inlineStr"/>
      <c r="I1371" s="3" t="n"/>
      <c r="J1371" s="3" t="n"/>
      <c r="K1371" s="3" t="n"/>
      <c r="L1371" s="3" t="inlineStr"/>
      <c r="M1371" s="3" t="n"/>
      <c r="N1371" s="3" t="inlineStr"/>
      <c r="O1371" s="3" t="n"/>
      <c r="P1371" s="3" t="n"/>
      <c r="Q1371" s="3" t="n"/>
      <c r="R1371" s="3" t="n"/>
      <c r="S1371" s="3" t="n"/>
      <c r="T1371" s="3" t="n"/>
      <c r="U1371" s="3" t="n"/>
      <c r="V1371" s="3" t="n"/>
      <c r="W1371" s="3" t="n"/>
      <c r="X1371" s="3" t="n"/>
      <c r="Y1371" s="3" t="n"/>
      <c r="Z1371" s="3" t="n"/>
      <c r="AA1371" s="3" t="n"/>
    </row>
    <row r="1372">
      <c r="A1372" s="105" t="n"/>
      <c r="B1372" s="105" t="n"/>
      <c r="C1372" s="3" t="n"/>
      <c r="D1372" s="3" t="n"/>
      <c r="E1372" s="3" t="n"/>
      <c r="F1372" s="3" t="n"/>
      <c r="G1372" s="3" t="n"/>
      <c r="H1372" s="3" t="inlineStr"/>
      <c r="I1372" s="3" t="n"/>
      <c r="J1372" s="3" t="n"/>
      <c r="K1372" s="3" t="n"/>
      <c r="L1372" s="3" t="inlineStr"/>
      <c r="M1372" s="3" t="n"/>
      <c r="N1372" s="3" t="inlineStr"/>
      <c r="O1372" s="3" t="n"/>
      <c r="P1372" s="3" t="n"/>
      <c r="Q1372" s="3" t="n"/>
      <c r="R1372" s="3" t="n"/>
      <c r="S1372" s="3" t="n"/>
      <c r="T1372" s="3" t="n"/>
      <c r="U1372" s="3" t="n"/>
      <c r="V1372" s="3" t="n"/>
      <c r="W1372" s="3" t="n"/>
      <c r="X1372" s="3" t="n"/>
      <c r="Y1372" s="3" t="n"/>
      <c r="Z1372" s="3" t="n"/>
      <c r="AA1372" s="3" t="n"/>
    </row>
    <row r="1373">
      <c r="A1373" s="105" t="n"/>
      <c r="B1373" s="105" t="n"/>
      <c r="C1373" s="3" t="n"/>
      <c r="D1373" s="3" t="n"/>
      <c r="E1373" s="3" t="n"/>
      <c r="F1373" s="3" t="n"/>
      <c r="G1373" s="3" t="n"/>
      <c r="H1373" s="3" t="inlineStr"/>
      <c r="I1373" s="3" t="n"/>
      <c r="J1373" s="3" t="n"/>
      <c r="K1373" s="3" t="n"/>
      <c r="L1373" s="3" t="inlineStr"/>
      <c r="M1373" s="3" t="n"/>
      <c r="N1373" s="3" t="inlineStr"/>
      <c r="O1373" s="3" t="n"/>
      <c r="P1373" s="3" t="n"/>
      <c r="Q1373" s="3" t="n"/>
      <c r="R1373" s="3" t="n"/>
      <c r="S1373" s="3" t="n"/>
      <c r="T1373" s="3" t="n"/>
      <c r="U1373" s="3" t="n"/>
      <c r="V1373" s="3" t="n"/>
      <c r="W1373" s="3" t="n"/>
      <c r="X1373" s="3" t="n"/>
      <c r="Y1373" s="3" t="n"/>
      <c r="Z1373" s="3" t="n"/>
      <c r="AA1373" s="3" t="n"/>
    </row>
    <row r="1374">
      <c r="A1374" s="105" t="n"/>
      <c r="B1374" s="105" t="n"/>
      <c r="C1374" s="3" t="n"/>
      <c r="D1374" s="3" t="n"/>
      <c r="E1374" s="3" t="n"/>
      <c r="F1374" s="3" t="n"/>
      <c r="G1374" s="3" t="n"/>
      <c r="H1374" s="3" t="inlineStr"/>
      <c r="I1374" s="3" t="n"/>
      <c r="J1374" s="3" t="n"/>
      <c r="K1374" s="3" t="n"/>
      <c r="L1374" s="3" t="inlineStr"/>
      <c r="M1374" s="3" t="n"/>
      <c r="N1374" s="3" t="inlineStr"/>
      <c r="O1374" s="3" t="n"/>
      <c r="P1374" s="3" t="n"/>
      <c r="Q1374" s="3" t="n"/>
      <c r="R1374" s="3" t="n"/>
      <c r="S1374" s="3" t="n"/>
      <c r="T1374" s="3" t="n"/>
      <c r="U1374" s="3" t="n"/>
      <c r="V1374" s="3" t="n"/>
      <c r="W1374" s="3" t="n"/>
      <c r="X1374" s="3" t="n"/>
      <c r="Y1374" s="3" t="n"/>
      <c r="Z1374" s="3" t="n"/>
      <c r="AA1374" s="3" t="n"/>
    </row>
    <row r="1375">
      <c r="A1375" s="105" t="n"/>
      <c r="B1375" s="105" t="n"/>
      <c r="C1375" s="3" t="n"/>
      <c r="D1375" s="3" t="n"/>
      <c r="E1375" s="3" t="n"/>
      <c r="F1375" s="3" t="n"/>
      <c r="G1375" s="3" t="n"/>
      <c r="H1375" s="3" t="inlineStr"/>
      <c r="I1375" s="3" t="n"/>
      <c r="J1375" s="3" t="n"/>
      <c r="K1375" s="3" t="n"/>
      <c r="L1375" s="3" t="inlineStr"/>
      <c r="M1375" s="3" t="n"/>
      <c r="N1375" s="3" t="inlineStr"/>
      <c r="O1375" s="3" t="n"/>
      <c r="P1375" s="3" t="n"/>
      <c r="Q1375" s="3" t="n"/>
      <c r="R1375" s="3" t="n"/>
      <c r="S1375" s="3" t="n"/>
      <c r="T1375" s="3" t="n"/>
      <c r="U1375" s="3" t="n"/>
      <c r="V1375" s="3" t="n"/>
      <c r="W1375" s="3" t="n"/>
      <c r="X1375" s="3" t="n"/>
      <c r="Y1375" s="3" t="n"/>
      <c r="Z1375" s="3" t="n"/>
      <c r="AA1375" s="3" t="n"/>
    </row>
    <row r="1376">
      <c r="A1376" s="105" t="n"/>
      <c r="B1376" s="105" t="n"/>
      <c r="C1376" s="3" t="n"/>
      <c r="D1376" s="3" t="n"/>
      <c r="E1376" s="3" t="n"/>
      <c r="F1376" s="3" t="n"/>
      <c r="G1376" s="3" t="n"/>
      <c r="H1376" s="3" t="inlineStr"/>
      <c r="I1376" s="3" t="n"/>
      <c r="J1376" s="3" t="n"/>
      <c r="K1376" s="3" t="n"/>
      <c r="L1376" s="3" t="inlineStr"/>
      <c r="M1376" s="3" t="n"/>
      <c r="N1376" s="3" t="inlineStr"/>
      <c r="O1376" s="3" t="n"/>
      <c r="P1376" s="3" t="n"/>
      <c r="Q1376" s="3" t="n"/>
      <c r="R1376" s="3" t="n"/>
      <c r="S1376" s="3" t="n"/>
      <c r="T1376" s="3" t="n"/>
      <c r="U1376" s="3" t="n"/>
      <c r="V1376" s="3" t="n"/>
      <c r="W1376" s="3" t="n"/>
      <c r="X1376" s="3" t="n"/>
      <c r="Y1376" s="3" t="n"/>
      <c r="Z1376" s="3" t="n"/>
      <c r="AA1376" s="3" t="n"/>
    </row>
    <row r="1377">
      <c r="A1377" s="105" t="n"/>
      <c r="B1377" s="105" t="n"/>
      <c r="C1377" s="3" t="n"/>
      <c r="D1377" s="3" t="n"/>
      <c r="E1377" s="3" t="n"/>
      <c r="F1377" s="3" t="n"/>
      <c r="G1377" s="3" t="n"/>
      <c r="H1377" s="3" t="inlineStr"/>
      <c r="I1377" s="3" t="n"/>
      <c r="J1377" s="3" t="n"/>
      <c r="K1377" s="3" t="n"/>
      <c r="L1377" s="3" t="inlineStr"/>
      <c r="M1377" s="3" t="n"/>
      <c r="N1377" s="3" t="inlineStr"/>
      <c r="O1377" s="3" t="n"/>
      <c r="P1377" s="3" t="n"/>
      <c r="Q1377" s="3" t="n"/>
      <c r="R1377" s="3" t="n"/>
      <c r="S1377" s="3" t="n"/>
      <c r="T1377" s="3" t="n"/>
      <c r="U1377" s="3" t="n"/>
      <c r="V1377" s="3" t="n"/>
      <c r="W1377" s="3" t="n"/>
      <c r="X1377" s="3" t="n"/>
      <c r="Y1377" s="3" t="n"/>
      <c r="Z1377" s="3" t="n"/>
      <c r="AA1377" s="3" t="n"/>
    </row>
    <row r="1378">
      <c r="A1378" s="105" t="n"/>
      <c r="B1378" s="105" t="n"/>
      <c r="C1378" s="3" t="n"/>
      <c r="D1378" s="3" t="n"/>
      <c r="E1378" s="3" t="n"/>
      <c r="F1378" s="3" t="n"/>
      <c r="G1378" s="3" t="n"/>
      <c r="H1378" s="3" t="inlineStr"/>
      <c r="I1378" s="3" t="n"/>
      <c r="J1378" s="3" t="n"/>
      <c r="K1378" s="3" t="n"/>
      <c r="L1378" s="3" t="inlineStr"/>
      <c r="M1378" s="3" t="n"/>
      <c r="N1378" s="3" t="inlineStr"/>
      <c r="O1378" s="3" t="n"/>
      <c r="P1378" s="3" t="n"/>
      <c r="Q1378" s="3" t="n"/>
      <c r="R1378" s="3" t="n"/>
      <c r="S1378" s="3" t="n"/>
      <c r="T1378" s="3" t="n"/>
      <c r="U1378" s="3" t="n"/>
      <c r="V1378" s="3" t="n"/>
      <c r="W1378" s="3" t="n"/>
      <c r="X1378" s="3" t="n"/>
      <c r="Y1378" s="3" t="n"/>
      <c r="Z1378" s="3" t="n"/>
      <c r="AA1378" s="3" t="n"/>
    </row>
    <row r="1379">
      <c r="A1379" s="105" t="n"/>
      <c r="B1379" s="105" t="n"/>
      <c r="C1379" s="3" t="n"/>
      <c r="D1379" s="3" t="n"/>
      <c r="E1379" s="3" t="n"/>
      <c r="F1379" s="3" t="n"/>
      <c r="G1379" s="3" t="n"/>
      <c r="H1379" s="3" t="inlineStr"/>
      <c r="I1379" s="3" t="n"/>
      <c r="J1379" s="3" t="n"/>
      <c r="K1379" s="3" t="n"/>
      <c r="L1379" s="3" t="inlineStr"/>
      <c r="M1379" s="3" t="n"/>
      <c r="N1379" s="3" t="inlineStr"/>
      <c r="O1379" s="3" t="n"/>
      <c r="P1379" s="3" t="n"/>
      <c r="Q1379" s="3" t="n"/>
      <c r="R1379" s="3" t="n"/>
      <c r="S1379" s="3" t="n"/>
      <c r="T1379" s="3" t="n"/>
      <c r="U1379" s="3" t="n"/>
      <c r="V1379" s="3" t="n"/>
      <c r="W1379" s="3" t="n"/>
      <c r="X1379" s="3" t="n"/>
      <c r="Y1379" s="3" t="n"/>
      <c r="Z1379" s="3" t="n"/>
      <c r="AA1379" s="3" t="n"/>
    </row>
    <row r="1380">
      <c r="A1380" s="105" t="n"/>
      <c r="B1380" s="105" t="n"/>
      <c r="C1380" s="3" t="n"/>
      <c r="D1380" s="3" t="n"/>
      <c r="E1380" s="3" t="n"/>
      <c r="F1380" s="3" t="n"/>
      <c r="G1380" s="3" t="n"/>
      <c r="H1380" s="3" t="inlineStr"/>
      <c r="I1380" s="3" t="n"/>
      <c r="J1380" s="3" t="n"/>
      <c r="K1380" s="3" t="n"/>
      <c r="L1380" s="3" t="inlineStr"/>
      <c r="M1380" s="3" t="n"/>
      <c r="N1380" s="3" t="inlineStr"/>
      <c r="O1380" s="3" t="n"/>
      <c r="P1380" s="3" t="n"/>
      <c r="Q1380" s="3" t="n"/>
      <c r="R1380" s="3" t="n"/>
      <c r="S1380" s="3" t="n"/>
      <c r="T1380" s="3" t="n"/>
      <c r="U1380" s="3" t="n"/>
      <c r="V1380" s="3" t="n"/>
      <c r="W1380" s="3" t="n"/>
      <c r="X1380" s="3" t="n"/>
      <c r="Y1380" s="3" t="n"/>
      <c r="Z1380" s="3" t="n"/>
      <c r="AA1380" s="3" t="n"/>
    </row>
    <row r="1381">
      <c r="A1381" s="105" t="n"/>
      <c r="B1381" s="105" t="n"/>
      <c r="C1381" s="3" t="n"/>
      <c r="D1381" s="3" t="n"/>
      <c r="E1381" s="3" t="n"/>
      <c r="F1381" s="3" t="n"/>
      <c r="G1381" s="3" t="n"/>
      <c r="H1381" s="3" t="inlineStr"/>
      <c r="I1381" s="3" t="n"/>
      <c r="J1381" s="3" t="n"/>
      <c r="K1381" s="3" t="n"/>
      <c r="L1381" s="3" t="inlineStr"/>
      <c r="M1381" s="3" t="n"/>
      <c r="N1381" s="3" t="inlineStr"/>
      <c r="O1381" s="3" t="n"/>
      <c r="P1381" s="3" t="n"/>
      <c r="Q1381" s="3" t="n"/>
      <c r="R1381" s="3" t="n"/>
      <c r="S1381" s="3" t="n"/>
      <c r="T1381" s="3" t="n"/>
      <c r="U1381" s="3" t="n"/>
      <c r="V1381" s="3" t="n"/>
      <c r="W1381" s="3" t="n"/>
      <c r="X1381" s="3" t="n"/>
      <c r="Y1381" s="3" t="n"/>
      <c r="Z1381" s="3" t="n"/>
      <c r="AA1381" s="3" t="n"/>
    </row>
    <row r="1382">
      <c r="A1382" s="105" t="n"/>
      <c r="B1382" s="105" t="n"/>
      <c r="C1382" s="3" t="n"/>
      <c r="D1382" s="3" t="n"/>
      <c r="E1382" s="3" t="n"/>
      <c r="F1382" s="3" t="n"/>
      <c r="G1382" s="3" t="n"/>
      <c r="H1382" s="3" t="inlineStr"/>
      <c r="I1382" s="3" t="n"/>
      <c r="J1382" s="3" t="n"/>
      <c r="K1382" s="3" t="n"/>
      <c r="L1382" s="3" t="inlineStr"/>
      <c r="M1382" s="3" t="n"/>
      <c r="N1382" s="3" t="inlineStr"/>
      <c r="O1382" s="3" t="n"/>
      <c r="P1382" s="3" t="n"/>
      <c r="Q1382" s="3" t="n"/>
      <c r="R1382" s="3" t="n"/>
      <c r="S1382" s="3" t="n"/>
      <c r="T1382" s="3" t="n"/>
      <c r="U1382" s="3" t="n"/>
      <c r="V1382" s="3" t="n"/>
      <c r="W1382" s="3" t="n"/>
      <c r="X1382" s="3" t="n"/>
      <c r="Y1382" s="3" t="n"/>
      <c r="Z1382" s="3" t="n"/>
      <c r="AA1382" s="3" t="n"/>
    </row>
    <row r="1383">
      <c r="A1383" s="105" t="n"/>
      <c r="B1383" s="105" t="n"/>
      <c r="C1383" s="3" t="n"/>
      <c r="D1383" s="3" t="n"/>
      <c r="E1383" s="3" t="n"/>
      <c r="F1383" s="3" t="n"/>
      <c r="G1383" s="3" t="n"/>
      <c r="H1383" s="3" t="inlineStr"/>
      <c r="I1383" s="3" t="n"/>
      <c r="J1383" s="3" t="n"/>
      <c r="K1383" s="3" t="n"/>
      <c r="L1383" s="3" t="inlineStr"/>
      <c r="M1383" s="3" t="n"/>
      <c r="N1383" s="3" t="inlineStr"/>
      <c r="O1383" s="3" t="n"/>
      <c r="P1383" s="3" t="n"/>
      <c r="Q1383" s="3" t="n"/>
      <c r="R1383" s="3" t="n"/>
      <c r="S1383" s="3" t="n"/>
      <c r="T1383" s="3" t="n"/>
      <c r="U1383" s="3" t="n"/>
      <c r="V1383" s="3" t="n"/>
      <c r="W1383" s="3" t="n"/>
      <c r="X1383" s="3" t="n"/>
      <c r="Y1383" s="3" t="n"/>
      <c r="Z1383" s="3" t="n"/>
      <c r="AA1383" s="3" t="n"/>
    </row>
    <row r="1384">
      <c r="A1384" s="105" t="n"/>
      <c r="B1384" s="105" t="n"/>
      <c r="C1384" s="3" t="n"/>
      <c r="D1384" s="3" t="n"/>
      <c r="E1384" s="3" t="n"/>
      <c r="F1384" s="3" t="n"/>
      <c r="G1384" s="3" t="n"/>
      <c r="H1384" s="3" t="inlineStr"/>
      <c r="I1384" s="3" t="n"/>
      <c r="J1384" s="3" t="n"/>
      <c r="K1384" s="3" t="n"/>
      <c r="L1384" s="3" t="inlineStr"/>
      <c r="M1384" s="3" t="n"/>
      <c r="N1384" s="3" t="inlineStr"/>
      <c r="O1384" s="3" t="n"/>
      <c r="P1384" s="3" t="n"/>
      <c r="Q1384" s="3" t="n"/>
      <c r="R1384" s="3" t="n"/>
      <c r="S1384" s="3" t="n"/>
      <c r="T1384" s="3" t="n"/>
      <c r="U1384" s="3" t="n"/>
      <c r="V1384" s="3" t="n"/>
      <c r="W1384" s="3" t="n"/>
      <c r="X1384" s="3" t="n"/>
      <c r="Y1384" s="3" t="n"/>
      <c r="Z1384" s="3" t="n"/>
      <c r="AA1384" s="3" t="n"/>
    </row>
    <row r="1385">
      <c r="A1385" s="105" t="n"/>
      <c r="B1385" s="105" t="n"/>
      <c r="C1385" s="3" t="n"/>
      <c r="D1385" s="3" t="n"/>
      <c r="E1385" s="3" t="n"/>
      <c r="F1385" s="3" t="n"/>
      <c r="G1385" s="3" t="n"/>
      <c r="H1385" s="3" t="inlineStr"/>
      <c r="I1385" s="3" t="n"/>
      <c r="J1385" s="3" t="n"/>
      <c r="K1385" s="3" t="n"/>
      <c r="L1385" s="3" t="inlineStr"/>
      <c r="M1385" s="3" t="n"/>
      <c r="N1385" s="3" t="inlineStr"/>
      <c r="O1385" s="3" t="n"/>
      <c r="P1385" s="3" t="n"/>
      <c r="Q1385" s="3" t="n"/>
      <c r="R1385" s="3" t="n"/>
      <c r="S1385" s="3" t="n"/>
      <c r="T1385" s="3" t="n"/>
      <c r="U1385" s="3" t="n"/>
      <c r="V1385" s="3" t="n"/>
      <c r="W1385" s="3" t="n"/>
      <c r="X1385" s="3" t="n"/>
      <c r="Y1385" s="3" t="n"/>
      <c r="Z1385" s="3" t="n"/>
      <c r="AA1385" s="3" t="n"/>
    </row>
    <row r="1386">
      <c r="A1386" s="105" t="n"/>
      <c r="B1386" s="105" t="n"/>
      <c r="C1386" s="3" t="n"/>
      <c r="D1386" s="3" t="n"/>
      <c r="E1386" s="3" t="n"/>
      <c r="F1386" s="3" t="n"/>
      <c r="G1386" s="3" t="n"/>
      <c r="H1386" s="3" t="inlineStr"/>
      <c r="I1386" s="3" t="n"/>
      <c r="J1386" s="3" t="n"/>
      <c r="K1386" s="3" t="n"/>
      <c r="L1386" s="3" t="inlineStr"/>
      <c r="M1386" s="3" t="n"/>
      <c r="N1386" s="3" t="inlineStr"/>
      <c r="O1386" s="3" t="n"/>
      <c r="P1386" s="3" t="n"/>
      <c r="Q1386" s="3" t="n"/>
      <c r="R1386" s="3" t="n"/>
      <c r="S1386" s="3" t="n"/>
      <c r="T1386" s="3" t="n"/>
      <c r="U1386" s="3" t="n"/>
      <c r="V1386" s="3" t="n"/>
      <c r="W1386" s="3" t="n"/>
      <c r="X1386" s="3" t="n"/>
      <c r="Y1386" s="3" t="n"/>
      <c r="Z1386" s="3" t="n"/>
      <c r="AA1386" s="3" t="n"/>
    </row>
    <row r="1387">
      <c r="A1387" s="105" t="n"/>
      <c r="B1387" s="105" t="n"/>
      <c r="C1387" s="3" t="n"/>
      <c r="D1387" s="3" t="n"/>
      <c r="E1387" s="3" t="n"/>
      <c r="F1387" s="3" t="n"/>
      <c r="G1387" s="3" t="n"/>
      <c r="H1387" s="3" t="inlineStr"/>
      <c r="I1387" s="3" t="n"/>
      <c r="J1387" s="3" t="n"/>
      <c r="K1387" s="3" t="n"/>
      <c r="L1387" s="3" t="inlineStr"/>
      <c r="M1387" s="3" t="n"/>
      <c r="N1387" s="3" t="inlineStr"/>
      <c r="O1387" s="3" t="n"/>
      <c r="P1387" s="3" t="n"/>
      <c r="Q1387" s="3" t="n"/>
      <c r="R1387" s="3" t="n"/>
      <c r="S1387" s="3" t="n"/>
      <c r="T1387" s="3" t="n"/>
      <c r="U1387" s="3" t="n"/>
      <c r="V1387" s="3" t="n"/>
      <c r="W1387" s="3" t="n"/>
      <c r="X1387" s="3" t="n"/>
      <c r="Y1387" s="3" t="n"/>
      <c r="Z1387" s="3" t="n"/>
      <c r="AA1387" s="3" t="n"/>
    </row>
    <row r="1388">
      <c r="A1388" s="105" t="n"/>
      <c r="B1388" s="105" t="n"/>
      <c r="C1388" s="3" t="n"/>
      <c r="D1388" s="3" t="n"/>
      <c r="E1388" s="3" t="n"/>
      <c r="F1388" s="3" t="n"/>
      <c r="G1388" s="3" t="n"/>
      <c r="H1388" s="3" t="inlineStr"/>
      <c r="I1388" s="3" t="n"/>
      <c r="J1388" s="3" t="n"/>
      <c r="K1388" s="3" t="n"/>
      <c r="L1388" s="3" t="inlineStr"/>
      <c r="M1388" s="3" t="n"/>
      <c r="N1388" s="3" t="inlineStr"/>
      <c r="O1388" s="3" t="n"/>
      <c r="P1388" s="3" t="n"/>
      <c r="Q1388" s="3" t="n"/>
      <c r="R1388" s="3" t="n"/>
      <c r="S1388" s="3" t="n"/>
      <c r="T1388" s="3" t="n"/>
      <c r="U1388" s="3" t="n"/>
      <c r="V1388" s="3" t="n"/>
      <c r="W1388" s="3" t="n"/>
      <c r="X1388" s="3" t="n"/>
      <c r="Y1388" s="3" t="n"/>
      <c r="Z1388" s="3" t="n"/>
      <c r="AA1388" s="3" t="n"/>
    </row>
    <row r="1389">
      <c r="A1389" s="105" t="n"/>
      <c r="B1389" s="105" t="n"/>
      <c r="C1389" s="3" t="n"/>
      <c r="D1389" s="3" t="n"/>
      <c r="E1389" s="3" t="n"/>
      <c r="F1389" s="3" t="n"/>
      <c r="G1389" s="3" t="n"/>
      <c r="H1389" s="3" t="inlineStr"/>
      <c r="I1389" s="3" t="n"/>
      <c r="J1389" s="3" t="n"/>
      <c r="K1389" s="3" t="n"/>
      <c r="L1389" s="3" t="inlineStr"/>
      <c r="M1389" s="3" t="n"/>
      <c r="N1389" s="3" t="inlineStr"/>
      <c r="O1389" s="3" t="n"/>
      <c r="P1389" s="3" t="n"/>
      <c r="Q1389" s="3" t="n"/>
      <c r="R1389" s="3" t="n"/>
      <c r="S1389" s="3" t="n"/>
      <c r="T1389" s="3" t="n"/>
      <c r="U1389" s="3" t="n"/>
      <c r="V1389" s="3" t="n"/>
      <c r="W1389" s="3" t="n"/>
      <c r="X1389" s="3" t="n"/>
      <c r="Y1389" s="3" t="n"/>
      <c r="Z1389" s="3" t="n"/>
      <c r="AA1389" s="3" t="n"/>
    </row>
    <row r="1390">
      <c r="A1390" s="105" t="n"/>
      <c r="B1390" s="105" t="n"/>
      <c r="C1390" s="3" t="n"/>
      <c r="D1390" s="3" t="n"/>
      <c r="E1390" s="3" t="n"/>
      <c r="F1390" s="3" t="n"/>
      <c r="G1390" s="3" t="n"/>
      <c r="H1390" s="3" t="inlineStr"/>
      <c r="I1390" s="3" t="n"/>
      <c r="J1390" s="3" t="n"/>
      <c r="K1390" s="3" t="n"/>
      <c r="L1390" s="3" t="inlineStr"/>
      <c r="M1390" s="3" t="n"/>
      <c r="N1390" s="3" t="inlineStr"/>
      <c r="O1390" s="3" t="n"/>
      <c r="P1390" s="3" t="n"/>
      <c r="Q1390" s="3" t="n"/>
      <c r="R1390" s="3" t="n"/>
      <c r="S1390" s="3" t="n"/>
      <c r="T1390" s="3" t="n"/>
      <c r="U1390" s="3" t="n"/>
      <c r="V1390" s="3" t="n"/>
      <c r="W1390" s="3" t="n"/>
      <c r="X1390" s="3" t="n"/>
      <c r="Y1390" s="3" t="n"/>
      <c r="Z1390" s="3" t="n"/>
      <c r="AA1390" s="3" t="n"/>
    </row>
    <row r="1391">
      <c r="A1391" s="105" t="n"/>
      <c r="B1391" s="105" t="n"/>
      <c r="C1391" s="3" t="n"/>
      <c r="D1391" s="3" t="n"/>
      <c r="E1391" s="3" t="n"/>
      <c r="F1391" s="3" t="n"/>
      <c r="G1391" s="3" t="n"/>
      <c r="H1391" s="3" t="inlineStr"/>
      <c r="I1391" s="3" t="n"/>
      <c r="J1391" s="3" t="n"/>
      <c r="K1391" s="3" t="n"/>
      <c r="L1391" s="3" t="inlineStr"/>
      <c r="M1391" s="3" t="n"/>
      <c r="N1391" s="3" t="inlineStr"/>
      <c r="O1391" s="3" t="n"/>
      <c r="P1391" s="3" t="n"/>
      <c r="Q1391" s="3" t="n"/>
      <c r="R1391" s="3" t="n"/>
      <c r="S1391" s="3" t="n"/>
      <c r="T1391" s="3" t="n"/>
      <c r="U1391" s="3" t="n"/>
      <c r="V1391" s="3" t="n"/>
      <c r="W1391" s="3" t="n"/>
      <c r="X1391" s="3" t="n"/>
      <c r="Y1391" s="3" t="n"/>
      <c r="Z1391" s="3" t="n"/>
      <c r="AA1391" s="3" t="n"/>
    </row>
    <row r="1392">
      <c r="A1392" s="105" t="n"/>
      <c r="B1392" s="105" t="n"/>
      <c r="C1392" s="3" t="n"/>
      <c r="D1392" s="3" t="n"/>
      <c r="E1392" s="3" t="n"/>
      <c r="F1392" s="3" t="n"/>
      <c r="G1392" s="3" t="n"/>
      <c r="H1392" s="3" t="inlineStr"/>
      <c r="I1392" s="3" t="n"/>
      <c r="J1392" s="3" t="n"/>
      <c r="K1392" s="3" t="n"/>
      <c r="L1392" s="3" t="inlineStr"/>
      <c r="M1392" s="3" t="n"/>
      <c r="N1392" s="3" t="inlineStr"/>
      <c r="O1392" s="3" t="n"/>
      <c r="P1392" s="3" t="n"/>
      <c r="Q1392" s="3" t="n"/>
      <c r="R1392" s="3" t="n"/>
      <c r="S1392" s="3" t="n"/>
      <c r="T1392" s="3" t="n"/>
      <c r="U1392" s="3" t="n"/>
      <c r="V1392" s="3" t="n"/>
      <c r="W1392" s="3" t="n"/>
      <c r="X1392" s="3" t="n"/>
      <c r="Y1392" s="3" t="n"/>
      <c r="Z1392" s="3" t="n"/>
      <c r="AA1392" s="3" t="n"/>
    </row>
    <row r="1393">
      <c r="A1393" s="105" t="n"/>
      <c r="B1393" s="105" t="n"/>
      <c r="C1393" s="3" t="n"/>
      <c r="D1393" s="3" t="n"/>
      <c r="E1393" s="3" t="n"/>
      <c r="F1393" s="3" t="n"/>
      <c r="G1393" s="3" t="n"/>
      <c r="H1393" s="3" t="inlineStr"/>
      <c r="I1393" s="3" t="n"/>
      <c r="J1393" s="3" t="n"/>
      <c r="K1393" s="3" t="n"/>
      <c r="L1393" s="3" t="inlineStr"/>
      <c r="M1393" s="3" t="n"/>
      <c r="N1393" s="3" t="inlineStr"/>
      <c r="O1393" s="3" t="n"/>
      <c r="P1393" s="3" t="n"/>
      <c r="Q1393" s="3" t="n"/>
      <c r="R1393" s="3" t="n"/>
      <c r="S1393" s="3" t="n"/>
      <c r="T1393" s="3" t="n"/>
      <c r="U1393" s="3" t="n"/>
      <c r="V1393" s="3" t="n"/>
      <c r="W1393" s="3" t="n"/>
      <c r="X1393" s="3" t="n"/>
      <c r="Y1393" s="3" t="n"/>
      <c r="Z1393" s="3" t="n"/>
      <c r="AA1393" s="3" t="n"/>
    </row>
    <row r="1394">
      <c r="A1394" s="105" t="n"/>
      <c r="B1394" s="105" t="n"/>
      <c r="C1394" s="3" t="n"/>
      <c r="D1394" s="3" t="n"/>
      <c r="E1394" s="3" t="n"/>
      <c r="F1394" s="3" t="n"/>
      <c r="G1394" s="3" t="n"/>
      <c r="H1394" s="3" t="inlineStr"/>
      <c r="I1394" s="3" t="n"/>
      <c r="J1394" s="3" t="n"/>
      <c r="K1394" s="3" t="n"/>
      <c r="L1394" s="3" t="inlineStr"/>
      <c r="M1394" s="3" t="n"/>
      <c r="N1394" s="3" t="inlineStr"/>
      <c r="O1394" s="3" t="n"/>
      <c r="P1394" s="3" t="n"/>
      <c r="Q1394" s="3" t="n"/>
      <c r="R1394" s="3" t="n"/>
      <c r="S1394" s="3" t="n"/>
      <c r="T1394" s="3" t="n"/>
      <c r="U1394" s="3" t="n"/>
      <c r="V1394" s="3" t="n"/>
      <c r="W1394" s="3" t="n"/>
      <c r="X1394" s="3" t="n"/>
      <c r="Y1394" s="3" t="n"/>
      <c r="Z1394" s="3" t="n"/>
      <c r="AA1394" s="3" t="n"/>
    </row>
    <row r="1395">
      <c r="A1395" s="105" t="n"/>
      <c r="B1395" s="105" t="n"/>
      <c r="C1395" s="3" t="n"/>
      <c r="D1395" s="3" t="n"/>
      <c r="E1395" s="3" t="n"/>
      <c r="F1395" s="3" t="n"/>
      <c r="G1395" s="3" t="n"/>
      <c r="H1395" s="3" t="inlineStr"/>
      <c r="I1395" s="3" t="n"/>
      <c r="J1395" s="3" t="n"/>
      <c r="K1395" s="3" t="n"/>
      <c r="L1395" s="3" t="inlineStr"/>
      <c r="M1395" s="3" t="n"/>
      <c r="N1395" s="3" t="inlineStr"/>
      <c r="O1395" s="3" t="n"/>
      <c r="P1395" s="3" t="n"/>
      <c r="Q1395" s="3" t="n"/>
      <c r="R1395" s="3" t="n"/>
      <c r="S1395" s="3" t="n"/>
      <c r="T1395" s="3" t="n"/>
      <c r="U1395" s="3" t="n"/>
      <c r="V1395" s="3" t="n"/>
      <c r="W1395" s="3" t="n"/>
      <c r="X1395" s="3" t="n"/>
      <c r="Y1395" s="3" t="n"/>
      <c r="Z1395" s="3" t="n"/>
      <c r="AA1395" s="3" t="n"/>
    </row>
    <row r="1396">
      <c r="A1396" s="105" t="n"/>
      <c r="B1396" s="105" t="n"/>
      <c r="C1396" s="3" t="n"/>
      <c r="D1396" s="3" t="n"/>
      <c r="E1396" s="3" t="n"/>
      <c r="F1396" s="3" t="n"/>
      <c r="G1396" s="3" t="n"/>
      <c r="H1396" s="3" t="inlineStr"/>
      <c r="I1396" s="3" t="n"/>
      <c r="J1396" s="3" t="n"/>
      <c r="K1396" s="3" t="n"/>
      <c r="L1396" s="3" t="inlineStr"/>
      <c r="M1396" s="3" t="n"/>
      <c r="N1396" s="3" t="inlineStr"/>
      <c r="O1396" s="3" t="n"/>
      <c r="P1396" s="3" t="n"/>
      <c r="Q1396" s="3" t="n"/>
      <c r="R1396" s="3" t="n"/>
      <c r="S1396" s="3" t="n"/>
      <c r="T1396" s="3" t="n"/>
      <c r="U1396" s="3" t="n"/>
      <c r="V1396" s="3" t="n"/>
      <c r="W1396" s="3" t="n"/>
      <c r="X1396" s="3" t="n"/>
      <c r="Y1396" s="3" t="n"/>
      <c r="Z1396" s="3" t="n"/>
      <c r="AA1396" s="3" t="n"/>
    </row>
    <row r="1397">
      <c r="A1397" s="105" t="n"/>
      <c r="B1397" s="105" t="n"/>
      <c r="C1397" s="3" t="n"/>
      <c r="D1397" s="3" t="n"/>
      <c r="E1397" s="3" t="n"/>
      <c r="F1397" s="3" t="n"/>
      <c r="G1397" s="3" t="n"/>
      <c r="H1397" s="3" t="inlineStr"/>
      <c r="I1397" s="3" t="n"/>
      <c r="J1397" s="3" t="n"/>
      <c r="K1397" s="3" t="n"/>
      <c r="L1397" s="3" t="inlineStr"/>
      <c r="M1397" s="3" t="n"/>
      <c r="N1397" s="3" t="inlineStr"/>
      <c r="O1397" s="3" t="n"/>
      <c r="P1397" s="3" t="n"/>
      <c r="Q1397" s="3" t="n"/>
      <c r="R1397" s="3" t="n"/>
      <c r="S1397" s="3" t="n"/>
      <c r="T1397" s="3" t="n"/>
      <c r="U1397" s="3" t="n"/>
      <c r="V1397" s="3" t="n"/>
      <c r="W1397" s="3" t="n"/>
      <c r="X1397" s="3" t="n"/>
      <c r="Y1397" s="3" t="n"/>
      <c r="Z1397" s="3" t="n"/>
      <c r="AA1397" s="3" t="n"/>
    </row>
    <row r="1398">
      <c r="A1398" s="105" t="n"/>
      <c r="B1398" s="105" t="n"/>
      <c r="C1398" s="3" t="n"/>
      <c r="D1398" s="3" t="n"/>
      <c r="E1398" s="3" t="n"/>
      <c r="F1398" s="3" t="n"/>
      <c r="G1398" s="3" t="n"/>
      <c r="H1398" s="3" t="inlineStr"/>
      <c r="I1398" s="3" t="n"/>
      <c r="J1398" s="3" t="n"/>
      <c r="K1398" s="3" t="n"/>
      <c r="L1398" s="3" t="inlineStr"/>
      <c r="M1398" s="3" t="n"/>
      <c r="N1398" s="3" t="inlineStr"/>
      <c r="O1398" s="3" t="n"/>
      <c r="P1398" s="3" t="n"/>
      <c r="Q1398" s="3" t="n"/>
      <c r="R1398" s="3" t="n"/>
      <c r="S1398" s="3" t="n"/>
      <c r="T1398" s="3" t="n"/>
      <c r="U1398" s="3" t="n"/>
      <c r="V1398" s="3" t="n"/>
      <c r="W1398" s="3" t="n"/>
      <c r="X1398" s="3" t="n"/>
      <c r="Y1398" s="3" t="n"/>
      <c r="Z1398" s="3" t="n"/>
      <c r="AA1398" s="3" t="n"/>
    </row>
    <row r="1399">
      <c r="A1399" s="105" t="n"/>
      <c r="B1399" s="105" t="n"/>
      <c r="C1399" s="3" t="n"/>
      <c r="D1399" s="3" t="n"/>
      <c r="E1399" s="3" t="n"/>
      <c r="F1399" s="3" t="n"/>
      <c r="G1399" s="3" t="n"/>
      <c r="H1399" s="3" t="inlineStr"/>
      <c r="I1399" s="3" t="n"/>
      <c r="J1399" s="3" t="n"/>
      <c r="K1399" s="3" t="n"/>
      <c r="L1399" s="3" t="inlineStr"/>
      <c r="M1399" s="3" t="n"/>
      <c r="N1399" s="3" t="inlineStr"/>
      <c r="O1399" s="3" t="n"/>
      <c r="P1399" s="3" t="n"/>
      <c r="Q1399" s="3" t="n"/>
      <c r="R1399" s="3" t="n"/>
      <c r="S1399" s="3" t="n"/>
      <c r="T1399" s="3" t="n"/>
      <c r="U1399" s="3" t="n"/>
      <c r="V1399" s="3" t="n"/>
      <c r="W1399" s="3" t="n"/>
      <c r="X1399" s="3" t="n"/>
      <c r="Y1399" s="3" t="n"/>
      <c r="Z1399" s="3" t="n"/>
      <c r="AA1399" s="3" t="n"/>
    </row>
    <row r="1400">
      <c r="A1400" s="105" t="n"/>
      <c r="B1400" s="105" t="n"/>
      <c r="C1400" s="3" t="n"/>
      <c r="D1400" s="3" t="n"/>
      <c r="E1400" s="3" t="n"/>
      <c r="F1400" s="3" t="n"/>
      <c r="G1400" s="3" t="n"/>
      <c r="H1400" s="3" t="inlineStr"/>
      <c r="I1400" s="3" t="n"/>
      <c r="J1400" s="3" t="n"/>
      <c r="K1400" s="3" t="n"/>
      <c r="L1400" s="3" t="inlineStr"/>
      <c r="M1400" s="3" t="n"/>
      <c r="N1400" s="3" t="inlineStr"/>
      <c r="O1400" s="3" t="n"/>
      <c r="P1400" s="3" t="n"/>
      <c r="Q1400" s="3" t="n"/>
      <c r="R1400" s="3" t="n"/>
      <c r="S1400" s="3" t="n"/>
      <c r="T1400" s="3" t="n"/>
      <c r="U1400" s="3" t="n"/>
      <c r="V1400" s="3" t="n"/>
      <c r="W1400" s="3" t="n"/>
      <c r="X1400" s="3" t="n"/>
      <c r="Y1400" s="3" t="n"/>
      <c r="Z1400" s="3" t="n"/>
      <c r="AA1400" s="3" t="n"/>
    </row>
    <row r="1401">
      <c r="A1401" s="105" t="n"/>
      <c r="B1401" s="105" t="n"/>
      <c r="C1401" s="3" t="n"/>
      <c r="D1401" s="3" t="n"/>
      <c r="E1401" s="3" t="n"/>
      <c r="F1401" s="3" t="n"/>
      <c r="G1401" s="3" t="n"/>
      <c r="H1401" s="3" t="inlineStr"/>
      <c r="I1401" s="3" t="n"/>
      <c r="J1401" s="3" t="n"/>
      <c r="K1401" s="3" t="n"/>
      <c r="L1401" s="3" t="inlineStr"/>
      <c r="M1401" s="3" t="n"/>
      <c r="N1401" s="3" t="inlineStr"/>
      <c r="O1401" s="3" t="n"/>
      <c r="P1401" s="3" t="n"/>
      <c r="Q1401" s="3" t="n"/>
      <c r="R1401" s="3" t="n"/>
      <c r="S1401" s="3" t="n"/>
      <c r="T1401" s="3" t="n"/>
      <c r="U1401" s="3" t="n"/>
      <c r="V1401" s="3" t="n"/>
      <c r="W1401" s="3" t="n"/>
      <c r="X1401" s="3" t="n"/>
      <c r="Y1401" s="3" t="n"/>
      <c r="Z1401" s="3" t="n"/>
      <c r="AA1401" s="3" t="n"/>
    </row>
    <row r="1402">
      <c r="A1402" s="105" t="n"/>
      <c r="B1402" s="105" t="n"/>
      <c r="C1402" s="3" t="n"/>
      <c r="D1402" s="3" t="n"/>
      <c r="E1402" s="3" t="n"/>
      <c r="F1402" s="3" t="n"/>
      <c r="G1402" s="3" t="n"/>
      <c r="H1402" s="3" t="inlineStr"/>
      <c r="I1402" s="3" t="n"/>
      <c r="J1402" s="3" t="n"/>
      <c r="K1402" s="3" t="n"/>
      <c r="L1402" s="3" t="inlineStr"/>
      <c r="M1402" s="3" t="n"/>
      <c r="N1402" s="3" t="inlineStr"/>
      <c r="O1402" s="3" t="n"/>
      <c r="P1402" s="3" t="n"/>
      <c r="Q1402" s="3" t="n"/>
      <c r="R1402" s="3" t="n"/>
      <c r="S1402" s="3" t="n"/>
      <c r="T1402" s="3" t="n"/>
      <c r="U1402" s="3" t="n"/>
      <c r="V1402" s="3" t="n"/>
      <c r="W1402" s="3" t="n"/>
      <c r="X1402" s="3" t="n"/>
      <c r="Y1402" s="3" t="n"/>
      <c r="Z1402" s="3" t="n"/>
      <c r="AA1402" s="3" t="n"/>
    </row>
    <row r="1403">
      <c r="A1403" s="105" t="n"/>
      <c r="B1403" s="105" t="n"/>
      <c r="C1403" s="3" t="n"/>
      <c r="D1403" s="3" t="n"/>
      <c r="E1403" s="3" t="n"/>
      <c r="F1403" s="3" t="n"/>
      <c r="G1403" s="3" t="n"/>
      <c r="H1403" s="3" t="inlineStr"/>
      <c r="I1403" s="3" t="n"/>
      <c r="J1403" s="3" t="n"/>
      <c r="K1403" s="3" t="n"/>
      <c r="L1403" s="3" t="inlineStr"/>
      <c r="M1403" s="3" t="n"/>
      <c r="N1403" s="3" t="inlineStr"/>
      <c r="O1403" s="3" t="n"/>
      <c r="P1403" s="3" t="n"/>
      <c r="Q1403" s="3" t="n"/>
      <c r="R1403" s="3" t="n"/>
      <c r="S1403" s="3" t="n"/>
      <c r="T1403" s="3" t="n"/>
      <c r="U1403" s="3" t="n"/>
      <c r="V1403" s="3" t="n"/>
      <c r="W1403" s="3" t="n"/>
      <c r="X1403" s="3" t="n"/>
      <c r="Y1403" s="3" t="n"/>
      <c r="Z1403" s="3" t="n"/>
      <c r="AA1403" s="3" t="n"/>
    </row>
    <row r="1404">
      <c r="A1404" s="105" t="n"/>
      <c r="B1404" s="105" t="n"/>
      <c r="C1404" s="3" t="n"/>
      <c r="D1404" s="3" t="n"/>
      <c r="E1404" s="3" t="n"/>
      <c r="F1404" s="3" t="n"/>
      <c r="G1404" s="3" t="n"/>
      <c r="H1404" s="3" t="inlineStr"/>
      <c r="I1404" s="3" t="n"/>
      <c r="J1404" s="3" t="n"/>
      <c r="K1404" s="3" t="n"/>
      <c r="L1404" s="3" t="inlineStr"/>
      <c r="M1404" s="3" t="n"/>
      <c r="N1404" s="3" t="inlineStr"/>
      <c r="O1404" s="3" t="n"/>
      <c r="P1404" s="3" t="n"/>
      <c r="Q1404" s="3" t="n"/>
      <c r="R1404" s="3" t="n"/>
      <c r="S1404" s="3" t="n"/>
      <c r="T1404" s="3" t="n"/>
      <c r="U1404" s="3" t="n"/>
      <c r="V1404" s="3" t="n"/>
      <c r="W1404" s="3" t="n"/>
      <c r="X1404" s="3" t="n"/>
      <c r="Y1404" s="3" t="n"/>
      <c r="Z1404" s="3" t="n"/>
      <c r="AA1404" s="3" t="n"/>
    </row>
    <row r="1405">
      <c r="A1405" s="105" t="n"/>
      <c r="B1405" s="105" t="n"/>
      <c r="C1405" s="3" t="n"/>
      <c r="D1405" s="3" t="n"/>
      <c r="E1405" s="3" t="n"/>
      <c r="F1405" s="3" t="n"/>
      <c r="G1405" s="3" t="n"/>
      <c r="H1405" s="3" t="inlineStr"/>
      <c r="I1405" s="3" t="n"/>
      <c r="J1405" s="3" t="n"/>
      <c r="K1405" s="3" t="n"/>
      <c r="L1405" s="3" t="inlineStr"/>
      <c r="M1405" s="3" t="n"/>
      <c r="N1405" s="3" t="inlineStr"/>
      <c r="O1405" s="3" t="n"/>
      <c r="P1405" s="3" t="n"/>
      <c r="Q1405" s="3" t="n"/>
      <c r="R1405" s="3" t="n"/>
      <c r="S1405" s="3" t="n"/>
      <c r="T1405" s="3" t="n"/>
      <c r="U1405" s="3" t="n"/>
      <c r="V1405" s="3" t="n"/>
      <c r="W1405" s="3" t="n"/>
      <c r="X1405" s="3" t="n"/>
      <c r="Y1405" s="3" t="n"/>
      <c r="Z1405" s="3" t="n"/>
      <c r="AA1405" s="3" t="n"/>
    </row>
    <row r="1406">
      <c r="A1406" s="105" t="n"/>
      <c r="B1406" s="105" t="n"/>
      <c r="C1406" s="3" t="n"/>
      <c r="D1406" s="3" t="n"/>
      <c r="E1406" s="3" t="n"/>
      <c r="F1406" s="3" t="n"/>
      <c r="G1406" s="3" t="n"/>
      <c r="H1406" s="3" t="inlineStr"/>
      <c r="I1406" s="3" t="n"/>
      <c r="J1406" s="3" t="n"/>
      <c r="K1406" s="3" t="n"/>
      <c r="L1406" s="3" t="inlineStr"/>
      <c r="M1406" s="3" t="n"/>
      <c r="N1406" s="3" t="inlineStr"/>
      <c r="O1406" s="3" t="n"/>
      <c r="P1406" s="3" t="n"/>
      <c r="Q1406" s="3" t="n"/>
      <c r="R1406" s="3" t="n"/>
      <c r="S1406" s="3" t="n"/>
      <c r="T1406" s="3" t="n"/>
      <c r="U1406" s="3" t="n"/>
      <c r="V1406" s="3" t="n"/>
      <c r="W1406" s="3" t="n"/>
      <c r="X1406" s="3" t="n"/>
      <c r="Y1406" s="3" t="n"/>
      <c r="Z1406" s="3" t="n"/>
      <c r="AA1406" s="3" t="n"/>
    </row>
    <row r="1407">
      <c r="A1407" s="105" t="n"/>
      <c r="B1407" s="105" t="n"/>
      <c r="C1407" s="3" t="n"/>
      <c r="D1407" s="3" t="n"/>
      <c r="E1407" s="3" t="n"/>
      <c r="F1407" s="3" t="n"/>
      <c r="G1407" s="3" t="n"/>
      <c r="H1407" s="3" t="inlineStr"/>
      <c r="I1407" s="3" t="n"/>
      <c r="J1407" s="3" t="n"/>
      <c r="K1407" s="3" t="n"/>
      <c r="L1407" s="3" t="inlineStr"/>
      <c r="M1407" s="3" t="n"/>
      <c r="N1407" s="3" t="inlineStr"/>
      <c r="O1407" s="3" t="n"/>
      <c r="P1407" s="3" t="n"/>
      <c r="Q1407" s="3" t="n"/>
      <c r="R1407" s="3" t="n"/>
      <c r="S1407" s="3" t="n"/>
      <c r="T1407" s="3" t="n"/>
      <c r="U1407" s="3" t="n"/>
      <c r="V1407" s="3" t="n"/>
      <c r="W1407" s="3" t="n"/>
      <c r="X1407" s="3" t="n"/>
      <c r="Y1407" s="3" t="n"/>
      <c r="Z1407" s="3" t="n"/>
      <c r="AA1407" s="3" t="n"/>
    </row>
    <row r="1408">
      <c r="A1408" s="105" t="n"/>
      <c r="B1408" s="105" t="n"/>
      <c r="C1408" s="3" t="n"/>
      <c r="D1408" s="3" t="n"/>
      <c r="E1408" s="3" t="n"/>
      <c r="F1408" s="3" t="n"/>
      <c r="G1408" s="3" t="n"/>
      <c r="H1408" s="3" t="inlineStr"/>
      <c r="I1408" s="3" t="n"/>
      <c r="J1408" s="3" t="n"/>
      <c r="K1408" s="3" t="n"/>
      <c r="L1408" s="3" t="inlineStr"/>
      <c r="M1408" s="3" t="n"/>
      <c r="N1408" s="3" t="inlineStr"/>
      <c r="O1408" s="3" t="n"/>
      <c r="P1408" s="3" t="n"/>
      <c r="Q1408" s="3" t="n"/>
      <c r="R1408" s="3" t="n"/>
      <c r="S1408" s="3" t="n"/>
      <c r="T1408" s="3" t="n"/>
      <c r="U1408" s="3" t="n"/>
      <c r="V1408" s="3" t="n"/>
      <c r="W1408" s="3" t="n"/>
      <c r="X1408" s="3" t="n"/>
      <c r="Y1408" s="3" t="n"/>
      <c r="Z1408" s="3" t="n"/>
      <c r="AA1408" s="3" t="n"/>
    </row>
    <row r="1409">
      <c r="A1409" s="105" t="n"/>
      <c r="B1409" s="105" t="n"/>
      <c r="C1409" s="3" t="n"/>
      <c r="D1409" s="3" t="n"/>
      <c r="E1409" s="3" t="n"/>
      <c r="F1409" s="3" t="n"/>
      <c r="G1409" s="3" t="n"/>
      <c r="H1409" s="3" t="inlineStr"/>
      <c r="I1409" s="3" t="n"/>
      <c r="J1409" s="3" t="n"/>
      <c r="K1409" s="3" t="n"/>
      <c r="L1409" s="3" t="inlineStr"/>
      <c r="M1409" s="3" t="n"/>
      <c r="N1409" s="3" t="inlineStr"/>
      <c r="O1409" s="3" t="n"/>
      <c r="P1409" s="3" t="n"/>
      <c r="Q1409" s="3" t="n"/>
      <c r="R1409" s="3" t="n"/>
      <c r="S1409" s="3" t="n"/>
      <c r="T1409" s="3" t="n"/>
      <c r="U1409" s="3" t="n"/>
      <c r="V1409" s="3" t="n"/>
      <c r="W1409" s="3" t="n"/>
      <c r="X1409" s="3" t="n"/>
      <c r="Y1409" s="3" t="n"/>
      <c r="Z1409" s="3" t="n"/>
      <c r="AA1409" s="3" t="n"/>
    </row>
    <row r="1410">
      <c r="A1410" s="105" t="n"/>
      <c r="B1410" s="105" t="n"/>
      <c r="C1410" s="3" t="n"/>
      <c r="D1410" s="3" t="n"/>
      <c r="E1410" s="3" t="n"/>
      <c r="F1410" s="3" t="n"/>
      <c r="G1410" s="3" t="n"/>
      <c r="H1410" s="3" t="inlineStr"/>
      <c r="I1410" s="3" t="n"/>
      <c r="J1410" s="3" t="n"/>
      <c r="K1410" s="3" t="n"/>
      <c r="L1410" s="3" t="inlineStr"/>
      <c r="M1410" s="3" t="n"/>
      <c r="N1410" s="3" t="inlineStr"/>
      <c r="O1410" s="3" t="n"/>
      <c r="P1410" s="3" t="n"/>
      <c r="Q1410" s="3" t="n"/>
      <c r="R1410" s="3" t="n"/>
      <c r="S1410" s="3" t="n"/>
      <c r="T1410" s="3" t="n"/>
      <c r="U1410" s="3" t="n"/>
      <c r="V1410" s="3" t="n"/>
      <c r="W1410" s="3" t="n"/>
      <c r="X1410" s="3" t="n"/>
      <c r="Y1410" s="3" t="n"/>
      <c r="Z1410" s="3" t="n"/>
      <c r="AA1410" s="3" t="n"/>
    </row>
    <row r="1411">
      <c r="A1411" s="105" t="n"/>
      <c r="B1411" s="105" t="n"/>
      <c r="C1411" s="3" t="n"/>
      <c r="D1411" s="3" t="n"/>
      <c r="E1411" s="3" t="n"/>
      <c r="F1411" s="3" t="n"/>
      <c r="G1411" s="3" t="n"/>
      <c r="H1411" s="3" t="inlineStr"/>
      <c r="I1411" s="3" t="n"/>
      <c r="J1411" s="3" t="n"/>
      <c r="K1411" s="3" t="n"/>
      <c r="L1411" s="3" t="inlineStr"/>
      <c r="M1411" s="3" t="n"/>
      <c r="N1411" s="3" t="inlineStr"/>
      <c r="O1411" s="3" t="n"/>
      <c r="P1411" s="3" t="n"/>
      <c r="Q1411" s="3" t="n"/>
      <c r="R1411" s="3" t="n"/>
      <c r="S1411" s="3" t="n"/>
      <c r="T1411" s="3" t="n"/>
      <c r="U1411" s="3" t="n"/>
      <c r="V1411" s="3" t="n"/>
      <c r="W1411" s="3" t="n"/>
      <c r="X1411" s="3" t="n"/>
      <c r="Y1411" s="3" t="n"/>
      <c r="Z1411" s="3" t="n"/>
      <c r="AA1411" s="3" t="n"/>
    </row>
    <row r="1412">
      <c r="A1412" s="105" t="n"/>
      <c r="B1412" s="105" t="n"/>
      <c r="C1412" s="3" t="n"/>
      <c r="D1412" s="3" t="n"/>
      <c r="E1412" s="3" t="n"/>
      <c r="F1412" s="3" t="n"/>
      <c r="G1412" s="3" t="n"/>
      <c r="H1412" s="3" t="inlineStr"/>
      <c r="I1412" s="3" t="n"/>
      <c r="J1412" s="3" t="n"/>
      <c r="K1412" s="3" t="n"/>
      <c r="L1412" s="3" t="inlineStr"/>
      <c r="M1412" s="3" t="n"/>
      <c r="N1412" s="3" t="inlineStr"/>
      <c r="O1412" s="3" t="n"/>
      <c r="P1412" s="3" t="n"/>
      <c r="Q1412" s="3" t="n"/>
      <c r="R1412" s="3" t="n"/>
      <c r="S1412" s="3" t="n"/>
      <c r="T1412" s="3" t="n"/>
      <c r="U1412" s="3" t="n"/>
      <c r="V1412" s="3" t="n"/>
      <c r="W1412" s="3" t="n"/>
      <c r="X1412" s="3" t="n"/>
      <c r="Y1412" s="3" t="n"/>
      <c r="Z1412" s="3" t="n"/>
      <c r="AA1412" s="3" t="n"/>
    </row>
    <row r="1413">
      <c r="A1413" s="105" t="n"/>
      <c r="B1413" s="105" t="n"/>
      <c r="C1413" s="3" t="n"/>
      <c r="D1413" s="3" t="n"/>
      <c r="E1413" s="3" t="n"/>
      <c r="F1413" s="3" t="n"/>
      <c r="G1413" s="3" t="n"/>
      <c r="H1413" s="3" t="inlineStr"/>
      <c r="I1413" s="3" t="n"/>
      <c r="J1413" s="3" t="n"/>
      <c r="K1413" s="3" t="n"/>
      <c r="L1413" s="3" t="inlineStr"/>
      <c r="M1413" s="3" t="n"/>
      <c r="N1413" s="3" t="inlineStr"/>
      <c r="O1413" s="3" t="n"/>
      <c r="P1413" s="3" t="n"/>
      <c r="Q1413" s="3" t="n"/>
      <c r="R1413" s="3" t="n"/>
      <c r="S1413" s="3" t="n"/>
      <c r="T1413" s="3" t="n"/>
      <c r="U1413" s="3" t="n"/>
      <c r="V1413" s="3" t="n"/>
      <c r="W1413" s="3" t="n"/>
      <c r="X1413" s="3" t="n"/>
      <c r="Y1413" s="3" t="n"/>
      <c r="Z1413" s="3" t="n"/>
      <c r="AA1413" s="3" t="n"/>
    </row>
    <row r="1414">
      <c r="A1414" s="105" t="n"/>
      <c r="B1414" s="105" t="n"/>
      <c r="C1414" s="3" t="n"/>
      <c r="D1414" s="3" t="n"/>
      <c r="E1414" s="3" t="n"/>
      <c r="F1414" s="3" t="n"/>
      <c r="G1414" s="3" t="n"/>
      <c r="H1414" s="3" t="inlineStr"/>
      <c r="I1414" s="3" t="n"/>
      <c r="J1414" s="3" t="n"/>
      <c r="K1414" s="3" t="n"/>
      <c r="L1414" s="3" t="inlineStr"/>
      <c r="M1414" s="3" t="n"/>
      <c r="N1414" s="3" t="inlineStr"/>
      <c r="O1414" s="3" t="n"/>
      <c r="P1414" s="3" t="n"/>
      <c r="Q1414" s="3" t="n"/>
      <c r="R1414" s="3" t="n"/>
      <c r="S1414" s="3" t="n"/>
      <c r="T1414" s="3" t="n"/>
      <c r="U1414" s="3" t="n"/>
      <c r="V1414" s="3" t="n"/>
      <c r="W1414" s="3" t="n"/>
      <c r="X1414" s="3" t="n"/>
      <c r="Y1414" s="3" t="n"/>
      <c r="Z1414" s="3" t="n"/>
      <c r="AA1414" s="3" t="n"/>
    </row>
    <row r="1415">
      <c r="A1415" s="105" t="n"/>
      <c r="B1415" s="105" t="n"/>
      <c r="C1415" s="3" t="n"/>
      <c r="D1415" s="3" t="n"/>
      <c r="E1415" s="3" t="n"/>
      <c r="F1415" s="3" t="n"/>
      <c r="G1415" s="3" t="n"/>
      <c r="H1415" s="3" t="inlineStr"/>
      <c r="I1415" s="3" t="n"/>
      <c r="J1415" s="3" t="n"/>
      <c r="K1415" s="3" t="n"/>
      <c r="L1415" s="3" t="inlineStr"/>
      <c r="M1415" s="3" t="n"/>
      <c r="N1415" s="3" t="inlineStr"/>
      <c r="O1415" s="3" t="n"/>
      <c r="P1415" s="3" t="n"/>
      <c r="Q1415" s="3" t="n"/>
      <c r="R1415" s="3" t="n"/>
      <c r="S1415" s="3" t="n"/>
      <c r="T1415" s="3" t="n"/>
      <c r="U1415" s="3" t="n"/>
      <c r="V1415" s="3" t="n"/>
      <c r="W1415" s="3" t="n"/>
      <c r="X1415" s="3" t="n"/>
      <c r="Y1415" s="3" t="n"/>
      <c r="Z1415" s="3" t="n"/>
      <c r="AA1415" s="3" t="n"/>
    </row>
    <row r="1416">
      <c r="A1416" s="105" t="n"/>
      <c r="B1416" s="105" t="n"/>
      <c r="C1416" s="3" t="n"/>
      <c r="D1416" s="3" t="n"/>
      <c r="E1416" s="3" t="n"/>
      <c r="F1416" s="3" t="n"/>
      <c r="G1416" s="3" t="n"/>
      <c r="H1416" s="3" t="inlineStr"/>
      <c r="I1416" s="3" t="n"/>
      <c r="J1416" s="3" t="n"/>
      <c r="K1416" s="3" t="n"/>
      <c r="L1416" s="3" t="inlineStr"/>
      <c r="M1416" s="3" t="n"/>
      <c r="N1416" s="3" t="inlineStr"/>
      <c r="O1416" s="3" t="n"/>
      <c r="P1416" s="3" t="n"/>
      <c r="Q1416" s="3" t="n"/>
      <c r="R1416" s="3" t="n"/>
      <c r="S1416" s="3" t="n"/>
      <c r="T1416" s="3" t="n"/>
      <c r="U1416" s="3" t="n"/>
      <c r="V1416" s="3" t="n"/>
      <c r="W1416" s="3" t="n"/>
      <c r="X1416" s="3" t="n"/>
      <c r="Y1416" s="3" t="n"/>
      <c r="Z1416" s="3" t="n"/>
      <c r="AA1416" s="3" t="n"/>
    </row>
    <row r="1417">
      <c r="A1417" s="105" t="n"/>
      <c r="B1417" s="105" t="n"/>
      <c r="C1417" s="3" t="n"/>
      <c r="D1417" s="3" t="n"/>
      <c r="E1417" s="3" t="n"/>
      <c r="F1417" s="3" t="n"/>
      <c r="G1417" s="3" t="n"/>
      <c r="H1417" s="3" t="inlineStr"/>
      <c r="I1417" s="3" t="n"/>
      <c r="J1417" s="3" t="n"/>
      <c r="K1417" s="3" t="n"/>
      <c r="L1417" s="3" t="inlineStr"/>
      <c r="M1417" s="3" t="n"/>
      <c r="N1417" s="3" t="inlineStr"/>
      <c r="O1417" s="3" t="n"/>
      <c r="P1417" s="3" t="n"/>
      <c r="Q1417" s="3" t="n"/>
      <c r="R1417" s="3" t="n"/>
      <c r="S1417" s="3" t="n"/>
      <c r="T1417" s="3" t="n"/>
      <c r="U1417" s="3" t="n"/>
      <c r="V1417" s="3" t="n"/>
      <c r="W1417" s="3" t="n"/>
      <c r="X1417" s="3" t="n"/>
      <c r="Y1417" s="3" t="n"/>
      <c r="Z1417" s="3" t="n"/>
      <c r="AA1417" s="3" t="n"/>
    </row>
    <row r="1418">
      <c r="A1418" s="105" t="n"/>
      <c r="B1418" s="105" t="n"/>
      <c r="C1418" s="3" t="n"/>
      <c r="D1418" s="3" t="n"/>
      <c r="E1418" s="3" t="n"/>
      <c r="F1418" s="3" t="n"/>
      <c r="G1418" s="3" t="n"/>
      <c r="H1418" s="3" t="inlineStr"/>
      <c r="I1418" s="3" t="n"/>
      <c r="J1418" s="3" t="n"/>
      <c r="K1418" s="3" t="n"/>
      <c r="L1418" s="3" t="inlineStr"/>
      <c r="M1418" s="3" t="n"/>
      <c r="N1418" s="3" t="inlineStr"/>
      <c r="O1418" s="3" t="n"/>
      <c r="P1418" s="3" t="n"/>
      <c r="Q1418" s="3" t="n"/>
      <c r="R1418" s="3" t="n"/>
      <c r="S1418" s="3" t="n"/>
      <c r="T1418" s="3" t="n"/>
      <c r="U1418" s="3" t="n"/>
      <c r="V1418" s="3" t="n"/>
      <c r="W1418" s="3" t="n"/>
      <c r="X1418" s="3" t="n"/>
      <c r="Y1418" s="3" t="n"/>
      <c r="Z1418" s="3" t="n"/>
      <c r="AA1418" s="3" t="n"/>
    </row>
    <row r="1419">
      <c r="A1419" s="105" t="n"/>
      <c r="B1419" s="105" t="n"/>
      <c r="C1419" s="3" t="n"/>
      <c r="D1419" s="3" t="n"/>
      <c r="E1419" s="3" t="n"/>
      <c r="F1419" s="3" t="n"/>
      <c r="G1419" s="3" t="n"/>
      <c r="H1419" s="3" t="inlineStr"/>
      <c r="I1419" s="3" t="n"/>
      <c r="J1419" s="3" t="n"/>
      <c r="K1419" s="3" t="n"/>
      <c r="L1419" s="3" t="inlineStr"/>
      <c r="M1419" s="3" t="n"/>
      <c r="N1419" s="3" t="inlineStr"/>
      <c r="O1419" s="3" t="n"/>
      <c r="P1419" s="3" t="n"/>
      <c r="Q1419" s="3" t="n"/>
      <c r="R1419" s="3" t="n"/>
      <c r="S1419" s="3" t="n"/>
      <c r="T1419" s="3" t="n"/>
      <c r="U1419" s="3" t="n"/>
      <c r="V1419" s="3" t="n"/>
      <c r="W1419" s="3" t="n"/>
      <c r="X1419" s="3" t="n"/>
      <c r="Y1419" s="3" t="n"/>
      <c r="Z1419" s="3" t="n"/>
      <c r="AA1419" s="3" t="n"/>
    </row>
    <row r="1420">
      <c r="A1420" s="105" t="n"/>
      <c r="B1420" s="105" t="n"/>
      <c r="C1420" s="3" t="n"/>
      <c r="D1420" s="3" t="n"/>
      <c r="E1420" s="3" t="n"/>
      <c r="F1420" s="3" t="n"/>
      <c r="G1420" s="3" t="n"/>
      <c r="H1420" s="3" t="inlineStr"/>
      <c r="I1420" s="3" t="n"/>
      <c r="J1420" s="3" t="n"/>
      <c r="K1420" s="3" t="n"/>
      <c r="L1420" s="3" t="inlineStr"/>
      <c r="M1420" s="3" t="n"/>
      <c r="N1420" s="3" t="inlineStr"/>
      <c r="O1420" s="3" t="n"/>
      <c r="P1420" s="3" t="n"/>
      <c r="Q1420" s="3" t="n"/>
      <c r="R1420" s="3" t="n"/>
      <c r="S1420" s="3" t="n"/>
      <c r="T1420" s="3" t="n"/>
      <c r="U1420" s="3" t="n"/>
      <c r="V1420" s="3" t="n"/>
      <c r="W1420" s="3" t="n"/>
      <c r="X1420" s="3" t="n"/>
      <c r="Y1420" s="3" t="n"/>
      <c r="Z1420" s="3" t="n"/>
      <c r="AA1420" s="3" t="n"/>
    </row>
    <row r="1421">
      <c r="A1421" s="105" t="n"/>
      <c r="B1421" s="105" t="n"/>
      <c r="C1421" s="3" t="n"/>
      <c r="D1421" s="3" t="n"/>
      <c r="E1421" s="3" t="n"/>
      <c r="F1421" s="3" t="n"/>
      <c r="G1421" s="3" t="n"/>
      <c r="H1421" s="3" t="inlineStr"/>
      <c r="I1421" s="3" t="n"/>
      <c r="J1421" s="3" t="n"/>
      <c r="K1421" s="3" t="n"/>
      <c r="L1421" s="3" t="inlineStr"/>
      <c r="M1421" s="3" t="n"/>
      <c r="N1421" s="3" t="inlineStr"/>
      <c r="O1421" s="3" t="n"/>
      <c r="P1421" s="3" t="n"/>
      <c r="Q1421" s="3" t="n"/>
      <c r="R1421" s="3" t="n"/>
      <c r="S1421" s="3" t="n"/>
      <c r="T1421" s="3" t="n"/>
      <c r="U1421" s="3" t="n"/>
      <c r="V1421" s="3" t="n"/>
      <c r="W1421" s="3" t="n"/>
      <c r="X1421" s="3" t="n"/>
      <c r="Y1421" s="3" t="n"/>
      <c r="Z1421" s="3" t="n"/>
      <c r="AA1421" s="3" t="n"/>
    </row>
    <row r="1422">
      <c r="A1422" s="105" t="n"/>
      <c r="B1422" s="105" t="n"/>
      <c r="C1422" s="3" t="n"/>
      <c r="D1422" s="3" t="n"/>
      <c r="E1422" s="3" t="n"/>
      <c r="F1422" s="3" t="n"/>
      <c r="G1422" s="3" t="n"/>
      <c r="H1422" s="3" t="inlineStr"/>
      <c r="I1422" s="3" t="n"/>
      <c r="J1422" s="3" t="n"/>
      <c r="K1422" s="3" t="n"/>
      <c r="L1422" s="3" t="inlineStr"/>
      <c r="M1422" s="3" t="n"/>
      <c r="N1422" s="3" t="inlineStr"/>
      <c r="O1422" s="3" t="n"/>
      <c r="P1422" s="3" t="n"/>
      <c r="Q1422" s="3" t="n"/>
      <c r="R1422" s="3" t="n"/>
      <c r="S1422" s="3" t="n"/>
      <c r="T1422" s="3" t="n"/>
      <c r="U1422" s="3" t="n"/>
      <c r="V1422" s="3" t="n"/>
      <c r="W1422" s="3" t="n"/>
      <c r="X1422" s="3" t="n"/>
      <c r="Y1422" s="3" t="n"/>
      <c r="Z1422" s="3" t="n"/>
      <c r="AA1422" s="3" t="n"/>
    </row>
    <row r="1423">
      <c r="A1423" s="105" t="n"/>
      <c r="B1423" s="105" t="n"/>
      <c r="C1423" s="3" t="n"/>
      <c r="D1423" s="3" t="n"/>
      <c r="E1423" s="3" t="n"/>
      <c r="F1423" s="3" t="n"/>
      <c r="G1423" s="3" t="n"/>
      <c r="H1423" s="3" t="inlineStr"/>
      <c r="I1423" s="3" t="n"/>
      <c r="J1423" s="3" t="n"/>
      <c r="K1423" s="3" t="n"/>
      <c r="L1423" s="3" t="inlineStr"/>
      <c r="M1423" s="3" t="n"/>
      <c r="N1423" s="3" t="inlineStr"/>
      <c r="O1423" s="3" t="n"/>
      <c r="P1423" s="3" t="n"/>
      <c r="Q1423" s="3" t="n"/>
      <c r="R1423" s="3" t="n"/>
      <c r="S1423" s="3" t="n"/>
      <c r="T1423" s="3" t="n"/>
      <c r="U1423" s="3" t="n"/>
      <c r="V1423" s="3" t="n"/>
      <c r="W1423" s="3" t="n"/>
      <c r="X1423" s="3" t="n"/>
      <c r="Y1423" s="3" t="n"/>
      <c r="Z1423" s="3" t="n"/>
      <c r="AA1423" s="3" t="n"/>
    </row>
    <row r="1424">
      <c r="A1424" s="105" t="n"/>
      <c r="B1424" s="105" t="n"/>
      <c r="C1424" s="3" t="n"/>
      <c r="D1424" s="3" t="n"/>
      <c r="E1424" s="3" t="n"/>
      <c r="F1424" s="3" t="n"/>
      <c r="G1424" s="3" t="n"/>
      <c r="H1424" s="3" t="inlineStr"/>
      <c r="I1424" s="3" t="n"/>
      <c r="J1424" s="3" t="n"/>
      <c r="K1424" s="3" t="n"/>
      <c r="L1424" s="3" t="inlineStr"/>
      <c r="M1424" s="3" t="n"/>
      <c r="N1424" s="3" t="inlineStr"/>
      <c r="O1424" s="3" t="n"/>
      <c r="P1424" s="3" t="n"/>
      <c r="Q1424" s="3" t="n"/>
      <c r="R1424" s="3" t="n"/>
      <c r="S1424" s="3" t="n"/>
      <c r="T1424" s="3" t="n"/>
      <c r="U1424" s="3" t="n"/>
      <c r="V1424" s="3" t="n"/>
      <c r="W1424" s="3" t="n"/>
      <c r="X1424" s="3" t="n"/>
      <c r="Y1424" s="3" t="n"/>
      <c r="Z1424" s="3" t="n"/>
      <c r="AA1424" s="3" t="n"/>
    </row>
    <row r="1425">
      <c r="A1425" s="105" t="n"/>
      <c r="B1425" s="105" t="n"/>
      <c r="C1425" s="3" t="n"/>
      <c r="D1425" s="3" t="n"/>
      <c r="E1425" s="3" t="n"/>
      <c r="F1425" s="3" t="n"/>
      <c r="G1425" s="3" t="n"/>
      <c r="H1425" s="3" t="inlineStr"/>
      <c r="I1425" s="3" t="n"/>
      <c r="J1425" s="3" t="n"/>
      <c r="K1425" s="3" t="n"/>
      <c r="L1425" s="3" t="inlineStr"/>
      <c r="M1425" s="3" t="n"/>
      <c r="N1425" s="3" t="inlineStr"/>
      <c r="O1425" s="3" t="n"/>
      <c r="P1425" s="3" t="n"/>
      <c r="Q1425" s="3" t="n"/>
      <c r="R1425" s="3" t="n"/>
      <c r="S1425" s="3" t="n"/>
      <c r="T1425" s="3" t="n"/>
      <c r="U1425" s="3" t="n"/>
      <c r="V1425" s="3" t="n"/>
      <c r="W1425" s="3" t="n"/>
      <c r="X1425" s="3" t="n"/>
      <c r="Y1425" s="3" t="n"/>
      <c r="Z1425" s="3" t="n"/>
      <c r="AA1425" s="3" t="n"/>
    </row>
    <row r="1426">
      <c r="A1426" s="105" t="n"/>
      <c r="B1426" s="105" t="n"/>
      <c r="C1426" s="3" t="n"/>
      <c r="D1426" s="3" t="n"/>
      <c r="E1426" s="3" t="n"/>
      <c r="F1426" s="3" t="n"/>
      <c r="G1426" s="3" t="n"/>
      <c r="H1426" s="3" t="inlineStr"/>
      <c r="I1426" s="3" t="n"/>
      <c r="J1426" s="3" t="n"/>
      <c r="K1426" s="3" t="n"/>
      <c r="L1426" s="3" t="inlineStr"/>
      <c r="M1426" s="3" t="n"/>
      <c r="N1426" s="3" t="inlineStr"/>
      <c r="O1426" s="3" t="n"/>
      <c r="P1426" s="3" t="n"/>
      <c r="Q1426" s="3" t="n"/>
      <c r="R1426" s="3" t="n"/>
      <c r="S1426" s="3" t="n"/>
      <c r="T1426" s="3" t="n"/>
      <c r="U1426" s="3" t="n"/>
      <c r="V1426" s="3" t="n"/>
      <c r="W1426" s="3" t="n"/>
      <c r="X1426" s="3" t="n"/>
      <c r="Y1426" s="3" t="n"/>
      <c r="Z1426" s="3" t="n"/>
      <c r="AA1426" s="3" t="n"/>
    </row>
    <row r="1427">
      <c r="A1427" s="105" t="n"/>
      <c r="B1427" s="105" t="n"/>
      <c r="C1427" s="3" t="n"/>
      <c r="D1427" s="3" t="n"/>
      <c r="E1427" s="3" t="n"/>
      <c r="F1427" s="3" t="n"/>
      <c r="G1427" s="3" t="n"/>
      <c r="H1427" s="3" t="inlineStr"/>
      <c r="I1427" s="3" t="n"/>
      <c r="J1427" s="3" t="n"/>
      <c r="K1427" s="3" t="n"/>
      <c r="L1427" s="3" t="inlineStr"/>
      <c r="M1427" s="3" t="n"/>
      <c r="N1427" s="3" t="inlineStr"/>
      <c r="O1427" s="3" t="n"/>
      <c r="P1427" s="3" t="n"/>
      <c r="Q1427" s="3" t="n"/>
      <c r="R1427" s="3" t="n"/>
      <c r="S1427" s="3" t="n"/>
      <c r="T1427" s="3" t="n"/>
      <c r="U1427" s="3" t="n"/>
      <c r="V1427" s="3" t="n"/>
      <c r="W1427" s="3" t="n"/>
      <c r="X1427" s="3" t="n"/>
      <c r="Y1427" s="3" t="n"/>
      <c r="Z1427" s="3" t="n"/>
      <c r="AA1427" s="3" t="n"/>
    </row>
    <row r="1428">
      <c r="A1428" s="105" t="n"/>
      <c r="B1428" s="105" t="n"/>
      <c r="C1428" s="3" t="n"/>
      <c r="D1428" s="3" t="n"/>
      <c r="E1428" s="3" t="n"/>
      <c r="F1428" s="3" t="n"/>
      <c r="G1428" s="3" t="n"/>
      <c r="H1428" s="3" t="inlineStr"/>
      <c r="I1428" s="3" t="n"/>
      <c r="J1428" s="3" t="n"/>
      <c r="K1428" s="3" t="n"/>
      <c r="L1428" s="3" t="inlineStr"/>
      <c r="M1428" s="3" t="n"/>
      <c r="N1428" s="3" t="inlineStr"/>
      <c r="O1428" s="3" t="n"/>
      <c r="P1428" s="3" t="n"/>
      <c r="Q1428" s="3" t="n"/>
      <c r="R1428" s="3" t="n"/>
      <c r="S1428" s="3" t="n"/>
      <c r="T1428" s="3" t="n"/>
      <c r="U1428" s="3" t="n"/>
      <c r="V1428" s="3" t="n"/>
      <c r="W1428" s="3" t="n"/>
      <c r="X1428" s="3" t="n"/>
      <c r="Y1428" s="3" t="n"/>
      <c r="Z1428" s="3" t="n"/>
      <c r="AA1428" s="3" t="n"/>
    </row>
    <row r="1429">
      <c r="A1429" s="105" t="n"/>
      <c r="B1429" s="105" t="n"/>
      <c r="C1429" s="3" t="n"/>
      <c r="D1429" s="3" t="n"/>
      <c r="E1429" s="3" t="n"/>
      <c r="F1429" s="3" t="n"/>
      <c r="G1429" s="3" t="n"/>
      <c r="H1429" s="3" t="inlineStr"/>
      <c r="I1429" s="3" t="n"/>
      <c r="J1429" s="3" t="n"/>
      <c r="K1429" s="3" t="n"/>
      <c r="L1429" s="3" t="inlineStr"/>
      <c r="M1429" s="3" t="n"/>
      <c r="N1429" s="3" t="inlineStr"/>
      <c r="O1429" s="3" t="n"/>
      <c r="P1429" s="3" t="n"/>
      <c r="Q1429" s="3" t="n"/>
      <c r="R1429" s="3" t="n"/>
      <c r="S1429" s="3" t="n"/>
      <c r="T1429" s="3" t="n"/>
      <c r="U1429" s="3" t="n"/>
      <c r="V1429" s="3" t="n"/>
      <c r="W1429" s="3" t="n"/>
      <c r="X1429" s="3" t="n"/>
      <c r="Y1429" s="3" t="n"/>
      <c r="Z1429" s="3" t="n"/>
      <c r="AA1429" s="3" t="n"/>
    </row>
    <row r="1430">
      <c r="A1430" s="105" t="n"/>
      <c r="B1430" s="105" t="n"/>
      <c r="C1430" s="3" t="n"/>
      <c r="D1430" s="3" t="n"/>
      <c r="E1430" s="3" t="n"/>
      <c r="F1430" s="3" t="n"/>
      <c r="G1430" s="3" t="n"/>
      <c r="H1430" s="3" t="inlineStr"/>
      <c r="I1430" s="3" t="n"/>
      <c r="J1430" s="3" t="n"/>
      <c r="K1430" s="3" t="n"/>
      <c r="L1430" s="3" t="inlineStr"/>
      <c r="M1430" s="3" t="n"/>
      <c r="N1430" s="3" t="inlineStr"/>
      <c r="O1430" s="3" t="n"/>
      <c r="P1430" s="3" t="n"/>
      <c r="Q1430" s="3" t="n"/>
      <c r="R1430" s="3" t="n"/>
      <c r="S1430" s="3" t="n"/>
      <c r="T1430" s="3" t="n"/>
      <c r="U1430" s="3" t="n"/>
      <c r="V1430" s="3" t="n"/>
      <c r="W1430" s="3" t="n"/>
      <c r="X1430" s="3" t="n"/>
      <c r="Y1430" s="3" t="n"/>
      <c r="Z1430" s="3" t="n"/>
      <c r="AA1430" s="3" t="n"/>
    </row>
    <row r="1431">
      <c r="A1431" s="105" t="n"/>
      <c r="B1431" s="105" t="n"/>
      <c r="C1431" s="3" t="n"/>
      <c r="D1431" s="3" t="n"/>
      <c r="E1431" s="3" t="n"/>
      <c r="F1431" s="3" t="n"/>
      <c r="G1431" s="3" t="n"/>
      <c r="H1431" s="3" t="inlineStr"/>
      <c r="I1431" s="3" t="n"/>
      <c r="J1431" s="3" t="n"/>
      <c r="K1431" s="3" t="n"/>
      <c r="L1431" s="3" t="inlineStr"/>
      <c r="M1431" s="3" t="n"/>
      <c r="N1431" s="3" t="inlineStr"/>
      <c r="O1431" s="3" t="n"/>
      <c r="P1431" s="3" t="n"/>
      <c r="Q1431" s="3" t="n"/>
      <c r="R1431" s="3" t="n"/>
      <c r="S1431" s="3" t="n"/>
      <c r="T1431" s="3" t="n"/>
      <c r="U1431" s="3" t="n"/>
      <c r="V1431" s="3" t="n"/>
      <c r="W1431" s="3" t="n"/>
      <c r="X1431" s="3" t="n"/>
      <c r="Y1431" s="3" t="n"/>
      <c r="Z1431" s="3" t="n"/>
      <c r="AA1431" s="3" t="n"/>
    </row>
    <row r="1432">
      <c r="A1432" s="105" t="n"/>
      <c r="B1432" s="105" t="n"/>
      <c r="C1432" s="3" t="n"/>
      <c r="D1432" s="3" t="n"/>
      <c r="E1432" s="3" t="n"/>
      <c r="F1432" s="3" t="n"/>
      <c r="G1432" s="3" t="n"/>
      <c r="H1432" s="3" t="inlineStr"/>
      <c r="I1432" s="3" t="n"/>
      <c r="J1432" s="3" t="n"/>
      <c r="K1432" s="3" t="n"/>
      <c r="L1432" s="3" t="inlineStr"/>
      <c r="M1432" s="3" t="n"/>
      <c r="N1432" s="3" t="inlineStr"/>
      <c r="O1432" s="3" t="n"/>
      <c r="P1432" s="3" t="n"/>
      <c r="Q1432" s="3" t="n"/>
      <c r="R1432" s="3" t="n"/>
      <c r="S1432" s="3" t="n"/>
      <c r="T1432" s="3" t="n"/>
      <c r="U1432" s="3" t="n"/>
      <c r="V1432" s="3" t="n"/>
      <c r="W1432" s="3" t="n"/>
      <c r="X1432" s="3" t="n"/>
      <c r="Y1432" s="3" t="n"/>
      <c r="Z1432" s="3" t="n"/>
      <c r="AA1432" s="3" t="n"/>
    </row>
    <row r="1433">
      <c r="A1433" s="105" t="n"/>
      <c r="B1433" s="105" t="n"/>
      <c r="C1433" s="3" t="n"/>
      <c r="D1433" s="3" t="n"/>
      <c r="E1433" s="3" t="n"/>
      <c r="F1433" s="3" t="n"/>
      <c r="G1433" s="3" t="n"/>
      <c r="H1433" s="3" t="inlineStr"/>
      <c r="I1433" s="3" t="n"/>
      <c r="J1433" s="3" t="n"/>
      <c r="K1433" s="3" t="n"/>
      <c r="L1433" s="3" t="inlineStr"/>
      <c r="M1433" s="3" t="n"/>
      <c r="N1433" s="3" t="inlineStr"/>
      <c r="O1433" s="3" t="n"/>
      <c r="P1433" s="3" t="n"/>
      <c r="Q1433" s="3" t="n"/>
      <c r="R1433" s="3" t="n"/>
      <c r="S1433" s="3" t="n"/>
      <c r="T1433" s="3" t="n"/>
      <c r="U1433" s="3" t="n"/>
      <c r="V1433" s="3" t="n"/>
      <c r="W1433" s="3" t="n"/>
      <c r="X1433" s="3" t="n"/>
      <c r="Y1433" s="3" t="n"/>
      <c r="Z1433" s="3" t="n"/>
      <c r="AA1433" s="3" t="n"/>
    </row>
    <row r="1434">
      <c r="A1434" s="105" t="n"/>
      <c r="B1434" s="105" t="n"/>
      <c r="C1434" s="3" t="n"/>
      <c r="D1434" s="3" t="n"/>
      <c r="E1434" s="3" t="n"/>
      <c r="F1434" s="3" t="n"/>
      <c r="G1434" s="3" t="n"/>
      <c r="H1434" s="3" t="inlineStr"/>
      <c r="I1434" s="3" t="n"/>
      <c r="J1434" s="3" t="n"/>
      <c r="K1434" s="3" t="n"/>
      <c r="L1434" s="3" t="inlineStr"/>
      <c r="M1434" s="3" t="n"/>
      <c r="N1434" s="3" t="inlineStr"/>
      <c r="O1434" s="3" t="n"/>
      <c r="P1434" s="3" t="n"/>
      <c r="Q1434" s="3" t="n"/>
      <c r="R1434" s="3" t="n"/>
      <c r="S1434" s="3" t="n"/>
      <c r="T1434" s="3" t="n"/>
      <c r="U1434" s="3" t="n"/>
      <c r="V1434" s="3" t="n"/>
      <c r="W1434" s="3" t="n"/>
      <c r="X1434" s="3" t="n"/>
      <c r="Y1434" s="3" t="n"/>
      <c r="Z1434" s="3" t="n"/>
      <c r="AA1434" s="3" t="n"/>
    </row>
    <row r="1435">
      <c r="A1435" s="105" t="n"/>
      <c r="B1435" s="105" t="n"/>
      <c r="C1435" s="3" t="n"/>
      <c r="D1435" s="3" t="n"/>
      <c r="E1435" s="3" t="n"/>
      <c r="F1435" s="3" t="n"/>
      <c r="G1435" s="3" t="n"/>
      <c r="H1435" s="3" t="inlineStr"/>
      <c r="I1435" s="3" t="n"/>
      <c r="J1435" s="3" t="n"/>
      <c r="K1435" s="3" t="n"/>
      <c r="L1435" s="3" t="inlineStr"/>
      <c r="M1435" s="3" t="n"/>
      <c r="N1435" s="3" t="inlineStr"/>
      <c r="O1435" s="3" t="n"/>
      <c r="P1435" s="3" t="n"/>
      <c r="Q1435" s="3" t="n"/>
      <c r="R1435" s="3" t="n"/>
      <c r="S1435" s="3" t="n"/>
      <c r="T1435" s="3" t="n"/>
      <c r="U1435" s="3" t="n"/>
      <c r="V1435" s="3" t="n"/>
      <c r="W1435" s="3" t="n"/>
      <c r="X1435" s="3" t="n"/>
      <c r="Y1435" s="3" t="n"/>
      <c r="Z1435" s="3" t="n"/>
      <c r="AA1435" s="3" t="n"/>
    </row>
    <row r="1436">
      <c r="A1436" s="105" t="n"/>
      <c r="B1436" s="105" t="n"/>
      <c r="C1436" s="3" t="n"/>
      <c r="D1436" s="3" t="n"/>
      <c r="E1436" s="3" t="n"/>
      <c r="F1436" s="3" t="n"/>
      <c r="G1436" s="3" t="n"/>
      <c r="H1436" s="3" t="inlineStr"/>
      <c r="I1436" s="3" t="n"/>
      <c r="J1436" s="3" t="n"/>
      <c r="K1436" s="3" t="n"/>
      <c r="L1436" s="3" t="inlineStr"/>
      <c r="M1436" s="3" t="n"/>
      <c r="N1436" s="3" t="inlineStr"/>
      <c r="O1436" s="3" t="n"/>
      <c r="P1436" s="3" t="n"/>
      <c r="Q1436" s="3" t="n"/>
      <c r="R1436" s="3" t="n"/>
      <c r="S1436" s="3" t="n"/>
      <c r="T1436" s="3" t="n"/>
      <c r="U1436" s="3" t="n"/>
      <c r="V1436" s="3" t="n"/>
      <c r="W1436" s="3" t="n"/>
      <c r="X1436" s="3" t="n"/>
      <c r="Y1436" s="3" t="n"/>
      <c r="Z1436" s="3" t="n"/>
      <c r="AA1436" s="3" t="n"/>
    </row>
    <row r="1437">
      <c r="A1437" s="105" t="n"/>
      <c r="B1437" s="105" t="n"/>
      <c r="C1437" s="3" t="n"/>
      <c r="D1437" s="3" t="n"/>
      <c r="E1437" s="3" t="n"/>
      <c r="F1437" s="3" t="n"/>
      <c r="G1437" s="3" t="n"/>
      <c r="H1437" s="3" t="inlineStr"/>
      <c r="I1437" s="3" t="n"/>
      <c r="J1437" s="3" t="n"/>
      <c r="K1437" s="3" t="n"/>
      <c r="L1437" s="3" t="inlineStr"/>
      <c r="M1437" s="3" t="n"/>
      <c r="N1437" s="3" t="inlineStr"/>
      <c r="O1437" s="3" t="n"/>
      <c r="P1437" s="3" t="n"/>
      <c r="Q1437" s="3" t="n"/>
      <c r="R1437" s="3" t="n"/>
      <c r="S1437" s="3" t="n"/>
      <c r="T1437" s="3" t="n"/>
      <c r="U1437" s="3" t="n"/>
      <c r="V1437" s="3" t="n"/>
      <c r="W1437" s="3" t="n"/>
      <c r="X1437" s="3" t="n"/>
      <c r="Y1437" s="3" t="n"/>
      <c r="Z1437" s="3" t="n"/>
      <c r="AA1437" s="3" t="n"/>
    </row>
    <row r="1438">
      <c r="A1438" s="105" t="n"/>
      <c r="B1438" s="105" t="n"/>
      <c r="C1438" s="3" t="n"/>
      <c r="D1438" s="3" t="n"/>
      <c r="E1438" s="3" t="n"/>
      <c r="F1438" s="3" t="n"/>
      <c r="G1438" s="3" t="n"/>
      <c r="H1438" s="3" t="inlineStr"/>
      <c r="I1438" s="3" t="n"/>
      <c r="J1438" s="3" t="n"/>
      <c r="K1438" s="3" t="n"/>
      <c r="L1438" s="3" t="inlineStr"/>
      <c r="M1438" s="3" t="n"/>
      <c r="N1438" s="3" t="inlineStr"/>
      <c r="O1438" s="3" t="n"/>
      <c r="P1438" s="3" t="n"/>
      <c r="Q1438" s="3" t="n"/>
      <c r="R1438" s="3" t="n"/>
      <c r="S1438" s="3" t="n"/>
      <c r="T1438" s="3" t="n"/>
      <c r="U1438" s="3" t="n"/>
      <c r="V1438" s="3" t="n"/>
      <c r="W1438" s="3" t="n"/>
      <c r="X1438" s="3" t="n"/>
      <c r="Y1438" s="3" t="n"/>
      <c r="Z1438" s="3" t="n"/>
      <c r="AA1438" s="3" t="n"/>
    </row>
    <row r="1439">
      <c r="A1439" s="105" t="n"/>
      <c r="B1439" s="105" t="n"/>
      <c r="C1439" s="3" t="n"/>
      <c r="D1439" s="3" t="n"/>
      <c r="E1439" s="3" t="n"/>
      <c r="F1439" s="3" t="n"/>
      <c r="G1439" s="3" t="n"/>
      <c r="H1439" s="3" t="inlineStr"/>
      <c r="I1439" s="3" t="n"/>
      <c r="J1439" s="3" t="n"/>
      <c r="K1439" s="3" t="n"/>
      <c r="L1439" s="3" t="inlineStr"/>
      <c r="M1439" s="3" t="n"/>
      <c r="N1439" s="3" t="inlineStr"/>
      <c r="O1439" s="3" t="n"/>
      <c r="P1439" s="3" t="n"/>
      <c r="Q1439" s="3" t="n"/>
      <c r="R1439" s="3" t="n"/>
      <c r="S1439" s="3" t="n"/>
      <c r="T1439" s="3" t="n"/>
      <c r="U1439" s="3" t="n"/>
      <c r="V1439" s="3" t="n"/>
      <c r="W1439" s="3" t="n"/>
      <c r="X1439" s="3" t="n"/>
      <c r="Y1439" s="3" t="n"/>
      <c r="Z1439" s="3" t="n"/>
      <c r="AA1439" s="3" t="n"/>
    </row>
    <row r="1440">
      <c r="A1440" s="105" t="n"/>
      <c r="B1440" s="105" t="n"/>
      <c r="C1440" s="3" t="n"/>
      <c r="D1440" s="3" t="n"/>
      <c r="E1440" s="3" t="n"/>
      <c r="F1440" s="3" t="n"/>
      <c r="G1440" s="3" t="n"/>
      <c r="H1440" s="3" t="inlineStr"/>
      <c r="I1440" s="3" t="n"/>
      <c r="J1440" s="3" t="n"/>
      <c r="K1440" s="3" t="n"/>
      <c r="L1440" s="3" t="inlineStr"/>
      <c r="M1440" s="3" t="n"/>
      <c r="N1440" s="3" t="inlineStr"/>
      <c r="O1440" s="3" t="n"/>
      <c r="P1440" s="3" t="n"/>
      <c r="Q1440" s="3" t="n"/>
      <c r="R1440" s="3" t="n"/>
      <c r="S1440" s="3" t="n"/>
      <c r="T1440" s="3" t="n"/>
      <c r="U1440" s="3" t="n"/>
      <c r="V1440" s="3" t="n"/>
      <c r="W1440" s="3" t="n"/>
      <c r="X1440" s="3" t="n"/>
      <c r="Y1440" s="3" t="n"/>
      <c r="Z1440" s="3" t="n"/>
      <c r="AA1440" s="3" t="n"/>
    </row>
    <row r="1441">
      <c r="A1441" s="105" t="n"/>
      <c r="B1441" s="105" t="n"/>
      <c r="C1441" s="3" t="n"/>
      <c r="D1441" s="3" t="n"/>
      <c r="E1441" s="3" t="n"/>
      <c r="F1441" s="3" t="n"/>
      <c r="G1441" s="3" t="n"/>
      <c r="H1441" s="3" t="inlineStr"/>
      <c r="I1441" s="3" t="n"/>
      <c r="J1441" s="3" t="n"/>
      <c r="K1441" s="3" t="n"/>
      <c r="L1441" s="3" t="inlineStr"/>
      <c r="M1441" s="3" t="n"/>
      <c r="N1441" s="3" t="inlineStr"/>
      <c r="O1441" s="3" t="n"/>
      <c r="P1441" s="3" t="n"/>
      <c r="Q1441" s="3" t="n"/>
      <c r="R1441" s="3" t="n"/>
      <c r="S1441" s="3" t="n"/>
      <c r="T1441" s="3" t="n"/>
      <c r="U1441" s="3" t="n"/>
      <c r="V1441" s="3" t="n"/>
      <c r="W1441" s="3" t="n"/>
      <c r="X1441" s="3" t="n"/>
      <c r="Y1441" s="3" t="n"/>
      <c r="Z1441" s="3" t="n"/>
      <c r="AA1441" s="3" t="n"/>
    </row>
    <row r="1442">
      <c r="A1442" s="105" t="n"/>
      <c r="B1442" s="105" t="n"/>
      <c r="C1442" s="3" t="n"/>
      <c r="D1442" s="3" t="n"/>
      <c r="E1442" s="3" t="n"/>
      <c r="F1442" s="3" t="n"/>
      <c r="G1442" s="3" t="n"/>
      <c r="H1442" s="3" t="inlineStr"/>
      <c r="I1442" s="3" t="n"/>
      <c r="J1442" s="3" t="n"/>
      <c r="K1442" s="3" t="n"/>
      <c r="L1442" s="3" t="inlineStr"/>
      <c r="M1442" s="3" t="n"/>
      <c r="N1442" s="3" t="inlineStr"/>
      <c r="O1442" s="3" t="n"/>
      <c r="P1442" s="3" t="n"/>
      <c r="Q1442" s="3" t="n"/>
      <c r="R1442" s="3" t="n"/>
      <c r="S1442" s="3" t="n"/>
      <c r="T1442" s="3" t="n"/>
      <c r="U1442" s="3" t="n"/>
      <c r="V1442" s="3" t="n"/>
      <c r="W1442" s="3" t="n"/>
      <c r="X1442" s="3" t="n"/>
      <c r="Y1442" s="3" t="n"/>
      <c r="Z1442" s="3" t="n"/>
      <c r="AA1442" s="3" t="n"/>
    </row>
    <row r="1443">
      <c r="A1443" s="105" t="n"/>
      <c r="B1443" s="105" t="n"/>
      <c r="C1443" s="3" t="n"/>
      <c r="D1443" s="3" t="n"/>
      <c r="E1443" s="3" t="n"/>
      <c r="F1443" s="3" t="n"/>
      <c r="G1443" s="3" t="n"/>
      <c r="H1443" s="3" t="inlineStr"/>
      <c r="I1443" s="3" t="n"/>
      <c r="J1443" s="3" t="n"/>
      <c r="K1443" s="3" t="n"/>
      <c r="L1443" s="3" t="inlineStr"/>
      <c r="M1443" s="3" t="n"/>
      <c r="N1443" s="3" t="inlineStr"/>
      <c r="O1443" s="3" t="n"/>
      <c r="P1443" s="3" t="n"/>
      <c r="Q1443" s="3" t="n"/>
      <c r="R1443" s="3" t="n"/>
      <c r="S1443" s="3" t="n"/>
      <c r="T1443" s="3" t="n"/>
      <c r="U1443" s="3" t="n"/>
      <c r="V1443" s="3" t="n"/>
      <c r="W1443" s="3" t="n"/>
      <c r="X1443" s="3" t="n"/>
      <c r="Y1443" s="3" t="n"/>
      <c r="Z1443" s="3" t="n"/>
      <c r="AA1443" s="3" t="n"/>
    </row>
    <row r="1444">
      <c r="A1444" s="105" t="n"/>
      <c r="B1444" s="105" t="n"/>
      <c r="C1444" s="3" t="n"/>
      <c r="D1444" s="3" t="n"/>
      <c r="E1444" s="3" t="n"/>
      <c r="F1444" s="3" t="n"/>
      <c r="G1444" s="3" t="n"/>
      <c r="H1444" s="3" t="inlineStr"/>
      <c r="I1444" s="3" t="n"/>
      <c r="J1444" s="3" t="n"/>
      <c r="K1444" s="3" t="n"/>
      <c r="L1444" s="3" t="inlineStr"/>
      <c r="M1444" s="3" t="n"/>
      <c r="N1444" s="3" t="inlineStr"/>
      <c r="O1444" s="3" t="n"/>
      <c r="P1444" s="3" t="n"/>
      <c r="Q1444" s="3" t="n"/>
      <c r="R1444" s="3" t="n"/>
      <c r="S1444" s="3" t="n"/>
      <c r="T1444" s="3" t="n"/>
      <c r="U1444" s="3" t="n"/>
      <c r="V1444" s="3" t="n"/>
      <c r="W1444" s="3" t="n"/>
      <c r="X1444" s="3" t="n"/>
      <c r="Y1444" s="3" t="n"/>
      <c r="Z1444" s="3" t="n"/>
      <c r="AA1444" s="3" t="n"/>
    </row>
    <row r="1445">
      <c r="A1445" s="105" t="n"/>
      <c r="B1445" s="105" t="n"/>
      <c r="C1445" s="3" t="n"/>
      <c r="D1445" s="3" t="n"/>
      <c r="E1445" s="3" t="n"/>
      <c r="F1445" s="3" t="n"/>
      <c r="G1445" s="3" t="n"/>
      <c r="H1445" s="3" t="inlineStr"/>
      <c r="I1445" s="3" t="n"/>
      <c r="J1445" s="3" t="n"/>
      <c r="K1445" s="3" t="n"/>
      <c r="L1445" s="3" t="inlineStr"/>
      <c r="M1445" s="3" t="n"/>
      <c r="N1445" s="3" t="inlineStr"/>
      <c r="O1445" s="3" t="n"/>
      <c r="P1445" s="3" t="n"/>
      <c r="Q1445" s="3" t="n"/>
      <c r="R1445" s="3" t="n"/>
      <c r="S1445" s="3" t="n"/>
      <c r="T1445" s="3" t="n"/>
      <c r="U1445" s="3" t="n"/>
      <c r="V1445" s="3" t="n"/>
      <c r="W1445" s="3" t="n"/>
      <c r="X1445" s="3" t="n"/>
      <c r="Y1445" s="3" t="n"/>
      <c r="Z1445" s="3" t="n"/>
      <c r="AA1445" s="3" t="n"/>
    </row>
    <row r="1446">
      <c r="A1446" s="105" t="n"/>
      <c r="B1446" s="105" t="n"/>
      <c r="C1446" s="3" t="n"/>
      <c r="D1446" s="3" t="n"/>
      <c r="E1446" s="3" t="n"/>
      <c r="F1446" s="3" t="n"/>
      <c r="G1446" s="3" t="n"/>
      <c r="H1446" s="3" t="inlineStr"/>
      <c r="I1446" s="3" t="n"/>
      <c r="J1446" s="3" t="n"/>
      <c r="K1446" s="3" t="n"/>
      <c r="L1446" s="3" t="inlineStr"/>
      <c r="M1446" s="3" t="n"/>
      <c r="N1446" s="3" t="inlineStr"/>
      <c r="O1446" s="3" t="n"/>
      <c r="P1446" s="3" t="n"/>
      <c r="Q1446" s="3" t="n"/>
      <c r="R1446" s="3" t="n"/>
      <c r="S1446" s="3" t="n"/>
      <c r="T1446" s="3" t="n"/>
      <c r="U1446" s="3" t="n"/>
      <c r="V1446" s="3" t="n"/>
      <c r="W1446" s="3" t="n"/>
      <c r="X1446" s="3" t="n"/>
      <c r="Y1446" s="3" t="n"/>
      <c r="Z1446" s="3" t="n"/>
      <c r="AA1446" s="3" t="n"/>
    </row>
    <row r="1447">
      <c r="A1447" s="105" t="n"/>
      <c r="B1447" s="105" t="n"/>
      <c r="C1447" s="3" t="n"/>
      <c r="D1447" s="3" t="n"/>
      <c r="E1447" s="3" t="n"/>
      <c r="F1447" s="3" t="n"/>
      <c r="G1447" s="3" t="n"/>
      <c r="H1447" s="3" t="inlineStr"/>
      <c r="I1447" s="3" t="n"/>
      <c r="J1447" s="3" t="n"/>
      <c r="K1447" s="3" t="n"/>
      <c r="L1447" s="3" t="inlineStr"/>
      <c r="M1447" s="3" t="n"/>
      <c r="N1447" s="3" t="inlineStr"/>
      <c r="O1447" s="3" t="n"/>
      <c r="P1447" s="3" t="n"/>
      <c r="Q1447" s="3" t="n"/>
      <c r="R1447" s="3" t="n"/>
      <c r="S1447" s="3" t="n"/>
      <c r="T1447" s="3" t="n"/>
      <c r="U1447" s="3" t="n"/>
      <c r="V1447" s="3" t="n"/>
      <c r="W1447" s="3" t="n"/>
      <c r="X1447" s="3" t="n"/>
      <c r="Y1447" s="3" t="n"/>
      <c r="Z1447" s="3" t="n"/>
      <c r="AA1447" s="3" t="n"/>
    </row>
    <row r="1448">
      <c r="A1448" s="105" t="n"/>
      <c r="B1448" s="105" t="n"/>
      <c r="C1448" s="3" t="n"/>
      <c r="D1448" s="3" t="n"/>
      <c r="E1448" s="3" t="n"/>
      <c r="F1448" s="3" t="n"/>
      <c r="G1448" s="3" t="n"/>
      <c r="H1448" s="3" t="inlineStr"/>
      <c r="I1448" s="3" t="n"/>
      <c r="J1448" s="3" t="n"/>
      <c r="K1448" s="3" t="n"/>
      <c r="L1448" s="3" t="inlineStr"/>
      <c r="M1448" s="3" t="n"/>
      <c r="N1448" s="3" t="inlineStr"/>
      <c r="O1448" s="3" t="n"/>
      <c r="P1448" s="3" t="n"/>
      <c r="Q1448" s="3" t="n"/>
      <c r="R1448" s="3" t="n"/>
      <c r="S1448" s="3" t="n"/>
      <c r="T1448" s="3" t="n"/>
      <c r="U1448" s="3" t="n"/>
      <c r="V1448" s="3" t="n"/>
      <c r="W1448" s="3" t="n"/>
      <c r="X1448" s="3" t="n"/>
      <c r="Y1448" s="3" t="n"/>
      <c r="Z1448" s="3" t="n"/>
      <c r="AA1448" s="3" t="n"/>
    </row>
    <row r="1449">
      <c r="A1449" s="105" t="n"/>
      <c r="B1449" s="105" t="n"/>
      <c r="C1449" s="3" t="n"/>
      <c r="D1449" s="3" t="n"/>
      <c r="E1449" s="3" t="n"/>
      <c r="F1449" s="3" t="n"/>
      <c r="G1449" s="3" t="n"/>
      <c r="H1449" s="3" t="inlineStr"/>
      <c r="I1449" s="3" t="n"/>
      <c r="J1449" s="3" t="n"/>
      <c r="K1449" s="3" t="n"/>
      <c r="L1449" s="3" t="inlineStr"/>
      <c r="M1449" s="3" t="n"/>
      <c r="N1449" s="3" t="inlineStr"/>
      <c r="O1449" s="3" t="n"/>
      <c r="P1449" s="3" t="n"/>
      <c r="Q1449" s="3" t="n"/>
      <c r="R1449" s="3" t="n"/>
      <c r="S1449" s="3" t="n"/>
      <c r="T1449" s="3" t="n"/>
      <c r="U1449" s="3" t="n"/>
      <c r="V1449" s="3" t="n"/>
      <c r="W1449" s="3" t="n"/>
      <c r="X1449" s="3" t="n"/>
      <c r="Y1449" s="3" t="n"/>
      <c r="Z1449" s="3" t="n"/>
      <c r="AA1449" s="3" t="n"/>
    </row>
    <row r="1450">
      <c r="A1450" s="105" t="n"/>
      <c r="B1450" s="105" t="n"/>
      <c r="C1450" s="3" t="n"/>
      <c r="D1450" s="3" t="n"/>
      <c r="E1450" s="3" t="n"/>
      <c r="F1450" s="3" t="n"/>
      <c r="G1450" s="3" t="n"/>
      <c r="H1450" s="3" t="inlineStr"/>
      <c r="I1450" s="3" t="n"/>
      <c r="J1450" s="3" t="n"/>
      <c r="K1450" s="3" t="n"/>
      <c r="L1450" s="3" t="inlineStr"/>
      <c r="M1450" s="3" t="n"/>
      <c r="N1450" s="3" t="inlineStr"/>
      <c r="O1450" s="3" t="n"/>
      <c r="P1450" s="3" t="n"/>
      <c r="Q1450" s="3" t="n"/>
      <c r="R1450" s="3" t="n"/>
      <c r="S1450" s="3" t="n"/>
      <c r="T1450" s="3" t="n"/>
      <c r="U1450" s="3" t="n"/>
      <c r="V1450" s="3" t="n"/>
      <c r="W1450" s="3" t="n"/>
      <c r="X1450" s="3" t="n"/>
      <c r="Y1450" s="3" t="n"/>
      <c r="Z1450" s="3" t="n"/>
      <c r="AA1450" s="3" t="n"/>
    </row>
    <row r="1451">
      <c r="A1451" s="105" t="n"/>
      <c r="B1451" s="105" t="n"/>
      <c r="C1451" s="3" t="n"/>
      <c r="D1451" s="3" t="n"/>
      <c r="E1451" s="3" t="n"/>
      <c r="F1451" s="3" t="n"/>
      <c r="G1451" s="3" t="n"/>
      <c r="H1451" s="3" t="inlineStr"/>
      <c r="I1451" s="3" t="n"/>
      <c r="J1451" s="3" t="n"/>
      <c r="K1451" s="3" t="n"/>
      <c r="L1451" s="3" t="inlineStr"/>
      <c r="M1451" s="3" t="n"/>
      <c r="N1451" s="3" t="inlineStr"/>
      <c r="O1451" s="3" t="n"/>
      <c r="P1451" s="3" t="n"/>
      <c r="Q1451" s="3" t="n"/>
      <c r="R1451" s="3" t="n"/>
      <c r="S1451" s="3" t="n"/>
      <c r="T1451" s="3" t="n"/>
      <c r="U1451" s="3" t="n"/>
      <c r="V1451" s="3" t="n"/>
      <c r="W1451" s="3" t="n"/>
      <c r="X1451" s="3" t="n"/>
      <c r="Y1451" s="3" t="n"/>
      <c r="Z1451" s="3" t="n"/>
      <c r="AA1451" s="3" t="n"/>
    </row>
    <row r="1452">
      <c r="A1452" s="105" t="n"/>
      <c r="B1452" s="105" t="n"/>
      <c r="C1452" s="3" t="n"/>
      <c r="D1452" s="3" t="n"/>
      <c r="E1452" s="3" t="n"/>
      <c r="F1452" s="3" t="n"/>
      <c r="G1452" s="3" t="n"/>
      <c r="H1452" s="3" t="inlineStr"/>
      <c r="I1452" s="3" t="n"/>
      <c r="J1452" s="3" t="n"/>
      <c r="K1452" s="3" t="n"/>
      <c r="L1452" s="3" t="inlineStr"/>
      <c r="M1452" s="3" t="n"/>
      <c r="N1452" s="3" t="inlineStr"/>
      <c r="O1452" s="3" t="n"/>
      <c r="P1452" s="3" t="n"/>
      <c r="Q1452" s="3" t="n"/>
      <c r="R1452" s="3" t="n"/>
      <c r="S1452" s="3" t="n"/>
      <c r="T1452" s="3" t="n"/>
      <c r="U1452" s="3" t="n"/>
      <c r="V1452" s="3" t="n"/>
      <c r="W1452" s="3" t="n"/>
      <c r="X1452" s="3" t="n"/>
      <c r="Y1452" s="3" t="n"/>
      <c r="Z1452" s="3" t="n"/>
      <c r="AA1452" s="3" t="n"/>
    </row>
    <row r="1453">
      <c r="A1453" s="105" t="n"/>
      <c r="B1453" s="105" t="n"/>
      <c r="C1453" s="3" t="n"/>
      <c r="D1453" s="3" t="n"/>
      <c r="E1453" s="3" t="n"/>
      <c r="F1453" s="3" t="n"/>
      <c r="G1453" s="3" t="n"/>
      <c r="H1453" s="3" t="inlineStr"/>
      <c r="I1453" s="3" t="n"/>
      <c r="J1453" s="3" t="n"/>
      <c r="K1453" s="3" t="n"/>
      <c r="L1453" s="3" t="inlineStr"/>
      <c r="M1453" s="3" t="n"/>
      <c r="N1453" s="3" t="inlineStr"/>
      <c r="O1453" s="3" t="n"/>
      <c r="P1453" s="3" t="n"/>
      <c r="Q1453" s="3" t="n"/>
      <c r="R1453" s="3" t="n"/>
      <c r="S1453" s="3" t="n"/>
      <c r="T1453" s="3" t="n"/>
      <c r="U1453" s="3" t="n"/>
      <c r="V1453" s="3" t="n"/>
      <c r="W1453" s="3" t="n"/>
      <c r="X1453" s="3" t="n"/>
      <c r="Y1453" s="3" t="n"/>
      <c r="Z1453" s="3" t="n"/>
      <c r="AA1453" s="3" t="n"/>
    </row>
    <row r="1454">
      <c r="A1454" s="105" t="n"/>
      <c r="B1454" s="105" t="n"/>
      <c r="C1454" s="3" t="n"/>
      <c r="D1454" s="3" t="n"/>
      <c r="E1454" s="3" t="n"/>
      <c r="F1454" s="3" t="n"/>
      <c r="G1454" s="3" t="n"/>
      <c r="H1454" s="3" t="inlineStr"/>
      <c r="I1454" s="3" t="n"/>
      <c r="J1454" s="3" t="n"/>
      <c r="K1454" s="3" t="n"/>
      <c r="L1454" s="3" t="inlineStr"/>
      <c r="M1454" s="3" t="n"/>
      <c r="N1454" s="3" t="inlineStr"/>
      <c r="O1454" s="3" t="n"/>
      <c r="P1454" s="3" t="n"/>
      <c r="Q1454" s="3" t="n"/>
      <c r="R1454" s="3" t="n"/>
      <c r="S1454" s="3" t="n"/>
      <c r="T1454" s="3" t="n"/>
      <c r="U1454" s="3" t="n"/>
      <c r="V1454" s="3" t="n"/>
      <c r="W1454" s="3" t="n"/>
      <c r="X1454" s="3" t="n"/>
      <c r="Y1454" s="3" t="n"/>
      <c r="Z1454" s="3" t="n"/>
      <c r="AA1454" s="3" t="n"/>
    </row>
    <row r="1455">
      <c r="A1455" s="105" t="n"/>
      <c r="B1455" s="105" t="n"/>
      <c r="C1455" s="3" t="n"/>
      <c r="D1455" s="3" t="n"/>
      <c r="E1455" s="3" t="n"/>
      <c r="F1455" s="3" t="n"/>
      <c r="G1455" s="3" t="n"/>
      <c r="H1455" s="3" t="inlineStr"/>
      <c r="I1455" s="3" t="n"/>
      <c r="J1455" s="3" t="n"/>
      <c r="K1455" s="3" t="n"/>
      <c r="L1455" s="3" t="inlineStr"/>
      <c r="M1455" s="3" t="n"/>
      <c r="N1455" s="3" t="inlineStr"/>
      <c r="O1455" s="3" t="n"/>
      <c r="P1455" s="3" t="n"/>
      <c r="Q1455" s="3" t="n"/>
      <c r="R1455" s="3" t="n"/>
      <c r="S1455" s="3" t="n"/>
      <c r="T1455" s="3" t="n"/>
      <c r="U1455" s="3" t="n"/>
      <c r="V1455" s="3" t="n"/>
      <c r="W1455" s="3" t="n"/>
      <c r="X1455" s="3" t="n"/>
      <c r="Y1455" s="3" t="n"/>
      <c r="Z1455" s="3" t="n"/>
      <c r="AA1455" s="3" t="n"/>
    </row>
    <row r="1456">
      <c r="A1456" s="105" t="n"/>
      <c r="B1456" s="105" t="n"/>
      <c r="C1456" s="3" t="n"/>
      <c r="D1456" s="3" t="n"/>
      <c r="E1456" s="3" t="n"/>
      <c r="F1456" s="3" t="n"/>
      <c r="G1456" s="3" t="n"/>
      <c r="H1456" s="3" t="inlineStr"/>
      <c r="I1456" s="3" t="n"/>
      <c r="J1456" s="3" t="n"/>
      <c r="K1456" s="3" t="n"/>
      <c r="L1456" s="3" t="inlineStr"/>
      <c r="M1456" s="3" t="n"/>
      <c r="N1456" s="3" t="inlineStr"/>
      <c r="O1456" s="3" t="n"/>
      <c r="P1456" s="3" t="n"/>
      <c r="Q1456" s="3" t="n"/>
      <c r="R1456" s="3" t="n"/>
      <c r="S1456" s="3" t="n"/>
      <c r="T1456" s="3" t="n"/>
      <c r="U1456" s="3" t="n"/>
      <c r="V1456" s="3" t="n"/>
      <c r="W1456" s="3" t="n"/>
      <c r="X1456" s="3" t="n"/>
      <c r="Y1456" s="3" t="n"/>
      <c r="Z1456" s="3" t="n"/>
      <c r="AA1456" s="3" t="n"/>
    </row>
    <row r="1457">
      <c r="A1457" s="105" t="n"/>
      <c r="B1457" s="105" t="n"/>
      <c r="C1457" s="3" t="n"/>
      <c r="D1457" s="3" t="n"/>
      <c r="E1457" s="3" t="n"/>
      <c r="F1457" s="3" t="n"/>
      <c r="G1457" s="3" t="n"/>
      <c r="H1457" s="3" t="inlineStr"/>
      <c r="I1457" s="3" t="n"/>
      <c r="J1457" s="3" t="n"/>
      <c r="K1457" s="3" t="n"/>
      <c r="L1457" s="3" t="inlineStr"/>
      <c r="M1457" s="3" t="n"/>
      <c r="N1457" s="3" t="inlineStr"/>
      <c r="O1457" s="3" t="n"/>
      <c r="P1457" s="3" t="n"/>
      <c r="Q1457" s="3" t="n"/>
      <c r="R1457" s="3" t="n"/>
      <c r="S1457" s="3" t="n"/>
      <c r="T1457" s="3" t="n"/>
      <c r="U1457" s="3" t="n"/>
      <c r="V1457" s="3" t="n"/>
      <c r="W1457" s="3" t="n"/>
      <c r="X1457" s="3" t="n"/>
      <c r="Y1457" s="3" t="n"/>
      <c r="Z1457" s="3" t="n"/>
      <c r="AA1457" s="3" t="n"/>
    </row>
    <row r="1458">
      <c r="A1458" s="105" t="n"/>
      <c r="B1458" s="105" t="n"/>
      <c r="C1458" s="3" t="n"/>
      <c r="D1458" s="3" t="n"/>
      <c r="E1458" s="3" t="n"/>
      <c r="F1458" s="3" t="n"/>
      <c r="G1458" s="3" t="n"/>
      <c r="H1458" s="3" t="inlineStr"/>
      <c r="I1458" s="3" t="n"/>
      <c r="J1458" s="3" t="n"/>
      <c r="K1458" s="3" t="n"/>
      <c r="L1458" s="3" t="inlineStr"/>
      <c r="M1458" s="3" t="n"/>
      <c r="N1458" s="3" t="inlineStr"/>
      <c r="O1458" s="3" t="n"/>
      <c r="P1458" s="3" t="n"/>
      <c r="Q1458" s="3" t="n"/>
      <c r="R1458" s="3" t="n"/>
      <c r="S1458" s="3" t="n"/>
      <c r="T1458" s="3" t="n"/>
      <c r="U1458" s="3" t="n"/>
      <c r="V1458" s="3" t="n"/>
      <c r="W1458" s="3" t="n"/>
      <c r="X1458" s="3" t="n"/>
      <c r="Y1458" s="3" t="n"/>
      <c r="Z1458" s="3" t="n"/>
      <c r="AA1458" s="3" t="n"/>
    </row>
    <row r="1459">
      <c r="A1459" s="105" t="n"/>
      <c r="B1459" s="105" t="n"/>
      <c r="C1459" s="3" t="n"/>
      <c r="D1459" s="3" t="n"/>
      <c r="E1459" s="3" t="n"/>
      <c r="F1459" s="3" t="n"/>
      <c r="G1459" s="3" t="n"/>
      <c r="H1459" s="3" t="inlineStr"/>
      <c r="I1459" s="3" t="n"/>
      <c r="J1459" s="3" t="n"/>
      <c r="K1459" s="3" t="n"/>
      <c r="L1459" s="3" t="inlineStr"/>
      <c r="M1459" s="3" t="n"/>
      <c r="N1459" s="3" t="inlineStr"/>
      <c r="O1459" s="3" t="n"/>
      <c r="P1459" s="3" t="n"/>
      <c r="Q1459" s="3" t="n"/>
      <c r="R1459" s="3" t="n"/>
      <c r="S1459" s="3" t="n"/>
      <c r="T1459" s="3" t="n"/>
      <c r="U1459" s="3" t="n"/>
      <c r="V1459" s="3" t="n"/>
      <c r="W1459" s="3" t="n"/>
      <c r="X1459" s="3" t="n"/>
      <c r="Y1459" s="3" t="n"/>
      <c r="Z1459" s="3" t="n"/>
      <c r="AA1459" s="3" t="n"/>
    </row>
    <row r="1460">
      <c r="A1460" s="105" t="n"/>
      <c r="B1460" s="105" t="n"/>
      <c r="C1460" s="3" t="n"/>
      <c r="D1460" s="3" t="n"/>
      <c r="E1460" s="3" t="n"/>
      <c r="F1460" s="3" t="n"/>
      <c r="G1460" s="3" t="n"/>
      <c r="H1460" s="3" t="inlineStr"/>
      <c r="I1460" s="3" t="n"/>
      <c r="J1460" s="3" t="n"/>
      <c r="K1460" s="3" t="n"/>
      <c r="L1460" s="3" t="inlineStr"/>
      <c r="M1460" s="3" t="n"/>
      <c r="N1460" s="3" t="inlineStr"/>
      <c r="O1460" s="3" t="n"/>
      <c r="P1460" s="3" t="n"/>
      <c r="Q1460" s="3" t="n"/>
      <c r="R1460" s="3" t="n"/>
      <c r="S1460" s="3" t="n"/>
      <c r="T1460" s="3" t="n"/>
      <c r="U1460" s="3" t="n"/>
      <c r="V1460" s="3" t="n"/>
      <c r="W1460" s="3" t="n"/>
      <c r="X1460" s="3" t="n"/>
      <c r="Y1460" s="3" t="n"/>
      <c r="Z1460" s="3" t="n"/>
      <c r="AA1460" s="3" t="n"/>
    </row>
    <row r="1461">
      <c r="A1461" s="105" t="n"/>
      <c r="B1461" s="105" t="n"/>
      <c r="C1461" s="3" t="n"/>
      <c r="D1461" s="3" t="n"/>
      <c r="E1461" s="3" t="n"/>
      <c r="F1461" s="3" t="n"/>
      <c r="G1461" s="3" t="n"/>
      <c r="H1461" s="3" t="inlineStr"/>
      <c r="I1461" s="3" t="n"/>
      <c r="J1461" s="3" t="n"/>
      <c r="K1461" s="3" t="n"/>
      <c r="L1461" s="3" t="inlineStr"/>
      <c r="M1461" s="3" t="n"/>
      <c r="N1461" s="3" t="inlineStr"/>
      <c r="O1461" s="3" t="n"/>
      <c r="P1461" s="3" t="n"/>
      <c r="Q1461" s="3" t="n"/>
      <c r="R1461" s="3" t="n"/>
      <c r="S1461" s="3" t="n"/>
      <c r="T1461" s="3" t="n"/>
      <c r="U1461" s="3" t="n"/>
      <c r="V1461" s="3" t="n"/>
      <c r="W1461" s="3" t="n"/>
      <c r="X1461" s="3" t="n"/>
      <c r="Y1461" s="3" t="n"/>
      <c r="Z1461" s="3" t="n"/>
      <c r="AA1461" s="3" t="n"/>
    </row>
    <row r="1462">
      <c r="A1462" s="105" t="n"/>
      <c r="B1462" s="105" t="n"/>
      <c r="C1462" s="3" t="n"/>
      <c r="D1462" s="3" t="n"/>
      <c r="E1462" s="3" t="n"/>
      <c r="F1462" s="3" t="n"/>
      <c r="G1462" s="3" t="n"/>
      <c r="H1462" s="3" t="inlineStr"/>
      <c r="I1462" s="3" t="n"/>
      <c r="J1462" s="3" t="n"/>
      <c r="K1462" s="3" t="n"/>
      <c r="L1462" s="3" t="inlineStr"/>
      <c r="M1462" s="3" t="n"/>
      <c r="N1462" s="3" t="inlineStr"/>
      <c r="O1462" s="3" t="n"/>
      <c r="P1462" s="3" t="n"/>
      <c r="Q1462" s="3" t="n"/>
      <c r="R1462" s="3" t="n"/>
      <c r="S1462" s="3" t="n"/>
      <c r="T1462" s="3" t="n"/>
      <c r="U1462" s="3" t="n"/>
      <c r="V1462" s="3" t="n"/>
      <c r="W1462" s="3" t="n"/>
      <c r="X1462" s="3" t="n"/>
      <c r="Y1462" s="3" t="n"/>
      <c r="Z1462" s="3" t="n"/>
      <c r="AA1462" s="3" t="n"/>
    </row>
    <row r="1463">
      <c r="A1463" s="105" t="n"/>
      <c r="B1463" s="105" t="n"/>
      <c r="C1463" s="3" t="n"/>
      <c r="D1463" s="3" t="n"/>
      <c r="E1463" s="3" t="n"/>
      <c r="F1463" s="3" t="n"/>
      <c r="G1463" s="3" t="n"/>
      <c r="H1463" s="3" t="inlineStr"/>
      <c r="I1463" s="3" t="n"/>
      <c r="J1463" s="3" t="n"/>
      <c r="K1463" s="3" t="n"/>
      <c r="L1463" s="3" t="inlineStr"/>
      <c r="M1463" s="3" t="n"/>
      <c r="N1463" s="3" t="inlineStr"/>
      <c r="O1463" s="3" t="n"/>
      <c r="P1463" s="3" t="n"/>
      <c r="Q1463" s="3" t="n"/>
      <c r="R1463" s="3" t="n"/>
      <c r="S1463" s="3" t="n"/>
      <c r="T1463" s="3" t="n"/>
      <c r="U1463" s="3" t="n"/>
      <c r="V1463" s="3" t="n"/>
      <c r="W1463" s="3" t="n"/>
      <c r="X1463" s="3" t="n"/>
      <c r="Y1463" s="3" t="n"/>
      <c r="Z1463" s="3" t="n"/>
      <c r="AA1463" s="3" t="n"/>
    </row>
    <row r="1464">
      <c r="A1464" s="105" t="n"/>
      <c r="B1464" s="105" t="n"/>
      <c r="C1464" s="3" t="n"/>
      <c r="D1464" s="3" t="n"/>
      <c r="E1464" s="3" t="n"/>
      <c r="F1464" s="3" t="n"/>
      <c r="G1464" s="3" t="n"/>
      <c r="H1464" s="3" t="inlineStr"/>
      <c r="I1464" s="3" t="n"/>
      <c r="J1464" s="3" t="n"/>
      <c r="K1464" s="3" t="n"/>
      <c r="L1464" s="3" t="inlineStr"/>
      <c r="M1464" s="3" t="n"/>
      <c r="N1464" s="3" t="inlineStr"/>
      <c r="O1464" s="3" t="n"/>
      <c r="P1464" s="3" t="n"/>
      <c r="Q1464" s="3" t="n"/>
      <c r="R1464" s="3" t="n"/>
      <c r="S1464" s="3" t="n"/>
      <c r="T1464" s="3" t="n"/>
      <c r="U1464" s="3" t="n"/>
      <c r="V1464" s="3" t="n"/>
      <c r="W1464" s="3" t="n"/>
      <c r="X1464" s="3" t="n"/>
      <c r="Y1464" s="3" t="n"/>
      <c r="Z1464" s="3" t="n"/>
      <c r="AA1464" s="3" t="n"/>
    </row>
    <row r="1465">
      <c r="A1465" s="105" t="n"/>
      <c r="B1465" s="105" t="n"/>
      <c r="C1465" s="3" t="n"/>
      <c r="D1465" s="3" t="n"/>
      <c r="E1465" s="3" t="n"/>
      <c r="F1465" s="3" t="n"/>
      <c r="G1465" s="3" t="n"/>
      <c r="H1465" s="3" t="inlineStr"/>
      <c r="I1465" s="3" t="n"/>
      <c r="J1465" s="3" t="n"/>
      <c r="K1465" s="3" t="n"/>
      <c r="L1465" s="3" t="inlineStr"/>
      <c r="M1465" s="3" t="n"/>
      <c r="N1465" s="3" t="inlineStr"/>
      <c r="O1465" s="3" t="n"/>
      <c r="P1465" s="3" t="n"/>
      <c r="Q1465" s="3" t="n"/>
      <c r="R1465" s="3" t="n"/>
      <c r="S1465" s="3" t="n"/>
      <c r="T1465" s="3" t="n"/>
      <c r="U1465" s="3" t="n"/>
      <c r="V1465" s="3" t="n"/>
      <c r="W1465" s="3" t="n"/>
      <c r="X1465" s="3" t="n"/>
      <c r="Y1465" s="3" t="n"/>
      <c r="Z1465" s="3" t="n"/>
      <c r="AA1465" s="3" t="n"/>
    </row>
    <row r="1466">
      <c r="A1466" s="105" t="n"/>
      <c r="B1466" s="105" t="n"/>
      <c r="C1466" s="3" t="n"/>
      <c r="D1466" s="3" t="n"/>
      <c r="E1466" s="3" t="n"/>
      <c r="F1466" s="3" t="n"/>
      <c r="G1466" s="3" t="n"/>
      <c r="H1466" s="3" t="inlineStr"/>
      <c r="I1466" s="3" t="n"/>
      <c r="J1466" s="3" t="n"/>
      <c r="K1466" s="3" t="n"/>
      <c r="L1466" s="3" t="inlineStr"/>
      <c r="M1466" s="3" t="n"/>
      <c r="N1466" s="3" t="inlineStr"/>
      <c r="O1466" s="3" t="n"/>
      <c r="P1466" s="3" t="n"/>
      <c r="Q1466" s="3" t="n"/>
      <c r="R1466" s="3" t="n"/>
      <c r="S1466" s="3" t="n"/>
      <c r="T1466" s="3" t="n"/>
      <c r="U1466" s="3" t="n"/>
      <c r="V1466" s="3" t="n"/>
      <c r="W1466" s="3" t="n"/>
      <c r="X1466" s="3" t="n"/>
      <c r="Y1466" s="3" t="n"/>
      <c r="Z1466" s="3" t="n"/>
      <c r="AA1466" s="3" t="n"/>
    </row>
    <row r="1467">
      <c r="A1467" s="105" t="n"/>
      <c r="B1467" s="105" t="n"/>
      <c r="C1467" s="3" t="n"/>
      <c r="D1467" s="3" t="n"/>
      <c r="E1467" s="3" t="n"/>
      <c r="F1467" s="3" t="n"/>
      <c r="G1467" s="3" t="n"/>
      <c r="H1467" s="3" t="inlineStr"/>
      <c r="I1467" s="3" t="n"/>
      <c r="J1467" s="3" t="n"/>
      <c r="K1467" s="3" t="n"/>
      <c r="L1467" s="3" t="inlineStr"/>
      <c r="M1467" s="3" t="n"/>
      <c r="N1467" s="3" t="inlineStr"/>
      <c r="O1467" s="3" t="n"/>
      <c r="P1467" s="3" t="n"/>
      <c r="Q1467" s="3" t="n"/>
      <c r="R1467" s="3" t="n"/>
      <c r="S1467" s="3" t="n"/>
      <c r="T1467" s="3" t="n"/>
      <c r="U1467" s="3" t="n"/>
      <c r="V1467" s="3" t="n"/>
      <c r="W1467" s="3" t="n"/>
      <c r="X1467" s="3" t="n"/>
      <c r="Y1467" s="3" t="n"/>
      <c r="Z1467" s="3" t="n"/>
      <c r="AA1467" s="3" t="n"/>
    </row>
    <row r="1468">
      <c r="A1468" s="105" t="n"/>
      <c r="B1468" s="105" t="n"/>
      <c r="C1468" s="3" t="n"/>
      <c r="D1468" s="3" t="n"/>
      <c r="E1468" s="3" t="n"/>
      <c r="F1468" s="3" t="n"/>
      <c r="G1468" s="3" t="n"/>
      <c r="H1468" s="3" t="inlineStr"/>
      <c r="I1468" s="3" t="n"/>
      <c r="J1468" s="3" t="n"/>
      <c r="K1468" s="3" t="n"/>
      <c r="L1468" s="3" t="inlineStr"/>
      <c r="M1468" s="3" t="n"/>
      <c r="N1468" s="3" t="inlineStr"/>
      <c r="O1468" s="3" t="n"/>
      <c r="P1468" s="3" t="n"/>
      <c r="Q1468" s="3" t="n"/>
      <c r="R1468" s="3" t="n"/>
      <c r="S1468" s="3" t="n"/>
      <c r="T1468" s="3" t="n"/>
      <c r="U1468" s="3" t="n"/>
      <c r="V1468" s="3" t="n"/>
      <c r="W1468" s="3" t="n"/>
      <c r="X1468" s="3" t="n"/>
      <c r="Y1468" s="3" t="n"/>
      <c r="Z1468" s="3" t="n"/>
      <c r="AA1468" s="3" t="n"/>
    </row>
    <row r="1469">
      <c r="A1469" s="105" t="n"/>
      <c r="B1469" s="105" t="n"/>
      <c r="C1469" s="3" t="n"/>
      <c r="D1469" s="3" t="n"/>
      <c r="E1469" s="3" t="n"/>
      <c r="F1469" s="3" t="n"/>
      <c r="G1469" s="3" t="n"/>
      <c r="H1469" s="3" t="inlineStr"/>
      <c r="I1469" s="3" t="n"/>
      <c r="J1469" s="3" t="n"/>
      <c r="K1469" s="3" t="n"/>
      <c r="L1469" s="3" t="inlineStr"/>
      <c r="M1469" s="3" t="n"/>
      <c r="N1469" s="3" t="inlineStr"/>
      <c r="O1469" s="3" t="n"/>
      <c r="P1469" s="3" t="n"/>
      <c r="Q1469" s="3" t="n"/>
      <c r="R1469" s="3" t="n"/>
      <c r="S1469" s="3" t="n"/>
      <c r="T1469" s="3" t="n"/>
      <c r="U1469" s="3" t="n"/>
      <c r="V1469" s="3" t="n"/>
      <c r="W1469" s="3" t="n"/>
      <c r="X1469" s="3" t="n"/>
      <c r="Y1469" s="3" t="n"/>
      <c r="Z1469" s="3" t="n"/>
      <c r="AA1469" s="3" t="n"/>
    </row>
    <row r="1470">
      <c r="A1470" s="105" t="n"/>
      <c r="B1470" s="105" t="n"/>
      <c r="C1470" s="3" t="n"/>
      <c r="D1470" s="3" t="n"/>
      <c r="E1470" s="3" t="n"/>
      <c r="F1470" s="3" t="n"/>
      <c r="G1470" s="3" t="n"/>
      <c r="H1470" s="3" t="inlineStr"/>
      <c r="I1470" s="3" t="n"/>
      <c r="J1470" s="3" t="n"/>
      <c r="K1470" s="3" t="n"/>
      <c r="L1470" s="3" t="inlineStr"/>
      <c r="M1470" s="3" t="n"/>
      <c r="N1470" s="3" t="inlineStr"/>
      <c r="O1470" s="3" t="n"/>
      <c r="P1470" s="3" t="n"/>
      <c r="Q1470" s="3" t="n"/>
      <c r="R1470" s="3" t="n"/>
      <c r="S1470" s="3" t="n"/>
      <c r="T1470" s="3" t="n"/>
      <c r="U1470" s="3" t="n"/>
      <c r="V1470" s="3" t="n"/>
      <c r="W1470" s="3" t="n"/>
      <c r="X1470" s="3" t="n"/>
      <c r="Y1470" s="3" t="n"/>
      <c r="Z1470" s="3" t="n"/>
      <c r="AA1470" s="3" t="n"/>
    </row>
    <row r="1471">
      <c r="A1471" s="105" t="n"/>
      <c r="B1471" s="105" t="n"/>
      <c r="C1471" s="3" t="n"/>
      <c r="D1471" s="3" t="n"/>
      <c r="E1471" s="3" t="n"/>
      <c r="F1471" s="3" t="n"/>
      <c r="G1471" s="3" t="n"/>
      <c r="H1471" s="3" t="inlineStr"/>
      <c r="I1471" s="3" t="n"/>
      <c r="J1471" s="3" t="n"/>
      <c r="K1471" s="3" t="n"/>
      <c r="L1471" s="3" t="inlineStr"/>
      <c r="M1471" s="3" t="n"/>
      <c r="N1471" s="3" t="inlineStr"/>
      <c r="O1471" s="3" t="n"/>
      <c r="P1471" s="3" t="n"/>
      <c r="Q1471" s="3" t="n"/>
      <c r="R1471" s="3" t="n"/>
      <c r="S1471" s="3" t="n"/>
      <c r="T1471" s="3" t="n"/>
      <c r="U1471" s="3" t="n"/>
      <c r="V1471" s="3" t="n"/>
      <c r="W1471" s="3" t="n"/>
      <c r="X1471" s="3" t="n"/>
      <c r="Y1471" s="3" t="n"/>
      <c r="Z1471" s="3" t="n"/>
      <c r="AA1471" s="3" t="n"/>
    </row>
    <row r="1472">
      <c r="A1472" s="105" t="n"/>
      <c r="B1472" s="105" t="n"/>
      <c r="C1472" s="3" t="n"/>
      <c r="D1472" s="3" t="n"/>
      <c r="E1472" s="3" t="n"/>
      <c r="F1472" s="3" t="n"/>
      <c r="G1472" s="3" t="n"/>
      <c r="H1472" s="3" t="inlineStr"/>
      <c r="I1472" s="3" t="n"/>
      <c r="J1472" s="3" t="n"/>
      <c r="K1472" s="3" t="n"/>
      <c r="L1472" s="3" t="inlineStr"/>
      <c r="M1472" s="3" t="n"/>
      <c r="N1472" s="3" t="inlineStr"/>
      <c r="O1472" s="3" t="n"/>
      <c r="P1472" s="3" t="n"/>
      <c r="Q1472" s="3" t="n"/>
      <c r="R1472" s="3" t="n"/>
      <c r="S1472" s="3" t="n"/>
      <c r="T1472" s="3" t="n"/>
      <c r="U1472" s="3" t="n"/>
      <c r="V1472" s="3" t="n"/>
      <c r="W1472" s="3" t="n"/>
      <c r="X1472" s="3" t="n"/>
      <c r="Y1472" s="3" t="n"/>
      <c r="Z1472" s="3" t="n"/>
      <c r="AA1472" s="3" t="n"/>
    </row>
    <row r="1473">
      <c r="A1473" s="105" t="n"/>
      <c r="B1473" s="105" t="n"/>
      <c r="C1473" s="3" t="n"/>
      <c r="D1473" s="3" t="n"/>
      <c r="E1473" s="3" t="n"/>
      <c r="F1473" s="3" t="n"/>
      <c r="G1473" s="3" t="n"/>
      <c r="H1473" s="3" t="inlineStr"/>
      <c r="I1473" s="3" t="n"/>
      <c r="J1473" s="3" t="n"/>
      <c r="K1473" s="3" t="n"/>
      <c r="L1473" s="3" t="inlineStr"/>
      <c r="M1473" s="3" t="n"/>
      <c r="N1473" s="3" t="inlineStr"/>
      <c r="O1473" s="3" t="n"/>
      <c r="P1473" s="3" t="n"/>
      <c r="Q1473" s="3" t="n"/>
      <c r="R1473" s="3" t="n"/>
      <c r="S1473" s="3" t="n"/>
      <c r="T1473" s="3" t="n"/>
      <c r="U1473" s="3" t="n"/>
      <c r="V1473" s="3" t="n"/>
      <c r="W1473" s="3" t="n"/>
      <c r="X1473" s="3" t="n"/>
      <c r="Y1473" s="3" t="n"/>
      <c r="Z1473" s="3" t="n"/>
      <c r="AA1473" s="3" t="n"/>
    </row>
    <row r="1474">
      <c r="A1474" s="105" t="n"/>
      <c r="B1474" s="105" t="n"/>
      <c r="C1474" s="3" t="n"/>
      <c r="D1474" s="3" t="n"/>
      <c r="E1474" s="3" t="n"/>
      <c r="F1474" s="3" t="n"/>
      <c r="G1474" s="3" t="n"/>
      <c r="H1474" s="3" t="inlineStr"/>
      <c r="I1474" s="3" t="n"/>
      <c r="J1474" s="3" t="n"/>
      <c r="K1474" s="3" t="n"/>
      <c r="L1474" s="3" t="inlineStr"/>
      <c r="M1474" s="3" t="n"/>
      <c r="N1474" s="3" t="inlineStr"/>
      <c r="O1474" s="3" t="n"/>
      <c r="P1474" s="3" t="n"/>
      <c r="Q1474" s="3" t="n"/>
      <c r="R1474" s="3" t="n"/>
      <c r="S1474" s="3" t="n"/>
      <c r="T1474" s="3" t="n"/>
      <c r="U1474" s="3" t="n"/>
      <c r="V1474" s="3" t="n"/>
      <c r="W1474" s="3" t="n"/>
      <c r="X1474" s="3" t="n"/>
      <c r="Y1474" s="3" t="n"/>
      <c r="Z1474" s="3" t="n"/>
      <c r="AA1474" s="3" t="n"/>
    </row>
    <row r="1475">
      <c r="A1475" s="105" t="n"/>
      <c r="B1475" s="105" t="n"/>
      <c r="C1475" s="3" t="n"/>
      <c r="D1475" s="3" t="n"/>
      <c r="E1475" s="3" t="n"/>
      <c r="F1475" s="3" t="n"/>
      <c r="G1475" s="3" t="n"/>
      <c r="H1475" s="3" t="inlineStr"/>
      <c r="I1475" s="3" t="n"/>
      <c r="J1475" s="3" t="n"/>
      <c r="K1475" s="3" t="n"/>
      <c r="L1475" s="3" t="inlineStr"/>
      <c r="M1475" s="3" t="n"/>
      <c r="N1475" s="3" t="inlineStr"/>
      <c r="O1475" s="3" t="n"/>
      <c r="P1475" s="3" t="n"/>
      <c r="Q1475" s="3" t="n"/>
      <c r="R1475" s="3" t="n"/>
      <c r="S1475" s="3" t="n"/>
      <c r="T1475" s="3" t="n"/>
      <c r="U1475" s="3" t="n"/>
      <c r="V1475" s="3" t="n"/>
      <c r="W1475" s="3" t="n"/>
      <c r="X1475" s="3" t="n"/>
      <c r="Y1475" s="3" t="n"/>
      <c r="Z1475" s="3" t="n"/>
      <c r="AA1475" s="3" t="n"/>
    </row>
    <row r="1476">
      <c r="A1476" s="105" t="n"/>
      <c r="B1476" s="105" t="n"/>
      <c r="C1476" s="3" t="n"/>
      <c r="D1476" s="3" t="n"/>
      <c r="E1476" s="3" t="n"/>
      <c r="F1476" s="3" t="n"/>
      <c r="G1476" s="3" t="n"/>
      <c r="H1476" s="3" t="inlineStr"/>
      <c r="I1476" s="3" t="n"/>
      <c r="J1476" s="3" t="n"/>
      <c r="K1476" s="3" t="n"/>
      <c r="L1476" s="3" t="inlineStr"/>
      <c r="M1476" s="3" t="n"/>
      <c r="N1476" s="3" t="inlineStr"/>
      <c r="O1476" s="3" t="n"/>
      <c r="P1476" s="3" t="n"/>
      <c r="Q1476" s="3" t="n"/>
      <c r="R1476" s="3" t="n"/>
      <c r="S1476" s="3" t="n"/>
      <c r="T1476" s="3" t="n"/>
      <c r="U1476" s="3" t="n"/>
      <c r="V1476" s="3" t="n"/>
      <c r="W1476" s="3" t="n"/>
      <c r="X1476" s="3" t="n"/>
      <c r="Y1476" s="3" t="n"/>
      <c r="Z1476" s="3" t="n"/>
      <c r="AA1476" s="3" t="n"/>
    </row>
    <row r="1477">
      <c r="A1477" s="105" t="n"/>
      <c r="B1477" s="105" t="n"/>
      <c r="C1477" s="3" t="n"/>
      <c r="D1477" s="3" t="n"/>
      <c r="E1477" s="3" t="n"/>
      <c r="F1477" s="3" t="n"/>
      <c r="G1477" s="3" t="n"/>
      <c r="H1477" s="3" t="inlineStr"/>
      <c r="I1477" s="3" t="n"/>
      <c r="J1477" s="3" t="n"/>
      <c r="K1477" s="3" t="n"/>
      <c r="L1477" s="3" t="inlineStr"/>
      <c r="M1477" s="3" t="n"/>
      <c r="N1477" s="3" t="inlineStr"/>
      <c r="O1477" s="3" t="n"/>
      <c r="P1477" s="3" t="n"/>
      <c r="Q1477" s="3" t="n"/>
      <c r="R1477" s="3" t="n"/>
      <c r="S1477" s="3" t="n"/>
      <c r="T1477" s="3" t="n"/>
      <c r="U1477" s="3" t="n"/>
      <c r="V1477" s="3" t="n"/>
      <c r="W1477" s="3" t="n"/>
      <c r="X1477" s="3" t="n"/>
      <c r="Y1477" s="3" t="n"/>
      <c r="Z1477" s="3" t="n"/>
      <c r="AA1477" s="3" t="n"/>
    </row>
    <row r="1478">
      <c r="A1478" s="105" t="n"/>
      <c r="B1478" s="105" t="n"/>
      <c r="C1478" s="3" t="n"/>
      <c r="D1478" s="3" t="n"/>
      <c r="E1478" s="3" t="n"/>
      <c r="F1478" s="3" t="n"/>
      <c r="G1478" s="3" t="n"/>
      <c r="H1478" s="3" t="inlineStr"/>
      <c r="I1478" s="3" t="n"/>
      <c r="J1478" s="3" t="n"/>
      <c r="K1478" s="3" t="n"/>
      <c r="L1478" s="3" t="inlineStr"/>
      <c r="M1478" s="3" t="n"/>
      <c r="N1478" s="3" t="inlineStr"/>
      <c r="O1478" s="3" t="n"/>
      <c r="P1478" s="3" t="n"/>
      <c r="Q1478" s="3" t="n"/>
      <c r="R1478" s="3" t="n"/>
      <c r="S1478" s="3" t="n"/>
      <c r="T1478" s="3" t="n"/>
      <c r="U1478" s="3" t="n"/>
      <c r="V1478" s="3" t="n"/>
      <c r="W1478" s="3" t="n"/>
      <c r="X1478" s="3" t="n"/>
      <c r="Y1478" s="3" t="n"/>
      <c r="Z1478" s="3" t="n"/>
      <c r="AA1478" s="3" t="n"/>
    </row>
    <row r="1479">
      <c r="A1479" s="105" t="n"/>
      <c r="B1479" s="105" t="n"/>
      <c r="C1479" s="3" t="n"/>
      <c r="D1479" s="3" t="n"/>
      <c r="E1479" s="3" t="n"/>
      <c r="F1479" s="3" t="n"/>
      <c r="G1479" s="3" t="n"/>
      <c r="H1479" s="3" t="inlineStr"/>
      <c r="I1479" s="3" t="n"/>
      <c r="J1479" s="3" t="n"/>
      <c r="K1479" s="3" t="n"/>
      <c r="L1479" s="3" t="inlineStr"/>
      <c r="M1479" s="3" t="n"/>
      <c r="N1479" s="3" t="inlineStr"/>
      <c r="O1479" s="3" t="n"/>
      <c r="P1479" s="3" t="n"/>
      <c r="Q1479" s="3" t="n"/>
      <c r="R1479" s="3" t="n"/>
      <c r="S1479" s="3" t="n"/>
      <c r="T1479" s="3" t="n"/>
      <c r="U1479" s="3" t="n"/>
      <c r="V1479" s="3" t="n"/>
      <c r="W1479" s="3" t="n"/>
      <c r="X1479" s="3" t="n"/>
      <c r="Y1479" s="3" t="n"/>
      <c r="Z1479" s="3" t="n"/>
      <c r="AA1479" s="3" t="n"/>
    </row>
    <row r="1480">
      <c r="A1480" s="105" t="n"/>
      <c r="B1480" s="105" t="n"/>
      <c r="C1480" s="3" t="n"/>
      <c r="D1480" s="3" t="n"/>
      <c r="E1480" s="3" t="n"/>
      <c r="F1480" s="3" t="n"/>
      <c r="G1480" s="3" t="n"/>
      <c r="H1480" s="3" t="inlineStr"/>
      <c r="I1480" s="3" t="n"/>
      <c r="J1480" s="3" t="n"/>
      <c r="K1480" s="3" t="n"/>
      <c r="L1480" s="3" t="inlineStr"/>
      <c r="M1480" s="3" t="n"/>
      <c r="N1480" s="3" t="inlineStr"/>
      <c r="O1480" s="3" t="n"/>
      <c r="P1480" s="3" t="n"/>
      <c r="Q1480" s="3" t="n"/>
      <c r="R1480" s="3" t="n"/>
      <c r="S1480" s="3" t="n"/>
      <c r="T1480" s="3" t="n"/>
      <c r="U1480" s="3" t="n"/>
      <c r="V1480" s="3" t="n"/>
      <c r="W1480" s="3" t="n"/>
      <c r="X1480" s="3" t="n"/>
      <c r="Y1480" s="3" t="n"/>
      <c r="Z1480" s="3" t="n"/>
      <c r="AA1480" s="3" t="n"/>
    </row>
    <row r="1481">
      <c r="A1481" s="105" t="n"/>
      <c r="B1481" s="105" t="n"/>
      <c r="C1481" s="3" t="n"/>
      <c r="D1481" s="3" t="n"/>
      <c r="E1481" s="3" t="n"/>
      <c r="F1481" s="3" t="n"/>
      <c r="G1481" s="3" t="n"/>
      <c r="H1481" s="3" t="inlineStr"/>
      <c r="I1481" s="3" t="n"/>
      <c r="J1481" s="3" t="n"/>
      <c r="K1481" s="3" t="n"/>
      <c r="L1481" s="3" t="inlineStr"/>
      <c r="M1481" s="3" t="n"/>
      <c r="N1481" s="3" t="inlineStr"/>
      <c r="O1481" s="3" t="n"/>
      <c r="P1481" s="3" t="n"/>
      <c r="Q1481" s="3" t="n"/>
      <c r="R1481" s="3" t="n"/>
      <c r="S1481" s="3" t="n"/>
      <c r="T1481" s="3" t="n"/>
      <c r="U1481" s="3" t="n"/>
      <c r="V1481" s="3" t="n"/>
      <c r="W1481" s="3" t="n"/>
      <c r="X1481" s="3" t="n"/>
      <c r="Y1481" s="3" t="n"/>
      <c r="Z1481" s="3" t="n"/>
      <c r="AA1481" s="3" t="n"/>
    </row>
    <row r="1482">
      <c r="A1482" s="105" t="n"/>
      <c r="B1482" s="105" t="n"/>
      <c r="C1482" s="3" t="n"/>
      <c r="D1482" s="3" t="n"/>
      <c r="E1482" s="3" t="n"/>
      <c r="F1482" s="3" t="n"/>
      <c r="G1482" s="3" t="n"/>
      <c r="H1482" s="3" t="inlineStr"/>
      <c r="I1482" s="3" t="n"/>
      <c r="J1482" s="3" t="n"/>
      <c r="K1482" s="3" t="n"/>
      <c r="L1482" s="3" t="inlineStr"/>
      <c r="M1482" s="3" t="n"/>
      <c r="N1482" s="3" t="inlineStr"/>
      <c r="O1482" s="3" t="n"/>
      <c r="P1482" s="3" t="n"/>
      <c r="Q1482" s="3" t="n"/>
      <c r="R1482" s="3" t="n"/>
      <c r="S1482" s="3" t="n"/>
      <c r="T1482" s="3" t="n"/>
      <c r="U1482" s="3" t="n"/>
      <c r="V1482" s="3" t="n"/>
      <c r="W1482" s="3" t="n"/>
      <c r="X1482" s="3" t="n"/>
      <c r="Y1482" s="3" t="n"/>
      <c r="Z1482" s="3" t="n"/>
      <c r="AA1482" s="3" t="n"/>
    </row>
    <row r="1483">
      <c r="A1483" s="105" t="n"/>
      <c r="B1483" s="105" t="n"/>
      <c r="C1483" s="3" t="n"/>
      <c r="D1483" s="3" t="n"/>
      <c r="E1483" s="3" t="n"/>
      <c r="F1483" s="3" t="n"/>
      <c r="G1483" s="3" t="n"/>
      <c r="H1483" s="3" t="inlineStr"/>
      <c r="I1483" s="3" t="n"/>
      <c r="J1483" s="3" t="n"/>
      <c r="K1483" s="3" t="n"/>
      <c r="L1483" s="3" t="inlineStr"/>
      <c r="M1483" s="3" t="n"/>
      <c r="N1483" s="3" t="inlineStr"/>
      <c r="O1483" s="3" t="n"/>
      <c r="P1483" s="3" t="n"/>
      <c r="Q1483" s="3" t="n"/>
      <c r="R1483" s="3" t="n"/>
      <c r="S1483" s="3" t="n"/>
      <c r="T1483" s="3" t="n"/>
      <c r="U1483" s="3" t="n"/>
      <c r="V1483" s="3" t="n"/>
      <c r="W1483" s="3" t="n"/>
      <c r="X1483" s="3" t="n"/>
      <c r="Y1483" s="3" t="n"/>
      <c r="Z1483" s="3" t="n"/>
      <c r="AA1483" s="3" t="n"/>
    </row>
    <row r="1484">
      <c r="A1484" s="105" t="n"/>
      <c r="B1484" s="105" t="n"/>
      <c r="C1484" s="3" t="n"/>
      <c r="D1484" s="3" t="n"/>
      <c r="E1484" s="3" t="n"/>
      <c r="F1484" s="3" t="n"/>
      <c r="G1484" s="3" t="n"/>
      <c r="H1484" s="3" t="inlineStr"/>
      <c r="I1484" s="3" t="n"/>
      <c r="J1484" s="3" t="n"/>
      <c r="K1484" s="3" t="n"/>
      <c r="L1484" s="3" t="inlineStr"/>
      <c r="M1484" s="3" t="n"/>
      <c r="N1484" s="3" t="inlineStr"/>
      <c r="O1484" s="3" t="n"/>
      <c r="P1484" s="3" t="n"/>
      <c r="Q1484" s="3" t="n"/>
      <c r="R1484" s="3" t="n"/>
      <c r="S1484" s="3" t="n"/>
      <c r="T1484" s="3" t="n"/>
      <c r="U1484" s="3" t="n"/>
      <c r="V1484" s="3" t="n"/>
      <c r="W1484" s="3" t="n"/>
      <c r="X1484" s="3" t="n"/>
      <c r="Y1484" s="3" t="n"/>
      <c r="Z1484" s="3" t="n"/>
      <c r="AA1484" s="3" t="n"/>
    </row>
    <row r="1485">
      <c r="A1485" s="105" t="n"/>
      <c r="B1485" s="105" t="n"/>
      <c r="C1485" s="3" t="n"/>
      <c r="D1485" s="3" t="n"/>
      <c r="E1485" s="3" t="n"/>
      <c r="F1485" s="3" t="n"/>
      <c r="G1485" s="3" t="n"/>
      <c r="H1485" s="3" t="inlineStr"/>
      <c r="I1485" s="3" t="n"/>
      <c r="J1485" s="3" t="n"/>
      <c r="K1485" s="3" t="n"/>
      <c r="L1485" s="3" t="inlineStr"/>
      <c r="M1485" s="3" t="n"/>
      <c r="N1485" s="3" t="inlineStr"/>
      <c r="O1485" s="3" t="n"/>
      <c r="P1485" s="3" t="n"/>
      <c r="Q1485" s="3" t="n"/>
      <c r="R1485" s="3" t="n"/>
      <c r="S1485" s="3" t="n"/>
      <c r="T1485" s="3" t="n"/>
      <c r="U1485" s="3" t="n"/>
      <c r="V1485" s="3" t="n"/>
      <c r="W1485" s="3" t="n"/>
      <c r="X1485" s="3" t="n"/>
      <c r="Y1485" s="3" t="n"/>
      <c r="Z1485" s="3" t="n"/>
      <c r="AA1485" s="3" t="n"/>
    </row>
    <row r="1486">
      <c r="A1486" s="105" t="n"/>
      <c r="B1486" s="105" t="n"/>
      <c r="C1486" s="3" t="n"/>
      <c r="D1486" s="3" t="n"/>
      <c r="E1486" s="3" t="n"/>
      <c r="F1486" s="3" t="n"/>
      <c r="G1486" s="3" t="n"/>
      <c r="H1486" s="3" t="inlineStr"/>
      <c r="I1486" s="3" t="n"/>
      <c r="J1486" s="3" t="n"/>
      <c r="K1486" s="3" t="n"/>
      <c r="L1486" s="3" t="inlineStr"/>
      <c r="M1486" s="3" t="n"/>
      <c r="N1486" s="3" t="inlineStr"/>
      <c r="O1486" s="3" t="n"/>
      <c r="P1486" s="3" t="n"/>
      <c r="Q1486" s="3" t="n"/>
      <c r="R1486" s="3" t="n"/>
      <c r="S1486" s="3" t="n"/>
      <c r="T1486" s="3" t="n"/>
      <c r="U1486" s="3" t="n"/>
      <c r="V1486" s="3" t="n"/>
      <c r="W1486" s="3" t="n"/>
      <c r="X1486" s="3" t="n"/>
      <c r="Y1486" s="3" t="n"/>
      <c r="Z1486" s="3" t="n"/>
      <c r="AA1486" s="3" t="n"/>
    </row>
    <row r="1487">
      <c r="A1487" s="105" t="n"/>
      <c r="B1487" s="105" t="n"/>
      <c r="C1487" s="3" t="n"/>
      <c r="D1487" s="3" t="n"/>
      <c r="E1487" s="3" t="n"/>
      <c r="F1487" s="3" t="n"/>
      <c r="G1487" s="3" t="n"/>
      <c r="H1487" s="3" t="inlineStr"/>
      <c r="I1487" s="3" t="n"/>
      <c r="J1487" s="3" t="n"/>
      <c r="K1487" s="3" t="n"/>
      <c r="L1487" s="3" t="inlineStr"/>
      <c r="M1487" s="3" t="n"/>
      <c r="N1487" s="3" t="inlineStr"/>
      <c r="O1487" s="3" t="n"/>
      <c r="P1487" s="3" t="n"/>
      <c r="Q1487" s="3" t="n"/>
      <c r="R1487" s="3" t="n"/>
      <c r="S1487" s="3" t="n"/>
      <c r="T1487" s="3" t="n"/>
      <c r="U1487" s="3" t="n"/>
      <c r="V1487" s="3" t="n"/>
      <c r="W1487" s="3" t="n"/>
      <c r="X1487" s="3" t="n"/>
      <c r="Y1487" s="3" t="n"/>
      <c r="Z1487" s="3" t="n"/>
      <c r="AA1487" s="3" t="n"/>
    </row>
    <row r="1488">
      <c r="A1488" s="105" t="n"/>
      <c r="B1488" s="105" t="n"/>
      <c r="C1488" s="3" t="n"/>
      <c r="D1488" s="3" t="n"/>
      <c r="E1488" s="3" t="n"/>
      <c r="F1488" s="3" t="n"/>
      <c r="G1488" s="3" t="n"/>
      <c r="H1488" s="3" t="inlineStr"/>
      <c r="I1488" s="3" t="n"/>
      <c r="J1488" s="3" t="n"/>
      <c r="K1488" s="3" t="n"/>
      <c r="L1488" s="3" t="inlineStr"/>
      <c r="M1488" s="3" t="n"/>
      <c r="N1488" s="3" t="inlineStr"/>
      <c r="O1488" s="3" t="n"/>
      <c r="P1488" s="3" t="n"/>
      <c r="Q1488" s="3" t="n"/>
      <c r="R1488" s="3" t="n"/>
      <c r="S1488" s="3" t="n"/>
      <c r="T1488" s="3" t="n"/>
      <c r="U1488" s="3" t="n"/>
      <c r="V1488" s="3" t="n"/>
      <c r="W1488" s="3" t="n"/>
      <c r="X1488" s="3" t="n"/>
      <c r="Y1488" s="3" t="n"/>
      <c r="Z1488" s="3" t="n"/>
      <c r="AA1488" s="3" t="n"/>
    </row>
    <row r="1489">
      <c r="A1489" s="105" t="n"/>
      <c r="B1489" s="105" t="n"/>
      <c r="C1489" s="3" t="n"/>
      <c r="D1489" s="3" t="n"/>
      <c r="E1489" s="3" t="n"/>
      <c r="F1489" s="3" t="n"/>
      <c r="G1489" s="3" t="n"/>
      <c r="H1489" s="3" t="inlineStr"/>
      <c r="I1489" s="3" t="n"/>
      <c r="J1489" s="3" t="n"/>
      <c r="K1489" s="3" t="n"/>
      <c r="L1489" s="3" t="inlineStr"/>
      <c r="M1489" s="3" t="n"/>
      <c r="N1489" s="3" t="inlineStr"/>
      <c r="O1489" s="3" t="n"/>
      <c r="P1489" s="3" t="n"/>
      <c r="Q1489" s="3" t="n"/>
      <c r="R1489" s="3" t="n"/>
      <c r="S1489" s="3" t="n"/>
      <c r="T1489" s="3" t="n"/>
      <c r="U1489" s="3" t="n"/>
      <c r="V1489" s="3" t="n"/>
      <c r="W1489" s="3" t="n"/>
      <c r="X1489" s="3" t="n"/>
      <c r="Y1489" s="3" t="n"/>
      <c r="Z1489" s="3" t="n"/>
      <c r="AA1489" s="3" t="n"/>
    </row>
    <row r="1490">
      <c r="A1490" s="105" t="n"/>
      <c r="B1490" s="105" t="n"/>
      <c r="C1490" s="3" t="n"/>
      <c r="D1490" s="3" t="n"/>
      <c r="E1490" s="3" t="n"/>
      <c r="F1490" s="3" t="n"/>
      <c r="G1490" s="3" t="n"/>
      <c r="H1490" s="3" t="inlineStr"/>
      <c r="I1490" s="3" t="n"/>
      <c r="J1490" s="3" t="n"/>
      <c r="K1490" s="3" t="n"/>
      <c r="L1490" s="3" t="inlineStr"/>
      <c r="M1490" s="3" t="n"/>
      <c r="N1490" s="3" t="inlineStr"/>
      <c r="O1490" s="3" t="n"/>
      <c r="P1490" s="3" t="n"/>
      <c r="Q1490" s="3" t="n"/>
      <c r="R1490" s="3" t="n"/>
      <c r="S1490" s="3" t="n"/>
      <c r="T1490" s="3" t="n"/>
      <c r="U1490" s="3" t="n"/>
      <c r="V1490" s="3" t="n"/>
      <c r="W1490" s="3" t="n"/>
      <c r="X1490" s="3" t="n"/>
      <c r="Y1490" s="3" t="n"/>
      <c r="Z1490" s="3" t="n"/>
      <c r="AA1490" s="3" t="n"/>
    </row>
    <row r="1491">
      <c r="A1491" s="105" t="n"/>
      <c r="B1491" s="105" t="n"/>
      <c r="C1491" s="3" t="n"/>
      <c r="D1491" s="3" t="n"/>
      <c r="E1491" s="3" t="n"/>
      <c r="F1491" s="3" t="n"/>
      <c r="G1491" s="3" t="n"/>
      <c r="H1491" s="3" t="inlineStr"/>
      <c r="I1491" s="3" t="n"/>
      <c r="J1491" s="3" t="n"/>
      <c r="K1491" s="3" t="n"/>
      <c r="L1491" s="3" t="inlineStr"/>
      <c r="M1491" s="3" t="n"/>
      <c r="N1491" s="3" t="inlineStr"/>
      <c r="O1491" s="3" t="n"/>
      <c r="P1491" s="3" t="n"/>
      <c r="Q1491" s="3" t="n"/>
      <c r="R1491" s="3" t="n"/>
      <c r="S1491" s="3" t="n"/>
      <c r="T1491" s="3" t="n"/>
      <c r="U1491" s="3" t="n"/>
      <c r="V1491" s="3" t="n"/>
      <c r="W1491" s="3" t="n"/>
      <c r="X1491" s="3" t="n"/>
      <c r="Y1491" s="3" t="n"/>
      <c r="Z1491" s="3" t="n"/>
      <c r="AA1491" s="3" t="n"/>
    </row>
    <row r="1492">
      <c r="A1492" s="105" t="n"/>
      <c r="B1492" s="105" t="n"/>
      <c r="C1492" s="3" t="n"/>
      <c r="D1492" s="3" t="n"/>
      <c r="E1492" s="3" t="n"/>
      <c r="F1492" s="3" t="n"/>
      <c r="G1492" s="3" t="n"/>
      <c r="H1492" s="3" t="inlineStr"/>
      <c r="I1492" s="3" t="n"/>
      <c r="J1492" s="3" t="n"/>
      <c r="K1492" s="3" t="n"/>
      <c r="L1492" s="3" t="inlineStr"/>
      <c r="M1492" s="3" t="n"/>
      <c r="N1492" s="3" t="inlineStr"/>
      <c r="O1492" s="3" t="n"/>
      <c r="P1492" s="3" t="n"/>
      <c r="Q1492" s="3" t="n"/>
      <c r="R1492" s="3" t="n"/>
      <c r="S1492" s="3" t="n"/>
      <c r="T1492" s="3" t="n"/>
      <c r="U1492" s="3" t="n"/>
      <c r="V1492" s="3" t="n"/>
      <c r="W1492" s="3" t="n"/>
      <c r="X1492" s="3" t="n"/>
      <c r="Y1492" s="3" t="n"/>
      <c r="Z1492" s="3" t="n"/>
      <c r="AA1492" s="3" t="n"/>
    </row>
    <row r="1493">
      <c r="A1493" s="105" t="n"/>
      <c r="B1493" s="105" t="n"/>
      <c r="C1493" s="3" t="n"/>
      <c r="D1493" s="3" t="n"/>
      <c r="E1493" s="3" t="n"/>
      <c r="F1493" s="3" t="n"/>
      <c r="G1493" s="3" t="n"/>
      <c r="H1493" s="3" t="inlineStr"/>
      <c r="I1493" s="3" t="n"/>
      <c r="J1493" s="3" t="n"/>
      <c r="K1493" s="3" t="n"/>
      <c r="L1493" s="3" t="inlineStr"/>
      <c r="M1493" s="3" t="n"/>
      <c r="N1493" s="3" t="inlineStr"/>
      <c r="O1493" s="3" t="n"/>
      <c r="P1493" s="3" t="n"/>
      <c r="Q1493" s="3" t="n"/>
      <c r="R1493" s="3" t="n"/>
      <c r="S1493" s="3" t="n"/>
      <c r="T1493" s="3" t="n"/>
      <c r="U1493" s="3" t="n"/>
      <c r="V1493" s="3" t="n"/>
      <c r="W1493" s="3" t="n"/>
      <c r="X1493" s="3" t="n"/>
      <c r="Y1493" s="3" t="n"/>
      <c r="Z1493" s="3" t="n"/>
      <c r="AA1493" s="3" t="n"/>
    </row>
    <row r="1494">
      <c r="A1494" s="105" t="n"/>
      <c r="B1494" s="105" t="n"/>
      <c r="C1494" s="3" t="n"/>
      <c r="D1494" s="3" t="n"/>
      <c r="E1494" s="3" t="n"/>
      <c r="F1494" s="3" t="n"/>
      <c r="G1494" s="3" t="n"/>
      <c r="H1494" s="3" t="inlineStr"/>
      <c r="I1494" s="3" t="n"/>
      <c r="J1494" s="3" t="n"/>
      <c r="K1494" s="3" t="n"/>
      <c r="L1494" s="3" t="inlineStr"/>
      <c r="M1494" s="3" t="n"/>
      <c r="N1494" s="3" t="inlineStr"/>
      <c r="O1494" s="3" t="n"/>
      <c r="P1494" s="3" t="n"/>
      <c r="Q1494" s="3" t="n"/>
      <c r="R1494" s="3" t="n"/>
      <c r="S1494" s="3" t="n"/>
      <c r="T1494" s="3" t="n"/>
      <c r="U1494" s="3" t="n"/>
      <c r="V1494" s="3" t="n"/>
      <c r="W1494" s="3" t="n"/>
      <c r="X1494" s="3" t="n"/>
      <c r="Y1494" s="3" t="n"/>
      <c r="Z1494" s="3" t="n"/>
      <c r="AA1494" s="3" t="n"/>
    </row>
    <row r="1495">
      <c r="A1495" s="105" t="n"/>
      <c r="B1495" s="105" t="n"/>
      <c r="C1495" s="3" t="n"/>
      <c r="D1495" s="3" t="n"/>
      <c r="E1495" s="3" t="n"/>
      <c r="F1495" s="3" t="n"/>
      <c r="G1495" s="3" t="n"/>
      <c r="H1495" s="3" t="inlineStr"/>
      <c r="I1495" s="3" t="n"/>
      <c r="J1495" s="3" t="n"/>
      <c r="K1495" s="3" t="n"/>
      <c r="L1495" s="3" t="inlineStr"/>
      <c r="M1495" s="3" t="n"/>
      <c r="N1495" s="3" t="inlineStr"/>
      <c r="O1495" s="3" t="n"/>
      <c r="P1495" s="3" t="n"/>
      <c r="Q1495" s="3" t="n"/>
      <c r="R1495" s="3" t="n"/>
      <c r="S1495" s="3" t="n"/>
      <c r="T1495" s="3" t="n"/>
      <c r="U1495" s="3" t="n"/>
      <c r="V1495" s="3" t="n"/>
      <c r="W1495" s="3" t="n"/>
      <c r="X1495" s="3" t="n"/>
      <c r="Y1495" s="3" t="n"/>
      <c r="Z1495" s="3" t="n"/>
      <c r="AA1495" s="3" t="n"/>
    </row>
    <row r="1496">
      <c r="A1496" s="105" t="n"/>
      <c r="B1496" s="105" t="n"/>
      <c r="C1496" s="3" t="n"/>
      <c r="D1496" s="3" t="n"/>
      <c r="E1496" s="3" t="n"/>
      <c r="F1496" s="3" t="n"/>
      <c r="G1496" s="3" t="n"/>
      <c r="H1496" s="3" t="inlineStr"/>
      <c r="I1496" s="3" t="n"/>
      <c r="J1496" s="3" t="n"/>
      <c r="K1496" s="3" t="n"/>
      <c r="L1496" s="3" t="inlineStr"/>
      <c r="M1496" s="3" t="n"/>
      <c r="N1496" s="3" t="inlineStr"/>
      <c r="O1496" s="3" t="n"/>
      <c r="P1496" s="3" t="n"/>
      <c r="Q1496" s="3" t="n"/>
      <c r="R1496" s="3" t="n"/>
      <c r="S1496" s="3" t="n"/>
      <c r="T1496" s="3" t="n"/>
      <c r="U1496" s="3" t="n"/>
      <c r="V1496" s="3" t="n"/>
      <c r="W1496" s="3" t="n"/>
      <c r="X1496" s="3" t="n"/>
      <c r="Y1496" s="3" t="n"/>
      <c r="Z1496" s="3" t="n"/>
      <c r="AA1496" s="3" t="n"/>
    </row>
    <row r="1497">
      <c r="A1497" s="105" t="n"/>
      <c r="B1497" s="105" t="n"/>
      <c r="C1497" s="3" t="n"/>
      <c r="D1497" s="3" t="n"/>
      <c r="E1497" s="3" t="n"/>
      <c r="F1497" s="3" t="n"/>
      <c r="G1497" s="3" t="n"/>
      <c r="H1497" s="3" t="inlineStr"/>
      <c r="I1497" s="3" t="n"/>
      <c r="J1497" s="3" t="n"/>
      <c r="K1497" s="3" t="n"/>
      <c r="L1497" s="3" t="inlineStr"/>
      <c r="M1497" s="3" t="n"/>
      <c r="N1497" s="3" t="inlineStr"/>
      <c r="O1497" s="3" t="n"/>
      <c r="P1497" s="3" t="n"/>
      <c r="Q1497" s="3" t="n"/>
      <c r="R1497" s="3" t="n"/>
      <c r="S1497" s="3" t="n"/>
      <c r="T1497" s="3" t="n"/>
      <c r="U1497" s="3" t="n"/>
      <c r="V1497" s="3" t="n"/>
      <c r="W1497" s="3" t="n"/>
      <c r="X1497" s="3" t="n"/>
      <c r="Y1497" s="3" t="n"/>
      <c r="Z1497" s="3" t="n"/>
      <c r="AA1497" s="3" t="n"/>
    </row>
    <row r="1498">
      <c r="A1498" s="105" t="n"/>
      <c r="B1498" s="105" t="n"/>
      <c r="C1498" s="3" t="n"/>
      <c r="D1498" s="3" t="n"/>
      <c r="E1498" s="3" t="n"/>
      <c r="F1498" s="3" t="n"/>
      <c r="G1498" s="3" t="n"/>
      <c r="H1498" s="3" t="inlineStr"/>
      <c r="I1498" s="3" t="n"/>
      <c r="J1498" s="3" t="n"/>
      <c r="K1498" s="3" t="n"/>
      <c r="L1498" s="3" t="inlineStr"/>
      <c r="M1498" s="3" t="n"/>
      <c r="N1498" s="3" t="inlineStr"/>
      <c r="O1498" s="3" t="n"/>
      <c r="P1498" s="3" t="n"/>
      <c r="Q1498" s="3" t="n"/>
      <c r="R1498" s="3" t="n"/>
      <c r="S1498" s="3" t="n"/>
      <c r="T1498" s="3" t="n"/>
      <c r="U1498" s="3" t="n"/>
      <c r="V1498" s="3" t="n"/>
      <c r="W1498" s="3" t="n"/>
      <c r="X1498" s="3" t="n"/>
      <c r="Y1498" s="3" t="n"/>
      <c r="Z1498" s="3" t="n"/>
      <c r="AA1498" s="3" t="n"/>
    </row>
    <row r="1499">
      <c r="A1499" s="105" t="n"/>
      <c r="B1499" s="105" t="n"/>
      <c r="C1499" s="3" t="n"/>
      <c r="D1499" s="3" t="n"/>
      <c r="E1499" s="3" t="n"/>
      <c r="F1499" s="3" t="n"/>
      <c r="G1499" s="3" t="n"/>
      <c r="H1499" s="3" t="inlineStr"/>
      <c r="I1499" s="3" t="n"/>
      <c r="J1499" s="3" t="n"/>
      <c r="K1499" s="3" t="n"/>
      <c r="L1499" s="3" t="inlineStr"/>
      <c r="M1499" s="3" t="n"/>
      <c r="N1499" s="3" t="inlineStr"/>
      <c r="O1499" s="3" t="n"/>
      <c r="P1499" s="3" t="n"/>
      <c r="Q1499" s="3" t="n"/>
      <c r="R1499" s="3" t="n"/>
      <c r="S1499" s="3" t="n"/>
      <c r="T1499" s="3" t="n"/>
      <c r="U1499" s="3" t="n"/>
      <c r="V1499" s="3" t="n"/>
      <c r="W1499" s="3" t="n"/>
      <c r="X1499" s="3" t="n"/>
      <c r="Y1499" s="3" t="n"/>
      <c r="Z1499" s="3" t="n"/>
      <c r="AA1499" s="3" t="n"/>
    </row>
    <row r="1500">
      <c r="A1500" s="105" t="n"/>
      <c r="B1500" s="105" t="n"/>
      <c r="C1500" s="3" t="n"/>
      <c r="D1500" s="3" t="n"/>
      <c r="E1500" s="3" t="n"/>
      <c r="F1500" s="3" t="n"/>
      <c r="G1500" s="3" t="n"/>
      <c r="H1500" s="3" t="inlineStr"/>
      <c r="I1500" s="3" t="n"/>
      <c r="J1500" s="3" t="n"/>
      <c r="K1500" s="3" t="n"/>
      <c r="L1500" s="3" t="inlineStr"/>
      <c r="M1500" s="3" t="n"/>
      <c r="N1500" s="3" t="inlineStr"/>
      <c r="O1500" s="3" t="n"/>
      <c r="P1500" s="3" t="n"/>
      <c r="Q1500" s="3" t="n"/>
      <c r="R1500" s="3" t="n"/>
      <c r="S1500" s="3" t="n"/>
      <c r="T1500" s="3" t="n"/>
      <c r="U1500" s="3" t="n"/>
      <c r="V1500" s="3" t="n"/>
      <c r="W1500" s="3" t="n"/>
      <c r="X1500" s="3" t="n"/>
      <c r="Y1500" s="3" t="n"/>
      <c r="Z1500" s="3" t="n"/>
      <c r="AA1500" s="3" t="n"/>
    </row>
    <row r="1501">
      <c r="A1501" s="105" t="n"/>
      <c r="B1501" s="105" t="n"/>
      <c r="C1501" s="3" t="n"/>
      <c r="D1501" s="3" t="n"/>
      <c r="E1501" s="3" t="n"/>
      <c r="F1501" s="3" t="n"/>
      <c r="G1501" s="3" t="n"/>
      <c r="H1501" s="3" t="inlineStr"/>
      <c r="I1501" s="3" t="n"/>
      <c r="J1501" s="3" t="n"/>
      <c r="K1501" s="3" t="n"/>
      <c r="L1501" s="3" t="inlineStr"/>
      <c r="M1501" s="3" t="n"/>
      <c r="N1501" s="3" t="inlineStr"/>
      <c r="O1501" s="3" t="n"/>
      <c r="P1501" s="3" t="n"/>
      <c r="Q1501" s="3" t="n"/>
      <c r="R1501" s="3" t="n"/>
      <c r="S1501" s="3" t="n"/>
      <c r="T1501" s="3" t="n"/>
      <c r="U1501" s="3" t="n"/>
      <c r="V1501" s="3" t="n"/>
      <c r="W1501" s="3" t="n"/>
      <c r="X1501" s="3" t="n"/>
      <c r="Y1501" s="3" t="n"/>
      <c r="Z1501" s="3" t="n"/>
      <c r="AA1501" s="3" t="n"/>
    </row>
    <row r="1502">
      <c r="A1502" s="105" t="n"/>
      <c r="B1502" s="105" t="n"/>
      <c r="C1502" s="3" t="n"/>
      <c r="D1502" s="3" t="n"/>
      <c r="E1502" s="3" t="n"/>
      <c r="F1502" s="3" t="n"/>
      <c r="G1502" s="3" t="n"/>
      <c r="H1502" s="3" t="inlineStr"/>
      <c r="I1502" s="3" t="n"/>
      <c r="J1502" s="3" t="n"/>
      <c r="K1502" s="3" t="n"/>
      <c r="L1502" s="3" t="inlineStr"/>
      <c r="M1502" s="3" t="n"/>
      <c r="N1502" s="3" t="inlineStr"/>
      <c r="O1502" s="3" t="n"/>
      <c r="P1502" s="3" t="n"/>
      <c r="Q1502" s="3" t="n"/>
      <c r="R1502" s="3" t="n"/>
      <c r="S1502" s="3" t="n"/>
      <c r="T1502" s="3" t="n"/>
      <c r="U1502" s="3" t="n"/>
      <c r="V1502" s="3" t="n"/>
      <c r="W1502" s="3" t="n"/>
      <c r="X1502" s="3" t="n"/>
      <c r="Y1502" s="3" t="n"/>
      <c r="Z1502" s="3" t="n"/>
      <c r="AA1502" s="3" t="n"/>
    </row>
    <row r="1503">
      <c r="A1503" s="105" t="n"/>
      <c r="B1503" s="105" t="n"/>
      <c r="C1503" s="3" t="n"/>
      <c r="D1503" s="3" t="n"/>
      <c r="E1503" s="3" t="n"/>
      <c r="F1503" s="3" t="n"/>
      <c r="G1503" s="3" t="n"/>
      <c r="H1503" s="3" t="inlineStr"/>
      <c r="I1503" s="3" t="n"/>
      <c r="J1503" s="3" t="n"/>
      <c r="K1503" s="3" t="n"/>
      <c r="L1503" s="3" t="inlineStr"/>
      <c r="M1503" s="3" t="n"/>
      <c r="N1503" s="3" t="inlineStr"/>
      <c r="O1503" s="3" t="n"/>
      <c r="P1503" s="3" t="n"/>
      <c r="Q1503" s="3" t="n"/>
      <c r="R1503" s="3" t="n"/>
      <c r="S1503" s="3" t="n"/>
      <c r="T1503" s="3" t="n"/>
      <c r="U1503" s="3" t="n"/>
      <c r="V1503" s="3" t="n"/>
      <c r="W1503" s="3" t="n"/>
      <c r="X1503" s="3" t="n"/>
      <c r="Y1503" s="3" t="n"/>
      <c r="Z1503" s="3" t="n"/>
      <c r="AA1503" s="3" t="n"/>
    </row>
    <row r="1504">
      <c r="A1504" s="105" t="n"/>
      <c r="B1504" s="105" t="n"/>
      <c r="C1504" s="3" t="n"/>
      <c r="D1504" s="3" t="n"/>
      <c r="E1504" s="3" t="n"/>
      <c r="F1504" s="3" t="n"/>
      <c r="G1504" s="3" t="n"/>
      <c r="H1504" s="3" t="inlineStr"/>
      <c r="I1504" s="3" t="n"/>
      <c r="J1504" s="3" t="n"/>
      <c r="K1504" s="3" t="n"/>
      <c r="L1504" s="3" t="inlineStr"/>
      <c r="M1504" s="3" t="n"/>
      <c r="N1504" s="3" t="inlineStr"/>
      <c r="O1504" s="3" t="n"/>
      <c r="P1504" s="3" t="n"/>
      <c r="Q1504" s="3" t="n"/>
      <c r="R1504" s="3" t="n"/>
      <c r="S1504" s="3" t="n"/>
      <c r="T1504" s="3" t="n"/>
      <c r="U1504" s="3" t="n"/>
      <c r="V1504" s="3" t="n"/>
      <c r="W1504" s="3" t="n"/>
      <c r="X1504" s="3" t="n"/>
      <c r="Y1504" s="3" t="n"/>
      <c r="Z1504" s="3" t="n"/>
      <c r="AA1504" s="3" t="n"/>
    </row>
    <row r="1505">
      <c r="A1505" s="105" t="n"/>
      <c r="B1505" s="105" t="n"/>
      <c r="C1505" s="3" t="n"/>
      <c r="D1505" s="3" t="n"/>
      <c r="E1505" s="3" t="n"/>
      <c r="F1505" s="3" t="n"/>
      <c r="G1505" s="3" t="n"/>
      <c r="H1505" s="3" t="inlineStr"/>
      <c r="I1505" s="3" t="n"/>
      <c r="J1505" s="3" t="n"/>
      <c r="K1505" s="3" t="n"/>
      <c r="L1505" s="3" t="inlineStr"/>
      <c r="M1505" s="3" t="n"/>
      <c r="N1505" s="3" t="inlineStr"/>
      <c r="O1505" s="3" t="n"/>
      <c r="P1505" s="3" t="n"/>
      <c r="Q1505" s="3" t="n"/>
      <c r="R1505" s="3" t="n"/>
      <c r="S1505" s="3" t="n"/>
      <c r="T1505" s="3" t="n"/>
      <c r="U1505" s="3" t="n"/>
      <c r="V1505" s="3" t="n"/>
      <c r="W1505" s="3" t="n"/>
      <c r="X1505" s="3" t="n"/>
      <c r="Y1505" s="3" t="n"/>
      <c r="Z1505" s="3" t="n"/>
      <c r="AA1505" s="3" t="n"/>
    </row>
    <row r="1506">
      <c r="A1506" s="105" t="n"/>
      <c r="B1506" s="105" t="n"/>
      <c r="C1506" s="3" t="n"/>
      <c r="D1506" s="3" t="n"/>
      <c r="E1506" s="3" t="n"/>
      <c r="F1506" s="3" t="n"/>
      <c r="G1506" s="3" t="n"/>
      <c r="H1506" s="3" t="inlineStr"/>
      <c r="I1506" s="3" t="n"/>
      <c r="J1506" s="3" t="n"/>
      <c r="K1506" s="3" t="n"/>
      <c r="L1506" s="3" t="inlineStr"/>
      <c r="M1506" s="3" t="n"/>
      <c r="N1506" s="3" t="inlineStr"/>
      <c r="O1506" s="3" t="n"/>
      <c r="P1506" s="3" t="n"/>
      <c r="Q1506" s="3" t="n"/>
      <c r="R1506" s="3" t="n"/>
      <c r="S1506" s="3" t="n"/>
      <c r="T1506" s="3" t="n"/>
      <c r="U1506" s="3" t="n"/>
      <c r="V1506" s="3" t="n"/>
      <c r="W1506" s="3" t="n"/>
      <c r="X1506" s="3" t="n"/>
      <c r="Y1506" s="3" t="n"/>
      <c r="Z1506" s="3" t="n"/>
      <c r="AA1506" s="3" t="n"/>
    </row>
    <row r="1507">
      <c r="A1507" s="105" t="n"/>
      <c r="B1507" s="105" t="n"/>
      <c r="C1507" s="3" t="n"/>
      <c r="D1507" s="3" t="n"/>
      <c r="E1507" s="3" t="n"/>
      <c r="F1507" s="3" t="n"/>
      <c r="G1507" s="3" t="n"/>
      <c r="H1507" s="3" t="inlineStr"/>
      <c r="I1507" s="3" t="n"/>
      <c r="J1507" s="3" t="n"/>
      <c r="K1507" s="3" t="n"/>
      <c r="L1507" s="3" t="inlineStr"/>
      <c r="M1507" s="3" t="n"/>
      <c r="N1507" s="3" t="inlineStr"/>
      <c r="O1507" s="3" t="n"/>
      <c r="P1507" s="3" t="n"/>
      <c r="Q1507" s="3" t="n"/>
      <c r="R1507" s="3" t="n"/>
      <c r="S1507" s="3" t="n"/>
      <c r="T1507" s="3" t="n"/>
      <c r="U1507" s="3" t="n"/>
      <c r="V1507" s="3" t="n"/>
      <c r="W1507" s="3" t="n"/>
      <c r="X1507" s="3" t="n"/>
      <c r="Y1507" s="3" t="n"/>
      <c r="Z1507" s="3" t="n"/>
      <c r="AA1507" s="3" t="n"/>
    </row>
    <row r="1508">
      <c r="A1508" s="105" t="n"/>
      <c r="B1508" s="105" t="n"/>
      <c r="C1508" s="3" t="n"/>
      <c r="D1508" s="3" t="n"/>
      <c r="E1508" s="3" t="n"/>
      <c r="F1508" s="3" t="n"/>
      <c r="G1508" s="3" t="n"/>
      <c r="H1508" s="3" t="inlineStr"/>
      <c r="I1508" s="3" t="n"/>
      <c r="J1508" s="3" t="n"/>
      <c r="K1508" s="3" t="n"/>
      <c r="L1508" s="3" t="inlineStr"/>
      <c r="M1508" s="3" t="n"/>
      <c r="N1508" s="3" t="inlineStr"/>
      <c r="O1508" s="3" t="n"/>
      <c r="P1508" s="3" t="n"/>
      <c r="Q1508" s="3" t="n"/>
      <c r="R1508" s="3" t="n"/>
      <c r="S1508" s="3" t="n"/>
      <c r="T1508" s="3" t="n"/>
      <c r="U1508" s="3" t="n"/>
      <c r="V1508" s="3" t="n"/>
      <c r="W1508" s="3" t="n"/>
      <c r="X1508" s="3" t="n"/>
      <c r="Y1508" s="3" t="n"/>
      <c r="Z1508" s="3" t="n"/>
      <c r="AA1508" s="3" t="n"/>
    </row>
    <row r="1509">
      <c r="A1509" s="105" t="n"/>
      <c r="B1509" s="105" t="n"/>
      <c r="C1509" s="3" t="n"/>
      <c r="D1509" s="3" t="n"/>
      <c r="E1509" s="3" t="n"/>
      <c r="F1509" s="3" t="n"/>
      <c r="G1509" s="3" t="n"/>
      <c r="H1509" s="3" t="inlineStr"/>
      <c r="I1509" s="3" t="n"/>
      <c r="J1509" s="3" t="n"/>
      <c r="K1509" s="3" t="n"/>
      <c r="L1509" s="3" t="inlineStr"/>
      <c r="M1509" s="3" t="n"/>
      <c r="N1509" s="3" t="inlineStr"/>
      <c r="O1509" s="3" t="n"/>
      <c r="P1509" s="3" t="n"/>
      <c r="Q1509" s="3" t="n"/>
      <c r="R1509" s="3" t="n"/>
      <c r="S1509" s="3" t="n"/>
      <c r="T1509" s="3" t="n"/>
      <c r="U1509" s="3" t="n"/>
      <c r="V1509" s="3" t="n"/>
      <c r="W1509" s="3" t="n"/>
      <c r="X1509" s="3" t="n"/>
      <c r="Y1509" s="3" t="n"/>
      <c r="Z1509" s="3" t="n"/>
      <c r="AA1509" s="3" t="n"/>
    </row>
    <row r="1510">
      <c r="A1510" s="105" t="n"/>
      <c r="B1510" s="105" t="n"/>
      <c r="C1510" s="3" t="n"/>
      <c r="D1510" s="3" t="n"/>
      <c r="E1510" s="3" t="n"/>
      <c r="F1510" s="3" t="n"/>
      <c r="G1510" s="3" t="n"/>
      <c r="H1510" s="3" t="inlineStr"/>
      <c r="I1510" s="3" t="n"/>
      <c r="J1510" s="3" t="n"/>
      <c r="K1510" s="3" t="n"/>
      <c r="L1510" s="3" t="inlineStr"/>
      <c r="M1510" s="3" t="n"/>
      <c r="N1510" s="3" t="inlineStr"/>
      <c r="O1510" s="3" t="n"/>
      <c r="P1510" s="3" t="n"/>
      <c r="Q1510" s="3" t="n"/>
      <c r="R1510" s="3" t="n"/>
      <c r="S1510" s="3" t="n"/>
      <c r="T1510" s="3" t="n"/>
      <c r="U1510" s="3" t="n"/>
      <c r="V1510" s="3" t="n"/>
      <c r="W1510" s="3" t="n"/>
      <c r="X1510" s="3" t="n"/>
      <c r="Y1510" s="3" t="n"/>
      <c r="Z1510" s="3" t="n"/>
      <c r="AA1510" s="3" t="n"/>
    </row>
    <row r="1511">
      <c r="A1511" s="105" t="n"/>
      <c r="B1511" s="105" t="n"/>
      <c r="C1511" s="3" t="n"/>
      <c r="D1511" s="3" t="n"/>
      <c r="E1511" s="3" t="n"/>
      <c r="F1511" s="3" t="n"/>
      <c r="G1511" s="3" t="n"/>
      <c r="H1511" s="3" t="inlineStr"/>
      <c r="I1511" s="3" t="n"/>
      <c r="J1511" s="3" t="n"/>
      <c r="K1511" s="3" t="n"/>
      <c r="L1511" s="3" t="inlineStr"/>
      <c r="M1511" s="3" t="n"/>
      <c r="N1511" s="3" t="inlineStr"/>
      <c r="O1511" s="3" t="n"/>
      <c r="P1511" s="3" t="n"/>
      <c r="Q1511" s="3" t="n"/>
      <c r="R1511" s="3" t="n"/>
      <c r="S1511" s="3" t="n"/>
      <c r="T1511" s="3" t="n"/>
      <c r="U1511" s="3" t="n"/>
      <c r="V1511" s="3" t="n"/>
      <c r="W1511" s="3" t="n"/>
      <c r="X1511" s="3" t="n"/>
      <c r="Y1511" s="3" t="n"/>
      <c r="Z1511" s="3" t="n"/>
      <c r="AA1511" s="3" t="n"/>
    </row>
    <row r="1512">
      <c r="A1512" s="105" t="n"/>
      <c r="B1512" s="105" t="n"/>
      <c r="C1512" s="3" t="n"/>
      <c r="D1512" s="3" t="n"/>
      <c r="E1512" s="3" t="n"/>
      <c r="F1512" s="3" t="n"/>
      <c r="G1512" s="3" t="n"/>
      <c r="H1512" s="3" t="inlineStr"/>
      <c r="I1512" s="3" t="n"/>
      <c r="J1512" s="3" t="n"/>
      <c r="K1512" s="3" t="n"/>
      <c r="L1512" s="3" t="inlineStr"/>
      <c r="M1512" s="3" t="n"/>
      <c r="N1512" s="3" t="inlineStr"/>
      <c r="O1512" s="3" t="n"/>
      <c r="P1512" s="3" t="n"/>
      <c r="Q1512" s="3" t="n"/>
      <c r="R1512" s="3" t="n"/>
      <c r="S1512" s="3" t="n"/>
      <c r="T1512" s="3" t="n"/>
      <c r="U1512" s="3" t="n"/>
      <c r="V1512" s="3" t="n"/>
      <c r="W1512" s="3" t="n"/>
      <c r="X1512" s="3" t="n"/>
      <c r="Y1512" s="3" t="n"/>
      <c r="Z1512" s="3" t="n"/>
      <c r="AA1512" s="3" t="n"/>
    </row>
    <row r="1513">
      <c r="A1513" s="105" t="n"/>
      <c r="B1513" s="105" t="n"/>
      <c r="C1513" s="3" t="n"/>
      <c r="D1513" s="3" t="n"/>
      <c r="E1513" s="3" t="n"/>
      <c r="F1513" s="3" t="n"/>
      <c r="G1513" s="3" t="n"/>
      <c r="H1513" s="3" t="inlineStr"/>
      <c r="I1513" s="3" t="n"/>
      <c r="J1513" s="3" t="n"/>
      <c r="K1513" s="3" t="n"/>
      <c r="L1513" s="3" t="inlineStr"/>
      <c r="M1513" s="3" t="n"/>
      <c r="N1513" s="3" t="inlineStr"/>
      <c r="O1513" s="3" t="n"/>
      <c r="P1513" s="3" t="n"/>
      <c r="Q1513" s="3" t="n"/>
      <c r="R1513" s="3" t="n"/>
      <c r="S1513" s="3" t="n"/>
      <c r="T1513" s="3" t="n"/>
      <c r="U1513" s="3" t="n"/>
      <c r="V1513" s="3" t="n"/>
      <c r="W1513" s="3" t="n"/>
      <c r="X1513" s="3" t="n"/>
      <c r="Y1513" s="3" t="n"/>
      <c r="Z1513" s="3" t="n"/>
      <c r="AA1513" s="3" t="n"/>
    </row>
    <row r="1514">
      <c r="A1514" s="105" t="n"/>
      <c r="B1514" s="105" t="n"/>
      <c r="C1514" s="3" t="n"/>
      <c r="D1514" s="3" t="n"/>
      <c r="E1514" s="3" t="n"/>
      <c r="F1514" s="3" t="n"/>
      <c r="G1514" s="3" t="n"/>
      <c r="H1514" s="3" t="inlineStr"/>
      <c r="I1514" s="3" t="n"/>
      <c r="J1514" s="3" t="n"/>
      <c r="K1514" s="3" t="n"/>
      <c r="L1514" s="3" t="inlineStr"/>
      <c r="M1514" s="3" t="n"/>
      <c r="N1514" s="3" t="inlineStr"/>
      <c r="O1514" s="3" t="n"/>
      <c r="P1514" s="3" t="n"/>
      <c r="Q1514" s="3" t="n"/>
      <c r="R1514" s="3" t="n"/>
      <c r="S1514" s="3" t="n"/>
      <c r="T1514" s="3" t="n"/>
      <c r="U1514" s="3" t="n"/>
      <c r="V1514" s="3" t="n"/>
      <c r="W1514" s="3" t="n"/>
      <c r="X1514" s="3" t="n"/>
      <c r="Y1514" s="3" t="n"/>
      <c r="Z1514" s="3" t="n"/>
      <c r="AA1514" s="3" t="n"/>
    </row>
    <row r="1515">
      <c r="A1515" s="105" t="n"/>
      <c r="B1515" s="105" t="n"/>
      <c r="C1515" s="3" t="n"/>
      <c r="D1515" s="3" t="n"/>
      <c r="E1515" s="3" t="n"/>
      <c r="F1515" s="3" t="n"/>
      <c r="G1515" s="3" t="n"/>
      <c r="H1515" s="3" t="inlineStr"/>
      <c r="I1515" s="3" t="n"/>
      <c r="J1515" s="3" t="n"/>
      <c r="K1515" s="3" t="n"/>
      <c r="L1515" s="3" t="inlineStr"/>
      <c r="M1515" s="3" t="n"/>
      <c r="N1515" s="3" t="inlineStr"/>
      <c r="O1515" s="3" t="n"/>
      <c r="P1515" s="3" t="n"/>
      <c r="Q1515" s="3" t="n"/>
      <c r="R1515" s="3" t="n"/>
      <c r="S1515" s="3" t="n"/>
      <c r="T1515" s="3" t="n"/>
      <c r="U1515" s="3" t="n"/>
      <c r="V1515" s="3" t="n"/>
      <c r="W1515" s="3" t="n"/>
      <c r="X1515" s="3" t="n"/>
      <c r="Y1515" s="3" t="n"/>
      <c r="Z1515" s="3" t="n"/>
      <c r="AA1515" s="3" t="n"/>
    </row>
    <row r="1516">
      <c r="A1516" s="105" t="n"/>
      <c r="B1516" s="105" t="n"/>
      <c r="C1516" s="3" t="n"/>
      <c r="D1516" s="3" t="n"/>
      <c r="E1516" s="3" t="n"/>
      <c r="F1516" s="3" t="n"/>
      <c r="G1516" s="3" t="n"/>
      <c r="H1516" s="3" t="inlineStr"/>
      <c r="I1516" s="3" t="n"/>
      <c r="J1516" s="3" t="n"/>
      <c r="K1516" s="3" t="n"/>
      <c r="L1516" s="3" t="inlineStr"/>
      <c r="M1516" s="3" t="n"/>
      <c r="N1516" s="3" t="inlineStr"/>
      <c r="O1516" s="3" t="n"/>
      <c r="P1516" s="3" t="n"/>
      <c r="Q1516" s="3" t="n"/>
      <c r="R1516" s="3" t="n"/>
      <c r="S1516" s="3" t="n"/>
      <c r="T1516" s="3" t="n"/>
      <c r="U1516" s="3" t="n"/>
      <c r="V1516" s="3" t="n"/>
      <c r="W1516" s="3" t="n"/>
      <c r="X1516" s="3" t="n"/>
      <c r="Y1516" s="3" t="n"/>
      <c r="Z1516" s="3" t="n"/>
      <c r="AA1516" s="3" t="n"/>
    </row>
    <row r="1517">
      <c r="A1517" s="105" t="n"/>
      <c r="B1517" s="105" t="n"/>
      <c r="C1517" s="3" t="n"/>
      <c r="D1517" s="3" t="n"/>
      <c r="E1517" s="3" t="n"/>
      <c r="F1517" s="3" t="n"/>
      <c r="G1517" s="3" t="n"/>
      <c r="H1517" s="3" t="inlineStr"/>
      <c r="I1517" s="3" t="n"/>
      <c r="J1517" s="3" t="n"/>
      <c r="K1517" s="3" t="n"/>
      <c r="L1517" s="3" t="inlineStr"/>
      <c r="M1517" s="3" t="n"/>
      <c r="N1517" s="3" t="inlineStr"/>
      <c r="O1517" s="3" t="n"/>
      <c r="P1517" s="3" t="n"/>
      <c r="Q1517" s="3" t="n"/>
      <c r="R1517" s="3" t="n"/>
      <c r="S1517" s="3" t="n"/>
      <c r="T1517" s="3" t="n"/>
      <c r="U1517" s="3" t="n"/>
      <c r="V1517" s="3" t="n"/>
      <c r="W1517" s="3" t="n"/>
      <c r="X1517" s="3" t="n"/>
      <c r="Y1517" s="3" t="n"/>
      <c r="Z1517" s="3" t="n"/>
      <c r="AA1517" s="3" t="n"/>
    </row>
    <row r="1518">
      <c r="A1518" s="105" t="n"/>
      <c r="B1518" s="105" t="n"/>
      <c r="C1518" s="3" t="n"/>
      <c r="D1518" s="3" t="n"/>
      <c r="E1518" s="3" t="n"/>
      <c r="F1518" s="3" t="n"/>
      <c r="G1518" s="3" t="n"/>
      <c r="H1518" s="3" t="inlineStr"/>
      <c r="I1518" s="3" t="n"/>
      <c r="J1518" s="3" t="n"/>
      <c r="K1518" s="3" t="n"/>
      <c r="L1518" s="3" t="inlineStr"/>
      <c r="M1518" s="3" t="n"/>
      <c r="N1518" s="3" t="inlineStr"/>
      <c r="O1518" s="3" t="n"/>
      <c r="P1518" s="3" t="n"/>
      <c r="Q1518" s="3" t="n"/>
      <c r="R1518" s="3" t="n"/>
      <c r="S1518" s="3" t="n"/>
      <c r="T1518" s="3" t="n"/>
      <c r="U1518" s="3" t="n"/>
      <c r="V1518" s="3" t="n"/>
      <c r="W1518" s="3" t="n"/>
      <c r="X1518" s="3" t="n"/>
      <c r="Y1518" s="3" t="n"/>
      <c r="Z1518" s="3" t="n"/>
      <c r="AA1518" s="3" t="n"/>
    </row>
    <row r="1519">
      <c r="A1519" s="105" t="n"/>
      <c r="B1519" s="105" t="n"/>
      <c r="C1519" s="3" t="n"/>
      <c r="D1519" s="3" t="n"/>
      <c r="E1519" s="3" t="n"/>
      <c r="F1519" s="3" t="n"/>
      <c r="G1519" s="3" t="n"/>
      <c r="H1519" s="3" t="inlineStr"/>
      <c r="I1519" s="3" t="n"/>
      <c r="J1519" s="3" t="n"/>
      <c r="K1519" s="3" t="n"/>
      <c r="L1519" s="3" t="inlineStr"/>
      <c r="M1519" s="3" t="n"/>
      <c r="N1519" s="3" t="inlineStr"/>
      <c r="O1519" s="3" t="n"/>
      <c r="P1519" s="3" t="n"/>
      <c r="Q1519" s="3" t="n"/>
      <c r="R1519" s="3" t="n"/>
      <c r="S1519" s="3" t="n"/>
      <c r="T1519" s="3" t="n"/>
      <c r="U1519" s="3" t="n"/>
      <c r="V1519" s="3" t="n"/>
      <c r="W1519" s="3" t="n"/>
      <c r="X1519" s="3" t="n"/>
      <c r="Y1519" s="3" t="n"/>
      <c r="Z1519" s="3" t="n"/>
      <c r="AA1519" s="3" t="n"/>
    </row>
    <row r="1520">
      <c r="A1520" s="105" t="n"/>
      <c r="B1520" s="105" t="n"/>
      <c r="C1520" s="3" t="n"/>
      <c r="D1520" s="3" t="n"/>
      <c r="E1520" s="3" t="n"/>
      <c r="F1520" s="3" t="n"/>
      <c r="G1520" s="3" t="n"/>
      <c r="H1520" s="3" t="inlineStr"/>
      <c r="I1520" s="3" t="n"/>
      <c r="J1520" s="3" t="n"/>
      <c r="K1520" s="3" t="n"/>
      <c r="L1520" s="3" t="inlineStr"/>
      <c r="M1520" s="3" t="n"/>
      <c r="N1520" s="3" t="inlineStr"/>
      <c r="O1520" s="3" t="n"/>
      <c r="P1520" s="3" t="n"/>
      <c r="Q1520" s="3" t="n"/>
      <c r="R1520" s="3" t="n"/>
      <c r="S1520" s="3" t="n"/>
      <c r="T1520" s="3" t="n"/>
      <c r="U1520" s="3" t="n"/>
      <c r="V1520" s="3" t="n"/>
      <c r="W1520" s="3" t="n"/>
      <c r="X1520" s="3" t="n"/>
      <c r="Y1520" s="3" t="n"/>
      <c r="Z1520" s="3" t="n"/>
      <c r="AA1520" s="3" t="n"/>
    </row>
    <row r="1521">
      <c r="A1521" s="105" t="n"/>
      <c r="B1521" s="105" t="n"/>
      <c r="C1521" s="3" t="n"/>
      <c r="D1521" s="3" t="n"/>
      <c r="E1521" s="3" t="n"/>
      <c r="F1521" s="3" t="n"/>
      <c r="G1521" s="3" t="n"/>
      <c r="H1521" s="3" t="inlineStr"/>
      <c r="I1521" s="3" t="n"/>
      <c r="J1521" s="3" t="n"/>
      <c r="K1521" s="3" t="n"/>
      <c r="L1521" s="3" t="inlineStr"/>
      <c r="M1521" s="3" t="n"/>
      <c r="N1521" s="3" t="inlineStr"/>
      <c r="O1521" s="3" t="n"/>
      <c r="P1521" s="3" t="n"/>
      <c r="Q1521" s="3" t="n"/>
      <c r="R1521" s="3" t="n"/>
      <c r="S1521" s="3" t="n"/>
      <c r="T1521" s="3" t="n"/>
      <c r="U1521" s="3" t="n"/>
      <c r="V1521" s="3" t="n"/>
      <c r="W1521" s="3" t="n"/>
      <c r="X1521" s="3" t="n"/>
      <c r="Y1521" s="3" t="n"/>
      <c r="Z1521" s="3" t="n"/>
      <c r="AA1521" s="3" t="n"/>
    </row>
    <row r="1522">
      <c r="A1522" s="105" t="n"/>
      <c r="B1522" s="105" t="n"/>
      <c r="C1522" s="3" t="n"/>
      <c r="D1522" s="3" t="n"/>
      <c r="E1522" s="3" t="n"/>
      <c r="F1522" s="3" t="n"/>
      <c r="G1522" s="3" t="n"/>
      <c r="H1522" s="3" t="inlineStr"/>
      <c r="I1522" s="3" t="n"/>
      <c r="J1522" s="3" t="n"/>
      <c r="K1522" s="3" t="n"/>
      <c r="L1522" s="3" t="inlineStr"/>
      <c r="M1522" s="3" t="n"/>
      <c r="N1522" s="3" t="inlineStr"/>
      <c r="O1522" s="3" t="n"/>
      <c r="P1522" s="3" t="n"/>
      <c r="Q1522" s="3" t="n"/>
      <c r="R1522" s="3" t="n"/>
      <c r="S1522" s="3" t="n"/>
      <c r="T1522" s="3" t="n"/>
      <c r="U1522" s="3" t="n"/>
      <c r="V1522" s="3" t="n"/>
      <c r="W1522" s="3" t="n"/>
      <c r="X1522" s="3" t="n"/>
      <c r="Y1522" s="3" t="n"/>
      <c r="Z1522" s="3" t="n"/>
      <c r="AA1522" s="3" t="n"/>
    </row>
    <row r="1523">
      <c r="A1523" s="105" t="n"/>
      <c r="B1523" s="105" t="n"/>
      <c r="C1523" s="3" t="n"/>
      <c r="D1523" s="3" t="n"/>
      <c r="E1523" s="3" t="n"/>
      <c r="F1523" s="3" t="n"/>
      <c r="G1523" s="3" t="n"/>
      <c r="H1523" s="3" t="inlineStr"/>
      <c r="I1523" s="3" t="n"/>
      <c r="J1523" s="3" t="n"/>
      <c r="K1523" s="3" t="n"/>
      <c r="L1523" s="3" t="inlineStr"/>
      <c r="M1523" s="3" t="n"/>
      <c r="N1523" s="3" t="inlineStr"/>
      <c r="O1523" s="3" t="n"/>
      <c r="P1523" s="3" t="n"/>
      <c r="Q1523" s="3" t="n"/>
      <c r="R1523" s="3" t="n"/>
      <c r="S1523" s="3" t="n"/>
      <c r="T1523" s="3" t="n"/>
      <c r="U1523" s="3" t="n"/>
      <c r="V1523" s="3" t="n"/>
      <c r="W1523" s="3" t="n"/>
      <c r="X1523" s="3" t="n"/>
      <c r="Y1523" s="3" t="n"/>
      <c r="Z1523" s="3" t="n"/>
      <c r="AA1523" s="3" t="n"/>
    </row>
    <row r="1524">
      <c r="A1524" s="105" t="n"/>
      <c r="B1524" s="105" t="n"/>
      <c r="C1524" s="3" t="n"/>
      <c r="D1524" s="3" t="n"/>
      <c r="E1524" s="3" t="n"/>
      <c r="F1524" s="3" t="n"/>
      <c r="G1524" s="3" t="n"/>
      <c r="H1524" s="3" t="inlineStr"/>
      <c r="I1524" s="3" t="n"/>
      <c r="J1524" s="3" t="n"/>
      <c r="K1524" s="3" t="n"/>
      <c r="L1524" s="3" t="inlineStr"/>
      <c r="M1524" s="3" t="n"/>
      <c r="N1524" s="3" t="inlineStr"/>
      <c r="O1524" s="3" t="n"/>
      <c r="P1524" s="3" t="n"/>
      <c r="Q1524" s="3" t="n"/>
      <c r="R1524" s="3" t="n"/>
      <c r="S1524" s="3" t="n"/>
      <c r="T1524" s="3" t="n"/>
      <c r="U1524" s="3" t="n"/>
      <c r="V1524" s="3" t="n"/>
      <c r="W1524" s="3" t="n"/>
      <c r="X1524" s="3" t="n"/>
      <c r="Y1524" s="3" t="n"/>
      <c r="Z1524" s="3" t="n"/>
      <c r="AA1524" s="3" t="n"/>
    </row>
    <row r="1525">
      <c r="A1525" s="105" t="n"/>
      <c r="B1525" s="105" t="n"/>
      <c r="C1525" s="3" t="n"/>
      <c r="D1525" s="3" t="n"/>
      <c r="E1525" s="3" t="n"/>
      <c r="F1525" s="3" t="n"/>
      <c r="G1525" s="3" t="n"/>
      <c r="H1525" s="3" t="inlineStr"/>
      <c r="I1525" s="3" t="n"/>
      <c r="J1525" s="3" t="n"/>
      <c r="K1525" s="3" t="n"/>
      <c r="L1525" s="3" t="inlineStr"/>
      <c r="M1525" s="3" t="n"/>
      <c r="N1525" s="3" t="inlineStr"/>
      <c r="O1525" s="3" t="n"/>
      <c r="P1525" s="3" t="n"/>
      <c r="Q1525" s="3" t="n"/>
      <c r="R1525" s="3" t="n"/>
      <c r="S1525" s="3" t="n"/>
      <c r="T1525" s="3" t="n"/>
      <c r="U1525" s="3" t="n"/>
      <c r="V1525" s="3" t="n"/>
      <c r="W1525" s="3" t="n"/>
      <c r="X1525" s="3" t="n"/>
      <c r="Y1525" s="3" t="n"/>
      <c r="Z1525" s="3" t="n"/>
      <c r="AA1525" s="3" t="n"/>
    </row>
    <row r="1526">
      <c r="A1526" s="105" t="n"/>
      <c r="B1526" s="105" t="n"/>
      <c r="C1526" s="3" t="n"/>
      <c r="D1526" s="3" t="n"/>
      <c r="E1526" s="3" t="n"/>
      <c r="F1526" s="3" t="n"/>
      <c r="G1526" s="3" t="n"/>
      <c r="H1526" s="3" t="inlineStr"/>
      <c r="I1526" s="3" t="n"/>
      <c r="J1526" s="3" t="n"/>
      <c r="K1526" s="3" t="n"/>
      <c r="L1526" s="3" t="inlineStr"/>
      <c r="M1526" s="3" t="n"/>
      <c r="N1526" s="3" t="inlineStr"/>
      <c r="O1526" s="3" t="n"/>
      <c r="P1526" s="3" t="n"/>
      <c r="Q1526" s="3" t="n"/>
      <c r="R1526" s="3" t="n"/>
      <c r="S1526" s="3" t="n"/>
      <c r="T1526" s="3" t="n"/>
      <c r="U1526" s="3" t="n"/>
      <c r="V1526" s="3" t="n"/>
      <c r="W1526" s="3" t="n"/>
      <c r="X1526" s="3" t="n"/>
      <c r="Y1526" s="3" t="n"/>
      <c r="Z1526" s="3" t="n"/>
      <c r="AA1526" s="3" t="n"/>
    </row>
    <row r="1527">
      <c r="A1527" s="105" t="n"/>
      <c r="B1527" s="105" t="n"/>
      <c r="C1527" s="3" t="n"/>
      <c r="D1527" s="3" t="n"/>
      <c r="E1527" s="3" t="n"/>
      <c r="F1527" s="3" t="n"/>
      <c r="G1527" s="3" t="n"/>
      <c r="H1527" s="3" t="inlineStr"/>
      <c r="I1527" s="3" t="n"/>
      <c r="J1527" s="3" t="n"/>
      <c r="K1527" s="3" t="n"/>
      <c r="L1527" s="3" t="inlineStr"/>
      <c r="M1527" s="3" t="n"/>
      <c r="N1527" s="3" t="inlineStr"/>
      <c r="O1527" s="3" t="n"/>
      <c r="P1527" s="3" t="n"/>
      <c r="Q1527" s="3" t="n"/>
      <c r="R1527" s="3" t="n"/>
      <c r="S1527" s="3" t="n"/>
      <c r="T1527" s="3" t="n"/>
      <c r="U1527" s="3" t="n"/>
      <c r="V1527" s="3" t="n"/>
      <c r="W1527" s="3" t="n"/>
      <c r="X1527" s="3" t="n"/>
      <c r="Y1527" s="3" t="n"/>
      <c r="Z1527" s="3" t="n"/>
      <c r="AA1527" s="3" t="n"/>
    </row>
    <row r="1528">
      <c r="A1528" s="105" t="n"/>
      <c r="B1528" s="105" t="n"/>
      <c r="C1528" s="3" t="n"/>
      <c r="D1528" s="3" t="n"/>
      <c r="E1528" s="3" t="n"/>
      <c r="F1528" s="3" t="n"/>
      <c r="G1528" s="3" t="n"/>
      <c r="H1528" s="3" t="inlineStr"/>
      <c r="I1528" s="3" t="n"/>
      <c r="J1528" s="3" t="n"/>
      <c r="K1528" s="3" t="n"/>
      <c r="L1528" s="3" t="inlineStr"/>
      <c r="M1528" s="3" t="n"/>
      <c r="N1528" s="3" t="inlineStr"/>
      <c r="O1528" s="3" t="n"/>
      <c r="P1528" s="3" t="n"/>
      <c r="Q1528" s="3" t="n"/>
      <c r="R1528" s="3" t="n"/>
      <c r="S1528" s="3" t="n"/>
      <c r="T1528" s="3" t="n"/>
      <c r="U1528" s="3" t="n"/>
      <c r="V1528" s="3" t="n"/>
      <c r="W1528" s="3" t="n"/>
      <c r="X1528" s="3" t="n"/>
      <c r="Y1528" s="3" t="n"/>
      <c r="Z1528" s="3" t="n"/>
      <c r="AA1528" s="3" t="n"/>
    </row>
    <row r="1529">
      <c r="A1529" s="105" t="n"/>
      <c r="B1529" s="105" t="n"/>
      <c r="C1529" s="3" t="n"/>
      <c r="D1529" s="3" t="n"/>
      <c r="E1529" s="3" t="n"/>
      <c r="F1529" s="3" t="n"/>
      <c r="G1529" s="3" t="n"/>
      <c r="H1529" s="3" t="inlineStr"/>
      <c r="I1529" s="3" t="n"/>
      <c r="J1529" s="3" t="n"/>
      <c r="K1529" s="3" t="n"/>
      <c r="L1529" s="3" t="inlineStr"/>
      <c r="M1529" s="3" t="n"/>
      <c r="N1529" s="3" t="inlineStr"/>
      <c r="O1529" s="3" t="n"/>
      <c r="P1529" s="3" t="n"/>
      <c r="Q1529" s="3" t="n"/>
      <c r="R1529" s="3" t="n"/>
      <c r="S1529" s="3" t="n"/>
      <c r="T1529" s="3" t="n"/>
      <c r="U1529" s="3" t="n"/>
      <c r="V1529" s="3" t="n"/>
      <c r="W1529" s="3" t="n"/>
      <c r="X1529" s="3" t="n"/>
      <c r="Y1529" s="3" t="n"/>
      <c r="Z1529" s="3" t="n"/>
      <c r="AA1529" s="3" t="n"/>
    </row>
    <row r="1530">
      <c r="A1530" s="105" t="n"/>
      <c r="B1530" s="105" t="n"/>
      <c r="C1530" s="3" t="n"/>
      <c r="D1530" s="3" t="n"/>
      <c r="E1530" s="3" t="n"/>
      <c r="F1530" s="3" t="n"/>
      <c r="G1530" s="3" t="n"/>
      <c r="H1530" s="3" t="inlineStr"/>
      <c r="I1530" s="3" t="n"/>
      <c r="J1530" s="3" t="n"/>
      <c r="K1530" s="3" t="n"/>
      <c r="L1530" s="3" t="inlineStr"/>
      <c r="M1530" s="3" t="n"/>
      <c r="N1530" s="3" t="inlineStr"/>
      <c r="O1530" s="3" t="n"/>
      <c r="P1530" s="3" t="n"/>
      <c r="Q1530" s="3" t="n"/>
      <c r="R1530" s="3" t="n"/>
      <c r="S1530" s="3" t="n"/>
      <c r="T1530" s="3" t="n"/>
      <c r="U1530" s="3" t="n"/>
      <c r="V1530" s="3" t="n"/>
      <c r="W1530" s="3" t="n"/>
      <c r="X1530" s="3" t="n"/>
      <c r="Y1530" s="3" t="n"/>
      <c r="Z1530" s="3" t="n"/>
      <c r="AA1530" s="3" t="n"/>
    </row>
    <row r="1531">
      <c r="A1531" s="105" t="n"/>
      <c r="B1531" s="105" t="n"/>
      <c r="C1531" s="3" t="n"/>
      <c r="D1531" s="3" t="n"/>
      <c r="E1531" s="3" t="n"/>
      <c r="F1531" s="3" t="n"/>
      <c r="G1531" s="3" t="n"/>
      <c r="H1531" s="3" t="inlineStr"/>
      <c r="I1531" s="3" t="n"/>
      <c r="J1531" s="3" t="n"/>
      <c r="K1531" s="3" t="n"/>
      <c r="L1531" s="3" t="inlineStr"/>
      <c r="M1531" s="3" t="n"/>
      <c r="N1531" s="3" t="inlineStr"/>
      <c r="O1531" s="3" t="n"/>
      <c r="P1531" s="3" t="n"/>
      <c r="Q1531" s="3" t="n"/>
      <c r="R1531" s="3" t="n"/>
      <c r="S1531" s="3" t="n"/>
      <c r="T1531" s="3" t="n"/>
      <c r="U1531" s="3" t="n"/>
      <c r="V1531" s="3" t="n"/>
      <c r="W1531" s="3" t="n"/>
      <c r="X1531" s="3" t="n"/>
      <c r="Y1531" s="3" t="n"/>
      <c r="Z1531" s="3" t="n"/>
      <c r="AA1531" s="3" t="n"/>
    </row>
    <row r="1532">
      <c r="A1532" s="105" t="n"/>
      <c r="B1532" s="105" t="n"/>
      <c r="C1532" s="3" t="n"/>
      <c r="D1532" s="3" t="n"/>
      <c r="E1532" s="3" t="n"/>
      <c r="F1532" s="3" t="n"/>
      <c r="G1532" s="3" t="n"/>
      <c r="H1532" s="3" t="inlineStr"/>
      <c r="I1532" s="3" t="n"/>
      <c r="J1532" s="3" t="n"/>
      <c r="K1532" s="3" t="n"/>
      <c r="L1532" s="3" t="inlineStr"/>
      <c r="M1532" s="3" t="n"/>
      <c r="N1532" s="3" t="inlineStr"/>
      <c r="O1532" s="3" t="n"/>
      <c r="P1532" s="3" t="n"/>
      <c r="Q1532" s="3" t="n"/>
      <c r="R1532" s="3" t="n"/>
      <c r="S1532" s="3" t="n"/>
      <c r="T1532" s="3" t="n"/>
      <c r="U1532" s="3" t="n"/>
      <c r="V1532" s="3" t="n"/>
      <c r="W1532" s="3" t="n"/>
      <c r="X1532" s="3" t="n"/>
      <c r="Y1532" s="3" t="n"/>
      <c r="Z1532" s="3" t="n"/>
      <c r="AA1532" s="3" t="n"/>
    </row>
    <row r="1533">
      <c r="A1533" s="105" t="n"/>
      <c r="B1533" s="105" t="n"/>
      <c r="C1533" s="3" t="n"/>
      <c r="D1533" s="3" t="n"/>
      <c r="E1533" s="3" t="n"/>
      <c r="F1533" s="3" t="n"/>
      <c r="G1533" s="3" t="n"/>
      <c r="H1533" s="3" t="inlineStr"/>
      <c r="I1533" s="3" t="n"/>
      <c r="J1533" s="3" t="n"/>
      <c r="K1533" s="3" t="n"/>
      <c r="L1533" s="3" t="inlineStr"/>
      <c r="M1533" s="3" t="n"/>
      <c r="N1533" s="3" t="inlineStr"/>
      <c r="O1533" s="3" t="n"/>
      <c r="P1533" s="3" t="n"/>
      <c r="Q1533" s="3" t="n"/>
      <c r="R1533" s="3" t="n"/>
      <c r="S1533" s="3" t="n"/>
      <c r="T1533" s="3" t="n"/>
      <c r="U1533" s="3" t="n"/>
      <c r="V1533" s="3" t="n"/>
      <c r="W1533" s="3" t="n"/>
      <c r="X1533" s="3" t="n"/>
      <c r="Y1533" s="3" t="n"/>
      <c r="Z1533" s="3" t="n"/>
      <c r="AA1533" s="3" t="n"/>
    </row>
    <row r="1534">
      <c r="A1534" s="105" t="n"/>
      <c r="B1534" s="105" t="n"/>
      <c r="C1534" s="3" t="n"/>
      <c r="D1534" s="3" t="n"/>
      <c r="E1534" s="3" t="n"/>
      <c r="F1534" s="3" t="n"/>
      <c r="G1534" s="3" t="n"/>
      <c r="H1534" s="3" t="inlineStr"/>
      <c r="I1534" s="3" t="n"/>
      <c r="J1534" s="3" t="n"/>
      <c r="K1534" s="3" t="n"/>
      <c r="L1534" s="3" t="inlineStr"/>
      <c r="M1534" s="3" t="n"/>
      <c r="N1534" s="3" t="inlineStr"/>
      <c r="O1534" s="3" t="n"/>
      <c r="P1534" s="3" t="n"/>
      <c r="Q1534" s="3" t="n"/>
      <c r="R1534" s="3" t="n"/>
      <c r="S1534" s="3" t="n"/>
      <c r="T1534" s="3" t="n"/>
      <c r="U1534" s="3" t="n"/>
      <c r="V1534" s="3" t="n"/>
      <c r="W1534" s="3" t="n"/>
      <c r="X1534" s="3" t="n"/>
      <c r="Y1534" s="3" t="n"/>
      <c r="Z1534" s="3" t="n"/>
      <c r="AA1534" s="3" t="n"/>
    </row>
    <row r="1535">
      <c r="A1535" s="105" t="n"/>
      <c r="B1535" s="105" t="n"/>
      <c r="C1535" s="3" t="n"/>
      <c r="D1535" s="3" t="n"/>
      <c r="E1535" s="3" t="n"/>
      <c r="F1535" s="3" t="n"/>
      <c r="G1535" s="3" t="n"/>
      <c r="H1535" s="3" t="inlineStr"/>
      <c r="I1535" s="3" t="n"/>
      <c r="J1535" s="3" t="n"/>
      <c r="K1535" s="3" t="n"/>
      <c r="L1535" s="3" t="inlineStr"/>
      <c r="M1535" s="3" t="n"/>
      <c r="N1535" s="3" t="inlineStr"/>
      <c r="O1535" s="3" t="n"/>
      <c r="P1535" s="3" t="n"/>
      <c r="Q1535" s="3" t="n"/>
      <c r="R1535" s="3" t="n"/>
      <c r="S1535" s="3" t="n"/>
      <c r="T1535" s="3" t="n"/>
      <c r="U1535" s="3" t="n"/>
      <c r="V1535" s="3" t="n"/>
      <c r="W1535" s="3" t="n"/>
      <c r="X1535" s="3" t="n"/>
      <c r="Y1535" s="3" t="n"/>
      <c r="Z1535" s="3" t="n"/>
      <c r="AA1535" s="3" t="n"/>
    </row>
    <row r="1536">
      <c r="A1536" s="105" t="n"/>
      <c r="B1536" s="105" t="n"/>
      <c r="C1536" s="3" t="n"/>
      <c r="D1536" s="3" t="n"/>
      <c r="E1536" s="3" t="n"/>
      <c r="F1536" s="3" t="n"/>
      <c r="G1536" s="3" t="n"/>
      <c r="H1536" s="3" t="inlineStr"/>
      <c r="I1536" s="3" t="n"/>
      <c r="J1536" s="3" t="n"/>
      <c r="K1536" s="3" t="n"/>
      <c r="L1536" s="3" t="inlineStr"/>
      <c r="M1536" s="3" t="n"/>
      <c r="N1536" s="3" t="inlineStr"/>
      <c r="O1536" s="3" t="n"/>
      <c r="P1536" s="3" t="n"/>
      <c r="Q1536" s="3" t="n"/>
      <c r="R1536" s="3" t="n"/>
      <c r="S1536" s="3" t="n"/>
      <c r="T1536" s="3" t="n"/>
      <c r="U1536" s="3" t="n"/>
      <c r="V1536" s="3" t="n"/>
      <c r="W1536" s="3" t="n"/>
      <c r="X1536" s="3" t="n"/>
      <c r="Y1536" s="3" t="n"/>
      <c r="Z1536" s="3" t="n"/>
      <c r="AA1536" s="3" t="n"/>
    </row>
    <row r="1537">
      <c r="A1537" s="105" t="n"/>
      <c r="B1537" s="105" t="n"/>
      <c r="C1537" s="3" t="n"/>
      <c r="D1537" s="3" t="n"/>
      <c r="E1537" s="3" t="n"/>
      <c r="F1537" s="3" t="n"/>
      <c r="G1537" s="3" t="n"/>
      <c r="H1537" s="3" t="inlineStr"/>
      <c r="I1537" s="3" t="n"/>
      <c r="J1537" s="3" t="n"/>
      <c r="K1537" s="3" t="n"/>
      <c r="L1537" s="3" t="inlineStr"/>
      <c r="M1537" s="3" t="n"/>
      <c r="N1537" s="3" t="inlineStr"/>
      <c r="O1537" s="3" t="n"/>
      <c r="P1537" s="3" t="n"/>
      <c r="Q1537" s="3" t="n"/>
      <c r="R1537" s="3" t="n"/>
      <c r="S1537" s="3" t="n"/>
      <c r="T1537" s="3" t="n"/>
      <c r="U1537" s="3" t="n"/>
      <c r="V1537" s="3" t="n"/>
      <c r="W1537" s="3" t="n"/>
      <c r="X1537" s="3" t="n"/>
      <c r="Y1537" s="3" t="n"/>
      <c r="Z1537" s="3" t="n"/>
      <c r="AA1537" s="3" t="n"/>
    </row>
    <row r="1538">
      <c r="A1538" s="105" t="n"/>
      <c r="B1538" s="105" t="n"/>
      <c r="C1538" s="3" t="n"/>
      <c r="D1538" s="3" t="n"/>
      <c r="E1538" s="3" t="n"/>
      <c r="F1538" s="3" t="n"/>
      <c r="G1538" s="3" t="n"/>
      <c r="H1538" s="3" t="inlineStr"/>
      <c r="I1538" s="3" t="n"/>
      <c r="J1538" s="3" t="n"/>
      <c r="K1538" s="3" t="n"/>
      <c r="L1538" s="3" t="inlineStr"/>
      <c r="M1538" s="3" t="n"/>
      <c r="N1538" s="3" t="inlineStr"/>
      <c r="O1538" s="3" t="n"/>
      <c r="P1538" s="3" t="n"/>
      <c r="Q1538" s="3" t="n"/>
      <c r="R1538" s="3" t="n"/>
      <c r="S1538" s="3" t="n"/>
      <c r="T1538" s="3" t="n"/>
      <c r="U1538" s="3" t="n"/>
      <c r="V1538" s="3" t="n"/>
      <c r="W1538" s="3" t="n"/>
      <c r="X1538" s="3" t="n"/>
      <c r="Y1538" s="3" t="n"/>
      <c r="Z1538" s="3" t="n"/>
      <c r="AA1538" s="3" t="n"/>
    </row>
    <row r="1539">
      <c r="A1539" s="105" t="n"/>
      <c r="B1539" s="105" t="n"/>
      <c r="C1539" s="3" t="n"/>
      <c r="D1539" s="3" t="n"/>
      <c r="E1539" s="3" t="n"/>
      <c r="F1539" s="3" t="n"/>
      <c r="G1539" s="3" t="n"/>
      <c r="H1539" s="3" t="inlineStr"/>
      <c r="I1539" s="3" t="n"/>
      <c r="J1539" s="3" t="n"/>
      <c r="K1539" s="3" t="n"/>
      <c r="L1539" s="3" t="inlineStr"/>
      <c r="M1539" s="3" t="n"/>
      <c r="N1539" s="3" t="inlineStr"/>
      <c r="O1539" s="3" t="n"/>
      <c r="P1539" s="3" t="n"/>
      <c r="Q1539" s="3" t="n"/>
      <c r="R1539" s="3" t="n"/>
      <c r="S1539" s="3" t="n"/>
      <c r="T1539" s="3" t="n"/>
      <c r="U1539" s="3" t="n"/>
      <c r="V1539" s="3" t="n"/>
      <c r="W1539" s="3" t="n"/>
      <c r="X1539" s="3" t="n"/>
      <c r="Y1539" s="3" t="n"/>
      <c r="Z1539" s="3" t="n"/>
      <c r="AA1539" s="3" t="n"/>
    </row>
    <row r="1540">
      <c r="A1540" s="105" t="n"/>
      <c r="B1540" s="105" t="n"/>
      <c r="C1540" s="3" t="n"/>
      <c r="D1540" s="3" t="n"/>
      <c r="E1540" s="3" t="n"/>
      <c r="F1540" s="3" t="n"/>
      <c r="G1540" s="3" t="n"/>
      <c r="H1540" s="3" t="inlineStr"/>
      <c r="I1540" s="3" t="n"/>
      <c r="J1540" s="3" t="n"/>
      <c r="K1540" s="3" t="n"/>
      <c r="L1540" s="3" t="inlineStr"/>
      <c r="M1540" s="3" t="n"/>
      <c r="N1540" s="3" t="inlineStr"/>
      <c r="O1540" s="3" t="n"/>
      <c r="P1540" s="3" t="n"/>
      <c r="Q1540" s="3" t="n"/>
      <c r="R1540" s="3" t="n"/>
      <c r="S1540" s="3" t="n"/>
      <c r="T1540" s="3" t="n"/>
      <c r="U1540" s="3" t="n"/>
      <c r="V1540" s="3" t="n"/>
      <c r="W1540" s="3" t="n"/>
      <c r="X1540" s="3" t="n"/>
      <c r="Y1540" s="3" t="n"/>
      <c r="Z1540" s="3" t="n"/>
      <c r="AA1540" s="3" t="n"/>
    </row>
    <row r="1541">
      <c r="A1541" s="105" t="n"/>
      <c r="B1541" s="105" t="n"/>
      <c r="C1541" s="3" t="n"/>
      <c r="D1541" s="3" t="n"/>
      <c r="E1541" s="3" t="n"/>
      <c r="F1541" s="3" t="n"/>
      <c r="G1541" s="3" t="n"/>
      <c r="H1541" s="3" t="inlineStr"/>
      <c r="I1541" s="3" t="n"/>
      <c r="J1541" s="3" t="n"/>
      <c r="K1541" s="3" t="n"/>
      <c r="L1541" s="3" t="inlineStr"/>
      <c r="M1541" s="3" t="n"/>
      <c r="N1541" s="3" t="inlineStr"/>
      <c r="O1541" s="3" t="n"/>
      <c r="P1541" s="3" t="n"/>
      <c r="Q1541" s="3" t="n"/>
      <c r="R1541" s="3" t="n"/>
      <c r="S1541" s="3" t="n"/>
      <c r="T1541" s="3" t="n"/>
      <c r="U1541" s="3" t="n"/>
      <c r="V1541" s="3" t="n"/>
      <c r="W1541" s="3" t="n"/>
      <c r="X1541" s="3" t="n"/>
      <c r="Y1541" s="3" t="n"/>
      <c r="Z1541" s="3" t="n"/>
      <c r="AA1541" s="3" t="n"/>
    </row>
    <row r="1542">
      <c r="A1542" s="105" t="n"/>
      <c r="B1542" s="105" t="n"/>
      <c r="C1542" s="3" t="n"/>
      <c r="D1542" s="3" t="n"/>
      <c r="E1542" s="3" t="n"/>
      <c r="F1542" s="3" t="n"/>
      <c r="G1542" s="3" t="n"/>
      <c r="H1542" s="3" t="inlineStr"/>
      <c r="I1542" s="3" t="n"/>
      <c r="J1542" s="3" t="n"/>
      <c r="K1542" s="3" t="n"/>
      <c r="L1542" s="3" t="inlineStr"/>
      <c r="M1542" s="3" t="n"/>
      <c r="N1542" s="3" t="inlineStr"/>
      <c r="O1542" s="3" t="n"/>
      <c r="P1542" s="3" t="n"/>
      <c r="Q1542" s="3" t="n"/>
      <c r="R1542" s="3" t="n"/>
      <c r="S1542" s="3" t="n"/>
      <c r="T1542" s="3" t="n"/>
      <c r="U1542" s="3" t="n"/>
      <c r="V1542" s="3" t="n"/>
      <c r="W1542" s="3" t="n"/>
      <c r="X1542" s="3" t="n"/>
      <c r="Y1542" s="3" t="n"/>
      <c r="Z1542" s="3" t="n"/>
      <c r="AA1542" s="3" t="n"/>
    </row>
    <row r="1543">
      <c r="A1543" s="105" t="n"/>
      <c r="B1543" s="105" t="n"/>
      <c r="C1543" s="3" t="n"/>
      <c r="D1543" s="3" t="n"/>
      <c r="E1543" s="3" t="n"/>
      <c r="F1543" s="3" t="n"/>
      <c r="G1543" s="3" t="n"/>
      <c r="H1543" s="3" t="inlineStr"/>
      <c r="I1543" s="3" t="n"/>
      <c r="J1543" s="3" t="n"/>
      <c r="K1543" s="3" t="n"/>
      <c r="L1543" s="3" t="inlineStr"/>
      <c r="M1543" s="3" t="n"/>
      <c r="N1543" s="3" t="inlineStr"/>
      <c r="O1543" s="3" t="n"/>
      <c r="P1543" s="3" t="n"/>
      <c r="Q1543" s="3" t="n"/>
      <c r="R1543" s="3" t="n"/>
      <c r="S1543" s="3" t="n"/>
      <c r="T1543" s="3" t="n"/>
      <c r="U1543" s="3" t="n"/>
      <c r="V1543" s="3" t="n"/>
      <c r="W1543" s="3" t="n"/>
      <c r="X1543" s="3" t="n"/>
      <c r="Y1543" s="3" t="n"/>
      <c r="Z1543" s="3" t="n"/>
      <c r="AA1543" s="3" t="n"/>
    </row>
    <row r="1544">
      <c r="A1544" s="105" t="n"/>
      <c r="B1544" s="105" t="n"/>
      <c r="C1544" s="3" t="n"/>
      <c r="D1544" s="3" t="n"/>
      <c r="E1544" s="3" t="n"/>
      <c r="F1544" s="3" t="n"/>
      <c r="G1544" s="3" t="n"/>
      <c r="H1544" s="3" t="inlineStr"/>
      <c r="I1544" s="3" t="n"/>
      <c r="J1544" s="3" t="n"/>
      <c r="K1544" s="3" t="n"/>
      <c r="L1544" s="3" t="inlineStr"/>
      <c r="M1544" s="3" t="n"/>
      <c r="N1544" s="3" t="inlineStr"/>
      <c r="O1544" s="3" t="n"/>
      <c r="P1544" s="3" t="n"/>
      <c r="Q1544" s="3" t="n"/>
      <c r="R1544" s="3" t="n"/>
      <c r="S1544" s="3" t="n"/>
      <c r="T1544" s="3" t="n"/>
      <c r="U1544" s="3" t="n"/>
      <c r="V1544" s="3" t="n"/>
      <c r="W1544" s="3" t="n"/>
      <c r="X1544" s="3" t="n"/>
      <c r="Y1544" s="3" t="n"/>
      <c r="Z1544" s="3" t="n"/>
      <c r="AA1544" s="3" t="n"/>
    </row>
    <row r="1545">
      <c r="A1545" s="105" t="n"/>
      <c r="B1545" s="105" t="n"/>
      <c r="C1545" s="3" t="n"/>
      <c r="D1545" s="3" t="n"/>
      <c r="E1545" s="3" t="n"/>
      <c r="F1545" s="3" t="n"/>
      <c r="G1545" s="3" t="n"/>
      <c r="H1545" s="3" t="inlineStr"/>
      <c r="I1545" s="3" t="n"/>
      <c r="J1545" s="3" t="n"/>
      <c r="K1545" s="3" t="n"/>
      <c r="L1545" s="3" t="inlineStr"/>
      <c r="M1545" s="3" t="n"/>
      <c r="N1545" s="3" t="inlineStr"/>
      <c r="O1545" s="3" t="n"/>
      <c r="P1545" s="3" t="n"/>
      <c r="Q1545" s="3" t="n"/>
      <c r="R1545" s="3" t="n"/>
      <c r="S1545" s="3" t="n"/>
      <c r="T1545" s="3" t="n"/>
      <c r="U1545" s="3" t="n"/>
      <c r="V1545" s="3" t="n"/>
      <c r="W1545" s="3" t="n"/>
      <c r="X1545" s="3" t="n"/>
      <c r="Y1545" s="3" t="n"/>
      <c r="Z1545" s="3" t="n"/>
      <c r="AA1545" s="3" t="n"/>
    </row>
    <row r="1546">
      <c r="A1546" s="105" t="n"/>
      <c r="B1546" s="105" t="n"/>
      <c r="C1546" s="3" t="n"/>
      <c r="D1546" s="3" t="n"/>
      <c r="E1546" s="3" t="n"/>
      <c r="F1546" s="3" t="n"/>
      <c r="G1546" s="3" t="n"/>
      <c r="H1546" s="3" t="inlineStr"/>
      <c r="I1546" s="3" t="n"/>
      <c r="J1546" s="3" t="n"/>
      <c r="K1546" s="3" t="n"/>
      <c r="L1546" s="3" t="inlineStr"/>
      <c r="M1546" s="3" t="n"/>
      <c r="N1546" s="3" t="inlineStr"/>
      <c r="O1546" s="3" t="n"/>
      <c r="P1546" s="3" t="n"/>
      <c r="Q1546" s="3" t="n"/>
      <c r="R1546" s="3" t="n"/>
      <c r="S1546" s="3" t="n"/>
      <c r="T1546" s="3" t="n"/>
      <c r="U1546" s="3" t="n"/>
      <c r="V1546" s="3" t="n"/>
      <c r="W1546" s="3" t="n"/>
      <c r="X1546" s="3" t="n"/>
      <c r="Y1546" s="3" t="n"/>
      <c r="Z1546" s="3" t="n"/>
      <c r="AA1546" s="3" t="n"/>
    </row>
    <row r="1547">
      <c r="A1547" s="105" t="n"/>
      <c r="B1547" s="105" t="n"/>
      <c r="C1547" s="3" t="n"/>
      <c r="D1547" s="3" t="n"/>
      <c r="E1547" s="3" t="n"/>
      <c r="F1547" s="3" t="n"/>
      <c r="G1547" s="3" t="n"/>
      <c r="H1547" s="3" t="inlineStr"/>
      <c r="I1547" s="3" t="n"/>
      <c r="J1547" s="3" t="n"/>
      <c r="K1547" s="3" t="n"/>
      <c r="L1547" s="3" t="inlineStr"/>
      <c r="M1547" s="3" t="n"/>
      <c r="N1547" s="3" t="inlineStr"/>
      <c r="O1547" s="3" t="n"/>
      <c r="P1547" s="3" t="n"/>
      <c r="Q1547" s="3" t="n"/>
      <c r="R1547" s="3" t="n"/>
      <c r="S1547" s="3" t="n"/>
      <c r="T1547" s="3" t="n"/>
      <c r="U1547" s="3" t="n"/>
      <c r="V1547" s="3" t="n"/>
      <c r="W1547" s="3" t="n"/>
      <c r="X1547" s="3" t="n"/>
      <c r="Y1547" s="3" t="n"/>
      <c r="Z1547" s="3" t="n"/>
      <c r="AA1547" s="3" t="n"/>
    </row>
    <row r="1548">
      <c r="A1548" s="105" t="n"/>
      <c r="B1548" s="105" t="n"/>
      <c r="C1548" s="3" t="n"/>
      <c r="D1548" s="3" t="n"/>
      <c r="E1548" s="3" t="n"/>
      <c r="F1548" s="3" t="n"/>
      <c r="G1548" s="3" t="n"/>
      <c r="H1548" s="3" t="inlineStr"/>
      <c r="I1548" s="3" t="n"/>
      <c r="J1548" s="3" t="n"/>
      <c r="K1548" s="3" t="n"/>
      <c r="L1548" s="3" t="inlineStr"/>
      <c r="M1548" s="3" t="n"/>
      <c r="N1548" s="3" t="inlineStr"/>
      <c r="O1548" s="3" t="n"/>
      <c r="P1548" s="3" t="n"/>
      <c r="Q1548" s="3" t="n"/>
      <c r="R1548" s="3" t="n"/>
      <c r="S1548" s="3" t="n"/>
      <c r="T1548" s="3" t="n"/>
      <c r="U1548" s="3" t="n"/>
      <c r="V1548" s="3" t="n"/>
      <c r="W1548" s="3" t="n"/>
      <c r="X1548" s="3" t="n"/>
      <c r="Y1548" s="3" t="n"/>
      <c r="Z1548" s="3" t="n"/>
      <c r="AA1548" s="3" t="n"/>
    </row>
    <row r="1549">
      <c r="A1549" s="105" t="n"/>
      <c r="B1549" s="105" t="n"/>
      <c r="C1549" s="3" t="n"/>
      <c r="D1549" s="3" t="n"/>
      <c r="E1549" s="3" t="n"/>
      <c r="F1549" s="3" t="n"/>
      <c r="G1549" s="3" t="n"/>
      <c r="H1549" s="3" t="inlineStr"/>
      <c r="I1549" s="3" t="n"/>
      <c r="J1549" s="3" t="n"/>
      <c r="K1549" s="3" t="n"/>
      <c r="L1549" s="3" t="inlineStr"/>
      <c r="M1549" s="3" t="n"/>
      <c r="N1549" s="3" t="inlineStr"/>
      <c r="O1549" s="3" t="n"/>
      <c r="P1549" s="3" t="n"/>
      <c r="Q1549" s="3" t="n"/>
      <c r="R1549" s="3" t="n"/>
      <c r="S1549" s="3" t="n"/>
      <c r="T1549" s="3" t="n"/>
      <c r="U1549" s="3" t="n"/>
      <c r="V1549" s="3" t="n"/>
      <c r="W1549" s="3" t="n"/>
      <c r="X1549" s="3" t="n"/>
      <c r="Y1549" s="3" t="n"/>
      <c r="Z1549" s="3" t="n"/>
      <c r="AA1549" s="3" t="n"/>
    </row>
    <row r="1550">
      <c r="A1550" s="105" t="n"/>
      <c r="B1550" s="105" t="n"/>
      <c r="C1550" s="3" t="n"/>
      <c r="D1550" s="3" t="n"/>
      <c r="E1550" s="3" t="n"/>
      <c r="F1550" s="3" t="n"/>
      <c r="G1550" s="3" t="n"/>
      <c r="H1550" s="3" t="inlineStr"/>
      <c r="I1550" s="3" t="n"/>
      <c r="J1550" s="3" t="n"/>
      <c r="K1550" s="3" t="n"/>
      <c r="L1550" s="3" t="inlineStr"/>
      <c r="M1550" s="3" t="n"/>
      <c r="N1550" s="3" t="inlineStr"/>
      <c r="O1550" s="3" t="n"/>
      <c r="P1550" s="3" t="n"/>
      <c r="Q1550" s="3" t="n"/>
      <c r="R1550" s="3" t="n"/>
      <c r="S1550" s="3" t="n"/>
      <c r="T1550" s="3" t="n"/>
      <c r="U1550" s="3" t="n"/>
      <c r="V1550" s="3" t="n"/>
      <c r="W1550" s="3" t="n"/>
      <c r="X1550" s="3" t="n"/>
      <c r="Y1550" s="3" t="n"/>
      <c r="Z1550" s="3" t="n"/>
      <c r="AA1550" s="3" t="n"/>
    </row>
    <row r="1551">
      <c r="A1551" s="105" t="n"/>
      <c r="B1551" s="105" t="n"/>
      <c r="C1551" s="3" t="n"/>
      <c r="D1551" s="3" t="n"/>
      <c r="E1551" s="3" t="n"/>
      <c r="F1551" s="3" t="n"/>
      <c r="G1551" s="3" t="n"/>
      <c r="H1551" s="3" t="inlineStr"/>
      <c r="I1551" s="3" t="n"/>
      <c r="J1551" s="3" t="n"/>
      <c r="K1551" s="3" t="n"/>
      <c r="L1551" s="3" t="inlineStr"/>
      <c r="M1551" s="3" t="n"/>
      <c r="N1551" s="3" t="inlineStr"/>
      <c r="O1551" s="3" t="n"/>
      <c r="P1551" s="3" t="n"/>
      <c r="Q1551" s="3" t="n"/>
      <c r="R1551" s="3" t="n"/>
      <c r="S1551" s="3" t="n"/>
      <c r="T1551" s="3" t="n"/>
      <c r="U1551" s="3" t="n"/>
      <c r="V1551" s="3" t="n"/>
      <c r="W1551" s="3" t="n"/>
      <c r="X1551" s="3" t="n"/>
      <c r="Y1551" s="3" t="n"/>
      <c r="Z1551" s="3" t="n"/>
      <c r="AA1551" s="3" t="n"/>
    </row>
    <row r="1552">
      <c r="A1552" s="105" t="n"/>
      <c r="B1552" s="105" t="n"/>
      <c r="C1552" s="3" t="n"/>
      <c r="D1552" s="3" t="n"/>
      <c r="E1552" s="3" t="n"/>
      <c r="F1552" s="3" t="n"/>
      <c r="G1552" s="3" t="n"/>
      <c r="H1552" s="3" t="inlineStr"/>
      <c r="I1552" s="3" t="n"/>
      <c r="J1552" s="3" t="n"/>
      <c r="K1552" s="3" t="n"/>
      <c r="L1552" s="3" t="inlineStr"/>
      <c r="M1552" s="3" t="n"/>
      <c r="N1552" s="3" t="inlineStr"/>
      <c r="O1552" s="3" t="n"/>
      <c r="P1552" s="3" t="n"/>
      <c r="Q1552" s="3" t="n"/>
      <c r="R1552" s="3" t="n"/>
      <c r="S1552" s="3" t="n"/>
      <c r="T1552" s="3" t="n"/>
      <c r="U1552" s="3" t="n"/>
      <c r="V1552" s="3" t="n"/>
      <c r="W1552" s="3" t="n"/>
      <c r="X1552" s="3" t="n"/>
      <c r="Y1552" s="3" t="n"/>
      <c r="Z1552" s="3" t="n"/>
      <c r="AA1552" s="3" t="n"/>
    </row>
    <row r="1553">
      <c r="A1553" s="105" t="n"/>
      <c r="B1553" s="105" t="n"/>
      <c r="C1553" s="3" t="n"/>
      <c r="D1553" s="3" t="n"/>
      <c r="E1553" s="3" t="n"/>
      <c r="F1553" s="3" t="n"/>
      <c r="G1553" s="3" t="n"/>
      <c r="H1553" s="3" t="inlineStr"/>
      <c r="I1553" s="3" t="n"/>
      <c r="J1553" s="3" t="n"/>
      <c r="K1553" s="3" t="n"/>
      <c r="L1553" s="3" t="inlineStr"/>
      <c r="M1553" s="3" t="n"/>
      <c r="N1553" s="3" t="inlineStr"/>
      <c r="O1553" s="3" t="n"/>
      <c r="P1553" s="3" t="n"/>
      <c r="Q1553" s="3" t="n"/>
      <c r="R1553" s="3" t="n"/>
      <c r="S1553" s="3" t="n"/>
      <c r="T1553" s="3" t="n"/>
      <c r="U1553" s="3" t="n"/>
      <c r="V1553" s="3" t="n"/>
      <c r="W1553" s="3" t="n"/>
      <c r="X1553" s="3" t="n"/>
      <c r="Y1553" s="3" t="n"/>
      <c r="Z1553" s="3" t="n"/>
      <c r="AA1553" s="3" t="n"/>
    </row>
    <row r="1554">
      <c r="A1554" s="105" t="n"/>
      <c r="B1554" s="105" t="n"/>
      <c r="C1554" s="3" t="n"/>
      <c r="D1554" s="3" t="n"/>
      <c r="E1554" s="3" t="n"/>
      <c r="F1554" s="3" t="n"/>
      <c r="G1554" s="3" t="n"/>
      <c r="H1554" s="3" t="inlineStr"/>
      <c r="I1554" s="3" t="n"/>
      <c r="J1554" s="3" t="n"/>
      <c r="K1554" s="3" t="n"/>
      <c r="L1554" s="3" t="inlineStr"/>
      <c r="M1554" s="3" t="n"/>
      <c r="N1554" s="3" t="inlineStr"/>
      <c r="O1554" s="3" t="n"/>
      <c r="P1554" s="3" t="n"/>
      <c r="Q1554" s="3" t="n"/>
      <c r="R1554" s="3" t="n"/>
      <c r="S1554" s="3" t="n"/>
      <c r="T1554" s="3" t="n"/>
      <c r="U1554" s="3" t="n"/>
      <c r="V1554" s="3" t="n"/>
      <c r="W1554" s="3" t="n"/>
      <c r="X1554" s="3" t="n"/>
      <c r="Y1554" s="3" t="n"/>
      <c r="Z1554" s="3" t="n"/>
      <c r="AA1554" s="3" t="n"/>
    </row>
    <row r="1555">
      <c r="A1555" s="105" t="n"/>
      <c r="B1555" s="105" t="n"/>
      <c r="C1555" s="3" t="n"/>
      <c r="D1555" s="3" t="n"/>
      <c r="E1555" s="3" t="n"/>
      <c r="F1555" s="3" t="n"/>
      <c r="G1555" s="3" t="n"/>
      <c r="H1555" s="3" t="inlineStr"/>
      <c r="I1555" s="3" t="n"/>
      <c r="J1555" s="3" t="n"/>
      <c r="K1555" s="3" t="n"/>
      <c r="L1555" s="3" t="inlineStr"/>
      <c r="M1555" s="3" t="n"/>
      <c r="N1555" s="3" t="inlineStr"/>
      <c r="O1555" s="3" t="n"/>
      <c r="P1555" s="3" t="n"/>
      <c r="Q1555" s="3" t="n"/>
      <c r="R1555" s="3" t="n"/>
      <c r="S1555" s="3" t="n"/>
      <c r="T1555" s="3" t="n"/>
      <c r="U1555" s="3" t="n"/>
      <c r="V1555" s="3" t="n"/>
      <c r="W1555" s="3" t="n"/>
      <c r="X1555" s="3" t="n"/>
      <c r="Y1555" s="3" t="n"/>
      <c r="Z1555" s="3" t="n"/>
      <c r="AA1555" s="3" t="n"/>
    </row>
    <row r="1556">
      <c r="A1556" s="105" t="n"/>
      <c r="B1556" s="105" t="n"/>
      <c r="C1556" s="3" t="n"/>
      <c r="D1556" s="3" t="n"/>
      <c r="E1556" s="3" t="n"/>
      <c r="F1556" s="3" t="n"/>
      <c r="G1556" s="3" t="n"/>
      <c r="H1556" s="3" t="inlineStr"/>
      <c r="I1556" s="3" t="n"/>
      <c r="J1556" s="3" t="n"/>
      <c r="K1556" s="3" t="n"/>
      <c r="L1556" s="3" t="inlineStr"/>
      <c r="M1556" s="3" t="n"/>
      <c r="N1556" s="3" t="inlineStr"/>
      <c r="O1556" s="3" t="n"/>
      <c r="P1556" s="3" t="n"/>
      <c r="Q1556" s="3" t="n"/>
      <c r="R1556" s="3" t="n"/>
      <c r="S1556" s="3" t="n"/>
      <c r="T1556" s="3" t="n"/>
      <c r="U1556" s="3" t="n"/>
      <c r="V1556" s="3" t="n"/>
      <c r="W1556" s="3" t="n"/>
      <c r="X1556" s="3" t="n"/>
      <c r="Y1556" s="3" t="n"/>
      <c r="Z1556" s="3" t="n"/>
      <c r="AA1556" s="3" t="n"/>
    </row>
    <row r="1557">
      <c r="A1557" s="105" t="n"/>
      <c r="B1557" s="105" t="n"/>
      <c r="C1557" s="3" t="n"/>
      <c r="D1557" s="3" t="n"/>
      <c r="E1557" s="3" t="n"/>
      <c r="F1557" s="3" t="n"/>
      <c r="G1557" s="3" t="n"/>
      <c r="H1557" s="3" t="inlineStr"/>
      <c r="I1557" s="3" t="n"/>
      <c r="J1557" s="3" t="n"/>
      <c r="K1557" s="3" t="n"/>
      <c r="L1557" s="3" t="inlineStr"/>
      <c r="M1557" s="3" t="n"/>
      <c r="N1557" s="3" t="inlineStr"/>
      <c r="O1557" s="3" t="n"/>
      <c r="P1557" s="3" t="n"/>
      <c r="Q1557" s="3" t="n"/>
      <c r="R1557" s="3" t="n"/>
      <c r="S1557" s="3" t="n"/>
      <c r="T1557" s="3" t="n"/>
      <c r="U1557" s="3" t="n"/>
      <c r="V1557" s="3" t="n"/>
      <c r="W1557" s="3" t="n"/>
      <c r="X1557" s="3" t="n"/>
      <c r="Y1557" s="3" t="n"/>
      <c r="Z1557" s="3" t="n"/>
      <c r="AA1557" s="3" t="n"/>
    </row>
    <row r="1558">
      <c r="A1558" s="105" t="n"/>
      <c r="B1558" s="105" t="n"/>
      <c r="C1558" s="3" t="n"/>
      <c r="D1558" s="3" t="n"/>
      <c r="E1558" s="3" t="n"/>
      <c r="F1558" s="3" t="n"/>
      <c r="G1558" s="3" t="n"/>
      <c r="H1558" s="3" t="inlineStr"/>
      <c r="I1558" s="3" t="n"/>
      <c r="J1558" s="3" t="n"/>
      <c r="K1558" s="3" t="n"/>
      <c r="L1558" s="3" t="inlineStr"/>
      <c r="M1558" s="3" t="n"/>
      <c r="N1558" s="3" t="inlineStr"/>
      <c r="O1558" s="3" t="n"/>
      <c r="P1558" s="3" t="n"/>
      <c r="Q1558" s="3" t="n"/>
      <c r="R1558" s="3" t="n"/>
      <c r="S1558" s="3" t="n"/>
      <c r="T1558" s="3" t="n"/>
      <c r="U1558" s="3" t="n"/>
      <c r="V1558" s="3" t="n"/>
      <c r="W1558" s="3" t="n"/>
      <c r="X1558" s="3" t="n"/>
      <c r="Y1558" s="3" t="n"/>
      <c r="Z1558" s="3" t="n"/>
      <c r="AA1558" s="3" t="n"/>
    </row>
    <row r="1559">
      <c r="A1559" s="105" t="n"/>
      <c r="B1559" s="105" t="n"/>
      <c r="C1559" s="3" t="n"/>
      <c r="D1559" s="3" t="n"/>
      <c r="E1559" s="3" t="n"/>
      <c r="F1559" s="3" t="n"/>
      <c r="G1559" s="3" t="n"/>
      <c r="H1559" s="3" t="inlineStr"/>
      <c r="I1559" s="3" t="n"/>
      <c r="J1559" s="3" t="n"/>
      <c r="K1559" s="3" t="n"/>
      <c r="L1559" s="3" t="inlineStr"/>
      <c r="M1559" s="3" t="n"/>
      <c r="N1559" s="3" t="inlineStr"/>
      <c r="O1559" s="3" t="n"/>
      <c r="P1559" s="3" t="n"/>
      <c r="Q1559" s="3" t="n"/>
      <c r="R1559" s="3" t="n"/>
      <c r="S1559" s="3" t="n"/>
      <c r="T1559" s="3" t="n"/>
      <c r="U1559" s="3" t="n"/>
      <c r="V1559" s="3" t="n"/>
      <c r="W1559" s="3" t="n"/>
      <c r="X1559" s="3" t="n"/>
      <c r="Y1559" s="3" t="n"/>
      <c r="Z1559" s="3" t="n"/>
      <c r="AA1559" s="3" t="n"/>
    </row>
    <row r="1560">
      <c r="A1560" s="105" t="n"/>
      <c r="B1560" s="105" t="n"/>
      <c r="C1560" s="3" t="n"/>
      <c r="D1560" s="3" t="n"/>
      <c r="E1560" s="3" t="n"/>
      <c r="F1560" s="3" t="n"/>
      <c r="G1560" s="3" t="n"/>
      <c r="H1560" s="3" t="inlineStr"/>
      <c r="I1560" s="3" t="n"/>
      <c r="J1560" s="3" t="n"/>
      <c r="K1560" s="3" t="n"/>
      <c r="L1560" s="3" t="inlineStr"/>
      <c r="M1560" s="3" t="n"/>
      <c r="N1560" s="3" t="inlineStr"/>
      <c r="O1560" s="3" t="n"/>
      <c r="P1560" s="3" t="n"/>
      <c r="Q1560" s="3" t="n"/>
      <c r="R1560" s="3" t="n"/>
      <c r="S1560" s="3" t="n"/>
      <c r="T1560" s="3" t="n"/>
      <c r="U1560" s="3" t="n"/>
      <c r="V1560" s="3" t="n"/>
      <c r="W1560" s="3" t="n"/>
      <c r="X1560" s="3" t="n"/>
      <c r="Y1560" s="3" t="n"/>
      <c r="Z1560" s="3" t="n"/>
      <c r="AA1560" s="3" t="n"/>
    </row>
    <row r="1561">
      <c r="A1561" s="105" t="n"/>
      <c r="B1561" s="105" t="n"/>
      <c r="C1561" s="3" t="n"/>
      <c r="D1561" s="3" t="n"/>
      <c r="E1561" s="3" t="n"/>
      <c r="F1561" s="3" t="n"/>
      <c r="G1561" s="3" t="n"/>
      <c r="H1561" s="3" t="inlineStr"/>
      <c r="I1561" s="3" t="n"/>
      <c r="J1561" s="3" t="n"/>
      <c r="K1561" s="3" t="n"/>
      <c r="L1561" s="3" t="inlineStr"/>
      <c r="M1561" s="3" t="n"/>
      <c r="N1561" s="3" t="inlineStr"/>
      <c r="O1561" s="3" t="n"/>
      <c r="P1561" s="3" t="n"/>
      <c r="Q1561" s="3" t="n"/>
      <c r="R1561" s="3" t="n"/>
      <c r="S1561" s="3" t="n"/>
      <c r="T1561" s="3" t="n"/>
      <c r="U1561" s="3" t="n"/>
      <c r="V1561" s="3" t="n"/>
      <c r="W1561" s="3" t="n"/>
      <c r="X1561" s="3" t="n"/>
      <c r="Y1561" s="3" t="n"/>
      <c r="Z1561" s="3" t="n"/>
      <c r="AA1561" s="3" t="n"/>
    </row>
    <row r="1562">
      <c r="A1562" s="105" t="n"/>
      <c r="B1562" s="105" t="n"/>
      <c r="C1562" s="3" t="n"/>
      <c r="D1562" s="3" t="n"/>
      <c r="E1562" s="3" t="n"/>
      <c r="F1562" s="3" t="n"/>
      <c r="G1562" s="3" t="n"/>
      <c r="H1562" s="3" t="inlineStr"/>
      <c r="I1562" s="3" t="n"/>
      <c r="J1562" s="3" t="n"/>
      <c r="K1562" s="3" t="n"/>
      <c r="L1562" s="3" t="inlineStr"/>
      <c r="M1562" s="3" t="n"/>
      <c r="N1562" s="3" t="inlineStr"/>
      <c r="O1562" s="3" t="n"/>
      <c r="P1562" s="3" t="n"/>
      <c r="Q1562" s="3" t="n"/>
      <c r="R1562" s="3" t="n"/>
      <c r="S1562" s="3" t="n"/>
      <c r="T1562" s="3" t="n"/>
      <c r="U1562" s="3" t="n"/>
      <c r="V1562" s="3" t="n"/>
      <c r="W1562" s="3" t="n"/>
      <c r="X1562" s="3" t="n"/>
      <c r="Y1562" s="3" t="n"/>
      <c r="Z1562" s="3" t="n"/>
      <c r="AA1562" s="3" t="n"/>
    </row>
    <row r="1563">
      <c r="A1563" s="105" t="n"/>
      <c r="B1563" s="105" t="n"/>
      <c r="C1563" s="3" t="n"/>
      <c r="D1563" s="3" t="n"/>
      <c r="E1563" s="3" t="n"/>
      <c r="F1563" s="3" t="n"/>
      <c r="G1563" s="3" t="n"/>
      <c r="H1563" s="3" t="inlineStr"/>
      <c r="I1563" s="3" t="n"/>
      <c r="J1563" s="3" t="n"/>
      <c r="K1563" s="3" t="n"/>
      <c r="L1563" s="3" t="inlineStr"/>
      <c r="M1563" s="3" t="n"/>
      <c r="N1563" s="3" t="inlineStr"/>
      <c r="O1563" s="3" t="n"/>
      <c r="P1563" s="3" t="n"/>
      <c r="Q1563" s="3" t="n"/>
      <c r="R1563" s="3" t="n"/>
      <c r="S1563" s="3" t="n"/>
      <c r="T1563" s="3" t="n"/>
      <c r="U1563" s="3" t="n"/>
      <c r="V1563" s="3" t="n"/>
      <c r="W1563" s="3" t="n"/>
      <c r="X1563" s="3" t="n"/>
      <c r="Y1563" s="3" t="n"/>
      <c r="Z1563" s="3" t="n"/>
      <c r="AA1563" s="3" t="n"/>
    </row>
    <row r="1564">
      <c r="A1564" s="105" t="n"/>
      <c r="B1564" s="105" t="n"/>
      <c r="C1564" s="3" t="n"/>
      <c r="D1564" s="3" t="n"/>
      <c r="E1564" s="3" t="n"/>
      <c r="F1564" s="3" t="n"/>
      <c r="G1564" s="3" t="n"/>
      <c r="H1564" s="3" t="inlineStr"/>
      <c r="I1564" s="3" t="n"/>
      <c r="J1564" s="3" t="n"/>
      <c r="K1564" s="3" t="n"/>
      <c r="L1564" s="3" t="inlineStr"/>
      <c r="M1564" s="3" t="n"/>
      <c r="N1564" s="3" t="inlineStr"/>
      <c r="O1564" s="3" t="n"/>
      <c r="P1564" s="3" t="n"/>
      <c r="Q1564" s="3" t="n"/>
      <c r="R1564" s="3" t="n"/>
      <c r="S1564" s="3" t="n"/>
      <c r="T1564" s="3" t="n"/>
      <c r="U1564" s="3" t="n"/>
      <c r="V1564" s="3" t="n"/>
      <c r="W1564" s="3" t="n"/>
      <c r="X1564" s="3" t="n"/>
      <c r="Y1564" s="3" t="n"/>
      <c r="Z1564" s="3" t="n"/>
      <c r="AA1564" s="3" t="n"/>
    </row>
    <row r="1565">
      <c r="A1565" s="105" t="n"/>
      <c r="B1565" s="105" t="n"/>
      <c r="C1565" s="3" t="n"/>
      <c r="D1565" s="3" t="n"/>
      <c r="E1565" s="3" t="n"/>
      <c r="F1565" s="3" t="n"/>
      <c r="G1565" s="3" t="n"/>
      <c r="H1565" s="3" t="inlineStr"/>
      <c r="I1565" s="3" t="n"/>
      <c r="J1565" s="3" t="n"/>
      <c r="K1565" s="3" t="n"/>
      <c r="L1565" s="3" t="inlineStr"/>
      <c r="M1565" s="3" t="n"/>
      <c r="N1565" s="3" t="inlineStr"/>
      <c r="O1565" s="3" t="n"/>
      <c r="P1565" s="3" t="n"/>
      <c r="Q1565" s="3" t="n"/>
      <c r="R1565" s="3" t="n"/>
      <c r="S1565" s="3" t="n"/>
      <c r="T1565" s="3" t="n"/>
      <c r="U1565" s="3" t="n"/>
      <c r="V1565" s="3" t="n"/>
      <c r="W1565" s="3" t="n"/>
      <c r="X1565" s="3" t="n"/>
      <c r="Y1565" s="3" t="n"/>
      <c r="Z1565" s="3" t="n"/>
      <c r="AA1565" s="3" t="n"/>
    </row>
    <row r="1566">
      <c r="A1566" s="105" t="n"/>
      <c r="B1566" s="105" t="n"/>
      <c r="C1566" s="3" t="n"/>
      <c r="D1566" s="3" t="n"/>
      <c r="E1566" s="3" t="n"/>
      <c r="F1566" s="3" t="n"/>
      <c r="G1566" s="3" t="n"/>
      <c r="H1566" s="3" t="inlineStr"/>
      <c r="I1566" s="3" t="n"/>
      <c r="J1566" s="3" t="n"/>
      <c r="K1566" s="3" t="n"/>
      <c r="L1566" s="3" t="inlineStr"/>
      <c r="M1566" s="3" t="n"/>
      <c r="N1566" s="3" t="inlineStr"/>
      <c r="O1566" s="3" t="n"/>
      <c r="P1566" s="3" t="n"/>
      <c r="Q1566" s="3" t="n"/>
      <c r="R1566" s="3" t="n"/>
      <c r="S1566" s="3" t="n"/>
      <c r="T1566" s="3" t="n"/>
      <c r="U1566" s="3" t="n"/>
      <c r="V1566" s="3" t="n"/>
      <c r="W1566" s="3" t="n"/>
      <c r="X1566" s="3" t="n"/>
      <c r="Y1566" s="3" t="n"/>
      <c r="Z1566" s="3" t="n"/>
      <c r="AA1566" s="3" t="n"/>
    </row>
    <row r="1567">
      <c r="A1567" s="105" t="n"/>
      <c r="B1567" s="105" t="n"/>
      <c r="C1567" s="3" t="n"/>
      <c r="D1567" s="3" t="n"/>
      <c r="E1567" s="3" t="n"/>
      <c r="F1567" s="3" t="n"/>
      <c r="G1567" s="3" t="n"/>
      <c r="H1567" s="3" t="inlineStr"/>
      <c r="I1567" s="3" t="n"/>
      <c r="J1567" s="3" t="n"/>
      <c r="K1567" s="3" t="n"/>
      <c r="L1567" s="3" t="inlineStr"/>
      <c r="M1567" s="3" t="n"/>
      <c r="N1567" s="3" t="inlineStr"/>
      <c r="O1567" s="3" t="n"/>
      <c r="P1567" s="3" t="n"/>
      <c r="Q1567" s="3" t="n"/>
      <c r="R1567" s="3" t="n"/>
      <c r="S1567" s="3" t="n"/>
      <c r="T1567" s="3" t="n"/>
      <c r="U1567" s="3" t="n"/>
      <c r="V1567" s="3" t="n"/>
      <c r="W1567" s="3" t="n"/>
      <c r="X1567" s="3" t="n"/>
      <c r="Y1567" s="3" t="n"/>
      <c r="Z1567" s="3" t="n"/>
      <c r="AA1567" s="3" t="n"/>
    </row>
    <row r="1568">
      <c r="A1568" s="105" t="n"/>
      <c r="B1568" s="105" t="n"/>
      <c r="C1568" s="3" t="n"/>
      <c r="D1568" s="3" t="n"/>
      <c r="E1568" s="3" t="n"/>
      <c r="F1568" s="3" t="n"/>
      <c r="G1568" s="3" t="n"/>
      <c r="H1568" s="3" t="inlineStr"/>
      <c r="I1568" s="3" t="n"/>
      <c r="J1568" s="3" t="n"/>
      <c r="K1568" s="3" t="n"/>
      <c r="L1568" s="3" t="inlineStr"/>
      <c r="M1568" s="3" t="n"/>
      <c r="N1568" s="3" t="inlineStr"/>
      <c r="O1568" s="3" t="n"/>
      <c r="P1568" s="3" t="n"/>
      <c r="Q1568" s="3" t="n"/>
      <c r="R1568" s="3" t="n"/>
      <c r="S1568" s="3" t="n"/>
      <c r="T1568" s="3" t="n"/>
      <c r="U1568" s="3" t="n"/>
      <c r="V1568" s="3" t="n"/>
      <c r="W1568" s="3" t="n"/>
      <c r="X1568" s="3" t="n"/>
      <c r="Y1568" s="3" t="n"/>
      <c r="Z1568" s="3" t="n"/>
      <c r="AA1568" s="3" t="n"/>
    </row>
    <row r="1569">
      <c r="A1569" s="105" t="n"/>
      <c r="B1569" s="105" t="n"/>
      <c r="C1569" s="3" t="n"/>
      <c r="D1569" s="3" t="n"/>
      <c r="E1569" s="3" t="n"/>
      <c r="F1569" s="3" t="n"/>
      <c r="G1569" s="3" t="n"/>
      <c r="H1569" s="3" t="inlineStr"/>
      <c r="I1569" s="3" t="n"/>
      <c r="J1569" s="3" t="n"/>
      <c r="K1569" s="3" t="n"/>
      <c r="L1569" s="3" t="inlineStr"/>
      <c r="M1569" s="3" t="n"/>
      <c r="N1569" s="3" t="inlineStr"/>
      <c r="O1569" s="3" t="n"/>
      <c r="P1569" s="3" t="n"/>
      <c r="Q1569" s="3" t="n"/>
      <c r="R1569" s="3" t="n"/>
      <c r="S1569" s="3" t="n"/>
      <c r="T1569" s="3" t="n"/>
      <c r="U1569" s="3" t="n"/>
      <c r="V1569" s="3" t="n"/>
      <c r="W1569" s="3" t="n"/>
      <c r="X1569" s="3" t="n"/>
      <c r="Y1569" s="3" t="n"/>
      <c r="Z1569" s="3" t="n"/>
      <c r="AA1569" s="3" t="n"/>
    </row>
    <row r="1570">
      <c r="A1570" s="105" t="n"/>
      <c r="B1570" s="105" t="n"/>
      <c r="C1570" s="3" t="n"/>
      <c r="D1570" s="3" t="n"/>
      <c r="E1570" s="3" t="n"/>
      <c r="F1570" s="3" t="n"/>
      <c r="G1570" s="3" t="n"/>
      <c r="H1570" s="3" t="inlineStr"/>
      <c r="I1570" s="3" t="n"/>
      <c r="J1570" s="3" t="n"/>
      <c r="K1570" s="3" t="n"/>
      <c r="L1570" s="3" t="inlineStr"/>
      <c r="M1570" s="3" t="n"/>
      <c r="N1570" s="3" t="inlineStr"/>
      <c r="O1570" s="3" t="n"/>
      <c r="P1570" s="3" t="n"/>
      <c r="Q1570" s="3" t="n"/>
      <c r="R1570" s="3" t="n"/>
      <c r="S1570" s="3" t="n"/>
      <c r="T1570" s="3" t="n"/>
      <c r="U1570" s="3" t="n"/>
      <c r="V1570" s="3" t="n"/>
      <c r="W1570" s="3" t="n"/>
      <c r="X1570" s="3" t="n"/>
      <c r="Y1570" s="3" t="n"/>
      <c r="Z1570" s="3" t="n"/>
      <c r="AA1570" s="3" t="n"/>
    </row>
    <row r="1571">
      <c r="A1571" s="105" t="n"/>
      <c r="B1571" s="105" t="n"/>
      <c r="C1571" s="3" t="n"/>
      <c r="D1571" s="3" t="n"/>
      <c r="E1571" s="3" t="n"/>
      <c r="F1571" s="3" t="n"/>
      <c r="G1571" s="3" t="n"/>
      <c r="H1571" s="3" t="inlineStr"/>
      <c r="I1571" s="3" t="n"/>
      <c r="J1571" s="3" t="n"/>
      <c r="K1571" s="3" t="n"/>
      <c r="L1571" s="3" t="inlineStr"/>
      <c r="M1571" s="3" t="n"/>
      <c r="N1571" s="3" t="inlineStr"/>
      <c r="O1571" s="3" t="n"/>
      <c r="P1571" s="3" t="n"/>
      <c r="Q1571" s="3" t="n"/>
      <c r="R1571" s="3" t="n"/>
      <c r="S1571" s="3" t="n"/>
      <c r="T1571" s="3" t="n"/>
      <c r="U1571" s="3" t="n"/>
      <c r="V1571" s="3" t="n"/>
      <c r="W1571" s="3" t="n"/>
      <c r="X1571" s="3" t="n"/>
      <c r="Y1571" s="3" t="n"/>
      <c r="Z1571" s="3" t="n"/>
      <c r="AA1571" s="3" t="n"/>
    </row>
    <row r="1572">
      <c r="A1572" s="105" t="n"/>
      <c r="B1572" s="105" t="n"/>
      <c r="C1572" s="3" t="n"/>
      <c r="D1572" s="3" t="n"/>
      <c r="E1572" s="3" t="n"/>
      <c r="F1572" s="3" t="n"/>
      <c r="G1572" s="3" t="n"/>
      <c r="H1572" s="3" t="inlineStr"/>
      <c r="I1572" s="3" t="n"/>
      <c r="J1572" s="3" t="n"/>
      <c r="K1572" s="3" t="n"/>
      <c r="L1572" s="3" t="inlineStr"/>
      <c r="M1572" s="3" t="n"/>
      <c r="N1572" s="3" t="inlineStr"/>
      <c r="O1572" s="3" t="n"/>
      <c r="P1572" s="3" t="n"/>
      <c r="Q1572" s="3" t="n"/>
      <c r="R1572" s="3" t="n"/>
      <c r="S1572" s="3" t="n"/>
      <c r="T1572" s="3" t="n"/>
      <c r="U1572" s="3" t="n"/>
      <c r="V1572" s="3" t="n"/>
      <c r="W1572" s="3" t="n"/>
      <c r="X1572" s="3" t="n"/>
      <c r="Y1572" s="3" t="n"/>
      <c r="Z1572" s="3" t="n"/>
      <c r="AA1572" s="3" t="n"/>
    </row>
    <row r="1573">
      <c r="A1573" s="105" t="n"/>
      <c r="B1573" s="105" t="n"/>
      <c r="C1573" s="3" t="n"/>
      <c r="D1573" s="3" t="n"/>
      <c r="E1573" s="3" t="n"/>
      <c r="F1573" s="3" t="n"/>
      <c r="G1573" s="3" t="n"/>
      <c r="H1573" s="3" t="inlineStr"/>
      <c r="I1573" s="3" t="n"/>
      <c r="J1573" s="3" t="n"/>
      <c r="K1573" s="3" t="n"/>
      <c r="L1573" s="3" t="inlineStr"/>
      <c r="M1573" s="3" t="n"/>
      <c r="N1573" s="3" t="inlineStr"/>
      <c r="O1573" s="3" t="n"/>
      <c r="P1573" s="3" t="n"/>
      <c r="Q1573" s="3" t="n"/>
      <c r="R1573" s="3" t="n"/>
      <c r="S1573" s="3" t="n"/>
      <c r="T1573" s="3" t="n"/>
      <c r="U1573" s="3" t="n"/>
      <c r="V1573" s="3" t="n"/>
      <c r="W1573" s="3" t="n"/>
      <c r="X1573" s="3" t="n"/>
      <c r="Y1573" s="3" t="n"/>
      <c r="Z1573" s="3" t="n"/>
      <c r="AA1573" s="3" t="n"/>
    </row>
    <row r="1574">
      <c r="A1574" s="105" t="n"/>
      <c r="B1574" s="105" t="n"/>
      <c r="C1574" s="3" t="n"/>
      <c r="D1574" s="3" t="n"/>
      <c r="E1574" s="3" t="n"/>
      <c r="F1574" s="3" t="n"/>
      <c r="G1574" s="3" t="n"/>
      <c r="H1574" s="3" t="inlineStr"/>
      <c r="I1574" s="3" t="n"/>
      <c r="J1574" s="3" t="n"/>
      <c r="K1574" s="3" t="n"/>
      <c r="L1574" s="3" t="inlineStr"/>
      <c r="M1574" s="3" t="n"/>
      <c r="N1574" s="3" t="inlineStr"/>
      <c r="O1574" s="3" t="n"/>
      <c r="P1574" s="3" t="n"/>
      <c r="Q1574" s="3" t="n"/>
      <c r="R1574" s="3" t="n"/>
      <c r="S1574" s="3" t="n"/>
      <c r="T1574" s="3" t="n"/>
      <c r="U1574" s="3" t="n"/>
      <c r="V1574" s="3" t="n"/>
      <c r="W1574" s="3" t="n"/>
      <c r="X1574" s="3" t="n"/>
      <c r="Y1574" s="3" t="n"/>
      <c r="Z1574" s="3" t="n"/>
      <c r="AA1574" s="3" t="n"/>
    </row>
    <row r="1575">
      <c r="A1575" s="105" t="n"/>
      <c r="B1575" s="105" t="n"/>
      <c r="C1575" s="3" t="n"/>
      <c r="D1575" s="3" t="n"/>
      <c r="E1575" s="3" t="n"/>
      <c r="F1575" s="3" t="n"/>
      <c r="G1575" s="3" t="n"/>
      <c r="H1575" s="3" t="inlineStr"/>
      <c r="I1575" s="3" t="n"/>
      <c r="J1575" s="3" t="n"/>
      <c r="K1575" s="3" t="n"/>
      <c r="L1575" s="3" t="inlineStr"/>
      <c r="M1575" s="3" t="n"/>
      <c r="N1575" s="3" t="inlineStr"/>
      <c r="O1575" s="3" t="n"/>
      <c r="P1575" s="3" t="n"/>
      <c r="Q1575" s="3" t="n"/>
      <c r="R1575" s="3" t="n"/>
      <c r="S1575" s="3" t="n"/>
      <c r="T1575" s="3" t="n"/>
      <c r="U1575" s="3" t="n"/>
      <c r="V1575" s="3" t="n"/>
      <c r="W1575" s="3" t="n"/>
      <c r="X1575" s="3" t="n"/>
      <c r="Y1575" s="3" t="n"/>
      <c r="Z1575" s="3" t="n"/>
      <c r="AA1575" s="3" t="n"/>
    </row>
    <row r="1576">
      <c r="A1576" s="105" t="n"/>
      <c r="B1576" s="105" t="n"/>
      <c r="C1576" s="3" t="n"/>
      <c r="D1576" s="3" t="n"/>
      <c r="E1576" s="3" t="n"/>
      <c r="F1576" s="3" t="n"/>
      <c r="G1576" s="3" t="n"/>
      <c r="H1576" s="3" t="inlineStr"/>
      <c r="I1576" s="3" t="n"/>
      <c r="J1576" s="3" t="n"/>
      <c r="K1576" s="3" t="n"/>
      <c r="L1576" s="3" t="inlineStr"/>
      <c r="M1576" s="3" t="n"/>
      <c r="N1576" s="3" t="inlineStr"/>
      <c r="O1576" s="3" t="n"/>
      <c r="P1576" s="3" t="n"/>
      <c r="Q1576" s="3" t="n"/>
      <c r="R1576" s="3" t="n"/>
      <c r="S1576" s="3" t="n"/>
      <c r="T1576" s="3" t="n"/>
      <c r="U1576" s="3" t="n"/>
      <c r="V1576" s="3" t="n"/>
      <c r="W1576" s="3" t="n"/>
      <c r="X1576" s="3" t="n"/>
      <c r="Y1576" s="3" t="n"/>
      <c r="Z1576" s="3" t="n"/>
      <c r="AA1576" s="3" t="n"/>
    </row>
    <row r="1577">
      <c r="A1577" s="105" t="n"/>
      <c r="B1577" s="105" t="n"/>
      <c r="C1577" s="3" t="n"/>
      <c r="D1577" s="3" t="n"/>
      <c r="E1577" s="3" t="n"/>
      <c r="F1577" s="3" t="n"/>
      <c r="G1577" s="3" t="n"/>
      <c r="H1577" s="3" t="inlineStr"/>
      <c r="I1577" s="3" t="n"/>
      <c r="J1577" s="3" t="n"/>
      <c r="K1577" s="3" t="n"/>
      <c r="L1577" s="3" t="inlineStr"/>
      <c r="M1577" s="3" t="n"/>
      <c r="N1577" s="3" t="inlineStr"/>
      <c r="O1577" s="3" t="n"/>
      <c r="P1577" s="3" t="n"/>
      <c r="Q1577" s="3" t="n"/>
      <c r="R1577" s="3" t="n"/>
      <c r="S1577" s="3" t="n"/>
      <c r="T1577" s="3" t="n"/>
      <c r="U1577" s="3" t="n"/>
      <c r="V1577" s="3" t="n"/>
      <c r="W1577" s="3" t="n"/>
      <c r="X1577" s="3" t="n"/>
      <c r="Y1577" s="3" t="n"/>
      <c r="Z1577" s="3" t="n"/>
      <c r="AA1577" s="3" t="n"/>
    </row>
    <row r="1578">
      <c r="A1578" s="105" t="n"/>
      <c r="B1578" s="105" t="n"/>
      <c r="C1578" s="3" t="n"/>
      <c r="D1578" s="3" t="n"/>
      <c r="E1578" s="3" t="n"/>
      <c r="F1578" s="3" t="n"/>
      <c r="G1578" s="3" t="n"/>
      <c r="H1578" s="3" t="inlineStr"/>
      <c r="I1578" s="3" t="n"/>
      <c r="J1578" s="3" t="n"/>
      <c r="K1578" s="3" t="n"/>
      <c r="L1578" s="3" t="inlineStr"/>
      <c r="M1578" s="3" t="n"/>
      <c r="N1578" s="3" t="inlineStr"/>
      <c r="O1578" s="3" t="n"/>
      <c r="P1578" s="3" t="n"/>
      <c r="Q1578" s="3" t="n"/>
      <c r="R1578" s="3" t="n"/>
      <c r="S1578" s="3" t="n"/>
      <c r="T1578" s="3" t="n"/>
      <c r="U1578" s="3" t="n"/>
      <c r="V1578" s="3" t="n"/>
      <c r="W1578" s="3" t="n"/>
      <c r="X1578" s="3" t="n"/>
      <c r="Y1578" s="3" t="n"/>
      <c r="Z1578" s="3" t="n"/>
      <c r="AA1578" s="3" t="n"/>
    </row>
    <row r="1579">
      <c r="A1579" s="105" t="n"/>
      <c r="B1579" s="105" t="n"/>
      <c r="C1579" s="3" t="n"/>
      <c r="D1579" s="3" t="n"/>
      <c r="E1579" s="3" t="n"/>
      <c r="F1579" s="3" t="n"/>
      <c r="G1579" s="3" t="n"/>
      <c r="H1579" s="3" t="inlineStr"/>
      <c r="I1579" s="3" t="n"/>
      <c r="J1579" s="3" t="n"/>
      <c r="K1579" s="3" t="n"/>
      <c r="L1579" s="3" t="inlineStr"/>
      <c r="M1579" s="3" t="n"/>
      <c r="N1579" s="3" t="inlineStr"/>
      <c r="O1579" s="3" t="n"/>
      <c r="P1579" s="3" t="n"/>
      <c r="Q1579" s="3" t="n"/>
      <c r="R1579" s="3" t="n"/>
      <c r="S1579" s="3" t="n"/>
      <c r="T1579" s="3" t="n"/>
      <c r="U1579" s="3" t="n"/>
      <c r="V1579" s="3" t="n"/>
      <c r="W1579" s="3" t="n"/>
      <c r="X1579" s="3" t="n"/>
      <c r="Y1579" s="3" t="n"/>
      <c r="Z1579" s="3" t="n"/>
      <c r="AA1579" s="3" t="n"/>
    </row>
    <row r="1580">
      <c r="A1580" s="105" t="n"/>
      <c r="B1580" s="105" t="n"/>
      <c r="C1580" s="3" t="n"/>
      <c r="D1580" s="3" t="n"/>
      <c r="E1580" s="3" t="n"/>
      <c r="F1580" s="3" t="n"/>
      <c r="G1580" s="3" t="n"/>
      <c r="H1580" s="3" t="inlineStr"/>
      <c r="I1580" s="3" t="n"/>
      <c r="J1580" s="3" t="n"/>
      <c r="K1580" s="3" t="n"/>
      <c r="L1580" s="3" t="inlineStr"/>
      <c r="M1580" s="3" t="n"/>
      <c r="N1580" s="3" t="inlineStr"/>
      <c r="O1580" s="3" t="n"/>
      <c r="P1580" s="3" t="n"/>
      <c r="Q1580" s="3" t="n"/>
      <c r="R1580" s="3" t="n"/>
      <c r="S1580" s="3" t="n"/>
      <c r="T1580" s="3" t="n"/>
      <c r="U1580" s="3" t="n"/>
      <c r="V1580" s="3" t="n"/>
      <c r="W1580" s="3" t="n"/>
      <c r="X1580" s="3" t="n"/>
      <c r="Y1580" s="3" t="n"/>
      <c r="Z1580" s="3" t="n"/>
      <c r="AA1580" s="3" t="n"/>
    </row>
    <row r="1581">
      <c r="A1581" s="105" t="n"/>
      <c r="B1581" s="105" t="n"/>
      <c r="C1581" s="3" t="n"/>
      <c r="D1581" s="3" t="n"/>
      <c r="E1581" s="3" t="n"/>
      <c r="F1581" s="3" t="n"/>
      <c r="G1581" s="3" t="n"/>
      <c r="H1581" s="3" t="inlineStr"/>
      <c r="I1581" s="3" t="n"/>
      <c r="J1581" s="3" t="n"/>
      <c r="K1581" s="3" t="n"/>
      <c r="L1581" s="3" t="inlineStr"/>
      <c r="M1581" s="3" t="n"/>
      <c r="N1581" s="3" t="inlineStr"/>
      <c r="O1581" s="3" t="n"/>
      <c r="P1581" s="3" t="n"/>
      <c r="Q1581" s="3" t="n"/>
      <c r="R1581" s="3" t="n"/>
      <c r="S1581" s="3" t="n"/>
      <c r="T1581" s="3" t="n"/>
      <c r="U1581" s="3" t="n"/>
      <c r="V1581" s="3" t="n"/>
      <c r="W1581" s="3" t="n"/>
      <c r="X1581" s="3" t="n"/>
      <c r="Y1581" s="3" t="n"/>
      <c r="Z1581" s="3" t="n"/>
      <c r="AA1581" s="3" t="n"/>
    </row>
    <row r="1582">
      <c r="A1582" s="105" t="n"/>
      <c r="B1582" s="105" t="n"/>
      <c r="C1582" s="3" t="n"/>
      <c r="D1582" s="3" t="n"/>
      <c r="E1582" s="3" t="n"/>
      <c r="F1582" s="3" t="n"/>
      <c r="G1582" s="3" t="n"/>
      <c r="H1582" s="3" t="inlineStr"/>
      <c r="I1582" s="3" t="n"/>
      <c r="J1582" s="3" t="n"/>
      <c r="K1582" s="3" t="n"/>
      <c r="L1582" s="3" t="inlineStr"/>
      <c r="M1582" s="3" t="n"/>
      <c r="N1582" s="3" t="inlineStr"/>
      <c r="O1582" s="3" t="n"/>
      <c r="P1582" s="3" t="n"/>
      <c r="Q1582" s="3" t="n"/>
      <c r="R1582" s="3" t="n"/>
      <c r="S1582" s="3" t="n"/>
      <c r="T1582" s="3" t="n"/>
      <c r="U1582" s="3" t="n"/>
      <c r="V1582" s="3" t="n"/>
      <c r="W1582" s="3" t="n"/>
      <c r="X1582" s="3" t="n"/>
      <c r="Y1582" s="3" t="n"/>
      <c r="Z1582" s="3" t="n"/>
      <c r="AA1582" s="3" t="n"/>
    </row>
    <row r="1583">
      <c r="A1583" s="105" t="n"/>
      <c r="B1583" s="105" t="n"/>
      <c r="C1583" s="3" t="n"/>
      <c r="D1583" s="3" t="n"/>
      <c r="E1583" s="3" t="n"/>
      <c r="F1583" s="3" t="n"/>
      <c r="G1583" s="3" t="n"/>
      <c r="H1583" s="3" t="inlineStr"/>
      <c r="I1583" s="3" t="n"/>
      <c r="J1583" s="3" t="n"/>
      <c r="K1583" s="3" t="n"/>
      <c r="L1583" s="3" t="inlineStr"/>
      <c r="M1583" s="3" t="n"/>
      <c r="N1583" s="3" t="inlineStr"/>
      <c r="O1583" s="3" t="n"/>
      <c r="P1583" s="3" t="n"/>
      <c r="Q1583" s="3" t="n"/>
      <c r="R1583" s="3" t="n"/>
      <c r="S1583" s="3" t="n"/>
      <c r="T1583" s="3" t="n"/>
      <c r="U1583" s="3" t="n"/>
      <c r="V1583" s="3" t="n"/>
      <c r="W1583" s="3" t="n"/>
      <c r="X1583" s="3" t="n"/>
      <c r="Y1583" s="3" t="n"/>
      <c r="Z1583" s="3" t="n"/>
      <c r="AA1583" s="3" t="n"/>
    </row>
    <row r="1584">
      <c r="A1584" s="105" t="n"/>
      <c r="B1584" s="105" t="n"/>
      <c r="C1584" s="3" t="n"/>
      <c r="D1584" s="3" t="n"/>
      <c r="E1584" s="3" t="n"/>
      <c r="F1584" s="3" t="n"/>
      <c r="G1584" s="3" t="n"/>
      <c r="H1584" s="3" t="inlineStr"/>
      <c r="I1584" s="3" t="n"/>
      <c r="J1584" s="3" t="n"/>
      <c r="K1584" s="3" t="n"/>
      <c r="L1584" s="3" t="inlineStr"/>
      <c r="M1584" s="3" t="n"/>
      <c r="N1584" s="3" t="inlineStr"/>
      <c r="O1584" s="3" t="n"/>
      <c r="P1584" s="3" t="n"/>
      <c r="Q1584" s="3" t="n"/>
      <c r="R1584" s="3" t="n"/>
      <c r="S1584" s="3" t="n"/>
      <c r="T1584" s="3" t="n"/>
      <c r="U1584" s="3" t="n"/>
      <c r="V1584" s="3" t="n"/>
      <c r="W1584" s="3" t="n"/>
      <c r="X1584" s="3" t="n"/>
      <c r="Y1584" s="3" t="n"/>
      <c r="Z1584" s="3" t="n"/>
      <c r="AA1584" s="3" t="n"/>
    </row>
    <row r="1585">
      <c r="A1585" s="105" t="n"/>
      <c r="B1585" s="105" t="n"/>
      <c r="C1585" s="3" t="n"/>
      <c r="D1585" s="3" t="n"/>
      <c r="E1585" s="3" t="n"/>
      <c r="F1585" s="3" t="n"/>
      <c r="G1585" s="3" t="n"/>
      <c r="H1585" s="3" t="inlineStr"/>
      <c r="I1585" s="3" t="n"/>
      <c r="J1585" s="3" t="n"/>
      <c r="K1585" s="3" t="n"/>
      <c r="L1585" s="3" t="inlineStr"/>
      <c r="M1585" s="3" t="n"/>
      <c r="N1585" s="3" t="inlineStr"/>
      <c r="O1585" s="3" t="n"/>
      <c r="P1585" s="3" t="n"/>
      <c r="Q1585" s="3" t="n"/>
      <c r="R1585" s="3" t="n"/>
      <c r="S1585" s="3" t="n"/>
      <c r="T1585" s="3" t="n"/>
      <c r="U1585" s="3" t="n"/>
      <c r="V1585" s="3" t="n"/>
      <c r="W1585" s="3" t="n"/>
      <c r="X1585" s="3" t="n"/>
      <c r="Y1585" s="3" t="n"/>
      <c r="Z1585" s="3" t="n"/>
      <c r="AA1585" s="3" t="n"/>
    </row>
    <row r="1586">
      <c r="A1586" s="105" t="n"/>
      <c r="B1586" s="105" t="n"/>
      <c r="C1586" s="3" t="n"/>
      <c r="D1586" s="3" t="n"/>
      <c r="E1586" s="3" t="n"/>
      <c r="F1586" s="3" t="n"/>
      <c r="G1586" s="3" t="n"/>
      <c r="H1586" s="3" t="inlineStr"/>
      <c r="I1586" s="3" t="n"/>
      <c r="J1586" s="3" t="n"/>
      <c r="K1586" s="3" t="n"/>
      <c r="L1586" s="3" t="inlineStr"/>
      <c r="M1586" s="3" t="n"/>
      <c r="N1586" s="3" t="inlineStr"/>
      <c r="O1586" s="3" t="n"/>
      <c r="P1586" s="3" t="n"/>
      <c r="Q1586" s="3" t="n"/>
      <c r="R1586" s="3" t="n"/>
      <c r="S1586" s="3" t="n"/>
      <c r="T1586" s="3" t="n"/>
      <c r="U1586" s="3" t="n"/>
      <c r="V1586" s="3" t="n"/>
      <c r="W1586" s="3" t="n"/>
      <c r="X1586" s="3" t="n"/>
      <c r="Y1586" s="3" t="n"/>
      <c r="Z1586" s="3" t="n"/>
      <c r="AA1586" s="3" t="n"/>
    </row>
    <row r="1587">
      <c r="A1587" s="105" t="n"/>
      <c r="B1587" s="105" t="n"/>
      <c r="C1587" s="3" t="n"/>
      <c r="D1587" s="3" t="n"/>
      <c r="E1587" s="3" t="n"/>
      <c r="F1587" s="3" t="n"/>
      <c r="G1587" s="3" t="n"/>
      <c r="H1587" s="3" t="inlineStr"/>
      <c r="I1587" s="3" t="n"/>
      <c r="J1587" s="3" t="n"/>
      <c r="K1587" s="3" t="n"/>
      <c r="L1587" s="3" t="inlineStr"/>
      <c r="M1587" s="3" t="n"/>
      <c r="N1587" s="3" t="inlineStr"/>
      <c r="O1587" s="3" t="n"/>
      <c r="P1587" s="3" t="n"/>
      <c r="Q1587" s="3" t="n"/>
      <c r="R1587" s="3" t="n"/>
      <c r="S1587" s="3" t="n"/>
      <c r="T1587" s="3" t="n"/>
      <c r="U1587" s="3" t="n"/>
      <c r="V1587" s="3" t="n"/>
      <c r="W1587" s="3" t="n"/>
      <c r="X1587" s="3" t="n"/>
      <c r="Y1587" s="3" t="n"/>
      <c r="Z1587" s="3" t="n"/>
      <c r="AA1587" s="3" t="n"/>
    </row>
    <row r="1588">
      <c r="A1588" s="105" t="n"/>
      <c r="B1588" s="105" t="n"/>
      <c r="C1588" s="3" t="n"/>
      <c r="D1588" s="3" t="n"/>
      <c r="E1588" s="3" t="n"/>
      <c r="F1588" s="3" t="n"/>
      <c r="G1588" s="3" t="n"/>
      <c r="H1588" s="3" t="inlineStr"/>
      <c r="I1588" s="3" t="n"/>
      <c r="J1588" s="3" t="n"/>
      <c r="K1588" s="3" t="n"/>
      <c r="L1588" s="3" t="inlineStr"/>
      <c r="M1588" s="3" t="n"/>
      <c r="N1588" s="3" t="inlineStr"/>
      <c r="O1588" s="3" t="n"/>
      <c r="P1588" s="3" t="n"/>
      <c r="Q1588" s="3" t="n"/>
      <c r="R1588" s="3" t="n"/>
      <c r="S1588" s="3" t="n"/>
      <c r="T1588" s="3" t="n"/>
      <c r="U1588" s="3" t="n"/>
      <c r="V1588" s="3" t="n"/>
      <c r="W1588" s="3" t="n"/>
      <c r="X1588" s="3" t="n"/>
      <c r="Y1588" s="3" t="n"/>
      <c r="Z1588" s="3" t="n"/>
      <c r="AA1588" s="3" t="n"/>
    </row>
    <row r="1589">
      <c r="A1589" s="105" t="n"/>
      <c r="B1589" s="105" t="n"/>
      <c r="C1589" s="3" t="n"/>
      <c r="D1589" s="3" t="n"/>
      <c r="E1589" s="3" t="n"/>
      <c r="F1589" s="3" t="n"/>
      <c r="G1589" s="3" t="n"/>
      <c r="H1589" s="3" t="inlineStr"/>
      <c r="I1589" s="3" t="n"/>
      <c r="J1589" s="3" t="n"/>
      <c r="K1589" s="3" t="n"/>
      <c r="L1589" s="3" t="inlineStr"/>
      <c r="M1589" s="3" t="n"/>
      <c r="N1589" s="3" t="inlineStr"/>
      <c r="O1589" s="3" t="n"/>
      <c r="P1589" s="3" t="n"/>
      <c r="Q1589" s="3" t="n"/>
      <c r="R1589" s="3" t="n"/>
      <c r="S1589" s="3" t="n"/>
      <c r="T1589" s="3" t="n"/>
      <c r="U1589" s="3" t="n"/>
      <c r="V1589" s="3" t="n"/>
      <c r="W1589" s="3" t="n"/>
      <c r="X1589" s="3" t="n"/>
      <c r="Y1589" s="3" t="n"/>
      <c r="Z1589" s="3" t="n"/>
      <c r="AA1589" s="3" t="n"/>
    </row>
    <row r="1590">
      <c r="A1590" s="105" t="n"/>
      <c r="B1590" s="105" t="n"/>
      <c r="C1590" s="3" t="n"/>
      <c r="D1590" s="3" t="n"/>
      <c r="E1590" s="3" t="n"/>
      <c r="F1590" s="3" t="n"/>
      <c r="G1590" s="3" t="n"/>
      <c r="H1590" s="3" t="inlineStr"/>
      <c r="I1590" s="3" t="n"/>
      <c r="J1590" s="3" t="n"/>
      <c r="K1590" s="3" t="n"/>
      <c r="L1590" s="3" t="inlineStr"/>
      <c r="M1590" s="3" t="n"/>
      <c r="N1590" s="3" t="inlineStr"/>
      <c r="O1590" s="3" t="n"/>
      <c r="P1590" s="3" t="n"/>
      <c r="Q1590" s="3" t="n"/>
      <c r="R1590" s="3" t="n"/>
      <c r="S1590" s="3" t="n"/>
      <c r="T1590" s="3" t="n"/>
      <c r="U1590" s="3" t="n"/>
      <c r="V1590" s="3" t="n"/>
      <c r="W1590" s="3" t="n"/>
      <c r="X1590" s="3" t="n"/>
      <c r="Y1590" s="3" t="n"/>
      <c r="Z1590" s="3" t="n"/>
      <c r="AA1590" s="3" t="n"/>
    </row>
    <row r="1591">
      <c r="A1591" s="105" t="n"/>
      <c r="B1591" s="105" t="n"/>
      <c r="C1591" s="3" t="n"/>
      <c r="D1591" s="3" t="n"/>
      <c r="E1591" s="3" t="n"/>
      <c r="F1591" s="3" t="n"/>
      <c r="G1591" s="3" t="n"/>
      <c r="H1591" s="3" t="inlineStr"/>
      <c r="I1591" s="3" t="n"/>
      <c r="J1591" s="3" t="n"/>
      <c r="K1591" s="3" t="n"/>
      <c r="L1591" s="3" t="inlineStr"/>
      <c r="M1591" s="3" t="n"/>
      <c r="N1591" s="3" t="inlineStr"/>
      <c r="O1591" s="3" t="n"/>
      <c r="P1591" s="3" t="n"/>
      <c r="Q1591" s="3" t="n"/>
      <c r="R1591" s="3" t="n"/>
      <c r="S1591" s="3" t="n"/>
      <c r="T1591" s="3" t="n"/>
      <c r="U1591" s="3" t="n"/>
      <c r="V1591" s="3" t="n"/>
      <c r="W1591" s="3" t="n"/>
      <c r="X1591" s="3" t="n"/>
      <c r="Y1591" s="3" t="n"/>
      <c r="Z1591" s="3" t="n"/>
      <c r="AA1591" s="3" t="n"/>
    </row>
    <row r="1592">
      <c r="A1592" s="105" t="n"/>
      <c r="B1592" s="105" t="n"/>
      <c r="C1592" s="3" t="n"/>
      <c r="D1592" s="3" t="n"/>
      <c r="E1592" s="3" t="n"/>
      <c r="F1592" s="3" t="n"/>
      <c r="G1592" s="3" t="n"/>
      <c r="H1592" s="3" t="inlineStr"/>
      <c r="I1592" s="3" t="n"/>
      <c r="J1592" s="3" t="n"/>
      <c r="K1592" s="3" t="n"/>
      <c r="L1592" s="3" t="inlineStr"/>
      <c r="M1592" s="3" t="n"/>
      <c r="N1592" s="3" t="inlineStr"/>
      <c r="O1592" s="3" t="n"/>
      <c r="P1592" s="3" t="n"/>
      <c r="Q1592" s="3" t="n"/>
      <c r="R1592" s="3" t="n"/>
      <c r="S1592" s="3" t="n"/>
      <c r="T1592" s="3" t="n"/>
      <c r="U1592" s="3" t="n"/>
      <c r="V1592" s="3" t="n"/>
      <c r="W1592" s="3" t="n"/>
      <c r="X1592" s="3" t="n"/>
      <c r="Y1592" s="3" t="n"/>
      <c r="Z1592" s="3" t="n"/>
      <c r="AA1592" s="3" t="n"/>
    </row>
    <row r="1593">
      <c r="A1593" s="105" t="n"/>
      <c r="B1593" s="105" t="n"/>
      <c r="C1593" s="3" t="n"/>
      <c r="D1593" s="3" t="n"/>
      <c r="E1593" s="3" t="n"/>
      <c r="F1593" s="3" t="n"/>
      <c r="G1593" s="3" t="n"/>
      <c r="H1593" s="3" t="inlineStr"/>
      <c r="I1593" s="3" t="n"/>
      <c r="J1593" s="3" t="n"/>
      <c r="K1593" s="3" t="n"/>
      <c r="L1593" s="3" t="inlineStr"/>
      <c r="M1593" s="3" t="n"/>
      <c r="N1593" s="3" t="inlineStr"/>
      <c r="O1593" s="3" t="n"/>
      <c r="P1593" s="3" t="n"/>
      <c r="Q1593" s="3" t="n"/>
      <c r="R1593" s="3" t="n"/>
      <c r="S1593" s="3" t="n"/>
      <c r="T1593" s="3" t="n"/>
      <c r="U1593" s="3" t="n"/>
      <c r="V1593" s="3" t="n"/>
      <c r="W1593" s="3" t="n"/>
      <c r="X1593" s="3" t="n"/>
      <c r="Y1593" s="3" t="n"/>
      <c r="Z1593" s="3" t="n"/>
      <c r="AA1593" s="3" t="n"/>
    </row>
    <row r="1594">
      <c r="A1594" s="105" t="n"/>
      <c r="B1594" s="105" t="n"/>
      <c r="C1594" s="3" t="n"/>
      <c r="D1594" s="3" t="n"/>
      <c r="E1594" s="3" t="n"/>
      <c r="F1594" s="3" t="n"/>
      <c r="G1594" s="3" t="n"/>
      <c r="H1594" s="3" t="inlineStr"/>
      <c r="I1594" s="3" t="n"/>
      <c r="J1594" s="3" t="n"/>
      <c r="K1594" s="3" t="n"/>
      <c r="L1594" s="3" t="inlineStr"/>
      <c r="M1594" s="3" t="n"/>
      <c r="N1594" s="3" t="inlineStr"/>
      <c r="O1594" s="3" t="n"/>
      <c r="P1594" s="3" t="n"/>
      <c r="Q1594" s="3" t="n"/>
      <c r="R1594" s="3" t="n"/>
      <c r="S1594" s="3" t="n"/>
      <c r="T1594" s="3" t="n"/>
      <c r="U1594" s="3" t="n"/>
      <c r="V1594" s="3" t="n"/>
      <c r="W1594" s="3" t="n"/>
      <c r="X1594" s="3" t="n"/>
      <c r="Y1594" s="3" t="n"/>
      <c r="Z1594" s="3" t="n"/>
      <c r="AA1594" s="3" t="n"/>
    </row>
    <row r="1595">
      <c r="A1595" s="105" t="n"/>
      <c r="B1595" s="105" t="n"/>
      <c r="C1595" s="3" t="n"/>
      <c r="D1595" s="3" t="n"/>
      <c r="E1595" s="3" t="n"/>
      <c r="F1595" s="3" t="n"/>
      <c r="G1595" s="3" t="n"/>
      <c r="H1595" s="3" t="inlineStr"/>
      <c r="I1595" s="3" t="n"/>
      <c r="J1595" s="3" t="n"/>
      <c r="K1595" s="3" t="n"/>
      <c r="L1595" s="3" t="inlineStr"/>
      <c r="M1595" s="3" t="n"/>
      <c r="N1595" s="3" t="inlineStr"/>
      <c r="O1595" s="3" t="n"/>
      <c r="P1595" s="3" t="n"/>
      <c r="Q1595" s="3" t="n"/>
      <c r="R1595" s="3" t="n"/>
      <c r="S1595" s="3" t="n"/>
      <c r="T1595" s="3" t="n"/>
      <c r="U1595" s="3" t="n"/>
      <c r="V1595" s="3" t="n"/>
      <c r="W1595" s="3" t="n"/>
      <c r="X1595" s="3" t="n"/>
      <c r="Y1595" s="3" t="n"/>
      <c r="Z1595" s="3" t="n"/>
      <c r="AA1595" s="3" t="n"/>
    </row>
    <row r="1596">
      <c r="A1596" s="105" t="n"/>
      <c r="B1596" s="105" t="n"/>
      <c r="C1596" s="3" t="n"/>
      <c r="D1596" s="3" t="n"/>
      <c r="E1596" s="3" t="n"/>
      <c r="F1596" s="3" t="n"/>
      <c r="G1596" s="3" t="n"/>
      <c r="H1596" s="3" t="inlineStr"/>
      <c r="I1596" s="3" t="n"/>
      <c r="J1596" s="3" t="n"/>
      <c r="K1596" s="3" t="n"/>
      <c r="L1596" s="3" t="inlineStr"/>
      <c r="M1596" s="3" t="n"/>
      <c r="N1596" s="3" t="inlineStr"/>
      <c r="O1596" s="3" t="n"/>
      <c r="P1596" s="3" t="n"/>
      <c r="Q1596" s="3" t="n"/>
      <c r="R1596" s="3" t="n"/>
      <c r="S1596" s="3" t="n"/>
      <c r="T1596" s="3" t="n"/>
      <c r="U1596" s="3" t="n"/>
      <c r="V1596" s="3" t="n"/>
      <c r="W1596" s="3" t="n"/>
      <c r="X1596" s="3" t="n"/>
      <c r="Y1596" s="3" t="n"/>
      <c r="Z1596" s="3" t="n"/>
      <c r="AA1596" s="3" t="n"/>
    </row>
    <row r="1597">
      <c r="A1597" s="105" t="n"/>
      <c r="B1597" s="105" t="n"/>
      <c r="C1597" s="3" t="n"/>
      <c r="D1597" s="3" t="n"/>
      <c r="E1597" s="3" t="n"/>
      <c r="F1597" s="3" t="n"/>
      <c r="G1597" s="3" t="n"/>
      <c r="H1597" s="3" t="inlineStr"/>
      <c r="I1597" s="3" t="n"/>
      <c r="J1597" s="3" t="n"/>
      <c r="K1597" s="3" t="n"/>
      <c r="L1597" s="3" t="inlineStr"/>
      <c r="M1597" s="3" t="n"/>
      <c r="N1597" s="3" t="inlineStr"/>
      <c r="O1597" s="3" t="n"/>
      <c r="P1597" s="3" t="n"/>
      <c r="Q1597" s="3" t="n"/>
      <c r="R1597" s="3" t="n"/>
      <c r="S1597" s="3" t="n"/>
      <c r="T1597" s="3" t="n"/>
      <c r="U1597" s="3" t="n"/>
      <c r="V1597" s="3" t="n"/>
      <c r="W1597" s="3" t="n"/>
      <c r="X1597" s="3" t="n"/>
      <c r="Y1597" s="3" t="n"/>
      <c r="Z1597" s="3" t="n"/>
      <c r="AA1597" s="3" t="n"/>
    </row>
    <row r="1598">
      <c r="A1598" s="105" t="n"/>
      <c r="B1598" s="105" t="n"/>
      <c r="C1598" s="3" t="n"/>
      <c r="D1598" s="3" t="n"/>
      <c r="E1598" s="3" t="n"/>
      <c r="F1598" s="3" t="n"/>
      <c r="G1598" s="3" t="n"/>
      <c r="H1598" s="3" t="inlineStr"/>
      <c r="I1598" s="3" t="n"/>
      <c r="J1598" s="3" t="n"/>
      <c r="K1598" s="3" t="n"/>
      <c r="L1598" s="3" t="inlineStr"/>
      <c r="M1598" s="3" t="n"/>
      <c r="N1598" s="3" t="inlineStr"/>
      <c r="O1598" s="3" t="n"/>
      <c r="P1598" s="3" t="n"/>
      <c r="Q1598" s="3" t="n"/>
      <c r="R1598" s="3" t="n"/>
      <c r="S1598" s="3" t="n"/>
      <c r="T1598" s="3" t="n"/>
      <c r="U1598" s="3" t="n"/>
      <c r="V1598" s="3" t="n"/>
      <c r="W1598" s="3" t="n"/>
      <c r="X1598" s="3" t="n"/>
      <c r="Y1598" s="3" t="n"/>
      <c r="Z1598" s="3" t="n"/>
      <c r="AA1598" s="3" t="n"/>
    </row>
    <row r="1599">
      <c r="A1599" s="105" t="n"/>
      <c r="B1599" s="105" t="n"/>
      <c r="C1599" s="3" t="n"/>
      <c r="D1599" s="3" t="n"/>
      <c r="E1599" s="3" t="n"/>
      <c r="F1599" s="3" t="n"/>
      <c r="G1599" s="3" t="n"/>
      <c r="H1599" s="3" t="inlineStr"/>
      <c r="I1599" s="3" t="n"/>
      <c r="J1599" s="3" t="n"/>
      <c r="K1599" s="3" t="n"/>
      <c r="L1599" s="3" t="inlineStr"/>
      <c r="M1599" s="3" t="n"/>
      <c r="N1599" s="3" t="inlineStr"/>
      <c r="O1599" s="3" t="n"/>
      <c r="P1599" s="3" t="n"/>
      <c r="Q1599" s="3" t="n"/>
      <c r="R1599" s="3" t="n"/>
      <c r="S1599" s="3" t="n"/>
      <c r="T1599" s="3" t="n"/>
      <c r="U1599" s="3" t="n"/>
      <c r="V1599" s="3" t="n"/>
      <c r="W1599" s="3" t="n"/>
      <c r="X1599" s="3" t="n"/>
      <c r="Y1599" s="3" t="n"/>
      <c r="Z1599" s="3" t="n"/>
      <c r="AA1599" s="3" t="n"/>
    </row>
    <row r="1600">
      <c r="A1600" s="105" t="n"/>
      <c r="B1600" s="105" t="n"/>
      <c r="C1600" s="3" t="n"/>
      <c r="D1600" s="3" t="n"/>
      <c r="E1600" s="3" t="n"/>
      <c r="F1600" s="3" t="n"/>
      <c r="G1600" s="3" t="n"/>
      <c r="H1600" s="3" t="inlineStr"/>
      <c r="I1600" s="3" t="n"/>
      <c r="J1600" s="3" t="n"/>
      <c r="K1600" s="3" t="n"/>
      <c r="L1600" s="3" t="inlineStr"/>
      <c r="M1600" s="3" t="n"/>
      <c r="N1600" s="3" t="inlineStr"/>
      <c r="O1600" s="3" t="n"/>
      <c r="P1600" s="3" t="n"/>
      <c r="Q1600" s="3" t="n"/>
      <c r="R1600" s="3" t="n"/>
      <c r="S1600" s="3" t="n"/>
      <c r="T1600" s="3" t="n"/>
      <c r="U1600" s="3" t="n"/>
      <c r="V1600" s="3" t="n"/>
      <c r="W1600" s="3" t="n"/>
      <c r="X1600" s="3" t="n"/>
      <c r="Y1600" s="3" t="n"/>
      <c r="Z1600" s="3" t="n"/>
      <c r="AA1600" s="3" t="n"/>
    </row>
    <row r="1601">
      <c r="A1601" s="105" t="n"/>
      <c r="B1601" s="105" t="n"/>
      <c r="C1601" s="3" t="n"/>
      <c r="D1601" s="3" t="n"/>
      <c r="E1601" s="3" t="n"/>
      <c r="F1601" s="3" t="n"/>
      <c r="G1601" s="3" t="n"/>
      <c r="H1601" s="3" t="inlineStr"/>
      <c r="I1601" s="3" t="n"/>
      <c r="J1601" s="3" t="n"/>
      <c r="K1601" s="3" t="n"/>
      <c r="L1601" s="3" t="inlineStr"/>
      <c r="M1601" s="3" t="n"/>
      <c r="N1601" s="3" t="inlineStr"/>
      <c r="O1601" s="3" t="n"/>
      <c r="P1601" s="3" t="n"/>
      <c r="Q1601" s="3" t="n"/>
      <c r="R1601" s="3" t="n"/>
      <c r="S1601" s="3" t="n"/>
      <c r="T1601" s="3" t="n"/>
      <c r="U1601" s="3" t="n"/>
      <c r="V1601" s="3" t="n"/>
      <c r="W1601" s="3" t="n"/>
      <c r="X1601" s="3" t="n"/>
      <c r="Y1601" s="3" t="n"/>
      <c r="Z1601" s="3" t="n"/>
      <c r="AA1601" s="3" t="n"/>
    </row>
    <row r="1602">
      <c r="A1602" s="105" t="n"/>
      <c r="B1602" s="105" t="n"/>
      <c r="C1602" s="3" t="n"/>
      <c r="D1602" s="3" t="n"/>
      <c r="E1602" s="3" t="n"/>
      <c r="F1602" s="3" t="n"/>
      <c r="G1602" s="3" t="n"/>
      <c r="H1602" s="3" t="inlineStr"/>
      <c r="I1602" s="3" t="n"/>
      <c r="J1602" s="3" t="n"/>
      <c r="K1602" s="3" t="n"/>
      <c r="L1602" s="3" t="inlineStr"/>
      <c r="M1602" s="3" t="n"/>
      <c r="N1602" s="3" t="inlineStr"/>
      <c r="O1602" s="3" t="n"/>
      <c r="P1602" s="3" t="n"/>
      <c r="Q1602" s="3" t="n"/>
      <c r="R1602" s="3" t="n"/>
      <c r="S1602" s="3" t="n"/>
      <c r="T1602" s="3" t="n"/>
      <c r="U1602" s="3" t="n"/>
      <c r="V1602" s="3" t="n"/>
      <c r="W1602" s="3" t="n"/>
      <c r="X1602" s="3" t="n"/>
      <c r="Y1602" s="3" t="n"/>
      <c r="Z1602" s="3" t="n"/>
      <c r="AA1602" s="3" t="n"/>
    </row>
    <row r="1603">
      <c r="A1603" s="105" t="n"/>
      <c r="B1603" s="105" t="n"/>
      <c r="C1603" s="3" t="n"/>
      <c r="D1603" s="3" t="n"/>
      <c r="E1603" s="3" t="n"/>
      <c r="F1603" s="3" t="n"/>
      <c r="G1603" s="3" t="n"/>
      <c r="H1603" s="3" t="inlineStr"/>
      <c r="I1603" s="3" t="n"/>
      <c r="J1603" s="3" t="n"/>
      <c r="K1603" s="3" t="n"/>
      <c r="L1603" s="3" t="inlineStr"/>
      <c r="M1603" s="3" t="n"/>
      <c r="N1603" s="3" t="inlineStr"/>
      <c r="O1603" s="3" t="n"/>
      <c r="P1603" s="3" t="n"/>
      <c r="Q1603" s="3" t="n"/>
      <c r="R1603" s="3" t="n"/>
      <c r="S1603" s="3" t="n"/>
      <c r="T1603" s="3" t="n"/>
      <c r="U1603" s="3" t="n"/>
      <c r="V1603" s="3" t="n"/>
      <c r="W1603" s="3" t="n"/>
      <c r="X1603" s="3" t="n"/>
      <c r="Y1603" s="3" t="n"/>
      <c r="Z1603" s="3" t="n"/>
      <c r="AA1603" s="3" t="n"/>
    </row>
    <row r="1604">
      <c r="A1604" s="105" t="n"/>
      <c r="B1604" s="105" t="n"/>
      <c r="C1604" s="3" t="n"/>
      <c r="D1604" s="3" t="n"/>
      <c r="E1604" s="3" t="n"/>
      <c r="F1604" s="3" t="n"/>
      <c r="G1604" s="3" t="n"/>
      <c r="H1604" s="3" t="inlineStr"/>
      <c r="I1604" s="3" t="n"/>
      <c r="J1604" s="3" t="n"/>
      <c r="K1604" s="3" t="n"/>
      <c r="L1604" s="3" t="inlineStr"/>
      <c r="M1604" s="3" t="n"/>
      <c r="N1604" s="3" t="inlineStr"/>
      <c r="O1604" s="3" t="n"/>
      <c r="P1604" s="3" t="n"/>
      <c r="Q1604" s="3" t="n"/>
      <c r="R1604" s="3" t="n"/>
      <c r="S1604" s="3" t="n"/>
      <c r="T1604" s="3" t="n"/>
      <c r="U1604" s="3" t="n"/>
      <c r="V1604" s="3" t="n"/>
      <c r="W1604" s="3" t="n"/>
      <c r="X1604" s="3" t="n"/>
      <c r="Y1604" s="3" t="n"/>
      <c r="Z1604" s="3" t="n"/>
      <c r="AA1604" s="3" t="n"/>
    </row>
    <row r="1605">
      <c r="A1605" s="105" t="n"/>
      <c r="B1605" s="105" t="n"/>
      <c r="C1605" s="3" t="n"/>
      <c r="D1605" s="3" t="n"/>
      <c r="E1605" s="3" t="n"/>
      <c r="F1605" s="3" t="n"/>
      <c r="G1605" s="3" t="n"/>
      <c r="H1605" s="3" t="inlineStr"/>
      <c r="I1605" s="3" t="n"/>
      <c r="J1605" s="3" t="n"/>
      <c r="K1605" s="3" t="n"/>
      <c r="L1605" s="3" t="inlineStr"/>
      <c r="M1605" s="3" t="n"/>
      <c r="N1605" s="3" t="inlineStr"/>
      <c r="O1605" s="3" t="n"/>
      <c r="P1605" s="3" t="n"/>
      <c r="Q1605" s="3" t="n"/>
      <c r="R1605" s="3" t="n"/>
      <c r="S1605" s="3" t="n"/>
      <c r="T1605" s="3" t="n"/>
      <c r="U1605" s="3" t="n"/>
      <c r="V1605" s="3" t="n"/>
      <c r="W1605" s="3" t="n"/>
      <c r="X1605" s="3" t="n"/>
      <c r="Y1605" s="3" t="n"/>
      <c r="Z1605" s="3" t="n"/>
      <c r="AA1605" s="3" t="n"/>
    </row>
    <row r="1606">
      <c r="A1606" s="105" t="n"/>
      <c r="B1606" s="105" t="n"/>
      <c r="C1606" s="3" t="n"/>
      <c r="D1606" s="3" t="n"/>
      <c r="E1606" s="3" t="n"/>
      <c r="F1606" s="3" t="n"/>
      <c r="G1606" s="3" t="n"/>
      <c r="H1606" s="3" t="inlineStr"/>
      <c r="I1606" s="3" t="n"/>
      <c r="J1606" s="3" t="n"/>
      <c r="K1606" s="3" t="n"/>
      <c r="L1606" s="3" t="inlineStr"/>
      <c r="M1606" s="3" t="n"/>
      <c r="N1606" s="3" t="inlineStr"/>
      <c r="O1606" s="3" t="n"/>
      <c r="P1606" s="3" t="n"/>
      <c r="Q1606" s="3" t="n"/>
      <c r="R1606" s="3" t="n"/>
      <c r="S1606" s="3" t="n"/>
      <c r="T1606" s="3" t="n"/>
      <c r="U1606" s="3" t="n"/>
      <c r="V1606" s="3" t="n"/>
      <c r="W1606" s="3" t="n"/>
      <c r="X1606" s="3" t="n"/>
      <c r="Y1606" s="3" t="n"/>
      <c r="Z1606" s="3" t="n"/>
      <c r="AA1606" s="3" t="n"/>
    </row>
    <row r="1607">
      <c r="A1607" s="105" t="n"/>
      <c r="B1607" s="105" t="n"/>
      <c r="C1607" s="3" t="n"/>
      <c r="D1607" s="3" t="n"/>
      <c r="E1607" s="3" t="n"/>
      <c r="F1607" s="3" t="n"/>
      <c r="G1607" s="3" t="n"/>
      <c r="H1607" s="3" t="inlineStr"/>
      <c r="I1607" s="3" t="n"/>
      <c r="J1607" s="3" t="n"/>
      <c r="K1607" s="3" t="n"/>
      <c r="L1607" s="3" t="inlineStr"/>
      <c r="M1607" s="3" t="n"/>
      <c r="N1607" s="3" t="inlineStr"/>
      <c r="O1607" s="3" t="n"/>
      <c r="P1607" s="3" t="n"/>
      <c r="Q1607" s="3" t="n"/>
      <c r="R1607" s="3" t="n"/>
      <c r="S1607" s="3" t="n"/>
      <c r="T1607" s="3" t="n"/>
      <c r="U1607" s="3" t="n"/>
      <c r="V1607" s="3" t="n"/>
      <c r="W1607" s="3" t="n"/>
      <c r="X1607" s="3" t="n"/>
      <c r="Y1607" s="3" t="n"/>
      <c r="Z1607" s="3" t="n"/>
      <c r="AA1607" s="3" t="n"/>
    </row>
    <row r="1608">
      <c r="A1608" s="105" t="n"/>
      <c r="B1608" s="105" t="n"/>
      <c r="C1608" s="3" t="n"/>
      <c r="D1608" s="3" t="n"/>
      <c r="E1608" s="3" t="n"/>
      <c r="F1608" s="3" t="n"/>
      <c r="G1608" s="3" t="n"/>
      <c r="H1608" s="3" t="inlineStr"/>
      <c r="I1608" s="3" t="n"/>
      <c r="J1608" s="3" t="n"/>
      <c r="K1608" s="3" t="n"/>
      <c r="L1608" s="3" t="inlineStr"/>
      <c r="M1608" s="3" t="n"/>
      <c r="N1608" s="3" t="inlineStr"/>
      <c r="O1608" s="3" t="n"/>
      <c r="P1608" s="3" t="n"/>
      <c r="Q1608" s="3" t="n"/>
      <c r="R1608" s="3" t="n"/>
      <c r="S1608" s="3" t="n"/>
      <c r="T1608" s="3" t="n"/>
      <c r="U1608" s="3" t="n"/>
      <c r="V1608" s="3" t="n"/>
      <c r="W1608" s="3" t="n"/>
      <c r="X1608" s="3" t="n"/>
      <c r="Y1608" s="3" t="n"/>
      <c r="Z1608" s="3" t="n"/>
      <c r="AA1608" s="3" t="n"/>
    </row>
    <row r="1609">
      <c r="A1609" s="105" t="n"/>
      <c r="B1609" s="105" t="n"/>
      <c r="C1609" s="3" t="n"/>
      <c r="D1609" s="3" t="n"/>
      <c r="E1609" s="3" t="n"/>
      <c r="F1609" s="3" t="n"/>
      <c r="G1609" s="3" t="n"/>
      <c r="H1609" s="3" t="inlineStr"/>
      <c r="I1609" s="3" t="n"/>
      <c r="J1609" s="3" t="n"/>
      <c r="K1609" s="3" t="n"/>
      <c r="L1609" s="3" t="inlineStr"/>
      <c r="M1609" s="3" t="n"/>
      <c r="N1609" s="3" t="inlineStr"/>
      <c r="O1609" s="3" t="n"/>
      <c r="P1609" s="3" t="n"/>
      <c r="Q1609" s="3" t="n"/>
      <c r="R1609" s="3" t="n"/>
      <c r="S1609" s="3" t="n"/>
      <c r="T1609" s="3" t="n"/>
      <c r="U1609" s="3" t="n"/>
      <c r="V1609" s="3" t="n"/>
      <c r="W1609" s="3" t="n"/>
      <c r="X1609" s="3" t="n"/>
      <c r="Y1609" s="3" t="n"/>
      <c r="Z1609" s="3" t="n"/>
      <c r="AA1609" s="3" t="n"/>
    </row>
    <row r="1610">
      <c r="A1610" s="105" t="n"/>
      <c r="B1610" s="105" t="n"/>
      <c r="C1610" s="3" t="n"/>
      <c r="D1610" s="3" t="n"/>
      <c r="E1610" s="3" t="n"/>
      <c r="F1610" s="3" t="n"/>
      <c r="G1610" s="3" t="n"/>
      <c r="H1610" s="3" t="inlineStr"/>
      <c r="I1610" s="3" t="n"/>
      <c r="J1610" s="3" t="n"/>
      <c r="K1610" s="3" t="n"/>
      <c r="L1610" s="3" t="inlineStr"/>
      <c r="M1610" s="3" t="n"/>
      <c r="N1610" s="3" t="inlineStr"/>
      <c r="O1610" s="3" t="n"/>
      <c r="P1610" s="3" t="n"/>
      <c r="Q1610" s="3" t="n"/>
      <c r="R1610" s="3" t="n"/>
      <c r="S1610" s="3" t="n"/>
      <c r="T1610" s="3" t="n"/>
      <c r="U1610" s="3" t="n"/>
      <c r="V1610" s="3" t="n"/>
      <c r="W1610" s="3" t="n"/>
      <c r="X1610" s="3" t="n"/>
      <c r="Y1610" s="3" t="n"/>
      <c r="Z1610" s="3" t="n"/>
      <c r="AA1610" s="3" t="n"/>
    </row>
    <row r="1611">
      <c r="A1611" s="105" t="n"/>
      <c r="B1611" s="105" t="n"/>
      <c r="C1611" s="3" t="n"/>
      <c r="D1611" s="3" t="n"/>
      <c r="E1611" s="3" t="n"/>
      <c r="F1611" s="3" t="n"/>
      <c r="G1611" s="3" t="n"/>
      <c r="H1611" s="3" t="inlineStr"/>
      <c r="I1611" s="3" t="n"/>
      <c r="J1611" s="3" t="n"/>
      <c r="K1611" s="3" t="n"/>
      <c r="L1611" s="3" t="inlineStr"/>
      <c r="M1611" s="3" t="n"/>
      <c r="N1611" s="3" t="inlineStr"/>
      <c r="O1611" s="3" t="n"/>
      <c r="P1611" s="3" t="n"/>
      <c r="Q1611" s="3" t="n"/>
      <c r="R1611" s="3" t="n"/>
      <c r="S1611" s="3" t="n"/>
      <c r="T1611" s="3" t="n"/>
      <c r="U1611" s="3" t="n"/>
      <c r="V1611" s="3" t="n"/>
      <c r="W1611" s="3" t="n"/>
      <c r="X1611" s="3" t="n"/>
      <c r="Y1611" s="3" t="n"/>
      <c r="Z1611" s="3" t="n"/>
      <c r="AA1611" s="3" t="n"/>
    </row>
    <row r="1612">
      <c r="A1612" s="105" t="n"/>
      <c r="B1612" s="105" t="n"/>
      <c r="C1612" s="3" t="n"/>
      <c r="D1612" s="3" t="n"/>
      <c r="E1612" s="3" t="n"/>
      <c r="F1612" s="3" t="n"/>
      <c r="G1612" s="3" t="n"/>
      <c r="H1612" s="3" t="inlineStr"/>
      <c r="I1612" s="3" t="n"/>
      <c r="J1612" s="3" t="n"/>
      <c r="K1612" s="3" t="n"/>
      <c r="L1612" s="3" t="inlineStr"/>
      <c r="M1612" s="3" t="n"/>
      <c r="N1612" s="3" t="inlineStr"/>
      <c r="O1612" s="3" t="n"/>
      <c r="P1612" s="3" t="n"/>
      <c r="Q1612" s="3" t="n"/>
      <c r="R1612" s="3" t="n"/>
      <c r="S1612" s="3" t="n"/>
      <c r="T1612" s="3" t="n"/>
      <c r="U1612" s="3" t="n"/>
      <c r="V1612" s="3" t="n"/>
      <c r="W1612" s="3" t="n"/>
      <c r="X1612" s="3" t="n"/>
      <c r="Y1612" s="3" t="n"/>
      <c r="Z1612" s="3" t="n"/>
      <c r="AA1612" s="3" t="n"/>
    </row>
    <row r="1613">
      <c r="A1613" s="105" t="n"/>
      <c r="B1613" s="105" t="n"/>
      <c r="C1613" s="3" t="n"/>
      <c r="D1613" s="3" t="n"/>
      <c r="E1613" s="3" t="n"/>
      <c r="F1613" s="3" t="n"/>
      <c r="G1613" s="3" t="n"/>
      <c r="H1613" s="3" t="inlineStr"/>
      <c r="I1613" s="3" t="n"/>
      <c r="J1613" s="3" t="n"/>
      <c r="K1613" s="3" t="n"/>
      <c r="L1613" s="3" t="inlineStr"/>
      <c r="M1613" s="3" t="n"/>
      <c r="N1613" s="3" t="inlineStr"/>
      <c r="O1613" s="3" t="n"/>
      <c r="P1613" s="3" t="n"/>
      <c r="Q1613" s="3" t="n"/>
      <c r="R1613" s="3" t="n"/>
      <c r="S1613" s="3" t="n"/>
      <c r="T1613" s="3" t="n"/>
      <c r="U1613" s="3" t="n"/>
      <c r="V1613" s="3" t="n"/>
      <c r="W1613" s="3" t="n"/>
      <c r="X1613" s="3" t="n"/>
      <c r="Y1613" s="3" t="n"/>
      <c r="Z1613" s="3" t="n"/>
      <c r="AA1613" s="3" t="n"/>
    </row>
    <row r="1614">
      <c r="A1614" s="105" t="n"/>
      <c r="B1614" s="105" t="n"/>
      <c r="C1614" s="3" t="n"/>
      <c r="D1614" s="3" t="n"/>
      <c r="E1614" s="3" t="n"/>
      <c r="F1614" s="3" t="n"/>
      <c r="G1614" s="3" t="n"/>
      <c r="H1614" s="3" t="inlineStr"/>
      <c r="I1614" s="3" t="n"/>
      <c r="J1614" s="3" t="n"/>
      <c r="K1614" s="3" t="n"/>
      <c r="L1614" s="3" t="inlineStr"/>
      <c r="M1614" s="3" t="n"/>
      <c r="N1614" s="3" t="inlineStr"/>
      <c r="O1614" s="3" t="n"/>
      <c r="P1614" s="3" t="n"/>
      <c r="Q1614" s="3" t="n"/>
      <c r="R1614" s="3" t="n"/>
      <c r="S1614" s="3" t="n"/>
      <c r="T1614" s="3" t="n"/>
      <c r="U1614" s="3" t="n"/>
      <c r="V1614" s="3" t="n"/>
      <c r="W1614" s="3" t="n"/>
      <c r="X1614" s="3" t="n"/>
      <c r="Y1614" s="3" t="n"/>
      <c r="Z1614" s="3" t="n"/>
      <c r="AA1614" s="3" t="n"/>
    </row>
    <row r="1615">
      <c r="A1615" s="105" t="n"/>
      <c r="B1615" s="105" t="n"/>
      <c r="C1615" s="3" t="n"/>
      <c r="D1615" s="3" t="n"/>
      <c r="E1615" s="3" t="n"/>
      <c r="F1615" s="3" t="n"/>
      <c r="G1615" s="3" t="n"/>
      <c r="H1615" s="3" t="inlineStr"/>
      <c r="I1615" s="3" t="n"/>
      <c r="J1615" s="3" t="n"/>
      <c r="K1615" s="3" t="n"/>
      <c r="L1615" s="3" t="inlineStr"/>
      <c r="M1615" s="3" t="n"/>
      <c r="N1615" s="3" t="inlineStr"/>
      <c r="O1615" s="3" t="n"/>
      <c r="P1615" s="3" t="n"/>
      <c r="Q1615" s="3" t="n"/>
      <c r="R1615" s="3" t="n"/>
      <c r="S1615" s="3" t="n"/>
      <c r="T1615" s="3" t="n"/>
      <c r="U1615" s="3" t="n"/>
      <c r="V1615" s="3" t="n"/>
      <c r="W1615" s="3" t="n"/>
      <c r="X1615" s="3" t="n"/>
      <c r="Y1615" s="3" t="n"/>
      <c r="Z1615" s="3" t="n"/>
      <c r="AA1615" s="3" t="n"/>
    </row>
    <row r="1616">
      <c r="A1616" s="105" t="n"/>
      <c r="B1616" s="105" t="n"/>
      <c r="C1616" s="3" t="n"/>
      <c r="D1616" s="3" t="n"/>
      <c r="E1616" s="3" t="n"/>
      <c r="F1616" s="3" t="n"/>
      <c r="G1616" s="3" t="n"/>
      <c r="H1616" s="3" t="inlineStr"/>
      <c r="I1616" s="3" t="n"/>
      <c r="J1616" s="3" t="n"/>
      <c r="K1616" s="3" t="n"/>
      <c r="L1616" s="3" t="inlineStr"/>
      <c r="M1616" s="3" t="n"/>
      <c r="N1616" s="3" t="inlineStr"/>
      <c r="O1616" s="3" t="n"/>
      <c r="P1616" s="3" t="n"/>
      <c r="Q1616" s="3" t="n"/>
      <c r="R1616" s="3" t="n"/>
      <c r="S1616" s="3" t="n"/>
      <c r="T1616" s="3" t="n"/>
      <c r="U1616" s="3" t="n"/>
      <c r="V1616" s="3" t="n"/>
      <c r="W1616" s="3" t="n"/>
      <c r="X1616" s="3" t="n"/>
      <c r="Y1616" s="3" t="n"/>
      <c r="Z1616" s="3" t="n"/>
      <c r="AA1616" s="3" t="n"/>
    </row>
    <row r="1617">
      <c r="A1617" s="105" t="n"/>
      <c r="B1617" s="105" t="n"/>
      <c r="C1617" s="3" t="n"/>
      <c r="D1617" s="3" t="n"/>
      <c r="E1617" s="3" t="n"/>
      <c r="F1617" s="3" t="n"/>
      <c r="G1617" s="3" t="n"/>
      <c r="H1617" s="3" t="inlineStr"/>
      <c r="I1617" s="3" t="n"/>
      <c r="J1617" s="3" t="n"/>
      <c r="K1617" s="3" t="n"/>
      <c r="L1617" s="3" t="inlineStr"/>
      <c r="M1617" s="3" t="n"/>
      <c r="N1617" s="3" t="inlineStr"/>
      <c r="O1617" s="3" t="n"/>
      <c r="P1617" s="3" t="n"/>
      <c r="Q1617" s="3" t="n"/>
      <c r="R1617" s="3" t="n"/>
      <c r="S1617" s="3" t="n"/>
      <c r="T1617" s="3" t="n"/>
      <c r="U1617" s="3" t="n"/>
      <c r="V1617" s="3" t="n"/>
      <c r="W1617" s="3" t="n"/>
      <c r="X1617" s="3" t="n"/>
      <c r="Y1617" s="3" t="n"/>
      <c r="Z1617" s="3" t="n"/>
      <c r="AA1617" s="3" t="n"/>
    </row>
    <row r="1618">
      <c r="A1618" s="105" t="n"/>
      <c r="B1618" s="105" t="n"/>
      <c r="C1618" s="3" t="n"/>
      <c r="D1618" s="3" t="n"/>
      <c r="E1618" s="3" t="n"/>
      <c r="F1618" s="3" t="n"/>
      <c r="G1618" s="3" t="n"/>
      <c r="H1618" s="3" t="inlineStr"/>
      <c r="I1618" s="3" t="n"/>
      <c r="J1618" s="3" t="n"/>
      <c r="K1618" s="3" t="n"/>
      <c r="L1618" s="3" t="inlineStr"/>
      <c r="M1618" s="3" t="n"/>
      <c r="N1618" s="3" t="inlineStr"/>
      <c r="O1618" s="3" t="n"/>
      <c r="P1618" s="3" t="n"/>
      <c r="Q1618" s="3" t="n"/>
      <c r="R1618" s="3" t="n"/>
      <c r="S1618" s="3" t="n"/>
      <c r="T1618" s="3" t="n"/>
      <c r="U1618" s="3" t="n"/>
      <c r="V1618" s="3" t="n"/>
      <c r="W1618" s="3" t="n"/>
      <c r="X1618" s="3" t="n"/>
      <c r="Y1618" s="3" t="n"/>
      <c r="Z1618" s="3" t="n"/>
      <c r="AA1618" s="3" t="n"/>
    </row>
    <row r="1619">
      <c r="A1619" s="105" t="n"/>
      <c r="B1619" s="105" t="n"/>
      <c r="C1619" s="3" t="n"/>
      <c r="D1619" s="3" t="n"/>
      <c r="E1619" s="3" t="n"/>
      <c r="F1619" s="3" t="n"/>
      <c r="G1619" s="3" t="n"/>
      <c r="H1619" s="3" t="inlineStr"/>
      <c r="I1619" s="3" t="n"/>
      <c r="J1619" s="3" t="n"/>
      <c r="K1619" s="3" t="n"/>
      <c r="L1619" s="3" t="inlineStr"/>
      <c r="M1619" s="3" t="n"/>
      <c r="N1619" s="3" t="inlineStr"/>
      <c r="O1619" s="3" t="n"/>
      <c r="P1619" s="3" t="n"/>
      <c r="Q1619" s="3" t="n"/>
      <c r="R1619" s="3" t="n"/>
      <c r="S1619" s="3" t="n"/>
      <c r="T1619" s="3" t="n"/>
      <c r="U1619" s="3" t="n"/>
      <c r="V1619" s="3" t="n"/>
      <c r="W1619" s="3" t="n"/>
      <c r="X1619" s="3" t="n"/>
      <c r="Y1619" s="3" t="n"/>
      <c r="Z1619" s="3" t="n"/>
      <c r="AA1619" s="3" t="n"/>
    </row>
    <row r="1620">
      <c r="A1620" s="105" t="n"/>
      <c r="B1620" s="105" t="n"/>
      <c r="C1620" s="3" t="n"/>
      <c r="D1620" s="3" t="n"/>
      <c r="E1620" s="3" t="n"/>
      <c r="F1620" s="3" t="n"/>
      <c r="G1620" s="3" t="n"/>
      <c r="H1620" s="3" t="inlineStr"/>
      <c r="I1620" s="3" t="n"/>
      <c r="J1620" s="3" t="n"/>
      <c r="K1620" s="3" t="n"/>
      <c r="L1620" s="3" t="inlineStr"/>
      <c r="M1620" s="3" t="n"/>
      <c r="N1620" s="3" t="inlineStr"/>
      <c r="O1620" s="3" t="n"/>
      <c r="P1620" s="3" t="n"/>
      <c r="Q1620" s="3" t="n"/>
      <c r="R1620" s="3" t="n"/>
      <c r="S1620" s="3" t="n"/>
      <c r="T1620" s="3" t="n"/>
      <c r="U1620" s="3" t="n"/>
      <c r="V1620" s="3" t="n"/>
      <c r="W1620" s="3" t="n"/>
      <c r="X1620" s="3" t="n"/>
      <c r="Y1620" s="3" t="n"/>
      <c r="Z1620" s="3" t="n"/>
      <c r="AA1620" s="3" t="n"/>
    </row>
    <row r="1621">
      <c r="A1621" s="105" t="n"/>
      <c r="B1621" s="105" t="n"/>
      <c r="C1621" s="3" t="n"/>
      <c r="D1621" s="3" t="n"/>
      <c r="E1621" s="3" t="n"/>
      <c r="F1621" s="3" t="n"/>
      <c r="G1621" s="3" t="n"/>
      <c r="H1621" s="3" t="inlineStr"/>
      <c r="I1621" s="3" t="n"/>
      <c r="J1621" s="3" t="n"/>
      <c r="K1621" s="3" t="n"/>
      <c r="L1621" s="3" t="inlineStr"/>
      <c r="M1621" s="3" t="n"/>
      <c r="N1621" s="3" t="inlineStr"/>
      <c r="O1621" s="3" t="n"/>
      <c r="P1621" s="3" t="n"/>
      <c r="Q1621" s="3" t="n"/>
      <c r="R1621" s="3" t="n"/>
      <c r="S1621" s="3" t="n"/>
      <c r="T1621" s="3" t="n"/>
      <c r="U1621" s="3" t="n"/>
      <c r="V1621" s="3" t="n"/>
      <c r="W1621" s="3" t="n"/>
      <c r="X1621" s="3" t="n"/>
      <c r="Y1621" s="3" t="n"/>
      <c r="Z1621" s="3" t="n"/>
      <c r="AA1621" s="3" t="n"/>
    </row>
    <row r="1622">
      <c r="A1622" s="105" t="n"/>
      <c r="B1622" s="105" t="n"/>
      <c r="C1622" s="3" t="n"/>
      <c r="D1622" s="3" t="n"/>
      <c r="E1622" s="3" t="n"/>
      <c r="F1622" s="3" t="n"/>
      <c r="G1622" s="3" t="n"/>
      <c r="H1622" s="3" t="inlineStr"/>
      <c r="I1622" s="3" t="n"/>
      <c r="J1622" s="3" t="n"/>
      <c r="K1622" s="3" t="n"/>
      <c r="L1622" s="3" t="inlineStr"/>
      <c r="M1622" s="3" t="n"/>
      <c r="N1622" s="3" t="inlineStr"/>
      <c r="O1622" s="3" t="n"/>
      <c r="P1622" s="3" t="n"/>
      <c r="Q1622" s="3" t="n"/>
      <c r="R1622" s="3" t="n"/>
      <c r="S1622" s="3" t="n"/>
      <c r="T1622" s="3" t="n"/>
      <c r="U1622" s="3" t="n"/>
      <c r="V1622" s="3" t="n"/>
      <c r="W1622" s="3" t="n"/>
      <c r="X1622" s="3" t="n"/>
      <c r="Y1622" s="3" t="n"/>
      <c r="Z1622" s="3" t="n"/>
      <c r="AA1622" s="3" t="n"/>
    </row>
    <row r="1623">
      <c r="A1623" s="105" t="n"/>
      <c r="B1623" s="105" t="n"/>
      <c r="C1623" s="3" t="n"/>
      <c r="D1623" s="3" t="n"/>
      <c r="E1623" s="3" t="n"/>
      <c r="F1623" s="3" t="n"/>
      <c r="G1623" s="3" t="n"/>
      <c r="H1623" s="3" t="inlineStr"/>
      <c r="I1623" s="3" t="n"/>
      <c r="J1623" s="3" t="n"/>
      <c r="K1623" s="3" t="n"/>
      <c r="L1623" s="3" t="inlineStr"/>
      <c r="M1623" s="3" t="n"/>
      <c r="N1623" s="3" t="inlineStr"/>
      <c r="O1623" s="3" t="n"/>
      <c r="P1623" s="3" t="n"/>
      <c r="Q1623" s="3" t="n"/>
      <c r="R1623" s="3" t="n"/>
      <c r="S1623" s="3" t="n"/>
      <c r="T1623" s="3" t="n"/>
      <c r="U1623" s="3" t="n"/>
      <c r="V1623" s="3" t="n"/>
      <c r="W1623" s="3" t="n"/>
      <c r="X1623" s="3" t="n"/>
      <c r="Y1623" s="3" t="n"/>
      <c r="Z1623" s="3" t="n"/>
      <c r="AA1623" s="3" t="n"/>
    </row>
    <row r="1624">
      <c r="A1624" s="105" t="n"/>
      <c r="B1624" s="105" t="n"/>
      <c r="C1624" s="3" t="n"/>
      <c r="D1624" s="3" t="n"/>
      <c r="E1624" s="3" t="n"/>
      <c r="F1624" s="3" t="n"/>
      <c r="G1624" s="3" t="n"/>
      <c r="H1624" s="3" t="inlineStr"/>
      <c r="I1624" s="3" t="n"/>
      <c r="J1624" s="3" t="n"/>
      <c r="K1624" s="3" t="n"/>
      <c r="L1624" s="3" t="inlineStr"/>
      <c r="M1624" s="3" t="n"/>
      <c r="N1624" s="3" t="inlineStr"/>
      <c r="O1624" s="3" t="n"/>
      <c r="P1624" s="3" t="n"/>
      <c r="Q1624" s="3" t="n"/>
      <c r="R1624" s="3" t="n"/>
      <c r="S1624" s="3" t="n"/>
      <c r="T1624" s="3" t="n"/>
      <c r="U1624" s="3" t="n"/>
      <c r="V1624" s="3" t="n"/>
      <c r="W1624" s="3" t="n"/>
      <c r="X1624" s="3" t="n"/>
      <c r="Y1624" s="3" t="n"/>
      <c r="Z1624" s="3" t="n"/>
      <c r="AA1624" s="3" t="n"/>
    </row>
    <row r="1625">
      <c r="A1625" s="105" t="n"/>
      <c r="B1625" s="105" t="n"/>
      <c r="C1625" s="3" t="n"/>
      <c r="D1625" s="3" t="n"/>
      <c r="E1625" s="3" t="n"/>
      <c r="F1625" s="3" t="n"/>
      <c r="G1625" s="3" t="n"/>
      <c r="H1625" s="3" t="inlineStr"/>
      <c r="I1625" s="3" t="n"/>
      <c r="J1625" s="3" t="n"/>
      <c r="K1625" s="3" t="n"/>
      <c r="L1625" s="3" t="inlineStr"/>
      <c r="M1625" s="3" t="n"/>
      <c r="N1625" s="3" t="inlineStr"/>
      <c r="O1625" s="3" t="n"/>
      <c r="P1625" s="3" t="n"/>
      <c r="Q1625" s="3" t="n"/>
      <c r="R1625" s="3" t="n"/>
      <c r="S1625" s="3" t="n"/>
      <c r="T1625" s="3" t="n"/>
      <c r="U1625" s="3" t="n"/>
      <c r="V1625" s="3" t="n"/>
      <c r="W1625" s="3" t="n"/>
      <c r="X1625" s="3" t="n"/>
      <c r="Y1625" s="3" t="n"/>
      <c r="Z1625" s="3" t="n"/>
      <c r="AA1625" s="3" t="n"/>
    </row>
    <row r="1626">
      <c r="A1626" s="105" t="n"/>
      <c r="B1626" s="105" t="n"/>
      <c r="C1626" s="3" t="n"/>
      <c r="D1626" s="3" t="n"/>
      <c r="E1626" s="3" t="n"/>
      <c r="F1626" s="3" t="n"/>
      <c r="G1626" s="3" t="n"/>
      <c r="H1626" s="3" t="inlineStr"/>
      <c r="I1626" s="3" t="n"/>
      <c r="J1626" s="3" t="n"/>
      <c r="K1626" s="3" t="n"/>
      <c r="L1626" s="3" t="inlineStr"/>
      <c r="M1626" s="3" t="n"/>
      <c r="N1626" s="3" t="inlineStr"/>
      <c r="O1626" s="3" t="n"/>
      <c r="P1626" s="3" t="n"/>
      <c r="Q1626" s="3" t="n"/>
      <c r="R1626" s="3" t="n"/>
      <c r="S1626" s="3" t="n"/>
      <c r="T1626" s="3" t="n"/>
      <c r="U1626" s="3" t="n"/>
      <c r="V1626" s="3" t="n"/>
      <c r="W1626" s="3" t="n"/>
      <c r="X1626" s="3" t="n"/>
      <c r="Y1626" s="3" t="n"/>
      <c r="Z1626" s="3" t="n"/>
      <c r="AA1626" s="3" t="n"/>
    </row>
    <row r="1627">
      <c r="A1627" s="105" t="n"/>
      <c r="B1627" s="105" t="n"/>
      <c r="C1627" s="3" t="n"/>
      <c r="D1627" s="3" t="n"/>
      <c r="E1627" s="3" t="n"/>
      <c r="F1627" s="3" t="n"/>
      <c r="G1627" s="3" t="n"/>
      <c r="H1627" s="3" t="inlineStr"/>
      <c r="I1627" s="3" t="n"/>
      <c r="J1627" s="3" t="n"/>
      <c r="K1627" s="3" t="n"/>
      <c r="L1627" s="3" t="inlineStr"/>
      <c r="M1627" s="3" t="n"/>
      <c r="N1627" s="3" t="inlineStr"/>
      <c r="O1627" s="3" t="n"/>
      <c r="P1627" s="3" t="n"/>
      <c r="Q1627" s="3" t="n"/>
      <c r="R1627" s="3" t="n"/>
      <c r="S1627" s="3" t="n"/>
      <c r="T1627" s="3" t="n"/>
      <c r="U1627" s="3" t="n"/>
      <c r="V1627" s="3" t="n"/>
      <c r="W1627" s="3" t="n"/>
      <c r="X1627" s="3" t="n"/>
      <c r="Y1627" s="3" t="n"/>
      <c r="Z1627" s="3" t="n"/>
      <c r="AA1627" s="3" t="n"/>
    </row>
    <row r="1628">
      <c r="A1628" s="105" t="n"/>
      <c r="B1628" s="105" t="n"/>
      <c r="C1628" s="3" t="n"/>
      <c r="D1628" s="3" t="n"/>
      <c r="E1628" s="3" t="n"/>
      <c r="F1628" s="3" t="n"/>
      <c r="G1628" s="3" t="n"/>
      <c r="H1628" s="3" t="inlineStr"/>
      <c r="I1628" s="3" t="n"/>
      <c r="J1628" s="3" t="n"/>
      <c r="K1628" s="3" t="n"/>
      <c r="L1628" s="3" t="inlineStr"/>
      <c r="M1628" s="3" t="n"/>
      <c r="N1628" s="3" t="inlineStr"/>
      <c r="O1628" s="3" t="n"/>
      <c r="P1628" s="3" t="n"/>
      <c r="Q1628" s="3" t="n"/>
      <c r="R1628" s="3" t="n"/>
      <c r="S1628" s="3" t="n"/>
      <c r="T1628" s="3" t="n"/>
      <c r="U1628" s="3" t="n"/>
      <c r="V1628" s="3" t="n"/>
      <c r="W1628" s="3" t="n"/>
      <c r="X1628" s="3" t="n"/>
      <c r="Y1628" s="3" t="n"/>
      <c r="Z1628" s="3" t="n"/>
      <c r="AA1628" s="3" t="n"/>
    </row>
    <row r="1629">
      <c r="A1629" s="105" t="n"/>
      <c r="B1629" s="105" t="n"/>
      <c r="C1629" s="3" t="n"/>
      <c r="D1629" s="3" t="n"/>
      <c r="E1629" s="3" t="n"/>
      <c r="F1629" s="3" t="n"/>
      <c r="G1629" s="3" t="n"/>
      <c r="H1629" s="3" t="inlineStr"/>
      <c r="I1629" s="3" t="n"/>
      <c r="J1629" s="3" t="n"/>
      <c r="K1629" s="3" t="n"/>
      <c r="L1629" s="3" t="inlineStr"/>
      <c r="M1629" s="3" t="n"/>
      <c r="N1629" s="3" t="inlineStr"/>
      <c r="O1629" s="3" t="n"/>
      <c r="P1629" s="3" t="n"/>
      <c r="Q1629" s="3" t="n"/>
      <c r="R1629" s="3" t="n"/>
      <c r="S1629" s="3" t="n"/>
      <c r="T1629" s="3" t="n"/>
      <c r="U1629" s="3" t="n"/>
      <c r="V1629" s="3" t="n"/>
      <c r="W1629" s="3" t="n"/>
      <c r="X1629" s="3" t="n"/>
      <c r="Y1629" s="3" t="n"/>
      <c r="Z1629" s="3" t="n"/>
      <c r="AA1629" s="3" t="n"/>
    </row>
    <row r="1630">
      <c r="A1630" s="105" t="n"/>
      <c r="B1630" s="105" t="n"/>
      <c r="C1630" s="3" t="n"/>
      <c r="D1630" s="3" t="n"/>
      <c r="E1630" s="3" t="n"/>
      <c r="F1630" s="3" t="n"/>
      <c r="G1630" s="3" t="n"/>
      <c r="H1630" s="3" t="inlineStr"/>
      <c r="I1630" s="3" t="n"/>
      <c r="J1630" s="3" t="n"/>
      <c r="K1630" s="3" t="n"/>
      <c r="L1630" s="3" t="inlineStr"/>
      <c r="M1630" s="3" t="n"/>
      <c r="N1630" s="3" t="inlineStr"/>
      <c r="O1630" s="3" t="n"/>
      <c r="P1630" s="3" t="n"/>
      <c r="Q1630" s="3" t="n"/>
      <c r="R1630" s="3" t="n"/>
      <c r="S1630" s="3" t="n"/>
      <c r="T1630" s="3" t="n"/>
      <c r="U1630" s="3" t="n"/>
      <c r="V1630" s="3" t="n"/>
      <c r="W1630" s="3" t="n"/>
      <c r="X1630" s="3" t="n"/>
      <c r="Y1630" s="3" t="n"/>
      <c r="Z1630" s="3" t="n"/>
      <c r="AA1630" s="3" t="n"/>
    </row>
    <row r="1631">
      <c r="A1631" s="105" t="n"/>
      <c r="B1631" s="105" t="n"/>
      <c r="C1631" s="3" t="n"/>
      <c r="D1631" s="3" t="n"/>
      <c r="E1631" s="3" t="n"/>
      <c r="F1631" s="3" t="n"/>
      <c r="G1631" s="3" t="n"/>
      <c r="H1631" s="3" t="inlineStr"/>
      <c r="I1631" s="3" t="n"/>
      <c r="J1631" s="3" t="n"/>
      <c r="K1631" s="3" t="n"/>
      <c r="L1631" s="3" t="inlineStr"/>
      <c r="M1631" s="3" t="n"/>
      <c r="N1631" s="3" t="inlineStr"/>
      <c r="O1631" s="3" t="n"/>
      <c r="P1631" s="3" t="n"/>
      <c r="Q1631" s="3" t="n"/>
      <c r="R1631" s="3" t="n"/>
      <c r="S1631" s="3" t="n"/>
      <c r="T1631" s="3" t="n"/>
      <c r="U1631" s="3" t="n"/>
      <c r="V1631" s="3" t="n"/>
      <c r="W1631" s="3" t="n"/>
      <c r="X1631" s="3" t="n"/>
      <c r="Y1631" s="3" t="n"/>
      <c r="Z1631" s="3" t="n"/>
      <c r="AA1631" s="3" t="n"/>
    </row>
    <row r="1632">
      <c r="A1632" s="105" t="n"/>
      <c r="B1632" s="105" t="n"/>
      <c r="C1632" s="3" t="n"/>
      <c r="D1632" s="3" t="n"/>
      <c r="E1632" s="3" t="n"/>
      <c r="F1632" s="3" t="n"/>
      <c r="G1632" s="3" t="n"/>
      <c r="H1632" s="3" t="inlineStr"/>
      <c r="I1632" s="3" t="n"/>
      <c r="J1632" s="3" t="n"/>
      <c r="K1632" s="3" t="n"/>
      <c r="L1632" s="3" t="inlineStr"/>
      <c r="M1632" s="3" t="n"/>
      <c r="N1632" s="3" t="inlineStr"/>
      <c r="O1632" s="3" t="n"/>
      <c r="P1632" s="3" t="n"/>
      <c r="Q1632" s="3" t="n"/>
      <c r="R1632" s="3" t="n"/>
      <c r="S1632" s="3" t="n"/>
      <c r="T1632" s="3" t="n"/>
      <c r="U1632" s="3" t="n"/>
      <c r="V1632" s="3" t="n"/>
      <c r="W1632" s="3" t="n"/>
      <c r="X1632" s="3" t="n"/>
      <c r="Y1632" s="3" t="n"/>
      <c r="Z1632" s="3" t="n"/>
      <c r="AA1632" s="3" t="n"/>
    </row>
    <row r="1633">
      <c r="A1633" s="105" t="n"/>
      <c r="B1633" s="105" t="n"/>
      <c r="C1633" s="3" t="n"/>
      <c r="D1633" s="3" t="n"/>
      <c r="E1633" s="3" t="n"/>
      <c r="F1633" s="3" t="n"/>
      <c r="G1633" s="3" t="n"/>
      <c r="H1633" s="3" t="inlineStr"/>
      <c r="I1633" s="3" t="n"/>
      <c r="J1633" s="3" t="n"/>
      <c r="K1633" s="3" t="n"/>
      <c r="L1633" s="3" t="inlineStr"/>
      <c r="M1633" s="3" t="n"/>
      <c r="N1633" s="3" t="inlineStr"/>
      <c r="O1633" s="3" t="n"/>
      <c r="P1633" s="3" t="n"/>
      <c r="Q1633" s="3" t="n"/>
      <c r="R1633" s="3" t="n"/>
      <c r="S1633" s="3" t="n"/>
      <c r="T1633" s="3" t="n"/>
      <c r="U1633" s="3" t="n"/>
      <c r="V1633" s="3" t="n"/>
      <c r="W1633" s="3" t="n"/>
      <c r="X1633" s="3" t="n"/>
      <c r="Y1633" s="3" t="n"/>
      <c r="Z1633" s="3" t="n"/>
      <c r="AA1633" s="3" t="n"/>
    </row>
    <row r="1634">
      <c r="A1634" s="105" t="n"/>
      <c r="B1634" s="105" t="n"/>
      <c r="C1634" s="3" t="n"/>
      <c r="D1634" s="3" t="n"/>
      <c r="E1634" s="3" t="n"/>
      <c r="F1634" s="3" t="n"/>
      <c r="G1634" s="3" t="n"/>
      <c r="H1634" s="3" t="inlineStr"/>
      <c r="I1634" s="3" t="n"/>
      <c r="J1634" s="3" t="n"/>
      <c r="K1634" s="3" t="n"/>
      <c r="L1634" s="3" t="inlineStr"/>
      <c r="M1634" s="3" t="n"/>
      <c r="N1634" s="3" t="inlineStr"/>
      <c r="O1634" s="3" t="n"/>
      <c r="P1634" s="3" t="n"/>
      <c r="Q1634" s="3" t="n"/>
      <c r="R1634" s="3" t="n"/>
      <c r="S1634" s="3" t="n"/>
      <c r="T1634" s="3" t="n"/>
      <c r="U1634" s="3" t="n"/>
      <c r="V1634" s="3" t="n"/>
      <c r="W1634" s="3" t="n"/>
      <c r="X1634" s="3" t="n"/>
      <c r="Y1634" s="3" t="n"/>
      <c r="Z1634" s="3" t="n"/>
      <c r="AA1634" s="3" t="n"/>
    </row>
    <row r="1635">
      <c r="A1635" s="105" t="n"/>
      <c r="B1635" s="105" t="n"/>
      <c r="C1635" s="3" t="n"/>
      <c r="D1635" s="3" t="n"/>
      <c r="E1635" s="3" t="n"/>
      <c r="F1635" s="3" t="n"/>
      <c r="G1635" s="3" t="n"/>
      <c r="H1635" s="3" t="inlineStr"/>
      <c r="I1635" s="3" t="n"/>
      <c r="J1635" s="3" t="n"/>
      <c r="K1635" s="3" t="n"/>
      <c r="L1635" s="3" t="inlineStr"/>
      <c r="M1635" s="3" t="n"/>
      <c r="N1635" s="3" t="inlineStr"/>
      <c r="O1635" s="3" t="n"/>
      <c r="P1635" s="3" t="n"/>
      <c r="Q1635" s="3" t="n"/>
      <c r="R1635" s="3" t="n"/>
      <c r="S1635" s="3" t="n"/>
      <c r="T1635" s="3" t="n"/>
      <c r="U1635" s="3" t="n"/>
      <c r="V1635" s="3" t="n"/>
      <c r="W1635" s="3" t="n"/>
      <c r="X1635" s="3" t="n"/>
      <c r="Y1635" s="3" t="n"/>
      <c r="Z1635" s="3" t="n"/>
      <c r="AA1635" s="3" t="n"/>
    </row>
    <row r="1636">
      <c r="A1636" s="105" t="n"/>
      <c r="B1636" s="105" t="n"/>
      <c r="C1636" s="3" t="n"/>
      <c r="D1636" s="3" t="n"/>
      <c r="E1636" s="3" t="n"/>
      <c r="F1636" s="3" t="n"/>
      <c r="G1636" s="3" t="n"/>
      <c r="H1636" s="3" t="inlineStr"/>
      <c r="I1636" s="3" t="n"/>
      <c r="J1636" s="3" t="n"/>
      <c r="K1636" s="3" t="n"/>
      <c r="L1636" s="3" t="inlineStr"/>
      <c r="M1636" s="3" t="n"/>
      <c r="N1636" s="3" t="inlineStr"/>
      <c r="O1636" s="3" t="n"/>
      <c r="P1636" s="3" t="n"/>
      <c r="Q1636" s="3" t="n"/>
      <c r="R1636" s="3" t="n"/>
      <c r="S1636" s="3" t="n"/>
      <c r="T1636" s="3" t="n"/>
      <c r="U1636" s="3" t="n"/>
      <c r="V1636" s="3" t="n"/>
      <c r="W1636" s="3" t="n"/>
      <c r="X1636" s="3" t="n"/>
      <c r="Y1636" s="3" t="n"/>
      <c r="Z1636" s="3" t="n"/>
      <c r="AA1636" s="3" t="n"/>
    </row>
    <row r="1637">
      <c r="A1637" s="105" t="n"/>
      <c r="B1637" s="105" t="n"/>
      <c r="C1637" s="3" t="n"/>
      <c r="D1637" s="3" t="n"/>
      <c r="E1637" s="3" t="n"/>
      <c r="F1637" s="3" t="n"/>
      <c r="G1637" s="3" t="n"/>
      <c r="H1637" s="3" t="inlineStr"/>
      <c r="I1637" s="3" t="n"/>
      <c r="J1637" s="3" t="n"/>
      <c r="K1637" s="3" t="n"/>
      <c r="L1637" s="3" t="inlineStr"/>
      <c r="M1637" s="3" t="n"/>
      <c r="N1637" s="3" t="inlineStr"/>
      <c r="O1637" s="3" t="n"/>
      <c r="P1637" s="3" t="n"/>
      <c r="Q1637" s="3" t="n"/>
      <c r="R1637" s="3" t="n"/>
      <c r="S1637" s="3" t="n"/>
      <c r="T1637" s="3" t="n"/>
      <c r="U1637" s="3" t="n"/>
      <c r="V1637" s="3" t="n"/>
      <c r="W1637" s="3" t="n"/>
      <c r="X1637" s="3" t="n"/>
      <c r="Y1637" s="3" t="n"/>
      <c r="Z1637" s="3" t="n"/>
      <c r="AA1637" s="3" t="n"/>
    </row>
    <row r="1638">
      <c r="A1638" s="105" t="n"/>
      <c r="B1638" s="105" t="n"/>
      <c r="C1638" s="3" t="n"/>
      <c r="D1638" s="3" t="n"/>
      <c r="E1638" s="3" t="n"/>
      <c r="F1638" s="3" t="n"/>
      <c r="G1638" s="3" t="n"/>
      <c r="H1638" s="3" t="inlineStr"/>
      <c r="I1638" s="3" t="n"/>
      <c r="J1638" s="3" t="n"/>
      <c r="K1638" s="3" t="n"/>
      <c r="L1638" s="3" t="inlineStr"/>
      <c r="M1638" s="3" t="n"/>
      <c r="N1638" s="3" t="inlineStr"/>
      <c r="O1638" s="3" t="n"/>
      <c r="P1638" s="3" t="n"/>
      <c r="Q1638" s="3" t="n"/>
      <c r="R1638" s="3" t="n"/>
      <c r="S1638" s="3" t="n"/>
      <c r="T1638" s="3" t="n"/>
      <c r="U1638" s="3" t="n"/>
      <c r="V1638" s="3" t="n"/>
      <c r="W1638" s="3" t="n"/>
      <c r="X1638" s="3" t="n"/>
      <c r="Y1638" s="3" t="n"/>
      <c r="Z1638" s="3" t="n"/>
      <c r="AA1638" s="3" t="n"/>
    </row>
    <row r="1639">
      <c r="A1639" s="105" t="n"/>
      <c r="B1639" s="105" t="n"/>
      <c r="C1639" s="3" t="n"/>
      <c r="D1639" s="3" t="n"/>
      <c r="E1639" s="3" t="n"/>
      <c r="F1639" s="3" t="n"/>
      <c r="G1639" s="3" t="n"/>
      <c r="H1639" s="3" t="inlineStr"/>
      <c r="I1639" s="3" t="n"/>
      <c r="J1639" s="3" t="n"/>
      <c r="K1639" s="3" t="n"/>
      <c r="L1639" s="3" t="inlineStr"/>
      <c r="M1639" s="3" t="n"/>
      <c r="N1639" s="3" t="inlineStr"/>
      <c r="O1639" s="3" t="n"/>
      <c r="P1639" s="3" t="n"/>
      <c r="Q1639" s="3" t="n"/>
      <c r="R1639" s="3" t="n"/>
      <c r="S1639" s="3" t="n"/>
      <c r="T1639" s="3" t="n"/>
      <c r="U1639" s="3" t="n"/>
      <c r="V1639" s="3" t="n"/>
      <c r="W1639" s="3" t="n"/>
      <c r="X1639" s="3" t="n"/>
      <c r="Y1639" s="3" t="n"/>
      <c r="Z1639" s="3" t="n"/>
      <c r="AA1639" s="3" t="n"/>
    </row>
    <row r="1640">
      <c r="A1640" s="105" t="n"/>
      <c r="B1640" s="105" t="n"/>
      <c r="C1640" s="3" t="n"/>
      <c r="D1640" s="3" t="n"/>
      <c r="E1640" s="3" t="n"/>
      <c r="F1640" s="3" t="n"/>
      <c r="G1640" s="3" t="n"/>
      <c r="H1640" s="3" t="inlineStr"/>
      <c r="I1640" s="3" t="n"/>
      <c r="J1640" s="3" t="n"/>
      <c r="K1640" s="3" t="n"/>
      <c r="L1640" s="3" t="inlineStr"/>
      <c r="M1640" s="3" t="n"/>
      <c r="N1640" s="3" t="inlineStr"/>
      <c r="O1640" s="3" t="n"/>
      <c r="P1640" s="3" t="n"/>
      <c r="Q1640" s="3" t="n"/>
      <c r="R1640" s="3" t="n"/>
      <c r="S1640" s="3" t="n"/>
      <c r="T1640" s="3" t="n"/>
      <c r="U1640" s="3" t="n"/>
      <c r="V1640" s="3" t="n"/>
      <c r="W1640" s="3" t="n"/>
      <c r="X1640" s="3" t="n"/>
      <c r="Y1640" s="3" t="n"/>
      <c r="Z1640" s="3" t="n"/>
      <c r="AA1640" s="3" t="n"/>
    </row>
    <row r="1641">
      <c r="A1641" s="105" t="n"/>
      <c r="B1641" s="105" t="n"/>
      <c r="C1641" s="3" t="n"/>
      <c r="D1641" s="3" t="n"/>
      <c r="E1641" s="3" t="n"/>
      <c r="F1641" s="3" t="n"/>
      <c r="G1641" s="3" t="n"/>
      <c r="H1641" s="3" t="inlineStr"/>
      <c r="I1641" s="3" t="n"/>
      <c r="J1641" s="3" t="n"/>
      <c r="K1641" s="3" t="n"/>
      <c r="L1641" s="3" t="inlineStr"/>
      <c r="M1641" s="3" t="n"/>
      <c r="N1641" s="3" t="inlineStr"/>
      <c r="O1641" s="3" t="n"/>
      <c r="P1641" s="3" t="n"/>
      <c r="Q1641" s="3" t="n"/>
      <c r="R1641" s="3" t="n"/>
      <c r="S1641" s="3" t="n"/>
      <c r="T1641" s="3" t="n"/>
      <c r="U1641" s="3" t="n"/>
      <c r="V1641" s="3" t="n"/>
      <c r="W1641" s="3" t="n"/>
      <c r="X1641" s="3" t="n"/>
      <c r="Y1641" s="3" t="n"/>
      <c r="Z1641" s="3" t="n"/>
      <c r="AA1641" s="3" t="n"/>
    </row>
    <row r="1642">
      <c r="A1642" s="105" t="n"/>
      <c r="B1642" s="105" t="n"/>
      <c r="C1642" s="3" t="n"/>
      <c r="D1642" s="3" t="n"/>
      <c r="E1642" s="3" t="n"/>
      <c r="F1642" s="3" t="n"/>
      <c r="G1642" s="3" t="n"/>
      <c r="H1642" s="3" t="inlineStr"/>
      <c r="I1642" s="3" t="n"/>
      <c r="J1642" s="3" t="n"/>
      <c r="K1642" s="3" t="n"/>
      <c r="L1642" s="3" t="inlineStr"/>
      <c r="M1642" s="3" t="n"/>
      <c r="N1642" s="3" t="inlineStr"/>
      <c r="O1642" s="3" t="n"/>
      <c r="P1642" s="3" t="n"/>
      <c r="Q1642" s="3" t="n"/>
      <c r="R1642" s="3" t="n"/>
      <c r="S1642" s="3" t="n"/>
      <c r="T1642" s="3" t="n"/>
      <c r="U1642" s="3" t="n"/>
      <c r="V1642" s="3" t="n"/>
      <c r="W1642" s="3" t="n"/>
      <c r="X1642" s="3" t="n"/>
      <c r="Y1642" s="3" t="n"/>
      <c r="Z1642" s="3" t="n"/>
      <c r="AA1642" s="3" t="n"/>
    </row>
    <row r="1643">
      <c r="A1643" s="105" t="n"/>
      <c r="B1643" s="105" t="n"/>
      <c r="C1643" s="3" t="n"/>
      <c r="D1643" s="3" t="n"/>
      <c r="E1643" s="3" t="n"/>
      <c r="F1643" s="3" t="n"/>
      <c r="G1643" s="3" t="n"/>
      <c r="H1643" s="3" t="inlineStr"/>
      <c r="I1643" s="3" t="n"/>
      <c r="J1643" s="3" t="n"/>
      <c r="K1643" s="3" t="n"/>
      <c r="L1643" s="3" t="inlineStr"/>
      <c r="M1643" s="3" t="n"/>
      <c r="N1643" s="3" t="inlineStr"/>
      <c r="O1643" s="3" t="n"/>
      <c r="P1643" s="3" t="n"/>
      <c r="Q1643" s="3" t="n"/>
      <c r="R1643" s="3" t="n"/>
      <c r="S1643" s="3" t="n"/>
      <c r="T1643" s="3" t="n"/>
      <c r="U1643" s="3" t="n"/>
      <c r="V1643" s="3" t="n"/>
      <c r="W1643" s="3" t="n"/>
      <c r="X1643" s="3" t="n"/>
      <c r="Y1643" s="3" t="n"/>
      <c r="Z1643" s="3" t="n"/>
      <c r="AA1643" s="3" t="n"/>
    </row>
    <row r="1644">
      <c r="A1644" s="105" t="n"/>
      <c r="B1644" s="105" t="n"/>
      <c r="C1644" s="3" t="n"/>
      <c r="D1644" s="3" t="n"/>
      <c r="E1644" s="3" t="n"/>
      <c r="F1644" s="3" t="n"/>
      <c r="G1644" s="3" t="n"/>
      <c r="H1644" s="3" t="inlineStr"/>
      <c r="I1644" s="3" t="n"/>
      <c r="J1644" s="3" t="n"/>
      <c r="K1644" s="3" t="n"/>
      <c r="L1644" s="3" t="inlineStr"/>
      <c r="M1644" s="3" t="n"/>
      <c r="N1644" s="3" t="inlineStr"/>
      <c r="O1644" s="3" t="n"/>
      <c r="P1644" s="3" t="n"/>
      <c r="Q1644" s="3" t="n"/>
      <c r="R1644" s="3" t="n"/>
      <c r="S1644" s="3" t="n"/>
      <c r="T1644" s="3" t="n"/>
      <c r="U1644" s="3" t="n"/>
      <c r="V1644" s="3" t="n"/>
      <c r="W1644" s="3" t="n"/>
      <c r="X1644" s="3" t="n"/>
      <c r="Y1644" s="3" t="n"/>
      <c r="Z1644" s="3" t="n"/>
      <c r="AA1644" s="3" t="n"/>
    </row>
    <row r="1645">
      <c r="A1645" s="105" t="n"/>
      <c r="B1645" s="105" t="n"/>
      <c r="C1645" s="3" t="n"/>
      <c r="D1645" s="3" t="n"/>
      <c r="E1645" s="3" t="n"/>
      <c r="F1645" s="3" t="n"/>
      <c r="G1645" s="3" t="n"/>
      <c r="H1645" s="3" t="inlineStr"/>
      <c r="I1645" s="3" t="n"/>
      <c r="J1645" s="3" t="n"/>
      <c r="K1645" s="3" t="n"/>
      <c r="L1645" s="3" t="inlineStr"/>
      <c r="M1645" s="3" t="n"/>
      <c r="N1645" s="3" t="inlineStr"/>
      <c r="O1645" s="3" t="n"/>
      <c r="P1645" s="3" t="n"/>
      <c r="Q1645" s="3" t="n"/>
      <c r="R1645" s="3" t="n"/>
      <c r="S1645" s="3" t="n"/>
      <c r="T1645" s="3" t="n"/>
      <c r="U1645" s="3" t="n"/>
      <c r="V1645" s="3" t="n"/>
      <c r="W1645" s="3" t="n"/>
      <c r="X1645" s="3" t="n"/>
      <c r="Y1645" s="3" t="n"/>
      <c r="Z1645" s="3" t="n"/>
      <c r="AA1645" s="3" t="n"/>
    </row>
    <row r="1646">
      <c r="A1646" s="105" t="n"/>
      <c r="B1646" s="105" t="n"/>
      <c r="C1646" s="3" t="n"/>
      <c r="D1646" s="3" t="n"/>
      <c r="E1646" s="3" t="n"/>
      <c r="F1646" s="3" t="n"/>
      <c r="G1646" s="3" t="n"/>
      <c r="H1646" s="3" t="inlineStr"/>
      <c r="I1646" s="3" t="n"/>
      <c r="J1646" s="3" t="n"/>
      <c r="K1646" s="3" t="n"/>
      <c r="L1646" s="3" t="inlineStr"/>
      <c r="M1646" s="3" t="n"/>
      <c r="N1646" s="3" t="inlineStr"/>
      <c r="O1646" s="3" t="n"/>
      <c r="P1646" s="3" t="n"/>
      <c r="Q1646" s="3" t="n"/>
      <c r="R1646" s="3" t="n"/>
      <c r="S1646" s="3" t="n"/>
      <c r="T1646" s="3" t="n"/>
      <c r="U1646" s="3" t="n"/>
      <c r="V1646" s="3" t="n"/>
      <c r="W1646" s="3" t="n"/>
      <c r="X1646" s="3" t="n"/>
      <c r="Y1646" s="3" t="n"/>
      <c r="Z1646" s="3" t="n"/>
      <c r="AA1646" s="3" t="n"/>
    </row>
    <row r="1647">
      <c r="A1647" s="105" t="n"/>
      <c r="B1647" s="105" t="n"/>
      <c r="C1647" s="3" t="n"/>
      <c r="D1647" s="3" t="n"/>
      <c r="E1647" s="3" t="n"/>
      <c r="F1647" s="3" t="n"/>
      <c r="G1647" s="3" t="n"/>
      <c r="H1647" s="3" t="inlineStr"/>
      <c r="I1647" s="3" t="n"/>
      <c r="J1647" s="3" t="n"/>
      <c r="K1647" s="3" t="n"/>
      <c r="L1647" s="3" t="inlineStr"/>
      <c r="M1647" s="3" t="n"/>
      <c r="N1647" s="3" t="inlineStr"/>
      <c r="O1647" s="3" t="n"/>
      <c r="P1647" s="3" t="n"/>
      <c r="Q1647" s="3" t="n"/>
      <c r="R1647" s="3" t="n"/>
      <c r="S1647" s="3" t="n"/>
      <c r="T1647" s="3" t="n"/>
      <c r="U1647" s="3" t="n"/>
      <c r="V1647" s="3" t="n"/>
      <c r="W1647" s="3" t="n"/>
      <c r="X1647" s="3" t="n"/>
      <c r="Y1647" s="3" t="n"/>
      <c r="Z1647" s="3" t="n"/>
      <c r="AA1647" s="3" t="n"/>
    </row>
    <row r="1648">
      <c r="A1648" s="105" t="n"/>
      <c r="B1648" s="105" t="n"/>
      <c r="C1648" s="3" t="n"/>
      <c r="D1648" s="3" t="n"/>
      <c r="E1648" s="3" t="n"/>
      <c r="F1648" s="3" t="n"/>
      <c r="G1648" s="3" t="n"/>
      <c r="H1648" s="3" t="inlineStr"/>
      <c r="I1648" s="3" t="n"/>
      <c r="J1648" s="3" t="n"/>
      <c r="K1648" s="3" t="n"/>
      <c r="L1648" s="3" t="inlineStr"/>
      <c r="M1648" s="3" t="n"/>
      <c r="N1648" s="3" t="inlineStr"/>
      <c r="O1648" s="3" t="n"/>
      <c r="P1648" s="3" t="n"/>
      <c r="Q1648" s="3" t="n"/>
      <c r="R1648" s="3" t="n"/>
      <c r="S1648" s="3" t="n"/>
      <c r="T1648" s="3" t="n"/>
      <c r="U1648" s="3" t="n"/>
      <c r="V1648" s="3" t="n"/>
      <c r="W1648" s="3" t="n"/>
      <c r="X1648" s="3" t="n"/>
      <c r="Y1648" s="3" t="n"/>
      <c r="Z1648" s="3" t="n"/>
      <c r="AA1648" s="3" t="n"/>
    </row>
    <row r="1649">
      <c r="A1649" s="105" t="n"/>
      <c r="B1649" s="105" t="n"/>
      <c r="C1649" s="3" t="n"/>
      <c r="D1649" s="3" t="n"/>
      <c r="E1649" s="3" t="n"/>
      <c r="F1649" s="3" t="n"/>
      <c r="G1649" s="3" t="n"/>
      <c r="H1649" s="3" t="inlineStr"/>
      <c r="I1649" s="3" t="n"/>
      <c r="J1649" s="3" t="n"/>
      <c r="K1649" s="3" t="n"/>
      <c r="L1649" s="3" t="inlineStr"/>
      <c r="M1649" s="3" t="n"/>
      <c r="N1649" s="3" t="inlineStr"/>
      <c r="O1649" s="3" t="n"/>
      <c r="P1649" s="3" t="n"/>
      <c r="Q1649" s="3" t="n"/>
      <c r="R1649" s="3" t="n"/>
      <c r="S1649" s="3" t="n"/>
      <c r="T1649" s="3" t="n"/>
      <c r="U1649" s="3" t="n"/>
      <c r="V1649" s="3" t="n"/>
      <c r="W1649" s="3" t="n"/>
      <c r="X1649" s="3" t="n"/>
      <c r="Y1649" s="3" t="n"/>
      <c r="Z1649" s="3" t="n"/>
      <c r="AA1649" s="3" t="n"/>
    </row>
    <row r="1650">
      <c r="A1650" s="105" t="n"/>
      <c r="B1650" s="105" t="n"/>
      <c r="C1650" s="3" t="n"/>
      <c r="D1650" s="3" t="n"/>
      <c r="E1650" s="3" t="n"/>
      <c r="F1650" s="3" t="n"/>
      <c r="G1650" s="3" t="n"/>
      <c r="H1650" s="3" t="inlineStr"/>
      <c r="I1650" s="3" t="n"/>
      <c r="J1650" s="3" t="n"/>
      <c r="K1650" s="3" t="n"/>
      <c r="L1650" s="3" t="inlineStr"/>
      <c r="M1650" s="3" t="n"/>
      <c r="N1650" s="3" t="inlineStr"/>
      <c r="O1650" s="3" t="n"/>
      <c r="P1650" s="3" t="n"/>
      <c r="Q1650" s="3" t="n"/>
      <c r="R1650" s="3" t="n"/>
      <c r="S1650" s="3" t="n"/>
      <c r="T1650" s="3" t="n"/>
      <c r="U1650" s="3" t="n"/>
      <c r="V1650" s="3" t="n"/>
      <c r="W1650" s="3" t="n"/>
      <c r="X1650" s="3" t="n"/>
      <c r="Y1650" s="3" t="n"/>
      <c r="Z1650" s="3" t="n"/>
      <c r="AA1650" s="3" t="n"/>
    </row>
    <row r="1651">
      <c r="A1651" s="105" t="n"/>
      <c r="B1651" s="105" t="n"/>
      <c r="C1651" s="3" t="n"/>
      <c r="D1651" s="3" t="n"/>
      <c r="E1651" s="3" t="n"/>
      <c r="F1651" s="3" t="n"/>
      <c r="G1651" s="3" t="n"/>
      <c r="H1651" s="3" t="inlineStr"/>
      <c r="I1651" s="3" t="n"/>
      <c r="J1651" s="3" t="n"/>
      <c r="K1651" s="3" t="n"/>
      <c r="L1651" s="3" t="inlineStr"/>
      <c r="M1651" s="3" t="n"/>
      <c r="N1651" s="3" t="inlineStr"/>
      <c r="O1651" s="3" t="n"/>
      <c r="P1651" s="3" t="n"/>
      <c r="Q1651" s="3" t="n"/>
      <c r="R1651" s="3" t="n"/>
      <c r="S1651" s="3" t="n"/>
      <c r="T1651" s="3" t="n"/>
      <c r="U1651" s="3" t="n"/>
      <c r="V1651" s="3" t="n"/>
      <c r="W1651" s="3" t="n"/>
      <c r="X1651" s="3" t="n"/>
      <c r="Y1651" s="3" t="n"/>
      <c r="Z1651" s="3" t="n"/>
      <c r="AA1651" s="3" t="n"/>
    </row>
    <row r="1652">
      <c r="A1652" s="105" t="n"/>
      <c r="B1652" s="105" t="n"/>
      <c r="C1652" s="3" t="n"/>
      <c r="D1652" s="3" t="n"/>
      <c r="E1652" s="3" t="n"/>
      <c r="F1652" s="3" t="n"/>
      <c r="G1652" s="3" t="n"/>
      <c r="H1652" s="3" t="inlineStr"/>
      <c r="I1652" s="3" t="n"/>
      <c r="J1652" s="3" t="n"/>
      <c r="K1652" s="3" t="n"/>
      <c r="L1652" s="3" t="inlineStr"/>
      <c r="M1652" s="3" t="n"/>
      <c r="N1652" s="3" t="inlineStr"/>
      <c r="O1652" s="3" t="n"/>
      <c r="P1652" s="3" t="n"/>
      <c r="Q1652" s="3" t="n"/>
      <c r="R1652" s="3" t="n"/>
      <c r="S1652" s="3" t="n"/>
      <c r="T1652" s="3" t="n"/>
      <c r="U1652" s="3" t="n"/>
      <c r="V1652" s="3" t="n"/>
      <c r="W1652" s="3" t="n"/>
      <c r="X1652" s="3" t="n"/>
      <c r="Y1652" s="3" t="n"/>
      <c r="Z1652" s="3" t="n"/>
      <c r="AA1652" s="3" t="n"/>
    </row>
    <row r="1653">
      <c r="A1653" s="105" t="n"/>
      <c r="B1653" s="105" t="n"/>
      <c r="C1653" s="3" t="n"/>
      <c r="D1653" s="3" t="n"/>
      <c r="E1653" s="3" t="n"/>
      <c r="F1653" s="3" t="n"/>
      <c r="G1653" s="3" t="n"/>
      <c r="H1653" s="3" t="inlineStr"/>
      <c r="I1653" s="3" t="n"/>
      <c r="J1653" s="3" t="n"/>
      <c r="K1653" s="3" t="n"/>
      <c r="L1653" s="3" t="inlineStr"/>
      <c r="M1653" s="3" t="n"/>
      <c r="N1653" s="3" t="inlineStr"/>
      <c r="O1653" s="3" t="n"/>
      <c r="P1653" s="3" t="n"/>
      <c r="Q1653" s="3" t="n"/>
      <c r="R1653" s="3" t="n"/>
      <c r="S1653" s="3" t="n"/>
      <c r="T1653" s="3" t="n"/>
      <c r="U1653" s="3" t="n"/>
      <c r="V1653" s="3" t="n"/>
      <c r="W1653" s="3" t="n"/>
      <c r="X1653" s="3" t="n"/>
      <c r="Y1653" s="3" t="n"/>
      <c r="Z1653" s="3" t="n"/>
      <c r="AA1653" s="3" t="n"/>
    </row>
    <row r="1654">
      <c r="A1654" s="105" t="n"/>
      <c r="B1654" s="105" t="n"/>
      <c r="C1654" s="3" t="n"/>
      <c r="D1654" s="3" t="n"/>
      <c r="E1654" s="3" t="n"/>
      <c r="F1654" s="3" t="n"/>
      <c r="G1654" s="3" t="n"/>
      <c r="H1654" s="3" t="inlineStr"/>
      <c r="I1654" s="3" t="n"/>
      <c r="J1654" s="3" t="n"/>
      <c r="K1654" s="3" t="n"/>
      <c r="L1654" s="3" t="inlineStr"/>
      <c r="M1654" s="3" t="n"/>
      <c r="N1654" s="3" t="inlineStr"/>
      <c r="O1654" s="3" t="n"/>
      <c r="P1654" s="3" t="n"/>
      <c r="Q1654" s="3" t="n"/>
      <c r="R1654" s="3" t="n"/>
      <c r="S1654" s="3" t="n"/>
      <c r="T1654" s="3" t="n"/>
      <c r="U1654" s="3" t="n"/>
      <c r="V1654" s="3" t="n"/>
      <c r="W1654" s="3" t="n"/>
      <c r="X1654" s="3" t="n"/>
      <c r="Y1654" s="3" t="n"/>
      <c r="Z1654" s="3" t="n"/>
      <c r="AA1654" s="3" t="n"/>
    </row>
    <row r="1655">
      <c r="A1655" s="105" t="n"/>
      <c r="B1655" s="105" t="n"/>
      <c r="C1655" s="3" t="n"/>
      <c r="D1655" s="3" t="n"/>
      <c r="E1655" s="3" t="n"/>
      <c r="F1655" s="3" t="n"/>
      <c r="G1655" s="3" t="n"/>
      <c r="H1655" s="3" t="inlineStr"/>
      <c r="I1655" s="3" t="n"/>
      <c r="J1655" s="3" t="n"/>
      <c r="K1655" s="3" t="n"/>
      <c r="L1655" s="3" t="inlineStr"/>
      <c r="M1655" s="3" t="n"/>
      <c r="N1655" s="3" t="inlineStr"/>
      <c r="O1655" s="3" t="n"/>
      <c r="P1655" s="3" t="n"/>
      <c r="Q1655" s="3" t="n"/>
      <c r="R1655" s="3" t="n"/>
      <c r="S1655" s="3" t="n"/>
      <c r="T1655" s="3" t="n"/>
      <c r="U1655" s="3" t="n"/>
      <c r="V1655" s="3" t="n"/>
      <c r="W1655" s="3" t="n"/>
      <c r="X1655" s="3" t="n"/>
      <c r="Y1655" s="3" t="n"/>
      <c r="Z1655" s="3" t="n"/>
      <c r="AA1655" s="3" t="n"/>
    </row>
    <row r="1656">
      <c r="A1656" s="105" t="n"/>
      <c r="B1656" s="105" t="n"/>
      <c r="C1656" s="3" t="n"/>
      <c r="D1656" s="3" t="n"/>
      <c r="E1656" s="3" t="n"/>
      <c r="F1656" s="3" t="n"/>
      <c r="G1656" s="3" t="n"/>
      <c r="H1656" s="3" t="inlineStr"/>
      <c r="I1656" s="3" t="n"/>
      <c r="J1656" s="3" t="n"/>
      <c r="K1656" s="3" t="n"/>
      <c r="L1656" s="3" t="inlineStr"/>
      <c r="M1656" s="3" t="n"/>
      <c r="N1656" s="3" t="inlineStr"/>
      <c r="O1656" s="3" t="n"/>
      <c r="P1656" s="3" t="n"/>
      <c r="Q1656" s="3" t="n"/>
      <c r="R1656" s="3" t="n"/>
      <c r="S1656" s="3" t="n"/>
      <c r="T1656" s="3" t="n"/>
      <c r="U1656" s="3" t="n"/>
      <c r="V1656" s="3" t="n"/>
      <c r="W1656" s="3" t="n"/>
      <c r="X1656" s="3" t="n"/>
      <c r="Y1656" s="3" t="n"/>
      <c r="Z1656" s="3" t="n"/>
      <c r="AA1656" s="3" t="n"/>
    </row>
    <row r="1657">
      <c r="A1657" s="105" t="n"/>
      <c r="B1657" s="105" t="n"/>
      <c r="C1657" s="3" t="n"/>
      <c r="D1657" s="3" t="n"/>
      <c r="E1657" s="3" t="n"/>
      <c r="F1657" s="3" t="n"/>
      <c r="G1657" s="3" t="n"/>
      <c r="H1657" s="3" t="inlineStr"/>
      <c r="I1657" s="3" t="n"/>
      <c r="J1657" s="3" t="n"/>
      <c r="K1657" s="3" t="n"/>
      <c r="L1657" s="3" t="inlineStr"/>
      <c r="M1657" s="3" t="n"/>
      <c r="N1657" s="3" t="inlineStr"/>
      <c r="O1657" s="3" t="n"/>
      <c r="P1657" s="3" t="n"/>
      <c r="Q1657" s="3" t="n"/>
      <c r="R1657" s="3" t="n"/>
      <c r="S1657" s="3" t="n"/>
      <c r="T1657" s="3" t="n"/>
      <c r="U1657" s="3" t="n"/>
      <c r="V1657" s="3" t="n"/>
      <c r="W1657" s="3" t="n"/>
      <c r="X1657" s="3" t="n"/>
      <c r="Y1657" s="3" t="n"/>
      <c r="Z1657" s="3" t="n"/>
      <c r="AA1657" s="3" t="n"/>
    </row>
    <row r="1658">
      <c r="A1658" s="105" t="n"/>
      <c r="B1658" s="105" t="n"/>
      <c r="C1658" s="3" t="n"/>
      <c r="D1658" s="3" t="n"/>
      <c r="E1658" s="3" t="n"/>
      <c r="F1658" s="3" t="n"/>
      <c r="G1658" s="3" t="n"/>
      <c r="H1658" s="3" t="inlineStr"/>
      <c r="I1658" s="3" t="n"/>
      <c r="J1658" s="3" t="n"/>
      <c r="K1658" s="3" t="n"/>
      <c r="L1658" s="3" t="inlineStr"/>
      <c r="M1658" s="3" t="n"/>
      <c r="N1658" s="3" t="inlineStr"/>
      <c r="O1658" s="3" t="n"/>
      <c r="P1658" s="3" t="n"/>
      <c r="Q1658" s="3" t="n"/>
      <c r="R1658" s="3" t="n"/>
      <c r="S1658" s="3" t="n"/>
      <c r="T1658" s="3" t="n"/>
      <c r="U1658" s="3" t="n"/>
      <c r="V1658" s="3" t="n"/>
      <c r="W1658" s="3" t="n"/>
      <c r="X1658" s="3" t="n"/>
      <c r="Y1658" s="3" t="n"/>
      <c r="Z1658" s="3" t="n"/>
      <c r="AA1658" s="3" t="n"/>
    </row>
    <row r="1659">
      <c r="A1659" s="105" t="n"/>
      <c r="B1659" s="105" t="n"/>
      <c r="C1659" s="3" t="n"/>
      <c r="D1659" s="3" t="n"/>
      <c r="E1659" s="3" t="n"/>
      <c r="F1659" s="3" t="n"/>
      <c r="G1659" s="3" t="n"/>
      <c r="H1659" s="3" t="inlineStr"/>
      <c r="I1659" s="3" t="n"/>
      <c r="J1659" s="3" t="n"/>
      <c r="K1659" s="3" t="n"/>
      <c r="L1659" s="3" t="inlineStr"/>
      <c r="M1659" s="3" t="n"/>
      <c r="N1659" s="3" t="inlineStr"/>
      <c r="O1659" s="3" t="n"/>
      <c r="P1659" s="3" t="n"/>
      <c r="Q1659" s="3" t="n"/>
      <c r="R1659" s="3" t="n"/>
      <c r="S1659" s="3" t="n"/>
      <c r="T1659" s="3" t="n"/>
      <c r="U1659" s="3" t="n"/>
      <c r="V1659" s="3" t="n"/>
      <c r="W1659" s="3" t="n"/>
      <c r="X1659" s="3" t="n"/>
      <c r="Y1659" s="3" t="n"/>
      <c r="Z1659" s="3" t="n"/>
      <c r="AA1659" s="3" t="n"/>
    </row>
    <row r="1660">
      <c r="A1660" s="105" t="n"/>
      <c r="B1660" s="105" t="n"/>
      <c r="C1660" s="3" t="n"/>
      <c r="D1660" s="3" t="n"/>
      <c r="E1660" s="3" t="n"/>
      <c r="F1660" s="3" t="n"/>
      <c r="G1660" s="3" t="n"/>
      <c r="H1660" s="3" t="inlineStr"/>
      <c r="I1660" s="3" t="n"/>
      <c r="J1660" s="3" t="n"/>
      <c r="K1660" s="3" t="n"/>
      <c r="L1660" s="3" t="inlineStr"/>
      <c r="M1660" s="3" t="n"/>
      <c r="N1660" s="3" t="inlineStr"/>
      <c r="O1660" s="3" t="n"/>
      <c r="P1660" s="3" t="n"/>
      <c r="Q1660" s="3" t="n"/>
      <c r="R1660" s="3" t="n"/>
      <c r="S1660" s="3" t="n"/>
      <c r="T1660" s="3" t="n"/>
      <c r="U1660" s="3" t="n"/>
      <c r="V1660" s="3" t="n"/>
      <c r="W1660" s="3" t="n"/>
      <c r="X1660" s="3" t="n"/>
      <c r="Y1660" s="3" t="n"/>
      <c r="Z1660" s="3" t="n"/>
      <c r="AA1660" s="3" t="n"/>
    </row>
    <row r="1661">
      <c r="A1661" s="105" t="n"/>
      <c r="B1661" s="105" t="n"/>
      <c r="C1661" s="3" t="n"/>
      <c r="D1661" s="3" t="n"/>
      <c r="E1661" s="3" t="n"/>
      <c r="F1661" s="3" t="n"/>
      <c r="G1661" s="3" t="n"/>
      <c r="H1661" s="3" t="inlineStr"/>
      <c r="I1661" s="3" t="n"/>
      <c r="J1661" s="3" t="n"/>
      <c r="K1661" s="3" t="n"/>
      <c r="L1661" s="3" t="inlineStr"/>
      <c r="M1661" s="3" t="n"/>
      <c r="N1661" s="3" t="inlineStr"/>
      <c r="O1661" s="3" t="n"/>
      <c r="P1661" s="3" t="n"/>
      <c r="Q1661" s="3" t="n"/>
      <c r="R1661" s="3" t="n"/>
      <c r="S1661" s="3" t="n"/>
      <c r="T1661" s="3" t="n"/>
      <c r="U1661" s="3" t="n"/>
      <c r="V1661" s="3" t="n"/>
      <c r="W1661" s="3" t="n"/>
      <c r="X1661" s="3" t="n"/>
      <c r="Y1661" s="3" t="n"/>
      <c r="Z1661" s="3" t="n"/>
      <c r="AA1661" s="3" t="n"/>
    </row>
    <row r="1662">
      <c r="A1662" s="105" t="n"/>
      <c r="B1662" s="105" t="n"/>
      <c r="C1662" s="3" t="n"/>
      <c r="D1662" s="3" t="n"/>
      <c r="E1662" s="3" t="n"/>
      <c r="F1662" s="3" t="n"/>
      <c r="G1662" s="3" t="n"/>
      <c r="H1662" s="3" t="inlineStr"/>
      <c r="I1662" s="3" t="n"/>
      <c r="J1662" s="3" t="n"/>
      <c r="K1662" s="3" t="n"/>
      <c r="L1662" s="3" t="inlineStr"/>
      <c r="M1662" s="3" t="n"/>
      <c r="N1662" s="3" t="inlineStr"/>
      <c r="O1662" s="3" t="n"/>
      <c r="P1662" s="3" t="n"/>
      <c r="Q1662" s="3" t="n"/>
      <c r="R1662" s="3" t="n"/>
      <c r="S1662" s="3" t="n"/>
      <c r="T1662" s="3" t="n"/>
      <c r="U1662" s="3" t="n"/>
      <c r="V1662" s="3" t="n"/>
      <c r="W1662" s="3" t="n"/>
      <c r="X1662" s="3" t="n"/>
      <c r="Y1662" s="3" t="n"/>
      <c r="Z1662" s="3" t="n"/>
      <c r="AA1662" s="3" t="n"/>
    </row>
    <row r="1663">
      <c r="A1663" s="105" t="n"/>
      <c r="B1663" s="105" t="n"/>
      <c r="C1663" s="3" t="n"/>
      <c r="D1663" s="3" t="n"/>
      <c r="E1663" s="3" t="n"/>
      <c r="F1663" s="3" t="n"/>
      <c r="G1663" s="3" t="n"/>
      <c r="H1663" s="3" t="inlineStr"/>
      <c r="I1663" s="3" t="n"/>
      <c r="J1663" s="3" t="n"/>
      <c r="K1663" s="3" t="n"/>
      <c r="L1663" s="3" t="inlineStr"/>
      <c r="M1663" s="3" t="n"/>
      <c r="N1663" s="3" t="inlineStr"/>
      <c r="O1663" s="3" t="n"/>
      <c r="P1663" s="3" t="n"/>
      <c r="Q1663" s="3" t="n"/>
      <c r="R1663" s="3" t="n"/>
      <c r="S1663" s="3" t="n"/>
      <c r="T1663" s="3" t="n"/>
      <c r="U1663" s="3" t="n"/>
      <c r="V1663" s="3" t="n"/>
      <c r="W1663" s="3" t="n"/>
      <c r="X1663" s="3" t="n"/>
      <c r="Y1663" s="3" t="n"/>
      <c r="Z1663" s="3" t="n"/>
      <c r="AA1663" s="3" t="n"/>
    </row>
    <row r="1664">
      <c r="A1664" s="105" t="n"/>
      <c r="B1664" s="105" t="n"/>
      <c r="C1664" s="3" t="n"/>
      <c r="D1664" s="3" t="n"/>
      <c r="E1664" s="3" t="n"/>
      <c r="F1664" s="3" t="n"/>
      <c r="G1664" s="3" t="n"/>
      <c r="H1664" s="3" t="inlineStr"/>
      <c r="I1664" s="3" t="n"/>
      <c r="J1664" s="3" t="n"/>
      <c r="K1664" s="3" t="n"/>
      <c r="L1664" s="3" t="inlineStr"/>
      <c r="M1664" s="3" t="n"/>
      <c r="N1664" s="3" t="inlineStr"/>
      <c r="O1664" s="3" t="n"/>
      <c r="P1664" s="3" t="n"/>
      <c r="Q1664" s="3" t="n"/>
      <c r="R1664" s="3" t="n"/>
      <c r="S1664" s="3" t="n"/>
      <c r="T1664" s="3" t="n"/>
      <c r="U1664" s="3" t="n"/>
      <c r="V1664" s="3" t="n"/>
      <c r="W1664" s="3" t="n"/>
      <c r="X1664" s="3" t="n"/>
      <c r="Y1664" s="3" t="n"/>
      <c r="Z1664" s="3" t="n"/>
      <c r="AA1664" s="3" t="n"/>
    </row>
    <row r="1665">
      <c r="A1665" s="105" t="n"/>
      <c r="B1665" s="105" t="n"/>
      <c r="C1665" s="3" t="n"/>
      <c r="D1665" s="3" t="n"/>
      <c r="E1665" s="3" t="n"/>
      <c r="F1665" s="3" t="n"/>
      <c r="G1665" s="3" t="n"/>
      <c r="H1665" s="3" t="inlineStr"/>
      <c r="I1665" s="3" t="n"/>
      <c r="J1665" s="3" t="n"/>
      <c r="K1665" s="3" t="n"/>
      <c r="L1665" s="3" t="inlineStr"/>
      <c r="M1665" s="3" t="n"/>
      <c r="N1665" s="3" t="inlineStr"/>
      <c r="O1665" s="3" t="n"/>
      <c r="P1665" s="3" t="n"/>
      <c r="Q1665" s="3" t="n"/>
      <c r="R1665" s="3" t="n"/>
      <c r="S1665" s="3" t="n"/>
      <c r="T1665" s="3" t="n"/>
      <c r="U1665" s="3" t="n"/>
      <c r="V1665" s="3" t="n"/>
      <c r="W1665" s="3" t="n"/>
      <c r="X1665" s="3" t="n"/>
      <c r="Y1665" s="3" t="n"/>
      <c r="Z1665" s="3" t="n"/>
      <c r="AA1665" s="3" t="n"/>
    </row>
    <row r="1666">
      <c r="A1666" s="105" t="n"/>
      <c r="B1666" s="105" t="n"/>
      <c r="C1666" s="3" t="n"/>
      <c r="D1666" s="3" t="n"/>
      <c r="E1666" s="3" t="n"/>
      <c r="F1666" s="3" t="n"/>
      <c r="G1666" s="3" t="n"/>
      <c r="H1666" s="3" t="inlineStr"/>
      <c r="I1666" s="3" t="n"/>
      <c r="J1666" s="3" t="n"/>
      <c r="K1666" s="3" t="n"/>
      <c r="L1666" s="3" t="inlineStr"/>
      <c r="M1666" s="3" t="n"/>
      <c r="N1666" s="3" t="inlineStr"/>
      <c r="O1666" s="3" t="n"/>
      <c r="P1666" s="3" t="n"/>
      <c r="Q1666" s="3" t="n"/>
      <c r="R1666" s="3" t="n"/>
      <c r="S1666" s="3" t="n"/>
      <c r="T1666" s="3" t="n"/>
      <c r="U1666" s="3" t="n"/>
      <c r="V1666" s="3" t="n"/>
      <c r="W1666" s="3" t="n"/>
      <c r="X1666" s="3" t="n"/>
      <c r="Y1666" s="3" t="n"/>
      <c r="Z1666" s="3" t="n"/>
      <c r="AA1666" s="3" t="n"/>
    </row>
    <row r="1667">
      <c r="A1667" s="105" t="n"/>
      <c r="B1667" s="105" t="n"/>
      <c r="C1667" s="3" t="n"/>
      <c r="D1667" s="3" t="n"/>
      <c r="E1667" s="3" t="n"/>
      <c r="F1667" s="3" t="n"/>
      <c r="G1667" s="3" t="n"/>
      <c r="H1667" s="3" t="inlineStr"/>
      <c r="I1667" s="3" t="n"/>
      <c r="J1667" s="3" t="n"/>
      <c r="K1667" s="3" t="n"/>
      <c r="L1667" s="3" t="inlineStr"/>
      <c r="M1667" s="3" t="n"/>
      <c r="N1667" s="3" t="inlineStr"/>
      <c r="O1667" s="3" t="n"/>
      <c r="P1667" s="3" t="n"/>
      <c r="Q1667" s="3" t="n"/>
      <c r="R1667" s="3" t="n"/>
      <c r="S1667" s="3" t="n"/>
      <c r="T1667" s="3" t="n"/>
      <c r="U1667" s="3" t="n"/>
      <c r="V1667" s="3" t="n"/>
      <c r="W1667" s="3" t="n"/>
      <c r="X1667" s="3" t="n"/>
      <c r="Y1667" s="3" t="n"/>
      <c r="Z1667" s="3" t="n"/>
      <c r="AA1667" s="3" t="n"/>
    </row>
    <row r="1668">
      <c r="A1668" s="105" t="n"/>
      <c r="B1668" s="105" t="n"/>
      <c r="C1668" s="3" t="n"/>
      <c r="D1668" s="3" t="n"/>
      <c r="E1668" s="3" t="n"/>
      <c r="F1668" s="3" t="n"/>
      <c r="G1668" s="3" t="n"/>
      <c r="H1668" s="3" t="inlineStr"/>
      <c r="I1668" s="3" t="n"/>
      <c r="J1668" s="3" t="n"/>
      <c r="K1668" s="3" t="n"/>
      <c r="L1668" s="3" t="inlineStr"/>
      <c r="M1668" s="3" t="n"/>
      <c r="N1668" s="3" t="inlineStr"/>
      <c r="O1668" s="3" t="n"/>
      <c r="P1668" s="3" t="n"/>
      <c r="Q1668" s="3" t="n"/>
      <c r="R1668" s="3" t="n"/>
      <c r="S1668" s="3" t="n"/>
      <c r="T1668" s="3" t="n"/>
      <c r="U1668" s="3" t="n"/>
      <c r="V1668" s="3" t="n"/>
      <c r="W1668" s="3" t="n"/>
      <c r="X1668" s="3" t="n"/>
      <c r="Y1668" s="3" t="n"/>
      <c r="Z1668" s="3" t="n"/>
      <c r="AA1668" s="3" t="n"/>
    </row>
    <row r="1669">
      <c r="A1669" s="105" t="n"/>
      <c r="B1669" s="105" t="n"/>
      <c r="C1669" s="3" t="n"/>
      <c r="D1669" s="3" t="n"/>
      <c r="E1669" s="3" t="n"/>
      <c r="F1669" s="3" t="n"/>
      <c r="G1669" s="3" t="n"/>
      <c r="H1669" s="3" t="inlineStr"/>
      <c r="I1669" s="3" t="n"/>
      <c r="J1669" s="3" t="n"/>
      <c r="K1669" s="3" t="n"/>
      <c r="L1669" s="3" t="inlineStr"/>
      <c r="M1669" s="3" t="n"/>
      <c r="N1669" s="3" t="inlineStr"/>
      <c r="O1669" s="3" t="n"/>
      <c r="P1669" s="3" t="n"/>
      <c r="Q1669" s="3" t="n"/>
      <c r="R1669" s="3" t="n"/>
      <c r="S1669" s="3" t="n"/>
      <c r="T1669" s="3" t="n"/>
      <c r="U1669" s="3" t="n"/>
      <c r="V1669" s="3" t="n"/>
      <c r="W1669" s="3" t="n"/>
      <c r="X1669" s="3" t="n"/>
      <c r="Y1669" s="3" t="n"/>
      <c r="Z1669" s="3" t="n"/>
      <c r="AA1669" s="3" t="n"/>
    </row>
    <row r="1670">
      <c r="A1670" s="105" t="n"/>
      <c r="B1670" s="105" t="n"/>
      <c r="C1670" s="3" t="n"/>
      <c r="D1670" s="3" t="n"/>
      <c r="E1670" s="3" t="n"/>
      <c r="F1670" s="3" t="n"/>
      <c r="G1670" s="3" t="n"/>
      <c r="H1670" s="3" t="inlineStr"/>
      <c r="I1670" s="3" t="n"/>
      <c r="J1670" s="3" t="n"/>
      <c r="K1670" s="3" t="n"/>
      <c r="L1670" s="3" t="inlineStr"/>
      <c r="M1670" s="3" t="n"/>
      <c r="N1670" s="3" t="inlineStr"/>
      <c r="O1670" s="3" t="n"/>
      <c r="P1670" s="3" t="n"/>
      <c r="Q1670" s="3" t="n"/>
      <c r="R1670" s="3" t="n"/>
      <c r="S1670" s="3" t="n"/>
      <c r="T1670" s="3" t="n"/>
      <c r="U1670" s="3" t="n"/>
      <c r="V1670" s="3" t="n"/>
      <c r="W1670" s="3" t="n"/>
      <c r="X1670" s="3" t="n"/>
      <c r="Y1670" s="3" t="n"/>
      <c r="Z1670" s="3" t="n"/>
      <c r="AA1670" s="3" t="n"/>
    </row>
    <row r="1671">
      <c r="A1671" s="105" t="n"/>
      <c r="B1671" s="105" t="n"/>
      <c r="C1671" s="3" t="n"/>
      <c r="D1671" s="3" t="n"/>
      <c r="E1671" s="3" t="n"/>
      <c r="F1671" s="3" t="n"/>
      <c r="G1671" s="3" t="n"/>
      <c r="H1671" s="3" t="inlineStr"/>
      <c r="I1671" s="3" t="n"/>
      <c r="J1671" s="3" t="n"/>
      <c r="K1671" s="3" t="n"/>
      <c r="L1671" s="3" t="inlineStr"/>
      <c r="M1671" s="3" t="n"/>
      <c r="N1671" s="3" t="inlineStr"/>
      <c r="O1671" s="3" t="n"/>
      <c r="P1671" s="3" t="n"/>
      <c r="Q1671" s="3" t="n"/>
      <c r="R1671" s="3" t="n"/>
      <c r="S1671" s="3" t="n"/>
      <c r="T1671" s="3" t="n"/>
      <c r="U1671" s="3" t="n"/>
      <c r="V1671" s="3" t="n"/>
      <c r="W1671" s="3" t="n"/>
      <c r="X1671" s="3" t="n"/>
      <c r="Y1671" s="3" t="n"/>
      <c r="Z1671" s="3" t="n"/>
      <c r="AA1671" s="3" t="n"/>
    </row>
    <row r="1672">
      <c r="A1672" s="105" t="n"/>
      <c r="B1672" s="105" t="n"/>
      <c r="C1672" s="3" t="n"/>
      <c r="D1672" s="3" t="n"/>
      <c r="E1672" s="3" t="n"/>
      <c r="F1672" s="3" t="n"/>
      <c r="G1672" s="3" t="n"/>
      <c r="H1672" s="3" t="inlineStr"/>
      <c r="I1672" s="3" t="n"/>
      <c r="J1672" s="3" t="n"/>
      <c r="K1672" s="3" t="n"/>
      <c r="L1672" s="3" t="inlineStr"/>
      <c r="M1672" s="3" t="n"/>
      <c r="N1672" s="3" t="inlineStr"/>
      <c r="O1672" s="3" t="n"/>
      <c r="P1672" s="3" t="n"/>
      <c r="Q1672" s="3" t="n"/>
      <c r="R1672" s="3" t="n"/>
      <c r="S1672" s="3" t="n"/>
      <c r="T1672" s="3" t="n"/>
      <c r="U1672" s="3" t="n"/>
      <c r="V1672" s="3" t="n"/>
      <c r="W1672" s="3" t="n"/>
      <c r="X1672" s="3" t="n"/>
      <c r="Y1672" s="3" t="n"/>
      <c r="Z1672" s="3" t="n"/>
      <c r="AA1672" s="3" t="n"/>
    </row>
    <row r="1673">
      <c r="A1673" s="105" t="n"/>
      <c r="B1673" s="105" t="n"/>
      <c r="C1673" s="3" t="n"/>
      <c r="D1673" s="3" t="n"/>
      <c r="E1673" s="3" t="n"/>
      <c r="F1673" s="3" t="n"/>
      <c r="G1673" s="3" t="n"/>
      <c r="H1673" s="3" t="inlineStr"/>
      <c r="I1673" s="3" t="n"/>
      <c r="J1673" s="3" t="n"/>
      <c r="K1673" s="3" t="n"/>
      <c r="L1673" s="3" t="inlineStr"/>
      <c r="M1673" s="3" t="n"/>
      <c r="N1673" s="3" t="inlineStr"/>
      <c r="O1673" s="3" t="n"/>
      <c r="P1673" s="3" t="n"/>
      <c r="Q1673" s="3" t="n"/>
      <c r="R1673" s="3" t="n"/>
      <c r="S1673" s="3" t="n"/>
      <c r="T1673" s="3" t="n"/>
      <c r="U1673" s="3" t="n"/>
      <c r="V1673" s="3" t="n"/>
      <c r="W1673" s="3" t="n"/>
      <c r="X1673" s="3" t="n"/>
      <c r="Y1673" s="3" t="n"/>
      <c r="Z1673" s="3" t="n"/>
      <c r="AA1673" s="3" t="n"/>
    </row>
    <row r="1674">
      <c r="A1674" s="105" t="n"/>
      <c r="B1674" s="105" t="n"/>
      <c r="C1674" s="3" t="n"/>
      <c r="D1674" s="3" t="n"/>
      <c r="E1674" s="3" t="n"/>
      <c r="F1674" s="3" t="n"/>
      <c r="G1674" s="3" t="n"/>
      <c r="H1674" s="3" t="inlineStr"/>
      <c r="I1674" s="3" t="n"/>
      <c r="J1674" s="3" t="n"/>
      <c r="K1674" s="3" t="n"/>
      <c r="L1674" s="3" t="inlineStr"/>
      <c r="M1674" s="3" t="n"/>
      <c r="N1674" s="3" t="inlineStr"/>
      <c r="O1674" s="3" t="n"/>
      <c r="P1674" s="3" t="n"/>
      <c r="Q1674" s="3" t="n"/>
      <c r="R1674" s="3" t="n"/>
      <c r="S1674" s="3" t="n"/>
      <c r="T1674" s="3" t="n"/>
      <c r="U1674" s="3" t="n"/>
      <c r="V1674" s="3" t="n"/>
      <c r="W1674" s="3" t="n"/>
      <c r="X1674" s="3" t="n"/>
      <c r="Y1674" s="3" t="n"/>
      <c r="Z1674" s="3" t="n"/>
      <c r="AA1674" s="3" t="n"/>
    </row>
    <row r="1675">
      <c r="A1675" s="105" t="n"/>
      <c r="B1675" s="105" t="n"/>
      <c r="C1675" s="3" t="n"/>
      <c r="D1675" s="3" t="n"/>
      <c r="E1675" s="3" t="n"/>
      <c r="F1675" s="3" t="n"/>
      <c r="G1675" s="3" t="n"/>
      <c r="H1675" s="3" t="inlineStr"/>
      <c r="I1675" s="3" t="n"/>
      <c r="J1675" s="3" t="n"/>
      <c r="K1675" s="3" t="n"/>
      <c r="L1675" s="3" t="inlineStr"/>
      <c r="M1675" s="3" t="n"/>
      <c r="N1675" s="3" t="inlineStr"/>
      <c r="O1675" s="3" t="n"/>
      <c r="P1675" s="3" t="n"/>
      <c r="Q1675" s="3" t="n"/>
      <c r="R1675" s="3" t="n"/>
      <c r="S1675" s="3" t="n"/>
      <c r="T1675" s="3" t="n"/>
      <c r="U1675" s="3" t="n"/>
      <c r="V1675" s="3" t="n"/>
      <c r="W1675" s="3" t="n"/>
      <c r="X1675" s="3" t="n"/>
      <c r="Y1675" s="3" t="n"/>
      <c r="Z1675" s="3" t="n"/>
      <c r="AA1675" s="3" t="n"/>
    </row>
    <row r="1676">
      <c r="A1676" s="105" t="n"/>
      <c r="B1676" s="105" t="n"/>
      <c r="C1676" s="3" t="n"/>
      <c r="D1676" s="3" t="n"/>
      <c r="E1676" s="3" t="n"/>
      <c r="F1676" s="3" t="n"/>
      <c r="G1676" s="3" t="n"/>
      <c r="H1676" s="3" t="inlineStr"/>
      <c r="I1676" s="3" t="n"/>
      <c r="J1676" s="3" t="n"/>
      <c r="K1676" s="3" t="n"/>
      <c r="L1676" s="3" t="inlineStr"/>
      <c r="M1676" s="3" t="n"/>
      <c r="N1676" s="3" t="inlineStr"/>
      <c r="O1676" s="3" t="n"/>
      <c r="P1676" s="3" t="n"/>
      <c r="Q1676" s="3" t="n"/>
      <c r="R1676" s="3" t="n"/>
      <c r="S1676" s="3" t="n"/>
      <c r="T1676" s="3" t="n"/>
      <c r="U1676" s="3" t="n"/>
      <c r="V1676" s="3" t="n"/>
      <c r="W1676" s="3" t="n"/>
      <c r="X1676" s="3" t="n"/>
      <c r="Y1676" s="3" t="n"/>
      <c r="Z1676" s="3" t="n"/>
      <c r="AA1676" s="3" t="n"/>
    </row>
    <row r="1677">
      <c r="A1677" s="105" t="n"/>
      <c r="B1677" s="105" t="n"/>
      <c r="C1677" s="3" t="n"/>
      <c r="D1677" s="3" t="n"/>
      <c r="E1677" s="3" t="n"/>
      <c r="F1677" s="3" t="n"/>
      <c r="G1677" s="3" t="n"/>
      <c r="H1677" s="3" t="inlineStr"/>
      <c r="I1677" s="3" t="n"/>
      <c r="J1677" s="3" t="n"/>
      <c r="K1677" s="3" t="n"/>
      <c r="L1677" s="3" t="inlineStr"/>
      <c r="M1677" s="3" t="n"/>
      <c r="N1677" s="3" t="inlineStr"/>
      <c r="O1677" s="3" t="n"/>
      <c r="P1677" s="3" t="n"/>
      <c r="Q1677" s="3" t="n"/>
      <c r="R1677" s="3" t="n"/>
      <c r="S1677" s="3" t="n"/>
      <c r="T1677" s="3" t="n"/>
      <c r="U1677" s="3" t="n"/>
      <c r="V1677" s="3" t="n"/>
      <c r="W1677" s="3" t="n"/>
      <c r="X1677" s="3" t="n"/>
      <c r="Y1677" s="3" t="n"/>
      <c r="Z1677" s="3" t="n"/>
      <c r="AA1677" s="3" t="n"/>
    </row>
    <row r="1678">
      <c r="A1678" s="105" t="n"/>
      <c r="B1678" s="105" t="n"/>
      <c r="C1678" s="3" t="n"/>
      <c r="D1678" s="3" t="n"/>
      <c r="E1678" s="3" t="n"/>
      <c r="F1678" s="3" t="n"/>
      <c r="G1678" s="3" t="n"/>
      <c r="H1678" s="3" t="inlineStr"/>
      <c r="I1678" s="3" t="n"/>
      <c r="J1678" s="3" t="n"/>
      <c r="K1678" s="3" t="n"/>
      <c r="L1678" s="3" t="inlineStr"/>
      <c r="M1678" s="3" t="n"/>
      <c r="N1678" s="3" t="inlineStr"/>
      <c r="O1678" s="3" t="n"/>
      <c r="P1678" s="3" t="n"/>
      <c r="Q1678" s="3" t="n"/>
      <c r="R1678" s="3" t="n"/>
      <c r="S1678" s="3" t="n"/>
      <c r="T1678" s="3" t="n"/>
      <c r="U1678" s="3" t="n"/>
      <c r="V1678" s="3" t="n"/>
      <c r="W1678" s="3" t="n"/>
      <c r="X1678" s="3" t="n"/>
      <c r="Y1678" s="3" t="n"/>
      <c r="Z1678" s="3" t="n"/>
      <c r="AA1678" s="3" t="n"/>
    </row>
    <row r="1679">
      <c r="A1679" s="105" t="n"/>
      <c r="B1679" s="105" t="n"/>
      <c r="C1679" s="3" t="n"/>
      <c r="D1679" s="3" t="n"/>
      <c r="E1679" s="3" t="n"/>
      <c r="F1679" s="3" t="n"/>
      <c r="G1679" s="3" t="n"/>
      <c r="H1679" s="3" t="inlineStr"/>
      <c r="I1679" s="3" t="n"/>
      <c r="J1679" s="3" t="n"/>
      <c r="K1679" s="3" t="n"/>
      <c r="L1679" s="3" t="inlineStr"/>
      <c r="M1679" s="3" t="n"/>
      <c r="N1679" s="3" t="inlineStr"/>
      <c r="O1679" s="3" t="n"/>
      <c r="P1679" s="3" t="n"/>
      <c r="Q1679" s="3" t="n"/>
      <c r="R1679" s="3" t="n"/>
      <c r="S1679" s="3" t="n"/>
      <c r="T1679" s="3" t="n"/>
      <c r="U1679" s="3" t="n"/>
      <c r="V1679" s="3" t="n"/>
      <c r="W1679" s="3" t="n"/>
      <c r="X1679" s="3" t="n"/>
      <c r="Y1679" s="3" t="n"/>
      <c r="Z1679" s="3" t="n"/>
      <c r="AA1679" s="3" t="n"/>
    </row>
    <row r="1680">
      <c r="A1680" s="105" t="n"/>
      <c r="B1680" s="105" t="n"/>
      <c r="C1680" s="3" t="n"/>
      <c r="D1680" s="3" t="n"/>
      <c r="E1680" s="3" t="n"/>
      <c r="F1680" s="3" t="n"/>
      <c r="G1680" s="3" t="n"/>
      <c r="H1680" s="3" t="inlineStr"/>
      <c r="I1680" s="3" t="n"/>
      <c r="J1680" s="3" t="n"/>
      <c r="K1680" s="3" t="n"/>
      <c r="L1680" s="3" t="inlineStr"/>
      <c r="M1680" s="3" t="n"/>
      <c r="N1680" s="3" t="inlineStr"/>
      <c r="O1680" s="3" t="n"/>
      <c r="P1680" s="3" t="n"/>
      <c r="Q1680" s="3" t="n"/>
      <c r="R1680" s="3" t="n"/>
      <c r="S1680" s="3" t="n"/>
      <c r="T1680" s="3" t="n"/>
      <c r="U1680" s="3" t="n"/>
      <c r="V1680" s="3" t="n"/>
      <c r="W1680" s="3" t="n"/>
      <c r="X1680" s="3" t="n"/>
      <c r="Y1680" s="3" t="n"/>
      <c r="Z1680" s="3" t="n"/>
      <c r="AA1680" s="3" t="n"/>
    </row>
    <row r="1681">
      <c r="A1681" s="105" t="n"/>
      <c r="B1681" s="105" t="n"/>
      <c r="C1681" s="3" t="n"/>
      <c r="D1681" s="3" t="n"/>
      <c r="E1681" s="3" t="n"/>
      <c r="F1681" s="3" t="n"/>
      <c r="G1681" s="3" t="n"/>
      <c r="H1681" s="3" t="inlineStr"/>
      <c r="I1681" s="3" t="n"/>
      <c r="J1681" s="3" t="n"/>
      <c r="K1681" s="3" t="n"/>
      <c r="L1681" s="3" t="inlineStr"/>
      <c r="M1681" s="3" t="n"/>
      <c r="N1681" s="3" t="inlineStr"/>
      <c r="O1681" s="3" t="n"/>
      <c r="P1681" s="3" t="n"/>
      <c r="Q1681" s="3" t="n"/>
      <c r="R1681" s="3" t="n"/>
      <c r="S1681" s="3" t="n"/>
      <c r="T1681" s="3" t="n"/>
      <c r="U1681" s="3" t="n"/>
      <c r="V1681" s="3" t="n"/>
      <c r="W1681" s="3" t="n"/>
      <c r="X1681" s="3" t="n"/>
      <c r="Y1681" s="3" t="n"/>
      <c r="Z1681" s="3" t="n"/>
      <c r="AA1681" s="3" t="n"/>
    </row>
    <row r="1682">
      <c r="A1682" s="105" t="n"/>
      <c r="B1682" s="105" t="n"/>
      <c r="C1682" s="3" t="n"/>
      <c r="D1682" s="3" t="n"/>
      <c r="E1682" s="3" t="n"/>
      <c r="F1682" s="3" t="n"/>
      <c r="G1682" s="3" t="n"/>
      <c r="H1682" s="3" t="inlineStr"/>
      <c r="I1682" s="3" t="n"/>
      <c r="J1682" s="3" t="n"/>
      <c r="K1682" s="3" t="n"/>
      <c r="L1682" s="3" t="inlineStr"/>
      <c r="M1682" s="3" t="n"/>
      <c r="N1682" s="3" t="inlineStr"/>
      <c r="O1682" s="3" t="n"/>
      <c r="P1682" s="3" t="n"/>
      <c r="Q1682" s="3" t="n"/>
      <c r="R1682" s="3" t="n"/>
      <c r="S1682" s="3" t="n"/>
      <c r="T1682" s="3" t="n"/>
      <c r="U1682" s="3" t="n"/>
      <c r="V1682" s="3" t="n"/>
      <c r="W1682" s="3" t="n"/>
      <c r="X1682" s="3" t="n"/>
      <c r="Y1682" s="3" t="n"/>
      <c r="Z1682" s="3" t="n"/>
      <c r="AA1682" s="3" t="n"/>
    </row>
    <row r="1683">
      <c r="A1683" s="105" t="n"/>
      <c r="B1683" s="105" t="n"/>
      <c r="C1683" s="3" t="n"/>
      <c r="D1683" s="3" t="n"/>
      <c r="E1683" s="3" t="n"/>
      <c r="F1683" s="3" t="n"/>
      <c r="G1683" s="3" t="n"/>
      <c r="H1683" s="3" t="inlineStr"/>
      <c r="I1683" s="3" t="n"/>
      <c r="J1683" s="3" t="n"/>
      <c r="K1683" s="3" t="n"/>
      <c r="L1683" s="3" t="inlineStr"/>
      <c r="M1683" s="3" t="n"/>
      <c r="N1683" s="3" t="inlineStr"/>
      <c r="O1683" s="3" t="n"/>
      <c r="P1683" s="3" t="n"/>
      <c r="Q1683" s="3" t="n"/>
      <c r="R1683" s="3" t="n"/>
      <c r="S1683" s="3" t="n"/>
      <c r="T1683" s="3" t="n"/>
      <c r="U1683" s="3" t="n"/>
      <c r="V1683" s="3" t="n"/>
      <c r="W1683" s="3" t="n"/>
      <c r="X1683" s="3" t="n"/>
      <c r="Y1683" s="3" t="n"/>
      <c r="Z1683" s="3" t="n"/>
      <c r="AA1683" s="3" t="n"/>
    </row>
    <row r="1684">
      <c r="A1684" s="105" t="n"/>
      <c r="B1684" s="105" t="n"/>
      <c r="C1684" s="3" t="n"/>
      <c r="D1684" s="3" t="n"/>
      <c r="E1684" s="3" t="n"/>
      <c r="F1684" s="3" t="n"/>
      <c r="G1684" s="3" t="n"/>
      <c r="H1684" s="3" t="inlineStr"/>
      <c r="I1684" s="3" t="n"/>
      <c r="J1684" s="3" t="n"/>
      <c r="K1684" s="3" t="n"/>
      <c r="L1684" s="3" t="inlineStr"/>
      <c r="M1684" s="3" t="n"/>
      <c r="N1684" s="3" t="inlineStr"/>
      <c r="O1684" s="3" t="n"/>
      <c r="P1684" s="3" t="n"/>
      <c r="Q1684" s="3" t="n"/>
      <c r="R1684" s="3" t="n"/>
      <c r="S1684" s="3" t="n"/>
      <c r="T1684" s="3" t="n"/>
      <c r="U1684" s="3" t="n"/>
      <c r="V1684" s="3" t="n"/>
      <c r="W1684" s="3" t="n"/>
      <c r="X1684" s="3" t="n"/>
      <c r="Y1684" s="3" t="n"/>
      <c r="Z1684" s="3" t="n"/>
      <c r="AA1684" s="3" t="n"/>
    </row>
    <row r="1685">
      <c r="A1685" s="105" t="n"/>
      <c r="B1685" s="105" t="n"/>
      <c r="C1685" s="3" t="n"/>
      <c r="D1685" s="3" t="n"/>
      <c r="E1685" s="3" t="n"/>
      <c r="F1685" s="3" t="n"/>
      <c r="G1685" s="3" t="n"/>
      <c r="H1685" s="3" t="inlineStr"/>
      <c r="I1685" s="3" t="n"/>
      <c r="J1685" s="3" t="n"/>
      <c r="K1685" s="3" t="n"/>
      <c r="L1685" s="3" t="inlineStr"/>
      <c r="M1685" s="3" t="n"/>
      <c r="N1685" s="3" t="inlineStr"/>
      <c r="O1685" s="3" t="n"/>
      <c r="P1685" s="3" t="n"/>
      <c r="Q1685" s="3" t="n"/>
      <c r="R1685" s="3" t="n"/>
      <c r="S1685" s="3" t="n"/>
      <c r="T1685" s="3" t="n"/>
      <c r="U1685" s="3" t="n"/>
      <c r="V1685" s="3" t="n"/>
      <c r="W1685" s="3" t="n"/>
      <c r="X1685" s="3" t="n"/>
      <c r="Y1685" s="3" t="n"/>
      <c r="Z1685" s="3" t="n"/>
      <c r="AA1685" s="3" t="n"/>
    </row>
    <row r="1686">
      <c r="A1686" s="105" t="n"/>
      <c r="B1686" s="105" t="n"/>
      <c r="C1686" s="3" t="n"/>
      <c r="D1686" s="3" t="n"/>
      <c r="E1686" s="3" t="n"/>
      <c r="F1686" s="3" t="n"/>
      <c r="G1686" s="3" t="n"/>
      <c r="H1686" s="3" t="inlineStr"/>
      <c r="I1686" s="3" t="n"/>
      <c r="J1686" s="3" t="n"/>
      <c r="K1686" s="3" t="n"/>
      <c r="L1686" s="3" t="inlineStr"/>
      <c r="M1686" s="3" t="n"/>
      <c r="N1686" s="3" t="inlineStr"/>
      <c r="O1686" s="3" t="n"/>
      <c r="P1686" s="3" t="n"/>
      <c r="Q1686" s="3" t="n"/>
      <c r="R1686" s="3" t="n"/>
      <c r="S1686" s="3" t="n"/>
      <c r="T1686" s="3" t="n"/>
      <c r="U1686" s="3" t="n"/>
      <c r="V1686" s="3" t="n"/>
      <c r="W1686" s="3" t="n"/>
      <c r="X1686" s="3" t="n"/>
      <c r="Y1686" s="3" t="n"/>
      <c r="Z1686" s="3" t="n"/>
      <c r="AA1686" s="3" t="n"/>
    </row>
    <row r="1687">
      <c r="A1687" s="105" t="n"/>
      <c r="B1687" s="105" t="n"/>
      <c r="C1687" s="3" t="n"/>
      <c r="D1687" s="3" t="n"/>
      <c r="E1687" s="3" t="n"/>
      <c r="F1687" s="3" t="n"/>
      <c r="G1687" s="3" t="n"/>
      <c r="H1687" s="3" t="inlineStr"/>
      <c r="I1687" s="3" t="n"/>
      <c r="J1687" s="3" t="n"/>
      <c r="K1687" s="3" t="n"/>
      <c r="L1687" s="3" t="inlineStr"/>
      <c r="M1687" s="3" t="n"/>
      <c r="N1687" s="3" t="inlineStr"/>
      <c r="O1687" s="3" t="n"/>
      <c r="P1687" s="3" t="n"/>
      <c r="Q1687" s="3" t="n"/>
      <c r="R1687" s="3" t="n"/>
      <c r="S1687" s="3" t="n"/>
      <c r="T1687" s="3" t="n"/>
      <c r="U1687" s="3" t="n"/>
      <c r="V1687" s="3" t="n"/>
      <c r="W1687" s="3" t="n"/>
      <c r="X1687" s="3" t="n"/>
      <c r="Y1687" s="3" t="n"/>
      <c r="Z1687" s="3" t="n"/>
      <c r="AA1687" s="3" t="n"/>
    </row>
    <row r="1688">
      <c r="A1688" s="105" t="n"/>
      <c r="B1688" s="105" t="n"/>
      <c r="C1688" s="3" t="n"/>
      <c r="D1688" s="3" t="n"/>
      <c r="E1688" s="3" t="n"/>
      <c r="F1688" s="3" t="n"/>
      <c r="G1688" s="3" t="n"/>
      <c r="H1688" s="3" t="inlineStr"/>
      <c r="I1688" s="3" t="n"/>
      <c r="J1688" s="3" t="n"/>
      <c r="K1688" s="3" t="n"/>
      <c r="L1688" s="3" t="inlineStr"/>
      <c r="M1688" s="3" t="n"/>
      <c r="N1688" s="3" t="inlineStr"/>
      <c r="O1688" s="3" t="n"/>
      <c r="P1688" s="3" t="n"/>
      <c r="Q1688" s="3" t="n"/>
      <c r="R1688" s="3" t="n"/>
      <c r="S1688" s="3" t="n"/>
      <c r="T1688" s="3" t="n"/>
      <c r="U1688" s="3" t="n"/>
      <c r="V1688" s="3" t="n"/>
      <c r="W1688" s="3" t="n"/>
      <c r="X1688" s="3" t="n"/>
      <c r="Y1688" s="3" t="n"/>
      <c r="Z1688" s="3" t="n"/>
      <c r="AA1688" s="3" t="n"/>
    </row>
    <row r="1689">
      <c r="A1689" s="105" t="n"/>
      <c r="B1689" s="105" t="n"/>
      <c r="C1689" s="3" t="n"/>
      <c r="D1689" s="3" t="n"/>
      <c r="E1689" s="3" t="n"/>
      <c r="F1689" s="3" t="n"/>
      <c r="G1689" s="3" t="n"/>
      <c r="H1689" s="3" t="inlineStr"/>
      <c r="I1689" s="3" t="n"/>
      <c r="J1689" s="3" t="n"/>
      <c r="K1689" s="3" t="n"/>
      <c r="L1689" s="3" t="inlineStr"/>
      <c r="M1689" s="3" t="n"/>
      <c r="N1689" s="3" t="inlineStr"/>
      <c r="O1689" s="3" t="n"/>
      <c r="P1689" s="3" t="n"/>
      <c r="Q1689" s="3" t="n"/>
      <c r="R1689" s="3" t="n"/>
      <c r="S1689" s="3" t="n"/>
      <c r="T1689" s="3" t="n"/>
      <c r="U1689" s="3" t="n"/>
      <c r="V1689" s="3" t="n"/>
      <c r="W1689" s="3" t="n"/>
      <c r="X1689" s="3" t="n"/>
      <c r="Y1689" s="3" t="n"/>
      <c r="Z1689" s="3" t="n"/>
      <c r="AA1689" s="3" t="n"/>
    </row>
    <row r="1690">
      <c r="A1690" s="105" t="n"/>
      <c r="B1690" s="105" t="n"/>
      <c r="C1690" s="3" t="n"/>
      <c r="D1690" s="3" t="n"/>
      <c r="E1690" s="3" t="n"/>
      <c r="F1690" s="3" t="n"/>
      <c r="G1690" s="3" t="n"/>
      <c r="H1690" s="3" t="inlineStr"/>
      <c r="I1690" s="3" t="n"/>
      <c r="J1690" s="3" t="n"/>
      <c r="K1690" s="3" t="n"/>
      <c r="L1690" s="3" t="inlineStr"/>
      <c r="M1690" s="3" t="n"/>
      <c r="N1690" s="3" t="inlineStr"/>
      <c r="O1690" s="3" t="n"/>
      <c r="P1690" s="3" t="n"/>
      <c r="Q1690" s="3" t="n"/>
      <c r="R1690" s="3" t="n"/>
      <c r="S1690" s="3" t="n"/>
      <c r="T1690" s="3" t="n"/>
      <c r="U1690" s="3" t="n"/>
      <c r="V1690" s="3" t="n"/>
      <c r="W1690" s="3" t="n"/>
      <c r="X1690" s="3" t="n"/>
      <c r="Y1690" s="3" t="n"/>
      <c r="Z1690" s="3" t="n"/>
      <c r="AA1690" s="3" t="n"/>
    </row>
    <row r="1691">
      <c r="A1691" s="105" t="n"/>
      <c r="B1691" s="105" t="n"/>
      <c r="C1691" s="3" t="n"/>
      <c r="D1691" s="3" t="n"/>
      <c r="E1691" s="3" t="n"/>
      <c r="F1691" s="3" t="n"/>
      <c r="G1691" s="3" t="n"/>
      <c r="H1691" s="3" t="inlineStr"/>
      <c r="I1691" s="3" t="n"/>
      <c r="J1691" s="3" t="n"/>
      <c r="K1691" s="3" t="n"/>
      <c r="L1691" s="3" t="inlineStr"/>
      <c r="M1691" s="3" t="n"/>
      <c r="N1691" s="3" t="inlineStr"/>
      <c r="O1691" s="3" t="n"/>
      <c r="P1691" s="3" t="n"/>
      <c r="Q1691" s="3" t="n"/>
      <c r="R1691" s="3" t="n"/>
      <c r="S1691" s="3" t="n"/>
      <c r="T1691" s="3" t="n"/>
      <c r="U1691" s="3" t="n"/>
      <c r="V1691" s="3" t="n"/>
      <c r="W1691" s="3" t="n"/>
      <c r="X1691" s="3" t="n"/>
      <c r="Y1691" s="3" t="n"/>
      <c r="Z1691" s="3" t="n"/>
      <c r="AA1691" s="3" t="n"/>
    </row>
    <row r="1692">
      <c r="A1692" s="105" t="n"/>
      <c r="B1692" s="105" t="n"/>
      <c r="C1692" s="3" t="n"/>
      <c r="D1692" s="3" t="n"/>
      <c r="E1692" s="3" t="n"/>
      <c r="F1692" s="3" t="n"/>
      <c r="G1692" s="3" t="n"/>
      <c r="H1692" s="3" t="inlineStr"/>
      <c r="I1692" s="3" t="n"/>
      <c r="J1692" s="3" t="n"/>
      <c r="K1692" s="3" t="n"/>
      <c r="L1692" s="3" t="inlineStr"/>
      <c r="M1692" s="3" t="n"/>
      <c r="N1692" s="3" t="inlineStr"/>
      <c r="O1692" s="3" t="n"/>
      <c r="P1692" s="3" t="n"/>
      <c r="Q1692" s="3" t="n"/>
      <c r="R1692" s="3" t="n"/>
      <c r="S1692" s="3" t="n"/>
      <c r="T1692" s="3" t="n"/>
      <c r="U1692" s="3" t="n"/>
      <c r="V1692" s="3" t="n"/>
      <c r="W1692" s="3" t="n"/>
      <c r="X1692" s="3" t="n"/>
      <c r="Y1692" s="3" t="n"/>
      <c r="Z1692" s="3" t="n"/>
      <c r="AA1692" s="3" t="n"/>
    </row>
    <row r="1693">
      <c r="A1693" s="105" t="n"/>
      <c r="B1693" s="105" t="n"/>
      <c r="C1693" s="3" t="n"/>
      <c r="D1693" s="3" t="n"/>
      <c r="E1693" s="3" t="n"/>
      <c r="F1693" s="3" t="n"/>
      <c r="G1693" s="3" t="n"/>
      <c r="H1693" s="3" t="inlineStr"/>
      <c r="I1693" s="3" t="n"/>
      <c r="J1693" s="3" t="n"/>
      <c r="K1693" s="3" t="n"/>
      <c r="L1693" s="3" t="inlineStr"/>
      <c r="M1693" s="3" t="n"/>
      <c r="N1693" s="3" t="inlineStr"/>
      <c r="O1693" s="3" t="n"/>
      <c r="P1693" s="3" t="n"/>
      <c r="Q1693" s="3" t="n"/>
      <c r="R1693" s="3" t="n"/>
      <c r="S1693" s="3" t="n"/>
      <c r="T1693" s="3" t="n"/>
      <c r="U1693" s="3" t="n"/>
      <c r="V1693" s="3" t="n"/>
      <c r="W1693" s="3" t="n"/>
      <c r="X1693" s="3" t="n"/>
      <c r="Y1693" s="3" t="n"/>
      <c r="Z1693" s="3" t="n"/>
      <c r="AA1693" s="3" t="n"/>
    </row>
    <row r="1694">
      <c r="A1694" s="105" t="n"/>
      <c r="B1694" s="105" t="n"/>
      <c r="C1694" s="3" t="n"/>
      <c r="D1694" s="3" t="n"/>
      <c r="E1694" s="3" t="n"/>
      <c r="F1694" s="3" t="n"/>
      <c r="G1694" s="3" t="n"/>
      <c r="H1694" s="3" t="inlineStr"/>
      <c r="I1694" s="3" t="n"/>
      <c r="J1694" s="3" t="n"/>
      <c r="K1694" s="3" t="n"/>
      <c r="L1694" s="3" t="inlineStr"/>
      <c r="M1694" s="3" t="n"/>
      <c r="N1694" s="3" t="inlineStr"/>
      <c r="O1694" s="3" t="n"/>
      <c r="P1694" s="3" t="n"/>
      <c r="Q1694" s="3" t="n"/>
      <c r="R1694" s="3" t="n"/>
      <c r="S1694" s="3" t="n"/>
      <c r="T1694" s="3" t="n"/>
      <c r="U1694" s="3" t="n"/>
      <c r="V1694" s="3" t="n"/>
      <c r="W1694" s="3" t="n"/>
      <c r="X1694" s="3" t="n"/>
      <c r="Y1694" s="3" t="n"/>
      <c r="Z1694" s="3" t="n"/>
      <c r="AA1694" s="3" t="n"/>
    </row>
    <row r="1695">
      <c r="A1695" s="105" t="n"/>
      <c r="B1695" s="105" t="n"/>
      <c r="C1695" s="3" t="n"/>
      <c r="D1695" s="3" t="n"/>
      <c r="E1695" s="3" t="n"/>
      <c r="F1695" s="3" t="n"/>
      <c r="G1695" s="3" t="n"/>
      <c r="H1695" s="3" t="inlineStr"/>
      <c r="I1695" s="3" t="n"/>
      <c r="J1695" s="3" t="n"/>
      <c r="K1695" s="3" t="n"/>
      <c r="L1695" s="3" t="inlineStr"/>
      <c r="M1695" s="3" t="n"/>
      <c r="N1695" s="3" t="inlineStr"/>
      <c r="O1695" s="3" t="n"/>
      <c r="P1695" s="3" t="n"/>
      <c r="Q1695" s="3" t="n"/>
      <c r="R1695" s="3" t="n"/>
      <c r="S1695" s="3" t="n"/>
      <c r="T1695" s="3" t="n"/>
      <c r="U1695" s="3" t="n"/>
      <c r="V1695" s="3" t="n"/>
      <c r="W1695" s="3" t="n"/>
      <c r="X1695" s="3" t="n"/>
      <c r="Y1695" s="3" t="n"/>
      <c r="Z1695" s="3" t="n"/>
      <c r="AA1695" s="3" t="n"/>
    </row>
    <row r="1696">
      <c r="A1696" s="105" t="n"/>
      <c r="B1696" s="105" t="n"/>
      <c r="C1696" s="3" t="n"/>
      <c r="D1696" s="3" t="n"/>
      <c r="E1696" s="3" t="n"/>
      <c r="F1696" s="3" t="n"/>
      <c r="G1696" s="3" t="n"/>
      <c r="H1696" s="3" t="inlineStr"/>
      <c r="I1696" s="3" t="n"/>
      <c r="J1696" s="3" t="n"/>
      <c r="K1696" s="3" t="n"/>
      <c r="L1696" s="3" t="inlineStr"/>
      <c r="M1696" s="3" t="n"/>
      <c r="N1696" s="3" t="inlineStr"/>
      <c r="O1696" s="3" t="n"/>
      <c r="P1696" s="3" t="n"/>
      <c r="Q1696" s="3" t="n"/>
      <c r="R1696" s="3" t="n"/>
      <c r="S1696" s="3" t="n"/>
      <c r="T1696" s="3" t="n"/>
      <c r="U1696" s="3" t="n"/>
      <c r="V1696" s="3" t="n"/>
      <c r="W1696" s="3" t="n"/>
      <c r="X1696" s="3" t="n"/>
      <c r="Y1696" s="3" t="n"/>
      <c r="Z1696" s="3" t="n"/>
      <c r="AA1696" s="3" t="n"/>
    </row>
    <row r="1697">
      <c r="A1697" s="105" t="n"/>
      <c r="B1697" s="105" t="n"/>
      <c r="C1697" s="3" t="n"/>
      <c r="D1697" s="3" t="n"/>
      <c r="E1697" s="3" t="n"/>
      <c r="F1697" s="3" t="n"/>
      <c r="G1697" s="3" t="n"/>
      <c r="H1697" s="3" t="inlineStr"/>
      <c r="I1697" s="3" t="n"/>
      <c r="J1697" s="3" t="n"/>
      <c r="K1697" s="3" t="n"/>
      <c r="L1697" s="3" t="inlineStr"/>
      <c r="M1697" s="3" t="n"/>
      <c r="N1697" s="3" t="inlineStr"/>
      <c r="O1697" s="3" t="n"/>
      <c r="P1697" s="3" t="n"/>
      <c r="Q1697" s="3" t="n"/>
      <c r="R1697" s="3" t="n"/>
      <c r="S1697" s="3" t="n"/>
      <c r="T1697" s="3" t="n"/>
      <c r="U1697" s="3" t="n"/>
      <c r="V1697" s="3" t="n"/>
      <c r="W1697" s="3" t="n"/>
      <c r="X1697" s="3" t="n"/>
      <c r="Y1697" s="3" t="n"/>
      <c r="Z1697" s="3" t="n"/>
      <c r="AA1697" s="3" t="n"/>
    </row>
    <row r="1698">
      <c r="A1698" s="105" t="n"/>
      <c r="B1698" s="105" t="n"/>
      <c r="C1698" s="3" t="n"/>
      <c r="D1698" s="3" t="n"/>
      <c r="E1698" s="3" t="n"/>
      <c r="F1698" s="3" t="n"/>
      <c r="G1698" s="3" t="n"/>
      <c r="H1698" s="3" t="inlineStr"/>
      <c r="I1698" s="3" t="n"/>
      <c r="J1698" s="3" t="n"/>
      <c r="K1698" s="3" t="n"/>
      <c r="L1698" s="3" t="inlineStr"/>
      <c r="M1698" s="3" t="n"/>
      <c r="N1698" s="3" t="inlineStr"/>
      <c r="O1698" s="3" t="n"/>
      <c r="P1698" s="3" t="n"/>
      <c r="Q1698" s="3" t="n"/>
      <c r="R1698" s="3" t="n"/>
      <c r="S1698" s="3" t="n"/>
      <c r="T1698" s="3" t="n"/>
      <c r="U1698" s="3" t="n"/>
      <c r="V1698" s="3" t="n"/>
      <c r="W1698" s="3" t="n"/>
      <c r="X1698" s="3" t="n"/>
      <c r="Y1698" s="3" t="n"/>
      <c r="Z1698" s="3" t="n"/>
      <c r="AA1698" s="3" t="n"/>
    </row>
    <row r="1699">
      <c r="A1699" s="105" t="n"/>
      <c r="B1699" s="105" t="n"/>
      <c r="C1699" s="3" t="n"/>
      <c r="D1699" s="3" t="n"/>
      <c r="E1699" s="3" t="n"/>
      <c r="F1699" s="3" t="n"/>
      <c r="G1699" s="3" t="n"/>
      <c r="H1699" s="3" t="inlineStr"/>
      <c r="I1699" s="3" t="n"/>
      <c r="J1699" s="3" t="n"/>
      <c r="K1699" s="3" t="n"/>
      <c r="L1699" s="3" t="inlineStr"/>
      <c r="M1699" s="3" t="n"/>
      <c r="N1699" s="3" t="inlineStr"/>
      <c r="O1699" s="3" t="n"/>
      <c r="P1699" s="3" t="n"/>
      <c r="Q1699" s="3" t="n"/>
      <c r="R1699" s="3" t="n"/>
      <c r="S1699" s="3" t="n"/>
      <c r="T1699" s="3" t="n"/>
      <c r="U1699" s="3" t="n"/>
      <c r="V1699" s="3" t="n"/>
      <c r="W1699" s="3" t="n"/>
      <c r="X1699" s="3" t="n"/>
      <c r="Y1699" s="3" t="n"/>
      <c r="Z1699" s="3" t="n"/>
      <c r="AA1699" s="3" t="n"/>
    </row>
    <row r="1700">
      <c r="A1700" s="105" t="n"/>
      <c r="B1700" s="105" t="n"/>
      <c r="C1700" s="3" t="n"/>
      <c r="D1700" s="3" t="n"/>
      <c r="E1700" s="3" t="n"/>
      <c r="F1700" s="3" t="n"/>
      <c r="G1700" s="3" t="n"/>
      <c r="H1700" s="3" t="inlineStr"/>
      <c r="I1700" s="3" t="n"/>
      <c r="J1700" s="3" t="n"/>
      <c r="K1700" s="3" t="n"/>
      <c r="L1700" s="3" t="inlineStr"/>
      <c r="M1700" s="3" t="n"/>
      <c r="N1700" s="3" t="inlineStr"/>
      <c r="O1700" s="3" t="n"/>
      <c r="P1700" s="3" t="n"/>
      <c r="Q1700" s="3" t="n"/>
      <c r="R1700" s="3" t="n"/>
      <c r="S1700" s="3" t="n"/>
      <c r="T1700" s="3" t="n"/>
      <c r="U1700" s="3" t="n"/>
      <c r="V1700" s="3" t="n"/>
      <c r="W1700" s="3" t="n"/>
      <c r="X1700" s="3" t="n"/>
      <c r="Y1700" s="3" t="n"/>
      <c r="Z1700" s="3" t="n"/>
      <c r="AA1700" s="3" t="n"/>
    </row>
    <row r="1701">
      <c r="A1701" s="105" t="n"/>
      <c r="B1701" s="105" t="n"/>
      <c r="C1701" s="3" t="n"/>
      <c r="D1701" s="3" t="n"/>
      <c r="E1701" s="3" t="n"/>
      <c r="F1701" s="3" t="n"/>
      <c r="G1701" s="3" t="n"/>
      <c r="H1701" s="3" t="inlineStr"/>
      <c r="I1701" s="3" t="n"/>
      <c r="J1701" s="3" t="n"/>
      <c r="K1701" s="3" t="n"/>
      <c r="L1701" s="3" t="inlineStr"/>
      <c r="M1701" s="3" t="n"/>
      <c r="N1701" s="3" t="inlineStr"/>
      <c r="O1701" s="3" t="n"/>
      <c r="P1701" s="3" t="n"/>
      <c r="Q1701" s="3" t="n"/>
      <c r="R1701" s="3" t="n"/>
      <c r="S1701" s="3" t="n"/>
      <c r="T1701" s="3" t="n"/>
      <c r="U1701" s="3" t="n"/>
      <c r="V1701" s="3" t="n"/>
      <c r="W1701" s="3" t="n"/>
      <c r="X1701" s="3" t="n"/>
      <c r="Y1701" s="3" t="n"/>
      <c r="Z1701" s="3" t="n"/>
      <c r="AA1701" s="3" t="n"/>
    </row>
    <row r="1702">
      <c r="A1702" s="105" t="n"/>
      <c r="B1702" s="105" t="n"/>
      <c r="C1702" s="3" t="n"/>
      <c r="D1702" s="3" t="n"/>
      <c r="E1702" s="3" t="n"/>
      <c r="F1702" s="3" t="n"/>
      <c r="G1702" s="3" t="n"/>
      <c r="H1702" s="3" t="inlineStr"/>
      <c r="I1702" s="3" t="n"/>
      <c r="J1702" s="3" t="n"/>
      <c r="K1702" s="3" t="n"/>
      <c r="L1702" s="3" t="inlineStr"/>
      <c r="M1702" s="3" t="n"/>
      <c r="N1702" s="3" t="inlineStr"/>
      <c r="O1702" s="3" t="n"/>
      <c r="P1702" s="3" t="n"/>
      <c r="Q1702" s="3" t="n"/>
      <c r="R1702" s="3" t="n"/>
      <c r="S1702" s="3" t="n"/>
      <c r="T1702" s="3" t="n"/>
      <c r="U1702" s="3" t="n"/>
      <c r="V1702" s="3" t="n"/>
      <c r="W1702" s="3" t="n"/>
      <c r="X1702" s="3" t="n"/>
      <c r="Y1702" s="3" t="n"/>
      <c r="Z1702" s="3" t="n"/>
      <c r="AA1702" s="3" t="n"/>
    </row>
    <row r="1703">
      <c r="A1703" s="105" t="n"/>
      <c r="B1703" s="105" t="n"/>
      <c r="C1703" s="3" t="n"/>
      <c r="D1703" s="3" t="n"/>
      <c r="E1703" s="3" t="n"/>
      <c r="F1703" s="3" t="n"/>
      <c r="G1703" s="3" t="n"/>
      <c r="H1703" s="3" t="inlineStr"/>
      <c r="I1703" s="3" t="n"/>
      <c r="J1703" s="3" t="n"/>
      <c r="K1703" s="3" t="n"/>
      <c r="L1703" s="3" t="inlineStr"/>
      <c r="M1703" s="3" t="n"/>
      <c r="N1703" s="3" t="inlineStr"/>
      <c r="O1703" s="3" t="n"/>
      <c r="P1703" s="3" t="n"/>
      <c r="Q1703" s="3" t="n"/>
      <c r="R1703" s="3" t="n"/>
      <c r="S1703" s="3" t="n"/>
      <c r="T1703" s="3" t="n"/>
      <c r="U1703" s="3" t="n"/>
      <c r="V1703" s="3" t="n"/>
      <c r="W1703" s="3" t="n"/>
      <c r="X1703" s="3" t="n"/>
      <c r="Y1703" s="3" t="n"/>
      <c r="Z1703" s="3" t="n"/>
      <c r="AA1703" s="3" t="n"/>
    </row>
    <row r="1704">
      <c r="A1704" s="105" t="n"/>
      <c r="B1704" s="105" t="n"/>
      <c r="C1704" s="3" t="n"/>
      <c r="D1704" s="3" t="n"/>
      <c r="E1704" s="3" t="n"/>
      <c r="F1704" s="3" t="n"/>
      <c r="G1704" s="3" t="n"/>
      <c r="H1704" s="3" t="inlineStr"/>
      <c r="I1704" s="3" t="n"/>
      <c r="J1704" s="3" t="n"/>
      <c r="K1704" s="3" t="n"/>
      <c r="L1704" s="3" t="inlineStr"/>
      <c r="M1704" s="3" t="n"/>
      <c r="N1704" s="3" t="inlineStr"/>
      <c r="O1704" s="3" t="n"/>
      <c r="P1704" s="3" t="n"/>
      <c r="Q1704" s="3" t="n"/>
      <c r="R1704" s="3" t="n"/>
      <c r="S1704" s="3" t="n"/>
      <c r="T1704" s="3" t="n"/>
      <c r="U1704" s="3" t="n"/>
      <c r="V1704" s="3" t="n"/>
      <c r="W1704" s="3" t="n"/>
      <c r="X1704" s="3" t="n"/>
      <c r="Y1704" s="3" t="n"/>
      <c r="Z1704" s="3" t="n"/>
      <c r="AA1704" s="3" t="n"/>
    </row>
    <row r="1705">
      <c r="A1705" s="105" t="n"/>
      <c r="B1705" s="105" t="n"/>
      <c r="C1705" s="3" t="n"/>
      <c r="D1705" s="3" t="n"/>
      <c r="E1705" s="3" t="n"/>
      <c r="F1705" s="3" t="n"/>
      <c r="G1705" s="3" t="n"/>
      <c r="H1705" s="3" t="inlineStr"/>
      <c r="I1705" s="3" t="n"/>
      <c r="J1705" s="3" t="n"/>
      <c r="K1705" s="3" t="n"/>
      <c r="L1705" s="3" t="inlineStr"/>
      <c r="M1705" s="3" t="n"/>
      <c r="N1705" s="3" t="inlineStr"/>
      <c r="O1705" s="3" t="n"/>
      <c r="P1705" s="3" t="n"/>
      <c r="Q1705" s="3" t="n"/>
      <c r="R1705" s="3" t="n"/>
      <c r="S1705" s="3" t="n"/>
      <c r="T1705" s="3" t="n"/>
      <c r="U1705" s="3" t="n"/>
      <c r="V1705" s="3" t="n"/>
      <c r="W1705" s="3" t="n"/>
      <c r="X1705" s="3" t="n"/>
      <c r="Y1705" s="3" t="n"/>
      <c r="Z1705" s="3" t="n"/>
      <c r="AA1705" s="3" t="n"/>
    </row>
    <row r="1706">
      <c r="A1706" s="105" t="n"/>
      <c r="B1706" s="105" t="n"/>
      <c r="C1706" s="3" t="n"/>
      <c r="D1706" s="3" t="n"/>
      <c r="E1706" s="3" t="n"/>
      <c r="F1706" s="3" t="n"/>
      <c r="G1706" s="3" t="n"/>
      <c r="H1706" s="3" t="inlineStr"/>
      <c r="I1706" s="3" t="n"/>
      <c r="J1706" s="3" t="n"/>
      <c r="K1706" s="3" t="n"/>
      <c r="L1706" s="3" t="inlineStr"/>
      <c r="M1706" s="3" t="n"/>
      <c r="N1706" s="3" t="inlineStr"/>
      <c r="O1706" s="3" t="n"/>
      <c r="P1706" s="3" t="n"/>
      <c r="Q1706" s="3" t="n"/>
      <c r="R1706" s="3" t="n"/>
      <c r="S1706" s="3" t="n"/>
      <c r="T1706" s="3" t="n"/>
      <c r="U1706" s="3" t="n"/>
      <c r="V1706" s="3" t="n"/>
      <c r="W1706" s="3" t="n"/>
      <c r="X1706" s="3" t="n"/>
      <c r="Y1706" s="3" t="n"/>
      <c r="Z1706" s="3" t="n"/>
      <c r="AA1706" s="3" t="n"/>
    </row>
    <row r="1707">
      <c r="A1707" s="105" t="n"/>
      <c r="B1707" s="105" t="n"/>
      <c r="C1707" s="3" t="n"/>
      <c r="D1707" s="3" t="n"/>
      <c r="E1707" s="3" t="n"/>
      <c r="F1707" s="3" t="n"/>
      <c r="G1707" s="3" t="n"/>
      <c r="H1707" s="3" t="inlineStr"/>
      <c r="I1707" s="3" t="n"/>
      <c r="J1707" s="3" t="n"/>
      <c r="K1707" s="3" t="n"/>
      <c r="L1707" s="3" t="inlineStr"/>
      <c r="M1707" s="3" t="n"/>
      <c r="N1707" s="3" t="inlineStr"/>
      <c r="O1707" s="3" t="n"/>
      <c r="P1707" s="3" t="n"/>
      <c r="Q1707" s="3" t="n"/>
      <c r="R1707" s="3" t="n"/>
      <c r="S1707" s="3" t="n"/>
      <c r="T1707" s="3" t="n"/>
      <c r="U1707" s="3" t="n"/>
      <c r="V1707" s="3" t="n"/>
      <c r="W1707" s="3" t="n"/>
      <c r="X1707" s="3" t="n"/>
      <c r="Y1707" s="3" t="n"/>
      <c r="Z1707" s="3" t="n"/>
      <c r="AA1707" s="3" t="n"/>
    </row>
    <row r="1708">
      <c r="A1708" s="105" t="n"/>
      <c r="B1708" s="105" t="n"/>
      <c r="C1708" s="3" t="n"/>
      <c r="D1708" s="3" t="n"/>
      <c r="E1708" s="3" t="n"/>
      <c r="F1708" s="3" t="n"/>
      <c r="G1708" s="3" t="n"/>
      <c r="H1708" s="3" t="inlineStr"/>
      <c r="I1708" s="3" t="n"/>
      <c r="J1708" s="3" t="n"/>
      <c r="K1708" s="3" t="n"/>
      <c r="L1708" s="3" t="inlineStr"/>
      <c r="M1708" s="3" t="n"/>
      <c r="N1708" s="3" t="inlineStr"/>
      <c r="O1708" s="3" t="n"/>
      <c r="P1708" s="3" t="n"/>
      <c r="Q1708" s="3" t="n"/>
      <c r="R1708" s="3" t="n"/>
      <c r="S1708" s="3" t="n"/>
      <c r="T1708" s="3" t="n"/>
      <c r="U1708" s="3" t="n"/>
      <c r="V1708" s="3" t="n"/>
      <c r="W1708" s="3" t="n"/>
      <c r="X1708" s="3" t="n"/>
      <c r="Y1708" s="3" t="n"/>
      <c r="Z1708" s="3" t="n"/>
      <c r="AA1708" s="3" t="n"/>
    </row>
    <row r="1709">
      <c r="A1709" s="105" t="n"/>
      <c r="B1709" s="105" t="n"/>
      <c r="C1709" s="3" t="n"/>
      <c r="D1709" s="3" t="n"/>
      <c r="E1709" s="3" t="n"/>
      <c r="F1709" s="3" t="n"/>
      <c r="G1709" s="3" t="n"/>
      <c r="H1709" s="3" t="inlineStr"/>
      <c r="I1709" s="3" t="n"/>
      <c r="J1709" s="3" t="n"/>
      <c r="K1709" s="3" t="n"/>
      <c r="L1709" s="3" t="inlineStr"/>
      <c r="M1709" s="3" t="n"/>
      <c r="N1709" s="3" t="inlineStr"/>
      <c r="O1709" s="3" t="n"/>
      <c r="P1709" s="3" t="n"/>
      <c r="Q1709" s="3" t="n"/>
      <c r="R1709" s="3" t="n"/>
      <c r="S1709" s="3" t="n"/>
      <c r="T1709" s="3" t="n"/>
      <c r="U1709" s="3" t="n"/>
      <c r="V1709" s="3" t="n"/>
      <c r="W1709" s="3" t="n"/>
      <c r="X1709" s="3" t="n"/>
      <c r="Y1709" s="3" t="n"/>
      <c r="Z1709" s="3" t="n"/>
      <c r="AA1709" s="3" t="n"/>
    </row>
    <row r="1710">
      <c r="A1710" s="105" t="n"/>
      <c r="B1710" s="105" t="n"/>
      <c r="C1710" s="3" t="n"/>
      <c r="D1710" s="3" t="n"/>
      <c r="E1710" s="3" t="n"/>
      <c r="F1710" s="3" t="n"/>
      <c r="G1710" s="3" t="n"/>
      <c r="H1710" s="3" t="inlineStr"/>
      <c r="I1710" s="3" t="n"/>
      <c r="J1710" s="3" t="n"/>
      <c r="K1710" s="3" t="n"/>
      <c r="L1710" s="3" t="inlineStr"/>
      <c r="M1710" s="3" t="n"/>
      <c r="N1710" s="3" t="inlineStr"/>
      <c r="O1710" s="3" t="n"/>
      <c r="P1710" s="3" t="n"/>
      <c r="Q1710" s="3" t="n"/>
      <c r="R1710" s="3" t="n"/>
      <c r="S1710" s="3" t="n"/>
      <c r="T1710" s="3" t="n"/>
      <c r="U1710" s="3" t="n"/>
      <c r="V1710" s="3" t="n"/>
      <c r="W1710" s="3" t="n"/>
      <c r="X1710" s="3" t="n"/>
      <c r="Y1710" s="3" t="n"/>
      <c r="Z1710" s="3" t="n"/>
      <c r="AA1710" s="3" t="n"/>
    </row>
    <row r="1711">
      <c r="A1711" s="105" t="n"/>
      <c r="B1711" s="105" t="n"/>
      <c r="C1711" s="3" t="n"/>
      <c r="D1711" s="3" t="n"/>
      <c r="E1711" s="3" t="n"/>
      <c r="F1711" s="3" t="n"/>
      <c r="G1711" s="3" t="n"/>
      <c r="H1711" s="3" t="inlineStr"/>
      <c r="I1711" s="3" t="n"/>
      <c r="J1711" s="3" t="n"/>
      <c r="K1711" s="3" t="n"/>
      <c r="L1711" s="3" t="inlineStr"/>
      <c r="M1711" s="3" t="n"/>
      <c r="N1711" s="3" t="inlineStr"/>
      <c r="O1711" s="3" t="n"/>
      <c r="P1711" s="3" t="n"/>
      <c r="Q1711" s="3" t="n"/>
      <c r="R1711" s="3" t="n"/>
      <c r="S1711" s="3" t="n"/>
      <c r="T1711" s="3" t="n"/>
      <c r="U1711" s="3" t="n"/>
      <c r="V1711" s="3" t="n"/>
      <c r="W1711" s="3" t="n"/>
      <c r="X1711" s="3" t="n"/>
      <c r="Y1711" s="3" t="n"/>
      <c r="Z1711" s="3" t="n"/>
      <c r="AA1711" s="3" t="n"/>
    </row>
    <row r="1712">
      <c r="A1712" s="105" t="n"/>
      <c r="B1712" s="105" t="n"/>
      <c r="C1712" s="3" t="n"/>
      <c r="D1712" s="3" t="n"/>
      <c r="E1712" s="3" t="n"/>
      <c r="F1712" s="3" t="n"/>
      <c r="G1712" s="3" t="n"/>
      <c r="H1712" s="3" t="inlineStr"/>
      <c r="I1712" s="3" t="n"/>
      <c r="J1712" s="3" t="n"/>
      <c r="K1712" s="3" t="n"/>
      <c r="L1712" s="3" t="inlineStr"/>
      <c r="M1712" s="3" t="n"/>
      <c r="N1712" s="3" t="inlineStr"/>
      <c r="O1712" s="3" t="n"/>
      <c r="P1712" s="3" t="n"/>
      <c r="Q1712" s="3" t="n"/>
      <c r="R1712" s="3" t="n"/>
      <c r="S1712" s="3" t="n"/>
      <c r="T1712" s="3" t="n"/>
      <c r="U1712" s="3" t="n"/>
      <c r="V1712" s="3" t="n"/>
      <c r="W1712" s="3" t="n"/>
      <c r="X1712" s="3" t="n"/>
      <c r="Y1712" s="3" t="n"/>
      <c r="Z1712" s="3" t="n"/>
      <c r="AA1712" s="3" t="n"/>
    </row>
    <row r="1713">
      <c r="A1713" s="105" t="n"/>
      <c r="B1713" s="105" t="n"/>
      <c r="C1713" s="3" t="n"/>
      <c r="D1713" s="3" t="n"/>
      <c r="E1713" s="3" t="n"/>
      <c r="F1713" s="3" t="n"/>
      <c r="G1713" s="3" t="n"/>
      <c r="H1713" s="3" t="inlineStr"/>
      <c r="I1713" s="3" t="n"/>
      <c r="J1713" s="3" t="n"/>
      <c r="K1713" s="3" t="n"/>
      <c r="L1713" s="3" t="inlineStr"/>
      <c r="M1713" s="3" t="n"/>
      <c r="N1713" s="3" t="inlineStr"/>
      <c r="O1713" s="3" t="n"/>
      <c r="P1713" s="3" t="n"/>
      <c r="Q1713" s="3" t="n"/>
      <c r="R1713" s="3" t="n"/>
      <c r="S1713" s="3" t="n"/>
      <c r="T1713" s="3" t="n"/>
      <c r="U1713" s="3" t="n"/>
      <c r="V1713" s="3" t="n"/>
      <c r="W1713" s="3" t="n"/>
      <c r="X1713" s="3" t="n"/>
      <c r="Y1713" s="3" t="n"/>
      <c r="Z1713" s="3" t="n"/>
      <c r="AA1713" s="3" t="n"/>
    </row>
    <row r="1714">
      <c r="A1714" s="105" t="n"/>
      <c r="B1714" s="105" t="n"/>
      <c r="C1714" s="3" t="n"/>
      <c r="D1714" s="3" t="n"/>
      <c r="E1714" s="3" t="n"/>
      <c r="F1714" s="3" t="n"/>
      <c r="G1714" s="3" t="n"/>
      <c r="H1714" s="3" t="inlineStr"/>
      <c r="I1714" s="3" t="n"/>
      <c r="J1714" s="3" t="n"/>
      <c r="K1714" s="3" t="n"/>
      <c r="L1714" s="3" t="inlineStr"/>
      <c r="M1714" s="3" t="n"/>
      <c r="N1714" s="3" t="inlineStr"/>
      <c r="O1714" s="3" t="n"/>
      <c r="P1714" s="3" t="n"/>
      <c r="Q1714" s="3" t="n"/>
      <c r="R1714" s="3" t="n"/>
      <c r="S1714" s="3" t="n"/>
      <c r="T1714" s="3" t="n"/>
      <c r="U1714" s="3" t="n"/>
      <c r="V1714" s="3" t="n"/>
      <c r="W1714" s="3" t="n"/>
      <c r="X1714" s="3" t="n"/>
      <c r="Y1714" s="3" t="n"/>
      <c r="Z1714" s="3" t="n"/>
      <c r="AA1714" s="3" t="n"/>
    </row>
    <row r="1715">
      <c r="A1715" s="105" t="n"/>
      <c r="B1715" s="105" t="n"/>
      <c r="C1715" s="3" t="n"/>
      <c r="D1715" s="3" t="n"/>
      <c r="E1715" s="3" t="n"/>
      <c r="F1715" s="3" t="n"/>
      <c r="G1715" s="3" t="n"/>
      <c r="H1715" s="3" t="inlineStr"/>
      <c r="I1715" s="3" t="n"/>
      <c r="J1715" s="3" t="n"/>
      <c r="K1715" s="3" t="n"/>
      <c r="L1715" s="3" t="inlineStr"/>
      <c r="M1715" s="3" t="n"/>
      <c r="N1715" s="3" t="inlineStr"/>
      <c r="O1715" s="3" t="n"/>
      <c r="P1715" s="3" t="n"/>
      <c r="Q1715" s="3" t="n"/>
      <c r="R1715" s="3" t="n"/>
      <c r="S1715" s="3" t="n"/>
      <c r="T1715" s="3" t="n"/>
      <c r="U1715" s="3" t="n"/>
      <c r="V1715" s="3" t="n"/>
      <c r="W1715" s="3" t="n"/>
      <c r="X1715" s="3" t="n"/>
      <c r="Y1715" s="3" t="n"/>
      <c r="Z1715" s="3" t="n"/>
      <c r="AA1715" s="3" t="n"/>
    </row>
    <row r="1716">
      <c r="A1716" s="105" t="n"/>
      <c r="B1716" s="105" t="n"/>
      <c r="C1716" s="3" t="n"/>
      <c r="D1716" s="3" t="n"/>
      <c r="E1716" s="3" t="n"/>
      <c r="F1716" s="3" t="n"/>
      <c r="G1716" s="3" t="n"/>
      <c r="H1716" s="3" t="inlineStr"/>
      <c r="I1716" s="3" t="n"/>
      <c r="J1716" s="3" t="n"/>
      <c r="K1716" s="3" t="n"/>
      <c r="L1716" s="3" t="inlineStr"/>
      <c r="M1716" s="3" t="n"/>
      <c r="N1716" s="3" t="inlineStr"/>
      <c r="O1716" s="3" t="n"/>
      <c r="P1716" s="3" t="n"/>
      <c r="Q1716" s="3" t="n"/>
      <c r="R1716" s="3" t="n"/>
      <c r="S1716" s="3" t="n"/>
      <c r="T1716" s="3" t="n"/>
      <c r="U1716" s="3" t="n"/>
      <c r="V1716" s="3" t="n"/>
      <c r="W1716" s="3" t="n"/>
      <c r="X1716" s="3" t="n"/>
      <c r="Y1716" s="3" t="n"/>
      <c r="Z1716" s="3" t="n"/>
      <c r="AA1716" s="3" t="n"/>
    </row>
    <row r="1717">
      <c r="A1717" s="105" t="n"/>
      <c r="B1717" s="105" t="n"/>
      <c r="C1717" s="3" t="n"/>
      <c r="D1717" s="3" t="n"/>
      <c r="E1717" s="3" t="n"/>
      <c r="F1717" s="3" t="n"/>
      <c r="G1717" s="3" t="n"/>
      <c r="H1717" s="3" t="inlineStr"/>
      <c r="I1717" s="3" t="n"/>
      <c r="J1717" s="3" t="n"/>
      <c r="K1717" s="3" t="n"/>
      <c r="L1717" s="3" t="inlineStr"/>
      <c r="M1717" s="3" t="n"/>
      <c r="N1717" s="3" t="inlineStr"/>
      <c r="O1717" s="3" t="n"/>
      <c r="P1717" s="3" t="n"/>
      <c r="Q1717" s="3" t="n"/>
      <c r="R1717" s="3" t="n"/>
      <c r="S1717" s="3" t="n"/>
      <c r="T1717" s="3" t="n"/>
      <c r="U1717" s="3" t="n"/>
      <c r="V1717" s="3" t="n"/>
      <c r="W1717" s="3" t="n"/>
      <c r="X1717" s="3" t="n"/>
      <c r="Y1717" s="3" t="n"/>
      <c r="Z1717" s="3" t="n"/>
      <c r="AA1717" s="3" t="n"/>
    </row>
    <row r="1718">
      <c r="A1718" s="105" t="n"/>
      <c r="B1718" s="105" t="n"/>
      <c r="C1718" s="3" t="n"/>
      <c r="D1718" s="3" t="n"/>
      <c r="E1718" s="3" t="n"/>
      <c r="F1718" s="3" t="n"/>
      <c r="G1718" s="3" t="n"/>
      <c r="H1718" s="3" t="inlineStr"/>
      <c r="I1718" s="3" t="n"/>
      <c r="J1718" s="3" t="n"/>
      <c r="K1718" s="3" t="n"/>
      <c r="L1718" s="3" t="inlineStr"/>
      <c r="M1718" s="3" t="n"/>
      <c r="N1718" s="3" t="inlineStr"/>
      <c r="O1718" s="3" t="n"/>
      <c r="P1718" s="3" t="n"/>
      <c r="Q1718" s="3" t="n"/>
      <c r="R1718" s="3" t="n"/>
      <c r="S1718" s="3" t="n"/>
      <c r="T1718" s="3" t="n"/>
      <c r="U1718" s="3" t="n"/>
      <c r="V1718" s="3" t="n"/>
      <c r="W1718" s="3" t="n"/>
      <c r="X1718" s="3" t="n"/>
      <c r="Y1718" s="3" t="n"/>
      <c r="Z1718" s="3" t="n"/>
      <c r="AA1718" s="3" t="n"/>
    </row>
    <row r="1719">
      <c r="A1719" s="105" t="n"/>
      <c r="B1719" s="105" t="n"/>
      <c r="C1719" s="3" t="n"/>
      <c r="D1719" s="3" t="n"/>
      <c r="E1719" s="3" t="n"/>
      <c r="F1719" s="3" t="n"/>
      <c r="G1719" s="3" t="n"/>
      <c r="H1719" s="3" t="inlineStr"/>
      <c r="I1719" s="3" t="n"/>
      <c r="J1719" s="3" t="n"/>
      <c r="K1719" s="3" t="n"/>
      <c r="L1719" s="3" t="inlineStr"/>
      <c r="M1719" s="3" t="n"/>
      <c r="N1719" s="3" t="inlineStr"/>
      <c r="O1719" s="3" t="n"/>
      <c r="P1719" s="3" t="n"/>
      <c r="Q1719" s="3" t="n"/>
      <c r="R1719" s="3" t="n"/>
      <c r="S1719" s="3" t="n"/>
      <c r="T1719" s="3" t="n"/>
      <c r="U1719" s="3" t="n"/>
      <c r="V1719" s="3" t="n"/>
      <c r="W1719" s="3" t="n"/>
      <c r="X1719" s="3" t="n"/>
      <c r="Y1719" s="3" t="n"/>
      <c r="Z1719" s="3" t="n"/>
      <c r="AA1719" s="3" t="n"/>
    </row>
    <row r="1720">
      <c r="A1720" s="105" t="n"/>
      <c r="B1720" s="105" t="n"/>
      <c r="C1720" s="3" t="n"/>
      <c r="D1720" s="3" t="n"/>
      <c r="E1720" s="3" t="n"/>
      <c r="F1720" s="3" t="n"/>
      <c r="G1720" s="3" t="n"/>
      <c r="H1720" s="3" t="inlineStr"/>
      <c r="I1720" s="3" t="n"/>
      <c r="J1720" s="3" t="n"/>
      <c r="K1720" s="3" t="n"/>
      <c r="L1720" s="3" t="inlineStr"/>
      <c r="M1720" s="3" t="n"/>
      <c r="N1720" s="3" t="inlineStr"/>
      <c r="O1720" s="3" t="n"/>
      <c r="P1720" s="3" t="n"/>
      <c r="Q1720" s="3" t="n"/>
      <c r="R1720" s="3" t="n"/>
      <c r="S1720" s="3" t="n"/>
      <c r="T1720" s="3" t="n"/>
      <c r="U1720" s="3" t="n"/>
      <c r="V1720" s="3" t="n"/>
      <c r="W1720" s="3" t="n"/>
      <c r="X1720" s="3" t="n"/>
      <c r="Y1720" s="3" t="n"/>
      <c r="Z1720" s="3" t="n"/>
      <c r="AA1720" s="3" t="n"/>
    </row>
    <row r="1721">
      <c r="A1721" s="105" t="n"/>
      <c r="B1721" s="105" t="n"/>
      <c r="C1721" s="3" t="n"/>
      <c r="D1721" s="3" t="n"/>
      <c r="E1721" s="3" t="n"/>
      <c r="F1721" s="3" t="n"/>
      <c r="G1721" s="3" t="n"/>
      <c r="H1721" s="3" t="inlineStr"/>
      <c r="I1721" s="3" t="n"/>
      <c r="J1721" s="3" t="n"/>
      <c r="K1721" s="3" t="n"/>
      <c r="L1721" s="3" t="inlineStr"/>
      <c r="M1721" s="3" t="n"/>
      <c r="N1721" s="3" t="inlineStr"/>
      <c r="O1721" s="3" t="n"/>
      <c r="P1721" s="3" t="n"/>
      <c r="Q1721" s="3" t="n"/>
      <c r="R1721" s="3" t="n"/>
      <c r="S1721" s="3" t="n"/>
      <c r="T1721" s="3" t="n"/>
      <c r="U1721" s="3" t="n"/>
      <c r="V1721" s="3" t="n"/>
      <c r="W1721" s="3" t="n"/>
      <c r="X1721" s="3" t="n"/>
      <c r="Y1721" s="3" t="n"/>
      <c r="Z1721" s="3" t="n"/>
      <c r="AA1721" s="3" t="n"/>
    </row>
    <row r="1722">
      <c r="A1722" s="105" t="n"/>
      <c r="B1722" s="105" t="n"/>
      <c r="C1722" s="3" t="n"/>
      <c r="D1722" s="3" t="n"/>
      <c r="E1722" s="3" t="n"/>
      <c r="F1722" s="3" t="n"/>
      <c r="G1722" s="3" t="n"/>
      <c r="H1722" s="3" t="inlineStr"/>
      <c r="I1722" s="3" t="n"/>
      <c r="J1722" s="3" t="n"/>
      <c r="K1722" s="3" t="n"/>
      <c r="L1722" s="3" t="inlineStr"/>
      <c r="M1722" s="3" t="n"/>
      <c r="N1722" s="3" t="inlineStr"/>
      <c r="O1722" s="3" t="n"/>
      <c r="P1722" s="3" t="n"/>
      <c r="Q1722" s="3" t="n"/>
      <c r="R1722" s="3" t="n"/>
      <c r="S1722" s="3" t="n"/>
      <c r="T1722" s="3" t="n"/>
      <c r="U1722" s="3" t="n"/>
      <c r="V1722" s="3" t="n"/>
      <c r="W1722" s="3" t="n"/>
      <c r="X1722" s="3" t="n"/>
      <c r="Y1722" s="3" t="n"/>
      <c r="Z1722" s="3" t="n"/>
      <c r="AA1722" s="3" t="n"/>
    </row>
    <row r="1723">
      <c r="A1723" s="105" t="n"/>
      <c r="B1723" s="105" t="n"/>
      <c r="C1723" s="3" t="n"/>
      <c r="D1723" s="3" t="n"/>
      <c r="E1723" s="3" t="n"/>
      <c r="F1723" s="3" t="n"/>
      <c r="G1723" s="3" t="n"/>
      <c r="H1723" s="3" t="inlineStr"/>
      <c r="I1723" s="3" t="n"/>
      <c r="J1723" s="3" t="n"/>
      <c r="K1723" s="3" t="n"/>
      <c r="L1723" s="3" t="inlineStr"/>
      <c r="M1723" s="3" t="n"/>
      <c r="N1723" s="3" t="inlineStr"/>
      <c r="O1723" s="3" t="n"/>
      <c r="P1723" s="3" t="n"/>
      <c r="Q1723" s="3" t="n"/>
      <c r="R1723" s="3" t="n"/>
      <c r="S1723" s="3" t="n"/>
      <c r="T1723" s="3" t="n"/>
      <c r="U1723" s="3" t="n"/>
      <c r="V1723" s="3" t="n"/>
      <c r="W1723" s="3" t="n"/>
      <c r="X1723" s="3" t="n"/>
      <c r="Y1723" s="3" t="n"/>
      <c r="Z1723" s="3" t="n"/>
      <c r="AA1723" s="3" t="n"/>
    </row>
    <row r="1724">
      <c r="A1724" s="105" t="n"/>
      <c r="B1724" s="105" t="n"/>
      <c r="C1724" s="3" t="n"/>
      <c r="D1724" s="3" t="n"/>
      <c r="E1724" s="3" t="n"/>
      <c r="F1724" s="3" t="n"/>
      <c r="G1724" s="3" t="n"/>
      <c r="H1724" s="3" t="inlineStr"/>
      <c r="I1724" s="3" t="n"/>
      <c r="J1724" s="3" t="n"/>
      <c r="K1724" s="3" t="n"/>
      <c r="L1724" s="3" t="inlineStr"/>
      <c r="M1724" s="3" t="n"/>
      <c r="N1724" s="3" t="inlineStr"/>
      <c r="O1724" s="3" t="n"/>
      <c r="P1724" s="3" t="n"/>
      <c r="Q1724" s="3" t="n"/>
      <c r="R1724" s="3" t="n"/>
      <c r="S1724" s="3" t="n"/>
      <c r="T1724" s="3" t="n"/>
      <c r="U1724" s="3" t="n"/>
      <c r="V1724" s="3" t="n"/>
      <c r="W1724" s="3" t="n"/>
      <c r="X1724" s="3" t="n"/>
      <c r="Y1724" s="3" t="n"/>
      <c r="Z1724" s="3" t="n"/>
      <c r="AA1724" s="3" t="n"/>
    </row>
    <row r="1725">
      <c r="A1725" s="105" t="n"/>
      <c r="B1725" s="105" t="n"/>
      <c r="C1725" s="3" t="n"/>
      <c r="D1725" s="3" t="n"/>
      <c r="E1725" s="3" t="n"/>
      <c r="F1725" s="3" t="n"/>
      <c r="G1725" s="3" t="n"/>
      <c r="H1725" s="3" t="inlineStr"/>
      <c r="I1725" s="3" t="n"/>
      <c r="J1725" s="3" t="n"/>
      <c r="K1725" s="3" t="n"/>
      <c r="L1725" s="3" t="inlineStr"/>
      <c r="M1725" s="3" t="n"/>
      <c r="N1725" s="3" t="inlineStr"/>
      <c r="O1725" s="3" t="n"/>
      <c r="P1725" s="3" t="n"/>
      <c r="Q1725" s="3" t="n"/>
      <c r="R1725" s="3" t="n"/>
      <c r="S1725" s="3" t="n"/>
      <c r="T1725" s="3" t="n"/>
      <c r="U1725" s="3" t="n"/>
      <c r="V1725" s="3" t="n"/>
      <c r="W1725" s="3" t="n"/>
      <c r="X1725" s="3" t="n"/>
      <c r="Y1725" s="3" t="n"/>
      <c r="Z1725" s="3" t="n"/>
      <c r="AA1725" s="3" t="n"/>
    </row>
    <row r="1726">
      <c r="A1726" s="105" t="n"/>
      <c r="B1726" s="105" t="n"/>
      <c r="C1726" s="3" t="n"/>
      <c r="D1726" s="3" t="n"/>
      <c r="E1726" s="3" t="n"/>
      <c r="F1726" s="3" t="n"/>
      <c r="G1726" s="3" t="n"/>
      <c r="H1726" s="3" t="inlineStr"/>
      <c r="I1726" s="3" t="n"/>
      <c r="J1726" s="3" t="n"/>
      <c r="K1726" s="3" t="n"/>
      <c r="L1726" s="3" t="inlineStr"/>
      <c r="M1726" s="3" t="n"/>
      <c r="N1726" s="3" t="inlineStr"/>
      <c r="O1726" s="3" t="n"/>
      <c r="P1726" s="3" t="n"/>
      <c r="Q1726" s="3" t="n"/>
      <c r="R1726" s="3" t="n"/>
      <c r="S1726" s="3" t="n"/>
      <c r="T1726" s="3" t="n"/>
      <c r="U1726" s="3" t="n"/>
      <c r="V1726" s="3" t="n"/>
      <c r="W1726" s="3" t="n"/>
      <c r="X1726" s="3" t="n"/>
      <c r="Y1726" s="3" t="n"/>
      <c r="Z1726" s="3" t="n"/>
      <c r="AA1726" s="3" t="n"/>
    </row>
    <row r="1727">
      <c r="A1727" s="105" t="n"/>
      <c r="B1727" s="105" t="n"/>
      <c r="C1727" s="3" t="n"/>
      <c r="D1727" s="3" t="n"/>
      <c r="E1727" s="3" t="n"/>
      <c r="F1727" s="3" t="n"/>
      <c r="G1727" s="3" t="n"/>
      <c r="H1727" s="3" t="inlineStr"/>
      <c r="I1727" s="3" t="n"/>
      <c r="J1727" s="3" t="n"/>
      <c r="K1727" s="3" t="n"/>
      <c r="L1727" s="3" t="inlineStr"/>
      <c r="M1727" s="3" t="n"/>
      <c r="N1727" s="3" t="inlineStr"/>
      <c r="O1727" s="3" t="n"/>
      <c r="P1727" s="3" t="n"/>
      <c r="Q1727" s="3" t="n"/>
      <c r="R1727" s="3" t="n"/>
      <c r="S1727" s="3" t="n"/>
      <c r="T1727" s="3" t="n"/>
      <c r="U1727" s="3" t="n"/>
      <c r="V1727" s="3" t="n"/>
      <c r="W1727" s="3" t="n"/>
      <c r="X1727" s="3" t="n"/>
      <c r="Y1727" s="3" t="n"/>
      <c r="Z1727" s="3" t="n"/>
      <c r="AA1727" s="3" t="n"/>
    </row>
    <row r="1728">
      <c r="A1728" s="105" t="n"/>
      <c r="B1728" s="105" t="n"/>
      <c r="C1728" s="3" t="n"/>
      <c r="D1728" s="3" t="n"/>
      <c r="E1728" s="3" t="n"/>
      <c r="F1728" s="3" t="n"/>
      <c r="G1728" s="3" t="n"/>
      <c r="H1728" s="3" t="inlineStr"/>
      <c r="I1728" s="3" t="n"/>
      <c r="J1728" s="3" t="n"/>
      <c r="K1728" s="3" t="n"/>
      <c r="L1728" s="3" t="inlineStr"/>
      <c r="M1728" s="3" t="n"/>
      <c r="N1728" s="3" t="inlineStr"/>
      <c r="O1728" s="3" t="n"/>
      <c r="P1728" s="3" t="n"/>
      <c r="Q1728" s="3" t="n"/>
      <c r="R1728" s="3" t="n"/>
      <c r="S1728" s="3" t="n"/>
      <c r="T1728" s="3" t="n"/>
      <c r="U1728" s="3" t="n"/>
      <c r="V1728" s="3" t="n"/>
      <c r="W1728" s="3" t="n"/>
      <c r="X1728" s="3" t="n"/>
      <c r="Y1728" s="3" t="n"/>
      <c r="Z1728" s="3" t="n"/>
      <c r="AA1728" s="3" t="n"/>
    </row>
    <row r="1729">
      <c r="A1729" s="105" t="n"/>
      <c r="B1729" s="105" t="n"/>
      <c r="C1729" s="3" t="n"/>
      <c r="D1729" s="3" t="n"/>
      <c r="E1729" s="3" t="n"/>
      <c r="F1729" s="3" t="n"/>
      <c r="G1729" s="3" t="n"/>
      <c r="H1729" s="3" t="inlineStr"/>
      <c r="I1729" s="3" t="n"/>
      <c r="J1729" s="3" t="n"/>
      <c r="K1729" s="3" t="n"/>
      <c r="L1729" s="3" t="inlineStr"/>
      <c r="M1729" s="3" t="n"/>
      <c r="N1729" s="3" t="inlineStr"/>
      <c r="O1729" s="3" t="n"/>
      <c r="P1729" s="3" t="n"/>
      <c r="Q1729" s="3" t="n"/>
      <c r="R1729" s="3" t="n"/>
      <c r="S1729" s="3" t="n"/>
      <c r="T1729" s="3" t="n"/>
      <c r="U1729" s="3" t="n"/>
      <c r="V1729" s="3" t="n"/>
      <c r="W1729" s="3" t="n"/>
      <c r="X1729" s="3" t="n"/>
      <c r="Y1729" s="3" t="n"/>
      <c r="Z1729" s="3" t="n"/>
      <c r="AA1729" s="3" t="n"/>
    </row>
    <row r="1730">
      <c r="A1730" s="105" t="n"/>
      <c r="B1730" s="105" t="n"/>
      <c r="C1730" s="3" t="n"/>
      <c r="D1730" s="3" t="n"/>
      <c r="E1730" s="3" t="n"/>
      <c r="F1730" s="3" t="n"/>
      <c r="G1730" s="3" t="n"/>
      <c r="H1730" s="3" t="inlineStr"/>
      <c r="I1730" s="3" t="n"/>
      <c r="J1730" s="3" t="n"/>
      <c r="K1730" s="3" t="n"/>
      <c r="L1730" s="3" t="inlineStr"/>
      <c r="M1730" s="3" t="n"/>
      <c r="N1730" s="3" t="inlineStr"/>
      <c r="O1730" s="3" t="n"/>
      <c r="P1730" s="3" t="n"/>
      <c r="Q1730" s="3" t="n"/>
      <c r="R1730" s="3" t="n"/>
      <c r="S1730" s="3" t="n"/>
      <c r="T1730" s="3" t="n"/>
      <c r="U1730" s="3" t="n"/>
      <c r="V1730" s="3" t="n"/>
      <c r="W1730" s="3" t="n"/>
      <c r="X1730" s="3" t="n"/>
      <c r="Y1730" s="3" t="n"/>
      <c r="Z1730" s="3" t="n"/>
      <c r="AA1730" s="3" t="n"/>
    </row>
    <row r="1731">
      <c r="A1731" s="105" t="n"/>
      <c r="B1731" s="105" t="n"/>
      <c r="C1731" s="3" t="n"/>
      <c r="D1731" s="3" t="n"/>
      <c r="E1731" s="3" t="n"/>
      <c r="F1731" s="3" t="n"/>
      <c r="G1731" s="3" t="n"/>
      <c r="H1731" s="3" t="inlineStr"/>
      <c r="I1731" s="3" t="n"/>
      <c r="J1731" s="3" t="n"/>
      <c r="K1731" s="3" t="n"/>
      <c r="L1731" s="3" t="inlineStr"/>
      <c r="M1731" s="3" t="n"/>
      <c r="N1731" s="3" t="inlineStr"/>
      <c r="O1731" s="3" t="n"/>
      <c r="P1731" s="3" t="n"/>
      <c r="Q1731" s="3" t="n"/>
      <c r="R1731" s="3" t="n"/>
      <c r="S1731" s="3" t="n"/>
      <c r="T1731" s="3" t="n"/>
      <c r="U1731" s="3" t="n"/>
      <c r="V1731" s="3" t="n"/>
      <c r="W1731" s="3" t="n"/>
      <c r="X1731" s="3" t="n"/>
      <c r="Y1731" s="3" t="n"/>
      <c r="Z1731" s="3" t="n"/>
      <c r="AA1731" s="3" t="n"/>
    </row>
    <row r="1732">
      <c r="A1732" s="105" t="n"/>
      <c r="B1732" s="105" t="n"/>
      <c r="C1732" s="3" t="n"/>
      <c r="D1732" s="3" t="n"/>
      <c r="E1732" s="3" t="n"/>
      <c r="F1732" s="3" t="n"/>
      <c r="G1732" s="3" t="n"/>
      <c r="H1732" s="3" t="inlineStr"/>
      <c r="I1732" s="3" t="n"/>
      <c r="J1732" s="3" t="n"/>
      <c r="K1732" s="3" t="n"/>
      <c r="L1732" s="3" t="inlineStr"/>
      <c r="M1732" s="3" t="n"/>
      <c r="N1732" s="3" t="inlineStr"/>
      <c r="O1732" s="3" t="n"/>
      <c r="P1732" s="3" t="n"/>
      <c r="Q1732" s="3" t="n"/>
      <c r="R1732" s="3" t="n"/>
      <c r="S1732" s="3" t="n"/>
      <c r="T1732" s="3" t="n"/>
      <c r="U1732" s="3" t="n"/>
      <c r="V1732" s="3" t="n"/>
      <c r="W1732" s="3" t="n"/>
      <c r="X1732" s="3" t="n"/>
      <c r="Y1732" s="3" t="n"/>
      <c r="Z1732" s="3" t="n"/>
      <c r="AA1732" s="3" t="n"/>
    </row>
    <row r="1733">
      <c r="A1733" s="105" t="n"/>
      <c r="B1733" s="105" t="n"/>
      <c r="C1733" s="3" t="n"/>
      <c r="D1733" s="3" t="n"/>
      <c r="E1733" s="3" t="n"/>
      <c r="F1733" s="3" t="n"/>
      <c r="G1733" s="3" t="n"/>
      <c r="H1733" s="3" t="inlineStr"/>
      <c r="I1733" s="3" t="n"/>
      <c r="J1733" s="3" t="n"/>
      <c r="K1733" s="3" t="n"/>
      <c r="L1733" s="3" t="inlineStr"/>
      <c r="M1733" s="3" t="n"/>
      <c r="N1733" s="3" t="inlineStr"/>
      <c r="O1733" s="3" t="n"/>
      <c r="P1733" s="3" t="n"/>
      <c r="Q1733" s="3" t="n"/>
      <c r="R1733" s="3" t="n"/>
      <c r="S1733" s="3" t="n"/>
      <c r="T1733" s="3" t="n"/>
      <c r="U1733" s="3" t="n"/>
      <c r="V1733" s="3" t="n"/>
      <c r="W1733" s="3" t="n"/>
      <c r="X1733" s="3" t="n"/>
      <c r="Y1733" s="3" t="n"/>
      <c r="Z1733" s="3" t="n"/>
      <c r="AA1733" s="3" t="n"/>
    </row>
    <row r="1734">
      <c r="A1734" s="105" t="n"/>
      <c r="B1734" s="105" t="n"/>
      <c r="C1734" s="3" t="n"/>
      <c r="D1734" s="3" t="n"/>
      <c r="E1734" s="3" t="n"/>
      <c r="F1734" s="3" t="n"/>
      <c r="G1734" s="3" t="n"/>
      <c r="H1734" s="3" t="inlineStr"/>
      <c r="I1734" s="3" t="n"/>
      <c r="J1734" s="3" t="n"/>
      <c r="K1734" s="3" t="n"/>
      <c r="L1734" s="3" t="inlineStr"/>
      <c r="M1734" s="3" t="n"/>
      <c r="N1734" s="3" t="inlineStr"/>
      <c r="O1734" s="3" t="n"/>
      <c r="P1734" s="3" t="n"/>
      <c r="Q1734" s="3" t="n"/>
      <c r="R1734" s="3" t="n"/>
      <c r="S1734" s="3" t="n"/>
      <c r="T1734" s="3" t="n"/>
      <c r="U1734" s="3" t="n"/>
      <c r="V1734" s="3" t="n"/>
      <c r="W1734" s="3" t="n"/>
      <c r="X1734" s="3" t="n"/>
      <c r="Y1734" s="3" t="n"/>
      <c r="Z1734" s="3" t="n"/>
      <c r="AA1734" s="3" t="n"/>
    </row>
    <row r="1735">
      <c r="A1735" s="105" t="n"/>
      <c r="B1735" s="105" t="n"/>
      <c r="C1735" s="3" t="n"/>
      <c r="D1735" s="3" t="n"/>
      <c r="E1735" s="3" t="n"/>
      <c r="F1735" s="3" t="n"/>
      <c r="G1735" s="3" t="n"/>
      <c r="H1735" s="3" t="inlineStr"/>
      <c r="I1735" s="3" t="n"/>
      <c r="J1735" s="3" t="n"/>
      <c r="K1735" s="3" t="n"/>
      <c r="L1735" s="3" t="inlineStr"/>
      <c r="M1735" s="3" t="n"/>
      <c r="N1735" s="3" t="inlineStr"/>
      <c r="O1735" s="3" t="n"/>
      <c r="P1735" s="3" t="n"/>
      <c r="Q1735" s="3" t="n"/>
      <c r="R1735" s="3" t="n"/>
      <c r="S1735" s="3" t="n"/>
      <c r="T1735" s="3" t="n"/>
      <c r="U1735" s="3" t="n"/>
      <c r="V1735" s="3" t="n"/>
      <c r="W1735" s="3" t="n"/>
      <c r="X1735" s="3" t="n"/>
      <c r="Y1735" s="3" t="n"/>
      <c r="Z1735" s="3" t="n"/>
      <c r="AA1735" s="3" t="n"/>
    </row>
    <row r="1736">
      <c r="A1736" s="105" t="n"/>
      <c r="B1736" s="105" t="n"/>
      <c r="C1736" s="3" t="n"/>
      <c r="D1736" s="3" t="n"/>
      <c r="E1736" s="3" t="n"/>
      <c r="F1736" s="3" t="n"/>
      <c r="G1736" s="3" t="n"/>
      <c r="H1736" s="3" t="inlineStr"/>
      <c r="I1736" s="3" t="n"/>
      <c r="J1736" s="3" t="n"/>
      <c r="K1736" s="3" t="n"/>
      <c r="L1736" s="3" t="inlineStr"/>
      <c r="M1736" s="3" t="n"/>
      <c r="N1736" s="3" t="inlineStr"/>
      <c r="O1736" s="3" t="n"/>
      <c r="P1736" s="3" t="n"/>
      <c r="Q1736" s="3" t="n"/>
      <c r="R1736" s="3" t="n"/>
      <c r="S1736" s="3" t="n"/>
      <c r="T1736" s="3" t="n"/>
      <c r="U1736" s="3" t="n"/>
      <c r="V1736" s="3" t="n"/>
      <c r="W1736" s="3" t="n"/>
      <c r="X1736" s="3" t="n"/>
      <c r="Y1736" s="3" t="n"/>
      <c r="Z1736" s="3" t="n"/>
      <c r="AA1736" s="3" t="n"/>
    </row>
    <row r="1737">
      <c r="A1737" s="105" t="n"/>
      <c r="B1737" s="105" t="n"/>
      <c r="C1737" s="3" t="n"/>
      <c r="D1737" s="3" t="n"/>
      <c r="E1737" s="3" t="n"/>
      <c r="F1737" s="3" t="n"/>
      <c r="G1737" s="3" t="n"/>
      <c r="H1737" s="3" t="inlineStr"/>
      <c r="I1737" s="3" t="n"/>
      <c r="J1737" s="3" t="n"/>
      <c r="K1737" s="3" t="n"/>
      <c r="L1737" s="3" t="inlineStr"/>
      <c r="M1737" s="3" t="n"/>
      <c r="N1737" s="3" t="inlineStr"/>
      <c r="O1737" s="3" t="n"/>
      <c r="P1737" s="3" t="n"/>
      <c r="Q1737" s="3" t="n"/>
      <c r="R1737" s="3" t="n"/>
      <c r="S1737" s="3" t="n"/>
      <c r="T1737" s="3" t="n"/>
      <c r="U1737" s="3" t="n"/>
      <c r="V1737" s="3" t="n"/>
      <c r="W1737" s="3" t="n"/>
      <c r="X1737" s="3" t="n"/>
      <c r="Y1737" s="3" t="n"/>
      <c r="Z1737" s="3" t="n"/>
      <c r="AA1737" s="3" t="n"/>
    </row>
    <row r="1738">
      <c r="A1738" s="105" t="n"/>
      <c r="B1738" s="105" t="n"/>
      <c r="C1738" s="3" t="n"/>
      <c r="D1738" s="3" t="n"/>
      <c r="E1738" s="3" t="n"/>
      <c r="F1738" s="3" t="n"/>
      <c r="G1738" s="3" t="n"/>
      <c r="H1738" s="3" t="inlineStr"/>
      <c r="I1738" s="3" t="n"/>
      <c r="J1738" s="3" t="n"/>
      <c r="K1738" s="3" t="n"/>
      <c r="L1738" s="3" t="inlineStr"/>
      <c r="M1738" s="3" t="n"/>
      <c r="N1738" s="3" t="inlineStr"/>
      <c r="O1738" s="3" t="n"/>
      <c r="P1738" s="3" t="n"/>
      <c r="Q1738" s="3" t="n"/>
      <c r="R1738" s="3" t="n"/>
      <c r="S1738" s="3" t="n"/>
      <c r="T1738" s="3" t="n"/>
      <c r="U1738" s="3" t="n"/>
      <c r="V1738" s="3" t="n"/>
      <c r="W1738" s="3" t="n"/>
      <c r="X1738" s="3" t="n"/>
      <c r="Y1738" s="3" t="n"/>
      <c r="Z1738" s="3" t="n"/>
      <c r="AA1738" s="3" t="n"/>
    </row>
    <row r="1739">
      <c r="A1739" s="105" t="n"/>
      <c r="B1739" s="105" t="n"/>
      <c r="C1739" s="3" t="n"/>
      <c r="D1739" s="3" t="n"/>
      <c r="E1739" s="3" t="n"/>
      <c r="F1739" s="3" t="n"/>
      <c r="G1739" s="3" t="n"/>
      <c r="H1739" s="3" t="inlineStr"/>
      <c r="I1739" s="3" t="n"/>
      <c r="J1739" s="3" t="n"/>
      <c r="K1739" s="3" t="n"/>
      <c r="L1739" s="3" t="inlineStr"/>
      <c r="M1739" s="3" t="n"/>
      <c r="N1739" s="3" t="inlineStr"/>
      <c r="O1739" s="3" t="n"/>
      <c r="P1739" s="3" t="n"/>
      <c r="Q1739" s="3" t="n"/>
      <c r="R1739" s="3" t="n"/>
      <c r="S1739" s="3" t="n"/>
      <c r="T1739" s="3" t="n"/>
      <c r="U1739" s="3" t="n"/>
      <c r="V1739" s="3" t="n"/>
      <c r="W1739" s="3" t="n"/>
      <c r="X1739" s="3" t="n"/>
      <c r="Y1739" s="3" t="n"/>
      <c r="Z1739" s="3" t="n"/>
      <c r="AA1739" s="3" t="n"/>
    </row>
    <row r="1740">
      <c r="A1740" s="105" t="n"/>
      <c r="B1740" s="105" t="n"/>
      <c r="C1740" s="3" t="n"/>
      <c r="D1740" s="3" t="n"/>
      <c r="E1740" s="3" t="n"/>
      <c r="F1740" s="3" t="n"/>
      <c r="G1740" s="3" t="n"/>
      <c r="H1740" s="3" t="inlineStr"/>
      <c r="I1740" s="3" t="n"/>
      <c r="J1740" s="3" t="n"/>
      <c r="K1740" s="3" t="n"/>
      <c r="L1740" s="3" t="inlineStr"/>
      <c r="M1740" s="3" t="n"/>
      <c r="N1740" s="3" t="inlineStr"/>
      <c r="O1740" s="3" t="n"/>
      <c r="P1740" s="3" t="n"/>
      <c r="Q1740" s="3" t="n"/>
      <c r="R1740" s="3" t="n"/>
      <c r="S1740" s="3" t="n"/>
      <c r="T1740" s="3" t="n"/>
      <c r="U1740" s="3" t="n"/>
      <c r="V1740" s="3" t="n"/>
      <c r="W1740" s="3" t="n"/>
      <c r="X1740" s="3" t="n"/>
      <c r="Y1740" s="3" t="n"/>
      <c r="Z1740" s="3" t="n"/>
      <c r="AA1740" s="3" t="n"/>
    </row>
    <row r="1741">
      <c r="A1741" s="105" t="n"/>
      <c r="B1741" s="105" t="n"/>
      <c r="C1741" s="3" t="n"/>
      <c r="D1741" s="3" t="n"/>
      <c r="E1741" s="3" t="n"/>
      <c r="F1741" s="3" t="n"/>
      <c r="G1741" s="3" t="n"/>
      <c r="H1741" s="3" t="inlineStr"/>
      <c r="I1741" s="3" t="n"/>
      <c r="J1741" s="3" t="n"/>
      <c r="K1741" s="3" t="n"/>
      <c r="L1741" s="3" t="inlineStr"/>
      <c r="M1741" s="3" t="n"/>
      <c r="N1741" s="3" t="inlineStr"/>
      <c r="O1741" s="3" t="n"/>
      <c r="P1741" s="3" t="n"/>
      <c r="Q1741" s="3" t="n"/>
      <c r="R1741" s="3" t="n"/>
      <c r="S1741" s="3" t="n"/>
      <c r="T1741" s="3" t="n"/>
      <c r="U1741" s="3" t="n"/>
      <c r="V1741" s="3" t="n"/>
      <c r="W1741" s="3" t="n"/>
      <c r="X1741" s="3" t="n"/>
      <c r="Y1741" s="3" t="n"/>
      <c r="Z1741" s="3" t="n"/>
      <c r="AA1741" s="3" t="n"/>
    </row>
    <row r="1742">
      <c r="A1742" s="105" t="n"/>
      <c r="B1742" s="105" t="n"/>
      <c r="C1742" s="3" t="n"/>
      <c r="D1742" s="3" t="n"/>
      <c r="E1742" s="3" t="n"/>
      <c r="F1742" s="3" t="n"/>
      <c r="G1742" s="3" t="n"/>
      <c r="H1742" s="3" t="inlineStr"/>
      <c r="I1742" s="3" t="n"/>
      <c r="J1742" s="3" t="n"/>
      <c r="K1742" s="3" t="n"/>
      <c r="L1742" s="3" t="inlineStr"/>
      <c r="M1742" s="3" t="n"/>
      <c r="N1742" s="3" t="inlineStr"/>
      <c r="O1742" s="3" t="n"/>
      <c r="P1742" s="3" t="n"/>
      <c r="Q1742" s="3" t="n"/>
      <c r="R1742" s="3" t="n"/>
      <c r="S1742" s="3" t="n"/>
      <c r="T1742" s="3" t="n"/>
      <c r="U1742" s="3" t="n"/>
      <c r="V1742" s="3" t="n"/>
      <c r="W1742" s="3" t="n"/>
      <c r="X1742" s="3" t="n"/>
      <c r="Y1742" s="3" t="n"/>
      <c r="Z1742" s="3" t="n"/>
      <c r="AA1742" s="3" t="n"/>
    </row>
    <row r="1743">
      <c r="A1743" s="105" t="n"/>
      <c r="B1743" s="105" t="n"/>
      <c r="C1743" s="3" t="n"/>
      <c r="D1743" s="3" t="n"/>
      <c r="E1743" s="3" t="n"/>
      <c r="F1743" s="3" t="n"/>
      <c r="G1743" s="3" t="n"/>
      <c r="H1743" s="3" t="inlineStr"/>
      <c r="I1743" s="3" t="n"/>
      <c r="J1743" s="3" t="n"/>
      <c r="K1743" s="3" t="n"/>
      <c r="L1743" s="3" t="inlineStr"/>
      <c r="M1743" s="3" t="n"/>
      <c r="N1743" s="3" t="inlineStr"/>
      <c r="O1743" s="3" t="n"/>
      <c r="P1743" s="3" t="n"/>
      <c r="Q1743" s="3" t="n"/>
      <c r="R1743" s="3" t="n"/>
      <c r="S1743" s="3" t="n"/>
      <c r="T1743" s="3" t="n"/>
      <c r="U1743" s="3" t="n"/>
      <c r="V1743" s="3" t="n"/>
      <c r="W1743" s="3" t="n"/>
      <c r="X1743" s="3" t="n"/>
      <c r="Y1743" s="3" t="n"/>
      <c r="Z1743" s="3" t="n"/>
      <c r="AA1743" s="3" t="n"/>
    </row>
    <row r="1744">
      <c r="A1744" s="105" t="n"/>
      <c r="B1744" s="105" t="n"/>
      <c r="C1744" s="3" t="n"/>
      <c r="D1744" s="3" t="n"/>
      <c r="E1744" s="3" t="n"/>
      <c r="F1744" s="3" t="n"/>
      <c r="G1744" s="3" t="n"/>
      <c r="H1744" s="3" t="inlineStr"/>
      <c r="I1744" s="3" t="n"/>
      <c r="J1744" s="3" t="n"/>
      <c r="K1744" s="3" t="n"/>
      <c r="L1744" s="3" t="inlineStr"/>
      <c r="M1744" s="3" t="n"/>
      <c r="N1744" s="3" t="inlineStr"/>
      <c r="O1744" s="3" t="n"/>
      <c r="P1744" s="3" t="n"/>
      <c r="Q1744" s="3" t="n"/>
      <c r="R1744" s="3" t="n"/>
      <c r="S1744" s="3" t="n"/>
      <c r="T1744" s="3" t="n"/>
      <c r="U1744" s="3" t="n"/>
      <c r="V1744" s="3" t="n"/>
      <c r="W1744" s="3" t="n"/>
      <c r="X1744" s="3" t="n"/>
      <c r="Y1744" s="3" t="n"/>
      <c r="Z1744" s="3" t="n"/>
      <c r="AA1744" s="3" t="n"/>
    </row>
    <row r="1745">
      <c r="A1745" s="105" t="n"/>
      <c r="B1745" s="105" t="n"/>
      <c r="C1745" s="3" t="n"/>
      <c r="D1745" s="3" t="n"/>
      <c r="E1745" s="3" t="n"/>
      <c r="F1745" s="3" t="n"/>
      <c r="G1745" s="3" t="n"/>
      <c r="H1745" s="3" t="inlineStr"/>
      <c r="I1745" s="3" t="n"/>
      <c r="J1745" s="3" t="n"/>
      <c r="K1745" s="3" t="n"/>
      <c r="L1745" s="3" t="inlineStr"/>
      <c r="M1745" s="3" t="n"/>
      <c r="N1745" s="3" t="inlineStr"/>
      <c r="O1745" s="3" t="n"/>
      <c r="P1745" s="3" t="n"/>
      <c r="Q1745" s="3" t="n"/>
      <c r="R1745" s="3" t="n"/>
      <c r="S1745" s="3" t="n"/>
      <c r="T1745" s="3" t="n"/>
      <c r="U1745" s="3" t="n"/>
      <c r="V1745" s="3" t="n"/>
      <c r="W1745" s="3" t="n"/>
      <c r="X1745" s="3" t="n"/>
      <c r="Y1745" s="3" t="n"/>
      <c r="Z1745" s="3" t="n"/>
      <c r="AA1745" s="3" t="n"/>
    </row>
    <row r="1746">
      <c r="A1746" s="105" t="n"/>
      <c r="B1746" s="105" t="n"/>
      <c r="C1746" s="3" t="n"/>
      <c r="D1746" s="3" t="n"/>
      <c r="E1746" s="3" t="n"/>
      <c r="F1746" s="3" t="n"/>
      <c r="G1746" s="3" t="n"/>
      <c r="H1746" s="3" t="inlineStr"/>
      <c r="I1746" s="3" t="n"/>
      <c r="J1746" s="3" t="n"/>
      <c r="K1746" s="3" t="n"/>
      <c r="L1746" s="3" t="inlineStr"/>
      <c r="M1746" s="3" t="n"/>
      <c r="N1746" s="3" t="inlineStr"/>
      <c r="O1746" s="3" t="n"/>
      <c r="P1746" s="3" t="n"/>
      <c r="Q1746" s="3" t="n"/>
      <c r="R1746" s="3" t="n"/>
      <c r="S1746" s="3" t="n"/>
      <c r="T1746" s="3" t="n"/>
      <c r="U1746" s="3" t="n"/>
      <c r="V1746" s="3" t="n"/>
      <c r="W1746" s="3" t="n"/>
      <c r="X1746" s="3" t="n"/>
      <c r="Y1746" s="3" t="n"/>
      <c r="Z1746" s="3" t="n"/>
      <c r="AA1746" s="3" t="n"/>
    </row>
    <row r="1747">
      <c r="A1747" s="105" t="n"/>
      <c r="B1747" s="105" t="n"/>
      <c r="C1747" s="3" t="n"/>
      <c r="D1747" s="3" t="n"/>
      <c r="E1747" s="3" t="n"/>
      <c r="F1747" s="3" t="n"/>
      <c r="G1747" s="3" t="n"/>
      <c r="H1747" s="3" t="inlineStr"/>
      <c r="I1747" s="3" t="n"/>
      <c r="J1747" s="3" t="n"/>
      <c r="K1747" s="3" t="n"/>
      <c r="L1747" s="3" t="inlineStr"/>
      <c r="M1747" s="3" t="n"/>
      <c r="N1747" s="3" t="inlineStr"/>
      <c r="O1747" s="3" t="n"/>
      <c r="P1747" s="3" t="n"/>
      <c r="Q1747" s="3" t="n"/>
      <c r="R1747" s="3" t="n"/>
      <c r="S1747" s="3" t="n"/>
      <c r="T1747" s="3" t="n"/>
      <c r="U1747" s="3" t="n"/>
      <c r="V1747" s="3" t="n"/>
      <c r="W1747" s="3" t="n"/>
      <c r="X1747" s="3" t="n"/>
      <c r="Y1747" s="3" t="n"/>
      <c r="Z1747" s="3" t="n"/>
      <c r="AA1747" s="3" t="n"/>
    </row>
    <row r="1748">
      <c r="A1748" s="105" t="n"/>
      <c r="B1748" s="105" t="n"/>
      <c r="C1748" s="3" t="n"/>
      <c r="D1748" s="3" t="n"/>
      <c r="E1748" s="3" t="n"/>
      <c r="F1748" s="3" t="n"/>
      <c r="G1748" s="3" t="n"/>
      <c r="H1748" s="3" t="inlineStr"/>
      <c r="I1748" s="3" t="n"/>
      <c r="J1748" s="3" t="n"/>
      <c r="K1748" s="3" t="n"/>
      <c r="L1748" s="3" t="inlineStr"/>
      <c r="M1748" s="3" t="n"/>
      <c r="N1748" s="3" t="inlineStr"/>
      <c r="O1748" s="3" t="n"/>
      <c r="P1748" s="3" t="n"/>
      <c r="Q1748" s="3" t="n"/>
      <c r="R1748" s="3" t="n"/>
      <c r="S1748" s="3" t="n"/>
      <c r="T1748" s="3" t="n"/>
      <c r="U1748" s="3" t="n"/>
      <c r="V1748" s="3" t="n"/>
      <c r="W1748" s="3" t="n"/>
      <c r="X1748" s="3" t="n"/>
      <c r="Y1748" s="3" t="n"/>
      <c r="Z1748" s="3" t="n"/>
      <c r="AA1748" s="3" t="n"/>
    </row>
    <row r="1749">
      <c r="A1749" s="105" t="n"/>
      <c r="B1749" s="105" t="n"/>
      <c r="C1749" s="3" t="n"/>
      <c r="D1749" s="3" t="n"/>
      <c r="E1749" s="3" t="n"/>
      <c r="F1749" s="3" t="n"/>
      <c r="G1749" s="3" t="n"/>
      <c r="H1749" s="3" t="inlineStr"/>
      <c r="I1749" s="3" t="n"/>
      <c r="J1749" s="3" t="n"/>
      <c r="K1749" s="3" t="n"/>
      <c r="L1749" s="3" t="inlineStr"/>
      <c r="M1749" s="3" t="n"/>
      <c r="N1749" s="3" t="inlineStr"/>
      <c r="O1749" s="3" t="n"/>
      <c r="P1749" s="3" t="n"/>
      <c r="Q1749" s="3" t="n"/>
      <c r="R1749" s="3" t="n"/>
      <c r="S1749" s="3" t="n"/>
      <c r="T1749" s="3" t="n"/>
      <c r="U1749" s="3" t="n"/>
      <c r="V1749" s="3" t="n"/>
      <c r="W1749" s="3" t="n"/>
      <c r="X1749" s="3" t="n"/>
      <c r="Y1749" s="3" t="n"/>
      <c r="Z1749" s="3" t="n"/>
      <c r="AA1749" s="3" t="n"/>
    </row>
    <row r="1750">
      <c r="A1750" s="105" t="n"/>
      <c r="B1750" s="105" t="n"/>
      <c r="C1750" s="3" t="n"/>
      <c r="D1750" s="3" t="n"/>
      <c r="E1750" s="3" t="n"/>
      <c r="F1750" s="3" t="n"/>
      <c r="G1750" s="3" t="n"/>
      <c r="H1750" s="3" t="inlineStr"/>
      <c r="I1750" s="3" t="n"/>
      <c r="J1750" s="3" t="n"/>
      <c r="K1750" s="3" t="n"/>
      <c r="L1750" s="3" t="inlineStr"/>
      <c r="M1750" s="3" t="n"/>
      <c r="N1750" s="3" t="inlineStr"/>
      <c r="O1750" s="3" t="n"/>
      <c r="P1750" s="3" t="n"/>
      <c r="Q1750" s="3" t="n"/>
      <c r="R1750" s="3" t="n"/>
      <c r="S1750" s="3" t="n"/>
      <c r="T1750" s="3" t="n"/>
      <c r="U1750" s="3" t="n"/>
      <c r="V1750" s="3" t="n"/>
      <c r="W1750" s="3" t="n"/>
      <c r="X1750" s="3" t="n"/>
      <c r="Y1750" s="3" t="n"/>
      <c r="Z1750" s="3" t="n"/>
      <c r="AA1750" s="3" t="n"/>
    </row>
    <row r="1751">
      <c r="A1751" s="105" t="n"/>
      <c r="B1751" s="105" t="n"/>
      <c r="C1751" s="3" t="n"/>
      <c r="D1751" s="3" t="n"/>
      <c r="E1751" s="3" t="n"/>
      <c r="F1751" s="3" t="n"/>
      <c r="G1751" s="3" t="n"/>
      <c r="H1751" s="3" t="inlineStr"/>
      <c r="I1751" s="3" t="n"/>
      <c r="J1751" s="3" t="n"/>
      <c r="K1751" s="3" t="n"/>
      <c r="L1751" s="3" t="inlineStr"/>
      <c r="M1751" s="3" t="n"/>
      <c r="N1751" s="3" t="inlineStr"/>
      <c r="O1751" s="3" t="n"/>
      <c r="P1751" s="3" t="n"/>
      <c r="Q1751" s="3" t="n"/>
      <c r="R1751" s="3" t="n"/>
      <c r="S1751" s="3" t="n"/>
      <c r="T1751" s="3" t="n"/>
      <c r="U1751" s="3" t="n"/>
      <c r="V1751" s="3" t="n"/>
      <c r="W1751" s="3" t="n"/>
      <c r="X1751" s="3" t="n"/>
      <c r="Y1751" s="3" t="n"/>
      <c r="Z1751" s="3" t="n"/>
      <c r="AA1751" s="3" t="n"/>
    </row>
    <row r="1752">
      <c r="A1752" s="105" t="n"/>
      <c r="B1752" s="105" t="n"/>
      <c r="C1752" s="3" t="n"/>
      <c r="D1752" s="3" t="n"/>
      <c r="E1752" s="3" t="n"/>
      <c r="F1752" s="3" t="n"/>
      <c r="G1752" s="3" t="n"/>
      <c r="H1752" s="3" t="inlineStr"/>
      <c r="I1752" s="3" t="n"/>
      <c r="J1752" s="3" t="n"/>
      <c r="K1752" s="3" t="n"/>
      <c r="L1752" s="3" t="inlineStr"/>
      <c r="M1752" s="3" t="n"/>
      <c r="N1752" s="3" t="inlineStr"/>
      <c r="O1752" s="3" t="n"/>
      <c r="P1752" s="3" t="n"/>
      <c r="Q1752" s="3" t="n"/>
      <c r="R1752" s="3" t="n"/>
      <c r="S1752" s="3" t="n"/>
      <c r="T1752" s="3" t="n"/>
      <c r="U1752" s="3" t="n"/>
      <c r="V1752" s="3" t="n"/>
      <c r="W1752" s="3" t="n"/>
      <c r="X1752" s="3" t="n"/>
      <c r="Y1752" s="3" t="n"/>
      <c r="Z1752" s="3" t="n"/>
      <c r="AA1752" s="3" t="n"/>
    </row>
    <row r="1753">
      <c r="A1753" s="105" t="n"/>
      <c r="B1753" s="105" t="n"/>
      <c r="C1753" s="3" t="n"/>
      <c r="D1753" s="3" t="n"/>
      <c r="E1753" s="3" t="n"/>
      <c r="F1753" s="3" t="n"/>
      <c r="G1753" s="3" t="n"/>
      <c r="H1753" s="3" t="inlineStr"/>
      <c r="I1753" s="3" t="n"/>
      <c r="J1753" s="3" t="n"/>
      <c r="K1753" s="3" t="n"/>
      <c r="L1753" s="3" t="inlineStr"/>
      <c r="M1753" s="3" t="n"/>
      <c r="N1753" s="3" t="inlineStr"/>
      <c r="O1753" s="3" t="n"/>
      <c r="P1753" s="3" t="n"/>
      <c r="Q1753" s="3" t="n"/>
      <c r="R1753" s="3" t="n"/>
      <c r="S1753" s="3" t="n"/>
      <c r="T1753" s="3" t="n"/>
      <c r="U1753" s="3" t="n"/>
      <c r="V1753" s="3" t="n"/>
      <c r="W1753" s="3" t="n"/>
      <c r="X1753" s="3" t="n"/>
      <c r="Y1753" s="3" t="n"/>
      <c r="Z1753" s="3" t="n"/>
      <c r="AA1753" s="3" t="n"/>
    </row>
    <row r="1754">
      <c r="A1754" s="105" t="n"/>
      <c r="B1754" s="105" t="n"/>
      <c r="C1754" s="3" t="n"/>
      <c r="D1754" s="3" t="n"/>
      <c r="E1754" s="3" t="n"/>
      <c r="F1754" s="3" t="n"/>
      <c r="G1754" s="3" t="n"/>
      <c r="H1754" s="3" t="inlineStr"/>
      <c r="I1754" s="3" t="n"/>
      <c r="J1754" s="3" t="n"/>
      <c r="K1754" s="3" t="n"/>
      <c r="L1754" s="3" t="inlineStr"/>
      <c r="M1754" s="3" t="n"/>
      <c r="N1754" s="3" t="inlineStr"/>
      <c r="O1754" s="3" t="n"/>
      <c r="P1754" s="3" t="n"/>
      <c r="Q1754" s="3" t="n"/>
      <c r="R1754" s="3" t="n"/>
      <c r="S1754" s="3" t="n"/>
      <c r="T1754" s="3" t="n"/>
      <c r="U1754" s="3" t="n"/>
      <c r="V1754" s="3" t="n"/>
      <c r="W1754" s="3" t="n"/>
      <c r="X1754" s="3" t="n"/>
      <c r="Y1754" s="3" t="n"/>
      <c r="Z1754" s="3" t="n"/>
      <c r="AA1754" s="3" t="n"/>
    </row>
    <row r="1755">
      <c r="A1755" s="105" t="n"/>
      <c r="B1755" s="105" t="n"/>
      <c r="C1755" s="3" t="n"/>
      <c r="D1755" s="3" t="n"/>
      <c r="E1755" s="3" t="n"/>
      <c r="F1755" s="3" t="n"/>
      <c r="G1755" s="3" t="n"/>
      <c r="H1755" s="3" t="inlineStr"/>
      <c r="I1755" s="3" t="n"/>
      <c r="J1755" s="3" t="n"/>
      <c r="K1755" s="3" t="n"/>
      <c r="L1755" s="3" t="inlineStr"/>
      <c r="M1755" s="3" t="n"/>
      <c r="N1755" s="3" t="inlineStr"/>
      <c r="O1755" s="3" t="n"/>
      <c r="P1755" s="3" t="n"/>
      <c r="Q1755" s="3" t="n"/>
      <c r="R1755" s="3" t="n"/>
      <c r="S1755" s="3" t="n"/>
      <c r="T1755" s="3" t="n"/>
      <c r="U1755" s="3" t="n"/>
      <c r="V1755" s="3" t="n"/>
      <c r="W1755" s="3" t="n"/>
      <c r="X1755" s="3" t="n"/>
      <c r="Y1755" s="3" t="n"/>
      <c r="Z1755" s="3" t="n"/>
      <c r="AA1755" s="3" t="n"/>
    </row>
    <row r="1756">
      <c r="A1756" s="105" t="n"/>
      <c r="B1756" s="105" t="n"/>
      <c r="C1756" s="3" t="n"/>
      <c r="D1756" s="3" t="n"/>
      <c r="E1756" s="3" t="n"/>
      <c r="F1756" s="3" t="n"/>
      <c r="G1756" s="3" t="n"/>
      <c r="H1756" s="3" t="inlineStr"/>
      <c r="I1756" s="3" t="n"/>
      <c r="J1756" s="3" t="n"/>
      <c r="K1756" s="3" t="n"/>
      <c r="L1756" s="3" t="inlineStr"/>
      <c r="M1756" s="3" t="n"/>
      <c r="N1756" s="3" t="inlineStr"/>
      <c r="O1756" s="3" t="n"/>
      <c r="P1756" s="3" t="n"/>
      <c r="Q1756" s="3" t="n"/>
      <c r="R1756" s="3" t="n"/>
      <c r="S1756" s="3" t="n"/>
      <c r="T1756" s="3" t="n"/>
      <c r="U1756" s="3" t="n"/>
      <c r="V1756" s="3" t="n"/>
      <c r="W1756" s="3" t="n"/>
      <c r="X1756" s="3" t="n"/>
      <c r="Y1756" s="3" t="n"/>
      <c r="Z1756" s="3" t="n"/>
      <c r="AA1756" s="3" t="n"/>
    </row>
    <row r="1757">
      <c r="A1757" s="105" t="n"/>
      <c r="B1757" s="105" t="n"/>
      <c r="C1757" s="3" t="n"/>
      <c r="D1757" s="3" t="n"/>
      <c r="E1757" s="3" t="n"/>
      <c r="F1757" s="3" t="n"/>
      <c r="G1757" s="3" t="n"/>
      <c r="H1757" s="3" t="inlineStr"/>
      <c r="I1757" s="3" t="n"/>
      <c r="J1757" s="3" t="n"/>
      <c r="K1757" s="3" t="n"/>
      <c r="L1757" s="3" t="inlineStr"/>
      <c r="M1757" s="3" t="n"/>
      <c r="N1757" s="3" t="inlineStr"/>
      <c r="O1757" s="3" t="n"/>
      <c r="P1757" s="3" t="n"/>
      <c r="Q1757" s="3" t="n"/>
      <c r="R1757" s="3" t="n"/>
      <c r="S1757" s="3" t="n"/>
      <c r="T1757" s="3" t="n"/>
      <c r="U1757" s="3" t="n"/>
      <c r="V1757" s="3" t="n"/>
      <c r="W1757" s="3" t="n"/>
      <c r="X1757" s="3" t="n"/>
      <c r="Y1757" s="3" t="n"/>
      <c r="Z1757" s="3" t="n"/>
      <c r="AA1757" s="3" t="n"/>
    </row>
    <row r="1758">
      <c r="A1758" s="105" t="n"/>
      <c r="B1758" s="105" t="n"/>
      <c r="C1758" s="3" t="n"/>
      <c r="D1758" s="3" t="n"/>
      <c r="E1758" s="3" t="n"/>
      <c r="F1758" s="3" t="n"/>
      <c r="G1758" s="3" t="n"/>
      <c r="H1758" s="3" t="inlineStr"/>
      <c r="I1758" s="3" t="n"/>
      <c r="J1758" s="3" t="n"/>
      <c r="K1758" s="3" t="n"/>
      <c r="L1758" s="3" t="inlineStr"/>
      <c r="M1758" s="3" t="n"/>
      <c r="N1758" s="3" t="inlineStr"/>
      <c r="O1758" s="3" t="n"/>
      <c r="P1758" s="3" t="n"/>
      <c r="Q1758" s="3" t="n"/>
      <c r="R1758" s="3" t="n"/>
      <c r="S1758" s="3" t="n"/>
      <c r="T1758" s="3" t="n"/>
      <c r="U1758" s="3" t="n"/>
      <c r="V1758" s="3" t="n"/>
      <c r="W1758" s="3" t="n"/>
      <c r="X1758" s="3" t="n"/>
      <c r="Y1758" s="3" t="n"/>
      <c r="Z1758" s="3" t="n"/>
      <c r="AA1758" s="3" t="n"/>
    </row>
    <row r="1759">
      <c r="A1759" s="105" t="n"/>
      <c r="B1759" s="105" t="n"/>
      <c r="C1759" s="3" t="n"/>
      <c r="D1759" s="3" t="n"/>
      <c r="E1759" s="3" t="n"/>
      <c r="F1759" s="3" t="n"/>
      <c r="G1759" s="3" t="n"/>
      <c r="H1759" s="3" t="inlineStr"/>
      <c r="I1759" s="3" t="n"/>
      <c r="J1759" s="3" t="n"/>
      <c r="K1759" s="3" t="n"/>
      <c r="L1759" s="3" t="inlineStr"/>
      <c r="M1759" s="3" t="n"/>
      <c r="N1759" s="3" t="inlineStr"/>
      <c r="O1759" s="3" t="n"/>
      <c r="P1759" s="3" t="n"/>
      <c r="Q1759" s="3" t="n"/>
      <c r="R1759" s="3" t="n"/>
      <c r="S1759" s="3" t="n"/>
      <c r="T1759" s="3" t="n"/>
      <c r="U1759" s="3" t="n"/>
      <c r="V1759" s="3" t="n"/>
      <c r="W1759" s="3" t="n"/>
      <c r="X1759" s="3" t="n"/>
      <c r="Y1759" s="3" t="n"/>
      <c r="Z1759" s="3" t="n"/>
      <c r="AA1759" s="3" t="n"/>
    </row>
    <row r="1760">
      <c r="A1760" s="105" t="n"/>
      <c r="B1760" s="105" t="n"/>
      <c r="C1760" s="3" t="n"/>
      <c r="D1760" s="3" t="n"/>
      <c r="E1760" s="3" t="n"/>
      <c r="F1760" s="3" t="n"/>
      <c r="G1760" s="3" t="n"/>
      <c r="H1760" s="3" t="inlineStr"/>
      <c r="I1760" s="3" t="n"/>
      <c r="J1760" s="3" t="n"/>
      <c r="K1760" s="3" t="n"/>
      <c r="L1760" s="3" t="inlineStr"/>
      <c r="M1760" s="3" t="n"/>
      <c r="N1760" s="3" t="inlineStr"/>
      <c r="O1760" s="3" t="n"/>
      <c r="P1760" s="3" t="n"/>
      <c r="Q1760" s="3" t="n"/>
      <c r="R1760" s="3" t="n"/>
      <c r="S1760" s="3" t="n"/>
      <c r="T1760" s="3" t="n"/>
      <c r="U1760" s="3" t="n"/>
      <c r="V1760" s="3" t="n"/>
      <c r="W1760" s="3" t="n"/>
      <c r="X1760" s="3" t="n"/>
      <c r="Y1760" s="3" t="n"/>
      <c r="Z1760" s="3" t="n"/>
      <c r="AA1760" s="3" t="n"/>
    </row>
    <row r="1761">
      <c r="A1761" s="105" t="n"/>
      <c r="B1761" s="105" t="n"/>
      <c r="C1761" s="3" t="n"/>
      <c r="D1761" s="3" t="n"/>
      <c r="E1761" s="3" t="n"/>
      <c r="F1761" s="3" t="n"/>
      <c r="G1761" s="3" t="n"/>
      <c r="H1761" s="3" t="inlineStr"/>
      <c r="I1761" s="3" t="n"/>
      <c r="J1761" s="3" t="n"/>
      <c r="K1761" s="3" t="n"/>
      <c r="L1761" s="3" t="inlineStr"/>
      <c r="M1761" s="3" t="n"/>
      <c r="N1761" s="3" t="inlineStr"/>
      <c r="O1761" s="3" t="n"/>
      <c r="P1761" s="3" t="n"/>
      <c r="Q1761" s="3" t="n"/>
      <c r="R1761" s="3" t="n"/>
      <c r="S1761" s="3" t="n"/>
      <c r="T1761" s="3" t="n"/>
      <c r="U1761" s="3" t="n"/>
      <c r="V1761" s="3" t="n"/>
      <c r="W1761" s="3" t="n"/>
      <c r="X1761" s="3" t="n"/>
      <c r="Y1761" s="3" t="n"/>
      <c r="Z1761" s="3" t="n"/>
      <c r="AA1761" s="3" t="n"/>
    </row>
    <row r="1762">
      <c r="A1762" s="105" t="n"/>
      <c r="B1762" s="105" t="n"/>
      <c r="C1762" s="3" t="n"/>
      <c r="D1762" s="3" t="n"/>
      <c r="E1762" s="3" t="n"/>
      <c r="F1762" s="3" t="n"/>
      <c r="G1762" s="3" t="n"/>
      <c r="H1762" s="3" t="inlineStr"/>
      <c r="I1762" s="3" t="n"/>
      <c r="J1762" s="3" t="n"/>
      <c r="K1762" s="3" t="n"/>
      <c r="L1762" s="3" t="inlineStr"/>
      <c r="M1762" s="3" t="n"/>
      <c r="N1762" s="3" t="inlineStr"/>
      <c r="O1762" s="3" t="n"/>
      <c r="P1762" s="3" t="n"/>
      <c r="Q1762" s="3" t="n"/>
      <c r="R1762" s="3" t="n"/>
      <c r="S1762" s="3" t="n"/>
      <c r="T1762" s="3" t="n"/>
      <c r="U1762" s="3" t="n"/>
      <c r="V1762" s="3" t="n"/>
      <c r="W1762" s="3" t="n"/>
      <c r="X1762" s="3" t="n"/>
      <c r="Y1762" s="3" t="n"/>
      <c r="Z1762" s="3" t="n"/>
      <c r="AA1762" s="3" t="n"/>
    </row>
    <row r="1763">
      <c r="A1763" s="105" t="n"/>
      <c r="B1763" s="105" t="n"/>
      <c r="C1763" s="3" t="n"/>
      <c r="D1763" s="3" t="n"/>
      <c r="E1763" s="3" t="n"/>
      <c r="F1763" s="3" t="n"/>
      <c r="G1763" s="3" t="n"/>
      <c r="H1763" s="3" t="inlineStr"/>
      <c r="I1763" s="3" t="n"/>
      <c r="J1763" s="3" t="n"/>
      <c r="K1763" s="3" t="n"/>
      <c r="L1763" s="3" t="inlineStr"/>
      <c r="M1763" s="3" t="n"/>
      <c r="N1763" s="3" t="inlineStr"/>
      <c r="O1763" s="3" t="n"/>
      <c r="P1763" s="3" t="n"/>
      <c r="Q1763" s="3" t="n"/>
      <c r="R1763" s="3" t="n"/>
      <c r="S1763" s="3" t="n"/>
      <c r="T1763" s="3" t="n"/>
      <c r="U1763" s="3" t="n"/>
      <c r="V1763" s="3" t="n"/>
      <c r="W1763" s="3" t="n"/>
      <c r="X1763" s="3" t="n"/>
      <c r="Y1763" s="3" t="n"/>
      <c r="Z1763" s="3" t="n"/>
      <c r="AA1763" s="3" t="n"/>
    </row>
    <row r="1764">
      <c r="A1764" s="105" t="n"/>
      <c r="B1764" s="105" t="n"/>
      <c r="C1764" s="3" t="n"/>
      <c r="D1764" s="3" t="n"/>
      <c r="E1764" s="3" t="n"/>
      <c r="F1764" s="3" t="n"/>
      <c r="G1764" s="3" t="n"/>
      <c r="H1764" s="3" t="inlineStr"/>
      <c r="I1764" s="3" t="n"/>
      <c r="J1764" s="3" t="n"/>
      <c r="K1764" s="3" t="n"/>
      <c r="L1764" s="3" t="inlineStr"/>
      <c r="M1764" s="3" t="n"/>
      <c r="N1764" s="3" t="inlineStr"/>
      <c r="O1764" s="3" t="n"/>
      <c r="P1764" s="3" t="n"/>
      <c r="Q1764" s="3" t="n"/>
      <c r="R1764" s="3" t="n"/>
      <c r="S1764" s="3" t="n"/>
      <c r="T1764" s="3" t="n"/>
      <c r="U1764" s="3" t="n"/>
      <c r="V1764" s="3" t="n"/>
      <c r="W1764" s="3" t="n"/>
      <c r="X1764" s="3" t="n"/>
      <c r="Y1764" s="3" t="n"/>
      <c r="Z1764" s="3" t="n"/>
      <c r="AA1764" s="3" t="n"/>
    </row>
    <row r="1765">
      <c r="A1765" s="105" t="n"/>
      <c r="B1765" s="105" t="n"/>
      <c r="C1765" s="3" t="n"/>
      <c r="D1765" s="3" t="n"/>
      <c r="E1765" s="3" t="n"/>
      <c r="F1765" s="3" t="n"/>
      <c r="G1765" s="3" t="n"/>
      <c r="H1765" s="3" t="inlineStr"/>
      <c r="I1765" s="3" t="n"/>
      <c r="J1765" s="3" t="n"/>
      <c r="K1765" s="3" t="n"/>
      <c r="L1765" s="3" t="inlineStr"/>
      <c r="M1765" s="3" t="n"/>
      <c r="N1765" s="3" t="inlineStr"/>
      <c r="O1765" s="3" t="n"/>
      <c r="P1765" s="3" t="n"/>
      <c r="Q1765" s="3" t="n"/>
      <c r="R1765" s="3" t="n"/>
      <c r="S1765" s="3" t="n"/>
      <c r="T1765" s="3" t="n"/>
      <c r="U1765" s="3" t="n"/>
      <c r="V1765" s="3" t="n"/>
      <c r="W1765" s="3" t="n"/>
      <c r="X1765" s="3" t="n"/>
      <c r="Y1765" s="3" t="n"/>
      <c r="Z1765" s="3" t="n"/>
      <c r="AA1765" s="3" t="n"/>
    </row>
    <row r="1766">
      <c r="A1766" s="105" t="n"/>
      <c r="B1766" s="105" t="n"/>
      <c r="C1766" s="3" t="n"/>
      <c r="D1766" s="3" t="n"/>
      <c r="E1766" s="3" t="n"/>
      <c r="F1766" s="3" t="n"/>
      <c r="G1766" s="3" t="n"/>
      <c r="H1766" s="3" t="inlineStr"/>
      <c r="I1766" s="3" t="n"/>
      <c r="J1766" s="3" t="n"/>
      <c r="K1766" s="3" t="n"/>
      <c r="L1766" s="3" t="inlineStr"/>
      <c r="M1766" s="3" t="n"/>
      <c r="N1766" s="3" t="inlineStr"/>
      <c r="O1766" s="3" t="n"/>
      <c r="P1766" s="3" t="n"/>
      <c r="Q1766" s="3" t="n"/>
      <c r="R1766" s="3" t="n"/>
      <c r="S1766" s="3" t="n"/>
      <c r="T1766" s="3" t="n"/>
      <c r="U1766" s="3" t="n"/>
      <c r="V1766" s="3" t="n"/>
      <c r="W1766" s="3" t="n"/>
      <c r="X1766" s="3" t="n"/>
      <c r="Y1766" s="3" t="n"/>
      <c r="Z1766" s="3" t="n"/>
      <c r="AA1766" s="3" t="n"/>
    </row>
    <row r="1767">
      <c r="A1767" s="105" t="n"/>
      <c r="B1767" s="105" t="n"/>
      <c r="C1767" s="3" t="n"/>
      <c r="D1767" s="3" t="n"/>
      <c r="E1767" s="3" t="n"/>
      <c r="F1767" s="3" t="n"/>
      <c r="G1767" s="3" t="n"/>
      <c r="H1767" s="3" t="inlineStr"/>
      <c r="I1767" s="3" t="n"/>
      <c r="J1767" s="3" t="n"/>
      <c r="K1767" s="3" t="n"/>
      <c r="L1767" s="3" t="inlineStr"/>
      <c r="M1767" s="3" t="n"/>
      <c r="N1767" s="3" t="inlineStr"/>
      <c r="O1767" s="3" t="n"/>
      <c r="P1767" s="3" t="n"/>
      <c r="Q1767" s="3" t="n"/>
      <c r="R1767" s="3" t="n"/>
      <c r="S1767" s="3" t="n"/>
      <c r="T1767" s="3" t="n"/>
      <c r="U1767" s="3" t="n"/>
      <c r="V1767" s="3" t="n"/>
      <c r="W1767" s="3" t="n"/>
      <c r="X1767" s="3" t="n"/>
      <c r="Y1767" s="3" t="n"/>
      <c r="Z1767" s="3" t="n"/>
      <c r="AA1767" s="3" t="n"/>
    </row>
    <row r="1768">
      <c r="A1768" s="105" t="n"/>
      <c r="B1768" s="105" t="n"/>
      <c r="C1768" s="3" t="n"/>
      <c r="D1768" s="3" t="n"/>
      <c r="E1768" s="3" t="n"/>
      <c r="F1768" s="3" t="n"/>
      <c r="G1768" s="3" t="n"/>
      <c r="H1768" s="3" t="inlineStr"/>
      <c r="I1768" s="3" t="n"/>
      <c r="J1768" s="3" t="n"/>
      <c r="K1768" s="3" t="n"/>
      <c r="L1768" s="3" t="inlineStr"/>
      <c r="M1768" s="3" t="n"/>
      <c r="N1768" s="3" t="inlineStr"/>
      <c r="O1768" s="3" t="n"/>
      <c r="P1768" s="3" t="n"/>
      <c r="Q1768" s="3" t="n"/>
      <c r="R1768" s="3" t="n"/>
      <c r="S1768" s="3" t="n"/>
      <c r="T1768" s="3" t="n"/>
      <c r="U1768" s="3" t="n"/>
      <c r="V1768" s="3" t="n"/>
      <c r="W1768" s="3" t="n"/>
      <c r="X1768" s="3" t="n"/>
      <c r="Y1768" s="3" t="n"/>
      <c r="Z1768" s="3" t="n"/>
      <c r="AA1768" s="3" t="n"/>
    </row>
    <row r="1769">
      <c r="A1769" s="105" t="n"/>
      <c r="B1769" s="105" t="n"/>
      <c r="C1769" s="3" t="n"/>
      <c r="D1769" s="3" t="n"/>
      <c r="E1769" s="3" t="n"/>
      <c r="F1769" s="3" t="n"/>
      <c r="G1769" s="3" t="n"/>
      <c r="H1769" s="3" t="inlineStr"/>
      <c r="I1769" s="3" t="n"/>
      <c r="J1769" s="3" t="n"/>
      <c r="K1769" s="3" t="n"/>
      <c r="L1769" s="3" t="inlineStr"/>
      <c r="M1769" s="3" t="n"/>
      <c r="N1769" s="3" t="inlineStr"/>
      <c r="O1769" s="3" t="n"/>
      <c r="P1769" s="3" t="n"/>
      <c r="Q1769" s="3" t="n"/>
      <c r="R1769" s="3" t="n"/>
      <c r="S1769" s="3" t="n"/>
      <c r="T1769" s="3" t="n"/>
      <c r="U1769" s="3" t="n"/>
      <c r="V1769" s="3" t="n"/>
      <c r="W1769" s="3" t="n"/>
      <c r="X1769" s="3" t="n"/>
      <c r="Y1769" s="3" t="n"/>
      <c r="Z1769" s="3" t="n"/>
      <c r="AA1769" s="3" t="n"/>
    </row>
    <row r="1770">
      <c r="A1770" s="105" t="n"/>
      <c r="B1770" s="105" t="n"/>
      <c r="C1770" s="3" t="n"/>
      <c r="D1770" s="3" t="n"/>
      <c r="E1770" s="3" t="n"/>
      <c r="F1770" s="3" t="n"/>
      <c r="G1770" s="3" t="n"/>
      <c r="H1770" s="3" t="inlineStr"/>
      <c r="I1770" s="3" t="n"/>
      <c r="J1770" s="3" t="n"/>
      <c r="K1770" s="3" t="n"/>
      <c r="L1770" s="3" t="inlineStr"/>
      <c r="M1770" s="3" t="n"/>
      <c r="N1770" s="3" t="inlineStr"/>
      <c r="O1770" s="3" t="n"/>
      <c r="P1770" s="3" t="n"/>
      <c r="Q1770" s="3" t="n"/>
      <c r="R1770" s="3" t="n"/>
      <c r="S1770" s="3" t="n"/>
      <c r="T1770" s="3" t="n"/>
      <c r="U1770" s="3" t="n"/>
      <c r="V1770" s="3" t="n"/>
      <c r="W1770" s="3" t="n"/>
      <c r="X1770" s="3" t="n"/>
      <c r="Y1770" s="3" t="n"/>
      <c r="Z1770" s="3" t="n"/>
      <c r="AA1770" s="3" t="n"/>
    </row>
    <row r="1771">
      <c r="A1771" s="105" t="n"/>
      <c r="B1771" s="105" t="n"/>
      <c r="C1771" s="3" t="n"/>
      <c r="D1771" s="3" t="n"/>
      <c r="E1771" s="3" t="n"/>
      <c r="F1771" s="3" t="n"/>
      <c r="G1771" s="3" t="n"/>
      <c r="H1771" s="3" t="inlineStr"/>
      <c r="I1771" s="3" t="n"/>
      <c r="J1771" s="3" t="n"/>
      <c r="K1771" s="3" t="n"/>
      <c r="L1771" s="3" t="inlineStr"/>
      <c r="M1771" s="3" t="n"/>
      <c r="N1771" s="3" t="inlineStr"/>
      <c r="O1771" s="3" t="n"/>
      <c r="P1771" s="3" t="n"/>
      <c r="Q1771" s="3" t="n"/>
      <c r="R1771" s="3" t="n"/>
      <c r="S1771" s="3" t="n"/>
      <c r="T1771" s="3" t="n"/>
      <c r="U1771" s="3" t="n"/>
      <c r="V1771" s="3" t="n"/>
      <c r="W1771" s="3" t="n"/>
      <c r="X1771" s="3" t="n"/>
      <c r="Y1771" s="3" t="n"/>
      <c r="Z1771" s="3" t="n"/>
      <c r="AA1771" s="3" t="n"/>
    </row>
    <row r="1772">
      <c r="A1772" s="105" t="n"/>
      <c r="B1772" s="105" t="n"/>
      <c r="C1772" s="3" t="n"/>
      <c r="D1772" s="3" t="n"/>
      <c r="E1772" s="3" t="n"/>
      <c r="F1772" s="3" t="n"/>
      <c r="G1772" s="3" t="n"/>
      <c r="H1772" s="3" t="inlineStr"/>
      <c r="I1772" s="3" t="n"/>
      <c r="J1772" s="3" t="n"/>
      <c r="K1772" s="3" t="n"/>
      <c r="L1772" s="3" t="inlineStr"/>
      <c r="M1772" s="3" t="n"/>
      <c r="N1772" s="3" t="inlineStr"/>
      <c r="O1772" s="3" t="n"/>
      <c r="P1772" s="3" t="n"/>
      <c r="Q1772" s="3" t="n"/>
      <c r="R1772" s="3" t="n"/>
      <c r="S1772" s="3" t="n"/>
      <c r="T1772" s="3" t="n"/>
      <c r="U1772" s="3" t="n"/>
      <c r="V1772" s="3" t="n"/>
      <c r="W1772" s="3" t="n"/>
      <c r="X1772" s="3" t="n"/>
      <c r="Y1772" s="3" t="n"/>
      <c r="Z1772" s="3" t="n"/>
      <c r="AA1772" s="3" t="n"/>
    </row>
    <row r="1773">
      <c r="A1773" s="105" t="n"/>
      <c r="B1773" s="105" t="n"/>
      <c r="C1773" s="3" t="n"/>
      <c r="D1773" s="3" t="n"/>
      <c r="E1773" s="3" t="n"/>
      <c r="F1773" s="3" t="n"/>
      <c r="G1773" s="3" t="n"/>
      <c r="H1773" s="3" t="inlineStr"/>
      <c r="I1773" s="3" t="n"/>
      <c r="J1773" s="3" t="n"/>
      <c r="K1773" s="3" t="n"/>
      <c r="L1773" s="3" t="inlineStr"/>
      <c r="M1773" s="3" t="n"/>
      <c r="N1773" s="3" t="inlineStr"/>
      <c r="O1773" s="3" t="n"/>
      <c r="P1773" s="3" t="n"/>
      <c r="Q1773" s="3" t="n"/>
      <c r="R1773" s="3" t="n"/>
      <c r="S1773" s="3" t="n"/>
      <c r="T1773" s="3" t="n"/>
      <c r="U1773" s="3" t="n"/>
      <c r="V1773" s="3" t="n"/>
      <c r="W1773" s="3" t="n"/>
      <c r="X1773" s="3" t="n"/>
      <c r="Y1773" s="3" t="n"/>
      <c r="Z1773" s="3" t="n"/>
      <c r="AA1773" s="3" t="n"/>
    </row>
    <row r="1774">
      <c r="A1774" s="105" t="n"/>
      <c r="B1774" s="105" t="n"/>
      <c r="C1774" s="3" t="n"/>
      <c r="D1774" s="3" t="n"/>
      <c r="E1774" s="3" t="n"/>
      <c r="F1774" s="3" t="n"/>
      <c r="G1774" s="3" t="n"/>
      <c r="H1774" s="3" t="inlineStr"/>
      <c r="I1774" s="3" t="n"/>
      <c r="J1774" s="3" t="n"/>
      <c r="K1774" s="3" t="n"/>
      <c r="L1774" s="3" t="inlineStr"/>
      <c r="M1774" s="3" t="n"/>
      <c r="N1774" s="3" t="inlineStr"/>
      <c r="O1774" s="3" t="n"/>
      <c r="P1774" s="3" t="n"/>
      <c r="Q1774" s="3" t="n"/>
      <c r="R1774" s="3" t="n"/>
      <c r="S1774" s="3" t="n"/>
      <c r="T1774" s="3" t="n"/>
      <c r="U1774" s="3" t="n"/>
      <c r="V1774" s="3" t="n"/>
      <c r="W1774" s="3" t="n"/>
      <c r="X1774" s="3" t="n"/>
      <c r="Y1774" s="3" t="n"/>
      <c r="Z1774" s="3" t="n"/>
      <c r="AA1774" s="3" t="n"/>
    </row>
    <row r="1775">
      <c r="A1775" s="105" t="n"/>
      <c r="B1775" s="105" t="n"/>
      <c r="C1775" s="3" t="n"/>
      <c r="D1775" s="3" t="n"/>
      <c r="E1775" s="3" t="n"/>
      <c r="F1775" s="3" t="n"/>
      <c r="G1775" s="3" t="n"/>
      <c r="H1775" s="3" t="inlineStr"/>
      <c r="I1775" s="3" t="n"/>
      <c r="J1775" s="3" t="n"/>
      <c r="K1775" s="3" t="n"/>
      <c r="L1775" s="3" t="inlineStr"/>
      <c r="M1775" s="3" t="n"/>
      <c r="N1775" s="3" t="inlineStr"/>
      <c r="O1775" s="3" t="n"/>
      <c r="P1775" s="3" t="n"/>
      <c r="Q1775" s="3" t="n"/>
      <c r="R1775" s="3" t="n"/>
      <c r="S1775" s="3" t="n"/>
      <c r="T1775" s="3" t="n"/>
      <c r="U1775" s="3" t="n"/>
      <c r="V1775" s="3" t="n"/>
      <c r="W1775" s="3" t="n"/>
      <c r="X1775" s="3" t="n"/>
      <c r="Y1775" s="3" t="n"/>
      <c r="Z1775" s="3" t="n"/>
      <c r="AA1775" s="3" t="n"/>
    </row>
    <row r="1776">
      <c r="A1776" s="105" t="n"/>
      <c r="B1776" s="105" t="n"/>
      <c r="C1776" s="3" t="n"/>
      <c r="D1776" s="3" t="n"/>
      <c r="E1776" s="3" t="n"/>
      <c r="F1776" s="3" t="n"/>
      <c r="G1776" s="3" t="n"/>
      <c r="H1776" s="3" t="inlineStr"/>
      <c r="I1776" s="3" t="n"/>
      <c r="J1776" s="3" t="n"/>
      <c r="K1776" s="3" t="n"/>
      <c r="L1776" s="3" t="inlineStr"/>
      <c r="M1776" s="3" t="n"/>
      <c r="N1776" s="3" t="inlineStr"/>
      <c r="O1776" s="3" t="n"/>
      <c r="P1776" s="3" t="n"/>
      <c r="Q1776" s="3" t="n"/>
      <c r="R1776" s="3" t="n"/>
      <c r="S1776" s="3" t="n"/>
      <c r="T1776" s="3" t="n"/>
      <c r="U1776" s="3" t="n"/>
      <c r="V1776" s="3" t="n"/>
      <c r="W1776" s="3" t="n"/>
      <c r="X1776" s="3" t="n"/>
      <c r="Y1776" s="3" t="n"/>
      <c r="Z1776" s="3" t="n"/>
      <c r="AA1776" s="3" t="n"/>
    </row>
    <row r="1777">
      <c r="A1777" s="105" t="n"/>
      <c r="B1777" s="105" t="n"/>
      <c r="C1777" s="3" t="n"/>
      <c r="D1777" s="3" t="n"/>
      <c r="E1777" s="3" t="n"/>
      <c r="F1777" s="3" t="n"/>
      <c r="G1777" s="3" t="n"/>
      <c r="H1777" s="3" t="inlineStr"/>
      <c r="I1777" s="3" t="n"/>
      <c r="J1777" s="3" t="n"/>
      <c r="K1777" s="3" t="n"/>
      <c r="L1777" s="3" t="inlineStr"/>
      <c r="M1777" s="3" t="n"/>
      <c r="N1777" s="3" t="inlineStr"/>
      <c r="O1777" s="3" t="n"/>
      <c r="P1777" s="3" t="n"/>
      <c r="Q1777" s="3" t="n"/>
      <c r="R1777" s="3" t="n"/>
      <c r="S1777" s="3" t="n"/>
      <c r="T1777" s="3" t="n"/>
      <c r="U1777" s="3" t="n"/>
      <c r="V1777" s="3" t="n"/>
      <c r="W1777" s="3" t="n"/>
      <c r="X1777" s="3" t="n"/>
      <c r="Y1777" s="3" t="n"/>
      <c r="Z1777" s="3" t="n"/>
      <c r="AA1777" s="3" t="n"/>
    </row>
    <row r="1778">
      <c r="A1778" s="105" t="n"/>
      <c r="B1778" s="105" t="n"/>
      <c r="C1778" s="3" t="n"/>
      <c r="D1778" s="3" t="n"/>
      <c r="E1778" s="3" t="n"/>
      <c r="F1778" s="3" t="n"/>
      <c r="G1778" s="3" t="n"/>
      <c r="H1778" s="3" t="inlineStr"/>
      <c r="I1778" s="3" t="n"/>
      <c r="J1778" s="3" t="n"/>
      <c r="K1778" s="3" t="n"/>
      <c r="L1778" s="3" t="inlineStr"/>
      <c r="M1778" s="3" t="n"/>
      <c r="N1778" s="3" t="inlineStr"/>
      <c r="O1778" s="3" t="n"/>
      <c r="P1778" s="3" t="n"/>
      <c r="Q1778" s="3" t="n"/>
      <c r="R1778" s="3" t="n"/>
      <c r="S1778" s="3" t="n"/>
      <c r="T1778" s="3" t="n"/>
      <c r="U1778" s="3" t="n"/>
      <c r="V1778" s="3" t="n"/>
      <c r="W1778" s="3" t="n"/>
      <c r="X1778" s="3" t="n"/>
      <c r="Y1778" s="3" t="n"/>
      <c r="Z1778" s="3" t="n"/>
      <c r="AA1778" s="3" t="n"/>
    </row>
    <row r="1779">
      <c r="A1779" s="105" t="n"/>
      <c r="B1779" s="105" t="n"/>
      <c r="C1779" s="3" t="n"/>
      <c r="D1779" s="3" t="n"/>
      <c r="E1779" s="3" t="n"/>
      <c r="F1779" s="3" t="n"/>
      <c r="G1779" s="3" t="n"/>
      <c r="H1779" s="3" t="inlineStr"/>
      <c r="I1779" s="3" t="n"/>
      <c r="J1779" s="3" t="n"/>
      <c r="K1779" s="3" t="n"/>
      <c r="L1779" s="3" t="inlineStr"/>
      <c r="M1779" s="3" t="n"/>
      <c r="N1779" s="3" t="inlineStr"/>
      <c r="O1779" s="3" t="n"/>
      <c r="P1779" s="3" t="n"/>
      <c r="Q1779" s="3" t="n"/>
      <c r="R1779" s="3" t="n"/>
      <c r="S1779" s="3" t="n"/>
      <c r="T1779" s="3" t="n"/>
      <c r="U1779" s="3" t="n"/>
      <c r="V1779" s="3" t="n"/>
      <c r="W1779" s="3" t="n"/>
      <c r="X1779" s="3" t="n"/>
      <c r="Y1779" s="3" t="n"/>
      <c r="Z1779" s="3" t="n"/>
      <c r="AA1779" s="3" t="n"/>
    </row>
    <row r="1780">
      <c r="A1780" s="105" t="n"/>
      <c r="B1780" s="105" t="n"/>
      <c r="C1780" s="3" t="n"/>
      <c r="D1780" s="3" t="n"/>
      <c r="E1780" s="3" t="n"/>
      <c r="F1780" s="3" t="n"/>
      <c r="G1780" s="3" t="n"/>
      <c r="H1780" s="3" t="inlineStr"/>
      <c r="I1780" s="3" t="n"/>
      <c r="J1780" s="3" t="n"/>
      <c r="K1780" s="3" t="n"/>
      <c r="L1780" s="3" t="inlineStr"/>
      <c r="M1780" s="3" t="n"/>
      <c r="N1780" s="3" t="inlineStr"/>
      <c r="O1780" s="3" t="n"/>
      <c r="P1780" s="3" t="n"/>
      <c r="Q1780" s="3" t="n"/>
      <c r="R1780" s="3" t="n"/>
      <c r="S1780" s="3" t="n"/>
      <c r="T1780" s="3" t="n"/>
      <c r="U1780" s="3" t="n"/>
      <c r="V1780" s="3" t="n"/>
      <c r="W1780" s="3" t="n"/>
      <c r="X1780" s="3" t="n"/>
      <c r="Y1780" s="3" t="n"/>
      <c r="Z1780" s="3" t="n"/>
      <c r="AA1780" s="3" t="n"/>
    </row>
    <row r="1781">
      <c r="A1781" s="105" t="n"/>
      <c r="B1781" s="105" t="n"/>
      <c r="C1781" s="3" t="n"/>
      <c r="D1781" s="3" t="n"/>
      <c r="E1781" s="3" t="n"/>
      <c r="F1781" s="3" t="n"/>
      <c r="G1781" s="3" t="n"/>
      <c r="H1781" s="3" t="inlineStr"/>
      <c r="I1781" s="3" t="n"/>
      <c r="J1781" s="3" t="n"/>
      <c r="K1781" s="3" t="n"/>
      <c r="L1781" s="3" t="inlineStr"/>
      <c r="M1781" s="3" t="n"/>
      <c r="N1781" s="3" t="inlineStr"/>
      <c r="O1781" s="3" t="n"/>
      <c r="P1781" s="3" t="n"/>
      <c r="Q1781" s="3" t="n"/>
      <c r="R1781" s="3" t="n"/>
      <c r="S1781" s="3" t="n"/>
      <c r="T1781" s="3" t="n"/>
      <c r="U1781" s="3" t="n"/>
      <c r="V1781" s="3" t="n"/>
      <c r="W1781" s="3" t="n"/>
      <c r="X1781" s="3" t="n"/>
      <c r="Y1781" s="3" t="n"/>
      <c r="Z1781" s="3" t="n"/>
      <c r="AA1781" s="3" t="n"/>
    </row>
    <row r="1782">
      <c r="A1782" s="105" t="n"/>
      <c r="B1782" s="105" t="n"/>
      <c r="C1782" s="3" t="n"/>
      <c r="D1782" s="3" t="n"/>
      <c r="E1782" s="3" t="n"/>
      <c r="F1782" s="3" t="n"/>
      <c r="G1782" s="3" t="n"/>
      <c r="H1782" s="3" t="inlineStr"/>
      <c r="I1782" s="3" t="n"/>
      <c r="J1782" s="3" t="n"/>
      <c r="K1782" s="3" t="n"/>
      <c r="L1782" s="3" t="inlineStr"/>
      <c r="M1782" s="3" t="n"/>
      <c r="N1782" s="3" t="inlineStr"/>
      <c r="O1782" s="3" t="n"/>
      <c r="P1782" s="3" t="n"/>
      <c r="Q1782" s="3" t="n"/>
      <c r="R1782" s="3" t="n"/>
      <c r="S1782" s="3" t="n"/>
      <c r="T1782" s="3" t="n"/>
      <c r="U1782" s="3" t="n"/>
      <c r="V1782" s="3" t="n"/>
      <c r="W1782" s="3" t="n"/>
      <c r="X1782" s="3" t="n"/>
      <c r="Y1782" s="3" t="n"/>
      <c r="Z1782" s="3" t="n"/>
      <c r="AA1782" s="3" t="n"/>
    </row>
    <row r="1783">
      <c r="A1783" s="105" t="n"/>
      <c r="B1783" s="105" t="n"/>
      <c r="C1783" s="3" t="n"/>
      <c r="D1783" s="3" t="n"/>
      <c r="E1783" s="3" t="n"/>
      <c r="F1783" s="3" t="n"/>
      <c r="G1783" s="3" t="n"/>
      <c r="H1783" s="3" t="inlineStr"/>
      <c r="I1783" s="3" t="n"/>
      <c r="J1783" s="3" t="n"/>
      <c r="K1783" s="3" t="n"/>
      <c r="L1783" s="3" t="inlineStr"/>
      <c r="M1783" s="3" t="n"/>
      <c r="N1783" s="3" t="inlineStr"/>
      <c r="O1783" s="3" t="n"/>
      <c r="P1783" s="3" t="n"/>
      <c r="Q1783" s="3" t="n"/>
      <c r="R1783" s="3" t="n"/>
      <c r="S1783" s="3" t="n"/>
      <c r="T1783" s="3" t="n"/>
      <c r="U1783" s="3" t="n"/>
      <c r="V1783" s="3" t="n"/>
      <c r="W1783" s="3" t="n"/>
      <c r="X1783" s="3" t="n"/>
      <c r="Y1783" s="3" t="n"/>
      <c r="Z1783" s="3" t="n"/>
      <c r="AA1783" s="3" t="n"/>
    </row>
    <row r="1784">
      <c r="A1784" s="105" t="n"/>
      <c r="B1784" s="105" t="n"/>
      <c r="C1784" s="3" t="n"/>
      <c r="D1784" s="3" t="n"/>
      <c r="E1784" s="3" t="n"/>
      <c r="F1784" s="3" t="n"/>
      <c r="G1784" s="3" t="n"/>
      <c r="H1784" s="3" t="inlineStr"/>
      <c r="I1784" s="3" t="n"/>
      <c r="J1784" s="3" t="n"/>
      <c r="K1784" s="3" t="n"/>
      <c r="L1784" s="3" t="inlineStr"/>
      <c r="M1784" s="3" t="n"/>
      <c r="N1784" s="3" t="inlineStr"/>
      <c r="O1784" s="3" t="n"/>
      <c r="P1784" s="3" t="n"/>
      <c r="Q1784" s="3" t="n"/>
      <c r="R1784" s="3" t="n"/>
      <c r="S1784" s="3" t="n"/>
      <c r="T1784" s="3" t="n"/>
      <c r="U1784" s="3" t="n"/>
      <c r="V1784" s="3" t="n"/>
      <c r="W1784" s="3" t="n"/>
      <c r="X1784" s="3" t="n"/>
      <c r="Y1784" s="3" t="n"/>
      <c r="Z1784" s="3" t="n"/>
      <c r="AA1784" s="3" t="n"/>
    </row>
    <row r="1785">
      <c r="A1785" s="105" t="n"/>
      <c r="B1785" s="105" t="n"/>
      <c r="C1785" s="3" t="n"/>
      <c r="D1785" s="3" t="n"/>
      <c r="E1785" s="3" t="n"/>
      <c r="F1785" s="3" t="n"/>
      <c r="G1785" s="3" t="n"/>
      <c r="H1785" s="3" t="inlineStr"/>
      <c r="I1785" s="3" t="n"/>
      <c r="J1785" s="3" t="n"/>
      <c r="K1785" s="3" t="n"/>
      <c r="L1785" s="3" t="inlineStr"/>
      <c r="M1785" s="3" t="n"/>
      <c r="N1785" s="3" t="inlineStr"/>
      <c r="O1785" s="3" t="n"/>
      <c r="P1785" s="3" t="n"/>
      <c r="Q1785" s="3" t="n"/>
      <c r="R1785" s="3" t="n"/>
      <c r="S1785" s="3" t="n"/>
      <c r="T1785" s="3" t="n"/>
      <c r="U1785" s="3" t="n"/>
      <c r="V1785" s="3" t="n"/>
      <c r="W1785" s="3" t="n"/>
      <c r="X1785" s="3" t="n"/>
      <c r="Y1785" s="3" t="n"/>
      <c r="Z1785" s="3" t="n"/>
      <c r="AA1785" s="3" t="n"/>
    </row>
    <row r="1786">
      <c r="A1786" s="105" t="n"/>
      <c r="B1786" s="105" t="n"/>
      <c r="C1786" s="3" t="n"/>
      <c r="D1786" s="3" t="n"/>
      <c r="E1786" s="3" t="n"/>
      <c r="F1786" s="3" t="n"/>
      <c r="G1786" s="3" t="n"/>
      <c r="H1786" s="3" t="inlineStr"/>
      <c r="I1786" s="3" t="n"/>
      <c r="J1786" s="3" t="n"/>
      <c r="K1786" s="3" t="n"/>
      <c r="L1786" s="3" t="inlineStr"/>
      <c r="M1786" s="3" t="n"/>
      <c r="N1786" s="3" t="inlineStr"/>
      <c r="O1786" s="3" t="n"/>
      <c r="P1786" s="3" t="n"/>
      <c r="Q1786" s="3" t="n"/>
      <c r="R1786" s="3" t="n"/>
      <c r="S1786" s="3" t="n"/>
      <c r="T1786" s="3" t="n"/>
      <c r="U1786" s="3" t="n"/>
      <c r="V1786" s="3" t="n"/>
      <c r="W1786" s="3" t="n"/>
      <c r="X1786" s="3" t="n"/>
      <c r="Y1786" s="3" t="n"/>
      <c r="Z1786" s="3" t="n"/>
      <c r="AA1786" s="3" t="n"/>
    </row>
    <row r="1787">
      <c r="A1787" s="105" t="n"/>
      <c r="B1787" s="105" t="n"/>
      <c r="C1787" s="3" t="n"/>
      <c r="D1787" s="3" t="n"/>
      <c r="E1787" s="3" t="n"/>
      <c r="F1787" s="3" t="n"/>
      <c r="G1787" s="3" t="n"/>
      <c r="H1787" s="3" t="inlineStr"/>
      <c r="I1787" s="3" t="n"/>
      <c r="J1787" s="3" t="n"/>
      <c r="K1787" s="3" t="n"/>
      <c r="L1787" s="3" t="inlineStr"/>
      <c r="M1787" s="3" t="n"/>
      <c r="N1787" s="3" t="inlineStr"/>
      <c r="O1787" s="3" t="n"/>
      <c r="P1787" s="3" t="n"/>
      <c r="Q1787" s="3" t="n"/>
      <c r="R1787" s="3" t="n"/>
      <c r="S1787" s="3" t="n"/>
      <c r="T1787" s="3" t="n"/>
      <c r="U1787" s="3" t="n"/>
      <c r="V1787" s="3" t="n"/>
      <c r="W1787" s="3" t="n"/>
      <c r="X1787" s="3" t="n"/>
      <c r="Y1787" s="3" t="n"/>
      <c r="Z1787" s="3" t="n"/>
      <c r="AA1787" s="3" t="n"/>
    </row>
    <row r="1788">
      <c r="A1788" s="105" t="n"/>
      <c r="B1788" s="105" t="n"/>
      <c r="C1788" s="3" t="n"/>
      <c r="D1788" s="3" t="n"/>
      <c r="E1788" s="3" t="n"/>
      <c r="F1788" s="3" t="n"/>
      <c r="G1788" s="3" t="n"/>
      <c r="H1788" s="3" t="inlineStr"/>
      <c r="I1788" s="3" t="n"/>
      <c r="J1788" s="3" t="n"/>
      <c r="K1788" s="3" t="n"/>
      <c r="L1788" s="3" t="inlineStr"/>
      <c r="M1788" s="3" t="n"/>
      <c r="N1788" s="3" t="inlineStr"/>
      <c r="O1788" s="3" t="n"/>
      <c r="P1788" s="3" t="n"/>
      <c r="Q1788" s="3" t="n"/>
      <c r="R1788" s="3" t="n"/>
      <c r="S1788" s="3" t="n"/>
      <c r="T1788" s="3" t="n"/>
      <c r="U1788" s="3" t="n"/>
      <c r="V1788" s="3" t="n"/>
      <c r="W1788" s="3" t="n"/>
      <c r="X1788" s="3" t="n"/>
      <c r="Y1788" s="3" t="n"/>
      <c r="Z1788" s="3" t="n"/>
      <c r="AA1788" s="3" t="n"/>
    </row>
    <row r="1789">
      <c r="A1789" s="105" t="n"/>
      <c r="B1789" s="105" t="n"/>
      <c r="C1789" s="3" t="n"/>
      <c r="D1789" s="3" t="n"/>
      <c r="E1789" s="3" t="n"/>
      <c r="F1789" s="3" t="n"/>
      <c r="G1789" s="3" t="n"/>
      <c r="H1789" s="3" t="inlineStr"/>
      <c r="I1789" s="3" t="n"/>
      <c r="J1789" s="3" t="n"/>
      <c r="K1789" s="3" t="n"/>
      <c r="L1789" s="3" t="inlineStr"/>
      <c r="M1789" s="3" t="n"/>
      <c r="N1789" s="3" t="inlineStr"/>
      <c r="O1789" s="3" t="n"/>
      <c r="P1789" s="3" t="n"/>
      <c r="Q1789" s="3" t="n"/>
      <c r="R1789" s="3" t="n"/>
      <c r="S1789" s="3" t="n"/>
      <c r="T1789" s="3" t="n"/>
      <c r="U1789" s="3" t="n"/>
      <c r="V1789" s="3" t="n"/>
      <c r="W1789" s="3" t="n"/>
      <c r="X1789" s="3" t="n"/>
      <c r="Y1789" s="3" t="n"/>
      <c r="Z1789" s="3" t="n"/>
      <c r="AA1789" s="3" t="n"/>
    </row>
    <row r="1790">
      <c r="A1790" s="105" t="n"/>
      <c r="B1790" s="105" t="n"/>
      <c r="C1790" s="3" t="n"/>
      <c r="D1790" s="3" t="n"/>
      <c r="E1790" s="3" t="n"/>
      <c r="F1790" s="3" t="n"/>
      <c r="G1790" s="3" t="n"/>
      <c r="H1790" s="3" t="inlineStr"/>
      <c r="I1790" s="3" t="n"/>
      <c r="J1790" s="3" t="n"/>
      <c r="K1790" s="3" t="n"/>
      <c r="L1790" s="3" t="inlineStr"/>
      <c r="M1790" s="3" t="n"/>
      <c r="N1790" s="3" t="inlineStr"/>
      <c r="O1790" s="3" t="n"/>
      <c r="P1790" s="3" t="n"/>
      <c r="Q1790" s="3" t="n"/>
      <c r="R1790" s="3" t="n"/>
      <c r="S1790" s="3" t="n"/>
      <c r="T1790" s="3" t="n"/>
      <c r="U1790" s="3" t="n"/>
      <c r="V1790" s="3" t="n"/>
      <c r="W1790" s="3" t="n"/>
      <c r="X1790" s="3" t="n"/>
      <c r="Y1790" s="3" t="n"/>
      <c r="Z1790" s="3" t="n"/>
      <c r="AA1790" s="3" t="n"/>
    </row>
    <row r="1791">
      <c r="A1791" s="105" t="n"/>
      <c r="B1791" s="105" t="n"/>
      <c r="C1791" s="3" t="n"/>
      <c r="D1791" s="3" t="n"/>
      <c r="E1791" s="3" t="n"/>
      <c r="F1791" s="3" t="n"/>
      <c r="G1791" s="3" t="n"/>
      <c r="H1791" s="3" t="inlineStr"/>
      <c r="I1791" s="3" t="n"/>
      <c r="J1791" s="3" t="n"/>
      <c r="K1791" s="3" t="n"/>
      <c r="L1791" s="3" t="inlineStr"/>
      <c r="M1791" s="3" t="n"/>
      <c r="N1791" s="3" t="inlineStr"/>
      <c r="O1791" s="3" t="n"/>
      <c r="P1791" s="3" t="n"/>
      <c r="Q1791" s="3" t="n"/>
      <c r="R1791" s="3" t="n"/>
      <c r="S1791" s="3" t="n"/>
      <c r="T1791" s="3" t="n"/>
      <c r="U1791" s="3" t="n"/>
      <c r="V1791" s="3" t="n"/>
      <c r="W1791" s="3" t="n"/>
      <c r="X1791" s="3" t="n"/>
      <c r="Y1791" s="3" t="n"/>
      <c r="Z1791" s="3" t="n"/>
      <c r="AA1791" s="3" t="n"/>
    </row>
    <row r="1792">
      <c r="A1792" s="105" t="n"/>
      <c r="B1792" s="105" t="n"/>
      <c r="C1792" s="3" t="n"/>
      <c r="D1792" s="3" t="n"/>
      <c r="E1792" s="3" t="n"/>
      <c r="F1792" s="3" t="n"/>
      <c r="G1792" s="3" t="n"/>
      <c r="H1792" s="3" t="inlineStr"/>
      <c r="I1792" s="3" t="n"/>
      <c r="J1792" s="3" t="n"/>
      <c r="K1792" s="3" t="n"/>
      <c r="L1792" s="3" t="inlineStr"/>
      <c r="M1792" s="3" t="n"/>
      <c r="N1792" s="3" t="inlineStr"/>
      <c r="O1792" s="3" t="n"/>
      <c r="P1792" s="3" t="n"/>
      <c r="Q1792" s="3" t="n"/>
      <c r="R1792" s="3" t="n"/>
      <c r="S1792" s="3" t="n"/>
      <c r="T1792" s="3" t="n"/>
      <c r="U1792" s="3" t="n"/>
      <c r="V1792" s="3" t="n"/>
      <c r="W1792" s="3" t="n"/>
      <c r="X1792" s="3" t="n"/>
      <c r="Y1792" s="3" t="n"/>
      <c r="Z1792" s="3" t="n"/>
      <c r="AA1792" s="3" t="n"/>
    </row>
    <row r="1793">
      <c r="A1793" s="105" t="n"/>
      <c r="B1793" s="105" t="n"/>
      <c r="C1793" s="3" t="n"/>
      <c r="D1793" s="3" t="n"/>
      <c r="E1793" s="3" t="n"/>
      <c r="F1793" s="3" t="n"/>
      <c r="G1793" s="3" t="n"/>
      <c r="H1793" s="3" t="inlineStr"/>
      <c r="I1793" s="3" t="n"/>
      <c r="J1793" s="3" t="n"/>
      <c r="K1793" s="3" t="n"/>
      <c r="L1793" s="3" t="inlineStr"/>
      <c r="M1793" s="3" t="n"/>
      <c r="N1793" s="3" t="inlineStr"/>
      <c r="O1793" s="3" t="n"/>
      <c r="P1793" s="3" t="n"/>
      <c r="Q1793" s="3" t="n"/>
      <c r="R1793" s="3" t="n"/>
      <c r="S1793" s="3" t="n"/>
      <c r="T1793" s="3" t="n"/>
      <c r="U1793" s="3" t="n"/>
      <c r="V1793" s="3" t="n"/>
      <c r="W1793" s="3" t="n"/>
      <c r="X1793" s="3" t="n"/>
      <c r="Y1793" s="3" t="n"/>
      <c r="Z1793" s="3" t="n"/>
      <c r="AA1793" s="3" t="n"/>
    </row>
    <row r="1794">
      <c r="A1794" s="105" t="n"/>
      <c r="B1794" s="105" t="n"/>
      <c r="C1794" s="3" t="n"/>
      <c r="D1794" s="3" t="n"/>
      <c r="E1794" s="3" t="n"/>
      <c r="F1794" s="3" t="n"/>
      <c r="G1794" s="3" t="n"/>
      <c r="H1794" s="3" t="inlineStr"/>
      <c r="I1794" s="3" t="n"/>
      <c r="J1794" s="3" t="n"/>
      <c r="K1794" s="3" t="n"/>
      <c r="L1794" s="3" t="inlineStr"/>
      <c r="M1794" s="3" t="n"/>
      <c r="N1794" s="3" t="inlineStr"/>
      <c r="O1794" s="3" t="n"/>
      <c r="P1794" s="3" t="n"/>
      <c r="Q1794" s="3" t="n"/>
      <c r="R1794" s="3" t="n"/>
      <c r="S1794" s="3" t="n"/>
      <c r="T1794" s="3" t="n"/>
      <c r="U1794" s="3" t="n"/>
      <c r="V1794" s="3" t="n"/>
      <c r="W1794" s="3" t="n"/>
      <c r="X1794" s="3" t="n"/>
      <c r="Y1794" s="3" t="n"/>
      <c r="Z1794" s="3" t="n"/>
      <c r="AA1794" s="3" t="n"/>
    </row>
    <row r="1795">
      <c r="A1795" s="105" t="n"/>
      <c r="B1795" s="105" t="n"/>
      <c r="C1795" s="3" t="n"/>
      <c r="D1795" s="3" t="n"/>
      <c r="E1795" s="3" t="n"/>
      <c r="F1795" s="3" t="n"/>
      <c r="G1795" s="3" t="n"/>
      <c r="H1795" s="3" t="inlineStr"/>
      <c r="I1795" s="3" t="n"/>
      <c r="J1795" s="3" t="n"/>
      <c r="K1795" s="3" t="n"/>
      <c r="L1795" s="3" t="inlineStr"/>
      <c r="M1795" s="3" t="n"/>
      <c r="N1795" s="3" t="inlineStr"/>
      <c r="O1795" s="3" t="n"/>
      <c r="P1795" s="3" t="n"/>
      <c r="Q1795" s="3" t="n"/>
      <c r="R1795" s="3" t="n"/>
      <c r="S1795" s="3" t="n"/>
      <c r="T1795" s="3" t="n"/>
      <c r="U1795" s="3" t="n"/>
      <c r="V1795" s="3" t="n"/>
      <c r="W1795" s="3" t="n"/>
      <c r="X1795" s="3" t="n"/>
      <c r="Y1795" s="3" t="n"/>
      <c r="Z1795" s="3" t="n"/>
      <c r="AA1795" s="3" t="n"/>
    </row>
    <row r="1796">
      <c r="A1796" s="105" t="n"/>
      <c r="B1796" s="105" t="n"/>
      <c r="C1796" s="3" t="n"/>
      <c r="D1796" s="3" t="n"/>
      <c r="E1796" s="3" t="n"/>
      <c r="F1796" s="3" t="n"/>
      <c r="G1796" s="3" t="n"/>
      <c r="H1796" s="3" t="inlineStr"/>
      <c r="I1796" s="3" t="n"/>
      <c r="J1796" s="3" t="n"/>
      <c r="K1796" s="3" t="n"/>
      <c r="L1796" s="3" t="inlineStr"/>
      <c r="M1796" s="3" t="n"/>
      <c r="N1796" s="3" t="inlineStr"/>
      <c r="O1796" s="3" t="n"/>
      <c r="P1796" s="3" t="n"/>
      <c r="Q1796" s="3" t="n"/>
      <c r="R1796" s="3" t="n"/>
      <c r="S1796" s="3" t="n"/>
      <c r="T1796" s="3" t="n"/>
      <c r="U1796" s="3" t="n"/>
      <c r="V1796" s="3" t="n"/>
      <c r="W1796" s="3" t="n"/>
      <c r="X1796" s="3" t="n"/>
      <c r="Y1796" s="3" t="n"/>
      <c r="Z1796" s="3" t="n"/>
      <c r="AA1796" s="3" t="n"/>
    </row>
    <row r="1797">
      <c r="A1797" s="105" t="n"/>
      <c r="B1797" s="105" t="n"/>
      <c r="C1797" s="3" t="n"/>
      <c r="D1797" s="3" t="n"/>
      <c r="E1797" s="3" t="n"/>
      <c r="F1797" s="3" t="n"/>
      <c r="G1797" s="3" t="n"/>
      <c r="H1797" s="3" t="inlineStr"/>
      <c r="I1797" s="3" t="n"/>
      <c r="J1797" s="3" t="n"/>
      <c r="K1797" s="3" t="n"/>
      <c r="L1797" s="3" t="inlineStr"/>
      <c r="M1797" s="3" t="n"/>
      <c r="N1797" s="3" t="inlineStr"/>
      <c r="O1797" s="3" t="n"/>
      <c r="P1797" s="3" t="n"/>
      <c r="Q1797" s="3" t="n"/>
      <c r="R1797" s="3" t="n"/>
      <c r="S1797" s="3" t="n"/>
      <c r="T1797" s="3" t="n"/>
      <c r="U1797" s="3" t="n"/>
      <c r="V1797" s="3" t="n"/>
      <c r="W1797" s="3" t="n"/>
      <c r="X1797" s="3" t="n"/>
      <c r="Y1797" s="3" t="n"/>
      <c r="Z1797" s="3" t="n"/>
      <c r="AA1797" s="3" t="n"/>
    </row>
    <row r="1798">
      <c r="A1798" s="105" t="n"/>
      <c r="B1798" s="105" t="n"/>
      <c r="C1798" s="3" t="n"/>
      <c r="D1798" s="3" t="n"/>
      <c r="E1798" s="3" t="n"/>
      <c r="F1798" s="3" t="n"/>
      <c r="G1798" s="3" t="n"/>
      <c r="H1798" s="3" t="inlineStr"/>
      <c r="I1798" s="3" t="n"/>
      <c r="J1798" s="3" t="n"/>
      <c r="K1798" s="3" t="n"/>
      <c r="L1798" s="3" t="inlineStr"/>
      <c r="M1798" s="3" t="n"/>
      <c r="N1798" s="3" t="inlineStr"/>
      <c r="O1798" s="3" t="n"/>
      <c r="P1798" s="3" t="n"/>
      <c r="Q1798" s="3" t="n"/>
      <c r="R1798" s="3" t="n"/>
      <c r="S1798" s="3" t="n"/>
      <c r="T1798" s="3" t="n"/>
      <c r="U1798" s="3" t="n"/>
      <c r="V1798" s="3" t="n"/>
      <c r="W1798" s="3" t="n"/>
      <c r="X1798" s="3" t="n"/>
      <c r="Y1798" s="3" t="n"/>
      <c r="Z1798" s="3" t="n"/>
      <c r="AA1798" s="3" t="n"/>
    </row>
    <row r="1799">
      <c r="A1799" s="105" t="n"/>
      <c r="B1799" s="105" t="n"/>
      <c r="C1799" s="3" t="n"/>
      <c r="D1799" s="3" t="n"/>
      <c r="E1799" s="3" t="n"/>
      <c r="F1799" s="3" t="n"/>
      <c r="G1799" s="3" t="n"/>
      <c r="H1799" s="3" t="inlineStr"/>
      <c r="I1799" s="3" t="n"/>
      <c r="J1799" s="3" t="n"/>
      <c r="K1799" s="3" t="n"/>
      <c r="L1799" s="3" t="inlineStr"/>
      <c r="M1799" s="3" t="n"/>
      <c r="N1799" s="3" t="inlineStr"/>
      <c r="O1799" s="3" t="n"/>
      <c r="P1799" s="3" t="n"/>
      <c r="Q1799" s="3" t="n"/>
      <c r="R1799" s="3" t="n"/>
      <c r="S1799" s="3" t="n"/>
      <c r="T1799" s="3" t="n"/>
      <c r="U1799" s="3" t="n"/>
      <c r="V1799" s="3" t="n"/>
      <c r="W1799" s="3" t="n"/>
      <c r="X1799" s="3" t="n"/>
      <c r="Y1799" s="3" t="n"/>
      <c r="Z1799" s="3" t="n"/>
      <c r="AA1799" s="3" t="n"/>
    </row>
    <row r="1800">
      <c r="A1800" s="105" t="n"/>
      <c r="B1800" s="105" t="n"/>
      <c r="C1800" s="3" t="n"/>
      <c r="D1800" s="3" t="n"/>
      <c r="E1800" s="3" t="n"/>
      <c r="F1800" s="3" t="n"/>
      <c r="G1800" s="3" t="n"/>
      <c r="H1800" s="3" t="inlineStr"/>
      <c r="I1800" s="3" t="n"/>
      <c r="J1800" s="3" t="n"/>
      <c r="K1800" s="3" t="n"/>
      <c r="L1800" s="3" t="inlineStr"/>
      <c r="M1800" s="3" t="n"/>
      <c r="N1800" s="3" t="inlineStr"/>
      <c r="O1800" s="3" t="n"/>
      <c r="P1800" s="3" t="n"/>
      <c r="Q1800" s="3" t="n"/>
      <c r="R1800" s="3" t="n"/>
      <c r="S1800" s="3" t="n"/>
      <c r="T1800" s="3" t="n"/>
      <c r="U1800" s="3" t="n"/>
      <c r="V1800" s="3" t="n"/>
      <c r="W1800" s="3" t="n"/>
      <c r="X1800" s="3" t="n"/>
      <c r="Y1800" s="3" t="n"/>
      <c r="Z1800" s="3" t="n"/>
      <c r="AA1800" s="3" t="n"/>
    </row>
    <row r="1801">
      <c r="A1801" s="105" t="n"/>
      <c r="B1801" s="105" t="n"/>
      <c r="C1801" s="3" t="n"/>
      <c r="D1801" s="3" t="n"/>
      <c r="E1801" s="3" t="n"/>
      <c r="F1801" s="3" t="n"/>
      <c r="G1801" s="3" t="n"/>
      <c r="H1801" s="3" t="inlineStr"/>
      <c r="I1801" s="3" t="n"/>
      <c r="J1801" s="3" t="n"/>
      <c r="K1801" s="3" t="n"/>
      <c r="L1801" s="3" t="inlineStr"/>
      <c r="M1801" s="3" t="n"/>
      <c r="N1801" s="3" t="inlineStr"/>
      <c r="O1801" s="3" t="n"/>
      <c r="P1801" s="3" t="n"/>
      <c r="Q1801" s="3" t="n"/>
      <c r="R1801" s="3" t="n"/>
      <c r="S1801" s="3" t="n"/>
      <c r="T1801" s="3" t="n"/>
      <c r="U1801" s="3" t="n"/>
      <c r="V1801" s="3" t="n"/>
      <c r="W1801" s="3" t="n"/>
      <c r="X1801" s="3" t="n"/>
      <c r="Y1801" s="3" t="n"/>
      <c r="Z1801" s="3" t="n"/>
      <c r="AA1801" s="3" t="n"/>
    </row>
    <row r="1802">
      <c r="A1802" s="105" t="n"/>
      <c r="B1802" s="105" t="n"/>
      <c r="C1802" s="3" t="n"/>
      <c r="D1802" s="3" t="n"/>
      <c r="E1802" s="3" t="n"/>
      <c r="F1802" s="3" t="n"/>
      <c r="G1802" s="3" t="n"/>
      <c r="H1802" s="3" t="inlineStr"/>
      <c r="I1802" s="3" t="n"/>
      <c r="J1802" s="3" t="n"/>
      <c r="K1802" s="3" t="n"/>
      <c r="L1802" s="3" t="inlineStr"/>
      <c r="M1802" s="3" t="n"/>
      <c r="N1802" s="3" t="inlineStr"/>
      <c r="O1802" s="3" t="n"/>
      <c r="P1802" s="3" t="n"/>
      <c r="Q1802" s="3" t="n"/>
      <c r="R1802" s="3" t="n"/>
      <c r="S1802" s="3" t="n"/>
      <c r="T1802" s="3" t="n"/>
      <c r="U1802" s="3" t="n"/>
      <c r="V1802" s="3" t="n"/>
      <c r="W1802" s="3" t="n"/>
      <c r="X1802" s="3" t="n"/>
      <c r="Y1802" s="3" t="n"/>
      <c r="Z1802" s="3" t="n"/>
      <c r="AA1802" s="3" t="n"/>
    </row>
    <row r="1803">
      <c r="A1803" s="105" t="n"/>
      <c r="B1803" s="105" t="n"/>
      <c r="C1803" s="3" t="n"/>
      <c r="D1803" s="3" t="n"/>
      <c r="E1803" s="3" t="n"/>
      <c r="F1803" s="3" t="n"/>
      <c r="G1803" s="3" t="n"/>
      <c r="H1803" s="3" t="inlineStr"/>
      <c r="I1803" s="3" t="n"/>
      <c r="J1803" s="3" t="n"/>
      <c r="K1803" s="3" t="n"/>
      <c r="L1803" s="3" t="inlineStr"/>
      <c r="M1803" s="3" t="n"/>
      <c r="N1803" s="3" t="inlineStr"/>
      <c r="O1803" s="3" t="n"/>
      <c r="P1803" s="3" t="n"/>
      <c r="Q1803" s="3" t="n"/>
      <c r="R1803" s="3" t="n"/>
      <c r="S1803" s="3" t="n"/>
      <c r="T1803" s="3" t="n"/>
      <c r="U1803" s="3" t="n"/>
      <c r="V1803" s="3" t="n"/>
      <c r="W1803" s="3" t="n"/>
      <c r="X1803" s="3" t="n"/>
      <c r="Y1803" s="3" t="n"/>
      <c r="Z1803" s="3" t="n"/>
      <c r="AA1803" s="3" t="n"/>
    </row>
    <row r="1804">
      <c r="A1804" s="105" t="n"/>
      <c r="B1804" s="105" t="n"/>
      <c r="C1804" s="3" t="n"/>
      <c r="D1804" s="3" t="n"/>
      <c r="E1804" s="3" t="n"/>
      <c r="F1804" s="3" t="n"/>
      <c r="G1804" s="3" t="n"/>
      <c r="H1804" s="3" t="inlineStr"/>
      <c r="I1804" s="3" t="n"/>
      <c r="J1804" s="3" t="n"/>
      <c r="K1804" s="3" t="n"/>
      <c r="L1804" s="3" t="inlineStr"/>
      <c r="M1804" s="3" t="n"/>
      <c r="N1804" s="3" t="inlineStr"/>
      <c r="O1804" s="3" t="n"/>
      <c r="P1804" s="3" t="n"/>
      <c r="Q1804" s="3" t="n"/>
      <c r="R1804" s="3" t="n"/>
      <c r="S1804" s="3" t="n"/>
      <c r="T1804" s="3" t="n"/>
      <c r="U1804" s="3" t="n"/>
      <c r="V1804" s="3" t="n"/>
      <c r="W1804" s="3" t="n"/>
      <c r="X1804" s="3" t="n"/>
      <c r="Y1804" s="3" t="n"/>
      <c r="Z1804" s="3" t="n"/>
      <c r="AA1804" s="3" t="n"/>
    </row>
    <row r="1805">
      <c r="A1805" s="105" t="n"/>
      <c r="B1805" s="105" t="n"/>
      <c r="C1805" s="3" t="n"/>
      <c r="D1805" s="3" t="n"/>
      <c r="E1805" s="3" t="n"/>
      <c r="F1805" s="3" t="n"/>
      <c r="G1805" s="3" t="n"/>
      <c r="H1805" s="3" t="inlineStr"/>
      <c r="I1805" s="3" t="n"/>
      <c r="J1805" s="3" t="n"/>
      <c r="K1805" s="3" t="n"/>
      <c r="L1805" s="3" t="inlineStr"/>
      <c r="M1805" s="3" t="n"/>
      <c r="N1805" s="3" t="inlineStr"/>
      <c r="O1805" s="3" t="n"/>
      <c r="P1805" s="3" t="n"/>
      <c r="Q1805" s="3" t="n"/>
      <c r="R1805" s="3" t="n"/>
      <c r="S1805" s="3" t="n"/>
      <c r="T1805" s="3" t="n"/>
      <c r="U1805" s="3" t="n"/>
      <c r="V1805" s="3" t="n"/>
      <c r="W1805" s="3" t="n"/>
      <c r="X1805" s="3" t="n"/>
      <c r="Y1805" s="3" t="n"/>
      <c r="Z1805" s="3" t="n"/>
      <c r="AA1805" s="3" t="n"/>
    </row>
    <row r="1806">
      <c r="A1806" s="105" t="n"/>
      <c r="B1806" s="105" t="n"/>
      <c r="C1806" s="3" t="n"/>
      <c r="D1806" s="3" t="n"/>
      <c r="E1806" s="3" t="n"/>
      <c r="F1806" s="3" t="n"/>
      <c r="G1806" s="3" t="n"/>
      <c r="H1806" s="3" t="inlineStr"/>
      <c r="I1806" s="3" t="n"/>
      <c r="J1806" s="3" t="n"/>
      <c r="K1806" s="3" t="n"/>
      <c r="L1806" s="3" t="inlineStr"/>
      <c r="M1806" s="3" t="n"/>
      <c r="N1806" s="3" t="inlineStr"/>
      <c r="O1806" s="3" t="n"/>
      <c r="P1806" s="3" t="n"/>
      <c r="Q1806" s="3" t="n"/>
      <c r="R1806" s="3" t="n"/>
      <c r="S1806" s="3" t="n"/>
      <c r="T1806" s="3" t="n"/>
      <c r="U1806" s="3" t="n"/>
      <c r="V1806" s="3" t="n"/>
      <c r="W1806" s="3" t="n"/>
      <c r="X1806" s="3" t="n"/>
      <c r="Y1806" s="3" t="n"/>
      <c r="Z1806" s="3" t="n"/>
      <c r="AA1806" s="3" t="n"/>
    </row>
    <row r="1807">
      <c r="A1807" s="105" t="n"/>
      <c r="B1807" s="105" t="n"/>
      <c r="C1807" s="3" t="n"/>
      <c r="D1807" s="3" t="n"/>
      <c r="E1807" s="3" t="n"/>
      <c r="F1807" s="3" t="n"/>
      <c r="G1807" s="3" t="n"/>
      <c r="H1807" s="3" t="inlineStr"/>
      <c r="I1807" s="3" t="n"/>
      <c r="J1807" s="3" t="n"/>
      <c r="K1807" s="3" t="n"/>
      <c r="L1807" s="3" t="inlineStr"/>
      <c r="M1807" s="3" t="n"/>
      <c r="N1807" s="3" t="inlineStr"/>
      <c r="O1807" s="3" t="n"/>
      <c r="P1807" s="3" t="n"/>
      <c r="Q1807" s="3" t="n"/>
      <c r="R1807" s="3" t="n"/>
      <c r="S1807" s="3" t="n"/>
      <c r="T1807" s="3" t="n"/>
      <c r="U1807" s="3" t="n"/>
      <c r="V1807" s="3" t="n"/>
      <c r="W1807" s="3" t="n"/>
      <c r="X1807" s="3" t="n"/>
      <c r="Y1807" s="3" t="n"/>
      <c r="Z1807" s="3" t="n"/>
      <c r="AA1807" s="3" t="n"/>
    </row>
    <row r="1808">
      <c r="A1808" s="105" t="n"/>
      <c r="B1808" s="105" t="n"/>
      <c r="C1808" s="3" t="n"/>
      <c r="D1808" s="3" t="n"/>
      <c r="E1808" s="3" t="n"/>
      <c r="F1808" s="3" t="n"/>
      <c r="G1808" s="3" t="n"/>
      <c r="H1808" s="3" t="inlineStr"/>
      <c r="I1808" s="3" t="n"/>
      <c r="J1808" s="3" t="n"/>
      <c r="K1808" s="3" t="n"/>
      <c r="L1808" s="3" t="inlineStr"/>
      <c r="M1808" s="3" t="n"/>
      <c r="N1808" s="3" t="inlineStr"/>
      <c r="O1808" s="3" t="n"/>
      <c r="P1808" s="3" t="n"/>
      <c r="Q1808" s="3" t="n"/>
      <c r="R1808" s="3" t="n"/>
      <c r="S1808" s="3" t="n"/>
      <c r="T1808" s="3" t="n"/>
      <c r="U1808" s="3" t="n"/>
      <c r="V1808" s="3" t="n"/>
      <c r="W1808" s="3" t="n"/>
      <c r="X1808" s="3" t="n"/>
      <c r="Y1808" s="3" t="n"/>
      <c r="Z1808" s="3" t="n"/>
      <c r="AA1808" s="3" t="n"/>
    </row>
    <row r="1809">
      <c r="A1809" s="105" t="n"/>
      <c r="B1809" s="105" t="n"/>
      <c r="C1809" s="3" t="n"/>
      <c r="D1809" s="3" t="n"/>
      <c r="E1809" s="3" t="n"/>
      <c r="F1809" s="3" t="n"/>
      <c r="G1809" s="3" t="n"/>
      <c r="H1809" s="3" t="inlineStr"/>
      <c r="I1809" s="3" t="n"/>
      <c r="J1809" s="3" t="n"/>
      <c r="K1809" s="3" t="n"/>
      <c r="L1809" s="3" t="inlineStr"/>
      <c r="M1809" s="3" t="n"/>
      <c r="N1809" s="3" t="inlineStr"/>
      <c r="O1809" s="3" t="n"/>
      <c r="P1809" s="3" t="n"/>
      <c r="Q1809" s="3" t="n"/>
      <c r="R1809" s="3" t="n"/>
      <c r="S1809" s="3" t="n"/>
      <c r="T1809" s="3" t="n"/>
      <c r="U1809" s="3" t="n"/>
      <c r="V1809" s="3" t="n"/>
      <c r="W1809" s="3" t="n"/>
      <c r="X1809" s="3" t="n"/>
      <c r="Y1809" s="3" t="n"/>
      <c r="Z1809" s="3" t="n"/>
      <c r="AA1809" s="3" t="n"/>
    </row>
    <row r="1810">
      <c r="A1810" s="105" t="n"/>
      <c r="B1810" s="105" t="n"/>
      <c r="C1810" s="3" t="n"/>
      <c r="D1810" s="3" t="n"/>
      <c r="E1810" s="3" t="n"/>
      <c r="F1810" s="3" t="n"/>
      <c r="G1810" s="3" t="n"/>
      <c r="H1810" s="3" t="inlineStr"/>
      <c r="I1810" s="3" t="n"/>
      <c r="J1810" s="3" t="n"/>
      <c r="K1810" s="3" t="n"/>
      <c r="L1810" s="3" t="inlineStr"/>
      <c r="M1810" s="3" t="n"/>
      <c r="N1810" s="3" t="inlineStr"/>
      <c r="O1810" s="3" t="n"/>
      <c r="P1810" s="3" t="n"/>
      <c r="Q1810" s="3" t="n"/>
      <c r="R1810" s="3" t="n"/>
      <c r="S1810" s="3" t="n"/>
      <c r="T1810" s="3" t="n"/>
      <c r="U1810" s="3" t="n"/>
      <c r="V1810" s="3" t="n"/>
      <c r="W1810" s="3" t="n"/>
      <c r="X1810" s="3" t="n"/>
      <c r="Y1810" s="3" t="n"/>
      <c r="Z1810" s="3" t="n"/>
      <c r="AA1810" s="3" t="n"/>
    </row>
    <row r="1811">
      <c r="A1811" s="105" t="n"/>
      <c r="B1811" s="105" t="n"/>
      <c r="C1811" s="3" t="n"/>
      <c r="D1811" s="3" t="n"/>
      <c r="E1811" s="3" t="n"/>
      <c r="F1811" s="3" t="n"/>
      <c r="G1811" s="3" t="n"/>
      <c r="H1811" s="3" t="inlineStr"/>
      <c r="I1811" s="3" t="n"/>
      <c r="J1811" s="3" t="n"/>
      <c r="K1811" s="3" t="n"/>
      <c r="L1811" s="3" t="inlineStr"/>
      <c r="M1811" s="3" t="n"/>
      <c r="N1811" s="3" t="inlineStr"/>
      <c r="O1811" s="3" t="n"/>
      <c r="P1811" s="3" t="n"/>
      <c r="Q1811" s="3" t="n"/>
      <c r="R1811" s="3" t="n"/>
      <c r="S1811" s="3" t="n"/>
      <c r="T1811" s="3" t="n"/>
      <c r="U1811" s="3" t="n"/>
      <c r="V1811" s="3" t="n"/>
      <c r="W1811" s="3" t="n"/>
      <c r="X1811" s="3" t="n"/>
      <c r="Y1811" s="3" t="n"/>
      <c r="Z1811" s="3" t="n"/>
      <c r="AA1811" s="3" t="n"/>
    </row>
    <row r="1812">
      <c r="A1812" s="105" t="n"/>
      <c r="B1812" s="105" t="n"/>
      <c r="C1812" s="3" t="n"/>
      <c r="D1812" s="3" t="n"/>
      <c r="E1812" s="3" t="n"/>
      <c r="F1812" s="3" t="n"/>
      <c r="G1812" s="3" t="n"/>
      <c r="H1812" s="3" t="inlineStr"/>
      <c r="I1812" s="3" t="n"/>
      <c r="J1812" s="3" t="n"/>
      <c r="K1812" s="3" t="n"/>
      <c r="L1812" s="3" t="inlineStr"/>
      <c r="M1812" s="3" t="n"/>
      <c r="N1812" s="3" t="inlineStr"/>
      <c r="O1812" s="3" t="n"/>
      <c r="P1812" s="3" t="n"/>
      <c r="Q1812" s="3" t="n"/>
      <c r="R1812" s="3" t="n"/>
      <c r="S1812" s="3" t="n"/>
      <c r="T1812" s="3" t="n"/>
      <c r="U1812" s="3" t="n"/>
      <c r="V1812" s="3" t="n"/>
      <c r="W1812" s="3" t="n"/>
      <c r="X1812" s="3" t="n"/>
      <c r="Y1812" s="3" t="n"/>
      <c r="Z1812" s="3" t="n"/>
      <c r="AA1812" s="3" t="n"/>
    </row>
    <row r="1813">
      <c r="A1813" s="105" t="n"/>
      <c r="B1813" s="105" t="n"/>
      <c r="C1813" s="3" t="n"/>
      <c r="D1813" s="3" t="n"/>
      <c r="E1813" s="3" t="n"/>
      <c r="F1813" s="3" t="n"/>
      <c r="G1813" s="3" t="n"/>
      <c r="H1813" s="3" t="inlineStr"/>
      <c r="I1813" s="3" t="n"/>
      <c r="J1813" s="3" t="n"/>
      <c r="K1813" s="3" t="n"/>
      <c r="L1813" s="3" t="inlineStr"/>
      <c r="M1813" s="3" t="n"/>
      <c r="N1813" s="3" t="inlineStr"/>
      <c r="O1813" s="3" t="n"/>
      <c r="P1813" s="3" t="n"/>
      <c r="Q1813" s="3" t="n"/>
      <c r="R1813" s="3" t="n"/>
      <c r="S1813" s="3" t="n"/>
      <c r="T1813" s="3" t="n"/>
      <c r="U1813" s="3" t="n"/>
      <c r="V1813" s="3" t="n"/>
      <c r="W1813" s="3" t="n"/>
      <c r="X1813" s="3" t="n"/>
      <c r="Y1813" s="3" t="n"/>
      <c r="Z1813" s="3" t="n"/>
      <c r="AA1813" s="3" t="n"/>
    </row>
    <row r="1814">
      <c r="A1814" s="105" t="n"/>
      <c r="B1814" s="105" t="n"/>
      <c r="C1814" s="3" t="n"/>
      <c r="D1814" s="3" t="n"/>
      <c r="E1814" s="3" t="n"/>
      <c r="F1814" s="3" t="n"/>
      <c r="G1814" s="3" t="n"/>
      <c r="H1814" s="3" t="inlineStr"/>
      <c r="I1814" s="3" t="n"/>
      <c r="J1814" s="3" t="n"/>
      <c r="K1814" s="3" t="n"/>
      <c r="L1814" s="3" t="inlineStr"/>
      <c r="M1814" s="3" t="n"/>
      <c r="N1814" s="3" t="inlineStr"/>
      <c r="O1814" s="3" t="n"/>
      <c r="P1814" s="3" t="n"/>
      <c r="Q1814" s="3" t="n"/>
      <c r="R1814" s="3" t="n"/>
      <c r="S1814" s="3" t="n"/>
      <c r="T1814" s="3" t="n"/>
      <c r="U1814" s="3" t="n"/>
      <c r="V1814" s="3" t="n"/>
      <c r="W1814" s="3" t="n"/>
      <c r="X1814" s="3" t="n"/>
      <c r="Y1814" s="3" t="n"/>
      <c r="Z1814" s="3" t="n"/>
      <c r="AA1814" s="3" t="n"/>
    </row>
    <row r="1815">
      <c r="A1815" s="105" t="n"/>
      <c r="B1815" s="105" t="n"/>
      <c r="C1815" s="3" t="n"/>
      <c r="D1815" s="3" t="n"/>
      <c r="E1815" s="3" t="n"/>
      <c r="F1815" s="3" t="n"/>
      <c r="G1815" s="3" t="n"/>
      <c r="H1815" s="3" t="inlineStr"/>
      <c r="I1815" s="3" t="n"/>
      <c r="J1815" s="3" t="n"/>
      <c r="K1815" s="3" t="n"/>
      <c r="L1815" s="3" t="inlineStr"/>
      <c r="M1815" s="3" t="n"/>
      <c r="N1815" s="3" t="inlineStr"/>
      <c r="O1815" s="3" t="n"/>
      <c r="P1815" s="3" t="n"/>
      <c r="Q1815" s="3" t="n"/>
      <c r="R1815" s="3" t="n"/>
      <c r="S1815" s="3" t="n"/>
      <c r="T1815" s="3" t="n"/>
      <c r="U1815" s="3" t="n"/>
      <c r="V1815" s="3" t="n"/>
      <c r="W1815" s="3" t="n"/>
      <c r="X1815" s="3" t="n"/>
      <c r="Y1815" s="3" t="n"/>
      <c r="Z1815" s="3" t="n"/>
      <c r="AA1815" s="3" t="n"/>
    </row>
    <row r="1816">
      <c r="A1816" s="105" t="n"/>
      <c r="B1816" s="105" t="n"/>
      <c r="C1816" s="3" t="n"/>
      <c r="D1816" s="3" t="n"/>
      <c r="E1816" s="3" t="n"/>
      <c r="F1816" s="3" t="n"/>
      <c r="G1816" s="3" t="n"/>
      <c r="H1816" s="3" t="inlineStr"/>
      <c r="I1816" s="3" t="n"/>
      <c r="J1816" s="3" t="n"/>
      <c r="K1816" s="3" t="n"/>
      <c r="L1816" s="3" t="inlineStr"/>
      <c r="M1816" s="3" t="n"/>
      <c r="N1816" s="3" t="inlineStr"/>
      <c r="O1816" s="3" t="n"/>
      <c r="P1816" s="3" t="n"/>
      <c r="Q1816" s="3" t="n"/>
      <c r="R1816" s="3" t="n"/>
      <c r="S1816" s="3" t="n"/>
      <c r="T1816" s="3" t="n"/>
      <c r="U1816" s="3" t="n"/>
      <c r="V1816" s="3" t="n"/>
      <c r="W1816" s="3" t="n"/>
      <c r="X1816" s="3" t="n"/>
      <c r="Y1816" s="3" t="n"/>
      <c r="Z1816" s="3" t="n"/>
      <c r="AA1816" s="3" t="n"/>
    </row>
    <row r="1817">
      <c r="A1817" s="105" t="n"/>
      <c r="B1817" s="105" t="n"/>
      <c r="C1817" s="3" t="n"/>
      <c r="D1817" s="3" t="n"/>
      <c r="E1817" s="3" t="n"/>
      <c r="F1817" s="3" t="n"/>
      <c r="G1817" s="3" t="n"/>
      <c r="H1817" s="3" t="inlineStr"/>
      <c r="I1817" s="3" t="n"/>
      <c r="J1817" s="3" t="n"/>
      <c r="K1817" s="3" t="n"/>
      <c r="L1817" s="3" t="inlineStr"/>
      <c r="M1817" s="3" t="n"/>
      <c r="N1817" s="3" t="inlineStr"/>
      <c r="O1817" s="3" t="n"/>
      <c r="P1817" s="3" t="n"/>
      <c r="Q1817" s="3" t="n"/>
      <c r="R1817" s="3" t="n"/>
      <c r="S1817" s="3" t="n"/>
      <c r="T1817" s="3" t="n"/>
      <c r="U1817" s="3" t="n"/>
      <c r="V1817" s="3" t="n"/>
      <c r="W1817" s="3" t="n"/>
      <c r="X1817" s="3" t="n"/>
      <c r="Y1817" s="3" t="n"/>
      <c r="Z1817" s="3" t="n"/>
      <c r="AA1817" s="3" t="n"/>
    </row>
    <row r="1818">
      <c r="A1818" s="105" t="n"/>
      <c r="B1818" s="105" t="n"/>
      <c r="C1818" s="3" t="n"/>
      <c r="D1818" s="3" t="n"/>
      <c r="E1818" s="3" t="n"/>
      <c r="F1818" s="3" t="n"/>
      <c r="G1818" s="3" t="n"/>
      <c r="H1818" s="3" t="inlineStr"/>
      <c r="I1818" s="3" t="n"/>
      <c r="J1818" s="3" t="n"/>
      <c r="K1818" s="3" t="n"/>
      <c r="L1818" s="3" t="inlineStr"/>
      <c r="M1818" s="3" t="n"/>
      <c r="N1818" s="3" t="inlineStr"/>
      <c r="O1818" s="3" t="n"/>
      <c r="P1818" s="3" t="n"/>
      <c r="Q1818" s="3" t="n"/>
      <c r="R1818" s="3" t="n"/>
      <c r="S1818" s="3" t="n"/>
      <c r="T1818" s="3" t="n"/>
      <c r="U1818" s="3" t="n"/>
      <c r="V1818" s="3" t="n"/>
      <c r="W1818" s="3" t="n"/>
      <c r="X1818" s="3" t="n"/>
      <c r="Y1818" s="3" t="n"/>
      <c r="Z1818" s="3" t="n"/>
      <c r="AA1818" s="3" t="n"/>
    </row>
    <row r="1819">
      <c r="A1819" s="105" t="n"/>
      <c r="B1819" s="105" t="n"/>
      <c r="C1819" s="3" t="n"/>
      <c r="D1819" s="3" t="n"/>
      <c r="E1819" s="3" t="n"/>
      <c r="F1819" s="3" t="n"/>
      <c r="G1819" s="3" t="n"/>
      <c r="H1819" s="3" t="inlineStr"/>
      <c r="I1819" s="3" t="n"/>
      <c r="J1819" s="3" t="n"/>
      <c r="K1819" s="3" t="n"/>
      <c r="L1819" s="3" t="inlineStr"/>
      <c r="M1819" s="3" t="n"/>
      <c r="N1819" s="3" t="inlineStr"/>
      <c r="O1819" s="3" t="n"/>
      <c r="P1819" s="3" t="n"/>
      <c r="Q1819" s="3" t="n"/>
      <c r="R1819" s="3" t="n"/>
      <c r="S1819" s="3" t="n"/>
      <c r="T1819" s="3" t="n"/>
      <c r="U1819" s="3" t="n"/>
      <c r="V1819" s="3" t="n"/>
      <c r="W1819" s="3" t="n"/>
      <c r="X1819" s="3" t="n"/>
      <c r="Y1819" s="3" t="n"/>
      <c r="Z1819" s="3" t="n"/>
      <c r="AA1819" s="3" t="n"/>
    </row>
    <row r="1820">
      <c r="A1820" s="105" t="n"/>
      <c r="B1820" s="105" t="n"/>
      <c r="C1820" s="3" t="n"/>
      <c r="D1820" s="3" t="n"/>
      <c r="E1820" s="3" t="n"/>
      <c r="F1820" s="3" t="n"/>
      <c r="G1820" s="3" t="n"/>
      <c r="H1820" s="3" t="inlineStr"/>
      <c r="I1820" s="3" t="n"/>
      <c r="J1820" s="3" t="n"/>
      <c r="K1820" s="3" t="n"/>
      <c r="L1820" s="3" t="inlineStr"/>
      <c r="M1820" s="3" t="n"/>
      <c r="N1820" s="3" t="inlineStr"/>
      <c r="O1820" s="3" t="n"/>
      <c r="P1820" s="3" t="n"/>
      <c r="Q1820" s="3" t="n"/>
      <c r="R1820" s="3" t="n"/>
      <c r="S1820" s="3" t="n"/>
      <c r="T1820" s="3" t="n"/>
      <c r="U1820" s="3" t="n"/>
      <c r="V1820" s="3" t="n"/>
      <c r="W1820" s="3" t="n"/>
      <c r="X1820" s="3" t="n"/>
      <c r="Y1820" s="3" t="n"/>
      <c r="Z1820" s="3" t="n"/>
      <c r="AA1820" s="3" t="n"/>
    </row>
    <row r="1821">
      <c r="A1821" s="105" t="n"/>
      <c r="B1821" s="105" t="n"/>
      <c r="C1821" s="3" t="n"/>
      <c r="D1821" s="3" t="n"/>
      <c r="E1821" s="3" t="n"/>
      <c r="F1821" s="3" t="n"/>
      <c r="G1821" s="3" t="n"/>
      <c r="H1821" s="3" t="inlineStr"/>
      <c r="I1821" s="3" t="n"/>
      <c r="J1821" s="3" t="n"/>
      <c r="K1821" s="3" t="n"/>
      <c r="L1821" s="3" t="inlineStr"/>
      <c r="M1821" s="3" t="n"/>
      <c r="N1821" s="3" t="inlineStr"/>
      <c r="O1821" s="3" t="n"/>
      <c r="P1821" s="3" t="n"/>
      <c r="Q1821" s="3" t="n"/>
      <c r="R1821" s="3" t="n"/>
      <c r="S1821" s="3" t="n"/>
      <c r="T1821" s="3" t="n"/>
      <c r="U1821" s="3" t="n"/>
      <c r="V1821" s="3" t="n"/>
      <c r="W1821" s="3" t="n"/>
      <c r="X1821" s="3" t="n"/>
      <c r="Y1821" s="3" t="n"/>
      <c r="Z1821" s="3" t="n"/>
      <c r="AA1821" s="3" t="n"/>
    </row>
    <row r="1822">
      <c r="A1822" s="105" t="n"/>
      <c r="B1822" s="105" t="n"/>
      <c r="C1822" s="3" t="n"/>
      <c r="D1822" s="3" t="n"/>
      <c r="E1822" s="3" t="n"/>
      <c r="F1822" s="3" t="n"/>
      <c r="G1822" s="3" t="n"/>
      <c r="H1822" s="3" t="inlineStr"/>
      <c r="I1822" s="3" t="n"/>
      <c r="J1822" s="3" t="n"/>
      <c r="K1822" s="3" t="n"/>
      <c r="L1822" s="3" t="inlineStr"/>
      <c r="M1822" s="3" t="n"/>
      <c r="N1822" s="3" t="inlineStr"/>
      <c r="O1822" s="3" t="n"/>
      <c r="P1822" s="3" t="n"/>
      <c r="Q1822" s="3" t="n"/>
      <c r="R1822" s="3" t="n"/>
      <c r="S1822" s="3" t="n"/>
      <c r="T1822" s="3" t="n"/>
      <c r="U1822" s="3" t="n"/>
      <c r="V1822" s="3" t="n"/>
      <c r="W1822" s="3" t="n"/>
      <c r="X1822" s="3" t="n"/>
      <c r="Y1822" s="3" t="n"/>
      <c r="Z1822" s="3" t="n"/>
      <c r="AA1822" s="3" t="n"/>
    </row>
    <row r="1823">
      <c r="A1823" s="105" t="n"/>
      <c r="B1823" s="105" t="n"/>
      <c r="C1823" s="3" t="n"/>
      <c r="D1823" s="3" t="n"/>
      <c r="E1823" s="3" t="n"/>
      <c r="F1823" s="3" t="n"/>
      <c r="G1823" s="3" t="n"/>
      <c r="H1823" s="3" t="inlineStr"/>
      <c r="I1823" s="3" t="n"/>
      <c r="J1823" s="3" t="n"/>
      <c r="K1823" s="3" t="n"/>
      <c r="L1823" s="3" t="inlineStr"/>
      <c r="M1823" s="3" t="n"/>
      <c r="N1823" s="3" t="inlineStr"/>
      <c r="O1823" s="3" t="n"/>
      <c r="P1823" s="3" t="n"/>
      <c r="Q1823" s="3" t="n"/>
      <c r="R1823" s="3" t="n"/>
      <c r="S1823" s="3" t="n"/>
      <c r="T1823" s="3" t="n"/>
      <c r="U1823" s="3" t="n"/>
      <c r="V1823" s="3" t="n"/>
      <c r="W1823" s="3" t="n"/>
      <c r="X1823" s="3" t="n"/>
      <c r="Y1823" s="3" t="n"/>
      <c r="Z1823" s="3" t="n"/>
      <c r="AA1823" s="3" t="n"/>
    </row>
    <row r="1824">
      <c r="A1824" s="105" t="n"/>
      <c r="B1824" s="105" t="n"/>
      <c r="C1824" s="3" t="n"/>
      <c r="D1824" s="3" t="n"/>
      <c r="E1824" s="3" t="n"/>
      <c r="F1824" s="3" t="n"/>
      <c r="G1824" s="3" t="n"/>
      <c r="H1824" s="3" t="inlineStr"/>
      <c r="I1824" s="3" t="n"/>
      <c r="J1824" s="3" t="n"/>
      <c r="K1824" s="3" t="n"/>
      <c r="L1824" s="3" t="inlineStr"/>
      <c r="M1824" s="3" t="n"/>
      <c r="N1824" s="3" t="inlineStr"/>
      <c r="O1824" s="3" t="n"/>
      <c r="P1824" s="3" t="n"/>
      <c r="Q1824" s="3" t="n"/>
      <c r="R1824" s="3" t="n"/>
      <c r="S1824" s="3" t="n"/>
      <c r="T1824" s="3" t="n"/>
      <c r="U1824" s="3" t="n"/>
      <c r="V1824" s="3" t="n"/>
      <c r="W1824" s="3" t="n"/>
      <c r="X1824" s="3" t="n"/>
      <c r="Y1824" s="3" t="n"/>
      <c r="Z1824" s="3" t="n"/>
      <c r="AA1824" s="3" t="n"/>
    </row>
    <row r="1825">
      <c r="A1825" s="105" t="n"/>
      <c r="B1825" s="105" t="n"/>
      <c r="C1825" s="3" t="n"/>
      <c r="D1825" s="3" t="n"/>
      <c r="E1825" s="3" t="n"/>
      <c r="F1825" s="3" t="n"/>
      <c r="G1825" s="3" t="n"/>
      <c r="H1825" s="3" t="inlineStr"/>
      <c r="I1825" s="3" t="n"/>
      <c r="J1825" s="3" t="n"/>
      <c r="K1825" s="3" t="n"/>
      <c r="L1825" s="3" t="inlineStr"/>
      <c r="M1825" s="3" t="n"/>
      <c r="N1825" s="3" t="inlineStr"/>
      <c r="O1825" s="3" t="n"/>
      <c r="P1825" s="3" t="n"/>
      <c r="Q1825" s="3" t="n"/>
      <c r="R1825" s="3" t="n"/>
      <c r="S1825" s="3" t="n"/>
      <c r="T1825" s="3" t="n"/>
      <c r="U1825" s="3" t="n"/>
      <c r="V1825" s="3" t="n"/>
      <c r="W1825" s="3" t="n"/>
      <c r="X1825" s="3" t="n"/>
      <c r="Y1825" s="3" t="n"/>
      <c r="Z1825" s="3" t="n"/>
      <c r="AA1825" s="3" t="n"/>
    </row>
    <row r="1826">
      <c r="A1826" s="105" t="n"/>
      <c r="B1826" s="105" t="n"/>
      <c r="C1826" s="3" t="n"/>
      <c r="D1826" s="3" t="n"/>
      <c r="E1826" s="3" t="n"/>
      <c r="F1826" s="3" t="n"/>
      <c r="G1826" s="3" t="n"/>
      <c r="H1826" s="3" t="inlineStr"/>
      <c r="I1826" s="3" t="n"/>
      <c r="J1826" s="3" t="n"/>
      <c r="K1826" s="3" t="n"/>
      <c r="L1826" s="3" t="inlineStr"/>
      <c r="M1826" s="3" t="n"/>
      <c r="N1826" s="3" t="inlineStr"/>
      <c r="O1826" s="3" t="n"/>
      <c r="P1826" s="3" t="n"/>
      <c r="Q1826" s="3" t="n"/>
      <c r="R1826" s="3" t="n"/>
      <c r="S1826" s="3" t="n"/>
      <c r="T1826" s="3" t="n"/>
      <c r="U1826" s="3" t="n"/>
      <c r="V1826" s="3" t="n"/>
      <c r="W1826" s="3" t="n"/>
      <c r="X1826" s="3" t="n"/>
      <c r="Y1826" s="3" t="n"/>
      <c r="Z1826" s="3" t="n"/>
      <c r="AA1826" s="3" t="n"/>
    </row>
    <row r="1827">
      <c r="A1827" s="105" t="n"/>
      <c r="B1827" s="105" t="n"/>
      <c r="C1827" s="3" t="n"/>
      <c r="D1827" s="3" t="n"/>
      <c r="E1827" s="3" t="n"/>
      <c r="F1827" s="3" t="n"/>
      <c r="G1827" s="3" t="n"/>
      <c r="H1827" s="3" t="inlineStr"/>
      <c r="I1827" s="3" t="n"/>
      <c r="J1827" s="3" t="n"/>
      <c r="K1827" s="3" t="n"/>
      <c r="L1827" s="3" t="inlineStr"/>
      <c r="M1827" s="3" t="n"/>
      <c r="N1827" s="3" t="inlineStr"/>
      <c r="O1827" s="3" t="n"/>
      <c r="P1827" s="3" t="n"/>
      <c r="Q1827" s="3" t="n"/>
      <c r="R1827" s="3" t="n"/>
      <c r="S1827" s="3" t="n"/>
      <c r="T1827" s="3" t="n"/>
      <c r="U1827" s="3" t="n"/>
      <c r="V1827" s="3" t="n"/>
      <c r="W1827" s="3" t="n"/>
      <c r="X1827" s="3" t="n"/>
      <c r="Y1827" s="3" t="n"/>
      <c r="Z1827" s="3" t="n"/>
      <c r="AA1827" s="3" t="n"/>
    </row>
    <row r="1828">
      <c r="A1828" s="105" t="n"/>
      <c r="B1828" s="105" t="n"/>
      <c r="C1828" s="3" t="n"/>
      <c r="D1828" s="3" t="n"/>
      <c r="E1828" s="3" t="n"/>
      <c r="F1828" s="3" t="n"/>
      <c r="G1828" s="3" t="n"/>
      <c r="H1828" s="3" t="inlineStr"/>
      <c r="I1828" s="3" t="n"/>
      <c r="J1828" s="3" t="n"/>
      <c r="K1828" s="3" t="n"/>
      <c r="L1828" s="3" t="inlineStr"/>
      <c r="M1828" s="3" t="n"/>
      <c r="N1828" s="3" t="inlineStr"/>
      <c r="O1828" s="3" t="n"/>
      <c r="P1828" s="3" t="n"/>
      <c r="Q1828" s="3" t="n"/>
      <c r="R1828" s="3" t="n"/>
      <c r="S1828" s="3" t="n"/>
      <c r="T1828" s="3" t="n"/>
      <c r="U1828" s="3" t="n"/>
      <c r="V1828" s="3" t="n"/>
      <c r="W1828" s="3" t="n"/>
      <c r="X1828" s="3" t="n"/>
      <c r="Y1828" s="3" t="n"/>
      <c r="Z1828" s="3" t="n"/>
      <c r="AA1828" s="3" t="n"/>
    </row>
    <row r="1829">
      <c r="A1829" s="105" t="n"/>
      <c r="B1829" s="105" t="n"/>
      <c r="C1829" s="3" t="n"/>
      <c r="D1829" s="3" t="n"/>
      <c r="E1829" s="3" t="n"/>
      <c r="F1829" s="3" t="n"/>
      <c r="G1829" s="3" t="n"/>
      <c r="H1829" s="3" t="inlineStr"/>
      <c r="I1829" s="3" t="n"/>
      <c r="J1829" s="3" t="n"/>
      <c r="K1829" s="3" t="n"/>
      <c r="L1829" s="3" t="inlineStr"/>
      <c r="M1829" s="3" t="n"/>
      <c r="N1829" s="3" t="inlineStr"/>
      <c r="O1829" s="3" t="n"/>
      <c r="P1829" s="3" t="n"/>
      <c r="Q1829" s="3" t="n"/>
      <c r="R1829" s="3" t="n"/>
      <c r="S1829" s="3" t="n"/>
      <c r="T1829" s="3" t="n"/>
      <c r="U1829" s="3" t="n"/>
      <c r="V1829" s="3" t="n"/>
      <c r="W1829" s="3" t="n"/>
      <c r="X1829" s="3" t="n"/>
      <c r="Y1829" s="3" t="n"/>
      <c r="Z1829" s="3" t="n"/>
      <c r="AA1829" s="3" t="n"/>
    </row>
    <row r="1830">
      <c r="A1830" s="105" t="n"/>
      <c r="B1830" s="105" t="n"/>
      <c r="C1830" s="3" t="n"/>
      <c r="D1830" s="3" t="n"/>
      <c r="E1830" s="3" t="n"/>
      <c r="F1830" s="3" t="n"/>
      <c r="G1830" s="3" t="n"/>
      <c r="H1830" s="3" t="inlineStr"/>
      <c r="I1830" s="3" t="n"/>
      <c r="J1830" s="3" t="n"/>
      <c r="K1830" s="3" t="n"/>
      <c r="L1830" s="3" t="inlineStr"/>
      <c r="M1830" s="3" t="n"/>
      <c r="N1830" s="3" t="inlineStr"/>
      <c r="O1830" s="3" t="n"/>
      <c r="P1830" s="3" t="n"/>
      <c r="Q1830" s="3" t="n"/>
      <c r="R1830" s="3" t="n"/>
      <c r="S1830" s="3" t="n"/>
      <c r="T1830" s="3" t="n"/>
      <c r="U1830" s="3" t="n"/>
      <c r="V1830" s="3" t="n"/>
      <c r="W1830" s="3" t="n"/>
      <c r="X1830" s="3" t="n"/>
      <c r="Y1830" s="3" t="n"/>
      <c r="Z1830" s="3" t="n"/>
      <c r="AA1830" s="3" t="n"/>
    </row>
    <row r="1831">
      <c r="A1831" s="105" t="n"/>
      <c r="B1831" s="105" t="n"/>
      <c r="C1831" s="3" t="n"/>
      <c r="D1831" s="3" t="n"/>
      <c r="E1831" s="3" t="n"/>
      <c r="F1831" s="3" t="n"/>
      <c r="G1831" s="3" t="n"/>
      <c r="H1831" s="3" t="inlineStr"/>
      <c r="I1831" s="3" t="n"/>
      <c r="J1831" s="3" t="n"/>
      <c r="K1831" s="3" t="n"/>
      <c r="L1831" s="3" t="inlineStr"/>
      <c r="M1831" s="3" t="n"/>
      <c r="N1831" s="3" t="inlineStr"/>
      <c r="O1831" s="3" t="n"/>
      <c r="P1831" s="3" t="n"/>
      <c r="Q1831" s="3" t="n"/>
      <c r="R1831" s="3" t="n"/>
      <c r="S1831" s="3" t="n"/>
      <c r="T1831" s="3" t="n"/>
      <c r="U1831" s="3" t="n"/>
      <c r="V1831" s="3" t="n"/>
      <c r="W1831" s="3" t="n"/>
      <c r="X1831" s="3" t="n"/>
      <c r="Y1831" s="3" t="n"/>
      <c r="Z1831" s="3" t="n"/>
      <c r="AA1831" s="3" t="n"/>
    </row>
    <row r="1832">
      <c r="A1832" s="105" t="n"/>
      <c r="B1832" s="105" t="n"/>
      <c r="C1832" s="3" t="n"/>
      <c r="D1832" s="3" t="n"/>
      <c r="E1832" s="3" t="n"/>
      <c r="F1832" s="3" t="n"/>
      <c r="G1832" s="3" t="n"/>
      <c r="H1832" s="3" t="inlineStr"/>
      <c r="I1832" s="3" t="n"/>
      <c r="J1832" s="3" t="n"/>
      <c r="K1832" s="3" t="n"/>
      <c r="L1832" s="3" t="inlineStr"/>
      <c r="M1832" s="3" t="n"/>
      <c r="N1832" s="3" t="inlineStr"/>
      <c r="O1832" s="3" t="n"/>
      <c r="P1832" s="3" t="n"/>
      <c r="Q1832" s="3" t="n"/>
      <c r="R1832" s="3" t="n"/>
      <c r="S1832" s="3" t="n"/>
      <c r="T1832" s="3" t="n"/>
      <c r="U1832" s="3" t="n"/>
      <c r="V1832" s="3" t="n"/>
      <c r="W1832" s="3" t="n"/>
      <c r="X1832" s="3" t="n"/>
      <c r="Y1832" s="3" t="n"/>
      <c r="Z1832" s="3" t="n"/>
      <c r="AA1832" s="3" t="n"/>
    </row>
    <row r="1833">
      <c r="A1833" s="105" t="n"/>
      <c r="B1833" s="105" t="n"/>
      <c r="C1833" s="3" t="n"/>
      <c r="D1833" s="3" t="n"/>
      <c r="E1833" s="3" t="n"/>
      <c r="F1833" s="3" t="n"/>
      <c r="G1833" s="3" t="n"/>
      <c r="H1833" s="3" t="inlineStr"/>
      <c r="I1833" s="3" t="n"/>
      <c r="J1833" s="3" t="n"/>
      <c r="K1833" s="3" t="n"/>
      <c r="L1833" s="3" t="inlineStr"/>
      <c r="M1833" s="3" t="n"/>
      <c r="N1833" s="3" t="inlineStr"/>
      <c r="O1833" s="3" t="n"/>
      <c r="P1833" s="3" t="n"/>
      <c r="Q1833" s="3" t="n"/>
      <c r="R1833" s="3" t="n"/>
      <c r="S1833" s="3" t="n"/>
      <c r="T1833" s="3" t="n"/>
      <c r="U1833" s="3" t="n"/>
      <c r="V1833" s="3" t="n"/>
      <c r="W1833" s="3" t="n"/>
      <c r="X1833" s="3" t="n"/>
      <c r="Y1833" s="3" t="n"/>
      <c r="Z1833" s="3" t="n"/>
      <c r="AA1833" s="3" t="n"/>
    </row>
    <row r="1834">
      <c r="A1834" s="105" t="n"/>
      <c r="B1834" s="105" t="n"/>
      <c r="C1834" s="3" t="n"/>
      <c r="D1834" s="3" t="n"/>
      <c r="E1834" s="3" t="n"/>
      <c r="F1834" s="3" t="n"/>
      <c r="G1834" s="3" t="n"/>
      <c r="H1834" s="3" t="inlineStr"/>
      <c r="I1834" s="3" t="n"/>
      <c r="J1834" s="3" t="n"/>
      <c r="K1834" s="3" t="n"/>
      <c r="L1834" s="3" t="inlineStr"/>
      <c r="M1834" s="3" t="n"/>
      <c r="N1834" s="3" t="inlineStr"/>
      <c r="O1834" s="3" t="n"/>
      <c r="P1834" s="3" t="n"/>
      <c r="Q1834" s="3" t="n"/>
      <c r="R1834" s="3" t="n"/>
      <c r="S1834" s="3" t="n"/>
      <c r="T1834" s="3" t="n"/>
      <c r="U1834" s="3" t="n"/>
      <c r="V1834" s="3" t="n"/>
      <c r="W1834" s="3" t="n"/>
      <c r="X1834" s="3" t="n"/>
      <c r="Y1834" s="3" t="n"/>
      <c r="Z1834" s="3" t="n"/>
      <c r="AA1834" s="3" t="n"/>
    </row>
    <row r="1835">
      <c r="A1835" s="105" t="n"/>
      <c r="B1835" s="105" t="n"/>
      <c r="C1835" s="3" t="n"/>
      <c r="D1835" s="3" t="n"/>
      <c r="E1835" s="3" t="n"/>
      <c r="F1835" s="3" t="n"/>
      <c r="G1835" s="3" t="n"/>
      <c r="H1835" s="3" t="inlineStr"/>
      <c r="I1835" s="3" t="n"/>
      <c r="J1835" s="3" t="n"/>
      <c r="K1835" s="3" t="n"/>
      <c r="L1835" s="3" t="inlineStr"/>
      <c r="M1835" s="3" t="n"/>
      <c r="N1835" s="3" t="inlineStr"/>
      <c r="O1835" s="3" t="n"/>
      <c r="P1835" s="3" t="n"/>
      <c r="Q1835" s="3" t="n"/>
      <c r="R1835" s="3" t="n"/>
      <c r="S1835" s="3" t="n"/>
      <c r="T1835" s="3" t="n"/>
      <c r="U1835" s="3" t="n"/>
      <c r="V1835" s="3" t="n"/>
      <c r="W1835" s="3" t="n"/>
      <c r="X1835" s="3" t="n"/>
      <c r="Y1835" s="3" t="n"/>
      <c r="Z1835" s="3" t="n"/>
      <c r="AA1835" s="3" t="n"/>
    </row>
    <row r="1836">
      <c r="A1836" s="105" t="n"/>
      <c r="B1836" s="105" t="n"/>
      <c r="C1836" s="3" t="n"/>
      <c r="D1836" s="3" t="n"/>
      <c r="E1836" s="3" t="n"/>
      <c r="F1836" s="3" t="n"/>
      <c r="G1836" s="3" t="n"/>
      <c r="H1836" s="3" t="inlineStr"/>
      <c r="I1836" s="3" t="n"/>
      <c r="J1836" s="3" t="n"/>
      <c r="K1836" s="3" t="n"/>
      <c r="L1836" s="3" t="inlineStr"/>
      <c r="M1836" s="3" t="n"/>
      <c r="N1836" s="3" t="inlineStr"/>
      <c r="O1836" s="3" t="n"/>
      <c r="P1836" s="3" t="n"/>
      <c r="Q1836" s="3" t="n"/>
      <c r="R1836" s="3" t="n"/>
      <c r="S1836" s="3" t="n"/>
      <c r="T1836" s="3" t="n"/>
      <c r="U1836" s="3" t="n"/>
      <c r="V1836" s="3" t="n"/>
      <c r="W1836" s="3" t="n"/>
      <c r="X1836" s="3" t="n"/>
      <c r="Y1836" s="3" t="n"/>
      <c r="Z1836" s="3" t="n"/>
      <c r="AA1836" s="3" t="n"/>
    </row>
    <row r="1837">
      <c r="A1837" s="105" t="n"/>
      <c r="B1837" s="105" t="n"/>
      <c r="C1837" s="3" t="n"/>
      <c r="D1837" s="3" t="n"/>
      <c r="E1837" s="3" t="n"/>
      <c r="F1837" s="3" t="n"/>
      <c r="G1837" s="3" t="n"/>
      <c r="H1837" s="3" t="inlineStr"/>
      <c r="I1837" s="3" t="n"/>
      <c r="J1837" s="3" t="n"/>
      <c r="K1837" s="3" t="n"/>
      <c r="L1837" s="3" t="inlineStr"/>
      <c r="M1837" s="3" t="n"/>
      <c r="N1837" s="3" t="inlineStr"/>
      <c r="O1837" s="3" t="n"/>
      <c r="P1837" s="3" t="n"/>
      <c r="Q1837" s="3" t="n"/>
      <c r="R1837" s="3" t="n"/>
      <c r="S1837" s="3" t="n"/>
      <c r="T1837" s="3" t="n"/>
      <c r="U1837" s="3" t="n"/>
      <c r="V1837" s="3" t="n"/>
      <c r="W1837" s="3" t="n"/>
      <c r="X1837" s="3" t="n"/>
      <c r="Y1837" s="3" t="n"/>
      <c r="Z1837" s="3" t="n"/>
      <c r="AA1837" s="3" t="n"/>
    </row>
    <row r="1838">
      <c r="A1838" s="105" t="n"/>
      <c r="B1838" s="105" t="n"/>
      <c r="C1838" s="3" t="n"/>
      <c r="D1838" s="3" t="n"/>
      <c r="E1838" s="3" t="n"/>
      <c r="F1838" s="3" t="n"/>
      <c r="G1838" s="3" t="n"/>
      <c r="H1838" s="3" t="inlineStr"/>
      <c r="I1838" s="3" t="n"/>
      <c r="J1838" s="3" t="n"/>
      <c r="K1838" s="3" t="n"/>
      <c r="L1838" s="3" t="inlineStr"/>
      <c r="M1838" s="3" t="n"/>
      <c r="N1838" s="3" t="inlineStr"/>
      <c r="O1838" s="3" t="n"/>
      <c r="P1838" s="3" t="n"/>
      <c r="Q1838" s="3" t="n"/>
      <c r="R1838" s="3" t="n"/>
      <c r="S1838" s="3" t="n"/>
      <c r="T1838" s="3" t="n"/>
      <c r="U1838" s="3" t="n"/>
      <c r="V1838" s="3" t="n"/>
      <c r="W1838" s="3" t="n"/>
      <c r="X1838" s="3" t="n"/>
      <c r="Y1838" s="3" t="n"/>
      <c r="Z1838" s="3" t="n"/>
      <c r="AA1838" s="3" t="n"/>
    </row>
    <row r="1839">
      <c r="A1839" s="105" t="n"/>
      <c r="B1839" s="105" t="n"/>
      <c r="C1839" s="3" t="n"/>
      <c r="D1839" s="3" t="n"/>
      <c r="E1839" s="3" t="n"/>
      <c r="F1839" s="3" t="n"/>
      <c r="G1839" s="3" t="n"/>
      <c r="H1839" s="3" t="inlineStr"/>
      <c r="I1839" s="3" t="n"/>
      <c r="J1839" s="3" t="n"/>
      <c r="K1839" s="3" t="n"/>
      <c r="L1839" s="3" t="inlineStr"/>
      <c r="M1839" s="3" t="n"/>
      <c r="N1839" s="3" t="inlineStr"/>
      <c r="O1839" s="3" t="n"/>
      <c r="P1839" s="3" t="n"/>
      <c r="Q1839" s="3" t="n"/>
      <c r="R1839" s="3" t="n"/>
      <c r="S1839" s="3" t="n"/>
      <c r="T1839" s="3" t="n"/>
      <c r="U1839" s="3" t="n"/>
      <c r="V1839" s="3" t="n"/>
      <c r="W1839" s="3" t="n"/>
      <c r="X1839" s="3" t="n"/>
      <c r="Y1839" s="3" t="n"/>
      <c r="Z1839" s="3" t="n"/>
      <c r="AA1839" s="3" t="n"/>
    </row>
    <row r="1840">
      <c r="A1840" s="105" t="n"/>
      <c r="B1840" s="105" t="n"/>
      <c r="C1840" s="3" t="n"/>
      <c r="D1840" s="3" t="n"/>
      <c r="E1840" s="3" t="n"/>
      <c r="F1840" s="3" t="n"/>
      <c r="G1840" s="3" t="n"/>
      <c r="H1840" s="3" t="inlineStr"/>
      <c r="I1840" s="3" t="n"/>
      <c r="J1840" s="3" t="n"/>
      <c r="K1840" s="3" t="n"/>
      <c r="L1840" s="3" t="inlineStr"/>
      <c r="M1840" s="3" t="n"/>
      <c r="N1840" s="3" t="inlineStr"/>
      <c r="O1840" s="3" t="n"/>
      <c r="P1840" s="3" t="n"/>
      <c r="Q1840" s="3" t="n"/>
      <c r="R1840" s="3" t="n"/>
      <c r="S1840" s="3" t="n"/>
      <c r="T1840" s="3" t="n"/>
      <c r="U1840" s="3" t="n"/>
      <c r="V1840" s="3" t="n"/>
      <c r="W1840" s="3" t="n"/>
      <c r="X1840" s="3" t="n"/>
      <c r="Y1840" s="3" t="n"/>
      <c r="Z1840" s="3" t="n"/>
      <c r="AA1840" s="3" t="n"/>
    </row>
    <row r="1841">
      <c r="A1841" s="105" t="n"/>
      <c r="B1841" s="105" t="n"/>
      <c r="C1841" s="3" t="n"/>
      <c r="D1841" s="3" t="n"/>
      <c r="E1841" s="3" t="n"/>
      <c r="F1841" s="3" t="n"/>
      <c r="G1841" s="3" t="n"/>
      <c r="H1841" s="3" t="inlineStr"/>
      <c r="I1841" s="3" t="n"/>
      <c r="J1841" s="3" t="n"/>
      <c r="K1841" s="3" t="n"/>
      <c r="L1841" s="3" t="inlineStr"/>
      <c r="M1841" s="3" t="n"/>
      <c r="N1841" s="3" t="inlineStr"/>
      <c r="O1841" s="3" t="n"/>
      <c r="P1841" s="3" t="n"/>
      <c r="Q1841" s="3" t="n"/>
      <c r="R1841" s="3" t="n"/>
      <c r="S1841" s="3" t="n"/>
      <c r="T1841" s="3" t="n"/>
      <c r="U1841" s="3" t="n"/>
      <c r="V1841" s="3" t="n"/>
      <c r="W1841" s="3" t="n"/>
      <c r="X1841" s="3" t="n"/>
      <c r="Y1841" s="3" t="n"/>
      <c r="Z1841" s="3" t="n"/>
      <c r="AA1841" s="3" t="n"/>
    </row>
    <row r="1842">
      <c r="A1842" s="105" t="n"/>
      <c r="B1842" s="105" t="n"/>
      <c r="C1842" s="3" t="n"/>
      <c r="D1842" s="3" t="n"/>
      <c r="E1842" s="3" t="n"/>
      <c r="F1842" s="3" t="n"/>
      <c r="G1842" s="3" t="n"/>
      <c r="H1842" s="3" t="inlineStr"/>
      <c r="I1842" s="3" t="n"/>
      <c r="J1842" s="3" t="n"/>
      <c r="K1842" s="3" t="n"/>
      <c r="L1842" s="3" t="inlineStr"/>
      <c r="M1842" s="3" t="n"/>
      <c r="N1842" s="3" t="inlineStr"/>
      <c r="O1842" s="3" t="n"/>
      <c r="P1842" s="3" t="n"/>
      <c r="Q1842" s="3" t="n"/>
      <c r="R1842" s="3" t="n"/>
      <c r="S1842" s="3" t="n"/>
      <c r="T1842" s="3" t="n"/>
      <c r="U1842" s="3" t="n"/>
      <c r="V1842" s="3" t="n"/>
      <c r="W1842" s="3" t="n"/>
      <c r="X1842" s="3" t="n"/>
      <c r="Y1842" s="3" t="n"/>
      <c r="Z1842" s="3" t="n"/>
      <c r="AA1842" s="3" t="n"/>
    </row>
    <row r="1843">
      <c r="A1843" s="105" t="n"/>
      <c r="B1843" s="105" t="n"/>
      <c r="C1843" s="3" t="n"/>
      <c r="D1843" s="3" t="n"/>
      <c r="E1843" s="3" t="n"/>
      <c r="F1843" s="3" t="n"/>
      <c r="G1843" s="3" t="n"/>
      <c r="H1843" s="3" t="inlineStr"/>
      <c r="I1843" s="3" t="n"/>
      <c r="J1843" s="3" t="n"/>
      <c r="K1843" s="3" t="n"/>
      <c r="L1843" s="3" t="inlineStr"/>
      <c r="M1843" s="3" t="n"/>
      <c r="N1843" s="3" t="inlineStr"/>
      <c r="O1843" s="3" t="n"/>
      <c r="P1843" s="3" t="n"/>
      <c r="Q1843" s="3" t="n"/>
      <c r="R1843" s="3" t="n"/>
      <c r="S1843" s="3" t="n"/>
      <c r="T1843" s="3" t="n"/>
      <c r="U1843" s="3" t="n"/>
      <c r="V1843" s="3" t="n"/>
      <c r="W1843" s="3" t="n"/>
      <c r="X1843" s="3" t="n"/>
      <c r="Y1843" s="3" t="n"/>
      <c r="Z1843" s="3" t="n"/>
      <c r="AA1843" s="3" t="n"/>
    </row>
    <row r="1844">
      <c r="A1844" s="105" t="n"/>
      <c r="B1844" s="105" t="n"/>
      <c r="C1844" s="3" t="n"/>
      <c r="D1844" s="3" t="n"/>
      <c r="E1844" s="3" t="n"/>
      <c r="F1844" s="3" t="n"/>
      <c r="G1844" s="3" t="n"/>
      <c r="H1844" s="3" t="inlineStr"/>
      <c r="I1844" s="3" t="n"/>
      <c r="J1844" s="3" t="n"/>
      <c r="K1844" s="3" t="n"/>
      <c r="L1844" s="3" t="inlineStr"/>
      <c r="M1844" s="3" t="n"/>
      <c r="N1844" s="3" t="inlineStr"/>
      <c r="O1844" s="3" t="n"/>
      <c r="P1844" s="3" t="n"/>
      <c r="Q1844" s="3" t="n"/>
      <c r="R1844" s="3" t="n"/>
      <c r="S1844" s="3" t="n"/>
      <c r="T1844" s="3" t="n"/>
      <c r="U1844" s="3" t="n"/>
      <c r="V1844" s="3" t="n"/>
      <c r="W1844" s="3" t="n"/>
      <c r="X1844" s="3" t="n"/>
      <c r="Y1844" s="3" t="n"/>
      <c r="Z1844" s="3" t="n"/>
      <c r="AA1844" s="3" t="n"/>
    </row>
    <row r="1845">
      <c r="A1845" s="105" t="n"/>
      <c r="B1845" s="105" t="n"/>
      <c r="C1845" s="3" t="n"/>
      <c r="D1845" s="3" t="n"/>
      <c r="E1845" s="3" t="n"/>
      <c r="F1845" s="3" t="n"/>
      <c r="G1845" s="3" t="n"/>
      <c r="H1845" s="3" t="inlineStr"/>
      <c r="I1845" s="3" t="n"/>
      <c r="J1845" s="3" t="n"/>
      <c r="K1845" s="3" t="n"/>
      <c r="L1845" s="3" t="inlineStr"/>
      <c r="M1845" s="3" t="n"/>
      <c r="N1845" s="3" t="inlineStr"/>
      <c r="O1845" s="3" t="n"/>
      <c r="P1845" s="3" t="n"/>
      <c r="Q1845" s="3" t="n"/>
      <c r="R1845" s="3" t="n"/>
      <c r="S1845" s="3" t="n"/>
      <c r="T1845" s="3" t="n"/>
      <c r="U1845" s="3" t="n"/>
      <c r="V1845" s="3" t="n"/>
      <c r="W1845" s="3" t="n"/>
      <c r="X1845" s="3" t="n"/>
      <c r="Y1845" s="3" t="n"/>
      <c r="Z1845" s="3" t="n"/>
      <c r="AA1845" s="3" t="n"/>
    </row>
    <row r="1846">
      <c r="A1846" s="105" t="n"/>
      <c r="B1846" s="105" t="n"/>
      <c r="C1846" s="3" t="n"/>
      <c r="D1846" s="3" t="n"/>
      <c r="E1846" s="3" t="n"/>
      <c r="F1846" s="3" t="n"/>
      <c r="G1846" s="3" t="n"/>
      <c r="H1846" s="3" t="inlineStr"/>
      <c r="I1846" s="3" t="n"/>
      <c r="J1846" s="3" t="n"/>
      <c r="K1846" s="3" t="n"/>
      <c r="L1846" s="3" t="inlineStr"/>
      <c r="M1846" s="3" t="n"/>
      <c r="N1846" s="3" t="inlineStr"/>
      <c r="O1846" s="3" t="n"/>
      <c r="P1846" s="3" t="n"/>
      <c r="Q1846" s="3" t="n"/>
      <c r="R1846" s="3" t="n"/>
      <c r="S1846" s="3" t="n"/>
      <c r="T1846" s="3" t="n"/>
      <c r="U1846" s="3" t="n"/>
      <c r="V1846" s="3" t="n"/>
      <c r="W1846" s="3" t="n"/>
      <c r="X1846" s="3" t="n"/>
      <c r="Y1846" s="3" t="n"/>
      <c r="Z1846" s="3" t="n"/>
      <c r="AA1846" s="3" t="n"/>
    </row>
    <row r="1847">
      <c r="A1847" s="105" t="n"/>
      <c r="B1847" s="105" t="n"/>
      <c r="C1847" s="3" t="n"/>
      <c r="D1847" s="3" t="n"/>
      <c r="E1847" s="3" t="n"/>
      <c r="F1847" s="3" t="n"/>
      <c r="G1847" s="3" t="n"/>
      <c r="H1847" s="3" t="inlineStr"/>
      <c r="I1847" s="3" t="n"/>
      <c r="J1847" s="3" t="n"/>
      <c r="K1847" s="3" t="n"/>
      <c r="L1847" s="3" t="inlineStr"/>
      <c r="M1847" s="3" t="n"/>
      <c r="N1847" s="3" t="inlineStr"/>
      <c r="O1847" s="3" t="n"/>
      <c r="P1847" s="3" t="n"/>
      <c r="Q1847" s="3" t="n"/>
      <c r="R1847" s="3" t="n"/>
      <c r="S1847" s="3" t="n"/>
      <c r="T1847" s="3" t="n"/>
      <c r="U1847" s="3" t="n"/>
      <c r="V1847" s="3" t="n"/>
      <c r="W1847" s="3" t="n"/>
      <c r="X1847" s="3" t="n"/>
      <c r="Y1847" s="3" t="n"/>
      <c r="Z1847" s="3" t="n"/>
      <c r="AA1847" s="3" t="n"/>
    </row>
    <row r="1848">
      <c r="A1848" s="105" t="n"/>
      <c r="B1848" s="105" t="n"/>
      <c r="C1848" s="3" t="n"/>
      <c r="D1848" s="3" t="n"/>
      <c r="E1848" s="3" t="n"/>
      <c r="F1848" s="3" t="n"/>
      <c r="G1848" s="3" t="n"/>
      <c r="H1848" s="3" t="inlineStr"/>
      <c r="I1848" s="3" t="n"/>
      <c r="J1848" s="3" t="n"/>
      <c r="K1848" s="3" t="n"/>
      <c r="L1848" s="3" t="inlineStr"/>
      <c r="M1848" s="3" t="n"/>
      <c r="N1848" s="3" t="inlineStr"/>
      <c r="O1848" s="3" t="n"/>
      <c r="P1848" s="3" t="n"/>
      <c r="Q1848" s="3" t="n"/>
      <c r="R1848" s="3" t="n"/>
      <c r="S1848" s="3" t="n"/>
      <c r="T1848" s="3" t="n"/>
      <c r="U1848" s="3" t="n"/>
      <c r="V1848" s="3" t="n"/>
      <c r="W1848" s="3" t="n"/>
      <c r="X1848" s="3" t="n"/>
      <c r="Y1848" s="3" t="n"/>
      <c r="Z1848" s="3" t="n"/>
      <c r="AA1848" s="3" t="n"/>
    </row>
    <row r="1849">
      <c r="A1849" s="105" t="n"/>
      <c r="B1849" s="105" t="n"/>
      <c r="C1849" s="3" t="n"/>
      <c r="D1849" s="3" t="n"/>
      <c r="E1849" s="3" t="n"/>
      <c r="F1849" s="3" t="n"/>
      <c r="G1849" s="3" t="n"/>
      <c r="H1849" s="3" t="inlineStr"/>
      <c r="I1849" s="3" t="n"/>
      <c r="J1849" s="3" t="n"/>
      <c r="K1849" s="3" t="n"/>
      <c r="L1849" s="3" t="inlineStr"/>
      <c r="M1849" s="3" t="n"/>
      <c r="N1849" s="3" t="inlineStr"/>
      <c r="O1849" s="3" t="n"/>
      <c r="P1849" s="3" t="n"/>
      <c r="Q1849" s="3" t="n"/>
      <c r="R1849" s="3" t="n"/>
      <c r="S1849" s="3" t="n"/>
      <c r="T1849" s="3" t="n"/>
      <c r="U1849" s="3" t="n"/>
      <c r="V1849" s="3" t="n"/>
      <c r="W1849" s="3" t="n"/>
      <c r="X1849" s="3" t="n"/>
      <c r="Y1849" s="3" t="n"/>
      <c r="Z1849" s="3" t="n"/>
      <c r="AA1849" s="3" t="n"/>
    </row>
    <row r="1850">
      <c r="A1850" s="105" t="n"/>
      <c r="B1850" s="105" t="n"/>
      <c r="C1850" s="3" t="n"/>
      <c r="D1850" s="3" t="n"/>
      <c r="E1850" s="3" t="n"/>
      <c r="F1850" s="3" t="n"/>
      <c r="G1850" s="3" t="n"/>
      <c r="H1850" s="3" t="inlineStr"/>
      <c r="I1850" s="3" t="n"/>
      <c r="J1850" s="3" t="n"/>
      <c r="K1850" s="3" t="n"/>
      <c r="L1850" s="3" t="inlineStr"/>
      <c r="M1850" s="3" t="n"/>
      <c r="N1850" s="3" t="inlineStr"/>
      <c r="O1850" s="3" t="n"/>
      <c r="P1850" s="3" t="n"/>
      <c r="Q1850" s="3" t="n"/>
      <c r="R1850" s="3" t="n"/>
      <c r="S1850" s="3" t="n"/>
      <c r="T1850" s="3" t="n"/>
      <c r="U1850" s="3" t="n"/>
      <c r="V1850" s="3" t="n"/>
      <c r="W1850" s="3" t="n"/>
      <c r="X1850" s="3" t="n"/>
      <c r="Y1850" s="3" t="n"/>
      <c r="Z1850" s="3" t="n"/>
      <c r="AA1850" s="3" t="n"/>
    </row>
    <row r="1851">
      <c r="A1851" s="105" t="n"/>
      <c r="B1851" s="105" t="n"/>
      <c r="C1851" s="3" t="n"/>
      <c r="D1851" s="3" t="n"/>
      <c r="E1851" s="3" t="n"/>
      <c r="F1851" s="3" t="n"/>
      <c r="G1851" s="3" t="n"/>
      <c r="H1851" s="3" t="inlineStr"/>
      <c r="I1851" s="3" t="n"/>
      <c r="J1851" s="3" t="n"/>
      <c r="K1851" s="3" t="n"/>
      <c r="L1851" s="3" t="inlineStr"/>
      <c r="M1851" s="3" t="n"/>
      <c r="N1851" s="3" t="inlineStr"/>
      <c r="O1851" s="3" t="n"/>
      <c r="P1851" s="3" t="n"/>
      <c r="Q1851" s="3" t="n"/>
      <c r="R1851" s="3" t="n"/>
      <c r="S1851" s="3" t="n"/>
      <c r="T1851" s="3" t="n"/>
      <c r="U1851" s="3" t="n"/>
      <c r="V1851" s="3" t="n"/>
      <c r="W1851" s="3" t="n"/>
      <c r="X1851" s="3" t="n"/>
      <c r="Y1851" s="3" t="n"/>
      <c r="Z1851" s="3" t="n"/>
      <c r="AA1851" s="3" t="n"/>
    </row>
    <row r="1852">
      <c r="A1852" s="105" t="n"/>
      <c r="B1852" s="105" t="n"/>
      <c r="C1852" s="3" t="n"/>
      <c r="D1852" s="3" t="n"/>
      <c r="E1852" s="3" t="n"/>
      <c r="F1852" s="3" t="n"/>
      <c r="G1852" s="3" t="n"/>
      <c r="H1852" s="3" t="inlineStr"/>
      <c r="I1852" s="3" t="n"/>
      <c r="J1852" s="3" t="n"/>
      <c r="K1852" s="3" t="n"/>
      <c r="L1852" s="3" t="inlineStr"/>
      <c r="M1852" s="3" t="n"/>
      <c r="N1852" s="3" t="inlineStr"/>
      <c r="O1852" s="3" t="n"/>
      <c r="P1852" s="3" t="n"/>
      <c r="Q1852" s="3" t="n"/>
      <c r="R1852" s="3" t="n"/>
      <c r="S1852" s="3" t="n"/>
      <c r="T1852" s="3" t="n"/>
      <c r="U1852" s="3" t="n"/>
      <c r="V1852" s="3" t="n"/>
      <c r="W1852" s="3" t="n"/>
      <c r="X1852" s="3" t="n"/>
      <c r="Y1852" s="3" t="n"/>
      <c r="Z1852" s="3" t="n"/>
      <c r="AA1852" s="3" t="n"/>
    </row>
    <row r="1853">
      <c r="A1853" s="105" t="n"/>
      <c r="B1853" s="105" t="n"/>
      <c r="C1853" s="3" t="n"/>
      <c r="D1853" s="3" t="n"/>
      <c r="E1853" s="3" t="n"/>
      <c r="F1853" s="3" t="n"/>
      <c r="G1853" s="3" t="n"/>
      <c r="H1853" s="3" t="inlineStr"/>
      <c r="I1853" s="3" t="n"/>
      <c r="J1853" s="3" t="n"/>
      <c r="K1853" s="3" t="n"/>
      <c r="L1853" s="3" t="inlineStr"/>
      <c r="M1853" s="3" t="n"/>
      <c r="N1853" s="3" t="inlineStr"/>
      <c r="O1853" s="3" t="n"/>
      <c r="P1853" s="3" t="n"/>
      <c r="Q1853" s="3" t="n"/>
      <c r="R1853" s="3" t="n"/>
      <c r="S1853" s="3" t="n"/>
      <c r="T1853" s="3" t="n"/>
      <c r="U1853" s="3" t="n"/>
      <c r="V1853" s="3" t="n"/>
      <c r="W1853" s="3" t="n"/>
      <c r="X1853" s="3" t="n"/>
      <c r="Y1853" s="3" t="n"/>
      <c r="Z1853" s="3" t="n"/>
      <c r="AA1853" s="3" t="n"/>
    </row>
    <row r="1854">
      <c r="A1854" s="105" t="n"/>
      <c r="B1854" s="105" t="n"/>
      <c r="C1854" s="3" t="n"/>
      <c r="D1854" s="3" t="n"/>
      <c r="E1854" s="3" t="n"/>
      <c r="F1854" s="3" t="n"/>
      <c r="G1854" s="3" t="n"/>
      <c r="H1854" s="3" t="inlineStr"/>
      <c r="I1854" s="3" t="n"/>
      <c r="J1854" s="3" t="n"/>
      <c r="K1854" s="3" t="n"/>
      <c r="L1854" s="3" t="inlineStr"/>
      <c r="M1854" s="3" t="n"/>
      <c r="N1854" s="3" t="inlineStr"/>
      <c r="O1854" s="3" t="n"/>
      <c r="P1854" s="3" t="n"/>
      <c r="Q1854" s="3" t="n"/>
      <c r="R1854" s="3" t="n"/>
      <c r="S1854" s="3" t="n"/>
      <c r="T1854" s="3" t="n"/>
      <c r="U1854" s="3" t="n"/>
      <c r="V1854" s="3" t="n"/>
      <c r="W1854" s="3" t="n"/>
      <c r="X1854" s="3" t="n"/>
      <c r="Y1854" s="3" t="n"/>
      <c r="Z1854" s="3" t="n"/>
      <c r="AA1854" s="3" t="n"/>
    </row>
    <row r="1855">
      <c r="A1855" s="105" t="n"/>
      <c r="B1855" s="105" t="n"/>
      <c r="C1855" s="3" t="n"/>
      <c r="D1855" s="3" t="n"/>
      <c r="E1855" s="3" t="n"/>
      <c r="F1855" s="3" t="n"/>
      <c r="G1855" s="3" t="n"/>
      <c r="H1855" s="3" t="inlineStr"/>
      <c r="I1855" s="3" t="n"/>
      <c r="J1855" s="3" t="n"/>
      <c r="K1855" s="3" t="n"/>
      <c r="L1855" s="3" t="inlineStr"/>
      <c r="M1855" s="3" t="n"/>
      <c r="N1855" s="3" t="inlineStr"/>
      <c r="O1855" s="3" t="n"/>
      <c r="P1855" s="3" t="n"/>
      <c r="Q1855" s="3" t="n"/>
      <c r="R1855" s="3" t="n"/>
      <c r="S1855" s="3" t="n"/>
      <c r="T1855" s="3" t="n"/>
      <c r="U1855" s="3" t="n"/>
      <c r="V1855" s="3" t="n"/>
      <c r="W1855" s="3" t="n"/>
      <c r="X1855" s="3" t="n"/>
      <c r="Y1855" s="3" t="n"/>
      <c r="Z1855" s="3" t="n"/>
      <c r="AA1855" s="3" t="n"/>
    </row>
    <row r="1856">
      <c r="A1856" s="105" t="n"/>
      <c r="B1856" s="105" t="n"/>
      <c r="C1856" s="3" t="n"/>
      <c r="D1856" s="3" t="n"/>
      <c r="E1856" s="3" t="n"/>
      <c r="F1856" s="3" t="n"/>
      <c r="G1856" s="3" t="n"/>
      <c r="H1856" s="3" t="inlineStr"/>
      <c r="I1856" s="3" t="n"/>
      <c r="J1856" s="3" t="n"/>
      <c r="K1856" s="3" t="n"/>
      <c r="L1856" s="3" t="inlineStr"/>
      <c r="M1856" s="3" t="n"/>
      <c r="N1856" s="3" t="inlineStr"/>
      <c r="O1856" s="3" t="n"/>
      <c r="P1856" s="3" t="n"/>
      <c r="Q1856" s="3" t="n"/>
      <c r="R1856" s="3" t="n"/>
      <c r="S1856" s="3" t="n"/>
      <c r="T1856" s="3" t="n"/>
      <c r="U1856" s="3" t="n"/>
      <c r="V1856" s="3" t="n"/>
      <c r="W1856" s="3" t="n"/>
      <c r="X1856" s="3" t="n"/>
      <c r="Y1856" s="3" t="n"/>
      <c r="Z1856" s="3" t="n"/>
      <c r="AA1856" s="3" t="n"/>
    </row>
    <row r="1857">
      <c r="A1857" s="105" t="n"/>
      <c r="B1857" s="105" t="n"/>
      <c r="C1857" s="3" t="n"/>
      <c r="D1857" s="3" t="n"/>
      <c r="E1857" s="3" t="n"/>
      <c r="F1857" s="3" t="n"/>
      <c r="G1857" s="3" t="n"/>
      <c r="H1857" s="3" t="inlineStr"/>
      <c r="I1857" s="3" t="n"/>
      <c r="J1857" s="3" t="n"/>
      <c r="K1857" s="3" t="n"/>
      <c r="L1857" s="3" t="inlineStr"/>
      <c r="M1857" s="3" t="n"/>
      <c r="N1857" s="3" t="inlineStr"/>
      <c r="O1857" s="3" t="n"/>
      <c r="P1857" s="3" t="n"/>
      <c r="Q1857" s="3" t="n"/>
      <c r="R1857" s="3" t="n"/>
      <c r="S1857" s="3" t="n"/>
      <c r="T1857" s="3" t="n"/>
      <c r="U1857" s="3" t="n"/>
      <c r="V1857" s="3" t="n"/>
      <c r="W1857" s="3" t="n"/>
      <c r="X1857" s="3" t="n"/>
      <c r="Y1857" s="3" t="n"/>
      <c r="Z1857" s="3" t="n"/>
      <c r="AA1857" s="3" t="n"/>
    </row>
    <row r="1858">
      <c r="A1858" s="105" t="n"/>
      <c r="B1858" s="105" t="n"/>
      <c r="C1858" s="3" t="n"/>
      <c r="D1858" s="3" t="n"/>
      <c r="E1858" s="3" t="n"/>
      <c r="F1858" s="3" t="n"/>
      <c r="G1858" s="3" t="n"/>
      <c r="H1858" s="3" t="inlineStr"/>
      <c r="I1858" s="3" t="n"/>
      <c r="J1858" s="3" t="n"/>
      <c r="K1858" s="3" t="n"/>
      <c r="L1858" s="3" t="inlineStr"/>
      <c r="M1858" s="3" t="n"/>
      <c r="N1858" s="3" t="inlineStr"/>
      <c r="O1858" s="3" t="n"/>
      <c r="P1858" s="3" t="n"/>
      <c r="Q1858" s="3" t="n"/>
      <c r="R1858" s="3" t="n"/>
      <c r="S1858" s="3" t="n"/>
      <c r="T1858" s="3" t="n"/>
      <c r="U1858" s="3" t="n"/>
      <c r="V1858" s="3" t="n"/>
      <c r="W1858" s="3" t="n"/>
      <c r="X1858" s="3" t="n"/>
      <c r="Y1858" s="3" t="n"/>
      <c r="Z1858" s="3" t="n"/>
      <c r="AA1858" s="3" t="n"/>
    </row>
    <row r="1859">
      <c r="A1859" s="105" t="n"/>
      <c r="B1859" s="105" t="n"/>
      <c r="C1859" s="3" t="n"/>
      <c r="D1859" s="3" t="n"/>
      <c r="E1859" s="3" t="n"/>
      <c r="F1859" s="3" t="n"/>
      <c r="G1859" s="3" t="n"/>
      <c r="H1859" s="3" t="inlineStr"/>
      <c r="I1859" s="3" t="n"/>
      <c r="J1859" s="3" t="n"/>
      <c r="K1859" s="3" t="n"/>
      <c r="L1859" s="3" t="inlineStr"/>
      <c r="M1859" s="3" t="n"/>
      <c r="N1859" s="3" t="inlineStr"/>
      <c r="O1859" s="3" t="n"/>
      <c r="P1859" s="3" t="n"/>
      <c r="Q1859" s="3" t="n"/>
      <c r="R1859" s="3" t="n"/>
      <c r="S1859" s="3" t="n"/>
      <c r="T1859" s="3" t="n"/>
      <c r="U1859" s="3" t="n"/>
      <c r="V1859" s="3" t="n"/>
      <c r="W1859" s="3" t="n"/>
      <c r="X1859" s="3" t="n"/>
      <c r="Y1859" s="3" t="n"/>
      <c r="Z1859" s="3" t="n"/>
      <c r="AA1859" s="3" t="n"/>
    </row>
    <row r="1860">
      <c r="A1860" s="105" t="n"/>
      <c r="B1860" s="105" t="n"/>
      <c r="C1860" s="3" t="n"/>
      <c r="D1860" s="3" t="n"/>
      <c r="E1860" s="3" t="n"/>
      <c r="F1860" s="3" t="n"/>
      <c r="G1860" s="3" t="n"/>
      <c r="H1860" s="3" t="inlineStr"/>
      <c r="I1860" s="3" t="n"/>
      <c r="J1860" s="3" t="n"/>
      <c r="K1860" s="3" t="n"/>
      <c r="L1860" s="3" t="inlineStr"/>
      <c r="M1860" s="3" t="n"/>
      <c r="N1860" s="3" t="inlineStr"/>
      <c r="O1860" s="3" t="n"/>
      <c r="P1860" s="3" t="n"/>
      <c r="Q1860" s="3" t="n"/>
      <c r="R1860" s="3" t="n"/>
      <c r="S1860" s="3" t="n"/>
      <c r="T1860" s="3" t="n"/>
      <c r="U1860" s="3" t="n"/>
      <c r="V1860" s="3" t="n"/>
      <c r="W1860" s="3" t="n"/>
      <c r="X1860" s="3" t="n"/>
      <c r="Y1860" s="3" t="n"/>
      <c r="Z1860" s="3" t="n"/>
      <c r="AA1860" s="3" t="n"/>
    </row>
    <row r="1861">
      <c r="A1861" s="105" t="n"/>
      <c r="B1861" s="105" t="n"/>
      <c r="C1861" s="3" t="n"/>
      <c r="D1861" s="3" t="n"/>
      <c r="E1861" s="3" t="n"/>
      <c r="F1861" s="3" t="n"/>
      <c r="G1861" s="3" t="n"/>
      <c r="H1861" s="3" t="inlineStr"/>
      <c r="I1861" s="3" t="n"/>
      <c r="J1861" s="3" t="n"/>
      <c r="K1861" s="3" t="n"/>
      <c r="L1861" s="3" t="inlineStr"/>
      <c r="M1861" s="3" t="n"/>
      <c r="N1861" s="3" t="inlineStr"/>
      <c r="O1861" s="3" t="n"/>
      <c r="P1861" s="3" t="n"/>
      <c r="Q1861" s="3" t="n"/>
      <c r="R1861" s="3" t="n"/>
      <c r="S1861" s="3" t="n"/>
      <c r="T1861" s="3" t="n"/>
      <c r="U1861" s="3" t="n"/>
      <c r="V1861" s="3" t="n"/>
      <c r="W1861" s="3" t="n"/>
      <c r="X1861" s="3" t="n"/>
      <c r="Y1861" s="3" t="n"/>
      <c r="Z1861" s="3" t="n"/>
      <c r="AA1861" s="3" t="n"/>
    </row>
    <row r="1862">
      <c r="A1862" s="105" t="n"/>
      <c r="B1862" s="105" t="n"/>
      <c r="C1862" s="3" t="n"/>
      <c r="D1862" s="3" t="n"/>
      <c r="E1862" s="3" t="n"/>
      <c r="F1862" s="3" t="n"/>
      <c r="G1862" s="3" t="n"/>
      <c r="H1862" s="3" t="inlineStr"/>
      <c r="I1862" s="3" t="n"/>
      <c r="J1862" s="3" t="n"/>
      <c r="K1862" s="3" t="n"/>
      <c r="L1862" s="3" t="inlineStr"/>
      <c r="M1862" s="3" t="n"/>
      <c r="N1862" s="3" t="inlineStr"/>
      <c r="O1862" s="3" t="n"/>
      <c r="P1862" s="3" t="n"/>
      <c r="Q1862" s="3" t="n"/>
      <c r="R1862" s="3" t="n"/>
      <c r="S1862" s="3" t="n"/>
      <c r="T1862" s="3" t="n"/>
      <c r="U1862" s="3" t="n"/>
      <c r="V1862" s="3" t="n"/>
      <c r="W1862" s="3" t="n"/>
      <c r="X1862" s="3" t="n"/>
      <c r="Y1862" s="3" t="n"/>
      <c r="Z1862" s="3" t="n"/>
      <c r="AA1862" s="3" t="n"/>
    </row>
    <row r="1863">
      <c r="A1863" s="105" t="n"/>
      <c r="B1863" s="105" t="n"/>
      <c r="C1863" s="3" t="n"/>
      <c r="D1863" s="3" t="n"/>
      <c r="E1863" s="3" t="n"/>
      <c r="F1863" s="3" t="n"/>
      <c r="G1863" s="3" t="n"/>
      <c r="H1863" s="3" t="inlineStr"/>
      <c r="I1863" s="3" t="n"/>
      <c r="J1863" s="3" t="n"/>
      <c r="K1863" s="3" t="n"/>
      <c r="L1863" s="3" t="inlineStr"/>
      <c r="M1863" s="3" t="n"/>
      <c r="N1863" s="3" t="inlineStr"/>
      <c r="O1863" s="3" t="n"/>
      <c r="P1863" s="3" t="n"/>
      <c r="Q1863" s="3" t="n"/>
      <c r="R1863" s="3" t="n"/>
      <c r="S1863" s="3" t="n"/>
      <c r="T1863" s="3" t="n"/>
      <c r="U1863" s="3" t="n"/>
      <c r="V1863" s="3" t="n"/>
      <c r="W1863" s="3" t="n"/>
      <c r="X1863" s="3" t="n"/>
      <c r="Y1863" s="3" t="n"/>
      <c r="Z1863" s="3" t="n"/>
      <c r="AA1863" s="3" t="n"/>
    </row>
    <row r="1864">
      <c r="A1864" s="105" t="n"/>
      <c r="B1864" s="105" t="n"/>
      <c r="C1864" s="3" t="n"/>
      <c r="D1864" s="3" t="n"/>
      <c r="E1864" s="3" t="n"/>
      <c r="F1864" s="3" t="n"/>
      <c r="G1864" s="3" t="n"/>
      <c r="H1864" s="3" t="inlineStr"/>
      <c r="I1864" s="3" t="n"/>
      <c r="J1864" s="3" t="n"/>
      <c r="K1864" s="3" t="n"/>
      <c r="L1864" s="3" t="inlineStr"/>
      <c r="M1864" s="3" t="n"/>
      <c r="N1864" s="3" t="inlineStr"/>
      <c r="O1864" s="3" t="n"/>
      <c r="P1864" s="3" t="n"/>
      <c r="Q1864" s="3" t="n"/>
      <c r="R1864" s="3" t="n"/>
      <c r="S1864" s="3" t="n"/>
      <c r="T1864" s="3" t="n"/>
      <c r="U1864" s="3" t="n"/>
      <c r="V1864" s="3" t="n"/>
      <c r="W1864" s="3" t="n"/>
      <c r="X1864" s="3" t="n"/>
      <c r="Y1864" s="3" t="n"/>
      <c r="Z1864" s="3" t="n"/>
      <c r="AA1864" s="3" t="n"/>
    </row>
    <row r="1865">
      <c r="A1865" s="105" t="n"/>
      <c r="B1865" s="105" t="n"/>
      <c r="C1865" s="3" t="n"/>
      <c r="D1865" s="3" t="n"/>
      <c r="E1865" s="3" t="n"/>
      <c r="F1865" s="3" t="n"/>
      <c r="G1865" s="3" t="n"/>
      <c r="H1865" s="3" t="inlineStr"/>
      <c r="I1865" s="3" t="n"/>
      <c r="J1865" s="3" t="n"/>
      <c r="K1865" s="3" t="n"/>
      <c r="L1865" s="3" t="inlineStr"/>
      <c r="M1865" s="3" t="n"/>
      <c r="N1865" s="3" t="inlineStr"/>
      <c r="O1865" s="3" t="n"/>
      <c r="P1865" s="3" t="n"/>
      <c r="Q1865" s="3" t="n"/>
      <c r="R1865" s="3" t="n"/>
      <c r="S1865" s="3" t="n"/>
      <c r="T1865" s="3" t="n"/>
      <c r="U1865" s="3" t="n"/>
      <c r="V1865" s="3" t="n"/>
      <c r="W1865" s="3" t="n"/>
      <c r="X1865" s="3" t="n"/>
      <c r="Y1865" s="3" t="n"/>
      <c r="Z1865" s="3" t="n"/>
      <c r="AA1865" s="3" t="n"/>
    </row>
    <row r="1866">
      <c r="A1866" s="105" t="n"/>
      <c r="B1866" s="105" t="n"/>
      <c r="C1866" s="3" t="n"/>
      <c r="D1866" s="3" t="n"/>
      <c r="E1866" s="3" t="n"/>
      <c r="F1866" s="3" t="n"/>
      <c r="G1866" s="3" t="n"/>
      <c r="H1866" s="3" t="inlineStr"/>
      <c r="I1866" s="3" t="n"/>
      <c r="J1866" s="3" t="n"/>
      <c r="K1866" s="3" t="n"/>
      <c r="L1866" s="3" t="inlineStr"/>
      <c r="M1866" s="3" t="n"/>
      <c r="N1866" s="3" t="inlineStr"/>
      <c r="O1866" s="3" t="n"/>
      <c r="P1866" s="3" t="n"/>
      <c r="Q1866" s="3" t="n"/>
      <c r="R1866" s="3" t="n"/>
      <c r="S1866" s="3" t="n"/>
      <c r="T1866" s="3" t="n"/>
      <c r="U1866" s="3" t="n"/>
      <c r="V1866" s="3" t="n"/>
      <c r="W1866" s="3" t="n"/>
      <c r="X1866" s="3" t="n"/>
      <c r="Y1866" s="3" t="n"/>
      <c r="Z1866" s="3" t="n"/>
      <c r="AA1866" s="3" t="n"/>
    </row>
    <row r="1867">
      <c r="A1867" s="105" t="n"/>
      <c r="B1867" s="105" t="n"/>
      <c r="C1867" s="3" t="n"/>
      <c r="D1867" s="3" t="n"/>
      <c r="E1867" s="3" t="n"/>
      <c r="F1867" s="3" t="n"/>
      <c r="G1867" s="3" t="n"/>
      <c r="H1867" s="3" t="inlineStr"/>
      <c r="I1867" s="3" t="n"/>
      <c r="J1867" s="3" t="n"/>
      <c r="K1867" s="3" t="n"/>
      <c r="L1867" s="3" t="inlineStr"/>
      <c r="M1867" s="3" t="n"/>
      <c r="N1867" s="3" t="inlineStr"/>
      <c r="O1867" s="3" t="n"/>
      <c r="P1867" s="3" t="n"/>
      <c r="Q1867" s="3" t="n"/>
      <c r="R1867" s="3" t="n"/>
      <c r="S1867" s="3" t="n"/>
      <c r="T1867" s="3" t="n"/>
      <c r="U1867" s="3" t="n"/>
      <c r="V1867" s="3" t="n"/>
      <c r="W1867" s="3" t="n"/>
      <c r="X1867" s="3" t="n"/>
      <c r="Y1867" s="3" t="n"/>
      <c r="Z1867" s="3" t="n"/>
      <c r="AA1867" s="3" t="n"/>
    </row>
    <row r="1868">
      <c r="A1868" s="105" t="n"/>
      <c r="B1868" s="105" t="n"/>
      <c r="C1868" s="3" t="n"/>
      <c r="D1868" s="3" t="n"/>
      <c r="E1868" s="3" t="n"/>
      <c r="F1868" s="3" t="n"/>
      <c r="G1868" s="3" t="n"/>
      <c r="H1868" s="3" t="inlineStr"/>
      <c r="I1868" s="3" t="n"/>
      <c r="J1868" s="3" t="n"/>
      <c r="K1868" s="3" t="n"/>
      <c r="L1868" s="3" t="inlineStr"/>
      <c r="M1868" s="3" t="n"/>
      <c r="N1868" s="3" t="inlineStr"/>
      <c r="O1868" s="3" t="n"/>
      <c r="P1868" s="3" t="n"/>
      <c r="Q1868" s="3" t="n"/>
      <c r="R1868" s="3" t="n"/>
      <c r="S1868" s="3" t="n"/>
      <c r="T1868" s="3" t="n"/>
      <c r="U1868" s="3" t="n"/>
      <c r="V1868" s="3" t="n"/>
      <c r="W1868" s="3" t="n"/>
      <c r="X1868" s="3" t="n"/>
      <c r="Y1868" s="3" t="n"/>
      <c r="Z1868" s="3" t="n"/>
      <c r="AA1868" s="3" t="n"/>
    </row>
    <row r="1869">
      <c r="A1869" s="105" t="n"/>
      <c r="B1869" s="105" t="n"/>
      <c r="C1869" s="3" t="n"/>
      <c r="D1869" s="3" t="n"/>
      <c r="E1869" s="3" t="n"/>
      <c r="F1869" s="3" t="n"/>
      <c r="G1869" s="3" t="n"/>
      <c r="H1869" s="3" t="inlineStr"/>
      <c r="I1869" s="3" t="n"/>
      <c r="J1869" s="3" t="n"/>
      <c r="K1869" s="3" t="n"/>
      <c r="L1869" s="3" t="inlineStr"/>
      <c r="M1869" s="3" t="n"/>
      <c r="N1869" s="3" t="inlineStr"/>
      <c r="O1869" s="3" t="n"/>
      <c r="P1869" s="3" t="n"/>
      <c r="Q1869" s="3" t="n"/>
      <c r="R1869" s="3" t="n"/>
      <c r="S1869" s="3" t="n"/>
      <c r="T1869" s="3" t="n"/>
      <c r="U1869" s="3" t="n"/>
      <c r="V1869" s="3" t="n"/>
      <c r="W1869" s="3" t="n"/>
      <c r="X1869" s="3" t="n"/>
      <c r="Y1869" s="3" t="n"/>
      <c r="Z1869" s="3" t="n"/>
      <c r="AA1869" s="3" t="n"/>
    </row>
    <row r="1870">
      <c r="A1870" s="105" t="n"/>
      <c r="B1870" s="105" t="n"/>
      <c r="C1870" s="3" t="n"/>
      <c r="D1870" s="3" t="n"/>
      <c r="E1870" s="3" t="n"/>
      <c r="F1870" s="3" t="n"/>
      <c r="G1870" s="3" t="n"/>
      <c r="H1870" s="3" t="inlineStr"/>
      <c r="I1870" s="3" t="n"/>
      <c r="J1870" s="3" t="n"/>
      <c r="K1870" s="3" t="n"/>
      <c r="L1870" s="3" t="inlineStr"/>
      <c r="M1870" s="3" t="n"/>
      <c r="N1870" s="3" t="inlineStr"/>
      <c r="O1870" s="3" t="n"/>
      <c r="P1870" s="3" t="n"/>
      <c r="Q1870" s="3" t="n"/>
      <c r="R1870" s="3" t="n"/>
      <c r="S1870" s="3" t="n"/>
      <c r="T1870" s="3" t="n"/>
      <c r="U1870" s="3" t="n"/>
      <c r="V1870" s="3" t="n"/>
      <c r="W1870" s="3" t="n"/>
      <c r="X1870" s="3" t="n"/>
      <c r="Y1870" s="3" t="n"/>
      <c r="Z1870" s="3" t="n"/>
      <c r="AA1870" s="3" t="n"/>
    </row>
    <row r="1871">
      <c r="A1871" s="105" t="n"/>
      <c r="B1871" s="105" t="n"/>
      <c r="C1871" s="3" t="n"/>
      <c r="D1871" s="3" t="n"/>
      <c r="E1871" s="3" t="n"/>
      <c r="F1871" s="3" t="n"/>
      <c r="G1871" s="3" t="n"/>
      <c r="H1871" s="3" t="inlineStr"/>
      <c r="I1871" s="3" t="n"/>
      <c r="J1871" s="3" t="n"/>
      <c r="K1871" s="3" t="n"/>
      <c r="L1871" s="3" t="inlineStr"/>
      <c r="M1871" s="3" t="n"/>
      <c r="N1871" s="3" t="inlineStr"/>
      <c r="O1871" s="3" t="n"/>
      <c r="P1871" s="3" t="n"/>
      <c r="Q1871" s="3" t="n"/>
      <c r="R1871" s="3" t="n"/>
      <c r="S1871" s="3" t="n"/>
      <c r="T1871" s="3" t="n"/>
      <c r="U1871" s="3" t="n"/>
      <c r="V1871" s="3" t="n"/>
      <c r="W1871" s="3" t="n"/>
      <c r="X1871" s="3" t="n"/>
      <c r="Y1871" s="3" t="n"/>
      <c r="Z1871" s="3" t="n"/>
      <c r="AA1871" s="3" t="n"/>
    </row>
    <row r="1872">
      <c r="A1872" s="105" t="n"/>
      <c r="B1872" s="105" t="n"/>
      <c r="C1872" s="3" t="n"/>
      <c r="D1872" s="3" t="n"/>
      <c r="E1872" s="3" t="n"/>
      <c r="F1872" s="3" t="n"/>
      <c r="G1872" s="3" t="n"/>
      <c r="H1872" s="3" t="inlineStr"/>
      <c r="I1872" s="3" t="n"/>
      <c r="J1872" s="3" t="n"/>
      <c r="K1872" s="3" t="n"/>
      <c r="L1872" s="3" t="inlineStr"/>
      <c r="M1872" s="3" t="n"/>
      <c r="N1872" s="3" t="inlineStr"/>
      <c r="O1872" s="3" t="n"/>
      <c r="P1872" s="3" t="n"/>
      <c r="Q1872" s="3" t="n"/>
      <c r="R1872" s="3" t="n"/>
      <c r="S1872" s="3" t="n"/>
      <c r="T1872" s="3" t="n"/>
      <c r="U1872" s="3" t="n"/>
      <c r="V1872" s="3" t="n"/>
      <c r="W1872" s="3" t="n"/>
      <c r="X1872" s="3" t="n"/>
      <c r="Y1872" s="3" t="n"/>
      <c r="Z1872" s="3" t="n"/>
      <c r="AA1872" s="3" t="n"/>
    </row>
    <row r="1873">
      <c r="A1873" s="105" t="n"/>
      <c r="B1873" s="105" t="n"/>
      <c r="C1873" s="3" t="n"/>
      <c r="D1873" s="3" t="n"/>
      <c r="E1873" s="3" t="n"/>
      <c r="F1873" s="3" t="n"/>
      <c r="G1873" s="3" t="n"/>
      <c r="H1873" s="3" t="inlineStr"/>
      <c r="I1873" s="3" t="n"/>
      <c r="J1873" s="3" t="n"/>
      <c r="K1873" s="3" t="n"/>
      <c r="L1873" s="3" t="inlineStr"/>
      <c r="M1873" s="3" t="n"/>
      <c r="N1873" s="3" t="inlineStr"/>
      <c r="O1873" s="3" t="n"/>
      <c r="P1873" s="3" t="n"/>
      <c r="Q1873" s="3" t="n"/>
      <c r="R1873" s="3" t="n"/>
      <c r="S1873" s="3" t="n"/>
      <c r="T1873" s="3" t="n"/>
      <c r="U1873" s="3" t="n"/>
      <c r="V1873" s="3" t="n"/>
      <c r="W1873" s="3" t="n"/>
      <c r="X1873" s="3" t="n"/>
      <c r="Y1873" s="3" t="n"/>
      <c r="Z1873" s="3" t="n"/>
      <c r="AA1873" s="3" t="n"/>
    </row>
    <row r="1874">
      <c r="A1874" s="105" t="n"/>
      <c r="B1874" s="105" t="n"/>
      <c r="C1874" s="3" t="n"/>
      <c r="D1874" s="3" t="n"/>
      <c r="E1874" s="3" t="n"/>
      <c r="F1874" s="3" t="n"/>
      <c r="G1874" s="3" t="n"/>
      <c r="H1874" s="3" t="inlineStr"/>
      <c r="I1874" s="3" t="n"/>
      <c r="J1874" s="3" t="n"/>
      <c r="K1874" s="3" t="n"/>
      <c r="L1874" s="3" t="inlineStr"/>
      <c r="M1874" s="3" t="n"/>
      <c r="N1874" s="3" t="inlineStr"/>
      <c r="O1874" s="3" t="n"/>
      <c r="P1874" s="3" t="n"/>
      <c r="Q1874" s="3" t="n"/>
      <c r="R1874" s="3" t="n"/>
      <c r="S1874" s="3" t="n"/>
      <c r="T1874" s="3" t="n"/>
      <c r="U1874" s="3" t="n"/>
      <c r="V1874" s="3" t="n"/>
      <c r="W1874" s="3" t="n"/>
      <c r="X1874" s="3" t="n"/>
      <c r="Y1874" s="3" t="n"/>
      <c r="Z1874" s="3" t="n"/>
      <c r="AA1874" s="3" t="n"/>
    </row>
    <row r="1875">
      <c r="A1875" s="105" t="n"/>
      <c r="B1875" s="105" t="n"/>
      <c r="C1875" s="3" t="n"/>
      <c r="D1875" s="3" t="n"/>
      <c r="E1875" s="3" t="n"/>
      <c r="F1875" s="3" t="n"/>
      <c r="G1875" s="3" t="n"/>
      <c r="H1875" s="3" t="inlineStr"/>
      <c r="I1875" s="3" t="n"/>
      <c r="J1875" s="3" t="n"/>
      <c r="K1875" s="3" t="n"/>
      <c r="L1875" s="3" t="inlineStr"/>
      <c r="M1875" s="3" t="n"/>
      <c r="N1875" s="3" t="inlineStr"/>
      <c r="O1875" s="3" t="n"/>
      <c r="P1875" s="3" t="n"/>
      <c r="Q1875" s="3" t="n"/>
      <c r="R1875" s="3" t="n"/>
      <c r="S1875" s="3" t="n"/>
      <c r="T1875" s="3" t="n"/>
      <c r="U1875" s="3" t="n"/>
      <c r="V1875" s="3" t="n"/>
      <c r="W1875" s="3" t="n"/>
      <c r="X1875" s="3" t="n"/>
      <c r="Y1875" s="3" t="n"/>
      <c r="Z1875" s="3" t="n"/>
      <c r="AA1875" s="3" t="n"/>
    </row>
    <row r="1876">
      <c r="A1876" s="105" t="n"/>
      <c r="B1876" s="105" t="n"/>
      <c r="C1876" s="3" t="n"/>
      <c r="D1876" s="3" t="n"/>
      <c r="E1876" s="3" t="n"/>
      <c r="F1876" s="3" t="n"/>
      <c r="G1876" s="3" t="n"/>
      <c r="H1876" s="3" t="inlineStr"/>
      <c r="I1876" s="3" t="n"/>
      <c r="J1876" s="3" t="n"/>
      <c r="K1876" s="3" t="n"/>
      <c r="L1876" s="3" t="inlineStr"/>
      <c r="M1876" s="3" t="n"/>
      <c r="N1876" s="3" t="inlineStr"/>
      <c r="O1876" s="3" t="n"/>
      <c r="P1876" s="3" t="n"/>
      <c r="Q1876" s="3" t="n"/>
      <c r="R1876" s="3" t="n"/>
      <c r="S1876" s="3" t="n"/>
      <c r="T1876" s="3" t="n"/>
      <c r="U1876" s="3" t="n"/>
      <c r="V1876" s="3" t="n"/>
      <c r="W1876" s="3" t="n"/>
      <c r="X1876" s="3" t="n"/>
      <c r="Y1876" s="3" t="n"/>
      <c r="Z1876" s="3" t="n"/>
      <c r="AA1876" s="3" t="n"/>
    </row>
    <row r="1877">
      <c r="A1877" s="105" t="n"/>
      <c r="B1877" s="105" t="n"/>
      <c r="C1877" s="3" t="n"/>
      <c r="D1877" s="3" t="n"/>
      <c r="E1877" s="3" t="n"/>
      <c r="F1877" s="3" t="n"/>
      <c r="G1877" s="3" t="n"/>
      <c r="H1877" s="3" t="inlineStr"/>
      <c r="I1877" s="3" t="n"/>
      <c r="J1877" s="3" t="n"/>
      <c r="K1877" s="3" t="n"/>
      <c r="L1877" s="3" t="inlineStr"/>
      <c r="M1877" s="3" t="n"/>
      <c r="N1877" s="3" t="inlineStr"/>
      <c r="O1877" s="3" t="n"/>
      <c r="P1877" s="3" t="n"/>
      <c r="Q1877" s="3" t="n"/>
      <c r="R1877" s="3" t="n"/>
      <c r="S1877" s="3" t="n"/>
      <c r="T1877" s="3" t="n"/>
      <c r="U1877" s="3" t="n"/>
      <c r="V1877" s="3" t="n"/>
      <c r="W1877" s="3" t="n"/>
      <c r="X1877" s="3" t="n"/>
      <c r="Y1877" s="3" t="n"/>
      <c r="Z1877" s="3" t="n"/>
      <c r="AA1877" s="3" t="n"/>
    </row>
    <row r="1878">
      <c r="A1878" s="105" t="n"/>
      <c r="B1878" s="105" t="n"/>
      <c r="C1878" s="3" t="n"/>
      <c r="D1878" s="3" t="n"/>
      <c r="E1878" s="3" t="n"/>
      <c r="F1878" s="3" t="n"/>
      <c r="G1878" s="3" t="n"/>
      <c r="H1878" s="3" t="inlineStr"/>
      <c r="I1878" s="3" t="n"/>
      <c r="J1878" s="3" t="n"/>
      <c r="K1878" s="3" t="n"/>
      <c r="L1878" s="3" t="inlineStr"/>
      <c r="M1878" s="3" t="n"/>
      <c r="N1878" s="3" t="inlineStr"/>
      <c r="O1878" s="3" t="n"/>
      <c r="P1878" s="3" t="n"/>
      <c r="Q1878" s="3" t="n"/>
      <c r="R1878" s="3" t="n"/>
      <c r="S1878" s="3" t="n"/>
      <c r="T1878" s="3" t="n"/>
      <c r="U1878" s="3" t="n"/>
      <c r="V1878" s="3" t="n"/>
      <c r="W1878" s="3" t="n"/>
      <c r="X1878" s="3" t="n"/>
      <c r="Y1878" s="3" t="n"/>
      <c r="Z1878" s="3" t="n"/>
      <c r="AA1878" s="3" t="n"/>
    </row>
    <row r="1879">
      <c r="A1879" s="105" t="n"/>
      <c r="B1879" s="105" t="n"/>
      <c r="C1879" s="3" t="n"/>
      <c r="D1879" s="3" t="n"/>
      <c r="E1879" s="3" t="n"/>
      <c r="F1879" s="3" t="n"/>
      <c r="G1879" s="3" t="n"/>
      <c r="H1879" s="3" t="inlineStr"/>
      <c r="I1879" s="3" t="n"/>
      <c r="J1879" s="3" t="n"/>
      <c r="K1879" s="3" t="n"/>
      <c r="L1879" s="3" t="inlineStr"/>
      <c r="M1879" s="3" t="n"/>
      <c r="N1879" s="3" t="inlineStr"/>
      <c r="O1879" s="3" t="n"/>
      <c r="P1879" s="3" t="n"/>
      <c r="Q1879" s="3" t="n"/>
      <c r="R1879" s="3" t="n"/>
      <c r="S1879" s="3" t="n"/>
      <c r="T1879" s="3" t="n"/>
      <c r="U1879" s="3" t="n"/>
      <c r="V1879" s="3" t="n"/>
      <c r="W1879" s="3" t="n"/>
      <c r="X1879" s="3" t="n"/>
      <c r="Y1879" s="3" t="n"/>
      <c r="Z1879" s="3" t="n"/>
      <c r="AA1879" s="3" t="n"/>
    </row>
    <row r="1880">
      <c r="A1880" s="105" t="n"/>
      <c r="B1880" s="105" t="n"/>
      <c r="C1880" s="3" t="n"/>
      <c r="D1880" s="3" t="n"/>
      <c r="E1880" s="3" t="n"/>
      <c r="F1880" s="3" t="n"/>
      <c r="G1880" s="3" t="n"/>
      <c r="H1880" s="3" t="inlineStr"/>
      <c r="I1880" s="3" t="n"/>
      <c r="J1880" s="3" t="n"/>
      <c r="K1880" s="3" t="n"/>
      <c r="L1880" s="3" t="inlineStr"/>
      <c r="M1880" s="3" t="n"/>
      <c r="N1880" s="3" t="inlineStr"/>
      <c r="O1880" s="3" t="n"/>
      <c r="P1880" s="3" t="n"/>
      <c r="Q1880" s="3" t="n"/>
      <c r="R1880" s="3" t="n"/>
      <c r="S1880" s="3" t="n"/>
      <c r="T1880" s="3" t="n"/>
      <c r="U1880" s="3" t="n"/>
      <c r="V1880" s="3" t="n"/>
      <c r="W1880" s="3" t="n"/>
      <c r="X1880" s="3" t="n"/>
      <c r="Y1880" s="3" t="n"/>
      <c r="Z1880" s="3" t="n"/>
      <c r="AA1880" s="3" t="n"/>
    </row>
    <row r="1881">
      <c r="A1881" s="105" t="n"/>
      <c r="B1881" s="105" t="n"/>
      <c r="C1881" s="3" t="n"/>
      <c r="D1881" s="3" t="n"/>
      <c r="E1881" s="3" t="n"/>
      <c r="F1881" s="3" t="n"/>
      <c r="G1881" s="3" t="n"/>
      <c r="H1881" s="3" t="inlineStr"/>
      <c r="I1881" s="3" t="n"/>
      <c r="J1881" s="3" t="n"/>
      <c r="K1881" s="3" t="n"/>
      <c r="L1881" s="3" t="inlineStr"/>
      <c r="M1881" s="3" t="n"/>
      <c r="N1881" s="3" t="inlineStr"/>
      <c r="O1881" s="3" t="n"/>
      <c r="P1881" s="3" t="n"/>
      <c r="Q1881" s="3" t="n"/>
      <c r="R1881" s="3" t="n"/>
      <c r="S1881" s="3" t="n"/>
      <c r="T1881" s="3" t="n"/>
      <c r="U1881" s="3" t="n"/>
      <c r="V1881" s="3" t="n"/>
      <c r="W1881" s="3" t="n"/>
      <c r="X1881" s="3" t="n"/>
      <c r="Y1881" s="3" t="n"/>
      <c r="Z1881" s="3" t="n"/>
      <c r="AA1881" s="3" t="n"/>
    </row>
    <row r="1882">
      <c r="A1882" s="105" t="n"/>
      <c r="B1882" s="105" t="n"/>
      <c r="C1882" s="3" t="n"/>
      <c r="D1882" s="3" t="n"/>
      <c r="E1882" s="3" t="n"/>
      <c r="F1882" s="3" t="n"/>
      <c r="G1882" s="3" t="n"/>
      <c r="H1882" s="3" t="inlineStr"/>
      <c r="I1882" s="3" t="n"/>
      <c r="J1882" s="3" t="n"/>
      <c r="K1882" s="3" t="n"/>
      <c r="L1882" s="3" t="inlineStr"/>
      <c r="M1882" s="3" t="n"/>
      <c r="N1882" s="3" t="inlineStr"/>
      <c r="O1882" s="3" t="n"/>
      <c r="P1882" s="3" t="n"/>
      <c r="Q1882" s="3" t="n"/>
      <c r="R1882" s="3" t="n"/>
      <c r="S1882" s="3" t="n"/>
      <c r="T1882" s="3" t="n"/>
      <c r="U1882" s="3" t="n"/>
      <c r="V1882" s="3" t="n"/>
      <c r="W1882" s="3" t="n"/>
      <c r="X1882" s="3" t="n"/>
      <c r="Y1882" s="3" t="n"/>
      <c r="Z1882" s="3" t="n"/>
      <c r="AA1882" s="3" t="n"/>
    </row>
    <row r="1883">
      <c r="A1883" s="105" t="n"/>
      <c r="B1883" s="105" t="n"/>
      <c r="C1883" s="3" t="n"/>
      <c r="D1883" s="3" t="n"/>
      <c r="E1883" s="3" t="n"/>
      <c r="F1883" s="3" t="n"/>
      <c r="G1883" s="3" t="n"/>
      <c r="H1883" s="3" t="inlineStr"/>
      <c r="I1883" s="3" t="n"/>
      <c r="J1883" s="3" t="n"/>
      <c r="K1883" s="3" t="n"/>
      <c r="L1883" s="3" t="inlineStr"/>
      <c r="M1883" s="3" t="n"/>
      <c r="N1883" s="3" t="inlineStr"/>
      <c r="O1883" s="3" t="n"/>
      <c r="P1883" s="3" t="n"/>
      <c r="Q1883" s="3" t="n"/>
      <c r="R1883" s="3" t="n"/>
      <c r="S1883" s="3" t="n"/>
      <c r="T1883" s="3" t="n"/>
      <c r="U1883" s="3" t="n"/>
      <c r="V1883" s="3" t="n"/>
      <c r="W1883" s="3" t="n"/>
      <c r="X1883" s="3" t="n"/>
      <c r="Y1883" s="3" t="n"/>
      <c r="Z1883" s="3" t="n"/>
      <c r="AA1883" s="3" t="n"/>
    </row>
    <row r="1884">
      <c r="A1884" s="105" t="n"/>
      <c r="B1884" s="105" t="n"/>
      <c r="C1884" s="3" t="n"/>
      <c r="D1884" s="3" t="n"/>
      <c r="E1884" s="3" t="n"/>
      <c r="F1884" s="3" t="n"/>
      <c r="G1884" s="3" t="n"/>
      <c r="H1884" s="3" t="inlineStr"/>
      <c r="I1884" s="3" t="n"/>
      <c r="J1884" s="3" t="n"/>
      <c r="K1884" s="3" t="n"/>
      <c r="L1884" s="3" t="inlineStr"/>
      <c r="M1884" s="3" t="n"/>
      <c r="N1884" s="3" t="inlineStr"/>
      <c r="O1884" s="3" t="n"/>
      <c r="P1884" s="3" t="n"/>
      <c r="Q1884" s="3" t="n"/>
      <c r="R1884" s="3" t="n"/>
      <c r="S1884" s="3" t="n"/>
      <c r="T1884" s="3" t="n"/>
      <c r="U1884" s="3" t="n"/>
      <c r="V1884" s="3" t="n"/>
      <c r="W1884" s="3" t="n"/>
      <c r="X1884" s="3" t="n"/>
      <c r="Y1884" s="3" t="n"/>
      <c r="Z1884" s="3" t="n"/>
      <c r="AA1884" s="3" t="n"/>
    </row>
    <row r="1885">
      <c r="A1885" s="105" t="n"/>
      <c r="B1885" s="105" t="n"/>
      <c r="C1885" s="3" t="n"/>
      <c r="D1885" s="3" t="n"/>
      <c r="E1885" s="3" t="n"/>
      <c r="F1885" s="3" t="n"/>
      <c r="G1885" s="3" t="n"/>
      <c r="H1885" s="3" t="inlineStr"/>
      <c r="I1885" s="3" t="n"/>
      <c r="J1885" s="3" t="n"/>
      <c r="K1885" s="3" t="n"/>
      <c r="L1885" s="3" t="inlineStr"/>
      <c r="M1885" s="3" t="n"/>
      <c r="N1885" s="3" t="inlineStr"/>
      <c r="O1885" s="3" t="n"/>
      <c r="P1885" s="3" t="n"/>
      <c r="Q1885" s="3" t="n"/>
      <c r="R1885" s="3" t="n"/>
      <c r="S1885" s="3" t="n"/>
      <c r="T1885" s="3" t="n"/>
      <c r="U1885" s="3" t="n"/>
      <c r="V1885" s="3" t="n"/>
      <c r="W1885" s="3" t="n"/>
      <c r="X1885" s="3" t="n"/>
      <c r="Y1885" s="3" t="n"/>
      <c r="Z1885" s="3" t="n"/>
      <c r="AA1885" s="3" t="n"/>
    </row>
    <row r="1886">
      <c r="A1886" s="105" t="n"/>
      <c r="B1886" s="105" t="n"/>
      <c r="C1886" s="3" t="n"/>
      <c r="D1886" s="3" t="n"/>
      <c r="E1886" s="3" t="n"/>
      <c r="F1886" s="3" t="n"/>
      <c r="G1886" s="3" t="n"/>
      <c r="H1886" s="3" t="inlineStr"/>
      <c r="I1886" s="3" t="n"/>
      <c r="J1886" s="3" t="n"/>
      <c r="K1886" s="3" t="n"/>
      <c r="L1886" s="3" t="inlineStr"/>
      <c r="M1886" s="3" t="n"/>
      <c r="N1886" s="3" t="inlineStr"/>
      <c r="O1886" s="3" t="n"/>
      <c r="P1886" s="3" t="n"/>
      <c r="Q1886" s="3" t="n"/>
      <c r="R1886" s="3" t="n"/>
      <c r="S1886" s="3" t="n"/>
      <c r="T1886" s="3" t="n"/>
      <c r="U1886" s="3" t="n"/>
      <c r="V1886" s="3" t="n"/>
      <c r="W1886" s="3" t="n"/>
      <c r="X1886" s="3" t="n"/>
      <c r="Y1886" s="3" t="n"/>
      <c r="Z1886" s="3" t="n"/>
      <c r="AA1886" s="3" t="n"/>
    </row>
    <row r="1887">
      <c r="A1887" s="105" t="n"/>
      <c r="B1887" s="105" t="n"/>
      <c r="C1887" s="3" t="n"/>
      <c r="D1887" s="3" t="n"/>
      <c r="E1887" s="3" t="n"/>
      <c r="F1887" s="3" t="n"/>
      <c r="G1887" s="3" t="n"/>
      <c r="H1887" s="3" t="inlineStr"/>
      <c r="I1887" s="3" t="n"/>
      <c r="J1887" s="3" t="n"/>
      <c r="K1887" s="3" t="n"/>
      <c r="L1887" s="3" t="inlineStr"/>
      <c r="M1887" s="3" t="n"/>
      <c r="N1887" s="3" t="inlineStr"/>
      <c r="O1887" s="3" t="n"/>
      <c r="P1887" s="3" t="n"/>
      <c r="Q1887" s="3" t="n"/>
      <c r="R1887" s="3" t="n"/>
      <c r="S1887" s="3" t="n"/>
      <c r="T1887" s="3" t="n"/>
      <c r="U1887" s="3" t="n"/>
      <c r="V1887" s="3" t="n"/>
      <c r="W1887" s="3" t="n"/>
      <c r="X1887" s="3" t="n"/>
      <c r="Y1887" s="3" t="n"/>
      <c r="Z1887" s="3" t="n"/>
      <c r="AA1887" s="3" t="n"/>
    </row>
    <row r="1888">
      <c r="A1888" s="105" t="n"/>
      <c r="B1888" s="105" t="n"/>
      <c r="C1888" s="3" t="n"/>
      <c r="D1888" s="3" t="n"/>
      <c r="E1888" s="3" t="n"/>
      <c r="F1888" s="3" t="n"/>
      <c r="G1888" s="3" t="n"/>
      <c r="H1888" s="3" t="inlineStr"/>
      <c r="I1888" s="3" t="n"/>
      <c r="J1888" s="3" t="n"/>
      <c r="K1888" s="3" t="n"/>
      <c r="L1888" s="3" t="inlineStr"/>
      <c r="M1888" s="3" t="n"/>
      <c r="N1888" s="3" t="inlineStr"/>
      <c r="O1888" s="3" t="n"/>
      <c r="P1888" s="3" t="n"/>
      <c r="Q1888" s="3" t="n"/>
      <c r="R1888" s="3" t="n"/>
      <c r="S1888" s="3" t="n"/>
      <c r="T1888" s="3" t="n"/>
      <c r="U1888" s="3" t="n"/>
      <c r="V1888" s="3" t="n"/>
      <c r="W1888" s="3" t="n"/>
      <c r="X1888" s="3" t="n"/>
      <c r="Y1888" s="3" t="n"/>
      <c r="Z1888" s="3" t="n"/>
      <c r="AA1888" s="3" t="n"/>
    </row>
    <row r="1889">
      <c r="A1889" s="105" t="n"/>
      <c r="B1889" s="105" t="n"/>
      <c r="C1889" s="3" t="n"/>
      <c r="D1889" s="3" t="n"/>
      <c r="E1889" s="3" t="n"/>
      <c r="F1889" s="3" t="n"/>
      <c r="G1889" s="3" t="n"/>
      <c r="H1889" s="3" t="inlineStr"/>
      <c r="I1889" s="3" t="n"/>
      <c r="J1889" s="3" t="n"/>
      <c r="K1889" s="3" t="n"/>
      <c r="L1889" s="3" t="inlineStr"/>
      <c r="M1889" s="3" t="n"/>
      <c r="N1889" s="3" t="inlineStr"/>
      <c r="O1889" s="3" t="n"/>
      <c r="P1889" s="3" t="n"/>
      <c r="Q1889" s="3" t="n"/>
      <c r="R1889" s="3" t="n"/>
      <c r="S1889" s="3" t="n"/>
      <c r="T1889" s="3" t="n"/>
      <c r="U1889" s="3" t="n"/>
      <c r="V1889" s="3" t="n"/>
      <c r="W1889" s="3" t="n"/>
      <c r="X1889" s="3" t="n"/>
      <c r="Y1889" s="3" t="n"/>
      <c r="Z1889" s="3" t="n"/>
      <c r="AA1889" s="3" t="n"/>
    </row>
    <row r="1890">
      <c r="A1890" s="105" t="n"/>
      <c r="B1890" s="105" t="n"/>
      <c r="C1890" s="3" t="n"/>
      <c r="D1890" s="3" t="n"/>
      <c r="E1890" s="3" t="n"/>
      <c r="F1890" s="3" t="n"/>
      <c r="G1890" s="3" t="n"/>
      <c r="H1890" s="3" t="inlineStr"/>
      <c r="I1890" s="3" t="n"/>
      <c r="J1890" s="3" t="n"/>
      <c r="K1890" s="3" t="n"/>
      <c r="L1890" s="3" t="inlineStr"/>
      <c r="M1890" s="3" t="n"/>
      <c r="N1890" s="3" t="inlineStr"/>
      <c r="O1890" s="3" t="n"/>
      <c r="P1890" s="3" t="n"/>
      <c r="Q1890" s="3" t="n"/>
      <c r="R1890" s="3" t="n"/>
      <c r="S1890" s="3" t="n"/>
      <c r="T1890" s="3" t="n"/>
      <c r="U1890" s="3" t="n"/>
      <c r="V1890" s="3" t="n"/>
      <c r="W1890" s="3" t="n"/>
      <c r="X1890" s="3" t="n"/>
      <c r="Y1890" s="3" t="n"/>
      <c r="Z1890" s="3" t="n"/>
      <c r="AA1890" s="3" t="n"/>
    </row>
    <row r="1891">
      <c r="A1891" s="105" t="n"/>
      <c r="B1891" s="105" t="n"/>
      <c r="C1891" s="3" t="n"/>
      <c r="D1891" s="3" t="n"/>
      <c r="E1891" s="3" t="n"/>
      <c r="F1891" s="3" t="n"/>
      <c r="G1891" s="3" t="n"/>
      <c r="H1891" s="3" t="inlineStr"/>
      <c r="I1891" s="3" t="n"/>
      <c r="J1891" s="3" t="n"/>
      <c r="K1891" s="3" t="n"/>
      <c r="L1891" s="3" t="inlineStr"/>
      <c r="M1891" s="3" t="n"/>
      <c r="N1891" s="3" t="inlineStr"/>
      <c r="O1891" s="3" t="n"/>
      <c r="P1891" s="3" t="n"/>
      <c r="Q1891" s="3" t="n"/>
      <c r="R1891" s="3" t="n"/>
      <c r="S1891" s="3" t="n"/>
      <c r="T1891" s="3" t="n"/>
      <c r="U1891" s="3" t="n"/>
      <c r="V1891" s="3" t="n"/>
      <c r="W1891" s="3" t="n"/>
      <c r="X1891" s="3" t="n"/>
      <c r="Y1891" s="3" t="n"/>
      <c r="Z1891" s="3" t="n"/>
      <c r="AA1891" s="3" t="n"/>
    </row>
    <row r="1892">
      <c r="A1892" s="105" t="n"/>
      <c r="B1892" s="105" t="n"/>
      <c r="C1892" s="3" t="n"/>
      <c r="D1892" s="3" t="n"/>
      <c r="E1892" s="3" t="n"/>
      <c r="F1892" s="3" t="n"/>
      <c r="G1892" s="3" t="n"/>
      <c r="H1892" s="3" t="inlineStr"/>
      <c r="I1892" s="3" t="n"/>
      <c r="J1892" s="3" t="n"/>
      <c r="K1892" s="3" t="n"/>
      <c r="L1892" s="3" t="inlineStr"/>
      <c r="M1892" s="3" t="n"/>
      <c r="N1892" s="3" t="inlineStr"/>
      <c r="O1892" s="3" t="n"/>
      <c r="P1892" s="3" t="n"/>
      <c r="Q1892" s="3" t="n"/>
      <c r="R1892" s="3" t="n"/>
      <c r="S1892" s="3" t="n"/>
      <c r="T1892" s="3" t="n"/>
      <c r="U1892" s="3" t="n"/>
      <c r="V1892" s="3" t="n"/>
      <c r="W1892" s="3" t="n"/>
      <c r="X1892" s="3" t="n"/>
      <c r="Y1892" s="3" t="n"/>
      <c r="Z1892" s="3" t="n"/>
      <c r="AA1892" s="3" t="n"/>
    </row>
    <row r="1893">
      <c r="A1893" s="105" t="n"/>
      <c r="B1893" s="105" t="n"/>
      <c r="C1893" s="3" t="n"/>
      <c r="D1893" s="3" t="n"/>
      <c r="E1893" s="3" t="n"/>
      <c r="F1893" s="3" t="n"/>
      <c r="G1893" s="3" t="n"/>
      <c r="H1893" s="3" t="inlineStr"/>
      <c r="I1893" s="3" t="n"/>
      <c r="J1893" s="3" t="n"/>
      <c r="K1893" s="3" t="n"/>
      <c r="L1893" s="3" t="inlineStr"/>
      <c r="M1893" s="3" t="n"/>
      <c r="N1893" s="3" t="inlineStr"/>
      <c r="O1893" s="3" t="n"/>
      <c r="P1893" s="3" t="n"/>
      <c r="Q1893" s="3" t="n"/>
      <c r="R1893" s="3" t="n"/>
      <c r="S1893" s="3" t="n"/>
      <c r="T1893" s="3" t="n"/>
      <c r="U1893" s="3" t="n"/>
      <c r="V1893" s="3" t="n"/>
      <c r="W1893" s="3" t="n"/>
      <c r="X1893" s="3" t="n"/>
      <c r="Y1893" s="3" t="n"/>
      <c r="Z1893" s="3" t="n"/>
      <c r="AA1893" s="3" t="n"/>
    </row>
    <row r="1894">
      <c r="A1894" s="105" t="n"/>
      <c r="B1894" s="105" t="n"/>
      <c r="C1894" s="3" t="n"/>
      <c r="D1894" s="3" t="n"/>
      <c r="E1894" s="3" t="n"/>
      <c r="F1894" s="3" t="n"/>
      <c r="G1894" s="3" t="n"/>
      <c r="H1894" s="3" t="inlineStr"/>
      <c r="I1894" s="3" t="n"/>
      <c r="J1894" s="3" t="n"/>
      <c r="K1894" s="3" t="n"/>
      <c r="L1894" s="3" t="inlineStr"/>
      <c r="M1894" s="3" t="n"/>
      <c r="N1894" s="3" t="inlineStr"/>
      <c r="O1894" s="3" t="n"/>
      <c r="P1894" s="3" t="n"/>
      <c r="Q1894" s="3" t="n"/>
      <c r="R1894" s="3" t="n"/>
      <c r="S1894" s="3" t="n"/>
      <c r="T1894" s="3" t="n"/>
      <c r="U1894" s="3" t="n"/>
      <c r="V1894" s="3" t="n"/>
      <c r="W1894" s="3" t="n"/>
      <c r="X1894" s="3" t="n"/>
      <c r="Y1894" s="3" t="n"/>
      <c r="Z1894" s="3" t="n"/>
      <c r="AA1894" s="3" t="n"/>
    </row>
    <row r="1895">
      <c r="A1895" s="105" t="n"/>
      <c r="B1895" s="105" t="n"/>
      <c r="C1895" s="3" t="n"/>
      <c r="D1895" s="3" t="n"/>
      <c r="E1895" s="3" t="n"/>
      <c r="F1895" s="3" t="n"/>
      <c r="G1895" s="3" t="n"/>
      <c r="H1895" s="3" t="inlineStr"/>
      <c r="I1895" s="3" t="n"/>
      <c r="J1895" s="3" t="n"/>
      <c r="K1895" s="3" t="n"/>
      <c r="L1895" s="3" t="inlineStr"/>
      <c r="M1895" s="3" t="n"/>
      <c r="N1895" s="3" t="inlineStr"/>
      <c r="O1895" s="3" t="n"/>
      <c r="P1895" s="3" t="n"/>
      <c r="Q1895" s="3" t="n"/>
      <c r="R1895" s="3" t="n"/>
      <c r="S1895" s="3" t="n"/>
      <c r="T1895" s="3" t="n"/>
      <c r="U1895" s="3" t="n"/>
      <c r="V1895" s="3" t="n"/>
      <c r="W1895" s="3" t="n"/>
      <c r="X1895" s="3" t="n"/>
      <c r="Y1895" s="3" t="n"/>
      <c r="Z1895" s="3" t="n"/>
      <c r="AA1895" s="3" t="n"/>
    </row>
    <row r="1896">
      <c r="A1896" s="105" t="n"/>
      <c r="B1896" s="105" t="n"/>
      <c r="C1896" s="3" t="n"/>
      <c r="D1896" s="3" t="n"/>
      <c r="E1896" s="3" t="n"/>
      <c r="F1896" s="3" t="n"/>
      <c r="G1896" s="3" t="n"/>
      <c r="H1896" s="3" t="inlineStr"/>
      <c r="I1896" s="3" t="n"/>
      <c r="J1896" s="3" t="n"/>
      <c r="K1896" s="3" t="n"/>
      <c r="L1896" s="3" t="inlineStr"/>
      <c r="M1896" s="3" t="n"/>
      <c r="N1896" s="3" t="inlineStr"/>
      <c r="O1896" s="3" t="n"/>
      <c r="P1896" s="3" t="n"/>
      <c r="Q1896" s="3" t="n"/>
      <c r="R1896" s="3" t="n"/>
      <c r="S1896" s="3" t="n"/>
      <c r="T1896" s="3" t="n"/>
      <c r="U1896" s="3" t="n"/>
      <c r="V1896" s="3" t="n"/>
      <c r="W1896" s="3" t="n"/>
      <c r="X1896" s="3" t="n"/>
      <c r="Y1896" s="3" t="n"/>
      <c r="Z1896" s="3" t="n"/>
      <c r="AA1896" s="3" t="n"/>
    </row>
    <row r="1897">
      <c r="A1897" s="105" t="n"/>
      <c r="B1897" s="105" t="n"/>
      <c r="C1897" s="3" t="n"/>
      <c r="D1897" s="3" t="n"/>
      <c r="E1897" s="3" t="n"/>
      <c r="F1897" s="3" t="n"/>
      <c r="G1897" s="3" t="n"/>
      <c r="H1897" s="3" t="inlineStr"/>
      <c r="I1897" s="3" t="n"/>
      <c r="J1897" s="3" t="n"/>
      <c r="K1897" s="3" t="n"/>
      <c r="L1897" s="3" t="inlineStr"/>
      <c r="M1897" s="3" t="n"/>
      <c r="N1897" s="3" t="inlineStr"/>
      <c r="O1897" s="3" t="n"/>
      <c r="P1897" s="3" t="n"/>
      <c r="Q1897" s="3" t="n"/>
      <c r="R1897" s="3" t="n"/>
      <c r="S1897" s="3" t="n"/>
      <c r="T1897" s="3" t="n"/>
      <c r="U1897" s="3" t="n"/>
      <c r="V1897" s="3" t="n"/>
      <c r="W1897" s="3" t="n"/>
      <c r="X1897" s="3" t="n"/>
      <c r="Y1897" s="3" t="n"/>
      <c r="Z1897" s="3" t="n"/>
      <c r="AA1897" s="3" t="n"/>
    </row>
    <row r="1898">
      <c r="A1898" s="105" t="n"/>
      <c r="B1898" s="105" t="n"/>
      <c r="C1898" s="3" t="n"/>
      <c r="D1898" s="3" t="n"/>
      <c r="E1898" s="3" t="n"/>
      <c r="F1898" s="3" t="n"/>
      <c r="G1898" s="3" t="n"/>
      <c r="H1898" s="3" t="inlineStr"/>
      <c r="I1898" s="3" t="n"/>
      <c r="J1898" s="3" t="n"/>
      <c r="K1898" s="3" t="n"/>
      <c r="L1898" s="3" t="inlineStr"/>
      <c r="M1898" s="3" t="n"/>
      <c r="N1898" s="3" t="inlineStr"/>
      <c r="O1898" s="3" t="n"/>
      <c r="P1898" s="3" t="n"/>
      <c r="Q1898" s="3" t="n"/>
      <c r="R1898" s="3" t="n"/>
      <c r="S1898" s="3" t="n"/>
      <c r="T1898" s="3" t="n"/>
      <c r="U1898" s="3" t="n"/>
      <c r="V1898" s="3" t="n"/>
      <c r="W1898" s="3" t="n"/>
      <c r="X1898" s="3" t="n"/>
      <c r="Y1898" s="3" t="n"/>
      <c r="Z1898" s="3" t="n"/>
      <c r="AA1898" s="3" t="n"/>
    </row>
    <row r="1899">
      <c r="A1899" s="105" t="n"/>
      <c r="B1899" s="105" t="n"/>
      <c r="C1899" s="3" t="n"/>
      <c r="D1899" s="3" t="n"/>
      <c r="E1899" s="3" t="n"/>
      <c r="F1899" s="3" t="n"/>
      <c r="G1899" s="3" t="n"/>
      <c r="H1899" s="3" t="inlineStr"/>
      <c r="I1899" s="3" t="n"/>
      <c r="J1899" s="3" t="n"/>
      <c r="K1899" s="3" t="n"/>
      <c r="L1899" s="3" t="inlineStr"/>
      <c r="M1899" s="3" t="n"/>
      <c r="N1899" s="3" t="inlineStr"/>
      <c r="O1899" s="3" t="n"/>
      <c r="P1899" s="3" t="n"/>
      <c r="Q1899" s="3" t="n"/>
      <c r="R1899" s="3" t="n"/>
      <c r="S1899" s="3" t="n"/>
      <c r="T1899" s="3" t="n"/>
      <c r="U1899" s="3" t="n"/>
      <c r="V1899" s="3" t="n"/>
      <c r="W1899" s="3" t="n"/>
      <c r="X1899" s="3" t="n"/>
      <c r="Y1899" s="3" t="n"/>
      <c r="Z1899" s="3" t="n"/>
      <c r="AA1899" s="3" t="n"/>
    </row>
    <row r="1900">
      <c r="A1900" s="105" t="n"/>
      <c r="B1900" s="105" t="n"/>
      <c r="C1900" s="3" t="n"/>
      <c r="D1900" s="3" t="n"/>
      <c r="E1900" s="3" t="n"/>
      <c r="F1900" s="3" t="n"/>
      <c r="G1900" s="3" t="n"/>
      <c r="H1900" s="3" t="inlineStr"/>
      <c r="I1900" s="3" t="n"/>
      <c r="J1900" s="3" t="n"/>
      <c r="K1900" s="3" t="n"/>
      <c r="L1900" s="3" t="inlineStr"/>
      <c r="M1900" s="3" t="n"/>
      <c r="N1900" s="3" t="inlineStr"/>
      <c r="O1900" s="3" t="n"/>
      <c r="P1900" s="3" t="n"/>
      <c r="Q1900" s="3" t="n"/>
      <c r="R1900" s="3" t="n"/>
      <c r="S1900" s="3" t="n"/>
      <c r="T1900" s="3" t="n"/>
      <c r="U1900" s="3" t="n"/>
      <c r="V1900" s="3" t="n"/>
      <c r="W1900" s="3" t="n"/>
      <c r="X1900" s="3" t="n"/>
      <c r="Y1900" s="3" t="n"/>
      <c r="Z1900" s="3" t="n"/>
      <c r="AA1900" s="3" t="n"/>
    </row>
    <row r="1901">
      <c r="A1901" s="105" t="n"/>
      <c r="B1901" s="105" t="n"/>
      <c r="C1901" s="3" t="n"/>
      <c r="D1901" s="3" t="n"/>
      <c r="E1901" s="3" t="n"/>
      <c r="F1901" s="3" t="n"/>
      <c r="G1901" s="3" t="n"/>
      <c r="H1901" s="3" t="inlineStr"/>
      <c r="I1901" s="3" t="n"/>
      <c r="J1901" s="3" t="n"/>
      <c r="K1901" s="3" t="n"/>
      <c r="L1901" s="3" t="inlineStr"/>
      <c r="M1901" s="3" t="n"/>
      <c r="N1901" s="3" t="inlineStr"/>
      <c r="O1901" s="3" t="n"/>
      <c r="P1901" s="3" t="n"/>
      <c r="Q1901" s="3" t="n"/>
      <c r="R1901" s="3" t="n"/>
      <c r="S1901" s="3" t="n"/>
      <c r="T1901" s="3" t="n"/>
      <c r="U1901" s="3" t="n"/>
      <c r="V1901" s="3" t="n"/>
      <c r="W1901" s="3" t="n"/>
      <c r="X1901" s="3" t="n"/>
      <c r="Y1901" s="3" t="n"/>
      <c r="Z1901" s="3" t="n"/>
      <c r="AA1901" s="3" t="n"/>
    </row>
    <row r="1902">
      <c r="A1902" s="105" t="n"/>
      <c r="B1902" s="105" t="n"/>
      <c r="C1902" s="3" t="n"/>
      <c r="D1902" s="3" t="n"/>
      <c r="E1902" s="3" t="n"/>
      <c r="F1902" s="3" t="n"/>
      <c r="G1902" s="3" t="n"/>
      <c r="H1902" s="3" t="inlineStr"/>
      <c r="I1902" s="3" t="n"/>
      <c r="J1902" s="3" t="n"/>
      <c r="K1902" s="3" t="n"/>
      <c r="L1902" s="3" t="inlineStr"/>
      <c r="M1902" s="3" t="n"/>
      <c r="N1902" s="3" t="inlineStr"/>
      <c r="O1902" s="3" t="n"/>
      <c r="P1902" s="3" t="n"/>
      <c r="Q1902" s="3" t="n"/>
      <c r="R1902" s="3" t="n"/>
      <c r="S1902" s="3" t="n"/>
      <c r="T1902" s="3" t="n"/>
      <c r="U1902" s="3" t="n"/>
      <c r="V1902" s="3" t="n"/>
      <c r="W1902" s="3" t="n"/>
      <c r="X1902" s="3" t="n"/>
      <c r="Y1902" s="3" t="n"/>
      <c r="Z1902" s="3" t="n"/>
      <c r="AA1902" s="3" t="n"/>
    </row>
    <row r="1903">
      <c r="A1903" s="105" t="n"/>
      <c r="B1903" s="105" t="n"/>
      <c r="C1903" s="3" t="n"/>
      <c r="D1903" s="3" t="n"/>
      <c r="E1903" s="3" t="n"/>
      <c r="F1903" s="3" t="n"/>
      <c r="G1903" s="3" t="n"/>
      <c r="H1903" s="3" t="inlineStr"/>
      <c r="I1903" s="3" t="n"/>
      <c r="J1903" s="3" t="n"/>
      <c r="K1903" s="3" t="n"/>
      <c r="L1903" s="3" t="inlineStr"/>
      <c r="M1903" s="3" t="n"/>
      <c r="N1903" s="3" t="inlineStr"/>
      <c r="O1903" s="3" t="n"/>
      <c r="P1903" s="3" t="n"/>
      <c r="Q1903" s="3" t="n"/>
      <c r="R1903" s="3" t="n"/>
      <c r="S1903" s="3" t="n"/>
      <c r="T1903" s="3" t="n"/>
      <c r="U1903" s="3" t="n"/>
      <c r="V1903" s="3" t="n"/>
      <c r="W1903" s="3" t="n"/>
      <c r="X1903" s="3" t="n"/>
      <c r="Y1903" s="3" t="n"/>
      <c r="Z1903" s="3" t="n"/>
      <c r="AA1903" s="3" t="n"/>
    </row>
    <row r="1904">
      <c r="A1904" s="105" t="n"/>
      <c r="B1904" s="105" t="n"/>
      <c r="C1904" s="3" t="n"/>
      <c r="D1904" s="3" t="n"/>
      <c r="E1904" s="3" t="n"/>
      <c r="F1904" s="3" t="n"/>
      <c r="G1904" s="3" t="n"/>
      <c r="H1904" s="3" t="inlineStr"/>
      <c r="I1904" s="3" t="n"/>
      <c r="J1904" s="3" t="n"/>
      <c r="K1904" s="3" t="n"/>
      <c r="L1904" s="3" t="inlineStr"/>
      <c r="M1904" s="3" t="n"/>
      <c r="N1904" s="3" t="inlineStr"/>
      <c r="O1904" s="3" t="n"/>
      <c r="P1904" s="3" t="n"/>
      <c r="Q1904" s="3" t="n"/>
      <c r="R1904" s="3" t="n"/>
      <c r="S1904" s="3" t="n"/>
      <c r="T1904" s="3" t="n"/>
      <c r="U1904" s="3" t="n"/>
      <c r="V1904" s="3" t="n"/>
      <c r="W1904" s="3" t="n"/>
      <c r="X1904" s="3" t="n"/>
      <c r="Y1904" s="3" t="n"/>
      <c r="Z1904" s="3" t="n"/>
      <c r="AA1904" s="3" t="n"/>
    </row>
    <row r="1905">
      <c r="A1905" s="105" t="n"/>
      <c r="B1905" s="105" t="n"/>
      <c r="C1905" s="3" t="n"/>
      <c r="D1905" s="3" t="n"/>
      <c r="E1905" s="3" t="n"/>
      <c r="F1905" s="3" t="n"/>
      <c r="G1905" s="3" t="n"/>
      <c r="H1905" s="3" t="inlineStr"/>
      <c r="I1905" s="3" t="n"/>
      <c r="J1905" s="3" t="n"/>
      <c r="K1905" s="3" t="n"/>
      <c r="L1905" s="3" t="inlineStr"/>
      <c r="M1905" s="3" t="n"/>
      <c r="N1905" s="3" t="inlineStr"/>
      <c r="O1905" s="3" t="n"/>
      <c r="P1905" s="3" t="n"/>
      <c r="Q1905" s="3" t="n"/>
      <c r="R1905" s="3" t="n"/>
      <c r="S1905" s="3" t="n"/>
      <c r="T1905" s="3" t="n"/>
      <c r="U1905" s="3" t="n"/>
      <c r="V1905" s="3" t="n"/>
      <c r="W1905" s="3" t="n"/>
      <c r="X1905" s="3" t="n"/>
      <c r="Y1905" s="3" t="n"/>
      <c r="Z1905" s="3" t="n"/>
      <c r="AA1905" s="3" t="n"/>
    </row>
    <row r="1906">
      <c r="A1906" s="105" t="n"/>
      <c r="B1906" s="105" t="n"/>
      <c r="C1906" s="3" t="n"/>
      <c r="D1906" s="3" t="n"/>
      <c r="E1906" s="3" t="n"/>
      <c r="F1906" s="3" t="n"/>
      <c r="G1906" s="3" t="n"/>
      <c r="H1906" s="3" t="inlineStr"/>
      <c r="I1906" s="3" t="n"/>
      <c r="J1906" s="3" t="n"/>
      <c r="K1906" s="3" t="n"/>
      <c r="L1906" s="3" t="inlineStr"/>
      <c r="M1906" s="3" t="n"/>
      <c r="N1906" s="3" t="inlineStr"/>
      <c r="O1906" s="3" t="n"/>
      <c r="P1906" s="3" t="n"/>
      <c r="Q1906" s="3" t="n"/>
      <c r="R1906" s="3" t="n"/>
      <c r="S1906" s="3" t="n"/>
      <c r="T1906" s="3" t="n"/>
      <c r="U1906" s="3" t="n"/>
      <c r="V1906" s="3" t="n"/>
      <c r="W1906" s="3" t="n"/>
      <c r="X1906" s="3" t="n"/>
      <c r="Y1906" s="3" t="n"/>
      <c r="Z1906" s="3" t="n"/>
      <c r="AA1906" s="3" t="n"/>
    </row>
    <row r="1907">
      <c r="A1907" s="105" t="n"/>
      <c r="B1907" s="105" t="n"/>
      <c r="C1907" s="3" t="n"/>
      <c r="D1907" s="3" t="n"/>
      <c r="E1907" s="3" t="n"/>
      <c r="F1907" s="3" t="n"/>
      <c r="G1907" s="3" t="n"/>
      <c r="H1907" s="3" t="inlineStr"/>
      <c r="I1907" s="3" t="n"/>
      <c r="J1907" s="3" t="n"/>
      <c r="K1907" s="3" t="n"/>
      <c r="L1907" s="3" t="inlineStr"/>
      <c r="M1907" s="3" t="n"/>
      <c r="N1907" s="3" t="inlineStr"/>
      <c r="O1907" s="3" t="n"/>
      <c r="P1907" s="3" t="n"/>
      <c r="Q1907" s="3" t="n"/>
      <c r="R1907" s="3" t="n"/>
      <c r="S1907" s="3" t="n"/>
      <c r="T1907" s="3" t="n"/>
      <c r="U1907" s="3" t="n"/>
      <c r="V1907" s="3" t="n"/>
      <c r="W1907" s="3" t="n"/>
      <c r="X1907" s="3" t="n"/>
      <c r="Y1907" s="3" t="n"/>
      <c r="Z1907" s="3" t="n"/>
      <c r="AA1907" s="3" t="n"/>
    </row>
    <row r="1908">
      <c r="A1908" s="105" t="n"/>
      <c r="B1908" s="105" t="n"/>
      <c r="C1908" s="3" t="n"/>
      <c r="D1908" s="3" t="n"/>
      <c r="E1908" s="3" t="n"/>
      <c r="F1908" s="3" t="n"/>
      <c r="G1908" s="3" t="n"/>
      <c r="H1908" s="3" t="inlineStr"/>
      <c r="I1908" s="3" t="n"/>
      <c r="J1908" s="3" t="n"/>
      <c r="K1908" s="3" t="n"/>
      <c r="L1908" s="3" t="inlineStr"/>
      <c r="M1908" s="3" t="n"/>
      <c r="N1908" s="3" t="inlineStr"/>
      <c r="O1908" s="3" t="n"/>
      <c r="P1908" s="3" t="n"/>
      <c r="Q1908" s="3" t="n"/>
      <c r="R1908" s="3" t="n"/>
      <c r="S1908" s="3" t="n"/>
      <c r="T1908" s="3" t="n"/>
      <c r="U1908" s="3" t="n"/>
      <c r="V1908" s="3" t="n"/>
      <c r="W1908" s="3" t="n"/>
      <c r="X1908" s="3" t="n"/>
      <c r="Y1908" s="3" t="n"/>
      <c r="Z1908" s="3" t="n"/>
      <c r="AA1908" s="3" t="n"/>
    </row>
    <row r="1909">
      <c r="A1909" s="105" t="n"/>
      <c r="B1909" s="105" t="n"/>
      <c r="C1909" s="3" t="n"/>
      <c r="D1909" s="3" t="n"/>
      <c r="E1909" s="3" t="n"/>
      <c r="F1909" s="3" t="n"/>
      <c r="G1909" s="3" t="n"/>
      <c r="H1909" s="3" t="inlineStr"/>
      <c r="I1909" s="3" t="n"/>
      <c r="J1909" s="3" t="n"/>
      <c r="K1909" s="3" t="n"/>
      <c r="L1909" s="3" t="inlineStr"/>
      <c r="M1909" s="3" t="n"/>
      <c r="N1909" s="3" t="inlineStr"/>
      <c r="O1909" s="3" t="n"/>
      <c r="P1909" s="3" t="n"/>
      <c r="Q1909" s="3" t="n"/>
      <c r="R1909" s="3" t="n"/>
      <c r="S1909" s="3" t="n"/>
      <c r="T1909" s="3" t="n"/>
      <c r="U1909" s="3" t="n"/>
      <c r="V1909" s="3" t="n"/>
      <c r="W1909" s="3" t="n"/>
      <c r="X1909" s="3" t="n"/>
      <c r="Y1909" s="3" t="n"/>
      <c r="Z1909" s="3" t="n"/>
      <c r="AA1909" s="3" t="n"/>
    </row>
    <row r="1910">
      <c r="A1910" s="105" t="n"/>
      <c r="B1910" s="105" t="n"/>
      <c r="C1910" s="3" t="n"/>
      <c r="D1910" s="3" t="n"/>
      <c r="E1910" s="3" t="n"/>
      <c r="F1910" s="3" t="n"/>
      <c r="G1910" s="3" t="n"/>
      <c r="H1910" s="3" t="inlineStr"/>
      <c r="I1910" s="3" t="n"/>
      <c r="J1910" s="3" t="n"/>
      <c r="K1910" s="3" t="n"/>
      <c r="L1910" s="3" t="inlineStr"/>
      <c r="M1910" s="3" t="n"/>
      <c r="N1910" s="3" t="inlineStr"/>
      <c r="O1910" s="3" t="n"/>
      <c r="P1910" s="3" t="n"/>
      <c r="Q1910" s="3" t="n"/>
      <c r="R1910" s="3" t="n"/>
      <c r="S1910" s="3" t="n"/>
      <c r="T1910" s="3" t="n"/>
      <c r="U1910" s="3" t="n"/>
      <c r="V1910" s="3" t="n"/>
      <c r="W1910" s="3" t="n"/>
      <c r="X1910" s="3" t="n"/>
      <c r="Y1910" s="3" t="n"/>
      <c r="Z1910" s="3" t="n"/>
      <c r="AA1910" s="3" t="n"/>
    </row>
    <row r="1911">
      <c r="A1911" s="105" t="n"/>
      <c r="B1911" s="105" t="n"/>
      <c r="C1911" s="3" t="n"/>
      <c r="D1911" s="3" t="n"/>
      <c r="E1911" s="3" t="n"/>
      <c r="F1911" s="3" t="n"/>
      <c r="G1911" s="3" t="n"/>
      <c r="H1911" s="3" t="inlineStr"/>
      <c r="I1911" s="3" t="n"/>
      <c r="J1911" s="3" t="n"/>
      <c r="K1911" s="3" t="n"/>
      <c r="L1911" s="3" t="inlineStr"/>
      <c r="M1911" s="3" t="n"/>
      <c r="N1911" s="3" t="inlineStr"/>
      <c r="O1911" s="3" t="n"/>
      <c r="P1911" s="3" t="n"/>
      <c r="Q1911" s="3" t="n"/>
      <c r="R1911" s="3" t="n"/>
      <c r="S1911" s="3" t="n"/>
      <c r="T1911" s="3" t="n"/>
      <c r="U1911" s="3" t="n"/>
      <c r="V1911" s="3" t="n"/>
      <c r="W1911" s="3" t="n"/>
      <c r="X1911" s="3" t="n"/>
      <c r="Y1911" s="3" t="n"/>
      <c r="Z1911" s="3" t="n"/>
      <c r="AA1911" s="3" t="n"/>
    </row>
    <row r="1912">
      <c r="A1912" s="105" t="n"/>
      <c r="B1912" s="105" t="n"/>
      <c r="C1912" s="3" t="n"/>
      <c r="D1912" s="3" t="n"/>
      <c r="E1912" s="3" t="n"/>
      <c r="F1912" s="3" t="n"/>
      <c r="G1912" s="3" t="n"/>
      <c r="H1912" s="3" t="inlineStr"/>
      <c r="I1912" s="3" t="n"/>
      <c r="J1912" s="3" t="n"/>
      <c r="K1912" s="3" t="n"/>
      <c r="L1912" s="3" t="inlineStr"/>
      <c r="M1912" s="3" t="n"/>
      <c r="N1912" s="3" t="inlineStr"/>
      <c r="O1912" s="3" t="n"/>
      <c r="P1912" s="3" t="n"/>
      <c r="Q1912" s="3" t="n"/>
      <c r="R1912" s="3" t="n"/>
      <c r="S1912" s="3" t="n"/>
      <c r="T1912" s="3" t="n"/>
      <c r="U1912" s="3" t="n"/>
      <c r="V1912" s="3" t="n"/>
      <c r="W1912" s="3" t="n"/>
      <c r="X1912" s="3" t="n"/>
      <c r="Y1912" s="3" t="n"/>
      <c r="Z1912" s="3" t="n"/>
      <c r="AA1912" s="3" t="n"/>
    </row>
    <row r="1913">
      <c r="A1913" s="105" t="n"/>
      <c r="B1913" s="105" t="n"/>
      <c r="C1913" s="3" t="n"/>
      <c r="D1913" s="3" t="n"/>
      <c r="E1913" s="3" t="n"/>
      <c r="F1913" s="3" t="n"/>
      <c r="G1913" s="3" t="n"/>
      <c r="H1913" s="3" t="inlineStr"/>
      <c r="I1913" s="3" t="n"/>
      <c r="J1913" s="3" t="n"/>
      <c r="K1913" s="3" t="n"/>
      <c r="L1913" s="3" t="inlineStr"/>
      <c r="M1913" s="3" t="n"/>
      <c r="N1913" s="3" t="inlineStr"/>
      <c r="O1913" s="3" t="n"/>
      <c r="P1913" s="3" t="n"/>
      <c r="Q1913" s="3" t="n"/>
      <c r="R1913" s="3" t="n"/>
      <c r="S1913" s="3" t="n"/>
      <c r="T1913" s="3" t="n"/>
      <c r="U1913" s="3" t="n"/>
      <c r="V1913" s="3" t="n"/>
      <c r="W1913" s="3" t="n"/>
      <c r="X1913" s="3" t="n"/>
      <c r="Y1913" s="3" t="n"/>
      <c r="Z1913" s="3" t="n"/>
      <c r="AA1913" s="3" t="n"/>
    </row>
    <row r="1914">
      <c r="A1914" s="105" t="n"/>
      <c r="B1914" s="105" t="n"/>
      <c r="C1914" s="3" t="n"/>
      <c r="D1914" s="3" t="n"/>
      <c r="E1914" s="3" t="n"/>
      <c r="F1914" s="3" t="n"/>
      <c r="G1914" s="3" t="n"/>
      <c r="H1914" s="3" t="inlineStr"/>
      <c r="I1914" s="3" t="n"/>
      <c r="J1914" s="3" t="n"/>
      <c r="K1914" s="3" t="n"/>
      <c r="L1914" s="3" t="inlineStr"/>
      <c r="M1914" s="3" t="n"/>
      <c r="N1914" s="3" t="inlineStr"/>
      <c r="O1914" s="3" t="n"/>
      <c r="P1914" s="3" t="n"/>
      <c r="Q1914" s="3" t="n"/>
      <c r="R1914" s="3" t="n"/>
      <c r="S1914" s="3" t="n"/>
      <c r="T1914" s="3" t="n"/>
      <c r="U1914" s="3" t="n"/>
      <c r="V1914" s="3" t="n"/>
      <c r="W1914" s="3" t="n"/>
      <c r="X1914" s="3" t="n"/>
      <c r="Y1914" s="3" t="n"/>
      <c r="Z1914" s="3" t="n"/>
      <c r="AA1914" s="3" t="n"/>
    </row>
    <row r="1915">
      <c r="A1915" s="105" t="n"/>
      <c r="B1915" s="105" t="n"/>
      <c r="C1915" s="3" t="n"/>
      <c r="D1915" s="3" t="n"/>
      <c r="E1915" s="3" t="n"/>
      <c r="F1915" s="3" t="n"/>
      <c r="G1915" s="3" t="n"/>
      <c r="H1915" s="3" t="inlineStr"/>
      <c r="I1915" s="3" t="n"/>
      <c r="J1915" s="3" t="n"/>
      <c r="K1915" s="3" t="n"/>
      <c r="L1915" s="3" t="inlineStr"/>
      <c r="M1915" s="3" t="n"/>
      <c r="N1915" s="3" t="inlineStr"/>
      <c r="O1915" s="3" t="n"/>
      <c r="P1915" s="3" t="n"/>
      <c r="Q1915" s="3" t="n"/>
      <c r="R1915" s="3" t="n"/>
      <c r="S1915" s="3" t="n"/>
      <c r="T1915" s="3" t="n"/>
      <c r="U1915" s="3" t="n"/>
      <c r="V1915" s="3" t="n"/>
      <c r="W1915" s="3" t="n"/>
      <c r="X1915" s="3" t="n"/>
      <c r="Y1915" s="3" t="n"/>
      <c r="Z1915" s="3" t="n"/>
      <c r="AA1915" s="3" t="n"/>
    </row>
    <row r="1916">
      <c r="A1916" s="105" t="n"/>
      <c r="B1916" s="105" t="n"/>
      <c r="C1916" s="3" t="n"/>
      <c r="D1916" s="3" t="n"/>
      <c r="E1916" s="3" t="n"/>
      <c r="F1916" s="3" t="n"/>
      <c r="G1916" s="3" t="n"/>
      <c r="H1916" s="3" t="inlineStr"/>
      <c r="I1916" s="3" t="n"/>
      <c r="J1916" s="3" t="n"/>
      <c r="K1916" s="3" t="n"/>
      <c r="L1916" s="3" t="inlineStr"/>
      <c r="M1916" s="3" t="n"/>
      <c r="N1916" s="3" t="inlineStr"/>
      <c r="O1916" s="3" t="n"/>
      <c r="P1916" s="3" t="n"/>
      <c r="Q1916" s="3" t="n"/>
      <c r="R1916" s="3" t="n"/>
      <c r="S1916" s="3" t="n"/>
      <c r="T1916" s="3" t="n"/>
      <c r="U1916" s="3" t="n"/>
      <c r="V1916" s="3" t="n"/>
      <c r="W1916" s="3" t="n"/>
      <c r="X1916" s="3" t="n"/>
      <c r="Y1916" s="3" t="n"/>
      <c r="Z1916" s="3" t="n"/>
      <c r="AA1916" s="3" t="n"/>
    </row>
    <row r="1917">
      <c r="A1917" s="105" t="n"/>
      <c r="B1917" s="105" t="n"/>
      <c r="C1917" s="3" t="n"/>
      <c r="D1917" s="3" t="n"/>
      <c r="E1917" s="3" t="n"/>
      <c r="F1917" s="3" t="n"/>
      <c r="G1917" s="3" t="n"/>
      <c r="H1917" s="3" t="inlineStr"/>
      <c r="I1917" s="3" t="n"/>
      <c r="J1917" s="3" t="n"/>
      <c r="K1917" s="3" t="n"/>
      <c r="L1917" s="3" t="inlineStr"/>
      <c r="M1917" s="3" t="n"/>
      <c r="N1917" s="3" t="inlineStr"/>
      <c r="O1917" s="3" t="n"/>
      <c r="P1917" s="3" t="n"/>
      <c r="Q1917" s="3" t="n"/>
      <c r="R1917" s="3" t="n"/>
      <c r="S1917" s="3" t="n"/>
      <c r="T1917" s="3" t="n"/>
      <c r="U1917" s="3" t="n"/>
      <c r="V1917" s="3" t="n"/>
      <c r="W1917" s="3" t="n"/>
      <c r="X1917" s="3" t="n"/>
      <c r="Y1917" s="3" t="n"/>
      <c r="Z1917" s="3" t="n"/>
      <c r="AA1917" s="3" t="n"/>
    </row>
    <row r="1918">
      <c r="A1918" s="105" t="n"/>
      <c r="B1918" s="105" t="n"/>
      <c r="C1918" s="3" t="n"/>
      <c r="D1918" s="3" t="n"/>
      <c r="E1918" s="3" t="n"/>
      <c r="F1918" s="3" t="n"/>
      <c r="G1918" s="3" t="n"/>
      <c r="H1918" s="3" t="inlineStr"/>
      <c r="I1918" s="3" t="n"/>
      <c r="J1918" s="3" t="n"/>
      <c r="K1918" s="3" t="n"/>
      <c r="L1918" s="3" t="inlineStr"/>
      <c r="M1918" s="3" t="n"/>
      <c r="N1918" s="3" t="inlineStr"/>
      <c r="O1918" s="3" t="n"/>
      <c r="P1918" s="3" t="n"/>
      <c r="Q1918" s="3" t="n"/>
      <c r="R1918" s="3" t="n"/>
      <c r="S1918" s="3" t="n"/>
      <c r="T1918" s="3" t="n"/>
      <c r="U1918" s="3" t="n"/>
      <c r="V1918" s="3" t="n"/>
      <c r="W1918" s="3" t="n"/>
      <c r="X1918" s="3" t="n"/>
      <c r="Y1918" s="3" t="n"/>
      <c r="Z1918" s="3" t="n"/>
      <c r="AA1918" s="3" t="n"/>
    </row>
    <row r="1919">
      <c r="A1919" s="105" t="n"/>
      <c r="B1919" s="105" t="n"/>
      <c r="C1919" s="3" t="n"/>
      <c r="D1919" s="3" t="n"/>
      <c r="E1919" s="3" t="n"/>
      <c r="F1919" s="3" t="n"/>
      <c r="G1919" s="3" t="n"/>
      <c r="H1919" s="3" t="inlineStr"/>
      <c r="I1919" s="3" t="n"/>
      <c r="J1919" s="3" t="n"/>
      <c r="K1919" s="3" t="n"/>
      <c r="L1919" s="3" t="inlineStr"/>
      <c r="M1919" s="3" t="n"/>
      <c r="N1919" s="3" t="inlineStr"/>
      <c r="O1919" s="3" t="n"/>
      <c r="P1919" s="3" t="n"/>
      <c r="Q1919" s="3" t="n"/>
      <c r="R1919" s="3" t="n"/>
      <c r="S1919" s="3" t="n"/>
      <c r="T1919" s="3" t="n"/>
      <c r="U1919" s="3" t="n"/>
      <c r="V1919" s="3" t="n"/>
      <c r="W1919" s="3" t="n"/>
      <c r="X1919" s="3" t="n"/>
      <c r="Y1919" s="3" t="n"/>
      <c r="Z1919" s="3" t="n"/>
      <c r="AA1919" s="3" t="n"/>
    </row>
    <row r="1920">
      <c r="A1920" s="105" t="n"/>
      <c r="B1920" s="105" t="n"/>
      <c r="C1920" s="3" t="n"/>
      <c r="D1920" s="3" t="n"/>
      <c r="E1920" s="3" t="n"/>
      <c r="F1920" s="3" t="n"/>
      <c r="G1920" s="3" t="n"/>
      <c r="H1920" s="3" t="inlineStr"/>
      <c r="I1920" s="3" t="n"/>
      <c r="J1920" s="3" t="n"/>
      <c r="K1920" s="3" t="n"/>
      <c r="L1920" s="3" t="inlineStr"/>
      <c r="M1920" s="3" t="n"/>
      <c r="N1920" s="3" t="inlineStr"/>
      <c r="O1920" s="3" t="n"/>
      <c r="P1920" s="3" t="n"/>
      <c r="Q1920" s="3" t="n"/>
      <c r="R1920" s="3" t="n"/>
      <c r="S1920" s="3" t="n"/>
      <c r="T1920" s="3" t="n"/>
      <c r="U1920" s="3" t="n"/>
      <c r="V1920" s="3" t="n"/>
      <c r="W1920" s="3" t="n"/>
      <c r="X1920" s="3" t="n"/>
      <c r="Y1920" s="3" t="n"/>
      <c r="Z1920" s="3" t="n"/>
      <c r="AA1920" s="3" t="n"/>
    </row>
    <row r="1921">
      <c r="A1921" s="105" t="n"/>
      <c r="B1921" s="105" t="n"/>
      <c r="C1921" s="3" t="n"/>
      <c r="D1921" s="3" t="n"/>
      <c r="E1921" s="3" t="n"/>
      <c r="F1921" s="3" t="n"/>
      <c r="G1921" s="3" t="n"/>
      <c r="H1921" s="3" t="inlineStr"/>
      <c r="I1921" s="3" t="n"/>
      <c r="J1921" s="3" t="n"/>
      <c r="K1921" s="3" t="n"/>
      <c r="L1921" s="3" t="inlineStr"/>
      <c r="M1921" s="3" t="n"/>
      <c r="N1921" s="3" t="inlineStr"/>
      <c r="O1921" s="3" t="n"/>
      <c r="P1921" s="3" t="n"/>
      <c r="Q1921" s="3" t="n"/>
      <c r="R1921" s="3" t="n"/>
      <c r="S1921" s="3" t="n"/>
      <c r="T1921" s="3" t="n"/>
      <c r="U1921" s="3" t="n"/>
      <c r="V1921" s="3" t="n"/>
      <c r="W1921" s="3" t="n"/>
      <c r="X1921" s="3" t="n"/>
      <c r="Y1921" s="3" t="n"/>
      <c r="Z1921" s="3" t="n"/>
      <c r="AA1921" s="3" t="n"/>
    </row>
    <row r="1922">
      <c r="A1922" s="105" t="n"/>
      <c r="B1922" s="105" t="n"/>
      <c r="C1922" s="3" t="n"/>
      <c r="D1922" s="3" t="n"/>
      <c r="E1922" s="3" t="n"/>
      <c r="F1922" s="3" t="n"/>
      <c r="G1922" s="3" t="n"/>
      <c r="H1922" s="3" t="inlineStr"/>
      <c r="I1922" s="3" t="n"/>
      <c r="J1922" s="3" t="n"/>
      <c r="K1922" s="3" t="n"/>
      <c r="L1922" s="3" t="inlineStr"/>
      <c r="M1922" s="3" t="n"/>
      <c r="N1922" s="3" t="inlineStr"/>
      <c r="O1922" s="3" t="n"/>
      <c r="P1922" s="3" t="n"/>
      <c r="Q1922" s="3" t="n"/>
      <c r="R1922" s="3" t="n"/>
      <c r="S1922" s="3" t="n"/>
      <c r="T1922" s="3" t="n"/>
      <c r="U1922" s="3" t="n"/>
      <c r="V1922" s="3" t="n"/>
      <c r="W1922" s="3" t="n"/>
      <c r="X1922" s="3" t="n"/>
      <c r="Y1922" s="3" t="n"/>
      <c r="Z1922" s="3" t="n"/>
      <c r="AA1922" s="3" t="n"/>
    </row>
    <row r="1923">
      <c r="A1923" s="105" t="n"/>
      <c r="B1923" s="105" t="n"/>
      <c r="C1923" s="3" t="n"/>
      <c r="D1923" s="3" t="n"/>
      <c r="E1923" s="3" t="n"/>
      <c r="F1923" s="3" t="n"/>
      <c r="G1923" s="3" t="n"/>
      <c r="H1923" s="3" t="inlineStr"/>
      <c r="I1923" s="3" t="n"/>
      <c r="J1923" s="3" t="n"/>
      <c r="K1923" s="3" t="n"/>
      <c r="L1923" s="3" t="inlineStr"/>
      <c r="M1923" s="3" t="n"/>
      <c r="N1923" s="3" t="inlineStr"/>
      <c r="O1923" s="3" t="n"/>
      <c r="P1923" s="3" t="n"/>
      <c r="Q1923" s="3" t="n"/>
      <c r="R1923" s="3" t="n"/>
      <c r="S1923" s="3" t="n"/>
      <c r="T1923" s="3" t="n"/>
      <c r="U1923" s="3" t="n"/>
      <c r="V1923" s="3" t="n"/>
      <c r="W1923" s="3" t="n"/>
      <c r="X1923" s="3" t="n"/>
      <c r="Y1923" s="3" t="n"/>
      <c r="Z1923" s="3" t="n"/>
      <c r="AA1923" s="3" t="n"/>
    </row>
    <row r="1924">
      <c r="A1924" s="105" t="n"/>
      <c r="B1924" s="105" t="n"/>
      <c r="C1924" s="3" t="n"/>
      <c r="D1924" s="3" t="n"/>
      <c r="E1924" s="3" t="n"/>
      <c r="F1924" s="3" t="n"/>
      <c r="G1924" s="3" t="n"/>
      <c r="H1924" s="3" t="inlineStr"/>
      <c r="I1924" s="3" t="n"/>
      <c r="J1924" s="3" t="n"/>
      <c r="K1924" s="3" t="n"/>
      <c r="L1924" s="3" t="inlineStr"/>
      <c r="M1924" s="3" t="n"/>
      <c r="N1924" s="3" t="inlineStr"/>
      <c r="O1924" s="3" t="n"/>
      <c r="P1924" s="3" t="n"/>
      <c r="Q1924" s="3" t="n"/>
      <c r="R1924" s="3" t="n"/>
      <c r="S1924" s="3" t="n"/>
      <c r="T1924" s="3" t="n"/>
      <c r="U1924" s="3" t="n"/>
      <c r="V1924" s="3" t="n"/>
      <c r="W1924" s="3" t="n"/>
      <c r="X1924" s="3" t="n"/>
      <c r="Y1924" s="3" t="n"/>
      <c r="Z1924" s="3" t="n"/>
      <c r="AA1924" s="3" t="n"/>
    </row>
    <row r="1925">
      <c r="A1925" s="105" t="n"/>
      <c r="B1925" s="105" t="n"/>
      <c r="C1925" s="3" t="n"/>
      <c r="D1925" s="3" t="n"/>
      <c r="E1925" s="3" t="n"/>
      <c r="F1925" s="3" t="n"/>
      <c r="G1925" s="3" t="n"/>
      <c r="H1925" s="3" t="inlineStr"/>
      <c r="I1925" s="3" t="n"/>
      <c r="J1925" s="3" t="n"/>
      <c r="K1925" s="3" t="n"/>
      <c r="L1925" s="3" t="inlineStr"/>
      <c r="M1925" s="3" t="n"/>
      <c r="N1925" s="3" t="inlineStr"/>
      <c r="O1925" s="3" t="n"/>
      <c r="P1925" s="3" t="n"/>
      <c r="Q1925" s="3" t="n"/>
      <c r="R1925" s="3" t="n"/>
      <c r="S1925" s="3" t="n"/>
      <c r="T1925" s="3" t="n"/>
      <c r="U1925" s="3" t="n"/>
      <c r="V1925" s="3" t="n"/>
      <c r="W1925" s="3" t="n"/>
      <c r="X1925" s="3" t="n"/>
      <c r="Y1925" s="3" t="n"/>
      <c r="Z1925" s="3" t="n"/>
      <c r="AA1925" s="3" t="n"/>
    </row>
    <row r="1926">
      <c r="A1926" s="105" t="n"/>
      <c r="B1926" s="105" t="n"/>
      <c r="C1926" s="3" t="n"/>
      <c r="D1926" s="3" t="n"/>
      <c r="E1926" s="3" t="n"/>
      <c r="F1926" s="3" t="n"/>
      <c r="G1926" s="3" t="n"/>
      <c r="H1926" s="3" t="inlineStr"/>
      <c r="I1926" s="3" t="n"/>
      <c r="J1926" s="3" t="n"/>
      <c r="K1926" s="3" t="n"/>
      <c r="L1926" s="3" t="inlineStr"/>
      <c r="M1926" s="3" t="n"/>
      <c r="N1926" s="3" t="inlineStr"/>
      <c r="O1926" s="3" t="n"/>
      <c r="P1926" s="3" t="n"/>
      <c r="Q1926" s="3" t="n"/>
      <c r="R1926" s="3" t="n"/>
      <c r="S1926" s="3" t="n"/>
      <c r="T1926" s="3" t="n"/>
      <c r="U1926" s="3" t="n"/>
      <c r="V1926" s="3" t="n"/>
      <c r="W1926" s="3" t="n"/>
      <c r="X1926" s="3" t="n"/>
      <c r="Y1926" s="3" t="n"/>
      <c r="Z1926" s="3" t="n"/>
      <c r="AA1926" s="3" t="n"/>
    </row>
    <row r="1927">
      <c r="A1927" s="105" t="n"/>
      <c r="B1927" s="105" t="n"/>
      <c r="C1927" s="3" t="n"/>
      <c r="D1927" s="3" t="n"/>
      <c r="E1927" s="3" t="n"/>
      <c r="F1927" s="3" t="n"/>
      <c r="G1927" s="3" t="n"/>
      <c r="H1927" s="3" t="inlineStr"/>
      <c r="I1927" s="3" t="n"/>
      <c r="J1927" s="3" t="n"/>
      <c r="K1927" s="3" t="n"/>
      <c r="L1927" s="3" t="inlineStr"/>
      <c r="M1927" s="3" t="n"/>
      <c r="N1927" s="3" t="inlineStr"/>
      <c r="O1927" s="3" t="n"/>
      <c r="P1927" s="3" t="n"/>
      <c r="Q1927" s="3" t="n"/>
      <c r="R1927" s="3" t="n"/>
      <c r="S1927" s="3" t="n"/>
      <c r="T1927" s="3" t="n"/>
      <c r="U1927" s="3" t="n"/>
      <c r="V1927" s="3" t="n"/>
      <c r="W1927" s="3" t="n"/>
      <c r="X1927" s="3" t="n"/>
      <c r="Y1927" s="3" t="n"/>
      <c r="Z1927" s="3" t="n"/>
      <c r="AA1927" s="3" t="n"/>
    </row>
    <row r="1928">
      <c r="A1928" s="105" t="n"/>
      <c r="B1928" s="105" t="n"/>
      <c r="C1928" s="3" t="n"/>
      <c r="D1928" s="3" t="n"/>
      <c r="E1928" s="3" t="n"/>
      <c r="F1928" s="3" t="n"/>
      <c r="G1928" s="3" t="n"/>
      <c r="H1928" s="3" t="inlineStr"/>
      <c r="I1928" s="3" t="n"/>
      <c r="J1928" s="3" t="n"/>
      <c r="K1928" s="3" t="n"/>
      <c r="L1928" s="3" t="inlineStr"/>
      <c r="M1928" s="3" t="n"/>
      <c r="N1928" s="3" t="inlineStr"/>
      <c r="O1928" s="3" t="n"/>
      <c r="P1928" s="3" t="n"/>
      <c r="Q1928" s="3" t="n"/>
      <c r="R1928" s="3" t="n"/>
      <c r="S1928" s="3" t="n"/>
      <c r="T1928" s="3" t="n"/>
      <c r="U1928" s="3" t="n"/>
      <c r="V1928" s="3" t="n"/>
      <c r="W1928" s="3" t="n"/>
      <c r="X1928" s="3" t="n"/>
      <c r="Y1928" s="3" t="n"/>
      <c r="Z1928" s="3" t="n"/>
      <c r="AA1928" s="3" t="n"/>
    </row>
    <row r="1929">
      <c r="A1929" s="105" t="n"/>
      <c r="B1929" s="105" t="n"/>
      <c r="C1929" s="3" t="n"/>
      <c r="D1929" s="3" t="n"/>
      <c r="E1929" s="3" t="n"/>
      <c r="F1929" s="3" t="n"/>
      <c r="G1929" s="3" t="n"/>
      <c r="H1929" s="3" t="inlineStr"/>
      <c r="I1929" s="3" t="n"/>
      <c r="J1929" s="3" t="n"/>
      <c r="K1929" s="3" t="n"/>
      <c r="L1929" s="3" t="inlineStr"/>
      <c r="M1929" s="3" t="n"/>
      <c r="N1929" s="3" t="inlineStr"/>
      <c r="O1929" s="3" t="n"/>
      <c r="P1929" s="3" t="n"/>
      <c r="Q1929" s="3" t="n"/>
      <c r="R1929" s="3" t="n"/>
      <c r="S1929" s="3" t="n"/>
      <c r="T1929" s="3" t="n"/>
      <c r="U1929" s="3" t="n"/>
      <c r="V1929" s="3" t="n"/>
      <c r="W1929" s="3" t="n"/>
      <c r="X1929" s="3" t="n"/>
      <c r="Y1929" s="3" t="n"/>
      <c r="Z1929" s="3" t="n"/>
      <c r="AA1929" s="3" t="n"/>
    </row>
    <row r="1930">
      <c r="A1930" s="105" t="n"/>
      <c r="B1930" s="105" t="n"/>
      <c r="C1930" s="3" t="n"/>
      <c r="D1930" s="3" t="n"/>
      <c r="E1930" s="3" t="n"/>
      <c r="F1930" s="3" t="n"/>
      <c r="G1930" s="3" t="n"/>
      <c r="H1930" s="3" t="inlineStr"/>
      <c r="I1930" s="3" t="n"/>
      <c r="J1930" s="3" t="n"/>
      <c r="K1930" s="3" t="n"/>
      <c r="L1930" s="3" t="inlineStr"/>
      <c r="M1930" s="3" t="n"/>
      <c r="N1930" s="3" t="inlineStr"/>
      <c r="O1930" s="3" t="n"/>
      <c r="P1930" s="3" t="n"/>
      <c r="Q1930" s="3" t="n"/>
      <c r="R1930" s="3" t="n"/>
      <c r="S1930" s="3" t="n"/>
      <c r="T1930" s="3" t="n"/>
      <c r="U1930" s="3" t="n"/>
      <c r="V1930" s="3" t="n"/>
      <c r="W1930" s="3" t="n"/>
      <c r="X1930" s="3" t="n"/>
      <c r="Y1930" s="3" t="n"/>
      <c r="Z1930" s="3" t="n"/>
      <c r="AA1930" s="3" t="n"/>
    </row>
    <row r="1931">
      <c r="A1931" s="105" t="n"/>
      <c r="B1931" s="105" t="n"/>
      <c r="C1931" s="3" t="n"/>
      <c r="D1931" s="3" t="n"/>
      <c r="E1931" s="3" t="n"/>
      <c r="F1931" s="3" t="n"/>
      <c r="G1931" s="3" t="n"/>
      <c r="H1931" s="3" t="inlineStr"/>
      <c r="I1931" s="3" t="n"/>
      <c r="J1931" s="3" t="n"/>
      <c r="K1931" s="3" t="n"/>
      <c r="L1931" s="3" t="inlineStr"/>
      <c r="M1931" s="3" t="n"/>
      <c r="N1931" s="3" t="inlineStr"/>
      <c r="O1931" s="3" t="n"/>
      <c r="P1931" s="3" t="n"/>
      <c r="Q1931" s="3" t="n"/>
      <c r="R1931" s="3" t="n"/>
      <c r="S1931" s="3" t="n"/>
      <c r="T1931" s="3" t="n"/>
      <c r="U1931" s="3" t="n"/>
      <c r="V1931" s="3" t="n"/>
      <c r="W1931" s="3" t="n"/>
      <c r="X1931" s="3" t="n"/>
      <c r="Y1931" s="3" t="n"/>
      <c r="Z1931" s="3" t="n"/>
      <c r="AA1931" s="3" t="n"/>
    </row>
    <row r="1932">
      <c r="A1932" s="105" t="n"/>
      <c r="B1932" s="105" t="n"/>
      <c r="C1932" s="3" t="n"/>
      <c r="D1932" s="3" t="n"/>
      <c r="E1932" s="3" t="n"/>
      <c r="F1932" s="3" t="n"/>
      <c r="G1932" s="3" t="n"/>
      <c r="H1932" s="3" t="inlineStr"/>
      <c r="I1932" s="3" t="n"/>
      <c r="J1932" s="3" t="n"/>
      <c r="K1932" s="3" t="n"/>
      <c r="L1932" s="3" t="inlineStr"/>
      <c r="M1932" s="3" t="n"/>
      <c r="N1932" s="3" t="inlineStr"/>
      <c r="O1932" s="3" t="n"/>
      <c r="P1932" s="3" t="n"/>
      <c r="Q1932" s="3" t="n"/>
      <c r="R1932" s="3" t="n"/>
      <c r="S1932" s="3" t="n"/>
      <c r="T1932" s="3" t="n"/>
      <c r="U1932" s="3" t="n"/>
      <c r="V1932" s="3" t="n"/>
      <c r="W1932" s="3" t="n"/>
      <c r="X1932" s="3" t="n"/>
      <c r="Y1932" s="3" t="n"/>
      <c r="Z1932" s="3" t="n"/>
      <c r="AA1932" s="3" t="n"/>
    </row>
    <row r="1933">
      <c r="A1933" s="105" t="n"/>
      <c r="B1933" s="105" t="n"/>
      <c r="C1933" s="3" t="n"/>
      <c r="D1933" s="3" t="n"/>
      <c r="E1933" s="3" t="n"/>
      <c r="F1933" s="3" t="n"/>
      <c r="G1933" s="3" t="n"/>
      <c r="H1933" s="3" t="inlineStr"/>
      <c r="I1933" s="3" t="n"/>
      <c r="J1933" s="3" t="n"/>
      <c r="K1933" s="3" t="n"/>
      <c r="L1933" s="3" t="inlineStr"/>
      <c r="M1933" s="3" t="n"/>
      <c r="N1933" s="3" t="inlineStr"/>
      <c r="O1933" s="3" t="n"/>
      <c r="P1933" s="3" t="n"/>
      <c r="Q1933" s="3" t="n"/>
      <c r="R1933" s="3" t="n"/>
      <c r="S1933" s="3" t="n"/>
      <c r="T1933" s="3" t="n"/>
      <c r="U1933" s="3" t="n"/>
      <c r="V1933" s="3" t="n"/>
      <c r="W1933" s="3" t="n"/>
      <c r="X1933" s="3" t="n"/>
      <c r="Y1933" s="3" t="n"/>
      <c r="Z1933" s="3" t="n"/>
      <c r="AA1933" s="3" t="n"/>
    </row>
    <row r="1934">
      <c r="A1934" s="105" t="n"/>
      <c r="B1934" s="105" t="n"/>
      <c r="C1934" s="3" t="n"/>
      <c r="D1934" s="3" t="n"/>
      <c r="E1934" s="3" t="n"/>
      <c r="F1934" s="3" t="n"/>
      <c r="G1934" s="3" t="n"/>
      <c r="H1934" s="3" t="inlineStr"/>
      <c r="I1934" s="3" t="n"/>
      <c r="J1934" s="3" t="n"/>
      <c r="K1934" s="3" t="n"/>
      <c r="L1934" s="3" t="inlineStr"/>
      <c r="M1934" s="3" t="n"/>
      <c r="N1934" s="3" t="inlineStr"/>
      <c r="O1934" s="3" t="n"/>
      <c r="P1934" s="3" t="n"/>
      <c r="Q1934" s="3" t="n"/>
      <c r="R1934" s="3" t="n"/>
      <c r="S1934" s="3" t="n"/>
      <c r="T1934" s="3" t="n"/>
      <c r="U1934" s="3" t="n"/>
      <c r="V1934" s="3" t="n"/>
      <c r="W1934" s="3" t="n"/>
      <c r="X1934" s="3" t="n"/>
      <c r="Y1934" s="3" t="n"/>
      <c r="Z1934" s="3" t="n"/>
      <c r="AA1934" s="3" t="n"/>
    </row>
    <row r="1935">
      <c r="A1935" s="105" t="n"/>
      <c r="B1935" s="105" t="n"/>
      <c r="C1935" s="3" t="n"/>
      <c r="D1935" s="3" t="n"/>
      <c r="E1935" s="3" t="n"/>
      <c r="F1935" s="3" t="n"/>
      <c r="G1935" s="3" t="n"/>
      <c r="H1935" s="3" t="inlineStr"/>
      <c r="I1935" s="3" t="n"/>
      <c r="J1935" s="3" t="n"/>
      <c r="K1935" s="3" t="n"/>
      <c r="L1935" s="3" t="inlineStr"/>
      <c r="M1935" s="3" t="n"/>
      <c r="N1935" s="3" t="inlineStr"/>
      <c r="O1935" s="3" t="n"/>
      <c r="P1935" s="3" t="n"/>
      <c r="Q1935" s="3" t="n"/>
      <c r="R1935" s="3" t="n"/>
      <c r="S1935" s="3" t="n"/>
      <c r="T1935" s="3" t="n"/>
      <c r="U1935" s="3" t="n"/>
      <c r="V1935" s="3" t="n"/>
      <c r="W1935" s="3" t="n"/>
      <c r="X1935" s="3" t="n"/>
      <c r="Y1935" s="3" t="n"/>
      <c r="Z1935" s="3" t="n"/>
      <c r="AA1935" s="3" t="n"/>
    </row>
    <row r="1936">
      <c r="A1936" s="105" t="n"/>
      <c r="B1936" s="105" t="n"/>
      <c r="C1936" s="3" t="n"/>
      <c r="D1936" s="3" t="n"/>
      <c r="E1936" s="3" t="n"/>
      <c r="F1936" s="3" t="n"/>
      <c r="G1936" s="3" t="n"/>
      <c r="H1936" s="3" t="inlineStr"/>
      <c r="I1936" s="3" t="n"/>
      <c r="J1936" s="3" t="n"/>
      <c r="K1936" s="3" t="n"/>
      <c r="L1936" s="3" t="inlineStr"/>
      <c r="M1936" s="3" t="n"/>
      <c r="N1936" s="3" t="inlineStr"/>
      <c r="O1936" s="3" t="n"/>
      <c r="P1936" s="3" t="n"/>
      <c r="Q1936" s="3" t="n"/>
      <c r="R1936" s="3" t="n"/>
      <c r="S1936" s="3" t="n"/>
      <c r="T1936" s="3" t="n"/>
      <c r="U1936" s="3" t="n"/>
      <c r="V1936" s="3" t="n"/>
      <c r="W1936" s="3" t="n"/>
      <c r="X1936" s="3" t="n"/>
      <c r="Y1936" s="3" t="n"/>
      <c r="Z1936" s="3" t="n"/>
      <c r="AA1936" s="3" t="n"/>
    </row>
    <row r="1937">
      <c r="A1937" s="105" t="n"/>
      <c r="B1937" s="105" t="n"/>
      <c r="C1937" s="3" t="n"/>
      <c r="D1937" s="3" t="n"/>
      <c r="E1937" s="3" t="n"/>
      <c r="F1937" s="3" t="n"/>
      <c r="G1937" s="3" t="n"/>
      <c r="H1937" s="3" t="inlineStr"/>
      <c r="I1937" s="3" t="n"/>
      <c r="J1937" s="3" t="n"/>
      <c r="K1937" s="3" t="n"/>
      <c r="L1937" s="3" t="inlineStr"/>
      <c r="M1937" s="3" t="n"/>
      <c r="N1937" s="3" t="inlineStr"/>
      <c r="O1937" s="3" t="n"/>
      <c r="P1937" s="3" t="n"/>
      <c r="Q1937" s="3" t="n"/>
      <c r="R1937" s="3" t="n"/>
      <c r="S1937" s="3" t="n"/>
      <c r="T1937" s="3" t="n"/>
      <c r="U1937" s="3" t="n"/>
      <c r="V1937" s="3" t="n"/>
      <c r="W1937" s="3" t="n"/>
      <c r="X1937" s="3" t="n"/>
      <c r="Y1937" s="3" t="n"/>
      <c r="Z1937" s="3" t="n"/>
      <c r="AA1937" s="3" t="n"/>
    </row>
    <row r="1938">
      <c r="A1938" s="105" t="n"/>
      <c r="B1938" s="105" t="n"/>
      <c r="C1938" s="3" t="n"/>
      <c r="D1938" s="3" t="n"/>
      <c r="E1938" s="3" t="n"/>
      <c r="F1938" s="3" t="n"/>
      <c r="G1938" s="3" t="n"/>
      <c r="H1938" s="3" t="inlineStr"/>
      <c r="I1938" s="3" t="n"/>
      <c r="J1938" s="3" t="n"/>
      <c r="K1938" s="3" t="n"/>
      <c r="L1938" s="3" t="inlineStr"/>
      <c r="M1938" s="3" t="n"/>
      <c r="N1938" s="3" t="inlineStr"/>
      <c r="O1938" s="3" t="n"/>
      <c r="P1938" s="3" t="n"/>
      <c r="Q1938" s="3" t="n"/>
      <c r="R1938" s="3" t="n"/>
      <c r="S1938" s="3" t="n"/>
      <c r="T1938" s="3" t="n"/>
      <c r="U1938" s="3" t="n"/>
      <c r="V1938" s="3" t="n"/>
      <c r="W1938" s="3" t="n"/>
      <c r="X1938" s="3" t="n"/>
      <c r="Y1938" s="3" t="n"/>
      <c r="Z1938" s="3" t="n"/>
      <c r="AA1938" s="3" t="n"/>
    </row>
    <row r="1939">
      <c r="A1939" s="105" t="n"/>
      <c r="B1939" s="105" t="n"/>
      <c r="C1939" s="3" t="n"/>
      <c r="D1939" s="3" t="n"/>
      <c r="E1939" s="3" t="n"/>
      <c r="F1939" s="3" t="n"/>
      <c r="G1939" s="3" t="n"/>
      <c r="H1939" s="3" t="inlineStr"/>
      <c r="I1939" s="3" t="n"/>
      <c r="J1939" s="3" t="n"/>
      <c r="K1939" s="3" t="n"/>
      <c r="L1939" s="3" t="inlineStr"/>
      <c r="M1939" s="3" t="n"/>
      <c r="N1939" s="3" t="inlineStr"/>
      <c r="O1939" s="3" t="n"/>
      <c r="P1939" s="3" t="n"/>
      <c r="Q1939" s="3" t="n"/>
      <c r="R1939" s="3" t="n"/>
      <c r="S1939" s="3" t="n"/>
      <c r="T1939" s="3" t="n"/>
      <c r="U1939" s="3" t="n"/>
      <c r="V1939" s="3" t="n"/>
      <c r="W1939" s="3" t="n"/>
      <c r="X1939" s="3" t="n"/>
      <c r="Y1939" s="3" t="n"/>
      <c r="Z1939" s="3" t="n"/>
      <c r="AA1939" s="3" t="n"/>
    </row>
    <row r="1940">
      <c r="A1940" s="105" t="n"/>
      <c r="B1940" s="105" t="n"/>
      <c r="C1940" s="3" t="n"/>
      <c r="D1940" s="3" t="n"/>
      <c r="E1940" s="3" t="n"/>
      <c r="F1940" s="3" t="n"/>
      <c r="G1940" s="3" t="n"/>
      <c r="H1940" s="3" t="inlineStr"/>
      <c r="I1940" s="3" t="n"/>
      <c r="J1940" s="3" t="n"/>
      <c r="K1940" s="3" t="n"/>
      <c r="L1940" s="3" t="inlineStr"/>
      <c r="M1940" s="3" t="n"/>
      <c r="N1940" s="3" t="inlineStr"/>
      <c r="O1940" s="3" t="n"/>
      <c r="P1940" s="3" t="n"/>
      <c r="Q1940" s="3" t="n"/>
      <c r="R1940" s="3" t="n"/>
      <c r="S1940" s="3" t="n"/>
      <c r="T1940" s="3" t="n"/>
      <c r="U1940" s="3" t="n"/>
      <c r="V1940" s="3" t="n"/>
      <c r="W1940" s="3" t="n"/>
      <c r="X1940" s="3" t="n"/>
      <c r="Y1940" s="3" t="n"/>
      <c r="Z1940" s="3" t="n"/>
      <c r="AA1940" s="3" t="n"/>
    </row>
    <row r="1941">
      <c r="A1941" s="105" t="n"/>
      <c r="B1941" s="105" t="n"/>
      <c r="C1941" s="3" t="n"/>
      <c r="D1941" s="3" t="n"/>
      <c r="E1941" s="3" t="n"/>
      <c r="F1941" s="3" t="n"/>
      <c r="G1941" s="3" t="n"/>
      <c r="H1941" s="3" t="inlineStr"/>
      <c r="I1941" s="3" t="n"/>
      <c r="J1941" s="3" t="n"/>
      <c r="K1941" s="3" t="n"/>
      <c r="L1941" s="3" t="inlineStr"/>
      <c r="M1941" s="3" t="n"/>
      <c r="N1941" s="3" t="inlineStr"/>
      <c r="O1941" s="3" t="n"/>
      <c r="P1941" s="3" t="n"/>
      <c r="Q1941" s="3" t="n"/>
      <c r="R1941" s="3" t="n"/>
      <c r="S1941" s="3" t="n"/>
      <c r="T1941" s="3" t="n"/>
      <c r="U1941" s="3" t="n"/>
      <c r="V1941" s="3" t="n"/>
      <c r="W1941" s="3" t="n"/>
      <c r="X1941" s="3" t="n"/>
      <c r="Y1941" s="3" t="n"/>
      <c r="Z1941" s="3" t="n"/>
      <c r="AA1941" s="3" t="n"/>
    </row>
    <row r="1942">
      <c r="A1942" s="105" t="n"/>
      <c r="B1942" s="105" t="n"/>
      <c r="C1942" s="3" t="n"/>
      <c r="D1942" s="3" t="n"/>
      <c r="E1942" s="3" t="n"/>
      <c r="F1942" s="3" t="n"/>
      <c r="G1942" s="3" t="n"/>
      <c r="H1942" s="3" t="inlineStr"/>
      <c r="I1942" s="3" t="n"/>
      <c r="J1942" s="3" t="n"/>
      <c r="K1942" s="3" t="n"/>
      <c r="L1942" s="3" t="inlineStr"/>
      <c r="M1942" s="3" t="n"/>
      <c r="N1942" s="3" t="inlineStr"/>
      <c r="O1942" s="3" t="n"/>
      <c r="P1942" s="3" t="n"/>
      <c r="Q1942" s="3" t="n"/>
      <c r="R1942" s="3" t="n"/>
      <c r="S1942" s="3" t="n"/>
      <c r="T1942" s="3" t="n"/>
      <c r="U1942" s="3" t="n"/>
      <c r="V1942" s="3" t="n"/>
      <c r="W1942" s="3" t="n"/>
      <c r="X1942" s="3" t="n"/>
      <c r="Y1942" s="3" t="n"/>
      <c r="Z1942" s="3" t="n"/>
      <c r="AA1942" s="3" t="n"/>
    </row>
    <row r="1943">
      <c r="A1943" s="105" t="n"/>
      <c r="B1943" s="105" t="n"/>
      <c r="C1943" s="3" t="n"/>
      <c r="D1943" s="3" t="n"/>
      <c r="E1943" s="3" t="n"/>
      <c r="F1943" s="3" t="n"/>
      <c r="G1943" s="3" t="n"/>
      <c r="H1943" s="3" t="inlineStr"/>
      <c r="I1943" s="3" t="n"/>
      <c r="J1943" s="3" t="n"/>
      <c r="K1943" s="3" t="n"/>
      <c r="L1943" s="3" t="inlineStr"/>
      <c r="M1943" s="3" t="n"/>
      <c r="N1943" s="3" t="inlineStr"/>
      <c r="O1943" s="3" t="n"/>
      <c r="P1943" s="3" t="n"/>
      <c r="Q1943" s="3" t="n"/>
      <c r="R1943" s="3" t="n"/>
      <c r="S1943" s="3" t="n"/>
      <c r="T1943" s="3" t="n"/>
      <c r="U1943" s="3" t="n"/>
      <c r="V1943" s="3" t="n"/>
      <c r="W1943" s="3" t="n"/>
      <c r="X1943" s="3" t="n"/>
      <c r="Y1943" s="3" t="n"/>
      <c r="Z1943" s="3" t="n"/>
      <c r="AA1943" s="3" t="n"/>
    </row>
    <row r="1944">
      <c r="A1944" s="105" t="n"/>
      <c r="B1944" s="105" t="n"/>
      <c r="C1944" s="3" t="n"/>
      <c r="D1944" s="3" t="n"/>
      <c r="E1944" s="3" t="n"/>
      <c r="F1944" s="3" t="n"/>
      <c r="G1944" s="3" t="n"/>
      <c r="H1944" s="3" t="inlineStr"/>
      <c r="I1944" s="3" t="n"/>
      <c r="J1944" s="3" t="n"/>
      <c r="K1944" s="3" t="n"/>
      <c r="L1944" s="3" t="inlineStr"/>
      <c r="M1944" s="3" t="n"/>
      <c r="N1944" s="3" t="inlineStr"/>
      <c r="O1944" s="3" t="n"/>
      <c r="P1944" s="3" t="n"/>
      <c r="Q1944" s="3" t="n"/>
      <c r="R1944" s="3" t="n"/>
      <c r="S1944" s="3" t="n"/>
      <c r="T1944" s="3" t="n"/>
      <c r="U1944" s="3" t="n"/>
      <c r="V1944" s="3" t="n"/>
      <c r="W1944" s="3" t="n"/>
      <c r="X1944" s="3" t="n"/>
      <c r="Y1944" s="3" t="n"/>
      <c r="Z1944" s="3" t="n"/>
      <c r="AA1944" s="3" t="n"/>
    </row>
    <row r="1945">
      <c r="A1945" s="105" t="n"/>
      <c r="B1945" s="105" t="n"/>
      <c r="C1945" s="3" t="n"/>
      <c r="D1945" s="3" t="n"/>
      <c r="E1945" s="3" t="n"/>
      <c r="F1945" s="3" t="n"/>
      <c r="G1945" s="3" t="n"/>
      <c r="H1945" s="3" t="inlineStr"/>
      <c r="I1945" s="3" t="n"/>
      <c r="J1945" s="3" t="n"/>
      <c r="K1945" s="3" t="n"/>
      <c r="L1945" s="3" t="inlineStr"/>
      <c r="M1945" s="3" t="n"/>
      <c r="N1945" s="3" t="inlineStr"/>
      <c r="O1945" s="3" t="n"/>
      <c r="P1945" s="3" t="n"/>
      <c r="Q1945" s="3" t="n"/>
      <c r="R1945" s="3" t="n"/>
      <c r="S1945" s="3" t="n"/>
      <c r="T1945" s="3" t="n"/>
      <c r="U1945" s="3" t="n"/>
      <c r="V1945" s="3" t="n"/>
      <c r="W1945" s="3" t="n"/>
      <c r="X1945" s="3" t="n"/>
      <c r="Y1945" s="3" t="n"/>
      <c r="Z1945" s="3" t="n"/>
      <c r="AA1945" s="3" t="n"/>
    </row>
    <row r="1946">
      <c r="A1946" s="105" t="n"/>
      <c r="B1946" s="105" t="n"/>
      <c r="C1946" s="3" t="n"/>
      <c r="D1946" s="3" t="n"/>
      <c r="E1946" s="3" t="n"/>
      <c r="F1946" s="3" t="n"/>
      <c r="G1946" s="3" t="n"/>
      <c r="H1946" s="3" t="inlineStr"/>
      <c r="I1946" s="3" t="n"/>
      <c r="J1946" s="3" t="n"/>
      <c r="K1946" s="3" t="n"/>
      <c r="L1946" s="3" t="inlineStr"/>
      <c r="M1946" s="3" t="n"/>
      <c r="N1946" s="3" t="inlineStr"/>
      <c r="O1946" s="3" t="n"/>
      <c r="P1946" s="3" t="n"/>
      <c r="Q1946" s="3" t="n"/>
      <c r="R1946" s="3" t="n"/>
      <c r="S1946" s="3" t="n"/>
      <c r="T1946" s="3" t="n"/>
      <c r="U1946" s="3" t="n"/>
      <c r="V1946" s="3" t="n"/>
      <c r="W1946" s="3" t="n"/>
      <c r="X1946" s="3" t="n"/>
      <c r="Y1946" s="3" t="n"/>
      <c r="Z1946" s="3" t="n"/>
      <c r="AA1946" s="3" t="n"/>
    </row>
    <row r="1947">
      <c r="A1947" s="105" t="n"/>
      <c r="B1947" s="105" t="n"/>
      <c r="C1947" s="3" t="n"/>
      <c r="D1947" s="3" t="n"/>
      <c r="E1947" s="3" t="n"/>
      <c r="F1947" s="3" t="n"/>
      <c r="G1947" s="3" t="n"/>
      <c r="H1947" s="3" t="inlineStr"/>
      <c r="I1947" s="3" t="n"/>
      <c r="J1947" s="3" t="n"/>
      <c r="K1947" s="3" t="n"/>
      <c r="L1947" s="3" t="inlineStr"/>
      <c r="M1947" s="3" t="n"/>
      <c r="N1947" s="3" t="inlineStr"/>
      <c r="O1947" s="3" t="n"/>
      <c r="P1947" s="3" t="n"/>
      <c r="Q1947" s="3" t="n"/>
      <c r="R1947" s="3" t="n"/>
      <c r="S1947" s="3" t="n"/>
      <c r="T1947" s="3" t="n"/>
      <c r="U1947" s="3" t="n"/>
      <c r="V1947" s="3" t="n"/>
      <c r="W1947" s="3" t="n"/>
      <c r="X1947" s="3" t="n"/>
      <c r="Y1947" s="3" t="n"/>
      <c r="Z1947" s="3" t="n"/>
      <c r="AA1947" s="3" t="n"/>
    </row>
    <row r="1948">
      <c r="A1948" s="105" t="n"/>
      <c r="B1948" s="105" t="n"/>
      <c r="C1948" s="3" t="n"/>
      <c r="D1948" s="3" t="n"/>
      <c r="E1948" s="3" t="n"/>
      <c r="F1948" s="3" t="n"/>
      <c r="G1948" s="3" t="n"/>
      <c r="H1948" s="3" t="inlineStr"/>
      <c r="I1948" s="3" t="n"/>
      <c r="J1948" s="3" t="n"/>
      <c r="K1948" s="3" t="n"/>
      <c r="L1948" s="3" t="inlineStr"/>
      <c r="M1948" s="3" t="n"/>
      <c r="N1948" s="3" t="inlineStr"/>
      <c r="O1948" s="3" t="n"/>
      <c r="P1948" s="3" t="n"/>
      <c r="Q1948" s="3" t="n"/>
      <c r="R1948" s="3" t="n"/>
      <c r="S1948" s="3" t="n"/>
      <c r="T1948" s="3" t="n"/>
      <c r="U1948" s="3" t="n"/>
      <c r="V1948" s="3" t="n"/>
      <c r="W1948" s="3" t="n"/>
      <c r="X1948" s="3" t="n"/>
      <c r="Y1948" s="3" t="n"/>
      <c r="Z1948" s="3" t="n"/>
      <c r="AA1948" s="3" t="n"/>
    </row>
    <row r="1949">
      <c r="A1949" s="105" t="n"/>
      <c r="B1949" s="105" t="n"/>
      <c r="C1949" s="3" t="n"/>
      <c r="D1949" s="3" t="n"/>
      <c r="E1949" s="3" t="n"/>
      <c r="F1949" s="3" t="n"/>
      <c r="G1949" s="3" t="n"/>
      <c r="H1949" s="3" t="inlineStr"/>
      <c r="I1949" s="3" t="n"/>
      <c r="J1949" s="3" t="n"/>
      <c r="K1949" s="3" t="n"/>
      <c r="L1949" s="3" t="inlineStr"/>
      <c r="M1949" s="3" t="n"/>
      <c r="N1949" s="3" t="inlineStr"/>
      <c r="O1949" s="3" t="n"/>
      <c r="P1949" s="3" t="n"/>
      <c r="Q1949" s="3" t="n"/>
      <c r="R1949" s="3" t="n"/>
      <c r="S1949" s="3" t="n"/>
      <c r="T1949" s="3" t="n"/>
      <c r="U1949" s="3" t="n"/>
      <c r="V1949" s="3" t="n"/>
      <c r="W1949" s="3" t="n"/>
      <c r="X1949" s="3" t="n"/>
      <c r="Y1949" s="3" t="n"/>
      <c r="Z1949" s="3" t="n"/>
      <c r="AA1949" s="3" t="n"/>
    </row>
    <row r="1950">
      <c r="A1950" s="105" t="n"/>
      <c r="B1950" s="105" t="n"/>
      <c r="C1950" s="3" t="n"/>
      <c r="D1950" s="3" t="n"/>
      <c r="E1950" s="3" t="n"/>
      <c r="F1950" s="3" t="n"/>
      <c r="G1950" s="3" t="n"/>
      <c r="H1950" s="3" t="inlineStr"/>
      <c r="I1950" s="3" t="n"/>
      <c r="J1950" s="3" t="n"/>
      <c r="K1950" s="3" t="n"/>
      <c r="L1950" s="3" t="inlineStr"/>
      <c r="M1950" s="3" t="n"/>
      <c r="N1950" s="3" t="inlineStr"/>
      <c r="O1950" s="3" t="n"/>
      <c r="P1950" s="3" t="n"/>
      <c r="Q1950" s="3" t="n"/>
      <c r="R1950" s="3" t="n"/>
      <c r="S1950" s="3" t="n"/>
      <c r="T1950" s="3" t="n"/>
      <c r="U1950" s="3" t="n"/>
      <c r="V1950" s="3" t="n"/>
      <c r="W1950" s="3" t="n"/>
      <c r="X1950" s="3" t="n"/>
      <c r="Y1950" s="3" t="n"/>
      <c r="Z1950" s="3" t="n"/>
      <c r="AA1950" s="3" t="n"/>
    </row>
    <row r="1951">
      <c r="A1951" s="105" t="n"/>
      <c r="B1951" s="105" t="n"/>
      <c r="C1951" s="3" t="n"/>
      <c r="D1951" s="3" t="n"/>
      <c r="E1951" s="3" t="n"/>
      <c r="F1951" s="3" t="n"/>
      <c r="G1951" s="3" t="n"/>
      <c r="H1951" s="3" t="inlineStr"/>
      <c r="I1951" s="3" t="n"/>
      <c r="J1951" s="3" t="n"/>
      <c r="K1951" s="3" t="n"/>
      <c r="L1951" s="3" t="inlineStr"/>
      <c r="M1951" s="3" t="n"/>
      <c r="N1951" s="3" t="inlineStr"/>
      <c r="O1951" s="3" t="n"/>
      <c r="P1951" s="3" t="n"/>
      <c r="Q1951" s="3" t="n"/>
      <c r="R1951" s="3" t="n"/>
      <c r="S1951" s="3" t="n"/>
      <c r="T1951" s="3" t="n"/>
      <c r="U1951" s="3" t="n"/>
      <c r="V1951" s="3" t="n"/>
      <c r="W1951" s="3" t="n"/>
      <c r="X1951" s="3" t="n"/>
      <c r="Y1951" s="3" t="n"/>
      <c r="Z1951" s="3" t="n"/>
      <c r="AA1951" s="3" t="n"/>
    </row>
    <row r="1952">
      <c r="A1952" s="105" t="n"/>
      <c r="B1952" s="105" t="n"/>
      <c r="C1952" s="3" t="n"/>
      <c r="D1952" s="3" t="n"/>
      <c r="E1952" s="3" t="n"/>
      <c r="F1952" s="3" t="n"/>
      <c r="G1952" s="3" t="n"/>
      <c r="H1952" s="3" t="inlineStr"/>
      <c r="I1952" s="3" t="n"/>
      <c r="J1952" s="3" t="n"/>
      <c r="K1952" s="3" t="n"/>
      <c r="L1952" s="3" t="inlineStr"/>
      <c r="M1952" s="3" t="n"/>
      <c r="N1952" s="3" t="inlineStr"/>
      <c r="O1952" s="3" t="n"/>
      <c r="P1952" s="3" t="n"/>
      <c r="Q1952" s="3" t="n"/>
      <c r="R1952" s="3" t="n"/>
      <c r="S1952" s="3" t="n"/>
      <c r="T1952" s="3" t="n"/>
      <c r="U1952" s="3" t="n"/>
      <c r="V1952" s="3" t="n"/>
      <c r="W1952" s="3" t="n"/>
      <c r="X1952" s="3" t="n"/>
      <c r="Y1952" s="3" t="n"/>
      <c r="Z1952" s="3" t="n"/>
      <c r="AA1952" s="3" t="n"/>
    </row>
    <row r="1953">
      <c r="A1953" s="105" t="n"/>
      <c r="B1953" s="105" t="n"/>
      <c r="C1953" s="3" t="n"/>
      <c r="D1953" s="3" t="n"/>
      <c r="E1953" s="3" t="n"/>
      <c r="F1953" s="3" t="n"/>
      <c r="G1953" s="3" t="n"/>
      <c r="H1953" s="3" t="inlineStr"/>
      <c r="I1953" s="3" t="n"/>
      <c r="J1953" s="3" t="n"/>
      <c r="K1953" s="3" t="n"/>
      <c r="L1953" s="3" t="inlineStr"/>
      <c r="M1953" s="3" t="n"/>
      <c r="N1953" s="3" t="inlineStr"/>
      <c r="O1953" s="3" t="n"/>
      <c r="P1953" s="3" t="n"/>
      <c r="Q1953" s="3" t="n"/>
      <c r="R1953" s="3" t="n"/>
      <c r="S1953" s="3" t="n"/>
      <c r="T1953" s="3" t="n"/>
      <c r="U1953" s="3" t="n"/>
      <c r="V1953" s="3" t="n"/>
      <c r="W1953" s="3" t="n"/>
      <c r="X1953" s="3" t="n"/>
      <c r="Y1953" s="3" t="n"/>
      <c r="Z1953" s="3" t="n"/>
      <c r="AA1953" s="3" t="n"/>
    </row>
    <row r="1954">
      <c r="A1954" s="105" t="n"/>
      <c r="B1954" s="105" t="n"/>
      <c r="C1954" s="3" t="n"/>
      <c r="D1954" s="3" t="n"/>
      <c r="E1954" s="3" t="n"/>
      <c r="F1954" s="3" t="n"/>
      <c r="G1954" s="3" t="n"/>
      <c r="H1954" s="3" t="inlineStr"/>
      <c r="I1954" s="3" t="n"/>
      <c r="J1954" s="3" t="n"/>
      <c r="K1954" s="3" t="n"/>
      <c r="L1954" s="3" t="inlineStr"/>
      <c r="M1954" s="3" t="n"/>
      <c r="N1954" s="3" t="inlineStr"/>
      <c r="O1954" s="3" t="n"/>
      <c r="P1954" s="3" t="n"/>
      <c r="Q1954" s="3" t="n"/>
      <c r="R1954" s="3" t="n"/>
      <c r="S1954" s="3" t="n"/>
      <c r="T1954" s="3" t="n"/>
      <c r="U1954" s="3" t="n"/>
      <c r="V1954" s="3" t="n"/>
      <c r="W1954" s="3" t="n"/>
      <c r="X1954" s="3" t="n"/>
      <c r="Y1954" s="3" t="n"/>
      <c r="Z1954" s="3" t="n"/>
      <c r="AA1954" s="3" t="n"/>
    </row>
    <row r="1955">
      <c r="A1955" s="105" t="n"/>
      <c r="B1955" s="105" t="n"/>
      <c r="C1955" s="3" t="n"/>
      <c r="D1955" s="3" t="n"/>
      <c r="E1955" s="3" t="n"/>
      <c r="F1955" s="3" t="n"/>
      <c r="G1955" s="3" t="n"/>
      <c r="H1955" s="3" t="inlineStr"/>
      <c r="I1955" s="3" t="n"/>
      <c r="J1955" s="3" t="n"/>
      <c r="K1955" s="3" t="n"/>
      <c r="L1955" s="3" t="inlineStr"/>
      <c r="M1955" s="3" t="n"/>
      <c r="N1955" s="3" t="inlineStr"/>
      <c r="O1955" s="3" t="n"/>
      <c r="P1955" s="3" t="n"/>
      <c r="Q1955" s="3" t="n"/>
      <c r="R1955" s="3" t="n"/>
      <c r="S1955" s="3" t="n"/>
      <c r="T1955" s="3" t="n"/>
      <c r="U1955" s="3" t="n"/>
      <c r="V1955" s="3" t="n"/>
      <c r="W1955" s="3" t="n"/>
      <c r="X1955" s="3" t="n"/>
      <c r="Y1955" s="3" t="n"/>
      <c r="Z1955" s="3" t="n"/>
      <c r="AA1955" s="3" t="n"/>
    </row>
    <row r="1956">
      <c r="A1956" s="105" t="n"/>
      <c r="B1956" s="105" t="n"/>
      <c r="C1956" s="3" t="n"/>
      <c r="D1956" s="3" t="n"/>
      <c r="E1956" s="3" t="n"/>
      <c r="F1956" s="3" t="n"/>
      <c r="G1956" s="3" t="n"/>
      <c r="H1956" s="3" t="inlineStr"/>
      <c r="I1956" s="3" t="n"/>
      <c r="J1956" s="3" t="n"/>
      <c r="K1956" s="3" t="n"/>
      <c r="L1956" s="3" t="inlineStr"/>
      <c r="M1956" s="3" t="n"/>
      <c r="N1956" s="3" t="inlineStr"/>
      <c r="O1956" s="3" t="n"/>
      <c r="P1956" s="3" t="n"/>
      <c r="Q1956" s="3" t="n"/>
      <c r="R1956" s="3" t="n"/>
      <c r="S1956" s="3" t="n"/>
      <c r="T1956" s="3" t="n"/>
      <c r="U1956" s="3" t="n"/>
      <c r="V1956" s="3" t="n"/>
      <c r="W1956" s="3" t="n"/>
      <c r="X1956" s="3" t="n"/>
      <c r="Y1956" s="3" t="n"/>
      <c r="Z1956" s="3" t="n"/>
      <c r="AA1956" s="3" t="n"/>
    </row>
    <row r="1957">
      <c r="A1957" s="105" t="n"/>
      <c r="B1957" s="105" t="n"/>
      <c r="C1957" s="3" t="n"/>
      <c r="D1957" s="3" t="n"/>
      <c r="E1957" s="3" t="n"/>
      <c r="F1957" s="3" t="n"/>
      <c r="G1957" s="3" t="n"/>
      <c r="H1957" s="3" t="inlineStr"/>
      <c r="I1957" s="3" t="n"/>
      <c r="J1957" s="3" t="n"/>
      <c r="K1957" s="3" t="n"/>
      <c r="L1957" s="3" t="inlineStr"/>
      <c r="M1957" s="3" t="n"/>
      <c r="N1957" s="3" t="inlineStr"/>
      <c r="O1957" s="3" t="n"/>
      <c r="P1957" s="3" t="n"/>
      <c r="Q1957" s="3" t="n"/>
      <c r="R1957" s="3" t="n"/>
      <c r="S1957" s="3" t="n"/>
      <c r="T1957" s="3" t="n"/>
      <c r="U1957" s="3" t="n"/>
      <c r="V1957" s="3" t="n"/>
      <c r="W1957" s="3" t="n"/>
      <c r="X1957" s="3" t="n"/>
      <c r="Y1957" s="3" t="n"/>
      <c r="Z1957" s="3" t="n"/>
      <c r="AA1957" s="3" t="n"/>
    </row>
    <row r="1958">
      <c r="A1958" s="105" t="n"/>
      <c r="B1958" s="105" t="n"/>
      <c r="C1958" s="3" t="n"/>
      <c r="D1958" s="3" t="n"/>
      <c r="E1958" s="3" t="n"/>
      <c r="F1958" s="3" t="n"/>
      <c r="G1958" s="3" t="n"/>
      <c r="H1958" s="3" t="inlineStr"/>
      <c r="I1958" s="3" t="n"/>
      <c r="J1958" s="3" t="n"/>
      <c r="K1958" s="3" t="n"/>
      <c r="L1958" s="3" t="inlineStr"/>
      <c r="M1958" s="3" t="n"/>
      <c r="N1958" s="3" t="inlineStr"/>
      <c r="O1958" s="3" t="n"/>
      <c r="P1958" s="3" t="n"/>
      <c r="Q1958" s="3" t="n"/>
      <c r="R1958" s="3" t="n"/>
      <c r="S1958" s="3" t="n"/>
      <c r="T1958" s="3" t="n"/>
      <c r="U1958" s="3" t="n"/>
      <c r="V1958" s="3" t="n"/>
      <c r="W1958" s="3" t="n"/>
      <c r="X1958" s="3" t="n"/>
      <c r="Y1958" s="3" t="n"/>
      <c r="Z1958" s="3" t="n"/>
      <c r="AA1958" s="3" t="n"/>
    </row>
    <row r="1959">
      <c r="A1959" s="105" t="n"/>
      <c r="B1959" s="105" t="n"/>
      <c r="C1959" s="3" t="n"/>
      <c r="D1959" s="3" t="n"/>
      <c r="E1959" s="3" t="n"/>
      <c r="F1959" s="3" t="n"/>
      <c r="G1959" s="3" t="n"/>
      <c r="H1959" s="3" t="inlineStr"/>
      <c r="I1959" s="3" t="n"/>
      <c r="J1959" s="3" t="n"/>
      <c r="K1959" s="3" t="n"/>
      <c r="L1959" s="3" t="inlineStr"/>
      <c r="M1959" s="3" t="n"/>
      <c r="N1959" s="3" t="inlineStr"/>
      <c r="O1959" s="3" t="n"/>
      <c r="P1959" s="3" t="n"/>
      <c r="Q1959" s="3" t="n"/>
      <c r="R1959" s="3" t="n"/>
      <c r="S1959" s="3" t="n"/>
      <c r="T1959" s="3" t="n"/>
      <c r="U1959" s="3" t="n"/>
      <c r="V1959" s="3" t="n"/>
      <c r="W1959" s="3" t="n"/>
      <c r="X1959" s="3" t="n"/>
      <c r="Y1959" s="3" t="n"/>
      <c r="Z1959" s="3" t="n"/>
      <c r="AA1959" s="3" t="n"/>
    </row>
    <row r="1960">
      <c r="A1960" s="105" t="n"/>
      <c r="B1960" s="105" t="n"/>
      <c r="C1960" s="3" t="n"/>
      <c r="D1960" s="3" t="n"/>
      <c r="E1960" s="3" t="n"/>
      <c r="F1960" s="3" t="n"/>
      <c r="G1960" s="3" t="n"/>
      <c r="H1960" s="3" t="inlineStr"/>
      <c r="I1960" s="3" t="n"/>
      <c r="J1960" s="3" t="n"/>
      <c r="K1960" s="3" t="n"/>
      <c r="L1960" s="3" t="inlineStr"/>
      <c r="M1960" s="3" t="n"/>
      <c r="N1960" s="3" t="inlineStr"/>
      <c r="O1960" s="3" t="n"/>
      <c r="P1960" s="3" t="n"/>
      <c r="Q1960" s="3" t="n"/>
      <c r="R1960" s="3" t="n"/>
      <c r="S1960" s="3" t="n"/>
      <c r="T1960" s="3" t="n"/>
      <c r="U1960" s="3" t="n"/>
      <c r="V1960" s="3" t="n"/>
      <c r="W1960" s="3" t="n"/>
      <c r="X1960" s="3" t="n"/>
      <c r="Y1960" s="3" t="n"/>
      <c r="Z1960" s="3" t="n"/>
      <c r="AA1960" s="3" t="n"/>
    </row>
    <row r="1961">
      <c r="A1961" s="105" t="n"/>
      <c r="B1961" s="105" t="n"/>
      <c r="C1961" s="3" t="n"/>
      <c r="D1961" s="3" t="n"/>
      <c r="E1961" s="3" t="n"/>
      <c r="F1961" s="3" t="n"/>
      <c r="G1961" s="3" t="n"/>
      <c r="H1961" s="3" t="inlineStr"/>
      <c r="I1961" s="3" t="n"/>
      <c r="J1961" s="3" t="n"/>
      <c r="K1961" s="3" t="n"/>
      <c r="L1961" s="3" t="inlineStr"/>
      <c r="M1961" s="3" t="n"/>
      <c r="N1961" s="3" t="inlineStr"/>
      <c r="O1961" s="3" t="n"/>
      <c r="P1961" s="3" t="n"/>
      <c r="Q1961" s="3" t="n"/>
      <c r="R1961" s="3" t="n"/>
      <c r="S1961" s="3" t="n"/>
      <c r="T1961" s="3" t="n"/>
      <c r="U1961" s="3" t="n"/>
      <c r="V1961" s="3" t="n"/>
      <c r="W1961" s="3" t="n"/>
      <c r="X1961" s="3" t="n"/>
      <c r="Y1961" s="3" t="n"/>
      <c r="Z1961" s="3" t="n"/>
      <c r="AA1961" s="3" t="n"/>
    </row>
    <row r="1962">
      <c r="A1962" s="105" t="n"/>
      <c r="B1962" s="105" t="n"/>
      <c r="C1962" s="3" t="n"/>
      <c r="D1962" s="3" t="n"/>
      <c r="E1962" s="3" t="n"/>
      <c r="F1962" s="3" t="n"/>
      <c r="G1962" s="3" t="n"/>
      <c r="H1962" s="3" t="inlineStr"/>
      <c r="I1962" s="3" t="n"/>
      <c r="J1962" s="3" t="n"/>
      <c r="K1962" s="3" t="n"/>
      <c r="L1962" s="3" t="inlineStr"/>
      <c r="M1962" s="3" t="n"/>
      <c r="N1962" s="3" t="inlineStr"/>
      <c r="O1962" s="3" t="n"/>
      <c r="P1962" s="3" t="n"/>
      <c r="Q1962" s="3" t="n"/>
      <c r="R1962" s="3" t="n"/>
      <c r="S1962" s="3" t="n"/>
      <c r="T1962" s="3" t="n"/>
      <c r="U1962" s="3" t="n"/>
      <c r="V1962" s="3" t="n"/>
      <c r="W1962" s="3" t="n"/>
      <c r="X1962" s="3" t="n"/>
      <c r="Y1962" s="3" t="n"/>
      <c r="Z1962" s="3" t="n"/>
      <c r="AA1962" s="3" t="n"/>
    </row>
    <row r="1963">
      <c r="A1963" s="105" t="n"/>
      <c r="B1963" s="105" t="n"/>
      <c r="C1963" s="3" t="n"/>
      <c r="D1963" s="3" t="n"/>
      <c r="E1963" s="3" t="n"/>
      <c r="F1963" s="3" t="n"/>
      <c r="G1963" s="3" t="n"/>
      <c r="H1963" s="3" t="inlineStr"/>
      <c r="I1963" s="3" t="n"/>
      <c r="J1963" s="3" t="n"/>
      <c r="K1963" s="3" t="n"/>
      <c r="L1963" s="3" t="inlineStr"/>
      <c r="M1963" s="3" t="n"/>
      <c r="N1963" s="3" t="inlineStr"/>
      <c r="O1963" s="3" t="n"/>
      <c r="P1963" s="3" t="n"/>
      <c r="Q1963" s="3" t="n"/>
      <c r="R1963" s="3" t="n"/>
      <c r="S1963" s="3" t="n"/>
      <c r="T1963" s="3" t="n"/>
      <c r="U1963" s="3" t="n"/>
      <c r="V1963" s="3" t="n"/>
      <c r="W1963" s="3" t="n"/>
      <c r="X1963" s="3" t="n"/>
      <c r="Y1963" s="3" t="n"/>
      <c r="Z1963" s="3" t="n"/>
      <c r="AA1963" s="3" t="n"/>
    </row>
    <row r="1964">
      <c r="A1964" s="105" t="n"/>
      <c r="B1964" s="105" t="n"/>
      <c r="C1964" s="3" t="n"/>
      <c r="D1964" s="3" t="n"/>
      <c r="E1964" s="3" t="n"/>
      <c r="F1964" s="3" t="n"/>
      <c r="G1964" s="3" t="n"/>
      <c r="H1964" s="3" t="inlineStr"/>
      <c r="I1964" s="3" t="n"/>
      <c r="J1964" s="3" t="n"/>
      <c r="K1964" s="3" t="n"/>
      <c r="L1964" s="3" t="inlineStr"/>
      <c r="M1964" s="3" t="n"/>
      <c r="N1964" s="3" t="inlineStr"/>
      <c r="O1964" s="3" t="n"/>
      <c r="P1964" s="3" t="n"/>
      <c r="Q1964" s="3" t="n"/>
      <c r="R1964" s="3" t="n"/>
      <c r="S1964" s="3" t="n"/>
      <c r="T1964" s="3" t="n"/>
      <c r="U1964" s="3" t="n"/>
      <c r="V1964" s="3" t="n"/>
      <c r="W1964" s="3" t="n"/>
      <c r="X1964" s="3" t="n"/>
      <c r="Y1964" s="3" t="n"/>
      <c r="Z1964" s="3" t="n"/>
      <c r="AA1964" s="3" t="n"/>
    </row>
    <row r="1965">
      <c r="A1965" s="105" t="n"/>
      <c r="B1965" s="105" t="n"/>
      <c r="C1965" s="3" t="n"/>
      <c r="D1965" s="3" t="n"/>
      <c r="E1965" s="3" t="n"/>
      <c r="F1965" s="3" t="n"/>
      <c r="G1965" s="3" t="n"/>
      <c r="H1965" s="3" t="inlineStr"/>
      <c r="I1965" s="3" t="n"/>
      <c r="J1965" s="3" t="n"/>
      <c r="K1965" s="3" t="n"/>
      <c r="L1965" s="3" t="inlineStr"/>
      <c r="M1965" s="3" t="n"/>
      <c r="N1965" s="3" t="inlineStr"/>
      <c r="O1965" s="3" t="n"/>
      <c r="P1965" s="3" t="n"/>
      <c r="Q1965" s="3" t="n"/>
      <c r="R1965" s="3" t="n"/>
      <c r="S1965" s="3" t="n"/>
      <c r="T1965" s="3" t="n"/>
      <c r="U1965" s="3" t="n"/>
      <c r="V1965" s="3" t="n"/>
      <c r="W1965" s="3" t="n"/>
      <c r="X1965" s="3" t="n"/>
      <c r="Y1965" s="3" t="n"/>
      <c r="Z1965" s="3" t="n"/>
      <c r="AA1965" s="3" t="n"/>
    </row>
    <row r="1966">
      <c r="A1966" s="105" t="n"/>
      <c r="B1966" s="105" t="n"/>
      <c r="C1966" s="3" t="n"/>
      <c r="D1966" s="3" t="n"/>
      <c r="E1966" s="3" t="n"/>
      <c r="F1966" s="3" t="n"/>
      <c r="G1966" s="3" t="n"/>
      <c r="H1966" s="3" t="inlineStr"/>
      <c r="I1966" s="3" t="n"/>
      <c r="J1966" s="3" t="n"/>
      <c r="K1966" s="3" t="n"/>
      <c r="L1966" s="3" t="inlineStr"/>
      <c r="M1966" s="3" t="n"/>
      <c r="N1966" s="3" t="inlineStr"/>
      <c r="O1966" s="3" t="n"/>
      <c r="P1966" s="3" t="n"/>
      <c r="Q1966" s="3" t="n"/>
      <c r="R1966" s="3" t="n"/>
      <c r="S1966" s="3" t="n"/>
      <c r="T1966" s="3" t="n"/>
      <c r="U1966" s="3" t="n"/>
      <c r="V1966" s="3" t="n"/>
      <c r="W1966" s="3" t="n"/>
      <c r="X1966" s="3" t="n"/>
      <c r="Y1966" s="3" t="n"/>
      <c r="Z1966" s="3" t="n"/>
      <c r="AA1966" s="3" t="n"/>
    </row>
    <row r="1967">
      <c r="A1967" s="105" t="n"/>
      <c r="B1967" s="105" t="n"/>
      <c r="C1967" s="3" t="n"/>
      <c r="D1967" s="3" t="n"/>
      <c r="E1967" s="3" t="n"/>
      <c r="F1967" s="3" t="n"/>
      <c r="G1967" s="3" t="n"/>
      <c r="H1967" s="3" t="inlineStr"/>
      <c r="I1967" s="3" t="n"/>
      <c r="J1967" s="3" t="n"/>
      <c r="K1967" s="3" t="n"/>
      <c r="L1967" s="3" t="inlineStr"/>
      <c r="M1967" s="3" t="n"/>
      <c r="N1967" s="3" t="inlineStr"/>
      <c r="O1967" s="3" t="n"/>
      <c r="P1967" s="3" t="n"/>
      <c r="Q1967" s="3" t="n"/>
      <c r="R1967" s="3" t="n"/>
      <c r="S1967" s="3" t="n"/>
      <c r="T1967" s="3" t="n"/>
      <c r="U1967" s="3" t="n"/>
      <c r="V1967" s="3" t="n"/>
      <c r="W1967" s="3" t="n"/>
      <c r="X1967" s="3" t="n"/>
      <c r="Y1967" s="3" t="n"/>
      <c r="Z1967" s="3" t="n"/>
      <c r="AA1967" s="3" t="n"/>
    </row>
    <row r="1968">
      <c r="A1968" s="105" t="n"/>
      <c r="B1968" s="105" t="n"/>
      <c r="C1968" s="3" t="n"/>
      <c r="D1968" s="3" t="n"/>
      <c r="E1968" s="3" t="n"/>
      <c r="F1968" s="3" t="n"/>
      <c r="G1968" s="3" t="n"/>
      <c r="H1968" s="3" t="inlineStr"/>
      <c r="I1968" s="3" t="n"/>
      <c r="J1968" s="3" t="n"/>
      <c r="K1968" s="3" t="n"/>
      <c r="L1968" s="3" t="inlineStr"/>
      <c r="M1968" s="3" t="n"/>
      <c r="N1968" s="3" t="inlineStr"/>
      <c r="O1968" s="3" t="n"/>
      <c r="P1968" s="3" t="n"/>
      <c r="Q1968" s="3" t="n"/>
      <c r="R1968" s="3" t="n"/>
      <c r="S1968" s="3" t="n"/>
      <c r="T1968" s="3" t="n"/>
      <c r="U1968" s="3" t="n"/>
      <c r="V1968" s="3" t="n"/>
      <c r="W1968" s="3" t="n"/>
      <c r="X1968" s="3" t="n"/>
      <c r="Y1968" s="3" t="n"/>
      <c r="Z1968" s="3" t="n"/>
      <c r="AA1968" s="3" t="n"/>
    </row>
    <row r="1969">
      <c r="A1969" s="105" t="n"/>
      <c r="B1969" s="105" t="n"/>
      <c r="C1969" s="3" t="n"/>
      <c r="D1969" s="3" t="n"/>
      <c r="E1969" s="3" t="n"/>
      <c r="F1969" s="3" t="n"/>
      <c r="G1969" s="3" t="n"/>
      <c r="H1969" s="3" t="inlineStr"/>
      <c r="I1969" s="3" t="n"/>
      <c r="J1969" s="3" t="n"/>
      <c r="K1969" s="3" t="n"/>
      <c r="L1969" s="3" t="inlineStr"/>
      <c r="M1969" s="3" t="n"/>
      <c r="N1969" s="3" t="inlineStr"/>
      <c r="O1969" s="3" t="n"/>
      <c r="P1969" s="3" t="n"/>
      <c r="Q1969" s="3" t="n"/>
      <c r="R1969" s="3" t="n"/>
      <c r="S1969" s="3" t="n"/>
      <c r="T1969" s="3" t="n"/>
      <c r="U1969" s="3" t="n"/>
      <c r="V1969" s="3" t="n"/>
      <c r="W1969" s="3" t="n"/>
      <c r="X1969" s="3" t="n"/>
      <c r="Y1969" s="3" t="n"/>
      <c r="Z1969" s="3" t="n"/>
      <c r="AA1969" s="3" t="n"/>
    </row>
    <row r="1970">
      <c r="A1970" s="105" t="n"/>
      <c r="B1970" s="105" t="n"/>
      <c r="C1970" s="3" t="n"/>
      <c r="D1970" s="3" t="n"/>
      <c r="E1970" s="3" t="n"/>
      <c r="F1970" s="3" t="n"/>
      <c r="G1970" s="3" t="n"/>
      <c r="H1970" s="3" t="inlineStr"/>
      <c r="I1970" s="3" t="n"/>
      <c r="J1970" s="3" t="n"/>
      <c r="K1970" s="3" t="n"/>
      <c r="L1970" s="3" t="inlineStr"/>
      <c r="M1970" s="3" t="n"/>
      <c r="N1970" s="3" t="inlineStr"/>
      <c r="O1970" s="3" t="n"/>
      <c r="P1970" s="3" t="n"/>
      <c r="Q1970" s="3" t="n"/>
      <c r="R1970" s="3" t="n"/>
      <c r="S1970" s="3" t="n"/>
      <c r="T1970" s="3" t="n"/>
      <c r="U1970" s="3" t="n"/>
      <c r="V1970" s="3" t="n"/>
      <c r="W1970" s="3" t="n"/>
      <c r="X1970" s="3" t="n"/>
      <c r="Y1970" s="3" t="n"/>
      <c r="Z1970" s="3" t="n"/>
      <c r="AA1970" s="3" t="n"/>
    </row>
    <row r="1971">
      <c r="A1971" s="105" t="n"/>
      <c r="B1971" s="105" t="n"/>
      <c r="C1971" s="3" t="n"/>
      <c r="D1971" s="3" t="n"/>
      <c r="E1971" s="3" t="n"/>
      <c r="F1971" s="3" t="n"/>
      <c r="G1971" s="3" t="n"/>
      <c r="H1971" s="3" t="inlineStr"/>
      <c r="I1971" s="3" t="n"/>
      <c r="J1971" s="3" t="n"/>
      <c r="K1971" s="3" t="n"/>
      <c r="L1971" s="3" t="inlineStr"/>
      <c r="M1971" s="3" t="n"/>
      <c r="N1971" s="3" t="inlineStr"/>
      <c r="O1971" s="3" t="n"/>
      <c r="P1971" s="3" t="n"/>
      <c r="Q1971" s="3" t="n"/>
      <c r="R1971" s="3" t="n"/>
      <c r="S1971" s="3" t="n"/>
      <c r="T1971" s="3" t="n"/>
      <c r="U1971" s="3" t="n"/>
      <c r="V1971" s="3" t="n"/>
      <c r="W1971" s="3" t="n"/>
      <c r="X1971" s="3" t="n"/>
      <c r="Y1971" s="3" t="n"/>
      <c r="Z1971" s="3" t="n"/>
      <c r="AA1971" s="3" t="n"/>
    </row>
    <row r="1972">
      <c r="A1972" s="105" t="n"/>
      <c r="B1972" s="105" t="n"/>
      <c r="C1972" s="3" t="n"/>
      <c r="D1972" s="3" t="n"/>
      <c r="E1972" s="3" t="n"/>
      <c r="F1972" s="3" t="n"/>
      <c r="G1972" s="3" t="n"/>
      <c r="H1972" s="3" t="inlineStr"/>
      <c r="I1972" s="3" t="n"/>
      <c r="J1972" s="3" t="n"/>
      <c r="K1972" s="3" t="n"/>
      <c r="L1972" s="3" t="inlineStr"/>
      <c r="M1972" s="3" t="n"/>
      <c r="N1972" s="3" t="inlineStr"/>
      <c r="O1972" s="3" t="n"/>
      <c r="P1972" s="3" t="n"/>
      <c r="Q1972" s="3" t="n"/>
      <c r="R1972" s="3" t="n"/>
      <c r="S1972" s="3" t="n"/>
      <c r="T1972" s="3" t="n"/>
      <c r="U1972" s="3" t="n"/>
      <c r="V1972" s="3" t="n"/>
      <c r="W1972" s="3" t="n"/>
      <c r="X1972" s="3" t="n"/>
      <c r="Y1972" s="3" t="n"/>
      <c r="Z1972" s="3" t="n"/>
      <c r="AA1972" s="3" t="n"/>
    </row>
    <row r="1973">
      <c r="A1973" s="105" t="n"/>
      <c r="B1973" s="105" t="n"/>
      <c r="C1973" s="3" t="n"/>
      <c r="D1973" s="3" t="n"/>
      <c r="E1973" s="3" t="n"/>
      <c r="F1973" s="3" t="n"/>
      <c r="G1973" s="3" t="n"/>
      <c r="H1973" s="3" t="inlineStr"/>
      <c r="I1973" s="3" t="n"/>
      <c r="J1973" s="3" t="n"/>
      <c r="K1973" s="3" t="n"/>
      <c r="L1973" s="3" t="inlineStr"/>
      <c r="M1973" s="3" t="n"/>
      <c r="N1973" s="3" t="inlineStr"/>
      <c r="O1973" s="3" t="n"/>
      <c r="P1973" s="3" t="n"/>
      <c r="Q1973" s="3" t="n"/>
      <c r="R1973" s="3" t="n"/>
      <c r="S1973" s="3" t="n"/>
      <c r="T1973" s="3" t="n"/>
      <c r="U1973" s="3" t="n"/>
      <c r="V1973" s="3" t="n"/>
      <c r="W1973" s="3" t="n"/>
      <c r="X1973" s="3" t="n"/>
      <c r="Y1973" s="3" t="n"/>
      <c r="Z1973" s="3" t="n"/>
      <c r="AA1973" s="3" t="n"/>
    </row>
    <row r="1974">
      <c r="A1974" s="105" t="n"/>
      <c r="B1974" s="105" t="n"/>
      <c r="C1974" s="3" t="n"/>
      <c r="D1974" s="3" t="n"/>
      <c r="E1974" s="3" t="n"/>
      <c r="F1974" s="3" t="n"/>
      <c r="G1974" s="3" t="n"/>
      <c r="H1974" s="3" t="inlineStr"/>
      <c r="I1974" s="3" t="n"/>
      <c r="J1974" s="3" t="n"/>
      <c r="K1974" s="3" t="n"/>
      <c r="L1974" s="3" t="inlineStr"/>
      <c r="M1974" s="3" t="n"/>
      <c r="N1974" s="3" t="inlineStr"/>
      <c r="O1974" s="3" t="n"/>
      <c r="P1974" s="3" t="n"/>
      <c r="Q1974" s="3" t="n"/>
      <c r="R1974" s="3" t="n"/>
      <c r="S1974" s="3" t="n"/>
      <c r="T1974" s="3" t="n"/>
      <c r="U1974" s="3" t="n"/>
      <c r="V1974" s="3" t="n"/>
      <c r="W1974" s="3" t="n"/>
      <c r="X1974" s="3" t="n"/>
      <c r="Y1974" s="3" t="n"/>
      <c r="Z1974" s="3" t="n"/>
      <c r="AA1974" s="3" t="n"/>
    </row>
    <row r="1975">
      <c r="A1975" s="105" t="n"/>
      <c r="B1975" s="105" t="n"/>
      <c r="C1975" s="3" t="n"/>
      <c r="D1975" s="3" t="n"/>
      <c r="E1975" s="3" t="n"/>
      <c r="F1975" s="3" t="n"/>
      <c r="G1975" s="3" t="n"/>
      <c r="H1975" s="3" t="inlineStr"/>
      <c r="I1975" s="3" t="n"/>
      <c r="J1975" s="3" t="n"/>
      <c r="K1975" s="3" t="n"/>
      <c r="L1975" s="3" t="inlineStr"/>
      <c r="M1975" s="3" t="n"/>
      <c r="N1975" s="3" t="inlineStr"/>
      <c r="O1975" s="3" t="n"/>
      <c r="P1975" s="3" t="n"/>
      <c r="Q1975" s="3" t="n"/>
      <c r="R1975" s="3" t="n"/>
      <c r="S1975" s="3" t="n"/>
      <c r="T1975" s="3" t="n"/>
      <c r="U1975" s="3" t="n"/>
      <c r="V1975" s="3" t="n"/>
      <c r="W1975" s="3" t="n"/>
      <c r="X1975" s="3" t="n"/>
      <c r="Y1975" s="3" t="n"/>
      <c r="Z1975" s="3" t="n"/>
      <c r="AA1975" s="3" t="n"/>
    </row>
    <row r="1976">
      <c r="A1976" s="105" t="n"/>
      <c r="B1976" s="105" t="n"/>
      <c r="C1976" s="3" t="n"/>
      <c r="D1976" s="3" t="n"/>
      <c r="E1976" s="3" t="n"/>
      <c r="F1976" s="3" t="n"/>
      <c r="G1976" s="3" t="n"/>
      <c r="H1976" s="3" t="inlineStr"/>
      <c r="I1976" s="3" t="n"/>
      <c r="J1976" s="3" t="n"/>
      <c r="K1976" s="3" t="n"/>
      <c r="L1976" s="3" t="inlineStr"/>
      <c r="M1976" s="3" t="n"/>
      <c r="N1976" s="3" t="inlineStr"/>
      <c r="O1976" s="3" t="n"/>
      <c r="P1976" s="3" t="n"/>
      <c r="Q1976" s="3" t="n"/>
      <c r="R1976" s="3" t="n"/>
      <c r="S1976" s="3" t="n"/>
      <c r="T1976" s="3" t="n"/>
      <c r="U1976" s="3" t="n"/>
      <c r="V1976" s="3" t="n"/>
      <c r="W1976" s="3" t="n"/>
      <c r="X1976" s="3" t="n"/>
      <c r="Y1976" s="3" t="n"/>
      <c r="Z1976" s="3" t="n"/>
      <c r="AA1976" s="3" t="n"/>
    </row>
    <row r="1977">
      <c r="A1977" s="105" t="n"/>
      <c r="B1977" s="105" t="n"/>
      <c r="C1977" s="3" t="n"/>
      <c r="D1977" s="3" t="n"/>
      <c r="E1977" s="3" t="n"/>
      <c r="F1977" s="3" t="n"/>
      <c r="G1977" s="3" t="n"/>
      <c r="H1977" s="3" t="inlineStr"/>
      <c r="I1977" s="3" t="n"/>
      <c r="J1977" s="3" t="n"/>
      <c r="K1977" s="3" t="n"/>
      <c r="L1977" s="3" t="inlineStr"/>
      <c r="M1977" s="3" t="n"/>
      <c r="N1977" s="3" t="inlineStr"/>
      <c r="O1977" s="3" t="n"/>
      <c r="P1977" s="3" t="n"/>
      <c r="Q1977" s="3" t="n"/>
      <c r="R1977" s="3" t="n"/>
      <c r="S1977" s="3" t="n"/>
      <c r="T1977" s="3" t="n"/>
      <c r="U1977" s="3" t="n"/>
      <c r="V1977" s="3" t="n"/>
      <c r="W1977" s="3" t="n"/>
      <c r="X1977" s="3" t="n"/>
      <c r="Y1977" s="3" t="n"/>
      <c r="Z1977" s="3" t="n"/>
      <c r="AA1977" s="3" t="n"/>
    </row>
    <row r="1978">
      <c r="A1978" s="105" t="n"/>
      <c r="B1978" s="105" t="n"/>
      <c r="C1978" s="3" t="n"/>
      <c r="D1978" s="3" t="n"/>
      <c r="E1978" s="3" t="n"/>
      <c r="F1978" s="3" t="n"/>
      <c r="G1978" s="3" t="n"/>
      <c r="H1978" s="3" t="inlineStr"/>
      <c r="I1978" s="3" t="n"/>
      <c r="J1978" s="3" t="n"/>
      <c r="K1978" s="3" t="n"/>
      <c r="L1978" s="3" t="inlineStr"/>
      <c r="M1978" s="3" t="n"/>
      <c r="N1978" s="3" t="inlineStr"/>
      <c r="O1978" s="3" t="n"/>
      <c r="P1978" s="3" t="n"/>
      <c r="Q1978" s="3" t="n"/>
      <c r="R1978" s="3" t="n"/>
      <c r="S1978" s="3" t="n"/>
      <c r="T1978" s="3" t="n"/>
      <c r="U1978" s="3" t="n"/>
      <c r="V1978" s="3" t="n"/>
      <c r="W1978" s="3" t="n"/>
      <c r="X1978" s="3" t="n"/>
      <c r="Y1978" s="3" t="n"/>
      <c r="Z1978" s="3" t="n"/>
      <c r="AA1978" s="3" t="n"/>
    </row>
    <row r="1979">
      <c r="A1979" s="105" t="n"/>
      <c r="B1979" s="105" t="n"/>
      <c r="C1979" s="3" t="n"/>
      <c r="D1979" s="3" t="n"/>
      <c r="E1979" s="3" t="n"/>
      <c r="F1979" s="3" t="n"/>
      <c r="G1979" s="3" t="n"/>
      <c r="H1979" s="3" t="inlineStr"/>
      <c r="I1979" s="3" t="n"/>
      <c r="J1979" s="3" t="n"/>
      <c r="K1979" s="3" t="n"/>
      <c r="L1979" s="3" t="inlineStr"/>
      <c r="M1979" s="3" t="n"/>
      <c r="N1979" s="3" t="inlineStr"/>
      <c r="O1979" s="3" t="n"/>
      <c r="P1979" s="3" t="n"/>
      <c r="Q1979" s="3" t="n"/>
      <c r="R1979" s="3" t="n"/>
      <c r="S1979" s="3" t="n"/>
      <c r="T1979" s="3" t="n"/>
      <c r="U1979" s="3" t="n"/>
      <c r="V1979" s="3" t="n"/>
      <c r="W1979" s="3" t="n"/>
      <c r="X1979" s="3" t="n"/>
      <c r="Y1979" s="3" t="n"/>
      <c r="Z1979" s="3" t="n"/>
      <c r="AA1979" s="3" t="n"/>
    </row>
    <row r="1980">
      <c r="A1980" s="105" t="n"/>
      <c r="B1980" s="105" t="n"/>
      <c r="C1980" s="3" t="n"/>
      <c r="D1980" s="3" t="n"/>
      <c r="E1980" s="3" t="n"/>
      <c r="F1980" s="3" t="n"/>
      <c r="G1980" s="3" t="n"/>
      <c r="H1980" s="3" t="inlineStr"/>
      <c r="I1980" s="3" t="n"/>
      <c r="J1980" s="3" t="n"/>
      <c r="K1980" s="3" t="n"/>
      <c r="L1980" s="3" t="inlineStr"/>
      <c r="M1980" s="3" t="n"/>
      <c r="N1980" s="3" t="inlineStr"/>
      <c r="O1980" s="3" t="n"/>
      <c r="P1980" s="3" t="n"/>
      <c r="Q1980" s="3" t="n"/>
      <c r="R1980" s="3" t="n"/>
      <c r="S1980" s="3" t="n"/>
      <c r="T1980" s="3" t="n"/>
      <c r="U1980" s="3" t="n"/>
      <c r="V1980" s="3" t="n"/>
      <c r="W1980" s="3" t="n"/>
      <c r="X1980" s="3" t="n"/>
      <c r="Y1980" s="3" t="n"/>
      <c r="Z1980" s="3" t="n"/>
      <c r="AA1980" s="3" t="n"/>
    </row>
    <row r="1981">
      <c r="A1981" s="105" t="n"/>
      <c r="B1981" s="105" t="n"/>
      <c r="C1981" s="3" t="n"/>
      <c r="D1981" s="3" t="n"/>
      <c r="E1981" s="3" t="n"/>
      <c r="F1981" s="3" t="n"/>
      <c r="G1981" s="3" t="n"/>
      <c r="H1981" s="3" t="inlineStr"/>
      <c r="I1981" s="3" t="n"/>
      <c r="J1981" s="3" t="n"/>
      <c r="K1981" s="3" t="n"/>
      <c r="L1981" s="3" t="inlineStr"/>
      <c r="M1981" s="3" t="n"/>
      <c r="N1981" s="3" t="inlineStr"/>
      <c r="O1981" s="3" t="n"/>
      <c r="P1981" s="3" t="n"/>
      <c r="Q1981" s="3" t="n"/>
      <c r="R1981" s="3" t="n"/>
      <c r="S1981" s="3" t="n"/>
      <c r="T1981" s="3" t="n"/>
      <c r="U1981" s="3" t="n"/>
      <c r="V1981" s="3" t="n"/>
      <c r="W1981" s="3" t="n"/>
      <c r="X1981" s="3" t="n"/>
      <c r="Y1981" s="3" t="n"/>
      <c r="Z1981" s="3" t="n"/>
      <c r="AA1981" s="3" t="n"/>
    </row>
    <row r="1982">
      <c r="A1982" s="105" t="n"/>
      <c r="B1982" s="105" t="n"/>
      <c r="C1982" s="3" t="n"/>
      <c r="D1982" s="3" t="n"/>
      <c r="E1982" s="3" t="n"/>
      <c r="F1982" s="3" t="n"/>
      <c r="G1982" s="3" t="n"/>
      <c r="H1982" s="3" t="inlineStr"/>
      <c r="I1982" s="3" t="n"/>
      <c r="J1982" s="3" t="n"/>
      <c r="K1982" s="3" t="n"/>
      <c r="L1982" s="3" t="inlineStr"/>
      <c r="M1982" s="3" t="n"/>
      <c r="N1982" s="3" t="inlineStr"/>
      <c r="O1982" s="3" t="n"/>
      <c r="P1982" s="3" t="n"/>
      <c r="Q1982" s="3" t="n"/>
      <c r="R1982" s="3" t="n"/>
      <c r="S1982" s="3" t="n"/>
      <c r="T1982" s="3" t="n"/>
      <c r="U1982" s="3" t="n"/>
      <c r="V1982" s="3" t="n"/>
      <c r="W1982" s="3" t="n"/>
      <c r="X1982" s="3" t="n"/>
      <c r="Y1982" s="3" t="n"/>
      <c r="Z1982" s="3" t="n"/>
      <c r="AA1982" s="3" t="n"/>
    </row>
    <row r="1983">
      <c r="A1983" s="105" t="n"/>
      <c r="B1983" s="105" t="n"/>
      <c r="C1983" s="3" t="n"/>
      <c r="D1983" s="3" t="n"/>
      <c r="E1983" s="3" t="n"/>
      <c r="F1983" s="3" t="n"/>
      <c r="G1983" s="3" t="n"/>
      <c r="H1983" s="3" t="inlineStr"/>
      <c r="I1983" s="3" t="n"/>
      <c r="J1983" s="3" t="n"/>
      <c r="K1983" s="3" t="n"/>
      <c r="L1983" s="3" t="inlineStr"/>
      <c r="M1983" s="3" t="n"/>
      <c r="N1983" s="3" t="inlineStr"/>
      <c r="O1983" s="3" t="n"/>
      <c r="P1983" s="3" t="n"/>
      <c r="Q1983" s="3" t="n"/>
      <c r="R1983" s="3" t="n"/>
      <c r="S1983" s="3" t="n"/>
      <c r="T1983" s="3" t="n"/>
      <c r="U1983" s="3" t="n"/>
      <c r="V1983" s="3" t="n"/>
      <c r="W1983" s="3" t="n"/>
      <c r="X1983" s="3" t="n"/>
      <c r="Y1983" s="3" t="n"/>
      <c r="Z1983" s="3" t="n"/>
      <c r="AA1983" s="3" t="n"/>
    </row>
    <row r="1984">
      <c r="A1984" s="105" t="n"/>
      <c r="B1984" s="105" t="n"/>
      <c r="C1984" s="3" t="n"/>
      <c r="D1984" s="3" t="n"/>
      <c r="E1984" s="3" t="n"/>
      <c r="F1984" s="3" t="n"/>
      <c r="G1984" s="3" t="n"/>
      <c r="H1984" s="3" t="inlineStr"/>
      <c r="I1984" s="3" t="n"/>
      <c r="J1984" s="3" t="n"/>
      <c r="K1984" s="3" t="n"/>
      <c r="L1984" s="3" t="inlineStr"/>
      <c r="M1984" s="3" t="n"/>
      <c r="N1984" s="3" t="inlineStr"/>
      <c r="O1984" s="3" t="n"/>
      <c r="P1984" s="3" t="n"/>
      <c r="Q1984" s="3" t="n"/>
      <c r="R1984" s="3" t="n"/>
      <c r="S1984" s="3" t="n"/>
      <c r="T1984" s="3" t="n"/>
      <c r="U1984" s="3" t="n"/>
      <c r="V1984" s="3" t="n"/>
      <c r="W1984" s="3" t="n"/>
      <c r="X1984" s="3" t="n"/>
      <c r="Y1984" s="3" t="n"/>
      <c r="Z1984" s="3" t="n"/>
      <c r="AA1984" s="3" t="n"/>
    </row>
    <row r="1985">
      <c r="A1985" s="105" t="n"/>
      <c r="B1985" s="105" t="n"/>
      <c r="C1985" s="3" t="n"/>
      <c r="D1985" s="3" t="n"/>
      <c r="E1985" s="3" t="n"/>
      <c r="F1985" s="3" t="n"/>
      <c r="G1985" s="3" t="n"/>
      <c r="H1985" s="3" t="inlineStr"/>
      <c r="I1985" s="3" t="n"/>
      <c r="J1985" s="3" t="n"/>
      <c r="K1985" s="3" t="n"/>
      <c r="L1985" s="3" t="inlineStr"/>
      <c r="M1985" s="3" t="n"/>
      <c r="N1985" s="3" t="inlineStr"/>
      <c r="O1985" s="3" t="n"/>
      <c r="P1985" s="3" t="n"/>
      <c r="Q1985" s="3" t="n"/>
      <c r="R1985" s="3" t="n"/>
      <c r="S1985" s="3" t="n"/>
      <c r="T1985" s="3" t="n"/>
      <c r="U1985" s="3" t="n"/>
      <c r="V1985" s="3" t="n"/>
      <c r="W1985" s="3" t="n"/>
      <c r="X1985" s="3" t="n"/>
      <c r="Y1985" s="3" t="n"/>
      <c r="Z1985" s="3" t="n"/>
      <c r="AA1985" s="3" t="n"/>
    </row>
    <row r="1986">
      <c r="A1986" s="105" t="n"/>
      <c r="B1986" s="105" t="n"/>
      <c r="C1986" s="3" t="n"/>
      <c r="D1986" s="3" t="n"/>
      <c r="E1986" s="3" t="n"/>
      <c r="F1986" s="3" t="n"/>
      <c r="G1986" s="3" t="n"/>
      <c r="H1986" s="3" t="inlineStr"/>
      <c r="I1986" s="3" t="n"/>
      <c r="J1986" s="3" t="n"/>
      <c r="K1986" s="3" t="n"/>
      <c r="L1986" s="3" t="inlineStr"/>
      <c r="M1986" s="3" t="n"/>
      <c r="N1986" s="3" t="inlineStr"/>
      <c r="O1986" s="3" t="n"/>
      <c r="P1986" s="3" t="n"/>
      <c r="Q1986" s="3" t="n"/>
      <c r="R1986" s="3" t="n"/>
      <c r="S1986" s="3" t="n"/>
      <c r="T1986" s="3" t="n"/>
      <c r="U1986" s="3" t="n"/>
      <c r="V1986" s="3" t="n"/>
      <c r="W1986" s="3" t="n"/>
      <c r="X1986" s="3" t="n"/>
      <c r="Y1986" s="3" t="n"/>
      <c r="Z1986" s="3" t="n"/>
      <c r="AA1986" s="3" t="n"/>
    </row>
    <row r="1987">
      <c r="A1987" s="105" t="n"/>
      <c r="B1987" s="105" t="n"/>
      <c r="C1987" s="3" t="n"/>
      <c r="D1987" s="3" t="n"/>
      <c r="E1987" s="3" t="n"/>
      <c r="F1987" s="3" t="n"/>
      <c r="G1987" s="3" t="n"/>
      <c r="H1987" s="3" t="inlineStr"/>
      <c r="I1987" s="3" t="n"/>
      <c r="J1987" s="3" t="n"/>
      <c r="K1987" s="3" t="n"/>
      <c r="L1987" s="3" t="inlineStr"/>
      <c r="M1987" s="3" t="n"/>
      <c r="N1987" s="3" t="inlineStr"/>
      <c r="O1987" s="3" t="n"/>
      <c r="P1987" s="3" t="n"/>
      <c r="Q1987" s="3" t="n"/>
      <c r="R1987" s="3" t="n"/>
      <c r="S1987" s="3" t="n"/>
      <c r="T1987" s="3" t="n"/>
      <c r="U1987" s="3" t="n"/>
      <c r="V1987" s="3" t="n"/>
      <c r="W1987" s="3" t="n"/>
      <c r="X1987" s="3" t="n"/>
      <c r="Y1987" s="3" t="n"/>
      <c r="Z1987" s="3" t="n"/>
      <c r="AA1987" s="3" t="n"/>
    </row>
    <row r="1988">
      <c r="A1988" s="105" t="n"/>
      <c r="B1988" s="105" t="n"/>
      <c r="C1988" s="3" t="n"/>
      <c r="D1988" s="3" t="n"/>
      <c r="E1988" s="3" t="n"/>
      <c r="F1988" s="3" t="n"/>
      <c r="G1988" s="3" t="n"/>
      <c r="H1988" s="3" t="inlineStr"/>
      <c r="I1988" s="3" t="n"/>
      <c r="J1988" s="3" t="n"/>
      <c r="K1988" s="3" t="n"/>
      <c r="L1988" s="3" t="inlineStr"/>
      <c r="M1988" s="3" t="n"/>
      <c r="N1988" s="3" t="inlineStr"/>
      <c r="O1988" s="3" t="n"/>
      <c r="P1988" s="3" t="n"/>
      <c r="Q1988" s="3" t="n"/>
      <c r="R1988" s="3" t="n"/>
      <c r="S1988" s="3" t="n"/>
      <c r="T1988" s="3" t="n"/>
      <c r="U1988" s="3" t="n"/>
      <c r="V1988" s="3" t="n"/>
      <c r="W1988" s="3" t="n"/>
      <c r="X1988" s="3" t="n"/>
      <c r="Y1988" s="3" t="n"/>
      <c r="Z1988" s="3" t="n"/>
      <c r="AA1988" s="3" t="n"/>
    </row>
    <row r="1989">
      <c r="A1989" s="105" t="n"/>
      <c r="B1989" s="105" t="n"/>
      <c r="C1989" s="3" t="n"/>
      <c r="D1989" s="3" t="n"/>
      <c r="E1989" s="3" t="n"/>
      <c r="F1989" s="3" t="n"/>
      <c r="G1989" s="3" t="n"/>
      <c r="H1989" s="3" t="inlineStr"/>
      <c r="I1989" s="3" t="n"/>
      <c r="J1989" s="3" t="n"/>
      <c r="K1989" s="3" t="n"/>
      <c r="L1989" s="3" t="inlineStr"/>
      <c r="M1989" s="3" t="n"/>
      <c r="N1989" s="3" t="inlineStr"/>
      <c r="O1989" s="3" t="n"/>
      <c r="P1989" s="3" t="n"/>
      <c r="Q1989" s="3" t="n"/>
      <c r="R1989" s="3" t="n"/>
      <c r="S1989" s="3" t="n"/>
      <c r="T1989" s="3" t="n"/>
      <c r="U1989" s="3" t="n"/>
      <c r="V1989" s="3" t="n"/>
      <c r="W1989" s="3" t="n"/>
      <c r="X1989" s="3" t="n"/>
      <c r="Y1989" s="3" t="n"/>
      <c r="Z1989" s="3" t="n"/>
      <c r="AA1989" s="3" t="n"/>
    </row>
    <row r="1990">
      <c r="A1990" s="105" t="n"/>
      <c r="B1990" s="105" t="n"/>
      <c r="C1990" s="3" t="n"/>
      <c r="D1990" s="3" t="n"/>
      <c r="E1990" s="3" t="n"/>
      <c r="F1990" s="3" t="n"/>
      <c r="G1990" s="3" t="n"/>
      <c r="H1990" s="3" t="inlineStr"/>
      <c r="I1990" s="3" t="n"/>
      <c r="J1990" s="3" t="n"/>
      <c r="K1990" s="3" t="n"/>
      <c r="L1990" s="3" t="inlineStr"/>
      <c r="M1990" s="3" t="n"/>
      <c r="N1990" s="3" t="inlineStr"/>
      <c r="O1990" s="3" t="n"/>
      <c r="P1990" s="3" t="n"/>
      <c r="Q1990" s="3" t="n"/>
      <c r="R1990" s="3" t="n"/>
      <c r="S1990" s="3" t="n"/>
      <c r="T1990" s="3" t="n"/>
      <c r="U1990" s="3" t="n"/>
      <c r="V1990" s="3" t="n"/>
      <c r="W1990" s="3" t="n"/>
      <c r="X1990" s="3" t="n"/>
      <c r="Y1990" s="3" t="n"/>
      <c r="Z1990" s="3" t="n"/>
      <c r="AA1990" s="3" t="n"/>
    </row>
    <row r="1991">
      <c r="A1991" s="105" t="n"/>
      <c r="B1991" s="105" t="n"/>
      <c r="C1991" s="3" t="n"/>
      <c r="D1991" s="3" t="n"/>
      <c r="E1991" s="3" t="n"/>
      <c r="F1991" s="3" t="n"/>
      <c r="G1991" s="3" t="n"/>
      <c r="H1991" s="3" t="inlineStr"/>
      <c r="I1991" s="3" t="n"/>
      <c r="J1991" s="3" t="n"/>
      <c r="K1991" s="3" t="n"/>
      <c r="L1991" s="3" t="inlineStr"/>
      <c r="M1991" s="3" t="n"/>
      <c r="N1991" s="3" t="inlineStr"/>
      <c r="O1991" s="3" t="n"/>
      <c r="P1991" s="3" t="n"/>
      <c r="Q1991" s="3" t="n"/>
      <c r="R1991" s="3" t="n"/>
      <c r="S1991" s="3" t="n"/>
      <c r="T1991" s="3" t="n"/>
      <c r="U1991" s="3" t="n"/>
      <c r="V1991" s="3" t="n"/>
      <c r="W1991" s="3" t="n"/>
      <c r="X1991" s="3" t="n"/>
      <c r="Y1991" s="3" t="n"/>
      <c r="Z1991" s="3" t="n"/>
      <c r="AA1991" s="3" t="n"/>
    </row>
    <row r="1992">
      <c r="A1992" s="105" t="n"/>
      <c r="B1992" s="105" t="n"/>
      <c r="C1992" s="3" t="n"/>
      <c r="D1992" s="3" t="n"/>
      <c r="E1992" s="3" t="n"/>
      <c r="F1992" s="3" t="n"/>
      <c r="G1992" s="3" t="n"/>
      <c r="H1992" s="3" t="inlineStr"/>
      <c r="I1992" s="3" t="n"/>
      <c r="J1992" s="3" t="n"/>
      <c r="K1992" s="3" t="n"/>
      <c r="L1992" s="3" t="inlineStr"/>
      <c r="M1992" s="3" t="n"/>
      <c r="N1992" s="3" t="inlineStr"/>
      <c r="O1992" s="3" t="n"/>
      <c r="P1992" s="3" t="n"/>
      <c r="Q1992" s="3" t="n"/>
      <c r="R1992" s="3" t="n"/>
      <c r="S1992" s="3" t="n"/>
      <c r="T1992" s="3" t="n"/>
      <c r="U1992" s="3" t="n"/>
      <c r="V1992" s="3" t="n"/>
      <c r="W1992" s="3" t="n"/>
      <c r="X1992" s="3" t="n"/>
      <c r="Y1992" s="3" t="n"/>
      <c r="Z1992" s="3" t="n"/>
      <c r="AA1992" s="3" t="n"/>
    </row>
    <row r="1993">
      <c r="A1993" s="105" t="n"/>
      <c r="B1993" s="105" t="n"/>
      <c r="C1993" s="3" t="n"/>
      <c r="D1993" s="3" t="n"/>
      <c r="E1993" s="3" t="n"/>
      <c r="F1993" s="3" t="n"/>
      <c r="G1993" s="3" t="n"/>
      <c r="H1993" s="3" t="inlineStr"/>
      <c r="I1993" s="3" t="n"/>
      <c r="J1993" s="3" t="n"/>
      <c r="K1993" s="3" t="n"/>
      <c r="L1993" s="3" t="inlineStr"/>
      <c r="M1993" s="3" t="n"/>
      <c r="N1993" s="3" t="inlineStr"/>
      <c r="O1993" s="3" t="n"/>
      <c r="P1993" s="3" t="n"/>
      <c r="Q1993" s="3" t="n"/>
      <c r="R1993" s="3" t="n"/>
      <c r="S1993" s="3" t="n"/>
      <c r="T1993" s="3" t="n"/>
      <c r="U1993" s="3" t="n"/>
      <c r="V1993" s="3" t="n"/>
      <c r="W1993" s="3" t="n"/>
      <c r="X1993" s="3" t="n"/>
      <c r="Y1993" s="3" t="n"/>
      <c r="Z1993" s="3" t="n"/>
      <c r="AA1993" s="3" t="n"/>
    </row>
    <row r="1994">
      <c r="A1994" s="105" t="n"/>
      <c r="B1994" s="105" t="n"/>
      <c r="C1994" s="3" t="n"/>
      <c r="D1994" s="3" t="n"/>
      <c r="E1994" s="3" t="n"/>
      <c r="F1994" s="3" t="n"/>
      <c r="G1994" s="3" t="n"/>
      <c r="H1994" s="3" t="inlineStr"/>
      <c r="I1994" s="3" t="n"/>
      <c r="J1994" s="3" t="n"/>
      <c r="K1994" s="3" t="n"/>
      <c r="L1994" s="3" t="inlineStr"/>
      <c r="M1994" s="3" t="n"/>
      <c r="N1994" s="3" t="inlineStr"/>
      <c r="O1994" s="3" t="n"/>
      <c r="P1994" s="3" t="n"/>
      <c r="Q1994" s="3" t="n"/>
      <c r="R1994" s="3" t="n"/>
      <c r="S1994" s="3" t="n"/>
      <c r="T1994" s="3" t="n"/>
      <c r="U1994" s="3" t="n"/>
      <c r="V1994" s="3" t="n"/>
      <c r="W1994" s="3" t="n"/>
      <c r="X1994" s="3" t="n"/>
      <c r="Y1994" s="3" t="n"/>
      <c r="Z1994" s="3" t="n"/>
      <c r="AA1994" s="3" t="n"/>
    </row>
    <row r="1995">
      <c r="A1995" s="105" t="n"/>
      <c r="B1995" s="105" t="n"/>
      <c r="C1995" s="3" t="n"/>
      <c r="D1995" s="3" t="n"/>
      <c r="E1995" s="3" t="n"/>
      <c r="F1995" s="3" t="n"/>
      <c r="G1995" s="3" t="n"/>
      <c r="H1995" s="3" t="inlineStr"/>
      <c r="I1995" s="3" t="n"/>
      <c r="J1995" s="3" t="n"/>
      <c r="K1995" s="3" t="n"/>
      <c r="L1995" s="3" t="inlineStr"/>
      <c r="M1995" s="3" t="n"/>
      <c r="N1995" s="3" t="inlineStr"/>
      <c r="O1995" s="3" t="n"/>
      <c r="P1995" s="3" t="n"/>
      <c r="Q1995" s="3" t="n"/>
      <c r="R1995" s="3" t="n"/>
      <c r="S1995" s="3" t="n"/>
      <c r="T1995" s="3" t="n"/>
      <c r="U1995" s="3" t="n"/>
      <c r="V1995" s="3" t="n"/>
      <c r="W1995" s="3" t="n"/>
      <c r="X1995" s="3" t="n"/>
      <c r="Y1995" s="3" t="n"/>
      <c r="Z1995" s="3" t="n"/>
      <c r="AA1995" s="3" t="n"/>
    </row>
    <row r="1996">
      <c r="A1996" s="105" t="n"/>
      <c r="B1996" s="105" t="n"/>
      <c r="C1996" s="3" t="n"/>
      <c r="D1996" s="3" t="n"/>
      <c r="E1996" s="3" t="n"/>
      <c r="F1996" s="3" t="n"/>
      <c r="G1996" s="3" t="n"/>
      <c r="H1996" s="3" t="inlineStr"/>
      <c r="I1996" s="3" t="n"/>
      <c r="J1996" s="3" t="n"/>
      <c r="K1996" s="3" t="n"/>
      <c r="L1996" s="3" t="inlineStr"/>
      <c r="M1996" s="3" t="n"/>
      <c r="N1996" s="3" t="inlineStr"/>
      <c r="O1996" s="3" t="n"/>
      <c r="P1996" s="3" t="n"/>
      <c r="Q1996" s="3" t="n"/>
      <c r="R1996" s="3" t="n"/>
      <c r="S1996" s="3" t="n"/>
      <c r="T1996" s="3" t="n"/>
      <c r="U1996" s="3" t="n"/>
      <c r="V1996" s="3" t="n"/>
      <c r="W1996" s="3" t="n"/>
      <c r="X1996" s="3" t="n"/>
      <c r="Y1996" s="3" t="n"/>
      <c r="Z1996" s="3" t="n"/>
      <c r="AA1996" s="3" t="n"/>
    </row>
    <row r="1997">
      <c r="A1997" s="105" t="n"/>
      <c r="B1997" s="105" t="n"/>
      <c r="C1997" s="3" t="n"/>
      <c r="D1997" s="3" t="n"/>
      <c r="E1997" s="3" t="n"/>
      <c r="F1997" s="3" t="n"/>
      <c r="G1997" s="3" t="n"/>
      <c r="H1997" s="3" t="inlineStr"/>
      <c r="I1997" s="3" t="n"/>
      <c r="J1997" s="3" t="n"/>
      <c r="K1997" s="3" t="n"/>
      <c r="L1997" s="3" t="inlineStr"/>
      <c r="M1997" s="3" t="n"/>
      <c r="N1997" s="3" t="inlineStr"/>
      <c r="O1997" s="3" t="n"/>
      <c r="P1997" s="3" t="n"/>
      <c r="Q1997" s="3" t="n"/>
      <c r="R1997" s="3" t="n"/>
      <c r="S1997" s="3" t="n"/>
      <c r="T1997" s="3" t="n"/>
      <c r="U1997" s="3" t="n"/>
      <c r="V1997" s="3" t="n"/>
      <c r="W1997" s="3" t="n"/>
      <c r="X1997" s="3" t="n"/>
      <c r="Y1997" s="3" t="n"/>
      <c r="Z1997" s="3" t="n"/>
      <c r="AA1997" s="3" t="n"/>
    </row>
    <row r="1998">
      <c r="A1998" s="105" t="n"/>
      <c r="B1998" s="105" t="n"/>
      <c r="C1998" s="3" t="n"/>
      <c r="D1998" s="3" t="n"/>
      <c r="E1998" s="3" t="n"/>
      <c r="F1998" s="3" t="n"/>
      <c r="G1998" s="3" t="n"/>
      <c r="H1998" s="3" t="inlineStr"/>
      <c r="I1998" s="3" t="n"/>
      <c r="J1998" s="3" t="n"/>
      <c r="K1998" s="3" t="n"/>
      <c r="L1998" s="3" t="inlineStr"/>
      <c r="M1998" s="3" t="n"/>
      <c r="N1998" s="3" t="inlineStr"/>
      <c r="O1998" s="3" t="n"/>
      <c r="P1998" s="3" t="n"/>
      <c r="Q1998" s="3" t="n"/>
      <c r="R1998" s="3" t="n"/>
      <c r="S1998" s="3" t="n"/>
      <c r="T1998" s="3" t="n"/>
      <c r="U1998" s="3" t="n"/>
      <c r="V1998" s="3" t="n"/>
      <c r="W1998" s="3" t="n"/>
      <c r="X1998" s="3" t="n"/>
      <c r="Y1998" s="3" t="n"/>
      <c r="Z1998" s="3" t="n"/>
      <c r="AA1998" s="3" t="n"/>
    </row>
    <row r="1999">
      <c r="A1999" s="105" t="n"/>
      <c r="B1999" s="105" t="n"/>
      <c r="C1999" s="3" t="n"/>
      <c r="D1999" s="3" t="n"/>
      <c r="E1999" s="3" t="n"/>
      <c r="F1999" s="3" t="n"/>
      <c r="G1999" s="3" t="n"/>
      <c r="H1999" s="3" t="inlineStr"/>
      <c r="I1999" s="3" t="n"/>
      <c r="J1999" s="3" t="n"/>
      <c r="K1999" s="3" t="n"/>
      <c r="L1999" s="3" t="inlineStr"/>
      <c r="M1999" s="3" t="n"/>
      <c r="N1999" s="3" t="inlineStr"/>
      <c r="O1999" s="3" t="n"/>
      <c r="P1999" s="3" t="n"/>
      <c r="Q1999" s="3" t="n"/>
      <c r="R1999" s="3" t="n"/>
      <c r="S1999" s="3" t="n"/>
      <c r="T1999" s="3" t="n"/>
      <c r="U1999" s="3" t="n"/>
      <c r="V1999" s="3" t="n"/>
      <c r="W1999" s="3" t="n"/>
      <c r="X1999" s="3" t="n"/>
      <c r="Y1999" s="3" t="n"/>
      <c r="Z1999" s="3" t="n"/>
      <c r="AA1999" s="3" t="n"/>
    </row>
    <row r="2000">
      <c r="A2000" s="105" t="n"/>
      <c r="B2000" s="105" t="n"/>
      <c r="C2000" s="3" t="n"/>
      <c r="D2000" s="3" t="n"/>
      <c r="E2000" s="3" t="n"/>
      <c r="F2000" s="3" t="n"/>
      <c r="G2000" s="3" t="n"/>
      <c r="H2000" s="3" t="inlineStr"/>
      <c r="I2000" s="3" t="n"/>
      <c r="J2000" s="3" t="n"/>
      <c r="K2000" s="3" t="n"/>
      <c r="L2000" s="3" t="inlineStr"/>
      <c r="M2000" s="3" t="n"/>
      <c r="N2000" s="3" t="inlineStr"/>
      <c r="O2000" s="3" t="n"/>
      <c r="P2000" s="3" t="n"/>
      <c r="Q2000" s="3" t="n"/>
      <c r="R2000" s="3" t="n"/>
      <c r="S2000" s="3" t="n"/>
      <c r="T2000" s="3" t="n"/>
      <c r="U2000" s="3" t="n"/>
      <c r="V2000" s="3" t="n"/>
      <c r="W2000" s="3" t="n"/>
      <c r="X2000" s="3" t="n"/>
      <c r="Y2000" s="3" t="n"/>
      <c r="Z2000" s="3" t="n"/>
      <c r="AA2000" s="3" t="n"/>
    </row>
    <row r="2001">
      <c r="A2001" s="105" t="n"/>
      <c r="B2001" s="105" t="n"/>
      <c r="C2001" s="3" t="n"/>
      <c r="D2001" s="3" t="n"/>
      <c r="E2001" s="3" t="n"/>
      <c r="F2001" s="3" t="n"/>
      <c r="G2001" s="3" t="n"/>
      <c r="H2001" s="3" t="inlineStr"/>
      <c r="I2001" s="3" t="n"/>
      <c r="J2001" s="3" t="n"/>
      <c r="K2001" s="3" t="n"/>
      <c r="L2001" s="3" t="inlineStr"/>
      <c r="M2001" s="3" t="n"/>
      <c r="N2001" s="3" t="inlineStr"/>
      <c r="O2001" s="3" t="n"/>
      <c r="P2001" s="3" t="n"/>
      <c r="Q2001" s="3" t="n"/>
      <c r="R2001" s="3" t="n"/>
      <c r="S2001" s="3" t="n"/>
      <c r="T2001" s="3" t="n"/>
      <c r="U2001" s="3" t="n"/>
      <c r="V2001" s="3" t="n"/>
      <c r="W2001" s="3" t="n"/>
      <c r="X2001" s="3" t="n"/>
      <c r="Y2001" s="3" t="n"/>
      <c r="Z2001" s="3" t="n"/>
      <c r="AA2001" s="3" t="n"/>
    </row>
    <row r="2002">
      <c r="A2002" s="105" t="n"/>
      <c r="B2002" s="105" t="n"/>
      <c r="C2002" s="3" t="n"/>
      <c r="D2002" s="3" t="n"/>
      <c r="E2002" s="3" t="n"/>
      <c r="F2002" s="3" t="n"/>
      <c r="G2002" s="3" t="n"/>
      <c r="H2002" s="3" t="inlineStr"/>
      <c r="I2002" s="3" t="n"/>
      <c r="J2002" s="3" t="n"/>
      <c r="K2002" s="3" t="n"/>
      <c r="L2002" s="3" t="inlineStr"/>
      <c r="M2002" s="3" t="n"/>
      <c r="N2002" s="3" t="inlineStr"/>
      <c r="O2002" s="3" t="n"/>
      <c r="P2002" s="3" t="n"/>
      <c r="Q2002" s="3" t="n"/>
      <c r="R2002" s="3" t="n"/>
      <c r="S2002" s="3" t="n"/>
      <c r="T2002" s="3" t="n"/>
      <c r="U2002" s="3" t="n"/>
      <c r="V2002" s="3" t="n"/>
      <c r="W2002" s="3" t="n"/>
      <c r="X2002" s="3" t="n"/>
      <c r="Y2002" s="3" t="n"/>
      <c r="Z2002" s="3" t="n"/>
      <c r="AA2002" s="3" t="n"/>
    </row>
    <row r="2003">
      <c r="A2003" s="105" t="n"/>
      <c r="B2003" s="105" t="n"/>
      <c r="C2003" s="3" t="n"/>
      <c r="D2003" s="3" t="n"/>
      <c r="E2003" s="3" t="n"/>
      <c r="F2003" s="3" t="n"/>
      <c r="G2003" s="3" t="n"/>
      <c r="H2003" s="3" t="inlineStr"/>
      <c r="I2003" s="3" t="n"/>
      <c r="J2003" s="3" t="n"/>
      <c r="K2003" s="3" t="n"/>
      <c r="L2003" s="3" t="inlineStr"/>
      <c r="M2003" s="3" t="n"/>
      <c r="N2003" s="3" t="inlineStr"/>
      <c r="O2003" s="3" t="n"/>
      <c r="P2003" s="3" t="n"/>
      <c r="Q2003" s="3" t="n"/>
      <c r="R2003" s="3" t="n"/>
      <c r="S2003" s="3" t="n"/>
      <c r="T2003" s="3" t="n"/>
      <c r="U2003" s="3" t="n"/>
      <c r="V2003" s="3" t="n"/>
      <c r="W2003" s="3" t="n"/>
      <c r="X2003" s="3" t="n"/>
      <c r="Y2003" s="3" t="n"/>
      <c r="Z2003" s="3" t="n"/>
      <c r="AA2003" s="3" t="n"/>
    </row>
    <row r="2004">
      <c r="A2004" s="105" t="n"/>
      <c r="B2004" s="105" t="n"/>
      <c r="C2004" s="3" t="n"/>
      <c r="D2004" s="3" t="n"/>
      <c r="E2004" s="3" t="n"/>
      <c r="F2004" s="3" t="n"/>
      <c r="G2004" s="3" t="n"/>
      <c r="H2004" s="3" t="inlineStr"/>
      <c r="I2004" s="3" t="n"/>
      <c r="J2004" s="3" t="n"/>
      <c r="K2004" s="3" t="n"/>
      <c r="L2004" s="3" t="inlineStr"/>
      <c r="M2004" s="3" t="n"/>
      <c r="N2004" s="3" t="inlineStr"/>
      <c r="O2004" s="3" t="n"/>
      <c r="P2004" s="3" t="n"/>
      <c r="Q2004" s="3" t="n"/>
      <c r="R2004" s="3" t="n"/>
      <c r="S2004" s="3" t="n"/>
      <c r="T2004" s="3" t="n"/>
      <c r="U2004" s="3" t="n"/>
      <c r="V2004" s="3" t="n"/>
      <c r="W2004" s="3" t="n"/>
      <c r="X2004" s="3" t="n"/>
      <c r="Y2004" s="3" t="n"/>
      <c r="Z2004" s="3" t="n"/>
      <c r="AA2004" s="3" t="n"/>
    </row>
    <row r="2005">
      <c r="A2005" s="105" t="n"/>
      <c r="B2005" s="105" t="n"/>
      <c r="C2005" s="3" t="n"/>
      <c r="D2005" s="3" t="n"/>
      <c r="E2005" s="3" t="n"/>
      <c r="F2005" s="3" t="n"/>
      <c r="G2005" s="3" t="n"/>
      <c r="H2005" s="3" t="inlineStr"/>
      <c r="I2005" s="3" t="n"/>
      <c r="J2005" s="3" t="n"/>
      <c r="K2005" s="3" t="n"/>
      <c r="L2005" s="3" t="inlineStr"/>
      <c r="M2005" s="3" t="n"/>
      <c r="N2005" s="3" t="inlineStr"/>
      <c r="O2005" s="3" t="n"/>
      <c r="P2005" s="3" t="n"/>
      <c r="Q2005" s="3" t="n"/>
      <c r="R2005" s="3" t="n"/>
      <c r="S2005" s="3" t="n"/>
      <c r="T2005" s="3" t="n"/>
      <c r="U2005" s="3" t="n"/>
      <c r="V2005" s="3" t="n"/>
      <c r="W2005" s="3" t="n"/>
      <c r="X2005" s="3" t="n"/>
      <c r="Y2005" s="3" t="n"/>
      <c r="Z2005" s="3" t="n"/>
      <c r="AA2005" s="3" t="n"/>
    </row>
    <row r="2006">
      <c r="A2006" s="105" t="n"/>
      <c r="B2006" s="105" t="n"/>
      <c r="C2006" s="3" t="n"/>
      <c r="D2006" s="3" t="n"/>
      <c r="E2006" s="3" t="n"/>
      <c r="F2006" s="3" t="n"/>
      <c r="G2006" s="3" t="n"/>
      <c r="H2006" s="3" t="inlineStr"/>
      <c r="I2006" s="3" t="n"/>
      <c r="J2006" s="3" t="n"/>
      <c r="K2006" s="3" t="n"/>
      <c r="L2006" s="3" t="inlineStr"/>
      <c r="M2006" s="3" t="n"/>
      <c r="N2006" s="3" t="inlineStr"/>
      <c r="O2006" s="3" t="n"/>
      <c r="P2006" s="3" t="n"/>
      <c r="Q2006" s="3" t="n"/>
      <c r="R2006" s="3" t="n"/>
      <c r="S2006" s="3" t="n"/>
      <c r="T2006" s="3" t="n"/>
      <c r="U2006" s="3" t="n"/>
      <c r="V2006" s="3" t="n"/>
      <c r="W2006" s="3" t="n"/>
      <c r="X2006" s="3" t="n"/>
      <c r="Y2006" s="3" t="n"/>
      <c r="Z2006" s="3" t="n"/>
      <c r="AA2006" s="3" t="n"/>
    </row>
    <row r="2007">
      <c r="A2007" s="105" t="n"/>
      <c r="B2007" s="105" t="n"/>
      <c r="C2007" s="3" t="n"/>
      <c r="D2007" s="3" t="n"/>
      <c r="E2007" s="3" t="n"/>
      <c r="F2007" s="3" t="n"/>
      <c r="G2007" s="3" t="n"/>
      <c r="H2007" s="3" t="inlineStr"/>
      <c r="I2007" s="3" t="n"/>
      <c r="J2007" s="3" t="n"/>
      <c r="K2007" s="3" t="n"/>
      <c r="L2007" s="3" t="inlineStr"/>
      <c r="M2007" s="3" t="n"/>
      <c r="N2007" s="3" t="inlineStr"/>
      <c r="O2007" s="3" t="n"/>
      <c r="P2007" s="3" t="n"/>
      <c r="Q2007" s="3" t="n"/>
      <c r="R2007" s="3" t="n"/>
      <c r="S2007" s="3" t="n"/>
      <c r="T2007" s="3" t="n"/>
      <c r="U2007" s="3" t="n"/>
      <c r="V2007" s="3" t="n"/>
      <c r="W2007" s="3" t="n"/>
      <c r="X2007" s="3" t="n"/>
      <c r="Y2007" s="3" t="n"/>
      <c r="Z2007" s="3" t="n"/>
      <c r="AA2007" s="3" t="n"/>
    </row>
    <row r="2008">
      <c r="A2008" s="105" t="n"/>
      <c r="B2008" s="105" t="n"/>
      <c r="C2008" s="3" t="n"/>
      <c r="D2008" s="3" t="n"/>
      <c r="E2008" s="3" t="n"/>
      <c r="F2008" s="3" t="n"/>
      <c r="G2008" s="3" t="n"/>
      <c r="H2008" s="3" t="inlineStr"/>
      <c r="I2008" s="3" t="n"/>
      <c r="J2008" s="3" t="n"/>
      <c r="K2008" s="3" t="n"/>
      <c r="L2008" s="3" t="inlineStr"/>
      <c r="M2008" s="3" t="n"/>
      <c r="N2008" s="3" t="inlineStr"/>
      <c r="O2008" s="3" t="n"/>
      <c r="P2008" s="3" t="n"/>
      <c r="Q2008" s="3" t="n"/>
      <c r="R2008" s="3" t="n"/>
      <c r="S2008" s="3" t="n"/>
      <c r="T2008" s="3" t="n"/>
      <c r="U2008" s="3" t="n"/>
      <c r="V2008" s="3" t="n"/>
      <c r="W2008" s="3" t="n"/>
      <c r="X2008" s="3" t="n"/>
      <c r="Y2008" s="3" t="n"/>
      <c r="Z2008" s="3" t="n"/>
      <c r="AA2008" s="3" t="n"/>
    </row>
    <row r="2009">
      <c r="A2009" s="105" t="n"/>
      <c r="B2009" s="105" t="n"/>
      <c r="C2009" s="3" t="n"/>
      <c r="D2009" s="3" t="n"/>
      <c r="E2009" s="3" t="n"/>
      <c r="F2009" s="3" t="n"/>
      <c r="G2009" s="3" t="n"/>
      <c r="H2009" s="3" t="inlineStr"/>
      <c r="I2009" s="3" t="n"/>
      <c r="J2009" s="3" t="n"/>
      <c r="K2009" s="3" t="n"/>
      <c r="L2009" s="3" t="inlineStr"/>
      <c r="M2009" s="3" t="n"/>
      <c r="N2009" s="3" t="inlineStr"/>
      <c r="O2009" s="3" t="n"/>
      <c r="P2009" s="3" t="n"/>
      <c r="Q2009" s="3" t="n"/>
      <c r="R2009" s="3" t="n"/>
      <c r="S2009" s="3" t="n"/>
      <c r="T2009" s="3" t="n"/>
      <c r="U2009" s="3" t="n"/>
      <c r="V2009" s="3" t="n"/>
      <c r="W2009" s="3" t="n"/>
      <c r="X2009" s="3" t="n"/>
      <c r="Y2009" s="3" t="n"/>
      <c r="Z2009" s="3" t="n"/>
      <c r="AA2009" s="3" t="n"/>
    </row>
    <row r="2010">
      <c r="A2010" s="105" t="n"/>
      <c r="B2010" s="105" t="n"/>
      <c r="C2010" s="3" t="n"/>
      <c r="D2010" s="3" t="n"/>
      <c r="E2010" s="3" t="n"/>
      <c r="F2010" s="3" t="n"/>
      <c r="G2010" s="3" t="n"/>
      <c r="H2010" s="3" t="inlineStr"/>
      <c r="I2010" s="3" t="n"/>
      <c r="J2010" s="3" t="n"/>
      <c r="K2010" s="3" t="n"/>
      <c r="L2010" s="3" t="inlineStr"/>
      <c r="M2010" s="3" t="n"/>
      <c r="N2010" s="3" t="inlineStr"/>
      <c r="O2010" s="3" t="n"/>
      <c r="P2010" s="3" t="n"/>
      <c r="Q2010" s="3" t="n"/>
      <c r="R2010" s="3" t="n"/>
      <c r="S2010" s="3" t="n"/>
      <c r="T2010" s="3" t="n"/>
      <c r="U2010" s="3" t="n"/>
      <c r="V2010" s="3" t="n"/>
      <c r="W2010" s="3" t="n"/>
      <c r="X2010" s="3" t="n"/>
      <c r="Y2010" s="3" t="n"/>
      <c r="Z2010" s="3" t="n"/>
      <c r="AA2010" s="3" t="n"/>
    </row>
    <row r="2011">
      <c r="A2011" s="105" t="n"/>
      <c r="B2011" s="105" t="n"/>
      <c r="C2011" s="3" t="n"/>
      <c r="D2011" s="3" t="n"/>
      <c r="E2011" s="3" t="n"/>
      <c r="F2011" s="3" t="n"/>
      <c r="G2011" s="3" t="n"/>
      <c r="H2011" s="3" t="inlineStr"/>
      <c r="I2011" s="3" t="n"/>
      <c r="J2011" s="3" t="n"/>
      <c r="K2011" s="3" t="n"/>
      <c r="L2011" s="3" t="inlineStr"/>
      <c r="M2011" s="3" t="n"/>
      <c r="N2011" s="3" t="inlineStr"/>
      <c r="O2011" s="3" t="n"/>
      <c r="P2011" s="3" t="n"/>
      <c r="Q2011" s="3" t="n"/>
      <c r="R2011" s="3" t="n"/>
      <c r="S2011" s="3" t="n"/>
      <c r="T2011" s="3" t="n"/>
      <c r="U2011" s="3" t="n"/>
      <c r="V2011" s="3" t="n"/>
      <c r="W2011" s="3" t="n"/>
      <c r="X2011" s="3" t="n"/>
      <c r="Y2011" s="3" t="n"/>
      <c r="Z2011" s="3" t="n"/>
      <c r="AA2011" s="3" t="n"/>
    </row>
    <row r="2012">
      <c r="A2012" s="105" t="n"/>
      <c r="B2012" s="105" t="n"/>
      <c r="C2012" s="3" t="n"/>
      <c r="D2012" s="3" t="n"/>
      <c r="E2012" s="3" t="n"/>
      <c r="F2012" s="3" t="n"/>
      <c r="G2012" s="3" t="n"/>
      <c r="H2012" s="3" t="inlineStr"/>
      <c r="I2012" s="3" t="n"/>
      <c r="J2012" s="3" t="n"/>
      <c r="K2012" s="3" t="n"/>
      <c r="L2012" s="3" t="inlineStr"/>
      <c r="M2012" s="3" t="n"/>
      <c r="N2012" s="3" t="inlineStr"/>
      <c r="O2012" s="3" t="n"/>
      <c r="P2012" s="3" t="n"/>
      <c r="Q2012" s="3" t="n"/>
      <c r="R2012" s="3" t="n"/>
      <c r="S2012" s="3" t="n"/>
      <c r="T2012" s="3" t="n"/>
      <c r="U2012" s="3" t="n"/>
      <c r="V2012" s="3" t="n"/>
      <c r="W2012" s="3" t="n"/>
      <c r="X2012" s="3" t="n"/>
      <c r="Y2012" s="3" t="n"/>
      <c r="Z2012" s="3" t="n"/>
      <c r="AA2012" s="3" t="n"/>
    </row>
    <row r="2013">
      <c r="A2013" s="105" t="n"/>
      <c r="B2013" s="105" t="n"/>
      <c r="C2013" s="3" t="n"/>
      <c r="D2013" s="3" t="n"/>
      <c r="E2013" s="3" t="n"/>
      <c r="F2013" s="3" t="n"/>
      <c r="G2013" s="3" t="n"/>
      <c r="H2013" s="3" t="inlineStr"/>
      <c r="I2013" s="3" t="n"/>
      <c r="J2013" s="3" t="n"/>
      <c r="K2013" s="3" t="n"/>
      <c r="L2013" s="3" t="inlineStr"/>
      <c r="M2013" s="3" t="n"/>
      <c r="N2013" s="3" t="inlineStr"/>
      <c r="O2013" s="3" t="n"/>
      <c r="P2013" s="3" t="n"/>
      <c r="Q2013" s="3" t="n"/>
      <c r="R2013" s="3" t="n"/>
      <c r="S2013" s="3" t="n"/>
      <c r="T2013" s="3" t="n"/>
      <c r="U2013" s="3" t="n"/>
      <c r="V2013" s="3" t="n"/>
      <c r="W2013" s="3" t="n"/>
      <c r="X2013" s="3" t="n"/>
      <c r="Y2013" s="3" t="n"/>
      <c r="Z2013" s="3" t="n"/>
      <c r="AA2013" s="3" t="n"/>
    </row>
    <row r="2014">
      <c r="A2014" s="105" t="n"/>
      <c r="B2014" s="105" t="n"/>
      <c r="C2014" s="3" t="n"/>
      <c r="D2014" s="3" t="n"/>
      <c r="E2014" s="3" t="n"/>
      <c r="F2014" s="3" t="n"/>
      <c r="G2014" s="3" t="n"/>
      <c r="H2014" s="3" t="inlineStr"/>
      <c r="I2014" s="3" t="n"/>
      <c r="J2014" s="3" t="n"/>
      <c r="K2014" s="3" t="n"/>
      <c r="L2014" s="3" t="inlineStr"/>
      <c r="M2014" s="3" t="n"/>
      <c r="N2014" s="3" t="inlineStr"/>
      <c r="O2014" s="3" t="n"/>
      <c r="P2014" s="3" t="n"/>
      <c r="Q2014" s="3" t="n"/>
      <c r="R2014" s="3" t="n"/>
      <c r="S2014" s="3" t="n"/>
      <c r="T2014" s="3" t="n"/>
      <c r="U2014" s="3" t="n"/>
      <c r="V2014" s="3" t="n"/>
      <c r="W2014" s="3" t="n"/>
      <c r="X2014" s="3" t="n"/>
      <c r="Y2014" s="3" t="n"/>
      <c r="Z2014" s="3" t="n"/>
      <c r="AA2014" s="3" t="n"/>
    </row>
    <row r="2015">
      <c r="A2015" s="105" t="n"/>
      <c r="B2015" s="105" t="n"/>
      <c r="C2015" s="3" t="n"/>
      <c r="D2015" s="3" t="n"/>
      <c r="E2015" s="3" t="n"/>
      <c r="F2015" s="3" t="n"/>
      <c r="G2015" s="3" t="n"/>
      <c r="H2015" s="3" t="inlineStr"/>
      <c r="I2015" s="3" t="n"/>
      <c r="J2015" s="3" t="n"/>
      <c r="K2015" s="3" t="n"/>
      <c r="L2015" s="3" t="inlineStr"/>
      <c r="M2015" s="3" t="n"/>
      <c r="N2015" s="3" t="inlineStr"/>
      <c r="O2015" s="3" t="n"/>
      <c r="P2015" s="3" t="n"/>
      <c r="Q2015" s="3" t="n"/>
      <c r="R2015" s="3" t="n"/>
      <c r="S2015" s="3" t="n"/>
      <c r="T2015" s="3" t="n"/>
      <c r="U2015" s="3" t="n"/>
      <c r="V2015" s="3" t="n"/>
      <c r="W2015" s="3" t="n"/>
      <c r="X2015" s="3" t="n"/>
      <c r="Y2015" s="3" t="n"/>
      <c r="Z2015" s="3" t="n"/>
      <c r="AA2015" s="3" t="n"/>
    </row>
    <row r="2016">
      <c r="A2016" s="105" t="n"/>
      <c r="B2016" s="105" t="n"/>
      <c r="C2016" s="3" t="n"/>
      <c r="D2016" s="3" t="n"/>
      <c r="E2016" s="3" t="n"/>
      <c r="F2016" s="3" t="n"/>
      <c r="G2016" s="3" t="n"/>
      <c r="H2016" s="3" t="inlineStr"/>
      <c r="I2016" s="3" t="n"/>
      <c r="J2016" s="3" t="n"/>
      <c r="K2016" s="3" t="n"/>
      <c r="L2016" s="3" t="inlineStr"/>
      <c r="M2016" s="3" t="n"/>
      <c r="N2016" s="3" t="inlineStr"/>
      <c r="O2016" s="3" t="n"/>
      <c r="P2016" s="3" t="n"/>
      <c r="Q2016" s="3" t="n"/>
      <c r="R2016" s="3" t="n"/>
      <c r="S2016" s="3" t="n"/>
      <c r="T2016" s="3" t="n"/>
      <c r="U2016" s="3" t="n"/>
      <c r="V2016" s="3" t="n"/>
      <c r="W2016" s="3" t="n"/>
      <c r="X2016" s="3" t="n"/>
      <c r="Y2016" s="3" t="n"/>
      <c r="Z2016" s="3" t="n"/>
      <c r="AA2016" s="3" t="n"/>
    </row>
    <row r="2017">
      <c r="A2017" s="105" t="n"/>
      <c r="B2017" s="105" t="n"/>
      <c r="C2017" s="3" t="n"/>
      <c r="D2017" s="3" t="n"/>
      <c r="E2017" s="3" t="n"/>
      <c r="F2017" s="3" t="n"/>
      <c r="G2017" s="3" t="n"/>
      <c r="H2017" s="3" t="inlineStr"/>
      <c r="I2017" s="3" t="n"/>
      <c r="J2017" s="3" t="n"/>
      <c r="K2017" s="3" t="n"/>
      <c r="L2017" s="3" t="inlineStr"/>
      <c r="M2017" s="3" t="n"/>
      <c r="N2017" s="3" t="inlineStr"/>
      <c r="O2017" s="3" t="n"/>
      <c r="P2017" s="3" t="n"/>
      <c r="Q2017" s="3" t="n"/>
      <c r="R2017" s="3" t="n"/>
      <c r="S2017" s="3" t="n"/>
      <c r="T2017" s="3" t="n"/>
      <c r="U2017" s="3" t="n"/>
      <c r="V2017" s="3" t="n"/>
      <c r="W2017" s="3" t="n"/>
      <c r="X2017" s="3" t="n"/>
      <c r="Y2017" s="3" t="n"/>
      <c r="Z2017" s="3" t="n"/>
      <c r="AA2017" s="3" t="n"/>
    </row>
    <row r="2018">
      <c r="A2018" s="105" t="n"/>
      <c r="B2018" s="105" t="n"/>
      <c r="C2018" s="3" t="n"/>
      <c r="D2018" s="3" t="n"/>
      <c r="E2018" s="3" t="n"/>
      <c r="F2018" s="3" t="n"/>
      <c r="G2018" s="3" t="n"/>
      <c r="H2018" s="3" t="inlineStr"/>
      <c r="I2018" s="3" t="n"/>
      <c r="J2018" s="3" t="n"/>
      <c r="K2018" s="3" t="n"/>
      <c r="L2018" s="3" t="inlineStr"/>
      <c r="M2018" s="3" t="n"/>
      <c r="N2018" s="3" t="inlineStr"/>
      <c r="O2018" s="3" t="n"/>
      <c r="P2018" s="3" t="n"/>
      <c r="Q2018" s="3" t="n"/>
      <c r="R2018" s="3" t="n"/>
      <c r="S2018" s="3" t="n"/>
      <c r="T2018" s="3" t="n"/>
      <c r="U2018" s="3" t="n"/>
      <c r="V2018" s="3" t="n"/>
      <c r="W2018" s="3" t="n"/>
      <c r="X2018" s="3" t="n"/>
      <c r="Y2018" s="3" t="n"/>
      <c r="Z2018" s="3" t="n"/>
      <c r="AA2018" s="3" t="n"/>
    </row>
    <row r="2019">
      <c r="A2019" s="105" t="n"/>
      <c r="B2019" s="105" t="n"/>
      <c r="C2019" s="3" t="n"/>
      <c r="D2019" s="3" t="n"/>
      <c r="E2019" s="3" t="n"/>
      <c r="F2019" s="3" t="n"/>
      <c r="G2019" s="3" t="n"/>
      <c r="H2019" s="3" t="inlineStr"/>
      <c r="I2019" s="3" t="n"/>
      <c r="J2019" s="3" t="n"/>
      <c r="K2019" s="3" t="n"/>
      <c r="L2019" s="3" t="inlineStr"/>
      <c r="M2019" s="3" t="n"/>
      <c r="N2019" s="3" t="inlineStr"/>
      <c r="O2019" s="3" t="n"/>
      <c r="P2019" s="3" t="n"/>
      <c r="Q2019" s="3" t="n"/>
      <c r="R2019" s="3" t="n"/>
      <c r="S2019" s="3" t="n"/>
      <c r="T2019" s="3" t="n"/>
      <c r="U2019" s="3" t="n"/>
      <c r="V2019" s="3" t="n"/>
      <c r="W2019" s="3" t="n"/>
      <c r="X2019" s="3" t="n"/>
      <c r="Y2019" s="3" t="n"/>
      <c r="Z2019" s="3" t="n"/>
      <c r="AA2019" s="3" t="n"/>
    </row>
    <row r="2020">
      <c r="A2020" s="105" t="n"/>
      <c r="B2020" s="105" t="n"/>
      <c r="C2020" s="3" t="n"/>
      <c r="D2020" s="3" t="n"/>
      <c r="E2020" s="3" t="n"/>
      <c r="F2020" s="3" t="n"/>
      <c r="G2020" s="3" t="n"/>
      <c r="H2020" s="3" t="inlineStr"/>
      <c r="I2020" s="3" t="n"/>
      <c r="J2020" s="3" t="n"/>
      <c r="K2020" s="3" t="n"/>
      <c r="L2020" s="3" t="inlineStr"/>
      <c r="M2020" s="3" t="n"/>
      <c r="N2020" s="3" t="inlineStr"/>
      <c r="O2020" s="3" t="n"/>
      <c r="P2020" s="3" t="n"/>
      <c r="Q2020" s="3" t="n"/>
      <c r="R2020" s="3" t="n"/>
      <c r="S2020" s="3" t="n"/>
      <c r="T2020" s="3" t="n"/>
      <c r="U2020" s="3" t="n"/>
      <c r="V2020" s="3" t="n"/>
      <c r="W2020" s="3" t="n"/>
      <c r="X2020" s="3" t="n"/>
      <c r="Y2020" s="3" t="n"/>
      <c r="Z2020" s="3" t="n"/>
      <c r="AA2020" s="3" t="n"/>
    </row>
    <row r="2021">
      <c r="A2021" s="105" t="n"/>
      <c r="B2021" s="105" t="n"/>
      <c r="C2021" s="3" t="n"/>
      <c r="D2021" s="3" t="n"/>
      <c r="E2021" s="3" t="n"/>
      <c r="F2021" s="3" t="n"/>
      <c r="G2021" s="3" t="n"/>
      <c r="H2021" s="3" t="inlineStr"/>
      <c r="I2021" s="3" t="n"/>
      <c r="J2021" s="3" t="n"/>
      <c r="K2021" s="3" t="n"/>
      <c r="L2021" s="3" t="inlineStr"/>
      <c r="M2021" s="3" t="n"/>
      <c r="N2021" s="3" t="inlineStr"/>
      <c r="O2021" s="3" t="n"/>
      <c r="P2021" s="3" t="n"/>
      <c r="Q2021" s="3" t="n"/>
      <c r="R2021" s="3" t="n"/>
      <c r="S2021" s="3" t="n"/>
      <c r="T2021" s="3" t="n"/>
      <c r="U2021" s="3" t="n"/>
      <c r="V2021" s="3" t="n"/>
      <c r="W2021" s="3" t="n"/>
      <c r="X2021" s="3" t="n"/>
      <c r="Y2021" s="3" t="n"/>
      <c r="Z2021" s="3" t="n"/>
      <c r="AA2021" s="3" t="n"/>
    </row>
    <row r="2022">
      <c r="A2022" s="105" t="n"/>
      <c r="B2022" s="105" t="n"/>
      <c r="C2022" s="3" t="n"/>
      <c r="D2022" s="3" t="n"/>
      <c r="E2022" s="3" t="n"/>
      <c r="F2022" s="3" t="n"/>
      <c r="G2022" s="3" t="n"/>
      <c r="H2022" s="3" t="inlineStr"/>
      <c r="I2022" s="3" t="n"/>
      <c r="J2022" s="3" t="n"/>
      <c r="K2022" s="3" t="n"/>
      <c r="L2022" s="3" t="inlineStr"/>
      <c r="M2022" s="3" t="n"/>
      <c r="N2022" s="3" t="inlineStr"/>
      <c r="O2022" s="3" t="n"/>
      <c r="P2022" s="3" t="n"/>
      <c r="Q2022" s="3" t="n"/>
      <c r="R2022" s="3" t="n"/>
      <c r="S2022" s="3" t="n"/>
      <c r="T2022" s="3" t="n"/>
      <c r="U2022" s="3" t="n"/>
      <c r="V2022" s="3" t="n"/>
      <c r="W2022" s="3" t="n"/>
      <c r="X2022" s="3" t="n"/>
      <c r="Y2022" s="3" t="n"/>
      <c r="Z2022" s="3" t="n"/>
      <c r="AA2022" s="3" t="n"/>
    </row>
    <row r="2023">
      <c r="A2023" s="105" t="n"/>
      <c r="B2023" s="105" t="n"/>
      <c r="C2023" s="3" t="n"/>
      <c r="D2023" s="3" t="n"/>
      <c r="E2023" s="3" t="n"/>
      <c r="F2023" s="3" t="n"/>
      <c r="G2023" s="3" t="n"/>
      <c r="H2023" s="3" t="inlineStr"/>
      <c r="I2023" s="3" t="n"/>
      <c r="J2023" s="3" t="n"/>
      <c r="K2023" s="3" t="n"/>
      <c r="L2023" s="3" t="inlineStr"/>
      <c r="M2023" s="3" t="n"/>
      <c r="N2023" s="3" t="inlineStr"/>
      <c r="O2023" s="3" t="n"/>
      <c r="P2023" s="3" t="n"/>
      <c r="Q2023" s="3" t="n"/>
      <c r="R2023" s="3" t="n"/>
      <c r="S2023" s="3" t="n"/>
      <c r="T2023" s="3" t="n"/>
      <c r="U2023" s="3" t="n"/>
      <c r="V2023" s="3" t="n"/>
      <c r="W2023" s="3" t="n"/>
      <c r="X2023" s="3" t="n"/>
      <c r="Y2023" s="3" t="n"/>
      <c r="Z2023" s="3" t="n"/>
      <c r="AA2023" s="3" t="n"/>
    </row>
    <row r="2024">
      <c r="A2024" s="105" t="n"/>
      <c r="B2024" s="105" t="n"/>
      <c r="C2024" s="3" t="n"/>
      <c r="D2024" s="3" t="n"/>
      <c r="E2024" s="3" t="n"/>
      <c r="F2024" s="3" t="n"/>
      <c r="G2024" s="3" t="n"/>
      <c r="H2024" s="3" t="inlineStr"/>
      <c r="I2024" s="3" t="n"/>
      <c r="J2024" s="3" t="n"/>
      <c r="K2024" s="3" t="n"/>
      <c r="L2024" s="3" t="inlineStr"/>
      <c r="M2024" s="3" t="n"/>
      <c r="N2024" s="3" t="inlineStr"/>
      <c r="O2024" s="3" t="n"/>
      <c r="P2024" s="3" t="n"/>
      <c r="Q2024" s="3" t="n"/>
      <c r="R2024" s="3" t="n"/>
      <c r="S2024" s="3" t="n"/>
      <c r="T2024" s="3" t="n"/>
      <c r="U2024" s="3" t="n"/>
      <c r="V2024" s="3" t="n"/>
      <c r="W2024" s="3" t="n"/>
      <c r="X2024" s="3" t="n"/>
      <c r="Y2024" s="3" t="n"/>
      <c r="Z2024" s="3" t="n"/>
      <c r="AA2024" s="3" t="n"/>
    </row>
    <row r="2025">
      <c r="A2025" s="105" t="n"/>
      <c r="B2025" s="105" t="n"/>
      <c r="C2025" s="3" t="n"/>
      <c r="D2025" s="3" t="n"/>
      <c r="E2025" s="3" t="n"/>
      <c r="F2025" s="3" t="n"/>
      <c r="G2025" s="3" t="n"/>
      <c r="H2025" s="3" t="inlineStr"/>
      <c r="I2025" s="3" t="n"/>
      <c r="J2025" s="3" t="n"/>
      <c r="K2025" s="3" t="n"/>
      <c r="L2025" s="3" t="inlineStr"/>
      <c r="M2025" s="3" t="n"/>
      <c r="N2025" s="3" t="inlineStr"/>
      <c r="O2025" s="3" t="n"/>
      <c r="P2025" s="3" t="n"/>
      <c r="Q2025" s="3" t="n"/>
      <c r="R2025" s="3" t="n"/>
      <c r="S2025" s="3" t="n"/>
      <c r="T2025" s="3" t="n"/>
      <c r="U2025" s="3" t="n"/>
      <c r="V2025" s="3" t="n"/>
      <c r="W2025" s="3" t="n"/>
      <c r="X2025" s="3" t="n"/>
      <c r="Y2025" s="3" t="n"/>
      <c r="Z2025" s="3" t="n"/>
      <c r="AA2025" s="3" t="n"/>
    </row>
    <row r="2026">
      <c r="A2026" s="105" t="n"/>
      <c r="B2026" s="105" t="n"/>
      <c r="C2026" s="3" t="n"/>
      <c r="D2026" s="3" t="n"/>
      <c r="E2026" s="3" t="n"/>
      <c r="F2026" s="3" t="n"/>
      <c r="G2026" s="3" t="n"/>
      <c r="H2026" s="3" t="inlineStr"/>
      <c r="I2026" s="3" t="n"/>
      <c r="J2026" s="3" t="n"/>
      <c r="K2026" s="3" t="n"/>
      <c r="L2026" s="3" t="inlineStr"/>
      <c r="M2026" s="3" t="n"/>
      <c r="N2026" s="3" t="inlineStr"/>
      <c r="O2026" s="3" t="n"/>
      <c r="P2026" s="3" t="n"/>
      <c r="Q2026" s="3" t="n"/>
      <c r="R2026" s="3" t="n"/>
      <c r="S2026" s="3" t="n"/>
      <c r="T2026" s="3" t="n"/>
      <c r="U2026" s="3" t="n"/>
      <c r="V2026" s="3" t="n"/>
      <c r="W2026" s="3" t="n"/>
      <c r="X2026" s="3" t="n"/>
      <c r="Y2026" s="3" t="n"/>
      <c r="Z2026" s="3" t="n"/>
      <c r="AA2026" s="3" t="n"/>
    </row>
    <row r="2027">
      <c r="A2027" s="105" t="n"/>
      <c r="B2027" s="105" t="n"/>
      <c r="C2027" s="3" t="n"/>
      <c r="D2027" s="3" t="n"/>
      <c r="E2027" s="3" t="n"/>
      <c r="F2027" s="3" t="n"/>
      <c r="G2027" s="3" t="n"/>
      <c r="H2027" s="3" t="inlineStr"/>
      <c r="I2027" s="3" t="n"/>
      <c r="J2027" s="3" t="n"/>
      <c r="K2027" s="3" t="n"/>
      <c r="L2027" s="3" t="inlineStr"/>
      <c r="M2027" s="3" t="n"/>
      <c r="N2027" s="3" t="inlineStr"/>
      <c r="O2027" s="3" t="n"/>
      <c r="P2027" s="3" t="n"/>
      <c r="Q2027" s="3" t="n"/>
      <c r="R2027" s="3" t="n"/>
      <c r="S2027" s="3" t="n"/>
      <c r="T2027" s="3" t="n"/>
      <c r="U2027" s="3" t="n"/>
      <c r="V2027" s="3" t="n"/>
      <c r="W2027" s="3" t="n"/>
      <c r="X2027" s="3" t="n"/>
      <c r="Y2027" s="3" t="n"/>
      <c r="Z2027" s="3" t="n"/>
      <c r="AA2027" s="3" t="n"/>
    </row>
    <row r="2028">
      <c r="A2028" s="105" t="n"/>
      <c r="B2028" s="105" t="n"/>
      <c r="C2028" s="3" t="n"/>
      <c r="D2028" s="3" t="n"/>
      <c r="E2028" s="3" t="n"/>
      <c r="F2028" s="3" t="n"/>
      <c r="G2028" s="3" t="n"/>
      <c r="H2028" s="3" t="inlineStr"/>
      <c r="I2028" s="3" t="n"/>
      <c r="J2028" s="3" t="n"/>
      <c r="K2028" s="3" t="n"/>
      <c r="L2028" s="3" t="inlineStr"/>
      <c r="M2028" s="3" t="n"/>
      <c r="N2028" s="3" t="inlineStr"/>
      <c r="O2028" s="3" t="n"/>
      <c r="P2028" s="3" t="n"/>
      <c r="Q2028" s="3" t="n"/>
      <c r="R2028" s="3" t="n"/>
      <c r="S2028" s="3" t="n"/>
      <c r="T2028" s="3" t="n"/>
      <c r="U2028" s="3" t="n"/>
      <c r="V2028" s="3" t="n"/>
      <c r="W2028" s="3" t="n"/>
      <c r="X2028" s="3" t="n"/>
      <c r="Y2028" s="3" t="n"/>
      <c r="Z2028" s="3" t="n"/>
      <c r="AA2028" s="3" t="n"/>
    </row>
    <row r="2029">
      <c r="A2029" s="105" t="n"/>
      <c r="B2029" s="105" t="n"/>
      <c r="C2029" s="3" t="n"/>
      <c r="D2029" s="3" t="n"/>
      <c r="E2029" s="3" t="n"/>
      <c r="F2029" s="3" t="n"/>
      <c r="G2029" s="3" t="n"/>
      <c r="H2029" s="3" t="inlineStr"/>
      <c r="I2029" s="3" t="n"/>
      <c r="J2029" s="3" t="n"/>
      <c r="K2029" s="3" t="n"/>
      <c r="L2029" s="3" t="inlineStr"/>
      <c r="M2029" s="3" t="n"/>
      <c r="N2029" s="3" t="inlineStr"/>
      <c r="O2029" s="3" t="n"/>
      <c r="P2029" s="3" t="n"/>
      <c r="Q2029" s="3" t="n"/>
      <c r="R2029" s="3" t="n"/>
      <c r="S2029" s="3" t="n"/>
      <c r="T2029" s="3" t="n"/>
      <c r="U2029" s="3" t="n"/>
      <c r="V2029" s="3" t="n"/>
      <c r="W2029" s="3" t="n"/>
      <c r="X2029" s="3" t="n"/>
      <c r="Y2029" s="3" t="n"/>
      <c r="Z2029" s="3" t="n"/>
      <c r="AA2029" s="3" t="n"/>
    </row>
    <row r="2030">
      <c r="A2030" s="105" t="n"/>
      <c r="B2030" s="105" t="n"/>
      <c r="C2030" s="3" t="n"/>
      <c r="D2030" s="3" t="n"/>
      <c r="E2030" s="3" t="n"/>
      <c r="F2030" s="3" t="n"/>
      <c r="G2030" s="3" t="n"/>
      <c r="H2030" s="3" t="inlineStr"/>
      <c r="I2030" s="3" t="n"/>
      <c r="J2030" s="3" t="n"/>
      <c r="K2030" s="3" t="n"/>
      <c r="L2030" s="3" t="inlineStr"/>
      <c r="M2030" s="3" t="n"/>
      <c r="N2030" s="3" t="inlineStr"/>
      <c r="O2030" s="3" t="n"/>
      <c r="P2030" s="3" t="n"/>
      <c r="Q2030" s="3" t="n"/>
      <c r="R2030" s="3" t="n"/>
      <c r="S2030" s="3" t="n"/>
      <c r="T2030" s="3" t="n"/>
      <c r="U2030" s="3" t="n"/>
      <c r="V2030" s="3" t="n"/>
      <c r="W2030" s="3" t="n"/>
      <c r="X2030" s="3" t="n"/>
      <c r="Y2030" s="3" t="n"/>
      <c r="Z2030" s="3" t="n"/>
      <c r="AA2030" s="3" t="n"/>
    </row>
    <row r="2031">
      <c r="A2031" s="105" t="n"/>
      <c r="B2031" s="105" t="n"/>
      <c r="C2031" s="3" t="n"/>
      <c r="D2031" s="3" t="n"/>
      <c r="E2031" s="3" t="n"/>
      <c r="F2031" s="3" t="n"/>
      <c r="G2031" s="3" t="n"/>
      <c r="H2031" s="3" t="inlineStr"/>
      <c r="I2031" s="3" t="n"/>
      <c r="J2031" s="3" t="n"/>
      <c r="K2031" s="3" t="n"/>
      <c r="L2031" s="3" t="inlineStr"/>
      <c r="M2031" s="3" t="n"/>
      <c r="N2031" s="3" t="inlineStr"/>
      <c r="O2031" s="3" t="n"/>
      <c r="P2031" s="3" t="n"/>
      <c r="Q2031" s="3" t="n"/>
      <c r="R2031" s="3" t="n"/>
      <c r="S2031" s="3" t="n"/>
      <c r="T2031" s="3" t="n"/>
      <c r="U2031" s="3" t="n"/>
      <c r="V2031" s="3" t="n"/>
      <c r="W2031" s="3" t="n"/>
      <c r="X2031" s="3" t="n"/>
      <c r="Y2031" s="3" t="n"/>
      <c r="Z2031" s="3" t="n"/>
      <c r="AA2031" s="3" t="n"/>
    </row>
    <row r="2032">
      <c r="A2032" s="105" t="n"/>
      <c r="B2032" s="105" t="n"/>
      <c r="C2032" s="3" t="n"/>
      <c r="D2032" s="3" t="n"/>
      <c r="E2032" s="3" t="n"/>
      <c r="F2032" s="3" t="n"/>
      <c r="G2032" s="3" t="n"/>
      <c r="H2032" s="3" t="inlineStr"/>
      <c r="I2032" s="3" t="n"/>
      <c r="J2032" s="3" t="n"/>
      <c r="K2032" s="3" t="n"/>
      <c r="L2032" s="3" t="inlineStr"/>
      <c r="M2032" s="3" t="n"/>
      <c r="N2032" s="3" t="inlineStr"/>
      <c r="O2032" s="3" t="n"/>
      <c r="P2032" s="3" t="n"/>
      <c r="Q2032" s="3" t="n"/>
      <c r="R2032" s="3" t="n"/>
      <c r="S2032" s="3" t="n"/>
      <c r="T2032" s="3" t="n"/>
      <c r="U2032" s="3" t="n"/>
      <c r="V2032" s="3" t="n"/>
      <c r="W2032" s="3" t="n"/>
      <c r="X2032" s="3" t="n"/>
      <c r="Y2032" s="3" t="n"/>
      <c r="Z2032" s="3" t="n"/>
      <c r="AA2032" s="3" t="n"/>
    </row>
    <row r="2033">
      <c r="A2033" s="105" t="n"/>
      <c r="B2033" s="105" t="n"/>
      <c r="C2033" s="3" t="n"/>
      <c r="D2033" s="3" t="n"/>
      <c r="E2033" s="3" t="n"/>
      <c r="F2033" s="3" t="n"/>
      <c r="G2033" s="3" t="n"/>
      <c r="H2033" s="3" t="inlineStr"/>
      <c r="I2033" s="3" t="n"/>
      <c r="J2033" s="3" t="n"/>
      <c r="K2033" s="3" t="n"/>
      <c r="L2033" s="3" t="inlineStr"/>
      <c r="M2033" s="3" t="n"/>
      <c r="N2033" s="3" t="inlineStr"/>
      <c r="O2033" s="3" t="n"/>
      <c r="P2033" s="3" t="n"/>
      <c r="Q2033" s="3" t="n"/>
      <c r="R2033" s="3" t="n"/>
      <c r="S2033" s="3" t="n"/>
      <c r="T2033" s="3" t="n"/>
      <c r="U2033" s="3" t="n"/>
      <c r="V2033" s="3" t="n"/>
      <c r="W2033" s="3" t="n"/>
      <c r="X2033" s="3" t="n"/>
      <c r="Y2033" s="3" t="n"/>
      <c r="Z2033" s="3" t="n"/>
      <c r="AA2033" s="3" t="n"/>
    </row>
    <row r="2034">
      <c r="A2034" s="105" t="n"/>
      <c r="B2034" s="105" t="n"/>
      <c r="C2034" s="3" t="n"/>
      <c r="D2034" s="3" t="n"/>
      <c r="E2034" s="3" t="n"/>
      <c r="F2034" s="3" t="n"/>
      <c r="G2034" s="3" t="n"/>
      <c r="H2034" s="3" t="inlineStr"/>
      <c r="I2034" s="3" t="n"/>
      <c r="J2034" s="3" t="n"/>
      <c r="K2034" s="3" t="n"/>
      <c r="L2034" s="3" t="inlineStr"/>
      <c r="M2034" s="3" t="n"/>
      <c r="N2034" s="3" t="inlineStr"/>
      <c r="O2034" s="3" t="n"/>
      <c r="P2034" s="3" t="n"/>
      <c r="Q2034" s="3" t="n"/>
      <c r="R2034" s="3" t="n"/>
      <c r="S2034" s="3" t="n"/>
      <c r="T2034" s="3" t="n"/>
      <c r="U2034" s="3" t="n"/>
      <c r="V2034" s="3" t="n"/>
      <c r="W2034" s="3" t="n"/>
      <c r="X2034" s="3" t="n"/>
      <c r="Y2034" s="3" t="n"/>
      <c r="Z2034" s="3" t="n"/>
      <c r="AA2034" s="3" t="n"/>
    </row>
    <row r="2035">
      <c r="A2035" s="105" t="n"/>
      <c r="B2035" s="105" t="n"/>
      <c r="C2035" s="3" t="n"/>
      <c r="D2035" s="3" t="n"/>
      <c r="E2035" s="3" t="n"/>
      <c r="F2035" s="3" t="n"/>
      <c r="G2035" s="3" t="n"/>
      <c r="H2035" s="3" t="inlineStr"/>
      <c r="I2035" s="3" t="n"/>
      <c r="J2035" s="3" t="n"/>
      <c r="K2035" s="3" t="n"/>
      <c r="L2035" s="3" t="inlineStr"/>
      <c r="M2035" s="3" t="n"/>
      <c r="N2035" s="3" t="inlineStr"/>
      <c r="O2035" s="3" t="n"/>
      <c r="P2035" s="3" t="n"/>
      <c r="Q2035" s="3" t="n"/>
      <c r="R2035" s="3" t="n"/>
      <c r="S2035" s="3" t="n"/>
      <c r="T2035" s="3" t="n"/>
      <c r="U2035" s="3" t="n"/>
      <c r="V2035" s="3" t="n"/>
      <c r="W2035" s="3" t="n"/>
      <c r="X2035" s="3" t="n"/>
      <c r="Y2035" s="3" t="n"/>
      <c r="Z2035" s="3" t="n"/>
      <c r="AA2035" s="3" t="n"/>
    </row>
    <row r="2036">
      <c r="A2036" s="105" t="n"/>
      <c r="B2036" s="105" t="n"/>
      <c r="C2036" s="3" t="n"/>
      <c r="D2036" s="3" t="n"/>
      <c r="E2036" s="3" t="n"/>
      <c r="F2036" s="3" t="n"/>
      <c r="G2036" s="3" t="n"/>
      <c r="H2036" s="3" t="inlineStr"/>
      <c r="I2036" s="3" t="n"/>
      <c r="J2036" s="3" t="n"/>
      <c r="K2036" s="3" t="n"/>
      <c r="L2036" s="3" t="inlineStr"/>
      <c r="M2036" s="3" t="n"/>
      <c r="N2036" s="3" t="inlineStr"/>
      <c r="O2036" s="3" t="n"/>
      <c r="P2036" s="3" t="n"/>
      <c r="Q2036" s="3" t="n"/>
      <c r="R2036" s="3" t="n"/>
      <c r="S2036" s="3" t="n"/>
      <c r="T2036" s="3" t="n"/>
      <c r="U2036" s="3" t="n"/>
      <c r="V2036" s="3" t="n"/>
      <c r="W2036" s="3" t="n"/>
      <c r="X2036" s="3" t="n"/>
      <c r="Y2036" s="3" t="n"/>
      <c r="Z2036" s="3" t="n"/>
      <c r="AA2036" s="3" t="n"/>
    </row>
    <row r="2037">
      <c r="A2037" s="105" t="n"/>
      <c r="B2037" s="105" t="n"/>
      <c r="C2037" s="3" t="n"/>
      <c r="D2037" s="3" t="n"/>
      <c r="E2037" s="3" t="n"/>
      <c r="F2037" s="3" t="n"/>
      <c r="G2037" s="3" t="n"/>
      <c r="H2037" s="3" t="inlineStr"/>
      <c r="I2037" s="3" t="n"/>
      <c r="J2037" s="3" t="n"/>
      <c r="K2037" s="3" t="n"/>
      <c r="L2037" s="3" t="inlineStr"/>
      <c r="M2037" s="3" t="n"/>
      <c r="N2037" s="3" t="inlineStr"/>
      <c r="O2037" s="3" t="n"/>
      <c r="P2037" s="3" t="n"/>
      <c r="Q2037" s="3" t="n"/>
      <c r="R2037" s="3" t="n"/>
      <c r="S2037" s="3" t="n"/>
      <c r="T2037" s="3" t="n"/>
      <c r="U2037" s="3" t="n"/>
      <c r="V2037" s="3" t="n"/>
      <c r="W2037" s="3" t="n"/>
      <c r="X2037" s="3" t="n"/>
      <c r="Y2037" s="3" t="n"/>
      <c r="Z2037" s="3" t="n"/>
      <c r="AA2037" s="3" t="n"/>
    </row>
    <row r="2038">
      <c r="A2038" s="105" t="n"/>
      <c r="B2038" s="105" t="n"/>
      <c r="C2038" s="3" t="n"/>
      <c r="D2038" s="3" t="n"/>
      <c r="E2038" s="3" t="n"/>
      <c r="F2038" s="3" t="n"/>
      <c r="G2038" s="3" t="n"/>
      <c r="H2038" s="3" t="inlineStr"/>
      <c r="I2038" s="3" t="n"/>
      <c r="J2038" s="3" t="n"/>
      <c r="K2038" s="3" t="n"/>
      <c r="L2038" s="3" t="inlineStr"/>
      <c r="M2038" s="3" t="n"/>
      <c r="N2038" s="3" t="inlineStr"/>
      <c r="O2038" s="3" t="n"/>
      <c r="P2038" s="3" t="n"/>
      <c r="Q2038" s="3" t="n"/>
      <c r="R2038" s="3" t="n"/>
      <c r="S2038" s="3" t="n"/>
      <c r="T2038" s="3" t="n"/>
      <c r="U2038" s="3" t="n"/>
      <c r="V2038" s="3" t="n"/>
      <c r="W2038" s="3" t="n"/>
      <c r="X2038" s="3" t="n"/>
      <c r="Y2038" s="3" t="n"/>
      <c r="Z2038" s="3" t="n"/>
      <c r="AA2038" s="3" t="n"/>
    </row>
    <row r="2039">
      <c r="A2039" s="105" t="n"/>
      <c r="B2039" s="105" t="n"/>
      <c r="C2039" s="3" t="n"/>
      <c r="D2039" s="3" t="n"/>
      <c r="E2039" s="3" t="n"/>
      <c r="F2039" s="3" t="n"/>
      <c r="G2039" s="3" t="n"/>
      <c r="H2039" s="3" t="inlineStr"/>
      <c r="I2039" s="3" t="n"/>
      <c r="J2039" s="3" t="n"/>
      <c r="K2039" s="3" t="n"/>
      <c r="L2039" s="3" t="inlineStr"/>
      <c r="M2039" s="3" t="n"/>
      <c r="N2039" s="3" t="inlineStr"/>
      <c r="O2039" s="3" t="n"/>
      <c r="P2039" s="3" t="n"/>
      <c r="Q2039" s="3" t="n"/>
      <c r="R2039" s="3" t="n"/>
      <c r="S2039" s="3" t="n"/>
      <c r="T2039" s="3" t="n"/>
      <c r="U2039" s="3" t="n"/>
      <c r="V2039" s="3" t="n"/>
      <c r="W2039" s="3" t="n"/>
      <c r="X2039" s="3" t="n"/>
      <c r="Y2039" s="3" t="n"/>
      <c r="Z2039" s="3" t="n"/>
      <c r="AA2039" s="3" t="n"/>
    </row>
    <row r="2040">
      <c r="A2040" s="105" t="n"/>
      <c r="B2040" s="105" t="n"/>
      <c r="C2040" s="3" t="n"/>
      <c r="D2040" s="3" t="n"/>
      <c r="E2040" s="3" t="n"/>
      <c r="F2040" s="3" t="n"/>
      <c r="G2040" s="3" t="n"/>
      <c r="H2040" s="3" t="inlineStr"/>
      <c r="I2040" s="3" t="n"/>
      <c r="J2040" s="3" t="n"/>
      <c r="K2040" s="3" t="n"/>
      <c r="L2040" s="3" t="inlineStr"/>
      <c r="M2040" s="3" t="n"/>
      <c r="N2040" s="3" t="inlineStr"/>
      <c r="O2040" s="3" t="n"/>
      <c r="P2040" s="3" t="n"/>
      <c r="Q2040" s="3" t="n"/>
      <c r="R2040" s="3" t="n"/>
      <c r="S2040" s="3" t="n"/>
      <c r="T2040" s="3" t="n"/>
      <c r="U2040" s="3" t="n"/>
      <c r="V2040" s="3" t="n"/>
      <c r="W2040" s="3" t="n"/>
      <c r="X2040" s="3" t="n"/>
      <c r="Y2040" s="3" t="n"/>
      <c r="Z2040" s="3" t="n"/>
      <c r="AA2040" s="3" t="n"/>
    </row>
    <row r="2041">
      <c r="A2041" s="105" t="n"/>
      <c r="B2041" s="105" t="n"/>
      <c r="C2041" s="3" t="n"/>
      <c r="D2041" s="3" t="n"/>
      <c r="E2041" s="3" t="n"/>
      <c r="F2041" s="3" t="n"/>
      <c r="G2041" s="3" t="n"/>
      <c r="H2041" s="3" t="inlineStr"/>
      <c r="I2041" s="3" t="n"/>
      <c r="J2041" s="3" t="n"/>
      <c r="K2041" s="3" t="n"/>
      <c r="L2041" s="3" t="inlineStr"/>
      <c r="M2041" s="3" t="n"/>
      <c r="N2041" s="3" t="inlineStr"/>
      <c r="O2041" s="3" t="n"/>
      <c r="P2041" s="3" t="n"/>
      <c r="Q2041" s="3" t="n"/>
      <c r="R2041" s="3" t="n"/>
      <c r="S2041" s="3" t="n"/>
      <c r="T2041" s="3" t="n"/>
      <c r="U2041" s="3" t="n"/>
      <c r="V2041" s="3" t="n"/>
      <c r="W2041" s="3" t="n"/>
      <c r="X2041" s="3" t="n"/>
      <c r="Y2041" s="3" t="n"/>
      <c r="Z2041" s="3" t="n"/>
      <c r="AA2041" s="3" t="n"/>
    </row>
    <row r="2042">
      <c r="A2042" s="105" t="n"/>
      <c r="B2042" s="105" t="n"/>
      <c r="C2042" s="3" t="n"/>
      <c r="D2042" s="3" t="n"/>
      <c r="E2042" s="3" t="n"/>
      <c r="F2042" s="3" t="n"/>
      <c r="G2042" s="3" t="n"/>
      <c r="H2042" s="3" t="inlineStr"/>
      <c r="I2042" s="3" t="n"/>
      <c r="J2042" s="3" t="n"/>
      <c r="K2042" s="3" t="n"/>
      <c r="L2042" s="3" t="inlineStr"/>
      <c r="M2042" s="3" t="n"/>
      <c r="N2042" s="3" t="inlineStr"/>
      <c r="O2042" s="3" t="n"/>
      <c r="P2042" s="3" t="n"/>
      <c r="Q2042" s="3" t="n"/>
      <c r="R2042" s="3" t="n"/>
      <c r="S2042" s="3" t="n"/>
      <c r="T2042" s="3" t="n"/>
      <c r="U2042" s="3" t="n"/>
      <c r="V2042" s="3" t="n"/>
      <c r="W2042" s="3" t="n"/>
      <c r="X2042" s="3" t="n"/>
      <c r="Y2042" s="3" t="n"/>
      <c r="Z2042" s="3" t="n"/>
      <c r="AA2042" s="3" t="n"/>
    </row>
    <row r="2043">
      <c r="A2043" s="105" t="n"/>
      <c r="B2043" s="105" t="n"/>
      <c r="C2043" s="3" t="n"/>
      <c r="D2043" s="3" t="n"/>
      <c r="E2043" s="3" t="n"/>
      <c r="F2043" s="3" t="n"/>
      <c r="G2043" s="3" t="n"/>
      <c r="H2043" s="3" t="inlineStr"/>
      <c r="I2043" s="3" t="n"/>
      <c r="J2043" s="3" t="n"/>
      <c r="K2043" s="3" t="n"/>
      <c r="L2043" s="3" t="inlineStr"/>
      <c r="M2043" s="3" t="n"/>
      <c r="N2043" s="3" t="inlineStr"/>
      <c r="O2043" s="3" t="n"/>
      <c r="P2043" s="3" t="n"/>
      <c r="Q2043" s="3" t="n"/>
      <c r="R2043" s="3" t="n"/>
      <c r="S2043" s="3" t="n"/>
      <c r="T2043" s="3" t="n"/>
      <c r="U2043" s="3" t="n"/>
      <c r="V2043" s="3" t="n"/>
      <c r="W2043" s="3" t="n"/>
      <c r="X2043" s="3" t="n"/>
      <c r="Y2043" s="3" t="n"/>
      <c r="Z2043" s="3" t="n"/>
      <c r="AA2043" s="3" t="n"/>
    </row>
    <row r="2044">
      <c r="A2044" s="105" t="n"/>
      <c r="B2044" s="105" t="n"/>
      <c r="C2044" s="3" t="n"/>
      <c r="D2044" s="3" t="n"/>
      <c r="E2044" s="3" t="n"/>
      <c r="F2044" s="3" t="n"/>
      <c r="G2044" s="3" t="n"/>
      <c r="H2044" s="3" t="inlineStr"/>
      <c r="I2044" s="3" t="n"/>
      <c r="J2044" s="3" t="n"/>
      <c r="K2044" s="3" t="n"/>
      <c r="L2044" s="3" t="inlineStr"/>
      <c r="M2044" s="3" t="n"/>
      <c r="N2044" s="3" t="inlineStr"/>
      <c r="O2044" s="3" t="n"/>
      <c r="P2044" s="3" t="n"/>
      <c r="Q2044" s="3" t="n"/>
      <c r="R2044" s="3" t="n"/>
      <c r="S2044" s="3" t="n"/>
      <c r="T2044" s="3" t="n"/>
      <c r="U2044" s="3" t="n"/>
      <c r="V2044" s="3" t="n"/>
      <c r="W2044" s="3" t="n"/>
      <c r="X2044" s="3" t="n"/>
      <c r="Y2044" s="3" t="n"/>
      <c r="Z2044" s="3" t="n"/>
      <c r="AA2044" s="3" t="n"/>
    </row>
    <row r="2045">
      <c r="A2045" s="105" t="n"/>
      <c r="B2045" s="105" t="n"/>
      <c r="C2045" s="3" t="n"/>
      <c r="D2045" s="3" t="n"/>
      <c r="E2045" s="3" t="n"/>
      <c r="F2045" s="3" t="n"/>
      <c r="G2045" s="3" t="n"/>
      <c r="H2045" s="3" t="inlineStr"/>
      <c r="I2045" s="3" t="n"/>
      <c r="J2045" s="3" t="n"/>
      <c r="K2045" s="3" t="n"/>
      <c r="L2045" s="3" t="inlineStr"/>
      <c r="M2045" s="3" t="n"/>
      <c r="N2045" s="3" t="inlineStr"/>
      <c r="O2045" s="3" t="n"/>
      <c r="P2045" s="3" t="n"/>
      <c r="Q2045" s="3" t="n"/>
      <c r="R2045" s="3" t="n"/>
      <c r="S2045" s="3" t="n"/>
      <c r="T2045" s="3" t="n"/>
      <c r="U2045" s="3" t="n"/>
      <c r="V2045" s="3" t="n"/>
      <c r="W2045" s="3" t="n"/>
      <c r="X2045" s="3" t="n"/>
      <c r="Y2045" s="3" t="n"/>
      <c r="Z2045" s="3" t="n"/>
      <c r="AA2045" s="3" t="n"/>
    </row>
    <row r="2046">
      <c r="A2046" s="105" t="n"/>
      <c r="B2046" s="105" t="n"/>
      <c r="C2046" s="3" t="n"/>
      <c r="D2046" s="3" t="n"/>
      <c r="E2046" s="3" t="n"/>
      <c r="F2046" s="3" t="n"/>
      <c r="G2046" s="3" t="n"/>
      <c r="H2046" s="3" t="inlineStr"/>
      <c r="I2046" s="3" t="n"/>
      <c r="J2046" s="3" t="n"/>
      <c r="K2046" s="3" t="n"/>
      <c r="L2046" s="3" t="inlineStr"/>
      <c r="M2046" s="3" t="n"/>
      <c r="N2046" s="3" t="inlineStr"/>
      <c r="O2046" s="3" t="n"/>
      <c r="P2046" s="3" t="n"/>
      <c r="Q2046" s="3" t="n"/>
      <c r="R2046" s="3" t="n"/>
      <c r="S2046" s="3" t="n"/>
      <c r="T2046" s="3" t="n"/>
      <c r="U2046" s="3" t="n"/>
      <c r="V2046" s="3" t="n"/>
      <c r="W2046" s="3" t="n"/>
      <c r="X2046" s="3" t="n"/>
      <c r="Y2046" s="3" t="n"/>
      <c r="Z2046" s="3" t="n"/>
      <c r="AA2046" s="3" t="n"/>
    </row>
    <row r="2047">
      <c r="A2047" s="105" t="n"/>
      <c r="B2047" s="105" t="n"/>
      <c r="C2047" s="3" t="n"/>
      <c r="D2047" s="3" t="n"/>
      <c r="E2047" s="3" t="n"/>
      <c r="F2047" s="3" t="n"/>
      <c r="G2047" s="3" t="n"/>
      <c r="H2047" s="3" t="inlineStr"/>
      <c r="I2047" s="3" t="n"/>
      <c r="J2047" s="3" t="n"/>
      <c r="K2047" s="3" t="n"/>
      <c r="L2047" s="3" t="inlineStr"/>
      <c r="M2047" s="3" t="n"/>
      <c r="N2047" s="3" t="inlineStr"/>
      <c r="O2047" s="3" t="n"/>
      <c r="P2047" s="3" t="n"/>
      <c r="Q2047" s="3" t="n"/>
      <c r="R2047" s="3" t="n"/>
      <c r="S2047" s="3" t="n"/>
      <c r="T2047" s="3" t="n"/>
      <c r="U2047" s="3" t="n"/>
      <c r="V2047" s="3" t="n"/>
      <c r="W2047" s="3" t="n"/>
      <c r="X2047" s="3" t="n"/>
      <c r="Y2047" s="3" t="n"/>
      <c r="Z2047" s="3" t="n"/>
      <c r="AA2047" s="3" t="n"/>
    </row>
    <row r="2048">
      <c r="A2048" s="105" t="n"/>
      <c r="B2048" s="105" t="n"/>
      <c r="C2048" s="3" t="n"/>
      <c r="D2048" s="3" t="n"/>
      <c r="E2048" s="3" t="n"/>
      <c r="F2048" s="3" t="n"/>
      <c r="G2048" s="3" t="n"/>
      <c r="H2048" s="3" t="inlineStr"/>
      <c r="I2048" s="3" t="n"/>
      <c r="J2048" s="3" t="n"/>
      <c r="K2048" s="3" t="n"/>
      <c r="L2048" s="3" t="inlineStr"/>
      <c r="M2048" s="3" t="n"/>
      <c r="N2048" s="3" t="inlineStr"/>
      <c r="O2048" s="3" t="n"/>
      <c r="P2048" s="3" t="n"/>
      <c r="Q2048" s="3" t="n"/>
      <c r="R2048" s="3" t="n"/>
      <c r="S2048" s="3" t="n"/>
      <c r="T2048" s="3" t="n"/>
      <c r="U2048" s="3" t="n"/>
      <c r="V2048" s="3" t="n"/>
      <c r="W2048" s="3" t="n"/>
      <c r="X2048" s="3" t="n"/>
      <c r="Y2048" s="3" t="n"/>
      <c r="Z2048" s="3" t="n"/>
      <c r="AA2048" s="3" t="n"/>
    </row>
  </sheetData>
  <hyperlinks>
    <hyperlink xmlns:r="http://schemas.openxmlformats.org/officeDocument/2006/relationships" ref="A77" r:id="rId1"/>
    <hyperlink xmlns:r="http://schemas.openxmlformats.org/officeDocument/2006/relationships" ref="A247" r:id="rId2"/>
    <hyperlink xmlns:r="http://schemas.openxmlformats.org/officeDocument/2006/relationships" ref="A249" r:id="rId3"/>
    <hyperlink xmlns:r="http://schemas.openxmlformats.org/officeDocument/2006/relationships" ref="A556" r:id="rId4"/>
    <hyperlink xmlns:r="http://schemas.openxmlformats.org/officeDocument/2006/relationships" ref="A717" r:id="rId5"/>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2610"/>
  <sheetViews>
    <sheetView workbookViewId="0">
      <pane ySplit="1" topLeftCell="A2" activePane="bottomLeft" state="frozen"/>
      <selection pane="bottomLeft" activeCell="B3" sqref="B3"/>
    </sheetView>
  </sheetViews>
  <sheetFormatPr baseColWidth="8" defaultColWidth="14.43" defaultRowHeight="15" customHeight="1"/>
  <cols>
    <col width="33.29" customWidth="1" style="305" min="1" max="1"/>
    <col width="36" customWidth="1" style="305" min="2" max="2"/>
    <col width="46.14" customWidth="1" style="305" min="3" max="3"/>
    <col width="39.29" customWidth="1" style="305" min="4" max="4"/>
    <col width="39" customWidth="1" style="305" min="5" max="5"/>
    <col width="12.86" customWidth="1" style="305" min="6" max="6"/>
    <col width="39.29" customWidth="1" style="305" min="7" max="7"/>
    <col width="10.71" customWidth="1" style="305" min="8" max="8"/>
    <col width="55.14" customWidth="1" style="305" min="9" max="9"/>
    <col width="42" customWidth="1" style="305" min="10" max="10"/>
    <col width="10.71" customWidth="1" style="305" min="11" max="26"/>
  </cols>
  <sheetData>
    <row r="1">
      <c r="A1" s="28" t="inlineStr">
        <is>
          <t>key</t>
        </is>
      </c>
      <c r="B1" s="28" t="inlineStr">
        <is>
          <t>vi</t>
        </is>
      </c>
      <c r="C1" s="28" t="inlineStr">
        <is>
          <t>en</t>
        </is>
      </c>
      <c r="D1" s="192" t="inlineStr">
        <is>
          <t>GG dịch</t>
        </is>
      </c>
      <c r="E1" s="192" t="inlineStr">
        <is>
          <t>cam SONITA</t>
        </is>
      </c>
      <c r="F1" s="30" t="inlineStr">
        <is>
          <t>cam review</t>
        </is>
      </c>
      <c r="G1" s="30" t="inlineStr">
        <is>
          <t>Cam - final</t>
        </is>
      </c>
      <c r="H1" s="308" t="inlineStr">
        <is>
          <t>cam Thean</t>
        </is>
      </c>
      <c r="I1" s="217" t="inlineStr">
        <is>
          <t>cam - marketing dịch</t>
        </is>
      </c>
    </row>
    <row r="2">
      <c r="A2" s="217" t="inlineStr">
        <is>
          <t>common.back</t>
        </is>
      </c>
      <c r="B2" s="217" t="inlineStr">
        <is>
          <t>Quay lại</t>
        </is>
      </c>
      <c r="C2" s="217" t="inlineStr">
        <is>
          <t>Back</t>
        </is>
      </c>
      <c r="D2" s="31">
        <f>IFERROR(__xludf.DUMMYFUNCTION("GOOGLETRANSLATE(B2,""vi"",""km"")"),"ត្រលប់មកវិញ")</f>
        <v/>
      </c>
      <c r="E2" s="3" t="inlineStr">
        <is>
          <t>ត្រលប់មកវិញ</t>
        </is>
      </c>
      <c r="F2" s="217" t="inlineStr">
        <is>
          <t>v</t>
        </is>
      </c>
      <c r="G2" s="217" t="inlineStr">
        <is>
          <t>ថយក្រោយ</t>
        </is>
      </c>
      <c r="H2" t="inlineStr">
        <is>
          <t>ថយក្រោយ</t>
        </is>
      </c>
      <c r="J2" s="217">
        <f t="array" ref="J2:J2610">IF(A2:A2610="","",CHAR(34)&amp;A2:A2610&amp;CHAR(34)&amp;": "&amp;CHAR(34)&amp;SUBSTITUTE(SUBSTITUTE(C2:C2610,CHAR(92)&amp;CHAR(34),CHAR(92)&amp;CHAR(92)&amp;CHAR(34)),CHAR(34),CHAR(92)&amp;CHAR(34))&amp;CHAR(34)&amp;",")</f>
        <v/>
      </c>
    </row>
    <row r="3">
      <c r="A3" s="217" t="inlineStr">
        <is>
          <t>common.destroy</t>
        </is>
      </c>
      <c r="B3" s="217" t="inlineStr">
        <is>
          <t>Huỷ</t>
        </is>
      </c>
      <c r="C3" s="217" t="inlineStr">
        <is>
          <t>Destroy</t>
        </is>
      </c>
      <c r="D3" s="3">
        <f>IFERROR(__xludf.DUMMYFUNCTION("GOOGLETRANSLATE(B3,""vi"",""km"")"),"បោះបង់")</f>
        <v/>
      </c>
      <c r="E3" s="31" t="inlineStr">
        <is>
          <t>លុបចោល</t>
        </is>
      </c>
      <c r="F3" s="217" t="inlineStr">
        <is>
          <t>v</t>
        </is>
      </c>
      <c r="G3" s="217" t="inlineStr">
        <is>
          <t>លុបចោល</t>
        </is>
      </c>
      <c r="H3" t="inlineStr">
        <is>
          <t>លុបចោល</t>
        </is>
      </c>
      <c r="J3" s="217" t="inlineStr">
        <is>
          <t>"common.destroy": "Destroy",</t>
        </is>
      </c>
    </row>
    <row r="4">
      <c r="A4" s="217" t="inlineStr">
        <is>
          <t>common.branch</t>
        </is>
      </c>
      <c r="B4" s="217" t="inlineStr">
        <is>
          <t>Chi nhánh</t>
        </is>
      </c>
      <c r="C4" s="217">
        <f>IFERROR(__xludf.DUMMYFUNCTION("GOOGLETRANSLATE(B4,""vi"",""en"")"),"Branch")</f>
        <v/>
      </c>
      <c r="D4" s="3">
        <f>IFERROR(__xludf.DUMMYFUNCTION("GOOGLETRANSLATE(B4,""vi"",""km"")"),"សាខា")</f>
        <v/>
      </c>
      <c r="E4" s="31" t="inlineStr">
        <is>
          <t>សាខា</t>
        </is>
      </c>
      <c r="F4" s="217" t="inlineStr">
        <is>
          <t>v</t>
        </is>
      </c>
      <c r="G4" s="217" t="inlineStr">
        <is>
          <t>សាខា</t>
        </is>
      </c>
      <c r="H4" t="inlineStr">
        <is>
          <t>សាខា</t>
        </is>
      </c>
      <c r="J4" s="217" t="inlineStr">
        <is>
          <t>"common.branch": "Branch",</t>
        </is>
      </c>
    </row>
    <row r="5">
      <c r="A5" s="217" t="inlineStr">
        <is>
          <t>common.filterBranch</t>
        </is>
      </c>
      <c r="B5" s="217" t="inlineStr">
        <is>
          <t>Chọn chi nhánh</t>
        </is>
      </c>
      <c r="C5" s="217">
        <f>IFERROR(__xludf.DUMMYFUNCTION("GOOGLETRANSLATE(B5,""vi"",""en"")"),"Select a branch")</f>
        <v/>
      </c>
      <c r="D5" s="3">
        <f>IFERROR(__xludf.DUMMYFUNCTION("GOOGLETRANSLATE(B5,""vi"",""km"")"),"ជ្រើសរើសសាខាមួយ")</f>
        <v/>
      </c>
      <c r="E5" s="31" t="inlineStr">
        <is>
          <t>ជ្រេីសរេីសសាខា</t>
        </is>
      </c>
      <c r="F5" s="217" t="inlineStr">
        <is>
          <t>v</t>
        </is>
      </c>
      <c r="G5" s="217" t="inlineStr">
        <is>
          <t>ជ្រើសរើសសាខា</t>
        </is>
      </c>
      <c r="H5" t="inlineStr">
        <is>
          <t>ជ្រើសរើសសាខា</t>
        </is>
      </c>
      <c r="J5" s="217" t="inlineStr">
        <is>
          <t>"common.filterBranch": "Select a branch",</t>
        </is>
      </c>
    </row>
    <row r="6">
      <c r="A6" s="217" t="inlineStr">
        <is>
          <t>common.post</t>
        </is>
      </c>
      <c r="B6" s="217" t="inlineStr">
        <is>
          <t>Bưu cục</t>
        </is>
      </c>
      <c r="C6" s="217">
        <f>IFERROR(__xludf.DUMMYFUNCTION("GOOGLETRANSLATE(B6,""vi"",""en"")"),"Post Office")</f>
        <v/>
      </c>
      <c r="D6" s="3">
        <f>IFERROR(__xludf.DUMMYFUNCTION("GOOGLETRANSLATE(B6,""vi"",""km"")"),"ការិយាល័យប្រៃសណីយ៍")</f>
        <v/>
      </c>
      <c r="E6" s="31" t="inlineStr">
        <is>
          <t>ការិយាល័យប្រៃសណីយ៍</t>
        </is>
      </c>
      <c r="F6" s="217" t="inlineStr">
        <is>
          <t>v</t>
        </is>
      </c>
      <c r="G6" s="217" t="inlineStr">
        <is>
          <t>ការិយាល័យប្រៃសណីយ៍</t>
        </is>
      </c>
      <c r="H6" t="inlineStr">
        <is>
          <t>ការិយាល័យប្រៃសណីយ៍</t>
        </is>
      </c>
      <c r="J6" s="217" t="inlineStr">
        <is>
          <t>"common.post": "Post Office",</t>
        </is>
      </c>
    </row>
    <row r="7">
      <c r="A7" s="217" t="inlineStr">
        <is>
          <t>common.filterPost</t>
        </is>
      </c>
      <c r="B7" s="217" t="inlineStr">
        <is>
          <t>Chọn bưu cục</t>
        </is>
      </c>
      <c r="C7" s="217">
        <f>IFERROR(__xludf.DUMMYFUNCTION("GOOGLETRANSLATE(B7,""vi"",""en"")"),"Select post office")</f>
        <v/>
      </c>
      <c r="D7" s="3">
        <f>IFERROR(__xludf.DUMMYFUNCTION("GOOGLETRANSLATE(B7,""vi"",""km"")"),"ជ្រើសរើសការិយាល័យប្រៃសណីយ៍")</f>
        <v/>
      </c>
      <c r="E7" s="31" t="inlineStr">
        <is>
          <t>ជ្រេីសរេីសការិយាប្រៃសណីយ៍</t>
        </is>
      </c>
      <c r="F7" s="217" t="inlineStr">
        <is>
          <t>v</t>
        </is>
      </c>
      <c r="G7" s="217" t="inlineStr">
        <is>
          <t>ជ្រើសរើសការិយាប្រៃសណីយ៍</t>
        </is>
      </c>
      <c r="H7" t="inlineStr">
        <is>
          <t>ជ្រើសរើសការិយាប្រៃសណីយ៍</t>
        </is>
      </c>
      <c r="J7" s="217" t="inlineStr">
        <is>
          <t>"common.filterPost": "Select post office",</t>
        </is>
      </c>
    </row>
    <row r="8">
      <c r="A8" s="217" t="inlineStr">
        <is>
          <t>common.user</t>
        </is>
      </c>
      <c r="B8" s="217" t="inlineStr">
        <is>
          <t>Nhân viên</t>
        </is>
      </c>
      <c r="C8" s="217">
        <f>IFERROR(__xludf.DUMMYFUNCTION("GOOGLETRANSLATE(B8,""vi"",""en"")"),"Staff")</f>
        <v/>
      </c>
      <c r="D8" s="3">
        <f>IFERROR(__xludf.DUMMYFUNCTION("GOOGLETRANSLATE(B8,""vi"",""km"")"),"បុគ្គលិក")</f>
        <v/>
      </c>
      <c r="E8" s="31" t="inlineStr">
        <is>
          <t>បុគ្គលិក</t>
        </is>
      </c>
      <c r="F8" s="217" t="inlineStr">
        <is>
          <t>v</t>
        </is>
      </c>
      <c r="G8" s="217" t="inlineStr">
        <is>
          <t>បុគ្គលិក</t>
        </is>
      </c>
      <c r="H8" t="inlineStr">
        <is>
          <t>បុគ្គលិក</t>
        </is>
      </c>
      <c r="J8" s="217" t="inlineStr">
        <is>
          <t>"common.user": "Staff",</t>
        </is>
      </c>
    </row>
    <row r="9">
      <c r="A9" s="217" t="inlineStr">
        <is>
          <t>common.filterUser</t>
        </is>
      </c>
      <c r="B9" s="217" t="inlineStr">
        <is>
          <t>Chọn nhân viên</t>
        </is>
      </c>
      <c r="C9" s="217">
        <f>IFERROR(__xludf.DUMMYFUNCTION("GOOGLETRANSLATE(B9,""vi"",""en"")"),"Select employees")</f>
        <v/>
      </c>
      <c r="D9" s="3">
        <f>IFERROR(__xludf.DUMMYFUNCTION("GOOGLETRANSLATE(B9,""vi"",""km"")"),"ជ្រើសរើសបុគ្គលិក")</f>
        <v/>
      </c>
      <c r="E9" s="31" t="inlineStr">
        <is>
          <t>ជ្រេីសរេីសបុគ្គលិក</t>
        </is>
      </c>
      <c r="F9" s="217" t="inlineStr">
        <is>
          <t>v</t>
        </is>
      </c>
      <c r="G9" s="217" t="inlineStr">
        <is>
          <t>ជ្រើសរើសបុគ្គលិក</t>
        </is>
      </c>
      <c r="H9" t="inlineStr">
        <is>
          <t>ជ្រើសរើសបុគ្គលិក</t>
        </is>
      </c>
      <c r="J9" s="217" t="inlineStr">
        <is>
          <t>"common.filterUser": "Select employees",</t>
        </is>
      </c>
    </row>
    <row r="10">
      <c r="A10" s="217" t="inlineStr">
        <is>
          <t>common.copySuccess</t>
        </is>
      </c>
      <c r="B10" s="217" t="inlineStr">
        <is>
          <t>Sao chép thành công</t>
        </is>
      </c>
      <c r="C10" s="217">
        <f>IFERROR(__xludf.DUMMYFUNCTION("GOOGLETRANSLATE(B10,""vi"",""en"")"),"Copying successful")</f>
        <v/>
      </c>
      <c r="D10" s="3">
        <f>IFERROR(__xludf.DUMMYFUNCTION("GOOGLETRANSLATE(B10,""vi"",""km"")"),"ការចម្លងបានជោគជ័យ")</f>
        <v/>
      </c>
      <c r="E10" s="31" t="inlineStr">
        <is>
          <t>ចម្លងបានជោគជ័យ</t>
        </is>
      </c>
      <c r="F10" s="217" t="inlineStr">
        <is>
          <t>v</t>
        </is>
      </c>
      <c r="G10" s="217" t="inlineStr">
        <is>
          <t>ចម្លងបានជោគជ័យ</t>
        </is>
      </c>
      <c r="H10" t="inlineStr">
        <is>
          <t>ចម្លងបានជោគជ័យ</t>
        </is>
      </c>
      <c r="J10" s="217" t="inlineStr">
        <is>
          <t>"common.copySuccess": "Copying successful",</t>
        </is>
      </c>
    </row>
    <row r="11">
      <c r="A11" s="217" t="inlineStr">
        <is>
          <t>common.copyError</t>
        </is>
      </c>
      <c r="B11" s="217" t="inlineStr">
        <is>
          <t>Sao chép thất bại</t>
        </is>
      </c>
      <c r="C11" s="217">
        <f>IFERROR(__xludf.DUMMYFUNCTION("GOOGLETRANSLATE(B11,""vi"",""en"")"),"Copying failed.")</f>
        <v/>
      </c>
      <c r="D11" s="3">
        <f>IFERROR(__xludf.DUMMYFUNCTION("GOOGLETRANSLATE(B11,""vi"",""km"")"),"ការចម្លងបរាជ័យ។")</f>
        <v/>
      </c>
      <c r="E11" s="31" t="inlineStr">
        <is>
          <t>ចម្លងបរាជ័យ</t>
        </is>
      </c>
      <c r="F11" s="217" t="inlineStr">
        <is>
          <t>v</t>
        </is>
      </c>
      <c r="G11" s="217" t="inlineStr">
        <is>
          <t>ចម្លងបរាជ័យ</t>
        </is>
      </c>
      <c r="H11" t="inlineStr">
        <is>
          <t>ចម្លងបរាជ័យ</t>
        </is>
      </c>
      <c r="J11" s="217" t="inlineStr">
        <is>
          <t>"common.copyError": "Copying failed.",</t>
        </is>
      </c>
    </row>
    <row r="12">
      <c r="A12" s="217" t="inlineStr">
        <is>
          <t>common.notPermission</t>
        </is>
      </c>
      <c r="B12" s="217" t="inlineStr">
        <is>
          <t>Bạn không có quyền sử dụng chức năng này</t>
        </is>
      </c>
      <c r="C12" s="217">
        <f>IFERROR(__xludf.DUMMYFUNCTION("GOOGLETRANSLATE(B12,""vi"",""en"")"),"You do not have permission to use this function.")</f>
        <v/>
      </c>
      <c r="D12" s="3">
        <f>IFERROR(__xludf.DUMMYFUNCTION("GOOGLETRANSLATE(B12,""vi"",""km"")"),"អ្នកមិនមានការអនុញ្ញាតឱ្យប្រើប្រាស់មុខងារនេះទេ។")</f>
        <v/>
      </c>
      <c r="E12" s="31" t="inlineStr">
        <is>
          <t>អ្នកមិនមានការអនុញ្ញាតិឲ្យប្រើប្រាស់មុខងារនេះ</t>
        </is>
      </c>
      <c r="F12" s="3" t="inlineStr">
        <is>
          <t>v</t>
        </is>
      </c>
      <c r="G12" s="217" t="inlineStr">
        <is>
          <t>អ្នកមិនមានការអនុញ្ញាតិឲ្យប្រើប្រាស់មុខងារនេះ</t>
        </is>
      </c>
      <c r="H12" t="inlineStr">
        <is>
          <t>អ្នកមិនមានការអនុញ្ញាតិឲ្យប្រើប្រាស់មុខងារនេះ</t>
        </is>
      </c>
      <c r="J12" s="217" t="inlineStr">
        <is>
          <t>"common.notPermission": "You do not have permission to use this function.",</t>
        </is>
      </c>
    </row>
    <row r="13">
      <c r="A13" s="217" t="inlineStr">
        <is>
          <t>common.systemErrorRetry</t>
        </is>
      </c>
      <c r="B13" s="217" t="inlineStr">
        <is>
          <t>Hệ thống có lỗi, bạn vui lòng thực hiện lại sau.</t>
        </is>
      </c>
      <c r="C13" s="217">
        <f>IFERROR(__xludf.DUMMYFUNCTION("GOOGLETRANSLATE(B13,""vi"",""en"")"),"There's an error in the system, please try again later.")</f>
        <v/>
      </c>
      <c r="D13" s="3">
        <f>IFERROR(__xludf.DUMMYFUNCTION("GOOGLETRANSLATE(B13,""vi"",""km"")"),"មានកំហុសក្នុងប្រព័ន្ធ សូមព្យាយាមម្តងទៀតនៅពេលក្រោយ។")</f>
        <v/>
      </c>
      <c r="E13" s="31" t="inlineStr">
        <is>
          <t>ប្រព័ន្ធមានបញ្ហា សូមអ្នកចុចចូលម្តងទៀតពេលក្រោយ</t>
        </is>
      </c>
      <c r="F13" s="217" t="inlineStr">
        <is>
          <t>v</t>
        </is>
      </c>
      <c r="G13" s="217" t="inlineStr">
        <is>
          <t>ប្រព័ន្ធមានបញ្ហា សូមអ្នកចុចចូលម្តងទៀតពេលក្រោយ</t>
        </is>
      </c>
      <c r="H13" t="inlineStr">
        <is>
          <t>ប្រព័ន្ធមានបញ្ហា សូមអ្នកចុចចូលម្តងទៀតពេលក្រោយ</t>
        </is>
      </c>
      <c r="J13" s="217" t="inlineStr">
        <is>
          <t>"common.systemErrorRetry": "There's an error in the system, please try again later.",</t>
        </is>
      </c>
    </row>
    <row r="14">
      <c r="A14" s="217" t="inlineStr">
        <is>
          <t>slider.RevenueOutputNew</t>
        </is>
      </c>
      <c r="B14" s="217" t="inlineStr">
        <is>
          <t>Doanh thu sản lượng mới</t>
        </is>
      </c>
      <c r="C14" s="217">
        <f>IFERROR(__xludf.DUMMYFUNCTION("GOOGLETRANSLATE(B14,""vi"",""en"")"),"New production revenue")</f>
        <v/>
      </c>
      <c r="D14" s="3">
        <f>IFERROR(__xludf.DUMMYFUNCTION("GOOGLETRANSLATE(B14,""vi"",""km"")"),"ប្រាក់ចំណូលផលិតកម្មថ្មី")</f>
        <v/>
      </c>
      <c r="E14" s="31" t="inlineStr">
        <is>
          <t>ចំណូលផលិតផលថ្មី</t>
        </is>
      </c>
      <c r="F14" s="217" t="inlineStr">
        <is>
          <t>x</t>
        </is>
      </c>
      <c r="G14" s="217" t="inlineStr">
        <is>
          <t>ចំណូលផលិតផលថ្មី</t>
        </is>
      </c>
      <c r="H14" t="inlineStr">
        <is>
          <t>ចំណូលផលិតផលថ្មី</t>
        </is>
      </c>
      <c r="J14" s="217" t="inlineStr">
        <is>
          <t>"slider.RevenueOutputNew": "New production revenue",</t>
        </is>
      </c>
    </row>
    <row r="15">
      <c r="A15" s="217" t="inlineStr">
        <is>
          <t>slider.SortingScreen</t>
        </is>
      </c>
      <c r="B15" s="217" t="inlineStr">
        <is>
          <t>Cấu hình chia chọn</t>
        </is>
      </c>
      <c r="C15" s="217">
        <f>IFERROR(__xludf.DUMMYFUNCTION("GOOGLETRANSLATE(B15,""vi"",""en"")"),"Split configuration")</f>
        <v/>
      </c>
      <c r="D15" s="3">
        <f>IFERROR(__xludf.DUMMYFUNCTION("GOOGLETRANSLATE(B15,""vi"",""km"")"),"ការកំណត់រចនាសម្ព័ន្ធបំបែក")</f>
        <v/>
      </c>
      <c r="E15" s="3" t="inlineStr">
        <is>
          <t>រចនាសម្ព័ន្ធបែងចែក</t>
        </is>
      </c>
      <c r="F15" s="217" t="inlineStr">
        <is>
          <t>x</t>
        </is>
      </c>
      <c r="G15" s="217" t="inlineStr">
        <is>
          <t>រចនាសម្ព័ន្ធបែងចែក</t>
        </is>
      </c>
      <c r="H15" t="inlineStr">
        <is>
          <t>រចនាសម្ព័ន្ធបែងចែក</t>
        </is>
      </c>
      <c r="J15" s="217" t="inlineStr">
        <is>
          <t>"slider.SortingScreen": "Split configuration",</t>
        </is>
      </c>
    </row>
    <row r="16">
      <c r="A16" s="217" t="inlineStr">
        <is>
          <t>slider.Revenue</t>
        </is>
      </c>
      <c r="B16" s="217" t="inlineStr">
        <is>
          <t>Doanh thu</t>
        </is>
      </c>
      <c r="C16" s="217">
        <f>IFERROR(__xludf.DUMMYFUNCTION("GOOGLETRANSLATE(B16,""vi"",""en"")"),"Revenue")</f>
        <v/>
      </c>
      <c r="D16" s="3">
        <f>IFERROR(__xludf.DUMMYFUNCTION("GOOGLETRANSLATE(B16,""vi"",""km"")"),"ប្រាក់ចំណូល")</f>
        <v/>
      </c>
      <c r="E16" s="3" t="inlineStr">
        <is>
          <t>ប្រាក់ចំណូល</t>
        </is>
      </c>
      <c r="F16" s="217" t="inlineStr">
        <is>
          <t>v</t>
        </is>
      </c>
      <c r="G16" s="217" t="inlineStr">
        <is>
          <t>ប្រាក់ចំណូល</t>
        </is>
      </c>
      <c r="H16" t="inlineStr">
        <is>
          <t>ប្រាក់ចំណូល</t>
        </is>
      </c>
      <c r="J16" s="217" t="inlineStr">
        <is>
          <t>"slider.Revenue": "Revenue",</t>
        </is>
      </c>
    </row>
    <row r="17">
      <c r="A17" s="217" t="inlineStr">
        <is>
          <t>slider.RevenueManagement</t>
        </is>
      </c>
      <c r="B17" s="217" t="inlineStr">
        <is>
          <t>Quản lý doanh thu</t>
        </is>
      </c>
      <c r="C17" s="217">
        <f>IFERROR(__xludf.DUMMYFUNCTION("GOOGLETRANSLATE(B17,""vi"",""en"")"),"Revenue management")</f>
        <v/>
      </c>
      <c r="D17" s="3">
        <f>IFERROR(__xludf.DUMMYFUNCTION("GOOGLETRANSLATE(B17,""vi"",""km"")"),"ការគ្រប់គ្រងប្រាក់ចំណូល")</f>
        <v/>
      </c>
      <c r="E17" s="3" t="inlineStr">
        <is>
          <t>គ្រប់គ្រងប្រាក់ចំណូល</t>
        </is>
      </c>
      <c r="F17" s="217" t="inlineStr">
        <is>
          <t>v</t>
        </is>
      </c>
      <c r="G17" s="217" t="inlineStr">
        <is>
          <t>គ្រប់គ្រងប្រាក់ចំណូល</t>
        </is>
      </c>
      <c r="H17" t="inlineStr">
        <is>
          <t>គ្រប់គ្រងប្រាក់ចំណូល</t>
        </is>
      </c>
      <c r="J17" s="217" t="inlineStr">
        <is>
          <t>"slider.RevenueManagement": "Revenue management",</t>
        </is>
      </c>
    </row>
    <row r="18">
      <c r="A18" s="217" t="inlineStr">
        <is>
          <t>delivery.customer.table.status</t>
        </is>
      </c>
      <c r="B18" s="217" t="inlineStr">
        <is>
          <t>Trạng thái</t>
        </is>
      </c>
      <c r="C18" s="217">
        <f>IFERROR(__xludf.DUMMYFUNCTION("GOOGLETRANSLATE(B18,""vi"",""en"")"),"Status")</f>
        <v/>
      </c>
      <c r="D18" s="3">
        <f>IFERROR(__xludf.DUMMYFUNCTION("GOOGLETRANSLATE(B18,""vi"",""km"")"),"ស្ថានភាព")</f>
        <v/>
      </c>
      <c r="E18" s="3" t="inlineStr">
        <is>
          <t>ស្ថានភាព</t>
        </is>
      </c>
      <c r="F18" s="217" t="inlineStr">
        <is>
          <t>v</t>
        </is>
      </c>
      <c r="G18" s="217" t="inlineStr">
        <is>
          <t>ស្ថានភាព</t>
        </is>
      </c>
      <c r="H18" t="inlineStr">
        <is>
          <t>ស្ថានភាព</t>
        </is>
      </c>
      <c r="J18" s="217" t="inlineStr">
        <is>
          <t>"delivery.customer.table.status": "Status",</t>
        </is>
      </c>
    </row>
    <row r="19">
      <c r="A19" s="217" t="inlineStr">
        <is>
          <t>delivery.customer.table.file</t>
        </is>
      </c>
      <c r="B19" s="217" t="inlineStr">
        <is>
          <t>Files</t>
        </is>
      </c>
      <c r="C19" s="217">
        <f>IFERROR(__xludf.DUMMYFUNCTION("GOOGLETRANSLATE(B19,""vi"",""en"")"),"Solutions")</f>
        <v/>
      </c>
      <c r="D19" s="3">
        <f>IFERROR(__xludf.DUMMYFUNCTION("GOOGLETRANSLATE(B19,""vi"",""km"")"),"ដំណោះស្រាយ")</f>
        <v/>
      </c>
      <c r="E19" s="3" t="inlineStr">
        <is>
          <t>File</t>
        </is>
      </c>
      <c r="F19" s="217" t="inlineStr">
        <is>
          <t>x</t>
        </is>
      </c>
      <c r="G19" s="217" t="inlineStr">
        <is>
          <t>Files</t>
        </is>
      </c>
      <c r="H19" t="inlineStr">
        <is>
          <t>Files</t>
        </is>
      </c>
      <c r="J19" s="217" t="inlineStr">
        <is>
          <t>"delivery.customer.table.file": "Solutions",</t>
        </is>
      </c>
    </row>
    <row r="20">
      <c r="A20" s="217" t="inlineStr">
        <is>
          <t>delivery.customer.table.paymentType</t>
        </is>
      </c>
      <c r="B20" s="217" t="inlineStr">
        <is>
          <t>Loại thanh toán</t>
        </is>
      </c>
      <c r="C20" s="217">
        <f>IFERROR(__xludf.DUMMYFUNCTION("GOOGLETRANSLATE(B20,""vi"",""en"")"),"Payment type")</f>
        <v/>
      </c>
      <c r="D20" s="3">
        <f>IFERROR(__xludf.DUMMYFUNCTION("GOOGLETRANSLATE(B20,""vi"",""km"")"),"ប្រភេទនៃការបង់ប្រាក់")</f>
        <v/>
      </c>
      <c r="E20" s="3" t="inlineStr">
        <is>
          <t>ប្រភេទនៃការទូទាត់</t>
        </is>
      </c>
      <c r="F20" s="217" t="inlineStr">
        <is>
          <t>x</t>
        </is>
      </c>
      <c r="G20" s="217" t="inlineStr">
        <is>
          <t>ប្រភេទនៃការទូទាត់</t>
        </is>
      </c>
      <c r="H20" t="inlineStr">
        <is>
          <t>ប្រភេទនៃការទូទាត់</t>
        </is>
      </c>
      <c r="J20" s="217" t="inlineStr">
        <is>
          <t>"delivery.customer.table.paymentType": "Payment type",</t>
        </is>
      </c>
    </row>
    <row r="21" ht="15.75" customHeight="1" s="305">
      <c r="A21" s="217" t="inlineStr">
        <is>
          <t>detailsOperating.international</t>
        </is>
      </c>
      <c r="B21" s="217" t="inlineStr">
        <is>
          <t>Quốc tế</t>
        </is>
      </c>
      <c r="C21" s="217">
        <f>IFERROR(__xludf.DUMMYFUNCTION("GOOGLETRANSLATE(B21,""vi"",""en"")"),"International")</f>
        <v/>
      </c>
      <c r="D21" s="3">
        <f>IFERROR(__xludf.DUMMYFUNCTION("GOOGLETRANSLATE(B21,""vi"",""km"")"),"អន្តរជាតិ")</f>
        <v/>
      </c>
      <c r="E21" s="3" t="inlineStr">
        <is>
          <t>អន្តរជាតិ</t>
        </is>
      </c>
      <c r="F21" s="217" t="inlineStr">
        <is>
          <t>v</t>
        </is>
      </c>
      <c r="G21" s="217" t="inlineStr">
        <is>
          <t>អន្តរជាតិ</t>
        </is>
      </c>
      <c r="H21" t="inlineStr">
        <is>
          <t>អន្តរជាតិ</t>
        </is>
      </c>
      <c r="J21" s="217" t="inlineStr">
        <is>
          <t>"detailsOperating.international": "International",</t>
        </is>
      </c>
    </row>
    <row r="22" ht="15.75" customHeight="1" s="305">
      <c r="A22" s="217" t="inlineStr">
        <is>
          <t>detailsOperating.domestic</t>
        </is>
      </c>
      <c r="B22" s="217" t="inlineStr">
        <is>
          <t>Trong nước</t>
        </is>
      </c>
      <c r="C22" s="217">
        <f>IFERROR(__xludf.DUMMYFUNCTION("GOOGLETRANSLATE(B22,""vi"",""en"")"),"Domestic")</f>
        <v/>
      </c>
      <c r="D22" s="3">
        <f>IFERROR(__xludf.DUMMYFUNCTION("GOOGLETRANSLATE(B22,""vi"",""km"")"),"ក្នុងស្រុក")</f>
        <v/>
      </c>
      <c r="E22" s="3" t="inlineStr">
        <is>
          <t>ក្នុងប្រទេស</t>
        </is>
      </c>
      <c r="F22" s="217" t="inlineStr">
        <is>
          <t>v</t>
        </is>
      </c>
      <c r="G22" s="217" t="inlineStr">
        <is>
          <t>ក្នុងប្រទេស</t>
        </is>
      </c>
      <c r="H22" t="inlineStr">
        <is>
          <t>ក្នុងប្រទេស</t>
        </is>
      </c>
      <c r="J22" s="217" t="inlineStr">
        <is>
          <t>"detailsOperating.domestic": "Domestic",</t>
        </is>
      </c>
    </row>
    <row r="23" ht="15.75" customHeight="1" s="305">
      <c r="A23" s="217" t="inlineStr">
        <is>
          <t>revenueOutput.accumulatedMonth</t>
        </is>
      </c>
      <c r="B23" s="217" t="inlineStr">
        <is>
          <t>Luỹ kế tháng</t>
        </is>
      </c>
      <c r="C23" s="217">
        <f>IFERROR(__xludf.DUMMYFUNCTION("GOOGLETRANSLATE(B23,""vi"",""en"")"),"Monthly cumulative")</f>
        <v/>
      </c>
      <c r="D23" s="3">
        <f>IFERROR(__xludf.DUMMYFUNCTION("GOOGLETRANSLATE(B23,""vi"",""km"")"),"សរុបប្រចាំខែ")</f>
        <v/>
      </c>
      <c r="E23" s="159" t="inlineStr">
        <is>
          <t>សរុបចំណូលពីខែមួយទៅខែមួយ</t>
        </is>
      </c>
      <c r="F23" s="217" t="inlineStr">
        <is>
          <t>x</t>
        </is>
      </c>
      <c r="G23" s="217" t="inlineStr">
        <is>
          <t>សរុបចំណូលពីខែមួយទៅខែមួយ</t>
        </is>
      </c>
      <c r="H23" t="inlineStr">
        <is>
          <t>សរុបចំណូលពីខែមួយទៅខែមួយ</t>
        </is>
      </c>
      <c r="J23" s="217" t="inlineStr">
        <is>
          <t>"revenueOutput.accumulatedMonth": "Monthly cumulative",</t>
        </is>
      </c>
    </row>
    <row r="24" ht="15.75" customHeight="1" s="305">
      <c r="A24" s="217" t="inlineStr">
        <is>
          <t>revenueOutput.accumulatedDay</t>
        </is>
      </c>
      <c r="B24" s="217" t="inlineStr">
        <is>
          <t>Luỹ kế ngày</t>
        </is>
      </c>
      <c r="C24" s="217">
        <f>IFERROR(__xludf.DUMMYFUNCTION("GOOGLETRANSLATE(B24,""vi"",""en"")"),"Cumulative days")</f>
        <v/>
      </c>
      <c r="D24" s="3">
        <f>IFERROR(__xludf.DUMMYFUNCTION("GOOGLETRANSLATE(B24,""vi"",""km"")"),"ចំនួនថ្ងៃសរុប")</f>
        <v/>
      </c>
      <c r="E24" s="159" t="inlineStr">
        <is>
          <t>សរុបចំណូលពីថ្ងៃ មួយទៅថ្ងៃ មួយ</t>
        </is>
      </c>
      <c r="F24" s="217" t="inlineStr">
        <is>
          <t>x</t>
        </is>
      </c>
      <c r="G24" s="217" t="inlineStr">
        <is>
          <t>សរុបចំណូលពីថ្ងៃ មួយទៅថ្ងៃ មួយ</t>
        </is>
      </c>
      <c r="H24" t="inlineStr">
        <is>
          <t>សរុបចំណូលពីថ្ងៃ មួយទៅថ្ងៃ មួយ</t>
        </is>
      </c>
      <c r="J24" s="217" t="inlineStr">
        <is>
          <t>"revenueOutput.accumulatedDay": "Cumulative days",</t>
        </is>
      </c>
    </row>
    <row r="25" ht="15.75" customHeight="1" s="305">
      <c r="A25" s="217" t="inlineStr">
        <is>
          <t>trackingOrder.paymentType</t>
        </is>
      </c>
      <c r="B25" s="217" t="inlineStr">
        <is>
          <t>Hình thức trả cước</t>
        </is>
      </c>
      <c r="C25" s="217">
        <f>IFERROR(__xludf.DUMMYFUNCTION("GOOGLETRANSLATE(B25,""vi"",""en"")"),"Payment methods")</f>
        <v/>
      </c>
      <c r="D25" s="3">
        <f>IFERROR(__xludf.DUMMYFUNCTION("GOOGLETRANSLATE(B25,""vi"",""km"")"),"វិធីសាស្ត្រទូទាត់")</f>
        <v/>
      </c>
      <c r="E25" s="3" t="inlineStr">
        <is>
          <t>វិធីសាស្រ្តទូទាត់សេវា</t>
        </is>
      </c>
      <c r="F25" s="217" t="inlineStr">
        <is>
          <t>v</t>
        </is>
      </c>
      <c r="G25" s="217" t="inlineStr">
        <is>
          <t>វិធីសាស្រ្តទូទាត់សេវា</t>
        </is>
      </c>
      <c r="H25" t="inlineStr">
        <is>
          <t>វិធីសាស្រ្តទូទាត់សេវា</t>
        </is>
      </c>
      <c r="J25" s="217" t="inlineStr">
        <is>
          <t>"trackingOrder.paymentType": "Payment methods",</t>
        </is>
      </c>
    </row>
    <row r="26" ht="15.75" customHeight="1" s="305">
      <c r="A26" s="217" t="inlineStr">
        <is>
          <t>userManagement.addAll</t>
        </is>
      </c>
      <c r="B26" s="217" t="inlineStr">
        <is>
          <t>Thêm tất cả</t>
        </is>
      </c>
      <c r="C26" s="217">
        <f>IFERROR(__xludf.DUMMYFUNCTION("GOOGLETRANSLATE(B26,""vi"",""en"")"),"Add all")</f>
        <v/>
      </c>
      <c r="D26" s="3">
        <f>IFERROR(__xludf.DUMMYFUNCTION("GOOGLETRANSLATE(B26,""vi"",""km"")"),"បន្ថែមទាំងអស់")</f>
        <v/>
      </c>
      <c r="E26" s="3" t="inlineStr">
        <is>
          <t>បន្ថែមទាំងអស់</t>
        </is>
      </c>
      <c r="F26" s="217" t="inlineStr">
        <is>
          <t>v</t>
        </is>
      </c>
      <c r="G26" s="217" t="inlineStr">
        <is>
          <t>បន្ថែមទាំងអស់</t>
        </is>
      </c>
      <c r="H26" t="inlineStr">
        <is>
          <t>បន្ថែមទាំងអស់</t>
        </is>
      </c>
      <c r="J26" s="217" t="inlineStr">
        <is>
          <t>"userManagement.addAll": "Add all",</t>
        </is>
      </c>
    </row>
    <row r="27" ht="15.75" customHeight="1" s="305">
      <c r="A27" s="217" t="inlineStr">
        <is>
          <t>modifyListUser.max9</t>
        </is>
      </c>
      <c r="B27" s="217" t="inlineStr">
        <is>
          <t>Nhập tối đa 9 ký tự</t>
        </is>
      </c>
      <c r="C27" s="217">
        <f>IFERROR(__xludf.DUMMYFUNCTION("GOOGLETRANSLATE(B27,""vi"",""en"")"),"Enter a maximum of 9 characters.")</f>
        <v/>
      </c>
      <c r="D27" s="3">
        <f>IFERROR(__xludf.DUMMYFUNCTION("GOOGLETRANSLATE(B27,""vi"",""km"")"),"បញ្ចូលតួអក្សរអតិបរមា ៩ តួអក្សរ។")</f>
        <v/>
      </c>
      <c r="E27" s="3" t="inlineStr">
        <is>
          <t>បញ្ចូលជាអតិបរមាចំនួន9អក្សរលេខ</t>
        </is>
      </c>
      <c r="F27" s="217" t="inlineStr">
        <is>
          <t>v</t>
        </is>
      </c>
      <c r="G27" s="217" t="inlineStr">
        <is>
          <t>បញ្ចូលជាអតិបរមាចំនួន9អក្សរលេខ</t>
        </is>
      </c>
      <c r="H27" t="inlineStr">
        <is>
          <t>បញ្ចូលជាអតិបរមាចំនួន9អក្សរលេខ</t>
        </is>
      </c>
      <c r="J27" s="217" t="inlineStr">
        <is>
          <t>"modifyListUser.max9": "Enter a maximum of 9 characters.",</t>
        </is>
      </c>
    </row>
    <row r="28" ht="15.75" customHeight="1" s="305">
      <c r="A28" s="217" t="inlineStr">
        <is>
          <t>modifyListUser.containsWhitespace</t>
        </is>
      </c>
      <c r="B28" s="217" t="inlineStr">
        <is>
          <t>Không được phép chứa khoảng trắng</t>
        </is>
      </c>
      <c r="C28" s="217" t="inlineStr">
        <is>
          <t>Spaces are not allowed</t>
        </is>
      </c>
      <c r="D28" s="3">
        <f>IFERROR(__xludf.DUMMYFUNCTION("GOOGLETRANSLATE(B28,""vi"",""km"")"),"មិនអនុញ្ញាតឱ្យមានចន្លោះទេ។")</f>
        <v/>
      </c>
      <c r="E28" s="3" t="inlineStr">
        <is>
          <t>មិនអនុញ្ញាតិទុកចន្លោះបានទេ</t>
        </is>
      </c>
      <c r="F28" s="217" t="inlineStr">
        <is>
          <t>x</t>
        </is>
      </c>
      <c r="G28" s="217" t="inlineStr">
        <is>
          <t>មិនអនុញ្ញាតិទុកចន្លោះបានទេ</t>
        </is>
      </c>
      <c r="H28" t="inlineStr">
        <is>
          <t>មិនអនុញ្ញាតិទុកចន្លោះបានទេ</t>
        </is>
      </c>
      <c r="J28" s="217" t="inlineStr">
        <is>
          <t>"modifyListUser.containsWhitespace": "Spaces are not allowed",</t>
        </is>
      </c>
    </row>
    <row r="29" ht="15.75" customHeight="1" s="305">
      <c r="A29" s="217" t="inlineStr">
        <is>
          <t>modifyListDepartment.titleAll</t>
        </is>
      </c>
      <c r="B29" s="217" t="inlineStr">
        <is>
          <t>Thêm tất cả thông tin đơn vị</t>
        </is>
      </c>
      <c r="C29" s="217">
        <f>IFERROR(__xludf.DUMMYFUNCTION("GOOGLETRANSLATE(B29,""vi"",""en"")"),"Add all unit information")</f>
        <v/>
      </c>
      <c r="D29" s="3">
        <f>IFERROR(__xludf.DUMMYFUNCTION("GOOGLETRANSLATE(B29,""vi"",""km"")"),"បន្ថែមព័ត៌មានអង្គភាពទាំងអស់")</f>
        <v/>
      </c>
      <c r="E29" s="3" t="inlineStr">
        <is>
          <t>បន្ថែមព័ត៌មានអង្គភាពទាំងអស់</t>
        </is>
      </c>
      <c r="F29" s="217" t="inlineStr">
        <is>
          <t>x</t>
        </is>
      </c>
      <c r="G29" s="217" t="inlineStr">
        <is>
          <t>បន្ថែមព័ត៌មានអង្គភាពទាំងអស់</t>
        </is>
      </c>
      <c r="H29" t="inlineStr">
        <is>
          <t>បន្ថែមព័ត៌មានអង្គភាពទាំងអស់</t>
        </is>
      </c>
      <c r="J29" s="217" t="inlineStr">
        <is>
          <t>"modifyListDepartment.titleAll": "Add all unit information",</t>
        </is>
      </c>
    </row>
    <row r="30" ht="15.75" customHeight="1" s="305">
      <c r="A30" s="217" t="inlineStr">
        <is>
          <t>modifyListDepartment.messageNotice</t>
        </is>
      </c>
      <c r="B30" s="217" t="inlineStr">
        <is>
          <t>Tất cả bưu cục đã được phân quyền. Không thêm được bưu cục nào.</t>
        </is>
      </c>
      <c r="C30" s="217">
        <f>IFERROR(__xludf.DUMMYFUNCTION("GOOGLETRANSLATE(B30,""vi"",""en"")"),"All post offices have been granted access. No more post offices can be added.")</f>
        <v/>
      </c>
      <c r="D30" s="3">
        <f>IFERROR(__xludf.DUMMYFUNCTION("GOOGLETRANSLATE(B30,""vi"",""km"")"),"ការិយាល័យប្រៃសណីយ៍ទាំងអស់ត្រូវបានផ្តល់សិទ្ធិចូលប្រើប្រាស់។ មិនអាចបន្ថែមការិយាល័យប្រៃសណីយ៍បន្ថែមទៀតបានទេ។")</f>
        <v/>
      </c>
      <c r="E30" s="3" t="inlineStr">
        <is>
          <t>រាល់ការិយាល័យប្រៃសណីយ៍ទាំងអស់បានប្រគល់សិទ្ធិ។មិនបន្ថែមបានការិយាល័យប្រៃសណីយ៍ណាមួយឡើយ។</t>
        </is>
      </c>
      <c r="F30" s="217" t="inlineStr">
        <is>
          <t>x</t>
        </is>
      </c>
      <c r="G30" s="3" t="inlineStr">
        <is>
          <t>រាល់ការិយាល័យប្រៃសណីយ៍ទាំងអស់បានប្រគល់សិទ្ធិ។មិនបន្ថែមបានការិយាល័យប្រៃសណីយ៍ណាមួយឡើយ។</t>
        </is>
      </c>
      <c r="H30" t="inlineStr">
        <is>
          <t>រាល់ការិយាល័យប្រៃសណីយ៍ទាំងអស់បានប្រគល់សិទ្ធិ។មិនបន្ថែមបានការិយាល័យប្រៃសណីយ៍ណាមួយឡើយ។</t>
        </is>
      </c>
      <c r="J30" s="217" t="inlineStr">
        <is>
          <t>"modifyListDepartment.messageNotice": "All post offices have been granted access. No more post offices can be added.",</t>
        </is>
      </c>
    </row>
    <row r="31" ht="15.75" customHeight="1" s="305">
      <c r="A31" s="217" t="inlineStr">
        <is>
          <t>modifyDepartment.userManagement</t>
        </is>
      </c>
      <c r="B31" s="217" t="inlineStr">
        <is>
          <t>Người quản lý</t>
        </is>
      </c>
      <c r="C31" s="217">
        <f>IFERROR(__xludf.DUMMYFUNCTION("GOOGLETRANSLATE(B31,""vi"",""en"")"),"Manager")</f>
        <v/>
      </c>
      <c r="D31" s="3">
        <f>IFERROR(__xludf.DUMMYFUNCTION("GOOGLETRANSLATE(B31,""vi"",""km"")"),"អ្នកគ្រប់គ្រង")</f>
        <v/>
      </c>
      <c r="E31" s="3" t="inlineStr">
        <is>
          <t>អ្នកគ្រប់គ្រង</t>
        </is>
      </c>
      <c r="F31" s="217" t="inlineStr">
        <is>
          <t>v</t>
        </is>
      </c>
      <c r="G31" s="217" t="inlineStr">
        <is>
          <t>អ្នកគ្រប់គ្រង</t>
        </is>
      </c>
      <c r="H31" t="inlineStr">
        <is>
          <t>អ្នកគ្រប់គ្រង</t>
        </is>
      </c>
      <c r="J31" s="217" t="inlineStr">
        <is>
          <t>"modifyDepartment.userManagement": "Manager",</t>
        </is>
      </c>
    </row>
    <row r="32" ht="15.75" customHeight="1" s="305">
      <c r="A32" s="217" t="inlineStr">
        <is>
          <t>modifyDepartment.lat</t>
        </is>
      </c>
      <c r="B32" s="217" t="inlineStr">
        <is>
          <t>Vĩ độ</t>
        </is>
      </c>
      <c r="C32" s="217">
        <f>IFERROR(__xludf.DUMMYFUNCTION("GOOGLETRANSLATE(B32,""vi"",""en"")"),"Latitude")</f>
        <v/>
      </c>
      <c r="D32" s="3">
        <f>IFERROR(__xludf.DUMMYFUNCTION("GOOGLETRANSLATE(B32,""vi"",""km"")"),"រយៈទទឹង")</f>
        <v/>
      </c>
      <c r="E32" s="3" t="inlineStr">
        <is>
          <t>រយៈទទឹង</t>
        </is>
      </c>
      <c r="F32" s="217" t="inlineStr">
        <is>
          <t>x</t>
        </is>
      </c>
      <c r="G32" s="217" t="inlineStr">
        <is>
          <t>រយៈទទឹង</t>
        </is>
      </c>
      <c r="H32" t="inlineStr">
        <is>
          <t>រយៈទទឹង</t>
        </is>
      </c>
      <c r="J32" s="217" t="inlineStr">
        <is>
          <t>"modifyDepartment.lat": "Latitude",</t>
        </is>
      </c>
    </row>
    <row r="33" ht="15.75" customHeight="1" s="305">
      <c r="A33" s="217" t="inlineStr">
        <is>
          <t>modifyDepartment.enterLat</t>
        </is>
      </c>
      <c r="B33" s="217" t="inlineStr">
        <is>
          <t>Nhập vĩ độ</t>
        </is>
      </c>
      <c r="C33" s="217">
        <f>IFERROR(__xludf.DUMMYFUNCTION("GOOGLETRANSLATE(B33,""vi"",""en"")"),"Enter latitude")</f>
        <v/>
      </c>
      <c r="D33" s="3">
        <f>IFERROR(__xludf.DUMMYFUNCTION("GOOGLETRANSLATE(B33,""vi"",""km"")"),"បញ្ចូលរយៈទទឹង")</f>
        <v/>
      </c>
      <c r="E33" s="3" t="inlineStr">
        <is>
          <t>បញ្ចូល រយៈទទឹង</t>
        </is>
      </c>
      <c r="F33" s="217" t="inlineStr">
        <is>
          <t>x</t>
        </is>
      </c>
      <c r="G33" s="217" t="inlineStr">
        <is>
          <t>បញ្ចូល រយៈទទឹង</t>
        </is>
      </c>
      <c r="H33" t="inlineStr">
        <is>
          <t>បញ្ចូល រយៈទទឹង</t>
        </is>
      </c>
      <c r="J33" s="217" t="inlineStr">
        <is>
          <t>"modifyDepartment.enterLat": "Enter latitude",</t>
        </is>
      </c>
    </row>
    <row r="34" ht="15.75" customHeight="1" s="305">
      <c r="A34" s="217" t="inlineStr">
        <is>
          <t>modifyDepartment.lon</t>
        </is>
      </c>
      <c r="B34" s="217" t="inlineStr">
        <is>
          <t>Kinh độ</t>
        </is>
      </c>
      <c r="C34" s="217">
        <f>IFERROR(__xludf.DUMMYFUNCTION("GOOGLETRANSLATE(B34,""vi"",""en"")"),"Longitude")</f>
        <v/>
      </c>
      <c r="D34" s="3">
        <f>IFERROR(__xludf.DUMMYFUNCTION("GOOGLETRANSLATE(B34,""vi"",""km"")"),"រយៈបណ្តោយ")</f>
        <v/>
      </c>
      <c r="E34" s="3" t="inlineStr">
        <is>
          <t>រយៈបណ្តោយ</t>
        </is>
      </c>
      <c r="F34" s="217" t="inlineStr">
        <is>
          <t>x</t>
        </is>
      </c>
      <c r="G34" s="217" t="inlineStr">
        <is>
          <t>រយៈបណ្តោយ</t>
        </is>
      </c>
      <c r="H34" t="inlineStr">
        <is>
          <t>រយៈបណ្តោយ</t>
        </is>
      </c>
      <c r="J34" s="217" t="inlineStr">
        <is>
          <t>"modifyDepartment.lon": "Longitude",</t>
        </is>
      </c>
    </row>
    <row r="35" ht="15.75" customHeight="1" s="305">
      <c r="A35" s="217" t="inlineStr">
        <is>
          <t>modifyDepartment.enterLon</t>
        </is>
      </c>
      <c r="B35" s="217" t="inlineStr">
        <is>
          <t>Nhập kinh độ</t>
        </is>
      </c>
      <c r="C35" s="217">
        <f>IFERROR(__xludf.DUMMYFUNCTION("GOOGLETRANSLATE(B35,""vi"",""en"")"),"Enter longitude")</f>
        <v/>
      </c>
      <c r="D35" s="3">
        <f>IFERROR(__xludf.DUMMYFUNCTION("GOOGLETRANSLATE(B35,""vi"",""km"")"),"បញ្ចូលរយៈបណ្តោយ")</f>
        <v/>
      </c>
      <c r="E35" s="3" t="inlineStr">
        <is>
          <t>បញ្ចូលរយៈបណ្តោយ</t>
        </is>
      </c>
      <c r="F35" s="217" t="inlineStr">
        <is>
          <t>x</t>
        </is>
      </c>
      <c r="G35" s="217" t="inlineStr">
        <is>
          <t>បញ្ចូលរយៈបណ្តោយ</t>
        </is>
      </c>
      <c r="H35" t="inlineStr">
        <is>
          <t>បញ្ចូលរយៈបណ្តោយ</t>
        </is>
      </c>
      <c r="J35" s="217" t="inlineStr">
        <is>
          <t>"modifyDepartment.enterLon": "Enter longitude",</t>
        </is>
      </c>
    </row>
    <row r="36" ht="15.75" customHeight="1" s="305">
      <c r="A36" s="217" t="inlineStr">
        <is>
          <t>modifyOrder.deliveryStore</t>
        </is>
      </c>
      <c r="B36" s="217" t="inlineStr">
        <is>
          <t>Cửa hàng giao</t>
        </is>
      </c>
      <c r="C36" s="217" t="inlineStr">
        <is>
          <t>Delivery Store</t>
        </is>
      </c>
      <c r="D36" s="3">
        <f>IFERROR(__xludf.DUMMYFUNCTION("GOOGLETRANSLATE(B36,""vi"",""km"")"),"ហាងនេះដឹកជញ្ជូន")</f>
        <v/>
      </c>
      <c r="E36" s="3" t="inlineStr">
        <is>
          <t>ហាងប្រគល់អីវ៉ាន់</t>
        </is>
      </c>
      <c r="F36" s="217" t="inlineStr">
        <is>
          <t>v</t>
        </is>
      </c>
      <c r="G36" s="217" t="inlineStr">
        <is>
          <t>ហាងប្រគល់អីវ៉ាន់</t>
        </is>
      </c>
      <c r="H36" t="inlineStr">
        <is>
          <t>ហាងប្រគល់អីវ៉ាន់</t>
        </is>
      </c>
      <c r="J36" s="217" t="inlineStr">
        <is>
          <t>"modifyOrder.deliveryStore": "Delivery Store",</t>
        </is>
      </c>
    </row>
    <row r="37" ht="15.75" customHeight="1" s="305">
      <c r="A37" s="217" t="inlineStr">
        <is>
          <t>modifyOrder.searchDeliveryStore</t>
        </is>
      </c>
      <c r="B37" s="217" t="inlineStr">
        <is>
          <t>Tìm kiếm cửa hàng</t>
        </is>
      </c>
      <c r="C37" s="217" t="inlineStr">
        <is>
          <t>Search Store</t>
        </is>
      </c>
      <c r="D37" s="3">
        <f>IFERROR(__xludf.DUMMYFUNCTION("GOOGLETRANSLATE(B37,""vi"",""km"")"),"ស្វែងរកហាង")</f>
        <v/>
      </c>
      <c r="E37" s="3" t="inlineStr">
        <is>
          <t>ស្វែងរកហាង</t>
        </is>
      </c>
      <c r="F37" s="217" t="inlineStr">
        <is>
          <t>x</t>
        </is>
      </c>
      <c r="G37" s="217" t="inlineStr">
        <is>
          <t>ស្វែងរកហាង</t>
        </is>
      </c>
      <c r="H37" t="inlineStr">
        <is>
          <t>ស្វែងរកហាង</t>
        </is>
      </c>
      <c r="J37" s="217" t="inlineStr">
        <is>
          <t>"modifyOrder.searchDeliveryStore": "Search Store",</t>
        </is>
      </c>
    </row>
    <row r="38" ht="15.75" customHeight="1" s="305">
      <c r="A38" s="217" t="inlineStr">
        <is>
          <t>modifyOrder.day</t>
        </is>
      </c>
      <c r="B38" s="217" t="inlineStr">
        <is>
          <t>Ngày</t>
        </is>
      </c>
      <c r="C38" s="217">
        <f>IFERROR(__xludf.DUMMYFUNCTION("GOOGLETRANSLATE(B38,""vi"",""en"")"),"Day")</f>
        <v/>
      </c>
      <c r="D38" s="3">
        <f>IFERROR(__xludf.DUMMYFUNCTION("GOOGLETRANSLATE(B38,""vi"",""km"")"),"ថ្ងៃ")</f>
        <v/>
      </c>
      <c r="E38" s="3" t="inlineStr">
        <is>
          <t>ថ្ងៃ</t>
        </is>
      </c>
      <c r="F38" s="217" t="inlineStr">
        <is>
          <t>v</t>
        </is>
      </c>
      <c r="G38" s="217" t="inlineStr">
        <is>
          <t>ថ្ងៃ</t>
        </is>
      </c>
      <c r="H38" t="inlineStr">
        <is>
          <t>ថ្ងៃ</t>
        </is>
      </c>
      <c r="J38" s="217" t="inlineStr">
        <is>
          <t>"modifyOrder.day": "Day",</t>
        </is>
      </c>
    </row>
    <row r="39" ht="15.75" customHeight="1" s="305">
      <c r="A39" s="217" t="inlineStr">
        <is>
          <t>modifyOrder.sizePlaceholder</t>
        </is>
      </c>
      <c r="B39" s="217" t="inlineStr">
        <is>
          <t>Nhập Dài + Rộng + Cao</t>
        </is>
      </c>
      <c r="C39" s="217" t="inlineStr">
        <is>
          <t>Enter Length + Width + Height</t>
        </is>
      </c>
      <c r="D39" s="3">
        <f>IFERROR(__xludf.DUMMYFUNCTION("GOOGLETRANSLATE(B39,""vi"",""km"")"),"បញ្ចូលប្រវែង + ទទឹង + កម្ពស់")</f>
        <v/>
      </c>
      <c r="E39" s="3" t="inlineStr">
        <is>
          <t>បញ្ចូលប្រវែង+ទទឹង+កម្ពស់</t>
        </is>
      </c>
      <c r="F39" s="217" t="inlineStr">
        <is>
          <t>x</t>
        </is>
      </c>
      <c r="G39" s="217" t="inlineStr">
        <is>
          <t>បញ្ចូលប្រវែង+ទទឹង+កម្ពស់</t>
        </is>
      </c>
      <c r="H39" t="inlineStr">
        <is>
          <t>បញ្ចូលប្រវែង+ទទឹង+កម្ពស់</t>
        </is>
      </c>
      <c r="J39" s="217" t="inlineStr">
        <is>
          <t>"modifyOrder.sizePlaceholder": "Enter Length + Width + Height",</t>
        </is>
      </c>
    </row>
    <row r="40" ht="15.75" customHeight="1" s="305">
      <c r="A40" s="217" t="inlineStr">
        <is>
          <t>modifyOrder.calculatorSize</t>
        </is>
      </c>
      <c r="B40" s="217" t="inlineStr">
        <is>
          <t>Tổng kích thước (cm)</t>
        </is>
      </c>
      <c r="C40" s="217">
        <f>IFERROR(__xludf.DUMMYFUNCTION("GOOGLETRANSLATE(B40,""vi"",""en"")"),"Total dimensions (cm)")</f>
        <v/>
      </c>
      <c r="D40" s="3">
        <f>IFERROR(__xludf.DUMMYFUNCTION("GOOGLETRANSLATE(B40,""vi"",""km"")"),"វិមាត្រសរុប (សង់ទីម៉ែត្រ)")</f>
        <v/>
      </c>
      <c r="E40" s="3" t="inlineStr">
        <is>
          <t>សរុបទំហំ (សង់ទីម៉ែត)</t>
        </is>
      </c>
      <c r="F40" s="217" t="inlineStr">
        <is>
          <t>v</t>
        </is>
      </c>
      <c r="G40" s="217" t="inlineStr">
        <is>
          <t>សរុបទំហំ (សង់ទីម៉ែត)</t>
        </is>
      </c>
      <c r="H40" t="inlineStr">
        <is>
          <t>សរុបទំហំ (សង់ទីម៉ែត)</t>
        </is>
      </c>
      <c r="J40" s="217" t="inlineStr">
        <is>
          <t>"modifyOrder.calculatorSize": "Total dimensions (cm)",</t>
        </is>
      </c>
    </row>
    <row r="41" ht="15.75" customHeight="1" s="305">
      <c r="A41" s="217" t="inlineStr">
        <is>
          <t>modifyOrder.invoice</t>
        </is>
      </c>
      <c r="B41" s="217" t="inlineStr">
        <is>
          <t>Yêu cầu xuất hoá đơn</t>
        </is>
      </c>
      <c r="C41" s="217" t="inlineStr">
        <is>
          <t>Request Invoice</t>
        </is>
      </c>
      <c r="D41" s="3">
        <f>IFERROR(__xludf.DUMMYFUNCTION("GOOGLETRANSLATE(B41,""vi"",""km"")"),"សំណើសុំវិក្កយបត្រ")</f>
        <v/>
      </c>
      <c r="E41" s="3" t="inlineStr">
        <is>
          <t>ស្នេីរសុំចេញវិក័យប័ត្រ</t>
        </is>
      </c>
      <c r="F41" s="217" t="inlineStr">
        <is>
          <t>v</t>
        </is>
      </c>
      <c r="G41" s="217" t="inlineStr">
        <is>
          <t>ស្នេីរសុំចេញវិក័យប័ត្រ</t>
        </is>
      </c>
      <c r="H41" t="inlineStr">
        <is>
          <t>ស្នេីរសុំចេញវិក័យប័ត្រ</t>
        </is>
      </c>
      <c r="J41" s="217" t="inlineStr">
        <is>
          <t>"modifyOrder.invoice": "Request Invoice",</t>
        </is>
      </c>
    </row>
    <row r="42" ht="15.75" customHeight="1" s="305">
      <c r="A42" s="217" t="inlineStr">
        <is>
          <t>modifyOrder.invoiceBySender</t>
        </is>
      </c>
      <c r="B42" s="217" t="inlineStr">
        <is>
          <t>Xuất hóa đơn theo thông tin người gửi</t>
        </is>
      </c>
      <c r="C42" s="217" t="inlineStr">
        <is>
          <t>Issue invoice based on sender information</t>
        </is>
      </c>
      <c r="D42" s="3">
        <f>IFERROR(__xludf.DUMMYFUNCTION("GOOGLETRANSLATE(B42,""vi"",""km"")"),"ចេញវិក្កយបត្រដោយផ្អែកលើព័ត៌មានអ្នកផ្ញើ។")</f>
        <v/>
      </c>
      <c r="E42" s="3" t="inlineStr">
        <is>
          <t>ចេញវិក័យប័ត្រតាមព័ត៌មានអ្នកផ្ញើ</t>
        </is>
      </c>
      <c r="F42" s="217" t="inlineStr">
        <is>
          <t>x</t>
        </is>
      </c>
      <c r="G42" s="217" t="inlineStr">
        <is>
          <t>ចេញវិក័យប័ត្រតាមព័ត៌មានអ្នកផ្ញើ</t>
        </is>
      </c>
      <c r="H42" t="inlineStr">
        <is>
          <t>ចេញវិក័យប័ត្រតាមព័ត៌មានអ្នកផ្ញើ</t>
        </is>
      </c>
      <c r="J42" s="217" t="inlineStr">
        <is>
          <t>"modifyOrder.invoiceBySender": "Issue invoice based on sender information",</t>
        </is>
      </c>
    </row>
    <row r="43" ht="15.75" customHeight="1" s="305">
      <c r="A43" s="217" t="inlineStr">
        <is>
          <t>modifyOrder.invoiceByReceiver</t>
        </is>
      </c>
      <c r="B43" s="217" t="inlineStr">
        <is>
          <t>Xuất hóa đơn theo thông tin người nhận</t>
        </is>
      </c>
      <c r="C43" s="217" t="inlineStr">
        <is>
          <t>Issue invoice based on receiver information</t>
        </is>
      </c>
      <c r="D43" s="3">
        <f>IFERROR(__xludf.DUMMYFUNCTION("GOOGLETRANSLATE(B43,""vi"",""km"")"),"ចេញវិក្កយបត្រដោយផ្អែកលើព័ត៌មានអ្នកទទួល។")</f>
        <v/>
      </c>
      <c r="E43" s="3" t="inlineStr">
        <is>
          <t>ចេញវិក័យប័ត្រតាមព័ត៌មានអ្នកទទួល</t>
        </is>
      </c>
      <c r="F43" s="217" t="inlineStr">
        <is>
          <t>x</t>
        </is>
      </c>
      <c r="G43" s="217" t="inlineStr">
        <is>
          <t>ចេញវិក័យប័ត្រតាមព័ត៌មានអ្នកទទួល</t>
        </is>
      </c>
      <c r="H43" t="inlineStr">
        <is>
          <t>ចេញវិក័យប័ត្រតាមព័ត៌មានអ្នកទទួល</t>
        </is>
      </c>
      <c r="J43" s="217" t="inlineStr">
        <is>
          <t>"modifyOrder.invoiceByReceiver": "Issue invoice based on receiver information",</t>
        </is>
      </c>
    </row>
    <row r="44" ht="15.75" customHeight="1" s="305">
      <c r="A44" s="217" t="inlineStr">
        <is>
          <t>address.postOffice</t>
        </is>
      </c>
      <c r="B44" s="217" t="inlineStr">
        <is>
          <t>Bưu cục</t>
        </is>
      </c>
      <c r="C44" s="217">
        <f>IFERROR(__xludf.DUMMYFUNCTION("GOOGLETRANSLATE(B44,""vi"",""en"")"),"Post Office")</f>
        <v/>
      </c>
      <c r="D44" s="3">
        <f>IFERROR(__xludf.DUMMYFUNCTION("GOOGLETRANSLATE(B44,""vi"",""km"")"),"ការិយាល័យប្រៃសណីយ៍")</f>
        <v/>
      </c>
      <c r="E44" s="3" t="inlineStr">
        <is>
          <t>ការិយាល័យប្រៃសណីយ៍</t>
        </is>
      </c>
      <c r="F44" s="217" t="inlineStr">
        <is>
          <t>v</t>
        </is>
      </c>
      <c r="G44" s="217" t="inlineStr">
        <is>
          <t>ការិយាល័យប្រៃសណីយ៍</t>
        </is>
      </c>
      <c r="H44" t="inlineStr">
        <is>
          <t>ការិយាល័យប្រៃសណីយ៍</t>
        </is>
      </c>
      <c r="J44" s="217" t="inlineStr">
        <is>
          <t>"address.postOffice": "Post Office",</t>
        </is>
      </c>
    </row>
    <row r="45" ht="15.75" customHeight="1" s="305">
      <c r="A45" s="217" t="inlineStr">
        <is>
          <t>packing.line</t>
        </is>
      </c>
      <c r="B45" s="217" t="inlineStr">
        <is>
          <t>Cấu hình</t>
        </is>
      </c>
      <c r="C45" s="217">
        <f>IFERROR(__xludf.DUMMYFUNCTION("GOOGLETRANSLATE(B45,""vi"",""en"")"),"Configuration")</f>
        <v/>
      </c>
      <c r="D45" s="3">
        <f>IFERROR(__xludf.DUMMYFUNCTION("GOOGLETRANSLATE(B45,""vi"",""km"")"),"ការកំណត់រចនាសម្ព័ន្ធ")</f>
        <v/>
      </c>
      <c r="E45" s="3" t="inlineStr">
        <is>
          <t>ទម្រង់</t>
        </is>
      </c>
      <c r="F45" s="217" t="inlineStr">
        <is>
          <t>x</t>
        </is>
      </c>
      <c r="G45" s="217" t="inlineStr">
        <is>
          <t>ទម្រង់</t>
        </is>
      </c>
      <c r="H45" t="inlineStr">
        <is>
          <t>ទម្រង់</t>
        </is>
      </c>
      <c r="J45" s="217" t="inlineStr">
        <is>
          <t>"packing.line": "Configuration",</t>
        </is>
      </c>
    </row>
    <row r="46" ht="15.75" customHeight="1" s="305">
      <c r="A46" s="217" t="inlineStr">
        <is>
          <t>packing.groupService</t>
        </is>
      </c>
      <c r="B46" s="217" t="inlineStr">
        <is>
          <t>Nhóm dịch vụ</t>
        </is>
      </c>
      <c r="C46" s="217">
        <f>IFERROR(__xludf.DUMMYFUNCTION("GOOGLETRANSLATE(B46,""vi"",""en"")"),"Service Group")</f>
        <v/>
      </c>
      <c r="D46" s="3">
        <f>IFERROR(__xludf.DUMMYFUNCTION("GOOGLETRANSLATE(B46,""vi"",""km"")"),"ក្រុមសេវាកម្ម")</f>
        <v/>
      </c>
      <c r="E46" s="3" t="inlineStr">
        <is>
          <t>ក្រុមសេវាកម្ម</t>
        </is>
      </c>
      <c r="F46" s="217" t="inlineStr">
        <is>
          <t>v</t>
        </is>
      </c>
      <c r="G46" s="217" t="inlineStr">
        <is>
          <t>ក្រុមសេវាកម្ម</t>
        </is>
      </c>
      <c r="H46" t="inlineStr">
        <is>
          <t>ក្រុមសេវាកម្ម</t>
        </is>
      </c>
      <c r="J46" s="217" t="inlineStr">
        <is>
          <t>"packing.groupService": "Service Group",</t>
        </is>
      </c>
    </row>
    <row r="47" ht="15.75" customHeight="1" s="305">
      <c r="A47" s="217" t="inlineStr">
        <is>
          <t>packing.addSuccess</t>
        </is>
      </c>
      <c r="B47" s="217" t="inlineStr">
        <is>
          <t>Gom thành công</t>
        </is>
      </c>
      <c r="C47" s="217">
        <f>IFERROR(__xludf.DUMMYFUNCTION("GOOGLETRANSLATE(B47,""vi"",""en"")"),"Successfully collected")</f>
        <v/>
      </c>
      <c r="D47" s="3">
        <f>IFERROR(__xludf.DUMMYFUNCTION("GOOGLETRANSLATE(B47,""vi"",""km"")"),"បានប្រមូលដោយជោគជ័យ")</f>
        <v/>
      </c>
      <c r="E47" s="3" t="inlineStr">
        <is>
          <t>ប្រមូលបានជោគជ័យ</t>
        </is>
      </c>
      <c r="F47" s="217" t="inlineStr">
        <is>
          <t>x</t>
        </is>
      </c>
      <c r="G47" s="217" t="inlineStr">
        <is>
          <t>ប្រមូលបានជោគជ័យ</t>
        </is>
      </c>
      <c r="H47" t="inlineStr">
        <is>
          <t>ប្រមូលបានជោគជ័យ</t>
        </is>
      </c>
      <c r="J47" s="217" t="inlineStr">
        <is>
          <t>"packing.addSuccess": "Successfully collected",</t>
        </is>
      </c>
    </row>
    <row r="48" ht="15.75" customHeight="1" s="305">
      <c r="A48" s="217" t="inlineStr">
        <is>
          <t>packing.billCode</t>
        </is>
      </c>
      <c r="B48" s="217" t="inlineStr">
        <is>
          <t>Mã bill</t>
        </is>
      </c>
      <c r="C48" s="217">
        <f>IFERROR(__xludf.DUMMYFUNCTION("GOOGLETRANSLATE(B48,""vi"",""en"")"),"Bill code")</f>
        <v/>
      </c>
      <c r="D48" s="3">
        <f>IFERROR(__xludf.DUMMYFUNCTION("GOOGLETRANSLATE(B48,""vi"",""km"")"),"លេខកូដវិក្កយបត្រ")</f>
        <v/>
      </c>
      <c r="E48" s="3" t="inlineStr">
        <is>
          <t>កូដបុងបញ្ញើ</t>
        </is>
      </c>
      <c r="F48" s="217" t="inlineStr">
        <is>
          <t>v</t>
        </is>
      </c>
      <c r="G48" s="217" t="inlineStr">
        <is>
          <t>កូដបុងបញ្ញើ</t>
        </is>
      </c>
      <c r="H48" t="inlineStr">
        <is>
          <t>កូដបុងបញ្ញើ</t>
        </is>
      </c>
      <c r="J48" s="217" t="inlineStr">
        <is>
          <t>"packing.billCode": "Bill code",</t>
        </is>
      </c>
    </row>
    <row r="49" ht="15.75" customHeight="1" s="305">
      <c r="A49" s="217" t="inlineStr">
        <is>
          <t>sorting.configZone</t>
        </is>
      </c>
      <c r="B49" s="217" t="inlineStr">
        <is>
          <t>Cấu hình vùng đi, vùng đến</t>
        </is>
      </c>
      <c r="C49" s="217">
        <f>IFERROR(__xludf.DUMMYFUNCTION("GOOGLETRANSLATE(B49,""vi"",""en"")"),"Configure departure and arrival zones.")</f>
        <v/>
      </c>
      <c r="D49" s="3">
        <f>IFERROR(__xludf.DUMMYFUNCTION("GOOGLETRANSLATE(B49,""vi"",""km"")"),"កំណត់រចនាសម្ព័ន្ធតំបន់ចេញដំណើរ និងតំបន់មកដល់។")</f>
        <v/>
      </c>
      <c r="E49" s="3" t="inlineStr">
        <is>
          <t>រចនាសម្ព័ន្ធតំបន់ចេញទៅ តំបន់មកដល់</t>
        </is>
      </c>
      <c r="F49" s="217" t="inlineStr">
        <is>
          <t>x</t>
        </is>
      </c>
      <c r="G49" s="217" t="inlineStr">
        <is>
          <t>រចនាសម្ព័ន្ធតំបន់ចេញទៅ តំបន់មកដល់</t>
        </is>
      </c>
      <c r="H49" t="inlineStr">
        <is>
          <t>រចនាសម្ព័ន្ធតំបន់ចេញទៅ តំបន់មកដល់</t>
        </is>
      </c>
      <c r="J49" s="217" t="inlineStr">
        <is>
          <t>"sorting.configZone": "Configure departure and arrival zones.",</t>
        </is>
      </c>
    </row>
    <row r="50" ht="15.75" customHeight="1" s="305">
      <c r="A50" s="217" t="inlineStr">
        <is>
          <t>sorting.configService</t>
        </is>
      </c>
      <c r="B50" s="217" t="inlineStr">
        <is>
          <t>Cấu hình nhóm dịch vụ</t>
        </is>
      </c>
      <c r="C50" s="217">
        <f>IFERROR(__xludf.DUMMYFUNCTION("GOOGLETRANSLATE(B50,""vi"",""en"")"),"Configure service groups")</f>
        <v/>
      </c>
      <c r="D50" s="3">
        <f>IFERROR(__xludf.DUMMYFUNCTION("GOOGLETRANSLATE(B50,""vi"",""km"")"),"កំណត់រចនាសម្ព័ន្ធក្រុមសេវាកម្ម")</f>
        <v/>
      </c>
      <c r="E50" s="3" t="inlineStr">
        <is>
          <t>រចនាសម្ព័ន្ធក្រុមសេវាកម្ម</t>
        </is>
      </c>
      <c r="F50" s="217" t="inlineStr">
        <is>
          <t>x</t>
        </is>
      </c>
      <c r="G50" s="217" t="inlineStr">
        <is>
          <t>រចនាសម្ព័ន្ធក្រុមសេវាកម្ម</t>
        </is>
      </c>
      <c r="H50" t="inlineStr">
        <is>
          <t>រចនាសម្ព័ន្ធក្រុមសេវាកម្ម</t>
        </is>
      </c>
      <c r="J50" s="217" t="inlineStr">
        <is>
          <t>"sorting.configService": "Configure service groups",</t>
        </is>
      </c>
    </row>
    <row r="51" ht="15.75" customHeight="1" s="305">
      <c r="A51" s="217" t="inlineStr">
        <is>
          <t>sorting.configSorting</t>
        </is>
      </c>
      <c r="B51" s="217" t="inlineStr">
        <is>
          <t>Cấu hình chia chọn</t>
        </is>
      </c>
      <c r="C51" s="217">
        <f>IFERROR(__xludf.DUMMYFUNCTION("GOOGLETRANSLATE(B51,""vi"",""en"")"),"Split configuration")</f>
        <v/>
      </c>
      <c r="D51" s="3">
        <f>IFERROR(__xludf.DUMMYFUNCTION("GOOGLETRANSLATE(B51,""vi"",""km"")"),"ការកំណត់រចនាសម្ព័ន្ធបំបែក")</f>
        <v/>
      </c>
      <c r="E51" s="3" t="inlineStr">
        <is>
          <t>រចនាសម្ព័ន្ធបែងចែក</t>
        </is>
      </c>
      <c r="F51" s="217" t="inlineStr">
        <is>
          <t>x</t>
        </is>
      </c>
      <c r="G51" s="217" t="inlineStr">
        <is>
          <t>រចនាសម្ព័ន្ធបែងចែក</t>
        </is>
      </c>
      <c r="H51" t="inlineStr">
        <is>
          <t>រចនាសម្ព័ន្ធបែងចែក</t>
        </is>
      </c>
      <c r="J51" s="217" t="inlineStr">
        <is>
          <t>"sorting.configSorting": "Split configuration",</t>
        </is>
      </c>
    </row>
    <row r="52" ht="15.75" customHeight="1" s="305">
      <c r="A52" s="217" t="inlineStr">
        <is>
          <t>sorting.listZone</t>
        </is>
      </c>
      <c r="B52" s="217" t="inlineStr">
        <is>
          <t>Danh sách tuyến</t>
        </is>
      </c>
      <c r="C52" s="217">
        <f>IFERROR(__xludf.DUMMYFUNCTION("GOOGLETRANSLATE(B52,""vi"",""en"")"),"Route list")</f>
        <v/>
      </c>
      <c r="D52" s="3">
        <f>IFERROR(__xludf.DUMMYFUNCTION("GOOGLETRANSLATE(B52,""vi"",""km"")"),"បញ្ជីផ្លូវ")</f>
        <v/>
      </c>
      <c r="E52" s="3" t="inlineStr">
        <is>
          <t>បញ្ជីផ្លូវដឹកជញ្ជូន</t>
        </is>
      </c>
      <c r="F52" s="217" t="inlineStr">
        <is>
          <t>x</t>
        </is>
      </c>
      <c r="G52" s="217" t="inlineStr">
        <is>
          <t>បញ្ជីផ្លូវដឹកជញ្ជូន</t>
        </is>
      </c>
      <c r="H52" t="inlineStr">
        <is>
          <t>បញ្ជីផ្លូវដឹកជញ្ជូន</t>
        </is>
      </c>
      <c r="J52" s="217" t="inlineStr">
        <is>
          <t>"sorting.listZone": "Route list",</t>
        </is>
      </c>
    </row>
    <row r="53" ht="15.75" customHeight="1" s="305">
      <c r="A53" s="217" t="inlineStr">
        <is>
          <t>sorting.createZone</t>
        </is>
      </c>
      <c r="B53" s="217" t="inlineStr">
        <is>
          <t>Thêm mới cấu hình</t>
        </is>
      </c>
      <c r="C53" s="217">
        <f>IFERROR(__xludf.DUMMYFUNCTION("GOOGLETRANSLATE(B53,""vi"",""en"")"),"Add a new configuration")</f>
        <v/>
      </c>
      <c r="D53" s="3">
        <f>IFERROR(__xludf.DUMMYFUNCTION("GOOGLETRANSLATE(B53,""vi"",""km"")"),"បន្ថែមការកំណត់រចនាសម្ព័ន្ធថ្មី")</f>
        <v/>
      </c>
      <c r="E53" s="3" t="inlineStr">
        <is>
          <t>បន្ថែមការកំណត់ថ្មី</t>
        </is>
      </c>
      <c r="F53" s="217" t="inlineStr">
        <is>
          <t>x</t>
        </is>
      </c>
      <c r="G53" s="217" t="inlineStr">
        <is>
          <t>បន្ថែមការកំណត់ថ្មី</t>
        </is>
      </c>
      <c r="H53" t="inlineStr">
        <is>
          <t>បន្ថែមការកំណត់ថ្មី</t>
        </is>
      </c>
      <c r="J53" s="217" t="inlineStr">
        <is>
          <t>"sorting.createZone": "Add a new configuration",</t>
        </is>
      </c>
    </row>
    <row r="54" ht="15.75" customHeight="1" s="305">
      <c r="A54" s="217" t="inlineStr">
        <is>
          <t>sorting.detailZone</t>
        </is>
      </c>
      <c r="B54" s="217" t="inlineStr">
        <is>
          <t>Thông tin cấu hình</t>
        </is>
      </c>
      <c r="C54" s="217">
        <f>IFERROR(__xludf.DUMMYFUNCTION("GOOGLETRANSLATE(B54,""vi"",""en"")"),"Configuration information")</f>
        <v/>
      </c>
      <c r="D54" s="3">
        <f>IFERROR(__xludf.DUMMYFUNCTION("GOOGLETRANSLATE(B54,""vi"",""km"")"),"ព័ត៌មានការកំណត់រចនាសម្ព័ន្ធ")</f>
        <v/>
      </c>
      <c r="E54" s="159" t="inlineStr">
        <is>
          <t>ព័ត៌មានទម្រង់</t>
        </is>
      </c>
      <c r="F54" s="217" t="inlineStr">
        <is>
          <t>x</t>
        </is>
      </c>
      <c r="G54" s="217" t="inlineStr">
        <is>
          <t>ព័ត៌មានទម្រង់</t>
        </is>
      </c>
      <c r="H54" t="inlineStr">
        <is>
          <t>ព័ត៌មានទម្រង់</t>
        </is>
      </c>
      <c r="J54" s="217" t="inlineStr">
        <is>
          <t>"sorting.detailZone": "Configuration information",</t>
        </is>
      </c>
    </row>
    <row r="55" ht="15.75" customHeight="1" s="305">
      <c r="A55" s="217" t="inlineStr">
        <is>
          <t>sorting.filterZone</t>
        </is>
      </c>
      <c r="B55" s="217" t="inlineStr">
        <is>
          <t>Nhập tên tuyến để tìm kiếm</t>
        </is>
      </c>
      <c r="C55" s="217">
        <f>IFERROR(__xludf.DUMMYFUNCTION("GOOGLETRANSLATE(B55,""vi"",""en"")"),"Enter the route name to search.")</f>
        <v/>
      </c>
      <c r="D55" s="3">
        <f>IFERROR(__xludf.DUMMYFUNCTION("GOOGLETRANSLATE(B55,""vi"",""km"")"),"បញ្ចូលឈ្មោះផ្លូវដើម្បីស្វែងរក។")</f>
        <v/>
      </c>
      <c r="E55" s="3" t="inlineStr">
        <is>
          <t>បញ្ចូលឈ្មោះផ្លូវដឹកជញ្ជូនដើម្បីស្វែងរក</t>
        </is>
      </c>
      <c r="F55" s="217" t="inlineStr">
        <is>
          <t>x</t>
        </is>
      </c>
      <c r="G55" s="217" t="inlineStr">
        <is>
          <t>បញ្ចូលឈ្មោះផ្លូវដឹកជញ្ជូនដើម្បីស្វែងរក</t>
        </is>
      </c>
      <c r="H55" t="inlineStr">
        <is>
          <t>បញ្ចូលឈ្មោះផ្លូវដឹកជញ្ជូនដើម្បីស្វែងរក</t>
        </is>
      </c>
      <c r="J55" s="217" t="inlineStr">
        <is>
          <t>"sorting.filterZone": "Enter the route name to search.",</t>
        </is>
      </c>
    </row>
    <row r="56" ht="15.75" customHeight="1" s="305">
      <c r="A56" s="217" t="inlineStr">
        <is>
          <t>sorting.listService</t>
        </is>
      </c>
      <c r="B56" s="217" t="inlineStr">
        <is>
          <t>Danh sách nhóm dịch vụ</t>
        </is>
      </c>
      <c r="C56" s="217">
        <f>IFERROR(__xludf.DUMMYFUNCTION("GOOGLETRANSLATE(B56,""vi"",""en"")"),"List of service groups")</f>
        <v/>
      </c>
      <c r="D56" s="3">
        <f>IFERROR(__xludf.DUMMYFUNCTION("GOOGLETRANSLATE(B56,""vi"",""km"")"),"បញ្ជីក្រុមសេវាកម្ម")</f>
        <v/>
      </c>
      <c r="E56" s="3" t="inlineStr">
        <is>
          <t>បញ្ជីក្រុមសេវាកម្ម</t>
        </is>
      </c>
      <c r="G56" s="217" t="inlineStr">
        <is>
          <t>បញ្ជីក្រុមសេវាកម្ម</t>
        </is>
      </c>
      <c r="H56" t="inlineStr">
        <is>
          <t>បញ្ជីក្រុមសេវាកម្ម</t>
        </is>
      </c>
      <c r="J56" s="217" t="inlineStr">
        <is>
          <t>"sorting.listService": "List of service groups",</t>
        </is>
      </c>
    </row>
    <row r="57" ht="15.75" customHeight="1" s="305">
      <c r="A57" s="217" t="inlineStr">
        <is>
          <t>sorting.createService</t>
        </is>
      </c>
      <c r="B57" s="217" t="inlineStr">
        <is>
          <t>Thêm mới nhóm dịch vụ</t>
        </is>
      </c>
      <c r="C57" s="217">
        <f>IFERROR(__xludf.DUMMYFUNCTION("GOOGLETRANSLATE(B57,""vi"",""en"")"),"Add a new service group.")</f>
        <v/>
      </c>
      <c r="D57" s="3">
        <f>IFERROR(__xludf.DUMMYFUNCTION("GOOGLETRANSLATE(B57,""vi"",""km"")"),"បន្ថែមក្រុមសេវាកម្មថ្មី។")</f>
        <v/>
      </c>
      <c r="E57" s="3" t="inlineStr">
        <is>
          <t>បន្ថែមក្រុមសេវាកម្ម</t>
        </is>
      </c>
      <c r="F57" s="217" t="inlineStr">
        <is>
          <t>v</t>
        </is>
      </c>
      <c r="G57" s="217" t="inlineStr">
        <is>
          <t>បន្ថែមក្រុមសេវាកម្ម</t>
        </is>
      </c>
      <c r="H57" t="inlineStr">
        <is>
          <t>បន្ថែមក្រុមសេវាកម្ម</t>
        </is>
      </c>
      <c r="J57" s="217" t="inlineStr">
        <is>
          <t>"sorting.createService": "Add a new service group.",</t>
        </is>
      </c>
    </row>
    <row r="58" ht="15.75" customHeight="1" s="305">
      <c r="A58" s="217" t="inlineStr">
        <is>
          <t>sorting.detailService</t>
        </is>
      </c>
      <c r="B58" s="217" t="inlineStr">
        <is>
          <t>Thông tin nhóm dịch vụ</t>
        </is>
      </c>
      <c r="C58" s="217">
        <f>IFERROR(__xludf.DUMMYFUNCTION("GOOGLETRANSLATE(B58,""vi"",""en"")"),"Service group information")</f>
        <v/>
      </c>
      <c r="D58" s="3">
        <f>IFERROR(__xludf.DUMMYFUNCTION("GOOGLETRANSLATE(B58,""vi"",""km"")"),"ព័ត៌មានក្រុមសេវាកម្ម")</f>
        <v/>
      </c>
      <c r="E58" s="3" t="inlineStr">
        <is>
          <t>ព័ត៌មានក្រុមសេវាកម្ម</t>
        </is>
      </c>
      <c r="F58" s="217" t="inlineStr">
        <is>
          <t>v</t>
        </is>
      </c>
      <c r="G58" s="217" t="inlineStr">
        <is>
          <t>ព័ត៌មានក្រុមសេវាកម្ម</t>
        </is>
      </c>
      <c r="H58" t="inlineStr">
        <is>
          <t>ព័ត៌មានក្រុមសេវាកម្ម</t>
        </is>
      </c>
      <c r="J58" s="217" t="inlineStr">
        <is>
          <t>"sorting.detailService": "Service group information",</t>
        </is>
      </c>
    </row>
    <row r="59" ht="15.75" customHeight="1" s="305">
      <c r="A59" s="217" t="inlineStr">
        <is>
          <t>sorting.filterService</t>
        </is>
      </c>
      <c r="B59" s="217" t="inlineStr">
        <is>
          <t>Nhập mã nhóm dịch vụ, tên dịch vụ để tìm kiếm</t>
        </is>
      </c>
      <c r="C59" s="217">
        <f>IFERROR(__xludf.DUMMYFUNCTION("GOOGLETRANSLATE(B59,""vi"",""en"")"),"Enter the service group code and service name to search.")</f>
        <v/>
      </c>
      <c r="D59" s="3">
        <f>IFERROR(__xludf.DUMMYFUNCTION("GOOGLETRANSLATE(B59,""vi"",""km"")"),"បញ្ចូលលេខកូដក្រុមសេវាកម្ម និងឈ្មោះសេវាកម្មដើម្បីស្វែងរក។")</f>
        <v/>
      </c>
      <c r="E59" s="3" t="inlineStr">
        <is>
          <t>បញ្ចូលកូដក្រុមសេវាកម្ម ឈ្មោះសេវាកម្មដេីម្បីស្វែងរក</t>
        </is>
      </c>
      <c r="F59" s="217" t="inlineStr">
        <is>
          <t>v</t>
        </is>
      </c>
      <c r="G59" s="217" t="inlineStr">
        <is>
          <t>បញ្ចូលកូដក្រុមសេវាកម្ម ឈ្មោះសេវាកម្មដេីម្បីស្វែងរក</t>
        </is>
      </c>
      <c r="H59" t="inlineStr">
        <is>
          <t>បញ្ចូលកូដក្រុមសេវាកម្ម ឈ្មោះសេវាកម្មដេីម្បីស្វែងរក</t>
        </is>
      </c>
      <c r="J59" s="217" t="inlineStr">
        <is>
          <t>"sorting.filterService": "Enter the service group code and service name to search.",</t>
        </is>
      </c>
    </row>
    <row r="60" ht="15.75" customHeight="1" s="305">
      <c r="A60" s="217" t="inlineStr">
        <is>
          <t>sorting.status</t>
        </is>
      </c>
      <c r="B60" s="217" t="inlineStr">
        <is>
          <t>Trạng thái</t>
        </is>
      </c>
      <c r="C60" s="217">
        <f>IFERROR(__xludf.DUMMYFUNCTION("GOOGLETRANSLATE(B60,""vi"",""en"")"),"Status")</f>
        <v/>
      </c>
      <c r="D60" s="3">
        <f>IFERROR(__xludf.DUMMYFUNCTION("GOOGLETRANSLATE(B60,""vi"",""km"")"),"ស្ថានភាព")</f>
        <v/>
      </c>
      <c r="E60" s="3" t="inlineStr">
        <is>
          <t>ស្ថានភាព</t>
        </is>
      </c>
      <c r="F60" s="217" t="inlineStr">
        <is>
          <t>v</t>
        </is>
      </c>
      <c r="G60" s="217" t="inlineStr">
        <is>
          <t>ស្ថានភាព</t>
        </is>
      </c>
      <c r="H60" t="inlineStr">
        <is>
          <t>ស្ថានភាព</t>
        </is>
      </c>
      <c r="J60" s="217" t="inlineStr">
        <is>
          <t>"sorting.status": "Status",</t>
        </is>
      </c>
    </row>
    <row r="61" ht="15.75" customHeight="1" s="305">
      <c r="A61" s="217" t="inlineStr">
        <is>
          <t>sorting.groupServiceName</t>
        </is>
      </c>
      <c r="B61" s="217" t="inlineStr">
        <is>
          <t>Tên nhóm dịch vụ</t>
        </is>
      </c>
      <c r="C61" s="217">
        <f>IFERROR(__xludf.DUMMYFUNCTION("GOOGLETRANSLATE(B61,""vi"",""en"")"),"Service group name")</f>
        <v/>
      </c>
      <c r="D61" s="3">
        <f>IFERROR(__xludf.DUMMYFUNCTION("GOOGLETRANSLATE(B61,""vi"",""km"")"),"ឈ្មោះក្រុមសេវាកម្ម")</f>
        <v/>
      </c>
      <c r="E61" s="3" t="inlineStr">
        <is>
          <t>ឈ្មោះក្រុមសេវាកម្ម</t>
        </is>
      </c>
      <c r="F61" s="217" t="inlineStr">
        <is>
          <t>v</t>
        </is>
      </c>
      <c r="G61" s="217" t="inlineStr">
        <is>
          <t>ឈ្មោះក្រុមសេវាកម្ម</t>
        </is>
      </c>
      <c r="H61" t="inlineStr">
        <is>
          <t>ឈ្មោះក្រុមសេវាកម្ម</t>
        </is>
      </c>
      <c r="J61" s="217" t="inlineStr">
        <is>
          <t>"sorting.groupServiceName": "Service group name",</t>
        </is>
      </c>
    </row>
    <row r="62" ht="15.75" customHeight="1" s="305">
      <c r="A62" s="217" t="inlineStr">
        <is>
          <t>sorting.updatedBy</t>
        </is>
      </c>
      <c r="B62" s="217" t="inlineStr">
        <is>
          <t>Người cập nhật</t>
        </is>
      </c>
      <c r="C62" s="217">
        <f>IFERROR(__xludf.DUMMYFUNCTION("GOOGLETRANSLATE(B62,""vi"",""en"")"),"Updater")</f>
        <v/>
      </c>
      <c r="D62" s="3">
        <f>IFERROR(__xludf.DUMMYFUNCTION("GOOGLETRANSLATE(B62,""vi"",""km"")"),"កម្មវិធីធ្វើបច្ចុប្បន្នភាព")</f>
        <v/>
      </c>
      <c r="E62" s="3" t="inlineStr">
        <is>
          <t>អ្នកអាប់ដេត</t>
        </is>
      </c>
      <c r="F62" s="217" t="inlineStr">
        <is>
          <t>x</t>
        </is>
      </c>
      <c r="G62" s="217" t="inlineStr">
        <is>
          <t>អ្នកអាប់ដេត</t>
        </is>
      </c>
      <c r="H62" t="inlineStr">
        <is>
          <t>អ្នកអាប់ដេត</t>
        </is>
      </c>
      <c r="J62" s="217" t="inlineStr">
        <is>
          <t>"sorting.updatedBy": "Updater",</t>
        </is>
      </c>
    </row>
    <row r="63" ht="15.75" customHeight="1" s="305">
      <c r="A63" s="217" t="inlineStr">
        <is>
          <t>sorting.updatedAt</t>
        </is>
      </c>
      <c r="B63" s="217" t="inlineStr">
        <is>
          <t>Ngày cập nhật</t>
        </is>
      </c>
      <c r="C63" s="217">
        <f>IFERROR(__xludf.DUMMYFUNCTION("GOOGLETRANSLATE(B63,""vi"",""en"")"),"Date updated")</f>
        <v/>
      </c>
      <c r="D63" s="3">
        <f>IFERROR(__xludf.DUMMYFUNCTION("GOOGLETRANSLATE(B63,""vi"",""km"")"),"កាលបរិច្ឆេទ​ដែលបានធ្វើបច្ចុប្បន្នភាព")</f>
        <v/>
      </c>
      <c r="E63" s="3" t="inlineStr">
        <is>
          <t>ថ្ងៃ្ងអាប់ដេត</t>
        </is>
      </c>
      <c r="F63" s="217" t="inlineStr">
        <is>
          <t>x</t>
        </is>
      </c>
      <c r="G63" s="217" t="inlineStr">
        <is>
          <t>ថ្ងៃ្ងអាប់ដេត</t>
        </is>
      </c>
      <c r="H63" t="inlineStr">
        <is>
          <t>ថ្ងៃ្ងអាប់ដេត</t>
        </is>
      </c>
      <c r="J63" s="217" t="inlineStr">
        <is>
          <t>"sorting.updatedAt": "Date updated",</t>
        </is>
      </c>
    </row>
    <row r="64" ht="15.75" customHeight="1" s="305">
      <c r="A64" s="217" t="inlineStr">
        <is>
          <t>sorting.update</t>
        </is>
      </c>
      <c r="B64" s="217" t="inlineStr">
        <is>
          <t>Cập nhật</t>
        </is>
      </c>
      <c r="C64" s="217">
        <f>IFERROR(__xludf.DUMMYFUNCTION("GOOGLETRANSLATE(B64,""vi"",""en"")"),"Update")</f>
        <v/>
      </c>
      <c r="D64" s="3">
        <f>IFERROR(__xludf.DUMMYFUNCTION("GOOGLETRANSLATE(B64,""vi"",""km"")"),"ធ្វើបច្ចុប្បន្នភាព")</f>
        <v/>
      </c>
      <c r="E64" s="3" t="inlineStr">
        <is>
          <t>អាប់ដេត</t>
        </is>
      </c>
      <c r="F64" s="217" t="inlineStr">
        <is>
          <t>x</t>
        </is>
      </c>
      <c r="G64" s="217" t="inlineStr">
        <is>
          <t>ធ្វើបច្ចុប្បន្នភាព</t>
        </is>
      </c>
      <c r="H64" t="inlineStr">
        <is>
          <t>ធ្វើបច្ចុប្បន្នភាព</t>
        </is>
      </c>
      <c r="J64" s="217" t="inlineStr">
        <is>
          <t>"sorting.update": "Update",</t>
        </is>
      </c>
      <c r="O64" s="3" t="n"/>
    </row>
    <row r="65" ht="15.75" customHeight="1" s="305">
      <c r="A65" s="217" t="inlineStr">
        <is>
          <t>sorting.lock</t>
        </is>
      </c>
      <c r="B65" s="217" t="inlineStr">
        <is>
          <t>Khoá</t>
        </is>
      </c>
      <c r="C65" s="217">
        <f>IFERROR(__xludf.DUMMYFUNCTION("GOOGLETRANSLATE(B65,""vi"",""en"")"),"Lock")</f>
        <v/>
      </c>
      <c r="D65" s="3">
        <f>IFERROR(__xludf.DUMMYFUNCTION("GOOGLETRANSLATE(B65,""vi"",""km"")"),"ចាក់សោ")</f>
        <v/>
      </c>
      <c r="E65" s="3" t="inlineStr">
        <is>
          <t>ចាក់សោរ</t>
        </is>
      </c>
      <c r="F65" s="217" t="inlineStr">
        <is>
          <t>v</t>
        </is>
      </c>
      <c r="G65" s="217" t="inlineStr">
        <is>
          <t>ចាក់សោ</t>
        </is>
      </c>
      <c r="H65" t="inlineStr">
        <is>
          <t>ចាក់សោ</t>
        </is>
      </c>
      <c r="J65" s="217" t="inlineStr">
        <is>
          <t>"sorting.lock": "Lock",</t>
        </is>
      </c>
    </row>
    <row r="66" ht="15.75" customHeight="1" s="305">
      <c r="A66" s="217" t="inlineStr">
        <is>
          <t>sorting.unlock</t>
        </is>
      </c>
      <c r="B66" s="217" t="inlineStr">
        <is>
          <t>Mở khoá</t>
        </is>
      </c>
      <c r="C66" s="217">
        <f>IFERROR(__xludf.DUMMYFUNCTION("GOOGLETRANSLATE(B66,""vi"",""en"")"),"Unlock")</f>
        <v/>
      </c>
      <c r="D66" s="3">
        <f>IFERROR(__xludf.DUMMYFUNCTION("GOOGLETRANSLATE(B66,""vi"",""km"")"),"ដោះសោ")</f>
        <v/>
      </c>
      <c r="E66" s="3" t="inlineStr">
        <is>
          <t>បេីកសោរ</t>
        </is>
      </c>
      <c r="F66" s="217" t="inlineStr">
        <is>
          <t>v</t>
        </is>
      </c>
      <c r="G66" s="217" t="inlineStr">
        <is>
          <t>ដោះសោ</t>
        </is>
      </c>
      <c r="H66" t="inlineStr">
        <is>
          <t>ដោះសោ</t>
        </is>
      </c>
      <c r="J66" s="217" t="inlineStr">
        <is>
          <t>"sorting.unlock": "Unlock",</t>
        </is>
      </c>
    </row>
    <row r="67" ht="15.75" customHeight="1" s="305">
      <c r="A67" s="217" t="inlineStr">
        <is>
          <t>sorting.confirmChangeStatus</t>
        </is>
      </c>
      <c r="B67" s="217" t="inlineStr">
        <is>
          <t>Quý khách có chắc chắn muốn {{status}} nhóm dịch vụ</t>
        </is>
      </c>
      <c r="C67" s="217">
        <f>IFERROR(__xludf.DUMMYFUNCTION("GOOGLETRANSLATE(B67,""vi"",""en"")"),"Are you sure you want {{status}} service group")</f>
        <v/>
      </c>
      <c r="D67" s="3">
        <f>IFERROR(__xludf.DUMMYFUNCTION("GOOGLETRANSLATE(B67,""vi"",""km"")"),"តើអ្នកពិតជាចង់បានក្រុមសេវាកម្ម {{status}} មែនទេ?")</f>
        <v/>
      </c>
      <c r="E67" s="3" t="inlineStr">
        <is>
          <t>អតិថិជនពិតជាចង់{{status}} ក្រុមសេវាកម្ម</t>
        </is>
      </c>
      <c r="F67" s="217" t="inlineStr">
        <is>
          <t>v</t>
        </is>
      </c>
      <c r="G67" s="217" t="inlineStr">
        <is>
          <t>អតិថិជនពិតជាចង់{{status}} ក្រុមសេវាកម្ម</t>
        </is>
      </c>
      <c r="H67" t="inlineStr">
        <is>
          <t>អតិថិជនពិតជាចង់{{status}} ក្រុមសេវាកម្ម</t>
        </is>
      </c>
      <c r="J67" s="217" t="inlineStr">
        <is>
          <t>"sorting.confirmChangeStatus": "Are you sure you want {{status}} service group",</t>
        </is>
      </c>
    </row>
    <row r="68" ht="15.75" customHeight="1" s="305">
      <c r="A68" s="217" t="inlineStr">
        <is>
          <t>sorting.nameService</t>
        </is>
      </c>
      <c r="B68" s="217" t="inlineStr">
        <is>
          <t>Tên nhóm dịch vụ</t>
        </is>
      </c>
      <c r="C68" s="217">
        <f>IFERROR(__xludf.DUMMYFUNCTION("GOOGLETRANSLATE(B68,""vi"",""en"")"),"Service group name")</f>
        <v/>
      </c>
      <c r="D68" s="3" t="inlineStr">
        <is>
          <t>ឈ្មោះក្រុមសេវាកម្ម</t>
        </is>
      </c>
      <c r="E68" s="3" t="inlineStr">
        <is>
          <t>ឈ្មោះក្រុមសេវាកម្ម</t>
        </is>
      </c>
      <c r="F68" s="217" t="inlineStr">
        <is>
          <t>v</t>
        </is>
      </c>
      <c r="G68" s="217" t="inlineStr">
        <is>
          <t>ឈ្មោះក្រុមសេវាកម្ម</t>
        </is>
      </c>
      <c r="H68" t="inlineStr">
        <is>
          <t>ឈ្មោះក្រុមសេវាកម្ម</t>
        </is>
      </c>
      <c r="J68" s="217" t="inlineStr">
        <is>
          <t>"sorting.nameService": "Service group name",</t>
        </is>
      </c>
    </row>
    <row r="69" ht="15.75" customHeight="1" s="305">
      <c r="A69" s="217" t="inlineStr">
        <is>
          <t>sorting.nameServicePlaceholder</t>
        </is>
      </c>
      <c r="B69" s="217" t="inlineStr">
        <is>
          <t>Nhập tên nhóm dịch vụ</t>
        </is>
      </c>
      <c r="C69" s="217">
        <f>IFERROR(__xludf.DUMMYFUNCTION("GOOGLETRANSLATE(B69,""vi"",""en"")"),"Enter the service group name")</f>
        <v/>
      </c>
      <c r="D69" s="3">
        <f>IFERROR(__xludf.DUMMYFUNCTION("GOOGLETRANSLATE(B69,""vi"",""km"")"),"បញ្ចូលឈ្មោះក្រុមសេវាកម្ម")</f>
        <v/>
      </c>
      <c r="E69" s="3" t="inlineStr">
        <is>
          <t>បញ្ចូលឈ្មោះក្រុមសេវាកម្ម</t>
        </is>
      </c>
      <c r="F69" s="217" t="inlineStr">
        <is>
          <t>v</t>
        </is>
      </c>
      <c r="G69" s="217" t="inlineStr">
        <is>
          <t>បញ្ចូលឈ្មោះក្រុមសេវាកម្ម</t>
        </is>
      </c>
      <c r="H69" t="inlineStr">
        <is>
          <t>បញ្ចូលឈ្មោះក្រុមសេវាកម្ម</t>
        </is>
      </c>
      <c r="J69" s="217" t="inlineStr">
        <is>
          <t>"sorting.nameServicePlaceholder": "Enter the service group name",</t>
        </is>
      </c>
    </row>
    <row r="70" ht="15.75" customHeight="1" s="305">
      <c r="A70" s="217" t="inlineStr">
        <is>
          <t>sorting.serviceOfGroup</t>
        </is>
      </c>
      <c r="B70" s="217" t="inlineStr">
        <is>
          <t>Danh sách dịch vụ trong nhóm</t>
        </is>
      </c>
      <c r="C70" s="217">
        <f>IFERROR(__xludf.DUMMYFUNCTION("GOOGLETRANSLATE(B70,""vi"",""en"")"),"List of services in the group")</f>
        <v/>
      </c>
      <c r="D70" s="3">
        <f>IFERROR(__xludf.DUMMYFUNCTION("GOOGLETRANSLATE(B70,""vi"",""km"")"),"បញ្ជីសេវាកម្មនៅក្នុងក្រុម")</f>
        <v/>
      </c>
      <c r="E70" s="3" t="inlineStr">
        <is>
          <t>បញ្ជីសេវាកម្មក្នុងក្រុម</t>
        </is>
      </c>
      <c r="F70" s="217" t="inlineStr">
        <is>
          <t>x</t>
        </is>
      </c>
      <c r="G70" s="217" t="inlineStr">
        <is>
          <t>បញ្ជីសេវាកម្មក្នុងក្រុម</t>
        </is>
      </c>
      <c r="H70" t="inlineStr">
        <is>
          <t>បញ្ជីសេវាកម្មក្នុងក្រុម</t>
        </is>
      </c>
      <c r="J70" s="217" t="inlineStr">
        <is>
          <t>"sorting.serviceOfGroup": "List of services in the group",</t>
        </is>
      </c>
    </row>
    <row r="71" ht="15.75" customHeight="1" s="305">
      <c r="A71" s="217" t="inlineStr">
        <is>
          <t>sorting.service</t>
        </is>
      </c>
      <c r="B71" s="217" t="inlineStr">
        <is>
          <t>Dịch vụ</t>
        </is>
      </c>
      <c r="C71" s="217">
        <f>IFERROR(__xludf.DUMMYFUNCTION("GOOGLETRANSLATE(B71,""vi"",""en"")"),"Service")</f>
        <v/>
      </c>
      <c r="D71" s="3">
        <f>IFERROR(__xludf.DUMMYFUNCTION("GOOGLETRANSLATE(B71,""vi"",""km"")"),"សេវាកម្ម")</f>
        <v/>
      </c>
      <c r="E71" s="3" t="inlineStr">
        <is>
          <t>សេវាកម្ម</t>
        </is>
      </c>
      <c r="F71" s="217" t="inlineStr">
        <is>
          <t>v</t>
        </is>
      </c>
      <c r="G71" s="217" t="inlineStr">
        <is>
          <t>សេវាកម្ម</t>
        </is>
      </c>
      <c r="H71" t="inlineStr">
        <is>
          <t>សេវាកម្ម</t>
        </is>
      </c>
      <c r="J71" s="217" t="inlineStr">
        <is>
          <t>"sorting.service": "Service",</t>
        </is>
      </c>
    </row>
    <row r="72" ht="15.75" customHeight="1" s="305">
      <c r="A72" s="217" t="inlineStr">
        <is>
          <t>sorting.servicePlaceholder</t>
        </is>
      </c>
      <c r="B72" s="217" t="inlineStr">
        <is>
          <t>Chọn dịch vụ</t>
        </is>
      </c>
      <c r="C72" s="217">
        <f>IFERROR(__xludf.DUMMYFUNCTION("GOOGLETRANSLATE(B72,""vi"",""en"")"),"Select a service")</f>
        <v/>
      </c>
      <c r="D72" s="3">
        <f>IFERROR(__xludf.DUMMYFUNCTION("GOOGLETRANSLATE(B72,""vi"",""km"")"),"ជ្រើសរើសសេវាកម្មមួយ")</f>
        <v/>
      </c>
      <c r="E72" s="3" t="inlineStr">
        <is>
          <t>ជ្រើសរើសសេវាកម្ម</t>
        </is>
      </c>
      <c r="F72" s="217" t="inlineStr">
        <is>
          <t>v</t>
        </is>
      </c>
      <c r="G72" s="217" t="inlineStr">
        <is>
          <t>ជ្រើសរើសសេវាកម្ម</t>
        </is>
      </c>
      <c r="H72" t="inlineStr">
        <is>
          <t>ជ្រើសរើសសេវាកម្ម</t>
        </is>
      </c>
      <c r="J72" s="217" t="inlineStr">
        <is>
          <t>"sorting.servicePlaceholder": "Select a service",</t>
        </is>
      </c>
    </row>
    <row r="73" ht="15.75" customHeight="1" s="305">
      <c r="A73" s="217" t="inlineStr">
        <is>
          <t>sorting.serviceCode</t>
        </is>
      </c>
      <c r="B73" s="217" t="inlineStr">
        <is>
          <t>Mã dịch vụ</t>
        </is>
      </c>
      <c r="C73" s="217">
        <f>IFERROR(__xludf.DUMMYFUNCTION("GOOGLETRANSLATE(B73,""vi"",""en"")"),"Service code")</f>
        <v/>
      </c>
      <c r="D73" s="3">
        <f>IFERROR(__xludf.DUMMYFUNCTION("GOOGLETRANSLATE(B73,""vi"",""km"")"),"លេខកូដសេវាកម្ម")</f>
        <v/>
      </c>
      <c r="E73" s="3" t="inlineStr">
        <is>
          <t>កូដសេវាកម្ម</t>
        </is>
      </c>
      <c r="F73" s="217" t="inlineStr">
        <is>
          <t>v</t>
        </is>
      </c>
      <c r="G73" s="217" t="inlineStr">
        <is>
          <t>កូដសេវាកម្ម</t>
        </is>
      </c>
      <c r="H73" t="inlineStr">
        <is>
          <t>កូដសេវាកម្ម</t>
        </is>
      </c>
      <c r="J73" s="217" t="inlineStr">
        <is>
          <t>"sorting.serviceCode": "Service code",</t>
        </is>
      </c>
    </row>
    <row r="74" ht="15.75" customHeight="1" s="305">
      <c r="A74" s="217" t="inlineStr">
        <is>
          <t>sorting.deleteService</t>
        </is>
      </c>
      <c r="B74" s="217" t="inlineStr">
        <is>
          <t>Quý khách có chắc chắn muốn xoá dịch vụ</t>
        </is>
      </c>
      <c r="C74" s="217">
        <f>IFERROR(__xludf.DUMMYFUNCTION("GOOGLETRANSLATE(B74,""vi"",""en"")"),"Are you sure you want to cancel the service?")</f>
        <v/>
      </c>
      <c r="D74" s="3">
        <f>IFERROR(__xludf.DUMMYFUNCTION("GOOGLETRANSLATE(B74,""vi"",""km"")"),"តើអ្នកពិតជាចង់លុបចោលសេវាកម្មមែនទេ?")</f>
        <v/>
      </c>
      <c r="E74" s="3" t="inlineStr">
        <is>
          <t>អតិថិជនពិតជាចង់លុបសេវាកម្មទេ?</t>
        </is>
      </c>
      <c r="F74" s="217" t="inlineStr">
        <is>
          <t>v</t>
        </is>
      </c>
      <c r="G74" s="217" t="inlineStr">
        <is>
          <t>អតិថិជនពិតជាចង់លុបសេវាកម្មទេ?</t>
        </is>
      </c>
      <c r="H74" t="inlineStr">
        <is>
          <t>អតិថិជនពិតជាចង់លុបសេវាកម្មទេ?</t>
        </is>
      </c>
      <c r="J74" s="217" t="inlineStr">
        <is>
          <t>"sorting.deleteService": "Are you sure you want to cancel the service?",</t>
        </is>
      </c>
    </row>
    <row r="75" ht="15.75" customHeight="1" s="305">
      <c r="A75" s="217" t="inlineStr">
        <is>
          <t>sorting.groupZone</t>
        </is>
      </c>
      <c r="B75" s="217" t="inlineStr">
        <is>
          <t>Tên cấu hình</t>
        </is>
      </c>
      <c r="C75" s="217">
        <f>IFERROR(__xludf.DUMMYFUNCTION("GOOGLETRANSLATE(B75,""vi"",""en"")"),"Configuration name")</f>
        <v/>
      </c>
      <c r="D75" s="3">
        <f>IFERROR(__xludf.DUMMYFUNCTION("GOOGLETRANSLATE(B75,""vi"",""km"")"),"ឈ្មោះ​ការកំណត់​រចនាសម្ព័ន្ធ")</f>
        <v/>
      </c>
      <c r="E75" s="3" t="inlineStr">
        <is>
          <t>ឈ្មោះទម្រង់</t>
        </is>
      </c>
      <c r="F75" s="217" t="inlineStr">
        <is>
          <t>x</t>
        </is>
      </c>
      <c r="G75" s="217" t="inlineStr">
        <is>
          <t>ឈ្មោះទម្រង់</t>
        </is>
      </c>
      <c r="H75" t="inlineStr">
        <is>
          <t>ឈ្មោះទម្រង់</t>
        </is>
      </c>
      <c r="J75" s="217" t="inlineStr">
        <is>
          <t>"sorting.groupZone": "Configuration name",</t>
        </is>
      </c>
    </row>
    <row r="76" ht="15.75" customHeight="1" s="305">
      <c r="A76" s="217" t="inlineStr">
        <is>
          <t>sorting.note</t>
        </is>
      </c>
      <c r="B76" s="217" t="inlineStr">
        <is>
          <t>Ghi chú</t>
        </is>
      </c>
      <c r="C76" s="217">
        <f>IFERROR(__xludf.DUMMYFUNCTION("GOOGLETRANSLATE(B76,""vi"",""en"")"),"Note")</f>
        <v/>
      </c>
      <c r="D76" s="3">
        <f>IFERROR(__xludf.DUMMYFUNCTION("GOOGLETRANSLATE(B76,""vi"",""km"")"),"កំណត់ចំណាំ")</f>
        <v/>
      </c>
      <c r="E76" s="3" t="inlineStr">
        <is>
          <t>កត់ចំណាំ</t>
        </is>
      </c>
      <c r="F76" s="217" t="inlineStr">
        <is>
          <t>v</t>
        </is>
      </c>
      <c r="G76" s="217" t="inlineStr">
        <is>
          <t>ចំណាំ</t>
        </is>
      </c>
      <c r="H76" t="inlineStr">
        <is>
          <t>ចំណាំ</t>
        </is>
      </c>
      <c r="J76" s="217" t="inlineStr">
        <is>
          <t>"sorting.note": "Note",</t>
        </is>
      </c>
    </row>
    <row r="77" ht="15.75" customHeight="1" s="305">
      <c r="A77" s="217" t="inlineStr">
        <is>
          <t>sorting.notePlaceholder</t>
        </is>
      </c>
      <c r="B77" s="217" t="inlineStr">
        <is>
          <t>Nhập ghi chú</t>
        </is>
      </c>
      <c r="C77" s="217">
        <f>IFERROR(__xludf.DUMMYFUNCTION("GOOGLETRANSLATE(B77,""vi"",""en"")"),"Enter notes")</f>
        <v/>
      </c>
      <c r="D77" s="3">
        <f>IFERROR(__xludf.DUMMYFUNCTION("GOOGLETRANSLATE(B77,""vi"",""km"")"),"បញ្ចូលកំណត់ចំណាំ")</f>
        <v/>
      </c>
      <c r="E77" s="3" t="inlineStr">
        <is>
          <t>បញ្ចូលការកត់ចំណាំ</t>
        </is>
      </c>
      <c r="F77" s="217" t="inlineStr">
        <is>
          <t>v</t>
        </is>
      </c>
      <c r="G77" s="217" t="inlineStr">
        <is>
          <t>បញ្ចូលការកត់ចំណាំ</t>
        </is>
      </c>
      <c r="H77" t="inlineStr">
        <is>
          <t>បញ្ចូលការកត់ចំណាំ</t>
        </is>
      </c>
      <c r="J77" s="217" t="inlineStr">
        <is>
          <t>"sorting.notePlaceholder": "Enter notes",</t>
        </is>
      </c>
    </row>
    <row r="78" ht="15.75" customHeight="1" s="305">
      <c r="A78" s="217" t="inlineStr">
        <is>
          <t>sorting.groupZonePlaceholder</t>
        </is>
      </c>
      <c r="B78" s="217" t="inlineStr">
        <is>
          <t>Nhập tên cấu hình</t>
        </is>
      </c>
      <c r="C78" s="217">
        <f>IFERROR(__xludf.DUMMYFUNCTION("GOOGLETRANSLATE(B78,""vi"",""en"")"),"Enter the configuration name")</f>
        <v/>
      </c>
      <c r="D78" s="3">
        <f>IFERROR(__xludf.DUMMYFUNCTION("GOOGLETRANSLATE(B78,""vi"",""km"")"),"បញ្ចូលឈ្មោះការកំណត់រចនាសម្ព័ន្ធ")</f>
        <v/>
      </c>
      <c r="E78" s="3" t="inlineStr">
        <is>
          <t>បញ្ចូលឈ្មោះទម្រង់</t>
        </is>
      </c>
      <c r="F78" s="217" t="inlineStr">
        <is>
          <t>x</t>
        </is>
      </c>
      <c r="G78" s="217" t="inlineStr">
        <is>
          <t>បញ្ចូលឈ្មោះទម្រង់</t>
        </is>
      </c>
      <c r="H78" t="inlineStr">
        <is>
          <t>បញ្ចូលឈ្មោះទម្រង់</t>
        </is>
      </c>
      <c r="J78" s="217" t="inlineStr">
        <is>
          <t>"sorting.groupZonePlaceholder": "Enter the configuration name",</t>
        </is>
      </c>
    </row>
    <row r="79" ht="15.75" customHeight="1" s="305">
      <c r="A79" s="217" t="inlineStr">
        <is>
          <t>sorting.zoneInfo</t>
        </is>
      </c>
      <c r="B79" s="217" t="inlineStr">
        <is>
          <t>Thông tin tuyến vùng đi, vùng đến</t>
        </is>
      </c>
      <c r="C79" s="217">
        <f>IFERROR(__xludf.DUMMYFUNCTION("GOOGLETRANSLATE(B79,""vi"",""en"")"),"Information on the departure and arrival routes.")</f>
        <v/>
      </c>
      <c r="D79" s="3">
        <f>IFERROR(__xludf.DUMMYFUNCTION("GOOGLETRANSLATE(B79,""vi"",""km"")"),"ព័ត៌មានអំពីផ្លូវចេញដំណើរ និងផ្លូវមកដល់។")</f>
        <v/>
      </c>
      <c r="E79" s="3" t="inlineStr">
        <is>
          <t>ព័ត៌មានផ្លូវទៅកាន់តំបន់ចេញទៅ មកដល់</t>
        </is>
      </c>
      <c r="F79" s="217" t="inlineStr">
        <is>
          <t>x</t>
        </is>
      </c>
      <c r="G79" s="217" t="inlineStr">
        <is>
          <t>ព័ត៌មានផ្លូវទៅកាន់តំបន់ចេញទៅ មកដល់</t>
        </is>
      </c>
      <c r="H79" t="inlineStr">
        <is>
          <t>ព័ត៌មានផ្លូវទៅកាន់តំបន់ចេញទៅ មកដល់</t>
        </is>
      </c>
      <c r="J79" s="217" t="inlineStr">
        <is>
          <t>"sorting.zoneInfo": "Information on the departure and arrival routes.",</t>
        </is>
      </c>
    </row>
    <row r="80" ht="15.75" customHeight="1" s="305">
      <c r="A80" s="217" t="inlineStr">
        <is>
          <t>sorting.listDetailZone</t>
        </is>
      </c>
      <c r="B80" s="217" t="inlineStr">
        <is>
          <t>Danh sách chi tiết vùng đi, vùng đến</t>
        </is>
      </c>
      <c r="C80" s="217">
        <f>IFERROR(__xludf.DUMMYFUNCTION("GOOGLETRANSLATE(B80,""vi"",""en"")"),"Detailed list of departure and arrival areas")</f>
        <v/>
      </c>
      <c r="D80" s="3">
        <f>IFERROR(__xludf.DUMMYFUNCTION("GOOGLETRANSLATE(B80,""vi"",""km"")"),"បញ្ជីលម្អិតនៃតំបន់ចេញដំណើរ និងមកដល់")</f>
        <v/>
      </c>
      <c r="E80" s="3" t="inlineStr">
        <is>
          <t>បញ្ជីលម្អិតពីតំបន់ទៅ មកដល់</t>
        </is>
      </c>
      <c r="F80" s="217" t="inlineStr">
        <is>
          <t>x</t>
        </is>
      </c>
      <c r="G80" s="217" t="inlineStr">
        <is>
          <t>បញ្ជីលម្អិតពីតំបន់ទៅ មកដល់</t>
        </is>
      </c>
      <c r="H80" t="inlineStr">
        <is>
          <t>បញ្ជីលម្អិតពីតំបន់ទៅ មកដល់</t>
        </is>
      </c>
      <c r="J80" s="217" t="inlineStr">
        <is>
          <t>"sorting.listDetailZone": "Detailed list of departure and arrival areas",</t>
        </is>
      </c>
    </row>
    <row r="81" ht="15.75" customHeight="1" s="305">
      <c r="A81" s="217" t="inlineStr">
        <is>
          <t>sorting.ACTIVE</t>
        </is>
      </c>
      <c r="B81" s="217" t="inlineStr">
        <is>
          <t>Hiệu lực</t>
        </is>
      </c>
      <c r="C81" s="217">
        <f>IFERROR(__xludf.DUMMYFUNCTION("GOOGLETRANSLATE(B81,""vi"",""en"")"),"Validity")</f>
        <v/>
      </c>
      <c r="D81" s="3">
        <f>IFERROR(__xludf.DUMMYFUNCTION("GOOGLETRANSLATE(B81,""vi"",""km"")"),"សុពលភាព")</f>
        <v/>
      </c>
      <c r="E81" s="3" t="inlineStr">
        <is>
          <t>សុពលភាព</t>
        </is>
      </c>
      <c r="F81" s="217" t="inlineStr">
        <is>
          <t>v</t>
        </is>
      </c>
      <c r="G81" s="217" t="inlineStr">
        <is>
          <t>សកម្ម</t>
        </is>
      </c>
      <c r="H81" t="inlineStr">
        <is>
          <t>សកម្ម</t>
        </is>
      </c>
      <c r="J81" s="217" t="inlineStr">
        <is>
          <t>"sorting.ACTIVE": "Validity",</t>
        </is>
      </c>
    </row>
    <row r="82" ht="15.75" customHeight="1" s="305">
      <c r="A82" s="217" t="inlineStr">
        <is>
          <t>sorting.INACTIVE</t>
        </is>
      </c>
      <c r="B82" s="217" t="inlineStr">
        <is>
          <t>Hết hiệu lực</t>
        </is>
      </c>
      <c r="C82" s="217">
        <f>IFERROR(__xludf.DUMMYFUNCTION("GOOGLETRANSLATE(B82,""vi"",""en"")"),"Expire")</f>
        <v/>
      </c>
      <c r="D82" s="3">
        <f>IFERROR(__xludf.DUMMYFUNCTION("GOOGLETRANSLATE(B82,""vi"",""km"")"),"ផុតកំណត់")</f>
        <v/>
      </c>
      <c r="E82" s="3" t="inlineStr">
        <is>
          <t>ផុតសុពលភាព</t>
        </is>
      </c>
      <c r="F82" s="217" t="inlineStr">
        <is>
          <t>v</t>
        </is>
      </c>
      <c r="G82" s="217" t="inlineStr">
        <is>
          <t>អសកម្ម</t>
        </is>
      </c>
      <c r="H82" t="inlineStr">
        <is>
          <t>អសកម្ម</t>
        </is>
      </c>
      <c r="J82" s="217" t="inlineStr">
        <is>
          <t>"sorting.INACTIVE": "Expire",</t>
        </is>
      </c>
    </row>
    <row r="83" ht="15.75" customHeight="1" s="305">
      <c r="A83" s="217" t="inlineStr">
        <is>
          <t>sorting.createServiceGroup</t>
        </is>
      </c>
      <c r="B83" s="217" t="inlineStr">
        <is>
          <t>Thêm mới nhóm dịch vụ thành công!</t>
        </is>
      </c>
      <c r="C83" s="217">
        <f>IFERROR(__xludf.DUMMYFUNCTION("GOOGLETRANSLATE(B83,""vi"",""en"")"),"New service group added successfully!")</f>
        <v/>
      </c>
      <c r="D83" s="3">
        <f>IFERROR(__xludf.DUMMYFUNCTION("GOOGLETRANSLATE(B83,""vi"",""km"")"),"បានបន្ថែមក្រុមសេវាកម្មថ្មីដោយជោគជ័យ!")</f>
        <v/>
      </c>
      <c r="E83" s="3" t="inlineStr">
        <is>
          <t>បន្ថែមក្រុមសេវាកម្មបានជោគជ័យ</t>
        </is>
      </c>
      <c r="F83" s="217" t="inlineStr">
        <is>
          <t>x</t>
        </is>
      </c>
      <c r="G83" s="217" t="inlineStr">
        <is>
          <t>បន្ថែមក្រុមសេវាកម្មបានជោគជ័យ</t>
        </is>
      </c>
      <c r="H83" t="inlineStr">
        <is>
          <t>បន្ថែមក្រុមសេវាកម្មបានជោគជ័យ</t>
        </is>
      </c>
      <c r="J83" s="217" t="inlineStr">
        <is>
          <t>"sorting.createServiceGroup": "New service group added successfully!",</t>
        </is>
      </c>
    </row>
    <row r="84" ht="15.75" customHeight="1" s="305">
      <c r="A84" s="217" t="inlineStr">
        <is>
          <t>sorting.createServiceGroupFail</t>
        </is>
      </c>
      <c r="B84" s="217" t="inlineStr">
        <is>
          <t>Thêm mới nhóm dịch vụ thất bại</t>
        </is>
      </c>
      <c r="C84" s="217">
        <f>IFERROR(__xludf.DUMMYFUNCTION("GOOGLETRANSLATE(B84,""vi"",""en"")"),"Add a new group of failed services.")</f>
        <v/>
      </c>
      <c r="D84" s="3">
        <f>IFERROR(__xludf.DUMMYFUNCTION("GOOGLETRANSLATE(B84,""vi"",""km"")"),"បន្ថែមក្រុមសេវាកម្មដែលបរាជ័យថ្មីមួយ។")</f>
        <v/>
      </c>
      <c r="E84" s="3" t="inlineStr">
        <is>
          <t>បន្ថែមក្រុមសេវាកម្មបរាជ័យ</t>
        </is>
      </c>
      <c r="F84" s="217" t="inlineStr">
        <is>
          <t>x</t>
        </is>
      </c>
      <c r="G84" s="217" t="inlineStr">
        <is>
          <t>បន្ថែមក្រុមសេវាកម្មបរាជ័យ</t>
        </is>
      </c>
      <c r="H84" t="inlineStr">
        <is>
          <t>បន្ថែមក្រុមសេវាកម្មបរាជ័យ</t>
        </is>
      </c>
      <c r="J84" s="217" t="inlineStr">
        <is>
          <t>"sorting.createServiceGroupFail": "Add a new group of failed services.",</t>
        </is>
      </c>
    </row>
    <row r="85" ht="15.75" customHeight="1" s="305">
      <c r="A85" s="217" t="inlineStr">
        <is>
          <t>sorting.updateServiceGroup</t>
        </is>
      </c>
      <c r="B85" s="217" t="inlineStr">
        <is>
          <t>Cập nhật thông tin thành công!</t>
        </is>
      </c>
      <c r="C85" s="217">
        <f>IFERROR(__xludf.DUMMYFUNCTION("GOOGLETRANSLATE(B85,""vi"",""en"")"),"Information updated successfully!")</f>
        <v/>
      </c>
      <c r="D85" s="3">
        <f>IFERROR(__xludf.DUMMYFUNCTION("GOOGLETRANSLATE(B85,""vi"",""km"")"),"ព័ត៌មានត្រូវបានធ្វើបច្ចុប្បន្នភាពដោយជោគជ័យ!")</f>
        <v/>
      </c>
      <c r="E85" s="3" t="inlineStr">
        <is>
          <t>អាប់ដេតព័ត៌មានបានជោគជ័យ</t>
        </is>
      </c>
      <c r="F85" s="217" t="inlineStr">
        <is>
          <t>x</t>
        </is>
      </c>
      <c r="G85" s="217" t="inlineStr">
        <is>
          <t>អាប់ដេតព័ត៌មានបានជោគជ័យ</t>
        </is>
      </c>
      <c r="H85" t="inlineStr">
        <is>
          <t>អាប់ដេតព័ត៌មានបានជោគជ័យ</t>
        </is>
      </c>
      <c r="J85" s="217" t="inlineStr">
        <is>
          <t>"sorting.updateServiceGroup": "Information updated successfully!",</t>
        </is>
      </c>
    </row>
    <row r="86" ht="15.75" customHeight="1" s="305">
      <c r="A86" s="217" t="inlineStr">
        <is>
          <t>sorting.updateServiceGroupFail</t>
        </is>
      </c>
      <c r="B86" s="217" t="inlineStr">
        <is>
          <t>Cập nhật thông tin thất bại</t>
        </is>
      </c>
      <c r="C86" s="217">
        <f>IFERROR(__xludf.DUMMYFUNCTION("GOOGLETRANSLATE(B86,""vi"",""en"")"),"Update failure information")</f>
        <v/>
      </c>
      <c r="D86" s="3">
        <f>IFERROR(__xludf.DUMMYFUNCTION("GOOGLETRANSLATE(B86,""vi"",""km"")"),"ធ្វើបច្ចុប្បន្នភាពព័ត៌មានអំពីការបរាជ័យ")</f>
        <v/>
      </c>
      <c r="E86" s="3" t="inlineStr">
        <is>
          <t>អាប់ដេតព័ត៌មានបរាជ័យ</t>
        </is>
      </c>
      <c r="F86" s="217" t="inlineStr">
        <is>
          <t>x</t>
        </is>
      </c>
      <c r="G86" s="217" t="inlineStr">
        <is>
          <t>អាប់ដេតព័ត៌មានបរាជ័យ</t>
        </is>
      </c>
      <c r="H86" t="inlineStr">
        <is>
          <t>អាប់ដេតព័ត៌មានបរាជ័យ</t>
        </is>
      </c>
      <c r="J86" s="217" t="inlineStr">
        <is>
          <t>"sorting.updateServiceGroupFail": "Update failure information",</t>
        </is>
      </c>
    </row>
    <row r="87" ht="15.75" customHeight="1" s="305">
      <c r="A87" s="217" t="inlineStr">
        <is>
          <t>sorting.deliveryZoneType</t>
        </is>
      </c>
      <c r="B87" s="217" t="inlineStr">
        <is>
          <t>Loại vùng đến</t>
        </is>
      </c>
      <c r="C87" s="217">
        <f>IFERROR(__xludf.DUMMYFUNCTION("GOOGLETRANSLATE(B87,""vi"",""en"")"),"Type of destination")</f>
        <v/>
      </c>
      <c r="D87" s="3">
        <f>IFERROR(__xludf.DUMMYFUNCTION("GOOGLETRANSLATE(B87,""vi"",""km"")"),"ប្រភេទ​គោលដៅ")</f>
        <v/>
      </c>
      <c r="E87" s="3" t="inlineStr">
        <is>
          <t>ប្រភេទតំបន់ទៅដល់</t>
        </is>
      </c>
      <c r="F87" s="217" t="inlineStr">
        <is>
          <t>v</t>
        </is>
      </c>
      <c r="G87" s="217" t="inlineStr">
        <is>
          <t>ប្រភេទតំបន់ទៅដល់</t>
        </is>
      </c>
      <c r="H87" t="inlineStr">
        <is>
          <t>ប្រភេទតំបន់ទៅដល់</t>
        </is>
      </c>
      <c r="J87" s="217" t="inlineStr">
        <is>
          <t>"sorting.deliveryZoneType": "Type of destination",</t>
        </is>
      </c>
      <c r="O87" s="217" t="inlineStr">
        <is>
          <t>ប្រភេទទីតាំងដឹកជញ្ជូន</t>
        </is>
      </c>
    </row>
    <row r="88" ht="15.75" customHeight="1" s="305">
      <c r="A88" s="217" t="inlineStr">
        <is>
          <t>sorting.receivingZoneType</t>
        </is>
      </c>
      <c r="B88" s="217" t="inlineStr">
        <is>
          <t>Loại vùng đi</t>
        </is>
      </c>
      <c r="C88" s="217">
        <f>IFERROR(__xludf.DUMMYFUNCTION("GOOGLETRANSLATE(B88,""vi"",""en"")"),"Type of travel area")</f>
        <v/>
      </c>
      <c r="D88" s="3">
        <f>IFERROR(__xludf.DUMMYFUNCTION("GOOGLETRANSLATE(B88,""vi"",""km"")"),"ប្រភេទតំបន់ទេសចរណ៍")</f>
        <v/>
      </c>
      <c r="E88" s="3" t="inlineStr">
        <is>
          <t>ប្រភេទតំបន់មកដល់</t>
        </is>
      </c>
      <c r="F88" s="217" t="inlineStr">
        <is>
          <t>v</t>
        </is>
      </c>
      <c r="G88" s="217" t="inlineStr">
        <is>
          <t>ប្រភេទតំបន់មកដល់</t>
        </is>
      </c>
      <c r="H88" t="inlineStr">
        <is>
          <t>ប្រភេទតំបន់មកដល់</t>
        </is>
      </c>
      <c r="J88" s="217" t="inlineStr">
        <is>
          <t>"sorting.receivingZoneType": "Type of travel area",</t>
        </is>
      </c>
      <c r="O88" s="217" t="inlineStr">
        <is>
          <t>ប្រភេទតំបន់ធ្វើដំណើរ</t>
        </is>
      </c>
    </row>
    <row r="89" ht="15.75" customHeight="1" s="305">
      <c r="A89" s="217" t="inlineStr">
        <is>
          <t>sorting.deliveryZone</t>
        </is>
      </c>
      <c r="B89" s="217" t="inlineStr">
        <is>
          <t>Vùng đến</t>
        </is>
      </c>
      <c r="C89" s="217">
        <f>IFERROR(__xludf.DUMMYFUNCTION("GOOGLETRANSLATE(B89,""vi"",""en"")"),"Destination area")</f>
        <v/>
      </c>
      <c r="D89" s="3">
        <f>IFERROR(__xludf.DUMMYFUNCTION("GOOGLETRANSLATE(B89,""vi"",""km"")"),"តំបន់គោលដៅ")</f>
        <v/>
      </c>
      <c r="E89" s="3" t="inlineStr">
        <is>
          <t>តំបន់មកដល់</t>
        </is>
      </c>
      <c r="F89" s="217" t="inlineStr">
        <is>
          <t>v</t>
        </is>
      </c>
      <c r="G89" s="217" t="inlineStr">
        <is>
          <t>តំបន់មកដល់</t>
        </is>
      </c>
      <c r="H89" t="inlineStr">
        <is>
          <t>តំបន់មកដល់</t>
        </is>
      </c>
      <c r="J89" s="217" t="inlineStr">
        <is>
          <t>"sorting.deliveryZone": "Destination area",</t>
        </is>
      </c>
      <c r="O89" s="217" t="inlineStr">
        <is>
          <t>ទីតាំងគោលដៅ</t>
        </is>
      </c>
    </row>
    <row r="90" ht="15.75" customHeight="1" s="305">
      <c r="A90" s="217" t="inlineStr">
        <is>
          <t>sorting.receivingZone</t>
        </is>
      </c>
      <c r="B90" s="217" t="inlineStr">
        <is>
          <t>Vùng đi</t>
        </is>
      </c>
      <c r="C90" s="217">
        <f>IFERROR(__xludf.DUMMYFUNCTION("GOOGLETRANSLATE(B90,""vi"",""en"")"),"Travel area")</f>
        <v/>
      </c>
      <c r="D90" s="3">
        <f>IFERROR(__xludf.DUMMYFUNCTION("GOOGLETRANSLATE(B90,""vi"",""km"")"),"តំបន់ធ្វើដំណើរ")</f>
        <v/>
      </c>
      <c r="E90" s="3" t="inlineStr">
        <is>
          <t>តំបន់ទៅ</t>
        </is>
      </c>
      <c r="F90" s="217" t="inlineStr">
        <is>
          <t>v</t>
        </is>
      </c>
      <c r="G90" s="217" t="inlineStr">
        <is>
          <t>តំបន់ទៅ</t>
        </is>
      </c>
      <c r="H90" t="inlineStr">
        <is>
          <t>តំបន់ទៅ</t>
        </is>
      </c>
      <c r="J90" s="217" t="inlineStr">
        <is>
          <t>"sorting.receivingZone": "Travel area",</t>
        </is>
      </c>
      <c r="O90" s="217" t="inlineStr">
        <is>
          <t>ទីតាំងធ្វេីដំណេីរ</t>
        </is>
      </c>
    </row>
    <row r="91" ht="15.75" customHeight="1" s="305">
      <c r="A91" s="217" t="inlineStr">
        <is>
          <t>sorting.addServiceSuccess</t>
        </is>
      </c>
      <c r="B91" s="217" t="inlineStr">
        <is>
          <t>Thêm dịch vụ vào nhóm dịch vụ thành công</t>
        </is>
      </c>
      <c r="C91" s="217">
        <f>IFERROR(__xludf.DUMMYFUNCTION("GOOGLETRANSLATE(B91,""vi"",""en"")"),"Service added to service group successfully.")</f>
        <v/>
      </c>
      <c r="D91" s="3">
        <f>IFERROR(__xludf.DUMMYFUNCTION("GOOGLETRANSLATE(B91,""vi"",""km"")"),"សេវាកម្មត្រូវបានបន្ថែមទៅក្រុមសេវាកម្មដោយជោគជ័យ។")</f>
        <v/>
      </c>
      <c r="E91" s="3" t="inlineStr">
        <is>
          <t>បន្ថែមសេវាកម្មក្នុងក្រុមសេវាកម្មបានជោគជ័យ</t>
        </is>
      </c>
      <c r="F91" s="217" t="inlineStr">
        <is>
          <t>v</t>
        </is>
      </c>
      <c r="G91" s="217" t="inlineStr">
        <is>
          <t>បន្ថែមសេវាកម្មក្នុងក្រុមសេវាកម្មបានជោគជ័យ</t>
        </is>
      </c>
      <c r="H91" t="inlineStr">
        <is>
          <t>បន្ថែមសេវាកម្មក្នុងក្រុមសេវាកម្មបានជោគជ័យ</t>
        </is>
      </c>
      <c r="J91" s="217" t="inlineStr">
        <is>
          <t>"sorting.addServiceSuccess": "Service added to service group successfully.",</t>
        </is>
      </c>
    </row>
    <row r="92" ht="15.75" customHeight="1" s="305">
      <c r="A92" s="217" t="inlineStr">
        <is>
          <t>sorting.addServiceFail</t>
        </is>
      </c>
      <c r="B92" s="217" t="inlineStr">
        <is>
          <t>Thêm dịch vụ vào nhóm dịch vụ thất bại</t>
        </is>
      </c>
      <c r="C92" s="217">
        <f>IFERROR(__xludf.DUMMYFUNCTION("GOOGLETRANSLATE(B92,""vi"",""en"")"),"Adding a service to a service group failed.")</f>
        <v/>
      </c>
      <c r="D92" s="3">
        <f>IFERROR(__xludf.DUMMYFUNCTION("GOOGLETRANSLATE(B92,""vi"",""km"")"),"ការបន្ថែមសេវាកម្មទៅក្នុងក្រុមសេវាកម្មបានបរាជ័យ។")</f>
        <v/>
      </c>
      <c r="E92" s="3" t="inlineStr">
        <is>
          <t>បន្ថែមសេវាកម្មក្នុងក្រុមសេវាកម្មបរាជ័យ</t>
        </is>
      </c>
      <c r="F92" s="217" t="inlineStr">
        <is>
          <t>v</t>
        </is>
      </c>
      <c r="G92" s="217" t="inlineStr">
        <is>
          <t>បន្ថែមសេវាកម្មក្នុងក្រុមសេវាកម្មបរាជ័យ</t>
        </is>
      </c>
      <c r="H92" t="inlineStr">
        <is>
          <t>បន្ថែមសេវាកម្មក្នុងក្រុមសេវាកម្មបរាជ័យ</t>
        </is>
      </c>
      <c r="J92" s="217" t="inlineStr">
        <is>
          <t>"sorting.addServiceFail": "Adding a service to a service group failed.",</t>
        </is>
      </c>
    </row>
    <row r="93" ht="15.75" customHeight="1" s="305">
      <c r="A93" s="217" t="inlineStr">
        <is>
          <t>sorting.deleteServiceSuccess</t>
        </is>
      </c>
      <c r="B93" s="217" t="inlineStr">
        <is>
          <t>Loại bỏ dịch vụ thành công</t>
        </is>
      </c>
      <c r="C93" s="217">
        <f>IFERROR(__xludf.DUMMYFUNCTION("GOOGLETRANSLATE(B93,""vi"",""en"")"),"Service removed successfully.")</f>
        <v/>
      </c>
      <c r="D93" s="3">
        <f>IFERROR(__xludf.DUMMYFUNCTION("GOOGLETRANSLATE(B93,""vi"",""km"")"),"សេវាកម្មត្រូវបានដកចេញដោយជោគជ័យ។")</f>
        <v/>
      </c>
      <c r="E93" s="3" t="inlineStr">
        <is>
          <t>បោះបង់ប្រភេទសេវាកម្មបានជោគជ័យ</t>
        </is>
      </c>
      <c r="F93" s="217" t="inlineStr">
        <is>
          <t>v</t>
        </is>
      </c>
      <c r="G93" s="217" t="inlineStr">
        <is>
          <t>បោះបង់ប្រភេទសេវាកម្មបានជោគជ័យ</t>
        </is>
      </c>
      <c r="H93" t="inlineStr">
        <is>
          <t>បោះបង់ប្រភេទសេវាកម្មបានជោគជ័យ</t>
        </is>
      </c>
      <c r="J93" s="217" t="inlineStr">
        <is>
          <t>"sorting.deleteServiceSuccess": "Service removed successfully.",</t>
        </is>
      </c>
    </row>
    <row r="94" ht="15.75" customHeight="1" s="305">
      <c r="A94" s="217" t="inlineStr">
        <is>
          <t>sorting.deleteServiceFail</t>
        </is>
      </c>
      <c r="B94" s="217" t="inlineStr">
        <is>
          <t>Loại bỏ dịch vụ thất bại</t>
        </is>
      </c>
      <c r="C94" s="217">
        <f>IFERROR(__xludf.DUMMYFUNCTION("GOOGLETRANSLATE(B94,""vi"",""en"")"),"Eliminate failed services")</f>
        <v/>
      </c>
      <c r="D94" s="3">
        <f>IFERROR(__xludf.DUMMYFUNCTION("GOOGLETRANSLATE(B94,""vi"",""km"")"),"លុបសេវាកម្មដែលបរាជ័យ")</f>
        <v/>
      </c>
      <c r="E94" s="3" t="inlineStr">
        <is>
          <t>បោះបង់ប្រភេទសេវាកម្មបរាជ័យ</t>
        </is>
      </c>
      <c r="F94" s="217" t="inlineStr">
        <is>
          <t>v</t>
        </is>
      </c>
      <c r="G94" s="217" t="inlineStr">
        <is>
          <t>បោះបង់ប្រភេទសេវាកម្មបរាជ័យ</t>
        </is>
      </c>
      <c r="H94" t="inlineStr">
        <is>
          <t>បោះបង់ប្រភេទសេវាកម្មបរាជ័យ</t>
        </is>
      </c>
      <c r="J94" s="217" t="inlineStr">
        <is>
          <t>"sorting.deleteServiceFail": "Eliminate failed services",</t>
        </is>
      </c>
    </row>
    <row r="95" ht="15.75" customHeight="1" s="305">
      <c r="A95" s="217" t="inlineStr">
        <is>
          <t>sorting.updateSuccess</t>
        </is>
      </c>
      <c r="B95" s="217" t="inlineStr">
        <is>
          <t>Cập nhật thông tin thành công!</t>
        </is>
      </c>
      <c r="C95" s="217">
        <f>IFERROR(__xludf.DUMMYFUNCTION("GOOGLETRANSLATE(B95,""vi"",""en"")"),"Information updated successfully!")</f>
        <v/>
      </c>
      <c r="D95" s="3">
        <f>IFERROR(__xludf.DUMMYFUNCTION("GOOGLETRANSLATE(B95,""vi"",""km"")"),"ព័ត៌មានត្រូវបានធ្វើបច្ចុប្បន្នភាពដោយជោគជ័យ!")</f>
        <v/>
      </c>
      <c r="E95" s="3" t="inlineStr">
        <is>
          <t>អាប់ដេតព័ត៌មានបានជោគជ័យ!</t>
        </is>
      </c>
      <c r="F95" s="217" t="inlineStr">
        <is>
          <t>v</t>
        </is>
      </c>
      <c r="G95" s="217" t="inlineStr">
        <is>
          <t>អាប់ដេតព័ត៌មានបានជោគជ័យ!</t>
        </is>
      </c>
      <c r="H95" t="inlineStr">
        <is>
          <t>អាប់ដេតព័ត៌មានបានជោគជ័យ!</t>
        </is>
      </c>
      <c r="J95" s="217" t="inlineStr">
        <is>
          <t>"sorting.updateSuccess": "Information updated successfully!",</t>
        </is>
      </c>
    </row>
    <row r="96" ht="15.75" customHeight="1" s="305">
      <c r="A96" s="217" t="inlineStr">
        <is>
          <t>sorting.emptyNameZone</t>
        </is>
      </c>
      <c r="B96" s="217" t="inlineStr">
        <is>
          <t>Vui lòng nhập tên cấu hình vùng đi, đến</t>
        </is>
      </c>
      <c r="C96" s="217">
        <f>IFERROR(__xludf.DUMMYFUNCTION("GOOGLETRANSLATE(B96,""vi"",""en"")"),"Please enter the name of the departure and arrival zones.")</f>
        <v/>
      </c>
      <c r="D96" s="3">
        <f>IFERROR(__xludf.DUMMYFUNCTION("GOOGLETRANSLATE(B96,""vi"",""km"")"),"សូមបញ្ចូលឈ្មោះតំបន់ចេញដំណើរ និងតំបន់មកដល់។")</f>
        <v/>
      </c>
      <c r="E96" s="3" t="inlineStr">
        <is>
          <t>សូមបញ្ចូលឈ្មោះរចនាសម្ព័ន្ធតំបន់ចេញទៅ មកដល់</t>
        </is>
      </c>
      <c r="F96" s="217" t="inlineStr">
        <is>
          <t>x</t>
        </is>
      </c>
      <c r="G96" s="217" t="inlineStr">
        <is>
          <t>សូមបញ្ចូលឈ្មោះរចនាសម្ព័ន្ធតំបន់ចេញទៅ មកដល់</t>
        </is>
      </c>
      <c r="H96" t="inlineStr">
        <is>
          <t>សូមបញ្ចូលឈ្មោះរចនាសម្ព័ន្ធតំបន់ចេញទៅ មកដល់</t>
        </is>
      </c>
      <c r="J96" s="217" t="inlineStr">
        <is>
          <t>"sorting.emptyNameZone": "Please enter the name of the departure and arrival zones.",</t>
        </is>
      </c>
    </row>
    <row r="97" ht="15.75" customHeight="1" s="305">
      <c r="A97" s="217" t="inlineStr">
        <is>
          <t>sorting.createConfigZone</t>
        </is>
      </c>
      <c r="B97" s="217" t="inlineStr">
        <is>
          <t>Thêm mới cấu hình thành công!</t>
        </is>
      </c>
      <c r="C97" s="217">
        <f>IFERROR(__xludf.DUMMYFUNCTION("GOOGLETRANSLATE(B97,""vi"",""en"")"),"New configuration added successfully!")</f>
        <v/>
      </c>
      <c r="D97" s="3">
        <f>IFERROR(__xludf.DUMMYFUNCTION("GOOGLETRANSLATE(B97,""vi"",""km"")"),"បានបន្ថែមការកំណត់រចនាសម្ព័ន្ធថ្មីដោយជោគជ័យ!")</f>
        <v/>
      </c>
      <c r="E97" s="3" t="inlineStr">
        <is>
          <t>បន្ថែមរចនាសម្ព័ន្ធថ្មីបានជោគជ័យ!</t>
        </is>
      </c>
      <c r="F97" s="217" t="inlineStr">
        <is>
          <t>x</t>
        </is>
      </c>
      <c r="G97" s="217" t="inlineStr">
        <is>
          <t>បន្ថែមរចនាសម្ព័ន្ធថ្មីបានជោគជ័យ!</t>
        </is>
      </c>
      <c r="H97" t="inlineStr">
        <is>
          <t>បន្ថែមរចនាសម្ព័ន្ធថ្មីបានជោគជ័យ!</t>
        </is>
      </c>
      <c r="J97" s="217" t="inlineStr">
        <is>
          <t>"sorting.createConfigZone": "New configuration added successfully!",</t>
        </is>
      </c>
    </row>
    <row r="98" ht="15.75" customHeight="1" s="305">
      <c r="A98" s="217" t="inlineStr">
        <is>
          <t>sorting.updateConfigZone</t>
        </is>
      </c>
      <c r="B98" s="217" t="inlineStr">
        <is>
          <t>Cập nhật cấu hình thành công</t>
        </is>
      </c>
      <c r="C98" s="217">
        <f>IFERROR(__xludf.DUMMYFUNCTION("GOOGLETRANSLATE(B98,""vi"",""en"")"),"Configuration update successful")</f>
        <v/>
      </c>
      <c r="D98" s="3">
        <f>IFERROR(__xludf.DUMMYFUNCTION("GOOGLETRANSLATE(B98,""vi"",""km"")"),"ការអាប់ដេតការកំណត់រចនាសម្ព័ន្ធបានជោគជ័យ")</f>
        <v/>
      </c>
      <c r="E98" s="3" t="inlineStr">
        <is>
          <t>អាប់ដេតរចនាសម្ព័ន្ធបានជោគជ័យ!</t>
        </is>
      </c>
      <c r="F98" s="217" t="inlineStr">
        <is>
          <t>x</t>
        </is>
      </c>
      <c r="G98" s="217" t="inlineStr">
        <is>
          <t>អាប់ដេតរចនាសម្ព័ន្ធបានជោគជ័យ!</t>
        </is>
      </c>
      <c r="H98" t="inlineStr">
        <is>
          <t>អាប់ដេតរចនាសម្ព័ន្ធបានជោគជ័យ!</t>
        </is>
      </c>
      <c r="J98" s="217" t="inlineStr">
        <is>
          <t>"sorting.updateConfigZone": "Configuration update successful",</t>
        </is>
      </c>
    </row>
    <row r="99" ht="15.75" customHeight="1" s="305">
      <c r="A99" s="217" t="inlineStr">
        <is>
          <t>sorting.selectReceivingZone</t>
        </is>
      </c>
      <c r="B99" s="217" t="inlineStr">
        <is>
          <t>Chọn vùng đi</t>
        </is>
      </c>
      <c r="C99" s="217">
        <f>IFERROR(__xludf.DUMMYFUNCTION("GOOGLETRANSLATE(B99,""vi"",""en"")"),"Choose your destination area")</f>
        <v/>
      </c>
      <c r="D99" s="3">
        <f>IFERROR(__xludf.DUMMYFUNCTION("GOOGLETRANSLATE(B99,""vi"",""km"")"),"ជ្រើសរើសតំបន់គោលដៅរបស់អ្នក")</f>
        <v/>
      </c>
      <c r="E99" s="3" t="inlineStr">
        <is>
          <t>ជ្រេីសរេីសទីតាំងតំបន់ចេញទៅ</t>
        </is>
      </c>
      <c r="F99" s="217" t="inlineStr">
        <is>
          <t>v</t>
        </is>
      </c>
      <c r="G99" s="217" t="inlineStr">
        <is>
          <t>ជ្រើសរើសទីតាំងតំបន់ចេញទៅ</t>
        </is>
      </c>
      <c r="H99" t="inlineStr">
        <is>
          <t>ជ្រើសរើសទីតាំងតំបន់ចេញទៅ</t>
        </is>
      </c>
      <c r="J99" s="217" t="inlineStr">
        <is>
          <t>"sorting.selectReceivingZone": "Choose your destination area",</t>
        </is>
      </c>
    </row>
    <row r="100" ht="15.75" customHeight="1" s="305">
      <c r="A100" s="217" t="inlineStr">
        <is>
          <t>sorting.selectDeliveryZone</t>
        </is>
      </c>
      <c r="B100" s="217" t="inlineStr">
        <is>
          <t>Chọn vùng đến</t>
        </is>
      </c>
      <c r="C100" s="217">
        <f>IFERROR(__xludf.DUMMYFUNCTION("GOOGLETRANSLATE(B100,""vi"",""en"")"),"Select destination")</f>
        <v/>
      </c>
      <c r="D100" s="3">
        <f>IFERROR(__xludf.DUMMYFUNCTION("GOOGLETRANSLATE(B100,""vi"",""km"")"),"ជ្រើសរើសគោលដៅ")</f>
        <v/>
      </c>
      <c r="E100" s="3" t="inlineStr">
        <is>
          <t>ជ្រេីសរេីសទីតាំងតំបន់មកដល់</t>
        </is>
      </c>
      <c r="F100" s="217" t="inlineStr">
        <is>
          <t>v</t>
        </is>
      </c>
      <c r="G100" s="217" t="inlineStr">
        <is>
          <t>ជ្រើសរើសទីតាំងតំបន់មកដល់</t>
        </is>
      </c>
      <c r="H100" t="inlineStr">
        <is>
          <t>ជ្រើសរើសទីតាំងតំបន់មកដល់</t>
        </is>
      </c>
      <c r="J100" s="217" t="inlineStr">
        <is>
          <t>"sorting.selectDeliveryZone": "Select destination",</t>
        </is>
      </c>
    </row>
    <row r="101" ht="15.75" customHeight="1" s="305">
      <c r="A101" s="217" t="inlineStr">
        <is>
          <t>sorting.quantity</t>
        </is>
      </c>
      <c r="B101" s="217" t="inlineStr">
        <is>
          <t>Số lượng</t>
        </is>
      </c>
      <c r="C101" s="217">
        <f>IFERROR(__xludf.DUMMYFUNCTION("GOOGLETRANSLATE(B101,""vi"",""en"")"),"Quantity")</f>
        <v/>
      </c>
      <c r="D101" s="3">
        <f>IFERROR(__xludf.DUMMYFUNCTION("GOOGLETRANSLATE(B101,""vi"",""km"")"),"បរិមាណ")</f>
        <v/>
      </c>
      <c r="E101" s="3" t="inlineStr">
        <is>
          <t>ចំនួន</t>
        </is>
      </c>
      <c r="F101" s="217" t="inlineStr">
        <is>
          <t>v</t>
        </is>
      </c>
      <c r="G101" s="217" t="inlineStr">
        <is>
          <t>ចំនួន</t>
        </is>
      </c>
      <c r="H101" t="inlineStr">
        <is>
          <t>ចំនួន</t>
        </is>
      </c>
      <c r="J101" s="217" t="inlineStr">
        <is>
          <t>"sorting.quantity": "Quantity",</t>
        </is>
      </c>
    </row>
    <row r="102" ht="15.75" customHeight="1" s="305">
      <c r="A102" s="217" t="inlineStr">
        <is>
          <t>sorting.receivingListZone</t>
        </is>
      </c>
      <c r="B102" s="217" t="inlineStr">
        <is>
          <t>Danh sách vùng đi</t>
        </is>
      </c>
      <c r="C102" s="217">
        <f>IFERROR(__xludf.DUMMYFUNCTION("GOOGLETRANSLATE(B102,""vi"",""en"")"),"List of travel areas")</f>
        <v/>
      </c>
      <c r="D102" s="3">
        <f>IFERROR(__xludf.DUMMYFUNCTION("GOOGLETRANSLATE(B102,""vi"",""km"")"),"បញ្ជីតំបន់ទេសចរណ៍")</f>
        <v/>
      </c>
      <c r="E102" s="3" t="inlineStr">
        <is>
          <t>បញ្ជីឈ្មោះតំបន់ទៅ</t>
        </is>
      </c>
      <c r="F102" s="217" t="inlineStr">
        <is>
          <t>v</t>
        </is>
      </c>
      <c r="G102" s="217" t="inlineStr">
        <is>
          <t>បញ្ជីឈ្មោះតំបន់ទៅ</t>
        </is>
      </c>
      <c r="H102" t="inlineStr">
        <is>
          <t>បញ្ជីឈ្មោះតំបន់ទៅ</t>
        </is>
      </c>
      <c r="J102" s="217" t="inlineStr">
        <is>
          <t>"sorting.receivingListZone": "List of travel areas",</t>
        </is>
      </c>
    </row>
    <row r="103" ht="15.75" customHeight="1" s="305">
      <c r="A103" s="217" t="inlineStr">
        <is>
          <t>sorting.deliveryListZone</t>
        </is>
      </c>
      <c r="B103" s="217" t="inlineStr">
        <is>
          <t>Danh sách vùng đến</t>
        </is>
      </c>
      <c r="C103" s="217">
        <f>IFERROR(__xludf.DUMMYFUNCTION("GOOGLETRANSLATE(B103,""vi"",""en"")"),"List of destinations")</f>
        <v/>
      </c>
      <c r="D103" s="3">
        <f>IFERROR(__xludf.DUMMYFUNCTION("GOOGLETRANSLATE(B103,""vi"",""km"")"),"បញ្ជីគោលដៅ")</f>
        <v/>
      </c>
      <c r="E103" s="3" t="inlineStr">
        <is>
          <t>បញ្ជីឈ្មោះតំបន់មកដល់</t>
        </is>
      </c>
      <c r="F103" s="217" t="inlineStr">
        <is>
          <t>v</t>
        </is>
      </c>
      <c r="G103" s="217" t="inlineStr">
        <is>
          <t>បញ្ជីឈ្មោះតំបន់មកដល់</t>
        </is>
      </c>
      <c r="H103" t="inlineStr">
        <is>
          <t>បញ្ជីឈ្មោះតំបន់មកដល់</t>
        </is>
      </c>
      <c r="J103" s="217" t="inlineStr">
        <is>
          <t>"sorting.deliveryListZone": "List of destinations",</t>
        </is>
      </c>
    </row>
    <row r="104" ht="15.75" customHeight="1" s="305">
      <c r="A104" s="217" t="inlineStr">
        <is>
          <t>sorting.updateAt</t>
        </is>
      </c>
      <c r="B104" s="217" t="inlineStr">
        <is>
          <t>Ngày tác động</t>
        </is>
      </c>
      <c r="C104" s="217">
        <f>IFERROR(__xludf.DUMMYFUNCTION("GOOGLETRANSLATE(B104,""vi"",""en"")"),"Impact date")</f>
        <v/>
      </c>
      <c r="D104" s="3">
        <f>IFERROR(__xludf.DUMMYFUNCTION("GOOGLETRANSLATE(B104,""vi"",""km"")"),"កាលបរិច្ឆេទនៃផលប៉ះពាល់")</f>
        <v/>
      </c>
      <c r="E104" s="159" t="inlineStr">
        <is>
          <t>ថ្ងៃកែសម្រួល</t>
        </is>
      </c>
      <c r="F104" s="217" t="inlineStr">
        <is>
          <t>x</t>
        </is>
      </c>
      <c r="G104" s="217" t="inlineStr">
        <is>
          <t>ថ្ងៃកែសម្រួល</t>
        </is>
      </c>
      <c r="H104" t="inlineStr">
        <is>
          <t>ថ្ងៃកែសម្រួល</t>
        </is>
      </c>
      <c r="J104" s="217" t="inlineStr">
        <is>
          <t>"sorting.updateAt": "Impact date",</t>
        </is>
      </c>
    </row>
    <row r="105" ht="15.75" customHeight="1" s="305">
      <c r="A105" s="217" t="inlineStr">
        <is>
          <t>sorting.confirmChangeStatusZone</t>
        </is>
      </c>
      <c r="B105" s="217" t="inlineStr">
        <is>
          <t>Quý khách có chắc chắn muốn {{status}} tuyến</t>
        </is>
      </c>
      <c r="C105" s="217">
        <f>IFERROR(__xludf.DUMMYFUNCTION("GOOGLETRANSLATE(B105,""vi"",""en"")"),"Are you sure you want the {{status}} route?")</f>
        <v/>
      </c>
      <c r="D105" s="3">
        <f>IFERROR(__xludf.DUMMYFUNCTION("GOOGLETRANSLATE(B105,""vi"",""km"")"),"តើអ្នកពិតជាចង់បានផ្លូវ {{status}} មែនទេ?")</f>
        <v/>
      </c>
      <c r="E105" s="3" t="inlineStr">
        <is>
          <t>តើអតិថិជនពិតជាចង់ {{status}} ផ្លូវដឹកជញ្ជូន</t>
        </is>
      </c>
      <c r="F105" s="217" t="inlineStr">
        <is>
          <t>x</t>
        </is>
      </c>
      <c r="G105" s="217" t="inlineStr">
        <is>
          <t>តើអតិថិជនពិតជាចង់ {{status}} ផ្លូវដឹកជញ្ជូន</t>
        </is>
      </c>
      <c r="H105" t="inlineStr">
        <is>
          <t>តើអតិថិជនពិតជាចង់ {{status}} ផ្លូវដឹកជញ្ជូន</t>
        </is>
      </c>
      <c r="J105" s="217" t="inlineStr">
        <is>
          <t>"sorting.confirmChangeStatusZone": "Are you sure you want the {{status}} route?",</t>
        </is>
      </c>
    </row>
    <row r="106" ht="15.75" customHeight="1" s="305">
      <c r="A106" s="217" t="inlineStr">
        <is>
          <t>sorting.listConfigSorting</t>
        </is>
      </c>
      <c r="B106" s="217" t="inlineStr">
        <is>
          <t>Danh sách tuyến chia chọn</t>
        </is>
      </c>
      <c r="C106" s="217">
        <f>IFERROR(__xludf.DUMMYFUNCTION("GOOGLETRANSLATE(B106,""vi"",""en"")"),"Route selection list")</f>
        <v/>
      </c>
      <c r="D106" s="3">
        <f>IFERROR(__xludf.DUMMYFUNCTION("GOOGLETRANSLATE(B106,""vi"",""km"")"),"បញ្ជីជម្រើសផ្លូវ")</f>
        <v/>
      </c>
      <c r="E106" s="3" t="inlineStr">
        <is>
          <t>បញ្ជីផ្លូ្លវដែលបានបែងចែក</t>
        </is>
      </c>
      <c r="F106" s="217" t="inlineStr">
        <is>
          <t>x</t>
        </is>
      </c>
      <c r="G106" s="217" t="inlineStr">
        <is>
          <t>បញ្ជីផ្លូ្លវដែលបានបែងចែក</t>
        </is>
      </c>
      <c r="H106" t="inlineStr">
        <is>
          <t>បញ្ជីផ្លូ្លវដែលបានបែងចែក</t>
        </is>
      </c>
      <c r="J106" s="217" t="inlineStr">
        <is>
          <t>"sorting.listConfigSorting": "Route selection list",</t>
        </is>
      </c>
    </row>
    <row r="107" ht="15.75" customHeight="1" s="305">
      <c r="A107" s="217" t="inlineStr">
        <is>
          <t>sorting.createSorting</t>
        </is>
      </c>
      <c r="B107" s="217" t="inlineStr">
        <is>
          <t>Thêm mới cấu hình</t>
        </is>
      </c>
      <c r="C107" s="217">
        <f>IFERROR(__xludf.DUMMYFUNCTION("GOOGLETRANSLATE(B107,""vi"",""en"")"),"Add a new configuration")</f>
        <v/>
      </c>
      <c r="D107" s="3">
        <f>IFERROR(__xludf.DUMMYFUNCTION("GOOGLETRANSLATE(B107,""vi"",""km"")"),"បន្ថែមការកំណត់រចនាសម្ព័ន្ធថ្មី")</f>
        <v/>
      </c>
      <c r="E107" s="3" t="inlineStr">
        <is>
          <t>បន្ថែមទម្រង់ថ្មី</t>
        </is>
      </c>
      <c r="F107" s="217" t="inlineStr">
        <is>
          <t>x</t>
        </is>
      </c>
      <c r="G107" s="217" t="inlineStr">
        <is>
          <t>បន្ថែមការកំណត់ថ្មី</t>
        </is>
      </c>
      <c r="H107" t="inlineStr">
        <is>
          <t>បន្ថែមការកំណត់ថ្មី</t>
        </is>
      </c>
      <c r="J107" s="217" t="inlineStr">
        <is>
          <t>"sorting.createSorting": "Add a new configuration",</t>
        </is>
      </c>
    </row>
    <row r="108" ht="15.75" customHeight="1" s="305">
      <c r="A108" s="217" t="inlineStr">
        <is>
          <t>sorting.detailSorting</t>
        </is>
      </c>
      <c r="B108" s="217" t="inlineStr">
        <is>
          <t>Thông tin cấu hình</t>
        </is>
      </c>
      <c r="C108" s="217">
        <f>IFERROR(__xludf.DUMMYFUNCTION("GOOGLETRANSLATE(B108,""vi"",""en"")"),"Configuration information")</f>
        <v/>
      </c>
      <c r="D108" s="3">
        <f>IFERROR(__xludf.DUMMYFUNCTION("GOOGLETRANSLATE(B108,""vi"",""km"")"),"ព័ត៌មានការកំណត់រចនាសម្ព័ន្ធ")</f>
        <v/>
      </c>
      <c r="E108" s="3" t="inlineStr">
        <is>
          <t>ព័ត៌មានទម្រង់</t>
        </is>
      </c>
      <c r="F108" s="217" t="inlineStr">
        <is>
          <t>x</t>
        </is>
      </c>
      <c r="G108" s="217" t="inlineStr">
        <is>
          <t>ព័ត៌មានទម្រង់</t>
        </is>
      </c>
      <c r="H108" t="inlineStr">
        <is>
          <t>ព័ត៌មានទម្រង់</t>
        </is>
      </c>
      <c r="J108" s="217" t="inlineStr">
        <is>
          <t>"sorting.detailSorting": "Configuration information",</t>
        </is>
      </c>
      <c r="O108" s="217" t="inlineStr">
        <is>
          <t>ព័ត៌មានកំណែទម្រង់</t>
        </is>
      </c>
    </row>
    <row r="109" ht="15.75" customHeight="1" s="305">
      <c r="A109" s="217" t="inlineStr">
        <is>
          <t>sorting.parcelType</t>
        </is>
      </c>
      <c r="B109" s="217" t="inlineStr">
        <is>
          <t>Loại hàng hoá</t>
        </is>
      </c>
      <c r="C109" s="217">
        <f>IFERROR(__xludf.DUMMYFUNCTION("GOOGLETRANSLATE(B109,""vi"",""en"")"),"Type of goods")</f>
        <v/>
      </c>
      <c r="D109" s="3">
        <f>IFERROR(__xludf.DUMMYFUNCTION("GOOGLETRANSLATE(B109,""vi"",""km"")"),"ប្រភេទទំនិញ")</f>
        <v/>
      </c>
      <c r="E109" s="3" t="inlineStr">
        <is>
          <t>ប្រភេទទំនិញ</t>
        </is>
      </c>
      <c r="F109" s="217" t="inlineStr">
        <is>
          <t>v</t>
        </is>
      </c>
      <c r="G109" s="217" t="inlineStr">
        <is>
          <t>ប្រភេទទំនិញ</t>
        </is>
      </c>
      <c r="H109" t="inlineStr">
        <is>
          <t>ប្រភេទទំនិញ</t>
        </is>
      </c>
      <c r="J109" s="217" t="inlineStr">
        <is>
          <t>"sorting.parcelType": "Type of goods",</t>
        </is>
      </c>
    </row>
    <row r="110" ht="15.75" customHeight="1" s="305">
      <c r="A110" s="217" t="inlineStr">
        <is>
          <t>sorting.GOODS</t>
        </is>
      </c>
      <c r="B110" s="217" t="inlineStr">
        <is>
          <t>Hàng nhỏ</t>
        </is>
      </c>
      <c r="C110" s="217">
        <f>IFERROR(__xludf.DUMMYFUNCTION("GOOGLETRANSLATE(B110,""vi"",""en"")"),"Small items")</f>
        <v/>
      </c>
      <c r="D110" s="3">
        <f>IFERROR(__xludf.DUMMYFUNCTION("GOOGLETRANSLATE(B110,""vi"",""km"")"),"របស់របរតូចៗ")</f>
        <v/>
      </c>
      <c r="E110" s="3" t="inlineStr">
        <is>
          <t>អីវ៉ាន់តូចៗ</t>
        </is>
      </c>
      <c r="F110" s="217" t="inlineStr">
        <is>
          <t>v</t>
        </is>
      </c>
      <c r="G110" s="217" t="inlineStr">
        <is>
          <t>អីវ៉ាន់តូចៗ</t>
        </is>
      </c>
      <c r="H110" t="inlineStr">
        <is>
          <t>អីវ៉ាន់តូចៗ</t>
        </is>
      </c>
      <c r="J110" s="217" t="inlineStr">
        <is>
          <t>"sorting.GOODS": "Small items",</t>
        </is>
      </c>
    </row>
    <row r="111" ht="15.75" customHeight="1" s="305">
      <c r="A111" s="217" t="inlineStr">
        <is>
          <t>sorting.DOCUMENT</t>
        </is>
      </c>
      <c r="B111" s="217" t="inlineStr">
        <is>
          <t>Thư</t>
        </is>
      </c>
      <c r="C111" s="217">
        <f>IFERROR(__xludf.DUMMYFUNCTION("GOOGLETRANSLATE(B111,""vi"",""en"")"),"Letters")</f>
        <v/>
      </c>
      <c r="D111" s="3">
        <f>IFERROR(__xludf.DUMMYFUNCTION("GOOGLETRANSLATE(B111,""vi"",""km"")"),"សំបុត្រ")</f>
        <v/>
      </c>
      <c r="E111" s="3" t="inlineStr">
        <is>
          <t>ឯកសារ</t>
        </is>
      </c>
      <c r="F111" s="217" t="inlineStr">
        <is>
          <t>v</t>
        </is>
      </c>
      <c r="G111" s="217" t="inlineStr">
        <is>
          <t>ឯកសារ</t>
        </is>
      </c>
      <c r="H111" t="inlineStr">
        <is>
          <t>ឯកសារ</t>
        </is>
      </c>
      <c r="J111" s="217" t="inlineStr">
        <is>
          <t>"sorting.DOCUMENT": "Letters",</t>
        </is>
      </c>
    </row>
    <row r="112" ht="15.75" customHeight="1" s="305">
      <c r="A112" s="217" t="inlineStr">
        <is>
          <t>sorting.groupService</t>
        </is>
      </c>
      <c r="B112" s="217" t="inlineStr">
        <is>
          <t>Nhóm dịch vụ</t>
        </is>
      </c>
      <c r="C112" s="217">
        <f>IFERROR(__xludf.DUMMYFUNCTION("GOOGLETRANSLATE(B112,""vi"",""en"")"),"Service Group")</f>
        <v/>
      </c>
      <c r="D112" s="3">
        <f>IFERROR(__xludf.DUMMYFUNCTION("GOOGLETRANSLATE(B112,""vi"",""km"")"),"ក្រុមសេវាកម្ម")</f>
        <v/>
      </c>
      <c r="E112" s="3" t="inlineStr">
        <is>
          <t>ក្រុមសេវាកម្ម</t>
        </is>
      </c>
      <c r="F112" s="217" t="inlineStr">
        <is>
          <t>v</t>
        </is>
      </c>
      <c r="G112" s="217" t="inlineStr">
        <is>
          <t>ក្រុមសេវាកម្ម</t>
        </is>
      </c>
      <c r="H112" t="inlineStr">
        <is>
          <t>ក្រុមសេវាកម្ម</t>
        </is>
      </c>
      <c r="J112" s="217" t="inlineStr">
        <is>
          <t>"sorting.groupService": "Service Group",</t>
        </is>
      </c>
    </row>
    <row r="113" ht="15.75" customHeight="1" s="305">
      <c r="A113" s="217" t="inlineStr">
        <is>
          <t>sorting.zone</t>
        </is>
      </c>
      <c r="B113" s="217" t="inlineStr">
        <is>
          <t>Vùng đi - vùng đến</t>
        </is>
      </c>
      <c r="C113" s="217">
        <f>IFERROR(__xludf.DUMMYFUNCTION("GOOGLETRANSLATE(B113,""vi"",""en"")"),"Origin zone - destination zone")</f>
        <v/>
      </c>
      <c r="D113" s="3">
        <f>IFERROR(__xludf.DUMMYFUNCTION("GOOGLETRANSLATE(B113,""vi"",""km"")"),"តំបន់ដើម - តំបន់គោលដៅ")</f>
        <v/>
      </c>
      <c r="E113" s="3" t="inlineStr">
        <is>
          <t>តំបន់ចេញទៅ - តំបន់មមកដល់</t>
        </is>
      </c>
      <c r="F113" s="217" t="inlineStr">
        <is>
          <t>v</t>
        </is>
      </c>
      <c r="G113" s="217" t="inlineStr">
        <is>
          <t>តំបន់ចេញទៅ - តំបន់មមកដល់</t>
        </is>
      </c>
      <c r="H113" t="inlineStr">
        <is>
          <t>តំបន់ចេញទៅ - តំបន់មមកដល់</t>
        </is>
      </c>
      <c r="J113" s="217" t="inlineStr">
        <is>
          <t>"sorting.zone": "Origin zone - destination zone",</t>
        </is>
      </c>
    </row>
    <row r="114" ht="15.75" customHeight="1" s="305">
      <c r="A114" s="217" t="inlineStr">
        <is>
          <t>sorting.configName</t>
        </is>
      </c>
      <c r="B114" s="217" t="inlineStr">
        <is>
          <t>Tên cấu hình</t>
        </is>
      </c>
      <c r="C114" s="217">
        <f>IFERROR(__xludf.DUMMYFUNCTION("GOOGLETRANSLATE(B114,""vi"",""en"")"),"Configuration name")</f>
        <v/>
      </c>
      <c r="D114" s="3">
        <f>IFERROR(__xludf.DUMMYFUNCTION("GOOGLETRANSLATE(B114,""vi"",""km"")"),"ឈ្មោះ​ការកំណត់​រចនាសម្ព័ន្ធ")</f>
        <v/>
      </c>
      <c r="E114" s="3" t="inlineStr">
        <is>
          <t>ឈ្មោះទម្រង់</t>
        </is>
      </c>
      <c r="F114" s="217" t="inlineStr">
        <is>
          <t>x</t>
        </is>
      </c>
      <c r="G114" s="217" t="inlineStr">
        <is>
          <t>ឈ្មោះទម្រង់</t>
        </is>
      </c>
      <c r="H114" t="inlineStr">
        <is>
          <t>ឈ្មោះទម្រង់</t>
        </is>
      </c>
      <c r="J114" s="217" t="inlineStr">
        <is>
          <t>"sorting.configName": "Configuration name",</t>
        </is>
      </c>
    </row>
    <row r="115" ht="15.75" customHeight="1" s="305">
      <c r="A115" s="217" t="inlineStr">
        <is>
          <t>sorting.destination</t>
        </is>
      </c>
      <c r="B115" s="217" t="inlineStr">
        <is>
          <t>Điểm đến</t>
        </is>
      </c>
      <c r="C115" s="217">
        <f>IFERROR(__xludf.DUMMYFUNCTION("GOOGLETRANSLATE(B115,""vi"",""en"")"),"Destination")</f>
        <v/>
      </c>
      <c r="D115" s="3">
        <f>IFERROR(__xludf.DUMMYFUNCTION("GOOGLETRANSLATE(B115,""vi"",""km"")"),"គោលដៅ")</f>
        <v/>
      </c>
      <c r="E115" s="3" t="inlineStr">
        <is>
          <t>ទីតាំងមកដល់</t>
        </is>
      </c>
      <c r="F115" s="217" t="inlineStr">
        <is>
          <t>v</t>
        </is>
      </c>
      <c r="G115" s="217" t="inlineStr">
        <is>
          <t>គោលដៅ</t>
        </is>
      </c>
      <c r="H115" t="inlineStr">
        <is>
          <t>គោលដៅ</t>
        </is>
      </c>
      <c r="J115" s="217" t="inlineStr">
        <is>
          <t>"sorting.destination": "Destination",</t>
        </is>
      </c>
    </row>
    <row r="116" ht="15.75" customHeight="1" s="305">
      <c r="A116" s="217" t="inlineStr">
        <is>
          <t>sorting.boxCode</t>
        </is>
      </c>
      <c r="B116" s="217" t="inlineStr">
        <is>
          <t>Số hộp</t>
        </is>
      </c>
      <c r="C116" s="217">
        <f>IFERROR(__xludf.DUMMYFUNCTION("GOOGLETRANSLATE(B116,""vi"",""en"")"),"Number of boxes")</f>
        <v/>
      </c>
      <c r="D116" s="3">
        <f>IFERROR(__xludf.DUMMYFUNCTION("GOOGLETRANSLATE(B116,""vi"",""km"")"),"ចំនួនប្រអប់")</f>
        <v/>
      </c>
      <c r="E116" s="3" t="inlineStr">
        <is>
          <t>ចំនួនប្រអប់</t>
        </is>
      </c>
      <c r="F116" s="217" t="inlineStr">
        <is>
          <t>v</t>
        </is>
      </c>
      <c r="G116" s="217" t="inlineStr">
        <is>
          <t>ចំនួនប្រអប់</t>
        </is>
      </c>
      <c r="H116" t="inlineStr">
        <is>
          <t>ចំនួនប្រអប់</t>
        </is>
      </c>
      <c r="J116" s="217" t="inlineStr">
        <is>
          <t>"sorting.boxCode": "Number of boxes",</t>
        </is>
      </c>
    </row>
    <row r="117" ht="15.75" customHeight="1" s="305">
      <c r="A117" s="217" t="inlineStr">
        <is>
          <t>sorting.confirmChangeStatusSorting</t>
        </is>
      </c>
      <c r="B117" s="217" t="inlineStr">
        <is>
          <t>Quý khách có chắc chắn muốn {{status}} tuyến</t>
        </is>
      </c>
      <c r="C117" s="217">
        <f>IFERROR(__xludf.DUMMYFUNCTION("GOOGLETRANSLATE(B117,""vi"",""en"")"),"Are you sure you want the {{status}} route?")</f>
        <v/>
      </c>
      <c r="D117" s="3">
        <f>IFERROR(__xludf.DUMMYFUNCTION("GOOGLETRANSLATE(B117,""vi"",""km"")"),"តើអ្នកពិតជាចង់បានផ្លូវ {{status}} មែនទេ?")</f>
        <v/>
      </c>
      <c r="E117" s="3" t="inlineStr">
        <is>
          <t>តើអតិថិជនពិតជាចង់ {{status}} ផ្លូវដឹកជញ្ជូន</t>
        </is>
      </c>
      <c r="F117" s="217" t="inlineStr">
        <is>
          <t>x</t>
        </is>
      </c>
      <c r="G117" s="217" t="inlineStr">
        <is>
          <t>តើអតិថិជនពិតជាចង់ {{status}} ផ្លូវដឹកជញ្ជូន</t>
        </is>
      </c>
      <c r="H117" t="inlineStr">
        <is>
          <t>តើអតិថិជនពិតជាចង់ {{status}} ផ្លូវដឹកជញ្ជូន</t>
        </is>
      </c>
      <c r="J117" s="217" t="inlineStr">
        <is>
          <t>"sorting.confirmChangeStatusSorting": "Are you sure you want the {{status}} route?",</t>
        </is>
      </c>
    </row>
    <row r="118" ht="15.75" customHeight="1" s="305">
      <c r="A118" s="217" t="inlineStr">
        <is>
          <t>sorting.updateConfigSorting</t>
        </is>
      </c>
      <c r="B118" s="217" t="inlineStr">
        <is>
          <t>Cập nhật cấu hình thành công</t>
        </is>
      </c>
      <c r="C118" s="217">
        <f>IFERROR(__xludf.DUMMYFUNCTION("GOOGLETRANSLATE(B118,""vi"",""en"")"),"Configuration update successful")</f>
        <v/>
      </c>
      <c r="D118" s="3">
        <f>IFERROR(__xludf.DUMMYFUNCTION("GOOGLETRANSLATE(B118,""vi"",""km"")"),"ការអាប់ដេតការកំណត់រចនាសម្ព័ន្ធបានជោគជ័យ")</f>
        <v/>
      </c>
      <c r="E118" s="3" t="inlineStr">
        <is>
          <t>អាប់ដេតរចនាសម្ព័ន្ធបានជោគជ័យ!</t>
        </is>
      </c>
      <c r="F118" s="217" t="inlineStr">
        <is>
          <t>x</t>
        </is>
      </c>
      <c r="G118" s="217" t="inlineStr">
        <is>
          <t>អាប់ដេតរចនាសម្ព័ន្ធបានជោគជ័យ!</t>
        </is>
      </c>
      <c r="H118" t="inlineStr">
        <is>
          <t>អាប់ដេតរចនាសម្ព័ន្ធបានជោគជ័យ!</t>
        </is>
      </c>
      <c r="J118" s="217" t="inlineStr">
        <is>
          <t>"sorting.updateConfigSorting": "Configuration update successful",</t>
        </is>
      </c>
    </row>
    <row r="119" ht="15.75" customHeight="1" s="305">
      <c r="A119" s="217" t="inlineStr">
        <is>
          <t>sorting.createConfigSorting</t>
        </is>
      </c>
      <c r="B119" s="217" t="inlineStr">
        <is>
          <t>Tạo mới cấu hình thành công</t>
        </is>
      </c>
      <c r="C119" s="217">
        <f>IFERROR(__xludf.DUMMYFUNCTION("GOOGLETRANSLATE(B119,""vi"",""en"")"),"Configuration created successfully.")</f>
        <v/>
      </c>
      <c r="D119" s="3">
        <f>IFERROR(__xludf.DUMMYFUNCTION("GOOGLETRANSLATE(B119,""vi"",""km"")"),"ការកំណត់រចនាសម្ព័ន្ធត្រូវបានបង្កើតដោយជោគជ័យ។")</f>
        <v/>
      </c>
      <c r="E119" s="3" t="inlineStr">
        <is>
          <t>បង្កើតរចនាសម្ព័ន្ធថ្មីបានជោគជ័យ</t>
        </is>
      </c>
      <c r="F119" s="217" t="inlineStr">
        <is>
          <t>x</t>
        </is>
      </c>
      <c r="G119" s="217" t="inlineStr">
        <is>
          <t>បង្កើតរចនាសម្ព័ន្ធថ្មីបានជោគជ័យ</t>
        </is>
      </c>
      <c r="H119" t="inlineStr">
        <is>
          <t>បង្កើតរចនាសម្ព័ន្ធថ្មីបានជោគជ័យ</t>
        </is>
      </c>
      <c r="J119" s="217" t="inlineStr">
        <is>
          <t>"sorting.createConfigSorting": "Configuration created successfully.",</t>
        </is>
      </c>
    </row>
    <row r="120" ht="15.75" customHeight="1" s="305">
      <c r="A120" s="217" t="inlineStr">
        <is>
          <t>sorting.enterConfigName</t>
        </is>
      </c>
      <c r="B120" s="217" t="inlineStr">
        <is>
          <t>Nhập tên cấu hình</t>
        </is>
      </c>
      <c r="C120" s="217">
        <f>IFERROR(__xludf.DUMMYFUNCTION("GOOGLETRANSLATE(B120,""vi"",""en"")"),"Enter the configuration name")</f>
        <v/>
      </c>
      <c r="D120" s="3">
        <f>IFERROR(__xludf.DUMMYFUNCTION("GOOGLETRANSLATE(B120,""vi"",""km"")"),"បញ្ចូលឈ្មោះការកំណត់រចនាសម្ព័ន្ធ")</f>
        <v/>
      </c>
      <c r="E120" s="3" t="inlineStr">
        <is>
          <t>បញ្ចូលឈ្មោះទម្រង់</t>
        </is>
      </c>
      <c r="F120" s="217" t="inlineStr">
        <is>
          <t>x</t>
        </is>
      </c>
      <c r="G120" s="217" t="inlineStr">
        <is>
          <t>បញ្ចូលឈ្មោះទម្រង់</t>
        </is>
      </c>
      <c r="H120" t="inlineStr">
        <is>
          <t>បញ្ចូលឈ្មោះទម្រង់</t>
        </is>
      </c>
      <c r="J120" s="217" t="inlineStr">
        <is>
          <t>"sorting.enterConfigName": "Enter the configuration name",</t>
        </is>
      </c>
    </row>
    <row r="121" ht="15.75" customHeight="1" s="305">
      <c r="A121" s="217" t="inlineStr">
        <is>
          <t>sorting.enterDestination</t>
        </is>
      </c>
      <c r="B121" s="217" t="inlineStr">
        <is>
          <t>Nhập điểm đến</t>
        </is>
      </c>
      <c r="C121" s="217">
        <f>IFERROR(__xludf.DUMMYFUNCTION("GOOGLETRANSLATE(B121,""vi"",""en"")"),"Enter destination")</f>
        <v/>
      </c>
      <c r="D121" s="3">
        <f>IFERROR(__xludf.DUMMYFUNCTION("GOOGLETRANSLATE(B121,""vi"",""km"")"),"បញ្ចូលគោលដៅ")</f>
        <v/>
      </c>
      <c r="E121" s="3" t="inlineStr">
        <is>
          <t>បញ្ចូលទីតាំងដែលទៅដល់</t>
        </is>
      </c>
      <c r="F121" s="217" t="inlineStr">
        <is>
          <t>v</t>
        </is>
      </c>
      <c r="G121" s="217" t="inlineStr">
        <is>
          <t>បញ្ចូលទីតាំងដែលទៅដល់</t>
        </is>
      </c>
      <c r="H121" t="inlineStr">
        <is>
          <t>បញ្ចូលទីតាំងដែលទៅដល់</t>
        </is>
      </c>
      <c r="J121" s="217" t="inlineStr">
        <is>
          <t>"sorting.enterDestination": "Enter destination",</t>
        </is>
      </c>
    </row>
    <row r="122" ht="15.75" customHeight="1" s="305">
      <c r="A122" s="217" t="inlineStr">
        <is>
          <t>sorting.EnterboxCode</t>
        </is>
      </c>
      <c r="B122" s="217" t="inlineStr">
        <is>
          <t>Nhập số hộp</t>
        </is>
      </c>
      <c r="C122" s="217">
        <f>IFERROR(__xludf.DUMMYFUNCTION("GOOGLETRANSLATE(B122,""vi"",""en"")"),"Enter the number of boxes")</f>
        <v/>
      </c>
      <c r="D122" s="3">
        <f>IFERROR(__xludf.DUMMYFUNCTION("GOOGLETRANSLATE(B122,""vi"",""km"")"),"បញ្ចូលចំនួនប្រអប់")</f>
        <v/>
      </c>
      <c r="E122" s="3" t="inlineStr">
        <is>
          <t>បញ្ចូ្ចលចំនួនប្រអប់</t>
        </is>
      </c>
      <c r="F122" s="217" t="inlineStr">
        <is>
          <t>v</t>
        </is>
      </c>
      <c r="G122" s="217" t="inlineStr">
        <is>
          <t>បញ្ចូ្ចលចំនួនប្រអប់</t>
        </is>
      </c>
      <c r="H122" t="inlineStr">
        <is>
          <t>បញ្ចូ្ចលចំនួនប្រអប់</t>
        </is>
      </c>
      <c r="J122" s="217" t="inlineStr">
        <is>
          <t>"sorting.EnterboxCode": "Enter the number of boxes",</t>
        </is>
      </c>
    </row>
    <row r="123" ht="15.75" customHeight="1" s="305">
      <c r="A123" s="217" t="inlineStr">
        <is>
          <t>sorting.emptyDeliveryZone</t>
        </is>
      </c>
      <c r="B123" s="217" t="inlineStr">
        <is>
          <t>Vui lòng chọn vùng đến!</t>
        </is>
      </c>
      <c r="C123" s="217">
        <f>IFERROR(__xludf.DUMMYFUNCTION("GOOGLETRANSLATE(B123,""vi"",""en"")"),"Please select your destination!")</f>
        <v/>
      </c>
      <c r="D123" s="3">
        <f>IFERROR(__xludf.DUMMYFUNCTION("GOOGLETRANSLATE(B123,""vi"",""km"")"),"សូមជ្រើសរើសគោលដៅរបស់អ្នក!")</f>
        <v/>
      </c>
      <c r="E123" s="3" t="inlineStr">
        <is>
          <t>សូមជ្រេីសរេីសតំបន់មកដល់!</t>
        </is>
      </c>
      <c r="F123" s="217" t="inlineStr">
        <is>
          <t>x</t>
        </is>
      </c>
      <c r="G123" s="217" t="inlineStr">
        <is>
          <t>សូមជ្រើសរើសតំបន់មកដល់!</t>
        </is>
      </c>
      <c r="H123" t="inlineStr">
        <is>
          <t>សូមជ្រើសរើសតំបន់មកដល់!</t>
        </is>
      </c>
      <c r="J123" s="217" t="inlineStr">
        <is>
          <t>"sorting.emptyDeliveryZone": "Please select your destination!",</t>
        </is>
      </c>
    </row>
    <row r="124" ht="15.75" customHeight="1" s="305">
      <c r="A124" s="217" t="inlineStr">
        <is>
          <t>sorting.emptyReceivingZone</t>
        </is>
      </c>
      <c r="B124" s="217" t="inlineStr">
        <is>
          <t>Vui lòng chọn vùng đi!</t>
        </is>
      </c>
      <c r="C124" s="217">
        <f>IFERROR(__xludf.DUMMYFUNCTION("GOOGLETRANSLATE(B124,""vi"",""en"")"),"Please select your destination area!")</f>
        <v/>
      </c>
      <c r="D124" s="3">
        <f>IFERROR(__xludf.DUMMYFUNCTION("GOOGLETRANSLATE(B124,""vi"",""km"")"),"សូមជ្រើសរើសតំបន់គោលដៅរបស់អ្នក!")</f>
        <v/>
      </c>
      <c r="E124" s="3" t="inlineStr">
        <is>
          <t>សូមជ្រើសរើសទីតាំងចេញទៅ!</t>
        </is>
      </c>
      <c r="F124" s="217" t="inlineStr">
        <is>
          <t>x</t>
        </is>
      </c>
      <c r="G124" s="217" t="inlineStr">
        <is>
          <t>សូមជ្រើសរើសទីតាំងចេញទៅ!</t>
        </is>
      </c>
      <c r="H124" t="inlineStr">
        <is>
          <t>សូមជ្រើសរើសទីតាំងចេញទៅ!</t>
        </is>
      </c>
      <c r="J124" s="217" t="inlineStr">
        <is>
          <t>"sorting.emptyReceivingZone": "Please select your destination area!",</t>
        </is>
      </c>
    </row>
    <row r="125" ht="15.75" customHeight="1" s="305">
      <c r="A125" s="217" t="inlineStr">
        <is>
          <t>sorting.searchZone</t>
        </is>
      </c>
      <c r="B125" s="217" t="inlineStr">
        <is>
          <t>Nhập tên tuyến để tìm kiếm</t>
        </is>
      </c>
      <c r="C125" s="217">
        <f>IFERROR(__xludf.DUMMYFUNCTION("GOOGLETRANSLATE(B125,""vi"",""en"")"),"Enter the route name to search.")</f>
        <v/>
      </c>
      <c r="D125" s="3">
        <f>IFERROR(__xludf.DUMMYFUNCTION("GOOGLETRANSLATE(B125,""vi"",""km"")"),"បញ្ចូលឈ្មោះផ្លូវដើម្បីស្វែងរក។")</f>
        <v/>
      </c>
      <c r="E125" s="3" t="inlineStr">
        <is>
          <t>បញ្ចូលផ្លូវដឹកជញ្ជូនដើម្បីស្វែងរក</t>
        </is>
      </c>
      <c r="F125" s="217" t="inlineStr">
        <is>
          <t>x</t>
        </is>
      </c>
      <c r="G125" s="217" t="inlineStr">
        <is>
          <t>បញ្ចូលផ្លូវដឹកជញ្ជូនដើម្បីស្វែងរក</t>
        </is>
      </c>
      <c r="H125" t="inlineStr">
        <is>
          <t>បញ្ចូលផ្លូវដឹកជញ្ជូនដើម្បីស្វែងរក</t>
        </is>
      </c>
      <c r="J125" s="217" t="inlineStr">
        <is>
          <t>"sorting.searchZone": "Enter the route name to search.",</t>
        </is>
      </c>
    </row>
    <row r="126" ht="15.75" customHeight="1" s="305">
      <c r="A126" s="217" t="inlineStr">
        <is>
          <t>sorting.createZoneSuccess</t>
        </is>
      </c>
      <c r="B126" s="217" t="inlineStr">
        <is>
          <t>Thêm mới chi tiết cấu hình thành công!</t>
        </is>
      </c>
      <c r="C126" s="217">
        <f>IFERROR(__xludf.DUMMYFUNCTION("GOOGLETRANSLATE(B126,""vi"",""en"")"),"Configuration details added successfully!")</f>
        <v/>
      </c>
      <c r="D126" s="3">
        <f>IFERROR(__xludf.DUMMYFUNCTION("GOOGLETRANSLATE(B126,""vi"",""km"")"),"បានបន្ថែមព័ត៌មានលម្អិតអំពីការកំណត់រចនាសម្ព័ន្ធដោយជោគជ័យ!")</f>
        <v/>
      </c>
      <c r="E126" s="3" t="inlineStr">
        <is>
          <t>បន្ថែមលម្អិតពីរចនាសម្ព័ន្ធបានជោគជ័យ!</t>
        </is>
      </c>
      <c r="F126" s="217" t="inlineStr">
        <is>
          <t>x</t>
        </is>
      </c>
      <c r="G126" s="217" t="inlineStr">
        <is>
          <t>បន្ថែមលម្អិតពីរចនាសម្ព័ន្ធបានជោគជ័យ!</t>
        </is>
      </c>
      <c r="H126" t="inlineStr">
        <is>
          <t>បន្ថែមលម្អិតពីរចនាសម្ព័ន្ធបានជោគជ័យ!</t>
        </is>
      </c>
      <c r="J126" s="217" t="inlineStr">
        <is>
          <t>"sorting.createZoneSuccess": "Configuration details added successfully!",</t>
        </is>
      </c>
    </row>
    <row r="127" ht="15.75" customHeight="1" s="305">
      <c r="A127" s="217" t="inlineStr">
        <is>
          <t>sorting.updateZoneSuccess</t>
        </is>
      </c>
      <c r="B127" s="217" t="inlineStr">
        <is>
          <t>Cập nhật chi tiết cấu hình thành công</t>
        </is>
      </c>
      <c r="C127" s="217">
        <f>IFERROR(__xludf.DUMMYFUNCTION("GOOGLETRANSLATE(B127,""vi"",""en"")"),"Configuration details successfully updated.")</f>
        <v/>
      </c>
      <c r="D127" s="3">
        <f>IFERROR(__xludf.DUMMYFUNCTION("GOOGLETRANSLATE(B127,""vi"",""km"")"),"ព័ត៌មានលម្អិតអំពីការកំណត់រចនាសម្ព័ន្ធត្រូវបានធ្វើបច្ចុប្បន្នភាពដោយជោគជ័យ។")</f>
        <v/>
      </c>
      <c r="E127" s="3" t="inlineStr">
        <is>
          <t>អាប់ដេត លម្អិតពីរចនាសម្ព័ន្ធបានជោគជ័យ!</t>
        </is>
      </c>
      <c r="F127" s="217" t="inlineStr">
        <is>
          <t>x</t>
        </is>
      </c>
      <c r="G127" s="217" t="inlineStr">
        <is>
          <t>អាប់ដេត លម្អិតពីរចនាសម្ព័ន្ធបានជោគជ័យ!</t>
        </is>
      </c>
      <c r="H127" t="inlineStr">
        <is>
          <t>អាប់ដេត លម្អិតពីរចនាសម្ព័ន្ធបានជោគជ័យ!</t>
        </is>
      </c>
      <c r="J127" s="217" t="inlineStr">
        <is>
          <t>"sorting.updateZoneSuccess": "Configuration details successfully updated.",</t>
        </is>
      </c>
    </row>
    <row r="128" ht="15.75" customHeight="1" s="305">
      <c r="A128" s="217" t="inlineStr">
        <is>
          <t>sorting.soringSearch</t>
        </is>
      </c>
      <c r="B128" s="217" t="inlineStr">
        <is>
          <t>Nhập tên tuyến chia chọn để tìm kiếm</t>
        </is>
      </c>
      <c r="C128" s="217">
        <f>IFERROR(__xludf.DUMMYFUNCTION("GOOGLETRANSLATE(B128,""vi"",""en"")"),"Enter the route name to search.")</f>
        <v/>
      </c>
      <c r="D128" s="3">
        <f>IFERROR(__xludf.DUMMYFUNCTION("GOOGLETRANSLATE(B128,""vi"",""km"")"),"បញ្ចូលឈ្មោះផ្លូវដើម្បីស្វែងរក។")</f>
        <v/>
      </c>
      <c r="E128" s="3" t="inlineStr">
        <is>
          <t>បញ្ចូលការបែងចែកផ្លូវដឹកជញ្ជូនដើម្បីស្វែងរក</t>
        </is>
      </c>
      <c r="F128" s="217" t="inlineStr">
        <is>
          <t>x</t>
        </is>
      </c>
      <c r="G128" s="217" t="inlineStr">
        <is>
          <t>បញ្ចូលការបែងចែកផ្លូវដឹកជញ្ជូនដើម្បីស្វែងរក</t>
        </is>
      </c>
      <c r="H128" t="inlineStr">
        <is>
          <t>បញ្ចូលការបែងចែកផ្លូវដឹកជញ្ជូនដើម្បីស្វែងរក</t>
        </is>
      </c>
      <c r="J128" s="217" t="inlineStr">
        <is>
          <t>"sorting.soringSearch": "Enter the route name to search.",</t>
        </is>
      </c>
    </row>
    <row r="129" ht="15.75" customHeight="1" s="305">
      <c r="A129" s="217" t="inlineStr">
        <is>
          <t>sorting.emptyService</t>
        </is>
      </c>
      <c r="B129" s="217" t="inlineStr">
        <is>
          <t>Vui lòng chọn dịch vụ</t>
        </is>
      </c>
      <c r="C129" s="217">
        <f>IFERROR(__xludf.DUMMYFUNCTION("GOOGLETRANSLATE(B129,""vi"",""en"")"),"Please select a service")</f>
        <v/>
      </c>
      <c r="D129" s="3">
        <f>IFERROR(__xludf.DUMMYFUNCTION("GOOGLETRANSLATE(B129,""vi"",""km"")"),"សូមជ្រើសរើសសេវាកម្មមួយ")</f>
        <v/>
      </c>
      <c r="E129" s="3" t="inlineStr">
        <is>
          <t>សូមជ្រើសរើសសេវាកម្ម</t>
        </is>
      </c>
      <c r="F129" s="217" t="inlineStr">
        <is>
          <t>v</t>
        </is>
      </c>
      <c r="G129" s="217" t="inlineStr">
        <is>
          <t>សូមជ្រើសរើសសេវាកម្ម</t>
        </is>
      </c>
      <c r="H129" t="inlineStr">
        <is>
          <t>សូមជ្រើសរើសសេវាកម្ម</t>
        </is>
      </c>
      <c r="J129" s="217" t="inlineStr">
        <is>
          <t>"sorting.emptyService": "Please select a service",</t>
        </is>
      </c>
    </row>
    <row r="130" ht="15.75" customHeight="1" s="305">
      <c r="A130" s="217" t="inlineStr">
        <is>
          <t>changePass.forgotPassDesc</t>
        </is>
      </c>
      <c r="B130" s="217" t="inlineStr">
        <is>
          <t>Để khôi phục mật khẩu, bạn vui lòng nhập SĐT đã dùng để đăng ký trên hệ thống</t>
        </is>
      </c>
      <c r="C130" s="217" t="inlineStr">
        <is>
          <t>To recover your password, please enter the phone number used to register on the system.</t>
        </is>
      </c>
      <c r="D130" s="3">
        <f>IFERROR(__xludf.DUMMYFUNCTION("GOOGLETRANSLATE(B130,""vi"",""km"")"),"ដើម្បី​សង្គ្រោះ​ពាក្យ​សម្ងាត់​របស់​អ្នក សូម​បញ្ចូល​លេខ​ទូរស័ព្ទ​ដែល​អ្នក​បាន​ប្រើ​ដើម្បី​ចុះឈ្មោះ​លើ​ប្រព័ន្ធ។")</f>
        <v/>
      </c>
      <c r="E130" s="3" t="inlineStr">
        <is>
          <t>ដើម្បីយកពាក្យសម្ងាត់មកវិញ សូមបញ្ចូលលេខទូរស័ព្ទដែលអ្នកប្រើប្រាស់ ដើម្បីចុះឈ្មោះលើប្រព័ន្ធ</t>
        </is>
      </c>
      <c r="F130" s="217" t="inlineStr">
        <is>
          <t>x</t>
        </is>
      </c>
      <c r="G130" s="3" t="inlineStr">
        <is>
          <t>ដើម្បីយកពាក្យសម្ងាត់មកវិញ សូមបញ្ចូលលេខទូរស័ព្ទដែលអ្នកប្រើប្រាស់ ដើម្បីចុះឈ្មោះលើប្រព័ន្ធ</t>
        </is>
      </c>
      <c r="H130" t="inlineStr">
        <is>
          <t>ដើម្បីយកពាក្យសម្ងាត់មកវិញ សូមបញ្ចូលលេខទូរស័ព្ទដែលអ្នកប្រើប្រាស់ ដើម្បីចុះឈ្មោះលើប្រព័ន្ធ</t>
        </is>
      </c>
      <c r="J130" s="217" t="inlineStr">
        <is>
          <t>"changePass.forgotPassDesc": "To recover your password, please enter the phone number used to register on the system.",</t>
        </is>
      </c>
    </row>
    <row r="131" ht="15.75" customHeight="1" s="305">
      <c r="A131" s="217" t="inlineStr">
        <is>
          <t>changePass.newPasswordTitle</t>
        </is>
      </c>
      <c r="B131" s="217" t="inlineStr">
        <is>
          <t>Đặt lại mật khẩu</t>
        </is>
      </c>
      <c r="C131" s="217" t="inlineStr">
        <is>
          <t>New Password</t>
        </is>
      </c>
      <c r="D131" s="3">
        <f>IFERROR(__xludf.DUMMYFUNCTION("GOOGLETRANSLATE(B131,""vi"",""km"")"),"កំណត់ពាក្យសម្ងាត់ឡើងវិញ")</f>
        <v/>
      </c>
      <c r="E131" s="3" t="inlineStr">
        <is>
          <t>ដាក់លេខសម្ងាត់ម្តងទៀត</t>
        </is>
      </c>
      <c r="F131" s="217" t="inlineStr">
        <is>
          <t>x</t>
        </is>
      </c>
      <c r="G131" s="3" t="inlineStr">
        <is>
          <t>ដាក់លេខសម្ងាត់ម្តងទៀត</t>
        </is>
      </c>
      <c r="H131" t="inlineStr">
        <is>
          <t>ដាក់លេខសម្ងាត់ម្តងទៀត</t>
        </is>
      </c>
      <c r="J131" s="217" t="inlineStr">
        <is>
          <t>"changePass.newPasswordTitle": "New Password",</t>
        </is>
      </c>
    </row>
    <row r="132" ht="15.75" customHeight="1" s="305">
      <c r="A132" s="217" t="inlineStr">
        <is>
          <t>changePass.newPassSuccess</t>
        </is>
      </c>
      <c r="B132" s="217" t="inlineStr">
        <is>
          <t>Đặt lại mật khẩu thành công</t>
        </is>
      </c>
      <c r="C132" s="217" t="inlineStr">
        <is>
          <t>Password changed successfully</t>
        </is>
      </c>
      <c r="D132" s="3">
        <f>IFERROR(__xludf.DUMMYFUNCTION("GOOGLETRANSLATE(B132,""vi"",""km"")"),"ការកំណត់ពាក្យសម្ងាត់ឡើងវិញបានជោគជ័យ")</f>
        <v/>
      </c>
      <c r="E132" s="3" t="inlineStr">
        <is>
          <t>បង្កើតលេខសម្ងាត់បានជោគជ័យ</t>
        </is>
      </c>
      <c r="F132" s="217" t="inlineStr">
        <is>
          <t>x</t>
        </is>
      </c>
      <c r="G132" s="3" t="inlineStr">
        <is>
          <t>បង្កើតលេខសម្ងាត់បានជោគជ័យ</t>
        </is>
      </c>
      <c r="H132" t="inlineStr">
        <is>
          <t>បង្កើតលេខសម្ងាត់បានជោគជ័យ</t>
        </is>
      </c>
      <c r="J132" s="217" t="inlineStr">
        <is>
          <t>"changePass.newPassSuccess": "Password changed successfully",</t>
        </is>
      </c>
    </row>
    <row r="133" ht="15.75" customHeight="1" s="305">
      <c r="A133" s="217" t="inlineStr">
        <is>
          <t>changePass.lockAccountInline</t>
        </is>
      </c>
      <c r="B133" s="217" t="inlineStr">
        <is>
          <t>Mã OTP không chính xác, tài khoản của bạn đã bị khóa</t>
        </is>
      </c>
      <c r="C133" s="217" t="inlineStr">
        <is>
          <t>Your account has been locked due to 5 failed OTP attempts. Please contact customer support to reset your password.</t>
        </is>
      </c>
      <c r="D133" s="3">
        <f>IFERROR(__xludf.DUMMYFUNCTION("GOOGLETRANSLATE(B133,""vi"",""km"")"),"លេខកូដ OTP មិនត្រឹមត្រូវទេ គណនីរបស់អ្នកត្រូវបានចាក់សោ។")</f>
        <v/>
      </c>
      <c r="E133" s="3" t="inlineStr">
        <is>
          <t>លេខកូដ OTP មិនត្រឹមត្រូវទេ គណនីរបស់អ្នកត្រូវបានបិទបណ្តោះអាសន្ន</t>
        </is>
      </c>
      <c r="F133" s="217" t="inlineStr">
        <is>
          <t>v</t>
        </is>
      </c>
      <c r="G133" s="3" t="inlineStr">
        <is>
          <t>លេខកូដ OTP មិនត្រឹមត្រូវទេ គណនីរបស់អ្នកត្រូវបានបិទបណ្តោះអាសន្ន</t>
        </is>
      </c>
      <c r="H133" t="inlineStr">
        <is>
          <t>លេខកូដ OTP មិនត្រឹមត្រូវទេ គណនីរបស់អ្នកត្រូវបានបិទបណ្តោះអាសន្ន</t>
        </is>
      </c>
      <c r="J133" s="217" t="inlineStr">
        <is>
          <t>"changePass.lockAccountInline": "Your account has been locked due to 5 failed OTP attempts. Please contact customer support to reset your password.",</t>
        </is>
      </c>
    </row>
    <row r="134" ht="15.75" customHeight="1" s="305">
      <c r="A134" s="217" t="inlineStr">
        <is>
          <t>changePass.lockAccountMesssage</t>
        </is>
      </c>
      <c r="B134" s="217" t="inlineStr">
        <is>
          <t>Vượt quá số lần nhập OTP cho phép. Tài khoản của bạn đã bị khóa</t>
        </is>
      </c>
      <c r="C134" s="217" t="inlineStr">
        <is>
          <t>Your account has been locked due to 5 failed OTP attempts. Please contact customer support to reset your password.</t>
        </is>
      </c>
      <c r="D134" s="3">
        <f>IFERROR(__xludf.DUMMYFUNCTION("GOOGLETRANSLATE(B134,""vi"",""km"")"),"អ្នកបានលើសចំនួនដងនៃការប៉ុនប៉ង OTP ដែលអនុញ្ញាត។ គណនីរបស់អ្នកត្រូវបានចាក់សោ។")</f>
        <v/>
      </c>
      <c r="E134" s="3" t="inlineStr">
        <is>
          <t>បញ្ចូលលេខ OTP ច្រេីនដងលើសកំណត់អនុញ្ញាតិ្ត  គណនីរបស់អ្នកត្រូវបានបិទបណ្តោះអាសន្ន</t>
        </is>
      </c>
      <c r="F134" s="217" t="inlineStr">
        <is>
          <t>v</t>
        </is>
      </c>
      <c r="G134" s="3" t="inlineStr">
        <is>
          <t>បញ្ចូលលេខ OTP ច្រេីនដងលើសកំណត់អនុញ្ញាតិ្ត គណនីរបស់អ្នកត្រូវបានបិទបណ្តោះអាសន្ន</t>
        </is>
      </c>
      <c r="H134" t="inlineStr">
        <is>
          <t>បញ្ចូលលេខ OTP ច្រេីនដងលើសកំណត់អនុញ្ញាតិ្ត គណនីរបស់អ្នកត្រូវបានបិទបណ្តោះអាសន្ន</t>
        </is>
      </c>
      <c r="J134" s="217" t="inlineStr">
        <is>
          <t>"changePass.lockAccountMesssage": "Your account has been locked due to 5 failed OTP attempts. Please contact customer support to reset your password.",</t>
        </is>
      </c>
    </row>
    <row r="135" ht="15.75" customHeight="1" s="305">
      <c r="A135" s="217" t="inlineStr">
        <is>
          <t>changePass.passwordExceed</t>
        </is>
      </c>
      <c r="B135" s="217" t="inlineStr">
        <is>
          <t>Vượt quá số lần cho phép, tài khoản đã bị khóa</t>
        </is>
      </c>
      <c r="C135" s="217" t="inlineStr">
        <is>
          <t>Your account has been locked due to 5 failed password attempts. Please contact customer support to reset your password!</t>
        </is>
      </c>
      <c r="D135" s="3">
        <f>IFERROR(__xludf.DUMMYFUNCTION("GOOGLETRANSLATE(B135,""vi"",""km"")"),"ដោយ​លើស​ចំនួន​នៃ​ការ​ប៉ុនប៉ង​ដែល​អនុញ្ញាត គណនី​ត្រូវ​បាន​ចាក់សោ។")</f>
        <v/>
      </c>
      <c r="E135" s="3" t="inlineStr">
        <is>
          <t>ច្រេីនដងលើសកំណត់អនុញ្ញាតិ្ត គណនីរបស់អ្នកត្រូវបានបិទបណ្តោះអាសន្ន</t>
        </is>
      </c>
      <c r="F135" s="217" t="inlineStr">
        <is>
          <t>v</t>
        </is>
      </c>
      <c r="G135" s="3" t="inlineStr">
        <is>
          <t>ច្រេីនដងលើសកំណត់អនុញ្ញាតិ្ត គណនីរបស់អ្នកត្រូវបានបិទបណ្តោះអាសន្ន</t>
        </is>
      </c>
      <c r="H135" t="inlineStr">
        <is>
          <t>ច្រេីនដងលើសកំណត់អនុញ្ញាតិ្ត គណនីរបស់អ្នកត្រូវបានបិទបណ្តោះអាសន្ន</t>
        </is>
      </c>
      <c r="J135" s="217" t="inlineStr">
        <is>
          <t>"changePass.passwordExceed": "Your account has been locked due to 5 failed password attempts. Please contact customer support to reset your password!",</t>
        </is>
      </c>
    </row>
    <row r="136" ht="15.75" customHeight="1" s="305">
      <c r="A136" s="217" t="inlineStr">
        <is>
          <t>changePass.lockAccount</t>
        </is>
      </c>
      <c r="B136" s="217" t="inlineStr">
        <is>
          <t>Tài khoản bị khoá</t>
        </is>
      </c>
      <c r="C136" s="217" t="inlineStr">
        <is>
          <t>Account has been locked!</t>
        </is>
      </c>
      <c r="D136" s="3">
        <f>IFERROR(__xludf.DUMMYFUNCTION("GOOGLETRANSLATE(B136,""vi"",""km"")"),"គណនីត្រូវបានចាក់សោ")</f>
        <v/>
      </c>
      <c r="E136" s="3" t="inlineStr">
        <is>
          <t>គណនីត្រូវបានបិទជាបណ្តោះអាសន្ន</t>
        </is>
      </c>
      <c r="F136" s="217" t="inlineStr">
        <is>
          <t>v</t>
        </is>
      </c>
      <c r="G136" s="3" t="inlineStr">
        <is>
          <t>គណនីត្រូវបានបិទជាបណ្តោះអាសន្ន</t>
        </is>
      </c>
      <c r="H136" t="inlineStr">
        <is>
          <t>គណនីត្រូវបានបិទជាបណ្តោះអាសន្ន</t>
        </is>
      </c>
      <c r="J136" s="217" t="inlineStr">
        <is>
          <t>"changePass.lockAccount": "Account has been locked!",</t>
        </is>
      </c>
    </row>
    <row r="137" ht="15.75" customHeight="1" s="305">
      <c r="A137" s="217" t="inlineStr">
        <is>
          <t>changePass.lockDesOtp</t>
        </is>
      </c>
      <c r="B137" s="217" t="inlineStr">
        <is>
          <t>Nhập sai OTP quá</t>
        </is>
      </c>
      <c r="C137" s="217" t="inlineStr">
        <is>
          <t>Your account has been locked due to</t>
        </is>
      </c>
      <c r="D137" s="3">
        <f>IFERROR(__xludf.DUMMYFUNCTION("GOOGLETRANSLATE(B137,""vi"",""km"")"),"បានបញ្ចូលលេខ OTP ខុស។")</f>
        <v/>
      </c>
      <c r="E137" s="3" t="inlineStr">
        <is>
          <t>បញ្ចូ្ចលលេខ OTP ខុស</t>
        </is>
      </c>
      <c r="F137" s="217" t="inlineStr">
        <is>
          <t>v</t>
        </is>
      </c>
      <c r="G137" s="3" t="inlineStr">
        <is>
          <t>បញ្ចូ្ចលលេខ OTP ខុស</t>
        </is>
      </c>
      <c r="H137" t="inlineStr">
        <is>
          <t>បញ្ចូ្ចលលេខ OTP ខុស</t>
        </is>
      </c>
      <c r="J137" s="217" t="inlineStr">
        <is>
          <t>"changePass.lockDesOtp": "Your account has been locked due to",</t>
        </is>
      </c>
    </row>
    <row r="138" ht="15.75" customHeight="1" s="305">
      <c r="A138" s="217" t="inlineStr">
        <is>
          <t>changePass.lockDesPass</t>
        </is>
      </c>
      <c r="B138" s="217" t="inlineStr">
        <is>
          <t>Nhập sai mật khẩu quá</t>
        </is>
      </c>
      <c r="C138" s="217" t="inlineStr">
        <is>
          <t>Your account has been locked due to</t>
        </is>
      </c>
      <c r="D138" s="3">
        <f>IFERROR(__xludf.DUMMYFUNCTION("GOOGLETRANSLATE(B138,""vi"",""km"")"),"បានបញ្ចូលពាក្យសម្ងាត់មិនត្រឹមត្រូវ")</f>
        <v/>
      </c>
      <c r="E138" s="3" t="inlineStr">
        <is>
          <t>បញ្ចូលខុសលេខកូដសម្ងាត់</t>
        </is>
      </c>
      <c r="F138" s="217" t="inlineStr">
        <is>
          <t>v</t>
        </is>
      </c>
      <c r="G138" s="3" t="inlineStr">
        <is>
          <t>បញ្ចូលខុសលេខកូដសម្ងាត់</t>
        </is>
      </c>
      <c r="H138" t="inlineStr">
        <is>
          <t>បញ្ចូលខុសលេខកូដសម្ងាត់</t>
        </is>
      </c>
      <c r="J138" s="217" t="inlineStr">
        <is>
          <t>"changePass.lockDesPass": "Your account has been locked due to",</t>
        </is>
      </c>
    </row>
    <row r="139" ht="15.75" customHeight="1" s="305">
      <c r="A139" s="217" t="inlineStr">
        <is>
          <t>changePass.5timesPass</t>
        </is>
      </c>
      <c r="B139" s="217" t="inlineStr">
        <is>
          <t>5 lần,</t>
        </is>
      </c>
      <c r="C139" s="217" t="inlineStr">
        <is>
          <t>5 failed password attempts</t>
        </is>
      </c>
      <c r="D139" s="3">
        <f>IFERROR(__xludf.DUMMYFUNCTION("GOOGLETRANSLATE(B139,""vi"",""km"")"),"៥ ដង,")</f>
        <v/>
      </c>
      <c r="E139" s="3" t="inlineStr">
        <is>
          <t>5 ដង</t>
        </is>
      </c>
      <c r="F139" s="217" t="inlineStr">
        <is>
          <t>v</t>
        </is>
      </c>
      <c r="G139" s="217" t="inlineStr">
        <is>
          <t>5 ដង</t>
        </is>
      </c>
      <c r="H139" t="inlineStr">
        <is>
          <t>5 ដង</t>
        </is>
      </c>
      <c r="J139" s="217" t="inlineStr">
        <is>
          <t>"changePass.5timesPass": "5 failed password attempts",</t>
        </is>
      </c>
    </row>
    <row r="140" ht="15.75" customHeight="1" s="305">
      <c r="A140" s="217" t="inlineStr">
        <is>
          <t>changePass.5timesOtp</t>
        </is>
      </c>
      <c r="B140" s="217" t="inlineStr">
        <is>
          <t>5 lần,</t>
        </is>
      </c>
      <c r="C140" s="217" t="inlineStr">
        <is>
          <t>5 failed OTP attempts</t>
        </is>
      </c>
      <c r="D140" s="3">
        <f>IFERROR(__xludf.DUMMYFUNCTION("GOOGLETRANSLATE(B140,""vi"",""km"")"),"៥ ដង,")</f>
        <v/>
      </c>
      <c r="E140" s="3" t="inlineStr">
        <is>
          <t>5 ដង</t>
        </is>
      </c>
      <c r="F140" s="217" t="inlineStr">
        <is>
          <t>v</t>
        </is>
      </c>
      <c r="G140" s="217" t="inlineStr">
        <is>
          <t>5 ដង</t>
        </is>
      </c>
      <c r="H140" t="inlineStr">
        <is>
          <t>5 ដង</t>
        </is>
      </c>
      <c r="J140" s="217" t="inlineStr">
        <is>
          <t>"changePass.5timesOtp": "5 failed OTP attempts",</t>
        </is>
      </c>
    </row>
    <row r="141" ht="15.75" customHeight="1" s="305">
      <c r="A141" s="217" t="inlineStr">
        <is>
          <t>changePass.lockDes2</t>
        </is>
      </c>
      <c r="B141" s="217" t="inlineStr">
        <is>
          <t>tài khoản của bạn đã bị khoá. Vui lòng liên hệ vận hành để hỗ trợ cấp lại mật khẩu!</t>
        </is>
      </c>
      <c r="C141" s="217" t="inlineStr">
        <is>
          <t>Please contact customer support to reset your password.</t>
        </is>
      </c>
      <c r="D141" s="3">
        <f>IFERROR(__xludf.DUMMYFUNCTION("GOOGLETRANSLATE(B141,""vi"",""km"")"),"គណនីរបស់អ្នកត្រូវបានចាក់សោ។ សូមទាក់ទងផ្នែកប្រតិបត្តិការសម្រាប់ជំនួយក្នុងការកំណត់ពាក្យសម្ងាត់របស់អ្នកឡើងវិញ!")</f>
        <v/>
      </c>
      <c r="E141" s="3" t="inlineStr">
        <is>
          <t>គណនីរបស់អ្នកត្រូវបានបិទជាបណ្តោះអាសន្ន។ សូមមេត្តាទាក់ទងបុគ្គលិកប្រតិបត្តិការដើម្បីកំណត់ពាក្យសម្ងាត់អ្នកឡើងវិញ។</t>
        </is>
      </c>
      <c r="F141" s="217" t="inlineStr">
        <is>
          <t>v</t>
        </is>
      </c>
      <c r="G141" s="217" t="inlineStr">
        <is>
          <t>គណនីរបស់អ្នកត្រូវបានបិទជាបណ្តោះអាសន្ន។ សូមមេត្តាទាក់ទងបុគ្គលិកប្រតិបត្តិការដើម្បីកំណត់ពាក្យសម្ងាត់អ្នកឡើងវិញ។</t>
        </is>
      </c>
      <c r="H141" t="inlineStr">
        <is>
          <t>គណនីរបស់អ្នកត្រូវបានបិទជាបណ្តោះអាសន្ន។ សូមមេត្តាទាក់ទងបុគ្គលិកប្រតិបត្តិការដើម្បីកំណត់ពាក្យសម្ងាត់អ្នកឡើងវិញ។</t>
        </is>
      </c>
      <c r="J141" s="217" t="inlineStr">
        <is>
          <t>"changePass.lockDes2": "Please contact customer support to reset your password.",</t>
        </is>
      </c>
    </row>
    <row r="142" ht="15.75" customHeight="1" s="305">
      <c r="A142" s="217" t="inlineStr">
        <is>
          <t>changePass.noteSms</t>
        </is>
      </c>
      <c r="B142" s="217" t="inlineStr">
        <is>
          <t>Lưu ý: Bạn chỉ có thể nhận tối đa 5 SMS/giờ</t>
        </is>
      </c>
      <c r="C142" s="217" t="inlineStr">
        <is>
          <t>Note: You can only receive up to 5 SMS/hour</t>
        </is>
      </c>
      <c r="D142" s="3">
        <f>IFERROR(__xludf.DUMMYFUNCTION("GOOGLETRANSLATE(B142,""vi"",""km"")"),"ចំណាំ៖ អ្នកអាចទទួលបានសារ SMS អតិបរមា 5 សារក្នុងមួយម៉ោង។")</f>
        <v/>
      </c>
      <c r="E142" s="3" t="inlineStr">
        <is>
          <t>ចំណាំ៖ អ្នកគឺអាចទទួលបានតែ 5 SMS/ម៉ោង ប៉ុណ្ណោះ</t>
        </is>
      </c>
      <c r="F142" s="217" t="inlineStr">
        <is>
          <t>v</t>
        </is>
      </c>
      <c r="G142" s="217" t="inlineStr">
        <is>
          <t>ចំណាំ៖ អ្នកគឺអាចទទួលបានតែ 5 SMS/ម៉ោង ប៉ុណ្ណោះ</t>
        </is>
      </c>
      <c r="H142" t="inlineStr">
        <is>
          <t>ចំណាំ៖ អ្នកគឺអាចទទួលបានតែ 5 SMS/ម៉ោង ប៉ុណ្ណោះ</t>
        </is>
      </c>
      <c r="J142" s="217" t="inlineStr">
        <is>
          <t>"changePass.noteSms": "Note: You can only receive up to 5 SMS/hour",</t>
        </is>
      </c>
    </row>
    <row r="143" ht="15.75" customHeight="1" s="305">
      <c r="A143" s="217" t="inlineStr">
        <is>
          <t>updateCustomer.updateCustomer</t>
        </is>
      </c>
      <c r="B143" s="217" t="inlineStr">
        <is>
          <t>Sửa thông tin khách hàng</t>
        </is>
      </c>
      <c r="C143" s="217">
        <f>IFERROR(__xludf.DUMMYFUNCTION("GOOGLETRANSLATE(B143,""vi"",""en"")"),"Edit customer information")</f>
        <v/>
      </c>
      <c r="D143" s="3">
        <f>IFERROR(__xludf.DUMMYFUNCTION("GOOGLETRANSLATE(B143,""vi"",""km"")"),"កែសម្រួលព័ត៌មានអតិថិជន")</f>
        <v/>
      </c>
      <c r="E143" s="3" t="inlineStr">
        <is>
          <t>កែសម្រួលព័ត៌មានអតិថិជន</t>
        </is>
      </c>
      <c r="F143" s="217" t="inlineStr">
        <is>
          <t>v</t>
        </is>
      </c>
      <c r="G143" s="217" t="inlineStr">
        <is>
          <t>កែសម្រួលព័ត៌មានអតិថិជន</t>
        </is>
      </c>
      <c r="H143" t="inlineStr">
        <is>
          <t>កែសម្រួលព័ត៌មានអតិថិជន</t>
        </is>
      </c>
      <c r="J143" s="217" t="inlineStr">
        <is>
          <t>"updateCustomer.updateCustomer": "Edit customer information",</t>
        </is>
      </c>
    </row>
    <row r="144" ht="15.75" customHeight="1" s="305">
      <c r="A144" s="217" t="inlineStr">
        <is>
          <t>updateCustomer.contract</t>
        </is>
      </c>
      <c r="B144" s="217" t="inlineStr">
        <is>
          <t>Hợp đồng thanh toán</t>
        </is>
      </c>
      <c r="C144" s="217">
        <f>IFERROR(__xludf.DUMMYFUNCTION("GOOGLETRANSLATE(B144,""vi"",""en"")"),"Payment contract")</f>
        <v/>
      </c>
      <c r="D144" s="3">
        <f>IFERROR(__xludf.DUMMYFUNCTION("GOOGLETRANSLATE(B144,""vi"",""km"")"),"កិច្ចសន្យាទូទាត់")</f>
        <v/>
      </c>
      <c r="E144" s="3" t="inlineStr">
        <is>
          <t>កិច្ចសន្យាទូទាត់</t>
        </is>
      </c>
      <c r="F144" s="217" t="inlineStr">
        <is>
          <t>v</t>
        </is>
      </c>
      <c r="G144" s="217" t="inlineStr">
        <is>
          <t>កិច្ចសន្យាទូទាត់</t>
        </is>
      </c>
      <c r="H144" t="inlineStr">
        <is>
          <t>កិច្ចសន្យាទូទាត់</t>
        </is>
      </c>
      <c r="J144" s="217" t="inlineStr">
        <is>
          <t>"updateCustomer.contract": "Payment contract",</t>
        </is>
      </c>
    </row>
    <row r="145" ht="15.75" customHeight="1" s="305">
      <c r="A145" s="217" t="inlineStr">
        <is>
          <t>updateCustomer.paymentType</t>
        </is>
      </c>
      <c r="B145" s="217" t="inlineStr">
        <is>
          <t>Loại thanh toán</t>
        </is>
      </c>
      <c r="C145" s="217">
        <f>IFERROR(__xludf.DUMMYFUNCTION("GOOGLETRANSLATE(B145,""vi"",""en"")"),"Payment type")</f>
        <v/>
      </c>
      <c r="D145" s="3">
        <f>IFERROR(__xludf.DUMMYFUNCTION("GOOGLETRANSLATE(B145,""vi"",""km"")"),"ប្រភេទនៃការបង់ប្រាក់")</f>
        <v/>
      </c>
      <c r="E145" s="3" t="inlineStr">
        <is>
          <t>ប្រភេទនៃការទូទាត់</t>
        </is>
      </c>
      <c r="F145" s="217" t="inlineStr">
        <is>
          <t>v</t>
        </is>
      </c>
      <c r="G145" s="217" t="inlineStr">
        <is>
          <t>ប្រភេទនៃការទូទាត់</t>
        </is>
      </c>
      <c r="H145" t="inlineStr">
        <is>
          <t>ប្រភេទនៃការទូទាត់</t>
        </is>
      </c>
      <c r="J145" s="217" t="inlineStr">
        <is>
          <t>"updateCustomer.paymentType": "Payment type",</t>
        </is>
      </c>
    </row>
    <row r="146" ht="15.75" customHeight="1" s="305">
      <c r="A146" s="217" t="inlineStr">
        <is>
          <t>updateCustomer.haveContract</t>
        </is>
      </c>
      <c r="B146" s="217" t="inlineStr">
        <is>
          <t>Đã có hợp đồng</t>
        </is>
      </c>
      <c r="C146" s="217">
        <f>IFERROR(__xludf.DUMMYFUNCTION("GOOGLETRANSLATE(B146,""vi"",""en"")"),"A contract has been signed.")</f>
        <v/>
      </c>
      <c r="D146" s="3">
        <f>IFERROR(__xludf.DUMMYFUNCTION("GOOGLETRANSLATE(B146,""vi"",""km"")"),"កិច្ចសន្យាមួយត្រូវបានចុះហត្ថលេខា។")</f>
        <v/>
      </c>
      <c r="E146" s="3" t="inlineStr">
        <is>
          <t>មានកិច្ចសន្យា</t>
        </is>
      </c>
      <c r="F146" s="217" t="inlineStr">
        <is>
          <t>v</t>
        </is>
      </c>
      <c r="G146" s="217" t="inlineStr">
        <is>
          <t>មានកិច្ចសន្យា</t>
        </is>
      </c>
      <c r="H146" t="inlineStr">
        <is>
          <t>មានកិច្ចសន្យា</t>
        </is>
      </c>
      <c r="J146" s="217" t="inlineStr">
        <is>
          <t>"updateCustomer.haveContract": "A contract has been signed.",</t>
        </is>
      </c>
    </row>
    <row r="147" ht="15.75" customHeight="1" s="305">
      <c r="A147" s="217" t="inlineStr">
        <is>
          <t>updateCustomer.noContract</t>
        </is>
      </c>
      <c r="B147" s="217" t="inlineStr">
        <is>
          <t>Chưa có hợp đồng</t>
        </is>
      </c>
      <c r="C147" s="217">
        <f>IFERROR(__xludf.DUMMYFUNCTION("GOOGLETRANSLATE(B147,""vi"",""en"")"),"No contract yet.")</f>
        <v/>
      </c>
      <c r="D147" s="3">
        <f>IFERROR(__xludf.DUMMYFUNCTION("GOOGLETRANSLATE(B147,""vi"",""km"")"),"មិនទាន់មានកិច្ចសន្យានៅឡើយទេ។")</f>
        <v/>
      </c>
      <c r="E147" s="3" t="inlineStr">
        <is>
          <t>មិនទាន់មានកិច្ចសន្យា</t>
        </is>
      </c>
      <c r="F147" s="217" t="inlineStr">
        <is>
          <t>v</t>
        </is>
      </c>
      <c r="G147" s="217" t="inlineStr">
        <is>
          <t>មិនទាន់មានកិច្ចសន្យា</t>
        </is>
      </c>
      <c r="H147" t="inlineStr">
        <is>
          <t>មិនទាន់មានកិច្ចសន្យា</t>
        </is>
      </c>
      <c r="J147" s="217" t="inlineStr">
        <is>
          <t>"updateCustomer.noContract": "No contract yet.",</t>
        </is>
      </c>
    </row>
    <row r="148" ht="15.75" customHeight="1" s="305">
      <c r="A148" s="217" t="inlineStr">
        <is>
          <t>updateCustomer.prepaid</t>
        </is>
      </c>
      <c r="B148" s="217" t="inlineStr">
        <is>
          <t>Trả trước</t>
        </is>
      </c>
      <c r="C148" s="217">
        <f>IFERROR(__xludf.DUMMYFUNCTION("GOOGLETRANSLATE(B148,""vi"",""en"")"),"Prepay")</f>
        <v/>
      </c>
      <c r="D148" s="3">
        <f>IFERROR(__xludf.DUMMYFUNCTION("GOOGLETRANSLATE(B148,""vi"",""km"")"),"បង់ប្រាក់ជាមុន")</f>
        <v/>
      </c>
      <c r="E148" s="3" t="inlineStr">
        <is>
          <t>បង់ប្រាក់មុន</t>
        </is>
      </c>
      <c r="F148" s="217" t="inlineStr">
        <is>
          <t>x</t>
        </is>
      </c>
      <c r="G148" s="217" t="inlineStr">
        <is>
          <t>បង់ប្រាក់មុន</t>
        </is>
      </c>
      <c r="H148" t="inlineStr">
        <is>
          <t>បង់ប្រាក់មុន</t>
        </is>
      </c>
      <c r="J148" s="217" t="inlineStr">
        <is>
          <t>"updateCustomer.prepaid": "Prepay",</t>
        </is>
      </c>
    </row>
    <row r="149" ht="15.75" customHeight="1" s="305">
      <c r="A149" s="217" t="inlineStr">
        <is>
          <t>updateCustomer.postpaid</t>
        </is>
      </c>
      <c r="B149" s="217" t="inlineStr">
        <is>
          <t>Trả sau</t>
        </is>
      </c>
      <c r="C149" s="217">
        <f>IFERROR(__xludf.DUMMYFUNCTION("GOOGLETRANSLATE(B149,""vi"",""en"")"),"Pay later")</f>
        <v/>
      </c>
      <c r="D149" s="3">
        <f>IFERROR(__xludf.DUMMYFUNCTION("GOOGLETRANSLATE(B149,""vi"",""km"")"),"បង់ប្រាក់ពេលក្រោយ")</f>
        <v/>
      </c>
      <c r="E149" s="3" t="inlineStr">
        <is>
          <t>បង់ក្រោយ</t>
        </is>
      </c>
      <c r="F149" s="217" t="inlineStr">
        <is>
          <t>x</t>
        </is>
      </c>
      <c r="G149" s="217" t="inlineStr">
        <is>
          <t>ទូទាត់ប្រាក់ពេលក្រោយ</t>
        </is>
      </c>
      <c r="H149" t="inlineStr">
        <is>
          <t>ទូទាត់ប្រាក់ពេលក្រោយ</t>
        </is>
      </c>
      <c r="J149" s="217" t="inlineStr">
        <is>
          <t>"updateCustomer.postpaid": "Pay later",</t>
        </is>
      </c>
    </row>
    <row r="150" ht="15.75" customHeight="1" s="305">
      <c r="A150" s="217" t="inlineStr">
        <is>
          <t>updateCustomer.selectFile</t>
        </is>
      </c>
      <c r="B150" s="217" t="inlineStr">
        <is>
          <t xml:space="preserve">Chọn tệp </t>
        </is>
      </c>
      <c r="C150" s="217">
        <f>IFERROR(__xludf.DUMMYFUNCTION("GOOGLETRANSLATE(B150,""vi"",""en"")"),"Select file")</f>
        <v/>
      </c>
      <c r="D150" s="3">
        <f>IFERROR(__xludf.DUMMYFUNCTION("GOOGLETRANSLATE(B150,""vi"",""km"")"),"ជ្រើសរើសឯកសារ")</f>
        <v/>
      </c>
      <c r="E150" s="3" t="inlineStr">
        <is>
          <t>ជ្រើសរើស File</t>
        </is>
      </c>
      <c r="F150" s="217" t="inlineStr">
        <is>
          <t>x</t>
        </is>
      </c>
      <c r="G150" s="217" t="inlineStr">
        <is>
          <t>ជ្រើសរើស File</t>
        </is>
      </c>
      <c r="H150" t="inlineStr">
        <is>
          <t>ជ្រើសរើស File</t>
        </is>
      </c>
      <c r="J150" s="217" t="inlineStr">
        <is>
          <t>"updateCustomer.selectFile": "Select file",</t>
        </is>
      </c>
    </row>
    <row r="151" ht="15.75" customHeight="1" s="305">
      <c r="A151" s="217" t="inlineStr">
        <is>
          <t>updateCustomer.dragFile</t>
        </is>
      </c>
      <c r="B151" s="217" t="inlineStr">
        <is>
          <t>hoặc kéo thả vào vùng này</t>
        </is>
      </c>
      <c r="C151" s="217">
        <f>IFERROR(__xludf.DUMMYFUNCTION("GOOGLETRANSLATE(B151,""vi"",""en"")"),"or drag and drop into this area")</f>
        <v/>
      </c>
      <c r="D151" s="3">
        <f>IFERROR(__xludf.DUMMYFUNCTION("GOOGLETRANSLATE(B151,""vi"",""km"")"),"ឬអូសហើយទម្លាក់ចូលទៅក្នុងតំបន់នេះ")</f>
        <v/>
      </c>
      <c r="E151" s="3" t="inlineStr">
        <is>
          <t>ទាញយកទម្លាក់ចូលតំបន់នេះ</t>
        </is>
      </c>
      <c r="F151" s="217" t="inlineStr">
        <is>
          <t>x</t>
        </is>
      </c>
      <c r="G151" s="217" t="inlineStr">
        <is>
          <t>ទាញយកទម្លាក់ចូលតំបន់នេះ</t>
        </is>
      </c>
      <c r="H151" t="inlineStr">
        <is>
          <t>ទាញយកទម្លាក់ចូលតំបន់នេះ</t>
        </is>
      </c>
      <c r="J151" s="217" t="inlineStr">
        <is>
          <t>"updateCustomer.dragFile": "or drag and drop into this area",</t>
        </is>
      </c>
    </row>
    <row r="152" ht="15.75" customHeight="1" s="305">
      <c r="A152" s="217" t="inlineStr">
        <is>
          <t>updateCustomer.note</t>
        </is>
      </c>
      <c r="B152" s="217" t="inlineStr">
        <is>
          <t>Lưu ý</t>
        </is>
      </c>
      <c r="C152" s="217">
        <f>IFERROR(__xludf.DUMMYFUNCTION("GOOGLETRANSLATE(B152,""vi"",""en"")"),"Note")</f>
        <v/>
      </c>
      <c r="D152" s="3">
        <f>IFERROR(__xludf.DUMMYFUNCTION("GOOGLETRANSLATE(B152,""vi"",""km"")"),"កំណត់ចំណាំ")</f>
        <v/>
      </c>
      <c r="E152" s="3" t="inlineStr">
        <is>
          <t>ចំណាំ</t>
        </is>
      </c>
      <c r="F152" s="217" t="inlineStr">
        <is>
          <t>v</t>
        </is>
      </c>
      <c r="G152" s="217" t="inlineStr">
        <is>
          <t>ចំណាំ</t>
        </is>
      </c>
      <c r="H152" t="inlineStr">
        <is>
          <t>ចំណាំ</t>
        </is>
      </c>
      <c r="J152" s="217" t="inlineStr">
        <is>
          <t>"updateCustomer.note": "Note",</t>
        </is>
      </c>
    </row>
    <row r="153" ht="15.75" customHeight="1" s="305">
      <c r="A153" s="217" t="inlineStr">
        <is>
          <t>updateCustomer.note1</t>
        </is>
      </c>
      <c r="B153" s="217" t="inlineStr">
        <is>
          <t>Bạn chỉ có thể tải tối đa 5 files</t>
        </is>
      </c>
      <c r="C153" s="217">
        <f>IFERROR(__xludf.DUMMYFUNCTION("GOOGLETRANSLATE(B153,""vi"",""en"")"),"You can only upload a maximum of 5 files.")</f>
        <v/>
      </c>
      <c r="D153" s="3">
        <f>IFERROR(__xludf.DUMMYFUNCTION("GOOGLETRANSLATE(B153,""vi"",""km"")"),"អ្នកអាចបង្ហោះឯកសារបានអតិបរមាត្រឹមតែ ៥ ឯកសារប៉ុណ្ណោះ។")</f>
        <v/>
      </c>
      <c r="E153" s="3" t="inlineStr">
        <is>
          <t>អ្នកអាចដោនឡតហ្វាល់បានត្រឹមតែ 5 ប៉ុណ្ណោះ</t>
        </is>
      </c>
      <c r="F153" s="217" t="inlineStr">
        <is>
          <t>v</t>
        </is>
      </c>
      <c r="G153" s="217" t="inlineStr">
        <is>
          <t>អ្នកអាចដោនឡតហ្វាល់បានត្រឹមតែ 5 ប៉ុណ្ណោះ</t>
        </is>
      </c>
      <c r="H153" t="inlineStr">
        <is>
          <t>អ្នកអាចដោនឡតហ្វាល់បានត្រឹមតែ 5 ប៉ុណ្ណោះ</t>
        </is>
      </c>
      <c r="J153" s="217" t="inlineStr">
        <is>
          <t>"updateCustomer.note1": "You can only upload a maximum of 5 files.",</t>
        </is>
      </c>
      <c r="O153" s="217" t="inlineStr">
        <is>
          <t>អ្នកអាចដោនឡតហ្វាល់ Pdf បានតែ 5 ប៉ុណ្ណោះ</t>
        </is>
      </c>
    </row>
    <row r="154" ht="15.75" customHeight="1" s="305">
      <c r="A154" s="217" t="inlineStr">
        <is>
          <t>updateCustomer.note2</t>
        </is>
      </c>
      <c r="B154" s="217" t="inlineStr">
        <is>
          <t>Chỉ được tải file có đuôi .pdf</t>
        </is>
      </c>
      <c r="C154" s="217">
        <f>IFERROR(__xludf.DUMMYFUNCTION("GOOGLETRANSLATE(B154,""vi"",""en"")"),"Only files with the .pdf extension can be downloaded.")</f>
        <v/>
      </c>
      <c r="D154" s="3">
        <f>IFERROR(__xludf.DUMMYFUNCTION("GOOGLETRANSLATE(B154,""vi"",""km"")"),"មានតែឯកសារដែលមានផ្នែកបន្ថែម .pdf ប៉ុណ្ណោះដែលអាចទាញយកបាន។")</f>
        <v/>
      </c>
      <c r="E154" s="3" t="inlineStr">
        <is>
          <t>អាចដោនឡតហ្វាល់ណាដែលមានកន្ទុយថា pdf ប៉ុណ្ណោះ</t>
        </is>
      </c>
      <c r="F154" s="217" t="inlineStr">
        <is>
          <t>v</t>
        </is>
      </c>
      <c r="G154" s="217" t="inlineStr">
        <is>
          <t>អាចដោនឡតហ្វាល់ណាដែលមានកន្ទុយថា pdf ប៉ុណ្ណោះ</t>
        </is>
      </c>
      <c r="H154" t="inlineStr">
        <is>
          <t>អាចដោនឡតហ្វាល់ណាដែលមានកន្ទុយថា pdf ប៉ុណ្ណោះ</t>
        </is>
      </c>
      <c r="J154" s="217" t="inlineStr">
        <is>
          <t>"updateCustomer.note2": "Only files with the .pdf extension can be downloaded.",</t>
        </is>
      </c>
      <c r="O154" s="217" t="inlineStr">
        <is>
          <t>អាចទាញយកហ្វាល់​ pdf បានតែប៉ុណ្ណោះ</t>
        </is>
      </c>
    </row>
    <row r="155" ht="15.75" customHeight="1" s="305">
      <c r="A155" s="217" t="inlineStr">
        <is>
          <t>updateCustomer.invalidateFile</t>
        </is>
      </c>
      <c r="B155" s="217" t="inlineStr">
        <is>
          <t>Chỉ cho phép tải tệp có đuôi .pdf</t>
        </is>
      </c>
      <c r="C155" s="217">
        <f>IFERROR(__xludf.DUMMYFUNCTION("GOOGLETRANSLATE(B155,""vi"",""en"")"),"Only allow uploading files with the .pdf extension.")</f>
        <v/>
      </c>
      <c r="D155" s="3">
        <f>IFERROR(__xludf.DUMMYFUNCTION("GOOGLETRANSLATE(B155,""vi"",""km"")"),"អនុញ្ញាត​ឲ្យ​ផ្ទុក​ឡើង​តែ​ឯកសារ​ដែល​មាន​ផ្នែក​បន្ថែម .pdf ប៉ុណ្ណោះ។")</f>
        <v/>
      </c>
      <c r="E155" s="3" t="inlineStr">
        <is>
          <t>អាចដោនឡតហ្វាល់ណាដែលមានកន្ទុយថា pdf ប៉ុណ្ណោះ</t>
        </is>
      </c>
      <c r="F155" s="217" t="inlineStr">
        <is>
          <t>v</t>
        </is>
      </c>
      <c r="G155" s="217" t="inlineStr">
        <is>
          <t>អាចដោនឡតហ្វាល់ណាដែលមានកន្ទុយថា pdf ប៉ុណ្ណោះ</t>
        </is>
      </c>
      <c r="H155" t="inlineStr">
        <is>
          <t>អាចដោនឡតហ្វាល់ណាដែលមានកន្ទុយថា pdf ប៉ុណ្ណោះ</t>
        </is>
      </c>
      <c r="J155" s="217" t="inlineStr">
        <is>
          <t>"updateCustomer.invalidateFile": "Only allow uploading files with the .pdf extension.",</t>
        </is>
      </c>
      <c r="O155" s="217" t="inlineStr">
        <is>
          <t>អាចផ្ទុកបានតែហ្វាល់ pdf តែប៉ុណ្ណោះ</t>
        </is>
      </c>
    </row>
    <row r="156" ht="15.75" customHeight="1" s="305">
      <c r="A156" s="217" t="inlineStr">
        <is>
          <t>updateCustomer.warehouseInfo</t>
        </is>
      </c>
      <c r="B156" s="217" t="inlineStr">
        <is>
          <t>Thông tin kho</t>
        </is>
      </c>
      <c r="C156" s="217">
        <f>IFERROR(__xludf.DUMMYFUNCTION("GOOGLETRANSLATE(B156,""vi"",""en"")"),"Warehouse information")</f>
        <v/>
      </c>
      <c r="D156" s="3">
        <f>IFERROR(__xludf.DUMMYFUNCTION("GOOGLETRANSLATE(B156,""vi"",""km"")"),"ព័ត៌មានឃ្លាំង")</f>
        <v/>
      </c>
      <c r="E156" s="3" t="inlineStr">
        <is>
          <t>ព័ត៌មានឃ្លាំង</t>
        </is>
      </c>
      <c r="F156" s="217" t="inlineStr">
        <is>
          <t>v</t>
        </is>
      </c>
      <c r="G156" s="217" t="inlineStr">
        <is>
          <t>ព័ត៌មានឃ្លាំង</t>
        </is>
      </c>
      <c r="H156" t="inlineStr">
        <is>
          <t>ព័ត៌មានឃ្លាំង</t>
        </is>
      </c>
      <c r="J156" s="217" t="inlineStr">
        <is>
          <t>"updateCustomer.warehouseInfo": "Warehouse information",</t>
        </is>
      </c>
    </row>
    <row r="157" ht="15.75" customHeight="1" s="305">
      <c r="A157" s="217" t="inlineStr">
        <is>
          <t>updateCustomer.paymentInfo</t>
        </is>
      </c>
      <c r="B157" s="217" t="inlineStr">
        <is>
          <t>Thông tin thanh toán</t>
        </is>
      </c>
      <c r="C157" s="217">
        <f>IFERROR(__xludf.DUMMYFUNCTION("GOOGLETRANSLATE(B157,""vi"",""en"")"),"Payment information")</f>
        <v/>
      </c>
      <c r="D157" s="3">
        <f>IFERROR(__xludf.DUMMYFUNCTION("GOOGLETRANSLATE(B157,""vi"",""km"")"),"ព័ត៌មាន​ទូទាត់")</f>
        <v/>
      </c>
      <c r="E157" s="3" t="inlineStr">
        <is>
          <t>ព័ត៌មានទូទាត់</t>
        </is>
      </c>
      <c r="F157" s="217" t="inlineStr">
        <is>
          <t>v</t>
        </is>
      </c>
      <c r="G157" s="217" t="inlineStr">
        <is>
          <t>ព័ត៌មានទូទាត់</t>
        </is>
      </c>
      <c r="H157" t="inlineStr">
        <is>
          <t>ព័ត៌មានទូទាត់</t>
        </is>
      </c>
      <c r="J157" s="217" t="inlineStr">
        <is>
          <t>"updateCustomer.paymentInfo": "Payment information",</t>
        </is>
      </c>
      <c r="O157" s="217" t="inlineStr">
        <is>
          <t>មធ្យោបាយបង​​​​ប្រាក់</t>
        </is>
      </c>
    </row>
    <row r="158" ht="15.75" customHeight="1" s="305">
      <c r="A158" s="217" t="inlineStr">
        <is>
          <t>updateCustomer.codInfo</t>
        </is>
      </c>
      <c r="B158" s="217" t="inlineStr">
        <is>
          <t>Thông tin thanh toán cước/COD</t>
        </is>
      </c>
      <c r="C158" s="217">
        <f>IFERROR(__xludf.DUMMYFUNCTION("GOOGLETRANSLATE(B158,""vi"",""en"")"),"Payment information/Cash on Delivery (COD)")</f>
        <v/>
      </c>
      <c r="D158" s="3">
        <f>IFERROR(__xludf.DUMMYFUNCTION("GOOGLETRANSLATE(B158,""vi"",""km"")"),"ព័ត៌មានទូទាត់/បង់ប្រាក់ពេលទទួលទំនិញ (COD)")</f>
        <v/>
      </c>
      <c r="E158" s="3" t="inlineStr">
        <is>
          <t>ព័ត៌មានទូទាត់សេវា/COD</t>
        </is>
      </c>
      <c r="F158" s="217" t="inlineStr">
        <is>
          <t>v</t>
        </is>
      </c>
      <c r="G158" s="217" t="inlineStr">
        <is>
          <t>ព័ត៌មានទូទាត់សេវា/COD</t>
        </is>
      </c>
      <c r="H158" t="inlineStr">
        <is>
          <t>ព័ត៌មានទូទាត់សេវា/COD</t>
        </is>
      </c>
      <c r="J158" s="217" t="inlineStr">
        <is>
          <t>"updateCustomer.codInfo": "Payment information/Cash on Delivery (COD)",</t>
        </is>
      </c>
    </row>
    <row r="159" ht="15.75" customHeight="1" s="305">
      <c r="A159" s="217" t="inlineStr">
        <is>
          <t>updateCustomer.bank</t>
        </is>
      </c>
      <c r="B159" s="217" t="inlineStr">
        <is>
          <t>Ngân hàng</t>
        </is>
      </c>
      <c r="C159" s="217">
        <f>IFERROR(__xludf.DUMMYFUNCTION("GOOGLETRANSLATE(B159,""vi"",""en"")"),"Bank")</f>
        <v/>
      </c>
      <c r="D159" s="3">
        <f>IFERROR(__xludf.DUMMYFUNCTION("GOOGLETRANSLATE(B159,""vi"",""km"")"),"ធនាគារ")</f>
        <v/>
      </c>
      <c r="E159" s="3" t="inlineStr">
        <is>
          <t>ធនាគារ</t>
        </is>
      </c>
      <c r="F159" s="217" t="inlineStr">
        <is>
          <t>v</t>
        </is>
      </c>
      <c r="G159" s="217" t="inlineStr">
        <is>
          <t>ធនាគារ</t>
        </is>
      </c>
      <c r="H159" t="inlineStr">
        <is>
          <t>ធនាគារ</t>
        </is>
      </c>
      <c r="J159" s="217" t="inlineStr">
        <is>
          <t>"updateCustomer.bank": "Bank",</t>
        </is>
      </c>
    </row>
    <row r="160" ht="15.75" customHeight="1" s="305">
      <c r="A160" s="217" t="inlineStr">
        <is>
          <t>updateCustomer.bankNo</t>
        </is>
      </c>
      <c r="B160" s="217" t="inlineStr">
        <is>
          <t>Số tài khoản</t>
        </is>
      </c>
      <c r="C160" s="217">
        <f>IFERROR(__xludf.DUMMYFUNCTION("GOOGLETRANSLATE(B160,""vi"",""en"")"),"Account number")</f>
        <v/>
      </c>
      <c r="D160" s="3">
        <f>IFERROR(__xludf.DUMMYFUNCTION("GOOGLETRANSLATE(B160,""vi"",""km"")"),"លេខគណនី")</f>
        <v/>
      </c>
      <c r="E160" s="3" t="inlineStr">
        <is>
          <t>លេខគណនី</t>
        </is>
      </c>
      <c r="F160" s="217" t="inlineStr">
        <is>
          <t>v</t>
        </is>
      </c>
      <c r="G160" s="217" t="inlineStr">
        <is>
          <t>លេខគណនីធនាគារ</t>
        </is>
      </c>
      <c r="H160" t="inlineStr">
        <is>
          <t>លេខគណនីធនាគារ</t>
        </is>
      </c>
      <c r="J160" s="217" t="inlineStr">
        <is>
          <t>"updateCustomer.bankNo": "Account number",</t>
        </is>
      </c>
    </row>
    <row r="161" ht="15.75" customHeight="1" s="305">
      <c r="A161" s="217" t="inlineStr">
        <is>
          <t>updateCustomer.bankOwner</t>
        </is>
      </c>
      <c r="B161" s="217" t="inlineStr">
        <is>
          <t>Chủ tài khoản</t>
        </is>
      </c>
      <c r="C161" s="217">
        <f>IFERROR(__xludf.DUMMYFUNCTION("GOOGLETRANSLATE(B161,""vi"",""en"")"),"Account holder")</f>
        <v/>
      </c>
      <c r="D161" s="3">
        <f>IFERROR(__xludf.DUMMYFUNCTION("GOOGLETRANSLATE(B161,""vi"",""km"")"),"ម្ចាស់គណនី")</f>
        <v/>
      </c>
      <c r="E161" s="3" t="inlineStr">
        <is>
          <t>ម្ចាស់គណនី</t>
        </is>
      </c>
      <c r="F161" s="217" t="inlineStr">
        <is>
          <t>v</t>
        </is>
      </c>
      <c r="G161" s="217" t="inlineStr">
        <is>
          <t>ម្ចាស់គណនី</t>
        </is>
      </c>
      <c r="H161" t="inlineStr">
        <is>
          <t>ម្ចាស់គណនី</t>
        </is>
      </c>
      <c r="J161" s="217" t="inlineStr">
        <is>
          <t>"updateCustomer.bankOwner": "Account holder",</t>
        </is>
      </c>
    </row>
    <row r="162" ht="15.75" customHeight="1" s="305">
      <c r="A162" s="217" t="inlineStr">
        <is>
          <t>updateCustomer.paymentMethod</t>
        </is>
      </c>
      <c r="B162" s="217" t="inlineStr">
        <is>
          <t>Phương thức thanh toán</t>
        </is>
      </c>
      <c r="C162" s="217">
        <f>IFERROR(__xludf.DUMMYFUNCTION("GOOGLETRANSLATE(B162,""vi"",""en"")"),"Payment methods")</f>
        <v/>
      </c>
      <c r="D162" s="3">
        <f>IFERROR(__xludf.DUMMYFUNCTION("GOOGLETRANSLATE(B162,""vi"",""km"")"),"វិធីសាស្ត្រទូទាត់")</f>
        <v/>
      </c>
      <c r="E162" s="3" t="inlineStr">
        <is>
          <t>វិធីសាស្រ្តទូទាត់</t>
        </is>
      </c>
      <c r="F162" s="217" t="inlineStr">
        <is>
          <t>v</t>
        </is>
      </c>
      <c r="G162" s="217" t="inlineStr">
        <is>
          <t>វិធីសាស្រ្តទូទាត់</t>
        </is>
      </c>
      <c r="H162" t="inlineStr">
        <is>
          <t>វិធីសាស្រ្តទូទាត់</t>
        </is>
      </c>
      <c r="J162" s="217" t="inlineStr">
        <is>
          <t>"updateCustomer.paymentMethod": "Payment methods",</t>
        </is>
      </c>
    </row>
    <row r="163" ht="15.75" customHeight="1" s="305">
      <c r="A163" s="217" t="inlineStr">
        <is>
          <t>updateCustomer.paymentForm</t>
        </is>
      </c>
      <c r="B163" s="217" t="inlineStr">
        <is>
          <t>Hình thức thanh toán</t>
        </is>
      </c>
      <c r="C163" s="217">
        <f>IFERROR(__xludf.DUMMYFUNCTION("GOOGLETRANSLATE(B163,""vi"",""en"")"),"Payment methods")</f>
        <v/>
      </c>
      <c r="D163" s="3">
        <f>IFERROR(__xludf.DUMMYFUNCTION("GOOGLETRANSLATE(B163,""vi"",""km"")"),"វិធីសាស្ត្រទូទាត់")</f>
        <v/>
      </c>
      <c r="E163" s="3" t="inlineStr">
        <is>
          <t>ប្រភេទនៃការទូទាត់</t>
        </is>
      </c>
      <c r="F163" s="217" t="inlineStr">
        <is>
          <t>v</t>
        </is>
      </c>
      <c r="G163" s="217" t="inlineStr">
        <is>
          <t>ប្រភេទនៃការទូទាត់</t>
        </is>
      </c>
      <c r="H163" t="inlineStr">
        <is>
          <t>ប្រភេទនៃការទូទាត់</t>
        </is>
      </c>
      <c r="J163" s="217" t="inlineStr">
        <is>
          <t>"updateCustomer.paymentForm": "Payment methods",</t>
        </is>
      </c>
    </row>
    <row r="164" ht="15.75" customHeight="1" s="305">
      <c r="A164" s="217" t="inlineStr">
        <is>
          <t>updateCustomer.paymentTime</t>
        </is>
      </c>
      <c r="B164" s="217" t="inlineStr">
        <is>
          <t>Thời gian thanh toán</t>
        </is>
      </c>
      <c r="C164" s="217">
        <f>IFERROR(__xludf.DUMMYFUNCTION("GOOGLETRANSLATE(B164,""vi"",""en"")"),"Payment terms")</f>
        <v/>
      </c>
      <c r="D164" s="3">
        <f>IFERROR(__xludf.DUMMYFUNCTION("GOOGLETRANSLATE(B164,""vi"",""km"")"),"លក្ខខណ្ឌទូទាត់")</f>
        <v/>
      </c>
      <c r="E164" s="3" t="inlineStr">
        <is>
          <t>ពេលវេលាទូទាត់</t>
        </is>
      </c>
      <c r="F164" s="217" t="inlineStr">
        <is>
          <t>v</t>
        </is>
      </c>
      <c r="G164" s="217" t="inlineStr">
        <is>
          <t>ពេលវេលាទូទាត់</t>
        </is>
      </c>
      <c r="H164" t="inlineStr">
        <is>
          <t>ពេលវេលាទូទាត់</t>
        </is>
      </c>
      <c r="J164" s="217" t="inlineStr">
        <is>
          <t>"updateCustomer.paymentTime": "Payment terms",</t>
        </is>
      </c>
    </row>
    <row r="165" ht="15.75" customHeight="1" s="305">
      <c r="A165" s="217" t="inlineStr">
        <is>
          <t>updateCustomer.DEDUCTED_FROM_COD</t>
        </is>
      </c>
      <c r="B165" s="217" t="inlineStr">
        <is>
          <t>Cấn trừ tiền cước phí dịch vụ với tiền COD</t>
        </is>
      </c>
      <c r="C165" s="217">
        <f>IFERROR(__xludf.DUMMYFUNCTION("GOOGLETRANSLATE(B165,""vi"",""en"")"),"Deduct the service fee from the COD payment.")</f>
        <v/>
      </c>
      <c r="D165" s="3">
        <f>IFERROR(__xludf.DUMMYFUNCTION("GOOGLETRANSLATE(B165,""vi"",""km"")"),"កាត់ថ្លៃសេវាកម្មចេញពីការទូទាត់ COD។")</f>
        <v/>
      </c>
      <c r="E165" s="3" t="inlineStr">
        <is>
          <t>កាត់ថ្លៃសេវាកម្មពីCOD</t>
        </is>
      </c>
      <c r="F165" s="217" t="inlineStr">
        <is>
          <t>x</t>
        </is>
      </c>
      <c r="G165" s="217" t="inlineStr">
        <is>
          <t>កាត់ថ្លៃសេវាកម្មពីCOD</t>
        </is>
      </c>
      <c r="H165" t="inlineStr">
        <is>
          <t>កាត់ថ្លៃសេវាកម្មពីCOD</t>
        </is>
      </c>
      <c r="J165" s="217" t="inlineStr">
        <is>
          <t>"updateCustomer.DEDUCTED_FROM_COD": "Deduct the service fee from the COD payment.",</t>
        </is>
      </c>
    </row>
    <row r="166" ht="15.75" customHeight="1" s="305">
      <c r="A166" s="217" t="inlineStr">
        <is>
          <t>updateCustomer.BANK_TRANSFER</t>
        </is>
      </c>
      <c r="B166" s="217" t="inlineStr">
        <is>
          <t>Chuyển khoản</t>
        </is>
      </c>
      <c r="C166" s="217">
        <f>IFERROR(__xludf.DUMMYFUNCTION("GOOGLETRANSLATE(B166,""vi"",""en"")"),"Transfer")</f>
        <v/>
      </c>
      <c r="D166" s="3">
        <f>IFERROR(__xludf.DUMMYFUNCTION("GOOGLETRANSLATE(B166,""vi"",""km"")"),"ផ្ទេរ")</f>
        <v/>
      </c>
      <c r="E166" s="3" t="inlineStr">
        <is>
          <t>ទូទាត់តាមធនាគារ</t>
        </is>
      </c>
      <c r="F166" s="217" t="inlineStr">
        <is>
          <t>x</t>
        </is>
      </c>
      <c r="G166" s="217" t="inlineStr">
        <is>
          <t>ផ្ទេរប្រាក់</t>
        </is>
      </c>
      <c r="H166" t="inlineStr">
        <is>
          <t>ផ្ទេរប្រាក់</t>
        </is>
      </c>
      <c r="J166" s="217" t="inlineStr">
        <is>
          <t>"updateCustomer.BANK_TRANSFER": "Transfer",</t>
        </is>
      </c>
    </row>
    <row r="167" ht="15.75" customHeight="1" s="305">
      <c r="A167" s="217" t="inlineStr">
        <is>
          <t>updateCustomer.codPaymentInformation</t>
        </is>
      </c>
      <c r="B167" s="217" t="inlineStr">
        <is>
          <t>Thông tin thanh toán COD</t>
        </is>
      </c>
      <c r="C167" s="217">
        <f>IFERROR(__xludf.DUMMYFUNCTION("GOOGLETRANSLATE(B167,""vi"",""en"")"),"Cash on Delivery (COD) payment information")</f>
        <v/>
      </c>
      <c r="D167" s="3">
        <f>IFERROR(__xludf.DUMMYFUNCTION("GOOGLETRANSLATE(B167,""vi"",""km"")"),"ព័ត៌មានអំពីការទូទាត់ប្រាក់ពេលទទួលទំនិញ (COD)")</f>
        <v/>
      </c>
      <c r="E167" s="3" t="inlineStr">
        <is>
          <t>ព័ត៌មានទូទាត់ COD</t>
        </is>
      </c>
      <c r="F167" s="217" t="inlineStr">
        <is>
          <t>v</t>
        </is>
      </c>
      <c r="G167" s="217" t="inlineStr">
        <is>
          <t>ព័ត៌មានទូទាត់ COD</t>
        </is>
      </c>
      <c r="H167" t="inlineStr">
        <is>
          <t>ព័ត៌មានទូទាត់ COD</t>
        </is>
      </c>
      <c r="J167" s="217" t="inlineStr">
        <is>
          <t>"updateCustomer.codPaymentInformation": "Cash on Delivery (COD) payment information",</t>
        </is>
      </c>
    </row>
    <row r="168" ht="15.75" customHeight="1" s="305">
      <c r="A168" s="217" t="inlineStr">
        <is>
          <t>updateCustomer.MON_WED_FRI</t>
        </is>
      </c>
      <c r="B168" s="217" t="inlineStr">
        <is>
          <t>Thứ 2,4,6 hàng tuần</t>
        </is>
      </c>
      <c r="C168" s="217">
        <f>IFERROR(__xludf.DUMMYFUNCTION("GOOGLETRANSLATE(B168,""vi"",""en"")"),"Mondays, Wednesdays, and Fridays")</f>
        <v/>
      </c>
      <c r="D168" s="3">
        <f>IFERROR(__xludf.DUMMYFUNCTION("GOOGLETRANSLATE(B168,""vi"",""km"")"),"ថ្ងៃច័ន្ទ ថ្ងៃពុធ និងថ្ងៃសុក្រ")</f>
        <v/>
      </c>
      <c r="E168" s="3" t="inlineStr">
        <is>
          <t>ថ្ងៃ ច័ន្ទ ពុធ សុក្រ ជារៀងរាល់សប្តាហ៍</t>
        </is>
      </c>
      <c r="F168" s="217" t="inlineStr">
        <is>
          <t>v</t>
        </is>
      </c>
      <c r="G168" s="217" t="inlineStr">
        <is>
          <t>ថ្ងៃ ច័ន្ទ ពុធ សុក្រ ជារៀងរាល់សប្តាហ៍</t>
        </is>
      </c>
      <c r="H168" t="inlineStr">
        <is>
          <t>ថ្ងៃ ច័ន្ទ ពុធ សុក្រ ជារៀងរាល់សប្តាហ៍</t>
        </is>
      </c>
      <c r="J168" s="217" t="inlineStr">
        <is>
          <t>"updateCustomer.MON_WED_FRI": "Mondays, Wednesdays, and Fridays",</t>
        </is>
      </c>
    </row>
    <row r="169" ht="15.75" customHeight="1" s="305">
      <c r="A169" s="217" t="inlineStr">
        <is>
          <t>updateCustomer.TUE_THU</t>
        </is>
      </c>
      <c r="B169" s="217" t="inlineStr">
        <is>
          <t>Thứ 3,5 hàng tuần</t>
        </is>
      </c>
      <c r="C169" s="217">
        <f>IFERROR(__xludf.DUMMYFUNCTION("GOOGLETRANSLATE(B169,""vi"",""en"")"),"Tuesdays and Thursdays every week")</f>
        <v/>
      </c>
      <c r="D169" s="3">
        <f>IFERROR(__xludf.DUMMYFUNCTION("GOOGLETRANSLATE(B169,""vi"",""km"")"),"ថ្ងៃអង្គារ និងថ្ងៃព្រហស្បតិ៍ រៀងរាល់សប្តាហ៍")</f>
        <v/>
      </c>
      <c r="E169" s="3" t="inlineStr">
        <is>
          <t>ថ្ងៃ្ង អង្គារ ព្រហស្បត្តិ ជារៀងរាល់សប្តាហ៍</t>
        </is>
      </c>
      <c r="F169" s="217" t="inlineStr">
        <is>
          <t>v</t>
        </is>
      </c>
      <c r="G169" s="217" t="inlineStr">
        <is>
          <t>ថ្ងៃ្ង អង្គារ ព្រហស្បត្តិ ជារៀងរាល់សប្តាហ៍</t>
        </is>
      </c>
      <c r="H169" t="inlineStr">
        <is>
          <t>ថ្ងៃ្ង អង្គារ ព្រហស្បត្តិ ជារៀងរាល់សប្តាហ៍</t>
        </is>
      </c>
      <c r="J169" s="217" t="inlineStr">
        <is>
          <t>"updateCustomer.TUE_THU": "Tuesdays and Thursdays every week",</t>
        </is>
      </c>
    </row>
    <row r="170" ht="15.75" customHeight="1" s="305">
      <c r="A170" s="217" t="inlineStr">
        <is>
          <t>updateCustomer.FIXED_DATE</t>
        </is>
      </c>
      <c r="B170" s="217" t="inlineStr">
        <is>
          <t>Ngày trong tháng</t>
        </is>
      </c>
      <c r="C170" s="217">
        <f>IFERROR(__xludf.DUMMYFUNCTION("GOOGLETRANSLATE(B170,""vi"",""en"")"),"Day of the month")</f>
        <v/>
      </c>
      <c r="D170" s="3">
        <f>IFERROR(__xludf.DUMMYFUNCTION("GOOGLETRANSLATE(B170,""vi"",""km"")"),"ថ្ងៃនៃខែ")</f>
        <v/>
      </c>
      <c r="E170" s="3" t="inlineStr">
        <is>
          <t>ថ្ងៃក្នុងខែ</t>
        </is>
      </c>
      <c r="F170" s="217" t="inlineStr">
        <is>
          <t>v</t>
        </is>
      </c>
      <c r="G170" s="217" t="inlineStr">
        <is>
          <t>ថ្ងៃក្នុងខែ</t>
        </is>
      </c>
      <c r="H170" t="inlineStr">
        <is>
          <t>ថ្ងៃក្នុងខែ</t>
        </is>
      </c>
      <c r="J170" s="217" t="inlineStr">
        <is>
          <t>"updateCustomer.FIXED_DATE": "Day of the month",</t>
        </is>
      </c>
    </row>
    <row r="171" ht="15.75" customHeight="1" s="305">
      <c r="A171" s="217" t="inlineStr">
        <is>
          <t>updateCustomer.selectedAll</t>
        </is>
      </c>
      <c r="B171" s="217" t="inlineStr">
        <is>
          <t>Chọn tất cả</t>
        </is>
      </c>
      <c r="C171" s="217">
        <f>IFERROR(__xludf.DUMMYFUNCTION("GOOGLETRANSLATE(B171,""vi"",""en"")"),"Select all")</f>
        <v/>
      </c>
      <c r="D171" s="3">
        <f>IFERROR(__xludf.DUMMYFUNCTION("GOOGLETRANSLATE(B171,""vi"",""km"")"),"ជ្រើសរើសទាំងអស់")</f>
        <v/>
      </c>
      <c r="E171" s="3" t="inlineStr">
        <is>
          <t>ជ្រើសរើសទាំងអស់</t>
        </is>
      </c>
      <c r="F171" s="217" t="inlineStr">
        <is>
          <t>v</t>
        </is>
      </c>
      <c r="G171" s="217" t="inlineStr">
        <is>
          <t>ជ្រើសរើសទាំងអស់</t>
        </is>
      </c>
      <c r="H171" t="inlineStr">
        <is>
          <t>ជ្រើសរើសទាំងអស់</t>
        </is>
      </c>
      <c r="J171" s="217" t="inlineStr">
        <is>
          <t>"updateCustomer.selectedAll": "Select all",</t>
        </is>
      </c>
    </row>
    <row r="172" ht="15.75" customHeight="1" s="305">
      <c r="A172" s="217" t="inlineStr">
        <is>
          <t>updateCustomer.selectedAllDay</t>
        </is>
      </c>
      <c r="B172" s="217" t="inlineStr">
        <is>
          <t>Chọn tất cả các ngày trong tháng</t>
        </is>
      </c>
      <c r="C172" s="217">
        <f>IFERROR(__xludf.DUMMYFUNCTION("GOOGLETRANSLATE(B172,""vi"",""en"")"),"Select all days of the month")</f>
        <v/>
      </c>
      <c r="D172" s="3">
        <f>IFERROR(__xludf.DUMMYFUNCTION("GOOGLETRANSLATE(B172,""vi"",""km"")"),"ជ្រើសរើសថ្ងៃទាំងអស់នៃខែ")</f>
        <v/>
      </c>
      <c r="E172" s="3" t="inlineStr">
        <is>
          <t>ជ្រើសរើសថ្ងៃទាំងអស់ក្នុងខែ</t>
        </is>
      </c>
      <c r="F172" s="217" t="inlineStr">
        <is>
          <t>v</t>
        </is>
      </c>
      <c r="G172" s="217" t="inlineStr">
        <is>
          <t>ជ្រើសរើសថ្ងៃទាំងអស់ក្នុងខែ</t>
        </is>
      </c>
      <c r="H172" t="inlineStr">
        <is>
          <t>ជ្រើសរើសថ្ងៃទាំងអស់ក្នុងខែ</t>
        </is>
      </c>
      <c r="J172" s="217" t="inlineStr">
        <is>
          <t>"updateCustomer.selectedAllDay": "Select all days of the month",</t>
        </is>
      </c>
    </row>
    <row r="173" ht="15.75" customHeight="1" s="305">
      <c r="A173" s="217" t="inlineStr">
        <is>
          <t>updateCustomer.days</t>
        </is>
      </c>
      <c r="B173" s="217" t="inlineStr">
        <is>
          <t>Các ngày</t>
        </is>
      </c>
      <c r="C173" s="217">
        <f>IFERROR(__xludf.DUMMYFUNCTION("GOOGLETRANSLATE(B173,""vi"",""en"")"),"The days")</f>
        <v/>
      </c>
      <c r="D173" s="3">
        <f>IFERROR(__xludf.DUMMYFUNCTION("GOOGLETRANSLATE(B173,""vi"",""km"")"),"ថ្ងៃទាំងនោះ")</f>
        <v/>
      </c>
      <c r="E173" s="3" t="inlineStr">
        <is>
          <t>ថ្ងៃទាំងអស់</t>
        </is>
      </c>
      <c r="F173" s="217" t="inlineStr">
        <is>
          <t>v</t>
        </is>
      </c>
      <c r="G173" s="217" t="inlineStr">
        <is>
          <t>ថ្ងៃទាំងអស់</t>
        </is>
      </c>
      <c r="H173" t="inlineStr">
        <is>
          <t>ថ្ងៃទាំងអស់</t>
        </is>
      </c>
      <c r="J173" s="217" t="inlineStr">
        <is>
          <t>"updateCustomer.days": "The days",</t>
        </is>
      </c>
    </row>
    <row r="174" ht="15.75" customHeight="1" s="305">
      <c r="A174" s="217" t="inlineStr">
        <is>
          <t>updateCustomer.monthly</t>
        </is>
      </c>
      <c r="B174" s="217" t="inlineStr">
        <is>
          <t>hàng tháng</t>
        </is>
      </c>
      <c r="C174" s="217">
        <f>IFERROR(__xludf.DUMMYFUNCTION("GOOGLETRANSLATE(B174,""vi"",""en"")"),"monthly")</f>
        <v/>
      </c>
      <c r="D174" s="3">
        <f>IFERROR(__xludf.DUMMYFUNCTION("GOOGLETRANSLATE(B174,""vi"",""km"")"),"ប្រចាំខែ")</f>
        <v/>
      </c>
      <c r="E174" s="3" t="inlineStr">
        <is>
          <t>រាល់ខែ</t>
        </is>
      </c>
      <c r="F174" s="217" t="inlineStr">
        <is>
          <t>v</t>
        </is>
      </c>
      <c r="G174" s="217" t="inlineStr">
        <is>
          <t>រាល់ខែ</t>
        </is>
      </c>
      <c r="H174" t="inlineStr">
        <is>
          <t>រាល់ខែ</t>
        </is>
      </c>
      <c r="J174" s="217" t="inlineStr">
        <is>
          <t>"updateCustomer.monthly": "monthly",</t>
        </is>
      </c>
    </row>
    <row r="175" ht="15.75" customHeight="1" s="305">
      <c r="A175" s="217" t="inlineStr">
        <is>
          <t>updateCustomer.titlePayment</t>
        </is>
      </c>
      <c r="B175" s="217" t="inlineStr">
        <is>
          <t>Phương thức thanh toán cước</t>
        </is>
      </c>
      <c r="C175" s="217">
        <f>IFERROR(__xludf.DUMMYFUNCTION("GOOGLETRANSLATE(B175,""vi"",""en"")"),"Payment methods")</f>
        <v/>
      </c>
      <c r="D175" s="3">
        <f>IFERROR(__xludf.DUMMYFUNCTION("GOOGLETRANSLATE(B175,""vi"",""km"")"),"វិធីសាស្ត្រទូទាត់")</f>
        <v/>
      </c>
      <c r="E175" s="3" t="inlineStr">
        <is>
          <t>វិធីសាស្រ្តទូទាត់សេវា</t>
        </is>
      </c>
      <c r="F175" s="217" t="inlineStr">
        <is>
          <t>v</t>
        </is>
      </c>
      <c r="G175" s="217" t="inlineStr">
        <is>
          <t>វិធីសាស្រ្តទូទាត់សេវា</t>
        </is>
      </c>
      <c r="H175" t="inlineStr">
        <is>
          <t>វិធីសាស្រ្តទូទាត់សេវា</t>
        </is>
      </c>
      <c r="J175" s="217" t="inlineStr">
        <is>
          <t>"updateCustomer.titlePayment": "Payment methods",</t>
        </is>
      </c>
    </row>
    <row r="176" ht="15.75" customHeight="1" s="305">
      <c r="A176" s="217" t="inlineStr">
        <is>
          <t>updateCustomer.titleCod</t>
        </is>
      </c>
      <c r="B176" s="217" t="inlineStr">
        <is>
          <t>Thông tin thanh toán COD</t>
        </is>
      </c>
      <c r="C176" s="217">
        <f>IFERROR(__xludf.DUMMYFUNCTION("GOOGLETRANSLATE(B176,""vi"",""en"")"),"Cash on Delivery (COD) payment information")</f>
        <v/>
      </c>
      <c r="D176" s="3">
        <f>IFERROR(__xludf.DUMMYFUNCTION("GOOGLETRANSLATE(B176,""vi"",""km"")"),"ព័ត៌មានអំពីការទូទាត់ប្រាក់ពេលទទួលទំនិញ (COD)")</f>
        <v/>
      </c>
      <c r="E176" s="3" t="inlineStr">
        <is>
          <t>ព័ត៌មានទូទាត់ COD</t>
        </is>
      </c>
      <c r="F176" s="217" t="inlineStr">
        <is>
          <t>v</t>
        </is>
      </c>
      <c r="G176" s="217" t="inlineStr">
        <is>
          <t>ព័ត៌មានទូទាត់ COD</t>
        </is>
      </c>
      <c r="H176" t="inlineStr">
        <is>
          <t>ព័ត៌មានទូទាត់ COD</t>
        </is>
      </c>
      <c r="J176" s="217" t="inlineStr">
        <is>
          <t>"updateCustomer.titleCod": "Cash on Delivery (COD) payment information",</t>
        </is>
      </c>
    </row>
    <row r="177" ht="15.75" customHeight="1" s="305">
      <c r="A177" s="217" t="inlineStr">
        <is>
          <t>updateCustomer.updateSuccess</t>
        </is>
      </c>
      <c r="B177" s="217" t="inlineStr">
        <is>
          <t>Cập nhật thông tin thành công</t>
        </is>
      </c>
      <c r="C177" s="217">
        <f>IFERROR(__xludf.DUMMYFUNCTION("GOOGLETRANSLATE(B177,""vi"",""en"")"),"Information updated successfully.")</f>
        <v/>
      </c>
      <c r="D177" s="3">
        <f>IFERROR(__xludf.DUMMYFUNCTION("GOOGLETRANSLATE(B177,""vi"",""km"")"),"ព័ត៌មានត្រូវបានធ្វើបច្ចុប្បន្នភាពដោយជោគជ័យ។")</f>
        <v/>
      </c>
      <c r="E177" s="3" t="inlineStr">
        <is>
          <t>ការអាប់ដេតព័ត៌មានបានជោគជ័យ</t>
        </is>
      </c>
      <c r="F177" s="217" t="inlineStr">
        <is>
          <t>v</t>
        </is>
      </c>
      <c r="G177" s="217" t="inlineStr">
        <is>
          <t>ការអាប់ដេតព័ត៌មានបានជោគជ័យ</t>
        </is>
      </c>
      <c r="H177" t="inlineStr">
        <is>
          <t>ការអាប់ដេតព័ត៌មានបានជោគជ័យ</t>
        </is>
      </c>
      <c r="J177" s="217" t="inlineStr">
        <is>
          <t>"updateCustomer.updateSuccess": "Information updated successfully.",</t>
        </is>
      </c>
    </row>
    <row r="178" ht="15.75" customHeight="1" s="305">
      <c r="A178" s="217" t="inlineStr">
        <is>
          <t>updateCustomer.updateContract</t>
        </is>
      </c>
      <c r="B178" s="217" t="inlineStr">
        <is>
          <t>Bạn có chắc muốn đổi thông tin khách hàng không?</t>
        </is>
      </c>
      <c r="C178" s="217">
        <f>IFERROR(__xludf.DUMMYFUNCTION("GOOGLETRANSLATE(B178,""vi"",""en"")"),"Are you sure you want to change customer information?")</f>
        <v/>
      </c>
      <c r="D178" s="3">
        <f>IFERROR(__xludf.DUMMYFUNCTION("GOOGLETRANSLATE(B178,""vi"",""km"")"),"តើអ្នកពិតជាចង់ផ្លាស់ប្តូរព័ត៌មានអតិថិជនមែនទេ?")</f>
        <v/>
      </c>
      <c r="E178" s="3" t="inlineStr">
        <is>
          <t>តើអ្នកពិតជាចង់កែប្រែព័ត៌មានរបស់អតិថិជនទេ?</t>
        </is>
      </c>
      <c r="F178" s="217" t="inlineStr">
        <is>
          <t>v</t>
        </is>
      </c>
      <c r="G178" s="217" t="inlineStr">
        <is>
          <t>តើអ្នកពិតជាចង់កែប្រែព័ត៌មានរបស់អតិថិជនទេ?</t>
        </is>
      </c>
      <c r="H178" t="inlineStr">
        <is>
          <t>តើអ្នកពិតជាចង់កែប្រែព័ត៌មានរបស់អតិថិជនទេ?</t>
        </is>
      </c>
      <c r="J178" s="217" t="inlineStr">
        <is>
          <t>"updateCustomer.updateContract": "Are you sure you want to change customer information?",</t>
        </is>
      </c>
    </row>
    <row r="179" ht="15.75" customHeight="1" s="305">
      <c r="A179" s="217" t="inlineStr">
        <is>
          <t>updateCustomer.fileDuplicate</t>
        </is>
      </c>
      <c r="B179" s="217" t="inlineStr">
        <is>
          <t>đã tồn tại. Bạn có muốn thay thế nó không?</t>
        </is>
      </c>
      <c r="C179" s="217">
        <f>IFERROR(__xludf.DUMMYFUNCTION("GOOGLETRANSLATE(B179,""vi"",""en"")"),"It already exists. Do you want to replace it?")</f>
        <v/>
      </c>
      <c r="D179" s="3">
        <f>IFERROR(__xludf.DUMMYFUNCTION("GOOGLETRANSLATE(B179,""vi"",""km"")"),"វាមានរួចហើយ។ តើអ្នកចង់ជំនួសវាទេ?")</f>
        <v/>
      </c>
      <c r="E179" s="3" t="inlineStr">
        <is>
          <t>វាមានរួចរាល់។ តើអ្នកចង់ផ្លាស់ប្តូរវាទេ?</t>
        </is>
      </c>
      <c r="F179" s="217" t="inlineStr">
        <is>
          <t>v</t>
        </is>
      </c>
      <c r="G179" s="217" t="inlineStr">
        <is>
          <t>វាមានរួចរាល់។ តើអ្នកចង់ផ្លាស់ប្តូរវាទេ?</t>
        </is>
      </c>
      <c r="H179" t="inlineStr">
        <is>
          <t>វាមានរួចរាល់។ តើអ្នកចង់ផ្លាស់ប្តូរវាទេ?</t>
        </is>
      </c>
      <c r="J179" s="217" t="inlineStr">
        <is>
          <t>"updateCustomer.fileDuplicate": "It already exists. Do you want to replace it?",</t>
        </is>
      </c>
    </row>
    <row r="180" ht="15.75" customHeight="1" s="305">
      <c r="A180" s="217" t="inlineStr">
        <is>
          <t>updateCustomer.fileEmpty</t>
        </is>
      </c>
      <c r="B180" s="217" t="inlineStr">
        <is>
          <t>Bắt buộc chọn files</t>
        </is>
      </c>
      <c r="C180" s="217">
        <f>IFERROR(__xludf.DUMMYFUNCTION("GOOGLETRANSLATE(B180,""vi"",""en"")"),"File selection is required.")</f>
        <v/>
      </c>
      <c r="D180" s="3">
        <f>IFERROR(__xludf.DUMMYFUNCTION("GOOGLETRANSLATE(B180,""vi"",""km"")"),"ការជ្រើសរើសឯកសារត្រូវបានទាមទារ។")</f>
        <v/>
      </c>
      <c r="E180" s="3" t="inlineStr">
        <is>
          <t>ត្រូវតែជ្រើសរើស File</t>
        </is>
      </c>
      <c r="F180" s="217" t="inlineStr">
        <is>
          <t>x</t>
        </is>
      </c>
      <c r="G180" s="217" t="inlineStr">
        <is>
          <t>ត្រូវតែជ្រើសរើស File</t>
        </is>
      </c>
      <c r="H180" t="inlineStr">
        <is>
          <t>ត្រូវតែជ្រើសរើស File</t>
        </is>
      </c>
      <c r="J180" s="217" t="inlineStr">
        <is>
          <t>"updateCustomer.fileEmpty": "File selection is required.",</t>
        </is>
      </c>
    </row>
    <row r="181" ht="15.75" customHeight="1" s="305">
      <c r="A181" s="217" t="inlineStr">
        <is>
          <t>updateCustomer.downloadSuccess</t>
        </is>
      </c>
      <c r="B181" s="217" t="inlineStr">
        <is>
          <t>Tải file thành công</t>
        </is>
      </c>
      <c r="C181" s="217">
        <f>IFERROR(__xludf.DUMMYFUNCTION("GOOGLETRANSLATE(B181,""vi"",""en"")"),"File downloaded successfully.")</f>
        <v/>
      </c>
      <c r="D181" s="3">
        <f>IFERROR(__xludf.DUMMYFUNCTION("GOOGLETRANSLATE(B181,""vi"",""km"")"),"ឯកសារត្រូវបានទាញយកដោយជោគជ័យ។")</f>
        <v/>
      </c>
      <c r="E181" s="3" t="inlineStr">
        <is>
          <t>ការទាញយក File បានជោគជ័យ</t>
        </is>
      </c>
      <c r="F181" s="217" t="inlineStr">
        <is>
          <t>v</t>
        </is>
      </c>
      <c r="G181" s="217" t="inlineStr">
        <is>
          <t>ការទាញយក File បានជោគជ័យ</t>
        </is>
      </c>
      <c r="H181" t="inlineStr">
        <is>
          <t>ការទាញយក File បានជោគជ័យ</t>
        </is>
      </c>
      <c r="J181" s="217" t="inlineStr">
        <is>
          <t>"updateCustomer.downloadSuccess": "File downloaded successfully.",</t>
        </is>
      </c>
    </row>
    <row r="182" ht="15.75" customHeight="1" s="305">
      <c r="A182" s="217" t="inlineStr">
        <is>
          <t>updateCustomer.downloadFail</t>
        </is>
      </c>
      <c r="B182" s="217" t="inlineStr">
        <is>
          <t>Tải file thất bại</t>
        </is>
      </c>
      <c r="C182" s="217">
        <f>IFERROR(__xludf.DUMMYFUNCTION("GOOGLETRANSLATE(B182,""vi"",""en"")"),"File download failed")</f>
        <v/>
      </c>
      <c r="D182" s="3">
        <f>IFERROR(__xludf.DUMMYFUNCTION("GOOGLETRANSLATE(B182,""vi"",""km"")"),"ការទាញយកឯកសារបរាជ័យ")</f>
        <v/>
      </c>
      <c r="E182" s="3" t="inlineStr">
        <is>
          <t>ការទាញយកFile បានបរាជ័យ</t>
        </is>
      </c>
      <c r="F182" s="217" t="inlineStr">
        <is>
          <t>v</t>
        </is>
      </c>
      <c r="G182" s="217" t="inlineStr">
        <is>
          <t>ការទាញយកFile បានបរាជ័យ</t>
        </is>
      </c>
      <c r="H182" t="inlineStr">
        <is>
          <t>ការទាញយកFile បានបរាជ័យ</t>
        </is>
      </c>
      <c r="J182" s="217" t="inlineStr">
        <is>
          <t>"updateCustomer.downloadFail": "File download failed",</t>
        </is>
      </c>
    </row>
    <row r="183" ht="15.75" customHeight="1" s="305">
      <c r="A183" s="217" t="inlineStr">
        <is>
          <t>updateCustomer.titleConfirm</t>
        </is>
      </c>
      <c r="B183" s="217" t="inlineStr">
        <is>
          <t>Bạn có chắc muốn đổi trạng thái thành</t>
        </is>
      </c>
      <c r="C183" s="217">
        <f>IFERROR(__xludf.DUMMYFUNCTION("GOOGLETRANSLATE(B183,""vi"",""en"")"),"Are you sure you want to change the status to")</f>
        <v/>
      </c>
      <c r="D183" s="3">
        <f>IFERROR(__xludf.DUMMYFUNCTION("GOOGLETRANSLATE(B183,""vi"",""km"")"),"តើអ្នកពិតជាចង់ផ្លាស់ប្តូរស្ថានភាពទៅ")</f>
        <v/>
      </c>
      <c r="E183" s="3" t="inlineStr">
        <is>
          <t>តើអ្នកពិតជាចង់ផ្លាស់ប្តូរស្ថានភាពមែនទេ?</t>
        </is>
      </c>
      <c r="F183" s="217" t="inlineStr">
        <is>
          <t>x</t>
        </is>
      </c>
      <c r="G183" s="217" t="inlineStr">
        <is>
          <t>តើអ្នកពិតជាចង់ផ្លាស់ប្តូរស្ថានភាពមែនទេ?</t>
        </is>
      </c>
      <c r="H183" t="inlineStr">
        <is>
          <t>តើអ្នកពិតជាចង់ផ្លាស់ប្តូរស្ថានភាពមែនទេ?</t>
        </is>
      </c>
      <c r="J183" s="217" t="inlineStr">
        <is>
          <t>"updateCustomer.titleConfirm": "Are you sure you want to change the status to",</t>
        </is>
      </c>
    </row>
    <row r="184" ht="15.75" customHeight="1" s="305">
      <c r="A184" s="217" t="inlineStr">
        <is>
          <t>updateCustomer.yet</t>
        </is>
      </c>
      <c r="B184" s="217" t="inlineStr">
        <is>
          <t>không</t>
        </is>
      </c>
      <c r="C184" s="217">
        <f>IFERROR(__xludf.DUMMYFUNCTION("GOOGLETRANSLATE(B184,""vi"",""en"")"),"Are not")</f>
        <v/>
      </c>
      <c r="D184" s="3">
        <f>IFERROR(__xludf.DUMMYFUNCTION("GOOGLETRANSLATE(B184,""vi"",""km"")"),"មិនមែនទេ")</f>
        <v/>
      </c>
      <c r="E184" s="3" t="inlineStr">
        <is>
          <t>អត់ទេ</t>
        </is>
      </c>
      <c r="F184" s="217" t="inlineStr">
        <is>
          <t>v</t>
        </is>
      </c>
      <c r="G184" s="217" t="inlineStr">
        <is>
          <t>អត់ទេ</t>
        </is>
      </c>
      <c r="H184" t="inlineStr">
        <is>
          <t>អត់ទេ</t>
        </is>
      </c>
      <c r="J184" s="217" t="inlineStr">
        <is>
          <t>"updateCustomer.yet": "Are not",</t>
        </is>
      </c>
    </row>
    <row r="185" ht="15.75" customHeight="1" s="305">
      <c r="A185" s="217" t="inlineStr">
        <is>
          <t>revenueManagement.keywordSearch</t>
        </is>
      </c>
      <c r="B185" s="217" t="inlineStr">
        <is>
          <t>Từ khoá</t>
        </is>
      </c>
      <c r="C185" s="217">
        <f>IFERROR(__xludf.DUMMYFUNCTION("GOOGLETRANSLATE(B185,""vi"",""en"")"),"Keywords")</f>
        <v/>
      </c>
      <c r="D185" s="3">
        <f>IFERROR(__xludf.DUMMYFUNCTION("GOOGLETRANSLATE(B185,""vi"",""km"")"),"ពាក្យគន្លឹះ")</f>
        <v/>
      </c>
      <c r="E185" s="3" t="inlineStr">
        <is>
          <t>ពាក្យគន្លិះ</t>
        </is>
      </c>
      <c r="F185" s="217" t="inlineStr">
        <is>
          <t>v</t>
        </is>
      </c>
      <c r="G185" s="217" t="inlineStr">
        <is>
          <t>ពាក្យគន្លិះ</t>
        </is>
      </c>
      <c r="H185" t="inlineStr">
        <is>
          <t>ពាក្យគន្លិះ</t>
        </is>
      </c>
      <c r="J185" s="217" t="inlineStr">
        <is>
          <t>"revenueManagement.keywordSearch": "Keywords",</t>
        </is>
      </c>
    </row>
    <row r="186" ht="15.75" customHeight="1" s="305">
      <c r="A186" s="217" t="inlineStr">
        <is>
          <t>revenueManagement.keywordSearchPlaceholder</t>
        </is>
      </c>
      <c r="B186" s="217" t="inlineStr">
        <is>
          <t>Mã đơn hàng, mã KH, mã dịch vụ</t>
        </is>
      </c>
      <c r="C186" s="217">
        <f>IFERROR(__xludf.DUMMYFUNCTION("GOOGLETRANSLATE(B186,""vi"",""en"")"),"Order code, customer code, service code")</f>
        <v/>
      </c>
      <c r="D186" s="3">
        <f>IFERROR(__xludf.DUMMYFUNCTION("GOOGLETRANSLATE(B186,""vi"",""km"")"),"លេខកូដបញ្ជាទិញ លេខកូដអតិថិជន លេខកូដសេវាកម្ម")</f>
        <v/>
      </c>
      <c r="E186" s="3" t="inlineStr">
        <is>
          <t>លេខកូដលើវិក័យប័ត្រអីវ៉ាន់ លេខកូដអតិថិជន លេខកូដសេវាកម្ម</t>
        </is>
      </c>
      <c r="F186" s="217" t="inlineStr">
        <is>
          <t>v</t>
        </is>
      </c>
      <c r="G186" s="217" t="inlineStr">
        <is>
          <t>លេខកូដលើវិក័យប័ត្រអីវ៉ាន់ លេខកូដអតិថិជន លេខកូដសេវាកម្ម</t>
        </is>
      </c>
      <c r="H186" t="inlineStr">
        <is>
          <t>លេខកូដលើវិក័យប័ត្រអីវ៉ាន់ លេខកូដអតិថិជន លេខកូដសេវាកម្ម</t>
        </is>
      </c>
      <c r="J186" s="217" t="inlineStr">
        <is>
          <t>"revenueManagement.keywordSearchPlaceholder": "Order code, customer code, service code",</t>
        </is>
      </c>
    </row>
    <row r="187" ht="15.75" customHeight="1" s="305">
      <c r="A187" s="217" t="inlineStr">
        <is>
          <t>revenueManagement.time</t>
        </is>
      </c>
      <c r="B187" s="217" t="inlineStr">
        <is>
          <t>Thời gian</t>
        </is>
      </c>
      <c r="C187" s="217">
        <f>IFERROR(__xludf.DUMMYFUNCTION("GOOGLETRANSLATE(B187,""vi"",""en"")"),"Time")</f>
        <v/>
      </c>
      <c r="D187" s="3">
        <f>IFERROR(__xludf.DUMMYFUNCTION("GOOGLETRANSLATE(B187,""vi"",""km"")"),"ពេលវេលា")</f>
        <v/>
      </c>
      <c r="E187" s="3" t="inlineStr">
        <is>
          <t>ពេលវេលា</t>
        </is>
      </c>
      <c r="F187" s="217" t="inlineStr">
        <is>
          <t>v</t>
        </is>
      </c>
      <c r="G187" s="217" t="inlineStr">
        <is>
          <t>ពេលវេលា</t>
        </is>
      </c>
      <c r="H187" t="inlineStr">
        <is>
          <t>ពេលវេលា</t>
        </is>
      </c>
      <c r="J187" s="217" t="inlineStr">
        <is>
          <t>"revenueManagement.time": "Time",</t>
        </is>
      </c>
    </row>
    <row r="188" ht="15.75" customHeight="1" s="305">
      <c r="A188" s="217" t="inlineStr">
        <is>
          <t>revenueManagement.source</t>
        </is>
      </c>
      <c r="B188" s="217" t="inlineStr">
        <is>
          <t>Nguồn</t>
        </is>
      </c>
      <c r="C188" s="217">
        <f>IFERROR(__xludf.DUMMYFUNCTION("GOOGLETRANSLATE(B188,""vi"",""en"")"),"Source")</f>
        <v/>
      </c>
      <c r="D188" s="3">
        <f>IFERROR(__xludf.DUMMYFUNCTION("GOOGLETRANSLATE(B188,""vi"",""km"")"),"ប្រភព")</f>
        <v/>
      </c>
      <c r="E188" s="3" t="inlineStr">
        <is>
          <t>ប្រភព</t>
        </is>
      </c>
      <c r="F188" s="217" t="inlineStr">
        <is>
          <t>v</t>
        </is>
      </c>
      <c r="G188" s="217" t="inlineStr">
        <is>
          <t>ប្រភព</t>
        </is>
      </c>
      <c r="H188" t="inlineStr">
        <is>
          <t>ប្រភព</t>
        </is>
      </c>
      <c r="J188" s="217" t="inlineStr">
        <is>
          <t>"revenueManagement.source": "Source",</t>
        </is>
      </c>
    </row>
    <row r="189" ht="15.75" customHeight="1" s="305">
      <c r="A189" s="217" t="inlineStr">
        <is>
          <t>revenueManagement.branch</t>
        </is>
      </c>
      <c r="B189" s="217" t="inlineStr">
        <is>
          <t>Chi nhánh</t>
        </is>
      </c>
      <c r="C189" s="217">
        <f>IFERROR(__xludf.DUMMYFUNCTION("GOOGLETRANSLATE(B189,""vi"",""en"")"),"Branch")</f>
        <v/>
      </c>
      <c r="D189" s="3">
        <f>IFERROR(__xludf.DUMMYFUNCTION("GOOGLETRANSLATE(B189,""vi"",""km"")"),"សាខា")</f>
        <v/>
      </c>
      <c r="E189" s="3" t="inlineStr">
        <is>
          <t>សាខា</t>
        </is>
      </c>
      <c r="F189" s="217" t="inlineStr">
        <is>
          <t>v</t>
        </is>
      </c>
      <c r="G189" s="217" t="inlineStr">
        <is>
          <t>សាខា</t>
        </is>
      </c>
      <c r="H189" t="inlineStr">
        <is>
          <t>សាខា</t>
        </is>
      </c>
      <c r="J189" s="217" t="inlineStr">
        <is>
          <t>"revenueManagement.branch": "Branch",</t>
        </is>
      </c>
    </row>
    <row r="190" ht="15.75" customHeight="1" s="305">
      <c r="A190" s="217" t="inlineStr">
        <is>
          <t>revenueManagement.postOffice</t>
        </is>
      </c>
      <c r="B190" s="217" t="inlineStr">
        <is>
          <t>Bưu cục</t>
        </is>
      </c>
      <c r="C190" s="217">
        <f>IFERROR(__xludf.DUMMYFUNCTION("GOOGLETRANSLATE(B190,""vi"",""en"")"),"Post Office")</f>
        <v/>
      </c>
      <c r="D190" s="3">
        <f>IFERROR(__xludf.DUMMYFUNCTION("GOOGLETRANSLATE(B190,""vi"",""km"")"),"ការិយាល័យប្រៃសណីយ៍")</f>
        <v/>
      </c>
      <c r="E190" s="3" t="inlineStr">
        <is>
          <t>ការិយាល័យប្រៃសណីយ៍</t>
        </is>
      </c>
      <c r="F190" s="217" t="inlineStr">
        <is>
          <t>v</t>
        </is>
      </c>
      <c r="G190" s="217" t="inlineStr">
        <is>
          <t>ការិយាល័យប្រៃសណីយ៍</t>
        </is>
      </c>
      <c r="H190" t="inlineStr">
        <is>
          <t>ការិយាល័យប្រៃសណីយ៍</t>
        </is>
      </c>
      <c r="J190" s="217" t="inlineStr">
        <is>
          <t>"revenueManagement.postOffice": "Post Office",</t>
        </is>
      </c>
    </row>
    <row r="191" ht="15.75" customHeight="1" s="305">
      <c r="A191" s="217" t="inlineStr">
        <is>
          <t>revenueManagement.search</t>
        </is>
      </c>
      <c r="B191" s="217" t="inlineStr">
        <is>
          <t>Tìm kiếm</t>
        </is>
      </c>
      <c r="C191" s="217">
        <f>IFERROR(__xludf.DUMMYFUNCTION("GOOGLETRANSLATE(B191,""vi"",""en"")"),"Search")</f>
        <v/>
      </c>
      <c r="D191" s="3">
        <f>IFERROR(__xludf.DUMMYFUNCTION("GOOGLETRANSLATE(B191,""vi"",""km"")"),"ស្វែងរក")</f>
        <v/>
      </c>
      <c r="E191" s="3" t="inlineStr">
        <is>
          <t>ស្វែងរក</t>
        </is>
      </c>
      <c r="F191" s="217" t="inlineStr">
        <is>
          <t>v</t>
        </is>
      </c>
      <c r="G191" s="217" t="inlineStr">
        <is>
          <t>ស្វែងរក</t>
        </is>
      </c>
      <c r="H191" t="inlineStr">
        <is>
          <t>ស្វែងរក</t>
        </is>
      </c>
      <c r="J191" s="217" t="inlineStr">
        <is>
          <t>"revenueManagement.search": "Search",</t>
        </is>
      </c>
    </row>
    <row r="192" ht="15.75" customHeight="1" s="305">
      <c r="A192" s="217" t="inlineStr">
        <is>
          <t>revenueManagement.exportExcel</t>
        </is>
      </c>
      <c r="B192" s="217" t="inlineStr">
        <is>
          <t>Xuất Excel</t>
        </is>
      </c>
      <c r="C192" s="217">
        <f>IFERROR(__xludf.DUMMYFUNCTION("GOOGLETRANSLATE(B192,""vi"",""en"")"),"Export to Excel")</f>
        <v/>
      </c>
      <c r="D192" s="3">
        <f>IFERROR(__xludf.DUMMYFUNCTION("GOOGLETRANSLATE(B192,""vi"",""km"")"),"នាំចេញទៅ Excel")</f>
        <v/>
      </c>
      <c r="E192" s="3" t="inlineStr">
        <is>
          <t>ចេញ Excel</t>
        </is>
      </c>
      <c r="F192" s="217" t="inlineStr">
        <is>
          <t>v</t>
        </is>
      </c>
      <c r="G192" s="217" t="inlineStr">
        <is>
          <t>ចេញ Excel</t>
        </is>
      </c>
      <c r="H192" t="inlineStr">
        <is>
          <t>ចេញ Excel</t>
        </is>
      </c>
      <c r="J192" s="217" t="inlineStr">
        <is>
          <t>"revenueManagement.exportExcel": "Export to Excel",</t>
        </is>
      </c>
    </row>
    <row r="193" ht="15.75" customHeight="1" s="305">
      <c r="A193" s="217" t="inlineStr">
        <is>
          <t>revenueManagement.orderCode</t>
        </is>
      </c>
      <c r="B193" s="217" t="inlineStr">
        <is>
          <t>Mã đơn hàng</t>
        </is>
      </c>
      <c r="C193" s="217">
        <f>IFERROR(__xludf.DUMMYFUNCTION("GOOGLETRANSLATE(B193,""vi"",""en"")"),"Order code")</f>
        <v/>
      </c>
      <c r="D193" s="3">
        <f>IFERROR(__xludf.DUMMYFUNCTION("GOOGLETRANSLATE(B193,""vi"",""km"")"),"លេខកូដបញ្ជាទិញ")</f>
        <v/>
      </c>
      <c r="E193" s="3" t="inlineStr">
        <is>
          <t>លេខកូដវិក័យប័ត្រអីវ៉ាន់</t>
        </is>
      </c>
      <c r="F193" s="217" t="inlineStr">
        <is>
          <t>v</t>
        </is>
      </c>
      <c r="G193" s="217" t="inlineStr">
        <is>
          <t>លេខកូដបុងបញ្ញើ</t>
        </is>
      </c>
      <c r="H193" t="inlineStr">
        <is>
          <t>លេខកូដបុងបញ្ញើ</t>
        </is>
      </c>
      <c r="J193" s="217" t="inlineStr">
        <is>
          <t>"revenueManagement.orderCode": "Order code",</t>
        </is>
      </c>
    </row>
    <row r="194" ht="15.75" customHeight="1" s="305">
      <c r="A194" s="217" t="inlineStr">
        <is>
          <t>revenueManagement.customerCode</t>
        </is>
      </c>
      <c r="B194" s="217" t="inlineStr">
        <is>
          <t>Mã KH</t>
        </is>
      </c>
      <c r="C194" s="217">
        <f>IFERROR(__xludf.DUMMYFUNCTION("GOOGLETRANSLATE(B194,""vi"",""en"")"),"Customer Code")</f>
        <v/>
      </c>
      <c r="D194" s="3">
        <f>IFERROR(__xludf.DUMMYFUNCTION("GOOGLETRANSLATE(B194,""vi"",""km"")"),"លេខកូដអតិថិជន")</f>
        <v/>
      </c>
      <c r="E194" s="3" t="inlineStr">
        <is>
          <t>លេខកូដអ.តិ</t>
        </is>
      </c>
      <c r="F194" s="217" t="inlineStr">
        <is>
          <t>v</t>
        </is>
      </c>
      <c r="G194" s="217" t="inlineStr">
        <is>
          <t>លេខកូដអ.តិ</t>
        </is>
      </c>
      <c r="H194" t="inlineStr">
        <is>
          <t>លេខកូដអ.តិ</t>
        </is>
      </c>
      <c r="J194" s="217" t="inlineStr">
        <is>
          <t>"revenueManagement.customerCode": "Customer Code",</t>
        </is>
      </c>
    </row>
    <row r="195" ht="15.75" customHeight="1" s="305">
      <c r="A195" s="217" t="inlineStr">
        <is>
          <t>revenueManagement.customerName</t>
        </is>
      </c>
      <c r="B195" s="217" t="inlineStr">
        <is>
          <t>Tên khách hàng</t>
        </is>
      </c>
      <c r="C195" s="217">
        <f>IFERROR(__xludf.DUMMYFUNCTION("GOOGLETRANSLATE(B195,""vi"",""en"")"),"Customer name")</f>
        <v/>
      </c>
      <c r="D195" s="3">
        <f>IFERROR(__xludf.DUMMYFUNCTION("GOOGLETRANSLATE(B195,""vi"",""km"")"),"ឈ្មោះអតិថិជន")</f>
        <v/>
      </c>
      <c r="E195" s="3" t="inlineStr">
        <is>
          <t>ឈ្មោះអតិថិជន</t>
        </is>
      </c>
      <c r="F195" s="217" t="inlineStr">
        <is>
          <t>v</t>
        </is>
      </c>
      <c r="G195" s="217" t="inlineStr">
        <is>
          <t>ឈ្មោះអតិថិជន</t>
        </is>
      </c>
      <c r="H195" t="inlineStr">
        <is>
          <t>ឈ្មោះអតិថិជន</t>
        </is>
      </c>
      <c r="J195" s="217" t="inlineStr">
        <is>
          <t>"revenueManagement.customerName": "Customer name",</t>
        </is>
      </c>
    </row>
    <row r="196" ht="15.75" customHeight="1" s="305">
      <c r="A196" s="217" t="inlineStr">
        <is>
          <t>revenueManagement.acronymCustomerName</t>
        </is>
      </c>
      <c r="B196" s="217" t="inlineStr">
        <is>
          <t>Tên KH</t>
        </is>
      </c>
      <c r="C196" s="217">
        <f>IFERROR(__xludf.DUMMYFUNCTION("GOOGLETRANSLATE(B196,""vi"",""en"")"),"Customer Name")</f>
        <v/>
      </c>
      <c r="D196" s="3">
        <f>IFERROR(__xludf.DUMMYFUNCTION("GOOGLETRANSLATE(B196,""vi"",""km"")"),"ឈ្មោះអតិថិជន")</f>
        <v/>
      </c>
      <c r="E196" s="3" t="inlineStr">
        <is>
          <t>ឈ្មោះអ.តិ</t>
        </is>
      </c>
      <c r="F196" s="217" t="inlineStr">
        <is>
          <t>v</t>
        </is>
      </c>
      <c r="G196" s="217" t="inlineStr">
        <is>
          <t>ឈ្មោះអ.តិ</t>
        </is>
      </c>
      <c r="H196" t="inlineStr">
        <is>
          <t>ឈ្មោះអ.តិ</t>
        </is>
      </c>
      <c r="J196" s="217" t="inlineStr">
        <is>
          <t>"revenueManagement.acronymCustomerName": "Customer Name",</t>
        </is>
      </c>
    </row>
    <row r="197" ht="15.75" customHeight="1" s="305">
      <c r="A197" s="217" t="inlineStr">
        <is>
          <t>revenueManagement.customerSearchPlaceholder</t>
        </is>
      </c>
      <c r="B197" s="217" t="inlineStr">
        <is>
          <t>Mã KH, tên KH</t>
        </is>
      </c>
      <c r="C197" s="217">
        <f>IFERROR(__xludf.DUMMYFUNCTION("GOOGLETRANSLATE(B197,""vi"",""en"")"),"Customer Code, Customer Name")</f>
        <v/>
      </c>
      <c r="D197" s="3">
        <f>IFERROR(__xludf.DUMMYFUNCTION("GOOGLETRANSLATE(B197,""vi"",""km"")"),"លេខកូដអតិថិជន, ឈ្មោះអតិថិជន")</f>
        <v/>
      </c>
      <c r="E197" s="3" t="inlineStr">
        <is>
          <t>លេខកូដ អ.តិ ឈ្មោះ អ.តិ</t>
        </is>
      </c>
      <c r="F197" s="217" t="inlineStr">
        <is>
          <t>v</t>
        </is>
      </c>
      <c r="G197" s="217" t="inlineStr">
        <is>
          <t>លេខកូដ អ.តិ ឈ្មោះ អ.តិ</t>
        </is>
      </c>
      <c r="H197" t="inlineStr">
        <is>
          <t>លេខកូដ អ.តិ ឈ្មោះ អ.តិ</t>
        </is>
      </c>
      <c r="J197" s="217" t="inlineStr">
        <is>
          <t>"revenueManagement.customerSearchPlaceholder": "Customer Code, Customer Name",</t>
        </is>
      </c>
    </row>
    <row r="198" ht="15.75" customHeight="1" s="305">
      <c r="A198" s="217" t="inlineStr">
        <is>
          <t>revenueManagement.serviceCode</t>
        </is>
      </c>
      <c r="B198" s="217" t="inlineStr">
        <is>
          <t>Mã dịch vụ</t>
        </is>
      </c>
      <c r="C198" s="217">
        <f>IFERROR(__xludf.DUMMYFUNCTION("GOOGLETRANSLATE(B198,""vi"",""en"")"),"Service code")</f>
        <v/>
      </c>
      <c r="D198" s="3">
        <f>IFERROR(__xludf.DUMMYFUNCTION("GOOGLETRANSLATE(B198,""vi"",""km"")"),"លេខកូដសេវាកម្ម")</f>
        <v/>
      </c>
      <c r="E198" s="3" t="inlineStr">
        <is>
          <t>លេខកូដសេវាកម្ម</t>
        </is>
      </c>
      <c r="F198" s="217" t="inlineStr">
        <is>
          <t>v</t>
        </is>
      </c>
      <c r="G198" s="217" t="inlineStr">
        <is>
          <t>លេខកូដសេវាកម្ម</t>
        </is>
      </c>
      <c r="H198" t="inlineStr">
        <is>
          <t>លេខកូដសេវាកម្ម</t>
        </is>
      </c>
      <c r="J198" s="217" t="inlineStr">
        <is>
          <t>"revenueManagement.serviceCode": "Service code",</t>
        </is>
      </c>
    </row>
    <row r="199" ht="15.75" customHeight="1" s="305">
      <c r="A199" s="217" t="inlineStr">
        <is>
          <t>revenueManagement.fee</t>
        </is>
      </c>
      <c r="B199" s="217" t="inlineStr">
        <is>
          <t>Cước phí</t>
        </is>
      </c>
      <c r="C199" s="217">
        <f>IFERROR(__xludf.DUMMYFUNCTION("GOOGLETRANSLATE(B199,""vi"",""en"")"),"Shipping fees")</f>
        <v/>
      </c>
      <c r="D199" s="3">
        <f>IFERROR(__xludf.DUMMYFUNCTION("GOOGLETRANSLATE(B199,""vi"",""km"")"),"ថ្លៃដឹកជញ្ជូន")</f>
        <v/>
      </c>
      <c r="E199" s="3" t="inlineStr">
        <is>
          <t>ថ្លៃសេវាកម្ម</t>
        </is>
      </c>
      <c r="F199" s="217" t="inlineStr">
        <is>
          <t>v</t>
        </is>
      </c>
      <c r="G199" s="217" t="inlineStr">
        <is>
          <t>ថ្លៃដឹកជញ្ជូន</t>
        </is>
      </c>
      <c r="H199" t="inlineStr">
        <is>
          <t>ថ្លៃដឹកជញ្ជូន</t>
        </is>
      </c>
      <c r="J199" s="217" t="inlineStr">
        <is>
          <t>"revenueManagement.fee": "Shipping fees",</t>
        </is>
      </c>
    </row>
    <row r="200" ht="15.75" customHeight="1" s="305">
      <c r="A200" s="217" t="inlineStr">
        <is>
          <t>revenueManagement.weight</t>
        </is>
      </c>
      <c r="B200" s="217" t="inlineStr">
        <is>
          <t>Trọng lượng (g)</t>
        </is>
      </c>
      <c r="C200" s="217">
        <f>IFERROR(__xludf.DUMMYFUNCTION("GOOGLETRANSLATE(B200,""vi"",""en"")"),"Weight (g)")</f>
        <v/>
      </c>
      <c r="D200" s="3">
        <f>IFERROR(__xludf.DUMMYFUNCTION("GOOGLETRANSLATE(B200,""vi"",""km"")"),"ទម្ងន់ (ក្រាម)")</f>
        <v/>
      </c>
      <c r="E200" s="3" t="inlineStr">
        <is>
          <t>ទម្ងន់</t>
        </is>
      </c>
      <c r="F200" s="217" t="inlineStr">
        <is>
          <t>v</t>
        </is>
      </c>
      <c r="G200" s="217" t="inlineStr">
        <is>
          <t>ទម្ងន់</t>
        </is>
      </c>
      <c r="H200" t="inlineStr">
        <is>
          <t>ទម្ងន់</t>
        </is>
      </c>
      <c r="J200" s="217" t="inlineStr">
        <is>
          <t>"revenueManagement.weight": "Weight (g)",</t>
        </is>
      </c>
    </row>
    <row r="201" ht="15.75" customHeight="1" s="305">
      <c r="A201" s="217" t="inlineStr">
        <is>
          <t>revenueManagement.orderStatus</t>
        </is>
      </c>
      <c r="B201" s="217" t="inlineStr">
        <is>
          <t>Trạng thái đơn</t>
        </is>
      </c>
      <c r="C201" s="217">
        <f>IFERROR(__xludf.DUMMYFUNCTION("GOOGLETRANSLATE(B201,""vi"",""en"")"),"Single state")</f>
        <v/>
      </c>
      <c r="D201" s="3">
        <f>IFERROR(__xludf.DUMMYFUNCTION("GOOGLETRANSLATE(B201,""vi"",""km"")"),"រដ្ឋតែមួយ")</f>
        <v/>
      </c>
      <c r="E201" s="3" t="inlineStr">
        <is>
          <t>ស្ថានភាពកញ្ចប់អីវ៉ាន់</t>
        </is>
      </c>
      <c r="F201" s="217" t="inlineStr">
        <is>
          <t>v</t>
        </is>
      </c>
      <c r="G201" s="217" t="inlineStr">
        <is>
          <t>ស្ថានភាពកញ្ចប់អីវ៉ាន់</t>
        </is>
      </c>
      <c r="H201" t="inlineStr">
        <is>
          <t>ស្ថានភាពកញ្ចប់អីវ៉ាន់</t>
        </is>
      </c>
      <c r="J201" s="217" t="inlineStr">
        <is>
          <t>"revenueManagement.orderStatus": "Single state",</t>
        </is>
      </c>
    </row>
    <row r="202" ht="15.75" customHeight="1" s="305">
      <c r="A202" s="217" t="inlineStr">
        <is>
          <t>revenueManagement.createdAt</t>
        </is>
      </c>
      <c r="B202" s="217" t="inlineStr">
        <is>
          <t>Ngày tạo</t>
        </is>
      </c>
      <c r="C202" s="217">
        <f>IFERROR(__xludf.DUMMYFUNCTION("GOOGLETRANSLATE(B202,""vi"",""en"")"),"Creation date")</f>
        <v/>
      </c>
      <c r="D202" s="3">
        <f>IFERROR(__xludf.DUMMYFUNCTION("GOOGLETRANSLATE(B202,""vi"",""km"")"),"កាលបរិច្ឆេទបង្កើត")</f>
        <v/>
      </c>
      <c r="E202" s="3" t="inlineStr">
        <is>
          <t>ថ្លៃបង្កើត</t>
        </is>
      </c>
      <c r="F202" s="217" t="inlineStr">
        <is>
          <t>v</t>
        </is>
      </c>
      <c r="G202" s="217" t="inlineStr">
        <is>
          <t>កាលបរិច្ឆេទបង្កើត</t>
        </is>
      </c>
      <c r="H202" t="inlineStr">
        <is>
          <t>កាលបរិច្ឆេទបង្កើត</t>
        </is>
      </c>
      <c r="J202" s="217" t="inlineStr">
        <is>
          <t>"revenueManagement.createdAt": "Creation date",</t>
        </is>
      </c>
    </row>
    <row r="203" ht="15.75" customHeight="1" s="305">
      <c r="A203" s="217" t="inlineStr">
        <is>
          <t>revenueManagement.cod</t>
        </is>
      </c>
      <c r="B203" s="217" t="inlineStr">
        <is>
          <t>Tiền COD</t>
        </is>
      </c>
      <c r="C203" s="217">
        <f>IFERROR(__xludf.DUMMYFUNCTION("GOOGLETRANSLATE(B203,""vi"",""en"")"),"Cash on Delivery (COD)")</f>
        <v/>
      </c>
      <c r="D203" s="3">
        <f>IFERROR(__xludf.DUMMYFUNCTION("GOOGLETRANSLATE(B203,""vi"",""km"")"),"បង់ប្រាក់ពេលទទួលទំនិញ (COD)")</f>
        <v/>
      </c>
      <c r="E203" s="3" t="inlineStr">
        <is>
          <t>ថ្លៃ COD</t>
        </is>
      </c>
      <c r="F203" s="217" t="inlineStr">
        <is>
          <t>v</t>
        </is>
      </c>
      <c r="G203" s="217" t="inlineStr">
        <is>
          <t>ប្រាក់ COD</t>
        </is>
      </c>
      <c r="H203" t="inlineStr">
        <is>
          <t>ប្រាក់ COD</t>
        </is>
      </c>
      <c r="J203" s="217" t="inlineStr">
        <is>
          <t>"revenueManagement.cod": "Cash on Delivery (COD)",</t>
        </is>
      </c>
    </row>
    <row r="204" ht="15.75" customHeight="1" s="305">
      <c r="A204" s="217" t="inlineStr">
        <is>
          <t>revenueManagement.shippingFee</t>
        </is>
      </c>
      <c r="B204" s="217" t="inlineStr">
        <is>
          <t>Tiền Cước</t>
        </is>
      </c>
      <c r="C204" s="217">
        <f>IFERROR(__xludf.DUMMYFUNCTION("GOOGLETRANSLATE(B204,""vi"",""en"")"),"Fare")</f>
        <v/>
      </c>
      <c r="D204" s="3">
        <f>IFERROR(__xludf.DUMMYFUNCTION("GOOGLETRANSLATE(B204,""vi"",""km"")"),"តម្លៃសំបុត្រ")</f>
        <v/>
      </c>
      <c r="E204" s="3" t="inlineStr">
        <is>
          <t>ថ្លៃសេវាកម្ម</t>
        </is>
      </c>
      <c r="F204" s="217" t="inlineStr">
        <is>
          <t>v</t>
        </is>
      </c>
      <c r="G204" s="217" t="inlineStr">
        <is>
          <t>ថ្លៃសេវាកម្ម</t>
        </is>
      </c>
      <c r="H204" t="inlineStr">
        <is>
          <t>ថ្លៃសេវាកម្ម</t>
        </is>
      </c>
      <c r="J204" s="217" t="inlineStr">
        <is>
          <t>"revenueManagement.shippingFee": "Fare",</t>
        </is>
      </c>
    </row>
    <row r="205" ht="15.75" customHeight="1" s="305">
      <c r="A205" s="217" t="inlineStr">
        <is>
          <t>revenueManagement.vat</t>
        </is>
      </c>
      <c r="B205" s="217" t="inlineStr">
        <is>
          <t>VAT</t>
        </is>
      </c>
      <c r="C205" s="217">
        <f>IFERROR(__xludf.DUMMYFUNCTION("GOOGLETRANSLATE(B205,""vi"",""en"")"),"VAT")</f>
        <v/>
      </c>
      <c r="D205" s="3">
        <f>IFERROR(__xludf.DUMMYFUNCTION("GOOGLETRANSLATE(B205,""vi"",""km"")"),"អាករលើតម្លៃបន្ថែម")</f>
        <v/>
      </c>
      <c r="E205" s="3" t="inlineStr">
        <is>
          <t>ពន្ធ</t>
        </is>
      </c>
      <c r="F205" s="217" t="inlineStr">
        <is>
          <t>v</t>
        </is>
      </c>
      <c r="G205" s="217" t="inlineStr">
        <is>
          <t>ពន្ធ</t>
        </is>
      </c>
      <c r="H205" t="inlineStr">
        <is>
          <t>ពន្ធ</t>
        </is>
      </c>
      <c r="J205" s="217" t="inlineStr">
        <is>
          <t>"revenueManagement.vat": "VAT",</t>
        </is>
      </c>
    </row>
    <row r="206" ht="15.75" customHeight="1" s="305">
      <c r="A206" s="217" t="inlineStr">
        <is>
          <t>revenueManagement.afterTax</t>
        </is>
      </c>
      <c r="B206" s="217" t="inlineStr">
        <is>
          <t>Tiền sau thuế</t>
        </is>
      </c>
      <c r="C206" s="217">
        <f>IFERROR(__xludf.DUMMYFUNCTION("GOOGLETRANSLATE(B206,""vi"",""en"")"),"Amount after tax")</f>
        <v/>
      </c>
      <c r="D206" s="3">
        <f>IFERROR(__xludf.DUMMYFUNCTION("GOOGLETRANSLATE(B206,""vi"",""km"")"),"ចំនួនទឹកប្រាក់បន្ទាប់ពីបង់ពន្ធ")</f>
        <v/>
      </c>
      <c r="E206" s="3" t="inlineStr">
        <is>
          <t>ប្រាក់ក្រោយពន្ធ</t>
        </is>
      </c>
      <c r="F206" s="217" t="inlineStr">
        <is>
          <t>v</t>
        </is>
      </c>
      <c r="G206" s="217" t="inlineStr">
        <is>
          <t>ប្រាក់ក្រោយពន្ធ</t>
        </is>
      </c>
      <c r="H206" t="inlineStr">
        <is>
          <t>ប្រាក់ក្រោយពន្ធ</t>
        </is>
      </c>
      <c r="J206" s="217" t="inlineStr">
        <is>
          <t>"revenueManagement.afterTax": "Amount after tax",</t>
        </is>
      </c>
    </row>
    <row r="207" ht="15.75" customHeight="1" s="305">
      <c r="A207" s="217" t="inlineStr">
        <is>
          <t>revenueManagement.discount</t>
        </is>
      </c>
      <c r="B207" s="217" t="inlineStr">
        <is>
          <t>Giảm giá</t>
        </is>
      </c>
      <c r="C207" s="217">
        <f>IFERROR(__xludf.DUMMYFUNCTION("GOOGLETRANSLATE(B207,""vi"",""en"")"),"Discount")</f>
        <v/>
      </c>
      <c r="D207" s="3">
        <f>IFERROR(__xludf.DUMMYFUNCTION("GOOGLETRANSLATE(B207,""vi"",""km"")"),"បញ្ចុះតម្លៃ")</f>
        <v/>
      </c>
      <c r="E207" s="3" t="inlineStr">
        <is>
          <t>បញ្ចុះតម្លៃ</t>
        </is>
      </c>
      <c r="F207" s="217" t="inlineStr">
        <is>
          <t>v</t>
        </is>
      </c>
      <c r="G207" s="217" t="inlineStr">
        <is>
          <t>បញ្ចុះតម្លៃ</t>
        </is>
      </c>
      <c r="H207" t="inlineStr">
        <is>
          <t>បញ្ចុះតម្លៃ</t>
        </is>
      </c>
      <c r="J207" s="217" t="inlineStr">
        <is>
          <t>"revenueManagement.discount": "Discount",</t>
        </is>
      </c>
    </row>
    <row r="208" ht="15.75" customHeight="1" s="305">
      <c r="A208" s="217" t="inlineStr">
        <is>
          <t>revenueManagement.revenueAfterDiscount</t>
        </is>
      </c>
      <c r="B208" s="217" t="inlineStr">
        <is>
          <t>Doanh thu sau giảm giá</t>
        </is>
      </c>
      <c r="C208" s="217">
        <f>IFERROR(__xludf.DUMMYFUNCTION("GOOGLETRANSLATE(B208,""vi"",""en"")"),"Revenue after discounts")</f>
        <v/>
      </c>
      <c r="D208" s="3">
        <f>IFERROR(__xludf.DUMMYFUNCTION("GOOGLETRANSLATE(B208,""vi"",""km"")"),"ប្រាក់ចំណូលបន្ទាប់ពីការបញ្ចុះតម្លៃ")</f>
        <v/>
      </c>
      <c r="E208" s="3" t="inlineStr">
        <is>
          <t>ប្រាក់ចំណូលក្រោយពេលបញ្ចុះតម្លៃ</t>
        </is>
      </c>
      <c r="F208" s="217" t="inlineStr">
        <is>
          <t>v</t>
        </is>
      </c>
      <c r="G208" s="217" t="inlineStr">
        <is>
          <t>ប្រាក់ចំណូលក្រោយពេលបញ្ចុះតម្លៃ</t>
        </is>
      </c>
      <c r="H208" t="inlineStr">
        <is>
          <t>ប្រាក់ចំណូលក្រោយពេលបញ្ចុះតម្លៃ</t>
        </is>
      </c>
      <c r="J208" s="217" t="inlineStr">
        <is>
          <t>"revenueManagement.revenueAfterDiscount": "Revenue after discounts",</t>
        </is>
      </c>
    </row>
    <row r="209" ht="15.75" customHeight="1" s="305">
      <c r="A209" s="217" t="inlineStr">
        <is>
          <t>revenueManagement.syncStatus</t>
        </is>
      </c>
      <c r="B209" s="217" t="inlineStr">
        <is>
          <t>Trạng thái đồng bộ</t>
        </is>
      </c>
      <c r="C209" s="217">
        <f>IFERROR(__xludf.DUMMYFUNCTION("GOOGLETRANSLATE(B209,""vi"",""en"")"),"Synchronization state")</f>
        <v/>
      </c>
      <c r="D209" s="3">
        <f>IFERROR(__xludf.DUMMYFUNCTION("GOOGLETRANSLATE(B209,""vi"",""km"")"),"ស្ថានភាព​ធ្វើសមកាលកម្ម")</f>
        <v/>
      </c>
      <c r="E209" s="3" t="inlineStr">
        <is>
          <t>ស្ថានភាពភ្ជាប់គ្នា</t>
        </is>
      </c>
      <c r="F209" s="217" t="inlineStr">
        <is>
          <t>x</t>
        </is>
      </c>
      <c r="G209" s="217" t="inlineStr">
        <is>
          <t>ស្ថានភាពភ្ជាប់គ្នា</t>
        </is>
      </c>
      <c r="H209" t="inlineStr">
        <is>
          <t>ស្ថានភាពភ្ជាប់គ្នា</t>
        </is>
      </c>
      <c r="J209" s="217" t="inlineStr">
        <is>
          <t>"revenueManagement.syncStatus": "Synchronization state",</t>
        </is>
      </c>
    </row>
    <row r="210" ht="15.75" customHeight="1" s="305">
      <c r="A210" s="217" t="inlineStr">
        <is>
          <t>revenueManagement.handle</t>
        </is>
      </c>
      <c r="B210" s="217" t="inlineStr">
        <is>
          <t>Thao tác</t>
        </is>
      </c>
      <c r="C210" s="217">
        <f>IFERROR(__xludf.DUMMYFUNCTION("GOOGLETRANSLATE(B210,""vi"",""en"")"),"Operation")</f>
        <v/>
      </c>
      <c r="D210" s="3">
        <f>IFERROR(__xludf.DUMMYFUNCTION("GOOGLETRANSLATE(B210,""vi"",""km"")"),"ប្រតិបត្តិការ")</f>
        <v/>
      </c>
      <c r="E210" s="3" t="inlineStr">
        <is>
          <t>ប្រតិបត្តិការ</t>
        </is>
      </c>
      <c r="F210" s="217" t="inlineStr">
        <is>
          <t>x</t>
        </is>
      </c>
      <c r="G210" s="217" t="inlineStr">
        <is>
          <t>ប្រតិបត្តិការ</t>
        </is>
      </c>
      <c r="H210" t="inlineStr">
        <is>
          <t>ប្រតិបត្តិការ</t>
        </is>
      </c>
      <c r="J210" s="217" t="inlineStr">
        <is>
          <t>"revenueManagement.handle": "Operation",</t>
        </is>
      </c>
    </row>
    <row r="211" ht="15.75" customHeight="1" s="305">
      <c r="A211" s="217" t="inlineStr">
        <is>
          <t>revenueManagement.pusBackOrder</t>
        </is>
      </c>
      <c r="B211" s="217" t="inlineStr">
        <is>
          <t>Đẩy lại đơn hàng</t>
        </is>
      </c>
      <c r="C211" s="217">
        <f>IFERROR(__xludf.DUMMYFUNCTION("GOOGLETRANSLATE(B211,""vi"",""en"")"),"Resume the order")</f>
        <v/>
      </c>
      <c r="D211" s="3">
        <f>IFERROR(__xludf.DUMMYFUNCTION("GOOGLETRANSLATE(B211,""vi"",""km"")"),"បន្តការបញ្ជាទិញ")</f>
        <v/>
      </c>
      <c r="E211" s="3" t="inlineStr">
        <is>
          <t>រុញបុងបញ្ញើត្រលប់មកវិញ</t>
        </is>
      </c>
      <c r="F211" s="217" t="inlineStr">
        <is>
          <t>x</t>
        </is>
      </c>
      <c r="G211" s="217" t="inlineStr">
        <is>
          <t>រុញបុងបញ្ញើត្រលប់មកវិញ</t>
        </is>
      </c>
      <c r="H211" t="inlineStr">
        <is>
          <t>រុញបុងបញ្ញើត្រលប់មកវិញ</t>
        </is>
      </c>
      <c r="J211" s="217" t="inlineStr">
        <is>
          <t>"revenueManagement.pusBackOrder": "Resume the order",</t>
        </is>
      </c>
    </row>
    <row r="212" ht="15.75" customHeight="1" s="305">
      <c r="A212" s="217" t="inlineStr">
        <is>
          <t>revenueManagement.companyCode</t>
        </is>
      </c>
      <c r="B212" s="217" t="inlineStr">
        <is>
          <t>Company Code</t>
        </is>
      </c>
      <c r="C212" s="217">
        <f>IFERROR(__xludf.DUMMYFUNCTION("GOOGLETRANSLATE(B212,""vi"",""en"")"),"Company Code")</f>
        <v/>
      </c>
      <c r="D212" s="3">
        <f>IFERROR(__xludf.DUMMYFUNCTION("GOOGLETRANSLATE(B212,""vi"",""km"")"),"លេខកូដក្រុមហ៊ុន")</f>
        <v/>
      </c>
      <c r="E212" s="3" t="inlineStr">
        <is>
          <t>លេខកូដក្រុមហ៊ុន</t>
        </is>
      </c>
      <c r="F212" s="217" t="inlineStr">
        <is>
          <t>v</t>
        </is>
      </c>
      <c r="G212" s="217" t="inlineStr">
        <is>
          <t>លេខកូដក្រុមហ៊ុន</t>
        </is>
      </c>
      <c r="H212" t="inlineStr">
        <is>
          <t>លេខកូដក្រុមហ៊ុន</t>
        </is>
      </c>
      <c r="J212" s="217" t="inlineStr">
        <is>
          <t>"revenueManagement.companyCode": "Company Code",</t>
        </is>
      </c>
    </row>
    <row r="213" ht="15.75" customHeight="1" s="305">
      <c r="A213" s="217" t="inlineStr">
        <is>
          <t>revenueManagement.referencesId</t>
        </is>
      </c>
      <c r="B213" s="217" t="inlineStr">
        <is>
          <t>Mã tham chiếu</t>
        </is>
      </c>
      <c r="C213" s="217">
        <f>IFERROR(__xludf.DUMMYFUNCTION("GOOGLETRANSLATE(B213,""vi"",""en"")"),"Reference code")</f>
        <v/>
      </c>
      <c r="D213" s="3">
        <f>IFERROR(__xludf.DUMMYFUNCTION("GOOGLETRANSLATE(B213,""vi"",""km"")"),"លេខកូដយោង")</f>
        <v/>
      </c>
      <c r="E213" s="3" t="inlineStr">
        <is>
          <t>លេខកូដផ្ទៀងផ្ទាត់</t>
        </is>
      </c>
      <c r="F213" s="217" t="inlineStr">
        <is>
          <t>x</t>
        </is>
      </c>
      <c r="G213" s="217" t="inlineStr">
        <is>
          <t>លេខកូដផ្ទៀងផ្ទាត់</t>
        </is>
      </c>
      <c r="H213" t="inlineStr">
        <is>
          <t>លេខកូដផ្ទៀងផ្ទាត់</t>
        </is>
      </c>
      <c r="J213" s="217" t="inlineStr">
        <is>
          <t>"revenueManagement.referencesId": "Reference code",</t>
        </is>
      </c>
    </row>
    <row r="214" ht="15.75" customHeight="1" s="305">
      <c r="A214" s="217" t="inlineStr">
        <is>
          <t>revenueManagement.statementId</t>
        </is>
      </c>
      <c r="B214" s="217" t="inlineStr">
        <is>
          <t>Mã bảng kê</t>
        </is>
      </c>
      <c r="C214" s="217">
        <f>IFERROR(__xludf.DUMMYFUNCTION("GOOGLETRANSLATE(B214,""vi"",""en"")"),"Statement code")</f>
        <v/>
      </c>
      <c r="D214" s="3">
        <f>IFERROR(__xludf.DUMMYFUNCTION("GOOGLETRANSLATE(B214,""vi"",""km"")"),"កូដ​សេចក្តីថ្លែងការណ៍")</f>
        <v/>
      </c>
      <c r="E214" s="3" t="inlineStr">
        <is>
          <t>លេខកូដតារាង</t>
        </is>
      </c>
      <c r="F214" s="217" t="inlineStr">
        <is>
          <t>x</t>
        </is>
      </c>
      <c r="G214" s="217" t="inlineStr">
        <is>
          <t>លេខកូដតារាង</t>
        </is>
      </c>
      <c r="H214" t="inlineStr">
        <is>
          <t>លេខកូដតារាង</t>
        </is>
      </c>
      <c r="J214" s="217" t="inlineStr">
        <is>
          <t>"revenueManagement.statementId": "Statement code",</t>
        </is>
      </c>
    </row>
    <row r="215" ht="15.75" customHeight="1" s="305">
      <c r="A215" s="217" t="inlineStr">
        <is>
          <t>revenueManagement.createStatementXHD</t>
        </is>
      </c>
      <c r="B215" s="217" t="inlineStr">
        <is>
          <t>Tạo bảng kê XHĐ</t>
        </is>
      </c>
      <c r="C215" s="217">
        <f>IFERROR(__xludf.DUMMYFUNCTION("GOOGLETRANSLATE(B215,""vi"",""en"")"),"Create a Social Security statement")</f>
        <v/>
      </c>
      <c r="D215" s="3">
        <f>IFERROR(__xludf.DUMMYFUNCTION("GOOGLETRANSLATE(B215,""vi"",""km"")"),"បង្កើតសេចក្តីថ្លែងការណ៍សន្តិសុខសង្គម")</f>
        <v/>
      </c>
      <c r="E215" s="3" t="inlineStr">
        <is>
          <t>បង្កើតតារាងចេញបុងបញ្ញើ</t>
        </is>
      </c>
      <c r="F215" s="217" t="inlineStr">
        <is>
          <t>x</t>
        </is>
      </c>
      <c r="G215" s="217" t="inlineStr">
        <is>
          <t>បង្កើតតារាងចេញបុងបញ្ញើ</t>
        </is>
      </c>
      <c r="H215" t="inlineStr">
        <is>
          <t>បង្កើតតារាងចេញបុងបញ្ញើ</t>
        </is>
      </c>
      <c r="J215" s="217" t="inlineStr">
        <is>
          <t>"revenueManagement.createStatementXHD": "Create a Social Security statement",</t>
        </is>
      </c>
    </row>
    <row r="216" ht="15.75" customHeight="1" s="305">
      <c r="A216" s="217" t="inlineStr">
        <is>
          <t>revenueManagement.createStatementXHDModal</t>
        </is>
      </c>
      <c r="B216" s="217" t="inlineStr">
        <is>
          <t>Tạo bảng kê xuất hoá đơn</t>
        </is>
      </c>
      <c r="C216" s="217">
        <f>IFERROR(__xludf.DUMMYFUNCTION("GOOGLETRANSLATE(B216,""vi"",""en"")"),"Create an invoice statement.")</f>
        <v/>
      </c>
      <c r="D216" s="3">
        <f>IFERROR(__xludf.DUMMYFUNCTION("GOOGLETRANSLATE(B216,""vi"",""km"")"),"បង្កើតសេចក្តីថ្លែងការណ៍វិក្កយបត្រ។")</f>
        <v/>
      </c>
      <c r="E216" s="3" t="inlineStr">
        <is>
          <t>បង្កើតតារាងចេញបុងបញ្ញើ</t>
        </is>
      </c>
      <c r="F216" s="217" t="inlineStr">
        <is>
          <t>x</t>
        </is>
      </c>
      <c r="G216" s="217" t="inlineStr">
        <is>
          <t>បង្កើតតារាងចេញបុងបញ្ញើ</t>
        </is>
      </c>
      <c r="H216" t="inlineStr">
        <is>
          <t>បង្កើតតារាងចេញបុងបញ្ញើ</t>
        </is>
      </c>
      <c r="J216" s="217" t="inlineStr">
        <is>
          <t>"revenueManagement.createStatementXHDModal": "Create an invoice statement.",</t>
        </is>
      </c>
    </row>
    <row r="217" ht="15.75" customHeight="1" s="305">
      <c r="A217" s="217" t="inlineStr">
        <is>
          <t>revenueManagement.cancel</t>
        </is>
      </c>
      <c r="B217" s="217" t="inlineStr">
        <is>
          <t>Huỷ</t>
        </is>
      </c>
      <c r="C217" s="217">
        <f>IFERROR(__xludf.DUMMYFUNCTION("GOOGLETRANSLATE(B217,""vi"",""en"")"),"Cancel")</f>
        <v/>
      </c>
      <c r="D217" s="3">
        <f>IFERROR(__xludf.DUMMYFUNCTION("GOOGLETRANSLATE(B217,""vi"",""km"")"),"បោះបង់")</f>
        <v/>
      </c>
      <c r="E217" s="3" t="inlineStr">
        <is>
          <t>លុប</t>
        </is>
      </c>
      <c r="F217" s="217" t="inlineStr">
        <is>
          <t>x</t>
        </is>
      </c>
      <c r="G217" s="217" t="inlineStr">
        <is>
          <t>លុប</t>
        </is>
      </c>
      <c r="H217" t="inlineStr">
        <is>
          <t>លុប</t>
        </is>
      </c>
      <c r="J217" s="217" t="inlineStr">
        <is>
          <t>"revenueManagement.cancel": "Cancel",</t>
        </is>
      </c>
    </row>
    <row r="218" ht="15.75" customHeight="1" s="305">
      <c r="A218" s="217" t="inlineStr">
        <is>
          <t>revenueManagement.confirm</t>
        </is>
      </c>
      <c r="B218" s="217" t="inlineStr">
        <is>
          <t>Xác nhận</t>
        </is>
      </c>
      <c r="C218" s="217">
        <f>IFERROR(__xludf.DUMMYFUNCTION("GOOGLETRANSLATE(B218,""vi"",""en"")"),"Confirm")</f>
        <v/>
      </c>
      <c r="D218" s="3">
        <f>IFERROR(__xludf.DUMMYFUNCTION("GOOGLETRANSLATE(B218,""vi"",""km"")"),"បញ្ជាក់")</f>
        <v/>
      </c>
      <c r="E218" s="3" t="inlineStr">
        <is>
          <t>បញ្ជាក់</t>
        </is>
      </c>
      <c r="F218" s="217" t="inlineStr">
        <is>
          <t>x</t>
        </is>
      </c>
      <c r="G218" s="217" t="inlineStr">
        <is>
          <t>បញ្ជាក់</t>
        </is>
      </c>
      <c r="H218" t="inlineStr">
        <is>
          <t>បញ្ជាក់</t>
        </is>
      </c>
      <c r="J218" s="217" t="inlineStr">
        <is>
          <t>"revenueManagement.confirm": "Confirm",</t>
        </is>
      </c>
    </row>
    <row r="219" ht="15.75" customHeight="1" s="305">
      <c r="A219" s="217" t="inlineStr">
        <is>
          <t>revenueManagement.field</t>
        </is>
      </c>
      <c r="B219" s="217" t="inlineStr">
        <is>
          <t>Lĩnh vực</t>
        </is>
      </c>
      <c r="C219" s="217">
        <f>IFERROR(__xludf.DUMMYFUNCTION("GOOGLETRANSLATE(B219,""vi"",""en"")"),"Field")</f>
        <v/>
      </c>
      <c r="D219" s="3">
        <f>IFERROR(__xludf.DUMMYFUNCTION("GOOGLETRANSLATE(B219,""vi"",""km"")"),"វាល")</f>
        <v/>
      </c>
      <c r="E219" s="3" t="inlineStr">
        <is>
          <t>វិស័យ</t>
        </is>
      </c>
      <c r="F219" s="217" t="inlineStr">
        <is>
          <t>v</t>
        </is>
      </c>
      <c r="G219" s="217" t="inlineStr">
        <is>
          <t>វិស័យ</t>
        </is>
      </c>
      <c r="H219" t="inlineStr">
        <is>
          <t>វិស័យ</t>
        </is>
      </c>
      <c r="J219" s="217" t="inlineStr">
        <is>
          <t>"revenueManagement.field": "Field",</t>
        </is>
      </c>
    </row>
    <row r="220" ht="15.75" customHeight="1" s="305">
      <c r="A220" s="217" t="inlineStr">
        <is>
          <t>revenueManagement.startDate</t>
        </is>
      </c>
      <c r="B220" s="217" t="inlineStr">
        <is>
          <t>Ngày bắt đầu</t>
        </is>
      </c>
      <c r="C220" s="217">
        <f>IFERROR(__xludf.DUMMYFUNCTION("GOOGLETRANSLATE(B220,""vi"",""en"")"),"Start date")</f>
        <v/>
      </c>
      <c r="D220" s="3">
        <f>IFERROR(__xludf.DUMMYFUNCTION("GOOGLETRANSLATE(B220,""vi"",""km"")"),"កាលបរិច្ឆេទចាប់ផ្តើម")</f>
        <v/>
      </c>
      <c r="E220" s="3" t="inlineStr">
        <is>
          <t>ថ្ងៃចាប់ផ្តើម</t>
        </is>
      </c>
      <c r="F220" s="217" t="inlineStr">
        <is>
          <t>v</t>
        </is>
      </c>
      <c r="G220" s="217" t="inlineStr">
        <is>
          <t>ថ្ងៃចាប់ផ្តើម</t>
        </is>
      </c>
      <c r="H220" t="inlineStr">
        <is>
          <t>ថ្ងៃចាប់ផ្តើម</t>
        </is>
      </c>
      <c r="J220" s="217" t="inlineStr">
        <is>
          <t>"revenueManagement.startDate": "Start date",</t>
        </is>
      </c>
    </row>
    <row r="221" ht="15.75" customHeight="1" s="305">
      <c r="A221" s="217" t="inlineStr">
        <is>
          <t>revenueManagement.endDate</t>
        </is>
      </c>
      <c r="B221" s="217" t="inlineStr">
        <is>
          <t>Ngày kết thúc</t>
        </is>
      </c>
      <c r="C221" s="217">
        <f>IFERROR(__xludf.DUMMYFUNCTION("GOOGLETRANSLATE(B221,""vi"",""en"")"),"End date")</f>
        <v/>
      </c>
      <c r="D221" s="3">
        <f>IFERROR(__xludf.DUMMYFUNCTION("GOOGLETRANSLATE(B221,""vi"",""km"")"),"កាលបរិច្ឆេទបញ្ចប់")</f>
        <v/>
      </c>
      <c r="E221" s="3" t="inlineStr">
        <is>
          <t>ថ្ងៃ្ងបញ្ចប់</t>
        </is>
      </c>
      <c r="F221" s="217" t="inlineStr">
        <is>
          <t>v</t>
        </is>
      </c>
      <c r="G221" s="217" t="inlineStr">
        <is>
          <t>ថ្ងៃ្ងបញ្ចប់</t>
        </is>
      </c>
      <c r="H221" t="inlineStr">
        <is>
          <t>ថ្ងៃ្ងបញ្ចប់</t>
        </is>
      </c>
      <c r="J221" s="217" t="inlineStr">
        <is>
          <t>"revenueManagement.endDate": "End date",</t>
        </is>
      </c>
    </row>
    <row r="222" ht="15.75" customHeight="1" s="305">
      <c r="A222" s="217" t="inlineStr">
        <is>
          <t>revenueManagement.cusiId</t>
        </is>
      </c>
      <c r="B222" s="217" t="inlineStr">
        <is>
          <t>CusiId</t>
        </is>
      </c>
      <c r="C222" s="217">
        <f>IFERROR(__xludf.DUMMYFUNCTION("GOOGLETRANSLATE(B222,""vi"",""en"")"),"CusiId")</f>
        <v/>
      </c>
      <c r="D222" s="3">
        <f>IFERROR(__xludf.DUMMYFUNCTION("GOOGLETRANSLATE(B222,""vi"",""km"")"),"លេខសម្គាល់​អតិថិជន")</f>
        <v/>
      </c>
      <c r="E222" s="159" t="inlineStr">
        <is>
          <t>ID អតិថិជន</t>
        </is>
      </c>
      <c r="F222" s="217" t="inlineStr">
        <is>
          <t>x</t>
        </is>
      </c>
      <c r="G222" s="217" t="inlineStr">
        <is>
          <t>ID អតិថិជន</t>
        </is>
      </c>
      <c r="H222" t="inlineStr">
        <is>
          <t>ID អតិថិជន</t>
        </is>
      </c>
      <c r="J222" s="217" t="inlineStr">
        <is>
          <t>"revenueManagement.cusiId": "CusiId",</t>
        </is>
      </c>
    </row>
    <row r="223" ht="15.75" customHeight="1" s="305">
      <c r="A223" s="217" t="inlineStr">
        <is>
          <t>revenueManagement.phoneNumber</t>
        </is>
      </c>
      <c r="B223" s="217" t="inlineStr">
        <is>
          <t>SĐT</t>
        </is>
      </c>
      <c r="C223" s="217">
        <f>IFERROR(__xludf.DUMMYFUNCTION("GOOGLETRANSLATE(B223,""vi"",""en"")"),"Phone number")</f>
        <v/>
      </c>
      <c r="D223" s="3">
        <f>IFERROR(__xludf.DUMMYFUNCTION("GOOGLETRANSLATE(B223,""vi"",""km"")"),"លេខទូរស័ព្ទ")</f>
        <v/>
      </c>
      <c r="E223" s="3" t="inlineStr">
        <is>
          <t>លេខទូរស័ព្ទ</t>
        </is>
      </c>
      <c r="F223" s="217" t="inlineStr">
        <is>
          <t>v</t>
        </is>
      </c>
      <c r="G223" s="217" t="inlineStr">
        <is>
          <t>លេខទូរស័ព្ទ</t>
        </is>
      </c>
      <c r="H223" t="inlineStr">
        <is>
          <t>លេខទូរស័ព្ទ</t>
        </is>
      </c>
      <c r="J223" s="217" t="inlineStr">
        <is>
          <t>"revenueManagement.phoneNumber": "Phone number",</t>
        </is>
      </c>
    </row>
    <row r="224" ht="15.75" customHeight="1" s="305">
      <c r="A224" s="217" t="inlineStr">
        <is>
          <t>revenueManagement.email</t>
        </is>
      </c>
      <c r="B224" s="217" t="inlineStr">
        <is>
          <t>Email</t>
        </is>
      </c>
      <c r="C224" s="217">
        <f>IFERROR(__xludf.DUMMYFUNCTION("GOOGLETRANSLATE(B224,""vi"",""en"")"),"E-mail")</f>
        <v/>
      </c>
      <c r="D224" s="3">
        <f>IFERROR(__xludf.DUMMYFUNCTION("GOOGLETRANSLATE(B224,""vi"",""km"")"),"អ៊ីមែល")</f>
        <v/>
      </c>
      <c r="E224" s="3" t="inlineStr">
        <is>
          <t>អ៊ីម៉ែល</t>
        </is>
      </c>
      <c r="F224" s="217" t="inlineStr">
        <is>
          <t>v</t>
        </is>
      </c>
      <c r="G224" s="217" t="inlineStr">
        <is>
          <t>អ៊ីម៉ែល</t>
        </is>
      </c>
      <c r="H224" t="inlineStr">
        <is>
          <t>អ៊ីម៉ែល</t>
        </is>
      </c>
      <c r="J224" s="217" t="inlineStr">
        <is>
          <t>"revenueManagement.email": "E-mail",</t>
        </is>
      </c>
    </row>
    <row r="225" ht="15.75" customHeight="1" s="305">
      <c r="A225" s="217" t="inlineStr">
        <is>
          <t>revenueManagement.taxCode</t>
        </is>
      </c>
      <c r="B225" s="217" t="inlineStr">
        <is>
          <t>MST</t>
        </is>
      </c>
      <c r="C225" s="217">
        <f>IFERROR(__xludf.DUMMYFUNCTION("GOOGLETRANSLATE(B225,""vi"",""en"")"),"MST")</f>
        <v/>
      </c>
      <c r="D225" s="3">
        <f>IFERROR(__xludf.DUMMYFUNCTION("GOOGLETRANSLATE(B225,""vi"",""km"")"),"MST")</f>
        <v/>
      </c>
      <c r="E225" s="3" t="inlineStr">
        <is>
          <t>MST</t>
        </is>
      </c>
      <c r="F225" s="217" t="inlineStr">
        <is>
          <t>v</t>
        </is>
      </c>
      <c r="G225" s="217" t="inlineStr">
        <is>
          <t>MST</t>
        </is>
      </c>
      <c r="H225" t="inlineStr">
        <is>
          <t>MST</t>
        </is>
      </c>
      <c r="J225" s="217" t="inlineStr">
        <is>
          <t>"revenueManagement.taxCode": "MST",</t>
        </is>
      </c>
    </row>
    <row r="226" ht="15.75" customHeight="1" s="305">
      <c r="A226" s="217" t="inlineStr">
        <is>
          <t>revenueManagement.updatedAt</t>
        </is>
      </c>
      <c r="B226" s="217" t="inlineStr">
        <is>
          <t>Ngày cập nhật</t>
        </is>
      </c>
      <c r="C226" s="217">
        <f>IFERROR(__xludf.DUMMYFUNCTION("GOOGLETRANSLATE(B226,""vi"",""en"")"),"Date updated")</f>
        <v/>
      </c>
      <c r="D226" s="3">
        <f>IFERROR(__xludf.DUMMYFUNCTION("GOOGLETRANSLATE(B226,""vi"",""km"")"),"កាលបរិច្ឆេទ​ដែលបានធ្វើបច្ចុប្បន្នភាព")</f>
        <v/>
      </c>
      <c r="E226" s="3" t="inlineStr">
        <is>
          <t>ថ្ងៃអាប់ដេត</t>
        </is>
      </c>
      <c r="F226" s="217" t="inlineStr">
        <is>
          <t>v</t>
        </is>
      </c>
      <c r="G226" s="217" t="inlineStr">
        <is>
          <t>ថ្ងៃអាប់ដេត</t>
        </is>
      </c>
      <c r="H226" t="inlineStr">
        <is>
          <t>ថ្ងៃអាប់ដេត</t>
        </is>
      </c>
      <c r="J226" s="217" t="inlineStr">
        <is>
          <t>"revenueManagement.updatedAt": "Date updated",</t>
        </is>
      </c>
    </row>
    <row r="227" ht="15.75" customHeight="1" s="305">
      <c r="A227" s="217" t="inlineStr">
        <is>
          <t>revenueManagement.city</t>
        </is>
      </c>
      <c r="B227" s="217" t="inlineStr">
        <is>
          <t>Tỉnh/TP</t>
        </is>
      </c>
      <c r="C227" s="217">
        <f>IFERROR(__xludf.DUMMYFUNCTION("GOOGLETRANSLATE(B227,""vi"",""en"")"),"Province/City")</f>
        <v/>
      </c>
      <c r="D227" s="3">
        <f>IFERROR(__xludf.DUMMYFUNCTION("GOOGLETRANSLATE(B227,""vi"",""km"")"),"ខេត្ត/ក្រុង")</f>
        <v/>
      </c>
      <c r="E227" s="3" t="inlineStr">
        <is>
          <t>ខេត្ត/ក្រុង</t>
        </is>
      </c>
      <c r="F227" s="217" t="inlineStr">
        <is>
          <t>v</t>
        </is>
      </c>
      <c r="G227" s="217" t="inlineStr">
        <is>
          <t>ខេត្ត/ក្រុង</t>
        </is>
      </c>
      <c r="H227" t="inlineStr">
        <is>
          <t>ខេត្ត/ក្រុង</t>
        </is>
      </c>
      <c r="J227" s="217" t="inlineStr">
        <is>
          <t>"revenueManagement.city": "Province/City",</t>
        </is>
      </c>
    </row>
    <row r="228" ht="15.75" customHeight="1" s="305">
      <c r="A228" s="217" t="inlineStr">
        <is>
          <t>revenueManagement.district</t>
        </is>
      </c>
      <c r="B228" s="217" t="inlineStr">
        <is>
          <t>Quận/Huyện</t>
        </is>
      </c>
      <c r="C228" s="217">
        <f>IFERROR(__xludf.DUMMYFUNCTION("GOOGLETRANSLATE(B228,""vi"",""en"")"),"District/County")</f>
        <v/>
      </c>
      <c r="D228" s="3">
        <f>IFERROR(__xludf.DUMMYFUNCTION("GOOGLETRANSLATE(B228,""vi"",""km"")"),"ស្រុក/ខេត្ត")</f>
        <v/>
      </c>
      <c r="E228" s="3" t="inlineStr">
        <is>
          <t>ខណ្ឌ/ស្រុក</t>
        </is>
      </c>
      <c r="F228" s="217" t="inlineStr">
        <is>
          <t>v</t>
        </is>
      </c>
      <c r="G228" s="217" t="inlineStr">
        <is>
          <t>ស្រុក/ខណ្ឌ</t>
        </is>
      </c>
      <c r="H228" t="inlineStr">
        <is>
          <t>ស្រុក/ខណ្ឌ</t>
        </is>
      </c>
      <c r="J228" s="217" t="inlineStr">
        <is>
          <t>"revenueManagement.district": "District/County",</t>
        </is>
      </c>
    </row>
    <row r="229" ht="15.75" customHeight="1" s="305">
      <c r="A229" s="217" t="inlineStr">
        <is>
          <t>revenueManagement.ward</t>
        </is>
      </c>
      <c r="B229" s="217" t="inlineStr">
        <is>
          <t>Phường/Xã</t>
        </is>
      </c>
      <c r="C229" s="217">
        <f>IFERROR(__xludf.DUMMYFUNCTION("GOOGLETRANSLATE(B229,""vi"",""en"")"),"Ward/Commune")</f>
        <v/>
      </c>
      <c r="D229" s="3">
        <f>IFERROR(__xludf.DUMMYFUNCTION("GOOGLETRANSLATE(B229,""vi"",""km"")"),"វួដ/ឃុំ")</f>
        <v/>
      </c>
      <c r="E229" s="3" t="inlineStr">
        <is>
          <t>ឃុំ/សង្កាត់</t>
        </is>
      </c>
      <c r="F229" s="217" t="inlineStr">
        <is>
          <t>v</t>
        </is>
      </c>
      <c r="G229" s="217" t="inlineStr">
        <is>
          <t>ឃុំ/សង្កាត់</t>
        </is>
      </c>
      <c r="H229" t="inlineStr">
        <is>
          <t>ឃុំ/សង្កាត់</t>
        </is>
      </c>
      <c r="J229" s="217" t="inlineStr">
        <is>
          <t>"revenueManagement.ward": "Ward/Commune",</t>
        </is>
      </c>
    </row>
    <row r="230" ht="15.75" customHeight="1" s="305">
      <c r="A230" s="217" t="inlineStr">
        <is>
          <t>revenueManagement.addressDetail</t>
        </is>
      </c>
      <c r="B230" s="217" t="inlineStr">
        <is>
          <t>Địa chỉ chi tiết</t>
        </is>
      </c>
      <c r="C230" s="217">
        <f>IFERROR(__xludf.DUMMYFUNCTION("GOOGLETRANSLATE(B230,""vi"",""en"")"),"Detailed address")</f>
        <v/>
      </c>
      <c r="D230" s="3">
        <f>IFERROR(__xludf.DUMMYFUNCTION("GOOGLETRANSLATE(B230,""vi"",""km"")"),"អាសយដ្ឋានលម្អិត")</f>
        <v/>
      </c>
      <c r="E230" s="3" t="inlineStr">
        <is>
          <t xml:space="preserve"> អាស័យដ្ឋានលម្អិត</t>
        </is>
      </c>
      <c r="F230" s="217" t="inlineStr">
        <is>
          <t>v</t>
        </is>
      </c>
      <c r="G230" s="217" t="inlineStr">
        <is>
          <t>អាសយដ្ឋានលម្អិត</t>
        </is>
      </c>
      <c r="H230" t="inlineStr">
        <is>
          <t>អាសយដ្ឋានលម្អិត</t>
        </is>
      </c>
      <c r="J230" s="217" t="inlineStr">
        <is>
          <t>"revenueManagement.addressDetail": "Detailed address",</t>
        </is>
      </c>
    </row>
    <row r="231" ht="15.75" customHeight="1" s="305">
      <c r="A231" s="217" t="inlineStr">
        <is>
          <t>revenueManagement.bankAccount</t>
        </is>
      </c>
      <c r="B231" s="217" t="inlineStr">
        <is>
          <t>Số tài khoản</t>
        </is>
      </c>
      <c r="C231" s="217">
        <f>IFERROR(__xludf.DUMMYFUNCTION("GOOGLETRANSLATE(B231,""vi"",""en"")"),"Account number")</f>
        <v/>
      </c>
      <c r="D231" s="3">
        <f>IFERROR(__xludf.DUMMYFUNCTION("GOOGLETRANSLATE(B231,""vi"",""km"")"),"លេខគណនី")</f>
        <v/>
      </c>
      <c r="E231" s="3" t="inlineStr">
        <is>
          <t>លេខគណនី</t>
        </is>
      </c>
      <c r="F231" s="217" t="inlineStr">
        <is>
          <t>v</t>
        </is>
      </c>
      <c r="G231" s="217" t="inlineStr">
        <is>
          <t>លេខគណនីធនាគារ</t>
        </is>
      </c>
      <c r="H231" t="inlineStr">
        <is>
          <t>លេខគណនីធនាគារ</t>
        </is>
      </c>
      <c r="J231" s="217" t="inlineStr">
        <is>
          <t>"revenueManagement.bankAccount": "Account number",</t>
        </is>
      </c>
    </row>
    <row r="232" ht="15.75" customHeight="1" s="305">
      <c r="A232" s="217" t="inlineStr">
        <is>
          <t>revenueManagement.startAt</t>
        </is>
      </c>
      <c r="B232" s="217" t="inlineStr">
        <is>
          <t>Thời gian bắt đầu</t>
        </is>
      </c>
      <c r="C232" s="217">
        <f>IFERROR(__xludf.DUMMYFUNCTION("GOOGLETRANSLATE(B232,""vi"",""en"")"),"Start time")</f>
        <v/>
      </c>
      <c r="D232" s="3">
        <f>IFERROR(__xludf.DUMMYFUNCTION("GOOGLETRANSLATE(B232,""vi"",""km"")"),"ពេលវេលាចាប់ផ្តើម")</f>
        <v/>
      </c>
      <c r="E232" s="3" t="inlineStr">
        <is>
          <t>ពេលវេលាចាប់ផ្តើម</t>
        </is>
      </c>
      <c r="F232" s="217" t="inlineStr">
        <is>
          <t>v</t>
        </is>
      </c>
      <c r="G232" s="217" t="inlineStr">
        <is>
          <t>ពេលវេលាចាប់ផ្តើម</t>
        </is>
      </c>
      <c r="H232" t="inlineStr">
        <is>
          <t>ពេលវេលាចាប់ផ្តើម</t>
        </is>
      </c>
      <c r="J232" s="217" t="inlineStr">
        <is>
          <t>"revenueManagement.startAt": "Start time",</t>
        </is>
      </c>
    </row>
    <row r="233" ht="15.75" customHeight="1" s="305">
      <c r="A233" s="217" t="inlineStr">
        <is>
          <t>revenueManagement.actionAt</t>
        </is>
      </c>
      <c r="B233" s="217" t="inlineStr">
        <is>
          <t>Thời gian kết thúc</t>
        </is>
      </c>
      <c r="C233" s="217">
        <f>IFERROR(__xludf.DUMMYFUNCTION("GOOGLETRANSLATE(B233,""vi"",""en"")"),"End time")</f>
        <v/>
      </c>
      <c r="D233" s="3">
        <f>IFERROR(__xludf.DUMMYFUNCTION("GOOGLETRANSLATE(B233,""vi"",""km"")"),"ពេលវេលាបញ្ចប់")</f>
        <v/>
      </c>
      <c r="E233" s="3" t="inlineStr">
        <is>
          <t>ពេលវេេលាបញ្ចប់</t>
        </is>
      </c>
      <c r="F233" s="217" t="inlineStr">
        <is>
          <t>v</t>
        </is>
      </c>
      <c r="G233" s="217" t="inlineStr">
        <is>
          <t>ពេលវេេលាបញ្ចប់</t>
        </is>
      </c>
      <c r="H233" t="inlineStr">
        <is>
          <t>ពេលវេេលាបញ្ចប់</t>
        </is>
      </c>
      <c r="J233" s="217" t="inlineStr">
        <is>
          <t>"revenueManagement.actionAt": "End time",</t>
        </is>
      </c>
    </row>
    <row r="234" ht="15.75" customHeight="1" s="305">
      <c r="A234" s="217" t="inlineStr">
        <is>
          <t>revenueManagement.bankName</t>
        </is>
      </c>
      <c r="B234" s="217" t="inlineStr">
        <is>
          <t>Ngân hàng</t>
        </is>
      </c>
      <c r="C234" s="217">
        <f>IFERROR(__xludf.DUMMYFUNCTION("GOOGLETRANSLATE(B234,""vi"",""en"")"),"Bank")</f>
        <v/>
      </c>
      <c r="D234" s="3">
        <f>IFERROR(__xludf.DUMMYFUNCTION("GOOGLETRANSLATE(B234,""vi"",""km"")"),"ធនាគារ")</f>
        <v/>
      </c>
      <c r="E234" s="3" t="inlineStr">
        <is>
          <t>ធនាគារ</t>
        </is>
      </c>
      <c r="F234" s="217" t="inlineStr">
        <is>
          <t>v</t>
        </is>
      </c>
      <c r="G234" s="217" t="inlineStr">
        <is>
          <t>ធនាគារ</t>
        </is>
      </c>
      <c r="H234" t="inlineStr">
        <is>
          <t>ធនាគារ</t>
        </is>
      </c>
      <c r="J234" s="217" t="inlineStr">
        <is>
          <t>"revenueManagement.bankName": "Bank",</t>
        </is>
      </c>
    </row>
    <row r="235" ht="15.75" customHeight="1" s="305">
      <c r="A235" s="217" t="inlineStr">
        <is>
          <t>revenueManagement.bankBranch</t>
        </is>
      </c>
      <c r="B235" s="217" t="inlineStr">
        <is>
          <t>Chi nhánh ngân hàng</t>
        </is>
      </c>
      <c r="C235" s="217">
        <f>IFERROR(__xludf.DUMMYFUNCTION("GOOGLETRANSLATE(B235,""vi"",""en"")"),"Bank branch")</f>
        <v/>
      </c>
      <c r="D235" s="3">
        <f>IFERROR(__xludf.DUMMYFUNCTION("GOOGLETRANSLATE(B235,""vi"",""km"")"),"សាខាធនាគារ")</f>
        <v/>
      </c>
      <c r="E235" s="3" t="inlineStr">
        <is>
          <t>សាខាធនាគារ</t>
        </is>
      </c>
      <c r="F235" s="217" t="inlineStr">
        <is>
          <t>v</t>
        </is>
      </c>
      <c r="G235" s="217" t="inlineStr">
        <is>
          <t>សាខាធនាគារ</t>
        </is>
      </c>
      <c r="H235" t="inlineStr">
        <is>
          <t>សាខាធនាគារ</t>
        </is>
      </c>
      <c r="J235" s="217" t="inlineStr">
        <is>
          <t>"revenueManagement.bankBranch": "Bank branch",</t>
        </is>
      </c>
    </row>
    <row r="236" ht="15.75" customHeight="1" s="305">
      <c r="A236" s="217" t="inlineStr">
        <is>
          <t>revenueManagement.NOT_SYNC_STATUS</t>
        </is>
      </c>
      <c r="B236" s="217" t="inlineStr">
        <is>
          <t>Chưa đồng bộ</t>
        </is>
      </c>
      <c r="C236" s="217">
        <f>IFERROR(__xludf.DUMMYFUNCTION("GOOGLETRANSLATE(B236,""vi"",""en"")"),"Not synchronized")</f>
        <v/>
      </c>
      <c r="D236" s="3">
        <f>IFERROR(__xludf.DUMMYFUNCTION("GOOGLETRANSLATE(B236,""vi"",""km"")"),"មិនបានធ្វើសមកាលកម្មទេ")</f>
        <v/>
      </c>
      <c r="E236" s="3" t="inlineStr">
        <is>
          <t>មិនទាន់ភ្ជាប់គ្នា</t>
        </is>
      </c>
      <c r="F236" s="217" t="inlineStr">
        <is>
          <t>x</t>
        </is>
      </c>
      <c r="G236" s="217" t="inlineStr">
        <is>
          <t>មិនទាន់ភ្ជាប់គ្នា</t>
        </is>
      </c>
      <c r="H236" t="inlineStr">
        <is>
          <t>មិនទាន់ភ្ជាប់គ្នា</t>
        </is>
      </c>
      <c r="J236" s="217" t="inlineStr">
        <is>
          <t>"revenueManagement.NOT_SYNC_STATUS": "Not synchronized",</t>
        </is>
      </c>
    </row>
    <row r="237" ht="15.75" customHeight="1" s="305">
      <c r="A237" s="217" t="inlineStr">
        <is>
          <t>revenueManagement.SYNCED_STATUS</t>
        </is>
      </c>
      <c r="B237" s="217" t="inlineStr">
        <is>
          <t>Đã đồng bộ</t>
        </is>
      </c>
      <c r="C237" s="217">
        <f>IFERROR(__xludf.DUMMYFUNCTION("GOOGLETRANSLATE(B237,""vi"",""en"")"),"Synchronized")</f>
        <v/>
      </c>
      <c r="D237" s="3">
        <f>IFERROR(__xludf.DUMMYFUNCTION("GOOGLETRANSLATE(B237,""vi"",""km"")"),"បានធ្វើសមកាលកម្ម")</f>
        <v/>
      </c>
      <c r="E237" s="3" t="inlineStr">
        <is>
          <t>បានភ្ជាប់គ្នា</t>
        </is>
      </c>
      <c r="F237" s="217" t="inlineStr">
        <is>
          <t>x</t>
        </is>
      </c>
      <c r="G237" s="217" t="inlineStr">
        <is>
          <t>បានភ្ជាប់គ្នា</t>
        </is>
      </c>
      <c r="H237" t="inlineStr">
        <is>
          <t>បានភ្ជាប់គ្នា</t>
        </is>
      </c>
      <c r="J237" s="217" t="inlineStr">
        <is>
          <t>"revenueManagement.SYNCED_STATUS": "Synchronized",</t>
        </is>
      </c>
    </row>
    <row r="238" ht="15.75" customHeight="1" s="305">
      <c r="A238" s="217" t="inlineStr">
        <is>
          <t>revenueManagement.pusBackOrderConfirm</t>
        </is>
      </c>
      <c r="B238" s="217" t="inlineStr">
        <is>
          <t>Bạn có chắc chắn muốn thực hiện đẩy lại đơn hàng sang BCCS không</t>
        </is>
      </c>
      <c r="C238" s="217">
        <f>IFERROR(__xludf.DUMMYFUNCTION("GOOGLETRANSLATE(B238,""vi"",""en"")"),"Are you sure you want to push the order back to BCCS?")</f>
        <v/>
      </c>
      <c r="D238" s="3">
        <f>IFERROR(__xludf.DUMMYFUNCTION("GOOGLETRANSLATE(B238,""vi"",""km"")"),"តើអ្នកពិតជាចង់បញ្ជូនការបញ្ជាទិញត្រឡប់ទៅ BCCS វិញមែនទេ?")</f>
        <v/>
      </c>
      <c r="E238" s="3" t="inlineStr">
        <is>
          <t>តើអ្នកពិតជាចង់ធ្វើការទាញយកបុងបញ្ញើត្រលប់មកវិញ BCCS វិញទេ?</t>
        </is>
      </c>
      <c r="F238" s="217" t="inlineStr">
        <is>
          <t>x</t>
        </is>
      </c>
      <c r="G238" s="217" t="inlineStr">
        <is>
          <t>តើអ្នកពិតជាចង់ធ្វើការទាញយកបុងបញ្ញើត្រលប់មកវិញ BCCS វិញទេ?</t>
        </is>
      </c>
      <c r="H238" t="inlineStr">
        <is>
          <t>តើអ្នកពិតជាចង់ធ្វើការទាញយកបុងបញ្ញើត្រលប់មកវិញ BCCS វិញទេ?</t>
        </is>
      </c>
      <c r="J238" s="217" t="inlineStr">
        <is>
          <t>"revenueManagement.pusBackOrderConfirm": "Are you sure you want to push the order back to BCCS?",</t>
        </is>
      </c>
    </row>
    <row r="239" ht="15.75" customHeight="1" s="305">
      <c r="A239" s="217" t="inlineStr">
        <is>
          <t>revenueManagement.filterBranch</t>
        </is>
      </c>
      <c r="B239" s="217" t="inlineStr">
        <is>
          <t>Chọn chi nhánh</t>
        </is>
      </c>
      <c r="C239" s="217">
        <f>IFERROR(__xludf.DUMMYFUNCTION("GOOGLETRANSLATE(B239,""vi"",""en"")"),"Select a branch")</f>
        <v/>
      </c>
      <c r="D239" s="3">
        <f>IFERROR(__xludf.DUMMYFUNCTION("GOOGLETRANSLATE(B239,""vi"",""km"")"),"ជ្រើសរើសសាខាមួយ")</f>
        <v/>
      </c>
      <c r="E239" s="3" t="inlineStr">
        <is>
          <t>ជ្រើសរើសសាខា</t>
        </is>
      </c>
      <c r="F239" s="217" t="inlineStr">
        <is>
          <t>v</t>
        </is>
      </c>
      <c r="G239" s="217" t="inlineStr">
        <is>
          <t>ជ្រើសរើសសាខា</t>
        </is>
      </c>
      <c r="H239" t="inlineStr">
        <is>
          <t>ជ្រើសរើសសាខា</t>
        </is>
      </c>
      <c r="J239" s="217" t="inlineStr">
        <is>
          <t>"revenueManagement.filterBranch": "Select a branch",</t>
        </is>
      </c>
    </row>
    <row r="240" ht="15.75" customHeight="1" s="305">
      <c r="A240" s="217" t="inlineStr">
        <is>
          <t>updateOrder.searchPlaceholder</t>
        </is>
      </c>
      <c r="B240" s="217" t="inlineStr">
        <is>
          <t>Nhập mã đơn hàng</t>
        </is>
      </c>
      <c r="C240" s="217" t="inlineStr">
        <is>
          <t>Enter order code</t>
        </is>
      </c>
      <c r="D240" s="3">
        <f>IFERROR(__xludf.DUMMYFUNCTION("GOOGLETRANSLATE(B240,""vi"",""km"")"),"បញ្ចូលលេខកូដបញ្ជាទិញ")</f>
        <v/>
      </c>
      <c r="E240" s="3" t="inlineStr">
        <is>
          <t>បញ្ចូលកូដបុងបញ្ញើអីវ៉ាន់</t>
        </is>
      </c>
      <c r="F240" s="217" t="inlineStr">
        <is>
          <t>v</t>
        </is>
      </c>
      <c r="G240" s="217" t="inlineStr">
        <is>
          <t>បញ្ចូលកូដបុងបញ្ញើអីវ៉ាន់</t>
        </is>
      </c>
      <c r="H240" t="inlineStr">
        <is>
          <t>បញ្ចូលកូដបុងបញ្ញើអីវ៉ាន់</t>
        </is>
      </c>
      <c r="J240" s="217" t="inlineStr">
        <is>
          <t>"updateOrder.searchPlaceholder": "Enter order code",</t>
        </is>
      </c>
    </row>
    <row r="241" ht="15.75" customHeight="1" s="305">
      <c r="A241" s="217" t="inlineStr">
        <is>
          <t>updateOrder.deliveryCode</t>
        </is>
      </c>
      <c r="B241" s="217" t="inlineStr">
        <is>
          <t>Mã phiếu gửi</t>
        </is>
      </c>
      <c r="C241" s="217" t="inlineStr">
        <is>
          <t>Shipment Code</t>
        </is>
      </c>
      <c r="D241" s="3">
        <f>IFERROR(__xludf.DUMMYFUNCTION("GOOGLETRANSLATE(B241,""vi"",""km"")"),"លេខកូដបង្កាន់ដៃ")</f>
        <v/>
      </c>
      <c r="E241" s="3" t="inlineStr">
        <is>
          <t>លេខកូដបុងបញ្ញើ</t>
        </is>
      </c>
      <c r="F241" s="217" t="inlineStr">
        <is>
          <t>x</t>
        </is>
      </c>
      <c r="G241" s="217" t="inlineStr">
        <is>
          <t>លេខកូដបុងបញ្ញើ</t>
        </is>
      </c>
      <c r="H241" t="inlineStr">
        <is>
          <t>លេខកូដបុងបញ្ញើ</t>
        </is>
      </c>
      <c r="J241" s="217" t="inlineStr">
        <is>
          <t>"updateOrder.deliveryCode": "Shipment Code",</t>
        </is>
      </c>
    </row>
    <row r="242" ht="15.75" customHeight="1" s="305">
      <c r="A242" s="217" t="inlineStr">
        <is>
          <t>updateOrder.status</t>
        </is>
      </c>
      <c r="B242" s="217" t="inlineStr">
        <is>
          <t>Trạng thái</t>
        </is>
      </c>
      <c r="C242" s="217" t="inlineStr">
        <is>
          <t>Status</t>
        </is>
      </c>
      <c r="D242" s="3">
        <f>IFERROR(__xludf.DUMMYFUNCTION("GOOGLETRANSLATE(B242,""vi"",""km"")"),"ស្ថានភាព")</f>
        <v/>
      </c>
      <c r="E242" s="3" t="inlineStr">
        <is>
          <t>ស្ថានភាព</t>
        </is>
      </c>
      <c r="F242" s="217" t="inlineStr">
        <is>
          <t>v</t>
        </is>
      </c>
      <c r="G242" s="217" t="inlineStr">
        <is>
          <t>ស្ថានភាព</t>
        </is>
      </c>
      <c r="H242" t="inlineStr">
        <is>
          <t>ស្ថានភាព</t>
        </is>
      </c>
      <c r="J242" s="217" t="inlineStr">
        <is>
          <t>"updateOrder.status": "Status",</t>
        </is>
      </c>
    </row>
    <row r="243" ht="15.75" customHeight="1" s="305">
      <c r="A243" s="217" t="inlineStr">
        <is>
          <t>updateOrder.sender</t>
        </is>
      </c>
      <c r="B243" s="217" t="inlineStr">
        <is>
          <t>Người gửi</t>
        </is>
      </c>
      <c r="C243" s="217" t="inlineStr">
        <is>
          <t>Sender</t>
        </is>
      </c>
      <c r="D243" s="3">
        <f>IFERROR(__xludf.DUMMYFUNCTION("GOOGLETRANSLATE(B243,""vi"",""km"")"),"អ្នកផ្ញើ")</f>
        <v/>
      </c>
      <c r="E243" s="3" t="inlineStr">
        <is>
          <t>អ្នកផ្ញើរ</t>
        </is>
      </c>
      <c r="F243" s="217" t="inlineStr">
        <is>
          <t>v</t>
        </is>
      </c>
      <c r="G243" s="217" t="inlineStr">
        <is>
          <t>អ្នកផ្ញើ</t>
        </is>
      </c>
      <c r="H243" t="inlineStr">
        <is>
          <t>អ្នកផ្ញើ</t>
        </is>
      </c>
      <c r="J243" s="217" t="inlineStr">
        <is>
          <t>"updateOrder.sender": "Sender",</t>
        </is>
      </c>
    </row>
    <row r="244" ht="15.75" customHeight="1" s="305">
      <c r="A244" s="217" t="inlineStr">
        <is>
          <t>updateOrder.address</t>
        </is>
      </c>
      <c r="B244" s="217" t="inlineStr">
        <is>
          <t>Địa chỉ</t>
        </is>
      </c>
      <c r="C244" s="217" t="inlineStr">
        <is>
          <t>Address</t>
        </is>
      </c>
      <c r="D244" s="3">
        <f>IFERROR(__xludf.DUMMYFUNCTION("GOOGLETRANSLATE(B244,""vi"",""km"")"),"អាសយដ្ឋាន")</f>
        <v/>
      </c>
      <c r="E244" s="3" t="inlineStr">
        <is>
          <t>អាស័យដ្ឋាន</t>
        </is>
      </c>
      <c r="F244" s="217" t="inlineStr">
        <is>
          <t>v</t>
        </is>
      </c>
      <c r="G244" s="217" t="inlineStr">
        <is>
          <t>អាសយដ្ឋាន</t>
        </is>
      </c>
      <c r="H244" t="inlineStr">
        <is>
          <t>អាសយដ្ឋាន</t>
        </is>
      </c>
      <c r="J244" s="217" t="inlineStr">
        <is>
          <t>"updateOrder.address": "Address",</t>
        </is>
      </c>
    </row>
    <row r="245" ht="15.75" customHeight="1" s="305">
      <c r="A245" s="217" t="inlineStr">
        <is>
          <t>updateOrder.parcel</t>
        </is>
      </c>
      <c r="B245" s="217" t="inlineStr">
        <is>
          <t>Hàng hoá</t>
        </is>
      </c>
      <c r="C245" s="217" t="inlineStr">
        <is>
          <t>Parcel / Goods</t>
        </is>
      </c>
      <c r="D245" s="3">
        <f>IFERROR(__xludf.DUMMYFUNCTION("GOOGLETRANSLATE(B245,""vi"",""km"")"),"ទំនិញ")</f>
        <v/>
      </c>
      <c r="E245" s="3" t="inlineStr">
        <is>
          <t>អីវ៉ាន់</t>
        </is>
      </c>
      <c r="F245" s="217" t="inlineStr">
        <is>
          <t>v</t>
        </is>
      </c>
      <c r="G245" s="217" t="inlineStr">
        <is>
          <t>អីវ៉ាន់</t>
        </is>
      </c>
      <c r="H245" t="inlineStr">
        <is>
          <t>អីវ៉ាន់</t>
        </is>
      </c>
      <c r="J245" s="217" t="inlineStr">
        <is>
          <t>"updateOrder.parcel": "Parcel / Goods",</t>
        </is>
      </c>
    </row>
    <row r="246" ht="15.75" customHeight="1" s="305">
      <c r="A246" s="217" t="inlineStr">
        <is>
          <t>updateOrder.weight</t>
        </is>
      </c>
      <c r="B246" s="217" t="inlineStr">
        <is>
          <t>Trọng lượng ({{unit}})</t>
        </is>
      </c>
      <c r="C246" s="217" t="inlineStr">
        <is>
          <t>Weight ({{unit}})</t>
        </is>
      </c>
      <c r="D246" s="3">
        <f>IFERROR(__xludf.DUMMYFUNCTION("GOOGLETRANSLATE(B246,""vi"",""km"")"),"ទម្ងន់ ({{unit}})")</f>
        <v/>
      </c>
      <c r="E246" s="3" t="inlineStr">
        <is>
          <t>ទម្ងន់</t>
        </is>
      </c>
      <c r="F246" s="217" t="inlineStr">
        <is>
          <t>v</t>
        </is>
      </c>
      <c r="G246" s="217" t="inlineStr">
        <is>
          <t>ទម្ងន់</t>
        </is>
      </c>
      <c r="H246" t="inlineStr">
        <is>
          <t>ទម្ងន់</t>
        </is>
      </c>
      <c r="J246" s="217" t="inlineStr">
        <is>
          <t>"updateOrder.weight": "Weight ({{unit}})",</t>
        </is>
      </c>
    </row>
    <row r="247" ht="15.75" customHeight="1" s="305">
      <c r="A247" s="217" t="inlineStr">
        <is>
          <t>updateOrder.totalAmountUnit</t>
        </is>
      </c>
      <c r="B247" s="217" t="inlineStr">
        <is>
          <t>Tổng tiền ({{money_unit}})</t>
        </is>
      </c>
      <c r="C247" s="217" t="inlineStr">
        <is>
          <t>Total Amount ({{money_unit}})</t>
        </is>
      </c>
      <c r="D247" s="3">
        <f>IFERROR(__xludf.DUMMYFUNCTION("GOOGLETRANSLATE(B247,""vi"",""km"")"),"ចំនួនទឹកប្រាក់សរុប ({{money_unit}})")</f>
        <v/>
      </c>
      <c r="E247" s="3" t="inlineStr">
        <is>
          <t>សរុបទឺកប្រាក់</t>
        </is>
      </c>
      <c r="F247" s="217" t="inlineStr">
        <is>
          <t>v</t>
        </is>
      </c>
      <c r="G247" s="217" t="inlineStr">
        <is>
          <t>សរុបទឺកប្រាក់</t>
        </is>
      </c>
      <c r="H247" t="inlineStr">
        <is>
          <t>សរុបទឺកប្រាក់</t>
        </is>
      </c>
      <c r="J247" s="217" t="inlineStr">
        <is>
          <t>"updateOrder.totalAmountUnit": "Total Amount ({{money_unit}})",</t>
        </is>
      </c>
    </row>
    <row r="248" ht="15.75" customHeight="1" s="305">
      <c r="A248" s="217" t="inlineStr">
        <is>
          <t>updateOrder.updateEmptyNotice</t>
        </is>
      </c>
      <c r="B248" s="217" t="inlineStr">
        <is>
          <t>Vui lòng nhập mã đơn hàng để tìm kiếm đơn cần sửa!</t>
        </is>
      </c>
      <c r="C248" s="217" t="inlineStr">
        <is>
          <t>Vui lòng nhập mã đơn hàng để tìm kiếm đơn cần sửa!</t>
        </is>
      </c>
      <c r="D248" s="3">
        <f>IFERROR(__xludf.DUMMYFUNCTION("GOOGLETRANSLATE(B248,""vi"",""km"")"),"សូមបញ្ចូលលេខបញ្ជាទិញរបស់អ្នក ដើម្បីស្វែងរកការបញ្ជាទិញដែលត្រូវការកែសម្រួល!")</f>
        <v/>
      </c>
      <c r="E248" s="3" t="inlineStr">
        <is>
          <t>សូមមេត្តាបញ្ចូលលេខកូដអីវ៉ាន់បញ្ញើដើម្បីស្វែងរកបុងអីវ៉ាន់ណាដែលត្រូវកែ</t>
        </is>
      </c>
      <c r="F248" s="217" t="inlineStr">
        <is>
          <t>v</t>
        </is>
      </c>
      <c r="G248" s="3" t="inlineStr">
        <is>
          <t>សូមមេត្តាបញ្ចូលលេខកូដអីវ៉ាន់បញ្ញើដើម្បីស្វែងរកបុងអីវ៉ាន់ណាដែលត្រូវកែ</t>
        </is>
      </c>
      <c r="H248" t="inlineStr">
        <is>
          <t>សូមមេត្តាបញ្ចូលលេខកូដអីវ៉ាន់បញ្ញើដើម្បីស្វែងរកបុងអីវ៉ាន់ណាដែលត្រូវកែ</t>
        </is>
      </c>
      <c r="J248" s="217" t="inlineStr">
        <is>
          <t>"updateOrder.updateEmptyNotice": "Vui lòng nhập mã đơn hàng để tìm kiếm đơn cần sửa!",</t>
        </is>
      </c>
    </row>
    <row r="249" ht="15.75" customHeight="1" s="305">
      <c r="A249" s="217" t="inlineStr">
        <is>
          <t>updateOrder.delete</t>
        </is>
      </c>
      <c r="B249" s="217" t="inlineStr">
        <is>
          <t>Huỷ đơn</t>
        </is>
      </c>
      <c r="C249" s="217" t="inlineStr">
        <is>
          <t>Cancel order</t>
        </is>
      </c>
      <c r="D249" s="3">
        <f>IFERROR(__xludf.DUMMYFUNCTION("GOOGLETRANSLATE(B249,""vi"",""km"")"),"លុបចោលការបញ្ជាទិញ")</f>
        <v/>
      </c>
      <c r="E249" s="3" t="inlineStr">
        <is>
          <t>លុបបុងបញ្ញើ</t>
        </is>
      </c>
      <c r="F249" s="217" t="inlineStr">
        <is>
          <t>v</t>
        </is>
      </c>
      <c r="G249" s="217" t="inlineStr">
        <is>
          <t>លុបបុងបញ្ញើ</t>
        </is>
      </c>
      <c r="H249" t="inlineStr">
        <is>
          <t>លុបបុងបញ្ញើ</t>
        </is>
      </c>
      <c r="J249" s="217" t="inlineStr">
        <is>
          <t>"updateOrder.delete": "Cancel order",</t>
        </is>
      </c>
    </row>
    <row r="250" ht="15.75" customHeight="1" s="305">
      <c r="A250" s="217" t="inlineStr">
        <is>
          <t>updateOrder.update</t>
        </is>
      </c>
      <c r="B250" s="217" t="inlineStr">
        <is>
          <t>Chỉnh sửa</t>
        </is>
      </c>
      <c r="C250" s="217" t="inlineStr">
        <is>
          <t>Chỉnh sửa</t>
        </is>
      </c>
      <c r="D250" s="3">
        <f>IFERROR(__xludf.DUMMYFUNCTION("GOOGLETRANSLATE(B250,""vi"",""km"")"),"កែសម្រួល")</f>
        <v/>
      </c>
      <c r="E250" s="3" t="inlineStr">
        <is>
          <t>កែសម្រួល</t>
        </is>
      </c>
      <c r="F250" s="217" t="inlineStr">
        <is>
          <t>v</t>
        </is>
      </c>
      <c r="G250" s="217" t="inlineStr">
        <is>
          <t>កែសម្រួល</t>
        </is>
      </c>
      <c r="H250" t="inlineStr">
        <is>
          <t>កែសម្រួល</t>
        </is>
      </c>
      <c r="J250" s="217" t="inlineStr">
        <is>
          <t>"updateOrder.update": "Chỉnh sửa",</t>
        </is>
      </c>
    </row>
    <row r="251" ht="15.75" customHeight="1" s="305">
      <c r="A251" s="217" t="inlineStr">
        <is>
          <t>updateOrder.notOrderRevenue</t>
        </is>
      </c>
      <c r="B251" s="217" t="inlineStr">
        <is>
          <t>Đơn hàng chưa đươc nhập doanh thu!</t>
        </is>
      </c>
      <c r="C251" s="217" t="inlineStr">
        <is>
          <t>Đơn hàng chưa đươc nhập doanh thu!</t>
        </is>
      </c>
      <c r="D251" s="3">
        <f>IFERROR(__xludf.DUMMYFUNCTION("GOOGLETRANSLATE(B251,""vi"",""km"")"),"ការបញ្ជាទិញមិនទាន់ត្រូវបានកត់ត្រាជាចំណូលនៅឡើយទេ!")</f>
        <v/>
      </c>
      <c r="E251" s="3" t="inlineStr">
        <is>
          <t>បុងអីវ៉ាន់ដែលមិនទាន់បានបញ្ចូលចំណូល</t>
        </is>
      </c>
      <c r="F251" s="217" t="inlineStr">
        <is>
          <t>x</t>
        </is>
      </c>
      <c r="G251" s="217" t="inlineStr">
        <is>
          <t>បុងអីវ៉ាន់ដែលមិនទាន់បានបញ្ចូលចំណូល</t>
        </is>
      </c>
      <c r="H251" t="inlineStr">
        <is>
          <t>បុងអីវ៉ាន់ដែលមិនទាន់បានបញ្ចូលចំណូល</t>
        </is>
      </c>
      <c r="J251" s="217" t="inlineStr">
        <is>
          <t>"updateOrder.notOrderRevenue": "Đơn hàng chưa đươc nhập doanh thu!",</t>
        </is>
      </c>
    </row>
    <row r="252" ht="15.75" customHeight="1" s="305">
      <c r="A252" s="217" t="inlineStr">
        <is>
          <t>updateOrder.editOrder</t>
        </is>
      </c>
      <c r="B252" s="217" t="inlineStr">
        <is>
          <t>Sửa đơn</t>
        </is>
      </c>
      <c r="C252" s="217" t="inlineStr">
        <is>
          <t>Sửa đơn</t>
        </is>
      </c>
      <c r="D252" s="3">
        <f>IFERROR(__xludf.DUMMYFUNCTION("GOOGLETRANSLATE(B252,""vi"",""km"")"),"កែសម្រួលការបញ្ជាទិញ")</f>
        <v/>
      </c>
      <c r="E252" s="3" t="inlineStr">
        <is>
          <t>កែប្រែបុងអីវ៉ាន់</t>
        </is>
      </c>
      <c r="F252" s="217" t="inlineStr">
        <is>
          <t>v</t>
        </is>
      </c>
      <c r="G252" s="217" t="inlineStr">
        <is>
          <t>កែប្រែបុងអីវ៉ាន់</t>
        </is>
      </c>
      <c r="H252" t="inlineStr">
        <is>
          <t>កែប្រែបុងអីវ៉ាន់</t>
        </is>
      </c>
      <c r="J252" s="217" t="inlineStr">
        <is>
          <t>"updateOrder.editOrder": "Sửa đơn",</t>
        </is>
      </c>
    </row>
    <row r="253" ht="15.75" customHeight="1" s="305">
      <c r="A253" s="217" t="inlineStr">
        <is>
          <t>updateOrder.variablePricing</t>
        </is>
      </c>
      <c r="B253" s="217" t="inlineStr">
        <is>
          <t>Tính giá thay đổi</t>
        </is>
      </c>
      <c r="C253" s="217" t="inlineStr">
        <is>
          <t>Tính giá thay đổi</t>
        </is>
      </c>
      <c r="D253" s="3">
        <f>IFERROR(__xludf.DUMMYFUNCTION("GOOGLETRANSLATE(B253,""vi"",""km"")"),"គណនាតម្លៃអថេរ")</f>
        <v/>
      </c>
      <c r="E253" s="3" t="inlineStr">
        <is>
          <t>គិតប្រាក់មានការកែប្រែ</t>
        </is>
      </c>
      <c r="F253" s="217" t="inlineStr">
        <is>
          <t>v</t>
        </is>
      </c>
      <c r="G253" s="217" t="inlineStr">
        <is>
          <t>គិតប្រាក់មានការកែប្រែ</t>
        </is>
      </c>
      <c r="H253" t="inlineStr">
        <is>
          <t>គិតប្រាក់មានការកែប្រែ</t>
        </is>
      </c>
      <c r="J253" s="217" t="inlineStr">
        <is>
          <t>"updateOrder.variablePricing": "Tính giá thay đổi",</t>
        </is>
      </c>
    </row>
    <row r="254" ht="15.75" customHeight="1" s="305">
      <c r="A254" s="217" t="inlineStr">
        <is>
          <t>updateOrder.totalLabel</t>
        </is>
      </c>
      <c r="B254" s="217" t="inlineStr">
        <is>
          <t>Tổng tiền hiện tại ({{unit}})</t>
        </is>
      </c>
      <c r="C254" s="217" t="inlineStr">
        <is>
          <t>Tổng tiền hiện tại ({{unit}})</t>
        </is>
      </c>
      <c r="D254" s="3">
        <f>IFERROR(__xludf.DUMMYFUNCTION("GOOGLETRANSLATE(B254,""vi"",""km"")"),"ចំនួនទឹកប្រាក់សរុបបច្ចុប្បន្ន ({{unit}})")</f>
        <v/>
      </c>
      <c r="E254" s="3" t="inlineStr">
        <is>
          <t>សរុបបប្រាក់បច្ចុប្បន្ន</t>
        </is>
      </c>
      <c r="F254" s="217" t="inlineStr">
        <is>
          <t>v</t>
        </is>
      </c>
      <c r="G254" s="217" t="inlineStr">
        <is>
          <t>សរុបបប្រាក់បច្ចុប្បន្ន</t>
        </is>
      </c>
      <c r="H254" t="inlineStr">
        <is>
          <t>សរុបបប្រាក់បច្ចុប្បន្ន</t>
        </is>
      </c>
      <c r="J254" s="217" t="inlineStr">
        <is>
          <t>"updateOrder.totalLabel": "Tổng tiền hiện tại ({{unit}})",</t>
        </is>
      </c>
    </row>
    <row r="255" ht="15.75" customHeight="1" s="305">
      <c r="A255" s="217" t="inlineStr">
        <is>
          <t>updateOrder.mainFee</t>
        </is>
      </c>
      <c r="B255" s="217" t="inlineStr">
        <is>
          <t>Cước chính</t>
        </is>
      </c>
      <c r="C255" s="217" t="inlineStr">
        <is>
          <t>Cước chính</t>
        </is>
      </c>
      <c r="D255" s="3">
        <f>IFERROR(__xludf.DUMMYFUNCTION("GOOGLETRANSLATE(B255,""vi"",""km"")"),"ថ្លៃសេវាសំខាន់")</f>
        <v/>
      </c>
      <c r="E255" s="3" t="inlineStr">
        <is>
          <t>សេវាចម្បង</t>
        </is>
      </c>
      <c r="F255" s="217" t="inlineStr">
        <is>
          <t>v</t>
        </is>
      </c>
      <c r="G255" s="217" t="inlineStr">
        <is>
          <t>ថ្លៃសេវាចម្បង</t>
        </is>
      </c>
      <c r="H255" t="inlineStr">
        <is>
          <t>ថ្លៃសេវាចម្បង</t>
        </is>
      </c>
      <c r="J255" s="217" t="inlineStr">
        <is>
          <t>"updateOrder.mainFee": "Cước chính",</t>
        </is>
      </c>
    </row>
    <row r="256" ht="15.75" customHeight="1" s="305">
      <c r="A256" s="217" t="inlineStr">
        <is>
          <t>updateOrder.additionalServices</t>
        </is>
      </c>
      <c r="B256" s="217" t="inlineStr">
        <is>
          <t>Dịch vụ cộng thêm ({{services}})</t>
        </is>
      </c>
      <c r="C256" s="217" t="inlineStr">
        <is>
          <t>Dịch vụ cộng thêm ({{services}})</t>
        </is>
      </c>
      <c r="D256" s="3">
        <f>IFERROR(__xludf.DUMMYFUNCTION("GOOGLETRANSLATE(B256,""vi"",""km"")"),"សេវាកម្មបន្ថែម ({{services}})")</f>
        <v/>
      </c>
      <c r="E256" s="3" t="inlineStr">
        <is>
          <t>សេវាកម្មបន្ថែម</t>
        </is>
      </c>
      <c r="F256" s="217" t="inlineStr">
        <is>
          <t>v</t>
        </is>
      </c>
      <c r="G256" s="217" t="inlineStr">
        <is>
          <t>សេវាកម្មបន្ថែម</t>
        </is>
      </c>
      <c r="H256" t="inlineStr">
        <is>
          <t>សេវាកម្មបន្ថែម</t>
        </is>
      </c>
      <c r="J256" s="217" t="inlineStr">
        <is>
          <t>"updateOrder.additionalServices": "Dịch vụ cộng thêm ({{services}})",</t>
        </is>
      </c>
    </row>
    <row r="257" ht="15.75" customHeight="1" s="305">
      <c r="A257" s="217" t="inlineStr">
        <is>
          <t>updateOrder.extraFee</t>
        </is>
      </c>
      <c r="B257" s="217" t="inlineStr">
        <is>
          <t>Phụ phí</t>
        </is>
      </c>
      <c r="C257" s="217" t="inlineStr">
        <is>
          <t>Phụ phí</t>
        </is>
      </c>
      <c r="D257" s="3">
        <f>IFERROR(__xludf.DUMMYFUNCTION("GOOGLETRANSLATE(B257,""vi"",""km"")"),"ការគិតថ្លៃបន្ថែម")</f>
        <v/>
      </c>
      <c r="E257" s="3" t="inlineStr">
        <is>
          <t>ការគិតបន្ថែម</t>
        </is>
      </c>
      <c r="F257" s="217" t="inlineStr">
        <is>
          <t>v</t>
        </is>
      </c>
      <c r="G257" s="217" t="inlineStr">
        <is>
          <t>ថ្លៃសេវាបន្ថែម</t>
        </is>
      </c>
      <c r="H257" t="inlineStr">
        <is>
          <t>ថ្លៃសេវាបន្ថែម</t>
        </is>
      </c>
      <c r="J257" s="217" t="inlineStr">
        <is>
          <t>"updateOrder.extraFee": "Phụ phí",</t>
        </is>
      </c>
    </row>
    <row r="258" ht="15.75" customHeight="1" s="305">
      <c r="A258" s="217" t="inlineStr">
        <is>
          <t>updateOrder.vatRate</t>
        </is>
      </c>
      <c r="B258" s="217" t="inlineStr">
        <is>
          <t>VAT ({{percent}})</t>
        </is>
      </c>
      <c r="C258" s="217" t="inlineStr">
        <is>
          <t>VAT ({{percent}})</t>
        </is>
      </c>
      <c r="D258" s="3">
        <f>IFERROR(__xludf.DUMMYFUNCTION("GOOGLETRANSLATE(B258,""vi"",""km"")"),"អាករលើតម្លៃបន្ថែម (ភាគរយ)")</f>
        <v/>
      </c>
      <c r="E258" s="3" t="inlineStr">
        <is>
          <t>ពន្ធ</t>
        </is>
      </c>
      <c r="F258" s="217" t="inlineStr">
        <is>
          <t>v</t>
        </is>
      </c>
      <c r="G258" s="217" t="inlineStr">
        <is>
          <t>ពន្ធ</t>
        </is>
      </c>
      <c r="H258" t="inlineStr">
        <is>
          <t>ពន្ធ</t>
        </is>
      </c>
      <c r="J258" s="217" t="inlineStr">
        <is>
          <t>"updateOrder.vatRate": "VAT ({{percent}})",</t>
        </is>
      </c>
    </row>
    <row r="259" ht="15.75" customHeight="1" s="305">
      <c r="A259" s="217" t="inlineStr">
        <is>
          <t>updateOrder.vatAmount</t>
        </is>
      </c>
      <c r="B259" s="217" t="inlineStr">
        <is>
          <t>Tiền VAT</t>
        </is>
      </c>
      <c r="C259" s="217" t="inlineStr">
        <is>
          <t>Tiền VAT</t>
        </is>
      </c>
      <c r="D259" s="3">
        <f>IFERROR(__xludf.DUMMYFUNCTION("GOOGLETRANSLATE(B259,""vi"",""km"")"),"អាករលើតម្លៃបន្ថែម")</f>
        <v/>
      </c>
      <c r="E259" s="3" t="inlineStr">
        <is>
          <t>លុយពន្ធ</t>
        </is>
      </c>
      <c r="F259" s="217" t="inlineStr">
        <is>
          <t>v</t>
        </is>
      </c>
      <c r="G259" s="217" t="inlineStr">
        <is>
          <t>លុយពន្ធ</t>
        </is>
      </c>
      <c r="H259" t="inlineStr">
        <is>
          <t>លុយពន្ធ</t>
        </is>
      </c>
      <c r="J259" s="217" t="inlineStr">
        <is>
          <t>"updateOrder.vatAmount": "Tiền VAT",</t>
        </is>
      </c>
    </row>
    <row r="260" ht="15.75" customHeight="1" s="305">
      <c r="A260" s="217" t="inlineStr">
        <is>
          <t>updateOrder.totalAmount</t>
        </is>
      </c>
      <c r="B260" s="217" t="inlineStr">
        <is>
          <t>Tổng tiền</t>
        </is>
      </c>
      <c r="C260" s="217" t="inlineStr">
        <is>
          <t>Tổng tiền</t>
        </is>
      </c>
      <c r="D260" s="3">
        <f>IFERROR(__xludf.DUMMYFUNCTION("GOOGLETRANSLATE(B260,""vi"",""km"")"),"ចំនួនទឹកប្រាក់សរុប")</f>
        <v/>
      </c>
      <c r="E260" s="3" t="inlineStr">
        <is>
          <t>សរុបទឺកប្រាក់</t>
        </is>
      </c>
      <c r="F260" s="217" t="inlineStr">
        <is>
          <t>v</t>
        </is>
      </c>
      <c r="G260" s="217" t="inlineStr">
        <is>
          <t>ចំនួនទឹកប្រាក់សរុប</t>
        </is>
      </c>
      <c r="H260" t="inlineStr">
        <is>
          <t>ចំនួនទឹកប្រាក់សរុប</t>
        </is>
      </c>
      <c r="J260" s="217" t="inlineStr">
        <is>
          <t>"updateOrder.totalAmount": "Tổng tiền",</t>
        </is>
      </c>
    </row>
    <row r="261" ht="15.75" customHeight="1" s="305">
      <c r="A261" s="217" t="inlineStr">
        <is>
          <t>updateOrder.senderReceiverInfo</t>
        </is>
      </c>
      <c r="B261" s="217" t="inlineStr">
        <is>
          <t>Thông tin gửi nhận</t>
        </is>
      </c>
      <c r="C261" s="217" t="inlineStr">
        <is>
          <t>Thông tin gửi nhận</t>
        </is>
      </c>
      <c r="D261" s="3">
        <f>IFERROR(__xludf.DUMMYFUNCTION("GOOGLETRANSLATE(B261,""vi"",""km"")"),"ព័ត៌មានដែលបានផ្ញើ និងទទួល")</f>
        <v/>
      </c>
      <c r="E261" s="3" t="inlineStr">
        <is>
          <t>ព័ត៌មានបញ្ញើទទួល</t>
        </is>
      </c>
      <c r="F261" s="217" t="inlineStr">
        <is>
          <t>v</t>
        </is>
      </c>
      <c r="G261" s="217" t="inlineStr">
        <is>
          <t>ព័ត៌មានបញ្ញើទទួល</t>
        </is>
      </c>
      <c r="H261" t="inlineStr">
        <is>
          <t>ព័ត៌មានបញ្ញើទទួល</t>
        </is>
      </c>
      <c r="J261" s="217" t="inlineStr">
        <is>
          <t>"updateOrder.senderReceiverInfo": "Thông tin gửi nhận",</t>
        </is>
      </c>
    </row>
    <row r="262" ht="15.75" customHeight="1" s="305">
      <c r="A262" s="217" t="inlineStr">
        <is>
          <t>updateOrder.changeConfirm</t>
        </is>
      </c>
      <c r="B262" s="217" t="inlineStr">
        <is>
          <t>Xác nhận thay đổi</t>
        </is>
      </c>
      <c r="C262" s="217" t="inlineStr">
        <is>
          <t>Xác nhận thay đổi</t>
        </is>
      </c>
      <c r="D262" s="3">
        <f>IFERROR(__xludf.DUMMYFUNCTION("GOOGLETRANSLATE(B262,""vi"",""km"")"),"បញ្ជាក់ការផ្លាស់ប្តូរ")</f>
        <v/>
      </c>
      <c r="E262" s="3" t="inlineStr">
        <is>
          <t>បញ្ជាក់ការផ្លាស់ប្តូរ</t>
        </is>
      </c>
      <c r="F262" s="217" t="inlineStr">
        <is>
          <t>v</t>
        </is>
      </c>
      <c r="G262" s="217" t="inlineStr">
        <is>
          <t>បញ្ជាក់ការផ្លាស់ប្តូរ</t>
        </is>
      </c>
      <c r="H262" t="inlineStr">
        <is>
          <t>បញ្ជាក់ការផ្លាស់ប្តូរ</t>
        </is>
      </c>
      <c r="J262" s="217" t="inlineStr">
        <is>
          <t>"updateOrder.changeConfirm": "Xác nhận thay đổi",</t>
        </is>
      </c>
    </row>
    <row r="263" ht="15.75" customHeight="1" s="305">
      <c r="A263" s="217" t="inlineStr">
        <is>
          <t>updateOrder.updateConfirm</t>
        </is>
      </c>
      <c r="B263" s="217" t="inlineStr">
        <is>
          <t>Cập nhật sửa đổi</t>
        </is>
      </c>
      <c r="C263" s="217" t="inlineStr">
        <is>
          <t>Cập nhật sửa đổi</t>
        </is>
      </c>
      <c r="D263" s="3">
        <f>IFERROR(__xludf.DUMMYFUNCTION("GOOGLETRANSLATE(B263,""vi"",""km"")"),"ធ្វើបច្ចុប្បន្នភាពកំណែ")</f>
        <v/>
      </c>
      <c r="E263" s="3" t="inlineStr">
        <is>
          <t>អាប់ដេតការផ្លាស់ប្តូរ</t>
        </is>
      </c>
      <c r="F263" s="217" t="inlineStr">
        <is>
          <t>v</t>
        </is>
      </c>
      <c r="G263" s="217" t="inlineStr">
        <is>
          <t>អាប់ដេតការផ្លាស់ប្តូរ</t>
        </is>
      </c>
      <c r="H263" t="inlineStr">
        <is>
          <t>អាប់ដេតការផ្លាស់ប្តូរ</t>
        </is>
      </c>
      <c r="J263" s="217" t="inlineStr">
        <is>
          <t>"updateOrder.updateConfirm": "Cập nhật sửa đổi",</t>
        </is>
      </c>
    </row>
    <row r="264" ht="15.75" customHeight="1" s="305">
      <c r="A264" s="217" t="inlineStr">
        <is>
          <t>updateOrder.shippingNote</t>
        </is>
      </c>
      <c r="B264" s="217" t="inlineStr">
        <is>
          <t>Phiếu gửi</t>
        </is>
      </c>
      <c r="C264" s="217" t="inlineStr">
        <is>
          <t>Phiếu gửi</t>
        </is>
      </c>
      <c r="D264" s="3">
        <f>IFERROR(__xludf.DUMMYFUNCTION("GOOGLETRANSLATE(B264,""vi"",""km"")"),"កំណត់ចំណាំដឹកជញ្ជូន")</f>
        <v/>
      </c>
      <c r="E264" s="3" t="inlineStr">
        <is>
          <t>បុងបញ្ញើ</t>
        </is>
      </c>
      <c r="F264" s="217" t="inlineStr">
        <is>
          <t>x</t>
        </is>
      </c>
      <c r="G264" s="217" t="inlineStr">
        <is>
          <t>បុងបញ្ញើ</t>
        </is>
      </c>
      <c r="H264" t="inlineStr">
        <is>
          <t>បុងបញ្ញើ</t>
        </is>
      </c>
      <c r="J264" s="217" t="inlineStr">
        <is>
          <t>"updateOrder.shippingNote": "Phiếu gửi",</t>
        </is>
      </c>
    </row>
    <row r="265" ht="15.75" customHeight="1" s="305">
      <c r="A265" s="217" t="inlineStr">
        <is>
          <t>updateOrder.shippingDate</t>
        </is>
      </c>
      <c r="B265" s="217" t="inlineStr">
        <is>
          <t>Ngày gửi</t>
        </is>
      </c>
      <c r="C265" s="217" t="inlineStr">
        <is>
          <t>Ngày gửi</t>
        </is>
      </c>
      <c r="D265" s="3">
        <f>IFERROR(__xludf.DUMMYFUNCTION("GOOGLETRANSLATE(B265,""vi"",""km"")"),"កាលបរិច្ឆេទដែលបានផ្ញើ")</f>
        <v/>
      </c>
      <c r="E265" s="3" t="inlineStr">
        <is>
          <t>ថ្ងៃផ្ញើ</t>
        </is>
      </c>
      <c r="F265" s="217" t="inlineStr">
        <is>
          <t>v</t>
        </is>
      </c>
      <c r="G265" s="217" t="inlineStr">
        <is>
          <t>កាលបរិច្ឆេទផ្ញើ</t>
        </is>
      </c>
      <c r="H265" t="inlineStr">
        <is>
          <t>កាលបរិច្ឆេទផ្ញើ</t>
        </is>
      </c>
      <c r="J265" s="217" t="inlineStr">
        <is>
          <t>"updateOrder.shippingDate": "Ngày gửi",</t>
        </is>
      </c>
    </row>
    <row r="266" ht="15.75" customHeight="1" s="305">
      <c r="A266" s="217" t="inlineStr">
        <is>
          <t>updateOrder.parcelInfo</t>
        </is>
      </c>
      <c r="B266" s="217" t="inlineStr">
        <is>
          <t>Thông tin hàng hoá</t>
        </is>
      </c>
      <c r="C266" s="217" t="inlineStr">
        <is>
          <t>Thông tin hàng hoá</t>
        </is>
      </c>
      <c r="D266" s="3">
        <f>IFERROR(__xludf.DUMMYFUNCTION("GOOGLETRANSLATE(B266,""vi"",""km"")"),"ព័ត៌មានផលិតផល")</f>
        <v/>
      </c>
      <c r="E266" s="3" t="inlineStr">
        <is>
          <t>ព័ត៌មានអីវ៉ាន់</t>
        </is>
      </c>
      <c r="F266" s="217" t="inlineStr">
        <is>
          <t>v</t>
        </is>
      </c>
      <c r="G266" s="217" t="inlineStr">
        <is>
          <t>ព័ត៌មានអីវ៉ាន់</t>
        </is>
      </c>
      <c r="H266" t="inlineStr">
        <is>
          <t>ព័ត៌មានអីវ៉ាន់</t>
        </is>
      </c>
      <c r="J266" s="217" t="inlineStr">
        <is>
          <t>"updateOrder.parcelInfo": "Thông tin hàng hoá",</t>
        </is>
      </c>
    </row>
    <row r="267" ht="15.75" customHeight="1" s="305">
      <c r="A267" s="217" t="inlineStr">
        <is>
          <t>updateOrder.orderType</t>
        </is>
      </c>
      <c r="B267" s="217" t="inlineStr">
        <is>
          <t>Loại hàng hoá</t>
        </is>
      </c>
      <c r="C267" s="217" t="inlineStr">
        <is>
          <t>Loại hàng hoá</t>
        </is>
      </c>
      <c r="D267" s="3">
        <f>IFERROR(__xludf.DUMMYFUNCTION("GOOGLETRANSLATE(B267,""vi"",""km"")"),"ប្រភេទទំនិញ")</f>
        <v/>
      </c>
      <c r="E267" s="3" t="inlineStr">
        <is>
          <t>ប្រភេទទំនិញ</t>
        </is>
      </c>
      <c r="F267" s="217" t="inlineStr">
        <is>
          <t>x</t>
        </is>
      </c>
      <c r="G267" s="217" t="inlineStr">
        <is>
          <t>ប្រភេទទំនិញ</t>
        </is>
      </c>
      <c r="H267" t="inlineStr">
        <is>
          <t>ប្រភេទទំនិញ</t>
        </is>
      </c>
      <c r="J267" s="217" t="inlineStr">
        <is>
          <t>"updateOrder.orderType": "Loại hàng hoá",</t>
        </is>
      </c>
    </row>
    <row r="268" ht="15.75" customHeight="1" s="305">
      <c r="A268" s="217" t="inlineStr">
        <is>
          <t>updateOrder.orderName</t>
        </is>
      </c>
      <c r="B268" s="217" t="inlineStr">
        <is>
          <t>Tên hàng hoá</t>
        </is>
      </c>
      <c r="C268" s="217" t="inlineStr">
        <is>
          <t>Tên hàng hoá</t>
        </is>
      </c>
      <c r="D268" s="3">
        <f>IFERROR(__xludf.DUMMYFUNCTION("GOOGLETRANSLATE(B268,""vi"",""km"")"),"ឈ្មោះផលិតផល")</f>
        <v/>
      </c>
      <c r="E268" s="3" t="inlineStr">
        <is>
          <t>ឈ្មោះអីវ៉ាន់</t>
        </is>
      </c>
      <c r="F268" s="217" t="inlineStr">
        <is>
          <t>v</t>
        </is>
      </c>
      <c r="G268" s="217" t="inlineStr">
        <is>
          <t>ឈ្មោះអីវ៉ាន់</t>
        </is>
      </c>
      <c r="H268" t="inlineStr">
        <is>
          <t>ឈ្មោះអីវ៉ាន់</t>
        </is>
      </c>
      <c r="J268" s="217" t="inlineStr">
        <is>
          <t>"updateOrder.orderName": "Tên hàng hoá",</t>
        </is>
      </c>
    </row>
    <row r="269" ht="15.75" customHeight="1" s="305">
      <c r="A269" s="217" t="inlineStr">
        <is>
          <t>updateOrder.orderWeight</t>
        </is>
      </c>
      <c r="B269" s="217" t="inlineStr">
        <is>
          <t>Khối lượng</t>
        </is>
      </c>
      <c r="C269" s="217" t="inlineStr">
        <is>
          <t>Khối lượng</t>
        </is>
      </c>
      <c r="D269" s="3">
        <f>IFERROR(__xludf.DUMMYFUNCTION("GOOGLETRANSLATE(B269,""vi"",""km"")"),"ម៉ាស")</f>
        <v/>
      </c>
      <c r="E269" s="3" t="inlineStr">
        <is>
          <t>ទម្ងន់</t>
        </is>
      </c>
      <c r="F269" s="217" t="inlineStr">
        <is>
          <t>v</t>
        </is>
      </c>
      <c r="G269" s="217" t="inlineStr">
        <is>
          <t>ទម្ងន់</t>
        </is>
      </c>
      <c r="H269" t="inlineStr">
        <is>
          <t>ទម្ងន់</t>
        </is>
      </c>
      <c r="J269" s="217" t="inlineStr">
        <is>
          <t>"updateOrder.orderWeight": "Khối lượng",</t>
        </is>
      </c>
    </row>
    <row r="270" ht="15.75" customHeight="1" s="305">
      <c r="A270" s="217" t="inlineStr">
        <is>
          <t>updateOrder.orderAmount</t>
        </is>
      </c>
      <c r="B270" s="217" t="inlineStr">
        <is>
          <t>Giá trị</t>
        </is>
      </c>
      <c r="C270" s="217" t="inlineStr">
        <is>
          <t>Giá trị</t>
        </is>
      </c>
      <c r="D270" s="3">
        <f>IFERROR(__xludf.DUMMYFUNCTION("GOOGLETRANSLATE(B270,""vi"",""km"")"),"តម្លៃ")</f>
        <v/>
      </c>
      <c r="E270" s="3" t="inlineStr">
        <is>
          <t>តម្លៃ</t>
        </is>
      </c>
      <c r="F270" s="217" t="inlineStr">
        <is>
          <t>v</t>
        </is>
      </c>
      <c r="G270" s="217" t="inlineStr">
        <is>
          <t>តម្លៃ</t>
        </is>
      </c>
      <c r="H270" t="inlineStr">
        <is>
          <t>តម្លៃ</t>
        </is>
      </c>
      <c r="J270" s="217" t="inlineStr">
        <is>
          <t>"updateOrder.orderAmount": "Giá trị",</t>
        </is>
      </c>
    </row>
    <row r="271" ht="15.75" customHeight="1" s="305">
      <c r="A271" s="217" t="inlineStr">
        <is>
          <t>updateOrder.collection</t>
        </is>
      </c>
      <c r="B271" s="217" t="inlineStr">
        <is>
          <t>Thu hộ</t>
        </is>
      </c>
      <c r="C271" s="217" t="inlineStr">
        <is>
          <t>Thu hộ</t>
        </is>
      </c>
      <c r="D271" s="3">
        <f>IFERROR(__xludf.DUMMYFUNCTION("GOOGLETRANSLATE(B271,""vi"",""km"")"),"ការប្រមូល")</f>
        <v/>
      </c>
      <c r="E271" s="3" t="inlineStr">
        <is>
          <t>ទទួលជំនួស</t>
        </is>
      </c>
      <c r="F271" s="217" t="inlineStr">
        <is>
          <t>x</t>
        </is>
      </c>
      <c r="G271" s="217" t="inlineStr">
        <is>
          <t>ប្រមូលប្រាក់ជំនួស</t>
        </is>
      </c>
      <c r="H271" t="inlineStr">
        <is>
          <t>ប្រមូលប្រាក់ជំនួស</t>
        </is>
      </c>
      <c r="J271" s="217" t="inlineStr">
        <is>
          <t>"updateOrder.collection": "Thu hộ",</t>
        </is>
      </c>
    </row>
    <row r="272" ht="15.75" customHeight="1" s="305">
      <c r="A272" s="217" t="inlineStr">
        <is>
          <t>updateOrder.orderSize</t>
        </is>
      </c>
      <c r="B272" s="217" t="inlineStr">
        <is>
          <t>Kích thước hàng hoá</t>
        </is>
      </c>
      <c r="C272" s="217" t="inlineStr">
        <is>
          <t>Kích thước hàng hoá</t>
        </is>
      </c>
      <c r="D272" s="3">
        <f>IFERROR(__xludf.DUMMYFUNCTION("GOOGLETRANSLATE(B272,""vi"",""km"")"),"វិមាត្រផលិតផល")</f>
        <v/>
      </c>
      <c r="E272" s="3" t="inlineStr">
        <is>
          <t>ទំហំអីវ៉ាន់</t>
        </is>
      </c>
      <c r="F272" s="217" t="inlineStr">
        <is>
          <t>v</t>
        </is>
      </c>
      <c r="G272" s="217" t="inlineStr">
        <is>
          <t>ទំហំអីវ៉ាន់</t>
        </is>
      </c>
      <c r="H272" t="inlineStr">
        <is>
          <t>ទំហំអីវ៉ាន់</t>
        </is>
      </c>
      <c r="J272" s="217" t="inlineStr">
        <is>
          <t>"updateOrder.orderSize": "Kích thước hàng hoá",</t>
        </is>
      </c>
    </row>
    <row r="273" ht="15.75" customHeight="1" s="305">
      <c r="A273" s="217" t="inlineStr">
        <is>
          <t>updateOrder.orderConvertWeight</t>
        </is>
      </c>
      <c r="B273" s="217" t="inlineStr">
        <is>
          <t>Trọng lượng quy đổi</t>
        </is>
      </c>
      <c r="C273" s="217" t="inlineStr">
        <is>
          <t>Trọng lượng quy đổi</t>
        </is>
      </c>
      <c r="D273" s="3">
        <f>IFERROR(__xludf.DUMMYFUNCTION("GOOGLETRANSLATE(B273,""vi"",""km"")"),"ទម្ងន់ដែលបានបម្លែង")</f>
        <v/>
      </c>
      <c r="E273" s="3" t="inlineStr">
        <is>
          <t>ទម្ងន់ដែលបានបម្លែងហើយ</t>
        </is>
      </c>
      <c r="F273" s="217" t="inlineStr">
        <is>
          <t>x</t>
        </is>
      </c>
      <c r="G273" s="217" t="inlineStr">
        <is>
          <t>ទម្ងន់ដែលបានបម្លែងហើយ</t>
        </is>
      </c>
      <c r="H273" t="inlineStr">
        <is>
          <t>ទម្ងន់ដែលបានបម្លែងហើយ</t>
        </is>
      </c>
      <c r="J273" s="217" t="inlineStr">
        <is>
          <t>"updateOrder.orderConvertWeight": "Trọng lượng quy đổi",</t>
        </is>
      </c>
    </row>
    <row r="274" ht="15.75" customHeight="1" s="305">
      <c r="A274" s="217" t="inlineStr">
        <is>
          <t>updateOrder.service</t>
        </is>
      </c>
      <c r="B274" s="217" t="inlineStr">
        <is>
          <t>Dịch vụ</t>
        </is>
      </c>
      <c r="C274" s="217" t="inlineStr">
        <is>
          <t>Service</t>
        </is>
      </c>
      <c r="D274" s="3">
        <f>IFERROR(__xludf.DUMMYFUNCTION("GOOGLETRANSLATE(B274,""vi"",""km"")"),"សេវាកម្ម")</f>
        <v/>
      </c>
      <c r="E274" s="3" t="inlineStr">
        <is>
          <t>សេវាកម្ម</t>
        </is>
      </c>
      <c r="F274" s="217" t="inlineStr">
        <is>
          <t>v</t>
        </is>
      </c>
      <c r="G274" s="217" t="inlineStr">
        <is>
          <t>សេវាកម្ម</t>
        </is>
      </c>
      <c r="H274" t="inlineStr">
        <is>
          <t>សេវាកម្ម</t>
        </is>
      </c>
      <c r="J274" s="217" t="inlineStr">
        <is>
          <t>"updateOrder.service": "Service",</t>
        </is>
      </c>
    </row>
    <row r="275" ht="15.75" customHeight="1" s="305">
      <c r="A275" s="217" t="inlineStr">
        <is>
          <t>updateOrder.mainService</t>
        </is>
      </c>
      <c r="B275" s="217" t="inlineStr">
        <is>
          <t>Dịch vụ chính</t>
        </is>
      </c>
      <c r="C275" s="217" t="inlineStr">
        <is>
          <t>Dịch vụ chính</t>
        </is>
      </c>
      <c r="D275" s="3">
        <f>IFERROR(__xludf.DUMMYFUNCTION("GOOGLETRANSLATE(B275,""vi"",""km"")"),"សេវាកម្មសំខាន់ៗ")</f>
        <v/>
      </c>
      <c r="E275" s="3" t="inlineStr">
        <is>
          <t>សេវាកម្មដើម</t>
        </is>
      </c>
      <c r="F275" s="217" t="inlineStr">
        <is>
          <t>v</t>
        </is>
      </c>
      <c r="G275" s="217" t="inlineStr">
        <is>
          <t>សេវាកម្មដើម</t>
        </is>
      </c>
      <c r="H275" t="inlineStr">
        <is>
          <t>សេវាកម្មដើម</t>
        </is>
      </c>
      <c r="J275" s="217" t="inlineStr">
        <is>
          <t>"updateOrder.mainService": "Dịch vụ chính",</t>
        </is>
      </c>
    </row>
    <row r="276" ht="15.75" customHeight="1" s="305">
      <c r="A276" s="217" t="inlineStr">
        <is>
          <t>updateOrder.extraPrices</t>
        </is>
      </c>
      <c r="B276" s="217" t="inlineStr">
        <is>
          <t>Dịch vụ cộng thêm</t>
        </is>
      </c>
      <c r="C276" s="217" t="inlineStr">
        <is>
          <t>Dịch vụ cộng thêm</t>
        </is>
      </c>
      <c r="D276" s="3">
        <f>IFERROR(__xludf.DUMMYFUNCTION("GOOGLETRANSLATE(B276,""vi"",""km"")"),"សេវាកម្មបន្ថែម")</f>
        <v/>
      </c>
      <c r="E276" s="3" t="inlineStr">
        <is>
          <t>សេវាកម្មបន្ថែម</t>
        </is>
      </c>
      <c r="F276" s="217" t="inlineStr">
        <is>
          <t>v</t>
        </is>
      </c>
      <c r="G276" s="217" t="inlineStr">
        <is>
          <t>សេវាកម្មបន្ថែម</t>
        </is>
      </c>
      <c r="H276" t="inlineStr">
        <is>
          <t>សេវាកម្មបន្ថែម</t>
        </is>
      </c>
      <c r="J276" s="217" t="inlineStr">
        <is>
          <t>"updateOrder.extraPrices": "Dịch vụ cộng thêm",</t>
        </is>
      </c>
    </row>
    <row r="277" ht="15.75" customHeight="1" s="305">
      <c r="A277" s="217" t="inlineStr">
        <is>
          <t>updateOrder.shippingFee</t>
        </is>
      </c>
      <c r="B277" s="217" t="inlineStr">
        <is>
          <t>Cước phí</t>
        </is>
      </c>
      <c r="C277" s="217" t="inlineStr">
        <is>
          <t>Cước phí</t>
        </is>
      </c>
      <c r="D277" s="3">
        <f>IFERROR(__xludf.DUMMYFUNCTION("GOOGLETRANSLATE(B277,""vi"",""km"")"),"ថ្លៃដឹកជញ្ជូន")</f>
        <v/>
      </c>
      <c r="E277" s="3" t="inlineStr">
        <is>
          <t>ថ្លៃសេវា</t>
        </is>
      </c>
      <c r="F277" s="217" t="inlineStr">
        <is>
          <t>v</t>
        </is>
      </c>
      <c r="G277" s="217" t="inlineStr">
        <is>
          <t>ថ្លៃដឹកជញ្ជូន</t>
        </is>
      </c>
      <c r="H277" t="inlineStr">
        <is>
          <t>ថ្លៃដឹកជញ្ជូន</t>
        </is>
      </c>
      <c r="J277" s="217" t="inlineStr">
        <is>
          <t>"updateOrder.shippingFee": "Cước phí",</t>
        </is>
      </c>
    </row>
    <row r="278" ht="15.75" customHeight="1" s="305">
      <c r="A278" s="217" t="inlineStr">
        <is>
          <t>updateOrder.totalShippingFee</t>
        </is>
      </c>
      <c r="B278" s="217" t="inlineStr">
        <is>
          <t>Tổng cước</t>
        </is>
      </c>
      <c r="C278" s="217" t="inlineStr">
        <is>
          <t>Tổng cước</t>
        </is>
      </c>
      <c r="D278" s="3">
        <f>IFERROR(__xludf.DUMMYFUNCTION("GOOGLETRANSLATE(B278,""vi"",""km"")"),"ការគិតថ្លៃសរុប")</f>
        <v/>
      </c>
      <c r="E278" s="3" t="inlineStr">
        <is>
          <t>សរុបថ្លៃសេវា</t>
        </is>
      </c>
      <c r="F278" s="217" t="inlineStr">
        <is>
          <t>v</t>
        </is>
      </c>
      <c r="G278" s="217" t="inlineStr">
        <is>
          <t>ថ្លៃដឹកជញ្ជូនសរុប</t>
        </is>
      </c>
      <c r="H278" t="inlineStr">
        <is>
          <t>ថ្លៃដឹកជញ្ជូនសរុប</t>
        </is>
      </c>
      <c r="J278" s="217" t="inlineStr">
        <is>
          <t>"updateOrder.totalShippingFee": "Tổng cước",</t>
        </is>
      </c>
    </row>
    <row r="279" ht="15.75" customHeight="1" s="305">
      <c r="A279" s="217" t="inlineStr">
        <is>
          <t>updateOrder.orderNotFound</t>
        </is>
      </c>
      <c r="B279" s="217" t="inlineStr">
        <is>
          <t>Không tìm thấy kết quả phù hợp!</t>
        </is>
      </c>
      <c r="C279" s="217" t="inlineStr">
        <is>
          <t>No matching results found!</t>
        </is>
      </c>
      <c r="D279" s="3">
        <f>IFERROR(__xludf.DUMMYFUNCTION("GOOGLETRANSLATE(B279,""vi"",""km"")"),"រកមិនឃើញលទ្ធផលដែលត្រូវគ្នាទេ!")</f>
        <v/>
      </c>
      <c r="E279" s="3" t="inlineStr">
        <is>
          <t>មិនអាចស្វែងរកបានលទ្ធផលសមស្រម</t>
        </is>
      </c>
      <c r="F279" s="217" t="inlineStr">
        <is>
          <t>v</t>
        </is>
      </c>
      <c r="G279" s="217" t="inlineStr">
        <is>
          <t>មិនអាចស្វែងរកបានលទ្ធផលសមស្រម</t>
        </is>
      </c>
      <c r="H279" t="inlineStr">
        <is>
          <t>មិនអាចស្វែងរកបានលទ្ធផលសមស្រម</t>
        </is>
      </c>
      <c r="J279" s="217" t="inlineStr">
        <is>
          <t>"updateOrder.orderNotFound": "No matching results found!",</t>
        </is>
      </c>
    </row>
    <row r="280" ht="15.75" customHeight="1" s="305">
      <c r="A280" s="217" t="inlineStr">
        <is>
          <t>updateOrder.notEditOrder</t>
        </is>
      </c>
      <c r="B280" s="217" t="inlineStr">
        <is>
          <t>Không thể sửa đơn</t>
        </is>
      </c>
      <c r="C280" s="217" t="inlineStr">
        <is>
          <t>Không thể sửa đơn</t>
        </is>
      </c>
      <c r="D280" s="3">
        <f>IFERROR(__xludf.DUMMYFUNCTION("GOOGLETRANSLATE(B280,""vi"",""km"")"),"មិនអាចកែសម្រួលការបញ្ជាទិញបានទេ។")</f>
        <v/>
      </c>
      <c r="E280" s="3" t="inlineStr">
        <is>
          <t>មិនអាចកែប្រែបុងបញ្ញើបាន</t>
        </is>
      </c>
      <c r="F280" s="217" t="inlineStr">
        <is>
          <t>v</t>
        </is>
      </c>
      <c r="G280" s="217" t="inlineStr">
        <is>
          <t>មិនអាចកែប្រែបុងបញ្ញើបាន</t>
        </is>
      </c>
      <c r="H280" t="inlineStr">
        <is>
          <t>មិនអាចកែប្រែបុងបញ្ញើបាន</t>
        </is>
      </c>
      <c r="J280" s="217" t="inlineStr">
        <is>
          <t>"updateOrder.notEditOrder": "Không thể sửa đơn",</t>
        </is>
      </c>
    </row>
    <row r="281" ht="15.75" customHeight="1" s="305">
      <c r="A281" s="217" t="inlineStr">
        <is>
          <t>updateOrder.notCancelOrder</t>
        </is>
      </c>
      <c r="B281" s="217" t="inlineStr">
        <is>
          <t>Không thể huỷ đơn</t>
        </is>
      </c>
      <c r="C281" s="217" t="inlineStr">
        <is>
          <t>Unable to cancel order</t>
        </is>
      </c>
      <c r="D281" s="3">
        <f>IFERROR(__xludf.DUMMYFUNCTION("GOOGLETRANSLATE(B281,""vi"",""km"")"),"ការបញ្ជាទិញមិនអាចលុបចោលបានទេ។")</f>
        <v/>
      </c>
      <c r="E281" s="3" t="inlineStr">
        <is>
          <t>មិនអាចលុបបុងបញ្ញើបាន</t>
        </is>
      </c>
      <c r="F281" s="217" t="inlineStr">
        <is>
          <t>v</t>
        </is>
      </c>
      <c r="G281" s="217" t="inlineStr">
        <is>
          <t>មិនអាចលុបបុងបញ្ញើបាន</t>
        </is>
      </c>
      <c r="H281" t="inlineStr">
        <is>
          <t>មិនអាចលុបបុងបញ្ញើបាន</t>
        </is>
      </c>
      <c r="J281" s="217" t="inlineStr">
        <is>
          <t>"updateOrder.notCancelOrder": "Unable to cancel order",</t>
        </is>
      </c>
    </row>
    <row r="282" ht="15.75" customHeight="1" s="305">
      <c r="A282" s="217" t="inlineStr">
        <is>
          <t>updateOrder.cancelConfirm</t>
        </is>
      </c>
      <c r="B282" s="217" t="inlineStr">
        <is>
          <t>Bạn có chắc chắn muốn huỷ đơn hàng &lt;span class='!text-baseColor'&gt;{{ orderCode }}&lt;/span&gt;?</t>
        </is>
      </c>
      <c r="C282" s="217" t="inlineStr">
        <is>
          <t>Are you sure you want to cancel order &lt;span class='!text-baseColor'&gt;{{ orderCode }}&lt;/span&gt;?</t>
        </is>
      </c>
      <c r="D282" s="3">
        <f>IFERROR(__xludf.DUMMYFUNCTION("GOOGLETRANSLATE(B282,""vi"",""km"")"),"តើអ្នកពិតជាចង់លុបចោលការបញ្ជាទិញ &lt;span class='!text-baseColor'&gt;{{ orderCode }}&lt;/span&gt; មែនទេ?")</f>
        <v/>
      </c>
      <c r="E282" s="3" t="inlineStr">
        <is>
          <t>តើអ្នកពិតជាចង់លុបបុងបញ្ញើមែនទេ?</t>
        </is>
      </c>
      <c r="F282" s="217" t="inlineStr">
        <is>
          <t>v</t>
        </is>
      </c>
      <c r="G282" s="217" t="inlineStr">
        <is>
          <t>តើអ្នកពិតជាចង់លុបបុងបញ្ញើមែនទេ?</t>
        </is>
      </c>
      <c r="H282" t="inlineStr">
        <is>
          <t>តើអ្នកពិតជាចង់លុបបុងបញ្ញើមែនទេ?</t>
        </is>
      </c>
      <c r="J282" s="217" t="inlineStr">
        <is>
          <t>"updateOrder.cancelConfirm": "Are you sure you want to cancel order &lt;span class='!text-baseColor'&gt;{{ orderCode }}&lt;/span&gt;?",</t>
        </is>
      </c>
    </row>
    <row r="283" ht="15.75" customHeight="1" s="305">
      <c r="A283" s="217" t="inlineStr">
        <is>
          <t>updateOrder.cancelSuccess</t>
        </is>
      </c>
      <c r="B283" s="217" t="inlineStr">
        <is>
          <t>Huỷ phiếu gửi &lt;span class='!text-baseColor'&gt; {{ code }} &lt;/span&gt; thành công</t>
        </is>
      </c>
      <c r="C283" s="217" t="inlineStr">
        <is>
          <t>Order &lt;span class='!text-baseColor'&gt;{{ code }}&lt;/span&gt; has been cancelled successfully</t>
        </is>
      </c>
      <c r="D283" s="3">
        <f>IFERROR(__xludf.DUMMYFUNCTION("GOOGLETRANSLATE(B283,""vi"",""km"")"),"ការលុបចោលការដាក់ស្នើ &lt;span class='!text-baseColor'&gt; {{ code }} &lt;/span&gt; ទទួលបានជោគជ័យ")</f>
        <v/>
      </c>
      <c r="E283" s="3" t="inlineStr">
        <is>
          <t>លុបចេញបុងបញ្ញើ&lt;span class='!text-baseColor'&gt; {{ code }} &lt;/span&gt; ជោគជ័យ</t>
        </is>
      </c>
      <c r="F283" s="217" t="inlineStr">
        <is>
          <t>x</t>
        </is>
      </c>
      <c r="G283" s="3" t="inlineStr">
        <is>
          <t>លុបចេញបុងបញ្ញើ&lt;span class='!text-baseColor'&gt; {{ code }} &lt;/span&gt; ជោគជ័យ</t>
        </is>
      </c>
      <c r="H283" t="inlineStr">
        <is>
          <t>លុបចេញបុងបញ្ញើ&lt;span class='!text-baseColor'&gt; {{ code }} &lt;/span&gt; ជោគជ័យ</t>
        </is>
      </c>
      <c r="J283" s="217" t="inlineStr">
        <is>
          <t>"updateOrder.cancelSuccess": "Order &lt;span class='!text-baseColor'&gt;{{ code }}&lt;/span&gt; has been cancelled successfully",</t>
        </is>
      </c>
    </row>
    <row r="284" ht="15.75" customHeight="1" s="305">
      <c r="A284" s="217" t="inlineStr">
        <is>
          <t>updateOrder.reasonTitle</t>
        </is>
      </c>
      <c r="B284" s="217" t="inlineStr">
        <is>
          <t>Lý do hủy đơn</t>
        </is>
      </c>
      <c r="C284" s="217" t="inlineStr">
        <is>
          <t>Cancellation reason</t>
        </is>
      </c>
      <c r="D284" s="3">
        <f>IFERROR(__xludf.DUMMYFUNCTION("GOOGLETRANSLATE(B284,""vi"",""km"")"),"មូលហេតុនៃការលុបចោលការបញ្ជាទិញ")</f>
        <v/>
      </c>
      <c r="E284" s="3" t="inlineStr">
        <is>
          <t>មូលហេតុលុបបុងបញ្ញើ</t>
        </is>
      </c>
      <c r="F284" s="217" t="inlineStr">
        <is>
          <t>v</t>
        </is>
      </c>
      <c r="G284" s="217" t="inlineStr">
        <is>
          <t>មូលហេតុលុបបុងបញ្ញើ</t>
        </is>
      </c>
      <c r="H284" t="inlineStr">
        <is>
          <t>មូលហេតុលុបបុងបញ្ញើ</t>
        </is>
      </c>
      <c r="J284" s="217" t="inlineStr">
        <is>
          <t>"updateOrder.reasonTitle": "Cancellation reason",</t>
        </is>
      </c>
    </row>
    <row r="285" ht="15.75" customHeight="1" s="305">
      <c r="A285" s="217" t="inlineStr">
        <is>
          <t>updateOrder.REASON_CUSTOMER_REQUEST</t>
        </is>
      </c>
      <c r="B285" s="217" t="inlineStr">
        <is>
          <t>Hủy đơn do khách hàng yêu cầu</t>
        </is>
      </c>
      <c r="C285" s="217" t="inlineStr">
        <is>
          <t>Cancelled at customer’s request</t>
        </is>
      </c>
      <c r="D285" s="3">
        <f>IFERROR(__xludf.DUMMYFUNCTION("GOOGLETRANSLATE(B285,""vi"",""km"")"),"ការបញ្ជាទិញត្រូវបានលុបចោលតាមការស្នើសុំរបស់អតិថិជន។")</f>
        <v/>
      </c>
      <c r="E285" s="3" t="inlineStr">
        <is>
          <t>លុបបុងព្រោះអតិថិជនស្នើសុំ</t>
        </is>
      </c>
      <c r="F285" s="217" t="inlineStr">
        <is>
          <t>v</t>
        </is>
      </c>
      <c r="G285" s="217" t="inlineStr">
        <is>
          <t>លុបបុងព្រោះអតិថិជនស្នើសុំ</t>
        </is>
      </c>
      <c r="H285" t="inlineStr">
        <is>
          <t>លុបបុងព្រោះអតិថិជនស្នើសុំ</t>
        </is>
      </c>
      <c r="J285" s="217" t="inlineStr">
        <is>
          <t>"updateOrder.REASON_CUSTOMER_REQUEST": "Cancelled at customer’s request",</t>
        </is>
      </c>
    </row>
    <row r="286" ht="15.75" customHeight="1" s="305">
      <c r="A286" s="217" t="inlineStr">
        <is>
          <t>updateOrder.REASON_PROHIBITED_RESTRICTED</t>
        </is>
      </c>
      <c r="B286" s="217" t="inlineStr">
        <is>
          <t>Hàng cấm gửi/không được phép vận chuyển</t>
        </is>
      </c>
      <c r="C286" s="217" t="inlineStr">
        <is>
          <t>Prohibited goods / Not allowed to ship</t>
        </is>
      </c>
      <c r="D286" s="3">
        <f>IFERROR(__xludf.DUMMYFUNCTION("GOOGLETRANSLATE(B286,""vi"",""km"")"),"វត្ថុហាមឃាត់/គ្មានការអនុញ្ញាត")</f>
        <v/>
      </c>
      <c r="E286" s="3" t="inlineStr">
        <is>
          <t>អីវ៉ាន់ហាមមិនឲ្យផ្ញើ/មិនអនុញ្ញាតិ្តឲ្យដឹកជញ្ជូន</t>
        </is>
      </c>
      <c r="F286" s="217" t="inlineStr">
        <is>
          <t>v</t>
        </is>
      </c>
      <c r="G286" s="217" t="inlineStr">
        <is>
          <t>អីវ៉ាន់ហាមមិនឲ្យផ្ញើ/មិនអនុញ្ញាតិ្តឲ្យដឹកជញ្ជូន</t>
        </is>
      </c>
      <c r="H286" t="inlineStr">
        <is>
          <t>អីវ៉ាន់ហាមមិនឲ្យផ្ញើ/មិនអនុញ្ញាតិ្តឲ្យដឹកជញ្ជូន</t>
        </is>
      </c>
      <c r="J286" s="217" t="inlineStr">
        <is>
          <t>"updateOrder.REASON_PROHIBITED_RESTRICTED": "Prohibited goods / Not allowed to ship",</t>
        </is>
      </c>
    </row>
    <row r="287" ht="15.75" customHeight="1" s="305">
      <c r="A287" s="217" t="inlineStr">
        <is>
          <t>updateOrder.OTHER_REASONS</t>
        </is>
      </c>
      <c r="B287" s="217" t="inlineStr">
        <is>
          <t>Lý do khác</t>
        </is>
      </c>
      <c r="C287" s="217" t="inlineStr">
        <is>
          <t>Other reasons</t>
        </is>
      </c>
      <c r="D287" s="3">
        <f>IFERROR(__xludf.DUMMYFUNCTION("GOOGLETRANSLATE(B287,""vi"",""km"")"),"ហេតុផលផ្សេងទៀត")</f>
        <v/>
      </c>
      <c r="E287" s="3" t="inlineStr">
        <is>
          <t>ហេតុផលផ្សេងៗ</t>
        </is>
      </c>
      <c r="F287" s="217" t="inlineStr">
        <is>
          <t>v</t>
        </is>
      </c>
      <c r="G287" s="217" t="inlineStr">
        <is>
          <t>ហេតុផលផ្សេងៗ</t>
        </is>
      </c>
      <c r="H287" t="inlineStr">
        <is>
          <t>ហេតុផលផ្សេងៗ</t>
        </is>
      </c>
      <c r="J287" s="217" t="inlineStr">
        <is>
          <t>"updateOrder.OTHER_REASONS": "Other reasons",</t>
        </is>
      </c>
    </row>
    <row r="288" ht="15.75" customHeight="1" s="305">
      <c r="A288" s="217" t="inlineStr">
        <is>
          <t>updateOrder.reasonRequired</t>
        </is>
      </c>
      <c r="B288" s="217" t="inlineStr">
        <is>
          <t>Vui lòng chọn lý do huỷ đơn</t>
        </is>
      </c>
      <c r="C288" s="217" t="inlineStr">
        <is>
          <t>Please select a cancellation reason</t>
        </is>
      </c>
      <c r="D288" s="3">
        <f>IFERROR(__xludf.DUMMYFUNCTION("GOOGLETRANSLATE(B288,""vi"",""km"")"),"សូមជ្រើសរើសមូលហេតុនៃការលុបចោលការបញ្ជាទិញរបស់អ្នក។")</f>
        <v/>
      </c>
      <c r="E288" s="3" t="inlineStr">
        <is>
          <t>សូមមេត្តាជ្រើសរើសហេតុផលដែលចង់លុបបុងបញ្ញើ</t>
        </is>
      </c>
      <c r="F288" s="217" t="inlineStr">
        <is>
          <t>v</t>
        </is>
      </c>
      <c r="G288" s="217" t="inlineStr">
        <is>
          <t>សូមមេត្តាជ្រើសរើសហេតុផលដែលចង់លុបបុងបញ្ញើ</t>
        </is>
      </c>
      <c r="H288" t="inlineStr">
        <is>
          <t>សូមមេត្តាជ្រើសរើសហេតុផលដែលចង់លុបបុងបញ្ញើ</t>
        </is>
      </c>
      <c r="J288" s="217" t="inlineStr">
        <is>
          <t>"updateOrder.reasonRequired": "Please select a cancellation reason",</t>
        </is>
      </c>
    </row>
    <row r="289" ht="15.75" customHeight="1" s="305">
      <c r="A289" s="217" t="inlineStr">
        <is>
          <t>updateOrder.reasonOtherError</t>
        </is>
      </c>
      <c r="B289" s="217" t="inlineStr">
        <is>
          <t>Vui lòng nhập lý do khác</t>
        </is>
      </c>
      <c r="C289" s="217" t="inlineStr">
        <is>
          <t>Please enter another reason</t>
        </is>
      </c>
      <c r="D289" s="3">
        <f>IFERROR(__xludf.DUMMYFUNCTION("GOOGLETRANSLATE(B289,""vi"",""km"")"),"សូមបញ្ចូលហេតុផលផ្សេងទៀត។")</f>
        <v/>
      </c>
      <c r="E289" s="3" t="inlineStr">
        <is>
          <t>សូមបញ្ចូលហេតុផលផ្សេងទៀត</t>
        </is>
      </c>
      <c r="F289" s="217" t="inlineStr">
        <is>
          <t>v</t>
        </is>
      </c>
      <c r="G289" s="217" t="inlineStr">
        <is>
          <t>សូមបញ្ចូលហេតុផលផ្សេងទៀត</t>
        </is>
      </c>
      <c r="H289" t="inlineStr">
        <is>
          <t>សូមបញ្ចូលហេតុផលផ្សេងទៀត</t>
        </is>
      </c>
      <c r="J289" s="217" t="inlineStr">
        <is>
          <t>"updateOrder.reasonOtherError": "Please enter another reason",</t>
        </is>
      </c>
    </row>
    <row r="290" ht="15.75" customHeight="1" s="305">
      <c r="A290" s="67" t="inlineStr">
        <is>
          <t>common.search</t>
        </is>
      </c>
      <c r="B290" s="67" t="inlineStr">
        <is>
          <t>Tìm kiếm</t>
        </is>
      </c>
      <c r="C290" s="67" t="inlineStr">
        <is>
          <t>Search</t>
        </is>
      </c>
      <c r="D290" s="3">
        <f>IFERROR(__xludf.DUMMYFUNCTION("GOOGLETRANSLATE(B290,""vi"",""km"")"),"ស្វែងរក")</f>
        <v/>
      </c>
      <c r="E290" s="3" t="inlineStr">
        <is>
          <t>ស្វែងរក</t>
        </is>
      </c>
      <c r="F290" s="217" t="inlineStr">
        <is>
          <t>v</t>
        </is>
      </c>
      <c r="G290" s="217" t="inlineStr">
        <is>
          <t>ស្វែងរក</t>
        </is>
      </c>
      <c r="H290" t="inlineStr">
        <is>
          <t>ស្វែងរក</t>
        </is>
      </c>
      <c r="I290" s="74" t="inlineStr">
        <is>
          <t>ស្វែងរក</t>
        </is>
      </c>
      <c r="J290" s="217" t="inlineStr">
        <is>
          <t>"common.search": "Search",</t>
        </is>
      </c>
    </row>
    <row r="291" ht="15.75" customHeight="1" s="305">
      <c r="A291" s="67" t="inlineStr">
        <is>
          <t>common.create</t>
        </is>
      </c>
      <c r="B291" s="67" t="inlineStr">
        <is>
          <t>Thêm mới</t>
        </is>
      </c>
      <c r="C291" s="67" t="inlineStr">
        <is>
          <t>Create</t>
        </is>
      </c>
      <c r="D291" s="3">
        <f>IFERROR(__xludf.DUMMYFUNCTION("GOOGLETRANSLATE(B291,""vi"",""km"")"),"បន្ថែមថ្មី")</f>
        <v/>
      </c>
      <c r="E291" s="3" t="inlineStr">
        <is>
          <t>បង្កើតថ្មី</t>
        </is>
      </c>
      <c r="F291" s="217" t="inlineStr">
        <is>
          <t>v</t>
        </is>
      </c>
      <c r="G291" s="217" t="inlineStr">
        <is>
          <t>បន្ថែមថ្មី</t>
        </is>
      </c>
      <c r="H291" t="inlineStr">
        <is>
          <t>បន្ថែមថ្មី</t>
        </is>
      </c>
      <c r="I291" s="74" t="inlineStr">
        <is>
          <t>បន្ថែម​ថ្មី</t>
        </is>
      </c>
      <c r="J291" s="217" t="inlineStr">
        <is>
          <t>"common.create": "Create",</t>
        </is>
      </c>
    </row>
    <row r="292" ht="15.75" customHeight="1" s="305">
      <c r="A292" s="67" t="inlineStr">
        <is>
          <t>common.titleSearch</t>
        </is>
      </c>
      <c r="B292" s="67" t="inlineStr">
        <is>
          <t>Nhập từ khóa tìm kiếm</t>
        </is>
      </c>
      <c r="C292" s="67" t="inlineStr">
        <is>
          <t>Enter search keywords</t>
        </is>
      </c>
      <c r="D292" s="3">
        <f>IFERROR(__xludf.DUMMYFUNCTION("GOOGLETRANSLATE(B292,""vi"",""km"")"),"បញ្ចូលពាក្យគន្លឹះស្វែងរក")</f>
        <v/>
      </c>
      <c r="E292" s="3" t="inlineStr">
        <is>
          <t>បញ្ចូលពាក្យគន្លឹះស្វែងរក</t>
        </is>
      </c>
      <c r="F292" s="217" t="inlineStr">
        <is>
          <t>v</t>
        </is>
      </c>
      <c r="G292" s="217" t="inlineStr">
        <is>
          <t>បញ្ចូលពាក្យគន្លឹះស្វែងរក</t>
        </is>
      </c>
      <c r="H292" t="inlineStr">
        <is>
          <t>បញ្ចូលពាក្យគន្លឹះស្វែងរក</t>
        </is>
      </c>
      <c r="I292" s="74" t="inlineStr">
        <is>
          <t>បញ្ចូលពាក្យគន្លឹះស្វែងរក</t>
        </is>
      </c>
      <c r="J292" s="217" t="inlineStr">
        <is>
          <t>"common.titleSearch": "Enter search keywords",</t>
        </is>
      </c>
    </row>
    <row r="293" ht="15.75" customHeight="1" s="305">
      <c r="A293" s="67" t="inlineStr">
        <is>
          <t>common.stt</t>
        </is>
      </c>
      <c r="B293" s="67" t="inlineStr">
        <is>
          <t>STT</t>
        </is>
      </c>
      <c r="C293" s="67" t="inlineStr">
        <is>
          <t>No.</t>
        </is>
      </c>
      <c r="D293" s="3">
        <f>IFERROR(__xludf.DUMMYFUNCTION("GOOGLETRANSLATE(B293,""vi"",""km"")"),"ទេ។")</f>
        <v/>
      </c>
      <c r="E293" s="3" t="inlineStr">
        <is>
          <t>លេខរៀង</t>
        </is>
      </c>
      <c r="F293" s="217" t="inlineStr">
        <is>
          <t>v</t>
        </is>
      </c>
      <c r="G293" s="217" t="inlineStr">
        <is>
          <t>លេខរៀង</t>
        </is>
      </c>
      <c r="H293" t="inlineStr">
        <is>
          <t>លេខរៀង</t>
        </is>
      </c>
      <c r="I293" s="74" t="inlineStr">
        <is>
          <t>លេខរៀង</t>
        </is>
      </c>
      <c r="J293" s="217" t="inlineStr">
        <is>
          <t>"common.stt": "No.",</t>
        </is>
      </c>
    </row>
    <row r="294" ht="15.75" customHeight="1" s="305">
      <c r="A294" s="67" t="inlineStr">
        <is>
          <t>common.fullname</t>
        </is>
      </c>
      <c r="B294" s="67" t="inlineStr">
        <is>
          <t>Họ và tên</t>
        </is>
      </c>
      <c r="C294" s="67" t="inlineStr">
        <is>
          <t>Full name</t>
        </is>
      </c>
      <c r="D294" s="3">
        <f>IFERROR(__xludf.DUMMYFUNCTION("GOOGLETRANSLATE(B294,""vi"",""km"")"),"ឈ្មោះពេញ")</f>
        <v/>
      </c>
      <c r="E294" s="3" t="inlineStr">
        <is>
          <t>គោត្តនាម និងនាម</t>
        </is>
      </c>
      <c r="F294" s="217" t="inlineStr">
        <is>
          <t>v</t>
        </is>
      </c>
      <c r="G294" s="217" t="inlineStr">
        <is>
          <t>ឈ្មោះពេញ</t>
        </is>
      </c>
      <c r="H294" t="inlineStr">
        <is>
          <t>ឈ្មោះពេញ</t>
        </is>
      </c>
      <c r="I294" s="74" t="inlineStr">
        <is>
          <t>នាមត្រកូល​និង​ឈ្មោះ</t>
        </is>
      </c>
      <c r="J294" s="217" t="inlineStr">
        <is>
          <t>"common.fullname": "Full name",</t>
        </is>
      </c>
    </row>
    <row r="295" ht="15.75" customHeight="1" s="305">
      <c r="A295" s="67" t="inlineStr">
        <is>
          <t>common.address</t>
        </is>
      </c>
      <c r="B295" s="67" t="inlineStr">
        <is>
          <t>Địa chỉ</t>
        </is>
      </c>
      <c r="C295" s="67" t="inlineStr">
        <is>
          <t>Address</t>
        </is>
      </c>
      <c r="D295" s="3">
        <f>IFERROR(__xludf.DUMMYFUNCTION("GOOGLETRANSLATE(B295,""vi"",""km"")"),"អាសយដ្ឋាន")</f>
        <v/>
      </c>
      <c r="E295" s="3" t="inlineStr">
        <is>
          <t>អាស័យដ្ឋាន</t>
        </is>
      </c>
      <c r="F295" s="217" t="inlineStr">
        <is>
          <t>v</t>
        </is>
      </c>
      <c r="G295" s="217" t="inlineStr">
        <is>
          <t>អាសយដ្ឋាន</t>
        </is>
      </c>
      <c r="H295" t="inlineStr">
        <is>
          <t>អាសយដ្ឋាន</t>
        </is>
      </c>
      <c r="I295" s="74" t="inlineStr">
        <is>
          <t>អាស័យដ្ឋាន</t>
        </is>
      </c>
      <c r="J295" s="217" t="inlineStr">
        <is>
          <t>"common.address": "Address",</t>
        </is>
      </c>
    </row>
    <row r="296" ht="15.75" customHeight="1" s="305">
      <c r="A296" s="67" t="inlineStr">
        <is>
          <t>common.email</t>
        </is>
      </c>
      <c r="B296" s="67" t="inlineStr">
        <is>
          <t>Email</t>
        </is>
      </c>
      <c r="C296" s="67" t="inlineStr">
        <is>
          <t>Email</t>
        </is>
      </c>
      <c r="D296" s="3">
        <f>IFERROR(__xludf.DUMMYFUNCTION("GOOGLETRANSLATE(B296,""vi"",""km"")"),"អ៊ីមែល")</f>
        <v/>
      </c>
      <c r="E296" s="3" t="inlineStr">
        <is>
          <t>អ៊ីម៉ែល</t>
        </is>
      </c>
      <c r="F296" s="217" t="inlineStr">
        <is>
          <t>v</t>
        </is>
      </c>
      <c r="G296" s="217" t="inlineStr">
        <is>
          <t>អ៊ីម៉ែល</t>
        </is>
      </c>
      <c r="H296" t="inlineStr">
        <is>
          <t>អ៊ីម៉ែល</t>
        </is>
      </c>
      <c r="I296" s="74" t="inlineStr">
        <is>
          <t>អ៊ីមែល</t>
        </is>
      </c>
      <c r="J296" s="217" t="inlineStr">
        <is>
          <t>"common.email": "Email",</t>
        </is>
      </c>
    </row>
    <row r="297" ht="15.75" customHeight="1" s="305">
      <c r="A297" s="67" t="inlineStr">
        <is>
          <t>common.phone</t>
        </is>
      </c>
      <c r="B297" s="67" t="inlineStr">
        <is>
          <t>Số điện thoại</t>
        </is>
      </c>
      <c r="C297" s="67" t="inlineStr">
        <is>
          <t>Mobile number</t>
        </is>
      </c>
      <c r="D297" s="3">
        <f>IFERROR(__xludf.DUMMYFUNCTION("GOOGLETRANSLATE(B297,""vi"",""km"")"),"លេខទូរស័ព្ទ")</f>
        <v/>
      </c>
      <c r="E297" s="3" t="inlineStr">
        <is>
          <t>លេខទូរស័ព្ទ</t>
        </is>
      </c>
      <c r="F297" s="217" t="inlineStr">
        <is>
          <t>v</t>
        </is>
      </c>
      <c r="G297" s="217" t="inlineStr">
        <is>
          <t>លេខទូរស័ព្ទ</t>
        </is>
      </c>
      <c r="H297" t="inlineStr">
        <is>
          <t>លេខទូរស័ព្ទ</t>
        </is>
      </c>
      <c r="I297" s="74" t="inlineStr">
        <is>
          <t>លេខទូរសព្ទ</t>
        </is>
      </c>
      <c r="J297" s="217" t="inlineStr">
        <is>
          <t>"common.phone": "Mobile number",</t>
        </is>
      </c>
    </row>
    <row r="298" ht="15.75" customHeight="1" s="305">
      <c r="A298" s="67" t="inlineStr">
        <is>
          <t>common.tool</t>
        </is>
      </c>
      <c r="B298" s="67" t="inlineStr">
        <is>
          <t>Công cụ</t>
        </is>
      </c>
      <c r="C298" s="67" t="inlineStr">
        <is>
          <t>Tool</t>
        </is>
      </c>
      <c r="D298" s="3">
        <f>IFERROR(__xludf.DUMMYFUNCTION("GOOGLETRANSLATE(B298,""vi"",""km"")"),"ឧបករណ៍")</f>
        <v/>
      </c>
      <c r="E298" s="3" t="inlineStr">
        <is>
          <t>ឧបករណ៍</t>
        </is>
      </c>
      <c r="F298" s="217" t="inlineStr">
        <is>
          <t>v</t>
        </is>
      </c>
      <c r="G298" s="217" t="inlineStr">
        <is>
          <t>ឧបករណ៍</t>
        </is>
      </c>
      <c r="H298" t="inlineStr">
        <is>
          <t>ឧបករណ៍</t>
        </is>
      </c>
      <c r="I298" s="74" t="inlineStr">
        <is>
          <t>ឧបករណ៍</t>
        </is>
      </c>
      <c r="J298" s="217" t="inlineStr">
        <is>
          <t>"common.tool": "Tool",</t>
        </is>
      </c>
    </row>
    <row r="299" ht="15.75" customHeight="1" s="305">
      <c r="A299" s="67" t="inlineStr">
        <is>
          <t>common.handle</t>
        </is>
      </c>
      <c r="B299" s="67" t="inlineStr">
        <is>
          <t>Thao tác</t>
        </is>
      </c>
      <c r="C299" s="67" t="inlineStr">
        <is>
          <t>Action</t>
        </is>
      </c>
      <c r="D299" s="3">
        <f>IFERROR(__xludf.DUMMYFUNCTION("GOOGLETRANSLATE(B299,""vi"",""km"")"),"ប្រតិបត្តិការ")</f>
        <v/>
      </c>
      <c r="E299" s="3" t="inlineStr">
        <is>
          <t>ប្រតិបត្តិ្តការ</t>
        </is>
      </c>
      <c r="F299" s="217" t="inlineStr">
        <is>
          <t>x</t>
        </is>
      </c>
      <c r="G299" s="217" t="inlineStr">
        <is>
          <t>ប្រតិបត្តិការ</t>
        </is>
      </c>
      <c r="H299" t="inlineStr">
        <is>
          <t>ប្រតិបត្តិការ</t>
        </is>
      </c>
      <c r="I299" s="74" t="inlineStr">
        <is>
          <t>ប្រតិបត្តិការ</t>
        </is>
      </c>
      <c r="J299" s="217" t="inlineStr">
        <is>
          <t>"common.handle": "Action",</t>
        </is>
      </c>
    </row>
    <row r="300" ht="15.75" customHeight="1" s="305">
      <c r="A300" s="67" t="inlineStr">
        <is>
          <t>common.confirm</t>
        </is>
      </c>
      <c r="B300" s="67" t="inlineStr">
        <is>
          <t>Xác nhận</t>
        </is>
      </c>
      <c r="C300" s="67" t="inlineStr">
        <is>
          <t>Confirm</t>
        </is>
      </c>
      <c r="D300" s="3">
        <f>IFERROR(__xludf.DUMMYFUNCTION("GOOGLETRANSLATE(B300,""vi"",""km"")"),"បញ្ជាក់")</f>
        <v/>
      </c>
      <c r="E300" s="3" t="inlineStr">
        <is>
          <t>បញ្ជាក់</t>
        </is>
      </c>
      <c r="F300" s="217" t="inlineStr">
        <is>
          <t>v</t>
        </is>
      </c>
      <c r="G300" s="217" t="inlineStr">
        <is>
          <t>បញ្ជាក់</t>
        </is>
      </c>
      <c r="H300" t="inlineStr">
        <is>
          <t>បញ្ជាក់</t>
        </is>
      </c>
      <c r="I300" s="74" t="inlineStr">
        <is>
          <t>បញ្ជាក់</t>
        </is>
      </c>
      <c r="J300" s="217" t="inlineStr">
        <is>
          <t>"common.confirm": "Confirm",</t>
        </is>
      </c>
    </row>
    <row r="301" ht="15.75" customHeight="1" s="305">
      <c r="A301" s="67" t="inlineStr">
        <is>
          <t>common.selectPostOffice</t>
        </is>
      </c>
      <c r="B301" s="67" t="inlineStr">
        <is>
          <t>Bưu cục</t>
        </is>
      </c>
      <c r="C301" s="67" t="inlineStr">
        <is>
          <t>Select Post Office</t>
        </is>
      </c>
      <c r="D301" s="3">
        <f>IFERROR(__xludf.DUMMYFUNCTION("GOOGLETRANSLATE(B301,""vi"",""km"")"),"ការិយាល័យប្រៃសណីយ៍")</f>
        <v/>
      </c>
      <c r="E301" s="3" t="inlineStr">
        <is>
          <t>ការិយាល័យប្រៃសណីយ៍</t>
        </is>
      </c>
      <c r="F301" s="217" t="inlineStr">
        <is>
          <t>v</t>
        </is>
      </c>
      <c r="G301" s="217" t="inlineStr">
        <is>
          <t>ការិយាល័យប្រៃសណីយ៍</t>
        </is>
      </c>
      <c r="H301" t="inlineStr">
        <is>
          <t>ការិយាល័យប្រៃសណីយ៍</t>
        </is>
      </c>
      <c r="I301" s="74" t="inlineStr">
        <is>
          <t>ជ្រើសរើសការិយាល័យបញ្ញើ</t>
        </is>
      </c>
      <c r="J301" s="217" t="inlineStr">
        <is>
          <t>"common.selectPostOffice": "Select Post Office",</t>
        </is>
      </c>
    </row>
    <row r="302" ht="15.75" customHeight="1" s="305">
      <c r="A302" s="67" t="inlineStr">
        <is>
          <t>common.notification</t>
        </is>
      </c>
      <c r="B302" s="67" t="inlineStr">
        <is>
          <t>Thông báo</t>
        </is>
      </c>
      <c r="C302" s="67" t="inlineStr">
        <is>
          <t>Notification</t>
        </is>
      </c>
      <c r="D302" s="3">
        <f>IFERROR(__xludf.DUMMYFUNCTION("GOOGLETRANSLATE(B302,""vi"",""km"")"),"ការជូនដំណឹង")</f>
        <v/>
      </c>
      <c r="E302" s="3" t="inlineStr">
        <is>
          <t>ការជូនដំណឹង</t>
        </is>
      </c>
      <c r="F302" s="217" t="inlineStr">
        <is>
          <t>v</t>
        </is>
      </c>
      <c r="G302" s="217" t="inlineStr">
        <is>
          <t>ការជូនដំណឹង</t>
        </is>
      </c>
      <c r="H302" t="inlineStr">
        <is>
          <t>ការជូនដំណឹង</t>
        </is>
      </c>
      <c r="I302" s="74" t="inlineStr">
        <is>
          <t>សេចក្តីជូនដំណឹង</t>
        </is>
      </c>
      <c r="J302" s="217" t="inlineStr">
        <is>
          <t>"common.notification": "Notification",</t>
        </is>
      </c>
    </row>
    <row r="303" ht="15.75" customHeight="1" s="305">
      <c r="A303" s="67" t="inlineStr">
        <is>
          <t>common.update</t>
        </is>
      </c>
      <c r="B303" s="67" t="inlineStr">
        <is>
          <t>Cập nhật</t>
        </is>
      </c>
      <c r="C303" s="67" t="inlineStr">
        <is>
          <t>Update</t>
        </is>
      </c>
      <c r="D303" s="3">
        <f>IFERROR(__xludf.DUMMYFUNCTION("GOOGLETRANSLATE(B303,""vi"",""km"")"),"ធ្វើបច្ចុប្បន្នភាព")</f>
        <v/>
      </c>
      <c r="E303" s="67" t="inlineStr">
        <is>
          <t>Update</t>
        </is>
      </c>
      <c r="F303" s="217" t="inlineStr">
        <is>
          <t>v</t>
        </is>
      </c>
      <c r="G303" s="217" t="inlineStr">
        <is>
          <t>ធ្វើបច្ចុប្បន្នភាព</t>
        </is>
      </c>
      <c r="H303" t="inlineStr">
        <is>
          <t>ធ្វើបច្ចុប្បន្នភាព</t>
        </is>
      </c>
      <c r="I303" s="74" t="inlineStr">
        <is>
          <t>ធ្វើបច្ចុប្បន្នភាព</t>
        </is>
      </c>
      <c r="J303" s="217" t="inlineStr">
        <is>
          <t>"common.update": "Update",</t>
        </is>
      </c>
    </row>
    <row r="304" ht="15.75" customHeight="1" s="305">
      <c r="A304" s="67" t="inlineStr">
        <is>
          <t>common.createSuccess</t>
        </is>
      </c>
      <c r="B304" s="67" t="inlineStr">
        <is>
          <t>Thêm mới thành công</t>
        </is>
      </c>
      <c r="C304" s="67" t="inlineStr">
        <is>
          <t>Successfully created</t>
        </is>
      </c>
      <c r="D304" s="3">
        <f>IFERROR(__xludf.DUMMYFUNCTION("GOOGLETRANSLATE(B304,""vi"",""km"")"),"បានបន្ថែមដោយជោគជ័យ")</f>
        <v/>
      </c>
      <c r="E304" s="3" t="inlineStr">
        <is>
          <t>ការបញ្ចូលថ្មីបានជោគជ័យ</t>
        </is>
      </c>
      <c r="F304" s="217" t="inlineStr">
        <is>
          <t>v</t>
        </is>
      </c>
      <c r="G304" s="217" t="inlineStr">
        <is>
          <t>ការបញ្ចូលថ្មីបានជោគជ័យ</t>
        </is>
      </c>
      <c r="H304" t="inlineStr">
        <is>
          <t>ការបញ្ចូលថ្មីបានជោគជ័យ</t>
        </is>
      </c>
      <c r="I304" s="74" t="inlineStr">
        <is>
          <t>បានបង្កើតដោយជោគជ័យ</t>
        </is>
      </c>
      <c r="J304" s="217" t="inlineStr">
        <is>
          <t>"common.createSuccess": "Successfully created",</t>
        </is>
      </c>
    </row>
    <row r="305" ht="15.75" customHeight="1" s="305">
      <c r="A305" s="67" t="inlineStr">
        <is>
          <t>common.updateSuccess</t>
        </is>
      </c>
      <c r="B305" s="67" t="inlineStr">
        <is>
          <t>Cập nhật thành công</t>
        </is>
      </c>
      <c r="C305" s="67" t="inlineStr">
        <is>
          <t>Successfully updated</t>
        </is>
      </c>
      <c r="D305" s="3">
        <f>IFERROR(__xludf.DUMMYFUNCTION("GOOGLETRANSLATE(B305,""vi"",""km"")"),"ការអាប់ដេតបានជោគជ័យ")</f>
        <v/>
      </c>
      <c r="E305" s="3" t="inlineStr">
        <is>
          <t>ការអាប់ដេតបានជោគជ័យ</t>
        </is>
      </c>
      <c r="F305" s="217" t="inlineStr">
        <is>
          <t>v</t>
        </is>
      </c>
      <c r="G305" s="217" t="inlineStr">
        <is>
          <t>ការអាប់ដេតបានជោគជ័យ</t>
        </is>
      </c>
      <c r="H305" t="inlineStr">
        <is>
          <t>ការអាប់ដេតបានជោគជ័យ</t>
        </is>
      </c>
      <c r="I305" s="74" t="inlineStr">
        <is>
          <t>បានធ្វើបច្ចុប្បន្នភាពដោយជោគជ័យ</t>
        </is>
      </c>
      <c r="J305" s="217" t="inlineStr">
        <is>
          <t>"common.updateSuccess": "Successfully updated",</t>
        </is>
      </c>
    </row>
    <row r="306" ht="15.75" customHeight="1" s="305">
      <c r="A306" s="67" t="inlineStr">
        <is>
          <t>common.createFail</t>
        </is>
      </c>
      <c r="B306" s="67" t="inlineStr">
        <is>
          <t>Thêm mới thất bại</t>
        </is>
      </c>
      <c r="C306" s="67" t="inlineStr">
        <is>
          <t>Failed to create</t>
        </is>
      </c>
      <c r="D306" s="3">
        <f>IFERROR(__xludf.DUMMYFUNCTION("GOOGLETRANSLATE(B306,""vi"",""km"")"),"បន្ថែមការបរាជ័យថ្មី")</f>
        <v/>
      </c>
      <c r="E306" s="3" t="inlineStr">
        <is>
          <t>ការបញ្ចូ្ចលថ្មីបរាជ័យ</t>
        </is>
      </c>
      <c r="F306" s="217" t="inlineStr">
        <is>
          <t>v</t>
        </is>
      </c>
      <c r="G306" s="217" t="inlineStr">
        <is>
          <t>ការបញ្ចូ្ចលថ្មីបរាជ័យ</t>
        </is>
      </c>
      <c r="H306" t="inlineStr">
        <is>
          <t>ការបញ្ចូ្ចលថ្មីបរាជ័យ</t>
        </is>
      </c>
      <c r="I306" s="74" t="inlineStr">
        <is>
          <t>បរាជ័យក្នុងការបង្កើត</t>
        </is>
      </c>
      <c r="J306" s="217" t="inlineStr">
        <is>
          <t>"common.createFail": "Failed to create",</t>
        </is>
      </c>
    </row>
    <row r="307" ht="15.75" customHeight="1" s="305">
      <c r="A307" s="67" t="inlineStr">
        <is>
          <t>common.updateFail</t>
        </is>
      </c>
      <c r="B307" s="67" t="inlineStr">
        <is>
          <t>Cập nhật thất bại</t>
        </is>
      </c>
      <c r="C307" s="67" t="inlineStr">
        <is>
          <t>Failed to update</t>
        </is>
      </c>
      <c r="D307" s="3">
        <f>IFERROR(__xludf.DUMMYFUNCTION("GOOGLETRANSLATE(B307,""vi"",""km"")"),"ការអាប់ដេតបរាជ័យ")</f>
        <v/>
      </c>
      <c r="E307" s="3" t="inlineStr">
        <is>
          <t>ការអាប់ដេតបារាជ័យ</t>
        </is>
      </c>
      <c r="F307" s="217" t="inlineStr">
        <is>
          <t>v</t>
        </is>
      </c>
      <c r="G307" s="217" t="inlineStr">
        <is>
          <t>ការអាប់ដេតបារាជ័យ</t>
        </is>
      </c>
      <c r="H307" t="inlineStr">
        <is>
          <t>ការអាប់ដេតបារាជ័យ</t>
        </is>
      </c>
      <c r="I307" s="74" t="inlineStr">
        <is>
          <t>បរាជ័យក្នុងការធ្វើបច្ចុប្បន្នភាព</t>
        </is>
      </c>
      <c r="J307" s="217" t="inlineStr">
        <is>
          <t>"common.updateFail": "Failed to update",</t>
        </is>
      </c>
    </row>
    <row r="308" ht="15.75" customHeight="1" s="305">
      <c r="A308" s="67" t="inlineStr">
        <is>
          <t>common.fail</t>
        </is>
      </c>
      <c r="B308" s="67" t="inlineStr">
        <is>
          <t>Thất bại</t>
        </is>
      </c>
      <c r="C308" s="67" t="inlineStr">
        <is>
          <t>Failed</t>
        </is>
      </c>
      <c r="D308" s="3">
        <f>IFERROR(__xludf.DUMMYFUNCTION("GOOGLETRANSLATE(B308,""vi"",""km"")"),"ការបរាជ័យ")</f>
        <v/>
      </c>
      <c r="E308" s="3" t="inlineStr">
        <is>
          <t>បរាជ័យ</t>
        </is>
      </c>
      <c r="F308" s="217" t="inlineStr">
        <is>
          <t>v</t>
        </is>
      </c>
      <c r="G308" s="217" t="inlineStr">
        <is>
          <t>បរាជ័យ</t>
        </is>
      </c>
      <c r="H308" t="inlineStr">
        <is>
          <t>បរាជ័យ</t>
        </is>
      </c>
      <c r="I308" s="74" t="inlineStr">
        <is>
          <t>បរាជ័យ</t>
        </is>
      </c>
      <c r="J308" s="217" t="inlineStr">
        <is>
          <t>"common.fail": "Failed",</t>
        </is>
      </c>
    </row>
    <row r="309" ht="15.75" customHeight="1" s="305">
      <c r="A309" s="67" t="inlineStr">
        <is>
          <t>common.systemError</t>
        </is>
      </c>
      <c r="B309" s="67" t="inlineStr">
        <is>
          <t>Lỗi hệ thống!</t>
        </is>
      </c>
      <c r="C309" s="67" t="inlineStr">
        <is>
          <t>There is a system error.!</t>
        </is>
      </c>
      <c r="D309" s="3">
        <f>IFERROR(__xludf.DUMMYFUNCTION("GOOGLETRANSLATE(B309,""vi"",""km"")"),"កំហុសប្រព័ន្ធ!")</f>
        <v/>
      </c>
      <c r="E309" s="3" t="inlineStr">
        <is>
          <t>ប្រព័ន្ធមានបញ្ហា</t>
        </is>
      </c>
      <c r="F309" s="217" t="inlineStr">
        <is>
          <t>v</t>
        </is>
      </c>
      <c r="G309" s="217" t="inlineStr">
        <is>
          <t>ប្រព័ន្ធមានបញ្ហា</t>
        </is>
      </c>
      <c r="H309" t="inlineStr">
        <is>
          <t>ប្រព័ន្ធមានបញ្ហា</t>
        </is>
      </c>
      <c r="I309" s="74" t="inlineStr">
        <is>
          <t>ប្រព័ន្ធមាន​បញ្ហា​។</t>
        </is>
      </c>
      <c r="J309" s="217" t="inlineStr">
        <is>
          <t>"common.systemError": "There is a system error.!",</t>
        </is>
      </c>
    </row>
    <row r="310" ht="15.75" customHeight="1" s="305">
      <c r="A310" s="67" t="inlineStr">
        <is>
          <t>common.cancel</t>
        </is>
      </c>
      <c r="B310" s="67" t="inlineStr">
        <is>
          <t>Hủy</t>
        </is>
      </c>
      <c r="C310" s="67" t="inlineStr">
        <is>
          <t>Cancel</t>
        </is>
      </c>
      <c r="D310" s="3">
        <f>IFERROR(__xludf.DUMMYFUNCTION("GOOGLETRANSLATE(B310,""vi"",""km"")"),"បោះបង់")</f>
        <v/>
      </c>
      <c r="E310" s="3" t="inlineStr">
        <is>
          <t>លុប</t>
        </is>
      </c>
      <c r="F310" s="217" t="inlineStr">
        <is>
          <t>v</t>
        </is>
      </c>
      <c r="G310" s="217" t="inlineStr">
        <is>
          <t>លុបចោល</t>
        </is>
      </c>
      <c r="H310" t="inlineStr">
        <is>
          <t>លុបចោល</t>
        </is>
      </c>
      <c r="I310" s="74" t="inlineStr">
        <is>
          <t>បោះបង់</t>
        </is>
      </c>
      <c r="J310" s="217" t="inlineStr">
        <is>
          <t>"common.cancel": "Cancel",</t>
        </is>
      </c>
    </row>
    <row r="311" ht="15.75" customHeight="1" s="305">
      <c r="A311" s="67" t="inlineStr">
        <is>
          <t>common.save</t>
        </is>
      </c>
      <c r="B311" s="67" t="inlineStr">
        <is>
          <t>Lưu lại</t>
        </is>
      </c>
      <c r="C311" s="67" t="inlineStr">
        <is>
          <t>Save</t>
        </is>
      </c>
      <c r="D311" s="3">
        <f>IFERROR(__xludf.DUMMYFUNCTION("GOOGLETRANSLATE(B311,""vi"",""km"")"),"ស្នាក់នៅ")</f>
        <v/>
      </c>
      <c r="E311" s="3" t="inlineStr">
        <is>
          <t>រក្សាទុក</t>
        </is>
      </c>
      <c r="F311" s="217" t="inlineStr">
        <is>
          <t>v</t>
        </is>
      </c>
      <c r="G311" s="217" t="inlineStr">
        <is>
          <t>រក្សាទុក</t>
        </is>
      </c>
      <c r="H311" t="inlineStr">
        <is>
          <t>រក្សាទុក</t>
        </is>
      </c>
      <c r="I311" s="74" t="inlineStr">
        <is>
          <t>រក្សាទុក</t>
        </is>
      </c>
      <c r="J311" s="217" t="inlineStr">
        <is>
          <t>"common.save": "Save",</t>
        </is>
      </c>
    </row>
    <row r="312" ht="15.75" customHeight="1" s="305">
      <c r="A312" s="67" t="inlineStr">
        <is>
          <t>common.noneEmpty</t>
        </is>
      </c>
      <c r="B312" s="67" t="inlineStr">
        <is>
          <t>không được để trống</t>
        </is>
      </c>
      <c r="C312" s="67" t="inlineStr">
        <is>
          <t>cannot be blank</t>
        </is>
      </c>
      <c r="D312" s="3">
        <f>IFERROR(__xludf.DUMMYFUNCTION("GOOGLETRANSLATE(B312,""vi"",""km"")"),"វាមិនអាចទុកឲ្យទទេបានទេ។")</f>
        <v/>
      </c>
      <c r="E312" s="3" t="inlineStr">
        <is>
          <t>មិនអាចទុកឲ្យនៅចន្លោះបាន</t>
        </is>
      </c>
      <c r="F312" s="217" t="inlineStr">
        <is>
          <t>x</t>
        </is>
      </c>
      <c r="G312" s="217" t="inlineStr">
        <is>
          <t>មិនអាចទុកឲ្យនៅចន្លោះបាន</t>
        </is>
      </c>
      <c r="H312" t="inlineStr">
        <is>
          <t>មិនអាចទុកឲ្យនៅចន្លោះបាន</t>
        </is>
      </c>
      <c r="I312" s="74" t="inlineStr">
        <is>
          <t>កុំនៅទទេ</t>
        </is>
      </c>
      <c r="J312" s="217" t="inlineStr">
        <is>
          <t>"common.noneEmpty": "cannot be blank",</t>
        </is>
      </c>
    </row>
    <row r="313" ht="15.75" customHeight="1" s="305">
      <c r="A313" s="67" t="inlineStr">
        <is>
          <t>common.empty</t>
        </is>
      </c>
      <c r="B313" s="67" t="inlineStr">
        <is>
          <t>Không thấy dữ liệu phù hợp</t>
        </is>
      </c>
      <c r="C313" s="67" t="inlineStr">
        <is>
          <t>No matching data found</t>
        </is>
      </c>
      <c r="D313" s="3">
        <f>IFERROR(__xludf.DUMMYFUNCTION("GOOGLETRANSLATE(B313,""vi"",""km"")"),"រកមិនឃើញទិន្នន័យដែលត្រូវគ្នាទេ។")</f>
        <v/>
      </c>
      <c r="E313" s="3" t="inlineStr">
        <is>
          <t>មិនឃើញមានព័ត៌មានដែលសមស្រប</t>
        </is>
      </c>
      <c r="F313" s="217" t="inlineStr">
        <is>
          <t>v</t>
        </is>
      </c>
      <c r="G313" s="217" t="inlineStr">
        <is>
          <t>មិនឃើញមានព័ត៌មានដែលសមស្រប</t>
        </is>
      </c>
      <c r="H313" t="inlineStr">
        <is>
          <t>មិនឃើញមានព័ត៌មានដែលសមស្រប</t>
        </is>
      </c>
      <c r="I313" s="74" t="inlineStr">
        <is>
          <t>រកមិនឃើញទិន្នន័យសមរម្យទេ។</t>
        </is>
      </c>
      <c r="J313" s="217" t="inlineStr">
        <is>
          <t>"common.empty": "No matching data found",</t>
        </is>
      </c>
    </row>
    <row r="314" ht="15.75" customHeight="1" s="305">
      <c r="A314" s="67" t="inlineStr">
        <is>
          <t>common.ok</t>
        </is>
      </c>
      <c r="B314" s="67" t="inlineStr">
        <is>
          <t>Ok</t>
        </is>
      </c>
      <c r="C314" s="67" t="inlineStr">
        <is>
          <t>Ok</t>
        </is>
      </c>
      <c r="D314" s="3">
        <f>IFERROR(__xludf.DUMMYFUNCTION("GOOGLETRANSLATE(B314,""vi"",""km"")"),"យល់ព្រម")</f>
        <v/>
      </c>
      <c r="E314" s="3" t="inlineStr">
        <is>
          <t>យល់ព្រម</t>
        </is>
      </c>
      <c r="F314" s="217" t="inlineStr">
        <is>
          <t>v</t>
        </is>
      </c>
      <c r="G314" s="217" t="inlineStr">
        <is>
          <t>យល់ព្រម</t>
        </is>
      </c>
      <c r="H314" t="inlineStr">
        <is>
          <t>យល់ព្រម</t>
        </is>
      </c>
      <c r="I314" s="74" t="inlineStr">
        <is>
          <t>Ok</t>
        </is>
      </c>
      <c r="J314" s="217" t="inlineStr">
        <is>
          <t>"common.ok": "Ok",</t>
        </is>
      </c>
    </row>
    <row r="315" ht="15.75" customHeight="1" s="305">
      <c r="A315" s="67" t="inlineStr">
        <is>
          <t>common.record</t>
        </is>
      </c>
      <c r="B315" s="67" t="inlineStr">
        <is>
          <t>Tổng bản ghi</t>
        </is>
      </c>
      <c r="C315" s="67" t="inlineStr">
        <is>
          <t>Record</t>
        </is>
      </c>
      <c r="D315" s="3">
        <f>IFERROR(__xludf.DUMMYFUNCTION("GOOGLETRANSLATE(B315,""vi"",""km"")"),"កំណត់ត្រាសរុប")</f>
        <v/>
      </c>
      <c r="E315" s="3" t="inlineStr">
        <is>
          <t>សរុបតារាង</t>
        </is>
      </c>
      <c r="F315" s="217" t="inlineStr">
        <is>
          <t>x</t>
        </is>
      </c>
      <c r="G315" s="217" t="inlineStr">
        <is>
          <t>កំណត់ត្រា</t>
        </is>
      </c>
      <c r="H315" t="inlineStr">
        <is>
          <t>កំណត់ត្រា</t>
        </is>
      </c>
      <c r="I315" s="74" t="inlineStr">
        <is>
          <t>កត់ត្រា</t>
        </is>
      </c>
      <c r="J315" s="217" t="inlineStr">
        <is>
          <t>"common.record": "Record",</t>
        </is>
      </c>
    </row>
    <row r="316" ht="15.75" customHeight="1" s="305">
      <c r="A316" s="67" t="inlineStr">
        <is>
          <t>common.close</t>
        </is>
      </c>
      <c r="B316" s="67" t="inlineStr">
        <is>
          <t>Đóng</t>
        </is>
      </c>
      <c r="C316" s="67" t="inlineStr">
        <is>
          <t>Close</t>
        </is>
      </c>
      <c r="D316" s="3">
        <f>IFERROR(__xludf.DUMMYFUNCTION("GOOGLETRANSLATE(B316,""vi"",""km"")"),"បិទ")</f>
        <v/>
      </c>
      <c r="E316" s="3" t="inlineStr">
        <is>
          <t>បិទ</t>
        </is>
      </c>
      <c r="F316" s="217" t="inlineStr">
        <is>
          <t>v</t>
        </is>
      </c>
      <c r="G316" s="217" t="inlineStr">
        <is>
          <t>បិទ</t>
        </is>
      </c>
      <c r="H316" t="inlineStr">
        <is>
          <t>បិទ</t>
        </is>
      </c>
      <c r="I316" s="74" t="inlineStr">
        <is>
          <t>បិទ</t>
        </is>
      </c>
      <c r="J316" s="217" t="inlineStr">
        <is>
          <t>"common.close": "Close",</t>
        </is>
      </c>
    </row>
    <row r="317" ht="15.75" customHeight="1" s="305">
      <c r="A317" s="67" t="inlineStr">
        <is>
          <t>common.validateEmail</t>
        </is>
      </c>
      <c r="B317" s="67" t="inlineStr">
        <is>
          <t>Vui lòng điền đúng định dạng email</t>
        </is>
      </c>
      <c r="C317" s="67" t="inlineStr">
        <is>
          <t>Please enter in the correct email format</t>
        </is>
      </c>
      <c r="D317" s="3">
        <f>IFERROR(__xludf.DUMMYFUNCTION("GOOGLETRANSLATE(B317,""vi"",""km"")"),"សូមបំពេញអ៊ីមែលក្នុងទម្រង់ត្រឹមត្រូវ។")</f>
        <v/>
      </c>
      <c r="E317" s="3" t="inlineStr">
        <is>
          <t>សូមបំពេញឲ្យត្រូវតាមទម្រង់អ៊ីម៉ែល</t>
        </is>
      </c>
      <c r="F317" s="217" t="inlineStr">
        <is>
          <t>x</t>
        </is>
      </c>
      <c r="G317" s="217" t="inlineStr">
        <is>
          <t>សូមបំពេញឲ្យត្រូវតាមទម្រង់អ៊ីម៉ែល</t>
        </is>
      </c>
      <c r="H317" t="inlineStr">
        <is>
          <t>សូមបំពេញឲ្យត្រូវតាមទម្រង់អ៊ីម៉ែល</t>
        </is>
      </c>
      <c r="I317" s="74" t="inlineStr">
        <is>
          <t>សូមបំពេញទម្រង់អ៊ីមែលត្រឹមត្រូវ។</t>
        </is>
      </c>
      <c r="J317" s="217" t="inlineStr">
        <is>
          <t>"common.validateEmail": "Please enter in the correct email format",</t>
        </is>
      </c>
    </row>
    <row r="318" ht="15.75" customHeight="1" s="305">
      <c r="A318" s="67" t="inlineStr">
        <is>
          <t>common.all</t>
        </is>
      </c>
      <c r="B318" s="67" t="inlineStr">
        <is>
          <t>Tất cả</t>
        </is>
      </c>
      <c r="C318" s="67" t="inlineStr">
        <is>
          <t>All</t>
        </is>
      </c>
      <c r="D318" s="3">
        <f>IFERROR(__xludf.DUMMYFUNCTION("GOOGLETRANSLATE(B318,""vi"",""km"")"),"ទាំងអស់")</f>
        <v/>
      </c>
      <c r="E318" s="3" t="inlineStr">
        <is>
          <t>ទាំងអស់</t>
        </is>
      </c>
      <c r="F318" s="217" t="inlineStr">
        <is>
          <t>v</t>
        </is>
      </c>
      <c r="G318" s="217" t="inlineStr">
        <is>
          <t>ទាំងអស់</t>
        </is>
      </c>
      <c r="H318" t="inlineStr">
        <is>
          <t>ទាំងអស់</t>
        </is>
      </c>
      <c r="I318" s="74" t="inlineStr">
        <is>
          <t>ទាំងអស់។</t>
        </is>
      </c>
      <c r="J318" s="217" t="inlineStr">
        <is>
          <t>"common.all": "All",</t>
        </is>
      </c>
    </row>
    <row r="319" ht="15.75" customHeight="1" s="305">
      <c r="A319" s="67" t="inlineStr">
        <is>
          <t>common.total</t>
        </is>
      </c>
      <c r="B319" s="67" t="inlineStr">
        <is>
          <t>Tổng</t>
        </is>
      </c>
      <c r="C319" s="67" t="inlineStr">
        <is>
          <t>Total</t>
        </is>
      </c>
      <c r="D319" s="3">
        <f>IFERROR(__xludf.DUMMYFUNCTION("GOOGLETRANSLATE(B319,""vi"",""km"")"),"សរុប")</f>
        <v/>
      </c>
      <c r="E319" s="3" t="inlineStr">
        <is>
          <t>សរុប</t>
        </is>
      </c>
      <c r="F319" s="217" t="inlineStr">
        <is>
          <t>v</t>
        </is>
      </c>
      <c r="G319" s="217" t="inlineStr">
        <is>
          <t>សរុប</t>
        </is>
      </c>
      <c r="H319" t="inlineStr">
        <is>
          <t>សរុប</t>
        </is>
      </c>
      <c r="I319" s="74" t="inlineStr">
        <is>
          <t>សរុប</t>
        </is>
      </c>
      <c r="J319" s="217" t="inlineStr">
        <is>
          <t>"common.total": "Total",</t>
        </is>
      </c>
    </row>
    <row r="320" ht="15.75" customHeight="1" s="305">
      <c r="A320" s="67" t="inlineStr">
        <is>
          <t>common.errorBoundary</t>
        </is>
      </c>
      <c r="B320" s="67" t="inlineStr">
        <is>
          <t>Lỗi tải trang</t>
        </is>
      </c>
      <c r="C320" s="67" t="inlineStr">
        <is>
          <t>Page loading error</t>
        </is>
      </c>
      <c r="D320" s="3">
        <f>IFERROR(__xludf.DUMMYFUNCTION("GOOGLETRANSLATE(B320,""vi"",""km"")"),"កំហុសក្នុងការផ្ទុកទំព័រ")</f>
        <v/>
      </c>
      <c r="E320" s="3" t="inlineStr">
        <is>
          <t>ការទាញយកមិនបានជោគជ័យ</t>
        </is>
      </c>
      <c r="F320" s="217" t="inlineStr">
        <is>
          <t>x</t>
        </is>
      </c>
      <c r="G320" s="217" t="inlineStr">
        <is>
          <t>ការទាញយកមិនបានជោគជ័យ</t>
        </is>
      </c>
      <c r="H320" t="inlineStr">
        <is>
          <t>ការទាញយកមិនបានជោគជ័យ</t>
        </is>
      </c>
      <c r="I320" s="74" t="inlineStr">
        <is>
          <t>កំហុសក្នុងការផ្ទុកទំព័រ</t>
        </is>
      </c>
      <c r="J320" s="217" t="inlineStr">
        <is>
          <t>"common.errorBoundary": "Page loading error",</t>
        </is>
      </c>
    </row>
    <row r="321" ht="15.75" customHeight="1" s="305">
      <c r="A321" s="67" t="inlineStr">
        <is>
          <t>common.featureDevelopment</t>
        </is>
      </c>
      <c r="B321" s="67" t="inlineStr">
        <is>
          <t>Tính năng đang phát triển</t>
        </is>
      </c>
      <c r="C321" s="67" t="inlineStr">
        <is>
          <t>Feature in development</t>
        </is>
      </c>
      <c r="D321" s="3">
        <f>IFERROR(__xludf.DUMMYFUNCTION("GOOGLETRANSLATE(B321,""vi"",""km"")"),"មុខងារកំពុងស្ថិតក្រោមការអភិវឌ្ឍ")</f>
        <v/>
      </c>
      <c r="E321" s="3" t="inlineStr">
        <is>
          <t>មុខងារកំពុងអភិវឌ្ឍន៍</t>
        </is>
      </c>
      <c r="F321" s="217" t="inlineStr">
        <is>
          <t>x</t>
        </is>
      </c>
      <c r="G321" s="217" t="inlineStr">
        <is>
          <t>មុខងារកំពុងអភិវឌ្ឍន៍</t>
        </is>
      </c>
      <c r="H321" t="inlineStr">
        <is>
          <t>មុខងារកំពុងអភិវឌ្ឍន៍</t>
        </is>
      </c>
      <c r="I321" s="74" t="inlineStr">
        <is>
          <t>លក្ខណៈពិសេសក្នុងការអភិវឌ្ឍន៍</t>
        </is>
      </c>
      <c r="J321" s="217" t="inlineStr">
        <is>
          <t>"common.featureDevelopment": "Feature in development",</t>
        </is>
      </c>
    </row>
    <row r="322" ht="15.75" customHeight="1" s="305">
      <c r="A322" s="67" t="inlineStr">
        <is>
          <t>common.select</t>
        </is>
      </c>
      <c r="B322" s="67" t="inlineStr">
        <is>
          <t>Chọn</t>
        </is>
      </c>
      <c r="C322" s="67" t="inlineStr">
        <is>
          <t>Select</t>
        </is>
      </c>
      <c r="D322" s="3">
        <f>IFERROR(__xludf.DUMMYFUNCTION("GOOGLETRANSLATE(B322,""vi"",""km"")"),"ជ្រើសរើស")</f>
        <v/>
      </c>
      <c r="E322" s="3" t="inlineStr">
        <is>
          <t>ជ្រើសរើស</t>
        </is>
      </c>
      <c r="F322" s="217" t="inlineStr">
        <is>
          <t>v</t>
        </is>
      </c>
      <c r="G322" s="217" t="inlineStr">
        <is>
          <t>ជ្រើសរើស</t>
        </is>
      </c>
      <c r="H322" t="inlineStr">
        <is>
          <t>ជ្រើសរើស</t>
        </is>
      </c>
      <c r="I322" s="74" t="inlineStr">
        <is>
          <t>ជ្រើសរើស</t>
        </is>
      </c>
      <c r="J322" s="217" t="inlineStr">
        <is>
          <t>"common.select": "Select",</t>
        </is>
      </c>
    </row>
    <row r="323" ht="15.75" customHeight="1" s="305">
      <c r="A323" s="67" t="inlineStr">
        <is>
          <t>common.confirmTitle</t>
        </is>
      </c>
      <c r="B323" s="67" t="inlineStr">
        <is>
          <t>Thông báo</t>
        </is>
      </c>
      <c r="C323" s="67" t="inlineStr">
        <is>
          <t>Notification</t>
        </is>
      </c>
      <c r="D323" s="3">
        <f>IFERROR(__xludf.DUMMYFUNCTION("GOOGLETRANSLATE(B323,""vi"",""km"")"),"ការជូនដំណឹង")</f>
        <v/>
      </c>
      <c r="E323" s="3" t="inlineStr">
        <is>
          <t>ការជូនដំណឹង</t>
        </is>
      </c>
      <c r="F323" s="217" t="inlineStr">
        <is>
          <t>v</t>
        </is>
      </c>
      <c r="G323" s="217" t="inlineStr">
        <is>
          <t>ការជូនដំណឹង</t>
        </is>
      </c>
      <c r="H323" t="inlineStr">
        <is>
          <t>ការជូនដំណឹង</t>
        </is>
      </c>
      <c r="I323" s="74" t="inlineStr">
        <is>
          <t>សេចក្តីជូនដំណឹង</t>
        </is>
      </c>
      <c r="J323" s="217" t="inlineStr">
        <is>
          <t>"common.confirmTitle": "Notification",</t>
        </is>
      </c>
    </row>
    <row r="324" ht="15.75" customHeight="1" s="305">
      <c r="A324" s="67" t="inlineStr">
        <is>
          <t>common.add</t>
        </is>
      </c>
      <c r="B324" s="67" t="inlineStr">
        <is>
          <t>Thêm</t>
        </is>
      </c>
      <c r="C324" s="67" t="inlineStr">
        <is>
          <t>Add</t>
        </is>
      </c>
      <c r="D324" s="3">
        <f>IFERROR(__xludf.DUMMYFUNCTION("GOOGLETRANSLATE(B324,""vi"",""km"")"),"ច្រើនទៀត")</f>
        <v/>
      </c>
      <c r="E324" s="3" t="inlineStr">
        <is>
          <t>បន្ថែម</t>
        </is>
      </c>
      <c r="F324" s="217" t="inlineStr">
        <is>
          <t>v</t>
        </is>
      </c>
      <c r="G324" s="217" t="inlineStr">
        <is>
          <t>បន្ថែម</t>
        </is>
      </c>
      <c r="H324" t="inlineStr">
        <is>
          <t>បន្ថែម</t>
        </is>
      </c>
      <c r="I324" s="74" t="inlineStr">
        <is>
          <t>បន្ថែម</t>
        </is>
      </c>
      <c r="J324" s="217" t="inlineStr">
        <is>
          <t>"common.add": "Add",</t>
        </is>
      </c>
    </row>
    <row r="325" ht="15.75" customHeight="1" s="305">
      <c r="A325" s="67" t="inlineStr">
        <is>
          <t>common.detail</t>
        </is>
      </c>
      <c r="B325" s="67" t="inlineStr">
        <is>
          <t>Chi tiết</t>
        </is>
      </c>
      <c r="C325" s="67" t="inlineStr">
        <is>
          <t>Detail</t>
        </is>
      </c>
      <c r="D325" s="3">
        <f>IFERROR(__xludf.DUMMYFUNCTION("GOOGLETRANSLATE(B325,""vi"",""km"")"),"ព័ត៌មានលម្អិត")</f>
        <v/>
      </c>
      <c r="E325" s="3" t="inlineStr">
        <is>
          <t>លម្អិត</t>
        </is>
      </c>
      <c r="F325" s="217" t="inlineStr">
        <is>
          <t>v</t>
        </is>
      </c>
      <c r="G325" s="217" t="inlineStr">
        <is>
          <t>ព័ត៌មានលម្អិត</t>
        </is>
      </c>
      <c r="H325" t="inlineStr">
        <is>
          <t>ព័ត៌មានលម្អិត</t>
        </is>
      </c>
      <c r="I325" s="74" t="inlineStr">
        <is>
          <t>លម្អិត</t>
        </is>
      </c>
      <c r="J325" s="217" t="inlineStr">
        <is>
          <t>"common.detail": "Detail",</t>
        </is>
      </c>
    </row>
    <row r="326" ht="15.75" customHeight="1" s="305">
      <c r="A326" s="67" t="inlineStr">
        <is>
          <t>common.complete</t>
        </is>
      </c>
      <c r="B326" s="67" t="inlineStr">
        <is>
          <t>Hoàn thành</t>
        </is>
      </c>
      <c r="C326" s="67" t="inlineStr">
        <is>
          <t>Complete</t>
        </is>
      </c>
      <c r="D326" s="3">
        <f>IFERROR(__xludf.DUMMYFUNCTION("GOOGLETRANSLATE(B326,""vi"",""km"")"),"ពេញលេញ")</f>
        <v/>
      </c>
      <c r="E326" s="3" t="inlineStr">
        <is>
          <t>បានសម្រេច</t>
        </is>
      </c>
      <c r="F326" s="217" t="inlineStr">
        <is>
          <t>v</t>
        </is>
      </c>
      <c r="G326" s="217" t="inlineStr">
        <is>
          <t>បានបញ្ចប់</t>
        </is>
      </c>
      <c r="H326" t="inlineStr">
        <is>
          <t>បានបញ្ចប់</t>
        </is>
      </c>
      <c r="I326" s="74" t="inlineStr">
        <is>
          <t>បញ្ចប់</t>
        </is>
      </c>
      <c r="J326" s="217" t="inlineStr">
        <is>
          <t>"common.complete": "Complete",</t>
        </is>
      </c>
    </row>
    <row r="327" ht="15.75" customHeight="1" s="305">
      <c r="A327" s="67" t="inlineStr">
        <is>
          <t>common.viewDetail</t>
        </is>
      </c>
      <c r="B327" s="67" t="inlineStr">
        <is>
          <t>Xem chi tiết</t>
        </is>
      </c>
      <c r="C327" s="67" t="inlineStr">
        <is>
          <t>Detail</t>
        </is>
      </c>
      <c r="D327" s="3">
        <f>IFERROR(__xludf.DUMMYFUNCTION("GOOGLETRANSLATE(B327,""vi"",""km"")"),"មើលព័ត៌មានលម្អិត")</f>
        <v/>
      </c>
      <c r="E327" s="3" t="inlineStr">
        <is>
          <t>មើលលម្អិត</t>
        </is>
      </c>
      <c r="F327" s="217" t="inlineStr">
        <is>
          <t>v</t>
        </is>
      </c>
      <c r="G327" s="217" t="inlineStr">
        <is>
          <t>មើលព័ត៌មានលម្អិត</t>
        </is>
      </c>
      <c r="H327" t="inlineStr">
        <is>
          <t>មើលព័ត៌មានលម្អិត</t>
        </is>
      </c>
      <c r="I327" s="74" t="inlineStr">
        <is>
          <t>លម្អិត</t>
        </is>
      </c>
      <c r="J327" s="217" t="inlineStr">
        <is>
          <t>"common.viewDetail": "Detail",</t>
        </is>
      </c>
    </row>
    <row r="328" ht="15.75" customHeight="1" s="305">
      <c r="A328" s="67" t="inlineStr">
        <is>
          <t>common.printCode</t>
        </is>
      </c>
      <c r="B328" s="67" t="inlineStr">
        <is>
          <t>In nhãn</t>
        </is>
      </c>
      <c r="C328" s="67" t="inlineStr">
        <is>
          <t>Print</t>
        </is>
      </c>
      <c r="D328" s="3">
        <f>IFERROR(__xludf.DUMMYFUNCTION("GOOGLETRANSLATE(B328,""vi"",""km"")"),"ការបោះពុម្ពស្លាក")</f>
        <v/>
      </c>
      <c r="E328" s="3" t="inlineStr">
        <is>
          <t>ព្រីន</t>
        </is>
      </c>
      <c r="F328" s="217" t="inlineStr">
        <is>
          <t>v</t>
        </is>
      </c>
      <c r="G328" s="217" t="inlineStr">
        <is>
          <t>ព្រីនផ្លាកបុង</t>
        </is>
      </c>
      <c r="H328" t="inlineStr">
        <is>
          <t>ព្រីនផ្លាកបុង</t>
        </is>
      </c>
      <c r="I328" s="74" t="inlineStr">
        <is>
          <t>បោះពុម្ព</t>
        </is>
      </c>
      <c r="J328" s="217" t="inlineStr">
        <is>
          <t>"common.printCode": "Print",</t>
        </is>
      </c>
    </row>
    <row r="329" ht="15.75" customHeight="1" s="305">
      <c r="A329" s="67" t="inlineStr">
        <is>
          <t>common.createNew</t>
        </is>
      </c>
      <c r="B329" s="67" t="inlineStr">
        <is>
          <t>Tạo mới</t>
        </is>
      </c>
      <c r="C329" s="67" t="inlineStr">
        <is>
          <t>Create</t>
        </is>
      </c>
      <c r="D329" s="3">
        <f>IFERROR(__xludf.DUMMYFUNCTION("GOOGLETRANSLATE(B329,""vi"",""km"")"),"បង្កើតថ្មី")</f>
        <v/>
      </c>
      <c r="E329" s="3" t="inlineStr">
        <is>
          <t>បង្កើតថ្មី</t>
        </is>
      </c>
      <c r="F329" s="217" t="inlineStr">
        <is>
          <t>v</t>
        </is>
      </c>
      <c r="G329" s="217" t="inlineStr">
        <is>
          <t>បង្កើតថ្មី</t>
        </is>
      </c>
      <c r="H329" t="inlineStr">
        <is>
          <t>បង្កើតថ្មី</t>
        </is>
      </c>
      <c r="I329" s="74" t="inlineStr">
        <is>
          <t>បង្កើត</t>
        </is>
      </c>
      <c r="J329" s="217" t="inlineStr">
        <is>
          <t>"common.createNew": "Create",</t>
        </is>
      </c>
    </row>
    <row r="330" ht="15.75" customHeight="1" s="305">
      <c r="A330" s="67" t="inlineStr">
        <is>
          <t>common.skip</t>
        </is>
      </c>
      <c r="B330" s="67" t="inlineStr">
        <is>
          <t>Bỏ qua</t>
        </is>
      </c>
      <c r="C330" s="67" t="inlineStr">
        <is>
          <t>Cancel</t>
        </is>
      </c>
      <c r="D330" s="3">
        <f>IFERROR(__xludf.DUMMYFUNCTION("GOOGLETRANSLATE(B330,""vi"",""km"")"),"រំលង")</f>
        <v/>
      </c>
      <c r="E330" s="3" t="inlineStr">
        <is>
          <t>រំលង</t>
        </is>
      </c>
      <c r="F330" s="217" t="inlineStr">
        <is>
          <t>v</t>
        </is>
      </c>
      <c r="G330" s="217" t="inlineStr">
        <is>
          <t>រំលង</t>
        </is>
      </c>
      <c r="H330" t="inlineStr">
        <is>
          <t>រំលង</t>
        </is>
      </c>
      <c r="I330" s="74" t="inlineStr">
        <is>
          <t>បោះបង់</t>
        </is>
      </c>
      <c r="J330" s="217" t="inlineStr">
        <is>
          <t>"common.skip": "Cancel",</t>
        </is>
      </c>
    </row>
    <row r="331" ht="15.75" customHeight="1" s="305">
      <c r="A331" s="67" t="inlineStr">
        <is>
          <t>common.unknown</t>
        </is>
      </c>
      <c r="B331" s="67" t="inlineStr">
        <is>
          <t>Chưa xác định</t>
        </is>
      </c>
      <c r="C331" s="67" t="inlineStr">
        <is>
          <t>Unknown</t>
        </is>
      </c>
      <c r="D331" s="3">
        <f>IFERROR(__xludf.DUMMYFUNCTION("GOOGLETRANSLATE(B331,""vi"",""km"")"),"មិន​ទាន់​កំណត់")</f>
        <v/>
      </c>
      <c r="E331" s="3" t="inlineStr">
        <is>
          <t>មិនទាន់កំណត់</t>
        </is>
      </c>
      <c r="F331" s="217" t="inlineStr">
        <is>
          <t>v</t>
        </is>
      </c>
      <c r="G331" s="217" t="inlineStr">
        <is>
          <t>មិនទាន់កំណត់</t>
        </is>
      </c>
      <c r="H331" t="inlineStr">
        <is>
          <t>មិនទាន់កំណត់</t>
        </is>
      </c>
      <c r="I331" s="74" t="inlineStr">
        <is>
          <t>មិនស្គាល់</t>
        </is>
      </c>
      <c r="J331" s="217" t="inlineStr">
        <is>
          <t>"common.unknown": "Unknown",</t>
        </is>
      </c>
    </row>
    <row r="332" ht="15.75" customHeight="1" s="305">
      <c r="A332" s="67" t="inlineStr">
        <is>
          <t>common.emptyOrder</t>
        </is>
      </c>
      <c r="B332" s="67" t="inlineStr">
        <is>
          <t>Vui lòng nhập phiếu gửi để tìm kiếm</t>
        </is>
      </c>
      <c r="C332" s="67" t="inlineStr">
        <is>
          <t>Please enter the order code to search</t>
        </is>
      </c>
      <c r="D332" s="3">
        <f>IFERROR(__xludf.DUMMYFUNCTION("GOOGLETRANSLATE(B332,""vi"",""km"")"),"សូមបញ្ចូលស្លាកដឹកជញ្ជូនដើម្បីស្វែងរក។")</f>
        <v/>
      </c>
      <c r="E332" s="3" t="inlineStr">
        <is>
          <t>សូមបញ្ចូលបុងបញ្ញើដើម្បីស្វែងរក</t>
        </is>
      </c>
      <c r="F332" s="217" t="inlineStr">
        <is>
          <t>x</t>
        </is>
      </c>
      <c r="G332" s="217" t="inlineStr">
        <is>
          <t>សូមបញ្ចូលបុងបញ្ញើដើម្បីស្វែងរក</t>
        </is>
      </c>
      <c r="H332" t="inlineStr">
        <is>
          <t>សូមបញ្ចូលបុងបញ្ញើដើម្បីស្វែងរក</t>
        </is>
      </c>
      <c r="I332" s="74" t="inlineStr">
        <is>
          <t>សូមបញ្ចូលលេខកូដបញ្ជាទិញដើម្បីស្វែងរក</t>
        </is>
      </c>
      <c r="J332" s="217" t="inlineStr">
        <is>
          <t>"common.emptyOrder": "Please enter the order code to search",</t>
        </is>
      </c>
    </row>
    <row r="333" ht="15.75" customHeight="1" s="305">
      <c r="A333" s="67" t="inlineStr">
        <is>
          <t>common.apply</t>
        </is>
      </c>
      <c r="B333" s="67" t="inlineStr">
        <is>
          <t>Áp dụng</t>
        </is>
      </c>
      <c r="C333" s="67" t="inlineStr">
        <is>
          <t>Apply</t>
        </is>
      </c>
      <c r="D333" s="3">
        <f>IFERROR(__xludf.DUMMYFUNCTION("GOOGLETRANSLATE(B333,""vi"",""km"")"),"ដាក់ពាក្យ")</f>
        <v/>
      </c>
      <c r="E333" s="3" t="inlineStr">
        <is>
          <t>អនុវត្តន៍តាម</t>
        </is>
      </c>
      <c r="F333" s="217" t="inlineStr">
        <is>
          <t>x</t>
        </is>
      </c>
      <c r="G333" s="217" t="inlineStr">
        <is>
          <t>អនុវត្ត</t>
        </is>
      </c>
      <c r="H333" t="inlineStr">
        <is>
          <t>អនុវត្ត</t>
        </is>
      </c>
      <c r="I333" s="74" t="inlineStr">
        <is>
          <t>អនុវត្ត</t>
        </is>
      </c>
      <c r="J333" s="217" t="inlineStr">
        <is>
          <t>"common.apply": "Apply",</t>
        </is>
      </c>
    </row>
    <row r="334" ht="15.75" customHeight="1" s="305">
      <c r="A334" s="67" t="inlineStr">
        <is>
          <t>common.refresh</t>
        </is>
      </c>
      <c r="B334" s="67" t="inlineStr">
        <is>
          <t>Làm mới</t>
        </is>
      </c>
      <c r="C334" s="67" t="inlineStr">
        <is>
          <t>Refresh</t>
        </is>
      </c>
      <c r="D334" s="3">
        <f>IFERROR(__xludf.DUMMYFUNCTION("GOOGLETRANSLATE(B334,""vi"",""km"")"),"ធ្វើឱ្យស្រស់ឡើងវិញ")</f>
        <v/>
      </c>
      <c r="E334" s="3" t="inlineStr">
        <is>
          <t>បង្កើតថ្មី</t>
        </is>
      </c>
      <c r="F334" s="217" t="inlineStr">
        <is>
          <t>v</t>
        </is>
      </c>
      <c r="G334" s="217" t="inlineStr">
        <is>
          <t>ផ្ទុកឡើងវិញ</t>
        </is>
      </c>
      <c r="H334" t="inlineStr">
        <is>
          <t>ផ្ទុកឡើងវិញ</t>
        </is>
      </c>
      <c r="I334" s="74" t="inlineStr">
        <is>
          <t>ធ្វើឱ្យស្រស់</t>
        </is>
      </c>
      <c r="J334" s="217" t="inlineStr">
        <is>
          <t>"common.refresh": "Refresh",</t>
        </is>
      </c>
    </row>
    <row r="335" ht="15.75" customHeight="1" s="305">
      <c r="A335" s="67" t="inlineStr">
        <is>
          <t>common.page</t>
        </is>
      </c>
      <c r="B335" s="67" t="inlineStr">
        <is>
          <t>Trang</t>
        </is>
      </c>
      <c r="C335" s="67" t="inlineStr">
        <is>
          <t>page</t>
        </is>
      </c>
      <c r="D335" s="3">
        <f>IFERROR(__xludf.DUMMYFUNCTION("GOOGLETRANSLATE(B335,""vi"",""km"")"),"ទំព័រ")</f>
        <v/>
      </c>
      <c r="E335" s="3" t="inlineStr">
        <is>
          <t>ទំព័រ</t>
        </is>
      </c>
      <c r="F335" s="217" t="inlineStr">
        <is>
          <t>v</t>
        </is>
      </c>
      <c r="G335" s="217" t="inlineStr">
        <is>
          <t>ទំព័រ</t>
        </is>
      </c>
      <c r="H335" t="inlineStr">
        <is>
          <t>ទំព័រ</t>
        </is>
      </c>
      <c r="I335" s="74" t="inlineStr">
        <is>
          <t>ទំព័រ</t>
        </is>
      </c>
      <c r="J335" s="217" t="inlineStr">
        <is>
          <t>"common.page": "page",</t>
        </is>
      </c>
    </row>
    <row r="336" ht="15.75" customHeight="1" s="305">
      <c r="A336" s="67" t="inlineStr">
        <is>
          <t>common.sessionExpired</t>
        </is>
      </c>
      <c r="B336" s="67" t="inlineStr">
        <is>
          <t>Hết phiên đăng nhập</t>
        </is>
      </c>
      <c r="C336" s="67" t="inlineStr">
        <is>
          <t>Session Expired</t>
        </is>
      </c>
      <c r="D336" s="3">
        <f>IFERROR(__xludf.DUMMYFUNCTION("GOOGLETRANSLATE(B336,""vi"",""km"")"),"វគ្គចូលបានបញ្ចប់")</f>
        <v/>
      </c>
      <c r="E336" s="3" t="inlineStr">
        <is>
          <t>អស់ពេលចុចចូល</t>
        </is>
      </c>
      <c r="F336" s="217" t="inlineStr">
        <is>
          <t>x</t>
        </is>
      </c>
      <c r="G336" s="217" t="inlineStr">
        <is>
          <t>អស់ពេលចុចចូល</t>
        </is>
      </c>
      <c r="H336" t="inlineStr">
        <is>
          <t>អស់ពេលចុចចូល</t>
        </is>
      </c>
      <c r="I336" s="74" t="inlineStr">
        <is>
          <t>វគ្គផុតកំណត់</t>
        </is>
      </c>
      <c r="J336" s="217" t="inlineStr">
        <is>
          <t>"common.sessionExpired": "Session Expired",</t>
        </is>
      </c>
    </row>
    <row r="337" ht="15.75" customHeight="1" s="305">
      <c r="A337" s="67" t="inlineStr">
        <is>
          <t>common.delete</t>
        </is>
      </c>
      <c r="B337" s="67" t="inlineStr">
        <is>
          <t>Xoá</t>
        </is>
      </c>
      <c r="C337" s="67" t="inlineStr">
        <is>
          <t>Delete</t>
        </is>
      </c>
      <c r="D337" s="3">
        <f>IFERROR(__xludf.DUMMYFUNCTION("GOOGLETRANSLATE(B337,""vi"",""km"")"),"លុប")</f>
        <v/>
      </c>
      <c r="E337" s="67" t="inlineStr">
        <is>
          <t>លុបចោល</t>
        </is>
      </c>
      <c r="F337" s="217" t="inlineStr">
        <is>
          <t>v</t>
        </is>
      </c>
      <c r="G337" s="217" t="inlineStr">
        <is>
          <t>លុប</t>
        </is>
      </c>
      <c r="H337" t="inlineStr">
        <is>
          <t>លុប</t>
        </is>
      </c>
      <c r="I337" s="74" t="inlineStr">
        <is>
          <t>លុប</t>
        </is>
      </c>
      <c r="J337" s="217" t="inlineStr">
        <is>
          <t>"common.delete": "Delete",</t>
        </is>
      </c>
    </row>
    <row r="338" ht="15.75" customHeight="1" s="305">
      <c r="A338" s="67" t="inlineStr">
        <is>
          <t>common.lockedOrder</t>
        </is>
      </c>
      <c r="B338" s="67" t="inlineStr">
        <is>
          <t>Bưu phẩm đang trong quá trình khai thác, điều hành nội bộ. Vui lòng thử lại sau</t>
        </is>
      </c>
      <c r="C338" s="67" t="inlineStr">
        <is>
          <t>The order is currently being processed internally. Please try again later</t>
        </is>
      </c>
      <c r="D338" s="3">
        <f>IFERROR(__xludf.DUMMYFUNCTION("GOOGLETRANSLATE(B338,""vi"",""km"")"),"កញ្ចប់នេះកំពុងត្រូវបានដំណើរការ និងដោះស្រាយជាលក្ខណៈផ្ទៃក្នុង។ សូមព្យាយាមម្តងទៀតនៅពេលក្រោយ។")</f>
        <v/>
      </c>
      <c r="E338" s="3" t="inlineStr">
        <is>
          <t>អីវ៉ាន់កំពុងស្ថិតនៅក្នុងដំណើរការ ប្រតិបត្តិការផ្ទៃក្នុង។សូមចុចចូលម្តងទៀតនៅពេលក្រោយ។</t>
        </is>
      </c>
      <c r="F338" s="217" t="inlineStr">
        <is>
          <t>x</t>
        </is>
      </c>
      <c r="G338" s="217" t="inlineStr">
        <is>
          <t>អីវ៉ាន់កំពុងស្ថិតនៅក្នុងដំណើរការ ប្រតិបត្តិការផ្ទៃក្នុង។សូមចុចចូលម្តងទៀតនៅពេលក្រោយ។</t>
        </is>
      </c>
      <c r="H338" t="inlineStr">
        <is>
          <t>អីវ៉ាន់កំពុងស្ថិតនៅក្នុងដំណើរការ ប្រតិបត្តិការផ្ទៃក្នុង។សូមចុចចូលម្តងទៀតនៅពេលក្រោយ។</t>
        </is>
      </c>
      <c r="I338" s="74" t="inlineStr">
        <is>
          <t>ការបញ្ជាទិញនេះកំពុងត្រូវបានដំណើរការផ្ទៃក្នុង។ សូមព្យាយាមម្តងទៀតពេលក្រោយ។</t>
        </is>
      </c>
      <c r="J338" s="217" t="inlineStr">
        <is>
          <t>"common.lockedOrder": "The order is currently being processed internally. Please try again later",</t>
        </is>
      </c>
    </row>
    <row r="339" ht="15.75" customHeight="1" s="305">
      <c r="A339" s="67" t="inlineStr">
        <is>
          <t>slider.LookupCustomer</t>
        </is>
      </c>
      <c r="B339" s="67" t="inlineStr">
        <is>
          <t>Tra cứu khách hàng</t>
        </is>
      </c>
      <c r="C339" s="67" t="inlineStr">
        <is>
          <t>Find customers</t>
        </is>
      </c>
      <c r="D339" s="3">
        <f>IFERROR(__xludf.DUMMYFUNCTION("GOOGLETRANSLATE(B339,""vi"",""km"")"),"ការស្វែងរកអតិថិជន")</f>
        <v/>
      </c>
      <c r="E339" s="3" t="inlineStr">
        <is>
          <t>ស្វែងរកអតិថិជន</t>
        </is>
      </c>
      <c r="F339" s="217" t="inlineStr">
        <is>
          <t>v</t>
        </is>
      </c>
      <c r="G339" s="217" t="inlineStr">
        <is>
          <t>ស្វែងរកអតិថិជន</t>
        </is>
      </c>
      <c r="H339" t="inlineStr">
        <is>
          <t>ស្វែងរកអតិថិជន</t>
        </is>
      </c>
      <c r="I339" s="74" t="inlineStr">
        <is>
          <t>រក្សាទុក</t>
        </is>
      </c>
      <c r="J339" s="217" t="inlineStr">
        <is>
          <t>"slider.LookupCustomer": "Find customers",</t>
        </is>
      </c>
    </row>
    <row r="340" ht="15.75" customHeight="1" s="305">
      <c r="A340" s="67" t="inlineStr">
        <is>
          <t>slider.Operating</t>
        </is>
      </c>
      <c r="B340" s="67" t="inlineStr">
        <is>
          <t>Điều hành</t>
        </is>
      </c>
      <c r="C340" s="67" t="inlineStr">
        <is>
          <t>Operation</t>
        </is>
      </c>
      <c r="D340" s="3">
        <f>IFERROR(__xludf.DUMMYFUNCTION("GOOGLETRANSLATE(B340,""vi"",""km"")"),"ការគ្រប់គ្រង")</f>
        <v/>
      </c>
      <c r="E340" s="3" t="inlineStr">
        <is>
          <t>ប្រតិបត្តិការ</t>
        </is>
      </c>
      <c r="F340" s="217" t="inlineStr">
        <is>
          <t>x</t>
        </is>
      </c>
      <c r="G340" s="217" t="inlineStr">
        <is>
          <t>ប្រតិបត្តិការ</t>
        </is>
      </c>
      <c r="H340" t="inlineStr">
        <is>
          <t>ប្រតិបត្តិការ</t>
        </is>
      </c>
      <c r="I340" s="74" t="inlineStr">
        <is>
          <t>ប្រតិបត្តិការ</t>
        </is>
      </c>
      <c r="J340" s="217" t="inlineStr">
        <is>
          <t>"slider.Operating": "Operation",</t>
        </is>
      </c>
    </row>
    <row r="341" ht="15.75" customHeight="1" s="305">
      <c r="A341" s="67" t="inlineStr">
        <is>
          <t>slider.BranchOperating</t>
        </is>
      </c>
      <c r="B341" s="67" t="inlineStr">
        <is>
          <t>Điều hành chi nhánh</t>
        </is>
      </c>
      <c r="C341" s="67" t="inlineStr">
        <is>
          <t>Branch Operation</t>
        </is>
      </c>
      <c r="D341" s="3">
        <f>IFERROR(__xludf.DUMMYFUNCTION("GOOGLETRANSLATE(B341,""vi"",""km"")"),"អ្នកគ្រប់គ្រងសាខា")</f>
        <v/>
      </c>
      <c r="E341" s="3" t="inlineStr">
        <is>
          <t>ប្រតិបត្តិការសាខា</t>
        </is>
      </c>
      <c r="F341" s="217" t="inlineStr">
        <is>
          <t>x</t>
        </is>
      </c>
      <c r="G341" s="217" t="inlineStr">
        <is>
          <t>ប្រតិបត្តិការសាខា</t>
        </is>
      </c>
      <c r="H341" t="inlineStr">
        <is>
          <t>ប្រតិបត្តិការសាខា</t>
        </is>
      </c>
      <c r="I341" s="74" t="inlineStr">
        <is>
          <t>ប្រតិបត្តិការរបស់សាខា</t>
        </is>
      </c>
      <c r="J341" s="217" t="inlineStr">
        <is>
          <t>"slider.BranchOperating": "Branch Operation",</t>
        </is>
      </c>
    </row>
    <row r="342" ht="15.75" customHeight="1" s="305">
      <c r="A342" s="67" t="inlineStr">
        <is>
          <t>slider.PostofficeOperating</t>
        </is>
      </c>
      <c r="B342" s="67" t="inlineStr">
        <is>
          <t>Điều hành bưu cục</t>
        </is>
      </c>
      <c r="C342" s="67" t="inlineStr">
        <is>
          <t>Post Office Operation</t>
        </is>
      </c>
      <c r="D342" s="3">
        <f>IFERROR(__xludf.DUMMYFUNCTION("GOOGLETRANSLATE(B342,""vi"",""km"")"),"ការគ្រប់គ្រងការិយាល័យប្រៃសណីយ៍")</f>
        <v/>
      </c>
      <c r="E342" s="3" t="inlineStr">
        <is>
          <t>ប្រតិបត្តិការការិយាល័យប្រៃសណីយ៍</t>
        </is>
      </c>
      <c r="F342" s="217" t="inlineStr">
        <is>
          <t>x</t>
        </is>
      </c>
      <c r="G342" s="217" t="inlineStr">
        <is>
          <t>ប្រតិបត្តិការការិយាល័យប្រៃសណីយ៍</t>
        </is>
      </c>
      <c r="H342" t="inlineStr">
        <is>
          <t>ប្រតិបត្តិការការិយាល័យប្រៃសណីយ៍</t>
        </is>
      </c>
      <c r="I342" s="74" t="inlineStr">
        <is>
          <t>ប្រតិបត្តិការរបស់ការិយាល័យបញ្ញើ</t>
        </is>
      </c>
      <c r="J342" s="217" t="inlineStr">
        <is>
          <t>"slider.PostofficeOperating": "Post Office Operation",</t>
        </is>
      </c>
    </row>
    <row r="343" ht="15.75" customHeight="1" s="305">
      <c r="A343" s="67" t="inlineStr">
        <is>
          <t>slider.Shift</t>
        </is>
      </c>
      <c r="B343" s="67" t="inlineStr">
        <is>
          <t>Ca làm việc</t>
        </is>
      </c>
      <c r="C343" s="67" t="inlineStr">
        <is>
          <t>Shift</t>
        </is>
      </c>
      <c r="D343" s="3">
        <f>IFERROR(__xludf.DUMMYFUNCTION("GOOGLETRANSLATE(B343,""vi"",""km"")"),"វេន")</f>
        <v/>
      </c>
      <c r="E343" s="3" t="inlineStr">
        <is>
          <t>វេនធ្វើការ</t>
        </is>
      </c>
      <c r="F343" s="217" t="inlineStr">
        <is>
          <t>v</t>
        </is>
      </c>
      <c r="G343" s="217" t="inlineStr">
        <is>
          <t>វេនធ្វើការ</t>
        </is>
      </c>
      <c r="H343" t="inlineStr">
        <is>
          <t>វេនធ្វើការ</t>
        </is>
      </c>
      <c r="I343" s="74" t="inlineStr">
        <is>
          <t>វេន</t>
        </is>
      </c>
      <c r="J343" s="217" t="inlineStr">
        <is>
          <t>"slider.Shift": "Shift",</t>
        </is>
      </c>
    </row>
    <row r="344" ht="15.75" customHeight="1" s="305">
      <c r="A344" s="67" t="inlineStr">
        <is>
          <t>slider.ConfigRoute</t>
        </is>
      </c>
      <c r="B344" s="67" t="inlineStr">
        <is>
          <t>Cấu hình tuyến nhận</t>
        </is>
      </c>
      <c r="C344" s="67" t="inlineStr">
        <is>
          <t>Route config</t>
        </is>
      </c>
      <c r="D344" s="3">
        <f>IFERROR(__xludf.DUMMYFUNCTION("GOOGLETRANSLATE(B344,""vi"",""km"")"),"កំណត់រចនាសម្ព័ន្ធផ្លូវទទួល។")</f>
        <v/>
      </c>
      <c r="E344" s="3" t="inlineStr">
        <is>
          <t>រចនាសម្ព័ន្ធផ្លូវទទួួល</t>
        </is>
      </c>
      <c r="F344" s="217" t="inlineStr">
        <is>
          <t>x</t>
        </is>
      </c>
      <c r="G344" s="217" t="inlineStr">
        <is>
          <t>រចនាសម្ព័ន្ធផ្លូវទទួួល</t>
        </is>
      </c>
      <c r="H344" t="inlineStr">
        <is>
          <t>រចនាសម្ព័ន្ធផ្លូវទទួួល</t>
        </is>
      </c>
      <c r="I344" s="74" t="inlineStr">
        <is>
          <t>ការកំណត់ផ្លូវទទួលទំនេញ</t>
        </is>
      </c>
      <c r="J344" s="217" t="inlineStr">
        <is>
          <t>"slider.ConfigRoute": "Route config",</t>
        </is>
      </c>
    </row>
    <row r="345" ht="15.75" customHeight="1" s="305">
      <c r="A345" s="67" t="inlineStr">
        <is>
          <t>slider.DetailsRoute</t>
        </is>
      </c>
      <c r="B345" s="67" t="inlineStr">
        <is>
          <t>Chi tiết tuyến nhận</t>
        </is>
      </c>
      <c r="C345" s="67" t="inlineStr">
        <is>
          <t>Route details</t>
        </is>
      </c>
      <c r="D345" s="3">
        <f>IFERROR(__xludf.DUMMYFUNCTION("GOOGLETRANSLATE(B345,""vi"",""km"")"),"ព័ត៌មានលម្អិតអំពីផ្លូវដឹកជញ្ជូន")</f>
        <v/>
      </c>
      <c r="E345" s="3" t="inlineStr">
        <is>
          <t>លម្អិតពីផ្លូវទទួលយក</t>
        </is>
      </c>
      <c r="F345" s="217" t="inlineStr">
        <is>
          <t>x</t>
        </is>
      </c>
      <c r="G345" s="217" t="inlineStr">
        <is>
          <t>លម្អិតពីផ្លូវទទួលយក</t>
        </is>
      </c>
      <c r="H345" t="inlineStr">
        <is>
          <t>លម្អិតពីផ្លូវទទួលយក</t>
        </is>
      </c>
      <c r="I345" s="74" t="inlineStr">
        <is>
          <t>ព័ត៌មានលម្អិតផ្លូវទទួលទំនេញ</t>
        </is>
      </c>
      <c r="J345" s="217" t="inlineStr">
        <is>
          <t>"slider.DetailsRoute": "Route details",</t>
        </is>
      </c>
    </row>
    <row r="346" ht="15.75" customHeight="1" s="305">
      <c r="A346" s="67" t="inlineStr">
        <is>
          <t>slider.PriceManager</t>
        </is>
      </c>
      <c r="B346" s="67" t="inlineStr">
        <is>
          <t>Quản lý bảng giá</t>
        </is>
      </c>
      <c r="C346" s="67" t="inlineStr">
        <is>
          <t>Price manager</t>
        </is>
      </c>
      <c r="D346" s="3">
        <f>IFERROR(__xludf.DUMMYFUNCTION("GOOGLETRANSLATE(B346,""vi"",""km"")"),"ការគ្រប់គ្រងបញ្ជីតម្លៃ")</f>
        <v/>
      </c>
      <c r="E346" s="3" t="inlineStr">
        <is>
          <t>គ្រប់គ្រងបញ្ជីតម្លៃ</t>
        </is>
      </c>
      <c r="F346" s="217" t="inlineStr">
        <is>
          <t>v</t>
        </is>
      </c>
      <c r="G346" s="217" t="inlineStr">
        <is>
          <t>គ្រប់គ្រងបញ្ជីតម្លៃ</t>
        </is>
      </c>
      <c r="H346" t="inlineStr">
        <is>
          <t>គ្រប់គ្រងបញ្ជីតម្លៃ</t>
        </is>
      </c>
      <c r="I346" s="74" t="inlineStr">
        <is>
          <t>អ្នកគ្រប់គ្រងតម្លៃ</t>
        </is>
      </c>
      <c r="J346" s="217" t="inlineStr">
        <is>
          <t>"slider.PriceManager": "Price manager",</t>
        </is>
      </c>
    </row>
    <row r="347" ht="15.75" customHeight="1" s="305">
      <c r="A347" s="67" t="inlineStr">
        <is>
          <t>slider.DetailsService</t>
        </is>
      </c>
      <c r="B347" s="67" t="inlineStr">
        <is>
          <t>Chi tiết dịch vụ</t>
        </is>
      </c>
      <c r="C347" s="67" t="inlineStr">
        <is>
          <t>Detail service</t>
        </is>
      </c>
      <c r="D347" s="3">
        <f>IFERROR(__xludf.DUMMYFUNCTION("GOOGLETRANSLATE(B347,""vi"",""km"")"),"ព័ត៌មានលម្អិតអំពីសេវាកម្ម")</f>
        <v/>
      </c>
      <c r="E347" s="3" t="inlineStr">
        <is>
          <t>លម្អិតពីសេវាកម្ម</t>
        </is>
      </c>
      <c r="F347" s="217" t="inlineStr">
        <is>
          <t>v</t>
        </is>
      </c>
      <c r="G347" s="217" t="inlineStr">
        <is>
          <t>លម្អិតពីសេវាកម្ម</t>
        </is>
      </c>
      <c r="H347" t="inlineStr">
        <is>
          <t>លម្អិតពីសេវាកម្ម</t>
        </is>
      </c>
      <c r="I347" s="74" t="inlineStr">
        <is>
          <t>សេវាកម្មលម្អិត</t>
        </is>
      </c>
      <c r="J347" s="217" t="inlineStr">
        <is>
          <t>"slider.DetailsService": "Detail service",</t>
        </is>
      </c>
    </row>
    <row r="348" ht="15.75" customHeight="1" s="305">
      <c r="A348" s="67" t="inlineStr">
        <is>
          <t>slider.ReportManager</t>
        </is>
      </c>
      <c r="B348" s="67" t="inlineStr">
        <is>
          <t>Báo cáo</t>
        </is>
      </c>
      <c r="C348" s="67" t="inlineStr">
        <is>
          <t>Report</t>
        </is>
      </c>
      <c r="D348" s="3" t="inlineStr">
        <is>
          <t>របាយការណ៍</t>
        </is>
      </c>
      <c r="E348" s="3" t="inlineStr">
        <is>
          <t>របាយការណ៍</t>
        </is>
      </c>
      <c r="F348" s="217" t="inlineStr">
        <is>
          <t>v</t>
        </is>
      </c>
      <c r="G348" s="217" t="inlineStr">
        <is>
          <t>របាយការណ៍</t>
        </is>
      </c>
      <c r="H348" t="inlineStr">
        <is>
          <t>របាយការណ៍</t>
        </is>
      </c>
      <c r="I348" s="74" t="inlineStr">
        <is>
          <t>របាយការណ៍</t>
        </is>
      </c>
      <c r="J348" s="217" t="inlineStr">
        <is>
          <t>"slider.ReportManager": "Report",</t>
        </is>
      </c>
    </row>
    <row r="349" ht="15.75" customHeight="1" s="305">
      <c r="A349" s="67" t="inlineStr">
        <is>
          <t>slider.RevenueOutput</t>
        </is>
      </c>
      <c r="B349" s="67" t="inlineStr">
        <is>
          <t>Doanh thu sản lượng</t>
        </is>
      </c>
      <c r="C349" s="67" t="inlineStr">
        <is>
          <t>Revenue Report</t>
        </is>
      </c>
      <c r="D349" s="3">
        <f>IFERROR(__xludf.DUMMYFUNCTION("GOOGLETRANSLATE(B349,""vi"",""km"")"),"ប្រាក់ចំណូលពីបរិមាណផលិតកម្ម")</f>
        <v/>
      </c>
      <c r="E349" s="3" t="inlineStr">
        <is>
          <t>ចំណូលផលិតកម្មសរុប</t>
        </is>
      </c>
      <c r="F349" s="217" t="inlineStr">
        <is>
          <t>x</t>
        </is>
      </c>
      <c r="G349" s="217" t="inlineStr">
        <is>
          <t>ចំណូលផលិតកម្មសរុប</t>
        </is>
      </c>
      <c r="H349" t="inlineStr">
        <is>
          <t>ចំណូលផលិតកម្មសរុប</t>
        </is>
      </c>
      <c r="I349" s="74" t="inlineStr">
        <is>
          <t>របាយការណ៍ចំណូល</t>
        </is>
      </c>
      <c r="J349" s="217" t="inlineStr">
        <is>
          <t>"slider.RevenueOutput": "Revenue Report",</t>
        </is>
      </c>
    </row>
    <row r="350" ht="15.75" customHeight="1" s="305">
      <c r="A350" s="67" t="inlineStr">
        <is>
          <t>slider.BacklogReport</t>
        </is>
      </c>
      <c r="B350" s="67" t="inlineStr">
        <is>
          <t>Báo cáo tồn giao</t>
        </is>
      </c>
      <c r="C350" s="67" t="inlineStr">
        <is>
          <t>Inventory of delivery report</t>
        </is>
      </c>
      <c r="D350" s="3">
        <f>IFERROR(__xludf.DUMMYFUNCTION("GOOGLETRANSLATE(B350,""vi"",""km"")"),"របាយការណ៍​អំពី​សមតុល្យ​ដែល​នៅ​សេសសល់")</f>
        <v/>
      </c>
      <c r="E350" s="3" t="inlineStr">
        <is>
          <t>របាយការណ៍ដែលនៅសល់ពីការប្រគល់</t>
        </is>
      </c>
      <c r="F350" s="217" t="inlineStr">
        <is>
          <t>x</t>
        </is>
      </c>
      <c r="G350" s="217" t="inlineStr">
        <is>
          <t>របាយការណ៍ដែលនៅសល់ពីការប្រគល់</t>
        </is>
      </c>
      <c r="H350" t="inlineStr">
        <is>
          <t>របាយការណ៍ដែលនៅសល់ពីការប្រគល់</t>
        </is>
      </c>
      <c r="I350" s="74" t="inlineStr">
        <is>
          <t>របាយការណ៍ដឹកជញ្ជូនសរុប</t>
        </is>
      </c>
      <c r="J350" s="217" t="inlineStr">
        <is>
          <t>"slider.BacklogReport": "Inventory of delivery report",</t>
        </is>
      </c>
    </row>
    <row r="351" ht="15.75" customHeight="1" s="305">
      <c r="A351" s="67" t="inlineStr">
        <is>
          <t>slider.InventoryReport</t>
        </is>
      </c>
      <c r="B351" s="67" t="inlineStr">
        <is>
          <t>Báo cáo tồn thu</t>
        </is>
      </c>
      <c r="C351" s="67" t="inlineStr">
        <is>
          <t>Inventory of receiving report</t>
        </is>
      </c>
      <c r="D351" s="3">
        <f>IFERROR(__xludf.DUMMYFUNCTION("GOOGLETRANSLATE(B351,""vi"",""km"")"),"របាយការណ៍ចំណូល")</f>
        <v/>
      </c>
      <c r="E351" s="3" t="inlineStr">
        <is>
          <t>របាយការណ៍ដែលនៅសល់ពីការទទួល</t>
        </is>
      </c>
      <c r="F351" s="217" t="inlineStr">
        <is>
          <t>x</t>
        </is>
      </c>
      <c r="G351" s="217" t="inlineStr">
        <is>
          <t>របាយការណ៍ដែលនៅសល់ពីការទទួល</t>
        </is>
      </c>
      <c r="H351" t="inlineStr">
        <is>
          <t>របាយការណ៍ដែលនៅសល់ពីការទទួល</t>
        </is>
      </c>
      <c r="I351" s="74" t="inlineStr">
        <is>
          <t>របាយការណ៍សារពើភ័ណ្ឌ</t>
        </is>
      </c>
      <c r="J351" s="217" t="inlineStr">
        <is>
          <t>"slider.InventoryReport": "Inventory of receiving report",</t>
        </is>
      </c>
    </row>
    <row r="352" ht="15.75" customHeight="1" s="305">
      <c r="A352" s="67" t="inlineStr">
        <is>
          <t>slider.TrackingOrder</t>
        </is>
      </c>
      <c r="B352" s="67" t="inlineStr">
        <is>
          <t>Tra cứu hành trình</t>
        </is>
      </c>
      <c r="C352" s="67" t="inlineStr">
        <is>
          <t>Tracking Order</t>
        </is>
      </c>
      <c r="D352" s="3">
        <f>IFERROR(__xludf.DUMMYFUNCTION("GOOGLETRANSLATE(B352,""vi"",""km"")"),"ស្វែងរក​ផែនការ​ធ្វើដំណើរ")</f>
        <v/>
      </c>
      <c r="E352" s="3" t="inlineStr">
        <is>
          <t>ស្វែងរកដំណើរការ</t>
        </is>
      </c>
      <c r="F352" s="217" t="inlineStr">
        <is>
          <t>x</t>
        </is>
      </c>
      <c r="G352" s="217" t="inlineStr">
        <is>
          <t>ស្វែងរកដំណើរការ</t>
        </is>
      </c>
      <c r="H352" t="inlineStr">
        <is>
          <t>ស្វែងរកដំណើរការ</t>
        </is>
      </c>
      <c r="I352" s="74" t="inlineStr">
        <is>
          <t>តាមដានការបញ្ជាដឹក</t>
        </is>
      </c>
      <c r="J352" s="217" t="inlineStr">
        <is>
          <t>"slider.TrackingOrder": "Tracking Order",</t>
        </is>
      </c>
    </row>
    <row r="353" ht="15.75" customHeight="1" s="305">
      <c r="A353" s="67" t="inlineStr">
        <is>
          <t>slider.Personnel</t>
        </is>
      </c>
      <c r="B353" s="67" t="inlineStr">
        <is>
          <t>Nhân sự</t>
        </is>
      </c>
      <c r="C353" s="67" t="inlineStr">
        <is>
          <t>Human resource</t>
        </is>
      </c>
      <c r="D353" s="3">
        <f>IFERROR(__xludf.DUMMYFUNCTION("GOOGLETRANSLATE(B353,""vi"",""km"")"),"ធនធានមនុស្ស")</f>
        <v/>
      </c>
      <c r="E353" s="3" t="inlineStr">
        <is>
          <t>ធនធានមនុស្ស</t>
        </is>
      </c>
      <c r="F353" s="217" t="inlineStr">
        <is>
          <t>x</t>
        </is>
      </c>
      <c r="G353" s="217" t="inlineStr">
        <is>
          <t>ធនធានមនុស្ស</t>
        </is>
      </c>
      <c r="H353" t="inlineStr">
        <is>
          <t>ធនធានមនុស្ស</t>
        </is>
      </c>
      <c r="I353" s="74" t="inlineStr">
        <is>
          <t>ធនធានមនុស្ស</t>
        </is>
      </c>
      <c r="J353" s="217" t="inlineStr">
        <is>
          <t>"slider.Personnel": "Human resource",</t>
        </is>
      </c>
    </row>
    <row r="354" ht="15.75" customHeight="1" s="305">
      <c r="A354" s="67" t="inlineStr">
        <is>
          <t>slider.UserManagement</t>
        </is>
      </c>
      <c r="B354" s="67" t="inlineStr">
        <is>
          <t>Quản lý nhân viên</t>
        </is>
      </c>
      <c r="C354" s="67" t="inlineStr">
        <is>
          <t>User management</t>
        </is>
      </c>
      <c r="D354" s="3">
        <f>IFERROR(__xludf.DUMMYFUNCTION("GOOGLETRANSLATE(B354,""vi"",""km"")"),"ការគ្រប់គ្រងបុគ្គលិក")</f>
        <v/>
      </c>
      <c r="E354" s="3" t="inlineStr">
        <is>
          <t>គ្រប់គ្រងបុគ្គលិក</t>
        </is>
      </c>
      <c r="F354" s="217" t="inlineStr">
        <is>
          <t>v</t>
        </is>
      </c>
      <c r="G354" s="217" t="inlineStr">
        <is>
          <t>គ្រប់គ្រងបុគ្គលិក</t>
        </is>
      </c>
      <c r="H354" t="inlineStr">
        <is>
          <t>គ្រប់គ្រងបុគ្គលិក</t>
        </is>
      </c>
      <c r="I354" s="74" t="inlineStr">
        <is>
          <t>ការគ្រប់គ្រងបុគ្គលិក</t>
        </is>
      </c>
      <c r="J354" s="217" t="inlineStr">
        <is>
          <t>"slider.UserManagement": "User management",</t>
        </is>
      </c>
    </row>
    <row r="355" ht="15.75" customHeight="1" s="305">
      <c r="A355" s="67" t="inlineStr">
        <is>
          <t>slider.Category</t>
        </is>
      </c>
      <c r="B355" s="67" t="inlineStr">
        <is>
          <t>Danh mục</t>
        </is>
      </c>
      <c r="C355" s="67" t="inlineStr">
        <is>
          <t>Category</t>
        </is>
      </c>
      <c r="D355" s="3" t="inlineStr">
        <is>
          <t>ឧបសម្ព័ន្ធ</t>
        </is>
      </c>
      <c r="E355" s="3" t="inlineStr">
        <is>
          <t>ឧបសម្ព័ន្ធ</t>
        </is>
      </c>
      <c r="F355" s="217" t="inlineStr">
        <is>
          <t>x</t>
        </is>
      </c>
      <c r="G355" s="217" t="inlineStr">
        <is>
          <t>ឧបសម្ព័ន្ធ</t>
        </is>
      </c>
      <c r="H355" t="inlineStr">
        <is>
          <t>ឧបសម្ព័ន្ធ</t>
        </is>
      </c>
      <c r="I355" s="74" t="inlineStr">
        <is>
          <t>ប្រភេទ</t>
        </is>
      </c>
      <c r="J355" s="217" t="inlineStr">
        <is>
          <t>"slider.Category": "Category",</t>
        </is>
      </c>
    </row>
    <row r="356" ht="15.75" customHeight="1" s="305">
      <c r="A356" s="67" t="inlineStr">
        <is>
          <t>slider.BranchManager</t>
        </is>
      </c>
      <c r="B356" s="67" t="inlineStr">
        <is>
          <t>Quản lý chi nhánh</t>
        </is>
      </c>
      <c r="C356" s="67" t="inlineStr">
        <is>
          <t>Branch management</t>
        </is>
      </c>
      <c r="D356" s="3">
        <f>IFERROR(__xludf.DUMMYFUNCTION("GOOGLETRANSLATE(B356,""vi"",""km"")"),"អ្នកគ្រប់គ្រងសាខា")</f>
        <v/>
      </c>
      <c r="E356" s="3" t="inlineStr">
        <is>
          <t>គ្រប់គ្រងសាខា</t>
        </is>
      </c>
      <c r="F356" s="217" t="inlineStr">
        <is>
          <t>v</t>
        </is>
      </c>
      <c r="G356" s="217" t="inlineStr">
        <is>
          <t>គ្រប់គ្រងសាខា</t>
        </is>
      </c>
      <c r="H356" t="inlineStr">
        <is>
          <t>គ្រប់គ្រងសាខា</t>
        </is>
      </c>
      <c r="I356" s="74" t="inlineStr">
        <is>
          <t>ការគ្រប់គ្រងសាខា</t>
        </is>
      </c>
      <c r="J356" s="217" t="inlineStr">
        <is>
          <t>"slider.BranchManager": "Branch management",</t>
        </is>
      </c>
    </row>
    <row r="357" ht="15.75" customHeight="1" s="305">
      <c r="A357" s="67" t="inlineStr">
        <is>
          <t>slider.DepartmentManager</t>
        </is>
      </c>
      <c r="B357" s="67" t="inlineStr">
        <is>
          <t>Quản lý bưu cục</t>
        </is>
      </c>
      <c r="C357" s="67" t="inlineStr">
        <is>
          <t>Post office management</t>
        </is>
      </c>
      <c r="D357" s="3">
        <f>IFERROR(__xludf.DUMMYFUNCTION("GOOGLETRANSLATE(B357,""vi"",""km"")"),"ការគ្រប់គ្រងការិយាល័យប្រៃសណីយ៍")</f>
        <v/>
      </c>
      <c r="E357" s="3" t="inlineStr">
        <is>
          <t>គ្រប់គ្រងការិយាល័យប្រៃសណីយ៍</t>
        </is>
      </c>
      <c r="F357" s="217" t="inlineStr">
        <is>
          <t>v</t>
        </is>
      </c>
      <c r="G357" s="217" t="inlineStr">
        <is>
          <t>គ្រប់គ្រងការិយាល័យប្រៃសណីយ៍</t>
        </is>
      </c>
      <c r="H357" t="inlineStr">
        <is>
          <t>គ្រប់គ្រងការិយាល័យប្រៃសណីយ៍</t>
        </is>
      </c>
      <c r="I357" s="74" t="inlineStr">
        <is>
          <t>ការគ្រប់គ្រងការិយាល័យប្រៃសណីយ៍</t>
        </is>
      </c>
      <c r="J357" s="217" t="inlineStr">
        <is>
          <t>"slider.DepartmentManager": "Post office management",</t>
        </is>
      </c>
    </row>
    <row r="358" ht="15.75" customHeight="1" s="305">
      <c r="A358" s="67" t="inlineStr">
        <is>
          <t>slider.Config</t>
        </is>
      </c>
      <c r="B358" s="67" t="inlineStr">
        <is>
          <t>Cấu hình</t>
        </is>
      </c>
      <c r="C358" s="67" t="inlineStr">
        <is>
          <t>Config</t>
        </is>
      </c>
      <c r="D358" s="3">
        <f>IFERROR(__xludf.DUMMYFUNCTION("GOOGLETRANSLATE(B358,""vi"",""km"")"),"ការកំណត់រចនាសម្ព័ន្ធ")</f>
        <v/>
      </c>
      <c r="E358" s="3" t="inlineStr">
        <is>
          <t>រចនាសម្ព័ន្ធ</t>
        </is>
      </c>
      <c r="F358" s="217" t="inlineStr">
        <is>
          <t>x</t>
        </is>
      </c>
      <c r="G358" s="217" t="inlineStr">
        <is>
          <t>រចនាសម្ព័ន្ធ</t>
        </is>
      </c>
      <c r="H358" t="inlineStr">
        <is>
          <t>រចនាសម្ព័ន្ធ</t>
        </is>
      </c>
      <c r="I358" s="68" t="inlineStr">
        <is>
          <t>កំណត់រចនាសម្ព័ន្ធ</t>
        </is>
      </c>
      <c r="J358" s="217" t="inlineStr">
        <is>
          <t>"slider.Config": "Config",</t>
        </is>
      </c>
    </row>
    <row r="359" ht="15.75" customHeight="1" s="305">
      <c r="A359" s="67" t="inlineStr">
        <is>
          <t>slider.ConfigDelivery</t>
        </is>
      </c>
      <c r="B359" s="67" t="inlineStr">
        <is>
          <t>Cấu hình tuyến giao</t>
        </is>
      </c>
      <c r="C359" s="67" t="inlineStr">
        <is>
          <t>Config delivery</t>
        </is>
      </c>
      <c r="D359" s="3">
        <f>IFERROR(__xludf.DUMMYFUNCTION("GOOGLETRANSLATE(B359,""vi"",""km"")"),"ការកំណត់រចនាសម្ព័ន្ធផ្លូវ")</f>
        <v/>
      </c>
      <c r="E359" s="3" t="inlineStr">
        <is>
          <t>រចនាសម្ព័ន្ធផ្លូវប្រគល់</t>
        </is>
      </c>
      <c r="F359" s="217" t="inlineStr">
        <is>
          <t>x</t>
        </is>
      </c>
      <c r="G359" s="217" t="inlineStr">
        <is>
          <t>រចនាសម្ព័ន្ធផ្លូវប្រគល់</t>
        </is>
      </c>
      <c r="H359" t="inlineStr">
        <is>
          <t>រចនាសម្ព័ន្ធផ្លូវប្រគល់</t>
        </is>
      </c>
      <c r="I359" s="68" t="inlineStr">
        <is>
          <t>កំណត់រចនាសម្ព័ន្ធការដឹកជញ្ជូន</t>
        </is>
      </c>
      <c r="J359" s="217" t="inlineStr">
        <is>
          <t>"slider.ConfigDelivery": "Config delivery",</t>
        </is>
      </c>
    </row>
    <row r="360" ht="15.75" customHeight="1" s="305">
      <c r="A360" s="67" t="inlineStr">
        <is>
          <t>slider.ConfigReceivingDelivery</t>
        </is>
      </c>
      <c r="B360" s="67" t="inlineStr">
        <is>
          <t>Cấu hình tuyến nhận-giao</t>
        </is>
      </c>
      <c r="C360" s="67" t="inlineStr">
        <is>
          <t>Config route-delivery</t>
        </is>
      </c>
      <c r="D360" s="3">
        <f>IFERROR(__xludf.DUMMYFUNCTION("GOOGLETRANSLATE(B360,""vi"",""km"")"),"ការកំណត់រចនាសម្ព័ន្ធផ្លូវទទួល-ដឹកជញ្ជូន")</f>
        <v/>
      </c>
      <c r="E360" s="3" t="inlineStr">
        <is>
          <t>រចនាសម្ព័ន្ធផ្លូវទទួល-ប្រគល់</t>
        </is>
      </c>
      <c r="F360" s="217" t="inlineStr">
        <is>
          <t>x</t>
        </is>
      </c>
      <c r="G360" s="217" t="inlineStr">
        <is>
          <t>រចនាសម្ព័ន្ធផ្លូវទទួល-ប្រគល់</t>
        </is>
      </c>
      <c r="H360" t="inlineStr">
        <is>
          <t>រចនាសម្ព័ន្ធផ្លូវទទួល-ប្រគល់</t>
        </is>
      </c>
      <c r="I360" s="74" t="inlineStr">
        <is>
          <t xml:space="preserve">
កំណត់រចនាសម្ព័ន្ធការចែកចាយផ្លូវ</t>
        </is>
      </c>
      <c r="J360" s="217" t="inlineStr">
        <is>
          <t>"slider.ConfigReceivingDelivery": "Config route-delivery",</t>
        </is>
      </c>
    </row>
    <row r="361" ht="15.75" customHeight="1" s="305">
      <c r="A361" s="67" t="inlineStr">
        <is>
          <t>slider.DetailDelivery</t>
        </is>
      </c>
      <c r="B361" s="67" t="inlineStr">
        <is>
          <t>Chi tiết tuyến giao</t>
        </is>
      </c>
      <c r="C361" s="67" t="inlineStr">
        <is>
          <t>Detail config delivery</t>
        </is>
      </c>
      <c r="D361" s="3">
        <f>IFERROR(__xludf.DUMMYFUNCTION("GOOGLETRANSLATE(B361,""vi"",""km"")"),"ព័ត៌មានលម្អិតអំពីផ្លូវ")</f>
        <v/>
      </c>
      <c r="E361" s="3" t="inlineStr">
        <is>
          <t>លម្អិតពីផ្លូ្លវដឹកជញ្ជូន</t>
        </is>
      </c>
      <c r="F361" s="217" t="inlineStr">
        <is>
          <t>x</t>
        </is>
      </c>
      <c r="G361" s="217" t="inlineStr">
        <is>
          <t>លម្អិតពីផ្លូ្លវដឹកជញ្ជូន</t>
        </is>
      </c>
      <c r="H361" t="inlineStr">
        <is>
          <t>លម្អិតពីផ្លូ្លវដឹកជញ្ជូន</t>
        </is>
      </c>
      <c r="I361" s="69" t="inlineStr">
        <is>
          <t>កំណត់រចនាសម្ព័ន្ធការចែកចាយលម្អិត</t>
        </is>
      </c>
      <c r="J361" s="217" t="inlineStr">
        <is>
          <t>"slider.DetailDelivery": "Detail config delivery",</t>
        </is>
      </c>
    </row>
    <row r="362" ht="15.75" customHeight="1" s="305">
      <c r="A362" s="67" t="inlineStr">
        <is>
          <t>slider.OrderStatusReport</t>
        </is>
      </c>
      <c r="B362" s="67" t="inlineStr">
        <is>
          <t>Báo cáo đơn hàng theo trạng thái</t>
        </is>
      </c>
      <c r="C362" s="67" t="inlineStr">
        <is>
          <t>Order status report</t>
        </is>
      </c>
      <c r="D362" s="3">
        <f>IFERROR(__xludf.DUMMYFUNCTION("GOOGLETRANSLATE(B362,""vi"",""km"")"),"របាយការណ៍បញ្ជាទិញតាមស្ថានភាព")</f>
        <v/>
      </c>
      <c r="E362" s="3" t="inlineStr">
        <is>
          <t>របាយការណ៍បុងបញ្ញើតាមស្ថានភាព</t>
        </is>
      </c>
      <c r="F362" s="217" t="inlineStr">
        <is>
          <t>x</t>
        </is>
      </c>
      <c r="G362" s="217" t="inlineStr">
        <is>
          <t>របាយការណ៍បុងបញ្ញើតាមស្ថានភាព</t>
        </is>
      </c>
      <c r="H362" t="inlineStr">
        <is>
          <t>របាយការណ៍បុងបញ្ញើតាមស្ថានភាព</t>
        </is>
      </c>
      <c r="I362" s="74" t="inlineStr">
        <is>
          <t>របាយការណ៍ស្ថានភាពការបញ្ជាទិញ</t>
        </is>
      </c>
      <c r="J362" s="217" t="inlineStr">
        <is>
          <t>"slider.OrderStatusReport": "Order status report",</t>
        </is>
      </c>
    </row>
    <row r="363" ht="15.75" customHeight="1" s="305">
      <c r="A363" s="67" t="inlineStr">
        <is>
          <t>slider.OrderStatusReportLabel</t>
        </is>
      </c>
      <c r="B363" s="67" t="inlineStr">
        <is>
          <t>Đơn hàng theo trạng thái</t>
        </is>
      </c>
      <c r="C363" s="67" t="inlineStr">
        <is>
          <t>Order status report</t>
        </is>
      </c>
      <c r="D363" s="3">
        <f>IFERROR(__xludf.DUMMYFUNCTION("GOOGLETRANSLATE(B363,""vi"",""km"")"),"ការបញ្ជាទិញតាមស្ថានភាព")</f>
        <v/>
      </c>
      <c r="E363" s="3" t="inlineStr">
        <is>
          <t>បុងបញ្ញើតាមស្ថានភាព</t>
        </is>
      </c>
      <c r="F363" s="217" t="inlineStr">
        <is>
          <t>v</t>
        </is>
      </c>
      <c r="G363" s="217" t="inlineStr">
        <is>
          <t>បុងបញ្ញើតាមស្ថានភាព</t>
        </is>
      </c>
      <c r="H363" t="inlineStr">
        <is>
          <t>បុងបញ្ញើតាមស្ថានភាព</t>
        </is>
      </c>
      <c r="I363" s="74" t="inlineStr">
        <is>
          <t>ស្ថានភាពបញ្ជាទិញ</t>
        </is>
      </c>
      <c r="J363" s="217" t="inlineStr">
        <is>
          <t>"slider.OrderStatusReportLabel": "Order status report",</t>
        </is>
      </c>
    </row>
    <row r="364" ht="15.75" customHeight="1" s="305">
      <c r="A364" s="67" t="inlineStr">
        <is>
          <t>slider.KpiReport</t>
        </is>
      </c>
      <c r="B364" s="67" t="inlineStr">
        <is>
          <t>Báo cáo KPI</t>
        </is>
      </c>
      <c r="C364" s="67" t="inlineStr">
        <is>
          <t>KPI report</t>
        </is>
      </c>
      <c r="D364" s="3">
        <f>IFERROR(__xludf.DUMMYFUNCTION("GOOGLETRANSLATE(B364,""vi"",""km"")"),"របាយការណ៍ KPI")</f>
        <v/>
      </c>
      <c r="E364" s="3" t="inlineStr">
        <is>
          <t>របាយការណ៍ KPI</t>
        </is>
      </c>
      <c r="F364" s="217" t="inlineStr">
        <is>
          <t>v</t>
        </is>
      </c>
      <c r="G364" s="217" t="inlineStr">
        <is>
          <t>របាយការណ៍ KPI</t>
        </is>
      </c>
      <c r="H364" t="inlineStr">
        <is>
          <t>របាយការណ៍ KPI</t>
        </is>
      </c>
      <c r="I364" s="74" t="inlineStr">
        <is>
          <t>របាយការណ៍ KPI</t>
        </is>
      </c>
      <c r="J364" s="217" t="inlineStr">
        <is>
          <t>"slider.KpiReport": "KPI report",</t>
        </is>
      </c>
    </row>
    <row r="365" ht="15.75" customHeight="1" s="305">
      <c r="A365" s="67" t="inlineStr">
        <is>
          <t>slider.ReceivingKpiReport</t>
        </is>
      </c>
      <c r="B365" s="67" t="inlineStr">
        <is>
          <t>Báo cáo KPI thu</t>
        </is>
      </c>
      <c r="C365" s="67" t="inlineStr">
        <is>
          <t>Receving KPI report</t>
        </is>
      </c>
      <c r="D365" s="3">
        <f>IFERROR(__xludf.DUMMYFUNCTION("GOOGLETRANSLATE(B365,""vi"",""km"")"),"របាយការណ៍ KPI ចំណូល")</f>
        <v/>
      </c>
      <c r="E365" s="3" t="inlineStr">
        <is>
          <t>របាយការណ៍ KPI ចំណូល</t>
        </is>
      </c>
      <c r="F365" s="217" t="inlineStr">
        <is>
          <t>v</t>
        </is>
      </c>
      <c r="G365" s="217" t="inlineStr">
        <is>
          <t>របាយការណ៍ KPI ចំណូល</t>
        </is>
      </c>
      <c r="H365" t="inlineStr">
        <is>
          <t>របាយការណ៍ KPI ចំណូល</t>
        </is>
      </c>
      <c r="I365" s="74" t="inlineStr">
        <is>
          <t>ទទួលបានរបាយការណ៍ KPI</t>
        </is>
      </c>
      <c r="J365" s="217" t="inlineStr">
        <is>
          <t>"slider.ReceivingKpiReport": "Receving KPI report",</t>
        </is>
      </c>
    </row>
    <row r="366" ht="15.75" customHeight="1" s="305">
      <c r="A366" s="67" t="inlineStr">
        <is>
          <t>validate.maxLength</t>
        </is>
      </c>
      <c r="B366" s="67" t="inlineStr">
        <is>
          <t>Nhập tối đa {{length}} ký tự</t>
        </is>
      </c>
      <c r="C366" s="67" t="inlineStr">
        <is>
          <t>Enter characters up to {{length}}</t>
        </is>
      </c>
      <c r="D366" s="3">
        <f>IFERROR(__xludf.DUMMYFUNCTION("GOOGLETRANSLATE(B366,""vi"",""km"")"),"បញ្ចូលតួអក្សរអតិបរមា {{length}}")</f>
        <v/>
      </c>
      <c r="E366" s="67" t="inlineStr">
        <is>
          <t>បញ្ចូលលេខអក្សរជាអតិបរមា{{length}}</t>
        </is>
      </c>
      <c r="F366" s="217" t="inlineStr">
        <is>
          <t>v</t>
        </is>
      </c>
      <c r="G366" s="217" t="inlineStr">
        <is>
          <t>បញ្ចូលលេខអក្សរជាអតិបរមា{{length}}</t>
        </is>
      </c>
      <c r="H366" t="inlineStr">
        <is>
          <t>បញ្ចូលលេខអក្សរជាអតិបរមា{{length}}</t>
        </is>
      </c>
      <c r="I366" s="74" t="inlineStr">
        <is>
          <t xml:space="preserve">បញ្ចូលតួអក្សររហូតដល់ </t>
        </is>
      </c>
      <c r="J366" s="217" t="inlineStr">
        <is>
          <t>"validate.maxLength": "Enter characters up to {{length}}",</t>
        </is>
      </c>
    </row>
    <row r="367" ht="15.75" customHeight="1" s="305">
      <c r="A367" s="67" t="inlineStr">
        <is>
          <t>validate.containsSpecialCharacters</t>
        </is>
      </c>
      <c r="B367" s="67" t="inlineStr">
        <is>
          <t>Không được nhập ký tự đặc biệt</t>
        </is>
      </c>
      <c r="C367" s="67" t="inlineStr">
        <is>
          <t>Do not enter special characters</t>
        </is>
      </c>
      <c r="D367" s="3">
        <f>IFERROR(__xludf.DUMMYFUNCTION("GOOGLETRANSLATE(B367,""vi"",""km"")"),"មិនអនុញ្ញាតឱ្យមានតួអក្សរពិសេសទេ។")</f>
        <v/>
      </c>
      <c r="E367" s="3" t="inlineStr">
        <is>
          <t>មិនអាចបញ្ចូលលេខអក្សរពិសេសបានទេ</t>
        </is>
      </c>
      <c r="F367" s="217" t="inlineStr">
        <is>
          <t>v</t>
        </is>
      </c>
      <c r="G367" s="217" t="inlineStr">
        <is>
          <t>មិនអនុញ្ញាតឱ្យបញ្ចូលតួអក្សរពិសេសទេ</t>
        </is>
      </c>
      <c r="H367" t="inlineStr">
        <is>
          <t>មិនអនុញ្ញាតឱ្យបញ្ចូលតួអក្សរពិសេសទេ</t>
        </is>
      </c>
      <c r="I367" s="74" t="inlineStr">
        <is>
          <t>កុំបញ្ចូលតួអក្សរពិសេស</t>
        </is>
      </c>
      <c r="J367" s="217" t="inlineStr">
        <is>
          <t>"validate.containsSpecialCharacters": "Do not enter special characters",</t>
        </is>
      </c>
    </row>
    <row r="368" ht="15.75" customHeight="1" s="305">
      <c r="A368" s="67" t="inlineStr">
        <is>
          <t>validate.empty</t>
        </is>
      </c>
      <c r="B368" s="67" t="inlineStr">
        <is>
          <t>{{field}} không được để trống</t>
        </is>
      </c>
      <c r="C368" s="67" t="inlineStr">
        <is>
          <t>{{field}} cannot be left blank</t>
        </is>
      </c>
      <c r="D368" s="3">
        <f>IFERROR(__xludf.DUMMYFUNCTION("GOOGLETRANSLATE(B368,""vi"",""km"")"),"មិនអាចទុក {{field}} ឲ្យនៅទទេបានទេ។")</f>
        <v/>
      </c>
      <c r="E368" s="3" t="inlineStr">
        <is>
          <t>មិនអាចទុកចន្លោះបានទេ</t>
        </is>
      </c>
      <c r="F368" s="217" t="inlineStr">
        <is>
          <t>x</t>
        </is>
      </c>
      <c r="G368" s="217" t="inlineStr">
        <is>
          <t>មិនអាចទុកចន្លោះបានទេ</t>
        </is>
      </c>
      <c r="H368" t="inlineStr">
        <is>
          <t>មិនអាចទុកចន្លោះបានទេ</t>
        </is>
      </c>
      <c r="I368" s="74" t="inlineStr">
        <is>
          <t xml:space="preserve"> មិនអាចទុកអោយទទេបានទេ</t>
        </is>
      </c>
      <c r="J368" s="217" t="inlineStr">
        <is>
          <t>"validate.empty": "{{field}} cannot be left blank",</t>
        </is>
      </c>
    </row>
    <row r="369" ht="15.75" customHeight="1" s="305">
      <c r="A369" s="67" t="inlineStr">
        <is>
          <t>validate.checkOnlyNumber</t>
        </is>
      </c>
      <c r="B369" s="67" t="inlineStr">
        <is>
          <t>Vui lòng chỉ nhập số</t>
        </is>
      </c>
      <c r="C369" s="67" t="inlineStr">
        <is>
          <t>Enter number only</t>
        </is>
      </c>
      <c r="D369" s="3">
        <f>IFERROR(__xludf.DUMMYFUNCTION("GOOGLETRANSLATE(B369,""vi"",""km"")"),"សូមបញ្ចូលតែលេខប៉ុណ្ណោះ។")</f>
        <v/>
      </c>
      <c r="E369" s="3" t="inlineStr">
        <is>
          <t>សូមមេត្តាបញ្ចូលតែលេខ</t>
        </is>
      </c>
      <c r="F369" s="217" t="inlineStr">
        <is>
          <t>v</t>
        </is>
      </c>
      <c r="G369" s="217" t="inlineStr">
        <is>
          <t>សូមមេត្តាបញ្ចូលតែលេខ</t>
        </is>
      </c>
      <c r="H369" t="inlineStr">
        <is>
          <t>សូមមេត្តាបញ្ចូលតែលេខ</t>
        </is>
      </c>
      <c r="I369" s="74" t="inlineStr">
        <is>
          <t>បញ្ចូលលេខតែប៉ុណ្ណោះ</t>
        </is>
      </c>
      <c r="J369" s="217" t="inlineStr">
        <is>
          <t>"validate.checkOnlyNumber": "Enter number only",</t>
        </is>
      </c>
    </row>
    <row r="370" ht="15.75" customHeight="1" s="305">
      <c r="A370" s="67" t="inlineStr">
        <is>
          <t>validate.rangPicker30</t>
        </is>
      </c>
      <c r="B370" s="67" t="inlineStr">
        <is>
          <t>Tìm kiếm tối đa 30 ngày</t>
        </is>
      </c>
      <c r="C370" s="67" t="inlineStr">
        <is>
          <t>Time range up to 30 days</t>
        </is>
      </c>
      <c r="D370" s="3">
        <f>IFERROR(__xludf.DUMMYFUNCTION("GOOGLETRANSLATE(B370,""vi"",""km"")"),"ស្វែងរករហូតដល់ 30 ថ្ងៃ")</f>
        <v/>
      </c>
      <c r="E370" s="3" t="inlineStr">
        <is>
          <t>ស្វែងរកជាអតិបរមា 30 ថ្ងៃ</t>
        </is>
      </c>
      <c r="F370" s="217" t="inlineStr">
        <is>
          <t>v</t>
        </is>
      </c>
      <c r="G370" s="217" t="inlineStr">
        <is>
          <t>ស្វែងរកជាអតិបរមា 30 ថ្ងៃ</t>
        </is>
      </c>
      <c r="H370" t="inlineStr">
        <is>
          <t>ស្វែងរកជាអតិបរមា 30 ថ្ងៃ</t>
        </is>
      </c>
      <c r="I370" s="74" t="inlineStr">
        <is>
          <t>ចន្លោះពេលរហូតដល់ 30 ថ្ងៃ</t>
        </is>
      </c>
      <c r="J370" s="217" t="inlineStr">
        <is>
          <t>"validate.rangPicker30": "Time range up to 30 days",</t>
        </is>
      </c>
    </row>
    <row r="371" ht="15.75" customHeight="1" s="305">
      <c r="A371" s="67" t="inlineStr">
        <is>
          <t>validate.rangPicker31</t>
        </is>
      </c>
      <c r="B371" s="67" t="inlineStr">
        <is>
          <t>Tìm kiếm tối đa 31 ngày</t>
        </is>
      </c>
      <c r="C371" s="67" t="inlineStr">
        <is>
          <t>Time range up to 31 days</t>
        </is>
      </c>
      <c r="D371" s="3">
        <f>IFERROR(__xludf.DUMMYFUNCTION("GOOGLETRANSLATE(B371,""vi"",""km"")"),"ស្វែងរករហូតដល់ 31 ថ្ងៃ")</f>
        <v/>
      </c>
      <c r="E371" s="3" t="inlineStr">
        <is>
          <t>ស្វែងរកជាអតិបរមា 31 ថ្ងៃ</t>
        </is>
      </c>
      <c r="F371" s="217" t="inlineStr">
        <is>
          <t>v</t>
        </is>
      </c>
      <c r="G371" s="217" t="inlineStr">
        <is>
          <t>ស្វែងរកជាអតិបរមា 31 ថ្ងៃ</t>
        </is>
      </c>
      <c r="H371" t="inlineStr">
        <is>
          <t>ស្វែងរកជាអតិបរមា 31 ថ្ងៃ</t>
        </is>
      </c>
      <c r="I371" s="74" t="inlineStr">
        <is>
          <t>ចន្លោះពេលរហូតដល់ 31 ថ្ងៃ។</t>
        </is>
      </c>
      <c r="J371" s="217" t="inlineStr">
        <is>
          <t>"validate.rangPicker31": "Time range up to 31 days",</t>
        </is>
      </c>
    </row>
    <row r="372" ht="15.75" customHeight="1" s="305">
      <c r="A372" s="67" t="inlineStr">
        <is>
          <t>modalEmpty.notification</t>
        </is>
      </c>
      <c r="B372" s="67" t="inlineStr">
        <is>
          <t>Thông báo</t>
        </is>
      </c>
      <c r="C372" s="67" t="inlineStr">
        <is>
          <t>Notification</t>
        </is>
      </c>
      <c r="D372" s="3">
        <f>IFERROR(__xludf.DUMMYFUNCTION("GOOGLETRANSLATE(B372,""vi"",""km"")"),"ការជូនដំណឹង")</f>
        <v/>
      </c>
      <c r="E372" s="3" t="inlineStr">
        <is>
          <t>ការជូនដំណឹង</t>
        </is>
      </c>
      <c r="F372" s="217" t="inlineStr">
        <is>
          <t>v</t>
        </is>
      </c>
      <c r="G372" s="217" t="inlineStr">
        <is>
          <t>ការជូនដំណឹង</t>
        </is>
      </c>
      <c r="H372" t="inlineStr">
        <is>
          <t>ការជូនដំណឹង</t>
        </is>
      </c>
      <c r="I372" s="74" t="inlineStr">
        <is>
          <t>សេចក្តីជូនដំណឹង</t>
        </is>
      </c>
      <c r="J372" s="217" t="inlineStr">
        <is>
          <t>"modalEmpty.notification": "Notification",</t>
        </is>
      </c>
    </row>
    <row r="373" ht="15.75" customHeight="1" s="305">
      <c r="A373" s="67" t="inlineStr">
        <is>
          <t>modalEmpty.titleEmpty</t>
        </is>
      </c>
      <c r="B373" s="67" t="inlineStr">
        <is>
          <t>Mã phiếu gửi không tồn tại!</t>
        </is>
      </c>
      <c r="C373" s="67" t="inlineStr">
        <is>
          <t>Waybill code does not exist!!</t>
        </is>
      </c>
      <c r="D373" s="3">
        <f>IFERROR(__xludf.DUMMYFUNCTION("GOOGLETRANSLATE(B373,""vi"",""km"")"),"លេខកូដដឹកជញ្ជូនមិនមានទេ!")</f>
        <v/>
      </c>
      <c r="E373" s="3" t="inlineStr">
        <is>
          <t>លេខកូដបុុងបញ្ញើមិនមានក្នុងប្រព័ន្ធ!</t>
        </is>
      </c>
      <c r="F373" s="217" t="inlineStr">
        <is>
          <t>x</t>
        </is>
      </c>
      <c r="G373" s="217" t="inlineStr">
        <is>
          <t>លេខកូដបុុងបញ្ញើមិនមានក្នុងប្រព័ន្ធ!</t>
        </is>
      </c>
      <c r="H373" t="inlineStr">
        <is>
          <t>លេខកូដបុុងបញ្ញើមិនមានក្នុងប្រព័ន្ធ!</t>
        </is>
      </c>
      <c r="I373" s="74" t="inlineStr">
        <is>
          <t>លេខកូដប័ណ្ណមិនមានទេ!</t>
        </is>
      </c>
      <c r="J373" s="217" t="inlineStr">
        <is>
          <t>"modalEmpty.titleEmpty": "Waybill code does not exist!!",</t>
        </is>
      </c>
    </row>
    <row r="374" ht="15.75" customHeight="1" s="305">
      <c r="A374" s="67" t="inlineStr">
        <is>
          <t>modalEmpty.descriptionEmpty</t>
        </is>
      </c>
      <c r="B374" s="67" t="inlineStr">
        <is>
          <t>Mã phiếu gửi không tồn tại. Đồng chí vui lòng thử lại.</t>
        </is>
      </c>
      <c r="C374" s="67" t="inlineStr">
        <is>
          <t>Waybill code does not exist! Please try again.</t>
        </is>
      </c>
      <c r="D374" s="3">
        <f>IFERROR(__xludf.DUMMYFUNCTION("GOOGLETRANSLATE(B374,""vi"",""km"")"),"លេខបង្កាន់ដៃដឹកជញ្ជូនមិនមានទេ។ សូមព្យាយាមម្តងទៀត។")</f>
        <v/>
      </c>
      <c r="E374" s="3" t="inlineStr">
        <is>
          <t>បុងបញ្ញើមិនមានក្នុងប្រព័ន្ធ។ សូមអ្នកព្យាយាមម្តងទៀត។</t>
        </is>
      </c>
      <c r="F374" s="217" t="inlineStr">
        <is>
          <t>x</t>
        </is>
      </c>
      <c r="G374" s="217" t="inlineStr">
        <is>
          <t>បុងបញ្ញើមិនមានក្នុងប្រព័ន្ធ។ សូមអ្នកព្យាយាមម្តងទៀត។</t>
        </is>
      </c>
      <c r="H374" t="inlineStr">
        <is>
          <t>បុងបញ្ញើមិនមានក្នុងប្រព័ន្ធ។ សូមអ្នកព្យាយាមម្តងទៀត។</t>
        </is>
      </c>
      <c r="I374" s="74" t="inlineStr">
        <is>
          <t>លេខកូដមិនត្រឹមត្រូវ។ សូមព្យាយាមម្តងទៀត</t>
        </is>
      </c>
      <c r="J374" s="217" t="inlineStr">
        <is>
          <t>"modalEmpty.descriptionEmpty": "Waybill code does not exist! Please try again.",</t>
        </is>
      </c>
    </row>
    <row r="375" ht="15.75" customHeight="1" s="305">
      <c r="A375" s="67" t="inlineStr">
        <is>
          <t>modalEmpty.close</t>
        </is>
      </c>
      <c r="B375" s="67" t="inlineStr">
        <is>
          <t>Đóng</t>
        </is>
      </c>
      <c r="C375" s="67" t="inlineStr">
        <is>
          <t>Close</t>
        </is>
      </c>
      <c r="D375" s="3">
        <f>IFERROR(__xludf.DUMMYFUNCTION("GOOGLETRANSLATE(B375,""vi"",""km"")"),"បិទ")</f>
        <v/>
      </c>
      <c r="E375" s="3" t="inlineStr">
        <is>
          <t>បិទ</t>
        </is>
      </c>
      <c r="F375" s="217" t="inlineStr">
        <is>
          <t>v</t>
        </is>
      </c>
      <c r="G375" s="217" t="inlineStr">
        <is>
          <t>បិទ</t>
        </is>
      </c>
      <c r="H375" t="inlineStr">
        <is>
          <t>បិទ</t>
        </is>
      </c>
      <c r="I375" s="74" t="inlineStr">
        <is>
          <t>បិទ</t>
        </is>
      </c>
      <c r="J375" s="217" t="inlineStr">
        <is>
          <t>"modalEmpty.close": "Close",</t>
        </is>
      </c>
    </row>
    <row r="376" ht="15.75" customHeight="1" s="305">
      <c r="A376" s="67" t="inlineStr">
        <is>
          <t>modalPrint.title</t>
        </is>
      </c>
      <c r="B376" s="67" t="inlineStr">
        <is>
          <t>In phiếu gửi</t>
        </is>
      </c>
      <c r="C376" s="67" t="inlineStr">
        <is>
          <t>Print bill of consigment</t>
        </is>
      </c>
      <c r="D376" s="3">
        <f>IFERROR(__xludf.DUMMYFUNCTION("GOOGLETRANSLATE(B376,""vi"",""km"")"),"បោះពុម្ពបង្កាន់ដៃដឹកជញ្ជូន")</f>
        <v/>
      </c>
      <c r="E376" s="3" t="inlineStr">
        <is>
          <t>ព្រីនបុងបញ្ញើ</t>
        </is>
      </c>
      <c r="F376" s="217" t="inlineStr">
        <is>
          <t>v</t>
        </is>
      </c>
      <c r="G376" s="217" t="inlineStr">
        <is>
          <t>ព្រីនបុងបញ្ញើ</t>
        </is>
      </c>
      <c r="H376" t="inlineStr">
        <is>
          <t>ព្រីនបុងបញ្ញើ</t>
        </is>
      </c>
      <c r="I376" s="74" t="inlineStr">
        <is>
          <t>ព្រីនលិខិតផ្ញើ</t>
        </is>
      </c>
      <c r="J376" s="217" t="inlineStr">
        <is>
          <t>"modalPrint.title": "Print bill of consigment",</t>
        </is>
      </c>
    </row>
    <row r="377" ht="15.75" customHeight="1" s="305">
      <c r="A377" s="67" t="inlineStr">
        <is>
          <t>modalPrint.selectPrint</t>
        </is>
      </c>
      <c r="B377" s="67" t="inlineStr">
        <is>
          <t>Chọn kích thước in</t>
        </is>
      </c>
      <c r="C377" s="67" t="inlineStr">
        <is>
          <t>Select print size</t>
        </is>
      </c>
      <c r="D377" s="3">
        <f>IFERROR(__xludf.DUMMYFUNCTION("GOOGLETRANSLATE(B377,""vi"",""km"")"),"ជ្រើសរើសទំហំបោះពុម្ព")</f>
        <v/>
      </c>
      <c r="E377" s="3" t="inlineStr">
        <is>
          <t>ជ្រើសរើសទំហំក្រដាស</t>
        </is>
      </c>
      <c r="F377" s="217" t="inlineStr">
        <is>
          <t>v</t>
        </is>
      </c>
      <c r="G377" s="217" t="inlineStr">
        <is>
          <t>ជ្រើសរើសទំហំក្រដាស</t>
        </is>
      </c>
      <c r="H377" t="inlineStr">
        <is>
          <t>ជ្រើសរើសទំហំក្រដាស</t>
        </is>
      </c>
      <c r="I377" s="74" t="inlineStr">
        <is>
          <t>ជ្រើសរើសទំហំព្រីន</t>
        </is>
      </c>
      <c r="J377" s="217" t="inlineStr">
        <is>
          <t>"modalPrint.selectPrint": "Select print size",</t>
        </is>
      </c>
    </row>
    <row r="378" ht="15.75" customHeight="1" s="305">
      <c r="A378" s="67" t="inlineStr">
        <is>
          <t>modalPrint.print</t>
        </is>
      </c>
      <c r="B378" s="67" t="inlineStr">
        <is>
          <t>In</t>
        </is>
      </c>
      <c r="C378" s="67" t="inlineStr">
        <is>
          <t>Print</t>
        </is>
      </c>
      <c r="D378" s="3">
        <f>IFERROR(__xludf.DUMMYFUNCTION("GOOGLETRANSLATE(B378,""vi"",""km"")"),"បោះពុម្ព")</f>
        <v/>
      </c>
      <c r="E378" s="3" t="inlineStr">
        <is>
          <t>ព្រីន</t>
        </is>
      </c>
      <c r="F378" s="217" t="inlineStr">
        <is>
          <t>v</t>
        </is>
      </c>
      <c r="G378" s="217" t="inlineStr">
        <is>
          <t>ព្រីន</t>
        </is>
      </c>
      <c r="H378" t="inlineStr">
        <is>
          <t>ព្រីន</t>
        </is>
      </c>
      <c r="I378" s="74" t="inlineStr">
        <is>
          <t>ព្រីន</t>
        </is>
      </c>
      <c r="J378" s="217" t="inlineStr">
        <is>
          <t>"modalPrint.print": "Print",</t>
        </is>
      </c>
    </row>
    <row r="379" ht="15.75" customHeight="1" s="305">
      <c r="A379" s="67" t="inlineStr">
        <is>
          <t>modalPrint.description1</t>
        </is>
      </c>
      <c r="B379" s="67" t="inlineStr">
        <is>
          <t>Số lượng phiếu gửi cần in quá lớn. Cần</t>
        </is>
      </c>
      <c r="C379" s="67" t="inlineStr">
        <is>
          <t>The number of waybills to print is too large. Need</t>
        </is>
      </c>
      <c r="D379" s="3">
        <f>IFERROR(__xludf.DUMMYFUNCTION("GOOGLETRANSLATE(B379,""vi"",""km"")"),"ចំនួនស្លាកដឹកជញ្ជូនដែលត្រូវបោះពុម្ពគឺច្រើនពេក។")</f>
        <v/>
      </c>
      <c r="E379" s="3" t="inlineStr">
        <is>
          <t>ចំនួនបុងបញ្ញើត្រូវការព្រីនច្រើនពេក។ ត្រូវការ</t>
        </is>
      </c>
      <c r="F379" s="217" t="inlineStr">
        <is>
          <t>x</t>
        </is>
      </c>
      <c r="G379" s="217" t="inlineStr">
        <is>
          <t>ចំនួនបុងបញ្ញើត្រូវការព្រីនច្រើនពេក។ ត្រូវការ</t>
        </is>
      </c>
      <c r="H379" t="inlineStr">
        <is>
          <t>ចំនួនបុងបញ្ញើត្រូវការព្រីនច្រើនពេក។ ត្រូវការ</t>
        </is>
      </c>
      <c r="I379" s="74" t="inlineStr">
        <is>
          <t>ចំនួនវិក្កយបត្រដែលត្រូវព្រីនគឺធំពេក។ ត្រូវការទំព័រព្រីនចំនួន 02 ដើម្បីបោះពុម្ពបញ្ជីទាំងមូល</t>
        </is>
      </c>
      <c r="J379" s="217" t="inlineStr">
        <is>
          <t>"modalPrint.description1": "The number of waybills to print is too large. Need",</t>
        </is>
      </c>
    </row>
    <row r="380" ht="15.75" customHeight="1" s="305">
      <c r="A380" s="67" t="inlineStr">
        <is>
          <t>modalPrint.description2</t>
        </is>
      </c>
      <c r="B380" s="67" t="inlineStr">
        <is>
          <t>trang in để in toàn bộ phiếu gửi</t>
        </is>
      </c>
      <c r="C380" s="67" t="inlineStr">
        <is>
          <t>printing pages to print the entire list</t>
        </is>
      </c>
      <c r="D380" s="3">
        <f>IFERROR(__xludf.DUMMYFUNCTION("GOOGLETRANSLATE(B380,""vi"",""km"")"),"បោះពុម្ពទំព័រដើម្បីបោះពុម្ពទម្រង់បែបបទដឹកជញ្ជូនទាំងមូល")</f>
        <v/>
      </c>
      <c r="E380" s="159" t="inlineStr">
        <is>
          <t>ទំព័រដើម្បីព្រីនបុងបញ្ញើ</t>
        </is>
      </c>
      <c r="F380" s="217" t="inlineStr">
        <is>
          <t>x</t>
        </is>
      </c>
      <c r="G380" s="217" t="inlineStr">
        <is>
          <t>ទំព័រដើម្បីព្រីនបុងបញ្ញើ</t>
        </is>
      </c>
      <c r="H380" t="inlineStr">
        <is>
          <t>ទំព័រដើម្បីព្រីនបុងបញ្ញើ</t>
        </is>
      </c>
      <c r="I380" s="74" t="inlineStr">
        <is>
          <t>ទំព័រព្រីន ដើម្បីព្រីនបញ្ជីទាំងមូល</t>
        </is>
      </c>
      <c r="J380" s="217" t="inlineStr">
        <is>
          <t>"modalPrint.description2": "printing pages to print the entire list",</t>
        </is>
      </c>
    </row>
    <row r="381" ht="15.75" customHeight="1" s="305">
      <c r="A381" s="67" t="inlineStr">
        <is>
          <t>modalPrint.choosePagePrint</t>
        </is>
      </c>
      <c r="B381" s="67" t="inlineStr">
        <is>
          <t>Vui lòng chọn trang in</t>
        </is>
      </c>
      <c r="C381" s="67" t="inlineStr">
        <is>
          <t>Please select printing page</t>
        </is>
      </c>
      <c r="D381" s="3">
        <f>IFERROR(__xludf.DUMMYFUNCTION("GOOGLETRANSLATE(B381,""vi"",""km"")"),"សូមជ្រើសរើសទំព័រដើម្បីបោះពុម្ព។")</f>
        <v/>
      </c>
      <c r="E381" s="3" t="inlineStr">
        <is>
          <t>សូមជ្រើសរើសទំព័រដែលត្រូវព្រីន</t>
        </is>
      </c>
      <c r="F381" s="217" t="inlineStr">
        <is>
          <t>x</t>
        </is>
      </c>
      <c r="G381" s="217" t="inlineStr">
        <is>
          <t>សូមជ្រើសរើសទំព័រដែលត្រូវព្រីន</t>
        </is>
      </c>
      <c r="H381" t="inlineStr">
        <is>
          <t>សូមជ្រើសរើសទំព័រដែលត្រូវព្រីន</t>
        </is>
      </c>
      <c r="I381" s="74" t="inlineStr">
        <is>
          <t>សូមជ្រើសរើសទំព័រព្រីន</t>
        </is>
      </c>
      <c r="J381" s="217" t="inlineStr">
        <is>
          <t>"modalPrint.choosePagePrint": "Please select printing page",</t>
        </is>
      </c>
    </row>
    <row r="382" ht="15.75" customHeight="1" s="305">
      <c r="A382" s="67" t="inlineStr">
        <is>
          <t>modalPrint.pagePrint</t>
        </is>
      </c>
      <c r="B382" s="67" t="inlineStr">
        <is>
          <t>Trang in</t>
        </is>
      </c>
      <c r="C382" s="67" t="inlineStr">
        <is>
          <t xml:space="preserve">Page </t>
        </is>
      </c>
      <c r="D382" s="3">
        <f>IFERROR(__xludf.DUMMYFUNCTION("GOOGLETRANSLATE(B382,""vi"",""km"")"),"បោះពុម្ពទំព័រ")</f>
        <v/>
      </c>
      <c r="E382" s="3" t="inlineStr">
        <is>
          <t>ទំព័រព្រីន</t>
        </is>
      </c>
      <c r="F382" s="217" t="inlineStr">
        <is>
          <t>v</t>
        </is>
      </c>
      <c r="G382" s="217" t="inlineStr">
        <is>
          <t>ទំព័រព្រីន</t>
        </is>
      </c>
      <c r="H382" t="inlineStr">
        <is>
          <t>ទំព័រព្រីន</t>
        </is>
      </c>
      <c r="I382" s="74" t="inlineStr">
        <is>
          <t xml:space="preserve">ទំព័រ </t>
        </is>
      </c>
      <c r="J382" s="217" t="inlineStr">
        <is>
          <t>"modalPrint.pagePrint": "Page ",</t>
        </is>
      </c>
    </row>
    <row r="383" ht="15.75" customHeight="1" s="305">
      <c r="A383" s="67" t="inlineStr">
        <is>
          <t>modalPrint.note1</t>
        </is>
      </c>
      <c r="B383" s="67" t="inlineStr">
        <is>
          <t>*Lưu ý: In phiếu gửi ở cả</t>
        </is>
      </c>
      <c r="C383" s="67" t="inlineStr">
        <is>
          <t>*Note: Print the waybill on both</t>
        </is>
      </c>
      <c r="D383" s="3">
        <f>IFERROR(__xludf.DUMMYFUNCTION("GOOGLETRANSLATE(B383,""vi"",""km"")"),"*ចំណាំ៖ សូមបោះពុម្ពស្លាកដឹកជញ្ជូននៅសងខាង។")</f>
        <v/>
      </c>
      <c r="E383" s="3" t="inlineStr">
        <is>
          <t>*ចំណាំ៖ ព្រីនបុងបញ្ញើនៅទាំងសងខាង</t>
        </is>
      </c>
      <c r="F383" s="217" t="inlineStr">
        <is>
          <t>x</t>
        </is>
      </c>
      <c r="G383" s="217" t="inlineStr">
        <is>
          <t>*ចំណាំ៖ ព្រីនបុងបញ្ញើនៅទាំងសងខាង</t>
        </is>
      </c>
      <c r="H383" t="inlineStr">
        <is>
          <t>*ចំណាំ៖ ព្រីនបុងបញ្ញើនៅទាំងសងខាង</t>
        </is>
      </c>
      <c r="I383" s="74" t="inlineStr">
        <is>
          <t>*ចំណាំ៖ ព្រីនវិក្កយបត្រនៅលើទំព័រទាំងពីរ ដើម្បីធានាថាមានគ្រប់គ្រាន់</t>
        </is>
      </c>
      <c r="J383" s="217" t="inlineStr">
        <is>
          <t>"modalPrint.note1": "*Note: Print the waybill on both",</t>
        </is>
      </c>
    </row>
    <row r="384" ht="15.75" customHeight="1" s="305">
      <c r="A384" s="67" t="inlineStr">
        <is>
          <t>modalPrint.note2</t>
        </is>
      </c>
      <c r="B384" s="67" t="inlineStr">
        <is>
          <t>trang in để đảm bảo đủ số lượng phiếu gửi</t>
        </is>
      </c>
      <c r="C384" s="67" t="inlineStr">
        <is>
          <t>pages to ensure there are enough</t>
        </is>
      </c>
      <c r="D384" s="3">
        <f>IFERROR(__xludf.DUMMYFUNCTION("GOOGLETRANSLATE(B384,""vi"",""km"")"),"បោះពុម្ពទំព័រដើម្បីធានាបាននូវចំនួនគ្រប់គ្រាន់នៃសំបុត្រផ្ញើ")</f>
        <v/>
      </c>
      <c r="E384" s="3" t="inlineStr">
        <is>
          <t>ទំព័រព្រីនដើម្បីធានាគ្រប់ចំនួនបុងបញ្ញើ</t>
        </is>
      </c>
      <c r="F384" s="217" t="inlineStr">
        <is>
          <t>x</t>
        </is>
      </c>
      <c r="G384" s="217" t="inlineStr">
        <is>
          <t>ទំព័រព្រីនដើម្បីធានាគ្រប់ចំនួនបុងបញ្ញើ</t>
        </is>
      </c>
      <c r="H384" t="inlineStr">
        <is>
          <t>ទំព័រព្រីនដើម្បីធានាគ្រប់ចំនួនបុងបញ្ញើ</t>
        </is>
      </c>
      <c r="I384" s="74" t="inlineStr">
        <is>
          <t>ទំព័រដើម្បីធានាថាមានគ្រប់គ្រាន់</t>
        </is>
      </c>
      <c r="J384" s="217" t="inlineStr">
        <is>
          <t>"modalPrint.note2": "pages to ensure there are enough",</t>
        </is>
      </c>
    </row>
    <row r="385" ht="15.75" customHeight="1" s="305">
      <c r="A385" s="67" t="inlineStr">
        <is>
          <t>modalPrint.printFail</t>
        </is>
      </c>
      <c r="B385" s="67" t="inlineStr">
        <is>
          <t>Lỗi in đơn</t>
        </is>
      </c>
      <c r="C385" s="67" t="inlineStr">
        <is>
          <t>Failed to print</t>
        </is>
      </c>
      <c r="D385" s="3">
        <f>IFERROR(__xludf.DUMMYFUNCTION("GOOGLETRANSLATE(B385,""vi"",""km"")"),"កំហុសក្នុងការបោះពុម្ពការបញ្ជាទិញ")</f>
        <v/>
      </c>
      <c r="E385" s="3" t="inlineStr">
        <is>
          <t>ការព្រីនបុងមានបញ្ហា</t>
        </is>
      </c>
      <c r="F385" s="217" t="inlineStr">
        <is>
          <t>v</t>
        </is>
      </c>
      <c r="G385" s="217" t="inlineStr">
        <is>
          <t>ការព្រីនបុងមានបញ្ហា</t>
        </is>
      </c>
      <c r="H385" t="inlineStr">
        <is>
          <t>ការព្រីនបុងមានបញ្ហា</t>
        </is>
      </c>
      <c r="I385" s="74" t="inlineStr">
        <is>
          <t>កំហុសក្នុងការព្រីន</t>
        </is>
      </c>
      <c r="J385" s="217" t="inlineStr">
        <is>
          <t>"modalPrint.printFail": "Failed to print",</t>
        </is>
      </c>
    </row>
    <row r="386" ht="15.75" customHeight="1" s="305">
      <c r="A386" s="67" t="inlineStr">
        <is>
          <t>auditPrint.titleHeader</t>
        </is>
      </c>
      <c r="B386" s="67" t="inlineStr">
        <is>
          <t>CHUYÊN NGHIỆP - NHANH CHÓNG - HIỆU QUẢ</t>
        </is>
      </c>
      <c r="C386" s="67" t="inlineStr">
        <is>
          <t>PROFESSIONAL - FAST - EFFECTIVE</t>
        </is>
      </c>
      <c r="D386" s="3">
        <f>IFERROR(__xludf.DUMMYFUNCTION("GOOGLETRANSLATE(B386,""vi"",""km"")"),"វិជ្ជាជីវៈ - រហ័ស - មានប្រសិទ្ធភាព")</f>
        <v/>
      </c>
      <c r="E386" s="3" t="inlineStr">
        <is>
          <t>មានជំនាញ - រហ័ស - មានប្រសិទ្ធភាព</t>
        </is>
      </c>
      <c r="F386" s="217" t="inlineStr">
        <is>
          <t>v</t>
        </is>
      </c>
      <c r="G386" s="217" t="inlineStr">
        <is>
          <t>មានជំនាញ - រហ័ស - មានប្រសិទ្ធភាព</t>
        </is>
      </c>
      <c r="H386" t="inlineStr">
        <is>
          <t>មានជំនាញ - រហ័ស - មានប្រសិទ្ធភាព</t>
        </is>
      </c>
      <c r="I386" s="74" t="inlineStr">
        <is>
          <t>វិជ្ជាជីវៈ - រហ័ស - មានប្រសិទ្ធភាព</t>
        </is>
      </c>
      <c r="J386" s="217" t="inlineStr">
        <is>
          <t>"auditPrint.titleHeader": "PROFESSIONAL - FAST - EFFECTIVE",</t>
        </is>
      </c>
    </row>
    <row r="387" ht="15.75" customHeight="1" s="305">
      <c r="A387" s="67" t="inlineStr">
        <is>
          <t>auditPrint.title</t>
        </is>
      </c>
      <c r="B387" s="67" t="inlineStr">
        <is>
          <t>BIÊN BẢN KIỂM KÊ CHI TIẾT</t>
        </is>
      </c>
      <c r="C387" s="67" t="inlineStr">
        <is>
          <t>List Inventory</t>
        </is>
      </c>
      <c r="D387" s="3">
        <f>IFERROR(__xludf.DUMMYFUNCTION("GOOGLETRANSLATE(B387,""vi"",""km"")"),"របាយការណ៍​សារពើភ័ណ្ឌ​លម្អិត")</f>
        <v/>
      </c>
      <c r="E387" s="3" t="inlineStr">
        <is>
          <t>កំណត់ហេតុពិនិត្យឲ្យបានលម្អិត</t>
        </is>
      </c>
      <c r="F387" s="217" t="inlineStr">
        <is>
          <t>x</t>
        </is>
      </c>
      <c r="G387" s="217" t="inlineStr">
        <is>
          <t>កំណត់ហេតុពិនិត្យឲ្យបានលម្អិត</t>
        </is>
      </c>
      <c r="H387" t="inlineStr">
        <is>
          <t>កំណត់ហេតុពិនិត្យឲ្យបានលម្អិត</t>
        </is>
      </c>
      <c r="I387" s="74" t="inlineStr">
        <is>
          <t>នាទីសារពើភ័ណ្ឌលម្អិត</t>
        </is>
      </c>
      <c r="J387" s="217" t="inlineStr">
        <is>
          <t>"auditPrint.title": "List Inventory",</t>
        </is>
      </c>
    </row>
    <row r="388" ht="15.75" customHeight="1" s="305">
      <c r="A388" s="67" t="inlineStr">
        <is>
          <t>auditPrint.auditUser</t>
        </is>
      </c>
      <c r="B388" s="67" t="inlineStr">
        <is>
          <t>Người kiểm kê</t>
        </is>
      </c>
      <c r="C388" s="67" t="inlineStr">
        <is>
          <t>User Inventory</t>
        </is>
      </c>
      <c r="D388" s="3">
        <f>IFERROR(__xludf.DUMMYFUNCTION("GOOGLETRANSLATE(B388,""vi"",""km"")"),"អ្នក​ស្តុក​ទំនិញ")</f>
        <v/>
      </c>
      <c r="E388" s="3" t="inlineStr">
        <is>
          <t>អ្នកពិនិត្យ</t>
        </is>
      </c>
      <c r="F388" s="217" t="inlineStr">
        <is>
          <t>x</t>
        </is>
      </c>
      <c r="G388" s="217" t="inlineStr">
        <is>
          <t>អ្នកពិនិត្យ</t>
        </is>
      </c>
      <c r="H388" t="inlineStr">
        <is>
          <t>អ្នកពិនិត្យ</t>
        </is>
      </c>
      <c r="I388" s="74" t="inlineStr">
        <is>
          <t>សារពើភ័ណ្ឌអ្នកប្រើប្រាស់</t>
        </is>
      </c>
      <c r="J388" s="217" t="inlineStr">
        <is>
          <t>"auditPrint.auditUser": "User Inventory",</t>
        </is>
      </c>
    </row>
    <row r="389" ht="15.75" customHeight="1" s="305">
      <c r="A389" s="67" t="inlineStr">
        <is>
          <t>auditPrint.auditDate</t>
        </is>
      </c>
      <c r="B389" s="67" t="inlineStr">
        <is>
          <t>Ngày kiểm kê</t>
        </is>
      </c>
      <c r="C389" s="67" t="inlineStr">
        <is>
          <t>Create Inventory</t>
        </is>
      </c>
      <c r="D389" s="3">
        <f>IFERROR(__xludf.DUMMYFUNCTION("GOOGLETRANSLATE(B389,""vi"",""km"")"),"ថ្ងៃស្តុកទំនិញ")</f>
        <v/>
      </c>
      <c r="E389" s="3" t="inlineStr">
        <is>
          <t>ថ្ងៃពិនិត្យ</t>
        </is>
      </c>
      <c r="F389" s="217" t="inlineStr">
        <is>
          <t>x</t>
        </is>
      </c>
      <c r="G389" s="217" t="inlineStr">
        <is>
          <t>ថ្ងៃពិនិត្យ</t>
        </is>
      </c>
      <c r="H389" t="inlineStr">
        <is>
          <t>ថ្ងៃពិនិត្យ</t>
        </is>
      </c>
      <c r="I389" s="74" t="inlineStr">
        <is>
          <t>បង្កើតសារពើភ័ណ្ឌ</t>
        </is>
      </c>
      <c r="J389" s="217" t="inlineStr">
        <is>
          <t>"auditPrint.auditDate": "Create Inventory",</t>
        </is>
      </c>
    </row>
    <row r="390" ht="15.75" customHeight="1" s="305">
      <c r="A390" s="67" t="inlineStr">
        <is>
          <t>auditPrint.user</t>
        </is>
      </c>
      <c r="B390" s="67" t="inlineStr">
        <is>
          <t>Nhân viên phát</t>
        </is>
      </c>
      <c r="C390" s="67" t="inlineStr">
        <is>
          <t>Delivery-man</t>
        </is>
      </c>
      <c r="D390" s="3">
        <f>IFERROR(__xludf.DUMMYFUNCTION("GOOGLETRANSLATE(B390,""vi"",""km"")"),"បុគ្គលិកដឹកជញ្ជូន")</f>
        <v/>
      </c>
      <c r="E390" s="159" t="inlineStr">
        <is>
          <t>បុគ្គលិកដឹកបញ្ញើ</t>
        </is>
      </c>
      <c r="F390" s="217" t="inlineStr">
        <is>
          <t>x</t>
        </is>
      </c>
      <c r="G390" s="217" t="inlineStr">
        <is>
          <t>បុគ្គលិកដឹកបញ្ញើ</t>
        </is>
      </c>
      <c r="H390" t="inlineStr">
        <is>
          <t>បុគ្គលិកដឹកបញ្ញើ</t>
        </is>
      </c>
      <c r="I390" s="74" t="inlineStr">
        <is>
          <t>អ្នកដឹកជញ្ជូន</t>
        </is>
      </c>
      <c r="J390" s="217" t="inlineStr">
        <is>
          <t>"auditPrint.user": "Delivery-man",</t>
        </is>
      </c>
    </row>
    <row r="391" ht="15.75" customHeight="1" s="305">
      <c r="A391" s="67" t="inlineStr">
        <is>
          <t>auditPrint.department</t>
        </is>
      </c>
      <c r="B391" s="67" t="inlineStr">
        <is>
          <t>Bưu cục</t>
        </is>
      </c>
      <c r="C391" s="67" t="inlineStr">
        <is>
          <t>Post-office</t>
        </is>
      </c>
      <c r="D391" s="3">
        <f>IFERROR(__xludf.DUMMYFUNCTION("GOOGLETRANSLATE(B391,""vi"",""km"")"),"ការិយាល័យប្រៃសណីយ៍")</f>
        <v/>
      </c>
      <c r="E391" s="3" t="inlineStr">
        <is>
          <t>ការិយាល័យប្រៃសណីយ៍</t>
        </is>
      </c>
      <c r="F391" s="217" t="inlineStr">
        <is>
          <t>v</t>
        </is>
      </c>
      <c r="G391" s="217" t="inlineStr">
        <is>
          <t>ការិយាល័យប្រៃសណីយ៍</t>
        </is>
      </c>
      <c r="H391" t="inlineStr">
        <is>
          <t>ការិយាល័យប្រៃសណីយ៍</t>
        </is>
      </c>
      <c r="I391" s="74" t="inlineStr">
        <is>
          <t>ការិយាល័យប្រៃសណីយ៍</t>
        </is>
      </c>
      <c r="J391" s="217" t="inlineStr">
        <is>
          <t>"auditPrint.department": "Post-office",</t>
        </is>
      </c>
    </row>
    <row r="392" ht="15.75" customHeight="1" s="305">
      <c r="A392" s="67" t="inlineStr">
        <is>
          <t>auditPrint.NVBH</t>
        </is>
      </c>
      <c r="B392" s="67" t="inlineStr">
        <is>
          <t>NVBH</t>
        </is>
      </c>
      <c r="C392" s="67" t="inlineStr">
        <is>
          <t>Delivery-man</t>
        </is>
      </c>
      <c r="D392" s="3">
        <f>IFERROR(__xludf.DUMMYFUNCTION("GOOGLETRANSLATE(B392,""vi"",""km"")"),"អិនវីប៊ីអេច")</f>
        <v/>
      </c>
      <c r="E392" s="196" t="inlineStr">
        <is>
          <t>NVBH</t>
        </is>
      </c>
      <c r="G392" s="217" t="inlineStr">
        <is>
          <t>បុគ្គលិកដឹកជញ្ជូន/លក់</t>
        </is>
      </c>
      <c r="H392" t="inlineStr">
        <is>
          <t>បុគ្គលិកដឹកជញ្ជូន/លក់</t>
        </is>
      </c>
      <c r="I392" s="74" t="inlineStr">
        <is>
          <t>អ្នកដឹកជញ្ជូន</t>
        </is>
      </c>
      <c r="J392" s="217" t="inlineStr">
        <is>
          <t>"auditPrint.NVBH": "Delivery-man",</t>
        </is>
      </c>
    </row>
    <row r="393" ht="15.75" customHeight="1" s="305">
      <c r="A393" s="67" t="inlineStr">
        <is>
          <t>auditPrint.departmentLeader</t>
        </is>
      </c>
      <c r="B393" s="67" t="inlineStr">
        <is>
          <t>Trưởng bưu cục</t>
        </is>
      </c>
      <c r="C393" s="67" t="inlineStr">
        <is>
          <t>Head of Post-Office</t>
        </is>
      </c>
      <c r="D393" s="3">
        <f>IFERROR(__xludf.DUMMYFUNCTION("GOOGLETRANSLATE(B393,""vi"",""km"")"),"អ្នកគ្រប់គ្រងការិយាល័យប្រៃសណីយ៍")</f>
        <v/>
      </c>
      <c r="E393" s="3" t="inlineStr">
        <is>
          <t>ប្រធានគ្រប់គ្រងការិយាល័យប្រៃសណីយ៍</t>
        </is>
      </c>
      <c r="F393" s="217" t="inlineStr">
        <is>
          <t>v</t>
        </is>
      </c>
      <c r="G393" s="217" t="inlineStr">
        <is>
          <t>ប្រធានគ្រប់គ្រងការិយាល័យប្រៃសណីយ៍</t>
        </is>
      </c>
      <c r="H393" t="inlineStr">
        <is>
          <t>ប្រធានគ្រប់គ្រងការិយាល័យប្រៃសណីយ៍</t>
        </is>
      </c>
      <c r="I393" s="74" t="inlineStr">
        <is>
          <t>ប្រធានការិយាល័យប្រៃសណីយ៍</t>
        </is>
      </c>
      <c r="J393" s="217" t="inlineStr">
        <is>
          <t>"auditPrint.departmentLeader": "Head of Post-Office",</t>
        </is>
      </c>
    </row>
    <row r="394" ht="15.75" customHeight="1" s="305">
      <c r="A394" s="67" t="inlineStr">
        <is>
          <t>auditPrint.print</t>
        </is>
      </c>
      <c r="B394" s="67" t="inlineStr">
        <is>
          <t>In biên bản</t>
        </is>
      </c>
      <c r="C394" s="67" t="inlineStr">
        <is>
          <t>Print</t>
        </is>
      </c>
      <c r="D394" s="3">
        <f>IFERROR(__xludf.DUMMYFUNCTION("GOOGLETRANSLATE(B394,""vi"",""km"")"),"បោះពុម្ពនាទី")</f>
        <v/>
      </c>
      <c r="E394" s="3" t="inlineStr">
        <is>
          <t>ព្រីន</t>
        </is>
      </c>
      <c r="F394" s="217" t="inlineStr">
        <is>
          <t>v</t>
        </is>
      </c>
      <c r="G394" s="217" t="inlineStr">
        <is>
          <t>ព្រីន</t>
        </is>
      </c>
      <c r="H394" t="inlineStr">
        <is>
          <t>ព្រីន</t>
        </is>
      </c>
      <c r="I394" s="74" t="inlineStr">
        <is>
          <t>បោះពុម្ព</t>
        </is>
      </c>
      <c r="J394" s="217" t="inlineStr">
        <is>
          <t>"auditPrint.print": "Print",</t>
        </is>
      </c>
    </row>
    <row r="395" ht="15.75" customHeight="1" s="305">
      <c r="A395" s="67" t="inlineStr">
        <is>
          <t>auditPrint.orderId</t>
        </is>
      </c>
      <c r="B395" s="67" t="inlineStr">
        <is>
          <t>Mã phiếu gửi</t>
        </is>
      </c>
      <c r="C395" s="67" t="inlineStr">
        <is>
          <t>Billcode</t>
        </is>
      </c>
      <c r="D395" s="3">
        <f>IFERROR(__xludf.DUMMYFUNCTION("GOOGLETRANSLATE(B395,""vi"",""km"")"),"លេខកូដបង្កាន់ដៃ")</f>
        <v/>
      </c>
      <c r="E395" s="3" t="inlineStr">
        <is>
          <t>កូដបុងបញ្ញើអីវ៉ាន់</t>
        </is>
      </c>
      <c r="F395" s="217" t="inlineStr">
        <is>
          <t>v</t>
        </is>
      </c>
      <c r="G395" s="217" t="inlineStr">
        <is>
          <t>លេខកូដបុងបញ្ញើ</t>
        </is>
      </c>
      <c r="H395" t="inlineStr">
        <is>
          <t>លេខកូដបុងបញ្ញើ</t>
        </is>
      </c>
      <c r="I395" s="74" t="inlineStr">
        <is>
          <t>វិក័យប័ត្រ</t>
        </is>
      </c>
      <c r="J395" s="217" t="inlineStr">
        <is>
          <t>"auditPrint.orderId": "Billcode",</t>
        </is>
      </c>
    </row>
    <row r="396" ht="15.75" customHeight="1" s="305">
      <c r="A396" s="67" t="inlineStr">
        <is>
          <t>auditPrint.assignedPostmanAt</t>
        </is>
      </c>
      <c r="B396" s="67" t="inlineStr">
        <is>
          <t>Ngày PC</t>
        </is>
      </c>
      <c r="C396" s="67" t="inlineStr">
        <is>
          <t>Date Assign</t>
        </is>
      </c>
      <c r="D396" s="3">
        <f>IFERROR(__xludf.DUMMYFUNCTION("GOOGLETRANSLATE(B396,""vi"",""km"")"),"ទិវាកុំព្យូទ័រ")</f>
        <v/>
      </c>
      <c r="E396" s="159" t="inlineStr">
        <is>
          <t>ថ្ងៃPC</t>
        </is>
      </c>
      <c r="F396" s="217" t="inlineStr">
        <is>
          <t>x</t>
        </is>
      </c>
      <c r="G396" s="217" t="inlineStr">
        <is>
          <t>ថ្ងៃPC</t>
        </is>
      </c>
      <c r="H396" t="inlineStr">
        <is>
          <t>ថ្ងៃPC</t>
        </is>
      </c>
      <c r="I396" s="74" t="inlineStr">
        <is>
          <t>ការចាត់តាំងកាលបរិច្ឆេទ</t>
        </is>
      </c>
      <c r="J396" s="217" t="inlineStr">
        <is>
          <t>"auditPrint.assignedPostmanAt": "Date Assign",</t>
        </is>
      </c>
    </row>
    <row r="397" ht="15.75" customHeight="1" s="305">
      <c r="A397" s="67" t="inlineStr">
        <is>
          <t>auditPrint.finalFee</t>
        </is>
      </c>
      <c r="B397" s="67" t="inlineStr">
        <is>
          <t>Tiền phải thu</t>
        </is>
      </c>
      <c r="C397" s="67" t="inlineStr">
        <is>
          <t>Total amount</t>
        </is>
      </c>
      <c r="D397" s="3">
        <f>IFERROR(__xludf.DUMMYFUNCTION("GOOGLETRANSLATE(B397,""vi"",""km"")"),"គណនី​ទទួល​បាន")</f>
        <v/>
      </c>
      <c r="E397" s="3" t="inlineStr">
        <is>
          <t>ប្រាក់ត្រូវប្រមូល</t>
        </is>
      </c>
      <c r="F397" s="217" t="inlineStr">
        <is>
          <t>v</t>
        </is>
      </c>
      <c r="G397" s="217" t="inlineStr">
        <is>
          <t>ប្រាក់ត្រូវប្រមូល</t>
        </is>
      </c>
      <c r="H397" t="inlineStr">
        <is>
          <t>ប្រាក់ត្រូវប្រមូល</t>
        </is>
      </c>
      <c r="I397" s="74" t="inlineStr">
        <is>
          <t>ចំនួនសរុប</t>
        </is>
      </c>
      <c r="J397" s="217" t="inlineStr">
        <is>
          <t>"auditPrint.finalFee": "Total amount",</t>
        </is>
      </c>
    </row>
    <row r="398" ht="15.75" customHeight="1" s="305">
      <c r="A398" s="67" t="inlineStr">
        <is>
          <t>auditPrint.auditTag</t>
        </is>
      </c>
      <c r="B398" s="67" t="inlineStr">
        <is>
          <t>So sánh</t>
        </is>
      </c>
      <c r="C398" s="67" t="inlineStr">
        <is>
          <t>Compare</t>
        </is>
      </c>
      <c r="D398" s="3">
        <f>IFERROR(__xludf.DUMMYFUNCTION("GOOGLETRANSLATE(B398,""vi"",""km"")"),"ប្រៀបធៀប")</f>
        <v/>
      </c>
      <c r="E398" s="3" t="inlineStr">
        <is>
          <t>ប្រៀបធៀប</t>
        </is>
      </c>
      <c r="F398" s="217" t="inlineStr">
        <is>
          <t>v</t>
        </is>
      </c>
      <c r="G398" s="217" t="inlineStr">
        <is>
          <t>ប្រៀបធៀប</t>
        </is>
      </c>
      <c r="H398" t="inlineStr">
        <is>
          <t>ប្រៀបធៀប</t>
        </is>
      </c>
      <c r="I398" s="74" t="inlineStr">
        <is>
          <t>ប្រៀបធៀប</t>
        </is>
      </c>
      <c r="J398" s="217" t="inlineStr">
        <is>
          <t>"auditPrint.auditTag": "Compare",</t>
        </is>
      </c>
    </row>
    <row r="399" ht="15.75" customHeight="1" s="305">
      <c r="A399" s="67" t="inlineStr">
        <is>
          <t>auditPrint.auditFailedReason</t>
        </is>
      </c>
      <c r="B399" s="67" t="inlineStr">
        <is>
          <t>Giải trình</t>
        </is>
      </c>
      <c r="C399" s="67" t="inlineStr">
        <is>
          <t>Reason</t>
        </is>
      </c>
      <c r="D399" s="3">
        <f>IFERROR(__xludf.DUMMYFUNCTION("GOOGLETRANSLATE(B399,""vi"",""km"")"),"ការពន្យល់")</f>
        <v/>
      </c>
      <c r="E399" s="3" t="inlineStr">
        <is>
          <t>ពន្យល់</t>
        </is>
      </c>
      <c r="F399" s="217" t="inlineStr">
        <is>
          <t>v</t>
        </is>
      </c>
      <c r="G399" s="217" t="inlineStr">
        <is>
          <t>ការបំភ្លឺ/បកស្រាយ</t>
        </is>
      </c>
      <c r="H399" t="inlineStr">
        <is>
          <t>ការបំភ្លឺ/បកស្រាយ</t>
        </is>
      </c>
      <c r="I399" s="74" t="inlineStr">
        <is>
          <t>ហេតុផល</t>
        </is>
      </c>
      <c r="J399" s="217" t="inlineStr">
        <is>
          <t>"auditPrint.auditFailedReason": "Reason",</t>
        </is>
      </c>
    </row>
    <row r="400" ht="15.75" customHeight="1" s="305">
      <c r="A400" s="67" t="inlineStr">
        <is>
          <t>layout.header.inputSearch</t>
        </is>
      </c>
      <c r="B400" s="67" t="inlineStr">
        <is>
          <t>Nhập mã phiếu gửi</t>
        </is>
      </c>
      <c r="C400" s="67" t="inlineStr">
        <is>
          <t>Enter waybill code</t>
        </is>
      </c>
      <c r="D400" s="3">
        <f>IFERROR(__xludf.DUMMYFUNCTION("GOOGLETRANSLATE(B400,""vi"",""km"")"),"បញ្ចូលលេខកូដប័ណ្ណដឹកជញ្ជូន")</f>
        <v/>
      </c>
      <c r="E400" s="3" t="inlineStr">
        <is>
          <t>បញ្ចូលកូដបុងបញ្ញើ</t>
        </is>
      </c>
      <c r="F400" s="217" t="inlineStr">
        <is>
          <t>v</t>
        </is>
      </c>
      <c r="G400" s="217" t="inlineStr">
        <is>
          <t>បញ្ចូលកូដបុងបញ្ញើ</t>
        </is>
      </c>
      <c r="H400" t="inlineStr">
        <is>
          <t>បញ្ចូលកូដបុងបញ្ញើ</t>
        </is>
      </c>
      <c r="I400" s="74" t="inlineStr">
        <is>
          <t>បញ្ចូលលេខកូដបញ្ញើ</t>
        </is>
      </c>
      <c r="J400" s="217" t="inlineStr">
        <is>
          <t>"layout.header.inputSearch": "Enter waybill code",</t>
        </is>
      </c>
    </row>
    <row r="401" ht="15.75" customHeight="1" s="305">
      <c r="A401" s="67" t="inlineStr">
        <is>
          <t>layout.header.selectPost</t>
        </is>
      </c>
      <c r="B401" s="67" t="inlineStr">
        <is>
          <t>Mã bưu cục</t>
        </is>
      </c>
      <c r="C401" s="67" t="inlineStr">
        <is>
          <t>Post Office Code</t>
        </is>
      </c>
      <c r="D401" s="3">
        <f>IFERROR(__xludf.DUMMYFUNCTION("GOOGLETRANSLATE(B401,""vi"",""km"")"),"លេខកូដប្រៃសណីយ៍")</f>
        <v/>
      </c>
      <c r="E401" s="3" t="inlineStr">
        <is>
          <t>លេខកូដការិយាល័យប្រៃសណីយ៍</t>
        </is>
      </c>
      <c r="F401" s="217" t="inlineStr">
        <is>
          <t>v</t>
        </is>
      </c>
      <c r="G401" s="217" t="inlineStr">
        <is>
          <t>លេខកូដការិយាល័យប្រៃសណីយ៍</t>
        </is>
      </c>
      <c r="H401" t="inlineStr">
        <is>
          <t>លេខកូដការិយាល័យប្រៃសណីយ៍</t>
        </is>
      </c>
      <c r="I401" s="74" t="inlineStr">
        <is>
          <t>លេខកូដការិយាល័យបញ្ញើ</t>
        </is>
      </c>
      <c r="J401" s="217" t="inlineStr">
        <is>
          <t>"layout.header.selectPost": "Post Office Code",</t>
        </is>
      </c>
    </row>
    <row r="402" ht="15.75" customHeight="1" s="305">
      <c r="A402" s="67" t="inlineStr">
        <is>
          <t>layout.header.hello</t>
        </is>
      </c>
      <c r="B402" s="67" t="inlineStr">
        <is>
          <t>Xin chào</t>
        </is>
      </c>
      <c r="C402" s="67" t="inlineStr">
        <is>
          <t>Hello</t>
        </is>
      </c>
      <c r="D402" s="3">
        <f>IFERROR(__xludf.DUMMYFUNCTION("GOOGLETRANSLATE(B402,""vi"",""km"")"),"សួស្តី")</f>
        <v/>
      </c>
      <c r="E402" s="3" t="inlineStr">
        <is>
          <t>សួស្តី</t>
        </is>
      </c>
      <c r="F402" s="217" t="inlineStr">
        <is>
          <t>v</t>
        </is>
      </c>
      <c r="G402" s="217" t="inlineStr">
        <is>
          <t>សួស្តី</t>
        </is>
      </c>
      <c r="H402" t="inlineStr">
        <is>
          <t>សួស្តី</t>
        </is>
      </c>
      <c r="I402" s="74" t="inlineStr">
        <is>
          <t>ជម្រាបសួរ</t>
        </is>
      </c>
      <c r="J402" s="217" t="inlineStr">
        <is>
          <t>"layout.header.hello": "Hello",</t>
        </is>
      </c>
    </row>
    <row r="403" ht="15.75" customHeight="1" s="305">
      <c r="A403" s="67" t="inlineStr">
        <is>
          <t>layout.header.inforuser</t>
        </is>
      </c>
      <c r="B403" s="67" t="inlineStr">
        <is>
          <t>Thông tin tài khoản</t>
        </is>
      </c>
      <c r="C403" s="67" t="inlineStr">
        <is>
          <t>Account Information</t>
        </is>
      </c>
      <c r="D403" s="3">
        <f>IFERROR(__xludf.DUMMYFUNCTION("GOOGLETRANSLATE(B403,""vi"",""km"")"),"ព័ត៌មានគណនី")</f>
        <v/>
      </c>
      <c r="E403" s="3" t="inlineStr">
        <is>
          <t>ព័ត៌មានគណនី</t>
        </is>
      </c>
      <c r="F403" s="217" t="inlineStr">
        <is>
          <t>v</t>
        </is>
      </c>
      <c r="G403" s="217" t="inlineStr">
        <is>
          <t>ព័ត៌មានគណនី</t>
        </is>
      </c>
      <c r="H403" t="inlineStr">
        <is>
          <t>ព័ត៌មានគណនី</t>
        </is>
      </c>
      <c r="I403" s="74" t="inlineStr">
        <is>
          <t>ព​ត៌​មាន​គណនី</t>
        </is>
      </c>
      <c r="J403" s="217" t="inlineStr">
        <is>
          <t>"layout.header.inforuser": "Account Information",</t>
        </is>
      </c>
    </row>
    <row r="404" ht="15.75" customHeight="1" s="305">
      <c r="A404" s="67" t="inlineStr">
        <is>
          <t>layout.header.logout</t>
        </is>
      </c>
      <c r="B404" s="67" t="inlineStr">
        <is>
          <t>Đăng xuất</t>
        </is>
      </c>
      <c r="C404" s="67" t="inlineStr">
        <is>
          <t>Logout</t>
        </is>
      </c>
      <c r="D404" s="3">
        <f>IFERROR(__xludf.DUMMYFUNCTION("GOOGLETRANSLATE(B404,""vi"",""km"")"),"ចាកចេញ")</f>
        <v/>
      </c>
      <c r="E404" s="3" t="inlineStr">
        <is>
          <t>ចាកចេញ</t>
        </is>
      </c>
      <c r="F404" s="217" t="inlineStr">
        <is>
          <t>v</t>
        </is>
      </c>
      <c r="G404" s="217" t="inlineStr">
        <is>
          <t>ចាកចេញ</t>
        </is>
      </c>
      <c r="H404" t="inlineStr">
        <is>
          <t>ចាកចេញ</t>
        </is>
      </c>
      <c r="I404" s="74" t="inlineStr">
        <is>
          <t>ចាកចេញ</t>
        </is>
      </c>
      <c r="J404" s="217" t="inlineStr">
        <is>
          <t>"layout.header.logout": "Logout",</t>
        </is>
      </c>
    </row>
    <row r="405" ht="15.75" customHeight="1" s="305">
      <c r="A405" s="67" t="inlineStr">
        <is>
          <t>login.title</t>
        </is>
      </c>
      <c r="B405" s="67" t="inlineStr">
        <is>
          <t>Đăng nhập bằng mật khẩu</t>
        </is>
      </c>
      <c r="C405" s="67" t="inlineStr">
        <is>
          <t>Log in by password</t>
        </is>
      </c>
      <c r="D405" s="3">
        <f>IFERROR(__xludf.DUMMYFUNCTION("GOOGLETRANSLATE(B405,""vi"",""km"")"),"ចូលដោយប្រើពាក្យសម្ងាត់របស់អ្នក។")</f>
        <v/>
      </c>
      <c r="E405" s="3" t="inlineStr">
        <is>
          <t>ចូលប្រើដោយលេខសម្ងាត់</t>
        </is>
      </c>
      <c r="F405" s="217" t="inlineStr">
        <is>
          <t>v</t>
        </is>
      </c>
      <c r="G405" s="217" t="inlineStr">
        <is>
          <t>ចូលប្រើដោយលេខសម្ងាត់</t>
        </is>
      </c>
      <c r="H405" t="inlineStr">
        <is>
          <t>ចូលប្រើដោយលេខសម្ងាត់</t>
        </is>
      </c>
      <c r="I405" s="74" t="inlineStr">
        <is>
          <t>ចូលដោយប្រើពាក្យសម្ងាត់</t>
        </is>
      </c>
      <c r="J405" s="217" t="inlineStr">
        <is>
          <t>"login.title": "Log in by password",</t>
        </is>
      </c>
    </row>
    <row r="406" ht="15.75" customHeight="1" s="305">
      <c r="A406" s="67" t="inlineStr">
        <is>
          <t>login.inputUser</t>
        </is>
      </c>
      <c r="B406" s="67" t="inlineStr">
        <is>
          <t>Nhập số điện thoại hoặc email</t>
        </is>
      </c>
      <c r="C406" s="67" t="inlineStr">
        <is>
          <t>Enter mobile number or email</t>
        </is>
      </c>
      <c r="D406" s="3">
        <f>IFERROR(__xludf.DUMMYFUNCTION("GOOGLETRANSLATE(B406,""vi"",""km"")"),"បញ្ចូលលេខទូរស័ព្ទ ឬអាសយដ្ឋានអ៊ីមែលរបស់អ្នក។")</f>
        <v/>
      </c>
      <c r="E406" s="3" t="inlineStr">
        <is>
          <t>បញ្ចូ្ចលលេខទូរស័ព្ទឬអ៊ីម៉ែល</t>
        </is>
      </c>
      <c r="F406" s="217" t="inlineStr">
        <is>
          <t>v</t>
        </is>
      </c>
      <c r="G406" s="217" t="inlineStr">
        <is>
          <t>បញ្ចូ្ចលលេខទូរស័ព្ទឬអ៊ីម៉ែល</t>
        </is>
      </c>
      <c r="H406" t="inlineStr">
        <is>
          <t>បញ្ចូ្ចលលេខទូរស័ព្ទឬអ៊ីម៉ែល</t>
        </is>
      </c>
      <c r="I406" s="74" t="inlineStr">
        <is>
          <t>បញ្ចូលលេខទូរស័ព្ទ ឬអ៊ីមែល</t>
        </is>
      </c>
      <c r="J406" s="217" t="inlineStr">
        <is>
          <t>"login.inputUser": "Enter mobile number or email",</t>
        </is>
      </c>
    </row>
    <row r="407" ht="15.75" customHeight="1" s="305">
      <c r="A407" s="67" t="inlineStr">
        <is>
          <t>login.inputPassword</t>
        </is>
      </c>
      <c r="B407" s="67" t="inlineStr">
        <is>
          <t>Nhập mật khẩu</t>
        </is>
      </c>
      <c r="C407" s="67" t="inlineStr">
        <is>
          <t>Enter password</t>
        </is>
      </c>
      <c r="D407" s="3">
        <f>IFERROR(__xludf.DUMMYFUNCTION("GOOGLETRANSLATE(B407,""vi"",""km"")"),"បញ្ចូលពាក្យសម្ងាត់")</f>
        <v/>
      </c>
      <c r="E407" s="3" t="inlineStr">
        <is>
          <t>បញ្ចូលលេខសម្ងាត់</t>
        </is>
      </c>
      <c r="F407" s="217" t="inlineStr">
        <is>
          <t>v</t>
        </is>
      </c>
      <c r="G407" s="217" t="inlineStr">
        <is>
          <t>បញ្ចូលលេខសម្ងាត់</t>
        </is>
      </c>
      <c r="H407" t="inlineStr">
        <is>
          <t>បញ្ចូលលេខសម្ងាត់</t>
        </is>
      </c>
      <c r="I407" s="74" t="inlineStr">
        <is>
          <t>បញ្ចូលពាក្យសម្ងាត់</t>
        </is>
      </c>
      <c r="J407" s="217" t="inlineStr">
        <is>
          <t>"login.inputPassword": "Enter password",</t>
        </is>
      </c>
    </row>
    <row r="408" ht="15.75" customHeight="1" s="305">
      <c r="A408" s="67" t="inlineStr">
        <is>
          <t>login.buttonLogin</t>
        </is>
      </c>
      <c r="B408" s="67" t="inlineStr">
        <is>
          <t>Đăng nhập</t>
        </is>
      </c>
      <c r="C408" s="67" t="inlineStr">
        <is>
          <t>Log in</t>
        </is>
      </c>
      <c r="D408" s="3">
        <f>IFERROR(__xludf.DUMMYFUNCTION("GOOGLETRANSLATE(B408,""vi"",""km"")"),"ចូល")</f>
        <v/>
      </c>
      <c r="E408" s="3" t="inlineStr">
        <is>
          <t>ចូលប្រើ</t>
        </is>
      </c>
      <c r="F408" s="217" t="inlineStr">
        <is>
          <t>v</t>
        </is>
      </c>
      <c r="G408" s="217" t="inlineStr">
        <is>
          <t>ចូលប្រើ</t>
        </is>
      </c>
      <c r="H408" t="inlineStr">
        <is>
          <t>ចូលប្រើ</t>
        </is>
      </c>
      <c r="I408" s="74" t="inlineStr">
        <is>
          <t>ចូល</t>
        </is>
      </c>
      <c r="J408" s="217" t="inlineStr">
        <is>
          <t>"login.buttonLogin": "Log in",</t>
        </is>
      </c>
    </row>
    <row r="409" ht="15.75" customHeight="1" s="305">
      <c r="A409" s="67" t="inlineStr">
        <is>
          <t>login.forgotPassword</t>
        </is>
      </c>
      <c r="B409" s="67" t="inlineStr">
        <is>
          <t>Quên mật khẩu</t>
        </is>
      </c>
      <c r="C409" s="67" t="inlineStr">
        <is>
          <t>Forgot password</t>
        </is>
      </c>
      <c r="D409" s="3">
        <f>IFERROR(__xludf.DUMMYFUNCTION("GOOGLETRANSLATE(B409,""vi"",""km"")"),"ភ្លេចពាក្យសម្ងាត់")</f>
        <v/>
      </c>
      <c r="E409" s="3" t="inlineStr">
        <is>
          <t>ភ្លេចលេខសម្ងាត់</t>
        </is>
      </c>
      <c r="F409" s="217" t="inlineStr">
        <is>
          <t>v</t>
        </is>
      </c>
      <c r="G409" s="217" t="inlineStr">
        <is>
          <t>ភ្លេចលេខសម្ងាត់</t>
        </is>
      </c>
      <c r="H409" t="inlineStr">
        <is>
          <t>ភ្លេចលេខសម្ងាត់</t>
        </is>
      </c>
      <c r="I409" s="74" t="inlineStr">
        <is>
          <t>ភ្លេច​លេខសំងាត់​</t>
        </is>
      </c>
      <c r="J409" s="217" t="inlineStr">
        <is>
          <t>"login.forgotPassword": "Forgot password",</t>
        </is>
      </c>
    </row>
    <row r="410" ht="15.75" customHeight="1" s="305">
      <c r="A410" s="67" t="inlineStr">
        <is>
          <t>login.descriptionRegister</t>
        </is>
      </c>
      <c r="B410" s="67" t="inlineStr">
        <is>
          <t>Quý khách chưa có tài khoản?</t>
        </is>
      </c>
      <c r="C410" s="67" t="inlineStr">
        <is>
          <t>New to Metfone Express?</t>
        </is>
      </c>
      <c r="D410" s="3">
        <f>IFERROR(__xludf.DUMMYFUNCTION("GOOGLETRANSLATE(B410,""vi"",""km"")"),"មិនទាន់មានគណនីនៅឡើយទេ?")</f>
        <v/>
      </c>
      <c r="E410" s="3" t="inlineStr">
        <is>
          <t>អតិថិជនមិនទាន់មានគណនីមែនទេ?</t>
        </is>
      </c>
      <c r="F410" s="217" t="inlineStr">
        <is>
          <t>v</t>
        </is>
      </c>
      <c r="G410" s="217" t="inlineStr">
        <is>
          <t>អតិថិជនមិនទាន់មានគណនីមែនទេ?</t>
        </is>
      </c>
      <c r="H410" t="inlineStr">
        <is>
          <t>អតិថិជនមិនទាន់មានគណនីមែនទេ?</t>
        </is>
      </c>
      <c r="I410" s="74" t="inlineStr">
        <is>
          <t>អ្នកមិនមានទាន់គណនីទេ?</t>
        </is>
      </c>
      <c r="J410" s="217" t="inlineStr">
        <is>
          <t>"login.descriptionRegister": "New to Metfone Express?",</t>
        </is>
      </c>
    </row>
    <row r="411" ht="15.75" customHeight="1" s="305">
      <c r="A411" s="67" t="inlineStr">
        <is>
          <t>login.register</t>
        </is>
      </c>
      <c r="B411" s="67" t="inlineStr">
        <is>
          <t>Đăng ký ngay</t>
        </is>
      </c>
      <c r="C411" s="67" t="inlineStr">
        <is>
          <t>Register now</t>
        </is>
      </c>
      <c r="D411" s="3">
        <f>IFERROR(__xludf.DUMMYFUNCTION("GOOGLETRANSLATE(B411,""vi"",""km"")"),"ចុះឈ្មោះឥឡូវនេះ")</f>
        <v/>
      </c>
      <c r="E411" s="3" t="inlineStr">
        <is>
          <t>ចុះឈ្មោះអីឡូវនេះ</t>
        </is>
      </c>
      <c r="F411" s="217" t="inlineStr">
        <is>
          <t>v</t>
        </is>
      </c>
      <c r="G411" s="217" t="inlineStr">
        <is>
          <t>ចុះឈ្មោះអីឡូវនេះ</t>
        </is>
      </c>
      <c r="H411" t="inlineStr">
        <is>
          <t>ចុះឈ្មោះអីឡូវនេះ</t>
        </is>
      </c>
      <c r="I411" s="74" t="inlineStr">
        <is>
          <t>ចុះឈ្មោះ​ឥឡូវនេះ</t>
        </is>
      </c>
      <c r="J411" s="217" t="inlineStr">
        <is>
          <t>"login.register": "Register now",</t>
        </is>
      </c>
    </row>
    <row r="412" ht="15.75" customHeight="1" s="305">
      <c r="A412" s="67" t="inlineStr">
        <is>
          <t>headerLogin.service</t>
        </is>
      </c>
      <c r="B412" s="67" t="inlineStr">
        <is>
          <t>Dịch vụ</t>
        </is>
      </c>
      <c r="C412" s="67" t="inlineStr">
        <is>
          <t>Service</t>
        </is>
      </c>
      <c r="D412" s="3">
        <f>IFERROR(__xludf.DUMMYFUNCTION("GOOGLETRANSLATE(B412,""vi"",""km"")"),"សេវាកម្ម")</f>
        <v/>
      </c>
      <c r="E412" s="3" t="inlineStr">
        <is>
          <t>សេវាកម្ម</t>
        </is>
      </c>
      <c r="F412" s="217" t="inlineStr">
        <is>
          <t>v</t>
        </is>
      </c>
      <c r="G412" s="217" t="inlineStr">
        <is>
          <t>សេវាកម្ម</t>
        </is>
      </c>
      <c r="H412" t="inlineStr">
        <is>
          <t>សេវាកម្ម</t>
        </is>
      </c>
      <c r="I412" s="74" t="inlineStr">
        <is>
          <t>សេវាកម្ម</t>
        </is>
      </c>
      <c r="J412" s="217" t="inlineStr">
        <is>
          <t>"headerLogin.service": "Service",</t>
        </is>
      </c>
    </row>
    <row r="413" ht="15.75" customHeight="1" s="305">
      <c r="A413" s="67" t="inlineStr">
        <is>
          <t>headerLogin.supportCustomer</t>
        </is>
      </c>
      <c r="B413" s="67" t="inlineStr">
        <is>
          <t>Hỗ trợ khách hàng</t>
        </is>
      </c>
      <c r="C413" s="67" t="inlineStr">
        <is>
          <t>Customer support</t>
        </is>
      </c>
      <c r="D413" s="3">
        <f>IFERROR(__xludf.DUMMYFUNCTION("GOOGLETRANSLATE(B413,""vi"",""km"")"),"ការគាំទ្រអតិថិជន")</f>
        <v/>
      </c>
      <c r="E413" s="3" t="inlineStr">
        <is>
          <t>ជាជំនួយដល់អតិថិជន</t>
        </is>
      </c>
      <c r="F413" s="217" t="inlineStr">
        <is>
          <t>v</t>
        </is>
      </c>
      <c r="G413" s="217" t="inlineStr">
        <is>
          <t>ជាជំនួយដល់អតិថិជន</t>
        </is>
      </c>
      <c r="H413" t="inlineStr">
        <is>
          <t>ជាជំនួយដល់អតិថិជន</t>
        </is>
      </c>
      <c r="I413" s="74" t="inlineStr">
        <is>
          <t>ការគាំទ្រអតិថិជន</t>
        </is>
      </c>
      <c r="J413" s="217" t="inlineStr">
        <is>
          <t>"headerLogin.supportCustomer": "Customer support",</t>
        </is>
      </c>
    </row>
    <row r="414" ht="15.75" customHeight="1" s="305">
      <c r="A414" s="67" t="inlineStr">
        <is>
          <t>register.title</t>
        </is>
      </c>
      <c r="B414" s="67" t="inlineStr">
        <is>
          <t>Tạo tài khoản mới</t>
        </is>
      </c>
      <c r="C414" s="67" t="inlineStr">
        <is>
          <t>Creater new account</t>
        </is>
      </c>
      <c r="D414" s="3">
        <f>IFERROR(__xludf.DUMMYFUNCTION("GOOGLETRANSLATE(B414,""vi"",""km"")"),"បង្កើតគណនីថ្មី")</f>
        <v/>
      </c>
      <c r="E414" s="3" t="inlineStr">
        <is>
          <t>បង្កើតគណនីថ្មី</t>
        </is>
      </c>
      <c r="F414" s="217" t="inlineStr">
        <is>
          <t>v</t>
        </is>
      </c>
      <c r="G414" s="217" t="inlineStr">
        <is>
          <t>បង្កើតគណនីថ្មី</t>
        </is>
      </c>
      <c r="H414" t="inlineStr">
        <is>
          <t>បង្កើតគណនីថ្មី</t>
        </is>
      </c>
      <c r="I414" s="74" t="inlineStr">
        <is>
          <t>បង្កើតគណនីថ្មី។</t>
        </is>
      </c>
      <c r="J414" s="217" t="inlineStr">
        <is>
          <t>"register.title": "Creater new account",</t>
        </is>
      </c>
    </row>
    <row r="415" ht="15.75" customHeight="1" s="305">
      <c r="A415" s="67" t="inlineStr">
        <is>
          <t>register.descriptionLogin</t>
        </is>
      </c>
      <c r="B415" s="67" t="inlineStr">
        <is>
          <t>Quý khách đã có tài khoản?</t>
        </is>
      </c>
      <c r="C415" s="67" t="inlineStr">
        <is>
          <t>Sign in with existing account?</t>
        </is>
      </c>
      <c r="D415" s="3">
        <f>IFERROR(__xludf.DUMMYFUNCTION("GOOGLETRANSLATE(B415,""vi"",""km"")"),"តើអ្នកមានគណនីរួចហើយឬនៅ?")</f>
        <v/>
      </c>
      <c r="E415" s="3" t="inlineStr">
        <is>
          <t>អតិថិជនមានគណនីហើយមែនទេ?</t>
        </is>
      </c>
      <c r="F415" s="217" t="inlineStr">
        <is>
          <t>v</t>
        </is>
      </c>
      <c r="G415" s="217" t="inlineStr">
        <is>
          <t>អតិថិជនមានគណនីហើយមែនទេ?</t>
        </is>
      </c>
      <c r="H415" t="inlineStr">
        <is>
          <t>អតិថិជនមានគណនីហើយមែនទេ?</t>
        </is>
      </c>
      <c r="I415" s="74" t="inlineStr">
        <is>
          <t>អ្នកមានគណនីរួចហើយ?</t>
        </is>
      </c>
      <c r="J415" s="217" t="inlineStr">
        <is>
          <t>"register.descriptionLogin": "Sign in with existing account?",</t>
        </is>
      </c>
    </row>
    <row r="416" ht="15.75" customHeight="1" s="305">
      <c r="A416" s="67" t="inlineStr">
        <is>
          <t>register.login</t>
        </is>
      </c>
      <c r="B416" s="67" t="inlineStr">
        <is>
          <t>Đăng nhập ngay</t>
        </is>
      </c>
      <c r="C416" s="67" t="inlineStr">
        <is>
          <t>Login now</t>
        </is>
      </c>
      <c r="D416" s="3">
        <f>IFERROR(__xludf.DUMMYFUNCTION("GOOGLETRANSLATE(B416,""vi"",""km"")"),"ចូលឥឡូវនេះ")</f>
        <v/>
      </c>
      <c r="E416" s="3" t="inlineStr">
        <is>
          <t>ចុះចូលអីឡូវនេះ</t>
        </is>
      </c>
      <c r="F416" s="217" t="inlineStr">
        <is>
          <t>v</t>
        </is>
      </c>
      <c r="G416" s="217" t="inlineStr">
        <is>
          <t>ចុះចូលអីឡូវនេះ</t>
        </is>
      </c>
      <c r="H416" t="inlineStr">
        <is>
          <t>ចុះចូលអីឡូវនេះ</t>
        </is>
      </c>
      <c r="I416" s="74" t="inlineStr">
        <is>
          <t>ចូលឥឡូវនេះ</t>
        </is>
      </c>
      <c r="J416" s="217" t="inlineStr">
        <is>
          <t>"register.login": "Login now",</t>
        </is>
      </c>
    </row>
    <row r="417" ht="15.75" customHeight="1" s="305">
      <c r="A417" s="67" t="inlineStr">
        <is>
          <t>register.inputName</t>
        </is>
      </c>
      <c r="B417" s="67" t="inlineStr">
        <is>
          <t>Nhập họ và tên</t>
        </is>
      </c>
      <c r="C417" s="67" t="inlineStr">
        <is>
          <t>Fullname</t>
        </is>
      </c>
      <c r="D417" s="3">
        <f>IFERROR(__xludf.DUMMYFUNCTION("GOOGLETRANSLATE(B417,""vi"",""km"")"),"បញ្ចូលឈ្មោះ និងនាមត្រកូលរបស់អ្នក")</f>
        <v/>
      </c>
      <c r="E417" s="3" t="inlineStr">
        <is>
          <t xml:space="preserve">បញ្ចូលគោត្តនាម និងនាម </t>
        </is>
      </c>
      <c r="F417" s="217" t="inlineStr">
        <is>
          <t>v</t>
        </is>
      </c>
      <c r="G417" s="217" t="inlineStr">
        <is>
          <t>បញ្ចូលគោត្តនាម និងនាម</t>
        </is>
      </c>
      <c r="H417" t="inlineStr">
        <is>
          <t>បញ្ចូលគោត្តនាម និងនាម</t>
        </is>
      </c>
      <c r="I417" s="74" t="inlineStr">
        <is>
          <t>បញ្ចូលឈ្មោះ និងនាមត្រកូល</t>
        </is>
      </c>
      <c r="J417" s="217" t="inlineStr">
        <is>
          <t>"register.inputName": "Fullname",</t>
        </is>
      </c>
    </row>
    <row r="418" ht="15.75" customHeight="1" s="305">
      <c r="A418" s="67" t="inlineStr">
        <is>
          <t>register.inputPhoneEmail</t>
        </is>
      </c>
      <c r="B418" s="67" t="inlineStr">
        <is>
          <t>Nhập số điện thoại hoặc email</t>
        </is>
      </c>
      <c r="C418" s="67" t="inlineStr">
        <is>
          <t>Mobile number or Email</t>
        </is>
      </c>
      <c r="D418" s="3">
        <f>IFERROR(__xludf.DUMMYFUNCTION("GOOGLETRANSLATE(B418,""vi"",""km"")"),"បញ្ចូលលេខទូរស័ព្ទ ឬអាសយដ្ឋានអ៊ីមែលរបស់អ្នក។")</f>
        <v/>
      </c>
      <c r="E418" s="3" t="inlineStr">
        <is>
          <t>បញ្ចូ្ចលលេខទូរស័ព្ទឬអ៊ីម៉ែល</t>
        </is>
      </c>
      <c r="F418" s="217" t="inlineStr">
        <is>
          <t>v</t>
        </is>
      </c>
      <c r="G418" s="217" t="inlineStr">
        <is>
          <t>បញ្ចូ្ចលលេខទូរស័ព្ទឬអ៊ីម៉ែល</t>
        </is>
      </c>
      <c r="H418" t="inlineStr">
        <is>
          <t>បញ្ចូ្ចលលេខទូរស័ព្ទឬអ៊ីម៉ែល</t>
        </is>
      </c>
      <c r="I418" s="74" t="inlineStr">
        <is>
          <t>បញ្ចូលលេខទូរស័ព្ទ ឬអ៊ីមែល</t>
        </is>
      </c>
      <c r="J418" s="217" t="inlineStr">
        <is>
          <t>"register.inputPhoneEmail": "Mobile number or Email",</t>
        </is>
      </c>
    </row>
    <row r="419" ht="15.75" customHeight="1" s="305">
      <c r="A419" s="67" t="inlineStr">
        <is>
          <t>register.inputPassword</t>
        </is>
      </c>
      <c r="B419" s="67" t="inlineStr">
        <is>
          <t>Nhập mật khẩu</t>
        </is>
      </c>
      <c r="C419" s="67" t="inlineStr">
        <is>
          <t>Enter password</t>
        </is>
      </c>
      <c r="D419" s="3">
        <f>IFERROR(__xludf.DUMMYFUNCTION("GOOGLETRANSLATE(B419,""vi"",""km"")"),"បញ្ចូលពាក្យសម្ងាត់")</f>
        <v/>
      </c>
      <c r="E419" s="3" t="inlineStr">
        <is>
          <t>បញ្ចូលលេខសម្ងាត់</t>
        </is>
      </c>
      <c r="F419" s="217" t="inlineStr">
        <is>
          <t>v</t>
        </is>
      </c>
      <c r="G419" s="217" t="inlineStr">
        <is>
          <t>បញ្ចូលលេខសម្ងាត់</t>
        </is>
      </c>
      <c r="H419" t="inlineStr">
        <is>
          <t>បញ្ចូលលេខសម្ងាត់</t>
        </is>
      </c>
      <c r="I419" s="74" t="inlineStr">
        <is>
          <t>បញ្ចូលពាក្យសម្ងាត់</t>
        </is>
      </c>
      <c r="J419" s="217" t="inlineStr">
        <is>
          <t>"register.inputPassword": "Enter password",</t>
        </is>
      </c>
    </row>
    <row r="420" ht="15.75" customHeight="1" s="305">
      <c r="A420" s="67" t="inlineStr">
        <is>
          <t>register.inputPasswordConfirm</t>
        </is>
      </c>
      <c r="B420" s="67" t="inlineStr">
        <is>
          <t>Nhập lại mật khẩu</t>
        </is>
      </c>
      <c r="C420" s="67" t="inlineStr">
        <is>
          <t>Re-enter password</t>
        </is>
      </c>
      <c r="D420" s="3">
        <f>IFERROR(__xludf.DUMMYFUNCTION("GOOGLETRANSLATE(B420,""vi"",""km"")"),"បញ្ចូលពាក្យសម្ងាត់ឡើងវិញ")</f>
        <v/>
      </c>
      <c r="E420" s="3" t="inlineStr">
        <is>
          <t>បញ្ចូលលេខសម្ងាត់ម្តងទៀត</t>
        </is>
      </c>
      <c r="F420" s="217" t="inlineStr">
        <is>
          <t>v</t>
        </is>
      </c>
      <c r="G420" s="217" t="inlineStr">
        <is>
          <t>បញ្ចូលលេខសម្ងាត់ម្តងទៀត</t>
        </is>
      </c>
      <c r="H420" t="inlineStr">
        <is>
          <t>បញ្ចូលលេខសម្ងាត់ម្តងទៀត</t>
        </is>
      </c>
      <c r="I420" s="74" t="inlineStr">
        <is>
          <t>បញ្ចូលពាក្យសម្ងាត់ម្តងទៀត</t>
        </is>
      </c>
      <c r="J420" s="217" t="inlineStr">
        <is>
          <t>"register.inputPasswordConfirm": "Re-enter password",</t>
        </is>
      </c>
    </row>
    <row r="421" ht="15.75" customHeight="1" s="305">
      <c r="A421" s="67" t="inlineStr">
        <is>
          <t>register.errorConfirmPassword</t>
        </is>
      </c>
      <c r="B421" s="67" t="inlineStr">
        <is>
          <t>Mật khẩu và nhập lại mật khẩu không khớp!</t>
        </is>
      </c>
      <c r="C421" s="67" t="inlineStr">
        <is>
          <t>Password and re-entered password do not match!!</t>
        </is>
      </c>
      <c r="D421" s="3">
        <f>IFERROR(__xludf.DUMMYFUNCTION("GOOGLETRANSLATE(B421,""vi"",""km"")"),"ពាក្យសម្ងាត់ និងពាក្យសម្ងាត់ដែលបញ្ចូលឡើងវិញមិនត្រូវគ្នាទេ!")</f>
        <v/>
      </c>
      <c r="E421" s="3" t="inlineStr">
        <is>
          <t>លេខសម្ងាត់ និងលេខសម្ងាត់បញ្ចូលម្តងទៀត មិនផ្ញៀងផ្ទាត់!</t>
        </is>
      </c>
      <c r="F421" s="217" t="inlineStr">
        <is>
          <t>v</t>
        </is>
      </c>
      <c r="G421" s="217" t="inlineStr">
        <is>
          <t>លេខសម្ងាត់ និងលេខសម្ងាត់បញ្ចូលម្តងទៀត មិនផ្ញៀងផ្ទាត់!</t>
        </is>
      </c>
      <c r="H421" t="inlineStr">
        <is>
          <t>លេខសម្ងាត់ និងលេខសម្ងាត់បញ្ចូលម្តងទៀត មិនផ្ញៀងផ្ទាត់!</t>
        </is>
      </c>
      <c r="I421" s="74" t="inlineStr">
        <is>
          <t>ពាក្យ​សម្ងាត់​ហើយ​បញ្ចូល​ពាក្យ​សម្ងាត់​ឡើង​វិញ​មិន​ត្រូវ​គ្នា​ទេ!</t>
        </is>
      </c>
      <c r="J421" s="217" t="inlineStr">
        <is>
          <t>"register.errorConfirmPassword": "Password and re-entered password do not match!!",</t>
        </is>
      </c>
    </row>
    <row r="422" ht="15.75" customHeight="1" s="305">
      <c r="A422" s="67" t="inlineStr">
        <is>
          <t>register.register</t>
        </is>
      </c>
      <c r="B422" s="67" t="inlineStr">
        <is>
          <t>Đăng ký ngay</t>
        </is>
      </c>
      <c r="C422" s="67" t="inlineStr">
        <is>
          <t>Register</t>
        </is>
      </c>
      <c r="D422" s="3">
        <f>IFERROR(__xludf.DUMMYFUNCTION("GOOGLETRANSLATE(B422,""vi"",""km"")"),"ចុះឈ្មោះឥឡូវនេះ")</f>
        <v/>
      </c>
      <c r="E422" s="3" t="inlineStr">
        <is>
          <t>ចុះឈ្មោះអីឡូវនេះ</t>
        </is>
      </c>
      <c r="F422" s="217" t="inlineStr">
        <is>
          <t>v</t>
        </is>
      </c>
      <c r="G422" s="217" t="inlineStr">
        <is>
          <t>ចុះឈ្មោះអីឡូវនេះ</t>
        </is>
      </c>
      <c r="H422" t="inlineStr">
        <is>
          <t>ចុះឈ្មោះអីឡូវនេះ</t>
        </is>
      </c>
      <c r="I422" s="74" t="inlineStr">
        <is>
          <t>ចុះឈ្មោះ</t>
        </is>
      </c>
      <c r="J422" s="217" t="inlineStr">
        <is>
          <t>"register.register": "Register",</t>
        </is>
      </c>
    </row>
    <row r="423" ht="15.75" customHeight="1" s="305">
      <c r="A423" s="67" t="inlineStr">
        <is>
          <t>register.descriptionSupport</t>
        </is>
      </c>
      <c r="B423" s="67" t="inlineStr">
        <is>
          <t>Nếu quý khách không đăng ký được thông tin tài khoản, vui lòng liên hệ Chăm sóc khách hàng của Metfone Express</t>
        </is>
      </c>
      <c r="C423" s="67" t="inlineStr">
        <is>
          <t>If you cannot register your account information, please contact Metfone Express Customer Service</t>
        </is>
      </c>
      <c r="D423" s="3">
        <f>IFERROR(__xludf.DUMMYFUNCTION("GOOGLETRANSLATE(B423,""vi"",""km"")"),"ប្រសិនបើអ្នកមិនអាចចុះឈ្មោះគណនីបានទេ សូមទាក់ទងសេវាបម្រើអតិថិជន Metfone Express។")</f>
        <v/>
      </c>
      <c r="E423" s="3" t="inlineStr">
        <is>
          <t>ប្រសិនបើអតិថិជនមិនអាចចុចបញ្ចូលព័ត៌មានក្នុងករណីបាន សូមមេត្តាទាក់ទងទៅកាន់ផ្នែកជំនួយដល់អតិថិជនរបស់ Metfone Express</t>
        </is>
      </c>
      <c r="F423" s="217" t="inlineStr">
        <is>
          <t>v</t>
        </is>
      </c>
      <c r="G423" s="217" t="inlineStr">
        <is>
          <t>ប្រសិនបើអតិថិជនមិនអាចចុចបញ្ចូលព័ត៌មានក្នុងករណីបាន សូមមេត្តាទាក់ទងទៅកាន់ផ្នែកជំនួយដល់អតិថិជនរបស់ Metfone Express</t>
        </is>
      </c>
      <c r="H423" t="inlineStr">
        <is>
          <t>ប្រសិនបើអតិថិជនមិនអាចចុចបញ្ចូលព័ត៌មានក្នុងករណីបាន សូមមេត្តាទាក់ទងទៅកាន់ផ្នែកជំនួយដល់អតិថិជនរបស់ Metfone Express</t>
        </is>
      </c>
      <c r="I423" s="74" t="inlineStr">
        <is>
          <t>ប្រសិនបើអ្នកមិនអាចចុះឈ្មោះគណនីបានទេ សូមទាក់ទង​ ផ្នែកថែទាំអតិថិជនរបស់Metfone Express</t>
        </is>
      </c>
      <c r="J423" s="217" t="inlineStr">
        <is>
          <t>"register.descriptionSupport": "If you cannot register your account information, please contact Metfone Express Customer Service",</t>
        </is>
      </c>
    </row>
    <row r="424" ht="15.75" customHeight="1" s="305">
      <c r="A424" s="67" t="inlineStr">
        <is>
          <t>register.support</t>
        </is>
      </c>
      <c r="B424" s="67" t="inlineStr">
        <is>
          <t>để được hỗ trợ</t>
        </is>
      </c>
      <c r="C424" s="67" t="inlineStr">
        <is>
          <t>Get support</t>
        </is>
      </c>
      <c r="D424" s="3">
        <f>IFERROR(__xludf.DUMMYFUNCTION("GOOGLETRANSLATE(B424,""vi"",""km"")"),"ដើម្បីទទួលបានការគាំទ្រ")</f>
        <v/>
      </c>
      <c r="E424" s="3" t="inlineStr">
        <is>
          <t>ដើម្បីទទួលបានជំនួយ</t>
        </is>
      </c>
      <c r="F424" s="217" t="inlineStr">
        <is>
          <t>v</t>
        </is>
      </c>
      <c r="G424" s="217" t="inlineStr">
        <is>
          <t>ដើម្បីទទួលបានជំនួយ</t>
        </is>
      </c>
      <c r="H424" t="inlineStr">
        <is>
          <t>ដើម្បីទទួលបានជំនួយ</t>
        </is>
      </c>
      <c r="I424" s="74" t="inlineStr">
        <is>
          <t>សម្រាប់ជំនួយ</t>
        </is>
      </c>
      <c r="J424" s="217" t="inlineStr">
        <is>
          <t>"register.support": "Get support",</t>
        </is>
      </c>
    </row>
    <row r="425" ht="15.75" customHeight="1" s="305">
      <c r="A425" s="67" t="inlineStr">
        <is>
          <t>register.loginSocial</t>
        </is>
      </c>
      <c r="B425" s="67" t="inlineStr">
        <is>
          <t>Hoặc đăng nhập bằng</t>
        </is>
      </c>
      <c r="C425" s="67" t="inlineStr">
        <is>
          <t>Login with</t>
        </is>
      </c>
      <c r="D425" s="3">
        <f>IFERROR(__xludf.DUMMYFUNCTION("GOOGLETRANSLATE(B425,""vi"",""km"")"),"ឬចូលជាមួយ")</f>
        <v/>
      </c>
      <c r="E425" s="3" t="inlineStr">
        <is>
          <t>ឬធ្វើការចូលដោយប្រើ</t>
        </is>
      </c>
      <c r="F425" s="217" t="inlineStr">
        <is>
          <t>v</t>
        </is>
      </c>
      <c r="G425" s="217" t="inlineStr">
        <is>
          <t>ឬធ្វើការចូលដោយប្រើ</t>
        </is>
      </c>
      <c r="H425" t="inlineStr">
        <is>
          <t>ឬធ្វើការចូលដោយប្រើ</t>
        </is>
      </c>
      <c r="I425" s="74" t="inlineStr">
        <is>
          <t>ចុចចូលជាមួយ</t>
        </is>
      </c>
      <c r="J425" s="217" t="inlineStr">
        <is>
          <t>"register.loginSocial": "Login with",</t>
        </is>
      </c>
    </row>
    <row r="426" ht="15.75" customHeight="1" s="305">
      <c r="A426" s="67" t="inlineStr">
        <is>
          <t>register.policy_1</t>
        </is>
      </c>
      <c r="B426" s="67" t="inlineStr">
        <is>
          <t>Khi nhấn Đăng ký, bạn đã đồng ý thực hiện mọi giao dịch mua bán theo</t>
        </is>
      </c>
      <c r="C426" s="67" t="inlineStr">
        <is>
          <t>When you click Register, you agree to carry out all purchases and sale transactions according to</t>
        </is>
      </c>
      <c r="D426" s="3">
        <f>IFERROR(__xludf.DUMMYFUNCTION("GOOGLETRANSLATE(B426,""vi"",""km"")"),"ដោយចុចចុះឈ្មោះ អ្នកយល់ព្រមធ្វើប្រតិបត្តិការទិញលក់ទាំងអស់ក្រោមឈ្មោះរបស់អ្នក។")</f>
        <v/>
      </c>
      <c r="E426" s="3" t="inlineStr">
        <is>
          <t>ពេលចុចចុះឈ្មោះចូល អ្នកបានយល់ព្រមអនុវត្តន៍គ្រប់ប្រតិបត្តិទិញលក់តាម</t>
        </is>
      </c>
      <c r="F426" s="217" t="inlineStr">
        <is>
          <t>x</t>
        </is>
      </c>
      <c r="G426" s="217" t="inlineStr">
        <is>
          <t>ពេលចុចចុះឈ្មោះចូល អ្នកបានយល់ព្រមអនុវត្តន៍គ្រប់ប្រតិបត្តិទិញលក់តាម</t>
        </is>
      </c>
      <c r="H426" t="inlineStr">
        <is>
          <t>ពេលចុចចុះឈ្មោះចូល អ្នកបានយល់ព្រមអនុវត្តន៍គ្រប់ប្រតិបត្តិទិញលក់តាម</t>
        </is>
      </c>
      <c r="I426" s="74" t="inlineStr">
        <is>
          <t>នៅពេលអ្នកចុចចុះឈ្មោះ អ្នកយល់ព្រមធ្វើប្រតិបត្តិការទិញ និងលក់ទាំងអស់ យោងទៅតាមលក្ខខណ្ឌប្រើប្រាស់ និងគោលការណ៍របស់ Metfone Express។</t>
        </is>
      </c>
      <c r="J426" s="217" t="inlineStr">
        <is>
          <t>"register.policy_1": "When you click Register, you agree to carry out all purchases and sale transactions according to",</t>
        </is>
      </c>
    </row>
    <row r="427" ht="15.75" customHeight="1" s="305">
      <c r="A427" s="67" t="inlineStr">
        <is>
          <t>register.policy_2</t>
        </is>
      </c>
      <c r="B427" s="67" t="inlineStr">
        <is>
          <t>Điều kiện sử dụng &amp; Chính sách</t>
        </is>
      </c>
      <c r="C427" s="67" t="inlineStr">
        <is>
          <t>Metfone Express's Term of Use &amp; Policies</t>
        </is>
      </c>
      <c r="D427" s="3">
        <f>IFERROR(__xludf.DUMMYFUNCTION("GOOGLETRANSLATE(B427,""vi"",""km"")"),"លក្ខខណ្ឌនៃការប្រើប្រាស់ និងគោលការណ៍")</f>
        <v/>
      </c>
      <c r="E427" s="3" t="inlineStr">
        <is>
          <t>លក្ខ័ណ្ឌនៃការប្រើប្រាស់ &amp; គោលការណ៍</t>
        </is>
      </c>
      <c r="F427" s="217" t="inlineStr">
        <is>
          <t>v</t>
        </is>
      </c>
      <c r="G427" s="217" t="inlineStr">
        <is>
          <t>លក្ខ័ណ្ឌនៃការប្រើប្រាស់ &amp; គោលការណ៍</t>
        </is>
      </c>
      <c r="H427" t="inlineStr">
        <is>
          <t>លក្ខ័ណ្ឌនៃការប្រើប្រាស់ &amp; គោលការណ៍</t>
        </is>
      </c>
      <c r="I427" s="74" t="inlineStr">
        <is>
          <t>លក្ខខណ្ឌប្រើប្រាស់ និងគោលការណ៍របស់ Metfone Express</t>
        </is>
      </c>
      <c r="J427" s="217" t="inlineStr">
        <is>
          <t>"register.policy_2": "Metfone Express's Term of Use &amp; Policies",</t>
        </is>
      </c>
    </row>
    <row r="428" ht="15.75" customHeight="1" s="305">
      <c r="A428" s="67" t="inlineStr">
        <is>
          <t>register.policy_3</t>
        </is>
      </c>
      <c r="B428" s="67" t="inlineStr">
        <is>
          <t>của bưu chính Metfone Express.</t>
        </is>
      </c>
      <c r="C428" s="67" t="n"/>
      <c r="D428" s="3">
        <f>IFERROR(__xludf.DUMMYFUNCTION("GOOGLETRANSLATE(B428,""vi"",""km"")"),"តាមរយៈសេវាប្រៃសណីយ៍ Metfone Express។")</f>
        <v/>
      </c>
      <c r="E428" s="3" t="inlineStr">
        <is>
          <t>របស់ការិយាល័យប្រៃសណីយ៍ Metfone Express</t>
        </is>
      </c>
      <c r="F428" s="217" t="inlineStr">
        <is>
          <t>v</t>
        </is>
      </c>
      <c r="G428" s="217" t="inlineStr">
        <is>
          <t>របស់ការិយាល័យប្រៃសណីយ៍ Metfone Express</t>
        </is>
      </c>
      <c r="H428" t="inlineStr">
        <is>
          <t>របស់ការិយាល័យប្រៃសណីយ៍ Metfone Express</t>
        </is>
      </c>
      <c r="I428" s="74" t="n"/>
      <c r="J428" s="217" t="inlineStr">
        <is>
          <t>"register.policy_3": "",</t>
        </is>
      </c>
    </row>
    <row r="429" ht="15.75" customHeight="1" s="305">
      <c r="A429" s="67" t="inlineStr">
        <is>
          <t>OTP.title</t>
        </is>
      </c>
      <c r="B429" s="67" t="inlineStr">
        <is>
          <t>Xác thực OTP</t>
        </is>
      </c>
      <c r="C429" s="67" t="inlineStr">
        <is>
          <t>OTP verification</t>
        </is>
      </c>
      <c r="D429" s="3">
        <f>IFERROR(__xludf.DUMMYFUNCTION("GOOGLETRANSLATE(B429,""vi"",""km"")"),"ការផ្ទៀងផ្ទាត់ OTP")</f>
        <v/>
      </c>
      <c r="E429" s="3" t="inlineStr">
        <is>
          <t>បញ្ជាក់ OTP</t>
        </is>
      </c>
      <c r="F429" s="217" t="inlineStr">
        <is>
          <t>v</t>
        </is>
      </c>
      <c r="G429" s="217" t="inlineStr">
        <is>
          <t>បញ្ជាក់ OTP</t>
        </is>
      </c>
      <c r="H429" t="inlineStr">
        <is>
          <t>បញ្ជាក់ OTP</t>
        </is>
      </c>
      <c r="I429" s="74" t="inlineStr">
        <is>
          <t>ការផ្ទៀងផ្ទាត់ OTP</t>
        </is>
      </c>
      <c r="J429" s="217" t="inlineStr">
        <is>
          <t>"OTP.title": "OTP verification",</t>
        </is>
      </c>
    </row>
    <row r="430" ht="15.75" customHeight="1" s="305">
      <c r="A430" s="67" t="inlineStr">
        <is>
          <t>OTP.sendOtpToEmail</t>
        </is>
      </c>
      <c r="B430" s="67" t="inlineStr">
        <is>
          <t>Nhập OTP vừa được gửi tới email</t>
        </is>
      </c>
      <c r="C430" s="67" t="inlineStr">
        <is>
          <t>Enter the received OTP code from email</t>
        </is>
      </c>
      <c r="D430" s="3">
        <f>IFERROR(__xludf.DUMMYFUNCTION("GOOGLETRANSLATE(B430,""vi"",""km"")"),"បញ្ចូលលេខ OTP ដែលទើបតែផ្ញើទៅកាន់អ៊ីមែលរបស់អ្នក។")</f>
        <v/>
      </c>
      <c r="E430" s="3" t="inlineStr">
        <is>
          <t>ចូលដើម្បីទទួលយកកូដ OTP ពី អ៊ីម៉ែល</t>
        </is>
      </c>
      <c r="F430" s="217" t="inlineStr">
        <is>
          <t>v</t>
        </is>
      </c>
      <c r="G430" s="217" t="inlineStr">
        <is>
          <t>ចូលដើម្បីទទួលយកកូដ OTP ពី អ៊ីម៉ែល</t>
        </is>
      </c>
      <c r="H430" t="inlineStr">
        <is>
          <t>ចូលដើម្បីទទួលយកកូដ OTP ពី អ៊ីម៉ែល</t>
        </is>
      </c>
      <c r="I430" s="74" t="inlineStr">
        <is>
          <t>បញ្ចូល OTP ដែលទើបតែផ្ញើទៅអ៊ីមែល</t>
        </is>
      </c>
      <c r="J430" s="217" t="inlineStr">
        <is>
          <t>"OTP.sendOtpToEmail": "Enter the received OTP code from email",</t>
        </is>
      </c>
    </row>
    <row r="431" ht="15.75" customHeight="1" s="305">
      <c r="A431" s="67" t="inlineStr">
        <is>
          <t>OTP.send</t>
        </is>
      </c>
      <c r="B431" s="67" t="inlineStr">
        <is>
          <t>Gửi</t>
        </is>
      </c>
      <c r="C431" s="67" t="inlineStr">
        <is>
          <t>Send</t>
        </is>
      </c>
      <c r="D431" s="3">
        <f>IFERROR(__xludf.DUMMYFUNCTION("GOOGLETRANSLATE(B431,""vi"",""km"")"),"ផ្ញើ")</f>
        <v/>
      </c>
      <c r="E431" s="3" t="inlineStr">
        <is>
          <t>ផ្ញើ</t>
        </is>
      </c>
      <c r="F431" s="217" t="inlineStr">
        <is>
          <t>v</t>
        </is>
      </c>
      <c r="G431" s="217" t="inlineStr">
        <is>
          <t>ផ្ញើ</t>
        </is>
      </c>
      <c r="H431" t="inlineStr">
        <is>
          <t>ផ្ញើ</t>
        </is>
      </c>
      <c r="I431" s="74" t="inlineStr">
        <is>
          <t>ផ្ញើ</t>
        </is>
      </c>
      <c r="J431" s="217" t="inlineStr">
        <is>
          <t>"OTP.send": "Send",</t>
        </is>
      </c>
    </row>
    <row r="432" ht="15.75" customHeight="1" s="305">
      <c r="A432" s="67" t="inlineStr">
        <is>
          <t>OTP.supportOtp</t>
        </is>
      </c>
      <c r="B432" s="67" t="inlineStr">
        <is>
          <t>Quý khách chưa nhận được OTP?</t>
        </is>
      </c>
      <c r="C432" s="67" t="inlineStr">
        <is>
          <t>Can't recceive OTP code?</t>
        </is>
      </c>
      <c r="D432" s="3">
        <f>IFERROR(__xludf.DUMMYFUNCTION("GOOGLETRANSLATE(B432,""vi"",""km"")"),"តើអ្នកមិនទាន់បានទទួល OTP ទេឬ?")</f>
        <v/>
      </c>
      <c r="E432" s="3" t="inlineStr">
        <is>
          <t>អតិថិជនមិនទាន់បានទទួលកូដ OTP មែនទេ?</t>
        </is>
      </c>
      <c r="F432" s="217" t="inlineStr">
        <is>
          <t>v</t>
        </is>
      </c>
      <c r="G432" s="217" t="inlineStr">
        <is>
          <t>អតិថិជនមិនទាន់បានទទួលកូដ OTP មែនទេ?</t>
        </is>
      </c>
      <c r="H432" t="inlineStr">
        <is>
          <t>អតិថិជនមិនទាន់បានទទួលកូដ OTP មែនទេ?</t>
        </is>
      </c>
      <c r="I432" s="74" t="inlineStr">
        <is>
          <t>មិនអាចទទួល OTP ទេ?</t>
        </is>
      </c>
      <c r="J432" s="217" t="inlineStr">
        <is>
          <t>"OTP.supportOtp": "Can't recceive OTP code?",</t>
        </is>
      </c>
    </row>
    <row r="433" ht="15.75" customHeight="1" s="305">
      <c r="A433" s="67" t="inlineStr">
        <is>
          <t>OTP.resend</t>
        </is>
      </c>
      <c r="B433" s="67" t="inlineStr">
        <is>
          <t>Gửi lại</t>
        </is>
      </c>
      <c r="C433" s="67" t="inlineStr">
        <is>
          <t>Resend</t>
        </is>
      </c>
      <c r="D433" s="3">
        <f>IFERROR(__xludf.DUMMYFUNCTION("GOOGLETRANSLATE(B433,""vi"",""km"")"),"ផ្ញើឡើងវិញ")</f>
        <v/>
      </c>
      <c r="E433" s="3" t="inlineStr">
        <is>
          <t>ផ្ញើម្តងទៀត</t>
        </is>
      </c>
      <c r="F433" s="217" t="inlineStr">
        <is>
          <t>v</t>
        </is>
      </c>
      <c r="G433" s="217" t="inlineStr">
        <is>
          <t>ផ្ញើម្តងទៀត</t>
        </is>
      </c>
      <c r="H433" t="inlineStr">
        <is>
          <t>ផ្ញើម្តងទៀត</t>
        </is>
      </c>
      <c r="I433" s="74" t="inlineStr">
        <is>
          <t>ផ្ញើម្តងទៀត</t>
        </is>
      </c>
      <c r="J433" s="217" t="inlineStr">
        <is>
          <t>"OTP.resend": "Resend",</t>
        </is>
      </c>
    </row>
    <row r="434" ht="15.75" customHeight="1" s="305">
      <c r="A434" s="67" t="inlineStr">
        <is>
          <t>delivery.customer.search.placeholder</t>
        </is>
      </c>
      <c r="B434" s="67" t="inlineStr">
        <is>
          <t>Nhập số điện thoại hoặc email để tìm kiếm</t>
        </is>
      </c>
      <c r="C434" s="67" t="inlineStr">
        <is>
          <t>Enter phone number or email to search</t>
        </is>
      </c>
      <c r="D434" s="3">
        <f>IFERROR(__xludf.DUMMYFUNCTION("GOOGLETRANSLATE(B434,""vi"",""km"")"),"បញ្ចូលលេខទូរស័ព្ទ ឬអាសយដ្ឋានអ៊ីមែលដើម្បីស្វែងរក។")</f>
        <v/>
      </c>
      <c r="E434" s="3" t="inlineStr">
        <is>
          <t>បញ្ចូលលេខទូរស័ព្ទឬ អ៊ីម៉ែលដើម្បីស្វែងរក</t>
        </is>
      </c>
      <c r="F434" s="217" t="inlineStr">
        <is>
          <t>v</t>
        </is>
      </c>
      <c r="G434" s="217" t="inlineStr">
        <is>
          <t>បញ្ចូលលេខទូរស័ព្ទឬ អ៊ីម៉ែលដើម្បីស្វែងរក</t>
        </is>
      </c>
      <c r="H434" t="inlineStr">
        <is>
          <t>បញ្ចូលលេខទូរស័ព្ទឬ អ៊ីម៉ែលដើម្បីស្វែងរក</t>
        </is>
      </c>
      <c r="I434" s="74" t="inlineStr">
        <is>
          <t>បញ្ចូលលេខទូរស័ព្ទ ឬអ៊ីមែលដើម្បីស្វែងរក</t>
        </is>
      </c>
      <c r="J434" s="217" t="inlineStr">
        <is>
          <t>"delivery.customer.search.placeholder": "Enter phone number or email to search",</t>
        </is>
      </c>
    </row>
    <row r="435" ht="15.75" customHeight="1" s="305">
      <c r="A435" s="67" t="inlineStr">
        <is>
          <t>delivery.customer.table.name</t>
        </is>
      </c>
      <c r="B435" s="67" t="inlineStr">
        <is>
          <t>Tên khách hàng</t>
        </is>
      </c>
      <c r="C435" s="67" t="inlineStr">
        <is>
          <t>Customer name</t>
        </is>
      </c>
      <c r="D435" s="3">
        <f>IFERROR(__xludf.DUMMYFUNCTION("GOOGLETRANSLATE(B435,""vi"",""km"")"),"ឈ្មោះអតិថិជន")</f>
        <v/>
      </c>
      <c r="E435" s="3" t="inlineStr">
        <is>
          <t>ឈ្មោះអតិថិជន</t>
        </is>
      </c>
      <c r="F435" s="217" t="inlineStr">
        <is>
          <t>v</t>
        </is>
      </c>
      <c r="G435" s="217" t="inlineStr">
        <is>
          <t>ឈ្មោះអតិថិជន</t>
        </is>
      </c>
      <c r="H435" t="inlineStr">
        <is>
          <t>ឈ្មោះអតិថិជន</t>
        </is>
      </c>
      <c r="I435" s="74" t="inlineStr">
        <is>
          <t>ឈ្មោះ​អតិថិជន</t>
        </is>
      </c>
      <c r="J435" s="217" t="inlineStr">
        <is>
          <t>"delivery.customer.table.name": "Customer name",</t>
        </is>
      </c>
    </row>
    <row r="436" ht="15.75" customHeight="1" s="305">
      <c r="A436" s="67" t="inlineStr">
        <is>
          <t>delivery.customer.table.phone</t>
        </is>
      </c>
      <c r="B436" s="67" t="inlineStr">
        <is>
          <t>Số điện thoại</t>
        </is>
      </c>
      <c r="C436" s="67" t="inlineStr">
        <is>
          <t>Mobile number</t>
        </is>
      </c>
      <c r="D436" s="3">
        <f>IFERROR(__xludf.DUMMYFUNCTION("GOOGLETRANSLATE(B436,""vi"",""km"")"),"លេខទូរស័ព្ទ")</f>
        <v/>
      </c>
      <c r="E436" s="3" t="inlineStr">
        <is>
          <t>លេខទូរស័ព្ទ</t>
        </is>
      </c>
      <c r="F436" s="217" t="inlineStr">
        <is>
          <t>v</t>
        </is>
      </c>
      <c r="G436" s="217" t="inlineStr">
        <is>
          <t>លេខទូរស័ព្ទ</t>
        </is>
      </c>
      <c r="H436" t="inlineStr">
        <is>
          <t>លេខទូរស័ព្ទ</t>
        </is>
      </c>
      <c r="I436" s="74" t="inlineStr">
        <is>
          <t>លេខទូរសព្ទ</t>
        </is>
      </c>
      <c r="J436" s="217" t="inlineStr">
        <is>
          <t>"delivery.customer.table.phone": "Mobile number",</t>
        </is>
      </c>
    </row>
    <row r="437" ht="15.75" customHeight="1" s="305">
      <c r="A437" s="67" t="inlineStr">
        <is>
          <t>delivery.customer.table.email</t>
        </is>
      </c>
      <c r="B437" s="67" t="inlineStr">
        <is>
          <t>Email</t>
        </is>
      </c>
      <c r="C437" s="67" t="inlineStr">
        <is>
          <t>Email</t>
        </is>
      </c>
      <c r="D437" s="3">
        <f>IFERROR(__xludf.DUMMYFUNCTION("GOOGLETRANSLATE(B437,""vi"",""km"")"),"អ៊ីមែល")</f>
        <v/>
      </c>
      <c r="E437" s="3" t="inlineStr">
        <is>
          <t>អ៊ីម៉ែល</t>
        </is>
      </c>
      <c r="F437" s="217" t="inlineStr">
        <is>
          <t>v</t>
        </is>
      </c>
      <c r="G437" s="217" t="inlineStr">
        <is>
          <t>អ៊ីម៉ែល</t>
        </is>
      </c>
      <c r="H437" t="inlineStr">
        <is>
          <t>អ៊ីម៉ែល</t>
        </is>
      </c>
      <c r="I437" s="74" t="inlineStr">
        <is>
          <t>អ៊ីមែល</t>
        </is>
      </c>
      <c r="J437" s="217" t="inlineStr">
        <is>
          <t>"delivery.customer.table.email": "Email",</t>
        </is>
      </c>
    </row>
    <row r="438" ht="15.75" customHeight="1" s="305">
      <c r="A438" s="67" t="inlineStr">
        <is>
          <t>delivery.customer.table.address</t>
        </is>
      </c>
      <c r="B438" s="67" t="inlineStr">
        <is>
          <t>Địa chỉ</t>
        </is>
      </c>
      <c r="C438" s="67" t="inlineStr">
        <is>
          <t>Address</t>
        </is>
      </c>
      <c r="D438" s="3">
        <f>IFERROR(__xludf.DUMMYFUNCTION("GOOGLETRANSLATE(B438,""vi"",""km"")"),"អាសយដ្ឋាន")</f>
        <v/>
      </c>
      <c r="E438" s="3" t="inlineStr">
        <is>
          <t>អាស័យដ្ឋាន</t>
        </is>
      </c>
      <c r="F438" s="217" t="inlineStr">
        <is>
          <t>v</t>
        </is>
      </c>
      <c r="G438" s="217" t="inlineStr">
        <is>
          <t>អាសយដ្ឋាន</t>
        </is>
      </c>
      <c r="H438" t="inlineStr">
        <is>
          <t>អាសយដ្ឋាន</t>
        </is>
      </c>
      <c r="I438" s="74" t="inlineStr">
        <is>
          <t>អាស័យដ្ឋាន</t>
        </is>
      </c>
      <c r="J438" s="217" t="inlineStr">
        <is>
          <t>"delivery.customer.table.address": "Address",</t>
        </is>
      </c>
    </row>
    <row r="439" ht="15.75" customHeight="1" s="305">
      <c r="A439" s="67" t="inlineStr">
        <is>
          <t>delivery.warehouse.search.tabName</t>
        </is>
      </c>
      <c r="B439" s="67" t="inlineStr">
        <is>
          <t>Thông tin kho</t>
        </is>
      </c>
      <c r="C439" s="67" t="inlineStr">
        <is>
          <t>Warehouse infomation</t>
        </is>
      </c>
      <c r="D439" s="3">
        <f>IFERROR(__xludf.DUMMYFUNCTION("GOOGLETRANSLATE(B439,""vi"",""km"")"),"ព័ត៌មានឃ្លាំង")</f>
        <v/>
      </c>
      <c r="E439" s="3" t="inlineStr">
        <is>
          <t>ព័ត៌មានឃ្លាំង</t>
        </is>
      </c>
      <c r="F439" s="217" t="inlineStr">
        <is>
          <t>v</t>
        </is>
      </c>
      <c r="G439" s="217" t="inlineStr">
        <is>
          <t>ព័ត៌មានឃ្លាំង</t>
        </is>
      </c>
      <c r="H439" t="inlineStr">
        <is>
          <t>ព័ត៌មានឃ្លាំង</t>
        </is>
      </c>
      <c r="I439" s="74" t="inlineStr">
        <is>
          <t>ព័ត៌មានឃ្លាំង</t>
        </is>
      </c>
      <c r="J439" s="217" t="inlineStr">
        <is>
          <t>"delivery.warehouse.search.tabName": "Warehouse infomation",</t>
        </is>
      </c>
    </row>
    <row r="440" ht="15.75" customHeight="1" s="305">
      <c r="A440" s="67" t="inlineStr">
        <is>
          <t>delivery.warehouse.search.placeholder</t>
        </is>
      </c>
      <c r="B440" s="67" t="inlineStr">
        <is>
          <t>Nhập mã kho hoặc số điện thoại để tìm kiếm</t>
        </is>
      </c>
      <c r="C440" s="67" t="inlineStr">
        <is>
          <t>Enter warehouse code or mobile number</t>
        </is>
      </c>
      <c r="D440" s="3">
        <f>IFERROR(__xludf.DUMMYFUNCTION("GOOGLETRANSLATE(B440,""vi"",""km"")"),"បញ្ចូលលេខកូដឃ្លាំង ឬលេខទូរស័ព្ទដើម្បីស្វែងរក។")</f>
        <v/>
      </c>
      <c r="E440" s="3" t="inlineStr">
        <is>
          <t>បញ្ចូលកូដឃ្លាំង ឬ លេខទូរស័ព្ទដើម្បីស្វែងរក</t>
        </is>
      </c>
      <c r="F440" s="217" t="inlineStr">
        <is>
          <t>v</t>
        </is>
      </c>
      <c r="G440" s="217" t="inlineStr">
        <is>
          <t>បញ្ចូលកូដឃ្លាំង ឬ លេខទូរស័ព្ទដើម្បីស្វែងរក</t>
        </is>
      </c>
      <c r="H440" t="inlineStr">
        <is>
          <t>បញ្ចូលកូដឃ្លាំង ឬ លេខទូរស័ព្ទដើម្បីស្វែងរក</t>
        </is>
      </c>
      <c r="I440" s="74" t="inlineStr">
        <is>
          <t>បញ្ចូលលេខកូដឃ្លាំង ឬលេខទូរស័ព្ទដើម្បីស្វែងរក</t>
        </is>
      </c>
      <c r="J440" s="217" t="inlineStr">
        <is>
          <t>"delivery.warehouse.search.placeholder": "Enter warehouse code or mobile number",</t>
        </is>
      </c>
    </row>
    <row r="441" ht="15.75" customHeight="1" s="305">
      <c r="A441" s="67" t="inlineStr">
        <is>
          <t>delivery.warehouse.table.id</t>
        </is>
      </c>
      <c r="B441" s="67" t="inlineStr">
        <is>
          <t>ID kho</t>
        </is>
      </c>
      <c r="C441" s="67" t="inlineStr">
        <is>
          <t>ID Warehouse</t>
        </is>
      </c>
      <c r="D441" s="3">
        <f>IFERROR(__xludf.DUMMYFUNCTION("GOOGLETRANSLATE(B441,""vi"",""km"")"),"លេខសម្គាល់ឃ្លាំង")</f>
        <v/>
      </c>
      <c r="E441" s="3" t="inlineStr">
        <is>
          <t>លេខសម្គាល់ឃ្លាំង</t>
        </is>
      </c>
      <c r="F441" s="217" t="inlineStr">
        <is>
          <t>v</t>
        </is>
      </c>
      <c r="G441" s="217" t="inlineStr">
        <is>
          <t>លេខសម្គាល់ឃ្លាំង</t>
        </is>
      </c>
      <c r="H441" t="inlineStr">
        <is>
          <t>លេខសម្គាល់ឃ្លាំង</t>
        </is>
      </c>
      <c r="I441" s="74" t="inlineStr">
        <is>
          <t>លេខសម្គាល់ឃ្លាំង</t>
        </is>
      </c>
      <c r="J441" s="217" t="inlineStr">
        <is>
          <t>"delivery.warehouse.table.id": "ID Warehouse",</t>
        </is>
      </c>
    </row>
    <row r="442" ht="15.75" customHeight="1" s="305">
      <c r="A442" s="67" t="inlineStr">
        <is>
          <t>delivery.warehouse.table.name</t>
        </is>
      </c>
      <c r="B442" s="67" t="inlineStr">
        <is>
          <t>Tên kho</t>
        </is>
      </c>
      <c r="C442" s="67" t="inlineStr">
        <is>
          <t>Warehouse name</t>
        </is>
      </c>
      <c r="D442" s="3">
        <f>IFERROR(__xludf.DUMMYFUNCTION("GOOGLETRANSLATE(B442,""vi"",""km"")"),"ឈ្មោះឃ្លាំង")</f>
        <v/>
      </c>
      <c r="E442" s="3" t="inlineStr">
        <is>
          <t>ឈ្មោះឃ្លាំង</t>
        </is>
      </c>
      <c r="F442" s="217" t="inlineStr">
        <is>
          <t>v</t>
        </is>
      </c>
      <c r="G442" s="217" t="inlineStr">
        <is>
          <t>ឈ្មោះឃ្លាំង</t>
        </is>
      </c>
      <c r="H442" t="inlineStr">
        <is>
          <t>ឈ្មោះឃ្លាំង</t>
        </is>
      </c>
      <c r="I442" s="74" t="inlineStr">
        <is>
          <t>ឈ្មោះឃ្លាំង</t>
        </is>
      </c>
      <c r="J442" s="217" t="inlineStr">
        <is>
          <t>"delivery.warehouse.table.name": "Warehouse name",</t>
        </is>
      </c>
    </row>
    <row r="443" ht="15.75" customHeight="1" s="305">
      <c r="A443" s="67" t="inlineStr">
        <is>
          <t>delivery.warehouse.table.phone</t>
        </is>
      </c>
      <c r="B443" s="67" t="inlineStr">
        <is>
          <t>Số điện thoại</t>
        </is>
      </c>
      <c r="C443" s="67" t="inlineStr">
        <is>
          <t>Mobile number</t>
        </is>
      </c>
      <c r="D443" s="3">
        <f>IFERROR(__xludf.DUMMYFUNCTION("GOOGLETRANSLATE(B443,""vi"",""km"")"),"លេខទូរស័ព្ទ")</f>
        <v/>
      </c>
      <c r="E443" s="3" t="inlineStr">
        <is>
          <t>លេខទូរស័ព្ទ</t>
        </is>
      </c>
      <c r="F443" s="217" t="inlineStr">
        <is>
          <t>v</t>
        </is>
      </c>
      <c r="G443" s="217" t="inlineStr">
        <is>
          <t>លេខទូរស័ព្ទ</t>
        </is>
      </c>
      <c r="H443" t="inlineStr">
        <is>
          <t>លេខទូរស័ព្ទ</t>
        </is>
      </c>
      <c r="I443" s="74" t="inlineStr">
        <is>
          <t>លេខទូរសព្ទ</t>
        </is>
      </c>
      <c r="J443" s="217" t="inlineStr">
        <is>
          <t>"delivery.warehouse.table.phone": "Mobile number",</t>
        </is>
      </c>
    </row>
    <row r="444" ht="15.75" customHeight="1" s="305">
      <c r="A444" s="67" t="inlineStr">
        <is>
          <t>delivery.warehouse.table.address</t>
        </is>
      </c>
      <c r="B444" s="67" t="inlineStr">
        <is>
          <t>Địa chỉ</t>
        </is>
      </c>
      <c r="C444" s="67" t="inlineStr">
        <is>
          <t>Address</t>
        </is>
      </c>
      <c r="D444" s="3">
        <f>IFERROR(__xludf.DUMMYFUNCTION("GOOGLETRANSLATE(B444,""vi"",""km"")"),"អាសយដ្ឋាន")</f>
        <v/>
      </c>
      <c r="E444" s="3" t="inlineStr">
        <is>
          <t>អាស័ដ្ឋាន</t>
        </is>
      </c>
      <c r="F444" s="217" t="inlineStr">
        <is>
          <t>v</t>
        </is>
      </c>
      <c r="G444" s="217" t="inlineStr">
        <is>
          <t>អាសយដ្ឋាន</t>
        </is>
      </c>
      <c r="H444" t="inlineStr">
        <is>
          <t>អាសយដ្ឋាន</t>
        </is>
      </c>
      <c r="I444" s="74" t="inlineStr">
        <is>
          <t>អាស័យដ្ឋាន</t>
        </is>
      </c>
      <c r="J444" s="217" t="inlineStr">
        <is>
          <t>"delivery.warehouse.table.address": "Address",</t>
        </is>
      </c>
    </row>
    <row r="445" ht="15.75" customHeight="1" s="305">
      <c r="A445" s="67" t="inlineStr">
        <is>
          <t>delivery.warehouse.table.addressType</t>
        </is>
      </c>
      <c r="B445" s="67" t="inlineStr">
        <is>
          <t>Loại địa chỉ</t>
        </is>
      </c>
      <c r="C445" s="67" t="inlineStr">
        <is>
          <t>Address Type</t>
        </is>
      </c>
      <c r="D445" s="3">
        <f>IFERROR(__xludf.DUMMYFUNCTION("GOOGLETRANSLATE(B445,""vi"",""km"")"),"ប្រភេទអាសយដ្ឋាន")</f>
        <v/>
      </c>
      <c r="E445" s="3" t="inlineStr">
        <is>
          <t>ប្រភេទអាស័យដ្ឋាន</t>
        </is>
      </c>
      <c r="F445" s="217" t="inlineStr">
        <is>
          <t>v</t>
        </is>
      </c>
      <c r="G445" s="217" t="inlineStr">
        <is>
          <t>ប្រភេទអាសយដ្ឋាន</t>
        </is>
      </c>
      <c r="H445" t="inlineStr">
        <is>
          <t>ប្រភេទអាសយដ្ឋាន</t>
        </is>
      </c>
      <c r="I445" s="74" t="inlineStr">
        <is>
          <t>ប្រភេទ​អាសយដ្ឋាន</t>
        </is>
      </c>
      <c r="J445" s="217" t="inlineStr">
        <is>
          <t>"delivery.warehouse.table.addressType": "Address Type",</t>
        </is>
      </c>
    </row>
    <row r="446" ht="15.75" customHeight="1" s="305">
      <c r="A446" s="67" t="inlineStr">
        <is>
          <t>delivery.warehouse.table.postCode</t>
        </is>
      </c>
      <c r="B446" s="67" t="inlineStr">
        <is>
          <t>Bưu cục phục vụ</t>
        </is>
      </c>
      <c r="C446" s="67" t="inlineStr">
        <is>
          <t>Post Code</t>
        </is>
      </c>
      <c r="D446" s="3">
        <f>IFERROR(__xludf.DUMMYFUNCTION("GOOGLETRANSLATE(B446,""vi"",""km"")"),"សេវាកម្មប្រៃសណីយ៍")</f>
        <v/>
      </c>
      <c r="E446" s="3" t="inlineStr">
        <is>
          <t>សេវាកម្មការិយាល័យប្រៃសណីយ៍</t>
        </is>
      </c>
      <c r="F446" s="217" t="inlineStr">
        <is>
          <t>v</t>
        </is>
      </c>
      <c r="G446" s="217" t="inlineStr">
        <is>
          <t>សេវាកម្មការិយាល័យប្រៃសណីយ៍</t>
        </is>
      </c>
      <c r="H446" t="inlineStr">
        <is>
          <t>សេវាកម្មការិយាល័យប្រៃសណីយ៍</t>
        </is>
      </c>
      <c r="I446" s="74" t="inlineStr">
        <is>
          <t>ការិយាល័យបញ្ញើ</t>
        </is>
      </c>
      <c r="J446" s="217" t="inlineStr">
        <is>
          <t>"delivery.warehouse.table.postCode": "Post Code",</t>
        </is>
      </c>
    </row>
    <row r="447" ht="15.75" customHeight="1" s="305">
      <c r="A447" s="67" t="inlineStr">
        <is>
          <t>delivery.warehouse.table.postman</t>
        </is>
      </c>
      <c r="B447" s="67" t="inlineStr">
        <is>
          <t>Tuyến bưu tá</t>
        </is>
      </c>
      <c r="C447" s="67" t="inlineStr">
        <is>
          <t>Postman</t>
        </is>
      </c>
      <c r="D447" s="3">
        <f>IFERROR(__xludf.DUMMYFUNCTION("GOOGLETRANSLATE(B447,""vi"",""km"")"),"សេវាប្រៃសណីយ៍")</f>
        <v/>
      </c>
      <c r="E447" s="3" t="inlineStr">
        <is>
          <t>ផ្លូវអ្នកដឹកជញ្ជូន</t>
        </is>
      </c>
      <c r="F447" s="217" t="inlineStr">
        <is>
          <t>x</t>
        </is>
      </c>
      <c r="G447" s="217" t="inlineStr">
        <is>
          <t>ផ្លូវអ្នកដឹកជញ្ជូន</t>
        </is>
      </c>
      <c r="H447" t="inlineStr">
        <is>
          <t>ផ្លូវអ្នកដឹកជញ្ជូន</t>
        </is>
      </c>
      <c r="I447" s="74" t="inlineStr">
        <is>
          <t>អ្នកបញ្ញើ</t>
        </is>
      </c>
      <c r="J447" s="217" t="inlineStr">
        <is>
          <t>"delivery.warehouse.table.postman": "Postman",</t>
        </is>
      </c>
    </row>
    <row r="448" ht="15.75" customHeight="1" s="305">
      <c r="A448" s="67" t="inlineStr">
        <is>
          <t>delivery.warehouse.table.update_at</t>
        </is>
      </c>
      <c r="B448" s="67" t="inlineStr">
        <is>
          <t>Ngày cập nhật</t>
        </is>
      </c>
      <c r="C448" s="67" t="inlineStr">
        <is>
          <t>Update at</t>
        </is>
      </c>
      <c r="D448" s="3">
        <f>IFERROR(__xludf.DUMMYFUNCTION("GOOGLETRANSLATE(B448,""vi"",""km"")"),"កាលបរិច្ឆេទ​ដែលបានធ្វើបច្ចុប្បន្នភាព")</f>
        <v/>
      </c>
      <c r="E448" s="3" t="inlineStr">
        <is>
          <t>ថ្ងៃអាប់ដេត</t>
        </is>
      </c>
      <c r="F448" s="217" t="inlineStr">
        <is>
          <t>v</t>
        </is>
      </c>
      <c r="G448" s="217" t="inlineStr">
        <is>
          <t>ថ្ងៃអាប់ដេត</t>
        </is>
      </c>
      <c r="H448" t="inlineStr">
        <is>
          <t>ថ្ងៃអាប់ដេត</t>
        </is>
      </c>
      <c r="I448" s="74" t="inlineStr">
        <is>
          <t>ធ្វើបច្ចុប្បន្នភាពនៅ</t>
        </is>
      </c>
      <c r="J448" s="217" t="inlineStr">
        <is>
          <t>"delivery.warehouse.table.update_at": "Update at",</t>
        </is>
      </c>
    </row>
    <row r="449" ht="15.75" customHeight="1" s="305">
      <c r="A449" s="67" t="inlineStr">
        <is>
          <t>delivery.warehouse.table.update_by</t>
        </is>
      </c>
      <c r="B449" s="67" t="inlineStr">
        <is>
          <t>Người cập nhật</t>
        </is>
      </c>
      <c r="C449" s="67" t="inlineStr">
        <is>
          <t>Update By</t>
        </is>
      </c>
      <c r="D449" s="3">
        <f>IFERROR(__xludf.DUMMYFUNCTION("GOOGLETRANSLATE(B449,""vi"",""km"")"),"កម្មវិធីធ្វើបច្ចុប្បន្នភាព")</f>
        <v/>
      </c>
      <c r="E449" s="3" t="inlineStr">
        <is>
          <t>អ្នកអាប់ដេត</t>
        </is>
      </c>
      <c r="F449" s="217" t="inlineStr">
        <is>
          <t>v</t>
        </is>
      </c>
      <c r="G449" s="217" t="inlineStr">
        <is>
          <t>អ្នកអាប់ដេត</t>
        </is>
      </c>
      <c r="H449" t="inlineStr">
        <is>
          <t>អ្នកអាប់ដេត</t>
        </is>
      </c>
      <c r="I449" s="74" t="inlineStr">
        <is>
          <t>ធ្វើបច្ចុប្បន្នភាពដោយ</t>
        </is>
      </c>
      <c r="J449" s="217" t="inlineStr">
        <is>
          <t>"delivery.warehouse.table.update_by": "Update By",</t>
        </is>
      </c>
    </row>
    <row r="450" ht="15.75" customHeight="1" s="305">
      <c r="A450" s="67" t="inlineStr">
        <is>
          <t>delivery.warehouse.table.HOME</t>
        </is>
      </c>
      <c r="B450" s="67" t="inlineStr">
        <is>
          <t>Nhà riêng</t>
        </is>
      </c>
      <c r="C450" s="67" t="inlineStr">
        <is>
          <t>Home</t>
        </is>
      </c>
      <c r="D450" s="3">
        <f>IFERROR(__xludf.DUMMYFUNCTION("GOOGLETRANSLATE(B450,""vi"",""km"")"),"ផ្ទះ")</f>
        <v/>
      </c>
      <c r="E450" s="3" t="inlineStr">
        <is>
          <t>ផ្ទះផ្ទាល់ខ្លួន</t>
        </is>
      </c>
      <c r="F450" s="217" t="inlineStr">
        <is>
          <t>v</t>
        </is>
      </c>
      <c r="G450" s="217" t="inlineStr">
        <is>
          <t>ទំព័រដើម</t>
        </is>
      </c>
      <c r="H450" t="inlineStr">
        <is>
          <t>ទំព័រដើម</t>
        </is>
      </c>
      <c r="I450" s="74" t="inlineStr">
        <is>
          <t>ផ្ទះ</t>
        </is>
      </c>
      <c r="J450" s="217" t="inlineStr">
        <is>
          <t>"delivery.warehouse.table.HOME": "Home",</t>
        </is>
      </c>
    </row>
    <row r="451" ht="15.75" customHeight="1" s="305">
      <c r="A451" s="67" t="inlineStr">
        <is>
          <t>delivery.warehouse.table.OFFICE</t>
        </is>
      </c>
      <c r="B451" s="67" t="inlineStr">
        <is>
          <t>Văn phòng</t>
        </is>
      </c>
      <c r="C451" s="67" t="inlineStr">
        <is>
          <t>Office</t>
        </is>
      </c>
      <c r="D451" s="3">
        <f>IFERROR(__xludf.DUMMYFUNCTION("GOOGLETRANSLATE(B451,""vi"",""km"")"),"ការិយាល័យ")</f>
        <v/>
      </c>
      <c r="E451" s="3" t="inlineStr">
        <is>
          <t>ការិយាល័យ</t>
        </is>
      </c>
      <c r="F451" s="217" t="inlineStr">
        <is>
          <t>v</t>
        </is>
      </c>
      <c r="G451" s="217" t="inlineStr">
        <is>
          <t>ការិយាល័យ</t>
        </is>
      </c>
      <c r="H451" t="inlineStr">
        <is>
          <t>ការិយាល័យ</t>
        </is>
      </c>
      <c r="I451" s="74" t="inlineStr">
        <is>
          <t>ការិយាល័យ</t>
        </is>
      </c>
      <c r="J451" s="217" t="inlineStr">
        <is>
          <t>"delivery.warehouse.table.OFFICE": "Office",</t>
        </is>
      </c>
    </row>
    <row r="452" ht="15.75" customHeight="1" s="305">
      <c r="A452" s="67" t="inlineStr">
        <is>
          <t>delivery.warehouse.table.WAREHOUSE</t>
        </is>
      </c>
      <c r="B452" s="67" t="inlineStr">
        <is>
          <t>Kho hàng</t>
        </is>
      </c>
      <c r="C452" s="67" t="inlineStr">
        <is>
          <t>Warehouse</t>
        </is>
      </c>
      <c r="D452" s="3">
        <f>IFERROR(__xludf.DUMMYFUNCTION("GOOGLETRANSLATE(B452,""vi"",""km"")"),"ឃ្លាំង")</f>
        <v/>
      </c>
      <c r="E452" s="3" t="inlineStr">
        <is>
          <t>ឃ្លាំងអីវ៉ាន់</t>
        </is>
      </c>
      <c r="F452" s="217" t="inlineStr">
        <is>
          <t>v</t>
        </is>
      </c>
      <c r="G452" s="217" t="inlineStr">
        <is>
          <t>ឃ្លាំងអីវ៉ាន់</t>
        </is>
      </c>
      <c r="H452" t="inlineStr">
        <is>
          <t>ឃ្លាំងអីវ៉ាន់</t>
        </is>
      </c>
      <c r="I452" s="74" t="inlineStr">
        <is>
          <t>ឃ្លាំង</t>
        </is>
      </c>
      <c r="J452" s="217" t="inlineStr">
        <is>
          <t>"delivery.warehouse.table.WAREHOUSE": "Warehouse",</t>
        </is>
      </c>
    </row>
    <row r="453" ht="15.75" customHeight="1" s="305">
      <c r="A453" s="67" t="inlineStr">
        <is>
          <t>delivery.warehouse.table.POSTOFFICE</t>
        </is>
      </c>
      <c r="B453" s="67" t="inlineStr">
        <is>
          <t>Bưu cục</t>
        </is>
      </c>
      <c r="C453" s="67" t="inlineStr">
        <is>
          <t>Post Office</t>
        </is>
      </c>
      <c r="D453" s="3">
        <f>IFERROR(__xludf.DUMMYFUNCTION("GOOGLETRANSLATE(B453,""vi"",""km"")"),"ការិយាល័យប្រៃសណីយ៍")</f>
        <v/>
      </c>
      <c r="E453" s="3" t="inlineStr">
        <is>
          <t>ការិយាល័យប្រៃសណីយ៍</t>
        </is>
      </c>
      <c r="F453" s="217" t="inlineStr">
        <is>
          <t>v</t>
        </is>
      </c>
      <c r="G453" s="217" t="inlineStr">
        <is>
          <t>ការិយាល័យប្រៃសណីយ៍</t>
        </is>
      </c>
      <c r="H453" t="inlineStr">
        <is>
          <t>ការិយាល័យប្រៃសណីយ៍</t>
        </is>
      </c>
      <c r="I453" s="74" t="inlineStr">
        <is>
          <t>ការិយាល័យ​ប្រៃសណីយ៍</t>
        </is>
      </c>
      <c r="J453" s="217" t="inlineStr">
        <is>
          <t>"delivery.warehouse.table.POSTOFFICE": "Post Office",</t>
        </is>
      </c>
    </row>
    <row r="454" ht="15.75" customHeight="1" s="305">
      <c r="A454" s="67" t="inlineStr">
        <is>
          <t>delivery.warehouse.table.total</t>
        </is>
      </c>
      <c r="B454" s="67" t="inlineStr">
        <is>
          <t>Tổng kho hàng</t>
        </is>
      </c>
      <c r="C454" s="67" t="inlineStr">
        <is>
          <t>Total warehouse</t>
        </is>
      </c>
      <c r="D454" s="3">
        <f>IFERROR(__xludf.DUMMYFUNCTION("GOOGLETRANSLATE(B454,""vi"",""km"")"),"ឃ្លាំង")</f>
        <v/>
      </c>
      <c r="E454" s="3" t="inlineStr">
        <is>
          <t>ឃ្លាំងអីវ៉ាន់សរុប</t>
        </is>
      </c>
      <c r="F454" s="217" t="inlineStr">
        <is>
          <t>x</t>
        </is>
      </c>
      <c r="G454" s="217" t="inlineStr">
        <is>
          <t>ឃ្លាំងអីវ៉ាន់សរុប</t>
        </is>
      </c>
      <c r="H454" t="inlineStr">
        <is>
          <t>ឃ្លាំងអីវ៉ាន់សរុប</t>
        </is>
      </c>
      <c r="I454" s="74" t="inlineStr">
        <is>
          <t>ឃ្លាំងមេ</t>
        </is>
      </c>
      <c r="J454" s="217" t="inlineStr">
        <is>
          <t>"delivery.warehouse.table.total": "Total warehouse",</t>
        </is>
      </c>
    </row>
    <row r="455" ht="15.75" customHeight="1" s="305">
      <c r="A455" s="67" t="inlineStr">
        <is>
          <t>delivery.warehouse.modifyWarehouse.updateWarehouse</t>
        </is>
      </c>
      <c r="B455" s="67" t="inlineStr">
        <is>
          <t>Cập nhật tuyến phục vụ kho</t>
        </is>
      </c>
      <c r="C455" s="67" t="inlineStr">
        <is>
          <t>Update warehouse routes</t>
        </is>
      </c>
      <c r="D455" s="3">
        <f>IFERROR(__xludf.DUMMYFUNCTION("GOOGLETRANSLATE(B455,""vi"",""km"")"),"ធ្វើបច្ចុប្បន្នភាពផ្លូវសេវាកម្មឃ្លាំង។")</f>
        <v/>
      </c>
      <c r="E455" s="159" t="inlineStr">
        <is>
          <t>អាប់ដេតផ្លូវជួយដល់ឃ្លាំង</t>
        </is>
      </c>
      <c r="F455" s="217" t="inlineStr">
        <is>
          <t>x</t>
        </is>
      </c>
      <c r="G455" s="217" t="inlineStr">
        <is>
          <t>ធ្វើបច្ចុប្បន្នភាពខ្សែផ្លូវបម្រើការឃ្លាំង</t>
        </is>
      </c>
      <c r="H455" t="inlineStr">
        <is>
          <t>ធ្វើបច្ចុប្បន្នភាពខ្សែផ្លូវបម្រើការឃ្លាំង</t>
        </is>
      </c>
      <c r="I455" s="74" t="inlineStr">
        <is>
          <t>ធ្វើបច្ចុប្បន្នភាពផ្លូវឃ្លាំង</t>
        </is>
      </c>
      <c r="J455" s="217" t="inlineStr">
        <is>
          <t>"delivery.warehouse.modifyWarehouse.updateWarehouse": "Update warehouse routes",</t>
        </is>
      </c>
    </row>
    <row r="456" ht="15.75" customHeight="1" s="305">
      <c r="A456" s="67" t="inlineStr">
        <is>
          <t>delivery.warehouse.modifyWarehouse.selectPostCode</t>
        </is>
      </c>
      <c r="B456" s="67" t="inlineStr">
        <is>
          <t>Chọn bưu cục</t>
        </is>
      </c>
      <c r="C456" s="67" t="inlineStr">
        <is>
          <t>Select Post office</t>
        </is>
      </c>
      <c r="D456" s="3">
        <f>IFERROR(__xludf.DUMMYFUNCTION("GOOGLETRANSLATE(B456,""vi"",""km"")"),"ជ្រើសរើសការិយាល័យប្រៃសណីយ៍")</f>
        <v/>
      </c>
      <c r="E456" s="3" t="inlineStr">
        <is>
          <t>ជ្រើសរើសការិយាល័យប្រៃសណីយ៍</t>
        </is>
      </c>
      <c r="F456" s="217" t="inlineStr">
        <is>
          <t>v</t>
        </is>
      </c>
      <c r="G456" s="217" t="inlineStr">
        <is>
          <t>ជ្រើសរើសការិយាល័យប្រៃសណីយ៍</t>
        </is>
      </c>
      <c r="H456" t="inlineStr">
        <is>
          <t>ជ្រើសរើសការិយាល័យប្រៃសណីយ៍</t>
        </is>
      </c>
      <c r="I456" s="74" t="inlineStr">
        <is>
          <t>ជ្រើសរើសការិយាល័យបញ្ញើ</t>
        </is>
      </c>
      <c r="J456" s="217" t="inlineStr">
        <is>
          <t>"delivery.warehouse.modifyWarehouse.selectPostCode": "Select Post office",</t>
        </is>
      </c>
    </row>
    <row r="457" ht="15.75" customHeight="1" s="305">
      <c r="A457" s="67" t="inlineStr">
        <is>
          <t>delivery.warehouse.modifyWarehouse.selectPostman</t>
        </is>
      </c>
      <c r="B457" s="67" t="inlineStr">
        <is>
          <t>Chọn bưu tá</t>
        </is>
      </c>
      <c r="C457" s="67" t="inlineStr">
        <is>
          <t>Select Postman</t>
        </is>
      </c>
      <c r="D457" s="3">
        <f>IFERROR(__xludf.DUMMYFUNCTION("GOOGLETRANSLATE(B457,""vi"",""km"")"),"ជ្រើសរើសអ្នកដឹកជញ្ជូន")</f>
        <v/>
      </c>
      <c r="E457" s="3" t="inlineStr">
        <is>
          <t>ជ្រើសរើសបុគ្គលិកប្រៃសណីយ៍</t>
        </is>
      </c>
      <c r="F457" s="217" t="inlineStr">
        <is>
          <t>v</t>
        </is>
      </c>
      <c r="G457" s="217" t="inlineStr">
        <is>
          <t>ជ្រើសរើសបុគ្គលិកប្រៃសណីយ៍</t>
        </is>
      </c>
      <c r="H457" t="inlineStr">
        <is>
          <t>ជ្រើសរើសបុគ្គលិកប្រៃសណីយ៍</t>
        </is>
      </c>
      <c r="I457" s="74" t="inlineStr">
        <is>
          <t>ជ្រើសរើសអ្នកផ្ញើ</t>
        </is>
      </c>
      <c r="J457" s="217" t="inlineStr">
        <is>
          <t>"delivery.warehouse.modifyWarehouse.selectPostman": "Select Postman",</t>
        </is>
      </c>
    </row>
    <row r="458" ht="15.75" customHeight="1" s="305">
      <c r="A458" s="67" t="inlineStr">
        <is>
          <t>delivery.warehouse.modifyWarehouse.emptyPostcode</t>
        </is>
      </c>
      <c r="B458" s="67" t="inlineStr">
        <is>
          <t>Kho không có bưu cục phục vụ, vui lòng cập nhật bưu cục phục vụ trước</t>
        </is>
      </c>
      <c r="C458" s="67" t="inlineStr">
        <is>
          <t>The warehouse does not have any distributed post office, please update the post office first</t>
        </is>
      </c>
      <c r="D458" s="3">
        <f>IFERROR(__xludf.DUMMYFUNCTION("GOOGLETRANSLATE(B458,""vi"",""km"")"),"ឃ្លាំងនេះមិនមានការិយាល័យប្រៃសណីយ៍ដែលបម្រើការនៅឃ្លាំងនេះទេ។ សូមពិនិត្យមើលការិយាល័យប្រៃសណីយ៍ដែលមានជាមុនសិន។")</f>
        <v/>
      </c>
      <c r="E458" s="3" t="inlineStr">
        <is>
          <t>ឃ្លាំងមិនមានការិយាល័យប្រៃសណីយ៍បម្រើសេវាកម្ម។សូមអាប់ដេតការិយាល័យប្រៃសណីយ៍មុន</t>
        </is>
      </c>
      <c r="F458" s="217" t="inlineStr">
        <is>
          <t>x</t>
        </is>
      </c>
      <c r="G458" s="217" t="inlineStr">
        <is>
          <t>ឃ្លាំងមិនទាន់មានការិយាល័យប្រៃសណីយ៍បម្រើការ សូមធ្វើបច្ចុប្បន្នភាពជាមុនសិន</t>
        </is>
      </c>
      <c r="H458" t="inlineStr">
        <is>
          <t>ឃ្លាំងមិនទាន់មានការិយាល័យប្រៃសណីយ៍បម្រើការ សូមធ្វើបច្ចុប្បន្នភាពជាមុនសិន</t>
        </is>
      </c>
      <c r="I458" s="74" t="inlineStr">
        <is>
          <t>ឃ្លាំងមិនមានការិយាល័យប្រៃសណីយ៍ចែកចាយទេ សូមអាប់ដេតការិយាល័យប្រៃសណីយ៍ជាមុនសិន</t>
        </is>
      </c>
      <c r="J458" s="217" t="inlineStr">
        <is>
          <t>"delivery.warehouse.modifyWarehouse.emptyPostcode": "The warehouse does not have any distributed post office, please update the post office first",</t>
        </is>
      </c>
    </row>
    <row r="459" ht="15.75" customHeight="1" s="305">
      <c r="A459" s="67" t="inlineStr">
        <is>
          <t>branchOperating.NotReceived</t>
        </is>
      </c>
      <c r="B459" s="67" t="inlineStr">
        <is>
          <t>Chưa tiếp nhận</t>
        </is>
      </c>
      <c r="C459" s="67" t="inlineStr">
        <is>
          <t>Not received</t>
        </is>
      </c>
      <c r="D459" s="3">
        <f>IFERROR(__xludf.DUMMYFUNCTION("GOOGLETRANSLATE(B459,""vi"",""km"")"),"មិនទាន់ទទួលបាននៅឡើយទេ")</f>
        <v/>
      </c>
      <c r="E459" s="3" t="inlineStr">
        <is>
          <t>មិនទាន់បានទទួល</t>
        </is>
      </c>
      <c r="F459" s="217" t="inlineStr">
        <is>
          <t>v</t>
        </is>
      </c>
      <c r="G459" s="217" t="inlineStr">
        <is>
          <t>មិនទាន់ទទួល</t>
        </is>
      </c>
      <c r="H459" t="inlineStr">
        <is>
          <t>មិនទាន់ទទួល</t>
        </is>
      </c>
      <c r="I459" s="74" t="inlineStr">
        <is>
          <t>មិនបាន​ទទួល</t>
        </is>
      </c>
      <c r="J459" s="217" t="inlineStr">
        <is>
          <t>"branchOperating.NotReceived": "Not received",</t>
        </is>
      </c>
    </row>
    <row r="460" ht="15.75" customHeight="1" s="305">
      <c r="A460" s="67" t="inlineStr">
        <is>
          <t>branchOperating.Received</t>
        </is>
      </c>
      <c r="B460" s="67" t="inlineStr">
        <is>
          <t>Đã tiếp nhận</t>
        </is>
      </c>
      <c r="C460" s="67" t="inlineStr">
        <is>
          <t>Received</t>
        </is>
      </c>
      <c r="D460" s="3">
        <f>IFERROR(__xludf.DUMMYFUNCTION("GOOGLETRANSLATE(B460,""vi"",""km"")"),"បានទទួល")</f>
        <v/>
      </c>
      <c r="E460" s="3" t="inlineStr">
        <is>
          <t>បានទទួល</t>
        </is>
      </c>
      <c r="F460" s="217" t="inlineStr">
        <is>
          <t>v</t>
        </is>
      </c>
      <c r="G460" s="217" t="inlineStr">
        <is>
          <t>បានទទួល</t>
        </is>
      </c>
      <c r="H460" t="inlineStr">
        <is>
          <t>បានទទួល</t>
        </is>
      </c>
      <c r="I460" s="74" t="inlineStr">
        <is>
          <t>បានទទួល</t>
        </is>
      </c>
      <c r="J460" s="217" t="inlineStr">
        <is>
          <t>"branchOperating.Received": "Received",</t>
        </is>
      </c>
    </row>
    <row r="461" ht="15.75" customHeight="1" s="305">
      <c r="A461" s="67" t="inlineStr">
        <is>
          <t>branchOperating.detail</t>
        </is>
      </c>
      <c r="B461" s="67" t="inlineStr">
        <is>
          <t>Chi tiết</t>
        </is>
      </c>
      <c r="C461" s="67" t="inlineStr">
        <is>
          <t>Details</t>
        </is>
      </c>
      <c r="D461" s="3">
        <f>IFERROR(__xludf.DUMMYFUNCTION("GOOGLETRANSLATE(B461,""vi"",""km"")"),"ព័ត៌មានលម្អិត")</f>
        <v/>
      </c>
      <c r="E461" s="3" t="inlineStr">
        <is>
          <t>លម្អិត</t>
        </is>
      </c>
      <c r="F461" s="217" t="inlineStr">
        <is>
          <t>v</t>
        </is>
      </c>
      <c r="G461" s="217" t="inlineStr">
        <is>
          <t>ព័ត៌មានលម្អិត</t>
        </is>
      </c>
      <c r="H461" t="inlineStr">
        <is>
          <t>ព័ត៌មានលម្អិត</t>
        </is>
      </c>
      <c r="I461" s="74" t="inlineStr">
        <is>
          <t>ព័ត៌មានលម្អិត</t>
        </is>
      </c>
      <c r="J461" s="217" t="inlineStr">
        <is>
          <t>"branchOperating.detail": "Details",</t>
        </is>
      </c>
    </row>
    <row r="462" ht="15.75" customHeight="1" s="305">
      <c r="A462" s="67" t="inlineStr">
        <is>
          <t>branchOperating.assignDefault</t>
        </is>
      </c>
      <c r="B462" s="67" t="inlineStr">
        <is>
          <t>Gán mặc định</t>
        </is>
      </c>
      <c r="C462" s="67" t="inlineStr">
        <is>
          <t>Assign by default</t>
        </is>
      </c>
      <c r="D462" s="3">
        <f>IFERROR(__xludf.DUMMYFUNCTION("GOOGLETRANSLATE(B462,""vi"",""km"")"),"កំណត់លំនាំដើម")</f>
        <v/>
      </c>
      <c r="E462" s="3" t="inlineStr">
        <is>
          <t>ភ្ជាប់ដែលមានស្រេច</t>
        </is>
      </c>
      <c r="F462" s="217" t="inlineStr">
        <is>
          <t>x</t>
        </is>
      </c>
      <c r="G462" s="217" t="inlineStr">
        <is>
          <t>កំណត់ជាលំនាំដើម</t>
        </is>
      </c>
      <c r="H462" t="inlineStr">
        <is>
          <t>កំណត់ជាលំនាំដើម</t>
        </is>
      </c>
      <c r="I462" s="74" t="inlineStr">
        <is>
          <t>កំណត់តាមលំនាំដើម</t>
        </is>
      </c>
      <c r="J462" s="217" t="inlineStr">
        <is>
          <t>"branchOperating.assignDefault": "Assign by default",</t>
        </is>
      </c>
    </row>
    <row r="463" ht="15.75" customHeight="1" s="305">
      <c r="A463" s="67" t="inlineStr">
        <is>
          <t>branchOperating.assignSuccess</t>
        </is>
      </c>
      <c r="B463" s="67" t="inlineStr">
        <is>
          <t>Gán bưu cục thành công</t>
        </is>
      </c>
      <c r="C463" s="67" t="inlineStr">
        <is>
          <t>Assign Post office success</t>
        </is>
      </c>
      <c r="D463" s="3">
        <f>IFERROR(__xludf.DUMMYFUNCTION("GOOGLETRANSLATE(B463,""vi"",""km"")"),"ការងារប្រៃសណីយ៍ទទួលបានជោគជ័យ")</f>
        <v/>
      </c>
      <c r="E463" s="3" t="inlineStr">
        <is>
          <t>ភ្ជាប់ការិយាល័យប្រៃសណីយ៍បានជោគជ័យ</t>
        </is>
      </c>
      <c r="F463" s="217" t="inlineStr">
        <is>
          <t>x</t>
        </is>
      </c>
      <c r="G463" s="217" t="inlineStr">
        <is>
          <t>ចាត់តាំងការិយាល័យប្រៃសណីយ៍ជោគជ័យ</t>
        </is>
      </c>
      <c r="H463" t="inlineStr">
        <is>
          <t>ចាត់តាំងការិយាល័យប្រៃសណីយ៍ជោគជ័យ</t>
        </is>
      </c>
      <c r="I463" s="74" t="inlineStr">
        <is>
          <t>ចាត់តាំងការិយាល័យបញ្ញើជោគជ័យ</t>
        </is>
      </c>
      <c r="J463" s="217" t="inlineStr">
        <is>
          <t>"branchOperating.assignSuccess": "Assign Post office success",</t>
        </is>
      </c>
    </row>
    <row r="464" ht="15.75" customHeight="1" s="305">
      <c r="A464" s="67" t="inlineStr">
        <is>
          <t>branchOperating.listOrderSuccess</t>
        </is>
      </c>
      <c r="B464" s="67" t="inlineStr">
        <is>
          <t>Gán bưu cục thành công đơn</t>
        </is>
      </c>
      <c r="C464" s="67" t="inlineStr">
        <is>
          <t>List of assigned postal orders</t>
        </is>
      </c>
      <c r="D464" s="3">
        <f>IFERROR(__xludf.DUMMYFUNCTION("GOOGLETRANSLATE(B464,""vi"",""km"")"),"ការកំណត់អាសយដ្ឋានប្រៃសណីយ៍បានជោគជ័យ។")</f>
        <v/>
      </c>
      <c r="E464" s="3" t="inlineStr">
        <is>
          <t>ភ្ជាប់ការិយាល័យប្រៃសណីយ៍បានជោគជ័យនិងបុងបញ្ញើ</t>
        </is>
      </c>
      <c r="F464" s="217" t="inlineStr">
        <is>
          <t>x</t>
        </is>
      </c>
      <c r="G464" s="217" t="inlineStr">
        <is>
          <t>ចាត់តាំងការិយាល័យប្រៃសណីយ៍សម្រាប់បញ្ញើជោគជ័យ</t>
        </is>
      </c>
      <c r="H464" t="inlineStr">
        <is>
          <t>ចាត់តាំងការិយាល័យប្រៃសណីយ៍សម្រាប់បញ្ញើជោគជ័យ</t>
        </is>
      </c>
      <c r="I464" s="74" t="inlineStr">
        <is>
          <t>បញ្ជីនៃការកំណត់តាមការិយាល័យបញ្ញើ</t>
        </is>
      </c>
      <c r="J464" s="217" t="inlineStr">
        <is>
          <t>"branchOperating.listOrderSuccess": "List of assigned postal orders",</t>
        </is>
      </c>
    </row>
    <row r="465" ht="15.75" customHeight="1" s="305">
      <c r="A465" s="67" t="inlineStr">
        <is>
          <t>branchOperating.assignRouteSuccess</t>
        </is>
      </c>
      <c r="B465" s="67" t="inlineStr">
        <is>
          <t>Gán tuyến thành công</t>
        </is>
      </c>
      <c r="C465" s="67" t="inlineStr">
        <is>
          <t>Assign route success</t>
        </is>
      </c>
      <c r="D465" s="3">
        <f>IFERROR(__xludf.DUMMYFUNCTION("GOOGLETRANSLATE(B465,""vi"",""km"")"),"ការចាត់តាំងផ្លូវបានជោគជ័យ")</f>
        <v/>
      </c>
      <c r="E465" s="3" t="inlineStr">
        <is>
          <t>ភ្ជាប់ផ្លូវដឹកជញ្ជូនបានជោគជ័យ</t>
        </is>
      </c>
      <c r="F465" s="217" t="inlineStr">
        <is>
          <t>x</t>
        </is>
      </c>
      <c r="G465" s="217" t="inlineStr">
        <is>
          <t>ចាត់តាំងខ្សែផ្លូវជោគជ័យ</t>
        </is>
      </c>
      <c r="H465" t="inlineStr">
        <is>
          <t>ចាត់តាំងខ្សែផ្លូវជោគជ័យ</t>
        </is>
      </c>
      <c r="I465" s="74" t="inlineStr">
        <is>
          <t>កំណត់ផ្លូវដោយជោគជ័យ</t>
        </is>
      </c>
      <c r="J465" s="217" t="inlineStr">
        <is>
          <t>"branchOperating.assignRouteSuccess": "Assign route success",</t>
        </is>
      </c>
    </row>
    <row r="466" ht="15.75" customHeight="1" s="305">
      <c r="A466" s="67" t="inlineStr">
        <is>
          <t>branchOperating.pleaseChooseRoute</t>
        </is>
      </c>
      <c r="B466" s="67" t="inlineStr">
        <is>
          <t>Vui lòng chọn tuyến</t>
        </is>
      </c>
      <c r="C466" s="67" t="inlineStr">
        <is>
          <t>Please select a route</t>
        </is>
      </c>
      <c r="D466" s="3">
        <f>IFERROR(__xludf.DUMMYFUNCTION("GOOGLETRANSLATE(B466,""vi"",""km"")"),"សូមជ្រើសរើសផ្លូវមួយ")</f>
        <v/>
      </c>
      <c r="E466" s="3" t="inlineStr">
        <is>
          <t>សូមជ្រើសរើសយកផ្លូវ</t>
        </is>
      </c>
      <c r="F466" s="217" t="inlineStr">
        <is>
          <t>x</t>
        </is>
      </c>
      <c r="G466" s="217" t="inlineStr">
        <is>
          <t>សូមជ្រើសរើសយកផ្លូវ</t>
        </is>
      </c>
      <c r="H466" t="inlineStr">
        <is>
          <t>សូមជ្រើសរើសយកផ្លូវ</t>
        </is>
      </c>
      <c r="I466" s="74" t="inlineStr">
        <is>
          <t>សូមជ្រើសរើសយកផ្លូវណាមួយ។</t>
        </is>
      </c>
      <c r="J466" s="217" t="inlineStr">
        <is>
          <t>"branchOperating.pleaseChooseRoute": "Please select a route",</t>
        </is>
      </c>
    </row>
    <row r="467" ht="15.75" customHeight="1" s="305">
      <c r="A467" s="67" t="inlineStr">
        <is>
          <t>branchOperating.pleaseChooseBranch</t>
        </is>
      </c>
      <c r="B467" s="67" t="inlineStr">
        <is>
          <t>Vui lòng chọn bưu cục</t>
        </is>
      </c>
      <c r="C467" s="67" t="inlineStr">
        <is>
          <t>Please select a post office</t>
        </is>
      </c>
      <c r="D467" s="3">
        <f>IFERROR(__xludf.DUMMYFUNCTION("GOOGLETRANSLATE(B467,""vi"",""km"")"),"សូមជ្រើសរើសការិយាល័យប្រៃសណីយ៍។")</f>
        <v/>
      </c>
      <c r="E467" s="3" t="inlineStr">
        <is>
          <t>សូមជ្រើសរើសការិយាល័យប្រៃសណីយ៍</t>
        </is>
      </c>
      <c r="F467" s="217" t="inlineStr">
        <is>
          <t>v</t>
        </is>
      </c>
      <c r="G467" s="217" t="inlineStr">
        <is>
          <t>សូមជ្រើសរើសការិយាល័យប្រៃសណីយ៍</t>
        </is>
      </c>
      <c r="H467" t="inlineStr">
        <is>
          <t>សូមជ្រើសរើសការិយាល័យប្រៃសណីយ៍</t>
        </is>
      </c>
      <c r="I467" s="74" t="inlineStr">
        <is>
          <t>សូមជ្រើសរើសការិយាល័យបញ្ញើ</t>
        </is>
      </c>
      <c r="J467" s="217" t="inlineStr">
        <is>
          <t>"branchOperating.pleaseChooseBranch": "Please select a post office",</t>
        </is>
      </c>
    </row>
    <row r="468" ht="15.75" customHeight="1" s="305">
      <c r="A468" s="67" t="inlineStr">
        <is>
          <t>branchOperating.assignWarehouseFail</t>
        </is>
      </c>
      <c r="B468" s="67" t="inlineStr">
        <is>
          <t>Gán tuyến tất cả đơn thuộc kho thất bại</t>
        </is>
      </c>
      <c r="C468" s="67" t="inlineStr">
        <is>
          <t>Assigning routes to all orders belonging to the warehouse failed</t>
        </is>
      </c>
      <c r="D468" s="3">
        <f>IFERROR(__xludf.DUMMYFUNCTION("GOOGLETRANSLATE(B468,""vi"",""km"")"),"កំណត់ផ្លូវទៅកាន់ការបញ្ជាទិញឃ្លាំងដែលបរាជ័យទាំងអស់។")</f>
        <v/>
      </c>
      <c r="E468" s="3" t="inlineStr">
        <is>
          <t>ភ្ជាប់ផ្លូ្លវនិងបុងបញ្ញើទាំងអស់នៅឃ្លាំងបរាជ័យ</t>
        </is>
      </c>
      <c r="F468" s="217" t="inlineStr">
        <is>
          <t>x</t>
        </is>
      </c>
      <c r="G468" s="217" t="inlineStr">
        <is>
          <t>ចាត់តាំងខ្សែផ្លូវសម្រាប់បញ្ញើទាំងអស់ក្នុងឃ្លាំងមិនបានសម្រេច</t>
        </is>
      </c>
      <c r="H468" t="inlineStr">
        <is>
          <t>ចាត់តាំងខ្សែផ្លូវសម្រាប់បញ្ញើទាំងអស់ក្នុងឃ្លាំងមិនបានសម្រេច</t>
        </is>
      </c>
      <c r="I468" s="74" t="inlineStr">
        <is>
          <t>ការកំណត់ផ្លូវទៅកាន់ការបញ្ជាទិញទាំងអស់ដែលជាកម្មសិទ្ធិរបស់ឃ្លាំងបានបរាជ័យ</t>
        </is>
      </c>
      <c r="J468" s="217" t="inlineStr">
        <is>
          <t>"branchOperating.assignWarehouseFail": "Assigning routes to all orders belonging to the warehouse failed",</t>
        </is>
      </c>
    </row>
    <row r="469" ht="15.75" customHeight="1" s="305">
      <c r="A469" s="67" t="inlineStr">
        <is>
          <t>branchOperating.assignWarehouseFailAll</t>
        </is>
      </c>
      <c r="B469" s="67" t="inlineStr">
        <is>
          <t>Gán tuyến kho thất bại</t>
        </is>
      </c>
      <c r="C469" s="67" t="inlineStr">
        <is>
          <t>Assign route failed</t>
        </is>
      </c>
      <c r="D469" s="3">
        <f>IFERROR(__xludf.DUMMYFUNCTION("GOOGLETRANSLATE(B469,""vi"",""km"")"),"ការកំណត់ផ្លូវឃ្លាំងបរាជ័យ។")</f>
        <v/>
      </c>
      <c r="E469" s="3" t="inlineStr">
        <is>
          <t>ភ្ជាប់ផ្លូវឃ្លាំងបរាជ័យ</t>
        </is>
      </c>
      <c r="F469" s="217" t="inlineStr">
        <is>
          <t>x</t>
        </is>
      </c>
      <c r="G469" s="217" t="inlineStr">
        <is>
          <t>ចាត់តាំងខ្សែផ្លូវឃ្លាំងមិនបានសម្រេច</t>
        </is>
      </c>
      <c r="H469" t="inlineStr">
        <is>
          <t>ចាត់តាំងខ្សែផ្លូវឃ្លាំងមិនបានសម្រេច</t>
        </is>
      </c>
      <c r="I469" s="74" t="inlineStr">
        <is>
          <t>ការដំឡើងផ្លូវបានបរាជ័យ</t>
        </is>
      </c>
      <c r="J469" s="217" t="inlineStr">
        <is>
          <t>"branchOperating.assignWarehouseFailAll": "Assign route failed",</t>
        </is>
      </c>
    </row>
    <row r="470" ht="15.75" customHeight="1" s="305">
      <c r="A470" s="67" t="inlineStr">
        <is>
          <t>branchOperating.listOrderAssignRoute</t>
        </is>
      </c>
      <c r="B470" s="67" t="inlineStr">
        <is>
          <t>Danh sách đơn gán tuyến thành công</t>
        </is>
      </c>
      <c r="C470" s="67" t="inlineStr">
        <is>
          <t>List of assigned route orders</t>
        </is>
      </c>
      <c r="D470" s="3">
        <f>IFERROR(__xludf.DUMMYFUNCTION("GOOGLETRANSLATE(B470,""vi"",""km"")"),"បញ្ជីសំណើសុំការចាត់តាំងផ្លូវដែលទទួលបានជោគជ័យ")</f>
        <v/>
      </c>
      <c r="E470" s="3" t="inlineStr">
        <is>
          <t>បញ្ជីបុងបញ្ញើភ្ជាប់ទៅផ្លូវបានជោគជ័យ</t>
        </is>
      </c>
      <c r="F470" s="217" t="inlineStr">
        <is>
          <t>x</t>
        </is>
      </c>
      <c r="G470" s="217" t="inlineStr">
        <is>
          <t>បញ្ជីបញ្ញើដែលបានចាត់តាំងខ្សែផ្លូវជោគជ័យ</t>
        </is>
      </c>
      <c r="H470" t="inlineStr">
        <is>
          <t>បញ្ជីបញ្ញើដែលបានចាត់តាំងខ្សែផ្លូវជោគជ័យ</t>
        </is>
      </c>
      <c r="I470" s="74" t="inlineStr">
        <is>
          <t>បញ្ជីនៃការកំណត់តាមការិយាល័យបញ្ញើ</t>
        </is>
      </c>
      <c r="J470" s="217" t="inlineStr">
        <is>
          <t>"branchOperating.listOrderAssignRoute": "List of assigned route orders",</t>
        </is>
      </c>
    </row>
    <row r="471" ht="15.75" customHeight="1" s="305">
      <c r="A471" s="67" t="inlineStr">
        <is>
          <t>branchOperating.selectDate</t>
        </is>
      </c>
      <c r="B471" s="67" t="inlineStr">
        <is>
          <t>Từ ngày - Đến ngày</t>
        </is>
      </c>
      <c r="C471" s="67" t="inlineStr">
        <is>
          <t>Select Date</t>
        </is>
      </c>
      <c r="D471" s="3">
        <f>IFERROR(__xludf.DUMMYFUNCTION("GOOGLETRANSLATE(B471,""vi"",""km"")"),"ចាប់ពីកាលបរិច្ឆេទ - ដល់កាលបរិច្ឆេទ")</f>
        <v/>
      </c>
      <c r="E471" s="3" t="inlineStr">
        <is>
          <t>ពីថ្ងៃ - ដល់ថ្ងៃ</t>
        </is>
      </c>
      <c r="F471" s="217" t="inlineStr">
        <is>
          <t>v</t>
        </is>
      </c>
      <c r="G471" s="217" t="inlineStr">
        <is>
          <t>ពីថ្ងៃ - ដល់ថ្ងៃ</t>
        </is>
      </c>
      <c r="H471" t="inlineStr">
        <is>
          <t>ពីថ្ងៃ - ដល់ថ្ងៃ</t>
        </is>
      </c>
      <c r="I471" s="74" t="inlineStr">
        <is>
          <t>ជ្រើសរើសថ្ងៃ</t>
        </is>
      </c>
      <c r="J471" s="217" t="inlineStr">
        <is>
          <t>"branchOperating.selectDate": "Select Date",</t>
        </is>
      </c>
    </row>
    <row r="472" ht="15.75" customHeight="1" s="305">
      <c r="A472" s="67" t="inlineStr">
        <is>
          <t>branchOperating.selectRoute</t>
        </is>
      </c>
      <c r="B472" s="67" t="inlineStr">
        <is>
          <t>Chọn tuyến</t>
        </is>
      </c>
      <c r="C472" s="67" t="inlineStr">
        <is>
          <t>Select route</t>
        </is>
      </c>
      <c r="D472" s="3">
        <f>IFERROR(__xludf.DUMMYFUNCTION("GOOGLETRANSLATE(B472,""vi"",""km"")"),"ជ្រើសរើសផ្លូវ")</f>
        <v/>
      </c>
      <c r="E472" s="3" t="inlineStr">
        <is>
          <t>ជ្រើសរើសផ្លូវ</t>
        </is>
      </c>
      <c r="F472" s="217" t="inlineStr">
        <is>
          <t>x</t>
        </is>
      </c>
      <c r="G472" s="217" t="inlineStr">
        <is>
          <t>ជ្រើសរើសផ្លូវ</t>
        </is>
      </c>
      <c r="H472" t="inlineStr">
        <is>
          <t>ជ្រើសរើសផ្លូវ</t>
        </is>
      </c>
      <c r="I472" s="74" t="inlineStr">
        <is>
          <t>ជ្រើសរើសផ្លូវ</t>
        </is>
      </c>
      <c r="J472" s="217" t="inlineStr">
        <is>
          <t>"branchOperating.selectRoute": "Select route",</t>
        </is>
      </c>
    </row>
    <row r="473" ht="15.75" customHeight="1" s="305">
      <c r="A473" s="67" t="inlineStr">
        <is>
          <t>branchOperating.startDate</t>
        </is>
      </c>
      <c r="B473" s="67" t="inlineStr">
        <is>
          <t>Từ ngày</t>
        </is>
      </c>
      <c r="C473" s="67" t="inlineStr">
        <is>
          <t>Select start date</t>
        </is>
      </c>
      <c r="D473" s="3">
        <f>IFERROR(__xludf.DUMMYFUNCTION("GOOGLETRANSLATE(B473,""vi"",""km"")"),"ចាប់ពីកាលបរិច្ឆេទ")</f>
        <v/>
      </c>
      <c r="E473" s="3" t="inlineStr">
        <is>
          <t>ពីថ្ងៃ</t>
        </is>
      </c>
      <c r="F473" s="217" t="inlineStr">
        <is>
          <t>v</t>
        </is>
      </c>
      <c r="G473" s="217" t="inlineStr">
        <is>
          <t>ពីថ្ងៃ</t>
        </is>
      </c>
      <c r="H473" t="inlineStr">
        <is>
          <t>ពីថ្ងៃ</t>
        </is>
      </c>
      <c r="I473" s="74" t="inlineStr">
        <is>
          <t>ជ្រើសរើសពីថ្ងៃចាប់ផ្តើម</t>
        </is>
      </c>
      <c r="J473" s="217" t="inlineStr">
        <is>
          <t>"branchOperating.startDate": "Select start date",</t>
        </is>
      </c>
    </row>
    <row r="474" ht="15.75" customHeight="1" s="305">
      <c r="A474" s="67" t="inlineStr">
        <is>
          <t>branchOperating.endDate</t>
        </is>
      </c>
      <c r="B474" s="67" t="inlineStr">
        <is>
          <t>Đến ngày</t>
        </is>
      </c>
      <c r="C474" s="67" t="inlineStr">
        <is>
          <t>Select end date</t>
        </is>
      </c>
      <c r="D474" s="3">
        <f>IFERROR(__xludf.DUMMYFUNCTION("GOOGLETRANSLATE(B474,""vi"",""km"")"),"រហូតដល់ថ្ងៃ")</f>
        <v/>
      </c>
      <c r="E474" s="3" t="inlineStr">
        <is>
          <t>រហូតដល់ថ្ងៃ</t>
        </is>
      </c>
      <c r="F474" s="217" t="inlineStr">
        <is>
          <t>v</t>
        </is>
      </c>
      <c r="G474" s="217" t="inlineStr">
        <is>
          <t>រហូតដល់ថ្ងៃ</t>
        </is>
      </c>
      <c r="H474" t="inlineStr">
        <is>
          <t>រហូតដល់ថ្ងៃ</t>
        </is>
      </c>
      <c r="I474" s="74" t="inlineStr">
        <is>
          <t>ជ្រើសរើសដល់ថ្ងៃបញ្ចប់</t>
        </is>
      </c>
      <c r="J474" s="217" t="inlineStr">
        <is>
          <t>"branchOperating.endDate": "Select end date",</t>
        </is>
      </c>
    </row>
    <row r="475" ht="15.75" customHeight="1" s="305">
      <c r="A475" s="67" t="inlineStr">
        <is>
          <t>branchOperating.searchKeyword</t>
        </is>
      </c>
      <c r="B475" s="67" t="inlineStr">
        <is>
          <t>Nhập từ khóa tìm kiếm</t>
        </is>
      </c>
      <c r="C475" s="67" t="inlineStr">
        <is>
          <t>Enter keywords</t>
        </is>
      </c>
      <c r="D475" s="3">
        <f>IFERROR(__xludf.DUMMYFUNCTION("GOOGLETRANSLATE(B475,""vi"",""km"")"),"បញ្ចូលពាក្យគន្លឹះស្វែងរក")</f>
        <v/>
      </c>
      <c r="E475" s="3" t="inlineStr">
        <is>
          <t>បញ្ចូលពាក្យគន្លឹះស្វែងរក</t>
        </is>
      </c>
      <c r="F475" s="217" t="inlineStr">
        <is>
          <t>v</t>
        </is>
      </c>
      <c r="G475" s="217" t="inlineStr">
        <is>
          <t>បញ្ចូលពាក្យគន្លឹះស្វែងរក</t>
        </is>
      </c>
      <c r="H475" t="inlineStr">
        <is>
          <t>បញ្ចូលពាក្យគន្លឹះស្វែងរក</t>
        </is>
      </c>
      <c r="I475" s="74" t="inlineStr">
        <is>
          <t>បញ្ចូលពាក្យគន្លឹះស្វែងរក</t>
        </is>
      </c>
      <c r="J475" s="217" t="inlineStr">
        <is>
          <t>"branchOperating.searchKeyword": "Enter keywords",</t>
        </is>
      </c>
    </row>
    <row r="476" ht="15.75" customHeight="1" s="305">
      <c r="A476" s="67" t="inlineStr">
        <is>
          <t>branchOperating.searchPlaceholder</t>
        </is>
      </c>
      <c r="B476" s="67" t="inlineStr">
        <is>
          <t>Nhập số điện thoại hoặc mã vận đơn</t>
        </is>
      </c>
      <c r="C476" s="67" t="inlineStr">
        <is>
          <t>Enter waybill code or mobile number</t>
        </is>
      </c>
      <c r="D476" s="3">
        <f>IFERROR(__xludf.DUMMYFUNCTION("GOOGLETRANSLATE(B476,""vi"",""km"")"),"បញ្ចូលលេខទូរស័ព្ទ ឬលេខតាមដានរបស់អ្នក។")</f>
        <v/>
      </c>
      <c r="E476" s="3" t="inlineStr">
        <is>
          <t>បញ្ចូ្ចលលេខទូរស័ព្ទឬលេខកូដបុងបញ្ញើ</t>
        </is>
      </c>
      <c r="F476" s="217" t="inlineStr">
        <is>
          <t>v</t>
        </is>
      </c>
      <c r="G476" s="217" t="inlineStr">
        <is>
          <t>បញ្ចូ្ចលលេខទូរស័ព្ទឬលេខកូដបុងបញ្ញើ</t>
        </is>
      </c>
      <c r="H476" t="inlineStr">
        <is>
          <t>បញ្ចូ្ចលលេខទូរស័ព្ទឬលេខកូដបុងបញ្ញើ</t>
        </is>
      </c>
      <c r="I476" s="74" t="inlineStr">
        <is>
          <t>បញ្ចូលលេខទូរស័ព្ទ ឬលេខកូដដឹកជញ្ជូន</t>
        </is>
      </c>
      <c r="J476" s="217" t="inlineStr">
        <is>
          <t>"branchOperating.searchPlaceholder": "Enter waybill code or mobile number",</t>
        </is>
      </c>
    </row>
    <row r="477" ht="15.75" customHeight="1" s="305">
      <c r="A477" s="67" t="inlineStr">
        <is>
          <t>branchOperating.selectPartnerId</t>
        </is>
      </c>
      <c r="B477" s="67" t="inlineStr">
        <is>
          <t>Chọn mã đối tác</t>
        </is>
      </c>
      <c r="C477" s="67" t="inlineStr">
        <is>
          <t>Select Partner</t>
        </is>
      </c>
      <c r="D477" s="3">
        <f>IFERROR(__xludf.DUMMYFUNCTION("GOOGLETRANSLATE(B477,""vi"",""km"")"),"ជ្រើសរើសលេខកូដដៃគូ")</f>
        <v/>
      </c>
      <c r="E477" s="3" t="inlineStr">
        <is>
          <t>ជ្រើសរើសលេខកូដដៃគូ</t>
        </is>
      </c>
      <c r="F477" s="217" t="inlineStr">
        <is>
          <t>v</t>
        </is>
      </c>
      <c r="G477" s="217" t="inlineStr">
        <is>
          <t>ជ្រើសរើសលេខកូដដៃគូ</t>
        </is>
      </c>
      <c r="H477" t="inlineStr">
        <is>
          <t>ជ្រើសរើសលេខកូដដៃគូ</t>
        </is>
      </c>
      <c r="I477" s="74" t="inlineStr">
        <is>
          <t>ជ្រើសរើសលេខកូដដៃគូ</t>
        </is>
      </c>
      <c r="J477" s="217" t="inlineStr">
        <is>
          <t>"branchOperating.selectPartnerId": "Select Partner",</t>
        </is>
      </c>
    </row>
    <row r="478" ht="15.75" customHeight="1" s="305">
      <c r="A478" s="67" t="inlineStr">
        <is>
          <t>branchOperating.selectRoutes</t>
        </is>
      </c>
      <c r="B478" s="67" t="inlineStr">
        <is>
          <t>Chọn tuyến</t>
        </is>
      </c>
      <c r="C478" s="67" t="inlineStr">
        <is>
          <t>Select route</t>
        </is>
      </c>
      <c r="D478" s="3">
        <f>IFERROR(__xludf.DUMMYFUNCTION("GOOGLETRANSLATE(B478,""vi"",""km"")"),"ជ្រើសរើសផ្លូវ")</f>
        <v/>
      </c>
      <c r="E478" s="3" t="inlineStr">
        <is>
          <t>ជ្រើសរើសផ្លូវ</t>
        </is>
      </c>
      <c r="F478" s="217" t="inlineStr">
        <is>
          <t>x</t>
        </is>
      </c>
      <c r="G478" s="217" t="inlineStr">
        <is>
          <t>ជ្រើសរើសផ្លូវ</t>
        </is>
      </c>
      <c r="H478" t="inlineStr">
        <is>
          <t>ជ្រើសរើសផ្លូវ</t>
        </is>
      </c>
      <c r="I478" s="74" t="inlineStr">
        <is>
          <t>ជ្រើសរើសផ្លូវ</t>
        </is>
      </c>
      <c r="J478" s="217" t="inlineStr">
        <is>
          <t>"branchOperating.selectRoutes": "Select route",</t>
        </is>
      </c>
    </row>
    <row r="479" ht="15.75" customHeight="1" s="305">
      <c r="A479" s="67" t="inlineStr">
        <is>
          <t>branchOperating.postOffice</t>
        </is>
      </c>
      <c r="B479" s="67" t="inlineStr">
        <is>
          <t>Bưu cục nhận</t>
        </is>
      </c>
      <c r="C479" s="67" t="inlineStr">
        <is>
          <t>Pickup station</t>
        </is>
      </c>
      <c r="D479" s="3">
        <f>IFERROR(__xludf.DUMMYFUNCTION("GOOGLETRANSLATE(B479,""vi"",""km"")"),"ការិយាល័យប្រៃសណីយ៍ទទួល")</f>
        <v/>
      </c>
      <c r="E479" s="3" t="inlineStr">
        <is>
          <t>ការិយាល័យប្រៃសណីយ៍ទទួល</t>
        </is>
      </c>
      <c r="F479" s="217" t="inlineStr">
        <is>
          <t>v</t>
        </is>
      </c>
      <c r="G479" s="217" t="inlineStr">
        <is>
          <t>ការិយាល័យប្រៃសណីយ៍ទទួល</t>
        </is>
      </c>
      <c r="H479" t="inlineStr">
        <is>
          <t>ការិយាល័យប្រៃសណីយ៍ទទួល</t>
        </is>
      </c>
      <c r="I479" s="74" t="inlineStr">
        <is>
          <t>ការិយាល័យទទួល</t>
        </is>
      </c>
      <c r="J479" s="217" t="inlineStr">
        <is>
          <t>"branchOperating.postOffice": "Pickup station",</t>
        </is>
      </c>
    </row>
    <row r="480" ht="15.75" customHeight="1" s="305">
      <c r="A480" s="67" t="inlineStr">
        <is>
          <t>branchOperating.employee</t>
        </is>
      </c>
      <c r="B480" s="67" t="inlineStr">
        <is>
          <t>Tuyến nhận</t>
        </is>
      </c>
      <c r="C480" s="67" t="inlineStr">
        <is>
          <t>Pickup route</t>
        </is>
      </c>
      <c r="D480" s="3">
        <f>IFERROR(__xludf.DUMMYFUNCTION("GOOGLETRANSLATE(B480,""vi"",""km"")"),"ខ្សែទទួល")</f>
        <v/>
      </c>
      <c r="E480" s="3" t="inlineStr">
        <is>
          <t>ផ្លូវទទួល</t>
        </is>
      </c>
      <c r="F480" s="217" t="inlineStr">
        <is>
          <t>x</t>
        </is>
      </c>
      <c r="G480" s="217" t="inlineStr">
        <is>
          <t>ផ្លូវទទួល</t>
        </is>
      </c>
      <c r="H480" t="inlineStr">
        <is>
          <t>ផ្លូវទទួល</t>
        </is>
      </c>
      <c r="I480" s="74" t="inlineStr">
        <is>
          <t>ផ្លូវទទួល</t>
        </is>
      </c>
      <c r="J480" s="217" t="inlineStr">
        <is>
          <t>"branchOperating.employee": "Pickup route",</t>
        </is>
      </c>
    </row>
    <row r="481" ht="15.75" customHeight="1" s="305">
      <c r="A481" s="67" t="inlineStr">
        <is>
          <t>branchOperating.personalInfor</t>
        </is>
      </c>
      <c r="B481" s="67" t="inlineStr">
        <is>
          <t>Thông tin người gửi</t>
        </is>
      </c>
      <c r="C481" s="67" t="inlineStr">
        <is>
          <t>Sender information</t>
        </is>
      </c>
      <c r="D481" s="3">
        <f>IFERROR(__xludf.DUMMYFUNCTION("GOOGLETRANSLATE(B481,""vi"",""km"")"),"ព័ត៌មានអ្នកផ្ញើ")</f>
        <v/>
      </c>
      <c r="E481" s="3" t="inlineStr">
        <is>
          <t>ព័ត៌មានអ្នកផ្ញើ</t>
        </is>
      </c>
      <c r="F481" s="217" t="inlineStr">
        <is>
          <t>v</t>
        </is>
      </c>
      <c r="G481" s="217" t="inlineStr">
        <is>
          <t>ព័ត៌មានអ្នកផ្ញើ</t>
        </is>
      </c>
      <c r="H481" t="inlineStr">
        <is>
          <t>ព័ត៌មានអ្នកផ្ញើ</t>
        </is>
      </c>
      <c r="I481" s="74" t="inlineStr">
        <is>
          <t>ព័ត៌មានអ្នកផ្ញើ</t>
        </is>
      </c>
      <c r="J481" s="217" t="inlineStr">
        <is>
          <t>"branchOperating.personalInfor": "Sender information",</t>
        </is>
      </c>
    </row>
    <row r="482" ht="15.75" customHeight="1" s="305">
      <c r="A482" s="67" t="inlineStr">
        <is>
          <t>branchOperating.amount</t>
        </is>
      </c>
      <c r="B482" s="67" t="inlineStr">
        <is>
          <t>Số lượng</t>
        </is>
      </c>
      <c r="C482" s="67" t="inlineStr">
        <is>
          <t>Quantity</t>
        </is>
      </c>
      <c r="D482" s="3">
        <f>IFERROR(__xludf.DUMMYFUNCTION("GOOGLETRANSLATE(B482,""vi"",""km"")"),"បរិមាណ")</f>
        <v/>
      </c>
      <c r="E482" s="3" t="inlineStr">
        <is>
          <t>ចំនួន</t>
        </is>
      </c>
      <c r="F482" s="217" t="inlineStr">
        <is>
          <t>v</t>
        </is>
      </c>
      <c r="G482" s="217" t="inlineStr">
        <is>
          <t>ចំនួន</t>
        </is>
      </c>
      <c r="H482" t="inlineStr">
        <is>
          <t>ចំនួន</t>
        </is>
      </c>
      <c r="I482" s="74" t="inlineStr">
        <is>
          <t>ចំនួន</t>
        </is>
      </c>
      <c r="J482" s="217" t="inlineStr">
        <is>
          <t>"branchOperating.amount": "Quantity",</t>
        </is>
      </c>
    </row>
    <row r="483" ht="15.75" customHeight="1" s="305">
      <c r="A483" s="67" t="inlineStr">
        <is>
          <t>detailsOperating.orderInfor</t>
        </is>
      </c>
      <c r="B483" s="67" t="inlineStr">
        <is>
          <t>Thông tin đơn hàng</t>
        </is>
      </c>
      <c r="C483" s="67" t="inlineStr">
        <is>
          <t>Order information</t>
        </is>
      </c>
      <c r="D483" s="3">
        <f>IFERROR(__xludf.DUMMYFUNCTION("GOOGLETRANSLATE(B483,""vi"",""km"")"),"ព័ត៌មានការបញ្ជាទិញ")</f>
        <v/>
      </c>
      <c r="E483" s="3" t="inlineStr">
        <is>
          <t>ព័ត៌មានបុងបញ្ញើ</t>
        </is>
      </c>
      <c r="F483" s="217" t="inlineStr">
        <is>
          <t>v</t>
        </is>
      </c>
      <c r="G483" s="217" t="inlineStr">
        <is>
          <t>ព័ត៌មានបុងបញ្ញើ</t>
        </is>
      </c>
      <c r="H483" t="inlineStr">
        <is>
          <t>ព័ត៌មានបុងបញ្ញើ</t>
        </is>
      </c>
      <c r="I483" s="74" t="inlineStr">
        <is>
          <t>ព័ត៌មានបញ្ញើ</t>
        </is>
      </c>
      <c r="J483" s="217" t="inlineStr">
        <is>
          <t>"detailsOperating.orderInfor": "Order information",</t>
        </is>
      </c>
    </row>
    <row r="484" ht="15.75" customHeight="1" s="305">
      <c r="A484" s="67" t="inlineStr">
        <is>
          <t>detailsOperating.orderCode</t>
        </is>
      </c>
      <c r="B484" s="67" t="inlineStr">
        <is>
          <t>Mã vận đơn</t>
        </is>
      </c>
      <c r="C484" s="67" t="inlineStr">
        <is>
          <t>Order code</t>
        </is>
      </c>
      <c r="D484" s="3">
        <f>IFERROR(__xludf.DUMMYFUNCTION("GOOGLETRANSLATE(B484,""vi"",""km"")"),"លេខតាមដាន")</f>
        <v/>
      </c>
      <c r="E484" s="3" t="inlineStr">
        <is>
          <t>លេខកូដបុងបញ្ញើ</t>
        </is>
      </c>
      <c r="F484" s="217" t="inlineStr">
        <is>
          <t>v</t>
        </is>
      </c>
      <c r="G484" s="217" t="inlineStr">
        <is>
          <t>លេខកូដបុងបញ្ញើ</t>
        </is>
      </c>
      <c r="H484" t="inlineStr">
        <is>
          <t>លេខកូដបុងបញ្ញើ</t>
        </is>
      </c>
      <c r="I484" s="74" t="inlineStr">
        <is>
          <t>លេខកូដបញ្ញើ</t>
        </is>
      </c>
      <c r="J484" s="217" t="inlineStr">
        <is>
          <t>"detailsOperating.orderCode": "Order code",</t>
        </is>
      </c>
    </row>
    <row r="485" ht="15.75" customHeight="1" s="305">
      <c r="A485" s="67" t="inlineStr">
        <is>
          <t>detailsOperating.orderStatus</t>
        </is>
      </c>
      <c r="B485" s="67" t="inlineStr">
        <is>
          <t>Trạng thái</t>
        </is>
      </c>
      <c r="C485" s="67" t="inlineStr">
        <is>
          <t>Order status</t>
        </is>
      </c>
      <c r="D485" s="3">
        <f>IFERROR(__xludf.DUMMYFUNCTION("GOOGLETRANSLATE(B485,""vi"",""km"")"),"ស្ថានភាព")</f>
        <v/>
      </c>
      <c r="E485" s="3" t="inlineStr">
        <is>
          <t>ស្ថានភាព</t>
        </is>
      </c>
      <c r="F485" s="217" t="inlineStr">
        <is>
          <t>v</t>
        </is>
      </c>
      <c r="G485" s="217" t="inlineStr">
        <is>
          <t>ស្ថានភាព</t>
        </is>
      </c>
      <c r="H485" t="inlineStr">
        <is>
          <t>ស្ថានភាព</t>
        </is>
      </c>
      <c r="I485" s="74" t="inlineStr">
        <is>
          <t>ស្ថានភាពនៃបញ្ញើ</t>
        </is>
      </c>
      <c r="J485" s="217" t="inlineStr">
        <is>
          <t>"detailsOperating.orderStatus": "Order status",</t>
        </is>
      </c>
    </row>
    <row r="486" ht="15.75" customHeight="1" s="305">
      <c r="A486" s="67" t="inlineStr">
        <is>
          <t>detailsOperating.dateConfirm</t>
        </is>
      </c>
      <c r="B486" s="67" t="inlineStr">
        <is>
          <t>Ngày duyệt</t>
        </is>
      </c>
      <c r="C486" s="67" t="inlineStr">
        <is>
          <t>Confirmed on</t>
        </is>
      </c>
      <c r="D486" s="3">
        <f>IFERROR(__xludf.DUMMYFUNCTION("GOOGLETRANSLATE(B486,""vi"",""km"")"),"កាលបរិច្ឆេទអនុម័ត")</f>
        <v/>
      </c>
      <c r="E486" s="3" t="inlineStr">
        <is>
          <t>ថ្ងៃអនុម័ត</t>
        </is>
      </c>
      <c r="F486" s="217" t="inlineStr">
        <is>
          <t>v</t>
        </is>
      </c>
      <c r="G486" s="217" t="inlineStr">
        <is>
          <t>កាលបរិច្ឆេទអនុម័ត</t>
        </is>
      </c>
      <c r="H486" t="inlineStr">
        <is>
          <t>កាលបរិច្ឆេទអនុម័ត</t>
        </is>
      </c>
      <c r="I486" s="74" t="inlineStr">
        <is>
          <t>កាលបរិច្ឆេទអនុម័ត</t>
        </is>
      </c>
      <c r="J486" s="217" t="inlineStr">
        <is>
          <t>"detailsOperating.dateConfirm": "Confirmed on",</t>
        </is>
      </c>
    </row>
    <row r="487" ht="15.75" customHeight="1" s="305">
      <c r="A487" s="67" t="inlineStr">
        <is>
          <t>detailsOperating.dateImport</t>
        </is>
      </c>
      <c r="B487" s="67" t="inlineStr">
        <is>
          <t>Ngày nhập máy</t>
        </is>
      </c>
      <c r="C487" s="67" t="inlineStr">
        <is>
          <t>Imported on</t>
        </is>
      </c>
      <c r="D487" s="3">
        <f>IFERROR(__xludf.DUMMYFUNCTION("GOOGLETRANSLATE(B487,""vi"",""km"")"),"កាលបរិច្ឆេទនៃការបញ្ចូលម៉ាស៊ីន")</f>
        <v/>
      </c>
      <c r="E487" s="3" t="inlineStr">
        <is>
          <t>ថ្ងៃបញ្ចូលប្រព័ន្ធ</t>
        </is>
      </c>
      <c r="F487" s="217" t="inlineStr">
        <is>
          <t>v</t>
        </is>
      </c>
      <c r="G487" s="217" t="inlineStr">
        <is>
          <t>កាលបរិច្ឆេទបញ្ចូលប្រព័ន្ធ</t>
        </is>
      </c>
      <c r="H487" t="inlineStr">
        <is>
          <t>កាលបរិច្ឆេទបញ្ចូលប្រព័ន្ធ</t>
        </is>
      </c>
      <c r="I487" s="74" t="inlineStr">
        <is>
          <t>ថ្ងៃបញ្ចូល</t>
        </is>
      </c>
      <c r="J487" s="217" t="inlineStr">
        <is>
          <t>"detailsOperating.dateImport": "Imported on",</t>
        </is>
      </c>
    </row>
    <row r="488" ht="15.75" customHeight="1" s="305">
      <c r="A488" s="67" t="inlineStr">
        <is>
          <t>detailsOperating.postOffice</t>
        </is>
      </c>
      <c r="B488" s="67" t="inlineStr">
        <is>
          <t>Bưu cục nhận</t>
        </is>
      </c>
      <c r="C488" s="67" t="inlineStr">
        <is>
          <t>Pickup station</t>
        </is>
      </c>
      <c r="D488" s="3">
        <f>IFERROR(__xludf.DUMMYFUNCTION("GOOGLETRANSLATE(B488,""vi"",""km"")"),"ការិយាល័យប្រៃសណីយ៍ទទួល")</f>
        <v/>
      </c>
      <c r="E488" s="3" t="inlineStr">
        <is>
          <t>ការិយាល័យប្រៃសណីយ៍ទទួល</t>
        </is>
      </c>
      <c r="F488" s="217" t="inlineStr">
        <is>
          <t>v</t>
        </is>
      </c>
      <c r="G488" s="217" t="inlineStr">
        <is>
          <t>ការិយាល័យប្រៃសណីយ៍ទទួល</t>
        </is>
      </c>
      <c r="H488" t="inlineStr">
        <is>
          <t>ការិយាល័យប្រៃសណីយ៍ទទួល</t>
        </is>
      </c>
      <c r="I488" s="74" t="inlineStr">
        <is>
          <t>ការិយាល័យបញ្ញើទទួល</t>
        </is>
      </c>
      <c r="J488" s="217" t="inlineStr">
        <is>
          <t>"detailsOperating.postOffice": "Pickup station",</t>
        </is>
      </c>
    </row>
    <row r="489" ht="15.75" customHeight="1" s="305">
      <c r="A489" s="67" t="inlineStr">
        <is>
          <t>detailsOperating.postman</t>
        </is>
      </c>
      <c r="B489" s="67" t="inlineStr">
        <is>
          <t>Tuyến nhận</t>
        </is>
      </c>
      <c r="C489" s="67" t="inlineStr">
        <is>
          <t>Postman</t>
        </is>
      </c>
      <c r="D489" s="3">
        <f>IFERROR(__xludf.DUMMYFUNCTION("GOOGLETRANSLATE(B489,""vi"",""km"")"),"ខ្សែទទួល")</f>
        <v/>
      </c>
      <c r="E489" s="3" t="inlineStr">
        <is>
          <t>ផ្លូវទទួល</t>
        </is>
      </c>
      <c r="F489" s="217" t="inlineStr">
        <is>
          <t>x</t>
        </is>
      </c>
      <c r="G489" s="217" t="inlineStr">
        <is>
          <t>ផ្លូវទទួល</t>
        </is>
      </c>
      <c r="H489" t="inlineStr">
        <is>
          <t>ផ្លូវទទួល</t>
        </is>
      </c>
      <c r="I489" s="74" t="inlineStr">
        <is>
          <t>អ្នកបញ្ញើ</t>
        </is>
      </c>
      <c r="J489" s="217" t="inlineStr">
        <is>
          <t>"detailsOperating.postman": "Postman",</t>
        </is>
      </c>
    </row>
    <row r="490" ht="15.75" customHeight="1" s="305">
      <c r="A490" s="67" t="inlineStr">
        <is>
          <t>detailsOperating.senderInfor</t>
        </is>
      </c>
      <c r="B490" s="67" t="inlineStr">
        <is>
          <t>Địa chỉ người gửi</t>
        </is>
      </c>
      <c r="C490" s="67" t="inlineStr">
        <is>
          <t>Sender address</t>
        </is>
      </c>
      <c r="D490" s="3">
        <f>IFERROR(__xludf.DUMMYFUNCTION("GOOGLETRANSLATE(B490,""vi"",""km"")"),"អាសយដ្ឋានរបស់អ្នកផ្ញើ")</f>
        <v/>
      </c>
      <c r="E490" s="3" t="inlineStr">
        <is>
          <t>អាស័យដ្ឋានអ្នកផ្ញើ</t>
        </is>
      </c>
      <c r="F490" s="217" t="inlineStr">
        <is>
          <t>v</t>
        </is>
      </c>
      <c r="G490" s="217" t="inlineStr">
        <is>
          <t>អាសយដ្ឋានអ្នកផ្ញើ</t>
        </is>
      </c>
      <c r="H490" t="inlineStr">
        <is>
          <t>អាសយដ្ឋានអ្នកផ្ញើ</t>
        </is>
      </c>
      <c r="I490" s="74" t="inlineStr">
        <is>
          <t>អាសយដ្ឋានអ្នកផ្ញើ</t>
        </is>
      </c>
      <c r="J490" s="217" t="inlineStr">
        <is>
          <t>"detailsOperating.senderInfor": "Sender address",</t>
        </is>
      </c>
    </row>
    <row r="491" ht="15.75" customHeight="1" s="305">
      <c r="A491" s="67" t="inlineStr">
        <is>
          <t>detailsOperating.receiverInfor</t>
        </is>
      </c>
      <c r="B491" s="67" t="inlineStr">
        <is>
          <t>Địa chỉ người nhận</t>
        </is>
      </c>
      <c r="C491" s="67" t="inlineStr">
        <is>
          <t>Receiver address</t>
        </is>
      </c>
      <c r="D491" s="3">
        <f>IFERROR(__xludf.DUMMYFUNCTION("GOOGLETRANSLATE(B491,""vi"",""km"")"),"អាសយដ្ឋានរបស់អ្នកទទួល")</f>
        <v/>
      </c>
      <c r="E491" s="3" t="inlineStr">
        <is>
          <t>អាស័យដ្ឋានអ្នកទទួល</t>
        </is>
      </c>
      <c r="F491" s="217" t="inlineStr">
        <is>
          <t>v</t>
        </is>
      </c>
      <c r="G491" s="217" t="inlineStr">
        <is>
          <t>អាសយដ្ឋានអ្នកទទួល</t>
        </is>
      </c>
      <c r="H491" t="inlineStr">
        <is>
          <t>អាសយដ្ឋានអ្នកទទួល</t>
        </is>
      </c>
      <c r="I491" s="74" t="inlineStr">
        <is>
          <t>អាសយដ្ឋានរបស់អ្នកទទួល</t>
        </is>
      </c>
      <c r="J491" s="217" t="inlineStr">
        <is>
          <t>"detailsOperating.receiverInfor": "Receiver address",</t>
        </is>
      </c>
    </row>
    <row r="492" ht="15.75" customHeight="1" s="305">
      <c r="A492" s="67" t="inlineStr">
        <is>
          <t>detailsOperating.codeProvince</t>
        </is>
      </c>
      <c r="B492" s="67" t="inlineStr">
        <is>
          <t>Mã tỉnh</t>
        </is>
      </c>
      <c r="C492" s="67" t="inlineStr">
        <is>
          <t>Province Code</t>
        </is>
      </c>
      <c r="D492" s="3">
        <f>IFERROR(__xludf.DUMMYFUNCTION("GOOGLETRANSLATE(B492,""vi"",""km"")"),"លេខកូដខេត្ត")</f>
        <v/>
      </c>
      <c r="E492" s="3" t="inlineStr">
        <is>
          <t>លេខកូដខេត្ត</t>
        </is>
      </c>
      <c r="F492" s="217" t="inlineStr">
        <is>
          <t>v</t>
        </is>
      </c>
      <c r="G492" s="217" t="inlineStr">
        <is>
          <t>លេខកូដខេត្ត</t>
        </is>
      </c>
      <c r="H492" t="inlineStr">
        <is>
          <t>លេខកូដខេត្ត</t>
        </is>
      </c>
      <c r="I492" s="74" t="inlineStr">
        <is>
          <t>លេខកូដខេត្ត</t>
        </is>
      </c>
      <c r="J492" s="217" t="inlineStr">
        <is>
          <t>"detailsOperating.codeProvince": "Province Code",</t>
        </is>
      </c>
    </row>
    <row r="493" ht="15.75" customHeight="1" s="305">
      <c r="A493" s="67" t="inlineStr">
        <is>
          <t>detailsOperating.district</t>
        </is>
      </c>
      <c r="B493" s="67" t="inlineStr">
        <is>
          <t>Quận/Huyện</t>
        </is>
      </c>
      <c r="C493" s="67" t="inlineStr">
        <is>
          <t>District</t>
        </is>
      </c>
      <c r="D493" s="3">
        <f>IFERROR(__xludf.DUMMYFUNCTION("GOOGLETRANSLATE(B493,""vi"",""km"")"),"ស្រុក/ខេត្ត")</f>
        <v/>
      </c>
      <c r="E493" s="3" t="inlineStr">
        <is>
          <t>ខណ្ឌ/ស្រុក</t>
        </is>
      </c>
      <c r="F493" s="217" t="inlineStr">
        <is>
          <t>v</t>
        </is>
      </c>
      <c r="G493" s="217" t="inlineStr">
        <is>
          <t>ស្រុក/ខណ្ឌ</t>
        </is>
      </c>
      <c r="H493" t="inlineStr">
        <is>
          <t>ស្រុក/ខណ្ឌ</t>
        </is>
      </c>
      <c r="I493" s="74" t="inlineStr">
        <is>
          <t>ស្រុក / ឃុំ</t>
        </is>
      </c>
      <c r="J493" s="217" t="inlineStr">
        <is>
          <t>"detailsOperating.district": "District",</t>
        </is>
      </c>
    </row>
    <row r="494" ht="15.75" customHeight="1" s="305">
      <c r="A494" s="67" t="inlineStr">
        <is>
          <t>detailsOperating.total</t>
        </is>
      </c>
      <c r="B494" s="67" t="inlineStr">
        <is>
          <t>Tổng đơn hàng</t>
        </is>
      </c>
      <c r="C494" s="67" t="inlineStr">
        <is>
          <t>Total order</t>
        </is>
      </c>
      <c r="D494" s="3">
        <f>IFERROR(__xludf.DUMMYFUNCTION("GOOGLETRANSLATE(B494,""vi"",""km"")"),"ការបញ្ជាទិញសរុប")</f>
        <v/>
      </c>
      <c r="E494" s="3" t="inlineStr">
        <is>
          <t>សរុបបុងបញ្ញើ</t>
        </is>
      </c>
      <c r="F494" s="217" t="inlineStr">
        <is>
          <t>v</t>
        </is>
      </c>
      <c r="G494" s="217" t="inlineStr">
        <is>
          <t>សរុបបុងបញ្ញើ</t>
        </is>
      </c>
      <c r="H494" t="inlineStr">
        <is>
          <t>សរុបបុងបញ្ញើ</t>
        </is>
      </c>
      <c r="I494" s="74" t="inlineStr">
        <is>
          <t>ការបញ្ជាទិញសរុប</t>
        </is>
      </c>
      <c r="J494" s="217" t="inlineStr">
        <is>
          <t>"detailsOperating.total": "Total order",</t>
        </is>
      </c>
    </row>
    <row r="495" ht="15.75" customHeight="1" s="305">
      <c r="A495" s="67" t="inlineStr">
        <is>
          <t>progressAssign.pregressing</t>
        </is>
      </c>
      <c r="B495" s="67" t="inlineStr">
        <is>
          <t>Đang gán đơn</t>
        </is>
      </c>
      <c r="C495" s="67" t="inlineStr">
        <is>
          <t>Assigning orders</t>
        </is>
      </c>
      <c r="D495" s="3">
        <f>IFERROR(__xludf.DUMMYFUNCTION("GOOGLETRANSLATE(B495,""vi"",""km"")"),"ការចាត់តាំងការបញ្ជាទិញ")</f>
        <v/>
      </c>
      <c r="E495" s="3" t="inlineStr">
        <is>
          <t>កំពុងភ្ជាប់បុងបញ្ញើ</t>
        </is>
      </c>
      <c r="F495" s="217" t="inlineStr">
        <is>
          <t>x</t>
        </is>
      </c>
      <c r="G495" s="217" t="inlineStr">
        <is>
          <t>កំពុងចាត់តាំងបញ្ញើ</t>
        </is>
      </c>
      <c r="H495" t="inlineStr">
        <is>
          <t>កំពុងចាត់តាំងបញ្ញើ</t>
        </is>
      </c>
      <c r="I495" s="74" t="inlineStr">
        <is>
          <t>កំពុងបញ្ចេញការបញ្ជាទិញ</t>
        </is>
      </c>
      <c r="J495" s="217" t="inlineStr">
        <is>
          <t>"progressAssign.pregressing": "Assigning orders",</t>
        </is>
      </c>
    </row>
    <row r="496" ht="15.75" customHeight="1" s="305">
      <c r="A496" s="67" t="inlineStr">
        <is>
          <t>progressAssign.getOrderFail</t>
        </is>
      </c>
      <c r="B496" s="67" t="inlineStr">
        <is>
          <t>Lỗi lấy danh sách đơn của kho</t>
        </is>
      </c>
      <c r="C496" s="67" t="inlineStr">
        <is>
          <t>Error getting list of warehouse orders</t>
        </is>
      </c>
      <c r="D496" s="3">
        <f>IFERROR(__xludf.DUMMYFUNCTION("GOOGLETRANSLATE(B496,""vi"",""km"")"),"កំហុសក្នុងការទាញយកបញ្ជីបញ្ជាទិញពីឃ្លាំង")</f>
        <v/>
      </c>
      <c r="E496" s="3" t="inlineStr">
        <is>
          <t>បញ្ហាការយកតារាងបុងបញ្ញើរបស់ឃ្លាំង</t>
        </is>
      </c>
      <c r="F496" s="217" t="inlineStr">
        <is>
          <t>x</t>
        </is>
      </c>
      <c r="G496" s="217" t="inlineStr">
        <is>
          <t>មានបញ្ហាក្នុងការទាញយកបញ្ជីបញ្ញើរបស់ឃ្លាំង</t>
        </is>
      </c>
      <c r="H496" t="inlineStr">
        <is>
          <t>មានបញ្ហាក្នុងការទាញយកបញ្ជីបញ្ញើរបស់ឃ្លាំង</t>
        </is>
      </c>
      <c r="I496" s="74" t="inlineStr">
        <is>
          <t>មានបញ្ហា​ក្នុងការទទួលបញ្ជីការបញ្ជាទិញពីឃ្លាំង</t>
        </is>
      </c>
      <c r="J496" s="217" t="inlineStr">
        <is>
          <t>"progressAssign.getOrderFail": "Error getting list of warehouse orders",</t>
        </is>
      </c>
    </row>
    <row r="497" ht="15.75" customHeight="1" s="305">
      <c r="A497" s="67" t="inlineStr">
        <is>
          <t>progressAssign.assignDone</t>
        </is>
      </c>
      <c r="B497" s="67" t="inlineStr">
        <is>
          <t>Gán đơn kho thành công!</t>
        </is>
      </c>
      <c r="C497" s="67" t="inlineStr">
        <is>
          <t>Assigned total order in warehouse successfully!</t>
        </is>
      </c>
      <c r="D497" s="3">
        <f>IFERROR(__xludf.DUMMYFUNCTION("GOOGLETRANSLATE(B497,""vi"",""km"")"),"ការបញ្ជាទិញឃ្លាំងត្រូវបានចាត់តាំងដោយជោគជ័យ!")</f>
        <v/>
      </c>
      <c r="E497" s="3" t="inlineStr">
        <is>
          <t>ភ្ជាប់បុងបញ្ញើឃ្លាំងបានជោគជ័យ!</t>
        </is>
      </c>
      <c r="F497" s="217" t="inlineStr">
        <is>
          <t>x</t>
        </is>
      </c>
      <c r="G497" s="217" t="inlineStr">
        <is>
          <t>ចាត់តាំងបញ្ញើក្នុងឃ្លាំងជោគជ័យ!</t>
        </is>
      </c>
      <c r="H497" t="inlineStr">
        <is>
          <t>ចាត់តាំងបញ្ញើក្នុងឃ្លាំងជោគជ័យ!</t>
        </is>
      </c>
      <c r="I497" s="74" t="inlineStr">
        <is>
          <t>បានផ្ដល់បញ្ជាទិញទាំងអស់ក្នុងឃ្លាំងដោយជោគជ័យ!</t>
        </is>
      </c>
      <c r="J497" s="217" t="inlineStr">
        <is>
          <t>"progressAssign.assignDone": "Assigned total order in warehouse successfully!",</t>
        </is>
      </c>
    </row>
    <row r="498" ht="15.75" customHeight="1" s="305">
      <c r="A498" s="67" t="inlineStr">
        <is>
          <t>progressAssign.orderSuccess</t>
        </is>
      </c>
      <c r="B498" s="67" t="inlineStr">
        <is>
          <t>Đơn gán thành công</t>
        </is>
      </c>
      <c r="C498" s="67" t="inlineStr">
        <is>
          <t>Assigned order successfully!</t>
        </is>
      </c>
      <c r="D498" s="3">
        <f>IFERROR(__xludf.DUMMYFUNCTION("GOOGLETRANSLATE(B498,""vi"",""km"")"),"កិច្ចការ​បាន​ជោគជ័យ")</f>
        <v/>
      </c>
      <c r="E498" s="3" t="inlineStr">
        <is>
          <t>បុងបញ្ញើភ្ជាប់បានជោគជ័យ</t>
        </is>
      </c>
      <c r="F498" s="217" t="inlineStr">
        <is>
          <t>x</t>
        </is>
      </c>
      <c r="G498" s="217" t="inlineStr">
        <is>
          <t>បុងបញ្ញើភ្ជាប់បានជោគជ័យ</t>
        </is>
      </c>
      <c r="H498" t="inlineStr">
        <is>
          <t>បុងបញ្ញើភ្ជាប់បានជោគជ័យ</t>
        </is>
      </c>
      <c r="I498" s="74" t="inlineStr">
        <is>
          <t>បានផ្ដល់បញ្ជាទិញដោយជោគជ័យ!</t>
        </is>
      </c>
      <c r="J498" s="217" t="inlineStr">
        <is>
          <t>"progressAssign.orderSuccess": "Assigned order successfully!",</t>
        </is>
      </c>
    </row>
    <row r="499" ht="15.75" customHeight="1" s="305">
      <c r="A499" s="67" t="inlineStr">
        <is>
          <t>progressAssign.orderFail</t>
        </is>
      </c>
      <c r="B499" s="67" t="inlineStr">
        <is>
          <t>Đơn gán thất bại</t>
        </is>
      </c>
      <c r="C499" s="67" t="inlineStr">
        <is>
          <t>Assigned order failed!</t>
        </is>
      </c>
      <c r="D499" s="3">
        <f>IFERROR(__xludf.DUMMYFUNCTION("GOOGLETRANSLATE(B499,""vi"",""km"")"),"ការចាត់តាំងបរាជ័យ")</f>
        <v/>
      </c>
      <c r="E499" s="3" t="inlineStr">
        <is>
          <t>បុងបញ្ញើភ្ជាប់បរាជ័យ</t>
        </is>
      </c>
      <c r="F499" s="217" t="inlineStr">
        <is>
          <t>x</t>
        </is>
      </c>
      <c r="G499" s="217" t="inlineStr">
        <is>
          <t>បុងបញ្ញើភ្ជាប់បរាជ័យ</t>
        </is>
      </c>
      <c r="H499" t="inlineStr">
        <is>
          <t>បុងបញ្ញើភ្ជាប់បរាជ័យ</t>
        </is>
      </c>
      <c r="I499" s="74" t="inlineStr">
        <is>
          <t>ផ្ដល់បញ្ជាទិញបានបរាជ័យ!</t>
        </is>
      </c>
      <c r="J499" s="217" t="inlineStr">
        <is>
          <t>"progressAssign.orderFail": "Assigned order failed!",</t>
        </is>
      </c>
    </row>
    <row r="500" ht="15.75" customHeight="1" s="305">
      <c r="A500" s="67" t="inlineStr">
        <is>
          <t>shift.createShift</t>
        </is>
      </c>
      <c r="B500" s="67" t="inlineStr">
        <is>
          <t>Thêm mới ca làm việc</t>
        </is>
      </c>
      <c r="C500" s="67" t="inlineStr">
        <is>
          <t>Create new shift</t>
        </is>
      </c>
      <c r="D500" s="3">
        <f>IFERROR(__xludf.DUMMYFUNCTION("GOOGLETRANSLATE(B500,""vi"",""km"")"),"បន្ថែមវេនថ្មី")</f>
        <v/>
      </c>
      <c r="E500" s="3" t="inlineStr">
        <is>
          <t>បន្ថែមវេនធ្វើការថ្មី</t>
        </is>
      </c>
      <c r="F500" s="217" t="inlineStr">
        <is>
          <t>v</t>
        </is>
      </c>
      <c r="G500" s="217" t="inlineStr">
        <is>
          <t>បន្ថែមវេនធ្វើការថ្មី</t>
        </is>
      </c>
      <c r="H500" t="inlineStr">
        <is>
          <t>បន្ថែមវេនធ្វើការថ្មី</t>
        </is>
      </c>
      <c r="I500" s="74" t="inlineStr">
        <is>
          <t>បង្កើតការផ្លាស់ប្តូរការងារថ្មី។</t>
        </is>
      </c>
      <c r="J500" s="217" t="inlineStr">
        <is>
          <t>"shift.createShift": "Create new shift",</t>
        </is>
      </c>
    </row>
    <row r="501" ht="15.75" customHeight="1" s="305">
      <c r="A501" s="67" t="inlineStr">
        <is>
          <t>shift.updateShift</t>
        </is>
      </c>
      <c r="B501" s="67" t="inlineStr">
        <is>
          <t>Chỉnh sửa ca làm việc</t>
        </is>
      </c>
      <c r="C501" s="67" t="inlineStr">
        <is>
          <t>Update shift</t>
        </is>
      </c>
      <c r="D501" s="3">
        <f>IFERROR(__xludf.DUMMYFUNCTION("GOOGLETRANSLATE(B501,""vi"",""km"")"),"កែសម្រួលវេនការងារ")</f>
        <v/>
      </c>
      <c r="E501" s="3" t="inlineStr">
        <is>
          <t>កែសម្រួលវេនធ្វើការ</t>
        </is>
      </c>
      <c r="F501" s="217" t="inlineStr">
        <is>
          <t>v</t>
        </is>
      </c>
      <c r="G501" s="217" t="inlineStr">
        <is>
          <t>កែសម្រួលវេនធ្វើការ</t>
        </is>
      </c>
      <c r="H501" t="inlineStr">
        <is>
          <t>កែសម្រួលវេនធ្វើការ</t>
        </is>
      </c>
      <c r="I501" s="74" t="inlineStr">
        <is>
          <t>កែសម្រួលការផ្លាស់ប្តូរការងារ</t>
        </is>
      </c>
      <c r="J501" s="217" t="inlineStr">
        <is>
          <t>"shift.updateShift": "Update shift",</t>
        </is>
      </c>
    </row>
    <row r="502" ht="15.75" customHeight="1" s="305">
      <c r="A502" s="67" t="inlineStr">
        <is>
          <t>shift.searchKeyword</t>
        </is>
      </c>
      <c r="B502" s="67" t="inlineStr">
        <is>
          <t>Ca làm việc</t>
        </is>
      </c>
      <c r="C502" s="67" t="inlineStr">
        <is>
          <t>Seach for shift</t>
        </is>
      </c>
      <c r="D502" s="3">
        <f>IFERROR(__xludf.DUMMYFUNCTION("GOOGLETRANSLATE(B502,""vi"",""km"")"),"វេន")</f>
        <v/>
      </c>
      <c r="E502" s="3" t="inlineStr">
        <is>
          <t>វេនធ្វើការ</t>
        </is>
      </c>
      <c r="F502" s="217" t="inlineStr">
        <is>
          <t>v</t>
        </is>
      </c>
      <c r="G502" s="217" t="inlineStr">
        <is>
          <t>វេនធ្វើការ</t>
        </is>
      </c>
      <c r="H502" t="inlineStr">
        <is>
          <t>វេនធ្វើការ</t>
        </is>
      </c>
      <c r="I502" s="74" t="inlineStr">
        <is>
          <t>ស្វែងរកការប្តូរវេន</t>
        </is>
      </c>
      <c r="J502" s="217" t="inlineStr">
        <is>
          <t>"shift.searchKeyword": "Seach for shift",</t>
        </is>
      </c>
    </row>
    <row r="503" ht="15.75" customHeight="1" s="305">
      <c r="A503" s="67" t="inlineStr">
        <is>
          <t>shift.searchPlaceholder</t>
        </is>
      </c>
      <c r="B503" s="67" t="inlineStr">
        <is>
          <t>Nhập tên ca làm việc</t>
        </is>
      </c>
      <c r="C503" s="67" t="inlineStr">
        <is>
          <t>Enter shift name</t>
        </is>
      </c>
      <c r="D503" s="3">
        <f>IFERROR(__xludf.DUMMYFUNCTION("GOOGLETRANSLATE(B503,""vi"",""km"")"),"បញ្ចូលឈ្មោះវេន")</f>
        <v/>
      </c>
      <c r="E503" s="3" t="inlineStr">
        <is>
          <t>បញ្ចូលឈ្មោះក្នុងវេនធ្វើការ</t>
        </is>
      </c>
      <c r="F503" s="217" t="inlineStr">
        <is>
          <t>v</t>
        </is>
      </c>
      <c r="G503" s="217" t="inlineStr">
        <is>
          <t>បញ្ចូលឈ្មោះក្នុងវេនធ្វើការ</t>
        </is>
      </c>
      <c r="H503" t="inlineStr">
        <is>
          <t>បញ្ចូលឈ្មោះក្នុងវេនធ្វើការ</t>
        </is>
      </c>
      <c r="I503" s="74" t="inlineStr">
        <is>
          <t>បញ្ចូលឈ្មោះការប្តូរវេន</t>
        </is>
      </c>
      <c r="J503" s="217" t="inlineStr">
        <is>
          <t>"shift.searchPlaceholder": "Enter shift name",</t>
        </is>
      </c>
    </row>
    <row r="504" ht="15.75" customHeight="1" s="305">
      <c r="A504" s="67" t="inlineStr">
        <is>
          <t>shift.nameShift</t>
        </is>
      </c>
      <c r="B504" s="67" t="inlineStr">
        <is>
          <t>Tên ca</t>
        </is>
      </c>
      <c r="C504" s="67" t="inlineStr">
        <is>
          <t>Shift name</t>
        </is>
      </c>
      <c r="D504" s="3">
        <f>IFERROR(__xludf.DUMMYFUNCTION("GOOGLETRANSLATE(B504,""vi"",""km"")"),"ចំណងជើងបទចម្រៀង")</f>
        <v/>
      </c>
      <c r="E504" s="3" t="inlineStr">
        <is>
          <t>ឈ្មោះវេនធ្វើការ</t>
        </is>
      </c>
      <c r="F504" s="217" t="inlineStr">
        <is>
          <t>x</t>
        </is>
      </c>
      <c r="G504" s="217" t="inlineStr">
        <is>
          <t>ឈ្មោះវេនធ្វើការ</t>
        </is>
      </c>
      <c r="H504" t="inlineStr">
        <is>
          <t>ឈ្មោះវេនធ្វើការ</t>
        </is>
      </c>
      <c r="I504" s="74" t="inlineStr">
        <is>
          <t>ឈ្មោះវេន</t>
        </is>
      </c>
      <c r="J504" s="217" t="inlineStr">
        <is>
          <t>"shift.nameShift": "Shift name",</t>
        </is>
      </c>
    </row>
    <row r="505" ht="15.75" customHeight="1" s="305">
      <c r="A505" s="67" t="inlineStr">
        <is>
          <t>shift.startTime</t>
        </is>
      </c>
      <c r="B505" s="67" t="inlineStr">
        <is>
          <t>Giờ bắt đầu</t>
        </is>
      </c>
      <c r="C505" s="67" t="inlineStr">
        <is>
          <t>Start hour</t>
        </is>
      </c>
      <c r="D505" s="3">
        <f>IFERROR(__xludf.DUMMYFUNCTION("GOOGLETRANSLATE(B505,""vi"",""km"")"),"ចាប់ផ្តើមឥឡូវនេះ")</f>
        <v/>
      </c>
      <c r="E505" s="3" t="inlineStr">
        <is>
          <t>ម៉ោងចាប់ផ្តើម</t>
        </is>
      </c>
      <c r="F505" s="217" t="inlineStr">
        <is>
          <t>v</t>
        </is>
      </c>
      <c r="G505" s="217" t="inlineStr">
        <is>
          <t>ម៉ោងចាប់ផ្តើម</t>
        </is>
      </c>
      <c r="H505" t="inlineStr">
        <is>
          <t>ម៉ោងចាប់ផ្តើម</t>
        </is>
      </c>
      <c r="I505" s="74" t="inlineStr">
        <is>
          <t>ម៉ោងចាប់ផ្តើម</t>
        </is>
      </c>
      <c r="J505" s="217" t="inlineStr">
        <is>
          <t>"shift.startTime": "Start hour",</t>
        </is>
      </c>
    </row>
    <row r="506" ht="15.75" customHeight="1" s="305">
      <c r="A506" s="67" t="inlineStr">
        <is>
          <t>shift.finishTime</t>
        </is>
      </c>
      <c r="B506" s="67" t="inlineStr">
        <is>
          <t>Giờ kết thúc</t>
        </is>
      </c>
      <c r="C506" s="67" t="inlineStr">
        <is>
          <t>End hour</t>
        </is>
      </c>
      <c r="D506" s="3">
        <f>IFERROR(__xludf.DUMMYFUNCTION("GOOGLETRANSLATE(B506,""vi"",""km"")"),"ពេលវេលាបញ្ចប់")</f>
        <v/>
      </c>
      <c r="E506" s="3" t="inlineStr">
        <is>
          <t>ម៉ោងបញ្ចប់</t>
        </is>
      </c>
      <c r="F506" s="217" t="inlineStr">
        <is>
          <t>v</t>
        </is>
      </c>
      <c r="G506" s="217" t="inlineStr">
        <is>
          <t>ម៉ោងបញ្ចប់</t>
        </is>
      </c>
      <c r="H506" t="inlineStr">
        <is>
          <t>ម៉ោងបញ្ចប់</t>
        </is>
      </c>
      <c r="I506" s="74" t="inlineStr">
        <is>
          <t>ម៉ោងបញ្ចប់</t>
        </is>
      </c>
      <c r="J506" s="217" t="inlineStr">
        <is>
          <t>"shift.finishTime": "End hour",</t>
        </is>
      </c>
    </row>
    <row r="507" ht="15.75" customHeight="1" s="305">
      <c r="A507" s="67" t="inlineStr">
        <is>
          <t>shift.userUpdate</t>
        </is>
      </c>
      <c r="B507" s="67" t="inlineStr">
        <is>
          <t>Người cập nhật</t>
        </is>
      </c>
      <c r="C507" s="67" t="inlineStr">
        <is>
          <t>Update by</t>
        </is>
      </c>
      <c r="D507" s="3">
        <f>IFERROR(__xludf.DUMMYFUNCTION("GOOGLETRANSLATE(B507,""vi"",""km"")"),"កម្មវិធីធ្វើបច្ចុប្បន្នភាព")</f>
        <v/>
      </c>
      <c r="E507" s="3" t="inlineStr">
        <is>
          <t>អ្នកអាប់ដេត</t>
        </is>
      </c>
      <c r="F507" s="217" t="inlineStr">
        <is>
          <t>v</t>
        </is>
      </c>
      <c r="G507" s="217" t="inlineStr">
        <is>
          <t>អ្នកអាប់ដេត</t>
        </is>
      </c>
      <c r="H507" t="inlineStr">
        <is>
          <t>អ្នកអាប់ដេត</t>
        </is>
      </c>
      <c r="I507" s="74" t="inlineStr">
        <is>
          <t>ធ្វើបច្ចុប្បន្នភាពដោយ</t>
        </is>
      </c>
      <c r="J507" s="217" t="inlineStr">
        <is>
          <t>"shift.userUpdate": "Update by",</t>
        </is>
      </c>
    </row>
    <row r="508" ht="15.75" customHeight="1" s="305">
      <c r="A508" s="67" t="inlineStr">
        <is>
          <t>shift.timeUpdate</t>
        </is>
      </c>
      <c r="B508" s="67" t="inlineStr">
        <is>
          <t>Ngày cập nhật</t>
        </is>
      </c>
      <c r="C508" s="67" t="inlineStr">
        <is>
          <t>Update at</t>
        </is>
      </c>
      <c r="D508" s="3">
        <f>IFERROR(__xludf.DUMMYFUNCTION("GOOGLETRANSLATE(B508,""vi"",""km"")"),"កាលបរិច្ឆេទ​ដែលបានធ្វើបច្ចុប្បន្នភាព")</f>
        <v/>
      </c>
      <c r="E508" s="3" t="inlineStr">
        <is>
          <t>ថ្ងៃអាប់ដេត</t>
        </is>
      </c>
      <c r="F508" s="217" t="inlineStr">
        <is>
          <t>v</t>
        </is>
      </c>
      <c r="G508" s="217" t="inlineStr">
        <is>
          <t>ថ្ងៃអាប់ដេត</t>
        </is>
      </c>
      <c r="H508" t="inlineStr">
        <is>
          <t>ថ្ងៃអាប់ដេត</t>
        </is>
      </c>
      <c r="I508" s="74" t="inlineStr">
        <is>
          <t>ធ្វើបច្ចុប្បន្នភាពនៅ</t>
        </is>
      </c>
      <c r="J508" s="217" t="inlineStr">
        <is>
          <t>"shift.timeUpdate": "Update at",</t>
        </is>
      </c>
    </row>
    <row r="509" ht="15.75" customHeight="1" s="305">
      <c r="A509" s="67" t="inlineStr">
        <is>
          <t>shift.status</t>
        </is>
      </c>
      <c r="B509" s="67" t="inlineStr">
        <is>
          <t>Trạng thái</t>
        </is>
      </c>
      <c r="C509" s="67" t="inlineStr">
        <is>
          <t>Status</t>
        </is>
      </c>
      <c r="D509" s="3">
        <f>IFERROR(__xludf.DUMMYFUNCTION("GOOGLETRANSLATE(B509,""vi"",""km"")"),"ស្ថានភាព")</f>
        <v/>
      </c>
      <c r="E509" s="3" t="inlineStr">
        <is>
          <t>ស្ថានភាព</t>
        </is>
      </c>
      <c r="F509" s="217" t="inlineStr">
        <is>
          <t>v</t>
        </is>
      </c>
      <c r="G509" s="217" t="inlineStr">
        <is>
          <t>ស្ថានភាព</t>
        </is>
      </c>
      <c r="H509" t="inlineStr">
        <is>
          <t>ស្ថានភាព</t>
        </is>
      </c>
      <c r="I509" s="74" t="inlineStr">
        <is>
          <t>ស្ថានភាព</t>
        </is>
      </c>
      <c r="J509" s="217" t="inlineStr">
        <is>
          <t>"shift.status": "Status",</t>
        </is>
      </c>
    </row>
    <row r="510" ht="15.75" customHeight="1" s="305">
      <c r="A510" s="67" t="inlineStr">
        <is>
          <t>shift.active</t>
        </is>
      </c>
      <c r="B510" s="67" t="inlineStr">
        <is>
          <t>Hoạt động</t>
        </is>
      </c>
      <c r="C510" s="67" t="inlineStr">
        <is>
          <t>Active</t>
        </is>
      </c>
      <c r="D510" s="3">
        <f>IFERROR(__xludf.DUMMYFUNCTION("GOOGLETRANSLATE(B510,""vi"",""km"")"),"ការងារ")</f>
        <v/>
      </c>
      <c r="E510" s="217" t="inlineStr">
        <is>
          <t>ដំណើរការ</t>
        </is>
      </c>
      <c r="F510" s="217" t="inlineStr">
        <is>
          <t>v</t>
        </is>
      </c>
      <c r="G510" s="217" t="inlineStr">
        <is>
          <t>ដំណើរការ</t>
        </is>
      </c>
      <c r="H510" t="inlineStr">
        <is>
          <t>ដំណើរការ</t>
        </is>
      </c>
      <c r="I510" s="74" t="inlineStr">
        <is>
          <t>សកម្ម</t>
        </is>
      </c>
      <c r="J510" s="217" t="inlineStr">
        <is>
          <t>"shift.active": "Active",</t>
        </is>
      </c>
    </row>
    <row r="511" ht="15.75" customHeight="1" s="305">
      <c r="A511" s="67" t="inlineStr">
        <is>
          <t>shift.inactive</t>
        </is>
      </c>
      <c r="B511" s="67" t="inlineStr">
        <is>
          <t>Không hoạt động</t>
        </is>
      </c>
      <c r="C511" s="67" t="inlineStr">
        <is>
          <t>InActive</t>
        </is>
      </c>
      <c r="D511" s="3">
        <f>IFERROR(__xludf.DUMMYFUNCTION("GOOGLETRANSLATE(B511,""vi"",""km"")"),"អសកម្ម")</f>
        <v/>
      </c>
      <c r="E511" s="3" t="inlineStr">
        <is>
          <t>មិនដំណើរការ</t>
        </is>
      </c>
      <c r="F511" s="217" t="inlineStr">
        <is>
          <t>v</t>
        </is>
      </c>
      <c r="G511" s="217" t="inlineStr">
        <is>
          <t>មិនដំណើរការ</t>
        </is>
      </c>
      <c r="H511" t="inlineStr">
        <is>
          <t>មិនដំណើរការ</t>
        </is>
      </c>
      <c r="I511" s="74" t="inlineStr">
        <is>
          <t>អសកម្ម</t>
        </is>
      </c>
      <c r="J511" s="217" t="inlineStr">
        <is>
          <t>"shift.inactive": "InActive",</t>
        </is>
      </c>
    </row>
    <row r="512" ht="15.75" customHeight="1" s="305">
      <c r="A512" s="67" t="inlineStr">
        <is>
          <t>shift.total</t>
        </is>
      </c>
      <c r="B512" s="67" t="inlineStr">
        <is>
          <t>Tổng ca làm việc</t>
        </is>
      </c>
      <c r="C512" s="67" t="inlineStr">
        <is>
          <t>Total shift</t>
        </is>
      </c>
      <c r="D512" s="3">
        <f>IFERROR(__xludf.DUMMYFUNCTION("GOOGLETRANSLATE(B512,""vi"",""km"")"),"វេនសរុប")</f>
        <v/>
      </c>
      <c r="E512" s="3" t="inlineStr">
        <is>
          <t>សរុបវេនធ្វើការ</t>
        </is>
      </c>
      <c r="F512" s="217" t="inlineStr">
        <is>
          <t>v</t>
        </is>
      </c>
      <c r="G512" s="217" t="inlineStr">
        <is>
          <t>សរុបវេនធ្វើការ</t>
        </is>
      </c>
      <c r="H512" t="inlineStr">
        <is>
          <t>សរុបវេនធ្វើការ</t>
        </is>
      </c>
      <c r="I512" s="74" t="inlineStr">
        <is>
          <t>វេនសរុប</t>
        </is>
      </c>
      <c r="J512" s="217" t="inlineStr">
        <is>
          <t>"shift.total": "Total shift",</t>
        </is>
      </c>
    </row>
    <row r="513" ht="15.75" customHeight="1" s="305">
      <c r="A513" s="67" t="inlineStr">
        <is>
          <t>shift.modify.name</t>
        </is>
      </c>
      <c r="B513" s="67" t="inlineStr">
        <is>
          <t>Tên ca</t>
        </is>
      </c>
      <c r="C513" s="67" t="inlineStr">
        <is>
          <t>Shift name</t>
        </is>
      </c>
      <c r="D513" s="3">
        <f>IFERROR(__xludf.DUMMYFUNCTION("GOOGLETRANSLATE(B513,""vi"",""km"")"),"ចំណងជើងបទចម្រៀង")</f>
        <v/>
      </c>
      <c r="E513" s="3" t="inlineStr">
        <is>
          <t>ឈ្មោះវេនធ្វើការ</t>
        </is>
      </c>
      <c r="F513" s="217" t="inlineStr">
        <is>
          <t>x</t>
        </is>
      </c>
      <c r="G513" s="217" t="inlineStr">
        <is>
          <t>ឈ្មោះវេនធ្វើការ</t>
        </is>
      </c>
      <c r="H513" t="inlineStr">
        <is>
          <t>ឈ្មោះវេនធ្វើការ</t>
        </is>
      </c>
      <c r="I513" s="74" t="inlineStr">
        <is>
          <t>ឈ្មោះវេន</t>
        </is>
      </c>
      <c r="J513" s="217" t="inlineStr">
        <is>
          <t>"shift.modify.name": "Shift name",</t>
        </is>
      </c>
    </row>
    <row r="514" ht="15.75" customHeight="1" s="305">
      <c r="A514" s="67" t="inlineStr">
        <is>
          <t>shift.modify.max100</t>
        </is>
      </c>
      <c r="B514" s="67" t="inlineStr">
        <is>
          <t>Tên ca tối đa 100 ký tự</t>
        </is>
      </c>
      <c r="C514" s="67" t="inlineStr">
        <is>
          <t>Maximum 100 characters for shift name</t>
        </is>
      </c>
      <c r="D514" s="3">
        <f>IFERROR(__xludf.DUMMYFUNCTION("GOOGLETRANSLATE(B514,""vi"",""km"")"),"ឈ្មោះ​វេន​ត្រូវ​តែ​មាន​ចំនួន​តួអក្សរ​អតិបរមា 100 តួអក្សរ។")</f>
        <v/>
      </c>
      <c r="E514" s="3" t="inlineStr">
        <is>
          <t>ឈ្មោះវេនធ្វើការជាអតិបរមា 100 តួអក្សរលេខ</t>
        </is>
      </c>
      <c r="F514" s="217" t="inlineStr">
        <is>
          <t>x</t>
        </is>
      </c>
      <c r="G514" s="217" t="inlineStr">
        <is>
          <t>ឈ្មោះវេនធ្វើការជាអតិបរមា 100 តួអក្សរលេខ</t>
        </is>
      </c>
      <c r="H514" t="inlineStr">
        <is>
          <t>ឈ្មោះវេនធ្វើការជាអតិបរមា 100 តួអក្សរលេខ</t>
        </is>
      </c>
      <c r="I514" s="74" t="inlineStr">
        <is>
          <t>អតិបរមា 100 តួអក្សរសម្រាប់ការផ្លាស់ប្តូរឈ្មោះ</t>
        </is>
      </c>
      <c r="J514" s="217" t="inlineStr">
        <is>
          <t>"shift.modify.max100": "Maximum 100 characters for shift name",</t>
        </is>
      </c>
    </row>
    <row r="515" ht="15.75" customHeight="1" s="305">
      <c r="A515" s="67" t="inlineStr">
        <is>
          <t>shift.modify.empty</t>
        </is>
      </c>
      <c r="B515" s="67" t="inlineStr">
        <is>
          <t>Tên ca làm việc sai định dạng</t>
        </is>
      </c>
      <c r="C515" s="67" t="inlineStr">
        <is>
          <t>The shift name was entered in the wrong format</t>
        </is>
      </c>
      <c r="D515" s="3">
        <f>IFERROR(__xludf.DUMMYFUNCTION("GOOGLETRANSLATE(B515,""vi"",""km"")"),"ទម្រង់ឈ្មោះវេនមិនត្រឹមត្រូវ")</f>
        <v/>
      </c>
      <c r="E515" s="3" t="inlineStr">
        <is>
          <t>ឈ្មោះវេនធ្វើការខុសទម្រង់</t>
        </is>
      </c>
      <c r="G515" s="217" t="inlineStr">
        <is>
          <t>ឈ្មោះវេនធ្វើការខុសទម្រង់</t>
        </is>
      </c>
      <c r="H515" t="inlineStr">
        <is>
          <t>ឈ្មោះវេនធ្វើការខុសទម្រង់</t>
        </is>
      </c>
      <c r="I515" s="74" t="inlineStr">
        <is>
          <t>ឈ្មោះប្តូរត្រូវបានបញ្ចូលក្នុងទម្រង់ខុស</t>
        </is>
      </c>
      <c r="J515" s="217" t="inlineStr">
        <is>
          <t>"shift.modify.empty": "The shift name was entered in the wrong format",</t>
        </is>
      </c>
    </row>
    <row r="516" ht="15.75" customHeight="1" s="305">
      <c r="A516" s="67" t="inlineStr">
        <is>
          <t>shift.modify.containsSpecialCharacters</t>
        </is>
      </c>
      <c r="B516" s="67" t="inlineStr">
        <is>
          <t>Tên ca không được chứa ký tự đặc biệt</t>
        </is>
      </c>
      <c r="C516" s="67" t="inlineStr">
        <is>
          <t>Not allow for using special characters in Shift name</t>
        </is>
      </c>
      <c r="D516" s="3">
        <f>IFERROR(__xludf.DUMMYFUNCTION("GOOGLETRANSLATE(B516,""vi"",""km"")"),"ចំណងជើងបទចម្រៀងមិនត្រូវមានតួអក្សរពិសេសទេ។")</f>
        <v/>
      </c>
      <c r="E516" s="3" t="inlineStr">
        <is>
          <t>ឈ្មោះវេនធ្វើការមិនអាចដាក់អក្សរលេខជាពិសេស</t>
        </is>
      </c>
      <c r="F516" s="217" t="inlineStr">
        <is>
          <t>x</t>
        </is>
      </c>
      <c r="G516" s="217" t="inlineStr">
        <is>
          <t>ឈ្មោះវេនការងារមិនអាចមានតួអក្សរពិសេសទេ</t>
        </is>
      </c>
      <c r="H516" t="inlineStr">
        <is>
          <t>ឈ្មោះវេនការងារមិនអាចមានតួអក្សរពិសេសទេ</t>
        </is>
      </c>
      <c r="I516" s="74" t="inlineStr">
        <is>
          <t>មិនអនុញ្ញាតឱ្យប្រើតួអក្សរពិសេសនៅក្នុងឈ្មោះប្តូរ</t>
        </is>
      </c>
      <c r="J516" s="217" t="inlineStr">
        <is>
          <t>"shift.modify.containsSpecialCharacters": "Not allow for using special characters in Shift name",</t>
        </is>
      </c>
    </row>
    <row r="517" ht="15.75" customHeight="1" s="305">
      <c r="A517" s="67" t="inlineStr">
        <is>
          <t>shift.modify.namePlaceholder</t>
        </is>
      </c>
      <c r="B517" s="67" t="inlineStr">
        <is>
          <t>Nhập tên ca</t>
        </is>
      </c>
      <c r="C517" s="67" t="inlineStr">
        <is>
          <t>Enter shift name</t>
        </is>
      </c>
      <c r="D517" s="3">
        <f>IFERROR(__xludf.DUMMYFUNCTION("GOOGLETRANSLATE(B517,""vi"",""km"")"),"បញ្ចូលឈ្មោះវេន")</f>
        <v/>
      </c>
      <c r="E517" s="3" t="inlineStr">
        <is>
          <t>បញ្ចូលឈ្មោះវេនធ្វើការ</t>
        </is>
      </c>
      <c r="F517" s="217" t="inlineStr">
        <is>
          <t>x</t>
        </is>
      </c>
      <c r="G517" s="217" t="inlineStr">
        <is>
          <t>បញ្ចូលឈ្មោះវេនធ្វើការ</t>
        </is>
      </c>
      <c r="H517" t="inlineStr">
        <is>
          <t>បញ្ចូលឈ្មោះវេនធ្វើការ</t>
        </is>
      </c>
      <c r="I517" s="74" t="inlineStr">
        <is>
          <t>បញ្ចូលឈ្មោះការប្តូរវេន</t>
        </is>
      </c>
      <c r="J517" s="217" t="inlineStr">
        <is>
          <t>"shift.modify.namePlaceholder": "Enter shift name",</t>
        </is>
      </c>
    </row>
    <row r="518" ht="15.75" customHeight="1" s="305">
      <c r="A518" s="67" t="inlineStr">
        <is>
          <t>shift.modify.startTime</t>
        </is>
      </c>
      <c r="B518" s="67" t="inlineStr">
        <is>
          <t>Giờ bắt đầu</t>
        </is>
      </c>
      <c r="C518" s="67" t="inlineStr">
        <is>
          <t>Start hour</t>
        </is>
      </c>
      <c r="D518" s="3">
        <f>IFERROR(__xludf.DUMMYFUNCTION("GOOGLETRANSLATE(B518,""vi"",""km"")"),"ចាប់ផ្តើមឥឡូវនេះ")</f>
        <v/>
      </c>
      <c r="E518" s="3" t="inlineStr">
        <is>
          <t>ម៉ោងចាប់ផ្តើម</t>
        </is>
      </c>
      <c r="F518" s="217" t="inlineStr">
        <is>
          <t>v</t>
        </is>
      </c>
      <c r="G518" s="217" t="inlineStr">
        <is>
          <t>ម៉ោងចាប់ផ្តើម</t>
        </is>
      </c>
      <c r="H518" t="inlineStr">
        <is>
          <t>ម៉ោងចាប់ផ្តើម</t>
        </is>
      </c>
      <c r="I518" s="74" t="inlineStr">
        <is>
          <t>ម៉ោងចាប់ផ្តើម</t>
        </is>
      </c>
      <c r="J518" s="217" t="inlineStr">
        <is>
          <t>"shift.modify.startTime": "Start hour",</t>
        </is>
      </c>
    </row>
    <row r="519" ht="15.75" customHeight="1" s="305">
      <c r="A519" s="67" t="inlineStr">
        <is>
          <t>shift.modify.endTime</t>
        </is>
      </c>
      <c r="B519" s="67" t="inlineStr">
        <is>
          <t>Giờ kết thúc</t>
        </is>
      </c>
      <c r="C519" s="67" t="inlineStr">
        <is>
          <t>End hour</t>
        </is>
      </c>
      <c r="D519" s="3">
        <f>IFERROR(__xludf.DUMMYFUNCTION("GOOGLETRANSLATE(B519,""vi"",""km"")"),"ពេលវេលាបញ្ចប់")</f>
        <v/>
      </c>
      <c r="E519" s="3" t="inlineStr">
        <is>
          <t>ម៉ោងបញ្ចប់</t>
        </is>
      </c>
      <c r="F519" s="217" t="inlineStr">
        <is>
          <t>v</t>
        </is>
      </c>
      <c r="G519" s="217" t="inlineStr">
        <is>
          <t>ម៉ោងបញ្ចប់</t>
        </is>
      </c>
      <c r="H519" t="inlineStr">
        <is>
          <t>ម៉ោងបញ្ចប់</t>
        </is>
      </c>
      <c r="I519" s="74" t="inlineStr">
        <is>
          <t>ម៉ោងបញ្ចប់</t>
        </is>
      </c>
      <c r="J519" s="217" t="inlineStr">
        <is>
          <t>"shift.modify.endTime": "End hour",</t>
        </is>
      </c>
    </row>
    <row r="520" ht="15.75" customHeight="1" s="305">
      <c r="A520" s="67" t="inlineStr">
        <is>
          <t>shift.modify.validateTime</t>
        </is>
      </c>
      <c r="B520" s="67" t="inlineStr">
        <is>
          <t>Thời gian kết thúc phải lớn hơn thời gian bắt đầu</t>
        </is>
      </c>
      <c r="C520" s="67" t="inlineStr">
        <is>
          <t>Ending time must be later than starting time</t>
        </is>
      </c>
      <c r="D520" s="3">
        <f>IFERROR(__xludf.DUMMYFUNCTION("GOOGLETRANSLATE(B520,""vi"",""km"")"),"ពេលវេលាបញ្ចប់ត្រូវតែយូរជាងពេលវេលាចាប់ផ្តើម។")</f>
        <v/>
      </c>
      <c r="E520" s="3" t="inlineStr">
        <is>
          <t>ពេលវេលាបញ្ចប់ត្រូវតែច្រើនជាងពេលវេលាចាប់ផ្តើម</t>
        </is>
      </c>
      <c r="F520" s="217" t="inlineStr">
        <is>
          <t>v</t>
        </is>
      </c>
      <c r="G520" s="217" t="inlineStr">
        <is>
          <t>ពេលវេលាបញ្ចប់ត្រូវតែច្រើនជាងពេលវេលាចាប់ផ្តើម</t>
        </is>
      </c>
      <c r="H520" t="inlineStr">
        <is>
          <t>ពេលវេលាបញ្ចប់ត្រូវតែច្រើនជាងពេលវេលាចាប់ផ្តើម</t>
        </is>
      </c>
      <c r="I520" s="74" t="inlineStr">
        <is>
          <t>ពេលវេលាបញ្ចប់ត្រូវតែយឺតជាងពេលចាប់ផ្តើម</t>
        </is>
      </c>
      <c r="J520" s="217" t="inlineStr">
        <is>
          <t>"shift.modify.validateTime": "Ending time must be later than starting time",</t>
        </is>
      </c>
    </row>
    <row r="521" ht="15.75" customHeight="1" s="305">
      <c r="A521" s="67" t="inlineStr">
        <is>
          <t>shift.lockUnlock</t>
        </is>
      </c>
      <c r="B521" s="67" t="inlineStr">
        <is>
          <t>Bạn có chắc chắn muốn khóa/mở ca làm việc hay không?</t>
        </is>
      </c>
      <c r="C521" s="67" t="inlineStr">
        <is>
          <t>Are you sure to lock/unlock working shift?</t>
        </is>
      </c>
      <c r="D521" s="3">
        <f>IFERROR(__xludf.DUMMYFUNCTION("GOOGLETRANSLATE(B521,""vi"",""km"")"),"តើអ្នកពិតជាចង់ចាក់សោ/ដោះសោវេនរបស់អ្នកមែនទេ?")</f>
        <v/>
      </c>
      <c r="E521" s="3" t="inlineStr">
        <is>
          <t>តើអ្នកពិតជាចង់បិទ/បើក វេនធ្វើការដែរឬទេ?</t>
        </is>
      </c>
      <c r="F521" s="217" t="inlineStr">
        <is>
          <t>v</t>
        </is>
      </c>
      <c r="G521" s="217" t="inlineStr">
        <is>
          <t>តើអ្នកពិតជាចង់បិទ/បើក វេនធ្វើការដែរឬទេ?</t>
        </is>
      </c>
      <c r="H521" t="inlineStr">
        <is>
          <t>តើអ្នកពិតជាចង់បិទ/បើក វេនធ្វើការដែរឬទេ?</t>
        </is>
      </c>
      <c r="I521" s="74" t="inlineStr">
        <is>
          <t>តើអ្នកប្រាកដក្នុងការចាក់សោ/ដោះសោការផ្លាស់ប្តូរការងារ?</t>
        </is>
      </c>
      <c r="J521" s="217" t="inlineStr">
        <is>
          <t>"shift.lockUnlock": "Are you sure to lock/unlock working shift?",</t>
        </is>
      </c>
    </row>
    <row r="522" ht="15.75" customHeight="1" s="305">
      <c r="A522" s="67" t="inlineStr">
        <is>
          <t>shift.lockTitle</t>
        </is>
      </c>
      <c r="B522" s="67" t="inlineStr">
        <is>
          <t>Khóa/mở ca làm việc</t>
        </is>
      </c>
      <c r="C522" s="67" t="inlineStr">
        <is>
          <t>Lock/unlock working shift</t>
        </is>
      </c>
      <c r="D522" s="3">
        <f>IFERROR(__xludf.DUMMYFUNCTION("GOOGLETRANSLATE(B522,""vi"",""km"")"),"ចាក់សោ/ដោះសោវេនការងារ")</f>
        <v/>
      </c>
      <c r="E522" s="3" t="inlineStr">
        <is>
          <t>បិទ/បើក វេនធ្វើការ</t>
        </is>
      </c>
      <c r="F522" s="217" t="inlineStr">
        <is>
          <t>v</t>
        </is>
      </c>
      <c r="G522" s="217" t="inlineStr">
        <is>
          <t>បិទ/បើក វេនធ្វើការ</t>
        </is>
      </c>
      <c r="H522" t="inlineStr">
        <is>
          <t>បិទ/បើក វេនធ្វើការ</t>
        </is>
      </c>
      <c r="I522" s="74" t="inlineStr">
        <is>
          <t>ចាក់សោ / ដោះសោការផ្លាស់ប្តូរការងារ</t>
        </is>
      </c>
      <c r="J522" s="217" t="inlineStr">
        <is>
          <t>"shift.lockTitle": "Lock/unlock working shift",</t>
        </is>
      </c>
    </row>
    <row r="523" ht="15.75" customHeight="1" s="305">
      <c r="A523" s="67" t="inlineStr">
        <is>
          <t>configRoute.searchKeyword</t>
        </is>
      </c>
      <c r="B523" s="67" t="inlineStr">
        <is>
          <t>Tuyến nhận</t>
        </is>
      </c>
      <c r="C523" s="67" t="inlineStr">
        <is>
          <t>Pickup route</t>
        </is>
      </c>
      <c r="D523" s="3">
        <f>IFERROR(__xludf.DUMMYFUNCTION("GOOGLETRANSLATE(B523,""vi"",""km"")"),"ខ្សែទទួល")</f>
        <v/>
      </c>
      <c r="E523" s="3" t="inlineStr">
        <is>
          <t>ផ្លូវទទួល</t>
        </is>
      </c>
      <c r="F523" s="217" t="inlineStr">
        <is>
          <t>x</t>
        </is>
      </c>
      <c r="G523" s="217" t="inlineStr">
        <is>
          <t>ផ្លូវទទួល</t>
        </is>
      </c>
      <c r="H523" t="inlineStr">
        <is>
          <t>ផ្លូវទទួល</t>
        </is>
      </c>
      <c r="I523" s="74" t="inlineStr">
        <is>
          <t>ផ្លូវទៅយក</t>
        </is>
      </c>
      <c r="J523" s="217" t="inlineStr">
        <is>
          <t>"configRoute.searchKeyword": "Pickup route",</t>
        </is>
      </c>
    </row>
    <row r="524" ht="15.75" customHeight="1" s="305">
      <c r="A524" s="67" t="inlineStr">
        <is>
          <t>configRoute.searchPlaceholder</t>
        </is>
      </c>
      <c r="B524" s="67" t="inlineStr">
        <is>
          <t>Nhập tên tuyến</t>
        </is>
      </c>
      <c r="C524" s="67" t="inlineStr">
        <is>
          <t>Enter pickup route</t>
        </is>
      </c>
      <c r="D524" s="3">
        <f>IFERROR(__xludf.DUMMYFUNCTION("GOOGLETRANSLATE(B524,""vi"",""km"")"),"បញ្ចូលឈ្មោះផ្លូវ")</f>
        <v/>
      </c>
      <c r="E524" s="3" t="inlineStr">
        <is>
          <t>បញ្ចូលឈ្មោះផ្លូវដឹក</t>
        </is>
      </c>
      <c r="F524" s="217" t="inlineStr">
        <is>
          <t>x</t>
        </is>
      </c>
      <c r="G524" s="217" t="inlineStr">
        <is>
          <t>បញ្ចូលឈ្មោះផ្លូវដឹក</t>
        </is>
      </c>
      <c r="H524" t="inlineStr">
        <is>
          <t>បញ្ចូលឈ្មោះផ្លូវដឹក</t>
        </is>
      </c>
      <c r="I524" s="74" t="inlineStr">
        <is>
          <t>បញ្ចូលផ្លូវទៅយក</t>
        </is>
      </c>
      <c r="J524" s="217" t="inlineStr">
        <is>
          <t>"configRoute.searchPlaceholder": "Enter pickup route",</t>
        </is>
      </c>
    </row>
    <row r="525" ht="15.75" customHeight="1" s="305">
      <c r="A525" s="67" t="inlineStr">
        <is>
          <t>configRoute.minKeyword</t>
        </is>
      </c>
      <c r="B525" s="67" t="inlineStr">
        <is>
          <t>Tìm kiếm tối thiếu 2 kí tự</t>
        </is>
      </c>
      <c r="C525" s="67" t="inlineStr">
        <is>
          <t>Minimum 2 characters for search pickup route</t>
        </is>
      </c>
      <c r="D525" s="3">
        <f>IFERROR(__xludf.DUMMYFUNCTION("GOOGLETRANSLATE(B525,""vi"",""km"")"),"ស្វែងរកយ៉ាងហោចណាស់ 2 តួអក្សរ។")</f>
        <v/>
      </c>
      <c r="E525" s="3" t="inlineStr">
        <is>
          <t>ស្វែងរកយ៉ាងតិចណាស់ 2 តួរអក្សរលេខ</t>
        </is>
      </c>
      <c r="F525" s="217" t="inlineStr">
        <is>
          <t>v</t>
        </is>
      </c>
      <c r="G525" s="217" t="inlineStr">
        <is>
          <t>ស្វែងរកយ៉ាងតិចណាស់ 2 តួរអក្សរលេខ</t>
        </is>
      </c>
      <c r="H525" t="inlineStr">
        <is>
          <t>ស្វែងរកយ៉ាងតិចណាស់ 2 តួរអក្សរលេខ</t>
        </is>
      </c>
      <c r="I525" s="74" t="inlineStr">
        <is>
          <t>យ៉ាងហោចណាស់ 2 តួអក្សរសម្រាប់ផ្លូវទៅយក</t>
        </is>
      </c>
      <c r="J525" s="217" t="inlineStr">
        <is>
          <t>"configRoute.minKeyword": "Minimum 2 characters for search pickup route",</t>
        </is>
      </c>
    </row>
    <row r="526" ht="15.75" customHeight="1" s="305">
      <c r="A526" s="67" t="inlineStr">
        <is>
          <t>configRoute.route</t>
        </is>
      </c>
      <c r="B526" s="67" t="inlineStr">
        <is>
          <t>Tuyến</t>
        </is>
      </c>
      <c r="C526" s="67" t="inlineStr">
        <is>
          <t>Route</t>
        </is>
      </c>
      <c r="D526" s="3">
        <f>IFERROR(__xludf.DUMMYFUNCTION("GOOGLETRANSLATE(B526,""vi"",""km"")"),"ផ្លូវ")</f>
        <v/>
      </c>
      <c r="E526" s="3" t="inlineStr">
        <is>
          <t>ផ្លូវដឹក</t>
        </is>
      </c>
      <c r="F526" s="217" t="inlineStr">
        <is>
          <t>x</t>
        </is>
      </c>
      <c r="G526" s="217" t="inlineStr">
        <is>
          <t>ផ្លូវដឹក</t>
        </is>
      </c>
      <c r="H526" t="inlineStr">
        <is>
          <t>ផ្លូវដឹក</t>
        </is>
      </c>
      <c r="I526" s="74" t="inlineStr">
        <is>
          <t>ផ្លូវ</t>
        </is>
      </c>
      <c r="J526" s="217" t="inlineStr">
        <is>
          <t>"configRoute.route": "Route",</t>
        </is>
      </c>
    </row>
    <row r="527" ht="15.75" customHeight="1" s="305">
      <c r="A527" s="67" t="inlineStr">
        <is>
          <t>configRoute.route_leader</t>
        </is>
      </c>
      <c r="B527" s="67" t="inlineStr">
        <is>
          <t>Mặc định</t>
        </is>
      </c>
      <c r="C527" s="67" t="inlineStr">
        <is>
          <t>Route Lead</t>
        </is>
      </c>
      <c r="D527" s="3">
        <f>IFERROR(__xludf.DUMMYFUNCTION("GOOGLETRANSLATE(B527,""vi"",""km"")"),"លំនាំដើម")</f>
        <v/>
      </c>
      <c r="E527" s="3" t="inlineStr">
        <is>
          <t>ដែលបានសម្រេច</t>
        </is>
      </c>
      <c r="F527" s="217" t="inlineStr">
        <is>
          <t>x</t>
        </is>
      </c>
      <c r="G527" s="217" t="inlineStr">
        <is>
          <t>លំនាំដើម</t>
        </is>
      </c>
      <c r="H527" t="inlineStr">
        <is>
          <t>លំនាំដើម</t>
        </is>
      </c>
      <c r="I527" s="74" t="inlineStr">
        <is>
          <t>ផ្លូវនាំមុខ</t>
        </is>
      </c>
      <c r="J527" s="217" t="inlineStr">
        <is>
          <t>"configRoute.route_leader": "Route Lead",</t>
        </is>
      </c>
    </row>
    <row r="528" ht="15.75" customHeight="1" s="305">
      <c r="A528" s="67" t="inlineStr">
        <is>
          <t>configRoute.userUpdate</t>
        </is>
      </c>
      <c r="B528" s="67" t="inlineStr">
        <is>
          <t>Người cập nhật</t>
        </is>
      </c>
      <c r="C528" s="67" t="inlineStr">
        <is>
          <t>Update by</t>
        </is>
      </c>
      <c r="D528" s="3">
        <f>IFERROR(__xludf.DUMMYFUNCTION("GOOGLETRANSLATE(B528,""vi"",""km"")"),"កម្មវិធីធ្វើបច្ចុប្បន្នភាព")</f>
        <v/>
      </c>
      <c r="E528" s="3" t="inlineStr">
        <is>
          <t>អ្នកអាប់ដេត</t>
        </is>
      </c>
      <c r="F528" s="217" t="inlineStr">
        <is>
          <t>v</t>
        </is>
      </c>
      <c r="G528" s="217" t="inlineStr">
        <is>
          <t>អ្នកអាប់ដេត</t>
        </is>
      </c>
      <c r="H528" t="inlineStr">
        <is>
          <t>អ្នកអាប់ដេត</t>
        </is>
      </c>
      <c r="I528" s="74" t="inlineStr">
        <is>
          <t>ធ្វើបច្ចុប្បន្នភាពដោយ</t>
        </is>
      </c>
      <c r="J528" s="217" t="inlineStr">
        <is>
          <t>"configRoute.userUpdate": "Update by",</t>
        </is>
      </c>
    </row>
    <row r="529" ht="15.75" customHeight="1" s="305">
      <c r="A529" s="67" t="inlineStr">
        <is>
          <t>configRoute.timeUpdate</t>
        </is>
      </c>
      <c r="B529" s="67" t="inlineStr">
        <is>
          <t>Ngày cập nhật</t>
        </is>
      </c>
      <c r="C529" s="67" t="inlineStr">
        <is>
          <t>Update at</t>
        </is>
      </c>
      <c r="D529" s="3">
        <f>IFERROR(__xludf.DUMMYFUNCTION("GOOGLETRANSLATE(B529,""vi"",""km"")"),"កាលបរិច្ឆេទ​ដែលបានធ្វើបច្ចុប្បន្នភាព")</f>
        <v/>
      </c>
      <c r="E529" s="3" t="inlineStr">
        <is>
          <t>ថ្ងៃអាប់ដេត</t>
        </is>
      </c>
      <c r="F529" s="217" t="inlineStr">
        <is>
          <t>v</t>
        </is>
      </c>
      <c r="G529" s="217" t="inlineStr">
        <is>
          <t>ថ្ងៃអាប់ដេត</t>
        </is>
      </c>
      <c r="H529" t="inlineStr">
        <is>
          <t>ថ្ងៃអាប់ដេត</t>
        </is>
      </c>
      <c r="I529" s="74" t="inlineStr">
        <is>
          <t>ធ្វើបច្ចុប្បន្នភាពនៅ</t>
        </is>
      </c>
      <c r="J529" s="217" t="inlineStr">
        <is>
          <t>"configRoute.timeUpdate": "Update at",</t>
        </is>
      </c>
    </row>
    <row r="530" ht="15.75" customHeight="1" s="305">
      <c r="A530" s="67" t="inlineStr">
        <is>
          <t>configRoute.total</t>
        </is>
      </c>
      <c r="B530" s="67" t="inlineStr">
        <is>
          <t>Tổng số tuyến nhận</t>
        </is>
      </c>
      <c r="C530" s="67" t="inlineStr">
        <is>
          <t>Total pickup routes</t>
        </is>
      </c>
      <c r="D530" s="3">
        <f>IFERROR(__xludf.DUMMYFUNCTION("GOOGLETRANSLATE(B530,""vi"",""km"")"),"ចំនួនផ្លូវសរុបដែលបានទទួល")</f>
        <v/>
      </c>
      <c r="E530" s="3" t="inlineStr">
        <is>
          <t>សរុបចំនួនផ្លូវទទួល</t>
        </is>
      </c>
      <c r="F530" s="217" t="inlineStr">
        <is>
          <t>x</t>
        </is>
      </c>
      <c r="G530" s="217" t="inlineStr">
        <is>
          <t>សរុបចំនួនផ្លូវទទួល</t>
        </is>
      </c>
      <c r="H530" t="inlineStr">
        <is>
          <t>សរុបចំនួនផ្លូវទទួល</t>
        </is>
      </c>
      <c r="I530" s="74" t="inlineStr">
        <is>
          <t>ផ្លូវទៅយកសរុប</t>
        </is>
      </c>
      <c r="J530" s="217" t="inlineStr">
        <is>
          <t>"configRoute.total": "Total pickup routes",</t>
        </is>
      </c>
    </row>
    <row r="531" ht="15.75" customHeight="1" s="305">
      <c r="A531" s="67" t="inlineStr">
        <is>
          <t>configRoute.updateConfig</t>
        </is>
      </c>
      <c r="B531" s="67" t="inlineStr">
        <is>
          <t>Chỉnh sửa cấu hình</t>
        </is>
      </c>
      <c r="C531" s="67" t="inlineStr">
        <is>
          <t>Update config</t>
        </is>
      </c>
      <c r="D531" s="3">
        <f>IFERROR(__xludf.DUMMYFUNCTION("GOOGLETRANSLATE(B531,""vi"",""km"")"),"កែសម្រួលការកំណត់រចនាសម្ព័ន្ធ")</f>
        <v/>
      </c>
      <c r="E531" s="3" t="inlineStr">
        <is>
          <t>កែសម្រួលទម្រង់</t>
        </is>
      </c>
      <c r="F531" s="217" t="inlineStr">
        <is>
          <t>x</t>
        </is>
      </c>
      <c r="G531" s="217" t="inlineStr">
        <is>
          <t>កែសម្រួលការកំណត់</t>
        </is>
      </c>
      <c r="H531" t="inlineStr">
        <is>
          <t>កែសម្រួលការកំណត់</t>
        </is>
      </c>
      <c r="I531" s="74" t="inlineStr">
        <is>
          <t>ធ្វើបច្ចុប្បន្នភាពការកំណត់</t>
        </is>
      </c>
      <c r="J531" s="217" t="inlineStr">
        <is>
          <t>"configRoute.updateConfig": "Update config",</t>
        </is>
      </c>
    </row>
    <row r="532" ht="15.75" customHeight="1" s="305">
      <c r="A532" s="67" t="inlineStr">
        <is>
          <t>configRoute.createConfig</t>
        </is>
      </c>
      <c r="B532" s="67" t="inlineStr">
        <is>
          <t>Thêm mới cấu hình</t>
        </is>
      </c>
      <c r="C532" s="67" t="inlineStr">
        <is>
          <t>Create new config</t>
        </is>
      </c>
      <c r="D532" s="3">
        <f>IFERROR(__xludf.DUMMYFUNCTION("GOOGLETRANSLATE(B532,""vi"",""km"")"),"បន្ថែមការកំណត់រចនាសម្ព័ន្ធថ្មី")</f>
        <v/>
      </c>
      <c r="E532" s="3" t="inlineStr">
        <is>
          <t>បន្ថែ្ថមទម្រង់ថ្មី</t>
        </is>
      </c>
      <c r="F532" s="217" t="inlineStr">
        <is>
          <t>x</t>
        </is>
      </c>
      <c r="G532" s="217" t="inlineStr">
        <is>
          <t>បន្ថែមការកំណត់ថ្មី</t>
        </is>
      </c>
      <c r="H532" t="inlineStr">
        <is>
          <t>បន្ថែមការកំណត់ថ្មី</t>
        </is>
      </c>
      <c r="I532" s="74" t="inlineStr">
        <is>
          <t>បង្កើតការកំណត់ថ្មី។</t>
        </is>
      </c>
      <c r="J532" s="217" t="inlineStr">
        <is>
          <t>"configRoute.createConfig": "Create new config",</t>
        </is>
      </c>
    </row>
    <row r="533" ht="15.75" customHeight="1" s="305">
      <c r="A533" s="67" t="inlineStr">
        <is>
          <t>configRoute.routeInformation</t>
        </is>
      </c>
      <c r="B533" s="67" t="inlineStr">
        <is>
          <t>Thông tin tuyến</t>
        </is>
      </c>
      <c r="C533" s="67" t="inlineStr">
        <is>
          <t>Route information</t>
        </is>
      </c>
      <c r="D533" s="3">
        <f>IFERROR(__xludf.DUMMYFUNCTION("GOOGLETRANSLATE(B533,""vi"",""km"")"),"ព័ត៌មានផ្លូវ")</f>
        <v/>
      </c>
      <c r="E533" s="3" t="inlineStr">
        <is>
          <t>ព័ត៌មានផ្លូវដឹក</t>
        </is>
      </c>
      <c r="F533" s="217" t="inlineStr">
        <is>
          <t>x</t>
        </is>
      </c>
      <c r="G533" s="217" t="inlineStr">
        <is>
          <t>ព័ត៌មានផ្លូវដឹក</t>
        </is>
      </c>
      <c r="H533" t="inlineStr">
        <is>
          <t>ព័ត៌មានផ្លូវដឹក</t>
        </is>
      </c>
      <c r="I533" s="74" t="inlineStr">
        <is>
          <t>ព័ត៌មានផ្លូវ</t>
        </is>
      </c>
      <c r="J533" s="217" t="inlineStr">
        <is>
          <t>"configRoute.routeInformation": "Route information",</t>
        </is>
      </c>
    </row>
    <row r="534" ht="15.75" customHeight="1" s="305">
      <c r="A534" s="67" t="inlineStr">
        <is>
          <t>configRoute.area</t>
        </is>
      </c>
      <c r="B534" s="67" t="inlineStr">
        <is>
          <t>Địa danh</t>
        </is>
      </c>
      <c r="C534" s="67" t="inlineStr">
        <is>
          <t>Area</t>
        </is>
      </c>
      <c r="D534" s="3">
        <f>IFERROR(__xludf.DUMMYFUNCTION("GOOGLETRANSLATE(B534,""vi"",""km"")"),"ឈ្មោះទីកន្លែង")</f>
        <v/>
      </c>
      <c r="E534" s="3" t="inlineStr">
        <is>
          <t>ទីតាំងដែលអាចសម្គាល់</t>
        </is>
      </c>
      <c r="F534" s="217" t="inlineStr">
        <is>
          <t>x</t>
        </is>
      </c>
      <c r="G534" s="217" t="inlineStr">
        <is>
          <t>ទីតាំងភូមិសាស្ត្រ</t>
        </is>
      </c>
      <c r="H534" t="inlineStr">
        <is>
          <t>ទីតាំងភូមិសាស្ត្រ</t>
        </is>
      </c>
      <c r="I534" s="74" t="inlineStr">
        <is>
          <t>តំបន់</t>
        </is>
      </c>
      <c r="J534" s="217" t="inlineStr">
        <is>
          <t>"configRoute.area": "Area",</t>
        </is>
      </c>
    </row>
    <row r="535" ht="15.75" customHeight="1" s="305">
      <c r="A535" s="67" t="inlineStr">
        <is>
          <t>configRoute.postman</t>
        </is>
      </c>
      <c r="B535" s="67" t="inlineStr">
        <is>
          <t>Bưu tá</t>
        </is>
      </c>
      <c r="C535" s="67" t="inlineStr">
        <is>
          <t>Postman</t>
        </is>
      </c>
      <c r="D535" s="3">
        <f>IFERROR(__xludf.DUMMYFUNCTION("GOOGLETRANSLATE(B535,""vi"",""km"")"),"អ្នករត់សំបុត្រ")</f>
        <v/>
      </c>
      <c r="E535" s="3" t="inlineStr">
        <is>
          <t>បុគ្គលិកប្រៃសណីយ៍</t>
        </is>
      </c>
      <c r="F535" s="217" t="inlineStr">
        <is>
          <t>v</t>
        </is>
      </c>
      <c r="G535" s="217" t="inlineStr">
        <is>
          <t>បុគ្គលិកដឹកជញ្ជូន</t>
        </is>
      </c>
      <c r="H535" t="inlineStr">
        <is>
          <t>បុគ្គលិកដឹកជញ្ជូន</t>
        </is>
      </c>
      <c r="I535" s="74" t="inlineStr">
        <is>
          <t>អ្នកបញ្ញើ</t>
        </is>
      </c>
      <c r="J535" s="217" t="inlineStr">
        <is>
          <t>"configRoute.postman": "Postman",</t>
        </is>
      </c>
    </row>
    <row r="536" ht="15.75" customHeight="1" s="305">
      <c r="A536" s="67" t="inlineStr">
        <is>
          <t>areaConfig.selectDistrict</t>
        </is>
      </c>
      <c r="B536" s="67" t="inlineStr">
        <is>
          <t>Chọn quận/huyện</t>
        </is>
      </c>
      <c r="C536" s="67" t="inlineStr">
        <is>
          <t>Select district</t>
        </is>
      </c>
      <c r="D536" s="3">
        <f>IFERROR(__xludf.DUMMYFUNCTION("GOOGLETRANSLATE(B536,""vi"",""km"")"),"ជ្រើសរើសស្រុក/ខេត្ត")</f>
        <v/>
      </c>
      <c r="E536" s="3" t="inlineStr">
        <is>
          <t>ជ្រើសរើសខណ្ឌ/ស្រុក</t>
        </is>
      </c>
      <c r="F536" s="217" t="inlineStr">
        <is>
          <t>v</t>
        </is>
      </c>
      <c r="G536" s="217" t="inlineStr">
        <is>
          <t>ជ្រើសរើសខណ្ឌ/ស្រុក</t>
        </is>
      </c>
      <c r="H536" t="inlineStr">
        <is>
          <t>ជ្រើសរើសខណ្ឌ/ស្រុក</t>
        </is>
      </c>
      <c r="I536" s="74" t="inlineStr">
        <is>
          <t>ជ្រើសរើសស្រុក</t>
        </is>
      </c>
      <c r="J536" s="217" t="inlineStr">
        <is>
          <t>"areaConfig.selectDistrict": "Select district",</t>
        </is>
      </c>
    </row>
    <row r="537" ht="15.75" customHeight="1" s="305">
      <c r="A537" s="67" t="inlineStr">
        <is>
          <t>areaConfig.selectDistrictPlaceholder</t>
        </is>
      </c>
      <c r="B537" s="67" t="inlineStr">
        <is>
          <t>Quận/huyện</t>
        </is>
      </c>
      <c r="C537" s="67" t="inlineStr">
        <is>
          <t>Enter district</t>
        </is>
      </c>
      <c r="D537" s="3">
        <f>IFERROR(__xludf.DUMMYFUNCTION("GOOGLETRANSLATE(B537,""vi"",""km"")"),"ស្រុក/ខេត្ត")</f>
        <v/>
      </c>
      <c r="E537" s="3" t="inlineStr">
        <is>
          <t>ខណ្ឌ/ស្រុក</t>
        </is>
      </c>
      <c r="F537" s="217" t="inlineStr">
        <is>
          <t>v</t>
        </is>
      </c>
      <c r="G537" s="217" t="inlineStr">
        <is>
          <t>ខណ្ឌ/ស្រុក</t>
        </is>
      </c>
      <c r="H537" t="inlineStr">
        <is>
          <t>ខណ្ឌ/ស្រុក</t>
        </is>
      </c>
      <c r="I537" s="74" t="inlineStr">
        <is>
          <t>បញ្ចូលស្រុក</t>
        </is>
      </c>
      <c r="J537" s="217" t="inlineStr">
        <is>
          <t>"areaConfig.selectDistrictPlaceholder": "Enter district",</t>
        </is>
      </c>
    </row>
    <row r="538" ht="15.75" customHeight="1" s="305">
      <c r="A538" s="67" t="inlineStr">
        <is>
          <t>areaConfig.selectTownship</t>
        </is>
      </c>
      <c r="B538" s="67" t="inlineStr">
        <is>
          <t>Chọn phường/xã</t>
        </is>
      </c>
      <c r="C538" s="67" t="inlineStr">
        <is>
          <t>Select ward/ commune</t>
        </is>
      </c>
      <c r="D538" s="3">
        <f>IFERROR(__xludf.DUMMYFUNCTION("GOOGLETRANSLATE(B538,""vi"",""km"")"),"ជ្រើសរើស​សង្កាត់/ឃុំ")</f>
        <v/>
      </c>
      <c r="E538" s="3" t="inlineStr">
        <is>
          <t>ជ្រើសរើសឃុំ/សង្កាត់</t>
        </is>
      </c>
      <c r="F538" s="217" t="inlineStr">
        <is>
          <t>v</t>
        </is>
      </c>
      <c r="G538" s="217" t="inlineStr">
        <is>
          <t>ជ្រើសរើសឃុំ/សង្កាត់</t>
        </is>
      </c>
      <c r="H538" t="inlineStr">
        <is>
          <t>ជ្រើសរើសឃុំ/សង្កាត់</t>
        </is>
      </c>
      <c r="I538" s="74" t="inlineStr">
        <is>
          <t>ជ្រើសរើសឃុំ</t>
        </is>
      </c>
      <c r="J538" s="217" t="inlineStr">
        <is>
          <t>"areaConfig.selectTownship": "Select ward/ commune",</t>
        </is>
      </c>
    </row>
    <row r="539" ht="15.75" customHeight="1" s="305">
      <c r="A539" s="67" t="inlineStr">
        <is>
          <t>areaConfig.selectTownshipPlaceholder</t>
        </is>
      </c>
      <c r="B539" s="67" t="inlineStr">
        <is>
          <t>Xã/phường</t>
        </is>
      </c>
      <c r="C539" s="67" t="inlineStr">
        <is>
          <t>Enter ward/ commune</t>
        </is>
      </c>
      <c r="D539" s="3">
        <f>IFERROR(__xludf.DUMMYFUNCTION("GOOGLETRANSLATE(B539,""vi"",""km"")"),"ឃុំ/សង្កាត់")</f>
        <v/>
      </c>
      <c r="E539" s="3" t="inlineStr">
        <is>
          <t>ឃុំ/សង្កាត់</t>
        </is>
      </c>
      <c r="F539" s="217" t="inlineStr">
        <is>
          <t>v</t>
        </is>
      </c>
      <c r="G539" s="217" t="inlineStr">
        <is>
          <t>ឃុំ/សង្កាត់</t>
        </is>
      </c>
      <c r="H539" t="inlineStr">
        <is>
          <t>ឃុំ/សង្កាត់</t>
        </is>
      </c>
      <c r="I539" s="74" t="inlineStr">
        <is>
          <t>បញ្ចូលឃុំ</t>
        </is>
      </c>
      <c r="J539" s="217" t="inlineStr">
        <is>
          <t>"areaConfig.selectTownshipPlaceholder": "Enter ward/ commune",</t>
        </is>
      </c>
    </row>
    <row r="540" ht="15.75" customHeight="1" s="305">
      <c r="A540" s="67" t="inlineStr">
        <is>
          <t>areaConfig.total</t>
        </is>
      </c>
      <c r="B540" s="67" t="inlineStr">
        <is>
          <t>Tổng địa danh</t>
        </is>
      </c>
      <c r="C540" s="67" t="inlineStr">
        <is>
          <t>Total area</t>
        </is>
      </c>
      <c r="D540" s="3">
        <f>IFERROR(__xludf.DUMMYFUNCTION("GOOGLETRANSLATE(B540,""vi"",""km"")"),"ឈ្មោះទីកន្លែងទូទៅ")</f>
        <v/>
      </c>
      <c r="E540" s="3" t="inlineStr">
        <is>
          <t>សរុបទីតាំងដែលអាចសម្គាល់</t>
        </is>
      </c>
      <c r="F540" s="217" t="inlineStr">
        <is>
          <t>x</t>
        </is>
      </c>
      <c r="G540" s="217" t="inlineStr">
        <is>
          <t>សរុបទីតាំងដែលអាចសម្គាល់</t>
        </is>
      </c>
      <c r="H540" t="inlineStr">
        <is>
          <t>សរុបទីតាំងដែលអាចសម្គាល់</t>
        </is>
      </c>
      <c r="I540" s="74" t="inlineStr">
        <is>
          <t>សរុបទីតាំង</t>
        </is>
      </c>
      <c r="J540" s="217" t="inlineStr">
        <is>
          <t>"areaConfig.total": "Total area",</t>
        </is>
      </c>
    </row>
    <row r="541" ht="15.75" customHeight="1" s="305">
      <c r="A541" s="67" t="inlineStr">
        <is>
          <t>postmanConfig.searchRoute</t>
        </is>
      </c>
      <c r="B541" s="67" t="inlineStr">
        <is>
          <t>Tìm kiếm tuyến</t>
        </is>
      </c>
      <c r="C541" s="67" t="inlineStr">
        <is>
          <t>Search for route</t>
        </is>
      </c>
      <c r="D541" s="3">
        <f>IFERROR(__xludf.DUMMYFUNCTION("GOOGLETRANSLATE(B541,""vi"",""km"")"),"ស្វែងរកផ្លូវ")</f>
        <v/>
      </c>
      <c r="E541" s="3" t="inlineStr">
        <is>
          <t>ស្វែងរកផ្លូវ</t>
        </is>
      </c>
      <c r="F541" s="217" t="inlineStr">
        <is>
          <t>x</t>
        </is>
      </c>
      <c r="G541" s="217" t="inlineStr">
        <is>
          <t>ស្វែងរកផ្លូវ</t>
        </is>
      </c>
      <c r="H541" t="inlineStr">
        <is>
          <t>ស្វែងរកផ្លូវ</t>
        </is>
      </c>
      <c r="I541" s="74" t="inlineStr">
        <is>
          <t>ជ្រើសរើសផ្លូវ</t>
        </is>
      </c>
      <c r="J541" s="217" t="inlineStr">
        <is>
          <t>"postmanConfig.searchRoute": "Search for route",</t>
        </is>
      </c>
    </row>
    <row r="542" ht="15.75" customHeight="1" s="305">
      <c r="A542" s="67" t="inlineStr">
        <is>
          <t>postmanConfig.searchRoutePlaceholder</t>
        </is>
      </c>
      <c r="B542" s="67" t="inlineStr">
        <is>
          <t>Nhập tên tuyến</t>
        </is>
      </c>
      <c r="C542" s="67" t="inlineStr">
        <is>
          <t>Enter route</t>
        </is>
      </c>
      <c r="D542" s="3">
        <f>IFERROR(__xludf.DUMMYFUNCTION("GOOGLETRANSLATE(B542,""vi"",""km"")"),"បញ្ចូលឈ្មោះផ្លូវ")</f>
        <v/>
      </c>
      <c r="E542" s="3" t="inlineStr">
        <is>
          <t>បញ្ចូលឈ្មោះផ្លូវដឹក</t>
        </is>
      </c>
      <c r="F542" s="217" t="inlineStr">
        <is>
          <t>x</t>
        </is>
      </c>
      <c r="G542" s="217" t="inlineStr">
        <is>
          <t>បញ្ចូលឈ្មោះផ្លូវដឹក</t>
        </is>
      </c>
      <c r="H542" t="inlineStr">
        <is>
          <t>បញ្ចូលឈ្មោះផ្លូវដឹក</t>
        </is>
      </c>
      <c r="I542" s="74" t="inlineStr">
        <is>
          <t>បញ្ចូលទីតាំង</t>
        </is>
      </c>
      <c r="J542" s="217" t="inlineStr">
        <is>
          <t>"postmanConfig.searchRoutePlaceholder": "Enter route",</t>
        </is>
      </c>
    </row>
    <row r="543" ht="15.75" customHeight="1" s="305">
      <c r="A543" s="67" t="inlineStr">
        <is>
          <t>postmanConfig.postmanRoute</t>
        </is>
      </c>
      <c r="B543" s="67" t="inlineStr">
        <is>
          <t>Bưu tá</t>
        </is>
      </c>
      <c r="C543" s="67" t="inlineStr">
        <is>
          <t>Postman route</t>
        </is>
      </c>
      <c r="D543" s="3">
        <f>IFERROR(__xludf.DUMMYFUNCTION("GOOGLETRANSLATE(B543,""vi"",""km"")"),"អ្នករត់សំបុត្រ")</f>
        <v/>
      </c>
      <c r="E543" s="3" t="inlineStr">
        <is>
          <t>បុគ្គលិកដឹកជញ្ជូន</t>
        </is>
      </c>
      <c r="F543" s="217" t="inlineStr">
        <is>
          <t>v</t>
        </is>
      </c>
      <c r="G543" s="217" t="inlineStr">
        <is>
          <t>បុគ្គលិកដឹកជញ្ជូន</t>
        </is>
      </c>
      <c r="H543" t="inlineStr">
        <is>
          <t>បុគ្គលិកដឹកជញ្ជូន</t>
        </is>
      </c>
      <c r="I543" s="74" t="inlineStr">
        <is>
          <t>ផ្លូវរបស់អ្នកដឹក</t>
        </is>
      </c>
      <c r="J543" s="217" t="inlineStr">
        <is>
          <t>"postmanConfig.postmanRoute": "Postman route",</t>
        </is>
      </c>
    </row>
    <row r="544" ht="15.75" customHeight="1" s="305">
      <c r="A544" s="67" t="inlineStr">
        <is>
          <t>postmanConfig.postmanRoutePlaceholder</t>
        </is>
      </c>
      <c r="B544" s="67" t="inlineStr">
        <is>
          <t>Chọn tuyến bưu tá</t>
        </is>
      </c>
      <c r="C544" s="67" t="inlineStr">
        <is>
          <t>Enter Postman route</t>
        </is>
      </c>
      <c r="D544" s="3">
        <f>IFERROR(__xludf.DUMMYFUNCTION("GOOGLETRANSLATE(B544,""vi"",""km"")"),"ជ្រើសរើសផ្លូវប្រៃសណីយ៍")</f>
        <v/>
      </c>
      <c r="E544" s="3" t="inlineStr">
        <is>
          <t>ជ្រើសរើសផ្លូ្លវអ្នកដឹកជញ្ជូន</t>
        </is>
      </c>
      <c r="F544" s="217" t="inlineStr">
        <is>
          <t>x</t>
        </is>
      </c>
      <c r="G544" s="217" t="inlineStr">
        <is>
          <t>ជ្រើសរើសផ្លូ្លវអ្នកដឹកជញ្ជូន</t>
        </is>
      </c>
      <c r="H544" t="inlineStr">
        <is>
          <t>ជ្រើសរើសផ្លូ្លវអ្នកដឹកជញ្ជូន</t>
        </is>
      </c>
      <c r="I544" s="74" t="inlineStr">
        <is>
          <t>បញ្ចូលផ្លវអ្នកដឹក</t>
        </is>
      </c>
      <c r="J544" s="217" t="inlineStr">
        <is>
          <t>"postmanConfig.postmanRoutePlaceholder": "Enter Postman route",</t>
        </is>
      </c>
    </row>
    <row r="545" ht="15.75" customHeight="1" s="305">
      <c r="A545" s="67" t="inlineStr">
        <is>
          <t>postmanConfig.shift</t>
        </is>
      </c>
      <c r="B545" s="67" t="inlineStr">
        <is>
          <t>Ca làm việc</t>
        </is>
      </c>
      <c r="C545" s="67" t="inlineStr">
        <is>
          <t>Working shift</t>
        </is>
      </c>
      <c r="D545" s="3">
        <f>IFERROR(__xludf.DUMMYFUNCTION("GOOGLETRANSLATE(B545,""vi"",""km"")"),"វេន")</f>
        <v/>
      </c>
      <c r="E545" s="3" t="inlineStr">
        <is>
          <t>វេនធ្វើការ</t>
        </is>
      </c>
      <c r="F545" s="217" t="inlineStr">
        <is>
          <t>v</t>
        </is>
      </c>
      <c r="G545" s="217" t="inlineStr">
        <is>
          <t>វេនធ្វើការ</t>
        </is>
      </c>
      <c r="H545" t="inlineStr">
        <is>
          <t>វេនធ្វើការ</t>
        </is>
      </c>
      <c r="I545" s="74" t="inlineStr">
        <is>
          <t>វេនធ្វើការ</t>
        </is>
      </c>
      <c r="J545" s="217" t="inlineStr">
        <is>
          <t>"postmanConfig.shift": "Working shift",</t>
        </is>
      </c>
    </row>
    <row r="546" ht="15.75" customHeight="1" s="305">
      <c r="A546" s="67" t="inlineStr">
        <is>
          <t>postmanConfig.shiftPlaceholder</t>
        </is>
      </c>
      <c r="B546" s="67" t="inlineStr">
        <is>
          <t>Chọn ca làm việc</t>
        </is>
      </c>
      <c r="C546" s="67" t="inlineStr">
        <is>
          <t>Select Working shift</t>
        </is>
      </c>
      <c r="D546" s="3">
        <f>IFERROR(__xludf.DUMMYFUNCTION("GOOGLETRANSLATE(B546,""vi"",""km"")"),"ជ្រើសរើសវេនរបស់អ្នក")</f>
        <v/>
      </c>
      <c r="E546" s="3" t="inlineStr">
        <is>
          <t>ជ្រើសរើសវេនធ្វើការ</t>
        </is>
      </c>
      <c r="F546" s="217" t="inlineStr">
        <is>
          <t>v</t>
        </is>
      </c>
      <c r="G546" s="217" t="inlineStr">
        <is>
          <t>ជ្រើសរើសវេនធ្វើការ</t>
        </is>
      </c>
      <c r="H546" t="inlineStr">
        <is>
          <t>ជ្រើសរើសវេនធ្វើការ</t>
        </is>
      </c>
      <c r="I546" s="74" t="inlineStr">
        <is>
          <t>ជ្រើសរើសម៉ោងវេន</t>
        </is>
      </c>
      <c r="J546" s="217" t="inlineStr">
        <is>
          <t>"postmanConfig.shiftPlaceholder": "Select Working shift",</t>
        </is>
      </c>
    </row>
    <row r="547" ht="15.75" customHeight="1" s="305">
      <c r="A547" s="67" t="inlineStr">
        <is>
          <t>postmanConfig.role</t>
        </is>
      </c>
      <c r="B547" s="67" t="inlineStr">
        <is>
          <t>Cấu hình</t>
        </is>
      </c>
      <c r="C547" s="67" t="inlineStr">
        <is>
          <t>Role</t>
        </is>
      </c>
      <c r="D547" s="3">
        <f>IFERROR(__xludf.DUMMYFUNCTION("GOOGLETRANSLATE(B547,""vi"",""km"")"),"ការកំណត់រចនាសម្ព័ន្ធ")</f>
        <v/>
      </c>
      <c r="E547" s="3" t="inlineStr">
        <is>
          <t>ទម្រង់</t>
        </is>
      </c>
      <c r="F547" s="217" t="inlineStr">
        <is>
          <t>x</t>
        </is>
      </c>
      <c r="G547" s="217" t="inlineStr">
        <is>
          <t>ទម្រង់</t>
        </is>
      </c>
      <c r="H547" t="inlineStr">
        <is>
          <t>ទម្រង់</t>
        </is>
      </c>
      <c r="I547" s="74" t="inlineStr">
        <is>
          <t>តួនាទី</t>
        </is>
      </c>
      <c r="J547" s="217" t="inlineStr">
        <is>
          <t>"postmanConfig.role": "Role",</t>
        </is>
      </c>
    </row>
    <row r="548" ht="15.75" customHeight="1" s="305">
      <c r="A548" s="67" t="inlineStr">
        <is>
          <t>postmanConfig.active</t>
        </is>
      </c>
      <c r="B548" s="67" t="inlineStr">
        <is>
          <t>Hoạt động</t>
        </is>
      </c>
      <c r="C548" s="67" t="inlineStr">
        <is>
          <t>Active</t>
        </is>
      </c>
      <c r="D548" s="3">
        <f>IFERROR(__xludf.DUMMYFUNCTION("GOOGLETRANSLATE(B548,""vi"",""km"")"),"ការងារ")</f>
        <v/>
      </c>
      <c r="E548" s="3" t="inlineStr">
        <is>
          <t>ដំណើរការ</t>
        </is>
      </c>
      <c r="F548" s="217" t="inlineStr">
        <is>
          <t>v</t>
        </is>
      </c>
      <c r="G548" s="217" t="inlineStr">
        <is>
          <t>ដំណើរការ</t>
        </is>
      </c>
      <c r="H548" t="inlineStr">
        <is>
          <t>ដំណើរការ</t>
        </is>
      </c>
      <c r="I548" s="74" t="inlineStr">
        <is>
          <t>សកម្ម</t>
        </is>
      </c>
      <c r="J548" s="217" t="inlineStr">
        <is>
          <t>"postmanConfig.active": "Active",</t>
        </is>
      </c>
    </row>
    <row r="549" ht="15.75" customHeight="1" s="305">
      <c r="A549" s="67" t="inlineStr">
        <is>
          <t>postmanConfig.inActive</t>
        </is>
      </c>
      <c r="B549" s="67" t="inlineStr">
        <is>
          <t>Không hoạt động</t>
        </is>
      </c>
      <c r="C549" s="67" t="inlineStr">
        <is>
          <t>Inactive</t>
        </is>
      </c>
      <c r="D549" s="3">
        <f>IFERROR(__xludf.DUMMYFUNCTION("GOOGLETRANSLATE(B549,""vi"",""km"")"),"អសកម្ម")</f>
        <v/>
      </c>
      <c r="E549" s="3" t="inlineStr">
        <is>
          <t>មិនដំណើរការ</t>
        </is>
      </c>
      <c r="F549" s="217" t="inlineStr">
        <is>
          <t>v</t>
        </is>
      </c>
      <c r="G549" s="217" t="inlineStr">
        <is>
          <t>មិនដំណើរការ</t>
        </is>
      </c>
      <c r="H549" t="inlineStr">
        <is>
          <t>មិនដំណើរការ</t>
        </is>
      </c>
      <c r="I549" s="74" t="inlineStr">
        <is>
          <t>អសកម្ម</t>
        </is>
      </c>
      <c r="J549" s="217" t="inlineStr">
        <is>
          <t>"postmanConfig.inActive": "Inactive",</t>
        </is>
      </c>
    </row>
    <row r="550" ht="15.75" customHeight="1" s="305">
      <c r="A550" s="67" t="inlineStr">
        <is>
          <t>postmanConfig.total</t>
        </is>
      </c>
      <c r="B550" s="67" t="inlineStr">
        <is>
          <t>Tổng tuyến bưu tá</t>
        </is>
      </c>
      <c r="C550" s="67" t="inlineStr">
        <is>
          <t>Total postman routes</t>
        </is>
      </c>
      <c r="D550" s="3">
        <f>IFERROR(__xludf.DUMMYFUNCTION("GOOGLETRANSLATE(B550,""vi"",""km"")"),"សេវាប្រៃសណីយ៍ទូទៅ")</f>
        <v/>
      </c>
      <c r="E550" s="3" t="inlineStr">
        <is>
          <t>សរុបផ្លូវអ្នកដឹកជញ្ជូន</t>
        </is>
      </c>
      <c r="F550" s="217" t="inlineStr">
        <is>
          <t>x</t>
        </is>
      </c>
      <c r="G550" s="217" t="inlineStr">
        <is>
          <t>សរុបផ្លូវអ្នកដឹកជញ្ជូន</t>
        </is>
      </c>
      <c r="H550" t="inlineStr">
        <is>
          <t>សរុបផ្លូវអ្នកដឹកជញ្ជូន</t>
        </is>
      </c>
      <c r="I550" s="74" t="inlineStr">
        <is>
          <t>សរុបផ្លូវរបស់អ្នកដឹក</t>
        </is>
      </c>
      <c r="J550" s="217" t="inlineStr">
        <is>
          <t>"postmanConfig.total": "Total postman routes",</t>
        </is>
      </c>
    </row>
    <row r="551" ht="15.75" customHeight="1" s="305">
      <c r="A551" s="67" t="inlineStr">
        <is>
          <t>postmanConfig.LEADER</t>
        </is>
      </c>
      <c r="B551" s="67" t="inlineStr">
        <is>
          <t>Trưởng tuyến</t>
        </is>
      </c>
      <c r="C551" s="67" t="inlineStr">
        <is>
          <t>Route Leader</t>
        </is>
      </c>
      <c r="D551" s="3">
        <f>IFERROR(__xludf.DUMMYFUNCTION("GOOGLETRANSLATE(B551,""vi"",""km"")"),"អ្នកគ្រប់គ្រងផ្ទាល់")</f>
        <v/>
      </c>
      <c r="E551" s="3" t="inlineStr">
        <is>
          <t>ប្រធានគ្រប់គ្រងផ្លូវដឹក</t>
        </is>
      </c>
      <c r="F551" s="217" t="inlineStr">
        <is>
          <t>x</t>
        </is>
      </c>
      <c r="G551" s="217" t="inlineStr">
        <is>
          <t>ប្រធានគ្រប់គ្រងផ្លូវដឹក</t>
        </is>
      </c>
      <c r="H551" t="inlineStr">
        <is>
          <t>ប្រធានគ្រប់គ្រងផ្លូវដឹក</t>
        </is>
      </c>
      <c r="I551" s="74" t="inlineStr">
        <is>
          <t>អ្នកដឹកនាំជួរ</t>
        </is>
      </c>
      <c r="J551" s="217" t="inlineStr">
        <is>
          <t>"postmanConfig.LEADER": "Route Leader",</t>
        </is>
      </c>
    </row>
    <row r="552" ht="15.75" customHeight="1" s="305">
      <c r="A552" s="67" t="inlineStr">
        <is>
          <t>postmanConfig.MEMBER</t>
        </is>
      </c>
      <c r="B552" s="67" t="inlineStr">
        <is>
          <t>Tuyến nhận</t>
        </is>
      </c>
      <c r="C552" s="67" t="inlineStr">
        <is>
          <t>Member</t>
        </is>
      </c>
      <c r="D552" s="3">
        <f>IFERROR(__xludf.DUMMYFUNCTION("GOOGLETRANSLATE(B552,""vi"",""km"")"),"ខ្សែទទួល")</f>
        <v/>
      </c>
      <c r="E552" s="3" t="inlineStr">
        <is>
          <t>ផ្លូវទទួួល</t>
        </is>
      </c>
      <c r="F552" s="217" t="inlineStr">
        <is>
          <t>x</t>
        </is>
      </c>
      <c r="G552" s="217" t="inlineStr">
        <is>
          <t>ផ្លូវទទួួល</t>
        </is>
      </c>
      <c r="H552" t="inlineStr">
        <is>
          <t>ផ្លូវទទួួល</t>
        </is>
      </c>
      <c r="I552" s="74" t="inlineStr">
        <is>
          <t>សមាជិក</t>
        </is>
      </c>
      <c r="J552" s="217" t="inlineStr">
        <is>
          <t>"postmanConfig.MEMBER": "Member",</t>
        </is>
      </c>
    </row>
    <row r="553" ht="15.75" customHeight="1" s="305">
      <c r="A553" s="67" t="inlineStr">
        <is>
          <t>postmanConfig.assignLeader</t>
        </is>
      </c>
      <c r="B553" s="67" t="inlineStr">
        <is>
          <t>Gán mặc định</t>
        </is>
      </c>
      <c r="C553" s="67" t="inlineStr">
        <is>
          <t>Assign leader route</t>
        </is>
      </c>
      <c r="D553" s="3">
        <f>IFERROR(__xludf.DUMMYFUNCTION("GOOGLETRANSLATE(B553,""vi"",""km"")"),"កំណត់លំនាំដើម")</f>
        <v/>
      </c>
      <c r="E553" s="3" t="inlineStr">
        <is>
          <t>ភ្ជាប់ដែលមានស្រេច</t>
        </is>
      </c>
      <c r="F553" s="217" t="inlineStr">
        <is>
          <t>x</t>
        </is>
      </c>
      <c r="G553" s="217" t="inlineStr">
        <is>
          <t>កំណត់ជាលំនាំដើម</t>
        </is>
      </c>
      <c r="H553" t="inlineStr">
        <is>
          <t>កំណត់ជាលំនាំដើម</t>
        </is>
      </c>
      <c r="I553" s="74" t="inlineStr">
        <is>
          <t>តែងតាំងអ្នកដឹកនាំផ្លូវ</t>
        </is>
      </c>
      <c r="J553" s="217" t="inlineStr">
        <is>
          <t>"postmanConfig.assignLeader": "Assign leader route",</t>
        </is>
      </c>
    </row>
    <row r="554" ht="15.75" customHeight="1" s="305">
      <c r="A554" s="67" t="inlineStr">
        <is>
          <t>postmanConfig.toolHandle.changeStatus</t>
        </is>
      </c>
      <c r="B554" s="67" t="inlineStr">
        <is>
          <t>Đổi trạng thái tuyến bưu tá</t>
        </is>
      </c>
      <c r="C554" s="67" t="inlineStr">
        <is>
          <t>Change route status</t>
        </is>
      </c>
      <c r="D554" s="3">
        <f>IFERROR(__xludf.DUMMYFUNCTION("GOOGLETRANSLATE(B554,""vi"",""km"")"),"ផ្លាស់ប្តូរស្ថានភាពសេវាប្រៃសណីយ៍")</f>
        <v/>
      </c>
      <c r="E554" s="3" t="inlineStr">
        <is>
          <t>ផ្លាស់ប្តូរស្ថានភាពផ្លូវអ្នកដឹកជញ្ជូន</t>
        </is>
      </c>
      <c r="F554" s="217" t="inlineStr">
        <is>
          <t>x</t>
        </is>
      </c>
      <c r="G554" s="217" t="inlineStr">
        <is>
          <t>ផ្លាស់ប្តូរស្ថានភាពផ្លូវអ្នកដឹកជញ្ជូន</t>
        </is>
      </c>
      <c r="H554" t="inlineStr">
        <is>
          <t>ផ្លាស់ប្តូរស្ថានភាពផ្លូវអ្នកដឹកជញ្ជូន</t>
        </is>
      </c>
      <c r="I554" s="74" t="inlineStr">
        <is>
          <t>ផ្លាស់ប្តូរស្ថានភាពផ្លូវ</t>
        </is>
      </c>
      <c r="J554" s="217" t="inlineStr">
        <is>
          <t>"postmanConfig.toolHandle.changeStatus": "Change route status",</t>
        </is>
      </c>
    </row>
    <row r="555" ht="15.75" customHeight="1" s="305">
      <c r="A555" s="67" t="inlineStr">
        <is>
          <t>postmanConfig.toolHandle.titleModal</t>
        </is>
      </c>
      <c r="B555" s="67" t="inlineStr">
        <is>
          <t>Bạn có chắc chắn muốn thay đổi trạng thái tuyến bưu tá hay không?</t>
        </is>
      </c>
      <c r="C555" s="67" t="inlineStr">
        <is>
          <t>Are you sure to change route status?</t>
        </is>
      </c>
      <c r="D555" s="3">
        <f>IFERROR(__xludf.DUMMYFUNCTION("GOOGLETRANSLATE(B555,""vi"",""km"")"),"តើអ្នកពិតជាចង់ផ្លាស់ប្តូរស្ថានភាពសេវាប្រៃសណីយ៍មែនទេ?")</f>
        <v/>
      </c>
      <c r="E555" s="3" t="inlineStr">
        <is>
          <t>តើអ្នកពិតជាចង់ផ្លាស់ប្តូរស្ថានភាពផ្លូវអ្នកដឹកជញ្ជូនដែរឬទេ?</t>
        </is>
      </c>
      <c r="F555" s="217" t="inlineStr">
        <is>
          <t>x</t>
        </is>
      </c>
      <c r="G555" s="217" t="inlineStr">
        <is>
          <t>តើអ្នកពិតជាចង់ផ្លាស់ប្តូរស្ថានភាពផ្លូវអ្នកដឹកជញ្ជូនដែរឬទេ?</t>
        </is>
      </c>
      <c r="H555" t="inlineStr">
        <is>
          <t>តើអ្នកពិតជាចង់ផ្លាស់ប្តូរស្ថានភាពផ្លូវអ្នកដឹកជញ្ជូនដែរឬទេ?</t>
        </is>
      </c>
      <c r="I555" s="74" t="inlineStr">
        <is>
          <t>តើអ្នកប្រាកដក្នុងការផ្លាស់ប្តូរស្ថានភាពផ្លូវ?</t>
        </is>
      </c>
      <c r="J555" s="217" t="inlineStr">
        <is>
          <t>"postmanConfig.toolHandle.titleModal": "Are you sure to change route status?",</t>
        </is>
      </c>
    </row>
    <row r="556" ht="15.75" customHeight="1" s="305">
      <c r="A556" s="67" t="inlineStr">
        <is>
          <t>modifyRoute.routeNameMin</t>
        </is>
      </c>
      <c r="B556" s="67" t="inlineStr">
        <is>
          <t>Tên tuyến tối thiểu 1 ký tự</t>
        </is>
      </c>
      <c r="C556" s="67" t="inlineStr">
        <is>
          <t>Minimum 1 character for route name</t>
        </is>
      </c>
      <c r="D556" s="3">
        <f>IFERROR(__xludf.DUMMYFUNCTION("GOOGLETRANSLATE(B556,""vi"",""km"")"),"ឈ្មោះផ្លូវត្រូវតែមានយ៉ាងហោចណាស់ 1 តួអក្សរ។")</f>
        <v/>
      </c>
      <c r="E556" s="3" t="inlineStr">
        <is>
          <t>ឈ្មោះផ្លូវដឹកតិចបំផុត 1 លេខអក្សរ</t>
        </is>
      </c>
      <c r="F556" s="217" t="inlineStr">
        <is>
          <t>x</t>
        </is>
      </c>
      <c r="G556" s="217" t="inlineStr">
        <is>
          <t>ឈ្មោះផ្លូវដឹកតិចបំផុត 1 លេខអក្សរ</t>
        </is>
      </c>
      <c r="H556" t="inlineStr">
        <is>
          <t>ឈ្មោះផ្លូវដឹកតិចបំផុត 1 លេខអក្សរ</t>
        </is>
      </c>
      <c r="I556" s="74" t="inlineStr">
        <is>
          <t>យ៉ាងហោចណាស់ 1 តួអក្សរសម្រាប់ឈ្មោះផ្លូវ</t>
        </is>
      </c>
      <c r="J556" s="217" t="inlineStr">
        <is>
          <t>"modifyRoute.routeNameMin": "Minimum 1 character for route name",</t>
        </is>
      </c>
    </row>
    <row r="557" ht="15.75" customHeight="1" s="305">
      <c r="A557" s="67" t="inlineStr">
        <is>
          <t>modifyRoute.routeNameMax</t>
        </is>
      </c>
      <c r="B557" s="67" t="inlineStr">
        <is>
          <t>Tên tuyến tối đa 200 ký tự</t>
        </is>
      </c>
      <c r="C557" s="67" t="inlineStr">
        <is>
          <t>Maximum 200 characters for route name</t>
        </is>
      </c>
      <c r="D557" s="3">
        <f>IFERROR(__xludf.DUMMYFUNCTION("GOOGLETRANSLATE(B557,""vi"",""km"")"),"ឈ្មោះផ្លូវអាចមានរហូតដល់ 200 តួអក្សរ។")</f>
        <v/>
      </c>
      <c r="E557" s="3" t="inlineStr">
        <is>
          <t>ឈ្មោះផ្លូវដឹកយ៉ាងច្រើនបំផុត 200 លេខអក្សរ</t>
        </is>
      </c>
      <c r="F557" s="217" t="inlineStr">
        <is>
          <t>x</t>
        </is>
      </c>
      <c r="G557" s="217" t="inlineStr">
        <is>
          <t>ឈ្មោះផ្លូវដឹកយ៉ាងច្រើនបំផុត 200 លេខអក្សរ</t>
        </is>
      </c>
      <c r="H557" t="inlineStr">
        <is>
          <t>ឈ្មោះផ្លូវដឹកយ៉ាងច្រើនបំផុត 200 លេខអក្សរ</t>
        </is>
      </c>
      <c r="I557" s="74" t="inlineStr">
        <is>
          <t>អតិបរមា 200 តួអក្សរសម្រាប់ឈ្មោះផ្លូវ</t>
        </is>
      </c>
      <c r="J557" s="217" t="inlineStr">
        <is>
          <t>"modifyRoute.routeNameMax": "Maximum 200 characters for route name",</t>
        </is>
      </c>
    </row>
    <row r="558" ht="15.75" customHeight="1" s="305">
      <c r="A558" s="67" t="inlineStr">
        <is>
          <t>modifyRoute.containsSpecialCharacters</t>
        </is>
      </c>
      <c r="B558" s="67" t="inlineStr">
        <is>
          <t>Tên tuyến không được chứa ký tự đặc biệt</t>
        </is>
      </c>
      <c r="C558" s="67" t="inlineStr">
        <is>
          <t>Not allow for using special characters in route name</t>
        </is>
      </c>
      <c r="D558" s="3">
        <f>IFERROR(__xludf.DUMMYFUNCTION("GOOGLETRANSLATE(B558,""vi"",""km"")"),"ឈ្មោះផ្លូវមិនត្រូវមានតួអក្សរពិសេសទេ។")</f>
        <v/>
      </c>
      <c r="E558" s="3" t="inlineStr">
        <is>
          <t>ឈ្មោះផ្លូវដឹកមិនអាចមានតួលេខអក្សរពិសេស</t>
        </is>
      </c>
      <c r="F558" s="217" t="inlineStr">
        <is>
          <t>x</t>
        </is>
      </c>
      <c r="G558" s="217" t="inlineStr">
        <is>
          <t>ឈ្មោះផ្លូវដឹកមិនអាចមានតួលេខអក្សរពិសេស</t>
        </is>
      </c>
      <c r="H558" t="inlineStr">
        <is>
          <t>ឈ្មោះផ្លូវដឹកមិនអាចមានតួលេខអក្សរពិសេស</t>
        </is>
      </c>
      <c r="I558" s="74" t="inlineStr">
        <is>
          <t>មិនអនុញ្ញាតឱ្យប្រើតួអក្សរពិសេសនៅក្នុងឈ្មោះផ្លូវទេ។</t>
        </is>
      </c>
      <c r="J558" s="217" t="inlineStr">
        <is>
          <t>"modifyRoute.containsSpecialCharacters": "Not allow for using special characters in route name",</t>
        </is>
      </c>
    </row>
    <row r="559" ht="15.75" customHeight="1" s="305">
      <c r="A559" s="67" t="inlineStr">
        <is>
          <t>priceManager.priceManager</t>
        </is>
      </c>
      <c r="B559" s="67" t="inlineStr">
        <is>
          <t>Quản lý bảng giá</t>
        </is>
      </c>
      <c r="C559" s="67" t="inlineStr">
        <is>
          <t>Pricing management</t>
        </is>
      </c>
      <c r="D559" s="3">
        <f>IFERROR(__xludf.DUMMYFUNCTION("GOOGLETRANSLATE(B559,""vi"",""km"")"),"ការគ្រប់គ្រងបញ្ជីតម្លៃ")</f>
        <v/>
      </c>
      <c r="E559" s="3" t="inlineStr">
        <is>
          <t>គ្រប់គ្រងតារាងតម្លៃ</t>
        </is>
      </c>
      <c r="F559" s="217" t="inlineStr">
        <is>
          <t>v</t>
        </is>
      </c>
      <c r="G559" s="217" t="inlineStr">
        <is>
          <t>គ្រប់គ្រងតារាងតម្លៃ</t>
        </is>
      </c>
      <c r="H559" t="inlineStr">
        <is>
          <t>គ្រប់គ្រងតារាងតម្លៃ</t>
        </is>
      </c>
      <c r="I559" s="74" t="inlineStr">
        <is>
          <t>គ្រប់គ្រងបញ្ជីតម្លៃ</t>
        </is>
      </c>
      <c r="J559" s="217" t="inlineStr">
        <is>
          <t>"priceManager.priceManager": "Pricing management",</t>
        </is>
      </c>
    </row>
    <row r="560" ht="15.75" customHeight="1" s="305">
      <c r="A560" s="67" t="inlineStr">
        <is>
          <t>priceManager.service</t>
        </is>
      </c>
      <c r="B560" s="67" t="inlineStr">
        <is>
          <t>Quản lý dịch vụ</t>
        </is>
      </c>
      <c r="C560" s="67" t="inlineStr">
        <is>
          <t>Service management</t>
        </is>
      </c>
      <c r="D560" s="3">
        <f>IFERROR(__xludf.DUMMYFUNCTION("GOOGLETRANSLATE(B560,""vi"",""km"")"),"ការគ្រប់គ្រងសេវាកម្ម")</f>
        <v/>
      </c>
      <c r="E560" s="3" t="inlineStr">
        <is>
          <t>គ្រប់គ្រងសេវាកម្ម</t>
        </is>
      </c>
      <c r="F560" s="217" t="inlineStr">
        <is>
          <t>v</t>
        </is>
      </c>
      <c r="G560" s="217" t="inlineStr">
        <is>
          <t>គ្រប់គ្រងសេវាកម្ម</t>
        </is>
      </c>
      <c r="H560" t="inlineStr">
        <is>
          <t>គ្រប់គ្រងសេវាកម្ម</t>
        </is>
      </c>
      <c r="I560" s="74" t="inlineStr">
        <is>
          <t>ការគ្រប់គ្រងសេវាកម្ម</t>
        </is>
      </c>
      <c r="J560" s="217" t="inlineStr">
        <is>
          <t>"priceManager.service": "Service management",</t>
        </is>
      </c>
    </row>
    <row r="561" ht="15.75" customHeight="1" s="305">
      <c r="A561" s="67" t="inlineStr">
        <is>
          <t>priceManager.price</t>
        </is>
      </c>
      <c r="B561" s="67" t="inlineStr">
        <is>
          <t>Quản lý bảng tính</t>
        </is>
      </c>
      <c r="C561" s="67" t="inlineStr">
        <is>
          <t>Shipping price management</t>
        </is>
      </c>
      <c r="D561" s="3">
        <f>IFERROR(__xludf.DUMMYFUNCTION("GOOGLETRANSLATE(B561,""vi"",""km"")"),"ការគ្រប់គ្រងសៀវភៅបញ្ជី")</f>
        <v/>
      </c>
      <c r="E561" s="3" t="inlineStr">
        <is>
          <t>គ្រប់គ្រងតារាងទូទាត់</t>
        </is>
      </c>
      <c r="F561" s="217" t="inlineStr">
        <is>
          <t>v</t>
        </is>
      </c>
      <c r="G561" s="217" t="inlineStr">
        <is>
          <t>គ្រប់គ្រងតារាងទូទាត់</t>
        </is>
      </c>
      <c r="H561" t="inlineStr">
        <is>
          <t>គ្រប់គ្រងតារាងទូទាត់</t>
        </is>
      </c>
      <c r="I561" s="74" t="inlineStr">
        <is>
          <t>គ្រប់គ្រងសៀវភៅបញ្ជី</t>
        </is>
      </c>
      <c r="J561" s="217" t="inlineStr">
        <is>
          <t>"priceManager.price": "Shipping price management",</t>
        </is>
      </c>
    </row>
    <row r="562" ht="15.75" customHeight="1" s="305">
      <c r="A562" s="67" t="inlineStr">
        <is>
          <t>priceManager.serviceCode</t>
        </is>
      </c>
      <c r="B562" s="67" t="inlineStr">
        <is>
          <t>Mã dịch vụ</t>
        </is>
      </c>
      <c r="C562" s="67" t="inlineStr">
        <is>
          <t>Service code</t>
        </is>
      </c>
      <c r="D562" s="3">
        <f>IFERROR(__xludf.DUMMYFUNCTION("GOOGLETRANSLATE(B562,""vi"",""km"")"),"លេខកូដសេវាកម្ម")</f>
        <v/>
      </c>
      <c r="E562" s="3" t="inlineStr">
        <is>
          <t>លេខកូដសេវាកម្ម</t>
        </is>
      </c>
      <c r="F562" s="217" t="inlineStr">
        <is>
          <t>v</t>
        </is>
      </c>
      <c r="G562" s="217" t="inlineStr">
        <is>
          <t>លេខកូដសេវាកម្ម</t>
        </is>
      </c>
      <c r="H562" t="inlineStr">
        <is>
          <t>លេខកូដសេវាកម្ម</t>
        </is>
      </c>
      <c r="I562" s="74" t="inlineStr">
        <is>
          <t>លេខកូដសេវាកម្ម</t>
        </is>
      </c>
      <c r="J562" s="217" t="inlineStr">
        <is>
          <t>"priceManager.serviceCode": "Service code",</t>
        </is>
      </c>
    </row>
    <row r="563" ht="15.75" customHeight="1" s="305">
      <c r="A563" s="67" t="inlineStr">
        <is>
          <t>priceManager.serviceGroup</t>
        </is>
      </c>
      <c r="B563" s="67" t="inlineStr">
        <is>
          <t>Nhóm dịch vụ</t>
        </is>
      </c>
      <c r="C563" s="67" t="inlineStr">
        <is>
          <t>Service group</t>
        </is>
      </c>
      <c r="D563" s="3">
        <f>IFERROR(__xludf.DUMMYFUNCTION("GOOGLETRANSLATE(B563,""vi"",""km"")"),"ក្រុមសេវាកម្ម")</f>
        <v/>
      </c>
      <c r="E563" s="3" t="inlineStr">
        <is>
          <t>ក្រុមសេវាកម្ម</t>
        </is>
      </c>
      <c r="F563" s="217" t="inlineStr">
        <is>
          <t>v</t>
        </is>
      </c>
      <c r="G563" s="217" t="inlineStr">
        <is>
          <t>ក្រុមសេវាកម្ម</t>
        </is>
      </c>
      <c r="H563" t="inlineStr">
        <is>
          <t>ក្រុមសេវាកម្ម</t>
        </is>
      </c>
      <c r="I563" s="74" t="inlineStr">
        <is>
          <t>ក្រុមសេវាកម្ម</t>
        </is>
      </c>
      <c r="J563" s="217" t="inlineStr">
        <is>
          <t>"priceManager.serviceGroup": "Service group",</t>
        </is>
      </c>
    </row>
    <row r="564" ht="15.75" customHeight="1" s="305">
      <c r="A564" s="67" t="inlineStr">
        <is>
          <t>priceManager.searchKeyword</t>
        </is>
      </c>
      <c r="B564" s="67" t="inlineStr">
        <is>
          <t>Nhập từ khóa tìm kiếm</t>
        </is>
      </c>
      <c r="C564" s="67" t="inlineStr">
        <is>
          <t>Enter keywords</t>
        </is>
      </c>
      <c r="D564" s="3">
        <f>IFERROR(__xludf.DUMMYFUNCTION("GOOGLETRANSLATE(B564,""vi"",""km"")"),"បញ្ចូលពាក្យគន្លឹះស្វែងរក")</f>
        <v/>
      </c>
      <c r="E564" s="3" t="inlineStr">
        <is>
          <t>បញ្ចូលពាក្យគន្លឹះដើម្បីស្វែងរក</t>
        </is>
      </c>
      <c r="F564" s="217" t="inlineStr">
        <is>
          <t>v</t>
        </is>
      </c>
      <c r="G564" s="217" t="inlineStr">
        <is>
          <t>បញ្ចូលពាក្យគន្លឹះដើម្បីស្វែងរក</t>
        </is>
      </c>
      <c r="H564" t="inlineStr">
        <is>
          <t>បញ្ចូលពាក្យគន្លឹះដើម្បីស្វែងរក</t>
        </is>
      </c>
      <c r="I564" s="74" t="inlineStr">
        <is>
          <t>បញ្ចូលពាក្យគន្លឹះស្វែងរក</t>
        </is>
      </c>
      <c r="J564" s="217" t="inlineStr">
        <is>
          <t>"priceManager.searchKeyword": "Enter keywords",</t>
        </is>
      </c>
    </row>
    <row r="565" ht="15.75" customHeight="1" s="305">
      <c r="A565" s="67" t="inlineStr">
        <is>
          <t>priceManager.searchPlaceholder</t>
        </is>
      </c>
      <c r="B565" s="67" t="inlineStr">
        <is>
          <t>Nhập mã dịch vụ tìm kiếm</t>
        </is>
      </c>
      <c r="C565" s="67" t="inlineStr">
        <is>
          <t>Enter service code</t>
        </is>
      </c>
      <c r="D565" s="3">
        <f>IFERROR(__xludf.DUMMYFUNCTION("GOOGLETRANSLATE(B565,""vi"",""km"")"),"បញ្ចូលលេខកូដសេវាកម្មស្វែងរក")</f>
        <v/>
      </c>
      <c r="E565" s="3" t="inlineStr">
        <is>
          <t>បញ្ចូ្ចលលេខកូដសេវាកម្មស្វែងរក</t>
        </is>
      </c>
      <c r="F565" s="217" t="inlineStr">
        <is>
          <t>v</t>
        </is>
      </c>
      <c r="G565" s="217" t="inlineStr">
        <is>
          <t>បញ្ចូ្ចលលេខកូដសេវាកម្មស្វែងរក</t>
        </is>
      </c>
      <c r="H565" t="inlineStr">
        <is>
          <t>បញ្ចូ្ចលលេខកូដសេវាកម្មស្វែងរក</t>
        </is>
      </c>
      <c r="I565" s="74" t="inlineStr">
        <is>
          <t>បញ្ចូលលេខកូដសេវាកម្មស្វែងរក</t>
        </is>
      </c>
      <c r="J565" s="217" t="inlineStr">
        <is>
          <t>"priceManager.searchPlaceholder": "Enter service code",</t>
        </is>
      </c>
    </row>
    <row r="566" ht="15.75" customHeight="1" s="305">
      <c r="A566" s="67" t="inlineStr">
        <is>
          <t>priceManager.serviceType</t>
        </is>
      </c>
      <c r="B566" s="67" t="inlineStr">
        <is>
          <t>Loại dịch vụ</t>
        </is>
      </c>
      <c r="C566" s="67" t="inlineStr">
        <is>
          <t>Service type</t>
        </is>
      </c>
      <c r="D566" s="3">
        <f>IFERROR(__xludf.DUMMYFUNCTION("GOOGLETRANSLATE(B566,""vi"",""km"")"),"ប្រភេទសេវាកម្ម")</f>
        <v/>
      </c>
      <c r="E566" s="3" t="inlineStr">
        <is>
          <t>ប្រភេទសេវាកម្ម</t>
        </is>
      </c>
      <c r="F566" s="217" t="inlineStr">
        <is>
          <t>v</t>
        </is>
      </c>
      <c r="G566" s="217" t="inlineStr">
        <is>
          <t>ប្រភេទសេវាកម្ម</t>
        </is>
      </c>
      <c r="H566" t="inlineStr">
        <is>
          <t>ប្រភេទសេវាកម្ម</t>
        </is>
      </c>
      <c r="I566" s="74" t="inlineStr">
        <is>
          <t>ប្រភេទសេវាកម្ម</t>
        </is>
      </c>
      <c r="J566" s="217" t="inlineStr">
        <is>
          <t>"priceManager.serviceType": "Service type",</t>
        </is>
      </c>
    </row>
    <row r="567" ht="15.75" customHeight="1" s="305">
      <c r="A567" s="67" t="inlineStr">
        <is>
          <t>priceManager.serviceTypePlaceholder</t>
        </is>
      </c>
      <c r="B567" s="67" t="inlineStr">
        <is>
          <t>Chọn loại dịch vụ</t>
        </is>
      </c>
      <c r="C567" s="67" t="inlineStr">
        <is>
          <t>Select service type</t>
        </is>
      </c>
      <c r="D567" s="3">
        <f>IFERROR(__xludf.DUMMYFUNCTION("GOOGLETRANSLATE(B567,""vi"",""km"")"),"ជ្រើសរើសប្រភេទសេវាកម្ម")</f>
        <v/>
      </c>
      <c r="E567" s="3" t="inlineStr">
        <is>
          <t>ជ្រើសរើសប្រភេទសេវាកម្ម</t>
        </is>
      </c>
      <c r="F567" s="217" t="inlineStr">
        <is>
          <t>v</t>
        </is>
      </c>
      <c r="G567" s="217" t="inlineStr">
        <is>
          <t>ជ្រើសរើសប្រភេទសេវាកម្ម</t>
        </is>
      </c>
      <c r="H567" t="inlineStr">
        <is>
          <t>ជ្រើសរើសប្រភេទសេវាកម្ម</t>
        </is>
      </c>
      <c r="I567" s="74" t="inlineStr">
        <is>
          <t>ជ្រើសរើសប្រភេទសេវាកម្ម</t>
        </is>
      </c>
      <c r="J567" s="217" t="inlineStr">
        <is>
          <t>"priceManager.serviceTypePlaceholder": "Select service type",</t>
        </is>
      </c>
    </row>
    <row r="568" ht="15.75" customHeight="1" s="305">
      <c r="A568" s="67" t="inlineStr">
        <is>
          <t>priceManager.orderType</t>
        </is>
      </c>
      <c r="B568" s="67" t="inlineStr">
        <is>
          <t>Loại phiếu gửi</t>
        </is>
      </c>
      <c r="C568" s="67" t="inlineStr">
        <is>
          <t>Order type</t>
        </is>
      </c>
      <c r="D568" s="3">
        <f>IFERROR(__xludf.DUMMYFUNCTION("GOOGLETRANSLATE(B568,""vi"",""km"")"),"ប្រភេទនៃសំបុត្រប្រៃសណីយ៍")</f>
        <v/>
      </c>
      <c r="E568" s="3" t="inlineStr">
        <is>
          <t>ប្រភេទបុងបញ្ញើ</t>
        </is>
      </c>
      <c r="F568" s="217" t="inlineStr">
        <is>
          <t>v</t>
        </is>
      </c>
      <c r="G568" s="217" t="inlineStr">
        <is>
          <t>ប្រភេទបុងបញ្ញើ</t>
        </is>
      </c>
      <c r="H568" t="inlineStr">
        <is>
          <t>ប្រភេទបុងបញ្ញើ</t>
        </is>
      </c>
      <c r="I568" s="74" t="inlineStr">
        <is>
          <t>ប្រភេទនៃប័ណ្ណប្រាក់បញ្ញើ</t>
        </is>
      </c>
      <c r="J568" s="217" t="inlineStr">
        <is>
          <t>"priceManager.orderType": "Order type",</t>
        </is>
      </c>
    </row>
    <row r="569" ht="15.75" customHeight="1" s="305">
      <c r="A569" s="67" t="inlineStr">
        <is>
          <t>priceManager.orderTypePlaceholder</t>
        </is>
      </c>
      <c r="B569" s="67" t="inlineStr">
        <is>
          <t>Chọn loại phiếu gửi</t>
        </is>
      </c>
      <c r="C569" s="67" t="inlineStr">
        <is>
          <t>Select Order type</t>
        </is>
      </c>
      <c r="D569" s="3">
        <f>IFERROR(__xludf.DUMMYFUNCTION("GOOGLETRANSLATE(B569,""vi"",""km"")"),"ជ្រើសរើសប្រភេទប័ណ្ណដឹកជញ្ជូន")</f>
        <v/>
      </c>
      <c r="E569" s="3" t="inlineStr">
        <is>
          <t>ជ្រើសរើសប្រភេទបុងបញ្ញើ</t>
        </is>
      </c>
      <c r="F569" s="217" t="inlineStr">
        <is>
          <t>v</t>
        </is>
      </c>
      <c r="G569" s="217" t="inlineStr">
        <is>
          <t>ជ្រើសរើសប្រភេទបុងបញ្ញើ</t>
        </is>
      </c>
      <c r="H569" t="inlineStr">
        <is>
          <t>ជ្រើសរើសប្រភេទបុងបញ្ញើ</t>
        </is>
      </c>
      <c r="I569" s="74" t="inlineStr">
        <is>
          <t>ជ្រើសរើសប្រភេទប្រាក់បញ្ញើ</t>
        </is>
      </c>
      <c r="J569" s="217" t="inlineStr">
        <is>
          <t>"priceManager.orderTypePlaceholder": "Select Order type",</t>
        </is>
      </c>
    </row>
    <row r="570" ht="15.75" customHeight="1" s="305">
      <c r="A570" s="67" t="inlineStr">
        <is>
          <t>priceManager.status</t>
        </is>
      </c>
      <c r="B570" s="67" t="inlineStr">
        <is>
          <t>Trạng thái</t>
        </is>
      </c>
      <c r="C570" s="67" t="inlineStr">
        <is>
          <t>Status</t>
        </is>
      </c>
      <c r="D570" s="3">
        <f>IFERROR(__xludf.DUMMYFUNCTION("GOOGLETRANSLATE(B570,""vi"",""km"")"),"ស្ថានភាព")</f>
        <v/>
      </c>
      <c r="E570" s="3" t="inlineStr">
        <is>
          <t>ស្ងានភាព</t>
        </is>
      </c>
      <c r="F570" s="217" t="inlineStr">
        <is>
          <t>x</t>
        </is>
      </c>
      <c r="G570" s="217" t="inlineStr">
        <is>
          <t>ស្ថានភាព</t>
        </is>
      </c>
      <c r="H570" t="inlineStr">
        <is>
          <t>ស្ថានភាព</t>
        </is>
      </c>
      <c r="I570" s="74" t="inlineStr">
        <is>
          <t>ស្ថានភាព</t>
        </is>
      </c>
      <c r="J570" s="217" t="inlineStr">
        <is>
          <t>"priceManager.status": "Status",</t>
        </is>
      </c>
    </row>
    <row r="571" ht="15.75" customHeight="1" s="305">
      <c r="A571" s="67" t="inlineStr">
        <is>
          <t>priceManager.pricezone</t>
        </is>
      </c>
      <c r="B571" s="67" t="inlineStr">
        <is>
          <t>Zone giá</t>
        </is>
      </c>
      <c r="C571" s="67" t="inlineStr">
        <is>
          <t>Price zone</t>
        </is>
      </c>
      <c r="D571" s="3">
        <f>IFERROR(__xludf.DUMMYFUNCTION("GOOGLETRANSLATE(B571,""vi"",""km"")"),"តម្លៃប្រអប់")</f>
        <v/>
      </c>
      <c r="E571" s="3" t="inlineStr">
        <is>
          <t>តម្លៃតាមតំបន់</t>
        </is>
      </c>
      <c r="F571" s="217" t="inlineStr">
        <is>
          <t>x</t>
        </is>
      </c>
      <c r="G571" s="217" t="inlineStr">
        <is>
          <t>តំបន់គិតតម្លៃ (Zone)</t>
        </is>
      </c>
      <c r="H571" t="inlineStr">
        <is>
          <t>តំបន់គិតតម្លៃ (Zone)</t>
        </is>
      </c>
      <c r="I571" s="74" t="inlineStr">
        <is>
          <t>តម្លៃតាមតំបន់</t>
        </is>
      </c>
      <c r="J571" s="217" t="inlineStr">
        <is>
          <t>"priceManager.pricezone": "Price zone",</t>
        </is>
      </c>
    </row>
    <row r="572" ht="15.75" customHeight="1" s="305">
      <c r="A572" s="67" t="inlineStr">
        <is>
          <t>priceManager.pricePricing</t>
        </is>
      </c>
      <c r="B572" s="67" t="inlineStr">
        <is>
          <t>Bảng tính giá</t>
        </is>
      </c>
      <c r="C572" s="67" t="inlineStr">
        <is>
          <t>Pricing Information Table</t>
        </is>
      </c>
      <c r="D572" s="3">
        <f>IFERROR(__xludf.DUMMYFUNCTION("GOOGLETRANSLATE(B572,""vi"",""km"")"),"បញ្ជីតម្លៃ")</f>
        <v/>
      </c>
      <c r="E572" s="3" t="inlineStr">
        <is>
          <t>តារាងគិតតម្លៃ</t>
        </is>
      </c>
      <c r="F572" s="217" t="inlineStr">
        <is>
          <t>v</t>
        </is>
      </c>
      <c r="G572" s="217" t="inlineStr">
        <is>
          <t>តារាងគិតតម្លៃ</t>
        </is>
      </c>
      <c r="H572" t="inlineStr">
        <is>
          <t>តារាងគិតតម្លៃ</t>
        </is>
      </c>
      <c r="I572" s="74" t="inlineStr">
        <is>
          <t>តារាងតម្លៃ</t>
        </is>
      </c>
      <c r="J572" s="217" t="inlineStr">
        <is>
          <t>"priceManager.pricePricing": "Pricing Information Table",</t>
        </is>
      </c>
    </row>
    <row r="573" ht="15.75" customHeight="1" s="305">
      <c r="A573" s="67" t="inlineStr">
        <is>
          <t>listServiceType.service</t>
        </is>
      </c>
      <c r="B573" s="67" t="inlineStr">
        <is>
          <t>Dịch vụ chính</t>
        </is>
      </c>
      <c r="C573" s="67" t="inlineStr">
        <is>
          <t>Main service</t>
        </is>
      </c>
      <c r="D573" s="3">
        <f>IFERROR(__xludf.DUMMYFUNCTION("GOOGLETRANSLATE(B573,""vi"",""km"")"),"សេវាកម្មសំខាន់ៗ")</f>
        <v/>
      </c>
      <c r="E573" s="3" t="inlineStr">
        <is>
          <t>សេវាកម្មចម្បង</t>
        </is>
      </c>
      <c r="F573" s="217" t="inlineStr">
        <is>
          <t>v</t>
        </is>
      </c>
      <c r="G573" s="217" t="inlineStr">
        <is>
          <t>សេវាកម្មចម្បង</t>
        </is>
      </c>
      <c r="H573" t="inlineStr">
        <is>
          <t>សេវាកម្មចម្បង</t>
        </is>
      </c>
      <c r="I573" s="74" t="inlineStr">
        <is>
          <t>សេវាកម្មចម្បង</t>
        </is>
      </c>
      <c r="J573" s="217" t="inlineStr">
        <is>
          <t>"listServiceType.service": "Main service",</t>
        </is>
      </c>
    </row>
    <row r="574" ht="15.75" customHeight="1" s="305">
      <c r="A574" s="67" t="inlineStr">
        <is>
          <t>listServiceType.AdditionalServices</t>
        </is>
      </c>
      <c r="B574" s="67" t="inlineStr">
        <is>
          <t>Dịch vụ cộng thêm</t>
        </is>
      </c>
      <c r="C574" s="67" t="inlineStr">
        <is>
          <t>Additional service</t>
        </is>
      </c>
      <c r="D574" s="3">
        <f>IFERROR(__xludf.DUMMYFUNCTION("GOOGLETRANSLATE(B574,""vi"",""km"")"),"សេវាកម្មបន្ថែម")</f>
        <v/>
      </c>
      <c r="E574" s="3" t="inlineStr">
        <is>
          <t>សេវាកម្មបន្ថែម</t>
        </is>
      </c>
      <c r="F574" s="217" t="inlineStr">
        <is>
          <t>v</t>
        </is>
      </c>
      <c r="G574" s="217" t="inlineStr">
        <is>
          <t>សេវាកម្មបន្ថែម</t>
        </is>
      </c>
      <c r="H574" t="inlineStr">
        <is>
          <t>សេវាកម្មបន្ថែម</t>
        </is>
      </c>
      <c r="I574" s="74" t="inlineStr">
        <is>
          <t>សេវាកម្មបន្ថែម</t>
        </is>
      </c>
      <c r="J574" s="217" t="inlineStr">
        <is>
          <t>"listServiceType.AdditionalServices": "Additional service",</t>
        </is>
      </c>
    </row>
    <row r="575" ht="15.75" customHeight="1" s="305">
      <c r="A575" s="67" t="inlineStr">
        <is>
          <t>listServiceType.GoodsCharacteristics</t>
        </is>
      </c>
      <c r="B575" s="67" t="inlineStr">
        <is>
          <t>Đặc điểm hàng hóa</t>
        </is>
      </c>
      <c r="C575" s="67" t="inlineStr">
        <is>
          <t>Special service</t>
        </is>
      </c>
      <c r="D575" s="3">
        <f>IFERROR(__xludf.DUMMYFUNCTION("GOOGLETRANSLATE(B575,""vi"",""km"")"),"លក្ខណៈផលិតផល")</f>
        <v/>
      </c>
      <c r="E575" s="3" t="inlineStr">
        <is>
          <t>លក្ខណៈអីវ៉ាន់</t>
        </is>
      </c>
      <c r="F575" s="217" t="inlineStr">
        <is>
          <t>v</t>
        </is>
      </c>
      <c r="G575" s="217" t="inlineStr">
        <is>
          <t>លក្ខណៈអីវ៉ាន់</t>
        </is>
      </c>
      <c r="H575" t="inlineStr">
        <is>
          <t>លក្ខណៈអីវ៉ាន់</t>
        </is>
      </c>
      <c r="I575" s="74" t="inlineStr">
        <is>
          <t>លក្ខណៈនៃទំនិញ</t>
        </is>
      </c>
      <c r="J575" s="217" t="inlineStr">
        <is>
          <t>"listServiceType.GoodsCharacteristics": "Special service",</t>
        </is>
      </c>
    </row>
    <row r="576" ht="15.75" customHeight="1" s="305">
      <c r="A576" s="67" t="inlineStr">
        <is>
          <t>listOrderType.Domestic</t>
        </is>
      </c>
      <c r="B576" s="67" t="inlineStr">
        <is>
          <t>Trong nước</t>
        </is>
      </c>
      <c r="C576" s="67" t="inlineStr">
        <is>
          <t>Domestic</t>
        </is>
      </c>
      <c r="D576" s="3">
        <f>IFERROR(__xludf.DUMMYFUNCTION("GOOGLETRANSLATE(B576,""vi"",""km"")"),"ក្នុងស្រុក")</f>
        <v/>
      </c>
      <c r="E576" s="3" t="inlineStr">
        <is>
          <t>ក្នុងប្រទេស</t>
        </is>
      </c>
      <c r="F576" s="217" t="inlineStr">
        <is>
          <t>v</t>
        </is>
      </c>
      <c r="G576" s="217" t="inlineStr">
        <is>
          <t>ក្នុងប្រទេស</t>
        </is>
      </c>
      <c r="H576" t="inlineStr">
        <is>
          <t>ក្នុងប្រទេស</t>
        </is>
      </c>
      <c r="I576" s="74" t="inlineStr">
        <is>
          <t>ក្នុងស្រុក</t>
        </is>
      </c>
      <c r="J576" s="217" t="inlineStr">
        <is>
          <t>"listOrderType.Domestic": "Domestic",</t>
        </is>
      </c>
    </row>
    <row r="577" ht="15.75" customHeight="1" s="305">
      <c r="A577" s="67" t="inlineStr">
        <is>
          <t>listOrderType.International</t>
        </is>
      </c>
      <c r="B577" s="67" t="inlineStr">
        <is>
          <t>Quốc tế</t>
        </is>
      </c>
      <c r="C577" s="67" t="inlineStr">
        <is>
          <t>International</t>
        </is>
      </c>
      <c r="D577" s="3">
        <f>IFERROR(__xludf.DUMMYFUNCTION("GOOGLETRANSLATE(B577,""vi"",""km"")"),"អន្តរជាតិ")</f>
        <v/>
      </c>
      <c r="E577" s="3" t="inlineStr">
        <is>
          <t>អន្តរជាតិ</t>
        </is>
      </c>
      <c r="F577" s="217" t="inlineStr">
        <is>
          <t>v</t>
        </is>
      </c>
      <c r="G577" s="217" t="inlineStr">
        <is>
          <t>អន្តរជាតិ</t>
        </is>
      </c>
      <c r="H577" t="inlineStr">
        <is>
          <t>អន្តរជាតិ</t>
        </is>
      </c>
      <c r="I577" s="74" t="inlineStr">
        <is>
          <t>អន្តរជាតិ</t>
        </is>
      </c>
      <c r="J577" s="217" t="inlineStr">
        <is>
          <t>"listOrderType.International": "International",</t>
        </is>
      </c>
    </row>
    <row r="578" ht="15.75" customHeight="1" s="305">
      <c r="A578" s="67" t="inlineStr">
        <is>
          <t>listOrderType.InternationalRoundTrip</t>
        </is>
      </c>
      <c r="B578" s="67" t="inlineStr">
        <is>
          <t>Quốc tế chiều về</t>
        </is>
      </c>
      <c r="C578" s="67" t="inlineStr">
        <is>
          <t>Return international</t>
        </is>
      </c>
      <c r="D578" s="3">
        <f>IFERROR(__xludf.DUMMYFUNCTION("GOOGLETRANSLATE(B578,""vi"",""km"")"),"ល្ងាចអន្តរជាតិ")</f>
        <v/>
      </c>
      <c r="E578" s="3" t="inlineStr">
        <is>
          <t>ត្រលប់ពីអន្តរជាតិ</t>
        </is>
      </c>
      <c r="F578" s="217" t="inlineStr">
        <is>
          <t>v</t>
        </is>
      </c>
      <c r="G578" s="217" t="inlineStr">
        <is>
          <t>ត្រលប់ពីអន្តរជាតិ</t>
        </is>
      </c>
      <c r="H578" t="inlineStr">
        <is>
          <t>ត្រលប់ពីអន្តរជាតិ</t>
        </is>
      </c>
      <c r="I578" s="74" t="inlineStr">
        <is>
          <t>ផ្ញើត្រលប់ពីស្រុកក្រៅមកវិញ</t>
        </is>
      </c>
      <c r="J578" s="217" t="inlineStr">
        <is>
          <t>"listOrderType.InternationalRoundTrip": "Return international",</t>
        </is>
      </c>
    </row>
    <row r="579" ht="15.75" customHeight="1" s="305">
      <c r="A579" s="67" t="inlineStr">
        <is>
          <t>listOrderType.All</t>
        </is>
      </c>
      <c r="B579" s="67" t="inlineStr">
        <is>
          <t>Tất cả</t>
        </is>
      </c>
      <c r="C579" s="67" t="inlineStr">
        <is>
          <t>All</t>
        </is>
      </c>
      <c r="D579" s="3">
        <f>IFERROR(__xludf.DUMMYFUNCTION("GOOGLETRANSLATE(B579,""vi"",""km"")"),"ទាំងអស់")</f>
        <v/>
      </c>
      <c r="E579" s="3" t="inlineStr">
        <is>
          <t>ទាំងអស់</t>
        </is>
      </c>
      <c r="F579" s="217" t="inlineStr">
        <is>
          <t>v</t>
        </is>
      </c>
      <c r="G579" s="217" t="inlineStr">
        <is>
          <t>ទាំងអស់</t>
        </is>
      </c>
      <c r="H579" t="inlineStr">
        <is>
          <t>ទាំងអស់</t>
        </is>
      </c>
      <c r="I579" s="74" t="inlineStr">
        <is>
          <t>ទាំងអស់</t>
        </is>
      </c>
      <c r="J579" s="217" t="inlineStr">
        <is>
          <t>"listOrderType.All": "All",</t>
        </is>
      </c>
    </row>
    <row r="580" ht="15.75" customHeight="1" s="305">
      <c r="A580" s="67" t="inlineStr">
        <is>
          <t>listServiceStatus.All</t>
        </is>
      </c>
      <c r="B580" s="67" t="inlineStr">
        <is>
          <t>Tất cả</t>
        </is>
      </c>
      <c r="C580" s="67" t="inlineStr">
        <is>
          <t>All</t>
        </is>
      </c>
      <c r="D580" s="3">
        <f>IFERROR(__xludf.DUMMYFUNCTION("GOOGLETRANSLATE(B580,""vi"",""km"")"),"ទាំងអស់")</f>
        <v/>
      </c>
      <c r="E580" s="3" t="inlineStr">
        <is>
          <t>ទាំងអស់</t>
        </is>
      </c>
      <c r="F580" s="217" t="inlineStr">
        <is>
          <t>v</t>
        </is>
      </c>
      <c r="G580" s="217" t="inlineStr">
        <is>
          <t>ទាំងអស់</t>
        </is>
      </c>
      <c r="H580" t="inlineStr">
        <is>
          <t>ទាំងអស់</t>
        </is>
      </c>
      <c r="I580" s="74" t="inlineStr">
        <is>
          <t>ទាំងអស់</t>
        </is>
      </c>
      <c r="J580" s="217" t="inlineStr">
        <is>
          <t>"listServiceStatus.All": "All",</t>
        </is>
      </c>
    </row>
    <row r="581" ht="15.75" customHeight="1" s="305">
      <c r="A581" s="67" t="inlineStr">
        <is>
          <t>listServiceStatus.Active</t>
        </is>
      </c>
      <c r="B581" s="67" t="inlineStr">
        <is>
          <t>Hoạt động</t>
        </is>
      </c>
      <c r="C581" s="67" t="inlineStr">
        <is>
          <t>Active</t>
        </is>
      </c>
      <c r="D581" s="3">
        <f>IFERROR(__xludf.DUMMYFUNCTION("GOOGLETRANSLATE(B581,""vi"",""km"")"),"ការងារ")</f>
        <v/>
      </c>
      <c r="E581" s="3" t="inlineStr">
        <is>
          <t>សកម្មភាព</t>
        </is>
      </c>
      <c r="F581" s="217" t="inlineStr">
        <is>
          <t>v</t>
        </is>
      </c>
      <c r="G581" s="217" t="inlineStr">
        <is>
          <t>ដំណើរការ</t>
        </is>
      </c>
      <c r="H581" t="inlineStr">
        <is>
          <t>ដំណើរការ</t>
        </is>
      </c>
      <c r="I581" s="74" t="inlineStr">
        <is>
          <t>សកម្មភាព</t>
        </is>
      </c>
      <c r="J581" s="217" t="inlineStr">
        <is>
          <t>"listServiceStatus.Active": "Active",</t>
        </is>
      </c>
    </row>
    <row r="582" ht="15.75" customHeight="1" s="305">
      <c r="A582" s="67" t="inlineStr">
        <is>
          <t>listServiceStatus.InActive</t>
        </is>
      </c>
      <c r="B582" s="67" t="inlineStr">
        <is>
          <t>Dừng hoạt động</t>
        </is>
      </c>
      <c r="C582" s="67" t="inlineStr">
        <is>
          <t>InActive</t>
        </is>
      </c>
      <c r="D582" s="3">
        <f>IFERROR(__xludf.DUMMYFUNCTION("GOOGLETRANSLATE(B582,""vi"",""km"")"),"បញ្ឈប់ប្រតិបត្តិការ")</f>
        <v/>
      </c>
      <c r="E582" s="3" t="inlineStr">
        <is>
          <t>បញ្ឈប់សកម្មភាព</t>
        </is>
      </c>
      <c r="F582" s="217" t="inlineStr">
        <is>
          <t>v</t>
        </is>
      </c>
      <c r="G582" s="217" t="inlineStr">
        <is>
          <t>បញ្ឈប់សកម្មភាព</t>
        </is>
      </c>
      <c r="H582" t="inlineStr">
        <is>
          <t>បញ្ឈប់សកម្មភាព</t>
        </is>
      </c>
      <c r="I582" s="74" t="inlineStr">
        <is>
          <t>បញ្ចប់សកម្មភាព</t>
        </is>
      </c>
      <c r="J582" s="217" t="inlineStr">
        <is>
          <t>"listServiceStatus.InActive": "InActive",</t>
        </is>
      </c>
    </row>
    <row r="583" ht="15.75" customHeight="1" s="305">
      <c r="A583" s="67" t="inlineStr">
        <is>
          <t>serviceCode.serviceCode</t>
        </is>
      </c>
      <c r="B583" s="67" t="inlineStr">
        <is>
          <t>Mã dịch vụ</t>
        </is>
      </c>
      <c r="C583" s="67" t="inlineStr">
        <is>
          <t>Service Code</t>
        </is>
      </c>
      <c r="D583" s="3">
        <f>IFERROR(__xludf.DUMMYFUNCTION("GOOGLETRANSLATE(B583,""vi"",""km"")"),"លេខកូដសេវាកម្ម")</f>
        <v/>
      </c>
      <c r="E583" s="3" t="inlineStr">
        <is>
          <t>លេខកូដសេវាកម្ម</t>
        </is>
      </c>
      <c r="F583" s="217" t="inlineStr">
        <is>
          <t>v</t>
        </is>
      </c>
      <c r="G583" s="217" t="inlineStr">
        <is>
          <t>លេខកូដសេវាកម្ម</t>
        </is>
      </c>
      <c r="H583" t="inlineStr">
        <is>
          <t>លេខកូដសេវាកម្ម</t>
        </is>
      </c>
      <c r="I583" s="74" t="inlineStr">
        <is>
          <t>លេខកូដសេវាកម្ម</t>
        </is>
      </c>
      <c r="J583" s="217" t="inlineStr">
        <is>
          <t>"serviceCode.serviceCode": "Service Code",</t>
        </is>
      </c>
    </row>
    <row r="584" ht="15.75" customHeight="1" s="305">
      <c r="A584" s="67" t="inlineStr">
        <is>
          <t>serviceCode.serviceName</t>
        </is>
      </c>
      <c r="B584" s="67" t="inlineStr">
        <is>
          <t>Tên dịch vụ</t>
        </is>
      </c>
      <c r="C584" s="67" t="inlineStr">
        <is>
          <t>Service name</t>
        </is>
      </c>
      <c r="D584" s="3">
        <f>IFERROR(__xludf.DUMMYFUNCTION("GOOGLETRANSLATE(B584,""vi"",""km"")"),"ឈ្មោះសេវាកម្ម")</f>
        <v/>
      </c>
      <c r="E584" s="3" t="inlineStr">
        <is>
          <t>ឈ្មោះសេវាកម្ម</t>
        </is>
      </c>
      <c r="F584" s="217" t="inlineStr">
        <is>
          <t>v</t>
        </is>
      </c>
      <c r="G584" s="217" t="inlineStr">
        <is>
          <t>ឈ្មោះសេវាកម្ម</t>
        </is>
      </c>
      <c r="H584" t="inlineStr">
        <is>
          <t>ឈ្មោះសេវាកម្ម</t>
        </is>
      </c>
      <c r="I584" s="74" t="inlineStr">
        <is>
          <t>ឈ្មោះសេវាកម្ម</t>
        </is>
      </c>
      <c r="J584" s="217" t="inlineStr">
        <is>
          <t>"serviceCode.serviceName": "Service name",</t>
        </is>
      </c>
    </row>
    <row r="585" ht="15.75" customHeight="1" s="305">
      <c r="A585" s="67" t="inlineStr">
        <is>
          <t>serviceCode.vat</t>
        </is>
      </c>
      <c r="B585" s="67" t="inlineStr">
        <is>
          <t>Thuế VAT(%)</t>
        </is>
      </c>
      <c r="C585" s="67" t="inlineStr">
        <is>
          <t>VAT (%)</t>
        </is>
      </c>
      <c r="D585" s="3">
        <f>IFERROR(__xludf.DUMMYFUNCTION("GOOGLETRANSLATE(B585,""vi"",""km"")"),"អាករលើតម្លៃបន្ថែម (%)")</f>
        <v/>
      </c>
      <c r="E585" s="3" t="inlineStr">
        <is>
          <t>ពន្ធ VAT (%)</t>
        </is>
      </c>
      <c r="F585" s="217" t="inlineStr">
        <is>
          <t>v</t>
        </is>
      </c>
      <c r="G585" s="217" t="inlineStr">
        <is>
          <t>ពន្ធ VAT (%)</t>
        </is>
      </c>
      <c r="H585" t="inlineStr">
        <is>
          <t>ពន្ធ VAT (%)</t>
        </is>
      </c>
      <c r="I585" s="74" t="inlineStr">
        <is>
          <t>VAT(%)</t>
        </is>
      </c>
      <c r="J585" s="217" t="inlineStr">
        <is>
          <t>"serviceCode.vat": "VAT (%)",</t>
        </is>
      </c>
    </row>
    <row r="586" ht="15.75" customHeight="1" s="305">
      <c r="A586" s="67" t="inlineStr">
        <is>
          <t>serviceCode.formality</t>
        </is>
      </c>
      <c r="B586" s="67" t="inlineStr">
        <is>
          <t>Hình thức áp dụng</t>
        </is>
      </c>
      <c r="C586" s="67" t="inlineStr">
        <is>
          <t>Application method</t>
        </is>
      </c>
      <c r="D586" s="3">
        <f>IFERROR(__xludf.DUMMYFUNCTION("GOOGLETRANSLATE(B586,""vi"",""km"")"),"វិធីសាស្រ្តដាក់ពាក្យ")</f>
        <v/>
      </c>
      <c r="E586" s="3" t="inlineStr">
        <is>
          <t>របៀបអនុវត្តន៍</t>
        </is>
      </c>
      <c r="F586" s="217" t="inlineStr">
        <is>
          <t>v</t>
        </is>
      </c>
      <c r="G586" s="217" t="inlineStr">
        <is>
          <t>របៀបអនុវត្តន៍</t>
        </is>
      </c>
      <c r="H586" t="inlineStr">
        <is>
          <t>របៀបអនុវត្តន៍</t>
        </is>
      </c>
      <c r="I586" s="74" t="inlineStr">
        <is>
          <t>ទម្រង់នៃការអនុវត្ត</t>
        </is>
      </c>
      <c r="J586" s="217" t="inlineStr">
        <is>
          <t>"serviceCode.formality": "Application method",</t>
        </is>
      </c>
    </row>
    <row r="587" ht="15.75" customHeight="1" s="305">
      <c r="A587" s="67" t="inlineStr">
        <is>
          <t>serviceCode.calculation</t>
        </is>
      </c>
      <c r="B587" s="67" t="inlineStr">
        <is>
          <t>Cách tính</t>
        </is>
      </c>
      <c r="C587" s="67" t="inlineStr">
        <is>
          <t>Calculation</t>
        </is>
      </c>
      <c r="D587" s="3">
        <f>IFERROR(__xludf.DUMMYFUNCTION("GOOGLETRANSLATE(B587,""vi"",""km"")"),"វិធីសាស្ត្រគណនា")</f>
        <v/>
      </c>
      <c r="E587" s="3" t="inlineStr">
        <is>
          <t>របៀបគណនា</t>
        </is>
      </c>
      <c r="F587" s="217" t="inlineStr">
        <is>
          <t>v</t>
        </is>
      </c>
      <c r="G587" s="217" t="inlineStr">
        <is>
          <t>របៀបគណនា</t>
        </is>
      </c>
      <c r="H587" t="inlineStr">
        <is>
          <t>របៀបគណនា</t>
        </is>
      </c>
      <c r="I587" s="74" t="inlineStr">
        <is>
          <t>វិធីគិត</t>
        </is>
      </c>
      <c r="J587" s="217" t="inlineStr">
        <is>
          <t>"serviceCode.calculation": "Calculation",</t>
        </is>
      </c>
    </row>
    <row r="588" ht="15.75" customHeight="1" s="305">
      <c r="A588" s="67" t="inlineStr">
        <is>
          <t>serviceCode.deliveryZoneType</t>
        </is>
      </c>
      <c r="B588" s="67" t="inlineStr">
        <is>
          <t>Loại vùng đi</t>
        </is>
      </c>
      <c r="C588" s="67" t="inlineStr">
        <is>
          <t>Depart zone</t>
        </is>
      </c>
      <c r="D588" s="3">
        <f>IFERROR(__xludf.DUMMYFUNCTION("GOOGLETRANSLATE(B588,""vi"",""km"")"),"ប្រភេទតំបន់ទេសចរណ៍")</f>
        <v/>
      </c>
      <c r="E588" s="3" t="inlineStr">
        <is>
          <t>ប្រភេទតំបន់ទៅ</t>
        </is>
      </c>
      <c r="F588" s="217" t="inlineStr">
        <is>
          <t>v</t>
        </is>
      </c>
      <c r="G588" s="217" t="inlineStr">
        <is>
          <t>ប្រភេទតំបន់ទៅ</t>
        </is>
      </c>
      <c r="H588" t="inlineStr">
        <is>
          <t>ប្រភេទតំបន់ទៅ</t>
        </is>
      </c>
      <c r="I588" s="74" t="inlineStr">
        <is>
          <t>ប្រភេទនៃតំបន់ផ្ញើ</t>
        </is>
      </c>
      <c r="J588" s="217" t="inlineStr">
        <is>
          <t>"serviceCode.deliveryZoneType": "Depart zone",</t>
        </is>
      </c>
    </row>
    <row r="589" ht="15.75" customHeight="1" s="305">
      <c r="A589" s="67" t="inlineStr">
        <is>
          <t>serviceCode.receivingZoneType</t>
        </is>
      </c>
      <c r="B589" s="67" t="inlineStr">
        <is>
          <t>Loại vùng đến</t>
        </is>
      </c>
      <c r="C589" s="67" t="inlineStr">
        <is>
          <t>Arrival zone</t>
        </is>
      </c>
      <c r="D589" s="3">
        <f>IFERROR(__xludf.DUMMYFUNCTION("GOOGLETRANSLATE(B589,""vi"",""km"")"),"ប្រភេទ​គោលដៅ")</f>
        <v/>
      </c>
      <c r="E589" s="3" t="inlineStr">
        <is>
          <t>ប្រភេទតំបន់មកដល់</t>
        </is>
      </c>
      <c r="F589" s="217" t="inlineStr">
        <is>
          <t>v</t>
        </is>
      </c>
      <c r="G589" s="217" t="inlineStr">
        <is>
          <t>ប្រភេទតំបន់មកដល់</t>
        </is>
      </c>
      <c r="H589" t="inlineStr">
        <is>
          <t>ប្រភេទតំបន់មកដល់</t>
        </is>
      </c>
      <c r="I589" s="74" t="inlineStr">
        <is>
          <t>ប្រភេទនៃតំបន់ទទួល</t>
        </is>
      </c>
      <c r="J589" s="217" t="inlineStr">
        <is>
          <t>"serviceCode.receivingZoneType": "Arrival zone",</t>
        </is>
      </c>
    </row>
    <row r="590" ht="15.75" customHeight="1" s="305">
      <c r="A590" s="67" t="inlineStr">
        <is>
          <t>serviceCode.status</t>
        </is>
      </c>
      <c r="B590" s="67" t="inlineStr">
        <is>
          <t>Trạng thái</t>
        </is>
      </c>
      <c r="C590" s="67" t="inlineStr">
        <is>
          <t>Status</t>
        </is>
      </c>
      <c r="D590" s="3">
        <f>IFERROR(__xludf.DUMMYFUNCTION("GOOGLETRANSLATE(B590,""vi"",""km"")"),"ស្ថានភាព")</f>
        <v/>
      </c>
      <c r="E590" s="3" t="inlineStr">
        <is>
          <t>ស្ថានភាព</t>
        </is>
      </c>
      <c r="F590" s="217" t="inlineStr">
        <is>
          <t>v</t>
        </is>
      </c>
      <c r="G590" s="217" t="inlineStr">
        <is>
          <t>ស្ថានភាព</t>
        </is>
      </c>
      <c r="H590" t="inlineStr">
        <is>
          <t>ស្ថានភាព</t>
        </is>
      </c>
      <c r="I590" s="74" t="inlineStr">
        <is>
          <t>ស្ថានភាព</t>
        </is>
      </c>
      <c r="J590" s="217" t="inlineStr">
        <is>
          <t>"serviceCode.status": "Status",</t>
        </is>
      </c>
    </row>
    <row r="591" ht="15.75" customHeight="1" s="305">
      <c r="A591" s="67" t="inlineStr">
        <is>
          <t>serviceCode.total</t>
        </is>
      </c>
      <c r="B591" s="67" t="inlineStr">
        <is>
          <t>Tổng đơn hàng</t>
        </is>
      </c>
      <c r="C591" s="67" t="inlineStr">
        <is>
          <t>Total</t>
        </is>
      </c>
      <c r="D591" s="3">
        <f>IFERROR(__xludf.DUMMYFUNCTION("GOOGLETRANSLATE(B591,""vi"",""km"")"),"ការបញ្ជាទិញសរុប")</f>
        <v/>
      </c>
      <c r="E591" s="3" t="inlineStr">
        <is>
          <t>សរុបបុងបញ្ញើ</t>
        </is>
      </c>
      <c r="F591" s="217" t="inlineStr">
        <is>
          <t>v</t>
        </is>
      </c>
      <c r="G591" s="217" t="inlineStr">
        <is>
          <t>សរុប</t>
        </is>
      </c>
      <c r="H591" t="inlineStr">
        <is>
          <t>សរុប</t>
        </is>
      </c>
      <c r="I591" s="74" t="inlineStr">
        <is>
          <t>សរុប</t>
        </is>
      </c>
      <c r="J591" s="217" t="inlineStr">
        <is>
          <t>"serviceCode.total": "Total",</t>
        </is>
      </c>
    </row>
    <row r="592" ht="15.75" customHeight="1" s="305">
      <c r="A592" s="67" t="inlineStr">
        <is>
          <t>serviceCode.modify.max100</t>
        </is>
      </c>
      <c r="B592" s="67" t="inlineStr">
        <is>
          <t>tối đa 100 ký tự</t>
        </is>
      </c>
      <c r="C592" s="67" t="inlineStr">
        <is>
          <t>អតិបរមា 100 តួអក្សរ</t>
        </is>
      </c>
      <c r="D592" s="3">
        <f>IFERROR(__xludf.DUMMYFUNCTION("GOOGLETRANSLATE(B592,""vi"",""km"")"),"អតិបរមា ១០០ តួអក្សរ")</f>
        <v/>
      </c>
      <c r="E592" s="3" t="inlineStr">
        <is>
          <t>ច្រើនបំផុត 100 តួលេខអក្សរ</t>
        </is>
      </c>
      <c r="F592" s="217" t="inlineStr">
        <is>
          <t>v</t>
        </is>
      </c>
      <c r="G592" s="217" t="inlineStr">
        <is>
          <t>ច្រើនបំផុត 100 តួលេខអក្សរ</t>
        </is>
      </c>
      <c r="H592" t="inlineStr">
        <is>
          <t>ច្រើនបំផុត 100 តួលេខអក្សរ</t>
        </is>
      </c>
      <c r="I592" s="74" t="inlineStr">
        <is>
          <t>អតិបរមា 100 តួអក្សរ</t>
        </is>
      </c>
      <c r="J592" s="217" t="inlineStr">
        <is>
          <t>"serviceCode.modify.max100": "អតិបរមា 100 តួអក្សរ",</t>
        </is>
      </c>
    </row>
    <row r="593" ht="15.75" customHeight="1" s="305">
      <c r="A593" s="67" t="inlineStr">
        <is>
          <t>serviceCode.modify.containsSpecialCharacters</t>
        </is>
      </c>
      <c r="B593" s="67" t="inlineStr">
        <is>
          <t>không được chứa ký tự đặc biệt</t>
        </is>
      </c>
      <c r="C593" s="67" t="inlineStr">
        <is>
          <t>មិនអាចមានតួអក្សរពិសេសបានទេ។</t>
        </is>
      </c>
      <c r="D593" s="3">
        <f>IFERROR(__xludf.DUMMYFUNCTION("GOOGLETRANSLATE(B593,""vi"",""km"")"),"វាមិនត្រូវមានតួអក្សរពិសេសទេ។")</f>
        <v/>
      </c>
      <c r="E593" s="3" t="inlineStr">
        <is>
          <t>មិនអាចបញ្ចូលអក្សរលេខពិសេសបាន</t>
        </is>
      </c>
      <c r="F593" s="217" t="inlineStr">
        <is>
          <t>v</t>
        </is>
      </c>
      <c r="G593" s="217" t="inlineStr">
        <is>
          <t>មិនអាចបញ្ចូលអក្សរលេខពិសេសបាន</t>
        </is>
      </c>
      <c r="H593" t="inlineStr">
        <is>
          <t>មិនអាចបញ្ចូលអក្សរលេខពិសេសបាន</t>
        </is>
      </c>
      <c r="I593" s="74" t="inlineStr">
        <is>
          <t>មិនអាចមានតួអក្សរពិសេសបានទេ។</t>
        </is>
      </c>
      <c r="J593" s="217" t="inlineStr">
        <is>
          <t>"serviceCode.modify.containsSpecialCharacters": "មិនអាចមានតួអក្សរពិសេសបានទេ។",</t>
        </is>
      </c>
    </row>
    <row r="594" ht="15.75" customHeight="1" s="305">
      <c r="A594" s="67" t="inlineStr">
        <is>
          <t>serviceCode.modify.onlyNumber</t>
        </is>
      </c>
      <c r="B594" s="67" t="inlineStr">
        <is>
          <t>chỉ nhập số</t>
        </is>
      </c>
      <c r="C594" s="67" t="inlineStr">
        <is>
          <t>បញ្ចូលលេខតែប៉ុណ្ណោះ</t>
        </is>
      </c>
      <c r="D594" s="3">
        <f>IFERROR(__xludf.DUMMYFUNCTION("GOOGLETRANSLATE(B594,""vi"",""km"")"),"បញ្ចូលតែលេខប៉ុណ្ណោះ")</f>
        <v/>
      </c>
      <c r="E594" s="3" t="inlineStr">
        <is>
          <t>អាចបញ្ចូលតែលេខ</t>
        </is>
      </c>
      <c r="F594" s="217" t="inlineStr">
        <is>
          <t>v</t>
        </is>
      </c>
      <c r="G594" s="217" t="inlineStr">
        <is>
          <t>អាចបញ្ចូលតែលេខ</t>
        </is>
      </c>
      <c r="H594" t="inlineStr">
        <is>
          <t>អាចបញ្ចូលតែលេខ</t>
        </is>
      </c>
      <c r="I594" s="74" t="inlineStr">
        <is>
          <t>បញ្ចូលលេខតែប៉ុណ្ណោះ</t>
        </is>
      </c>
      <c r="J594" s="217" t="inlineStr">
        <is>
          <t>"serviceCode.modify.onlyNumber": "បញ្ចូលលេខតែប៉ុណ្ណោះ",</t>
        </is>
      </c>
    </row>
    <row r="595" ht="15.75" customHeight="1" s="305">
      <c r="A595" s="67" t="inlineStr">
        <is>
          <t>serviceCode.modify.scope</t>
        </is>
      </c>
      <c r="B595" s="67" t="inlineStr">
        <is>
          <t>Phạm vi áp dụng</t>
        </is>
      </c>
      <c r="C595" s="67" t="inlineStr">
        <is>
          <t>វិសាលភាពនៃការអនុវត្ត</t>
        </is>
      </c>
      <c r="D595" s="3">
        <f>IFERROR(__xludf.DUMMYFUNCTION("GOOGLETRANSLATE(B595,""vi"",""km"")"),"វិសាលភាពនៃការអនុវត្ត")</f>
        <v/>
      </c>
      <c r="E595" s="3" t="inlineStr">
        <is>
          <t>ដែនកំណត់នៃការអនុវត្តន៍</t>
        </is>
      </c>
      <c r="F595" s="217" t="inlineStr">
        <is>
          <t>x</t>
        </is>
      </c>
      <c r="G595" s="217" t="inlineStr">
        <is>
          <t>ដែនកំណត់នៃការអនុវត្តន៍</t>
        </is>
      </c>
      <c r="H595" t="inlineStr">
        <is>
          <t>ដែនកំណត់នៃការអនុវត្តន៍</t>
        </is>
      </c>
      <c r="I595" s="74" t="inlineStr">
        <is>
          <t>វិសាលភាពនៃការអនុវត្ត</t>
        </is>
      </c>
      <c r="J595" s="217" t="inlineStr">
        <is>
          <t>"serviceCode.modify.scope": "វិសាលភាពនៃការអនុវត្ត",</t>
        </is>
      </c>
    </row>
    <row r="596" ht="15.75" customHeight="1" s="305">
      <c r="A596" s="67" t="inlineStr">
        <is>
          <t>serviceCode.modify.caculationPrice</t>
        </is>
      </c>
      <c r="B596" s="67" t="inlineStr">
        <is>
          <t>Cách tính giá</t>
        </is>
      </c>
      <c r="C596" s="67" t="inlineStr">
        <is>
          <t>វិធីគិតតម្លៃ</t>
        </is>
      </c>
      <c r="D596" s="3">
        <f>IFERROR(__xludf.DUMMYFUNCTION("GOOGLETRANSLATE(B596,""vi"",""km"")"),"របៀបគណនាតម្លៃ")</f>
        <v/>
      </c>
      <c r="E596" s="3" t="inlineStr">
        <is>
          <t>របៀបគណនាតម្លៃ</t>
        </is>
      </c>
      <c r="F596" s="217" t="inlineStr">
        <is>
          <t>v</t>
        </is>
      </c>
      <c r="G596" s="217" t="inlineStr">
        <is>
          <t>របៀបគណនាតម្លៃ</t>
        </is>
      </c>
      <c r="H596" t="inlineStr">
        <is>
          <t>របៀបគណនាតម្លៃ</t>
        </is>
      </c>
      <c r="I596" s="74" t="inlineStr">
        <is>
          <t>វិធីគិតតម្លៃ</t>
        </is>
      </c>
      <c r="J596" s="217" t="inlineStr">
        <is>
          <t>"serviceCode.modify.caculationPrice": "វិធីគិតតម្លៃ",</t>
        </is>
      </c>
    </row>
    <row r="597" ht="15.75" customHeight="1" s="305">
      <c r="A597" s="67" t="inlineStr">
        <is>
          <t>serviceCode.modify.KPI</t>
        </is>
      </c>
      <c r="B597" s="67" t="inlineStr">
        <is>
          <t>Nhóm KPI</t>
        </is>
      </c>
      <c r="C597" s="67" t="inlineStr">
        <is>
          <t>ក្រុម KPI</t>
        </is>
      </c>
      <c r="D597" s="3">
        <f>IFERROR(__xludf.DUMMYFUNCTION("GOOGLETRANSLATE(B597,""vi"",""km"")"),"ក្រុម KPI")</f>
        <v/>
      </c>
      <c r="E597" s="3" t="inlineStr">
        <is>
          <t>ក្រុម KPI</t>
        </is>
      </c>
      <c r="F597" s="217" t="inlineStr">
        <is>
          <t>v</t>
        </is>
      </c>
      <c r="G597" s="217" t="inlineStr">
        <is>
          <t>ក្រុម KPI</t>
        </is>
      </c>
      <c r="H597" t="inlineStr">
        <is>
          <t>ក្រុម KPI</t>
        </is>
      </c>
      <c r="I597" s="74" t="inlineStr">
        <is>
          <t>ក្រុម KPI</t>
        </is>
      </c>
      <c r="J597" s="217" t="inlineStr">
        <is>
          <t>"serviceCode.modify.KPI": "ក្រុម KPI",</t>
        </is>
      </c>
    </row>
    <row r="598" ht="15.75" customHeight="1" s="305">
      <c r="A598" s="67" t="inlineStr">
        <is>
          <t>serviceCode.modify.calculation</t>
        </is>
      </c>
      <c r="B598" s="67" t="inlineStr">
        <is>
          <t>Cách tính</t>
        </is>
      </c>
      <c r="C598" s="67" t="inlineStr">
        <is>
          <t>វិធីគិត</t>
        </is>
      </c>
      <c r="D598" s="3">
        <f>IFERROR(__xludf.DUMMYFUNCTION("GOOGLETRANSLATE(B598,""vi"",""km"")"),"វិធីសាស្ត្រគណនា")</f>
        <v/>
      </c>
      <c r="E598" s="3" t="inlineStr">
        <is>
          <t>របៀបគិត</t>
        </is>
      </c>
      <c r="F598" s="217" t="inlineStr">
        <is>
          <t>v</t>
        </is>
      </c>
      <c r="G598" s="217" t="inlineStr">
        <is>
          <t>របៀបគិត</t>
        </is>
      </c>
      <c r="H598" t="inlineStr">
        <is>
          <t>របៀបគិត</t>
        </is>
      </c>
      <c r="I598" s="74" t="inlineStr">
        <is>
          <t>វិធីគិត</t>
        </is>
      </c>
      <c r="J598" s="217" t="inlineStr">
        <is>
          <t>"serviceCode.modify.calculation": "វិធីគិត",</t>
        </is>
      </c>
    </row>
    <row r="599" ht="15.75" customHeight="1" s="305">
      <c r="A599" s="67" t="inlineStr">
        <is>
          <t>serviceCode.modify.formality</t>
        </is>
      </c>
      <c r="B599" s="67" t="inlineStr">
        <is>
          <t>Hình thức áp dụng</t>
        </is>
      </c>
      <c r="C599" s="67" t="inlineStr">
        <is>
          <t>ទម្រង់នៃការអនុវត្ត</t>
        </is>
      </c>
      <c r="D599" s="3">
        <f>IFERROR(__xludf.DUMMYFUNCTION("GOOGLETRANSLATE(B599,""vi"",""km"")"),"វិធីសាស្រ្តដាក់ពាក្យ")</f>
        <v/>
      </c>
      <c r="E599" s="3" t="inlineStr">
        <is>
          <t>ទម្រង់នៃការអនុវត្តន៍</t>
        </is>
      </c>
      <c r="F599" s="217" t="inlineStr">
        <is>
          <t>v</t>
        </is>
      </c>
      <c r="G599" s="217" t="inlineStr">
        <is>
          <t>ទម្រង់នៃការអនុវត្តន៍</t>
        </is>
      </c>
      <c r="H599" t="inlineStr">
        <is>
          <t>ទម្រង់នៃការអនុវត្តន៍</t>
        </is>
      </c>
      <c r="I599" s="74" t="inlineStr">
        <is>
          <t>ទម្រង់នៃការអនុវត្ត</t>
        </is>
      </c>
      <c r="J599" s="217" t="inlineStr">
        <is>
          <t>"serviceCode.modify.formality": "ទម្រង់នៃការអនុវត្ត",</t>
        </is>
      </c>
    </row>
    <row r="600" ht="15.75" customHeight="1" s="305">
      <c r="A600" s="67" t="inlineStr">
        <is>
          <t>serviceCode.modify.convertedWeight</t>
        </is>
      </c>
      <c r="B600" s="67" t="inlineStr">
        <is>
          <t>Tham số trọng lượng quy đổi</t>
        </is>
      </c>
      <c r="C600" s="67" t="inlineStr">
        <is>
          <t>ប៉ារ៉ាម៉ែត្របំប្លែងទម្ងន់</t>
        </is>
      </c>
      <c r="D600" s="3">
        <f>IFERROR(__xludf.DUMMYFUNCTION("GOOGLETRANSLATE(B600,""vi"",""km"")"),"ប៉ារ៉ាម៉ែត្រទម្ងន់ដែលបានបម្លែង")</f>
        <v/>
      </c>
      <c r="E600" s="67" t="inlineStr">
        <is>
          <t>ប៉ារ៉ាម៉ែត្របំប្លែងទម្ងន់</t>
        </is>
      </c>
      <c r="F600" s="217" t="inlineStr">
        <is>
          <t>x</t>
        </is>
      </c>
      <c r="G600" s="217" t="inlineStr">
        <is>
          <t>ប៉ារ៉ាម៉ែត្របំប្លែងទម្ងន់</t>
        </is>
      </c>
      <c r="H600" t="inlineStr">
        <is>
          <t>ប៉ារ៉ាម៉ែត្របំប្លែងទម្ងន់</t>
        </is>
      </c>
      <c r="I600" s="74" t="inlineStr">
        <is>
          <t>ប៉ារ៉ាម៉ែត្របំប្លែងទម្ងន់</t>
        </is>
      </c>
      <c r="J600" s="217" t="inlineStr">
        <is>
          <t>"serviceCode.modify.convertedWeight": "ប៉ារ៉ាម៉ែត្របំប្លែងទម្ងន់",</t>
        </is>
      </c>
    </row>
    <row r="601" ht="15.75" customHeight="1" s="305">
      <c r="A601" s="67" t="inlineStr">
        <is>
          <t>serviceCode.modify.VAT</t>
        </is>
      </c>
      <c r="B601" s="67" t="inlineStr">
        <is>
          <t>Thuế VAT</t>
        </is>
      </c>
      <c r="C601" s="67" t="inlineStr">
        <is>
          <t>VAT 10%</t>
        </is>
      </c>
      <c r="D601" s="3">
        <f>IFERROR(__xludf.DUMMYFUNCTION("GOOGLETRANSLATE(B601,""vi"",""km"")"),"អាករលើតម្លៃបន្ថែម")</f>
        <v/>
      </c>
      <c r="E601" s="3" t="inlineStr">
        <is>
          <t>ពន្ធ VAT</t>
        </is>
      </c>
      <c r="F601" s="217" t="inlineStr">
        <is>
          <t>v</t>
        </is>
      </c>
      <c r="G601" s="217" t="inlineStr">
        <is>
          <t>ពន្ធ VAT</t>
        </is>
      </c>
      <c r="H601" t="inlineStr">
        <is>
          <t>ពន្ធ VAT</t>
        </is>
      </c>
      <c r="I601" s="74" t="inlineStr">
        <is>
          <t>VAT 10%</t>
        </is>
      </c>
      <c r="J601" s="217" t="inlineStr">
        <is>
          <t>"serviceCode.modify.VAT": "VAT 10%",</t>
        </is>
      </c>
    </row>
    <row r="602" ht="15.75" customHeight="1" s="305">
      <c r="A602" s="67" t="inlineStr">
        <is>
          <t>listServiceGroup.Expedited</t>
        </is>
      </c>
      <c r="B602" s="67" t="inlineStr">
        <is>
          <t>Hỏa tốc</t>
        </is>
      </c>
      <c r="C602" s="67" t="inlineStr">
        <is>
          <t>Express</t>
        </is>
      </c>
      <c r="D602" s="3">
        <f>IFERROR(__xludf.DUMMYFUNCTION("GOOGLETRANSLATE(B602,""vi"",""km"")"),"រហ័ស")</f>
        <v/>
      </c>
      <c r="E602" s="3" t="inlineStr">
        <is>
          <t>រហ័ស</t>
        </is>
      </c>
      <c r="F602" s="217" t="inlineStr">
        <is>
          <t>v</t>
        </is>
      </c>
      <c r="G602" s="217" t="inlineStr">
        <is>
          <t>រហ័ស</t>
        </is>
      </c>
      <c r="H602" t="inlineStr">
        <is>
          <t>រហ័ស</t>
        </is>
      </c>
      <c r="I602" s="74" t="inlineStr">
        <is>
          <t>រហ័សទាន់ចិត្ត</t>
        </is>
      </c>
      <c r="J602" s="217" t="inlineStr">
        <is>
          <t>"listServiceGroup.Expedited": "Express",</t>
        </is>
      </c>
    </row>
    <row r="603" ht="15.75" customHeight="1" s="305">
      <c r="A603" s="67" t="inlineStr">
        <is>
          <t>listServiceGroup.Fast</t>
        </is>
      </c>
      <c r="B603" s="67" t="inlineStr">
        <is>
          <t>Nhanh</t>
        </is>
      </c>
      <c r="C603" s="67" t="inlineStr">
        <is>
          <t>Fast</t>
        </is>
      </c>
      <c r="D603" s="3">
        <f>IFERROR(__xludf.DUMMYFUNCTION("GOOGLETRANSLATE(B603,""vi"",""km"")"),"លឿន")</f>
        <v/>
      </c>
      <c r="E603" s="3" t="inlineStr">
        <is>
          <t>លឿន</t>
        </is>
      </c>
      <c r="F603" s="217" t="inlineStr">
        <is>
          <t>v</t>
        </is>
      </c>
      <c r="G603" s="217" t="inlineStr">
        <is>
          <t>លឿន</t>
        </is>
      </c>
      <c r="H603" t="inlineStr">
        <is>
          <t>លឿន</t>
        </is>
      </c>
      <c r="I603" s="74" t="inlineStr">
        <is>
          <t>រហ័ស</t>
        </is>
      </c>
      <c r="J603" s="217" t="inlineStr">
        <is>
          <t>"listServiceGroup.Fast": "Fast",</t>
        </is>
      </c>
    </row>
    <row r="604" ht="15.75" customHeight="1" s="305">
      <c r="A604" s="67" t="inlineStr">
        <is>
          <t>listServiceGroup.Slow</t>
        </is>
      </c>
      <c r="B604" s="67" t="inlineStr">
        <is>
          <t>Chậm</t>
        </is>
      </c>
      <c r="C604" s="67" t="inlineStr">
        <is>
          <t>Eco</t>
        </is>
      </c>
      <c r="D604" s="3">
        <f>IFERROR(__xludf.DUMMYFUNCTION("GOOGLETRANSLATE(B604,""vi"",""km"")"),"យឺត")</f>
        <v/>
      </c>
      <c r="E604" s="3" t="inlineStr">
        <is>
          <t>យឺត</t>
        </is>
      </c>
      <c r="F604" s="217" t="inlineStr">
        <is>
          <t>v</t>
        </is>
      </c>
      <c r="G604" s="217" t="inlineStr">
        <is>
          <t>យឺត</t>
        </is>
      </c>
      <c r="H604" t="inlineStr">
        <is>
          <t>យឺត</t>
        </is>
      </c>
      <c r="I604" s="74" t="inlineStr">
        <is>
          <t>យឺត</t>
        </is>
      </c>
      <c r="J604" s="217" t="inlineStr">
        <is>
          <t>"listServiceGroup.Slow": "Eco",</t>
        </is>
      </c>
    </row>
    <row r="605" ht="15.75" customHeight="1" s="305">
      <c r="A605" s="67" t="inlineStr">
        <is>
          <t>listServiceGroup.International</t>
        </is>
      </c>
      <c r="B605" s="67" t="inlineStr">
        <is>
          <t>Quốc tế</t>
        </is>
      </c>
      <c r="C605" s="67" t="inlineStr">
        <is>
          <t>International</t>
        </is>
      </c>
      <c r="D605" s="3">
        <f>IFERROR(__xludf.DUMMYFUNCTION("GOOGLETRANSLATE(B605,""vi"",""km"")"),"អន្តរជាតិ")</f>
        <v/>
      </c>
      <c r="E605" s="3" t="inlineStr">
        <is>
          <t>អន្តរជាតិ</t>
        </is>
      </c>
      <c r="F605" s="217" t="inlineStr">
        <is>
          <t>v</t>
        </is>
      </c>
      <c r="G605" s="217" t="inlineStr">
        <is>
          <t>អន្តរជាតិ</t>
        </is>
      </c>
      <c r="H605" t="inlineStr">
        <is>
          <t>អន្តរជាតិ</t>
        </is>
      </c>
      <c r="I605" s="74" t="inlineStr">
        <is>
          <t>អន្តរជាតិ</t>
        </is>
      </c>
      <c r="J605" s="217" t="inlineStr">
        <is>
          <t>"listServiceGroup.International": "International",</t>
        </is>
      </c>
    </row>
    <row r="606" ht="15.75" customHeight="1" s="305">
      <c r="A606" s="67" t="inlineStr">
        <is>
          <t>listServiceGroup.V24</t>
        </is>
      </c>
      <c r="B606" s="67" t="inlineStr">
        <is>
          <t>V24</t>
        </is>
      </c>
      <c r="C606" s="67" t="inlineStr">
        <is>
          <t>V24</t>
        </is>
      </c>
      <c r="D606" s="3">
        <f>IFERROR(__xludf.DUMMYFUNCTION("GOOGLETRANSLATE(B606,""vi"",""km"")"),"V24")</f>
        <v/>
      </c>
      <c r="E606" s="3" t="inlineStr">
        <is>
          <t>V24</t>
        </is>
      </c>
      <c r="F606" s="217" t="inlineStr">
        <is>
          <t>v</t>
        </is>
      </c>
      <c r="G606" s="217" t="inlineStr">
        <is>
          <t>V24</t>
        </is>
      </c>
      <c r="H606" t="inlineStr">
        <is>
          <t>V24</t>
        </is>
      </c>
      <c r="I606" s="74" t="inlineStr">
        <is>
          <t>V24</t>
        </is>
      </c>
      <c r="J606" s="217" t="inlineStr">
        <is>
          <t>"listServiceGroup.V24": "V24",</t>
        </is>
      </c>
    </row>
    <row r="607" ht="15.75" customHeight="1" s="305">
      <c r="A607" s="67" t="inlineStr">
        <is>
          <t>listZone.District</t>
        </is>
      </c>
      <c r="B607" s="67" t="inlineStr">
        <is>
          <t>Huyện</t>
        </is>
      </c>
      <c r="C607" s="67" t="inlineStr">
        <is>
          <t>District</t>
        </is>
      </c>
      <c r="D607" s="3">
        <f>IFERROR(__xludf.DUMMYFUNCTION("GOOGLETRANSLATE(B607,""vi"",""km"")"),"ស្រុក")</f>
        <v/>
      </c>
      <c r="E607" s="3" t="inlineStr">
        <is>
          <t>ស្រុក</t>
        </is>
      </c>
      <c r="F607" s="217" t="inlineStr">
        <is>
          <t>v</t>
        </is>
      </c>
      <c r="G607" s="217" t="inlineStr">
        <is>
          <t>ស្រុក</t>
        </is>
      </c>
      <c r="H607" t="inlineStr">
        <is>
          <t>ស្រុក</t>
        </is>
      </c>
      <c r="I607" s="74" t="inlineStr">
        <is>
          <t>ស្រុក</t>
        </is>
      </c>
      <c r="J607" s="217" t="inlineStr">
        <is>
          <t>"listZone.District": "District",</t>
        </is>
      </c>
    </row>
    <row r="608" ht="15.75" customHeight="1" s="305">
      <c r="A608" s="67" t="inlineStr">
        <is>
          <t>listZone.Province</t>
        </is>
      </c>
      <c r="B608" s="67" t="inlineStr">
        <is>
          <t>Tỉnh</t>
        </is>
      </c>
      <c r="C608" s="67" t="inlineStr">
        <is>
          <t>Province</t>
        </is>
      </c>
      <c r="D608" s="3">
        <f>IFERROR(__xludf.DUMMYFUNCTION("GOOGLETRANSLATE(B608,""vi"",""km"")"),"ដឹងខ្លួន")</f>
        <v/>
      </c>
      <c r="E608" s="3" t="inlineStr">
        <is>
          <t>ខេត្ត</t>
        </is>
      </c>
      <c r="F608" s="217" t="inlineStr">
        <is>
          <t>v</t>
        </is>
      </c>
      <c r="G608" s="217" t="inlineStr">
        <is>
          <t>ខេត្ត</t>
        </is>
      </c>
      <c r="H608" t="inlineStr">
        <is>
          <t>ខេត្ត</t>
        </is>
      </c>
      <c r="I608" s="74" t="inlineStr">
        <is>
          <t>ខេត្ត</t>
        </is>
      </c>
      <c r="J608" s="217" t="inlineStr">
        <is>
          <t>"listZone.Province": "Province",</t>
        </is>
      </c>
    </row>
    <row r="609" ht="15.75" customHeight="1" s="305">
      <c r="A609" s="67" t="inlineStr">
        <is>
          <t>listZone.National</t>
        </is>
      </c>
      <c r="B609" s="67" t="inlineStr">
        <is>
          <t>Quốc gia</t>
        </is>
      </c>
      <c r="C609" s="67" t="inlineStr">
        <is>
          <t>National</t>
        </is>
      </c>
      <c r="D609" s="3">
        <f>IFERROR(__xludf.DUMMYFUNCTION("GOOGLETRANSLATE(B609,""vi"",""km"")"),"ប្រជាជាតិ")</f>
        <v/>
      </c>
      <c r="E609" s="3" t="inlineStr">
        <is>
          <t>ប្រទេស</t>
        </is>
      </c>
      <c r="F609" s="217" t="inlineStr">
        <is>
          <t>v</t>
        </is>
      </c>
      <c r="G609" s="217" t="inlineStr">
        <is>
          <t>ប្រទេស</t>
        </is>
      </c>
      <c r="H609" t="inlineStr">
        <is>
          <t>ប្រទេស</t>
        </is>
      </c>
      <c r="I609" s="74" t="inlineStr">
        <is>
          <t>ប្រទេស</t>
        </is>
      </c>
      <c r="J609" s="217" t="inlineStr">
        <is>
          <t>"listZone.National": "National",</t>
        </is>
      </c>
    </row>
    <row r="610" ht="15.75" customHeight="1" s="305">
      <c r="A610" s="67" t="inlineStr">
        <is>
          <t>listZone.Ward</t>
        </is>
      </c>
      <c r="B610" s="67" t="inlineStr">
        <is>
          <t>Phường/xã</t>
        </is>
      </c>
      <c r="C610" s="67" t="inlineStr">
        <is>
          <t>Commune</t>
        </is>
      </c>
      <c r="D610" s="3">
        <f>IFERROR(__xludf.DUMMYFUNCTION("GOOGLETRANSLATE(B610,""vi"",""km"")"),"វួដ/ឃុំ")</f>
        <v/>
      </c>
      <c r="E610" s="3" t="inlineStr">
        <is>
          <t>ឃុំ</t>
        </is>
      </c>
      <c r="F610" s="217" t="inlineStr">
        <is>
          <t>v</t>
        </is>
      </c>
      <c r="G610" s="217" t="inlineStr">
        <is>
          <t>ឃុំ</t>
        </is>
      </c>
      <c r="H610" t="inlineStr">
        <is>
          <t>ឃុំ</t>
        </is>
      </c>
      <c r="I610" s="74" t="inlineStr">
        <is>
          <t>ឃុំ ភូមិ</t>
        </is>
      </c>
      <c r="J610" s="217" t="inlineStr">
        <is>
          <t>"listZone.Ward": "Commune",</t>
        </is>
      </c>
    </row>
    <row r="611" ht="15.75" customHeight="1" s="305">
      <c r="A611" s="67" t="inlineStr">
        <is>
          <t>listScope.Domestic</t>
        </is>
      </c>
      <c r="B611" s="67" t="inlineStr">
        <is>
          <t>Trong nước</t>
        </is>
      </c>
      <c r="C611" s="67" t="inlineStr">
        <is>
          <t>Domestic</t>
        </is>
      </c>
      <c r="D611" s="3">
        <f>IFERROR(__xludf.DUMMYFUNCTION("GOOGLETRANSLATE(B611,""vi"",""km"")"),"ក្នុងស្រុក")</f>
        <v/>
      </c>
      <c r="E611" s="3" t="inlineStr">
        <is>
          <t>ក្នុងប្រទេស</t>
        </is>
      </c>
      <c r="F611" s="217" t="inlineStr">
        <is>
          <t>v</t>
        </is>
      </c>
      <c r="G611" s="217" t="inlineStr">
        <is>
          <t>ក្នុងប្រទេស</t>
        </is>
      </c>
      <c r="H611" t="inlineStr">
        <is>
          <t>ក្នុងប្រទេស</t>
        </is>
      </c>
      <c r="I611" s="74" t="inlineStr">
        <is>
          <t>ក្នុងស្រុក</t>
        </is>
      </c>
      <c r="J611" s="217" t="inlineStr">
        <is>
          <t>"listScope.Domestic": "Domestic",</t>
        </is>
      </c>
    </row>
    <row r="612" ht="15.75" customHeight="1" s="305">
      <c r="A612" s="67" t="inlineStr">
        <is>
          <t>listScope.International</t>
        </is>
      </c>
      <c r="B612" s="67" t="inlineStr">
        <is>
          <t>Quốc tế</t>
        </is>
      </c>
      <c r="C612" s="67" t="inlineStr">
        <is>
          <t>International</t>
        </is>
      </c>
      <c r="D612" s="3">
        <f>IFERROR(__xludf.DUMMYFUNCTION("GOOGLETRANSLATE(B612,""vi"",""km"")"),"អន្តរជាតិ")</f>
        <v/>
      </c>
      <c r="E612" s="3" t="inlineStr">
        <is>
          <t>អន្តរជាតិ</t>
        </is>
      </c>
      <c r="F612" s="217" t="inlineStr">
        <is>
          <t>v</t>
        </is>
      </c>
      <c r="G612" s="217" t="inlineStr">
        <is>
          <t>អន្តរជាតិ</t>
        </is>
      </c>
      <c r="H612" t="inlineStr">
        <is>
          <t>អន្តរជាតិ</t>
        </is>
      </c>
      <c r="I612" s="74" t="inlineStr">
        <is>
          <t>អន្តរជាតិ</t>
        </is>
      </c>
      <c r="J612" s="217" t="inlineStr">
        <is>
          <t>"listScope.International": "International",</t>
        </is>
      </c>
    </row>
    <row r="613" ht="15.75" customHeight="1" s="305">
      <c r="A613" s="67" t="inlineStr">
        <is>
          <t>listScope.InternationalRoundTrip</t>
        </is>
      </c>
      <c r="B613" s="67" t="inlineStr">
        <is>
          <t>Quốc tế chiều về</t>
        </is>
      </c>
      <c r="C613" s="67" t="inlineStr">
        <is>
          <t>International Return Shipping</t>
        </is>
      </c>
      <c r="D613" s="3">
        <f>IFERROR(__xludf.DUMMYFUNCTION("GOOGLETRANSLATE(B613,""vi"",""km"")"),"ល្ងាចអន្តរជាតិ")</f>
        <v/>
      </c>
      <c r="E613" s="3" t="inlineStr">
        <is>
          <t>ត្រលប់ពីអន្តរជាតិ</t>
        </is>
      </c>
      <c r="F613" s="217" t="inlineStr">
        <is>
          <t>v</t>
        </is>
      </c>
      <c r="G613" s="217" t="inlineStr">
        <is>
          <t>ត្រលប់ពីអន្តរជាតិ</t>
        </is>
      </c>
      <c r="H613" t="inlineStr">
        <is>
          <t>ត្រលប់ពីអន្តរជាតិ</t>
        </is>
      </c>
      <c r="I613" s="74" t="inlineStr">
        <is>
          <t>ផ្ញើពីក្រៅស្រុកមកវិញ</t>
        </is>
      </c>
      <c r="J613" s="217" t="inlineStr">
        <is>
          <t>"listScope.InternationalRoundTrip": "International Return Shipping",</t>
        </is>
      </c>
    </row>
    <row r="614" ht="15.75" customHeight="1" s="305">
      <c r="A614" s="67" t="inlineStr">
        <is>
          <t>listCaculationPrice.handCalculation</t>
        </is>
      </c>
      <c r="B614" s="67" t="inlineStr">
        <is>
          <t>Tự tính tay</t>
        </is>
      </c>
      <c r="C614" s="67" t="inlineStr">
        <is>
          <t>Manual pricing</t>
        </is>
      </c>
      <c r="D614" s="3">
        <f>IFERROR(__xludf.DUMMYFUNCTION("GOOGLETRANSLATE(B614,""vi"",""km"")"),"គណនាដោយដៃ")</f>
        <v/>
      </c>
      <c r="E614" s="3" t="inlineStr">
        <is>
          <t>គណនាដោយដៃ</t>
        </is>
      </c>
      <c r="F614" s="217" t="inlineStr">
        <is>
          <t>v</t>
        </is>
      </c>
      <c r="G614" s="217" t="inlineStr">
        <is>
          <t>គណនាដោយដៃ</t>
        </is>
      </c>
      <c r="H614" t="inlineStr">
        <is>
          <t>គណនាដោយដៃ</t>
        </is>
      </c>
      <c r="I614" s="74" t="inlineStr">
        <is>
          <t>គិតដោយដៃ</t>
        </is>
      </c>
      <c r="J614" s="217" t="inlineStr">
        <is>
          <t>"listCaculationPrice.handCalculation": "Manual pricing",</t>
        </is>
      </c>
    </row>
    <row r="615" ht="15.75" customHeight="1" s="305">
      <c r="A615" s="67" t="inlineStr">
        <is>
          <t>listCaculationPrice.priceListCalculation</t>
        </is>
      </c>
      <c r="B615" s="67" t="inlineStr">
        <is>
          <t>Theo bảng giá</t>
        </is>
      </c>
      <c r="C615" s="67" t="inlineStr">
        <is>
          <t>Pricing table Based</t>
        </is>
      </c>
      <c r="D615" s="3">
        <f>IFERROR(__xludf.DUMMYFUNCTION("GOOGLETRANSLATE(B615,""vi"",""km"")"),"យោងតាមបញ្ជីតម្លៃ")</f>
        <v/>
      </c>
      <c r="E615" s="3" t="inlineStr">
        <is>
          <t>តាមតារាងតម្លៃ</t>
        </is>
      </c>
      <c r="F615" s="217" t="inlineStr">
        <is>
          <t>v</t>
        </is>
      </c>
      <c r="G615" s="217" t="inlineStr">
        <is>
          <t>តាមតារាងតម្លៃ</t>
        </is>
      </c>
      <c r="H615" t="inlineStr">
        <is>
          <t>តាមតារាងតម្លៃ</t>
        </is>
      </c>
      <c r="I615" s="74" t="inlineStr">
        <is>
          <t>តាមតារាងតម្លៃ</t>
        </is>
      </c>
      <c r="J615" s="217" t="inlineStr">
        <is>
          <t>"listCaculationPrice.priceListCalculation": "Pricing table Based",</t>
        </is>
      </c>
    </row>
    <row r="616" ht="15.75" customHeight="1" s="305">
      <c r="A616" s="67" t="inlineStr">
        <is>
          <t>listKpi.All</t>
        </is>
      </c>
      <c r="B616" s="67" t="inlineStr">
        <is>
          <t>Tất cả</t>
        </is>
      </c>
      <c r="C616" s="67" t="inlineStr">
        <is>
          <t>All</t>
        </is>
      </c>
      <c r="D616" s="3">
        <f>IFERROR(__xludf.DUMMYFUNCTION("GOOGLETRANSLATE(B616,""vi"",""km"")"),"ទាំងអស់")</f>
        <v/>
      </c>
      <c r="E616" s="3" t="inlineStr">
        <is>
          <t>ទាំងអស់</t>
        </is>
      </c>
      <c r="F616" s="217" t="inlineStr">
        <is>
          <t>v</t>
        </is>
      </c>
      <c r="G616" s="217" t="inlineStr">
        <is>
          <t>ទាំងអស់</t>
        </is>
      </c>
      <c r="H616" t="inlineStr">
        <is>
          <t>ទាំងអស់</t>
        </is>
      </c>
      <c r="I616" s="74" t="inlineStr">
        <is>
          <t>ទាំងអស់</t>
        </is>
      </c>
      <c r="J616" s="217" t="inlineStr">
        <is>
          <t>"listKpi.All": "All",</t>
        </is>
      </c>
    </row>
    <row r="617" ht="15.75" customHeight="1" s="305">
      <c r="A617" s="67" t="inlineStr">
        <is>
          <t>listKpi.Expedited</t>
        </is>
      </c>
      <c r="B617" s="67" t="inlineStr">
        <is>
          <t>Hỏa tốc</t>
        </is>
      </c>
      <c r="C617" s="67" t="inlineStr">
        <is>
          <t>Express</t>
        </is>
      </c>
      <c r="D617" s="3">
        <f>IFERROR(__xludf.DUMMYFUNCTION("GOOGLETRANSLATE(B617,""vi"",""km"")"),"រហ័ស")</f>
        <v/>
      </c>
      <c r="E617" s="3" t="inlineStr">
        <is>
          <t>រហ័ស</t>
        </is>
      </c>
      <c r="F617" s="217" t="inlineStr">
        <is>
          <t>v</t>
        </is>
      </c>
      <c r="G617" s="217" t="inlineStr">
        <is>
          <t>រហ័ស</t>
        </is>
      </c>
      <c r="H617" t="inlineStr">
        <is>
          <t>រហ័ស</t>
        </is>
      </c>
      <c r="I617" s="74" t="inlineStr">
        <is>
          <t>រហ័សទាន់ចិត្ត</t>
        </is>
      </c>
      <c r="J617" s="217" t="inlineStr">
        <is>
          <t>"listKpi.Expedited": "Express",</t>
        </is>
      </c>
    </row>
    <row r="618" ht="15.75" customHeight="1" s="305">
      <c r="A618" s="67" t="inlineStr">
        <is>
          <t>listKpi.Fast</t>
        </is>
      </c>
      <c r="B618" s="67" t="inlineStr">
        <is>
          <t>Nhanh</t>
        </is>
      </c>
      <c r="C618" s="67" t="inlineStr">
        <is>
          <t>Fast</t>
        </is>
      </c>
      <c r="D618" s="3">
        <f>IFERROR(__xludf.DUMMYFUNCTION("GOOGLETRANSLATE(B618,""vi"",""km"")"),"លឿន")</f>
        <v/>
      </c>
      <c r="E618" s="3" t="inlineStr">
        <is>
          <t>លឿន</t>
        </is>
      </c>
      <c r="F618" s="217" t="inlineStr">
        <is>
          <t>v</t>
        </is>
      </c>
      <c r="G618" s="217" t="inlineStr">
        <is>
          <t>លឿន</t>
        </is>
      </c>
      <c r="H618" t="inlineStr">
        <is>
          <t>លឿន</t>
        </is>
      </c>
      <c r="I618" s="74" t="inlineStr">
        <is>
          <t>រហ័ស</t>
        </is>
      </c>
      <c r="J618" s="217" t="inlineStr">
        <is>
          <t>"listKpi.Fast": "Fast",</t>
        </is>
      </c>
    </row>
    <row r="619" ht="15.75" customHeight="1" s="305">
      <c r="A619" s="67" t="inlineStr">
        <is>
          <t>listKpi.Save</t>
        </is>
      </c>
      <c r="B619" s="67" t="inlineStr">
        <is>
          <t>Tiết kiệm</t>
        </is>
      </c>
      <c r="C619" s="67" t="inlineStr">
        <is>
          <t>Eco</t>
        </is>
      </c>
      <c r="D619" s="3">
        <f>IFERROR(__xludf.DUMMYFUNCTION("GOOGLETRANSLATE(B619,""vi"",""km"")"),"រក្សាទុក")</f>
        <v/>
      </c>
      <c r="E619" s="3" t="inlineStr">
        <is>
          <t>សន្សំសំចៃ</t>
        </is>
      </c>
      <c r="F619" s="217" t="inlineStr">
        <is>
          <t>v</t>
        </is>
      </c>
      <c r="G619" s="217" t="inlineStr">
        <is>
          <t>សន្សំសំចៃ</t>
        </is>
      </c>
      <c r="H619" t="inlineStr">
        <is>
          <t>សន្សំសំចៃ</t>
        </is>
      </c>
      <c r="I619" s="74" t="inlineStr">
        <is>
          <t>សន្សំសំចៃ</t>
        </is>
      </c>
      <c r="J619" s="217" t="inlineStr">
        <is>
          <t>"listKpi.Save": "Eco",</t>
        </is>
      </c>
    </row>
    <row r="620" ht="15.75" customHeight="1" s="305">
      <c r="A620" s="67" t="inlineStr">
        <is>
          <t>listKpi.Package</t>
        </is>
      </c>
      <c r="B620" s="67" t="inlineStr">
        <is>
          <t>Hàng kiện</t>
        </is>
      </c>
      <c r="C620" s="67" t="inlineStr">
        <is>
          <t>Package</t>
        </is>
      </c>
      <c r="D620" s="3">
        <f>IFERROR(__xludf.DUMMYFUNCTION("GOOGLETRANSLATE(B620,""vi"",""km"")"),"ទំនិញដែលបានវេចខ្ចប់")</f>
        <v/>
      </c>
      <c r="E620" s="3" t="inlineStr">
        <is>
          <t>កញ្ចប់អីវ៉ាន់</t>
        </is>
      </c>
      <c r="F620" s="217" t="inlineStr">
        <is>
          <t>v</t>
        </is>
      </c>
      <c r="G620" s="217" t="inlineStr">
        <is>
          <t>កញ្ចប់អីវ៉ាន់</t>
        </is>
      </c>
      <c r="H620" t="inlineStr">
        <is>
          <t>កញ្ចប់អីវ៉ាន់</t>
        </is>
      </c>
      <c r="I620" s="74" t="inlineStr">
        <is>
          <t>កញ្ចប់</t>
        </is>
      </c>
      <c r="J620" s="217" t="inlineStr">
        <is>
          <t>"listKpi.Package": "Package",</t>
        </is>
      </c>
    </row>
    <row r="621" ht="15.75" customHeight="1" s="305">
      <c r="A621" s="67" t="inlineStr">
        <is>
          <t>listCaculation.Weight</t>
        </is>
      </c>
      <c r="B621" s="67" t="inlineStr">
        <is>
          <t>Trọng lượng</t>
        </is>
      </c>
      <c r="C621" s="67" t="inlineStr">
        <is>
          <t>Weight</t>
        </is>
      </c>
      <c r="D621" s="3">
        <f>IFERROR(__xludf.DUMMYFUNCTION("GOOGLETRANSLATE(B621,""vi"",""km"")"),"ទម្ងន់")</f>
        <v/>
      </c>
      <c r="E621" s="3" t="inlineStr">
        <is>
          <t>ទម្ងន់</t>
        </is>
      </c>
      <c r="F621" s="217" t="inlineStr">
        <is>
          <t>v</t>
        </is>
      </c>
      <c r="G621" s="217" t="inlineStr">
        <is>
          <t>ទម្ងន់</t>
        </is>
      </c>
      <c r="H621" t="inlineStr">
        <is>
          <t>ទម្ងន់</t>
        </is>
      </c>
      <c r="I621" s="74" t="inlineStr">
        <is>
          <t>ទម្ងន់</t>
        </is>
      </c>
      <c r="J621" s="217" t="inlineStr">
        <is>
          <t>"listCaculation.Weight": "Weight",</t>
        </is>
      </c>
    </row>
    <row r="622" ht="15.75" customHeight="1" s="305">
      <c r="A622" s="67" t="inlineStr">
        <is>
          <t>listCaculation.CollectToDelivery</t>
        </is>
      </c>
      <c r="B622" s="67" t="inlineStr">
        <is>
          <t>Tiền thu hộ</t>
        </is>
      </c>
      <c r="C622" s="67" t="inlineStr">
        <is>
          <t>COD</t>
        </is>
      </c>
      <c r="D622" s="3">
        <f>IFERROR(__xludf.DUMMYFUNCTION("GOOGLETRANSLATE(B622,""vi"",""km"")"),"ប្រាក់ដែលប្រមូលបានក្នុងនាមអ្នកដទៃ")</f>
        <v/>
      </c>
      <c r="E622" s="3" t="inlineStr">
        <is>
          <t>ប្រាក់ប្រមូលជំនួស</t>
        </is>
      </c>
      <c r="F622" s="217" t="inlineStr">
        <is>
          <t>v</t>
        </is>
      </c>
      <c r="G622" s="217" t="inlineStr">
        <is>
          <t>ប្រាក់ប្រមូលជំនួស (COD)</t>
        </is>
      </c>
      <c r="H622" t="inlineStr">
        <is>
          <t>ប្រាក់ប្រមូលជំនួស (COD)</t>
        </is>
      </c>
      <c r="I622" s="74" t="inlineStr">
        <is>
          <t>COD</t>
        </is>
      </c>
      <c r="J622" s="217" t="inlineStr">
        <is>
          <t>"listCaculation.CollectToDelivery": "COD",</t>
        </is>
      </c>
    </row>
    <row r="623" ht="15.75" customHeight="1" s="305">
      <c r="A623" s="67" t="inlineStr">
        <is>
          <t>listCaculation.Distance</t>
        </is>
      </c>
      <c r="B623" s="67" t="inlineStr">
        <is>
          <t>Khoảng cách</t>
        </is>
      </c>
      <c r="C623" s="67" t="inlineStr">
        <is>
          <t>Distance</t>
        </is>
      </c>
      <c r="D623" s="3">
        <f>IFERROR(__xludf.DUMMYFUNCTION("GOOGLETRANSLATE(B623,""vi"",""km"")"),"ចម្ងាយ")</f>
        <v/>
      </c>
      <c r="E623" s="3" t="inlineStr">
        <is>
          <t>ចម្ងាយ</t>
        </is>
      </c>
      <c r="F623" s="217" t="inlineStr">
        <is>
          <t>v</t>
        </is>
      </c>
      <c r="G623" s="217" t="inlineStr">
        <is>
          <t>ចម្ងាយ</t>
        </is>
      </c>
      <c r="H623" t="inlineStr">
        <is>
          <t>ចម្ងាយ</t>
        </is>
      </c>
      <c r="I623" s="74" t="inlineStr">
        <is>
          <t>គម្លាត</t>
        </is>
      </c>
      <c r="J623" s="217" t="inlineStr">
        <is>
          <t>"listCaculation.Distance": "Distance",</t>
        </is>
      </c>
    </row>
    <row r="624" ht="15.75" customHeight="1" s="305">
      <c r="A624" s="67" t="inlineStr">
        <is>
          <t>listCaculation.ByCircumference</t>
        </is>
      </c>
      <c r="B624" s="67" t="inlineStr">
        <is>
          <t>Tính theo chu vi</t>
        </is>
      </c>
      <c r="C624" s="67" t="inlineStr">
        <is>
          <t>Perimeter calculation</t>
        </is>
      </c>
      <c r="D624" s="3">
        <f>IFERROR(__xludf.DUMMYFUNCTION("GOOGLETRANSLATE(B624,""vi"",""km"")"),"គណនាតាមបរិវេណ")</f>
        <v/>
      </c>
      <c r="E624" s="3" t="inlineStr">
        <is>
          <t>គិតតាមទំហំ</t>
        </is>
      </c>
      <c r="F624" s="217" t="inlineStr">
        <is>
          <t>x</t>
        </is>
      </c>
      <c r="G624" s="217" t="inlineStr">
        <is>
          <t>គិតតាមទំហំបរិមាត្រ</t>
        </is>
      </c>
      <c r="H624" t="inlineStr">
        <is>
          <t>គិតតាមទំហំបរិមាត្រ</t>
        </is>
      </c>
      <c r="I624" s="74" t="inlineStr">
        <is>
          <t>គណនាតាមរង្វង់</t>
        </is>
      </c>
      <c r="J624" s="217" t="inlineStr">
        <is>
          <t>"listCaculation.ByCircumference": "Perimeter calculation",</t>
        </is>
      </c>
    </row>
    <row r="625" ht="15.75" customHeight="1" s="305">
      <c r="A625" s="67" t="inlineStr">
        <is>
          <t>listFormality.COD</t>
        </is>
      </c>
      <c r="B625" s="67" t="inlineStr">
        <is>
          <t>COD</t>
        </is>
      </c>
      <c r="C625" s="67" t="inlineStr">
        <is>
          <t>COD</t>
        </is>
      </c>
      <c r="D625" s="3">
        <f>IFERROR(__xludf.DUMMYFUNCTION("GOOGLETRANSLATE(B625,""vi"",""km"")"),"ប្រតិបត្តិការ​ទូទាត់​ថ្លៃ​សេវា​ (COD)")</f>
        <v/>
      </c>
      <c r="E625" s="67" t="inlineStr">
        <is>
          <t>COD</t>
        </is>
      </c>
      <c r="F625" s="217" t="inlineStr">
        <is>
          <t>v</t>
        </is>
      </c>
      <c r="G625" s="217" t="inlineStr">
        <is>
          <t>ប្រាក់ COD</t>
        </is>
      </c>
      <c r="H625" t="inlineStr">
        <is>
          <t>ប្រាក់ COD</t>
        </is>
      </c>
      <c r="I625" s="74" t="inlineStr">
        <is>
          <t>COD</t>
        </is>
      </c>
      <c r="J625" s="217" t="inlineStr">
        <is>
          <t>"listFormality.COD": "COD",</t>
        </is>
      </c>
    </row>
    <row r="626" ht="15.75" customHeight="1" s="305">
      <c r="A626" s="67" t="inlineStr">
        <is>
          <t>listFormality.CPTT</t>
        </is>
      </c>
      <c r="B626" s="67" t="inlineStr">
        <is>
          <t>CPTT</t>
        </is>
      </c>
      <c r="C626" s="67" t="inlineStr">
        <is>
          <t>CPTT</t>
        </is>
      </c>
      <c r="D626" s="3">
        <f>IFERROR(__xludf.DUMMYFUNCTION("GOOGLETRANSLATE(B626,""vi"",""km"")"),"CPTT")</f>
        <v/>
      </c>
      <c r="E626" s="67" t="inlineStr">
        <is>
          <t>CPTT</t>
        </is>
      </c>
      <c r="F626" s="217" t="inlineStr">
        <is>
          <t>v</t>
        </is>
      </c>
      <c r="G626" s="217" t="inlineStr">
        <is>
          <t>CPTT</t>
        </is>
      </c>
      <c r="H626" t="inlineStr">
        <is>
          <t>CPTT</t>
        </is>
      </c>
      <c r="I626" s="74" t="inlineStr">
        <is>
          <t>CPTT</t>
        </is>
      </c>
      <c r="J626" s="217" t="inlineStr">
        <is>
          <t>"listFormality.CPTT": "CPTT",</t>
        </is>
      </c>
    </row>
    <row r="627" ht="15.75" customHeight="1" s="305">
      <c r="A627" s="67" t="inlineStr">
        <is>
          <t>listFormality.All</t>
        </is>
      </c>
      <c r="B627" s="67" t="inlineStr">
        <is>
          <t>Tất cả</t>
        </is>
      </c>
      <c r="C627" s="67" t="inlineStr">
        <is>
          <t>All</t>
        </is>
      </c>
      <c r="D627" s="3">
        <f>IFERROR(__xludf.DUMMYFUNCTION("GOOGLETRANSLATE(B627,""vi"",""km"")"),"ទាំងអស់")</f>
        <v/>
      </c>
      <c r="E627" s="3" t="inlineStr">
        <is>
          <t>ទាំងអស់</t>
        </is>
      </c>
      <c r="F627" s="217" t="inlineStr">
        <is>
          <t>v</t>
        </is>
      </c>
      <c r="G627" s="217" t="inlineStr">
        <is>
          <t>ទាំងអស់</t>
        </is>
      </c>
      <c r="H627" t="inlineStr">
        <is>
          <t>ទាំងអស់</t>
        </is>
      </c>
      <c r="I627" s="74" t="inlineStr">
        <is>
          <t>ទាំងអស់</t>
        </is>
      </c>
      <c r="J627" s="217" t="inlineStr">
        <is>
          <t>"listFormality.All": "All",</t>
        </is>
      </c>
    </row>
    <row r="628" ht="15.75" customHeight="1" s="305">
      <c r="A628" s="67" t="inlineStr">
        <is>
          <t>detailService.parameters</t>
        </is>
      </c>
      <c r="B628" s="67" t="inlineStr">
        <is>
          <t>Chọn tham số</t>
        </is>
      </c>
      <c r="C628" s="67" t="inlineStr">
        <is>
          <t>Select parameter</t>
        </is>
      </c>
      <c r="D628" s="3">
        <f>IFERROR(__xludf.DUMMYFUNCTION("GOOGLETRANSLATE(B628,""vi"",""km"")"),"ជ្រើសរើសប៉ារ៉ាម៉ែត្រ")</f>
        <v/>
      </c>
      <c r="E628" s="3" t="inlineStr">
        <is>
          <t>ជ្រើសរើសប៉ារ៉ាម៉ែត</t>
        </is>
      </c>
      <c r="F628" s="217" t="inlineStr">
        <is>
          <t>x</t>
        </is>
      </c>
      <c r="G628" s="217" t="inlineStr">
        <is>
          <t>ជ្រើសរើសប៉ារ៉ាម៉ែត</t>
        </is>
      </c>
      <c r="H628" t="inlineStr">
        <is>
          <t>ជ្រើសរើសប៉ារ៉ាម៉ែត</t>
        </is>
      </c>
      <c r="I628" s="74" t="inlineStr">
        <is>
          <t>ជ្រើសរើសប៉ារ៉ាម៉ែត្រ</t>
        </is>
      </c>
      <c r="J628" s="217" t="inlineStr">
        <is>
          <t>"detailService.parameters": "Select parameter",</t>
        </is>
      </c>
    </row>
    <row r="629" ht="15.75" customHeight="1" s="305">
      <c r="A629" s="67" t="inlineStr">
        <is>
          <t>detailService.serivce</t>
        </is>
      </c>
      <c r="B629" s="67" t="inlineStr">
        <is>
          <t>Chọn dịch vụ</t>
        </is>
      </c>
      <c r="C629" s="67" t="inlineStr">
        <is>
          <t>Select service</t>
        </is>
      </c>
      <c r="D629" s="3">
        <f>IFERROR(__xludf.DUMMYFUNCTION("GOOGLETRANSLATE(B629,""vi"",""km"")"),"ជ្រើសរើសសេវាកម្មមួយ")</f>
        <v/>
      </c>
      <c r="E629" s="3" t="inlineStr">
        <is>
          <t>ជ្រើសរើសសេវាកម្ម</t>
        </is>
      </c>
      <c r="F629" s="217" t="inlineStr">
        <is>
          <t>v</t>
        </is>
      </c>
      <c r="G629" s="217" t="inlineStr">
        <is>
          <t>ជ្រើសរើសសេវាកម្ម</t>
        </is>
      </c>
      <c r="H629" t="inlineStr">
        <is>
          <t>ជ្រើសរើសសេវាកម្ម</t>
        </is>
      </c>
      <c r="I629" s="74" t="inlineStr">
        <is>
          <t>ជ្រើសរើសសេវាកម្ម</t>
        </is>
      </c>
      <c r="J629" s="217" t="inlineStr">
        <is>
          <t>"detailService.serivce": "Select service",</t>
        </is>
      </c>
    </row>
    <row r="630" ht="15.75" customHeight="1" s="305">
      <c r="A630" s="67" t="inlineStr">
        <is>
          <t>detailService.config</t>
        </is>
      </c>
      <c r="B630" s="67" t="inlineStr">
        <is>
          <t>Cấu hình</t>
        </is>
      </c>
      <c r="C630" s="67" t="inlineStr">
        <is>
          <t>Config</t>
        </is>
      </c>
      <c r="D630" s="3">
        <f>IFERROR(__xludf.DUMMYFUNCTION("GOOGLETRANSLATE(B630,""vi"",""km"")"),"ការកំណត់រចនាសម្ព័ន្ធ")</f>
        <v/>
      </c>
      <c r="E630" s="3" t="inlineStr">
        <is>
          <t>ទម្រង់</t>
        </is>
      </c>
      <c r="F630" s="217" t="inlineStr">
        <is>
          <t>x</t>
        </is>
      </c>
      <c r="G630" s="217" t="inlineStr">
        <is>
          <t>ទម្រង់</t>
        </is>
      </c>
      <c r="H630" t="inlineStr">
        <is>
          <t>ទម្រង់</t>
        </is>
      </c>
      <c r="I630" s="74" t="inlineStr">
        <is>
          <t>ការកំណត់រចនាសម្ព័ន្ធ</t>
        </is>
      </c>
      <c r="J630" s="217" t="inlineStr">
        <is>
          <t>"detailService.config": "Config",</t>
        </is>
      </c>
    </row>
    <row r="631" ht="15.75" customHeight="1" s="305">
      <c r="A631" s="67" t="inlineStr">
        <is>
          <t>detailService.display</t>
        </is>
      </c>
      <c r="B631" s="67" t="inlineStr">
        <is>
          <t>Hiển thị</t>
        </is>
      </c>
      <c r="C631" s="67" t="inlineStr">
        <is>
          <t>Display</t>
        </is>
      </c>
      <c r="D631" s="3">
        <f>IFERROR(__xludf.DUMMYFUNCTION("GOOGLETRANSLATE(B631,""vi"",""km"")"),"ការបង្ហាញ")</f>
        <v/>
      </c>
      <c r="E631" s="3" t="inlineStr">
        <is>
          <t>ការបង្ហាញ</t>
        </is>
      </c>
      <c r="F631" s="217" t="inlineStr">
        <is>
          <t>x</t>
        </is>
      </c>
      <c r="G631" s="217" t="inlineStr">
        <is>
          <t>ការបង្ហាញ</t>
        </is>
      </c>
      <c r="H631" t="inlineStr">
        <is>
          <t>ការបង្ហាញ</t>
        </is>
      </c>
      <c r="I631" s="74" t="inlineStr">
        <is>
          <t>បង្ហាញ</t>
        </is>
      </c>
      <c r="J631" s="217" t="inlineStr">
        <is>
          <t>"detailService.display": "Display",</t>
        </is>
      </c>
    </row>
    <row r="632" ht="15.75" customHeight="1" s="305">
      <c r="A632" s="67" t="inlineStr">
        <is>
          <t>detailService.typeApplication</t>
        </is>
      </c>
      <c r="B632" s="67" t="inlineStr">
        <is>
          <t>Loại hình áp dụng</t>
        </is>
      </c>
      <c r="C632" s="67" t="inlineStr">
        <is>
          <t>Application type</t>
        </is>
      </c>
      <c r="D632" s="3">
        <f>IFERROR(__xludf.DUMMYFUNCTION("GOOGLETRANSLATE(B632,""vi"",""km"")"),"ប្រភេទនៃកម្មវិធី")</f>
        <v/>
      </c>
      <c r="E632" s="3" t="inlineStr">
        <is>
          <t>ប្រភេទនៃការអនុវត្តន៍</t>
        </is>
      </c>
      <c r="F632" s="217" t="inlineStr">
        <is>
          <t>x</t>
        </is>
      </c>
      <c r="G632" s="217" t="inlineStr">
        <is>
          <t>ប្រភេទនៃការអនុវត្តន៍</t>
        </is>
      </c>
      <c r="H632" t="inlineStr">
        <is>
          <t>ប្រភេទនៃការអនុវត្តន៍</t>
        </is>
      </c>
      <c r="I632" s="74" t="inlineStr">
        <is>
          <t>ប្រភេទនៃកម្មវិធី</t>
        </is>
      </c>
      <c r="J632" s="217" t="inlineStr">
        <is>
          <t>"detailService.typeApplication": "Application type",</t>
        </is>
      </c>
    </row>
    <row r="633" ht="15.75" customHeight="1" s="305">
      <c r="A633" s="67" t="inlineStr">
        <is>
          <t>detailService.typeParameters</t>
        </is>
      </c>
      <c r="B633" s="67" t="inlineStr">
        <is>
          <t>Loại tham số</t>
        </is>
      </c>
      <c r="C633" s="67" t="inlineStr">
        <is>
          <t>Parameter type</t>
        </is>
      </c>
      <c r="D633" s="3">
        <f>IFERROR(__xludf.DUMMYFUNCTION("GOOGLETRANSLATE(B633,""vi"",""km"")"),"ប្រភេទប៉ារ៉ាម៉ែត្រ")</f>
        <v/>
      </c>
      <c r="E633" s="3" t="inlineStr">
        <is>
          <t>ប្រភេទប៉ារ៉ាម៉ែត</t>
        </is>
      </c>
      <c r="F633" s="217" t="inlineStr">
        <is>
          <t>x</t>
        </is>
      </c>
      <c r="G633" s="217" t="inlineStr">
        <is>
          <t>ប្រភេទប៉ារ៉ាម៉ែត</t>
        </is>
      </c>
      <c r="H633" t="inlineStr">
        <is>
          <t>ប្រភេទប៉ារ៉ាម៉ែត</t>
        </is>
      </c>
      <c r="I633" s="74" t="inlineStr">
        <is>
          <t>ប្រភេទប៉ារ៉ាម៉ែត្រ</t>
        </is>
      </c>
      <c r="J633" s="217" t="inlineStr">
        <is>
          <t>"detailService.typeParameters": "Parameter type",</t>
        </is>
      </c>
    </row>
    <row r="634" ht="15.75" customHeight="1" s="305">
      <c r="A634" s="67" t="inlineStr">
        <is>
          <t>config.default</t>
        </is>
      </c>
      <c r="B634" s="67" t="inlineStr">
        <is>
          <t>Mặc định</t>
        </is>
      </c>
      <c r="C634" s="67" t="inlineStr">
        <is>
          <t>Default</t>
        </is>
      </c>
      <c r="D634" s="3">
        <f>IFERROR(__xludf.DUMMYFUNCTION("GOOGLETRANSLATE(B634,""vi"",""km"")"),"លំនាំដើម")</f>
        <v/>
      </c>
      <c r="E634" s="3" t="inlineStr">
        <is>
          <t>លំនាំដើម</t>
        </is>
      </c>
      <c r="F634" s="217" t="inlineStr">
        <is>
          <t>x</t>
        </is>
      </c>
      <c r="G634" s="217" t="inlineStr">
        <is>
          <t>លំនាំដើម</t>
        </is>
      </c>
      <c r="H634" t="inlineStr">
        <is>
          <t>លំនាំដើម</t>
        </is>
      </c>
      <c r="I634" s="74" t="inlineStr">
        <is>
          <t>លំនាំដើម</t>
        </is>
      </c>
      <c r="J634" s="217" t="inlineStr">
        <is>
          <t>"config.default": "Default",</t>
        </is>
      </c>
    </row>
    <row r="635" ht="15.75" customHeight="1" s="305">
      <c r="A635" s="67" t="inlineStr">
        <is>
          <t>config.NotDefault</t>
        </is>
      </c>
      <c r="B635" s="67" t="inlineStr">
        <is>
          <t>Không mặc định</t>
        </is>
      </c>
      <c r="C635" s="67" t="inlineStr">
        <is>
          <t>Not default</t>
        </is>
      </c>
      <c r="D635" s="3">
        <f>IFERROR(__xludf.DUMMYFUNCTION("GOOGLETRANSLATE(B635,""vi"",""km"")"),"មិនមែនជាលំនាំដើមទេ")</f>
        <v/>
      </c>
      <c r="E635" s="3" t="inlineStr">
        <is>
          <t>មិនមានជាស្រេច</t>
        </is>
      </c>
      <c r="F635" s="217" t="inlineStr">
        <is>
          <t>x</t>
        </is>
      </c>
      <c r="G635" s="217" t="inlineStr">
        <is>
          <t>មិនកំណត់ជាលំនាំដើម</t>
        </is>
      </c>
      <c r="H635" t="inlineStr">
        <is>
          <t>មិនកំណត់ជាលំនាំដើម</t>
        </is>
      </c>
      <c r="I635" s="74" t="inlineStr">
        <is>
          <t>មិនតាមលំនាំដើម</t>
        </is>
      </c>
      <c r="J635" s="217" t="inlineStr">
        <is>
          <t>"config.NotDefault": "Not default",</t>
        </is>
      </c>
    </row>
    <row r="636" ht="15.75" customHeight="1" s="305">
      <c r="A636" s="67" t="inlineStr">
        <is>
          <t>display.display</t>
        </is>
      </c>
      <c r="B636" s="67" t="inlineStr">
        <is>
          <t>Hiển thị</t>
        </is>
      </c>
      <c r="C636" s="67" t="inlineStr">
        <is>
          <t>Display</t>
        </is>
      </c>
      <c r="D636" s="3">
        <f>IFERROR(__xludf.DUMMYFUNCTION("GOOGLETRANSLATE(B636,""vi"",""km"")"),"ការបង្ហាញ")</f>
        <v/>
      </c>
      <c r="E636" s="3" t="inlineStr">
        <is>
          <t>ការបង្ហាញ</t>
        </is>
      </c>
      <c r="F636" s="217" t="inlineStr">
        <is>
          <t>x</t>
        </is>
      </c>
      <c r="G636" s="217" t="inlineStr">
        <is>
          <t>ការបង្ហាញ</t>
        </is>
      </c>
      <c r="H636" t="inlineStr">
        <is>
          <t>ការបង្ហាញ</t>
        </is>
      </c>
      <c r="I636" s="74" t="inlineStr">
        <is>
          <t>បង្ហាញ</t>
        </is>
      </c>
      <c r="J636" s="217" t="inlineStr">
        <is>
          <t>"display.display": "Display",</t>
        </is>
      </c>
    </row>
    <row r="637" ht="15.75" customHeight="1" s="305">
      <c r="A637" s="67" t="inlineStr">
        <is>
          <t>display.none</t>
        </is>
      </c>
      <c r="B637" s="67" t="inlineStr">
        <is>
          <t>Không hiển thị</t>
        </is>
      </c>
      <c r="C637" s="67" t="inlineStr">
        <is>
          <t>None</t>
        </is>
      </c>
      <c r="D637" s="3">
        <f>IFERROR(__xludf.DUMMYFUNCTION("GOOGLETRANSLATE(B637,""vi"",""km"")"),"មិនត្រូវបានបង្ហាញទេ")</f>
        <v/>
      </c>
      <c r="E637" s="3" t="inlineStr">
        <is>
          <t>មិនមានការបង្ហាញ</t>
        </is>
      </c>
      <c r="F637" s="217" t="inlineStr">
        <is>
          <t>x</t>
        </is>
      </c>
      <c r="G637" s="217" t="inlineStr">
        <is>
          <t>មិនមានការបង្ហាញ</t>
        </is>
      </c>
      <c r="H637" t="inlineStr">
        <is>
          <t>មិនមានការបង្ហាញ</t>
        </is>
      </c>
      <c r="I637" s="74" t="inlineStr">
        <is>
          <t>គ្មាន</t>
        </is>
      </c>
      <c r="J637" s="217" t="inlineStr">
        <is>
          <t>"display.none": "None",</t>
        </is>
      </c>
    </row>
    <row r="638" ht="15.75" customHeight="1" s="305">
      <c r="A638" s="67" t="inlineStr">
        <is>
          <t>typeApplication.none</t>
        </is>
      </c>
      <c r="B638" s="67" t="inlineStr">
        <is>
          <t>Không chọn</t>
        </is>
      </c>
      <c r="C638" s="67" t="inlineStr">
        <is>
          <t>None</t>
        </is>
      </c>
      <c r="D638" s="3">
        <f>IFERROR(__xludf.DUMMYFUNCTION("GOOGLETRANSLATE(B638,""vi"",""km"")"),"កុំជ្រើសរើស")</f>
        <v/>
      </c>
      <c r="E638" s="3" t="inlineStr">
        <is>
          <t>មិនជ្រើសរើស</t>
        </is>
      </c>
      <c r="F638" s="217" t="inlineStr">
        <is>
          <t>v</t>
        </is>
      </c>
      <c r="G638" s="217" t="inlineStr">
        <is>
          <t>មិនជ្រើសរើស</t>
        </is>
      </c>
      <c r="H638" t="inlineStr">
        <is>
          <t>មិនជ្រើសរើស</t>
        </is>
      </c>
      <c r="I638" s="74" t="inlineStr">
        <is>
          <t>គ្មាន</t>
        </is>
      </c>
      <c r="J638" s="217" t="inlineStr">
        <is>
          <t>"typeApplication.none": "None",</t>
        </is>
      </c>
    </row>
    <row r="639" ht="15.75" customHeight="1" s="305">
      <c r="A639" s="67" t="inlineStr">
        <is>
          <t>typeApplication.default</t>
        </is>
      </c>
      <c r="B639" s="67" t="inlineStr">
        <is>
          <t>Mặc định chọn</t>
        </is>
      </c>
      <c r="C639" s="67" t="inlineStr">
        <is>
          <t>Default</t>
        </is>
      </c>
      <c r="D639" s="3">
        <f>IFERROR(__xludf.DUMMYFUNCTION("GOOGLETRANSLATE(B639,""vi"",""km"")"),"ការជ្រើសរើសលំនាំដើម")</f>
        <v/>
      </c>
      <c r="E639" s="3" t="inlineStr">
        <is>
          <t>ត្រូវជ្រើសរើសជាលំនាំដើម</t>
        </is>
      </c>
      <c r="F639" s="217" t="inlineStr">
        <is>
          <t>x</t>
        </is>
      </c>
      <c r="G639" s="217" t="inlineStr">
        <is>
          <t>ជ្រើសរើសជាលំនាំដើម</t>
        </is>
      </c>
      <c r="H639" t="inlineStr">
        <is>
          <t>ជ្រើសរើសជាលំនាំដើម</t>
        </is>
      </c>
      <c r="I639" s="74" t="inlineStr">
        <is>
          <t>លំនាំដើម</t>
        </is>
      </c>
      <c r="J639" s="217" t="inlineStr">
        <is>
          <t>"typeApplication.default": "Default",</t>
        </is>
      </c>
    </row>
    <row r="640" ht="15.75" customHeight="1" s="305">
      <c r="A640" s="67" t="inlineStr">
        <is>
          <t>listZoneType.All</t>
        </is>
      </c>
      <c r="B640" s="67" t="inlineStr">
        <is>
          <t>Tất cả</t>
        </is>
      </c>
      <c r="C640" s="67" t="inlineStr">
        <is>
          <t>All</t>
        </is>
      </c>
      <c r="D640" s="3">
        <f>IFERROR(__xludf.DUMMYFUNCTION("GOOGLETRANSLATE(B640,""vi"",""km"")"),"ទាំងអស់")</f>
        <v/>
      </c>
      <c r="E640" s="3" t="inlineStr">
        <is>
          <t>ទាំងអស់</t>
        </is>
      </c>
      <c r="F640" s="217" t="inlineStr">
        <is>
          <t>v</t>
        </is>
      </c>
      <c r="G640" s="217" t="inlineStr">
        <is>
          <t>ទាំងអស់</t>
        </is>
      </c>
      <c r="H640" t="inlineStr">
        <is>
          <t>ទាំងអស់</t>
        </is>
      </c>
      <c r="I640" s="74" t="inlineStr">
        <is>
          <t>ទាំងអស់</t>
        </is>
      </c>
      <c r="J640" s="217" t="inlineStr">
        <is>
          <t>"listZoneType.All": "All",</t>
        </is>
      </c>
    </row>
    <row r="641" ht="15.75" customHeight="1" s="305">
      <c r="A641" s="67" t="inlineStr">
        <is>
          <t>listZoneType.priceListCalculation</t>
        </is>
      </c>
      <c r="B641" s="67" t="inlineStr">
        <is>
          <t>Yêu cầu bảng giá</t>
        </is>
      </c>
      <c r="C641" s="67" t="inlineStr">
        <is>
          <t>Price list requirement</t>
        </is>
      </c>
      <c r="D641" s="3">
        <f>IFERROR(__xludf.DUMMYFUNCTION("GOOGLETRANSLATE(B641,""vi"",""km"")"),"ស្នើសុំបញ្ជីតម្លៃ")</f>
        <v/>
      </c>
      <c r="E641" s="3" t="inlineStr">
        <is>
          <t>ស្នើសុំតារាងតម្លៃ</t>
        </is>
      </c>
      <c r="F641" s="217" t="inlineStr">
        <is>
          <t>v</t>
        </is>
      </c>
      <c r="G641" s="217" t="inlineStr">
        <is>
          <t>ស្នើសុំតារាងតម្លៃ</t>
        </is>
      </c>
      <c r="H641" t="inlineStr">
        <is>
          <t>ស្នើសុំតារាងតម្លៃ</t>
        </is>
      </c>
      <c r="I641" s="74" t="inlineStr">
        <is>
          <t>ស្នើរសុំតារាងតម្លៃ</t>
        </is>
      </c>
      <c r="J641" s="217" t="inlineStr">
        <is>
          <t>"listZoneType.priceListCalculation": "Price list requirement",</t>
        </is>
      </c>
    </row>
    <row r="642" ht="15.75" customHeight="1" s="305">
      <c r="A642" s="67" t="inlineStr">
        <is>
          <t>serviceGroup.createGroup</t>
        </is>
      </c>
      <c r="B642" s="67" t="inlineStr">
        <is>
          <t>Thêm mới nhóm dịch vụ</t>
        </is>
      </c>
      <c r="C642" s="67" t="inlineStr">
        <is>
          <t>Create service group</t>
        </is>
      </c>
      <c r="D642" s="3">
        <f>IFERROR(__xludf.DUMMYFUNCTION("GOOGLETRANSLATE(B642,""vi"",""km"")"),"បន្ថែមក្រុមសេវាកម្មថ្មី។")</f>
        <v/>
      </c>
      <c r="E642" s="3" t="inlineStr">
        <is>
          <t>បន្ថែមគ្រុបសេវាកម្មថ្មី</t>
        </is>
      </c>
      <c r="F642" s="217" t="inlineStr">
        <is>
          <t>v</t>
        </is>
      </c>
      <c r="G642" s="217" t="inlineStr">
        <is>
          <t>បន្ថែមគ្រុបសេវាកម្មថ្មី</t>
        </is>
      </c>
      <c r="H642" t="inlineStr">
        <is>
          <t>បន្ថែមគ្រុបសេវាកម្មថ្មី</t>
        </is>
      </c>
      <c r="I642" s="74" t="inlineStr">
        <is>
          <t>បន្ថែមក្រុមសេវាកម្ម</t>
        </is>
      </c>
      <c r="J642" s="217" t="inlineStr">
        <is>
          <t>"serviceGroup.createGroup": "Create service group",</t>
        </is>
      </c>
    </row>
    <row r="643" ht="15.75" customHeight="1" s="305">
      <c r="A643" s="67" t="inlineStr">
        <is>
          <t>serviceGroup.groupName</t>
        </is>
      </c>
      <c r="B643" s="67" t="inlineStr">
        <is>
          <t>Tên nhóm dịch vụ</t>
        </is>
      </c>
      <c r="C643" s="67" t="inlineStr">
        <is>
          <t>Service group name</t>
        </is>
      </c>
      <c r="D643" s="3">
        <f>IFERROR(__xludf.DUMMYFUNCTION("GOOGLETRANSLATE(B643,""vi"",""km"")"),"ឈ្មោះក្រុមសេវាកម្ម")</f>
        <v/>
      </c>
      <c r="E643" s="3" t="inlineStr">
        <is>
          <t>ឈ្មោះក្រុមសេវាកម្ម</t>
        </is>
      </c>
      <c r="F643" s="217" t="inlineStr">
        <is>
          <t>v</t>
        </is>
      </c>
      <c r="G643" s="217" t="inlineStr">
        <is>
          <t>ឈ្មោះក្រុមសេវាកម្ម</t>
        </is>
      </c>
      <c r="H643" t="inlineStr">
        <is>
          <t>ឈ្មោះក្រុមសេវាកម្ម</t>
        </is>
      </c>
      <c r="I643" s="74" t="inlineStr">
        <is>
          <t>ឈ្មោះក្រុមសេវាកម្ម</t>
        </is>
      </c>
      <c r="J643" s="217" t="inlineStr">
        <is>
          <t>"serviceGroup.groupName": "Service group name",</t>
        </is>
      </c>
    </row>
    <row r="644" ht="15.75" customHeight="1" s="305">
      <c r="A644" s="67" t="inlineStr">
        <is>
          <t>serviceGroup.listService</t>
        </is>
      </c>
      <c r="B644" s="67" t="inlineStr">
        <is>
          <t>Danh sách dịch vụ</t>
        </is>
      </c>
      <c r="C644" s="67" t="inlineStr">
        <is>
          <t>Service list</t>
        </is>
      </c>
      <c r="D644" s="3">
        <f>IFERROR(__xludf.DUMMYFUNCTION("GOOGLETRANSLATE(B644,""vi"",""km"")"),"បញ្ជីសេវាកម្ម")</f>
        <v/>
      </c>
      <c r="E644" s="3" t="inlineStr">
        <is>
          <t>បញ្ជីសេវាកម្ម</t>
        </is>
      </c>
      <c r="F644" s="217" t="inlineStr">
        <is>
          <t>v</t>
        </is>
      </c>
      <c r="G644" s="217" t="inlineStr">
        <is>
          <t>បញ្ជីសេវាកម្ម</t>
        </is>
      </c>
      <c r="H644" t="inlineStr">
        <is>
          <t>បញ្ជីសេវាកម្ម</t>
        </is>
      </c>
      <c r="I644" s="74" t="inlineStr">
        <is>
          <t>តារាងសេវាកម្ម</t>
        </is>
      </c>
      <c r="J644" s="217" t="inlineStr">
        <is>
          <t>"serviceGroup.listService": "Service list",</t>
        </is>
      </c>
    </row>
    <row r="645" ht="15.75" customHeight="1" s="305">
      <c r="A645" s="67" t="inlineStr">
        <is>
          <t>serviceGroup.informationServiceGroup</t>
        </is>
      </c>
      <c r="B645" s="67" t="inlineStr">
        <is>
          <t>Thông tin nhóm dịch vụ</t>
        </is>
      </c>
      <c r="C645" s="67" t="inlineStr">
        <is>
          <t>Service group information</t>
        </is>
      </c>
      <c r="D645" s="3">
        <f>IFERROR(__xludf.DUMMYFUNCTION("GOOGLETRANSLATE(B645,""vi"",""km"")"),"ព័ត៌មានក្រុមសេវាកម្ម")</f>
        <v/>
      </c>
      <c r="E645" s="3" t="inlineStr">
        <is>
          <t>ព័ត៌មានក្រុមសេវាកម្ម</t>
        </is>
      </c>
      <c r="F645" s="217" t="inlineStr">
        <is>
          <t>v</t>
        </is>
      </c>
      <c r="G645" s="217" t="inlineStr">
        <is>
          <t>ព័ត៌មានក្រុមសេវាកម្ម</t>
        </is>
      </c>
      <c r="H645" t="inlineStr">
        <is>
          <t>ព័ត៌មានក្រុមសេវាកម្ម</t>
        </is>
      </c>
      <c r="I645" s="74" t="inlineStr">
        <is>
          <t>ព័ត៌មានក្រុមសេវាកម្ម</t>
        </is>
      </c>
      <c r="J645" s="217" t="inlineStr">
        <is>
          <t>"serviceGroup.informationServiceGroup": "Service group information",</t>
        </is>
      </c>
    </row>
    <row r="646" ht="15.75" customHeight="1" s="305">
      <c r="A646" s="67" t="inlineStr">
        <is>
          <t>serviceGroup.nameServiceGroup</t>
        </is>
      </c>
      <c r="B646" s="67" t="inlineStr">
        <is>
          <t>Tên nhóm dịch vụ</t>
        </is>
      </c>
      <c r="C646" s="67" t="inlineStr">
        <is>
          <t>Service group name</t>
        </is>
      </c>
      <c r="D646" s="3">
        <f>IFERROR(__xludf.DUMMYFUNCTION("GOOGLETRANSLATE(B646,""vi"",""km"")"),"ឈ្មោះក្រុមសេវាកម្ម")</f>
        <v/>
      </c>
      <c r="E646" s="3" t="inlineStr">
        <is>
          <t>ឈ្មោះក្រុមសេវាកម្ម</t>
        </is>
      </c>
      <c r="F646" s="217" t="inlineStr">
        <is>
          <t>v</t>
        </is>
      </c>
      <c r="G646" s="217" t="inlineStr">
        <is>
          <t>ឈ្មោះក្រុមសេវាកម្ម</t>
        </is>
      </c>
      <c r="H646" t="inlineStr">
        <is>
          <t>ឈ្មោះក្រុមសេវាកម្ម</t>
        </is>
      </c>
      <c r="I646" s="74" t="inlineStr">
        <is>
          <t>ឈ្មោះក្រុមសេវាកម្ម</t>
        </is>
      </c>
      <c r="J646" s="217" t="inlineStr">
        <is>
          <t>"serviceGroup.nameServiceGroup": "Service group name",</t>
        </is>
      </c>
    </row>
    <row r="647" ht="15.75" customHeight="1" s="305">
      <c r="A647" s="67" t="inlineStr">
        <is>
          <t>serviceGroup.listServiceAssignGroup</t>
        </is>
      </c>
      <c r="B647" s="67" t="inlineStr">
        <is>
          <t>Danh sách dịch vụ gán cho loại bảng giá</t>
        </is>
      </c>
      <c r="C647" s="67" t="inlineStr">
        <is>
          <t>Service list assign pricing table</t>
        </is>
      </c>
      <c r="D647" s="3">
        <f>IFERROR(__xludf.DUMMYFUNCTION("GOOGLETRANSLATE(B647,""vi"",""km"")"),"បញ្ជីសេវាកម្មដែលបានកំណត់ទៅប្រភេទបញ្ជីតម្លៃ")</f>
        <v/>
      </c>
      <c r="E647" s="3" t="inlineStr">
        <is>
          <t>បញ្ជីសេវាកម្មដែលភ្ជាប់ឲ្យតាមប្រភេទតារាងតម្លៃ</t>
        </is>
      </c>
      <c r="F647" s="217" t="inlineStr">
        <is>
          <t>x</t>
        </is>
      </c>
      <c r="G647" s="217" t="inlineStr">
        <is>
          <t>បញ្ជីសេវាកម្មដែលភ្ជាប់ឲ្យតាមប្រភេទតារាងតម្លៃ</t>
        </is>
      </c>
      <c r="H647" t="inlineStr">
        <is>
          <t>បញ្ជីសេវាកម្មដែលភ្ជាប់ឲ្យតាមប្រភេទតារាងតម្លៃ</t>
        </is>
      </c>
      <c r="I647" s="74" t="inlineStr">
        <is>
          <t>បញ្ជីសេវាកម្មដែលបានកំណត់ទៅប្រភេទបញ្ជីតម្លៃ</t>
        </is>
      </c>
      <c r="J647" s="217" t="inlineStr">
        <is>
          <t>"serviceGroup.listServiceAssignGroup": "Service list assign pricing table",</t>
        </is>
      </c>
    </row>
    <row r="648" ht="15.75" customHeight="1" s="305">
      <c r="A648" s="67" t="inlineStr">
        <is>
          <t>listServiceAssign.notSelected</t>
        </is>
      </c>
      <c r="B648" s="67" t="inlineStr">
        <is>
          <t>Danh sách chưa chọn</t>
        </is>
      </c>
      <c r="C648" s="67" t="inlineStr">
        <is>
          <t>none selected service list</t>
        </is>
      </c>
      <c r="D648" s="3">
        <f>IFERROR(__xludf.DUMMYFUNCTION("GOOGLETRANSLATE(B648,""vi"",""km"")"),"បញ្ជីដែលមិនបានជ្រើសរើស")</f>
        <v/>
      </c>
      <c r="E648" s="3" t="inlineStr">
        <is>
          <t>បញ្ជីមិនទាន់បានជ្រើសរើស</t>
        </is>
      </c>
      <c r="F648" s="217" t="inlineStr">
        <is>
          <t>v</t>
        </is>
      </c>
      <c r="G648" s="217" t="inlineStr">
        <is>
          <t>បញ្ជីមិនទាន់បានជ្រើសរើស</t>
        </is>
      </c>
      <c r="H648" t="inlineStr">
        <is>
          <t>បញ្ជីមិនទាន់បានជ្រើសរើស</t>
        </is>
      </c>
      <c r="I648" s="74" t="inlineStr">
        <is>
          <t>បញ្ជីដែលមិនបានជ្រើសរើស</t>
        </is>
      </c>
      <c r="J648" s="217" t="inlineStr">
        <is>
          <t>"listServiceAssign.notSelected": "none selected service list",</t>
        </is>
      </c>
    </row>
    <row r="649" ht="15.75" customHeight="1" s="305">
      <c r="A649" s="67" t="inlineStr">
        <is>
          <t>listServiceAssign.selected</t>
        </is>
      </c>
      <c r="B649" s="67" t="inlineStr">
        <is>
          <t>Danh sách đã chọn</t>
        </is>
      </c>
      <c r="C649" s="67" t="inlineStr">
        <is>
          <t>selected service list</t>
        </is>
      </c>
      <c r="D649" s="3">
        <f>IFERROR(__xludf.DUMMYFUNCTION("GOOGLETRANSLATE(B649,""vi"",""km"")"),"បញ្ជីដែលបានជ្រើសរើស")</f>
        <v/>
      </c>
      <c r="E649" s="3" t="inlineStr">
        <is>
          <t>បញ្ជីបានជ្រើសរើស</t>
        </is>
      </c>
      <c r="F649" s="217" t="inlineStr">
        <is>
          <t>v</t>
        </is>
      </c>
      <c r="G649" s="217" t="inlineStr">
        <is>
          <t>បញ្ជីបានជ្រើសរើស</t>
        </is>
      </c>
      <c r="H649" t="inlineStr">
        <is>
          <t>បញ្ជីបានជ្រើសរើស</t>
        </is>
      </c>
      <c r="I649" s="74" t="inlineStr">
        <is>
          <t>បញ្ជីដែលបានជ្រើសរើស</t>
        </is>
      </c>
      <c r="J649" s="217" t="inlineStr">
        <is>
          <t>"listServiceAssign.selected": "selected service list",</t>
        </is>
      </c>
    </row>
    <row r="650" ht="15.75" customHeight="1" s="305">
      <c r="A650" s="67" t="inlineStr">
        <is>
          <t>listServiceAssign.searchKeyword</t>
        </is>
      </c>
      <c r="B650" s="67" t="inlineStr">
        <is>
          <t>Nhập từ khóa tìm kiếm</t>
        </is>
      </c>
      <c r="C650" s="67" t="inlineStr">
        <is>
          <t>enter keyword</t>
        </is>
      </c>
      <c r="D650" s="3">
        <f>IFERROR(__xludf.DUMMYFUNCTION("GOOGLETRANSLATE(B650,""vi"",""km"")"),"បញ្ចូលពាក្យគន្លឹះស្វែងរក")</f>
        <v/>
      </c>
      <c r="E650" s="3" t="inlineStr">
        <is>
          <t>បញ្ចូលពាក្យគន្លឹះស្វែងរក</t>
        </is>
      </c>
      <c r="F650" s="217" t="inlineStr">
        <is>
          <t>v</t>
        </is>
      </c>
      <c r="G650" s="217" t="inlineStr">
        <is>
          <t>បញ្ចូលពាក្យគន្លឹះស្វែងរក</t>
        </is>
      </c>
      <c r="H650" t="inlineStr">
        <is>
          <t>បញ្ចូលពាក្យគន្លឹះស្វែងរក</t>
        </is>
      </c>
      <c r="I650" s="74" t="inlineStr">
        <is>
          <t>បញ្ចូលពាក្យគន្លឹះស្វែងរក</t>
        </is>
      </c>
      <c r="J650" s="217" t="inlineStr">
        <is>
          <t>"listServiceAssign.searchKeyword": "enter keyword",</t>
        </is>
      </c>
    </row>
    <row r="651" ht="15.75" customHeight="1" s="305">
      <c r="A651" s="67" t="inlineStr">
        <is>
          <t>listServiceAssign.searchKeywordPlaceholder</t>
        </is>
      </c>
      <c r="B651" s="67" t="inlineStr">
        <is>
          <t>Nhập mã hoặc tên dịch vụ tìm kiếm</t>
        </is>
      </c>
      <c r="C651" s="67" t="inlineStr">
        <is>
          <t>Enter service name or ID</t>
        </is>
      </c>
      <c r="D651" s="3">
        <f>IFERROR(__xludf.DUMMYFUNCTION("GOOGLETRANSLATE(B651,""vi"",""km"")"),"បញ្ចូលលេខកូដ ឬឈ្មោះរបស់សេវាកម្មស្វែងរក។")</f>
        <v/>
      </c>
      <c r="E651" s="3" t="inlineStr">
        <is>
          <t>បញ្ជូលលេខកូដឈ្មោះសេវាកម្មស្វែងរក</t>
        </is>
      </c>
      <c r="F651" s="217" t="inlineStr">
        <is>
          <t>x</t>
        </is>
      </c>
      <c r="G651" s="217" t="inlineStr">
        <is>
          <t>បញ្ជូលលេខកូដឈ្មោះសេវាកម្មស្វែងរក</t>
        </is>
      </c>
      <c r="H651" t="inlineStr">
        <is>
          <t>បញ្ជូលលេខកូដឈ្មោះសេវាកម្មស្វែងរក</t>
        </is>
      </c>
      <c r="I651" s="74" t="inlineStr">
        <is>
          <t>បញ្ចូលលេខកូដ ឬឈ្មោះសេវាកម្មស្វែងរក</t>
        </is>
      </c>
      <c r="J651" s="217" t="inlineStr">
        <is>
          <t>"listServiceAssign.searchKeywordPlaceholder": "Enter service name or ID",</t>
        </is>
      </c>
    </row>
    <row r="652" ht="15.75" customHeight="1" s="305">
      <c r="A652" s="67" t="inlineStr">
        <is>
          <t>modifyPriceZone.createZone</t>
        </is>
      </c>
      <c r="B652" s="67" t="inlineStr">
        <is>
          <t>Thêm mới zone</t>
        </is>
      </c>
      <c r="C652" s="67" t="inlineStr">
        <is>
          <t>Add new zone</t>
        </is>
      </c>
      <c r="D652" s="3">
        <f>IFERROR(__xludf.DUMMYFUNCTION("GOOGLETRANSLATE(B652,""vi"",""km"")"),"បន្ថែមតំបន់ថ្មី")</f>
        <v/>
      </c>
      <c r="E652" s="3" t="inlineStr">
        <is>
          <t>បន្ថែមតំបន់ថ្មី</t>
        </is>
      </c>
      <c r="F652" s="217" t="inlineStr">
        <is>
          <t>x</t>
        </is>
      </c>
      <c r="G652" s="217" t="inlineStr">
        <is>
          <t>បន្ថែមតំបន់ថ្មី</t>
        </is>
      </c>
      <c r="H652" t="inlineStr">
        <is>
          <t>បន្ថែមតំបន់ថ្មី</t>
        </is>
      </c>
      <c r="I652" s="74" t="inlineStr">
        <is>
          <t>បន្ថែមតំបន់ថ្មី</t>
        </is>
      </c>
      <c r="J652" s="217" t="inlineStr">
        <is>
          <t>"modifyPriceZone.createZone": "Add new zone",</t>
        </is>
      </c>
    </row>
    <row r="653" ht="15.75" customHeight="1" s="305">
      <c r="A653" s="67" t="inlineStr">
        <is>
          <t>modifyPriceZone.exportExcel</t>
        </is>
      </c>
      <c r="B653" s="67" t="inlineStr">
        <is>
          <t>Xuất Excel</t>
        </is>
      </c>
      <c r="C653" s="67" t="inlineStr">
        <is>
          <t>Export Excel/ Export (.xlxs)</t>
        </is>
      </c>
      <c r="D653" s="3">
        <f>IFERROR(__xludf.DUMMYFUNCTION("GOOGLETRANSLATE(B653,""vi"",""km"")"),"នាំចេញទៅ Excel")</f>
        <v/>
      </c>
      <c r="E653" s="3" t="inlineStr">
        <is>
          <t>ចេញទៅ Excel</t>
        </is>
      </c>
      <c r="F653" s="217" t="inlineStr">
        <is>
          <t>v</t>
        </is>
      </c>
      <c r="G653" s="217" t="inlineStr">
        <is>
          <t>ចេញទៅ Excel</t>
        </is>
      </c>
      <c r="H653" t="inlineStr">
        <is>
          <t>ចេញទៅ Excel</t>
        </is>
      </c>
      <c r="I653" s="74" t="inlineStr">
        <is>
          <t>បញ្ចេញជាExcel</t>
        </is>
      </c>
      <c r="J653" s="217" t="inlineStr">
        <is>
          <t>"modifyPriceZone.exportExcel": "Export Excel/ Export (.xlxs)",</t>
        </is>
      </c>
    </row>
    <row r="654" ht="15.75" customHeight="1" s="305">
      <c r="A654" s="67" t="inlineStr">
        <is>
          <t>modifyPriceZone.deliveryZone</t>
        </is>
      </c>
      <c r="B654" s="67" t="inlineStr">
        <is>
          <t>Vùng đi</t>
        </is>
      </c>
      <c r="C654" s="67" t="n"/>
      <c r="D654" s="3">
        <f>IFERROR(__xludf.DUMMYFUNCTION("GOOGLETRANSLATE(B654,""vi"",""km"")"),"តំបន់ធ្វើដំណើរ")</f>
        <v/>
      </c>
      <c r="E654" s="3" t="inlineStr">
        <is>
          <t>តំបន់ទៅ</t>
        </is>
      </c>
      <c r="F654" s="217" t="inlineStr">
        <is>
          <t>v</t>
        </is>
      </c>
      <c r="G654" s="217" t="inlineStr">
        <is>
          <t>តំបន់ទៅ</t>
        </is>
      </c>
      <c r="H654" t="inlineStr">
        <is>
          <t>តំបន់ទៅ</t>
        </is>
      </c>
      <c r="I654" s="74" t="inlineStr">
        <is>
          <t>តំបន់ផ្ញើ</t>
        </is>
      </c>
      <c r="J654" s="217" t="inlineStr">
        <is>
          <t>"modifyPriceZone.deliveryZone": "",</t>
        </is>
      </c>
    </row>
    <row r="655" ht="15.75" customHeight="1" s="305">
      <c r="A655" s="67" t="inlineStr">
        <is>
          <t>modifyPriceZone.receivingZone</t>
        </is>
      </c>
      <c r="B655" s="67" t="inlineStr">
        <is>
          <t>Vùng đến</t>
        </is>
      </c>
      <c r="C655" s="67" t="n"/>
      <c r="D655" s="3">
        <f>IFERROR(__xludf.DUMMYFUNCTION("GOOGLETRANSLATE(B655,""vi"",""km"")"),"តំបន់គោលដៅ")</f>
        <v/>
      </c>
      <c r="E655" s="3" t="inlineStr">
        <is>
          <t>តំបន់មកដល់</t>
        </is>
      </c>
      <c r="F655" s="217" t="inlineStr">
        <is>
          <t>v</t>
        </is>
      </c>
      <c r="G655" s="217" t="inlineStr">
        <is>
          <t>តំបន់មកដល់</t>
        </is>
      </c>
      <c r="H655" t="inlineStr">
        <is>
          <t>តំបន់មកដល់</t>
        </is>
      </c>
      <c r="I655" s="74" t="inlineStr">
        <is>
          <t>តំបន់ទទួល</t>
        </is>
      </c>
      <c r="J655" s="217" t="inlineStr">
        <is>
          <t>"modifyPriceZone.receivingZone": "",</t>
        </is>
      </c>
    </row>
    <row r="656" ht="15.75" customHeight="1" s="305">
      <c r="A656" s="67" t="inlineStr">
        <is>
          <t>modifyPriceZone.configZone</t>
        </is>
      </c>
      <c r="B656" s="67" t="inlineStr">
        <is>
          <t>Cấu hình zone</t>
        </is>
      </c>
      <c r="C656" s="67" t="inlineStr">
        <is>
          <t>Zone config</t>
        </is>
      </c>
      <c r="D656" s="3">
        <f>IFERROR(__xludf.DUMMYFUNCTION("GOOGLETRANSLATE(B656,""vi"",""km"")"),"ការកំណត់រចនាសម្ព័ន្ធតំបន់")</f>
        <v/>
      </c>
      <c r="E656" s="3" t="inlineStr">
        <is>
          <t>រចនាសម្ព័ន្ធតំបន់</t>
        </is>
      </c>
      <c r="F656" s="217" t="inlineStr">
        <is>
          <t>x</t>
        </is>
      </c>
      <c r="G656" s="217" t="inlineStr">
        <is>
          <t>រចនាសម្ព័ន្ធតំបន់</t>
        </is>
      </c>
      <c r="H656" t="inlineStr">
        <is>
          <t>រចនាសម្ព័ន្ធតំបន់</t>
        </is>
      </c>
      <c r="I656" s="84" t="inlineStr">
        <is>
          <t>ការកំណត់តំបន់</t>
        </is>
      </c>
      <c r="J656" s="217" t="inlineStr">
        <is>
          <t>"modifyPriceZone.configZone": "Zone config",</t>
        </is>
      </c>
    </row>
    <row r="657" ht="15.75" customHeight="1" s="305">
      <c r="A657" s="67" t="inlineStr">
        <is>
          <t>modifyPriceZone.ListZoneData</t>
        </is>
      </c>
      <c r="B657" s="67" t="inlineStr">
        <is>
          <t>Danh sách chi tiết cấu hình zone</t>
        </is>
      </c>
      <c r="C657" s="67" t="inlineStr">
        <is>
          <t>Detail List of Zone data</t>
        </is>
      </c>
      <c r="D657" s="3">
        <f>IFERROR(__xludf.DUMMYFUNCTION("GOOGLETRANSLATE(B657,""vi"",""km"")"),"បញ្ជីលម្អិតនៃការកំណត់រចនាសម្ព័ន្ធតំបន់")</f>
        <v/>
      </c>
      <c r="E657" s="3" t="inlineStr">
        <is>
          <t>បញ្ជីលម្អិតពីរចនាសម្ព័ន្ធតំបន់</t>
        </is>
      </c>
      <c r="F657" s="217" t="inlineStr">
        <is>
          <t>x</t>
        </is>
      </c>
      <c r="G657" s="217" t="inlineStr">
        <is>
          <t>បញ្ជីលម្អិតពីរចនាសម្ព័ន្ធតំបន់</t>
        </is>
      </c>
      <c r="H657" t="inlineStr">
        <is>
          <t>បញ្ជីលម្អិតពីរចនាសម្ព័ន្ធតំបន់</t>
        </is>
      </c>
      <c r="I657" s="74" t="inlineStr">
        <is>
          <t>បញ្ជីលម្អិតនៃការកំណត់រចនាសម្ព័ន្ធតំបន់</t>
        </is>
      </c>
      <c r="J657" s="217" t="inlineStr">
        <is>
          <t>"modifyPriceZone.ListZoneData": "Detail List of Zone data",</t>
        </is>
      </c>
    </row>
    <row r="658" ht="15.75" customHeight="1" s="305">
      <c r="A658" s="67" t="inlineStr">
        <is>
          <t>pricezone.id</t>
        </is>
      </c>
      <c r="B658" s="67" t="inlineStr">
        <is>
          <t>ID</t>
        </is>
      </c>
      <c r="C658" s="67" t="inlineStr">
        <is>
          <t>ID</t>
        </is>
      </c>
      <c r="D658" s="3">
        <f>IFERROR(__xludf.DUMMYFUNCTION("GOOGLETRANSLATE(B658,""vi"",""km"")"),"អត្តសញ្ញាណ")</f>
        <v/>
      </c>
      <c r="E658" s="67" t="inlineStr">
        <is>
          <t>ID</t>
        </is>
      </c>
      <c r="F658" s="217" t="inlineStr">
        <is>
          <t>v</t>
        </is>
      </c>
      <c r="G658" s="217" t="inlineStr">
        <is>
          <t>លេខសម្គាល់ (ID)</t>
        </is>
      </c>
      <c r="H658" t="inlineStr">
        <is>
          <t>លេខសម្គាល់ (ID)</t>
        </is>
      </c>
      <c r="I658" s="74" t="inlineStr">
        <is>
          <t>ID</t>
        </is>
      </c>
      <c r="J658" s="217" t="inlineStr">
        <is>
          <t>"pricezone.id": "ID",</t>
        </is>
      </c>
    </row>
    <row r="659" ht="15.75" customHeight="1" s="305">
      <c r="A659" s="67" t="inlineStr">
        <is>
          <t>pricezone.zoneName</t>
        </is>
      </c>
      <c r="B659" s="67" t="inlineStr">
        <is>
          <t>Tên zone</t>
        </is>
      </c>
      <c r="C659" s="67" t="inlineStr">
        <is>
          <t>Zone name</t>
        </is>
      </c>
      <c r="D659" s="3">
        <f>IFERROR(__xludf.DUMMYFUNCTION("GOOGLETRANSLATE(B659,""vi"",""km"")"),"ឈ្មោះតំបន់")</f>
        <v/>
      </c>
      <c r="E659" s="3" t="inlineStr">
        <is>
          <t>ឈ្មោះតំបន់</t>
        </is>
      </c>
      <c r="F659" s="217" t="inlineStr">
        <is>
          <t>x</t>
        </is>
      </c>
      <c r="G659" s="217" t="inlineStr">
        <is>
          <t>ឈ្មោះតំបន់</t>
        </is>
      </c>
      <c r="H659" t="inlineStr">
        <is>
          <t>ឈ្មោះតំបន់</t>
        </is>
      </c>
      <c r="I659" s="74" t="inlineStr">
        <is>
          <t>ឈ្មោះតំបន់</t>
        </is>
      </c>
      <c r="J659" s="217" t="inlineStr">
        <is>
          <t>"pricezone.zoneName": "Zone name",</t>
        </is>
      </c>
    </row>
    <row r="660" ht="15.75" customHeight="1" s="305">
      <c r="A660" s="67" t="inlineStr">
        <is>
          <t>pricezone.zoneType</t>
        </is>
      </c>
      <c r="B660" s="67" t="inlineStr">
        <is>
          <t>Loại zone</t>
        </is>
      </c>
      <c r="C660" s="67" t="inlineStr">
        <is>
          <t>Zone type</t>
        </is>
      </c>
      <c r="D660" s="3">
        <f>IFERROR(__xludf.DUMMYFUNCTION("GOOGLETRANSLATE(B660,""vi"",""km"")"),"ប្រភេទតំបន់")</f>
        <v/>
      </c>
      <c r="E660" s="3" t="inlineStr">
        <is>
          <t>ប្រភេទតំបន់</t>
        </is>
      </c>
      <c r="F660" s="217" t="inlineStr">
        <is>
          <t>x</t>
        </is>
      </c>
      <c r="G660" s="217" t="inlineStr">
        <is>
          <t>ប្រភេទតំបន់</t>
        </is>
      </c>
      <c r="H660" t="inlineStr">
        <is>
          <t>ប្រភេទតំបន់</t>
        </is>
      </c>
      <c r="I660" s="74" t="inlineStr">
        <is>
          <t>ប្រភេទតំបន់</t>
        </is>
      </c>
      <c r="J660" s="217" t="inlineStr">
        <is>
          <t>"pricezone.zoneType": "Zone type",</t>
        </is>
      </c>
    </row>
    <row r="661" ht="15.75" customHeight="1" s="305">
      <c r="A661" s="67" t="inlineStr">
        <is>
          <t>revenueOutput.filterDate</t>
        </is>
      </c>
      <c r="B661" s="67" t="inlineStr">
        <is>
          <t>Chọn ngày</t>
        </is>
      </c>
      <c r="C661" s="67" t="inlineStr">
        <is>
          <t>Select date</t>
        </is>
      </c>
      <c r="D661" s="3">
        <f>IFERROR(__xludf.DUMMYFUNCTION("GOOGLETRANSLATE(B661,""vi"",""km"")"),"ជ្រើសរើសកាលបរិច្ឆេទ")</f>
        <v/>
      </c>
      <c r="E661" s="3" t="inlineStr">
        <is>
          <t>ជ្រើសរើសថ្ងៃ</t>
        </is>
      </c>
      <c r="F661" s="217" t="inlineStr">
        <is>
          <t>v</t>
        </is>
      </c>
      <c r="G661" s="217" t="inlineStr">
        <is>
          <t>ជ្រើសរើសថ្ងៃ</t>
        </is>
      </c>
      <c r="H661" t="inlineStr">
        <is>
          <t>ជ្រើសរើសថ្ងៃ</t>
        </is>
      </c>
      <c r="I661" s="74" t="inlineStr">
        <is>
          <t>ជ្រើសរើសថ្ងៃ</t>
        </is>
      </c>
      <c r="J661" s="217" t="inlineStr">
        <is>
          <t>"revenueOutput.filterDate": "Select date",</t>
        </is>
      </c>
    </row>
    <row r="662" ht="15.75" customHeight="1" s="305">
      <c r="A662" s="67" t="inlineStr">
        <is>
          <t>revenueOutput.startDate</t>
        </is>
      </c>
      <c r="B662" s="67" t="inlineStr">
        <is>
          <t>Từ ngày</t>
        </is>
      </c>
      <c r="C662" s="67" t="inlineStr">
        <is>
          <t>Start Date</t>
        </is>
      </c>
      <c r="D662" s="3">
        <f>IFERROR(__xludf.DUMMYFUNCTION("GOOGLETRANSLATE(B662,""vi"",""km"")"),"ចាប់ពីកាលបរិច្ឆេទ")</f>
        <v/>
      </c>
      <c r="E662" s="3" t="inlineStr">
        <is>
          <t>ចាប់ពីថ្ងៃ</t>
        </is>
      </c>
      <c r="F662" s="217" t="inlineStr">
        <is>
          <t>v</t>
        </is>
      </c>
      <c r="G662" s="217" t="inlineStr">
        <is>
          <t>ចាប់ពីថ្ងៃ</t>
        </is>
      </c>
      <c r="H662" t="inlineStr">
        <is>
          <t>ចាប់ពីថ្ងៃ</t>
        </is>
      </c>
      <c r="I662" s="74" t="inlineStr">
        <is>
          <t>ថ្ងៃចាប់ផ្តើម</t>
        </is>
      </c>
      <c r="J662" s="217" t="inlineStr">
        <is>
          <t>"revenueOutput.startDate": "Start Date",</t>
        </is>
      </c>
    </row>
    <row r="663" ht="15.75" customHeight="1" s="305">
      <c r="A663" s="67" t="inlineStr">
        <is>
          <t>revenueOutput.endDate</t>
        </is>
      </c>
      <c r="B663" s="67" t="inlineStr">
        <is>
          <t>Đến ngày</t>
        </is>
      </c>
      <c r="C663" s="67" t="inlineStr">
        <is>
          <t>End Date</t>
        </is>
      </c>
      <c r="D663" s="3">
        <f>IFERROR(__xludf.DUMMYFUNCTION("GOOGLETRANSLATE(B663,""vi"",""km"")"),"រហូតដល់ថ្ងៃ")</f>
        <v/>
      </c>
      <c r="E663" s="3" t="inlineStr">
        <is>
          <t>រហូតដល់ថ្ងៃ</t>
        </is>
      </c>
      <c r="F663" s="217" t="inlineStr">
        <is>
          <t>v</t>
        </is>
      </c>
      <c r="G663" s="217" t="inlineStr">
        <is>
          <t>រហូតដល់ថ្ងៃ</t>
        </is>
      </c>
      <c r="H663" t="inlineStr">
        <is>
          <t>រហូតដល់ថ្ងៃ</t>
        </is>
      </c>
      <c r="I663" s="74" t="inlineStr">
        <is>
          <t>ថ្ងៃបញ្ចប់</t>
        </is>
      </c>
      <c r="J663" s="217" t="inlineStr">
        <is>
          <t>"revenueOutput.endDate": "End Date",</t>
        </is>
      </c>
    </row>
    <row r="664" ht="15.75" customHeight="1" s="305">
      <c r="A664" s="67" t="inlineStr">
        <is>
          <t>revenueOutput.filterbranch</t>
        </is>
      </c>
      <c r="B664" s="67" t="inlineStr">
        <is>
          <t>Chọn chi nhánh</t>
        </is>
      </c>
      <c r="C664" s="67" t="inlineStr">
        <is>
          <t>Branch</t>
        </is>
      </c>
      <c r="D664" s="3">
        <f>IFERROR(__xludf.DUMMYFUNCTION("GOOGLETRANSLATE(B664,""vi"",""km"")"),"ជ្រើសរើសសាខាមួយ")</f>
        <v/>
      </c>
      <c r="E664" s="3" t="inlineStr">
        <is>
          <t>ជ្រើសរើសសាខា</t>
        </is>
      </c>
      <c r="F664" s="217" t="inlineStr">
        <is>
          <t>v</t>
        </is>
      </c>
      <c r="G664" s="217" t="inlineStr">
        <is>
          <t>ជ្រើសរើសសាខា</t>
        </is>
      </c>
      <c r="H664" t="inlineStr">
        <is>
          <t>ជ្រើសរើសសាខា</t>
        </is>
      </c>
      <c r="I664" s="74" t="inlineStr">
        <is>
          <t>សាខា</t>
        </is>
      </c>
      <c r="J664" s="217" t="inlineStr">
        <is>
          <t>"revenueOutput.filterbranch": "Branch",</t>
        </is>
      </c>
    </row>
    <row r="665" ht="15.75" customHeight="1" s="305">
      <c r="A665" s="67" t="inlineStr">
        <is>
          <t>revenueOutput.exportExcel</t>
        </is>
      </c>
      <c r="B665" s="67" t="inlineStr">
        <is>
          <t>Xuất Excel</t>
        </is>
      </c>
      <c r="C665" s="67" t="inlineStr">
        <is>
          <t>Export Excel</t>
        </is>
      </c>
      <c r="D665" s="3">
        <f>IFERROR(__xludf.DUMMYFUNCTION("GOOGLETRANSLATE(B665,""vi"",""km"")"),"នាំចេញទៅ Excel")</f>
        <v/>
      </c>
      <c r="E665" s="3" t="inlineStr">
        <is>
          <t>ចេញទៅ Excel</t>
        </is>
      </c>
      <c r="F665" s="217" t="inlineStr">
        <is>
          <t>v</t>
        </is>
      </c>
      <c r="G665" s="217" t="inlineStr">
        <is>
          <t>ចេញទៅ Excel</t>
        </is>
      </c>
      <c r="H665" t="inlineStr">
        <is>
          <t>ចេញទៅ Excel</t>
        </is>
      </c>
      <c r="I665" s="74" t="inlineStr">
        <is>
          <t>បញ្ចេញfile excel</t>
        </is>
      </c>
      <c r="J665" s="217" t="inlineStr">
        <is>
          <t>"revenueOutput.exportExcel": "Export Excel",</t>
        </is>
      </c>
    </row>
    <row r="666" ht="15.75" customHeight="1" s="305">
      <c r="A666" s="67" t="inlineStr">
        <is>
          <t>revenueOutput.branch</t>
        </is>
      </c>
      <c r="B666" s="67" t="inlineStr">
        <is>
          <t>Chi nhánh</t>
        </is>
      </c>
      <c r="C666" s="67" t="inlineStr">
        <is>
          <t>Branch</t>
        </is>
      </c>
      <c r="D666" s="3">
        <f>IFERROR(__xludf.DUMMYFUNCTION("GOOGLETRANSLATE(B666,""vi"",""km"")"),"សាខា")</f>
        <v/>
      </c>
      <c r="E666" s="3" t="inlineStr">
        <is>
          <t>សាខា</t>
        </is>
      </c>
      <c r="F666" s="217" t="inlineStr">
        <is>
          <t>v</t>
        </is>
      </c>
      <c r="G666" s="217" t="inlineStr">
        <is>
          <t>សាខា</t>
        </is>
      </c>
      <c r="H666" t="inlineStr">
        <is>
          <t>សាខា</t>
        </is>
      </c>
      <c r="I666" s="74" t="inlineStr">
        <is>
          <t>សាខា</t>
        </is>
      </c>
      <c r="J666" s="217" t="inlineStr">
        <is>
          <t>"revenueOutput.branch": "Branch",</t>
        </is>
      </c>
    </row>
    <row r="667" ht="15.75" customHeight="1" s="305">
      <c r="A667" s="67" t="inlineStr">
        <is>
          <t>revenueOutput.postCode</t>
        </is>
      </c>
      <c r="B667" s="67" t="inlineStr">
        <is>
          <t>Bưu cục</t>
        </is>
      </c>
      <c r="C667" s="67" t="inlineStr">
        <is>
          <t>Post Office</t>
        </is>
      </c>
      <c r="D667" s="3">
        <f>IFERROR(__xludf.DUMMYFUNCTION("GOOGLETRANSLATE(B667,""vi"",""km"")"),"ការិយាល័យប្រៃសណីយ៍")</f>
        <v/>
      </c>
      <c r="E667" s="3" t="inlineStr">
        <is>
          <t>ការិយាល័យប្រៃសណីយ៍</t>
        </is>
      </c>
      <c r="F667" s="217" t="inlineStr">
        <is>
          <t>v</t>
        </is>
      </c>
      <c r="G667" s="217" t="inlineStr">
        <is>
          <t>ការិយាល័យប្រៃសណីយ៍</t>
        </is>
      </c>
      <c r="H667" t="inlineStr">
        <is>
          <t>ការិយាល័យប្រៃសណីយ៍</t>
        </is>
      </c>
      <c r="I667" s="74" t="inlineStr">
        <is>
          <t>ការិយាល័យប្រៃសណីយ៍</t>
        </is>
      </c>
      <c r="J667" s="217" t="inlineStr">
        <is>
          <t>"revenueOutput.postCode": "Post Office",</t>
        </is>
      </c>
    </row>
    <row r="668" ht="15.75" customHeight="1" s="305">
      <c r="A668" s="67" t="inlineStr">
        <is>
          <t>revenueOutput.revenue</t>
        </is>
      </c>
      <c r="B668" s="67" t="inlineStr">
        <is>
          <t>Doanh thu</t>
        </is>
      </c>
      <c r="C668" s="67" t="inlineStr">
        <is>
          <t>Revenue</t>
        </is>
      </c>
      <c r="D668" s="3">
        <f>IFERROR(__xludf.DUMMYFUNCTION("GOOGLETRANSLATE(B668,""vi"",""km"")"),"ប្រាក់ចំណូល")</f>
        <v/>
      </c>
      <c r="E668" s="3" t="inlineStr">
        <is>
          <t>ប្រាក់ចំណូល</t>
        </is>
      </c>
      <c r="F668" s="217" t="inlineStr">
        <is>
          <t>v</t>
        </is>
      </c>
      <c r="G668" s="217" t="inlineStr">
        <is>
          <t>ប្រាក់ចំណូល</t>
        </is>
      </c>
      <c r="H668" t="inlineStr">
        <is>
          <t>ប្រាក់ចំណូល</t>
        </is>
      </c>
      <c r="I668" s="74" t="inlineStr">
        <is>
          <t>ចំណូល</t>
        </is>
      </c>
      <c r="J668" s="217" t="inlineStr">
        <is>
          <t>"revenueOutput.revenue": "Revenue",</t>
        </is>
      </c>
    </row>
    <row r="669" ht="15.75" customHeight="1" s="305">
      <c r="A669" s="67" t="inlineStr">
        <is>
          <t>revenueOutput.dailyRevenue</t>
        </is>
      </c>
      <c r="B669" s="67" t="inlineStr">
        <is>
          <t>Doanh thu ngày</t>
        </is>
      </c>
      <c r="C669" s="67" t="inlineStr">
        <is>
          <t>Daily revenue</t>
        </is>
      </c>
      <c r="D669" s="3">
        <f>IFERROR(__xludf.DUMMYFUNCTION("GOOGLETRANSLATE(B669,""vi"",""km"")"),"ប្រាក់ចំណូលប្រចាំថ្ងៃ")</f>
        <v/>
      </c>
      <c r="E669" s="3" t="inlineStr">
        <is>
          <t>ប្រាក់ចំណូលប្រចាំថ្ងៃ</t>
        </is>
      </c>
      <c r="F669" s="217" t="inlineStr">
        <is>
          <t>v</t>
        </is>
      </c>
      <c r="G669" s="217" t="inlineStr">
        <is>
          <t>ប្រាក់ចំណូលប្រចាំថ្ងៃ</t>
        </is>
      </c>
      <c r="H669" t="inlineStr">
        <is>
          <t>ប្រាក់ចំណូលប្រចាំថ្ងៃ</t>
        </is>
      </c>
      <c r="I669" s="74" t="inlineStr">
        <is>
          <t>ប្រាក់ចំណូលប្រចាំថ្ងៃ</t>
        </is>
      </c>
      <c r="J669" s="217" t="inlineStr">
        <is>
          <t>"revenueOutput.dailyRevenue": "Daily revenue",</t>
        </is>
      </c>
    </row>
    <row r="670" ht="15.75" customHeight="1" s="305">
      <c r="A670" s="67" t="inlineStr">
        <is>
          <t>revenueOutput.cumulativeRevenue</t>
        </is>
      </c>
      <c r="B670" s="67" t="inlineStr">
        <is>
          <t>Lũy kế tháng</t>
        </is>
      </c>
      <c r="C670" s="67" t="inlineStr">
        <is>
          <t>Monthly cumulative</t>
        </is>
      </c>
      <c r="D670" s="3">
        <f>IFERROR(__xludf.DUMMYFUNCTION("GOOGLETRANSLATE(B670,""vi"",""km"")"),"សរុបប្រចាំខែ")</f>
        <v/>
      </c>
      <c r="E670" s="3" t="inlineStr">
        <is>
          <t>ប្រាក់សរុបពីខែមួួយទៅខែមួយ</t>
        </is>
      </c>
      <c r="F670" s="217" t="inlineStr">
        <is>
          <t>x</t>
        </is>
      </c>
      <c r="G670" s="217" t="inlineStr">
        <is>
          <t>ប្រាក់សរុបពីខែមួួយទៅខែមួយ</t>
        </is>
      </c>
      <c r="H670" t="inlineStr">
        <is>
          <t>ប្រាក់សរុបពីខែមួួយទៅខែមួយ</t>
        </is>
      </c>
      <c r="I670" s="74" t="inlineStr">
        <is>
          <t>សរុបតាមខែ</t>
        </is>
      </c>
      <c r="J670" s="217" t="inlineStr">
        <is>
          <t>"revenueOutput.cumulativeRevenue": "Monthly cumulative",</t>
        </is>
      </c>
    </row>
    <row r="671" ht="15.75" customHeight="1" s="305">
      <c r="A671" s="67" t="inlineStr">
        <is>
          <t>revenueOutput.monthlyGrowth</t>
        </is>
      </c>
      <c r="B671" s="67" t="inlineStr">
        <is>
          <t>Tăng trưởng tháng</t>
        </is>
      </c>
      <c r="C671" s="67" t="inlineStr">
        <is>
          <t>Monthly growth</t>
        </is>
      </c>
      <c r="D671" s="3">
        <f>IFERROR(__xludf.DUMMYFUNCTION("GOOGLETRANSLATE(B671,""vi"",""km"")"),"កំណើនប្រចាំខែ")</f>
        <v/>
      </c>
      <c r="E671" s="3" t="inlineStr">
        <is>
          <t>កំណើនជាប្រចាំខែ</t>
        </is>
      </c>
      <c r="F671" s="217" t="inlineStr">
        <is>
          <t>v</t>
        </is>
      </c>
      <c r="G671" s="217" t="inlineStr">
        <is>
          <t>កំណើនជាប្រចាំខែ</t>
        </is>
      </c>
      <c r="H671" t="inlineStr">
        <is>
          <t>កំណើនជាប្រចាំខែ</t>
        </is>
      </c>
      <c r="I671" s="74" t="inlineStr">
        <is>
          <t>កើនតាមខែ</t>
        </is>
      </c>
      <c r="J671" s="217" t="inlineStr">
        <is>
          <t>"revenueOutput.monthlyGrowth": "Monthly growth",</t>
        </is>
      </c>
    </row>
    <row r="672" ht="15.75" customHeight="1" s="305">
      <c r="A672" s="67" t="inlineStr">
        <is>
          <t>revenueOutput.Quantity</t>
        </is>
      </c>
      <c r="B672" s="67" t="inlineStr">
        <is>
          <t>Sản lượng</t>
        </is>
      </c>
      <c r="C672" s="67" t="inlineStr">
        <is>
          <t>Quantity Order</t>
        </is>
      </c>
      <c r="D672" s="3">
        <f>IFERROR(__xludf.DUMMYFUNCTION("GOOGLETRANSLATE(B672,""vi"",""km"")"),"ទិន្នផល")</f>
        <v/>
      </c>
      <c r="E672" s="3" t="inlineStr">
        <is>
          <t>ចំនួនសរុប</t>
        </is>
      </c>
      <c r="F672" s="217" t="inlineStr">
        <is>
          <t>v</t>
        </is>
      </c>
      <c r="G672" s="217" t="inlineStr">
        <is>
          <t>ចំនួនសរុប</t>
        </is>
      </c>
      <c r="H672" t="inlineStr">
        <is>
          <t>ចំនួនសរុប</t>
        </is>
      </c>
      <c r="I672" s="74" t="inlineStr">
        <is>
          <t>ចំនួន</t>
        </is>
      </c>
      <c r="J672" s="217" t="inlineStr">
        <is>
          <t>"revenueOutput.Quantity": "Quantity Order",</t>
        </is>
      </c>
    </row>
    <row r="673" ht="15.75" customHeight="1" s="305">
      <c r="A673" s="67" t="inlineStr">
        <is>
          <t>revenueOutput.quantityDay</t>
        </is>
      </c>
      <c r="B673" s="67" t="inlineStr">
        <is>
          <t>Sản lượng ngày</t>
        </is>
      </c>
      <c r="C673" s="67" t="inlineStr">
        <is>
          <t>Quantity day</t>
        </is>
      </c>
      <c r="D673" s="3">
        <f>IFERROR(__xludf.DUMMYFUNCTION("GOOGLETRANSLATE(B673,""vi"",""km"")"),"ទិន្នផលប្រចាំថ្ងៃ")</f>
        <v/>
      </c>
      <c r="E673" s="3" t="inlineStr">
        <is>
          <t>ទិន្នផលប្រចាំថ្ងៃ</t>
        </is>
      </c>
      <c r="F673" s="217" t="inlineStr">
        <is>
          <t>v</t>
        </is>
      </c>
      <c r="G673" s="217" t="inlineStr">
        <is>
          <t>ទិន្នផលប្រចាំថ្ងៃ</t>
        </is>
      </c>
      <c r="H673" t="inlineStr">
        <is>
          <t>ទិន្នផលប្រចាំថ្ងៃ</t>
        </is>
      </c>
      <c r="I673" s="74" t="inlineStr">
        <is>
          <t>ចំនួនប្រចាំថ្ងៃ</t>
        </is>
      </c>
      <c r="J673" s="217" t="inlineStr">
        <is>
          <t>"revenueOutput.quantityDay": "Quantity day",</t>
        </is>
      </c>
    </row>
    <row r="674" ht="15.75" customHeight="1" s="305">
      <c r="A674" s="67" t="inlineStr">
        <is>
          <t>revenueOutput.dailyOutput</t>
        </is>
      </c>
      <c r="B674" s="67" t="inlineStr">
        <is>
          <t>Lũy kế tháng</t>
        </is>
      </c>
      <c r="C674" s="67" t="inlineStr">
        <is>
          <t>Monthly cumulative</t>
        </is>
      </c>
      <c r="D674" s="3">
        <f>IFERROR(__xludf.DUMMYFUNCTION("GOOGLETRANSLATE(B674,""vi"",""km"")"),"សរុបប្រចាំខែ")</f>
        <v/>
      </c>
      <c r="E674" s="3" t="inlineStr">
        <is>
          <t>ប្រាក់សរុបពីថ្ងៃ មួួយទៅថ្ងៃ មួយ</t>
        </is>
      </c>
      <c r="F674" s="217" t="inlineStr">
        <is>
          <t>x</t>
        </is>
      </c>
      <c r="G674" s="217" t="inlineStr">
        <is>
          <t>ប្រាក់សរុបពីថ្ងៃ មួួយទៅថ្ងៃ មួយ</t>
        </is>
      </c>
      <c r="H674" t="inlineStr">
        <is>
          <t>ប្រាក់សរុបពីថ្ងៃ មួួយទៅថ្ងៃ មួយ</t>
        </is>
      </c>
      <c r="I674" s="74" t="inlineStr">
        <is>
          <t>សរុបតាមខែ</t>
        </is>
      </c>
      <c r="J674" s="217" t="inlineStr">
        <is>
          <t>"revenueOutput.dailyOutput": "Monthly cumulative",</t>
        </is>
      </c>
    </row>
    <row r="675" ht="15.75" customHeight="1" s="305">
      <c r="A675" s="67" t="inlineStr">
        <is>
          <t>revenueOutput.cumulativeOuput</t>
        </is>
      </c>
      <c r="B675" s="67" t="inlineStr">
        <is>
          <t>Tăng trưởng tháng</t>
        </is>
      </c>
      <c r="C675" s="67" t="inlineStr">
        <is>
          <t>Monthly growth</t>
        </is>
      </c>
      <c r="D675" s="3">
        <f>IFERROR(__xludf.DUMMYFUNCTION("GOOGLETRANSLATE(B675,""vi"",""km"")"),"កំណើនប្រចាំខែ")</f>
        <v/>
      </c>
      <c r="E675" s="3" t="inlineStr">
        <is>
          <t>កំណើនជាប្រចាំខែ</t>
        </is>
      </c>
      <c r="F675" s="217" t="inlineStr">
        <is>
          <t>v</t>
        </is>
      </c>
      <c r="G675" s="217" t="inlineStr">
        <is>
          <t>កំណើនជាប្រចាំខែ</t>
        </is>
      </c>
      <c r="H675" t="inlineStr">
        <is>
          <t>កំណើនជាប្រចាំខែ</t>
        </is>
      </c>
      <c r="I675" s="74" t="inlineStr">
        <is>
          <t>កើនតាមខែ</t>
        </is>
      </c>
      <c r="J675" s="217" t="inlineStr">
        <is>
          <t>"revenueOutput.cumulativeOuput": "Monthly growth",</t>
        </is>
      </c>
    </row>
    <row r="676" ht="15.75" customHeight="1" s="305">
      <c r="A676" s="67" t="inlineStr">
        <is>
          <t>revenueOutput.exportFail</t>
        </is>
      </c>
      <c r="B676" s="67" t="inlineStr">
        <is>
          <t>Xuất excel thất bại</t>
        </is>
      </c>
      <c r="C676" s="67" t="inlineStr">
        <is>
          <t>Export excel failed</t>
        </is>
      </c>
      <c r="D676" s="3">
        <f>IFERROR(__xludf.DUMMYFUNCTION("GOOGLETRANSLATE(B676,""vi"",""km"")"),"ការនាំចេញទៅ Excel បានបរាជ័យ។")</f>
        <v/>
      </c>
      <c r="E676" s="3" t="inlineStr">
        <is>
          <t>ចេញទៅExcel បរាជ័យ</t>
        </is>
      </c>
      <c r="F676" s="217" t="inlineStr">
        <is>
          <t>v</t>
        </is>
      </c>
      <c r="G676" s="217" t="inlineStr">
        <is>
          <t>ចេញទៅExcel បរាជ័យ</t>
        </is>
      </c>
      <c r="H676" t="inlineStr">
        <is>
          <t>ចេញទៅExcel បរាជ័យ</t>
        </is>
      </c>
      <c r="I676" s="74" t="inlineStr">
        <is>
          <t>បញ្ចេញfile excelបានបរាជ័យ</t>
        </is>
      </c>
      <c r="J676" s="217" t="inlineStr">
        <is>
          <t>"revenueOutput.exportFail": "Export excel failed",</t>
        </is>
      </c>
    </row>
    <row r="677" ht="15.75" customHeight="1" s="305">
      <c r="A677" s="67" t="inlineStr">
        <is>
          <t>revenueOutput.exportSuccess</t>
        </is>
      </c>
      <c r="B677" s="67" t="inlineStr">
        <is>
          <t>Xuất excel thành công</t>
        </is>
      </c>
      <c r="C677" s="67" t="inlineStr">
        <is>
          <t>Export excel successfully</t>
        </is>
      </c>
      <c r="D677" s="3">
        <f>IFERROR(__xludf.DUMMYFUNCTION("GOOGLETRANSLATE(B677,""vi"",""km"")"),"នាំចេញទៅ Excel ដោយជោគជ័យ")</f>
        <v/>
      </c>
      <c r="E677" s="3" t="inlineStr">
        <is>
          <t>ចេញទៅ Excel ជោគជ័យ</t>
        </is>
      </c>
      <c r="F677" s="217" t="inlineStr">
        <is>
          <t>v</t>
        </is>
      </c>
      <c r="G677" s="217" t="inlineStr">
        <is>
          <t>ចេញទៅ Excel ជោគជ័យ</t>
        </is>
      </c>
      <c r="H677" t="inlineStr">
        <is>
          <t>ចេញទៅ Excel ជោគជ័យ</t>
        </is>
      </c>
      <c r="I677" s="74" t="inlineStr">
        <is>
          <t>បញ្ចេញfile excelបានជោគជ័យ</t>
        </is>
      </c>
      <c r="J677" s="217" t="inlineStr">
        <is>
          <t>"revenueOutput.exportSuccess": "Export excel successfully",</t>
        </is>
      </c>
    </row>
    <row r="678" ht="15.75" customHeight="1" s="305">
      <c r="A678" s="67" t="inlineStr">
        <is>
          <t>revenueOutput.service</t>
        </is>
      </c>
      <c r="B678" s="67" t="inlineStr">
        <is>
          <t>Dịch vụ</t>
        </is>
      </c>
      <c r="C678" s="67" t="inlineStr">
        <is>
          <t>Service</t>
        </is>
      </c>
      <c r="D678" s="3">
        <f>IFERROR(__xludf.DUMMYFUNCTION("GOOGLETRANSLATE(B678,""vi"",""km"")"),"សេវាកម្ម")</f>
        <v/>
      </c>
      <c r="E678" s="3" t="inlineStr">
        <is>
          <t>សេវាកម្ម</t>
        </is>
      </c>
      <c r="F678" s="217" t="inlineStr">
        <is>
          <t>v</t>
        </is>
      </c>
      <c r="G678" s="217" t="inlineStr">
        <is>
          <t>សេវាកម្ម</t>
        </is>
      </c>
      <c r="H678" t="inlineStr">
        <is>
          <t>សេវាកម្ម</t>
        </is>
      </c>
      <c r="I678" s="74" t="inlineStr">
        <is>
          <t>សេវាកម្ម</t>
        </is>
      </c>
      <c r="J678" s="217" t="inlineStr">
        <is>
          <t>"revenueOutput.service": "Service",</t>
        </is>
      </c>
    </row>
    <row r="679" ht="15.75" customHeight="1" s="305">
      <c r="A679" s="67" t="inlineStr">
        <is>
          <t>revenueOutput.emptyDate</t>
        </is>
      </c>
      <c r="B679" s="67" t="inlineStr">
        <is>
          <t>Ngày tìm kiếm chưa được nhập</t>
        </is>
      </c>
      <c r="C679" s="67" t="inlineStr">
        <is>
          <t>Search day is empty</t>
        </is>
      </c>
      <c r="D679" s="3">
        <f>IFERROR(__xludf.DUMMYFUNCTION("GOOGLETRANSLATE(B679,""vi"",""km"")"),"កាលបរិច្ឆេទស្វែងរកមិនទាន់ត្រូវបានបញ្ចូលនៅឡើយទេ។")</f>
        <v/>
      </c>
      <c r="E679" s="3" t="inlineStr">
        <is>
          <t>ថ្ងៃស្វែងរកមិនទាន់បានបញ្ចូល</t>
        </is>
      </c>
      <c r="F679" s="217" t="inlineStr">
        <is>
          <t>x</t>
        </is>
      </c>
      <c r="G679" s="217" t="inlineStr">
        <is>
          <t>ថ្ងៃស្វែងរកមិនទាន់បានបញ្ចូល</t>
        </is>
      </c>
      <c r="H679" t="inlineStr">
        <is>
          <t>ថ្ងៃស្វែងរកមិនទាន់បានបញ្ចូល</t>
        </is>
      </c>
      <c r="I679" s="74" t="inlineStr">
        <is>
          <t>កាលបរិច្ឆេទស្វែងរកមិនត្រូវបានបញ្ចូលទេ។</t>
        </is>
      </c>
      <c r="J679" s="217" t="inlineStr">
        <is>
          <t>"revenueOutput.emptyDate": "Search day is empty",</t>
        </is>
      </c>
    </row>
    <row r="680" ht="15.75" customHeight="1" s="305">
      <c r="A680" s="67" t="inlineStr">
        <is>
          <t>revenueOutput.exportDetail</t>
        </is>
      </c>
      <c r="B680" s="67" t="inlineStr">
        <is>
          <t>Xuất chi tiết</t>
        </is>
      </c>
      <c r="C680" s="67" t="inlineStr">
        <is>
          <t>Export detail report</t>
        </is>
      </c>
      <c r="D680" s="3">
        <f>IFERROR(__xludf.DUMMYFUNCTION("GOOGLETRANSLATE(B680,""vi"",""km"")"),"នាំចេញព័ត៌មានលម្អិត")</f>
        <v/>
      </c>
      <c r="E680" s="3" t="inlineStr">
        <is>
          <t>ចេញព័ត៌មានលម្អិត</t>
        </is>
      </c>
      <c r="F680" s="217" t="inlineStr">
        <is>
          <t>v</t>
        </is>
      </c>
      <c r="G680" s="217" t="inlineStr">
        <is>
          <t>ចេញព័ត៌មានលម្អិត</t>
        </is>
      </c>
      <c r="H680" t="inlineStr">
        <is>
          <t>ចេញព័ត៌មានលម្អិត</t>
        </is>
      </c>
      <c r="I680" s="74" t="inlineStr">
        <is>
          <t>លម្អិត excel</t>
        </is>
      </c>
      <c r="J680" s="217" t="inlineStr">
        <is>
          <t>"revenueOutput.exportDetail": "Export detail report",</t>
        </is>
      </c>
    </row>
    <row r="681" ht="15.75" customHeight="1" s="305">
      <c r="A681" s="67" t="inlineStr">
        <is>
          <t>revenueOutput.filterService</t>
        </is>
      </c>
      <c r="B681" s="67" t="inlineStr">
        <is>
          <t>Chọn dịch vụ</t>
        </is>
      </c>
      <c r="C681" s="67" t="inlineStr">
        <is>
          <t>Select service</t>
        </is>
      </c>
      <c r="D681" s="3">
        <f>IFERROR(__xludf.DUMMYFUNCTION("GOOGLETRANSLATE(B681,""vi"",""km"")"),"ជ្រើសរើសសេវាកម្មមួយ")</f>
        <v/>
      </c>
      <c r="E681" s="3" t="inlineStr">
        <is>
          <t>ជ្រើសរើសសេវាកម្ម</t>
        </is>
      </c>
      <c r="F681" s="217" t="inlineStr">
        <is>
          <t>x</t>
        </is>
      </c>
      <c r="G681" s="217" t="inlineStr">
        <is>
          <t>ជ្រើសរើសសេវាកម្ម</t>
        </is>
      </c>
      <c r="H681" t="inlineStr">
        <is>
          <t>ជ្រើសរើសសេវាកម្ម</t>
        </is>
      </c>
      <c r="I681" s="74" t="inlineStr">
        <is>
          <t>ជ្រើសរើសសេវាកម្ម</t>
        </is>
      </c>
      <c r="J681" s="217" t="inlineStr">
        <is>
          <t>"revenueOutput.filterService": "Select service",</t>
        </is>
      </c>
    </row>
    <row r="682" ht="15.75" customHeight="1" s="305">
      <c r="A682" s="67" t="inlineStr">
        <is>
          <t>revenueOutput.companyTab</t>
        </is>
      </c>
      <c r="B682" s="67" t="inlineStr">
        <is>
          <t>Công ty</t>
        </is>
      </c>
      <c r="C682" s="67" t="inlineStr">
        <is>
          <t>Company</t>
        </is>
      </c>
      <c r="D682" s="3">
        <f>IFERROR(__xludf.DUMMYFUNCTION("GOOGLETRANSLATE(B682,""vi"",""km"")"),"ក្រុមហ៊ុន")</f>
        <v/>
      </c>
      <c r="E682" s="3" t="inlineStr">
        <is>
          <t>ក្រុមហ៊ុន</t>
        </is>
      </c>
      <c r="F682" s="217" t="inlineStr">
        <is>
          <t>v</t>
        </is>
      </c>
      <c r="G682" s="217" t="inlineStr">
        <is>
          <t>ក្រុមហ៊ុន</t>
        </is>
      </c>
      <c r="H682" t="inlineStr">
        <is>
          <t>ក្រុមហ៊ុន</t>
        </is>
      </c>
      <c r="I682" s="74" t="inlineStr">
        <is>
          <t>ក្រុមហ៊ុន</t>
        </is>
      </c>
      <c r="J682" s="217" t="inlineStr">
        <is>
          <t>"revenueOutput.companyTab": "Company",</t>
        </is>
      </c>
    </row>
    <row r="683" ht="15.75" customHeight="1" s="305">
      <c r="A683" s="67" t="inlineStr">
        <is>
          <t>revenueOutput.branchTab</t>
        </is>
      </c>
      <c r="B683" s="67" t="inlineStr">
        <is>
          <t>Chi nhánh</t>
        </is>
      </c>
      <c r="C683" s="67" t="inlineStr">
        <is>
          <t>Branch</t>
        </is>
      </c>
      <c r="D683" s="3">
        <f>IFERROR(__xludf.DUMMYFUNCTION("GOOGLETRANSLATE(B683,""vi"",""km"")"),"សាខា")</f>
        <v/>
      </c>
      <c r="E683" s="3" t="inlineStr">
        <is>
          <t>សាខា</t>
        </is>
      </c>
      <c r="F683" s="217" t="inlineStr">
        <is>
          <t>v</t>
        </is>
      </c>
      <c r="G683" s="217" t="inlineStr">
        <is>
          <t>សាខា</t>
        </is>
      </c>
      <c r="H683" t="inlineStr">
        <is>
          <t>សាខា</t>
        </is>
      </c>
      <c r="I683" s="74" t="inlineStr">
        <is>
          <t>សាខា</t>
        </is>
      </c>
      <c r="J683" s="217" t="inlineStr">
        <is>
          <t>"revenueOutput.branchTab": "Branch",</t>
        </is>
      </c>
    </row>
    <row r="684" ht="15.75" customHeight="1" s="305">
      <c r="A684" s="67" t="inlineStr">
        <is>
          <t>revenueOutput.postOfficeTab</t>
        </is>
      </c>
      <c r="B684" s="67" t="inlineStr">
        <is>
          <t>Bưu cục</t>
        </is>
      </c>
      <c r="C684" s="67" t="inlineStr">
        <is>
          <t>Post Office</t>
        </is>
      </c>
      <c r="D684" s="3">
        <f>IFERROR(__xludf.DUMMYFUNCTION("GOOGLETRANSLATE(B684,""vi"",""km"")"),"ការិយាល័យប្រៃសណីយ៍")</f>
        <v/>
      </c>
      <c r="E684" s="3" t="inlineStr">
        <is>
          <t>ការិយាល័យប្រៃសណីយ៍</t>
        </is>
      </c>
      <c r="F684" s="217" t="inlineStr">
        <is>
          <t>v</t>
        </is>
      </c>
      <c r="G684" s="217" t="inlineStr">
        <is>
          <t>ការិយាល័យប្រៃសណីយ៍</t>
        </is>
      </c>
      <c r="H684" t="inlineStr">
        <is>
          <t>ការិយាល័យប្រៃសណីយ៍</t>
        </is>
      </c>
      <c r="I684" s="74" t="inlineStr">
        <is>
          <t>ការិយាល័យប្រៃសណីយ៍</t>
        </is>
      </c>
      <c r="J684" s="217" t="inlineStr">
        <is>
          <t>"revenueOutput.postOfficeTab": "Post Office",</t>
        </is>
      </c>
    </row>
    <row r="685" ht="15.75" customHeight="1" s="305">
      <c r="A685" s="67" t="inlineStr">
        <is>
          <t>revenueOutput.customerTab</t>
        </is>
      </c>
      <c r="B685" s="67" t="inlineStr">
        <is>
          <t>Khách hàng</t>
        </is>
      </c>
      <c r="C685" s="67" t="inlineStr">
        <is>
          <t>Customer</t>
        </is>
      </c>
      <c r="D685" s="3">
        <f>IFERROR(__xludf.DUMMYFUNCTION("GOOGLETRANSLATE(B685,""vi"",""km"")"),"អតិថិជន")</f>
        <v/>
      </c>
      <c r="E685" s="3" t="inlineStr">
        <is>
          <t>អតិថិជន</t>
        </is>
      </c>
      <c r="F685" s="217" t="inlineStr">
        <is>
          <t>v</t>
        </is>
      </c>
      <c r="G685" s="217" t="inlineStr">
        <is>
          <t>អតិថិជន</t>
        </is>
      </c>
      <c r="H685" t="inlineStr">
        <is>
          <t>អតិថិជន</t>
        </is>
      </c>
      <c r="I685" s="74" t="inlineStr">
        <is>
          <t>អតិថិជន</t>
        </is>
      </c>
      <c r="J685" s="217" t="inlineStr">
        <is>
          <t>"revenueOutput.customerTab": "Customer",</t>
        </is>
      </c>
    </row>
    <row r="686" ht="15.75" customHeight="1" s="305">
      <c r="A686" s="67" t="inlineStr">
        <is>
          <t>revenueOutput.filterPostOfice</t>
        </is>
      </c>
      <c r="B686" s="67" t="inlineStr">
        <is>
          <t>Chọn bưu cục</t>
        </is>
      </c>
      <c r="C686" s="67" t="inlineStr">
        <is>
          <t>Select post Office</t>
        </is>
      </c>
      <c r="D686" s="3">
        <f>IFERROR(__xludf.DUMMYFUNCTION("GOOGLETRANSLATE(B686,""vi"",""km"")"),"ជ្រើសរើសការិយាល័យប្រៃសណីយ៍")</f>
        <v/>
      </c>
      <c r="E686" s="3" t="inlineStr">
        <is>
          <t>ជ្រើសរើសការិយាល័យប្រៃសណីយ៍</t>
        </is>
      </c>
      <c r="F686" s="217" t="inlineStr">
        <is>
          <t>v</t>
        </is>
      </c>
      <c r="G686" s="217" t="inlineStr">
        <is>
          <t>ជ្រើសរើសការិយាល័យប្រៃសណីយ៍</t>
        </is>
      </c>
      <c r="H686" t="inlineStr">
        <is>
          <t>ជ្រើសរើសការិយាល័យប្រៃសណីយ៍</t>
        </is>
      </c>
      <c r="I686" s="74" t="inlineStr">
        <is>
          <t>ជ្រើសរើសការិយាល័យប្រៃសណីយ៍</t>
        </is>
      </c>
      <c r="J686" s="217" t="inlineStr">
        <is>
          <t>"revenueOutput.filterPostOfice": "Select post Office",</t>
        </is>
      </c>
    </row>
    <row r="687" ht="15.75" customHeight="1" s="305">
      <c r="A687" s="67" t="inlineStr">
        <is>
          <t>revenueOutput.route</t>
        </is>
      </c>
      <c r="B687" s="67" t="inlineStr">
        <is>
          <t>Tuyến</t>
        </is>
      </c>
      <c r="C687" s="67" t="inlineStr">
        <is>
          <t>Route</t>
        </is>
      </c>
      <c r="D687" s="3">
        <f>IFERROR(__xludf.DUMMYFUNCTION("GOOGLETRANSLATE(B687,""vi"",""km"")"),"ផ្លូវ")</f>
        <v/>
      </c>
      <c r="E687" s="3" t="inlineStr">
        <is>
          <t>ផ្លូវដឹក</t>
        </is>
      </c>
      <c r="F687" s="217" t="inlineStr">
        <is>
          <t>x</t>
        </is>
      </c>
      <c r="G687" s="217" t="inlineStr">
        <is>
          <t>ផ្លូវដឹក</t>
        </is>
      </c>
      <c r="H687" t="inlineStr">
        <is>
          <t>ផ្លូវដឹក</t>
        </is>
      </c>
      <c r="I687" s="74" t="inlineStr">
        <is>
          <t>ផ្លូវ</t>
        </is>
      </c>
      <c r="J687" s="217" t="inlineStr">
        <is>
          <t>"revenueOutput.route": "Route",</t>
        </is>
      </c>
    </row>
    <row r="688" ht="15.75" customHeight="1" s="305">
      <c r="A688" s="67" t="inlineStr">
        <is>
          <t>revenueOutput.filterRoute</t>
        </is>
      </c>
      <c r="B688" s="67" t="inlineStr">
        <is>
          <t>Chọn tuyến</t>
        </is>
      </c>
      <c r="C688" s="67" t="inlineStr">
        <is>
          <t>Select route</t>
        </is>
      </c>
      <c r="D688" s="3">
        <f>IFERROR(__xludf.DUMMYFUNCTION("GOOGLETRANSLATE(B688,""vi"",""km"")"),"ជ្រើសរើសផ្លូវ")</f>
        <v/>
      </c>
      <c r="E688" s="3" t="inlineStr">
        <is>
          <t>ជ្រើសរើសផ្លូ្ល្លវដឹក</t>
        </is>
      </c>
      <c r="F688" s="217" t="inlineStr">
        <is>
          <t>x</t>
        </is>
      </c>
      <c r="G688" s="217" t="inlineStr">
        <is>
          <t>ជ្រើសរើសផ្លូ្ល្លវដឹក</t>
        </is>
      </c>
      <c r="H688" t="inlineStr">
        <is>
          <t>ជ្រើសរើសផ្លូ្ល្លវដឹក</t>
        </is>
      </c>
      <c r="I688" s="74" t="inlineStr">
        <is>
          <t>ជ្រើសរើសផ្លូវ</t>
        </is>
      </c>
      <c r="J688" s="217" t="inlineStr">
        <is>
          <t>"revenueOutput.filterRoute": "Select route",</t>
        </is>
      </c>
    </row>
    <row r="689" ht="15.75" customHeight="1" s="305">
      <c r="A689" s="67" t="inlineStr">
        <is>
          <t>revenueOutput.customer</t>
        </is>
      </c>
      <c r="B689" s="67" t="inlineStr">
        <is>
          <t>Khách hàng</t>
        </is>
      </c>
      <c r="C689" s="67" t="inlineStr">
        <is>
          <t>Customer</t>
        </is>
      </c>
      <c r="D689" s="3">
        <f>IFERROR(__xludf.DUMMYFUNCTION("GOOGLETRANSLATE(B689,""vi"",""km"")"),"អតិថិជន")</f>
        <v/>
      </c>
      <c r="E689" s="3" t="inlineStr">
        <is>
          <t>អតិថិជន</t>
        </is>
      </c>
      <c r="F689" s="217" t="inlineStr">
        <is>
          <t>v</t>
        </is>
      </c>
      <c r="G689" s="217" t="inlineStr">
        <is>
          <t>អតិថិជន</t>
        </is>
      </c>
      <c r="H689" t="inlineStr">
        <is>
          <t>អតិថិជន</t>
        </is>
      </c>
      <c r="I689" s="74" t="inlineStr">
        <is>
          <t>អតិថិជន</t>
        </is>
      </c>
      <c r="J689" s="217" t="inlineStr">
        <is>
          <t>"revenueOutput.customer": "Customer",</t>
        </is>
      </c>
    </row>
    <row r="690" ht="15.75" customHeight="1" s="305">
      <c r="A690" s="67" t="inlineStr">
        <is>
          <t>revenueOutput.customerFilter</t>
        </is>
      </c>
      <c r="B690" s="67" t="inlineStr">
        <is>
          <t>Chọn khách hàng</t>
        </is>
      </c>
      <c r="C690" s="67" t="inlineStr">
        <is>
          <t>Select customer</t>
        </is>
      </c>
      <c r="D690" s="3">
        <f>IFERROR(__xludf.DUMMYFUNCTION("GOOGLETRANSLATE(B690,""vi"",""km"")"),"ជ្រើសរើសអតិថិជន")</f>
        <v/>
      </c>
      <c r="E690" s="3" t="inlineStr">
        <is>
          <t>ជ្រើសរើសអតិថិជន</t>
        </is>
      </c>
      <c r="F690" s="217" t="inlineStr">
        <is>
          <t>v</t>
        </is>
      </c>
      <c r="G690" s="217" t="inlineStr">
        <is>
          <t>ជ្រើសរើសអតិថិជន</t>
        </is>
      </c>
      <c r="H690" t="inlineStr">
        <is>
          <t>ជ្រើសរើសអតិថិជន</t>
        </is>
      </c>
      <c r="I690" s="74" t="inlineStr">
        <is>
          <t>ជ្រើសរើសអតិថិជន</t>
        </is>
      </c>
      <c r="J690" s="217" t="inlineStr">
        <is>
          <t>"revenueOutput.customerFilter": "Select customer",</t>
        </is>
      </c>
    </row>
    <row r="691" ht="15.75" customHeight="1" s="305">
      <c r="A691" s="67" t="inlineStr">
        <is>
          <t>revenueOutput.serviceCode</t>
        </is>
      </c>
      <c r="B691" s="67" t="inlineStr">
        <is>
          <t>Mã dịch vụ</t>
        </is>
      </c>
      <c r="C691" s="67" t="inlineStr">
        <is>
          <t>Service</t>
        </is>
      </c>
      <c r="D691" s="3">
        <f>IFERROR(__xludf.DUMMYFUNCTION("GOOGLETRANSLATE(B691,""vi"",""km"")"),"លេខកូដសេវាកម្ម")</f>
        <v/>
      </c>
      <c r="E691" s="3" t="inlineStr">
        <is>
          <t>កូដសេវាកម្ម</t>
        </is>
      </c>
      <c r="F691" s="217" t="inlineStr">
        <is>
          <t>v</t>
        </is>
      </c>
      <c r="G691" s="217" t="inlineStr">
        <is>
          <t>កូដសេវាកម្ម</t>
        </is>
      </c>
      <c r="H691" t="inlineStr">
        <is>
          <t>កូដសេវាកម្ម</t>
        </is>
      </c>
      <c r="I691" s="74" t="inlineStr">
        <is>
          <t>សេវាកម្ម</t>
        </is>
      </c>
      <c r="J691" s="217" t="inlineStr">
        <is>
          <t>"revenueOutput.serviceCode": "Service",</t>
        </is>
      </c>
    </row>
    <row r="692" ht="15.75" customHeight="1" s="305">
      <c r="A692" s="67" t="inlineStr">
        <is>
          <t>revenueOutput.selectService</t>
        </is>
      </c>
      <c r="B692" s="67" t="inlineStr">
        <is>
          <t>Chọn mã dịch vụ</t>
        </is>
      </c>
      <c r="C692" s="67" t="inlineStr">
        <is>
          <t>Select service</t>
        </is>
      </c>
      <c r="D692" s="3">
        <f>IFERROR(__xludf.DUMMYFUNCTION("GOOGLETRANSLATE(B692,""vi"",""km"")"),"ជ្រើសរើសលេខកូដសេវាកម្ម")</f>
        <v/>
      </c>
      <c r="E692" s="3" t="inlineStr">
        <is>
          <t>ជ្រើសរើសកូដសេវាកម្ម</t>
        </is>
      </c>
      <c r="F692" s="217" t="inlineStr">
        <is>
          <t>v</t>
        </is>
      </c>
      <c r="G692" s="217" t="inlineStr">
        <is>
          <t>ជ្រើសរើសកូដសេវាកម្ម</t>
        </is>
      </c>
      <c r="H692" t="inlineStr">
        <is>
          <t>ជ្រើសរើសកូដសេវាកម្ម</t>
        </is>
      </c>
      <c r="I692" s="74" t="inlineStr">
        <is>
          <t>ជ្រើសរើសសេវាកម្ម</t>
        </is>
      </c>
      <c r="J692" s="217" t="inlineStr">
        <is>
          <t>"revenueOutput.selectService": "Select service",</t>
        </is>
      </c>
    </row>
    <row r="693" ht="15.75" customHeight="1" s="305">
      <c r="A693" s="67" t="inlineStr">
        <is>
          <t>revenueOutput.status</t>
        </is>
      </c>
      <c r="B693" s="67" t="inlineStr">
        <is>
          <t>Trạng thái</t>
        </is>
      </c>
      <c r="C693" s="67" t="inlineStr">
        <is>
          <t>Status</t>
        </is>
      </c>
      <c r="D693" s="3">
        <f>IFERROR(__xludf.DUMMYFUNCTION("GOOGLETRANSLATE(B693,""vi"",""km"")"),"ស្ថានភាព")</f>
        <v/>
      </c>
      <c r="E693" s="3" t="inlineStr">
        <is>
          <t>ស្ថានភាព</t>
        </is>
      </c>
      <c r="F693" s="217" t="inlineStr">
        <is>
          <t>v</t>
        </is>
      </c>
      <c r="G693" s="217" t="inlineStr">
        <is>
          <t>ស្ថានភាព</t>
        </is>
      </c>
      <c r="H693" t="inlineStr">
        <is>
          <t>ស្ថានភាព</t>
        </is>
      </c>
      <c r="I693" s="74" t="inlineStr">
        <is>
          <t>ស្ថានភាព</t>
        </is>
      </c>
      <c r="J693" s="217" t="inlineStr">
        <is>
          <t>"revenueOutput.status": "Status",</t>
        </is>
      </c>
    </row>
    <row r="694" ht="15.75" customHeight="1" s="305">
      <c r="A694" s="67" t="inlineStr">
        <is>
          <t>revenueOutput.selectStatus</t>
        </is>
      </c>
      <c r="B694" s="67" t="inlineStr">
        <is>
          <t>Chọn trạng thái</t>
        </is>
      </c>
      <c r="C694" s="67" t="inlineStr">
        <is>
          <t>Select Status</t>
        </is>
      </c>
      <c r="D694" s="3">
        <f>IFERROR(__xludf.DUMMYFUNCTION("GOOGLETRANSLATE(B694,""vi"",""km"")"),"ជ្រើសរើសរដ្ឋ")</f>
        <v/>
      </c>
      <c r="E694" s="3" t="inlineStr">
        <is>
          <t>ជ្រើសរើសស្ថានភាព</t>
        </is>
      </c>
      <c r="F694" s="217" t="inlineStr">
        <is>
          <t>v</t>
        </is>
      </c>
      <c r="G694" s="217" t="inlineStr">
        <is>
          <t>ជ្រើសរើសស្ថានភាព</t>
        </is>
      </c>
      <c r="H694" t="inlineStr">
        <is>
          <t>ជ្រើសរើសស្ថានភាព</t>
        </is>
      </c>
      <c r="I694" s="74" t="inlineStr">
        <is>
          <t>ជ្រើសរើសស្ថានភាព</t>
        </is>
      </c>
      <c r="J694" s="217" t="inlineStr">
        <is>
          <t>"revenueOutput.selectStatus": "Select Status",</t>
        </is>
      </c>
    </row>
    <row r="695" ht="15.75" customHeight="1" s="305">
      <c r="A695" s="67" t="inlineStr">
        <is>
          <t>revenueOutput.parcelType</t>
        </is>
      </c>
      <c r="B695" s="67" t="inlineStr">
        <is>
          <t>Loại hàng</t>
        </is>
      </c>
      <c r="C695" s="67" t="inlineStr">
        <is>
          <t>Freight type</t>
        </is>
      </c>
      <c r="D695" s="3">
        <f>IFERROR(__xludf.DUMMYFUNCTION("GOOGLETRANSLATE(B695,""vi"",""km"")"),"ប្រភេទផលិតផល")</f>
        <v/>
      </c>
      <c r="E695" s="3" t="inlineStr">
        <is>
          <t>ប្រភេទទំនិញ</t>
        </is>
      </c>
      <c r="F695" s="217" t="inlineStr">
        <is>
          <t>v</t>
        </is>
      </c>
      <c r="G695" s="217" t="inlineStr">
        <is>
          <t>ប្រភេទទំនិញ</t>
        </is>
      </c>
      <c r="H695" t="inlineStr">
        <is>
          <t>ប្រភេទទំនិញ</t>
        </is>
      </c>
      <c r="I695" s="74" t="inlineStr">
        <is>
          <t>ប្រភេទដឹកទំនិញ</t>
        </is>
      </c>
      <c r="J695" s="217" t="inlineStr">
        <is>
          <t>"revenueOutput.parcelType": "Freight type",</t>
        </is>
      </c>
    </row>
    <row r="696" ht="15.75" customHeight="1" s="305">
      <c r="A696" s="67" t="inlineStr">
        <is>
          <t>revenueOutput.selectParcelType</t>
        </is>
      </c>
      <c r="B696" s="67" t="inlineStr">
        <is>
          <t>Chọn loại hàng</t>
        </is>
      </c>
      <c r="C696" s="67" t="inlineStr">
        <is>
          <t>Select</t>
        </is>
      </c>
      <c r="D696" s="3">
        <f>IFERROR(__xludf.DUMMYFUNCTION("GOOGLETRANSLATE(B696,""vi"",""km"")"),"ជ្រើសរើសប្រភេទផលិតផល")</f>
        <v/>
      </c>
      <c r="E696" s="3" t="inlineStr">
        <is>
          <t>ជ្រើសរើសប្រភេទទំនិញ</t>
        </is>
      </c>
      <c r="F696" s="217" t="inlineStr">
        <is>
          <t>v</t>
        </is>
      </c>
      <c r="G696" s="217" t="inlineStr">
        <is>
          <t>ជ្រើសរើសប្រភេទទំនិញ</t>
        </is>
      </c>
      <c r="H696" t="inlineStr">
        <is>
          <t>ជ្រើសរើសប្រភេទទំនិញ</t>
        </is>
      </c>
      <c r="I696" s="74" t="inlineStr">
        <is>
          <t>ជ្រើសរើស</t>
        </is>
      </c>
      <c r="J696" s="217" t="inlineStr">
        <is>
          <t>"revenueOutput.selectParcelType": "Select",</t>
        </is>
      </c>
    </row>
    <row r="697" ht="15.75" customHeight="1" s="305">
      <c r="A697" s="67" t="inlineStr">
        <is>
          <t>revenueOutput.overExcel</t>
        </is>
      </c>
      <c r="B697" s="67" t="inlineStr">
        <is>
          <t>Số lượng đơn không vượt quá {{length}} đơn</t>
        </is>
      </c>
      <c r="C697" s="67" t="inlineStr">
        <is>
          <t>The order quantity must not exceed {{length}}</t>
        </is>
      </c>
      <c r="D697" s="3">
        <f>IFERROR(__xludf.DUMMYFUNCTION("GOOGLETRANSLATE(B697,""vi"",""km"")"),"ចំនួន​នៃ​ការ​បញ្ជា​ទិញ​មិន​ត្រូវ​លើស​ពី {{length}} ការ​បញ្ជា​ទិញ​ឡើយ")</f>
        <v/>
      </c>
      <c r="E697" s="3" t="inlineStr">
        <is>
          <t>ចំនួនបុងបញ្ញើមិនលើស{{length}}បុង</t>
        </is>
      </c>
      <c r="F697" s="217" t="inlineStr">
        <is>
          <t>x</t>
        </is>
      </c>
      <c r="G697" s="217" t="inlineStr">
        <is>
          <t>ចំនួនបុងបញ្ញើមិនលើស{{length}}បុង</t>
        </is>
      </c>
      <c r="H697" t="inlineStr">
        <is>
          <t>ចំនួនបុងបញ្ញើមិនលើស{{length}}បុង</t>
        </is>
      </c>
      <c r="I697" s="74" t="inlineStr">
        <is>
          <t>បរិមាណបញ្ជាទិញមិនត្រូវលើសពី</t>
        </is>
      </c>
      <c r="J697" s="217" t="inlineStr">
        <is>
          <t>"revenueOutput.overExcel": "The order quantity must not exceed {{length}}",</t>
        </is>
      </c>
    </row>
    <row r="698" ht="15.75" customHeight="1" s="305">
      <c r="A698" s="67" t="inlineStr">
        <is>
          <t>revenueOutput.fileNameExcel</t>
        </is>
      </c>
      <c r="B698" s="67" t="inlineStr">
        <is>
          <t>Baocaodoanhthu_sanluong</t>
        </is>
      </c>
      <c r="C698" s="67" t="inlineStr">
        <is>
          <t>Revenue_ProductionReport</t>
        </is>
      </c>
      <c r="D698" s="3">
        <f>IFERROR(__xludf.DUMMYFUNCTION("GOOGLETRANSLATE(B698,""vi"",""km"")"),"Baocaodoanhthu_sanluong")</f>
        <v/>
      </c>
      <c r="E698" s="67" t="inlineStr">
        <is>
          <t>របាយការណ៍ចំណូល_ផលិតផល</t>
        </is>
      </c>
      <c r="F698" s="217" t="inlineStr">
        <is>
          <t>x</t>
        </is>
      </c>
      <c r="G698" s="217" t="inlineStr">
        <is>
          <t>របាយការណ៍ចំណូល និងបរិមាណបញ្ញើ</t>
        </is>
      </c>
      <c r="H698" t="inlineStr">
        <is>
          <t>របាយការណ៍ចំណូល និងបរិមាណបញ្ញើ</t>
        </is>
      </c>
      <c r="I698" s="74" t="inlineStr">
        <is>
          <t>របាយការណ៍ផលិតកម្ម ចំណូល</t>
        </is>
      </c>
      <c r="J698" s="217" t="inlineStr">
        <is>
          <t>"revenueOutput.fileNameExcel": "Revenue_ProductionReport",</t>
        </is>
      </c>
    </row>
    <row r="699" ht="15.75" customHeight="1" s="305">
      <c r="A699" s="67" t="inlineStr">
        <is>
          <t>revenueOutput.fileNameExcelDetail</t>
        </is>
      </c>
      <c r="B699" s="67" t="inlineStr">
        <is>
          <t>Chitietbaocaodoanhthu</t>
        </is>
      </c>
      <c r="C699" s="67" t="inlineStr">
        <is>
          <t>RevenueReportDetails</t>
        </is>
      </c>
      <c r="D699" s="3">
        <f>IFERROR(__xludf.DUMMYFUNCTION("GOOGLETRANSLATE(B699,""vi"",""km"")"),"ឈិត បៅ អូក ដូនថូ")</f>
        <v/>
      </c>
      <c r="E699" s="3" t="inlineStr">
        <is>
          <t>របាយការណ៍ចំណូលលម្អិត</t>
        </is>
      </c>
      <c r="F699" s="217" t="inlineStr">
        <is>
          <t>x</t>
        </is>
      </c>
      <c r="G699" s="217" t="inlineStr">
        <is>
          <t>ព័ត៌មានលម្អិតរបាយការណ៍ចំណូល</t>
        </is>
      </c>
      <c r="H699" t="inlineStr">
        <is>
          <t>ព័ត៌មានលម្អិតរបាយការណ៍ចំណូល</t>
        </is>
      </c>
      <c r="I699" s="74" t="inlineStr">
        <is>
          <t>របាយការណ៍ចំណូលលម្អិត</t>
        </is>
      </c>
      <c r="J699" s="217" t="inlineStr">
        <is>
          <t>"revenueOutput.fileNameExcelDetail": "RevenueReportDetails",</t>
        </is>
      </c>
    </row>
    <row r="700" ht="15.75" customHeight="1" s="305">
      <c r="A700" s="67" t="inlineStr">
        <is>
          <t>backlog.GOODS</t>
        </is>
      </c>
      <c r="B700" s="67" t="inlineStr">
        <is>
          <t>Hàng</t>
        </is>
      </c>
      <c r="C700" s="67" t="inlineStr">
        <is>
          <t>Goods</t>
        </is>
      </c>
      <c r="D700" s="3">
        <f>IFERROR(__xludf.DUMMYFUNCTION("GOOGLETRANSLATE(B700,""vi"",""km"")"),"ជួរ")</f>
        <v/>
      </c>
      <c r="E700" s="159" t="inlineStr">
        <is>
          <t>អីវ៉ាន់</t>
        </is>
      </c>
      <c r="F700" s="217" t="inlineStr">
        <is>
          <t>x</t>
        </is>
      </c>
      <c r="G700" s="217" t="inlineStr">
        <is>
          <t>អីវ៉ាន់</t>
        </is>
      </c>
      <c r="H700" t="inlineStr">
        <is>
          <t>អីវ៉ាន់</t>
        </is>
      </c>
      <c r="I700" s="74" t="inlineStr">
        <is>
          <t>ទំនិញ</t>
        </is>
      </c>
      <c r="J700" s="217" t="inlineStr">
        <is>
          <t>"backlog.GOODS": "Goods",</t>
        </is>
      </c>
    </row>
    <row r="701" ht="15.75" customHeight="1" s="305">
      <c r="A701" s="67" t="inlineStr">
        <is>
          <t>backlog.DOCUMENT</t>
        </is>
      </c>
      <c r="B701" s="67" t="inlineStr">
        <is>
          <t>Thư</t>
        </is>
      </c>
      <c r="C701" s="67" t="inlineStr">
        <is>
          <t>Document</t>
        </is>
      </c>
      <c r="D701" s="3">
        <f>IFERROR(__xludf.DUMMYFUNCTION("GOOGLETRANSLATE(B701,""vi"",""km"")"),"សំបុត្រ")</f>
        <v/>
      </c>
      <c r="E701" s="3" t="inlineStr">
        <is>
          <t>សំបុត្រ</t>
        </is>
      </c>
      <c r="F701" s="217" t="inlineStr">
        <is>
          <t>v</t>
        </is>
      </c>
      <c r="G701" s="217" t="inlineStr">
        <is>
          <t>សំបុត្រ</t>
        </is>
      </c>
      <c r="H701" t="inlineStr">
        <is>
          <t>សំបុត្រ</t>
        </is>
      </c>
      <c r="I701" s="74" t="inlineStr">
        <is>
          <t>ឯកសារ</t>
        </is>
      </c>
      <c r="J701" s="217" t="inlineStr">
        <is>
          <t>"backlog.DOCUMENT": "Document",</t>
        </is>
      </c>
    </row>
    <row r="702" ht="15.75" customHeight="1" s="305">
      <c r="A702" s="67" t="inlineStr">
        <is>
          <t>backlog.branch</t>
        </is>
      </c>
      <c r="B702" s="67" t="inlineStr">
        <is>
          <t>Chi nhánh</t>
        </is>
      </c>
      <c r="C702" s="67" t="inlineStr">
        <is>
          <t>Delivery branch</t>
        </is>
      </c>
      <c r="D702" s="3">
        <f>IFERROR(__xludf.DUMMYFUNCTION("GOOGLETRANSLATE(B702,""vi"",""km"")"),"សាខា")</f>
        <v/>
      </c>
      <c r="E702" s="3" t="inlineStr">
        <is>
          <t>សាខា</t>
        </is>
      </c>
      <c r="F702" s="217" t="inlineStr">
        <is>
          <t>v</t>
        </is>
      </c>
      <c r="G702" s="217" t="inlineStr">
        <is>
          <t>សាខា</t>
        </is>
      </c>
      <c r="H702" t="inlineStr">
        <is>
          <t>សាខា</t>
        </is>
      </c>
      <c r="I702" s="74" t="inlineStr">
        <is>
          <t>សាខាដឹកជញ្ជូន</t>
        </is>
      </c>
      <c r="J702" s="217" t="inlineStr">
        <is>
          <t>"backlog.branch": "Delivery branch",</t>
        </is>
      </c>
    </row>
    <row r="703" ht="15.75" customHeight="1" s="305">
      <c r="A703" s="67" t="inlineStr">
        <is>
          <t>backlog.postOffice</t>
        </is>
      </c>
      <c r="B703" s="67" t="inlineStr">
        <is>
          <t>Bưu cục</t>
        </is>
      </c>
      <c r="C703" s="67" t="inlineStr">
        <is>
          <t>Delivery post office</t>
        </is>
      </c>
      <c r="D703" s="3">
        <f>IFERROR(__xludf.DUMMYFUNCTION("GOOGLETRANSLATE(B703,""vi"",""km"")"),"ការិយាល័យប្រៃសណីយ៍")</f>
        <v/>
      </c>
      <c r="E703" s="3" t="inlineStr">
        <is>
          <t>ការិយាល័យប្រៃសណីយ៍</t>
        </is>
      </c>
      <c r="F703" s="217" t="inlineStr">
        <is>
          <t>v</t>
        </is>
      </c>
      <c r="G703" s="217" t="inlineStr">
        <is>
          <t>ការិយាល័យប្រៃសណីយ៍</t>
        </is>
      </c>
      <c r="H703" t="inlineStr">
        <is>
          <t>ការិយាល័យប្រៃសណីយ៍</t>
        </is>
      </c>
      <c r="I703" s="74" t="inlineStr">
        <is>
          <t>ការិយាល័យប្រៃសណីយ៍ដឹកជញ្ជូន</t>
        </is>
      </c>
      <c r="J703" s="217" t="inlineStr">
        <is>
          <t>"backlog.postOffice": "Delivery post office",</t>
        </is>
      </c>
    </row>
    <row r="704" ht="15.75" customHeight="1" s="305">
      <c r="A704" s="67" t="inlineStr">
        <is>
          <t>backlog.routePostman</t>
        </is>
      </c>
      <c r="B704" s="67" t="inlineStr">
        <is>
          <t>Tuyến bưu tá</t>
        </is>
      </c>
      <c r="C704" s="67" t="inlineStr">
        <is>
          <t>Postman routes</t>
        </is>
      </c>
      <c r="D704" s="3">
        <f>IFERROR(__xludf.DUMMYFUNCTION("GOOGLETRANSLATE(B704,""vi"",""km"")"),"សេវាប្រៃសណីយ៍")</f>
        <v/>
      </c>
      <c r="E704" s="3" t="inlineStr">
        <is>
          <t>ផ្លូវរបស់អ្នកដឹក</t>
        </is>
      </c>
      <c r="F704" s="217" t="inlineStr">
        <is>
          <t>x</t>
        </is>
      </c>
      <c r="G704" s="217" t="inlineStr">
        <is>
          <t>ផ្លូវរបស់អ្នកដឹក</t>
        </is>
      </c>
      <c r="H704" t="inlineStr">
        <is>
          <t>ផ្លូវរបស់អ្នកដឹក</t>
        </is>
      </c>
      <c r="I704" s="74" t="inlineStr">
        <is>
          <t>ផ្លូវអ្នករត់សំបុត្រ</t>
        </is>
      </c>
      <c r="J704" s="217" t="inlineStr">
        <is>
          <t>"backlog.routePostman": "Postman routes",</t>
        </is>
      </c>
    </row>
    <row r="705" ht="15.75" customHeight="1" s="305">
      <c r="A705" s="67" t="inlineStr">
        <is>
          <t>backlog.route</t>
        </is>
      </c>
      <c r="B705" s="67" t="inlineStr">
        <is>
          <t>Tuyến</t>
        </is>
      </c>
      <c r="C705" s="67" t="inlineStr">
        <is>
          <t>Route</t>
        </is>
      </c>
      <c r="D705" s="3">
        <f>IFERROR(__xludf.DUMMYFUNCTION("GOOGLETRANSLATE(B705,""vi"",""km"")"),"ផ្លូវ")</f>
        <v/>
      </c>
      <c r="E705" s="3" t="inlineStr">
        <is>
          <t>ផ្លូវដឹក</t>
        </is>
      </c>
      <c r="F705" s="217" t="inlineStr">
        <is>
          <t>x</t>
        </is>
      </c>
      <c r="G705" s="217" t="inlineStr">
        <is>
          <t>ផ្លូវដឹក</t>
        </is>
      </c>
      <c r="H705" t="inlineStr">
        <is>
          <t>ផ្លូវដឹក</t>
        </is>
      </c>
      <c r="I705" s="74" t="inlineStr">
        <is>
          <t>ផ្លូវ</t>
        </is>
      </c>
      <c r="J705" s="217" t="inlineStr">
        <is>
          <t>"backlog.route": "Route",</t>
        </is>
      </c>
    </row>
    <row r="706" ht="15.75" customHeight="1" s="305">
      <c r="A706" s="67" t="inlineStr">
        <is>
          <t>backlog.totalInventory</t>
        </is>
      </c>
      <c r="B706" s="67" t="inlineStr">
        <is>
          <t>Tổng tồn</t>
        </is>
      </c>
      <c r="C706" s="67" t="inlineStr">
        <is>
          <t>Total inventory</t>
        </is>
      </c>
      <c r="D706" s="3">
        <f>IFERROR(__xludf.DUMMYFUNCTION("GOOGLETRANSLATE(B706,""vi"",""km"")"),"ស្តុកសរុប")</f>
        <v/>
      </c>
      <c r="E706" s="3" t="inlineStr">
        <is>
          <t>សរុបស្តុកនៅសល់</t>
        </is>
      </c>
      <c r="F706" s="217" t="inlineStr">
        <is>
          <t>x</t>
        </is>
      </c>
      <c r="G706" s="217" t="inlineStr">
        <is>
          <t>សរុបស្តុកនៅសល់</t>
        </is>
      </c>
      <c r="H706" t="inlineStr">
        <is>
          <t>សរុបស្តុកនៅសល់</t>
        </is>
      </c>
      <c r="I706" s="74" t="inlineStr">
        <is>
          <t>សារពើភ័ណ្ឌសរុប</t>
        </is>
      </c>
      <c r="J706" s="217" t="inlineStr">
        <is>
          <t>"backlog.totalInventory": "Total inventory",</t>
        </is>
      </c>
    </row>
    <row r="707" ht="15.75" customHeight="1" s="305">
      <c r="A707" s="67" t="inlineStr">
        <is>
          <t>backlog.orderId</t>
        </is>
      </c>
      <c r="B707" s="67" t="inlineStr">
        <is>
          <t>Mã phiếu gửi</t>
        </is>
      </c>
      <c r="C707" s="67" t="inlineStr">
        <is>
          <t>Billcode</t>
        </is>
      </c>
      <c r="D707" s="3">
        <f>IFERROR(__xludf.DUMMYFUNCTION("GOOGLETRANSLATE(B707,""vi"",""km"")"),"លេខកូដបង្កាន់ដៃ")</f>
        <v/>
      </c>
      <c r="E707" s="3" t="inlineStr">
        <is>
          <t>កូដបុងបញ្ញើ</t>
        </is>
      </c>
      <c r="F707" s="217" t="inlineStr">
        <is>
          <t>v</t>
        </is>
      </c>
      <c r="G707" s="217" t="inlineStr">
        <is>
          <t>លេខកូដបុងបញ្ញើ</t>
        </is>
      </c>
      <c r="H707" t="inlineStr">
        <is>
          <t>លេខកូដបុងបញ្ញើ</t>
        </is>
      </c>
      <c r="I707" s="74" t="inlineStr">
        <is>
          <t>វិក័យប័ត្រ</t>
        </is>
      </c>
      <c r="J707" s="217" t="inlineStr">
        <is>
          <t>"backlog.orderId": "Billcode",</t>
        </is>
      </c>
    </row>
    <row r="708" ht="15.75" customHeight="1" s="305">
      <c r="A708" s="67" t="inlineStr">
        <is>
          <t>backlog.status</t>
        </is>
      </c>
      <c r="B708" s="67" t="inlineStr">
        <is>
          <t>Trạng thái</t>
        </is>
      </c>
      <c r="C708" s="67" t="inlineStr">
        <is>
          <t>Status</t>
        </is>
      </c>
      <c r="D708" s="3">
        <f>IFERROR(__xludf.DUMMYFUNCTION("GOOGLETRANSLATE(B708,""vi"",""km"")"),"ស្ថានភាព")</f>
        <v/>
      </c>
      <c r="E708" s="3" t="inlineStr">
        <is>
          <t>ស្ថានភាព</t>
        </is>
      </c>
      <c r="F708" s="217" t="inlineStr">
        <is>
          <t>v</t>
        </is>
      </c>
      <c r="G708" s="217" t="inlineStr">
        <is>
          <t>ស្ថានភាព</t>
        </is>
      </c>
      <c r="H708" t="inlineStr">
        <is>
          <t>ស្ថានភាព</t>
        </is>
      </c>
      <c r="I708" s="74" t="inlineStr">
        <is>
          <t>ស្ថានភាព</t>
        </is>
      </c>
      <c r="J708" s="217" t="inlineStr">
        <is>
          <t>"backlog.status": "Status",</t>
        </is>
      </c>
    </row>
    <row r="709" ht="15.75" customHeight="1" s="305">
      <c r="A709" s="67" t="inlineStr">
        <is>
          <t>backlog.type</t>
        </is>
      </c>
      <c r="B709" s="67" t="inlineStr">
        <is>
          <t>Loại cảnh báo</t>
        </is>
      </c>
      <c r="C709" s="67" t="inlineStr">
        <is>
          <t>Warning type</t>
        </is>
      </c>
      <c r="D709" s="3">
        <f>IFERROR(__xludf.DUMMYFUNCTION("GOOGLETRANSLATE(B709,""vi"",""km"")"),"ប្រភេទនៃការជូនដំណឹង")</f>
        <v/>
      </c>
      <c r="E709" s="3" t="inlineStr">
        <is>
          <t>ប្រភេទនៃការជូនដំណឹង</t>
        </is>
      </c>
      <c r="F709" s="217" t="inlineStr">
        <is>
          <t>v</t>
        </is>
      </c>
      <c r="G709" s="217" t="inlineStr">
        <is>
          <t>ប្រភេទនៃការជូនដំណឹង</t>
        </is>
      </c>
      <c r="H709" t="inlineStr">
        <is>
          <t>ប្រភេទនៃការជូនដំណឹង</t>
        </is>
      </c>
      <c r="I709" s="74" t="inlineStr">
        <is>
          <t>ប្រភេទព្រមាន</t>
        </is>
      </c>
      <c r="J709" s="217" t="inlineStr">
        <is>
          <t>"backlog.type": "Warning type",</t>
        </is>
      </c>
    </row>
    <row r="710" ht="15.75" customHeight="1" s="305">
      <c r="A710" s="67" t="inlineStr">
        <is>
          <t>backlog.deliveryBranch</t>
        </is>
      </c>
      <c r="B710" s="67" t="inlineStr">
        <is>
          <t>Chi nhánh phát</t>
        </is>
      </c>
      <c r="C710" s="67" t="inlineStr">
        <is>
          <t>Delivery branch</t>
        </is>
      </c>
      <c r="D710" s="3">
        <f>IFERROR(__xludf.DUMMYFUNCTION("GOOGLETRANSLATE(B710,""vi"",""km"")"),"សាខា")</f>
        <v/>
      </c>
      <c r="E710" s="3" t="inlineStr">
        <is>
          <t>សាខាដឹកជញ្ជូន</t>
        </is>
      </c>
      <c r="F710" s="217" t="inlineStr">
        <is>
          <t>v</t>
        </is>
      </c>
      <c r="G710" s="217" t="inlineStr">
        <is>
          <t>សាខាដឹកជញ្ជូន</t>
        </is>
      </c>
      <c r="H710" t="inlineStr">
        <is>
          <t>សាខាដឹកជញ្ជូន</t>
        </is>
      </c>
      <c r="I710" s="74" t="inlineStr">
        <is>
          <t>សាខាដឹកជញ្ជូន</t>
        </is>
      </c>
      <c r="J710" s="217" t="inlineStr">
        <is>
          <t>"backlog.deliveryBranch": "Delivery branch",</t>
        </is>
      </c>
    </row>
    <row r="711" ht="15.75" customHeight="1" s="305">
      <c r="A711" s="67" t="inlineStr">
        <is>
          <t>backlog.deliveryPostcode</t>
        </is>
      </c>
      <c r="B711" s="67" t="inlineStr">
        <is>
          <t>Bưu cục phát</t>
        </is>
      </c>
      <c r="C711" s="67" t="inlineStr">
        <is>
          <t>Delivery postcode</t>
        </is>
      </c>
      <c r="D711" s="3">
        <f>IFERROR(__xludf.DUMMYFUNCTION("GOOGLETRANSLATE(B711,""vi"",""km"")"),"ការិយាល័យប្រៃសណីយ៍ដឹកជញ្ជូន")</f>
        <v/>
      </c>
      <c r="E711" s="3" t="inlineStr">
        <is>
          <t>ការិយាល័យប្រៃសណីយ៍ដឹកជញ្ជូន</t>
        </is>
      </c>
      <c r="F711" s="217" t="inlineStr">
        <is>
          <t>v</t>
        </is>
      </c>
      <c r="G711" s="217" t="inlineStr">
        <is>
          <t>ការិយាល័យប្រៃសណីយ៍ដឹកចែក</t>
        </is>
      </c>
      <c r="H711" t="inlineStr">
        <is>
          <t>ការិយាល័យប្រៃសណីយ៍ដឹកចែក</t>
        </is>
      </c>
      <c r="I711" s="74" t="inlineStr">
        <is>
          <t>លេខកូដប្រៃសណីយ៍ដឹកជញ្ជូន</t>
        </is>
      </c>
      <c r="J711" s="217" t="inlineStr">
        <is>
          <t>"backlog.deliveryPostcode": "Delivery postcode",</t>
        </is>
      </c>
    </row>
    <row r="712" ht="15.75" customHeight="1" s="305">
      <c r="A712" s="67" t="inlineStr">
        <is>
          <t>backlog.deliveryRoute</t>
        </is>
      </c>
      <c r="B712" s="67" t="inlineStr">
        <is>
          <t>Tuyến bưu tá phát</t>
        </is>
      </c>
      <c r="C712" s="67" t="inlineStr">
        <is>
          <t>Delivery route</t>
        </is>
      </c>
      <c r="D712" s="3">
        <f>IFERROR(__xludf.DUMMYFUNCTION("GOOGLETRANSLATE(B712,""vi"",""km"")"),"សេវាកម្មដឹកជញ្ជូនប្រៃសណីយ៍")</f>
        <v/>
      </c>
      <c r="E712" s="3" t="inlineStr">
        <is>
          <t>ផ្លូវអ្នកដឹកជញ្ជូន</t>
        </is>
      </c>
      <c r="F712" s="217" t="inlineStr">
        <is>
          <t>x</t>
        </is>
      </c>
      <c r="G712" s="217" t="inlineStr">
        <is>
          <t>ផ្លូវអ្នកដឹកជញ្ជូន</t>
        </is>
      </c>
      <c r="H712" t="inlineStr">
        <is>
          <t>ផ្លូវអ្នកដឹកជញ្ជូន</t>
        </is>
      </c>
      <c r="I712" s="74" t="inlineStr">
        <is>
          <t>ផ្លូវដឹកជញ្ជូន</t>
        </is>
      </c>
      <c r="J712" s="217" t="inlineStr">
        <is>
          <t>"backlog.deliveryRoute": "Delivery route",</t>
        </is>
      </c>
    </row>
    <row r="713" ht="15.75" customHeight="1" s="305">
      <c r="A713" s="67" t="inlineStr">
        <is>
          <t>backlog.popupTitle</t>
        </is>
      </c>
      <c r="B713" s="67" t="inlineStr">
        <is>
          <t>Chi tiết bưu gửi tồn giao</t>
        </is>
      </c>
      <c r="C713" s="67" t="inlineStr">
        <is>
          <t>Detail delivery backlog order</t>
        </is>
      </c>
      <c r="D713" s="3">
        <f>IFERROR(__xludf.DUMMYFUNCTION("GOOGLETRANSLATE(B713,""vi"",""km"")"),"ព័ត៌មានលម្អិតនៃសំបុត្រដែលមិនទាន់បានបញ្ជូន")</f>
        <v/>
      </c>
      <c r="E713" s="3" t="inlineStr">
        <is>
          <t>លម្អិតពីបញ្ញើដែលនៅសល់</t>
        </is>
      </c>
      <c r="F713" s="217" t="inlineStr">
        <is>
          <t>x</t>
        </is>
      </c>
      <c r="G713" s="217" t="inlineStr">
        <is>
          <t>លម្អិតពីបញ្ញើដែលនៅសល់</t>
        </is>
      </c>
      <c r="H713" t="inlineStr">
        <is>
          <t>លម្អិតពីបញ្ញើដែលនៅសល់</t>
        </is>
      </c>
      <c r="I713" s="74" t="inlineStr">
        <is>
          <t>ព័ត៌មានលម្អិតនៃសំបុត្រដែលមិនទាន់បានបញ្ជូន</t>
        </is>
      </c>
      <c r="J713" s="217" t="inlineStr">
        <is>
          <t>"backlog.popupTitle": "Detail delivery backlog order",</t>
        </is>
      </c>
    </row>
    <row r="714" ht="15.75" customHeight="1" s="305">
      <c r="A714" s="67" t="inlineStr">
        <is>
          <t>backlog.fileName</t>
        </is>
      </c>
      <c r="B714" s="67" t="inlineStr">
        <is>
          <t>Baocaotongiao</t>
        </is>
      </c>
      <c r="C714" s="67" t="inlineStr">
        <is>
          <t>DeliveryInventoryReport</t>
        </is>
      </c>
      <c r="D714" s="3">
        <f>IFERROR(__xludf.DUMMYFUNCTION("GOOGLETRANSLATE(B714,""vi"",""km"")"),"បាវកៅតុន យ៉ាវ")</f>
        <v/>
      </c>
      <c r="E714" s="3" t="inlineStr">
        <is>
          <t>របាយការណ៍ពីបញ្ញើដែលនៅសល់</t>
        </is>
      </c>
      <c r="F714" s="217" t="inlineStr">
        <is>
          <t>x</t>
        </is>
      </c>
      <c r="G714" s="217" t="inlineStr">
        <is>
          <t>របាយការណ៍បញ្ញើសេសសល់ត្រូវដឹកចែក</t>
        </is>
      </c>
      <c r="H714" t="inlineStr">
        <is>
          <t>របាយការណ៍បញ្ញើសេសសល់ត្រូវដឹកចែក</t>
        </is>
      </c>
      <c r="I714" s="74" t="inlineStr">
        <is>
          <t>DeliveryInventoryReport</t>
        </is>
      </c>
      <c r="J714" s="217" t="inlineStr">
        <is>
          <t>"backlog.fileName": "DeliveryInventoryReport",</t>
        </is>
      </c>
    </row>
    <row r="715" ht="15.75" customHeight="1" s="305">
      <c r="A715" s="67" t="inlineStr">
        <is>
          <t>backlog.fileNameDetail</t>
        </is>
      </c>
      <c r="B715" s="67" t="inlineStr">
        <is>
          <t>Chitietongiao</t>
        </is>
      </c>
      <c r="C715" s="67" t="inlineStr">
        <is>
          <t>DetailDeliveryInventory</t>
        </is>
      </c>
      <c r="D715" s="3">
        <f>IFERROR(__xludf.DUMMYFUNCTION("GOOGLETRANSLATE(B715,""vi"",""km"")"),"ឈីទីតុងយ៉ាវ")</f>
        <v/>
      </c>
      <c r="E715" s="3" t="inlineStr">
        <is>
          <t>លម្អិតពីបញ្ញើដែលនៅសល់</t>
        </is>
      </c>
      <c r="F715" s="217" t="inlineStr">
        <is>
          <t>x</t>
        </is>
      </c>
      <c r="G715" s="217" t="inlineStr">
        <is>
          <t>ព័ត៌មានលម្អិតបញ្ញើសេសសល់ត្រូវដឹកចែក</t>
        </is>
      </c>
      <c r="H715" t="inlineStr">
        <is>
          <t>ព័ត៌មានលម្អិតបញ្ញើសេសសល់ត្រូវដឹកចែក</t>
        </is>
      </c>
      <c r="I715" s="74" t="inlineStr">
        <is>
          <t>DetailDeliveryInventory</t>
        </is>
      </c>
      <c r="J715" s="217" t="inlineStr">
        <is>
          <t>"backlog.fileNameDetail": "DetailDeliveryInventory",</t>
        </is>
      </c>
    </row>
    <row r="716" ht="15.75" customHeight="1" s="305">
      <c r="A716" s="67" t="inlineStr">
        <is>
          <t>backlog.ngayN</t>
        </is>
      </c>
      <c r="B716" s="67" t="inlineStr">
        <is>
          <t>Ngày n</t>
        </is>
      </c>
      <c r="C716" s="67" t="inlineStr">
        <is>
          <t>Day n</t>
        </is>
      </c>
      <c r="D716" s="3">
        <f>IFERROR(__xludf.DUMMYFUNCTION("GOOGLETRANSLATE(B716,""vi"",""km"")"),"ថ្ងៃ n")</f>
        <v/>
      </c>
      <c r="E716" s="3" t="inlineStr">
        <is>
          <t>ថ្ងៃ n</t>
        </is>
      </c>
      <c r="F716" s="217" t="inlineStr">
        <is>
          <t>v</t>
        </is>
      </c>
      <c r="G716" s="217" t="inlineStr">
        <is>
          <t>ថ្ងៃ n</t>
        </is>
      </c>
      <c r="H716" t="inlineStr">
        <is>
          <t>ថ្ងៃ n</t>
        </is>
      </c>
      <c r="I716" s="74" t="inlineStr">
        <is>
          <t>ថ្ងៃ n</t>
        </is>
      </c>
      <c r="J716" s="217" t="inlineStr">
        <is>
          <t>"backlog.ngayN": "Day n",</t>
        </is>
      </c>
    </row>
    <row r="717" ht="15.75" customHeight="1" s="305">
      <c r="A717" s="67" t="inlineStr">
        <is>
          <t>backlog.ngayN1</t>
        </is>
      </c>
      <c r="B717" s="67" t="inlineStr">
        <is>
          <t>Ngày n - 1</t>
        </is>
      </c>
      <c r="C717" s="67" t="inlineStr">
        <is>
          <t>Day n - 1</t>
        </is>
      </c>
      <c r="D717" s="3">
        <f>IFERROR(__xludf.DUMMYFUNCTION("GOOGLETRANSLATE(B717,""vi"",""km"")"),"ថ្ងៃទី n - 1")</f>
        <v/>
      </c>
      <c r="E717" s="3" t="inlineStr">
        <is>
          <t>ថ្ងៃ n-1</t>
        </is>
      </c>
      <c r="F717" s="217" t="inlineStr">
        <is>
          <t>v</t>
        </is>
      </c>
      <c r="G717" s="217" t="inlineStr">
        <is>
          <t>ថ្ងៃ n-1</t>
        </is>
      </c>
      <c r="H717" t="inlineStr">
        <is>
          <t>ថ្ងៃ n-1</t>
        </is>
      </c>
      <c r="I717" s="74" t="inlineStr">
        <is>
          <t>ថ្ងៃ n - 1</t>
        </is>
      </c>
      <c r="J717" s="217" t="inlineStr">
        <is>
          <t>"backlog.ngayN1": "Day n - 1",</t>
        </is>
      </c>
    </row>
    <row r="718" ht="15.75" customHeight="1" s="305">
      <c r="A718" s="67" t="inlineStr">
        <is>
          <t>backlog.ngayN2</t>
        </is>
      </c>
      <c r="B718" s="67" t="inlineStr">
        <is>
          <t>Ngày n - 2</t>
        </is>
      </c>
      <c r="C718" s="67" t="inlineStr">
        <is>
          <t>Day n - 2</t>
        </is>
      </c>
      <c r="D718" s="3">
        <f>IFERROR(__xludf.DUMMYFUNCTION("GOOGLETRANSLATE(B718,""vi"",""km"")"),"ថ្ងៃទី n - 2")</f>
        <v/>
      </c>
      <c r="E718" s="3" t="inlineStr">
        <is>
          <t>ថ្ងៃ n-2</t>
        </is>
      </c>
      <c r="F718" s="217" t="inlineStr">
        <is>
          <t>v</t>
        </is>
      </c>
      <c r="G718" s="217" t="inlineStr">
        <is>
          <t>ថ្ងៃ n-2</t>
        </is>
      </c>
      <c r="H718" t="inlineStr">
        <is>
          <t>ថ្ងៃ n-2</t>
        </is>
      </c>
      <c r="I718" s="74" t="inlineStr">
        <is>
          <t>ថ្ងៃ n - 2</t>
        </is>
      </c>
      <c r="J718" s="217" t="inlineStr">
        <is>
          <t>"backlog.ngayN2": "Day n - 2",</t>
        </is>
      </c>
    </row>
    <row r="719" ht="15.75" customHeight="1" s="305">
      <c r="A719" s="67" t="inlineStr">
        <is>
          <t>backlog.ngayN3</t>
        </is>
      </c>
      <c r="B719" s="67" t="inlineStr">
        <is>
          <t>Ngày n - 3</t>
        </is>
      </c>
      <c r="C719" s="67" t="inlineStr">
        <is>
          <t>Day n - 3</t>
        </is>
      </c>
      <c r="D719" s="3">
        <f>IFERROR(__xludf.DUMMYFUNCTION("GOOGLETRANSLATE(B719,""vi"",""km"")"),"ថ្ងៃទី n - 3")</f>
        <v/>
      </c>
      <c r="E719" s="3" t="inlineStr">
        <is>
          <t>ថ្ងៃ n-3</t>
        </is>
      </c>
      <c r="F719" s="217" t="inlineStr">
        <is>
          <t>v</t>
        </is>
      </c>
      <c r="G719" s="217" t="inlineStr">
        <is>
          <t>ថ្ងៃ n-3</t>
        </is>
      </c>
      <c r="H719" t="inlineStr">
        <is>
          <t>ថ្ងៃ n-3</t>
        </is>
      </c>
      <c r="I719" s="74" t="inlineStr">
        <is>
          <t>ថ្ងៃ n - 3</t>
        </is>
      </c>
      <c r="J719" s="217" t="inlineStr">
        <is>
          <t>"backlog.ngayN3": "Day n - 3",</t>
        </is>
      </c>
    </row>
    <row r="720" ht="15.75" customHeight="1" s="305">
      <c r="A720" s="67" t="inlineStr">
        <is>
          <t>backlog.ngayN4</t>
        </is>
      </c>
      <c r="B720" s="67" t="inlineStr">
        <is>
          <t>Ngày n - 4</t>
        </is>
      </c>
      <c r="C720" s="67" t="inlineStr">
        <is>
          <t>Day n - 4</t>
        </is>
      </c>
      <c r="D720" s="3">
        <f>IFERROR(__xludf.DUMMYFUNCTION("GOOGLETRANSLATE(B720,""vi"",""km"")"),"ថ្ងៃទី n - ៤")</f>
        <v/>
      </c>
      <c r="E720" s="3" t="inlineStr">
        <is>
          <t>ថ្ងៃ n-4</t>
        </is>
      </c>
      <c r="F720" s="217" t="inlineStr">
        <is>
          <t>v</t>
        </is>
      </c>
      <c r="G720" s="217" t="inlineStr">
        <is>
          <t>ថ្ងៃ n-4</t>
        </is>
      </c>
      <c r="H720" t="inlineStr">
        <is>
          <t>ថ្ងៃ n-4</t>
        </is>
      </c>
      <c r="I720" s="74" t="inlineStr">
        <is>
          <t>ថ្ងៃ n - 4</t>
        </is>
      </c>
      <c r="J720" s="217" t="inlineStr">
        <is>
          <t>"backlog.ngayN4": "Day n - 4",</t>
        </is>
      </c>
    </row>
    <row r="721" ht="15.75" customHeight="1" s="305">
      <c r="A721" s="67" t="inlineStr">
        <is>
          <t>backlog.ngayN5</t>
        </is>
      </c>
      <c r="B721" s="67" t="inlineStr">
        <is>
          <t>Ngày n - 5</t>
        </is>
      </c>
      <c r="C721" s="67" t="inlineStr">
        <is>
          <t>Day n - 5</t>
        </is>
      </c>
      <c r="D721" s="3">
        <f>IFERROR(__xludf.DUMMYFUNCTION("GOOGLETRANSLATE(B721,""vi"",""km"")"),"ថ្ងៃទី n - 5")</f>
        <v/>
      </c>
      <c r="E721" s="3" t="inlineStr">
        <is>
          <t>ថ្ងៃ n-5</t>
        </is>
      </c>
      <c r="F721" s="217" t="inlineStr">
        <is>
          <t>v</t>
        </is>
      </c>
      <c r="G721" s="217" t="inlineStr">
        <is>
          <t>ថ្ងៃ n-5</t>
        </is>
      </c>
      <c r="H721" t="inlineStr">
        <is>
          <t>ថ្ងៃ n-5</t>
        </is>
      </c>
      <c r="I721" s="74" t="inlineStr">
        <is>
          <t>ថ្ងៃ n - 5</t>
        </is>
      </c>
      <c r="J721" s="217" t="inlineStr">
        <is>
          <t>"backlog.ngayN5": "Day n - 5",</t>
        </is>
      </c>
    </row>
    <row r="722" ht="15.75" customHeight="1" s="305">
      <c r="A722" s="67" t="inlineStr">
        <is>
          <t>backlog.ngayN6</t>
        </is>
      </c>
      <c r="B722" s="67" t="inlineStr">
        <is>
          <t>Ngày n - 6</t>
        </is>
      </c>
      <c r="C722" s="67" t="inlineStr">
        <is>
          <t>Day n - 6</t>
        </is>
      </c>
      <c r="D722" s="3">
        <f>IFERROR(__xludf.DUMMYFUNCTION("GOOGLETRANSLATE(B722,""vi"",""km"")"),"ថ្ងៃទី n - 6")</f>
        <v/>
      </c>
      <c r="E722" s="3" t="inlineStr">
        <is>
          <t>ថ្ងៃ n-6</t>
        </is>
      </c>
      <c r="F722" s="217" t="inlineStr">
        <is>
          <t>v</t>
        </is>
      </c>
      <c r="G722" s="217" t="inlineStr">
        <is>
          <t>ថ្ងៃ n-6</t>
        </is>
      </c>
      <c r="H722" t="inlineStr">
        <is>
          <t>ថ្ងៃ n-6</t>
        </is>
      </c>
      <c r="I722" s="74" t="inlineStr">
        <is>
          <t>ថ្ងៃ n - 6</t>
        </is>
      </c>
      <c r="J722" s="217" t="inlineStr">
        <is>
          <t>"backlog.ngayN6": "Day n - 6",</t>
        </is>
      </c>
    </row>
    <row r="723" ht="15.75" customHeight="1" s="305">
      <c r="A723" s="67" t="inlineStr">
        <is>
          <t>backlog.ngayN7</t>
        </is>
      </c>
      <c r="B723" s="67" t="inlineStr">
        <is>
          <t>Ngày n - 7</t>
        </is>
      </c>
      <c r="C723" s="67" t="inlineStr">
        <is>
          <t>Day n - 7</t>
        </is>
      </c>
      <c r="D723" s="3">
        <f>IFERROR(__xludf.DUMMYFUNCTION("GOOGLETRANSLATE(B723,""vi"",""km"")"),"ថ្ងៃទី n - 7")</f>
        <v/>
      </c>
      <c r="E723" s="3" t="inlineStr">
        <is>
          <t>ថ្ងៃ n-7</t>
        </is>
      </c>
      <c r="F723" s="217" t="inlineStr">
        <is>
          <t>v</t>
        </is>
      </c>
      <c r="G723" s="217" t="inlineStr">
        <is>
          <t>ថ្ងៃ n-7</t>
        </is>
      </c>
      <c r="H723" t="inlineStr">
        <is>
          <t>ថ្ងៃ n-7</t>
        </is>
      </c>
      <c r="I723" s="74" t="inlineStr">
        <is>
          <t>ថ្ងៃ n - 7</t>
        </is>
      </c>
      <c r="J723" s="217" t="inlineStr">
        <is>
          <t>"backlog.ngayN7": "Day n - 7",</t>
        </is>
      </c>
    </row>
    <row r="724" ht="15.75" customHeight="1" s="305">
      <c r="A724" s="67" t="inlineStr">
        <is>
          <t>backlog.ngayN8</t>
        </is>
      </c>
      <c r="B724" s="67" t="inlineStr">
        <is>
          <t>Ngày n - 8</t>
        </is>
      </c>
      <c r="C724" s="67" t="inlineStr">
        <is>
          <t>Day n - 8</t>
        </is>
      </c>
      <c r="D724" s="3">
        <f>IFERROR(__xludf.DUMMYFUNCTION("GOOGLETRANSLATE(B724,""vi"",""km"")"),"ថ្ងៃទី n - 8")</f>
        <v/>
      </c>
      <c r="E724" s="3" t="inlineStr">
        <is>
          <t>ថ្ងៃ n-8</t>
        </is>
      </c>
      <c r="F724" s="217" t="inlineStr">
        <is>
          <t>v</t>
        </is>
      </c>
      <c r="G724" s="217" t="inlineStr">
        <is>
          <t>ថ្ងៃ n-8</t>
        </is>
      </c>
      <c r="H724" t="inlineStr">
        <is>
          <t>ថ្ងៃ n-8</t>
        </is>
      </c>
      <c r="I724" s="74" t="inlineStr">
        <is>
          <t>ថ្ងៃ n - 8</t>
        </is>
      </c>
      <c r="J724" s="217" t="inlineStr">
        <is>
          <t>"backlog.ngayN8": "Day n - 8",</t>
        </is>
      </c>
    </row>
    <row r="725" ht="15.75" customHeight="1" s="305">
      <c r="A725" s="67" t="inlineStr">
        <is>
          <t>backlog.ngayN9</t>
        </is>
      </c>
      <c r="B725" s="67" t="inlineStr">
        <is>
          <t>Ngày n - 9</t>
        </is>
      </c>
      <c r="C725" s="67" t="inlineStr">
        <is>
          <t>Day n - 9</t>
        </is>
      </c>
      <c r="D725" s="3">
        <f>IFERROR(__xludf.DUMMYFUNCTION("GOOGLETRANSLATE(B725,""vi"",""km"")"),"កាលបរិច្ឆេទ n - 9")</f>
        <v/>
      </c>
      <c r="E725" s="3" t="inlineStr">
        <is>
          <t>ថ្ងៃ n-9</t>
        </is>
      </c>
      <c r="F725" s="217" t="inlineStr">
        <is>
          <t>v</t>
        </is>
      </c>
      <c r="G725" s="217" t="inlineStr">
        <is>
          <t>ថ្ងៃ n-9</t>
        </is>
      </c>
      <c r="H725" t="inlineStr">
        <is>
          <t>ថ្ងៃ n-9</t>
        </is>
      </c>
      <c r="I725" s="74" t="inlineStr">
        <is>
          <t>ថ្ងៃ n - 9</t>
        </is>
      </c>
      <c r="J725" s="217" t="inlineStr">
        <is>
          <t>"backlog.ngayN9": "Day n - 9",</t>
        </is>
      </c>
    </row>
    <row r="726" ht="15.75" customHeight="1" s="305">
      <c r="A726" s="67" t="inlineStr">
        <is>
          <t>inventory.branch</t>
        </is>
      </c>
      <c r="B726" s="67" t="inlineStr">
        <is>
          <t>Chi nhánh</t>
        </is>
      </c>
      <c r="C726" s="67" t="inlineStr">
        <is>
          <t>Branch</t>
        </is>
      </c>
      <c r="D726" s="3">
        <f>IFERROR(__xludf.DUMMYFUNCTION("GOOGLETRANSLATE(B726,""vi"",""km"")"),"សាខា")</f>
        <v/>
      </c>
      <c r="E726" s="3" t="inlineStr">
        <is>
          <t>សាខា</t>
        </is>
      </c>
      <c r="F726" s="217" t="inlineStr">
        <is>
          <t>v</t>
        </is>
      </c>
      <c r="G726" s="217" t="inlineStr">
        <is>
          <t>សាខា</t>
        </is>
      </c>
      <c r="H726" t="inlineStr">
        <is>
          <t>សាខា</t>
        </is>
      </c>
      <c r="I726" s="74" t="inlineStr">
        <is>
          <t>សាខា</t>
        </is>
      </c>
      <c r="J726" s="217" t="inlineStr">
        <is>
          <t>"inventory.branch": "Branch",</t>
        </is>
      </c>
    </row>
    <row r="727" ht="15.75" customHeight="1" s="305">
      <c r="A727" s="67" t="inlineStr">
        <is>
          <t>inventory.postOffice</t>
        </is>
      </c>
      <c r="B727" s="67" t="inlineStr">
        <is>
          <t>Bưu cục</t>
        </is>
      </c>
      <c r="C727" s="67" t="inlineStr">
        <is>
          <t>Post office</t>
        </is>
      </c>
      <c r="D727" s="3">
        <f>IFERROR(__xludf.DUMMYFUNCTION("GOOGLETRANSLATE(B727,""vi"",""km"")"),"ការិយាល័យប្រៃសណីយ៍")</f>
        <v/>
      </c>
      <c r="E727" s="3" t="inlineStr">
        <is>
          <t>ការិយាល័យប្រៃសណីយ៍</t>
        </is>
      </c>
      <c r="F727" s="217" t="inlineStr">
        <is>
          <t>v</t>
        </is>
      </c>
      <c r="G727" s="217" t="inlineStr">
        <is>
          <t>ការិយាល័យប្រៃសណីយ៍</t>
        </is>
      </c>
      <c r="H727" t="inlineStr">
        <is>
          <t>ការិយាល័យប្រៃសណីយ៍</t>
        </is>
      </c>
      <c r="I727" s="74" t="inlineStr">
        <is>
          <t>ការិយាល័យប្រៃសណីយ៍</t>
        </is>
      </c>
      <c r="J727" s="217" t="inlineStr">
        <is>
          <t>"inventory.postOffice": "Post office",</t>
        </is>
      </c>
    </row>
    <row r="728" ht="15.75" customHeight="1" s="305">
      <c r="A728" s="67" t="inlineStr">
        <is>
          <t>inventory.route</t>
        </is>
      </c>
      <c r="B728" s="67" t="inlineStr">
        <is>
          <t>Tuyến</t>
        </is>
      </c>
      <c r="C728" s="67" t="inlineStr">
        <is>
          <t>Route</t>
        </is>
      </c>
      <c r="D728" s="3">
        <f>IFERROR(__xludf.DUMMYFUNCTION("GOOGLETRANSLATE(B728,""vi"",""km"")"),"ផ្លូវ")</f>
        <v/>
      </c>
      <c r="E728" s="3" t="inlineStr">
        <is>
          <t>ផ្លូវដឹក</t>
        </is>
      </c>
      <c r="F728" s="217" t="inlineStr">
        <is>
          <t>x</t>
        </is>
      </c>
      <c r="G728" s="217" t="inlineStr">
        <is>
          <t>ផ្លូវដឹក</t>
        </is>
      </c>
      <c r="H728" t="inlineStr">
        <is>
          <t>ផ្លូវដឹក</t>
        </is>
      </c>
      <c r="I728" s="74" t="inlineStr">
        <is>
          <t>ផ្លូវ</t>
        </is>
      </c>
      <c r="J728" s="217" t="inlineStr">
        <is>
          <t>"inventory.route": "Route",</t>
        </is>
      </c>
    </row>
    <row r="729" ht="15.75" customHeight="1" s="305">
      <c r="A729" s="67" t="inlineStr">
        <is>
          <t>inventory.selectBranch</t>
        </is>
      </c>
      <c r="B729" s="67" t="inlineStr">
        <is>
          <t>Chọn chi nhánh</t>
        </is>
      </c>
      <c r="C729" s="67" t="inlineStr">
        <is>
          <t>Select branch</t>
        </is>
      </c>
      <c r="D729" s="3">
        <f>IFERROR(__xludf.DUMMYFUNCTION("GOOGLETRANSLATE(B729,""vi"",""km"")"),"ជ្រើសរើសសាខាមួយ")</f>
        <v/>
      </c>
      <c r="E729" s="3" t="inlineStr">
        <is>
          <t>ជ្រើសរើសសាខា</t>
        </is>
      </c>
      <c r="F729" s="217" t="inlineStr">
        <is>
          <t>v</t>
        </is>
      </c>
      <c r="G729" s="217" t="inlineStr">
        <is>
          <t>ជ្រើសរើសសាខា</t>
        </is>
      </c>
      <c r="H729" t="inlineStr">
        <is>
          <t>ជ្រើសរើសសាខា</t>
        </is>
      </c>
      <c r="I729" s="74" t="inlineStr">
        <is>
          <t>ជ្រើសរើសសាខា</t>
        </is>
      </c>
      <c r="J729" s="217" t="inlineStr">
        <is>
          <t>"inventory.selectBranch": "Select branch",</t>
        </is>
      </c>
    </row>
    <row r="730" ht="15.75" customHeight="1" s="305">
      <c r="A730" s="67" t="inlineStr">
        <is>
          <t>inventory.selectPostOffice</t>
        </is>
      </c>
      <c r="B730" s="67" t="inlineStr">
        <is>
          <t>Chọn bưu cục</t>
        </is>
      </c>
      <c r="C730" s="67" t="inlineStr">
        <is>
          <t>Select postoffice</t>
        </is>
      </c>
      <c r="D730" s="3">
        <f>IFERROR(__xludf.DUMMYFUNCTION("GOOGLETRANSLATE(B730,""vi"",""km"")"),"ជ្រើសរើសការិយាល័យប្រៃសណីយ៍")</f>
        <v/>
      </c>
      <c r="E730" s="3" t="inlineStr">
        <is>
          <t>ជ្រើសរើសការិយាល័យប្រៃសណីយ៍</t>
        </is>
      </c>
      <c r="F730" s="217" t="inlineStr">
        <is>
          <t>v</t>
        </is>
      </c>
      <c r="G730" s="217" t="inlineStr">
        <is>
          <t>ជ្រើសរើសការិយាល័យប្រៃសណីយ៍</t>
        </is>
      </c>
      <c r="H730" t="inlineStr">
        <is>
          <t>ជ្រើសរើសការិយាល័យប្រៃសណីយ៍</t>
        </is>
      </c>
      <c r="I730" s="74" t="inlineStr">
        <is>
          <t>ជ្រើសរើសការិយាល័យប្រៃសណីយ៍</t>
        </is>
      </c>
      <c r="J730" s="217" t="inlineStr">
        <is>
          <t>"inventory.selectPostOffice": "Select postoffice",</t>
        </is>
      </c>
    </row>
    <row r="731" ht="15.75" customHeight="1" s="305">
      <c r="A731" s="67" t="inlineStr">
        <is>
          <t>inventory.selectRoute</t>
        </is>
      </c>
      <c r="B731" s="67" t="inlineStr">
        <is>
          <t>Chọn tuyến</t>
        </is>
      </c>
      <c r="C731" s="67" t="inlineStr">
        <is>
          <t>Select route</t>
        </is>
      </c>
      <c r="D731" s="3">
        <f>IFERROR(__xludf.DUMMYFUNCTION("GOOGLETRANSLATE(B731,""vi"",""km"")"),"ជ្រើសរើសផ្លូវ")</f>
        <v/>
      </c>
      <c r="E731" s="3">
        <f>IFERROR(__xludf.DUMMYFUNCTION("GOOGLETRANSLATE(C731,""vi"",""km"")"),"ជ្រើសរើសផ្លូវ")</f>
        <v/>
      </c>
      <c r="F731" s="217" t="inlineStr">
        <is>
          <t>x</t>
        </is>
      </c>
      <c r="G731" s="217" t="inlineStr">
        <is>
          <t>ជ្រើសរើសផ្លូវ</t>
        </is>
      </c>
      <c r="H731" t="inlineStr">
        <is>
          <t>ជ្រើសរើសផ្លូវ</t>
        </is>
      </c>
      <c r="I731" s="74" t="inlineStr">
        <is>
          <t>ជ្រើសរើសផ្លូវ</t>
        </is>
      </c>
      <c r="J731" s="217" t="inlineStr">
        <is>
          <t>"inventory.selectRoute": "Select route",</t>
        </is>
      </c>
    </row>
    <row r="732" ht="15.75" customHeight="1" s="305">
      <c r="A732" s="67" t="inlineStr">
        <is>
          <t>inventory.totalInventory</t>
        </is>
      </c>
      <c r="B732" s="67" t="inlineStr">
        <is>
          <t>Tổng tồn</t>
        </is>
      </c>
      <c r="C732" s="67" t="inlineStr">
        <is>
          <t>Total inventory</t>
        </is>
      </c>
      <c r="D732" s="3">
        <f>IFERROR(__xludf.DUMMYFUNCTION("GOOGLETRANSLATE(B732,""vi"",""km"")"),"ស្តុកសរុប")</f>
        <v/>
      </c>
      <c r="E732" s="3" t="inlineStr">
        <is>
          <t>សរុបស្តុក</t>
        </is>
      </c>
      <c r="F732" s="217" t="inlineStr">
        <is>
          <t>x</t>
        </is>
      </c>
      <c r="G732" s="217" t="inlineStr">
        <is>
          <t>សរុបស្តុក</t>
        </is>
      </c>
      <c r="H732" t="inlineStr">
        <is>
          <t>សរុបស្តុក</t>
        </is>
      </c>
      <c r="I732" s="74" t="inlineStr">
        <is>
          <t>សារពើភ័ណ្ឌសរុប</t>
        </is>
      </c>
      <c r="J732" s="217" t="inlineStr">
        <is>
          <t>"inventory.totalInventory": "Total inventory",</t>
        </is>
      </c>
    </row>
    <row r="733" ht="15.75" customHeight="1" s="305">
      <c r="A733" s="67" t="inlineStr">
        <is>
          <t>inventory.popupTitle</t>
        </is>
      </c>
      <c r="B733" s="67" t="inlineStr">
        <is>
          <t>Chi tiết bưu gửi tồn thu</t>
        </is>
      </c>
      <c r="C733" s="67" t="inlineStr">
        <is>
          <t>Detail pickup backlog order</t>
        </is>
      </c>
      <c r="D733" s="3">
        <f>IFERROR(__xludf.DUMMYFUNCTION("GOOGLETRANSLATE(B733,""vi"",""km"")"),"ព័ត៌មានលម្អិតនៃសំបុត្រដែលមិនបានទាមទារ")</f>
        <v/>
      </c>
      <c r="E733" s="3" t="inlineStr">
        <is>
          <t>លម្អិតពីបញ្ញើដែលប្រមូល</t>
        </is>
      </c>
      <c r="F733" s="217" t="inlineStr">
        <is>
          <t>x</t>
        </is>
      </c>
      <c r="G733" s="217" t="inlineStr">
        <is>
          <t>លម្អិតពីបញ្ញើដែលប្រមូល</t>
        </is>
      </c>
      <c r="H733" t="inlineStr">
        <is>
          <t>លម្អិតពីបញ្ញើដែលប្រមូល</t>
        </is>
      </c>
      <c r="I733" s="74" t="inlineStr">
        <is>
          <t>ព័ត៌មានលម្អិតនៃសំបុត្រដែលមិនទាន់ចេញ</t>
        </is>
      </c>
      <c r="J733" s="217" t="inlineStr">
        <is>
          <t>"inventory.popupTitle": "Detail pickup backlog order",</t>
        </is>
      </c>
    </row>
    <row r="734" ht="15.75" customHeight="1" s="305">
      <c r="A734" s="67" t="inlineStr">
        <is>
          <t>inventory.pickupBranch</t>
        </is>
      </c>
      <c r="B734" s="67" t="inlineStr">
        <is>
          <t>Chi nhánh nhận</t>
        </is>
      </c>
      <c r="C734" s="67" t="inlineStr">
        <is>
          <t>Pickup branch</t>
        </is>
      </c>
      <c r="D734" s="3">
        <f>IFERROR(__xludf.DUMMYFUNCTION("GOOGLETRANSLATE(B734,""vi"",""km"")"),"សាខាទទួល")</f>
        <v/>
      </c>
      <c r="E734" s="3" t="inlineStr">
        <is>
          <t>សាខាទទួល</t>
        </is>
      </c>
      <c r="F734" s="217" t="inlineStr">
        <is>
          <t>v</t>
        </is>
      </c>
      <c r="G734" s="217" t="inlineStr">
        <is>
          <t>សាខាទទួល</t>
        </is>
      </c>
      <c r="H734" t="inlineStr">
        <is>
          <t>សាខាទទួល</t>
        </is>
      </c>
      <c r="I734" s="74" t="inlineStr">
        <is>
          <t>សាខាទទួល</t>
        </is>
      </c>
      <c r="J734" s="217" t="inlineStr">
        <is>
          <t>"inventory.pickupBranch": "Pickup branch",</t>
        </is>
      </c>
    </row>
    <row r="735" ht="15.75" customHeight="1" s="305">
      <c r="A735" s="67" t="inlineStr">
        <is>
          <t>inventory.pickupPostcode</t>
        </is>
      </c>
      <c r="B735" s="67" t="inlineStr">
        <is>
          <t>Bưu cục nhận</t>
        </is>
      </c>
      <c r="C735" s="67" t="inlineStr">
        <is>
          <t>Pickup postcode</t>
        </is>
      </c>
      <c r="D735" s="3">
        <f>IFERROR(__xludf.DUMMYFUNCTION("GOOGLETRANSLATE(B735,""vi"",""km"")"),"ការិយាល័យប្រៃសណីយ៍ទទួល")</f>
        <v/>
      </c>
      <c r="E735" s="3" t="inlineStr">
        <is>
          <t>ការិយាល័យប្រៃសណីយ៍ទទួល</t>
        </is>
      </c>
      <c r="F735" s="217" t="inlineStr">
        <is>
          <t>x</t>
        </is>
      </c>
      <c r="G735" s="217" t="inlineStr">
        <is>
          <t>ការិយាល័យប្រៃសណីយ៍ទទួល</t>
        </is>
      </c>
      <c r="H735" t="inlineStr">
        <is>
          <t>ការិយាល័យប្រៃសណីយ៍ទទួល</t>
        </is>
      </c>
      <c r="I735" s="74" t="inlineStr">
        <is>
          <t>ទទួលលេខកូដប្រៃសណីយ៍</t>
        </is>
      </c>
      <c r="J735" s="217" t="inlineStr">
        <is>
          <t>"inventory.pickupPostcode": "Pickup postcode",</t>
        </is>
      </c>
    </row>
    <row r="736" ht="15.75" customHeight="1" s="305">
      <c r="A736" s="67" t="inlineStr">
        <is>
          <t>inventory.pickupRoute</t>
        </is>
      </c>
      <c r="B736" s="67" t="inlineStr">
        <is>
          <t>Tuyến bưu tá nhận</t>
        </is>
      </c>
      <c r="C736" s="67" t="inlineStr">
        <is>
          <t>Pickup route</t>
        </is>
      </c>
      <c r="D736" s="3">
        <f>IFERROR(__xludf.DUMMYFUNCTION("GOOGLETRANSLATE(B736,""vi"",""km"")"),"ខ្សែសេវាកម្មប្រៃសណីយ៍")</f>
        <v/>
      </c>
      <c r="E736" s="3" t="inlineStr">
        <is>
          <t>ផ្លូវអ្នកដឹកជញ្ជូនទទួល</t>
        </is>
      </c>
      <c r="F736" s="217" t="inlineStr">
        <is>
          <t>x</t>
        </is>
      </c>
      <c r="G736" s="217" t="inlineStr">
        <is>
          <t>ផ្លូវអ្នកដឹកជញ្ជូនទទួល</t>
        </is>
      </c>
      <c r="H736" t="inlineStr">
        <is>
          <t>ផ្លូវអ្នកដឹកជញ្ជូនទទួល</t>
        </is>
      </c>
      <c r="I736" s="74" t="inlineStr">
        <is>
          <t>ផ្លូវទៅយក</t>
        </is>
      </c>
      <c r="J736" s="217" t="inlineStr">
        <is>
          <t>"inventory.pickupRoute": "Pickup route",</t>
        </is>
      </c>
    </row>
    <row r="737" ht="15.75" customHeight="1" s="305">
      <c r="A737" s="67" t="inlineStr">
        <is>
          <t>inventory.fileName</t>
        </is>
      </c>
      <c r="B737" s="67" t="inlineStr">
        <is>
          <t>Baocaotonthu</t>
        </is>
      </c>
      <c r="C737" s="67" t="inlineStr">
        <is>
          <t>PickupInventoryReport</t>
        </is>
      </c>
      <c r="D737" s="3">
        <f>IFERROR(__xludf.DUMMYFUNCTION("GOOGLETRANSLATE(B737,""vi"",""km"")"),"Baocaotonthu")</f>
        <v/>
      </c>
      <c r="E737" s="3" t="inlineStr">
        <is>
          <t>របាយការណ៍អីវ៉ាន់ដែលនៅសល់</t>
        </is>
      </c>
      <c r="F737" s="217" t="inlineStr">
        <is>
          <t>x</t>
        </is>
      </c>
      <c r="G737" s="217" t="inlineStr">
        <is>
          <t>របាយការណ៍បញ្ញើសេសសល់ត្រូវប្រមូល</t>
        </is>
      </c>
      <c r="H737" t="inlineStr">
        <is>
          <t>របាយការណ៍បញ្ញើសេសសល់ត្រូវប្រមូល</t>
        </is>
      </c>
      <c r="I737" s="74" t="inlineStr">
        <is>
          <t>របាយការណ៍​ស្តុក​ទំនិញ</t>
        </is>
      </c>
      <c r="J737" s="217" t="inlineStr">
        <is>
          <t>"inventory.fileName": "PickupInventoryReport",</t>
        </is>
      </c>
    </row>
    <row r="738" ht="15.75" customHeight="1" s="305">
      <c r="A738" s="67" t="inlineStr">
        <is>
          <t>inventory.fileNameDetail</t>
        </is>
      </c>
      <c r="B738" s="67" t="inlineStr">
        <is>
          <t>Chitietonthu</t>
        </is>
      </c>
      <c r="C738" s="67" t="inlineStr">
        <is>
          <t>DetailPickupInventory</t>
        </is>
      </c>
      <c r="D738" s="3">
        <f>IFERROR(__xludf.DUMMYFUNCTION("GOOGLETRANSLATE(B738,""vi"",""km"")"),"ឈីទីតុនធូ")</f>
        <v/>
      </c>
      <c r="E738" s="3" t="inlineStr">
        <is>
          <t>លម្អិតពីអីវ៉ាន់នៅសល់</t>
        </is>
      </c>
      <c r="F738" s="217" t="inlineStr">
        <is>
          <t>x</t>
        </is>
      </c>
      <c r="G738" s="217" t="inlineStr">
        <is>
          <t>ព័ត៌មានលម្អិតបញ្ញើសេសសល់ត្រូវប្រមូល</t>
        </is>
      </c>
      <c r="H738" t="inlineStr">
        <is>
          <t>ព័ត៌មានលម្អិតបញ្ញើសេសសល់ត្រូវប្រមូល</t>
        </is>
      </c>
      <c r="I738" s="74" t="inlineStr">
        <is>
          <t>DetailPickupInventory</t>
        </is>
      </c>
      <c r="J738" s="217" t="inlineStr">
        <is>
          <t>"inventory.fileNameDetail": "DetailPickupInventory",</t>
        </is>
      </c>
    </row>
    <row r="739" ht="15.75" customHeight="1" s="305">
      <c r="A739" s="67" t="inlineStr">
        <is>
          <t>inventory.ngayN</t>
        </is>
      </c>
      <c r="B739" s="67" t="inlineStr">
        <is>
          <t>Ngày n</t>
        </is>
      </c>
      <c r="C739" s="67" t="inlineStr">
        <is>
          <t>Day n</t>
        </is>
      </c>
      <c r="D739" s="3">
        <f>IFERROR(__xludf.DUMMYFUNCTION("GOOGLETRANSLATE(B739,""vi"",""km"")"),"ថ្ងៃ n")</f>
        <v/>
      </c>
      <c r="E739" s="3" t="inlineStr">
        <is>
          <t>ថ្ងៃ n</t>
        </is>
      </c>
      <c r="F739" s="217" t="inlineStr">
        <is>
          <t>v</t>
        </is>
      </c>
      <c r="G739" s="217" t="inlineStr">
        <is>
          <t>ថ្ងៃ n</t>
        </is>
      </c>
      <c r="H739" t="inlineStr">
        <is>
          <t>ថ្ងៃ n</t>
        </is>
      </c>
      <c r="I739" s="74" t="inlineStr">
        <is>
          <t>ថ្ងៃ n</t>
        </is>
      </c>
      <c r="J739" s="217" t="inlineStr">
        <is>
          <t>"inventory.ngayN": "Day n",</t>
        </is>
      </c>
    </row>
    <row r="740" ht="15.75" customHeight="1" s="305">
      <c r="A740" s="67" t="inlineStr">
        <is>
          <t>inventory.ngayN1</t>
        </is>
      </c>
      <c r="B740" s="67" t="inlineStr">
        <is>
          <t>Ngày n - 1</t>
        </is>
      </c>
      <c r="C740" s="67" t="inlineStr">
        <is>
          <t>Day n - 1</t>
        </is>
      </c>
      <c r="D740" s="3">
        <f>IFERROR(__xludf.DUMMYFUNCTION("GOOGLETRANSLATE(B740,""vi"",""km"")"),"ថ្ងៃទី n - 1")</f>
        <v/>
      </c>
      <c r="E740" s="3" t="inlineStr">
        <is>
          <t>ថ្ងៃ n-1</t>
        </is>
      </c>
      <c r="F740" s="217" t="inlineStr">
        <is>
          <t>v</t>
        </is>
      </c>
      <c r="G740" s="217" t="inlineStr">
        <is>
          <t>ថ្ងៃ n-1</t>
        </is>
      </c>
      <c r="H740" t="inlineStr">
        <is>
          <t>ថ្ងៃ n-1</t>
        </is>
      </c>
      <c r="I740" s="74" t="inlineStr">
        <is>
          <t>ថ្ងៃ n - 1</t>
        </is>
      </c>
      <c r="J740" s="217" t="inlineStr">
        <is>
          <t>"inventory.ngayN1": "Day n - 1",</t>
        </is>
      </c>
    </row>
    <row r="741" ht="15.75" customHeight="1" s="305">
      <c r="A741" s="67" t="inlineStr">
        <is>
          <t>inventory.ngayN2</t>
        </is>
      </c>
      <c r="B741" s="67" t="inlineStr">
        <is>
          <t>Ngày n - 2</t>
        </is>
      </c>
      <c r="C741" s="67" t="inlineStr">
        <is>
          <t>Day n - 2</t>
        </is>
      </c>
      <c r="D741" s="3">
        <f>IFERROR(__xludf.DUMMYFUNCTION("GOOGLETRANSLATE(B741,""vi"",""km"")"),"ថ្ងៃទី n - 2")</f>
        <v/>
      </c>
      <c r="E741" s="3" t="inlineStr">
        <is>
          <t>ថ្ងៃ n-2</t>
        </is>
      </c>
      <c r="F741" s="217" t="inlineStr">
        <is>
          <t>v</t>
        </is>
      </c>
      <c r="G741" s="217" t="inlineStr">
        <is>
          <t>ថ្ងៃ n-2</t>
        </is>
      </c>
      <c r="H741" t="inlineStr">
        <is>
          <t>ថ្ងៃ n-2</t>
        </is>
      </c>
      <c r="I741" s="74" t="inlineStr">
        <is>
          <t>ថ្ងៃ n - 2</t>
        </is>
      </c>
      <c r="J741" s="217" t="inlineStr">
        <is>
          <t>"inventory.ngayN2": "Day n - 2",</t>
        </is>
      </c>
    </row>
    <row r="742" ht="15.75" customHeight="1" s="305">
      <c r="A742" s="67" t="inlineStr">
        <is>
          <t>inventory.ngayN3</t>
        </is>
      </c>
      <c r="B742" s="67" t="inlineStr">
        <is>
          <t>Ngày n - 3</t>
        </is>
      </c>
      <c r="C742" s="67" t="inlineStr">
        <is>
          <t>Day n - 3</t>
        </is>
      </c>
      <c r="D742" s="3">
        <f>IFERROR(__xludf.DUMMYFUNCTION("GOOGLETRANSLATE(B742,""vi"",""km"")"),"ថ្ងៃទី n - 3")</f>
        <v/>
      </c>
      <c r="E742" s="3" t="inlineStr">
        <is>
          <t>ថ្ងៃ n-3</t>
        </is>
      </c>
      <c r="F742" s="217" t="inlineStr">
        <is>
          <t>v</t>
        </is>
      </c>
      <c r="G742" s="217" t="inlineStr">
        <is>
          <t>ថ្ងៃ n-3</t>
        </is>
      </c>
      <c r="H742" t="inlineStr">
        <is>
          <t>ថ្ងៃ n-3</t>
        </is>
      </c>
      <c r="I742" s="74" t="inlineStr">
        <is>
          <t>ថ្ងៃ n - 3</t>
        </is>
      </c>
      <c r="J742" s="217" t="inlineStr">
        <is>
          <t>"inventory.ngayN3": "Day n - 3",</t>
        </is>
      </c>
    </row>
    <row r="743" ht="15.75" customHeight="1" s="305">
      <c r="A743" s="67" t="inlineStr">
        <is>
          <t>inventory.ngayN4</t>
        </is>
      </c>
      <c r="B743" s="67" t="inlineStr">
        <is>
          <t>Ngày n - 4</t>
        </is>
      </c>
      <c r="C743" s="67" t="inlineStr">
        <is>
          <t>Day n - 4</t>
        </is>
      </c>
      <c r="D743" s="3">
        <f>IFERROR(__xludf.DUMMYFUNCTION("GOOGLETRANSLATE(B743,""vi"",""km"")"),"ថ្ងៃទី n - ៤")</f>
        <v/>
      </c>
      <c r="E743" s="3" t="inlineStr">
        <is>
          <t>ថ្ងៃ n-4</t>
        </is>
      </c>
      <c r="F743" s="217" t="inlineStr">
        <is>
          <t>v</t>
        </is>
      </c>
      <c r="G743" s="217" t="inlineStr">
        <is>
          <t>ថ្ងៃ n-4</t>
        </is>
      </c>
      <c r="H743" t="inlineStr">
        <is>
          <t>ថ្ងៃ n-4</t>
        </is>
      </c>
      <c r="I743" s="74" t="inlineStr">
        <is>
          <t>ថ្ងៃ n - 4</t>
        </is>
      </c>
      <c r="J743" s="217" t="inlineStr">
        <is>
          <t>"inventory.ngayN4": "Day n - 4",</t>
        </is>
      </c>
    </row>
    <row r="744" ht="15.75" customHeight="1" s="305">
      <c r="A744" s="67" t="inlineStr">
        <is>
          <t>trackingOrder.emptyOrder</t>
        </is>
      </c>
      <c r="B744" s="67" t="inlineStr">
        <is>
          <t>Phiếu gửi không tồn tại. Vui lòng tìm kiếm lại!</t>
        </is>
      </c>
      <c r="C744" s="67" t="inlineStr">
        <is>
          <t>Not found, Please search again</t>
        </is>
      </c>
      <c r="D744" s="3">
        <f>IFERROR(__xludf.DUMMYFUNCTION("GOOGLETRANSLATE(B744,""vi"",""km"")"),"បង្កាន់ដៃដឹកជញ្ជូនមិនមានទេ។ សូមស្វែងរកម្តងទៀត!")</f>
        <v/>
      </c>
      <c r="E744" s="3" t="inlineStr">
        <is>
          <t>មិនអាចស្វែងរកបាន សូមស្វែងរកម្តងទៀត</t>
        </is>
      </c>
      <c r="F744" s="217" t="inlineStr">
        <is>
          <t>v</t>
        </is>
      </c>
      <c r="G744" s="217" t="inlineStr">
        <is>
          <t>មិនអាចស្វែងរកបាន សូមស្វែងរកម្តងទៀត</t>
        </is>
      </c>
      <c r="H744" t="inlineStr">
        <is>
          <t>មិនអាចស្វែងរកបាន សូមស្វែងរកម្តងទៀត</t>
        </is>
      </c>
      <c r="I744" s="74" t="inlineStr">
        <is>
          <t>រកមិនឃើញទេ សូមស្វែងរកម្តងទៀត</t>
        </is>
      </c>
      <c r="J744" s="217" t="inlineStr">
        <is>
          <t>"trackingOrder.emptyOrder": "Not found, Please search again",</t>
        </is>
      </c>
    </row>
    <row r="745" ht="15.75" customHeight="1" s="305">
      <c r="A745" s="67" t="inlineStr">
        <is>
          <t>trackingOrder.informationOrder</t>
        </is>
      </c>
      <c r="B745" s="67" t="inlineStr">
        <is>
          <t>Thông tin đơn hàng</t>
        </is>
      </c>
      <c r="C745" s="67" t="inlineStr">
        <is>
          <t>Order information</t>
        </is>
      </c>
      <c r="D745" s="3">
        <f>IFERROR(__xludf.DUMMYFUNCTION("GOOGLETRANSLATE(B745,""vi"",""km"")"),"ព័ត៌មានការបញ្ជាទិញ")</f>
        <v/>
      </c>
      <c r="E745" s="3" t="inlineStr">
        <is>
          <t>ព័ត៌មានបុងបញ្ញើ</t>
        </is>
      </c>
      <c r="F745" s="217" t="inlineStr">
        <is>
          <t>v</t>
        </is>
      </c>
      <c r="G745" s="217" t="inlineStr">
        <is>
          <t>ព័ត៌មានបុងបញ្ញើ</t>
        </is>
      </c>
      <c r="H745" t="inlineStr">
        <is>
          <t>ព័ត៌មានបុងបញ្ញើ</t>
        </is>
      </c>
      <c r="I745" s="74" t="inlineStr">
        <is>
          <t>ព័ត៌មានបញ្ជាបញ្ញើ</t>
        </is>
      </c>
      <c r="J745" s="217" t="inlineStr">
        <is>
          <t>"trackingOrder.informationOrder": "Order information",</t>
        </is>
      </c>
    </row>
    <row r="746" ht="15.75" customHeight="1" s="305">
      <c r="A746" s="67" t="inlineStr">
        <is>
          <t>trackingOrder.informationSender</t>
        </is>
      </c>
      <c r="B746" s="67" t="inlineStr">
        <is>
          <t>Thông tin người gửi</t>
        </is>
      </c>
      <c r="C746" s="67" t="inlineStr">
        <is>
          <t>Sender information</t>
        </is>
      </c>
      <c r="D746" s="3">
        <f>IFERROR(__xludf.DUMMYFUNCTION("GOOGLETRANSLATE(B746,""vi"",""km"")"),"ព័ត៌មានអ្នកផ្ញើ")</f>
        <v/>
      </c>
      <c r="E746" s="3" t="inlineStr">
        <is>
          <t>ព័ត៌មានអ្នកផ្ញើ</t>
        </is>
      </c>
      <c r="F746" s="217" t="inlineStr">
        <is>
          <t>v</t>
        </is>
      </c>
      <c r="G746" s="217" t="inlineStr">
        <is>
          <t>ព័ត៌មានអ្នកផ្ញើ</t>
        </is>
      </c>
      <c r="H746" t="inlineStr">
        <is>
          <t>ព័ត៌មានអ្នកផ្ញើ</t>
        </is>
      </c>
      <c r="I746" s="74" t="inlineStr">
        <is>
          <t>ព័ត៌មានអ្នកផ្ញើ</t>
        </is>
      </c>
      <c r="J746" s="217" t="inlineStr">
        <is>
          <t>"trackingOrder.informationSender": "Sender information",</t>
        </is>
      </c>
    </row>
    <row r="747" ht="15.75" customHeight="1" s="305">
      <c r="A747" s="67" t="inlineStr">
        <is>
          <t>trackingOrder.informationReceiver</t>
        </is>
      </c>
      <c r="B747" s="67" t="inlineStr">
        <is>
          <t>Thông tin người nhận</t>
        </is>
      </c>
      <c r="C747" s="67" t="inlineStr">
        <is>
          <t>Receiver information</t>
        </is>
      </c>
      <c r="D747" s="3">
        <f>IFERROR(__xludf.DUMMYFUNCTION("GOOGLETRANSLATE(B747,""vi"",""km"")"),"ព័ត៌មានអ្នកទទួល")</f>
        <v/>
      </c>
      <c r="E747" s="3" t="inlineStr">
        <is>
          <t>ព័ត៌មានអ្នកទទួល</t>
        </is>
      </c>
      <c r="F747" s="217" t="inlineStr">
        <is>
          <t>v</t>
        </is>
      </c>
      <c r="G747" s="217" t="inlineStr">
        <is>
          <t>ព័ត៌មានអ្នកទទួល</t>
        </is>
      </c>
      <c r="H747" t="inlineStr">
        <is>
          <t>ព័ត៌មានអ្នកទទួល</t>
        </is>
      </c>
      <c r="I747" s="74" t="inlineStr">
        <is>
          <t>ព័ត៌មានអ្នកទទួល</t>
        </is>
      </c>
      <c r="J747" s="217" t="inlineStr">
        <is>
          <t>"trackingOrder.informationReceiver": "Receiver information",</t>
        </is>
      </c>
    </row>
    <row r="748" ht="15.75" customHeight="1" s="305">
      <c r="A748" s="67" t="inlineStr">
        <is>
          <t>trackingOrder.COD</t>
        </is>
      </c>
      <c r="B748" s="67" t="inlineStr">
        <is>
          <t>COD</t>
        </is>
      </c>
      <c r="C748" s="67" t="inlineStr">
        <is>
          <t>COD</t>
        </is>
      </c>
      <c r="D748" s="3">
        <f>IFERROR(__xludf.DUMMYFUNCTION("GOOGLETRANSLATE(B748,""vi"",""km"")"),"ប្រតិបត្តិការ​ទូទាត់​ថ្លៃ​សេវា​ (COD)")</f>
        <v/>
      </c>
      <c r="E748" s="3" t="inlineStr">
        <is>
          <t>COD</t>
        </is>
      </c>
      <c r="F748" s="217" t="inlineStr">
        <is>
          <t>v</t>
        </is>
      </c>
      <c r="G748" s="217" t="inlineStr">
        <is>
          <t>ប្រាក់ COD</t>
        </is>
      </c>
      <c r="H748" t="inlineStr">
        <is>
          <t>ប្រាក់ COD</t>
        </is>
      </c>
      <c r="I748" s="74" t="inlineStr">
        <is>
          <t>COD</t>
        </is>
      </c>
      <c r="J748" s="217" t="inlineStr">
        <is>
          <t>"trackingOrder.COD": "COD",</t>
        </is>
      </c>
    </row>
    <row r="749" ht="15.75" customHeight="1" s="305">
      <c r="A749" s="67" t="inlineStr">
        <is>
          <t>trackingOrder.orderCode</t>
        </is>
      </c>
      <c r="B749" s="67" t="inlineStr">
        <is>
          <t>Mã phiếu gửi</t>
        </is>
      </c>
      <c r="C749" s="67" t="inlineStr">
        <is>
          <t>Order code</t>
        </is>
      </c>
      <c r="D749" s="3">
        <f>IFERROR(__xludf.DUMMYFUNCTION("GOOGLETRANSLATE(B749,""vi"",""km"")"),"លេខកូដបង្កាន់ដៃ")</f>
        <v/>
      </c>
      <c r="E749" s="3" t="inlineStr">
        <is>
          <t>កូដបុងបញ្ញើ</t>
        </is>
      </c>
      <c r="F749" s="217" t="inlineStr">
        <is>
          <t>v</t>
        </is>
      </c>
      <c r="G749" s="217" t="inlineStr">
        <is>
          <t>លេខកូដបុងបញ្ញើ</t>
        </is>
      </c>
      <c r="H749" t="inlineStr">
        <is>
          <t>លេខកូដបុងបញ្ញើ</t>
        </is>
      </c>
      <c r="I749" s="74" t="inlineStr">
        <is>
          <t>លេខកូដប័ណ្ឌបញ្ញើ</t>
        </is>
      </c>
      <c r="J749" s="217" t="inlineStr">
        <is>
          <t>"trackingOrder.orderCode": "Order code",</t>
        </is>
      </c>
    </row>
    <row r="750" ht="15.75" customHeight="1" s="305">
      <c r="A750" s="67" t="inlineStr">
        <is>
          <t>trackingOrder.status</t>
        </is>
      </c>
      <c r="B750" s="67" t="inlineStr">
        <is>
          <t>Trạng thái</t>
        </is>
      </c>
      <c r="C750" s="67" t="inlineStr">
        <is>
          <t>Status</t>
        </is>
      </c>
      <c r="D750" s="3">
        <f>IFERROR(__xludf.DUMMYFUNCTION("GOOGLETRANSLATE(B750,""vi"",""km"")"),"ស្ថានភាព")</f>
        <v/>
      </c>
      <c r="E750" s="3" t="inlineStr">
        <is>
          <t>ស្ថានភាព</t>
        </is>
      </c>
      <c r="F750" s="217" t="inlineStr">
        <is>
          <t>v</t>
        </is>
      </c>
      <c r="G750" s="217" t="inlineStr">
        <is>
          <t>ស្ថានភាព</t>
        </is>
      </c>
      <c r="H750" t="inlineStr">
        <is>
          <t>ស្ថានភាព</t>
        </is>
      </c>
      <c r="I750" s="74" t="inlineStr">
        <is>
          <t>ស្ថានភាព</t>
        </is>
      </c>
      <c r="J750" s="217" t="inlineStr">
        <is>
          <t>"trackingOrder.status": "Status",</t>
        </is>
      </c>
    </row>
    <row r="751" ht="15.75" customHeight="1" s="305">
      <c r="A751" s="67" t="inlineStr">
        <is>
          <t>trackingOrder.partner</t>
        </is>
      </c>
      <c r="B751" s="67" t="inlineStr">
        <is>
          <t>Đối tác</t>
        </is>
      </c>
      <c r="C751" s="67" t="inlineStr">
        <is>
          <t>Partner</t>
        </is>
      </c>
      <c r="D751" s="3">
        <f>IFERROR(__xludf.DUMMYFUNCTION("GOOGLETRANSLATE(B751,""vi"",""km"")"),"ដៃគូ")</f>
        <v/>
      </c>
      <c r="E751" s="3" t="inlineStr">
        <is>
          <t>ដៃគូ</t>
        </is>
      </c>
      <c r="F751" s="217" t="inlineStr">
        <is>
          <t>v</t>
        </is>
      </c>
      <c r="G751" s="217" t="inlineStr">
        <is>
          <t>ដៃគូ</t>
        </is>
      </c>
      <c r="H751" t="inlineStr">
        <is>
          <t>ដៃគូ</t>
        </is>
      </c>
      <c r="I751" s="74" t="inlineStr">
        <is>
          <t>ដៃគូ</t>
        </is>
      </c>
      <c r="J751" s="217" t="inlineStr">
        <is>
          <t>"trackingOrder.partner": "Partner",</t>
        </is>
      </c>
    </row>
    <row r="752" ht="15.75" customHeight="1" s="305">
      <c r="A752" s="67" t="inlineStr">
        <is>
          <t>trackingOrder.service</t>
        </is>
      </c>
      <c r="B752" s="67" t="inlineStr">
        <is>
          <t>Dịch vụ</t>
        </is>
      </c>
      <c r="C752" s="67" t="inlineStr">
        <is>
          <t>Service</t>
        </is>
      </c>
      <c r="D752" s="3">
        <f>IFERROR(__xludf.DUMMYFUNCTION("GOOGLETRANSLATE(B752,""vi"",""km"")"),"សេវាកម្ម")</f>
        <v/>
      </c>
      <c r="E752" s="3" t="inlineStr">
        <is>
          <t>សេវាកម្ម</t>
        </is>
      </c>
      <c r="F752" s="217" t="inlineStr">
        <is>
          <t>v</t>
        </is>
      </c>
      <c r="G752" s="217" t="inlineStr">
        <is>
          <t>សេវាកម្ម</t>
        </is>
      </c>
      <c r="H752" t="inlineStr">
        <is>
          <t>សេវាកម្ម</t>
        </is>
      </c>
      <c r="I752" s="74" t="inlineStr">
        <is>
          <t>សេវាកម្ម</t>
        </is>
      </c>
      <c r="J752" s="217" t="inlineStr">
        <is>
          <t>"trackingOrder.service": "Service",</t>
        </is>
      </c>
    </row>
    <row r="753" ht="15.75" customHeight="1" s="305">
      <c r="A753" s="67" t="inlineStr">
        <is>
          <t>trackingOrder.additionalServices</t>
        </is>
      </c>
      <c r="B753" s="67" t="inlineStr">
        <is>
          <t>Dịch vụ cộng thêm</t>
        </is>
      </c>
      <c r="C753" s="67" t="inlineStr">
        <is>
          <t>Addtional service</t>
        </is>
      </c>
      <c r="D753" s="3">
        <f>IFERROR(__xludf.DUMMYFUNCTION("GOOGLETRANSLATE(B753,""vi"",""km"")"),"សេវាកម្មបន្ថែម")</f>
        <v/>
      </c>
      <c r="E753" s="3" t="inlineStr">
        <is>
          <t>សេវាកម្មបូកបន្ថែម</t>
        </is>
      </c>
      <c r="F753" s="217" t="inlineStr">
        <is>
          <t>v</t>
        </is>
      </c>
      <c r="G753" s="217" t="inlineStr">
        <is>
          <t>សេវាកម្មបន្ថែម</t>
        </is>
      </c>
      <c r="H753" t="inlineStr">
        <is>
          <t>សេវាកម្មបន្ថែម</t>
        </is>
      </c>
      <c r="I753" s="74" t="inlineStr">
        <is>
          <t>សេវាកម្មបន្ថែម</t>
        </is>
      </c>
      <c r="J753" s="217" t="inlineStr">
        <is>
          <t>"trackingOrder.additionalServices": "Addtional service",</t>
        </is>
      </c>
    </row>
    <row r="754" ht="15.75" customHeight="1" s="305">
      <c r="A754" s="67" t="inlineStr">
        <is>
          <t>trackingOrder.name</t>
        </is>
      </c>
      <c r="B754" s="67" t="inlineStr">
        <is>
          <t>Họ tên</t>
        </is>
      </c>
      <c r="C754" s="67" t="inlineStr">
        <is>
          <t>Fullname</t>
        </is>
      </c>
      <c r="D754" s="3">
        <f>IFERROR(__xludf.DUMMYFUNCTION("GOOGLETRANSLATE(B754,""vi"",""km"")"),"ឈ្មោះពេញ")</f>
        <v/>
      </c>
      <c r="E754" s="3" t="inlineStr">
        <is>
          <t>គោត្តនាម និងនាម</t>
        </is>
      </c>
      <c r="F754" s="217" t="inlineStr">
        <is>
          <t>v</t>
        </is>
      </c>
      <c r="G754" s="217" t="inlineStr">
        <is>
          <t>គោត្តនាម និងនាម</t>
        </is>
      </c>
      <c r="H754" t="inlineStr">
        <is>
          <t>គោត្តនាម និងនាម</t>
        </is>
      </c>
      <c r="I754" s="74" t="inlineStr">
        <is>
          <t>ឈ្មោះ</t>
        </is>
      </c>
      <c r="J754" s="217" t="inlineStr">
        <is>
          <t>"trackingOrder.name": "Fullname",</t>
        </is>
      </c>
    </row>
    <row r="755" ht="15.75" customHeight="1" s="305">
      <c r="A755" s="67" t="inlineStr">
        <is>
          <t>trackingOrder.phone</t>
        </is>
      </c>
      <c r="B755" s="67" t="inlineStr">
        <is>
          <t>Điện thoại</t>
        </is>
      </c>
      <c r="C755" s="67" t="inlineStr">
        <is>
          <t>Phone number</t>
        </is>
      </c>
      <c r="D755" s="3">
        <f>IFERROR(__xludf.DUMMYFUNCTION("GOOGLETRANSLATE(B755,""vi"",""km"")"),"ទូរស័ព្ទ")</f>
        <v/>
      </c>
      <c r="E755" s="3" t="inlineStr">
        <is>
          <t>ទូរស័ព្ទ</t>
        </is>
      </c>
      <c r="F755" s="217" t="inlineStr">
        <is>
          <t>v</t>
        </is>
      </c>
      <c r="G755" s="217" t="inlineStr">
        <is>
          <t>ទូរស័ព្ទ</t>
        </is>
      </c>
      <c r="H755" t="inlineStr">
        <is>
          <t>ទូរស័ព្ទ</t>
        </is>
      </c>
      <c r="I755" s="74" t="inlineStr">
        <is>
          <t>លេខទូរស័ព្ទ</t>
        </is>
      </c>
      <c r="J755" s="217" t="inlineStr">
        <is>
          <t>"trackingOrder.phone": "Phone number",</t>
        </is>
      </c>
    </row>
    <row r="756" ht="15.75" customHeight="1" s="305">
      <c r="A756" s="67" t="inlineStr">
        <is>
          <t>trackingOrder.address</t>
        </is>
      </c>
      <c r="B756" s="67" t="inlineStr">
        <is>
          <t>Địa chỉ</t>
        </is>
      </c>
      <c r="C756" s="67" t="inlineStr">
        <is>
          <t>Address</t>
        </is>
      </c>
      <c r="D756" s="3">
        <f>IFERROR(__xludf.DUMMYFUNCTION("GOOGLETRANSLATE(B756,""vi"",""km"")"),"អាសយដ្ឋាន")</f>
        <v/>
      </c>
      <c r="E756" s="3" t="inlineStr">
        <is>
          <t>អាស័យដ្ឋាន</t>
        </is>
      </c>
      <c r="F756" s="217" t="inlineStr">
        <is>
          <t>v</t>
        </is>
      </c>
      <c r="G756" s="217" t="inlineStr">
        <is>
          <t>អាសយដ្ឋាន</t>
        </is>
      </c>
      <c r="H756" t="inlineStr">
        <is>
          <t>អាសយដ្ឋាន</t>
        </is>
      </c>
      <c r="I756" s="74" t="inlineStr">
        <is>
          <t>អាស័យដ្ឋាន</t>
        </is>
      </c>
      <c r="J756" s="217" t="inlineStr">
        <is>
          <t>"trackingOrder.address": "Address",</t>
        </is>
      </c>
    </row>
    <row r="757" ht="15.75" customHeight="1" s="305">
      <c r="A757" s="67" t="inlineStr">
        <is>
          <t>trackingOrder.provinceCode</t>
        </is>
      </c>
      <c r="B757" s="67" t="inlineStr">
        <is>
          <t>Tỉnh gửi</t>
        </is>
      </c>
      <c r="C757" s="67" t="inlineStr">
        <is>
          <t>Sender province</t>
        </is>
      </c>
      <c r="D757" s="3">
        <f>IFERROR(__xludf.DUMMYFUNCTION("GOOGLETRANSLATE(B757,""vi"",""km"")"),"ខេត្តបានផ្ញើ")</f>
        <v/>
      </c>
      <c r="E757" s="3" t="inlineStr">
        <is>
          <t>ខេត្តផ្ញើ</t>
        </is>
      </c>
      <c r="F757" s="217" t="inlineStr">
        <is>
          <t>v</t>
        </is>
      </c>
      <c r="G757" s="217" t="inlineStr">
        <is>
          <t>ខេត្តផ្ញើ</t>
        </is>
      </c>
      <c r="H757" t="inlineStr">
        <is>
          <t>ខេត្តផ្ញើ</t>
        </is>
      </c>
      <c r="I757" s="74" t="inlineStr">
        <is>
          <t>លេខកូដខេត្ត</t>
        </is>
      </c>
      <c r="J757" s="217" t="inlineStr">
        <is>
          <t>"trackingOrder.provinceCode": "Sender province",</t>
        </is>
      </c>
    </row>
    <row r="758" ht="15.75" customHeight="1" s="305">
      <c r="A758" s="67" t="inlineStr">
        <is>
          <t>trackingOrder.districtCode</t>
        </is>
      </c>
      <c r="B758" s="67" t="inlineStr">
        <is>
          <t>Huyện gửi</t>
        </is>
      </c>
      <c r="C758" s="67" t="inlineStr">
        <is>
          <t>Sender district</t>
        </is>
      </c>
      <c r="D758" s="3">
        <f>IFERROR(__xludf.DUMMYFUNCTION("GOOGLETRANSLATE(B758,""vi"",""km"")"),"ស្រុកបានបញ្ជូន")</f>
        <v/>
      </c>
      <c r="E758" s="3" t="inlineStr">
        <is>
          <t>ស្រុកផ្ញើ</t>
        </is>
      </c>
      <c r="F758" s="217" t="inlineStr">
        <is>
          <t>v</t>
        </is>
      </c>
      <c r="G758" s="217" t="inlineStr">
        <is>
          <t>ស្រុកផ្ញើ</t>
        </is>
      </c>
      <c r="H758" t="inlineStr">
        <is>
          <t>ស្រុកផ្ញើ</t>
        </is>
      </c>
      <c r="I758" s="74" t="inlineStr">
        <is>
          <t>លេខកូដស្រុក</t>
        </is>
      </c>
      <c r="J758" s="217" t="inlineStr">
        <is>
          <t>"trackingOrder.districtCode": "Sender district",</t>
        </is>
      </c>
    </row>
    <row r="759" ht="15.75" customHeight="1" s="305">
      <c r="A759" s="67" t="inlineStr">
        <is>
          <t>trackingOrder.parcel</t>
        </is>
      </c>
      <c r="B759" s="67" t="inlineStr">
        <is>
          <t>Hàng hóa</t>
        </is>
      </c>
      <c r="C759" s="67" t="inlineStr">
        <is>
          <t>Product type</t>
        </is>
      </c>
      <c r="D759" s="3">
        <f>IFERROR(__xludf.DUMMYFUNCTION("GOOGLETRANSLATE(B759,""vi"",""km"")"),"ទំនិញ")</f>
        <v/>
      </c>
      <c r="E759" s="3" t="inlineStr">
        <is>
          <t>អីវ៉ាន់</t>
        </is>
      </c>
      <c r="F759" s="217" t="inlineStr">
        <is>
          <t>v</t>
        </is>
      </c>
      <c r="G759" s="217" t="inlineStr">
        <is>
          <t>ទំនិញ</t>
        </is>
      </c>
      <c r="H759" t="inlineStr">
        <is>
          <t>ទំនិញ</t>
        </is>
      </c>
      <c r="I759" s="74" t="inlineStr">
        <is>
          <t>ប្រភេទទំនិញ</t>
        </is>
      </c>
      <c r="J759" s="217" t="inlineStr">
        <is>
          <t>"trackingOrder.parcel": "Product type",</t>
        </is>
      </c>
    </row>
    <row r="760" ht="15.75" customHeight="1" s="305">
      <c r="A760" s="67" t="inlineStr">
        <is>
          <t>trackingOrder.weight</t>
        </is>
      </c>
      <c r="B760" s="67" t="inlineStr">
        <is>
          <t>Trọng lượng</t>
        </is>
      </c>
      <c r="C760" s="67" t="inlineStr">
        <is>
          <t>Weight</t>
        </is>
      </c>
      <c r="D760" s="3">
        <f>IFERROR(__xludf.DUMMYFUNCTION("GOOGLETRANSLATE(B760,""vi"",""km"")"),"ទម្ងន់")</f>
        <v/>
      </c>
      <c r="E760" s="3" t="inlineStr">
        <is>
          <t>ទម្ងន់</t>
        </is>
      </c>
      <c r="F760" s="217" t="inlineStr">
        <is>
          <t>v</t>
        </is>
      </c>
      <c r="G760" s="217" t="inlineStr">
        <is>
          <t>ទម្ងន់</t>
        </is>
      </c>
      <c r="H760" t="inlineStr">
        <is>
          <t>ទម្ងន់</t>
        </is>
      </c>
      <c r="I760" s="74" t="inlineStr">
        <is>
          <t>ទម្ងន់</t>
        </is>
      </c>
      <c r="J760" s="217" t="inlineStr">
        <is>
          <t>"trackingOrder.weight": "Weight",</t>
        </is>
      </c>
    </row>
    <row r="761" ht="15.75" customHeight="1" s="305">
      <c r="A761" s="67" t="inlineStr">
        <is>
          <t>trackingOrder.size</t>
        </is>
      </c>
      <c r="B761" s="67" t="inlineStr">
        <is>
          <t>Kích thước</t>
        </is>
      </c>
      <c r="C761" s="67" t="inlineStr">
        <is>
          <t>Dimension</t>
        </is>
      </c>
      <c r="D761" s="3">
        <f>IFERROR(__xludf.DUMMYFUNCTION("GOOGLETRANSLATE(B761,""vi"",""km"")"),"ទំហំ")</f>
        <v/>
      </c>
      <c r="E761" s="3" t="inlineStr">
        <is>
          <t>ទំហំ</t>
        </is>
      </c>
      <c r="F761" s="217" t="inlineStr">
        <is>
          <t>v</t>
        </is>
      </c>
      <c r="G761" s="217" t="inlineStr">
        <is>
          <t>ទំហំ</t>
        </is>
      </c>
      <c r="H761" t="inlineStr">
        <is>
          <t>ទំហំ</t>
        </is>
      </c>
      <c r="I761" s="74" t="inlineStr">
        <is>
          <t>ទំហំ</t>
        </is>
      </c>
      <c r="J761" s="217" t="inlineStr">
        <is>
          <t>"trackingOrder.size": "Dimension",</t>
        </is>
      </c>
    </row>
    <row r="762" ht="15.75" customHeight="1" s="305">
      <c r="A762" s="67" t="inlineStr">
        <is>
          <t>trackingOrder.shipFee</t>
        </is>
      </c>
      <c r="B762" s="67" t="inlineStr">
        <is>
          <t>Phí vận chuyển</t>
        </is>
      </c>
      <c r="C762" s="67" t="inlineStr">
        <is>
          <t>Shipping fee</t>
        </is>
      </c>
      <c r="D762" s="3">
        <f>IFERROR(__xludf.DUMMYFUNCTION("GOOGLETRANSLATE(B762,""vi"",""km"")"),"ថ្លៃដឹកជញ្ជូន")</f>
        <v/>
      </c>
      <c r="E762" s="3" t="inlineStr">
        <is>
          <t>សេវាដឹកជញ្ជូន</t>
        </is>
      </c>
      <c r="F762" s="217" t="inlineStr">
        <is>
          <t>v</t>
        </is>
      </c>
      <c r="G762" s="217" t="inlineStr">
        <is>
          <t>សេវាដឹកជញ្ជូន</t>
        </is>
      </c>
      <c r="H762" t="inlineStr">
        <is>
          <t>សេវាដឹកជញ្ជូន</t>
        </is>
      </c>
      <c r="I762" s="74" t="inlineStr">
        <is>
          <t>តម្លៃបញ្ញើ</t>
        </is>
      </c>
      <c r="J762" s="217" t="inlineStr">
        <is>
          <t>"trackingOrder.shipFee": "Shipping fee",</t>
        </is>
      </c>
    </row>
    <row r="763" ht="15.75" customHeight="1" s="305">
      <c r="A763" s="67" t="inlineStr">
        <is>
          <t>trackingOrder.totalFee</t>
        </is>
      </c>
      <c r="B763" s="67" t="inlineStr">
        <is>
          <t>Tiền cước</t>
        </is>
      </c>
      <c r="C763" s="67" t="inlineStr">
        <is>
          <t>Total amount</t>
        </is>
      </c>
      <c r="D763" s="3">
        <f>IFERROR(__xludf.DUMMYFUNCTION("GOOGLETRANSLATE(B763,""vi"",""km"")"),"តម្លៃសំបុត្រ")</f>
        <v/>
      </c>
      <c r="E763" s="3" t="inlineStr">
        <is>
          <t>ថ្លៃសេវា</t>
        </is>
      </c>
      <c r="F763" s="217" t="inlineStr">
        <is>
          <t>v</t>
        </is>
      </c>
      <c r="G763" s="217" t="inlineStr">
        <is>
          <t>ថ្លៃសេវា</t>
        </is>
      </c>
      <c r="H763" t="inlineStr">
        <is>
          <t>ថ្លៃសេវា</t>
        </is>
      </c>
      <c r="I763" s="74" t="inlineStr">
        <is>
          <t>សរុបតម្លៃ</t>
        </is>
      </c>
      <c r="J763" s="217" t="inlineStr">
        <is>
          <t>"trackingOrder.totalFee": "Total amount",</t>
        </is>
      </c>
    </row>
    <row r="764" ht="15.75" customHeight="1" s="305">
      <c r="A764" s="67" t="inlineStr">
        <is>
          <t>trackingOrder.collectFee</t>
        </is>
      </c>
      <c r="B764" s="67" t="inlineStr">
        <is>
          <t>Tiền thu hộ</t>
        </is>
      </c>
      <c r="C764" s="67" t="inlineStr">
        <is>
          <t>COD</t>
        </is>
      </c>
      <c r="D764" s="3">
        <f>IFERROR(__xludf.DUMMYFUNCTION("GOOGLETRANSLATE(B764,""vi"",""km"")"),"ប្រាក់ដែលប្រមូលបានក្នុងនាមអ្នកដទៃ")</f>
        <v/>
      </c>
      <c r="E764" s="3" t="inlineStr">
        <is>
          <t>ថ្លៃប្រមូលជំនួស</t>
        </is>
      </c>
      <c r="F764" s="217" t="inlineStr">
        <is>
          <t>v</t>
        </is>
      </c>
      <c r="G764" s="217" t="inlineStr">
        <is>
          <t>ប្រាក់ប្រមូលជំនួស (COD)</t>
        </is>
      </c>
      <c r="H764" t="inlineStr">
        <is>
          <t>ប្រាក់ប្រមូលជំនួស (COD)</t>
        </is>
      </c>
      <c r="I764" s="74" t="inlineStr">
        <is>
          <t>COD</t>
        </is>
      </c>
      <c r="J764" s="217" t="inlineStr">
        <is>
          <t>"trackingOrder.collectFee": "COD",</t>
        </is>
      </c>
    </row>
    <row r="765" ht="15.75" customHeight="1" s="305">
      <c r="A765" s="67" t="inlineStr">
        <is>
          <t>trackingOrder.sellerFee</t>
        </is>
      </c>
      <c r="B765" s="67" t="inlineStr">
        <is>
          <t>Tiền thu người nhận</t>
        </is>
      </c>
      <c r="C765" s="67" t="inlineStr">
        <is>
          <t>COD (Collect on Delivery)</t>
        </is>
      </c>
      <c r="D765" s="3">
        <f>IFERROR(__xludf.DUMMYFUNCTION("GOOGLETRANSLATE(B765,""vi"",""km"")"),"ការទូទាត់របស់អ្នកទទួល")</f>
        <v/>
      </c>
      <c r="E765" s="3" t="inlineStr">
        <is>
          <t>ថ្លៃប្រមូូលអ្នកទទួល</t>
        </is>
      </c>
      <c r="F765" s="217" t="inlineStr">
        <is>
          <t>v</t>
        </is>
      </c>
      <c r="G765" s="217" t="inlineStr">
        <is>
          <t>ថ្លៃប្រមូូលអ្នកទទួល</t>
        </is>
      </c>
      <c r="H765" t="inlineStr">
        <is>
          <t>ថ្លៃប្រមូូលអ្នកទទួល</t>
        </is>
      </c>
      <c r="I765" s="74" t="inlineStr">
        <is>
          <t>ប្រមូលលុយពីអ្នកផ្ញើ</t>
        </is>
      </c>
      <c r="J765" s="217" t="inlineStr">
        <is>
          <t>"trackingOrder.sellerFee": "COD (Collect on Delivery)",</t>
        </is>
      </c>
    </row>
    <row r="766" ht="15.75" customHeight="1" s="305">
      <c r="A766" s="67" t="inlineStr">
        <is>
          <t>listButton.deliveryPhote</t>
        </is>
      </c>
      <c r="B766" s="67" t="inlineStr">
        <is>
          <t>Ảnh giao hàng</t>
        </is>
      </c>
      <c r="C766" s="67" t="inlineStr">
        <is>
          <t>Delivery image</t>
        </is>
      </c>
      <c r="D766" s="3">
        <f>IFERROR(__xludf.DUMMYFUNCTION("GOOGLETRANSLATE(B766,""vi"",""km"")"),"រូបថតដឹកជញ្ជូន")</f>
        <v/>
      </c>
      <c r="E766" s="3" t="inlineStr">
        <is>
          <t>រូបភាពពេលប្រគល់អីវ៉ាន់</t>
        </is>
      </c>
      <c r="F766" s="217" t="inlineStr">
        <is>
          <t>x</t>
        </is>
      </c>
      <c r="G766" s="217" t="inlineStr">
        <is>
          <t>រូបភាពពេលប្រគល់អីវ៉ាន់</t>
        </is>
      </c>
      <c r="H766" t="inlineStr">
        <is>
          <t>រូបភាពពេលប្រគល់អីវ៉ាន់</t>
        </is>
      </c>
      <c r="I766" s="74" t="inlineStr">
        <is>
          <t>រូបភាពប្រមូលទំនិញ</t>
        </is>
      </c>
      <c r="J766" s="217" t="inlineStr">
        <is>
          <t>"listButton.deliveryPhote": "Delivery image",</t>
        </is>
      </c>
    </row>
    <row r="767" ht="15.75" customHeight="1" s="305">
      <c r="A767" s="67" t="inlineStr">
        <is>
          <t>listButton.shippingPhoto</t>
        </is>
      </c>
      <c r="B767" s="67" t="inlineStr">
        <is>
          <t>Ảnh gửi hàng</t>
        </is>
      </c>
      <c r="C767" s="67" t="inlineStr">
        <is>
          <t>Received image</t>
        </is>
      </c>
      <c r="D767" s="3">
        <f>IFERROR(__xludf.DUMMYFUNCTION("GOOGLETRANSLATE(B767,""vi"",""km"")"),"រូបថតដឹកជញ្ជូន")</f>
        <v/>
      </c>
      <c r="E767" s="3" t="inlineStr">
        <is>
          <t>រូូបភាពពេលផ្ញើអីវ៉ាន់</t>
        </is>
      </c>
      <c r="F767" s="217" t="inlineStr">
        <is>
          <t>v</t>
        </is>
      </c>
      <c r="G767" s="217" t="inlineStr">
        <is>
          <t>រូូបភាពពេលផ្ញើអីវ៉ាន់</t>
        </is>
      </c>
      <c r="H767" t="inlineStr">
        <is>
          <t>រូូបភាពពេលផ្ញើអីវ៉ាន់</t>
        </is>
      </c>
      <c r="I767" s="74" t="inlineStr">
        <is>
          <t>រូបភាពបញ្ញើ</t>
        </is>
      </c>
      <c r="J767" s="217" t="inlineStr">
        <is>
          <t>"listButton.shippingPhoto": "Received image",</t>
        </is>
      </c>
    </row>
    <row r="768" ht="15.75" customHeight="1" s="305">
      <c r="A768" s="67" t="inlineStr">
        <is>
          <t>listButton.printOrder</t>
        </is>
      </c>
      <c r="B768" s="67" t="inlineStr">
        <is>
          <t>In phiếu gửi</t>
        </is>
      </c>
      <c r="C768" s="67" t="inlineStr">
        <is>
          <t>Print order</t>
        </is>
      </c>
      <c r="D768" s="3">
        <f>IFERROR(__xludf.DUMMYFUNCTION("GOOGLETRANSLATE(B768,""vi"",""km"")"),"បោះពុម្ពបង្កាន់ដៃដឹកជញ្ជូន")</f>
        <v/>
      </c>
      <c r="E768" s="3" t="inlineStr">
        <is>
          <t>ព្រីនបុងបញ្ញើ</t>
        </is>
      </c>
      <c r="F768" s="217" t="inlineStr">
        <is>
          <t>v</t>
        </is>
      </c>
      <c r="G768" s="217" t="inlineStr">
        <is>
          <t>ព្រីនបុងបញ្ញើ</t>
        </is>
      </c>
      <c r="H768" t="inlineStr">
        <is>
          <t>ព្រីនបុងបញ្ញើ</t>
        </is>
      </c>
      <c r="I768" s="74" t="inlineStr">
        <is>
          <t>បោះពុម្ពប័ណ្ឌផ្ញើ</t>
        </is>
      </c>
      <c r="J768" s="217" t="inlineStr">
        <is>
          <t>"listButton.printOrder": "Print order",</t>
        </is>
      </c>
    </row>
    <row r="769" ht="15.75" customHeight="1" s="305">
      <c r="A769" s="67" t="inlineStr">
        <is>
          <t>trackingInfomation.informationUser</t>
        </is>
      </c>
      <c r="B769" s="67" t="inlineStr">
        <is>
          <t>Thông tin liên hệ</t>
        </is>
      </c>
      <c r="C769" s="67" t="inlineStr">
        <is>
          <t>Contact information</t>
        </is>
      </c>
      <c r="D769" s="3">
        <f>IFERROR(__xludf.DUMMYFUNCTION("GOOGLETRANSLATE(B769,""vi"",""km"")"),"ព័ត៌មានទំនាក់ទំនង")</f>
        <v/>
      </c>
      <c r="E769" s="3" t="inlineStr">
        <is>
          <t>ព័ត៌មានទាក់ទង</t>
        </is>
      </c>
      <c r="F769" s="217" t="inlineStr">
        <is>
          <t>v</t>
        </is>
      </c>
      <c r="G769" s="217" t="inlineStr">
        <is>
          <t>ព័ត៌មានទាក់ទង</t>
        </is>
      </c>
      <c r="H769" t="inlineStr">
        <is>
          <t>ព័ត៌មានទាក់ទង</t>
        </is>
      </c>
      <c r="I769" s="74" t="inlineStr">
        <is>
          <t>ព័ត៌មានទំនាក់ទំនង</t>
        </is>
      </c>
      <c r="J769" s="217" t="inlineStr">
        <is>
          <t>"trackingInfomation.informationUser": "Contact information",</t>
        </is>
      </c>
    </row>
    <row r="770" ht="15.75" customHeight="1" s="305">
      <c r="A770" s="67" t="inlineStr">
        <is>
          <t>trackingInfomation.postOfficeDelivery</t>
        </is>
      </c>
      <c r="B770" s="67" t="inlineStr">
        <is>
          <t>Bưu cục phát</t>
        </is>
      </c>
      <c r="C770" s="67" t="inlineStr">
        <is>
          <t>Delivery post office</t>
        </is>
      </c>
      <c r="D770" s="3">
        <f>IFERROR(__xludf.DUMMYFUNCTION("GOOGLETRANSLATE(B770,""vi"",""km"")"),"ការិយាល័យប្រៃសណីយ៍ដឹកជញ្ជូន")</f>
        <v/>
      </c>
      <c r="E770" s="3" t="inlineStr">
        <is>
          <t>ការិយាល័យប្រៃសណីយ៍ដឹកជញ្ជូន</t>
        </is>
      </c>
      <c r="F770" s="217" t="inlineStr">
        <is>
          <t>v</t>
        </is>
      </c>
      <c r="G770" s="217" t="inlineStr">
        <is>
          <t>ការិយាល័យប្រៃសណីយ៍ដឹកចែក</t>
        </is>
      </c>
      <c r="H770" t="inlineStr">
        <is>
          <t>ការិយាល័យប្រៃសណីយ៍ដឹកចែក</t>
        </is>
      </c>
      <c r="I770" s="74" t="inlineStr">
        <is>
          <t>ការិយាល័យប្រៃសណីយ៍បញ្ញើ</t>
        </is>
      </c>
      <c r="J770" s="217" t="inlineStr">
        <is>
          <t>"trackingInfomation.postOfficeDelivery": "Delivery post office",</t>
        </is>
      </c>
    </row>
    <row r="771" ht="15.75" customHeight="1" s="305">
      <c r="A771" s="67" t="inlineStr">
        <is>
          <t>trackingInfomation.leader</t>
        </is>
      </c>
      <c r="B771" s="67" t="inlineStr">
        <is>
          <t>Trưởng đơn vị</t>
        </is>
      </c>
      <c r="C771" s="67" t="inlineStr">
        <is>
          <t>Head of Post-Office</t>
        </is>
      </c>
      <c r="D771" s="3">
        <f>IFERROR(__xludf.DUMMYFUNCTION("GOOGLETRANSLATE(B771,""vi"",""km"")"),"ប្រធានអង្គភាព")</f>
        <v/>
      </c>
      <c r="E771" s="3" t="inlineStr">
        <is>
          <t>ប្រធានអង្គភាព</t>
        </is>
      </c>
      <c r="F771" s="217" t="inlineStr">
        <is>
          <t>v</t>
        </is>
      </c>
      <c r="G771" s="217" t="inlineStr">
        <is>
          <t>ប្រធានអង្គភាព</t>
        </is>
      </c>
      <c r="H771" t="inlineStr">
        <is>
          <t>ប្រធានអង្គភាព</t>
        </is>
      </c>
      <c r="I771" s="74" t="inlineStr">
        <is>
          <t>ប្រធានអង្គភាព</t>
        </is>
      </c>
      <c r="J771" s="217" t="inlineStr">
        <is>
          <t>"trackingInfomation.leader": "Head of Post-Office",</t>
        </is>
      </c>
    </row>
    <row r="772" ht="15.75" customHeight="1" s="305">
      <c r="A772" s="67" t="inlineStr">
        <is>
          <t>trackingInfomation.customerCareDelivery</t>
        </is>
      </c>
      <c r="B772" s="67" t="inlineStr">
        <is>
          <t>CSKH phát</t>
        </is>
      </c>
      <c r="C772" s="67" t="inlineStr">
        <is>
          <t>Delivery customer care</t>
        </is>
      </c>
      <c r="D772" s="3">
        <f>IFERROR(__xludf.DUMMYFUNCTION("GOOGLETRANSLATE(B772,""vi"",""km"")"),"សេវាកម្មអតិថិជន")</f>
        <v/>
      </c>
      <c r="E772" s="3" t="inlineStr">
        <is>
          <t>បុគ្គលិក ថែទាំអតិថិជនចេញអីវ៉ាន់</t>
        </is>
      </c>
      <c r="F772" s="217" t="inlineStr">
        <is>
          <t>x</t>
        </is>
      </c>
      <c r="G772" s="217" t="inlineStr">
        <is>
          <t>បុគ្គលិក ថែទាំអតិថិជនចេញអីវ៉ាន់</t>
        </is>
      </c>
      <c r="H772" t="inlineStr">
        <is>
          <t>បុគ្គលិក ថែទាំអតិថិជនចេញអីវ៉ាន់</t>
        </is>
      </c>
      <c r="I772" s="74" t="inlineStr">
        <is>
          <t>សេវាថែទាំអតិថិជន</t>
        </is>
      </c>
      <c r="J772" s="217" t="inlineStr">
        <is>
          <t>"trackingInfomation.customerCareDelivery": "Delivery customer care",</t>
        </is>
      </c>
    </row>
    <row r="773" ht="15.75" customHeight="1" s="305">
      <c r="A773" s="67" t="inlineStr">
        <is>
          <t>trackingInfomation.postmanDelivery</t>
        </is>
      </c>
      <c r="B773" s="67" t="inlineStr">
        <is>
          <t>Bưu tá phát</t>
        </is>
      </c>
      <c r="C773" s="67" t="inlineStr">
        <is>
          <t>Delivery postman</t>
        </is>
      </c>
      <c r="D773" s="3">
        <f>IFERROR(__xludf.DUMMYFUNCTION("GOOGLETRANSLATE(B773,""vi"",""km"")"),"ការដឹកជញ្ជូនតាមប្រៃសណីយ៍")</f>
        <v/>
      </c>
      <c r="E773" s="3" t="inlineStr">
        <is>
          <t>អ្នកដឹកជញ្ជូនចេញអីវ៉ាន់</t>
        </is>
      </c>
      <c r="F773" s="217" t="inlineStr">
        <is>
          <t>x</t>
        </is>
      </c>
      <c r="G773" s="217" t="inlineStr">
        <is>
          <t>អ្នកដឹកជញ្ជូនចេញអីវ៉ាន់</t>
        </is>
      </c>
      <c r="H773" t="inlineStr">
        <is>
          <t>អ្នកដឹកជញ្ជូនចេញអីវ៉ាន់</t>
        </is>
      </c>
      <c r="I773" s="74" t="inlineStr">
        <is>
          <t>អ្នកដឹកជញ្ជូន</t>
        </is>
      </c>
      <c r="J773" s="217" t="inlineStr">
        <is>
          <t>"trackingInfomation.postmanDelivery": "Delivery postman",</t>
        </is>
      </c>
    </row>
    <row r="774" ht="15.75" customHeight="1" s="305">
      <c r="A774" s="67" t="inlineStr">
        <is>
          <t>trackingInfomation.postOfficeOrigin</t>
        </is>
      </c>
      <c r="B774" s="67" t="inlineStr">
        <is>
          <t>Bưu cục gốc</t>
        </is>
      </c>
      <c r="C774" s="67" t="inlineStr">
        <is>
          <t>Origin post office</t>
        </is>
      </c>
      <c r="D774" s="3">
        <f>IFERROR(__xludf.DUMMYFUNCTION("GOOGLETRANSLATE(B774,""vi"",""km"")"),"ការិយាល័យប្រៃសណីយ៍ដើម")</f>
        <v/>
      </c>
      <c r="E774" s="3" t="inlineStr">
        <is>
          <t>ការិយាល័យប្រៃសណីយ៍ដើម</t>
        </is>
      </c>
      <c r="F774" s="217" t="inlineStr">
        <is>
          <t>x</t>
        </is>
      </c>
      <c r="G774" s="217" t="inlineStr">
        <is>
          <t>ការិយាល័យប្រៃសណីយ៍ដើម</t>
        </is>
      </c>
      <c r="H774" t="inlineStr">
        <is>
          <t>ការិយាល័យប្រៃសណីយ៍ដើម</t>
        </is>
      </c>
      <c r="I774" s="74" t="inlineStr">
        <is>
          <t>ប្រភពដើមការិយាល័យប្រៃសណីយ៍</t>
        </is>
      </c>
      <c r="J774" s="217" t="inlineStr">
        <is>
          <t>"trackingInfomation.postOfficeOrigin": "Origin post office",</t>
        </is>
      </c>
    </row>
    <row r="775" ht="15.75" customHeight="1" s="305">
      <c r="A775" s="67" t="inlineStr">
        <is>
          <t>trackingInfomation.customerCareOrigin</t>
        </is>
      </c>
      <c r="B775" s="67" t="inlineStr">
        <is>
          <t>CSKH gốc</t>
        </is>
      </c>
      <c r="C775" s="67" t="inlineStr">
        <is>
          <t>Origin customer care</t>
        </is>
      </c>
      <c r="D775" s="3">
        <f>IFERROR(__xludf.DUMMYFUNCTION("GOOGLETRANSLATE(B775,""vi"",""km"")"),"សេវាកម្មអតិថិជនដើម")</f>
        <v/>
      </c>
      <c r="E775" s="3" t="inlineStr">
        <is>
          <t>បុគ្គលិក ថែទាំអតិថិជនដើម</t>
        </is>
      </c>
      <c r="F775" s="217" t="inlineStr">
        <is>
          <t>x</t>
        </is>
      </c>
      <c r="G775" s="217" t="inlineStr">
        <is>
          <t>ផ្នែកបម្រើអតិថិជនដើម</t>
        </is>
      </c>
      <c r="H775" t="inlineStr">
        <is>
          <t>ផ្នែកបម្រើអតិថិជនដើម</t>
        </is>
      </c>
      <c r="I775" s="74" t="inlineStr">
        <is>
          <t>ប្រភពដើមនៃការថែទាំអតិថិជន</t>
        </is>
      </c>
      <c r="J775" s="217" t="inlineStr">
        <is>
          <t>"trackingInfomation.customerCareOrigin": "Origin customer care",</t>
        </is>
      </c>
    </row>
    <row r="776" ht="15.75" customHeight="1" s="305">
      <c r="A776" s="67" t="inlineStr">
        <is>
          <t>trackingInfomation.informationDelivery</t>
        </is>
      </c>
      <c r="B776" s="67" t="inlineStr">
        <is>
          <t>Thông tin phát</t>
        </is>
      </c>
      <c r="C776" s="67" t="inlineStr">
        <is>
          <t>Delivery information</t>
        </is>
      </c>
      <c r="D776" s="3">
        <f>IFERROR(__xludf.DUMMYFUNCTION("GOOGLETRANSLATE(B776,""vi"",""km"")"),"ព័ត៌មានដែលបានចេញផ្សាយ")</f>
        <v/>
      </c>
      <c r="E776" s="3" t="inlineStr">
        <is>
          <t>ព័ត៌មានចេញអីវ៉ាន់</t>
        </is>
      </c>
      <c r="F776" s="217" t="inlineStr">
        <is>
          <t>x</t>
        </is>
      </c>
      <c r="G776" s="217" t="inlineStr">
        <is>
          <t>ព័ត៌មានចេញអីវ៉ាន់</t>
        </is>
      </c>
      <c r="H776" t="inlineStr">
        <is>
          <t>ព័ត៌មានចេញអីវ៉ាន់</t>
        </is>
      </c>
      <c r="I776" s="74" t="inlineStr">
        <is>
          <t>ព័ត៌មានបញ្ញើ</t>
        </is>
      </c>
      <c r="J776" s="217" t="inlineStr">
        <is>
          <t>"trackingInfomation.informationDelivery": "Delivery information",</t>
        </is>
      </c>
    </row>
    <row r="777" ht="15.75" customHeight="1" s="305">
      <c r="A777" s="67" t="inlineStr">
        <is>
          <t>trackingInfomation.receiverUser</t>
        </is>
      </c>
      <c r="B777" s="67" t="inlineStr">
        <is>
          <t>Người nhận</t>
        </is>
      </c>
      <c r="C777" s="67" t="inlineStr">
        <is>
          <t>Receiver</t>
        </is>
      </c>
      <c r="D777" s="3">
        <f>IFERROR(__xludf.DUMMYFUNCTION("GOOGLETRANSLATE(B777,""vi"",""km"")"),"អ្នកទទួល")</f>
        <v/>
      </c>
      <c r="E777" s="3" t="inlineStr">
        <is>
          <t>អ្នកទទួល</t>
        </is>
      </c>
      <c r="F777" s="217" t="inlineStr">
        <is>
          <t>v</t>
        </is>
      </c>
      <c r="G777" s="217" t="inlineStr">
        <is>
          <t>អ្នកទទួល</t>
        </is>
      </c>
      <c r="H777" t="inlineStr">
        <is>
          <t>អ្នកទទួល</t>
        </is>
      </c>
      <c r="I777" s="74" t="inlineStr">
        <is>
          <t>អ្នកទទួល</t>
        </is>
      </c>
      <c r="J777" s="217" t="inlineStr">
        <is>
          <t>"trackingInfomation.receiverUser": "Receiver",</t>
        </is>
      </c>
    </row>
    <row r="778" ht="15.75" customHeight="1" s="305">
      <c r="A778" s="67" t="inlineStr">
        <is>
          <t>trackingInfomation.parcel</t>
        </is>
      </c>
      <c r="B778" s="67" t="inlineStr">
        <is>
          <t>Hàng hóa</t>
        </is>
      </c>
      <c r="C778" s="67" t="inlineStr">
        <is>
          <t>Parcel</t>
        </is>
      </c>
      <c r="D778" s="3">
        <f>IFERROR(__xludf.DUMMYFUNCTION("GOOGLETRANSLATE(B778,""vi"",""km"")"),"ទំនិញ")</f>
        <v/>
      </c>
      <c r="E778" s="3" t="inlineStr">
        <is>
          <t>អីវ៉ាន់</t>
        </is>
      </c>
      <c r="F778" s="217" t="inlineStr">
        <is>
          <t>v</t>
        </is>
      </c>
      <c r="G778" s="217" t="inlineStr">
        <is>
          <t>ទំនិញ</t>
        </is>
      </c>
      <c r="H778" t="inlineStr">
        <is>
          <t>ទំនិញ</t>
        </is>
      </c>
      <c r="I778" s="74" t="inlineStr">
        <is>
          <t>ទំនេញ</t>
        </is>
      </c>
      <c r="J778" s="217" t="inlineStr">
        <is>
          <t>"trackingInfomation.parcel": "Parcel",</t>
        </is>
      </c>
    </row>
    <row r="779" ht="15.75" customHeight="1" s="305">
      <c r="A779" s="67" t="inlineStr">
        <is>
          <t>trackingInfomation.dateDelivery</t>
        </is>
      </c>
      <c r="B779" s="67" t="inlineStr">
        <is>
          <t>Ngày phát</t>
        </is>
      </c>
      <c r="C779" s="67" t="inlineStr">
        <is>
          <t>Delivery date</t>
        </is>
      </c>
      <c r="D779" s="3">
        <f>IFERROR(__xludf.DUMMYFUNCTION("GOOGLETRANSLATE(B779,""vi"",""km"")"),"កាលបរិច្ឆេទចេញផ្សាយ")</f>
        <v/>
      </c>
      <c r="E779" s="3" t="inlineStr">
        <is>
          <t>ថ្ងៃចេញផ្សាយ</t>
        </is>
      </c>
      <c r="F779" s="217" t="inlineStr">
        <is>
          <t>v</t>
        </is>
      </c>
      <c r="G779" s="217" t="inlineStr">
        <is>
          <t>កាលបរិច្ឆេទដឹកជញ្ជូន</t>
        </is>
      </c>
      <c r="H779" t="inlineStr">
        <is>
          <t>កាលបរិច្ឆេទដឹកជញ្ជូន</t>
        </is>
      </c>
      <c r="I779" s="74" t="inlineStr">
        <is>
          <t>ថ្ងៃបញ្ញើ</t>
        </is>
      </c>
      <c r="J779" s="217" t="inlineStr">
        <is>
          <t>"trackingInfomation.dateDelivery": "Delivery date",</t>
        </is>
      </c>
    </row>
    <row r="780" ht="15.75" customHeight="1" s="305">
      <c r="A780" s="67" t="inlineStr">
        <is>
          <t>trackingInfomation.status</t>
        </is>
      </c>
      <c r="B780" s="67" t="inlineStr">
        <is>
          <t>Trạng thái</t>
        </is>
      </c>
      <c r="C780" s="67" t="inlineStr">
        <is>
          <t>Status</t>
        </is>
      </c>
      <c r="D780" s="3">
        <f>IFERROR(__xludf.DUMMYFUNCTION("GOOGLETRANSLATE(B780,""vi"",""km"")"),"ស្ថានភាព")</f>
        <v/>
      </c>
      <c r="E780" s="3" t="inlineStr">
        <is>
          <t>ស្ថានភាព</t>
        </is>
      </c>
      <c r="F780" s="217" t="inlineStr">
        <is>
          <t>v</t>
        </is>
      </c>
      <c r="G780" s="217" t="inlineStr">
        <is>
          <t>ស្ថានភាព</t>
        </is>
      </c>
      <c r="H780" t="inlineStr">
        <is>
          <t>ស្ថានភាព</t>
        </is>
      </c>
      <c r="I780" s="74" t="inlineStr">
        <is>
          <t>ស្ថានភាព</t>
        </is>
      </c>
      <c r="J780" s="217" t="inlineStr">
        <is>
          <t>"trackingInfomation.status": "Status",</t>
        </is>
      </c>
    </row>
    <row r="781" ht="15.75" customHeight="1" s="305">
      <c r="A781" s="67" t="inlineStr">
        <is>
          <t>trackingInfomation.informationRefund</t>
        </is>
      </c>
      <c r="B781" s="67" t="inlineStr">
        <is>
          <t>Thông tin hoàn</t>
        </is>
      </c>
      <c r="C781" s="67" t="inlineStr">
        <is>
          <t>Return information</t>
        </is>
      </c>
      <c r="D781" s="3">
        <f>IFERROR(__xludf.DUMMYFUNCTION("GOOGLETRANSLATE(B781,""vi"",""km"")"),"ព័ត៌មានពេញលេញ")</f>
        <v/>
      </c>
      <c r="E781" s="3" t="inlineStr">
        <is>
          <t>ព័ត៌មានត្រលប់អីវ៉ាន់</t>
        </is>
      </c>
      <c r="F781" s="217" t="inlineStr">
        <is>
          <t>x</t>
        </is>
      </c>
      <c r="G781" s="217" t="inlineStr">
        <is>
          <t>ព័ត៌មានត្រលប់អីវ៉ាន់</t>
        </is>
      </c>
      <c r="H781" t="inlineStr">
        <is>
          <t>ព័ត៌មានត្រលប់អីវ៉ាន់</t>
        </is>
      </c>
      <c r="I781" s="74" t="inlineStr">
        <is>
          <t>ព័ត៌មានពេញលេញ</t>
        </is>
      </c>
      <c r="J781" s="217" t="inlineStr">
        <is>
          <t>"trackingInfomation.informationRefund": "Return information",</t>
        </is>
      </c>
    </row>
    <row r="782" ht="15.75" customHeight="1" s="305">
      <c r="A782" s="67" t="inlineStr">
        <is>
          <t>trackingInfomation.phone</t>
        </is>
      </c>
      <c r="B782" s="67" t="inlineStr">
        <is>
          <t>Số điện thoại</t>
        </is>
      </c>
      <c r="C782" s="67" t="inlineStr">
        <is>
          <t>Phone number</t>
        </is>
      </c>
      <c r="D782" s="3">
        <f>IFERROR(__xludf.DUMMYFUNCTION("GOOGLETRANSLATE(B782,""vi"",""km"")"),"លេខទូរស័ព្ទ")</f>
        <v/>
      </c>
      <c r="E782" s="3" t="inlineStr">
        <is>
          <t>លេខទូរស័ព្ទ</t>
        </is>
      </c>
      <c r="F782" s="217" t="inlineStr">
        <is>
          <t>v</t>
        </is>
      </c>
      <c r="G782" s="217" t="inlineStr">
        <is>
          <t>លេខទូរស័ព្ទ</t>
        </is>
      </c>
      <c r="H782" t="inlineStr">
        <is>
          <t>លេខទូរស័ព្ទ</t>
        </is>
      </c>
      <c r="I782" s="74" t="inlineStr">
        <is>
          <t>លេខទូរស័ព្ទ</t>
        </is>
      </c>
      <c r="J782" s="217" t="inlineStr">
        <is>
          <t>"trackingInfomation.phone": "Phone number",</t>
        </is>
      </c>
    </row>
    <row r="783" ht="15.75" customHeight="1" s="305">
      <c r="A783" s="67" t="inlineStr">
        <is>
          <t>trackingInfomation.address</t>
        </is>
      </c>
      <c r="B783" s="67" t="inlineStr">
        <is>
          <t>Địa chỉ</t>
        </is>
      </c>
      <c r="C783" s="67" t="inlineStr">
        <is>
          <t>Address</t>
        </is>
      </c>
      <c r="D783" s="3">
        <f>IFERROR(__xludf.DUMMYFUNCTION("GOOGLETRANSLATE(B783,""vi"",""km"")"),"អាសយដ្ឋាន")</f>
        <v/>
      </c>
      <c r="E783" s="3" t="inlineStr">
        <is>
          <t>អាស័យដ្ឋាន</t>
        </is>
      </c>
      <c r="F783" s="217" t="inlineStr">
        <is>
          <t>v</t>
        </is>
      </c>
      <c r="G783" s="217" t="inlineStr">
        <is>
          <t>អាសយដ្ឋាន</t>
        </is>
      </c>
      <c r="H783" t="inlineStr">
        <is>
          <t>អាសយដ្ឋាន</t>
        </is>
      </c>
      <c r="I783" s="74" t="inlineStr">
        <is>
          <t>អាស័យដ្ឋាន</t>
        </is>
      </c>
      <c r="J783" s="217" t="inlineStr">
        <is>
          <t>"trackingInfomation.address": "Address",</t>
        </is>
      </c>
    </row>
    <row r="784" ht="15.75" customHeight="1" s="305">
      <c r="A784" s="67" t="inlineStr">
        <is>
          <t>trackingHistory.tracking</t>
        </is>
      </c>
      <c r="B784" s="67" t="inlineStr">
        <is>
          <t>Hành trình</t>
        </is>
      </c>
      <c r="C784" s="67" t="inlineStr">
        <is>
          <t>Tracking</t>
        </is>
      </c>
      <c r="D784" s="3">
        <f>IFERROR(__xludf.DUMMYFUNCTION("GOOGLETRANSLATE(B784,""vi"",""km"")"),"ដំណើរកម្សាន្ត")</f>
        <v/>
      </c>
      <c r="E784" s="3" t="inlineStr">
        <is>
          <t>ដំណើរការ</t>
        </is>
      </c>
      <c r="F784" s="217" t="inlineStr">
        <is>
          <t>x</t>
        </is>
      </c>
      <c r="G784" s="217" t="inlineStr">
        <is>
          <t>ដំណើរឆ្លងកាត់បញ្ញើ</t>
        </is>
      </c>
      <c r="H784" t="inlineStr">
        <is>
          <t>ដំណើរឆ្លងកាត់បញ្ញើ</t>
        </is>
      </c>
      <c r="I784" s="74" t="inlineStr">
        <is>
          <t>ដំណើរបញ្ញើ</t>
        </is>
      </c>
      <c r="J784" s="217" t="inlineStr">
        <is>
          <t>"trackingHistory.tracking": "Tracking",</t>
        </is>
      </c>
    </row>
    <row r="785" ht="15.75" customHeight="1" s="305">
      <c r="A785" s="67" t="inlineStr">
        <is>
          <t>trackingHistory.historyUpdate</t>
        </is>
      </c>
      <c r="B785" s="67" t="inlineStr">
        <is>
          <t>Lịch sử điều chỉnh phiếu gửi</t>
        </is>
      </c>
      <c r="C785" s="67" t="inlineStr">
        <is>
          <t>Order modification history</t>
        </is>
      </c>
      <c r="D785" s="3">
        <f>IFERROR(__xludf.DUMMYFUNCTION("GOOGLETRANSLATE(B785,""vi"",""km"")"),"ប្រវត្តិនៃការកែតម្រូវចំពោះប័ណ្ណដឹកជញ្ជូន")</f>
        <v/>
      </c>
      <c r="E785" s="3" t="inlineStr">
        <is>
          <t>ប្រវត្តិនៃការកែប្រែបុងបញ្ញើ</t>
        </is>
      </c>
      <c r="F785" s="217" t="inlineStr">
        <is>
          <t>v</t>
        </is>
      </c>
      <c r="G785" s="217" t="inlineStr">
        <is>
          <t>ប្រវត្តិនៃការកែប្រែបុងបញ្ញើ</t>
        </is>
      </c>
      <c r="H785" t="inlineStr">
        <is>
          <t>ប្រវត្តិនៃការកែប្រែបុងបញ្ញើ</t>
        </is>
      </c>
      <c r="I785" s="74" t="inlineStr">
        <is>
          <t>ប្រវត្តិនៃការកែតម្រូវសំបុត្រដែលបានផ្ញើ</t>
        </is>
      </c>
      <c r="J785" s="217" t="inlineStr">
        <is>
          <t>"trackingHistory.historyUpdate": "Order modification history",</t>
        </is>
      </c>
    </row>
    <row r="786" ht="15.75" customHeight="1" s="305">
      <c r="A786" s="67" t="inlineStr">
        <is>
          <t>trackingHistory.order</t>
        </is>
      </c>
      <c r="B786" s="67" t="inlineStr">
        <is>
          <t>Phiếu gửi</t>
        </is>
      </c>
      <c r="C786" s="67" t="inlineStr">
        <is>
          <t>Order</t>
        </is>
      </c>
      <c r="D786" s="3">
        <f>IFERROR(__xludf.DUMMYFUNCTION("GOOGLETRANSLATE(B786,""vi"",""km"")"),"កំណត់ចំណាំដឹកជញ្ជូន")</f>
        <v/>
      </c>
      <c r="E786" s="3" t="inlineStr">
        <is>
          <t>បុងបញ្ញើ</t>
        </is>
      </c>
      <c r="F786" s="217" t="inlineStr">
        <is>
          <t>v</t>
        </is>
      </c>
      <c r="G786" s="217" t="inlineStr">
        <is>
          <t>បុងបញ្ញើ</t>
        </is>
      </c>
      <c r="H786" t="inlineStr">
        <is>
          <t>បុងបញ្ញើ</t>
        </is>
      </c>
      <c r="I786" s="74" t="inlineStr">
        <is>
          <t>បណ្ឌបញ្ញើ</t>
        </is>
      </c>
      <c r="J786" s="217" t="inlineStr">
        <is>
          <t>"trackingHistory.order": "Order",</t>
        </is>
      </c>
    </row>
    <row r="787" ht="15.75" customHeight="1" s="305">
      <c r="A787" s="67" t="inlineStr">
        <is>
          <t>trackingHistory.postCode</t>
        </is>
      </c>
      <c r="B787" s="67" t="inlineStr">
        <is>
          <t>Bưu cục</t>
        </is>
      </c>
      <c r="C787" s="67" t="inlineStr">
        <is>
          <t>Post office</t>
        </is>
      </c>
      <c r="D787" s="3">
        <f>IFERROR(__xludf.DUMMYFUNCTION("GOOGLETRANSLATE(B787,""vi"",""km"")"),"ការិយាល័យប្រៃសណីយ៍")</f>
        <v/>
      </c>
      <c r="E787" s="3" t="inlineStr">
        <is>
          <t>ការិយាល័យប្រៃសណីយ៍</t>
        </is>
      </c>
      <c r="F787" s="217" t="inlineStr">
        <is>
          <t>v</t>
        </is>
      </c>
      <c r="G787" s="217" t="inlineStr">
        <is>
          <t>ការិយាល័យប្រៃសណីយ៍</t>
        </is>
      </c>
      <c r="H787" t="inlineStr">
        <is>
          <t>ការិយាល័យប្រៃសណីយ៍</t>
        </is>
      </c>
      <c r="I787" s="74" t="inlineStr">
        <is>
          <t>ការិយាល័យបញ្ញើ</t>
        </is>
      </c>
      <c r="J787" s="217" t="inlineStr">
        <is>
          <t>"trackingHistory.postCode": "Post office",</t>
        </is>
      </c>
    </row>
    <row r="788" ht="15.75" customHeight="1" s="305">
      <c r="A788" s="67" t="inlineStr">
        <is>
          <t>trackingHistory.province</t>
        </is>
      </c>
      <c r="B788" s="67" t="inlineStr">
        <is>
          <t>Tỉnh</t>
        </is>
      </c>
      <c r="C788" s="67" t="inlineStr">
        <is>
          <t>Province</t>
        </is>
      </c>
      <c r="D788" s="3">
        <f>IFERROR(__xludf.DUMMYFUNCTION("GOOGLETRANSLATE(B788,""vi"",""km"")"),"ដឹងខ្លួន")</f>
        <v/>
      </c>
      <c r="E788" s="3" t="inlineStr">
        <is>
          <t>ខេត្ត</t>
        </is>
      </c>
      <c r="F788" s="217" t="inlineStr">
        <is>
          <t>v</t>
        </is>
      </c>
      <c r="G788" s="217" t="inlineStr">
        <is>
          <t>ខេត្ត</t>
        </is>
      </c>
      <c r="H788" t="inlineStr">
        <is>
          <t>ខេត្ត</t>
        </is>
      </c>
      <c r="I788" s="74" t="inlineStr">
        <is>
          <t>ខេត្ត</t>
        </is>
      </c>
      <c r="J788" s="217" t="inlineStr">
        <is>
          <t>"trackingHistory.province": "Province",</t>
        </is>
      </c>
    </row>
    <row r="789" ht="15.75" customHeight="1" s="305">
      <c r="A789" s="67" t="inlineStr">
        <is>
          <t>trackingHistory.userUpdate</t>
        </is>
      </c>
      <c r="B789" s="67" t="inlineStr">
        <is>
          <t>Người tác động</t>
        </is>
      </c>
      <c r="C789" s="67" t="inlineStr">
        <is>
          <t>Updater</t>
        </is>
      </c>
      <c r="D789" s="3">
        <f>IFERROR(__xludf.DUMMYFUNCTION("GOOGLETRANSLATE(B789,""vi"",""km"")"),"អ្នកមានឥទ្ធិពល")</f>
        <v/>
      </c>
      <c r="E789" s="3" t="inlineStr">
        <is>
          <t>អ្នកកែសម្រួល</t>
        </is>
      </c>
      <c r="F789" s="217" t="inlineStr">
        <is>
          <t>x</t>
        </is>
      </c>
      <c r="G789" s="217" t="inlineStr">
        <is>
          <t>អ្នកធ្វើប្រតិបត្តិការ</t>
        </is>
      </c>
      <c r="H789" t="inlineStr">
        <is>
          <t>អ្នកធ្វើប្រតិបត្តិការ</t>
        </is>
      </c>
      <c r="I789" s="74" t="inlineStr">
        <is>
          <t>អ្នកប្រើប្រាស់ធ្វើបច្ចុប្បន្នភាព</t>
        </is>
      </c>
      <c r="J789" s="217" t="inlineStr">
        <is>
          <t>"trackingHistory.userUpdate": "Updater",</t>
        </is>
      </c>
    </row>
    <row r="790" ht="15.75" customHeight="1" s="305">
      <c r="A790" s="67" t="inlineStr">
        <is>
          <t>trackingHistory.time</t>
        </is>
      </c>
      <c r="B790" s="67" t="inlineStr">
        <is>
          <t>Thời gian</t>
        </is>
      </c>
      <c r="C790" s="67" t="inlineStr">
        <is>
          <t>Time</t>
        </is>
      </c>
      <c r="D790" s="3">
        <f>IFERROR(__xludf.DUMMYFUNCTION("GOOGLETRANSLATE(B790,""vi"",""km"")"),"ពេលវេលា")</f>
        <v/>
      </c>
      <c r="E790" s="3" t="inlineStr">
        <is>
          <t>ពេលវេលា</t>
        </is>
      </c>
      <c r="F790" s="217" t="inlineStr">
        <is>
          <t>v</t>
        </is>
      </c>
      <c r="G790" s="217" t="inlineStr">
        <is>
          <t>ពេលវេលា</t>
        </is>
      </c>
      <c r="H790" t="inlineStr">
        <is>
          <t>ពេលវេលា</t>
        </is>
      </c>
      <c r="I790" s="74" t="inlineStr">
        <is>
          <t>ពេលវេលា</t>
        </is>
      </c>
      <c r="J790" s="217" t="inlineStr">
        <is>
          <t>"trackingHistory.time": "Time",</t>
        </is>
      </c>
    </row>
    <row r="791" ht="15.75" customHeight="1" s="305">
      <c r="A791" s="67" t="inlineStr">
        <is>
          <t>trackingHistory.content</t>
        </is>
      </c>
      <c r="B791" s="67" t="inlineStr">
        <is>
          <t>Nội dung</t>
        </is>
      </c>
      <c r="C791" s="67" t="inlineStr">
        <is>
          <t>Content</t>
        </is>
      </c>
      <c r="D791" s="3">
        <f>IFERROR(__xludf.DUMMYFUNCTION("GOOGLETRANSLATE(B791,""vi"",""km"")"),"ខ្លឹមសារ")</f>
        <v/>
      </c>
      <c r="E791" s="3" t="inlineStr">
        <is>
          <t>ខ្លឹមសារ</t>
        </is>
      </c>
      <c r="F791" s="217" t="inlineStr">
        <is>
          <t>v</t>
        </is>
      </c>
      <c r="G791" s="217" t="inlineStr">
        <is>
          <t>ខ្លឹមសារ</t>
        </is>
      </c>
      <c r="H791" t="inlineStr">
        <is>
          <t>ខ្លឹមសារ</t>
        </is>
      </c>
      <c r="I791" s="74" t="inlineStr">
        <is>
          <t>មាតិកា</t>
        </is>
      </c>
      <c r="J791" s="217" t="inlineStr">
        <is>
          <t>"trackingHistory.content": "Content",</t>
        </is>
      </c>
    </row>
    <row r="792" ht="15.75" customHeight="1" s="305">
      <c r="A792" s="67" t="inlineStr">
        <is>
          <t>trackingHistory.statusTracking</t>
        </is>
      </c>
      <c r="B792" s="67" t="inlineStr">
        <is>
          <t>Trạng thái hành trình</t>
        </is>
      </c>
      <c r="C792" s="67" t="inlineStr">
        <is>
          <t>Tracking status</t>
        </is>
      </c>
      <c r="D792" s="3">
        <f>IFERROR(__xludf.DUMMYFUNCTION("GOOGLETRANSLATE(B792,""vi"",""km"")"),"ស្ថានភាពធ្វើដំណើរ")</f>
        <v/>
      </c>
      <c r="E792" s="3" t="inlineStr">
        <is>
          <t>ស្ថានភាពការដឹកជញ្ជូន</t>
        </is>
      </c>
      <c r="F792" s="217" t="inlineStr">
        <is>
          <t>v</t>
        </is>
      </c>
      <c r="G792" s="217" t="inlineStr">
        <is>
          <t>ស្ថានភាពការដឹកជញ្ជូន</t>
        </is>
      </c>
      <c r="H792" t="inlineStr">
        <is>
          <t>ស្ថានភាពការដឹកជញ្ជូន</t>
        </is>
      </c>
      <c r="I792" s="74" t="inlineStr">
        <is>
          <t>ស្ថានភាពធ្វើដំណើររបស់បញ្ញើ</t>
        </is>
      </c>
      <c r="J792" s="217" t="inlineStr">
        <is>
          <t>"trackingHistory.statusTracking": "Tracking status",</t>
        </is>
      </c>
    </row>
    <row r="793" ht="15.75" customHeight="1" s="305">
      <c r="A793" s="67" t="inlineStr">
        <is>
          <t>trackingHistory.licensePlates</t>
        </is>
      </c>
      <c r="B793" s="67" t="inlineStr">
        <is>
          <t>Biển số xe</t>
        </is>
      </c>
      <c r="C793" s="67" t="inlineStr">
        <is>
          <t>License plates</t>
        </is>
      </c>
      <c r="D793" s="3">
        <f>IFERROR(__xludf.DUMMYFUNCTION("GOOGLETRANSLATE(B793,""vi"",""km"")"),"ផ្លាកលេខយានយន្ត")</f>
        <v/>
      </c>
      <c r="E793" s="3" t="inlineStr">
        <is>
          <t>ផ្លាកលេខរថយន្ត</t>
        </is>
      </c>
      <c r="F793" s="217" t="inlineStr">
        <is>
          <t>v</t>
        </is>
      </c>
      <c r="G793" s="217" t="inlineStr">
        <is>
          <t>ស្លាកលេខរថយន្ត</t>
        </is>
      </c>
      <c r="H793" t="inlineStr">
        <is>
          <t>ស្លាកលេខរថយន្ត</t>
        </is>
      </c>
      <c r="I793" s="74" t="inlineStr">
        <is>
          <t>លេខឡាន</t>
        </is>
      </c>
      <c r="J793" s="217" t="inlineStr">
        <is>
          <t>"trackingHistory.licensePlates": "License plates",</t>
        </is>
      </c>
    </row>
    <row r="794" ht="15.75" customHeight="1" s="305">
      <c r="A794" s="67" t="inlineStr">
        <is>
          <t>trackingHistory.timeStart</t>
        </is>
      </c>
      <c r="B794" s="67" t="inlineStr">
        <is>
          <t>TG.Xuất phát</t>
        </is>
      </c>
      <c r="C794" s="67" t="inlineStr">
        <is>
          <t>Start time</t>
        </is>
      </c>
      <c r="D794" s="3">
        <f>IFERROR(__xludf.DUMMYFUNCTION("GOOGLETRANSLATE(B794,""vi"",""km"")"),"ចាប់ផ្តើម")</f>
        <v/>
      </c>
      <c r="E794" s="3" t="inlineStr">
        <is>
          <t>ពេលវេលាចេញ</t>
        </is>
      </c>
      <c r="F794" s="217" t="inlineStr">
        <is>
          <t>x</t>
        </is>
      </c>
      <c r="G794" s="217" t="inlineStr">
        <is>
          <t>ពេលវេលាចេញ</t>
        </is>
      </c>
      <c r="H794" t="inlineStr">
        <is>
          <t>ពេលវេលាចេញ</t>
        </is>
      </c>
      <c r="I794" s="74" t="inlineStr">
        <is>
          <t>ពេលវេលាចេញដំណើរ</t>
        </is>
      </c>
      <c r="J794" s="217" t="inlineStr">
        <is>
          <t>"trackingHistory.timeStart": "Start time",</t>
        </is>
      </c>
    </row>
    <row r="795" ht="15.75" customHeight="1" s="305">
      <c r="A795" s="67" t="inlineStr">
        <is>
          <t>trackingHistory.postCodeArrives</t>
        </is>
      </c>
      <c r="B795" s="67" t="inlineStr">
        <is>
          <t>Bưu cục đến</t>
        </is>
      </c>
      <c r="C795" s="67" t="inlineStr">
        <is>
          <t>Arrival post office</t>
        </is>
      </c>
      <c r="D795" s="3">
        <f>IFERROR(__xludf.DUMMYFUNCTION("GOOGLETRANSLATE(B795,""vi"",""km"")"),"ការិយាល័យប្រៃសណីយ៍")</f>
        <v/>
      </c>
      <c r="E795" s="3" t="inlineStr">
        <is>
          <t>ការិយាល័យប្រៃសណីយ៍មកដល់</t>
        </is>
      </c>
      <c r="F795" s="217" t="inlineStr">
        <is>
          <t>v</t>
        </is>
      </c>
      <c r="G795" s="217" t="inlineStr">
        <is>
          <t>ការិយាល័យប្រៃសណីយ៍គោលដៅ</t>
        </is>
      </c>
      <c r="H795" t="inlineStr">
        <is>
          <t>ការិយាល័យប្រៃសណីយ៍គោលដៅ</t>
        </is>
      </c>
      <c r="I795" s="74" t="inlineStr">
        <is>
          <t>ការិយាល័យបញ្ញើមកដល់</t>
        </is>
      </c>
      <c r="J795" s="217" t="inlineStr">
        <is>
          <t>"trackingHistory.postCodeArrives": "Arrival post office",</t>
        </is>
      </c>
    </row>
    <row r="796" ht="15.75" customHeight="1" s="305">
      <c r="A796" s="67" t="inlineStr">
        <is>
          <t>trackingHistory.status</t>
        </is>
      </c>
      <c r="B796" s="67" t="inlineStr">
        <is>
          <t>Trạng thái</t>
        </is>
      </c>
      <c r="C796" s="67" t="inlineStr">
        <is>
          <t>Status</t>
        </is>
      </c>
      <c r="D796" s="3">
        <f>IFERROR(__xludf.DUMMYFUNCTION("GOOGLETRANSLATE(B796,""vi"",""km"")"),"ស្ថានភាព")</f>
        <v/>
      </c>
      <c r="E796" s="3" t="inlineStr">
        <is>
          <t>ស្ថានភាព</t>
        </is>
      </c>
      <c r="F796" s="217" t="inlineStr">
        <is>
          <t>v</t>
        </is>
      </c>
      <c r="G796" s="217" t="inlineStr">
        <is>
          <t>ស្ថានភាព</t>
        </is>
      </c>
      <c r="H796" t="inlineStr">
        <is>
          <t>ស្ថានភាព</t>
        </is>
      </c>
      <c r="I796" s="74" t="inlineStr">
        <is>
          <t>ស្ថានភាព</t>
        </is>
      </c>
      <c r="J796" s="217" t="inlineStr">
        <is>
          <t>"trackingHistory.status": "Status",</t>
        </is>
      </c>
    </row>
    <row r="797" ht="15.75" customHeight="1" s="305">
      <c r="A797" s="67" t="inlineStr">
        <is>
          <t>trackingHistory.userUpdateOrder</t>
        </is>
      </c>
      <c r="B797" s="67" t="inlineStr">
        <is>
          <t>Người sửa</t>
        </is>
      </c>
      <c r="C797" s="67" t="inlineStr">
        <is>
          <t>Editor</t>
        </is>
      </c>
      <c r="D797" s="3">
        <f>IFERROR(__xludf.DUMMYFUNCTION("GOOGLETRANSLATE(B797,""vi"",""km"")"),"អ្នកកែសម្រួល")</f>
        <v/>
      </c>
      <c r="E797" s="3" t="inlineStr">
        <is>
          <t>អ្នកកែសម្រួល</t>
        </is>
      </c>
      <c r="F797" s="217" t="inlineStr">
        <is>
          <t>v</t>
        </is>
      </c>
      <c r="G797" s="217" t="inlineStr">
        <is>
          <t>អ្នកកែប្រែ</t>
        </is>
      </c>
      <c r="H797" t="inlineStr">
        <is>
          <t>អ្នកកែប្រែ</t>
        </is>
      </c>
      <c r="I797" s="74" t="inlineStr">
        <is>
          <t>អ្នកប្រើប្រាស់ធ្វើបច្ចុប្បន្នភាព</t>
        </is>
      </c>
      <c r="J797" s="217" t="inlineStr">
        <is>
          <t>"trackingHistory.userUpdateOrder": "Editor",</t>
        </is>
      </c>
    </row>
    <row r="798" ht="15.75" customHeight="1" s="305">
      <c r="A798" s="67" t="inlineStr">
        <is>
          <t>trackingHistory.timeUpdate</t>
        </is>
      </c>
      <c r="B798" s="67" t="inlineStr">
        <is>
          <t>Thời gian sửa</t>
        </is>
      </c>
      <c r="C798" s="67" t="inlineStr">
        <is>
          <t>Edition time</t>
        </is>
      </c>
      <c r="D798" s="3">
        <f>IFERROR(__xludf.DUMMYFUNCTION("GOOGLETRANSLATE(B798,""vi"",""km"")"),"ពេលវេលាជួសជុល")</f>
        <v/>
      </c>
      <c r="E798" s="3" t="inlineStr">
        <is>
          <t>ពេលវេលាកែសម្រួល</t>
        </is>
      </c>
      <c r="F798" s="217" t="inlineStr">
        <is>
          <t>v</t>
        </is>
      </c>
      <c r="G798" s="217" t="inlineStr">
        <is>
          <t>ពេលវេលាកែសម្រួល</t>
        </is>
      </c>
      <c r="H798" t="inlineStr">
        <is>
          <t>ពេលវេលាកែសម្រួល</t>
        </is>
      </c>
      <c r="I798" s="74" t="inlineStr">
        <is>
          <t>ពេលវេលាបច្ចុប្បន្នភាព</t>
        </is>
      </c>
      <c r="J798" s="217" t="inlineStr">
        <is>
          <t>"trackingHistory.timeUpdate": "Edition time",</t>
        </is>
      </c>
    </row>
    <row r="799" ht="15.75" customHeight="1" s="305">
      <c r="A799" s="67" t="inlineStr">
        <is>
          <t>trackingHistory.contentOrigin</t>
        </is>
      </c>
      <c r="B799" s="67" t="inlineStr">
        <is>
          <t>Nội dung gốc</t>
        </is>
      </c>
      <c r="C799" s="67" t="inlineStr">
        <is>
          <t>Original content</t>
        </is>
      </c>
      <c r="D799" s="3">
        <f>IFERROR(__xludf.DUMMYFUNCTION("GOOGLETRANSLATE(B799,""vi"",""km"")"),"ខ្លឹមសារដើម")</f>
        <v/>
      </c>
      <c r="E799" s="3" t="inlineStr">
        <is>
          <t>ខ្លឹ្លមសារដើម</t>
        </is>
      </c>
      <c r="F799" s="217" t="inlineStr">
        <is>
          <t>v</t>
        </is>
      </c>
      <c r="G799" s="217" t="inlineStr">
        <is>
          <t>ខ្លឹ្លមសារដើម</t>
        </is>
      </c>
      <c r="H799" t="inlineStr">
        <is>
          <t>ខ្លឹ្លមសារដើម</t>
        </is>
      </c>
      <c r="I799" s="74" t="inlineStr">
        <is>
          <t>ខ្លឹមសារដើម</t>
        </is>
      </c>
      <c r="J799" s="217" t="inlineStr">
        <is>
          <t>"trackingHistory.contentOrigin": "Original content",</t>
        </is>
      </c>
    </row>
    <row r="800" ht="15.75" customHeight="1" s="305">
      <c r="A800" s="67" t="inlineStr">
        <is>
          <t>trackingHistory.contentUpdate</t>
        </is>
      </c>
      <c r="B800" s="67" t="inlineStr">
        <is>
          <t>Nội dung sửa</t>
        </is>
      </c>
      <c r="C800" s="67" t="inlineStr">
        <is>
          <t>Edited content</t>
        </is>
      </c>
      <c r="D800" s="3">
        <f>IFERROR(__xludf.DUMMYFUNCTION("GOOGLETRANSLATE(B800,""vi"",""km"")"),"ខ្លឹមសារដែលបានកែសម្រួល")</f>
        <v/>
      </c>
      <c r="E800" s="3" t="inlineStr">
        <is>
          <t>ខ្លឹមសារបានកែសម្រួល</t>
        </is>
      </c>
      <c r="F800" s="217" t="inlineStr">
        <is>
          <t>v</t>
        </is>
      </c>
      <c r="G800" s="217" t="inlineStr">
        <is>
          <t>ខ្លឹមសារបានកែសម្រួល</t>
        </is>
      </c>
      <c r="H800" t="inlineStr">
        <is>
          <t>ខ្លឹមសារបានកែសម្រួល</t>
        </is>
      </c>
      <c r="I800" s="74" t="inlineStr">
        <is>
          <t>មាតិកាធ្វើបច្ចុប្បន្នភាព</t>
        </is>
      </c>
      <c r="J800" s="217" t="inlineStr">
        <is>
          <t>"trackingHistory.contentUpdate": "Edited content",</t>
        </is>
      </c>
    </row>
    <row r="801" ht="15.75" customHeight="1" s="305">
      <c r="A801" s="67" t="inlineStr">
        <is>
          <t>trackingHistory.note</t>
        </is>
      </c>
      <c r="B801" s="67" t="inlineStr">
        <is>
          <t>Ghi chú</t>
        </is>
      </c>
      <c r="C801" s="67" t="inlineStr">
        <is>
          <t>Note</t>
        </is>
      </c>
      <c r="D801" s="3">
        <f>IFERROR(__xludf.DUMMYFUNCTION("GOOGLETRANSLATE(B801,""vi"",""km"")"),"កំណត់ចំណាំ")</f>
        <v/>
      </c>
      <c r="E801" s="3" t="inlineStr">
        <is>
          <t>កត់ចំណាំ</t>
        </is>
      </c>
      <c r="F801" s="217" t="inlineStr">
        <is>
          <t>v</t>
        </is>
      </c>
      <c r="G801" s="217" t="inlineStr">
        <is>
          <t>ចំណាំ</t>
        </is>
      </c>
      <c r="H801" t="inlineStr">
        <is>
          <t>ចំណាំ</t>
        </is>
      </c>
      <c r="I801" s="74" t="inlineStr">
        <is>
          <t>ចំណាំ</t>
        </is>
      </c>
      <c r="J801" s="217" t="inlineStr">
        <is>
          <t>"trackingHistory.note": "Note",</t>
        </is>
      </c>
    </row>
    <row r="802" ht="15.75" customHeight="1" s="305">
      <c r="A802" s="67" t="inlineStr">
        <is>
          <t>userManagement.listUser</t>
        </is>
      </c>
      <c r="B802" s="67" t="inlineStr">
        <is>
          <t>Quản lý người dùng</t>
        </is>
      </c>
      <c r="C802" s="67" t="inlineStr">
        <is>
          <t>user management</t>
        </is>
      </c>
      <c r="D802" s="3">
        <f>IFERROR(__xludf.DUMMYFUNCTION("GOOGLETRANSLATE(B802,""vi"",""km"")"),"ការគ្រប់គ្រងអ្នកប្រើប្រាស់")</f>
        <v/>
      </c>
      <c r="E802" s="3" t="inlineStr">
        <is>
          <t>គ្រប់គ្រងអ្នកប្រើប្រាស់</t>
        </is>
      </c>
      <c r="F802" s="217" t="inlineStr">
        <is>
          <t>v</t>
        </is>
      </c>
      <c r="G802" s="217" t="inlineStr">
        <is>
          <t>គ្រប់គ្រងអ្នកប្រើប្រាស់</t>
        </is>
      </c>
      <c r="H802" t="inlineStr">
        <is>
          <t>គ្រប់គ្រងអ្នកប្រើប្រាស់</t>
        </is>
      </c>
      <c r="I802" s="74" t="inlineStr">
        <is>
          <t>ការគ្រប់គ្រងអ្នកប្រើប្រាស់</t>
        </is>
      </c>
      <c r="J802" s="217" t="inlineStr">
        <is>
          <t>"userManagement.listUser": "user management",</t>
        </is>
      </c>
    </row>
    <row r="803" ht="15.75" customHeight="1" s="305">
      <c r="A803" s="67" t="inlineStr">
        <is>
          <t>userManagement.listDepartment</t>
        </is>
      </c>
      <c r="B803" s="67" t="inlineStr">
        <is>
          <t>Danh sách đơn vị</t>
        </is>
      </c>
      <c r="C803" s="67" t="inlineStr">
        <is>
          <t>List of department</t>
        </is>
      </c>
      <c r="D803" s="3">
        <f>IFERROR(__xludf.DUMMYFUNCTION("GOOGLETRANSLATE(B803,""vi"",""km"")"),"បញ្ជីអង្គភាព")</f>
        <v/>
      </c>
      <c r="E803" s="3" t="inlineStr">
        <is>
          <t>បញ្ជីអង្គភាព</t>
        </is>
      </c>
      <c r="F803" s="217" t="inlineStr">
        <is>
          <t>v</t>
        </is>
      </c>
      <c r="G803" s="217" t="inlineStr">
        <is>
          <t>បញ្ជីអង្គភាព</t>
        </is>
      </c>
      <c r="H803" t="inlineStr">
        <is>
          <t>បញ្ជីអង្គភាព</t>
        </is>
      </c>
      <c r="I803" s="74" t="inlineStr">
        <is>
          <t>បញ្ជីផ្នែក</t>
        </is>
      </c>
      <c r="J803" s="217" t="inlineStr">
        <is>
          <t>"userManagement.listDepartment": "List of department",</t>
        </is>
      </c>
    </row>
    <row r="804" ht="15.75" customHeight="1" s="305">
      <c r="A804" s="67" t="inlineStr">
        <is>
          <t>userManagement.historyDepartment</t>
        </is>
      </c>
      <c r="B804" s="67" t="inlineStr">
        <is>
          <t>Lịch sử đơn vị</t>
        </is>
      </c>
      <c r="C804" s="67" t="inlineStr">
        <is>
          <t>Department history</t>
        </is>
      </c>
      <c r="D804" s="3">
        <f>IFERROR(__xludf.DUMMYFUNCTION("GOOGLETRANSLATE(B804,""vi"",""km"")"),"ប្រវត្តិឯកតា")</f>
        <v/>
      </c>
      <c r="E804" s="3" t="inlineStr">
        <is>
          <t>ប្រវត្តិអង្គភាព</t>
        </is>
      </c>
      <c r="F804" s="217" t="inlineStr">
        <is>
          <t>v</t>
        </is>
      </c>
      <c r="G804" s="217" t="inlineStr">
        <is>
          <t>ប្រវត្តិអង្គភាព</t>
        </is>
      </c>
      <c r="H804" t="inlineStr">
        <is>
          <t>ប្រវត្តិអង្គភាព</t>
        </is>
      </c>
      <c r="I804" s="74" t="inlineStr">
        <is>
          <t>ប្រវត្តិផ្នែក</t>
        </is>
      </c>
      <c r="J804" s="217" t="inlineStr">
        <is>
          <t>"userManagement.historyDepartment": "Department history",</t>
        </is>
      </c>
    </row>
    <row r="805" ht="15.75" customHeight="1" s="305">
      <c r="A805" s="67" t="inlineStr">
        <is>
          <t>listUser.all</t>
        </is>
      </c>
      <c r="B805" s="67" t="inlineStr">
        <is>
          <t>Tất cả</t>
        </is>
      </c>
      <c r="C805" s="67" t="inlineStr">
        <is>
          <t>All</t>
        </is>
      </c>
      <c r="D805" s="3">
        <f>IFERROR(__xludf.DUMMYFUNCTION("GOOGLETRANSLATE(B805,""vi"",""km"")"),"ទាំងអស់")</f>
        <v/>
      </c>
      <c r="E805" s="3" t="inlineStr">
        <is>
          <t>ទាំងអស់</t>
        </is>
      </c>
      <c r="F805" s="217" t="inlineStr">
        <is>
          <t>v</t>
        </is>
      </c>
      <c r="G805" s="217" t="inlineStr">
        <is>
          <t>ទាំងអស់</t>
        </is>
      </c>
      <c r="H805" t="inlineStr">
        <is>
          <t>ទាំងអស់</t>
        </is>
      </c>
      <c r="I805" s="74" t="inlineStr">
        <is>
          <t>ទាំងអស់</t>
        </is>
      </c>
      <c r="J805" s="217" t="inlineStr">
        <is>
          <t>"listUser.all": "All",</t>
        </is>
      </c>
    </row>
    <row r="806" ht="15.75" customHeight="1" s="305">
      <c r="A806" s="67" t="inlineStr">
        <is>
          <t>listUser.searchPlaceholder</t>
        </is>
      </c>
      <c r="B806" s="67" t="inlineStr">
        <is>
          <t>Tìm kiếm Mã NV, SĐT, Họ tên</t>
        </is>
      </c>
      <c r="C806" s="67" t="inlineStr">
        <is>
          <t>Search for Employee ID, phone number, username, full name</t>
        </is>
      </c>
      <c r="D806" s="3">
        <f>IFERROR(__xludf.DUMMYFUNCTION("GOOGLETRANSLATE(B806,""vi"",""km"")"),"ស្វែងរកអត្តសញ្ញាណបុគ្គលិក លេខទូរស័ព្ទ ឈ្មោះពេញ")</f>
        <v/>
      </c>
      <c r="E806" s="3" t="inlineStr">
        <is>
          <t>ស្វែងរកលេខសម្គាល់បុគ្គលិក លេខទូរស័ព្ទ គោត្តនាម និងនាម</t>
        </is>
      </c>
      <c r="F806" s="217" t="inlineStr">
        <is>
          <t>v</t>
        </is>
      </c>
      <c r="G806" s="217" t="inlineStr">
        <is>
          <t>ស្វែងរកលេខសម្គាល់បុគ្គលិក លេខទូរស័ព្ទ គោត្តនាម និងនាម</t>
        </is>
      </c>
      <c r="H806" t="inlineStr">
        <is>
          <t>ស្វែងរកលេខសម្គាល់បុគ្គលិក លេខទូរស័ព្ទ គោត្តនាម និងនាម</t>
        </is>
      </c>
      <c r="I806" s="74" t="inlineStr">
        <is>
          <t>ស្វែងរកលេខកូដបុគ្គលិក លេខទូរស័ព្ទ អ្នកប្រើប្រាស់ ឈ្មោះពេញ</t>
        </is>
      </c>
      <c r="J806" s="217" t="inlineStr">
        <is>
          <t>"listUser.searchPlaceholder": "Search for Employee ID, phone number, username, full name",</t>
        </is>
      </c>
    </row>
    <row r="807" ht="15.75" customHeight="1" s="305">
      <c r="A807" s="67" t="inlineStr">
        <is>
          <t>listUser.active</t>
        </is>
      </c>
      <c r="B807" s="67" t="inlineStr">
        <is>
          <t>Hiệu lực</t>
        </is>
      </c>
      <c r="C807" s="67" t="inlineStr">
        <is>
          <t>Active</t>
        </is>
      </c>
      <c r="D807" s="3">
        <f>IFERROR(__xludf.DUMMYFUNCTION("GOOGLETRANSLATE(B807,""vi"",""km"")"),"សុពលភាព")</f>
        <v/>
      </c>
      <c r="E807" s="3" t="inlineStr">
        <is>
          <t>សុពលភាព</t>
        </is>
      </c>
      <c r="F807" s="217" t="inlineStr">
        <is>
          <t>v</t>
        </is>
      </c>
      <c r="G807" s="217" t="inlineStr">
        <is>
          <t>សកម្ម</t>
        </is>
      </c>
      <c r="H807" t="inlineStr">
        <is>
          <t>សកម្ម</t>
        </is>
      </c>
      <c r="I807" s="74" t="inlineStr">
        <is>
          <t>សកម្ម</t>
        </is>
      </c>
      <c r="J807" s="217" t="inlineStr">
        <is>
          <t>"listUser.active": "Active",</t>
        </is>
      </c>
    </row>
    <row r="808" ht="15.75" customHeight="1" s="305">
      <c r="A808" s="67" t="inlineStr">
        <is>
          <t>listUser.inactive</t>
        </is>
      </c>
      <c r="B808" s="67" t="inlineStr">
        <is>
          <t>Hết hiệu lực</t>
        </is>
      </c>
      <c r="C808" s="67" t="inlineStr">
        <is>
          <t>Inactive/deactive</t>
        </is>
      </c>
      <c r="D808" s="3">
        <f>IFERROR(__xludf.DUMMYFUNCTION("GOOGLETRANSLATE(B808,""vi"",""km"")"),"ផុតកំណត់")</f>
        <v/>
      </c>
      <c r="E808" s="3" t="inlineStr">
        <is>
          <t>អស់សុពលភាព</t>
        </is>
      </c>
      <c r="F808" s="217" t="inlineStr">
        <is>
          <t>v</t>
        </is>
      </c>
      <c r="G808" s="217" t="inlineStr">
        <is>
          <t>អសកម្ម</t>
        </is>
      </c>
      <c r="H808" t="inlineStr">
        <is>
          <t>អសកម្ម</t>
        </is>
      </c>
      <c r="I808" s="74" t="inlineStr">
        <is>
          <t>ផុតកំណត់</t>
        </is>
      </c>
      <c r="J808" s="217" t="inlineStr">
        <is>
          <t>"listUser.inactive": "Inactive/deactive",</t>
        </is>
      </c>
    </row>
    <row r="809" ht="15.75" customHeight="1" s="305">
      <c r="A809" s="67" t="inlineStr">
        <is>
          <t>listUser.status</t>
        </is>
      </c>
      <c r="B809" s="67" t="inlineStr">
        <is>
          <t>Trạng thái</t>
        </is>
      </c>
      <c r="C809" s="67" t="inlineStr">
        <is>
          <t>Status</t>
        </is>
      </c>
      <c r="D809" s="3">
        <f>IFERROR(__xludf.DUMMYFUNCTION("GOOGLETRANSLATE(B809,""vi"",""km"")"),"ស្ថានភាព")</f>
        <v/>
      </c>
      <c r="E809" s="3" t="inlineStr">
        <is>
          <t>ស្ថានភាព</t>
        </is>
      </c>
      <c r="F809" s="217" t="inlineStr">
        <is>
          <t>v</t>
        </is>
      </c>
      <c r="G809" s="217" t="inlineStr">
        <is>
          <t>ស្ថានភាព</t>
        </is>
      </c>
      <c r="H809" t="inlineStr">
        <is>
          <t>ស្ថានភាព</t>
        </is>
      </c>
      <c r="I809" s="74" t="inlineStr">
        <is>
          <t>ស្ថានភាព</t>
        </is>
      </c>
      <c r="J809" s="217" t="inlineStr">
        <is>
          <t>"listUser.status": "Status",</t>
        </is>
      </c>
    </row>
    <row r="810" ht="15.75" customHeight="1" s="305">
      <c r="A810" s="67" t="inlineStr">
        <is>
          <t>listUser.name</t>
        </is>
      </c>
      <c r="B810" s="67" t="inlineStr">
        <is>
          <t>Họ và tên</t>
        </is>
      </c>
      <c r="C810" s="67" t="inlineStr">
        <is>
          <t>Fullname</t>
        </is>
      </c>
      <c r="D810" s="3">
        <f>IFERROR(__xludf.DUMMYFUNCTION("GOOGLETRANSLATE(B810,""vi"",""km"")"),"ឈ្មោះពេញ")</f>
        <v/>
      </c>
      <c r="E810" s="3" t="inlineStr">
        <is>
          <t>គោត្តនាម និងនាម</t>
        </is>
      </c>
      <c r="F810" s="217" t="inlineStr">
        <is>
          <t>v</t>
        </is>
      </c>
      <c r="G810" s="217" t="inlineStr">
        <is>
          <t>គោត្តនាម និងនាម</t>
        </is>
      </c>
      <c r="H810" t="inlineStr">
        <is>
          <t>គោត្តនាម និងនាម</t>
        </is>
      </c>
      <c r="I810" s="74" t="inlineStr">
        <is>
          <t>ឈ្មោះពេញ</t>
        </is>
      </c>
      <c r="J810" s="217" t="inlineStr">
        <is>
          <t>"listUser.name": "Fullname",</t>
        </is>
      </c>
    </row>
    <row r="811" ht="15.75" customHeight="1" s="305">
      <c r="A811" s="67" t="inlineStr">
        <is>
          <t>listUser.idNo</t>
        </is>
      </c>
      <c r="B811" s="67" t="inlineStr">
        <is>
          <t>Mã NV</t>
        </is>
      </c>
      <c r="C811" s="67" t="inlineStr">
        <is>
          <t>Employee ID</t>
        </is>
      </c>
      <c r="D811" s="3">
        <f>IFERROR(__xludf.DUMMYFUNCTION("GOOGLETRANSLATE(B811,""vi"",""km"")"),"លេខកូដបុគ្គលិក")</f>
        <v/>
      </c>
      <c r="E811" s="3" t="inlineStr">
        <is>
          <t>លេខសម្គាល់បុគ្គលិក</t>
        </is>
      </c>
      <c r="F811" s="217" t="inlineStr">
        <is>
          <t>v</t>
        </is>
      </c>
      <c r="G811" s="217" t="inlineStr">
        <is>
          <t>លេខសម្គាល់បុគ្គលិក</t>
        </is>
      </c>
      <c r="H811" t="inlineStr">
        <is>
          <t>លេខសម្គាល់បុគ្គលិក</t>
        </is>
      </c>
      <c r="I811" s="74" t="inlineStr">
        <is>
          <t>លេខកូដបុគ្គលិក</t>
        </is>
      </c>
      <c r="J811" s="217" t="inlineStr">
        <is>
          <t>"listUser.idNo": "Employee ID",</t>
        </is>
      </c>
    </row>
    <row r="812" ht="15.75" customHeight="1" s="305">
      <c r="A812" s="67" t="inlineStr">
        <is>
          <t>listUser.username</t>
        </is>
      </c>
      <c r="B812" s="67" t="inlineStr">
        <is>
          <t>User</t>
        </is>
      </c>
      <c r="C812" s="67" t="inlineStr">
        <is>
          <t>User</t>
        </is>
      </c>
      <c r="D812" s="3">
        <f>IFERROR(__xludf.DUMMYFUNCTION("GOOGLETRANSLATE(B812,""vi"",""km"")"),"អ្នកប្រើប្រាស់")</f>
        <v/>
      </c>
      <c r="E812" s="3" t="inlineStr">
        <is>
          <t>អ្ននប្រើប្រាស់</t>
        </is>
      </c>
      <c r="F812" s="217" t="inlineStr">
        <is>
          <t>v</t>
        </is>
      </c>
      <c r="G812" s="217" t="inlineStr">
        <is>
          <t>អ្ននប្រើប្រាស់</t>
        </is>
      </c>
      <c r="H812" t="inlineStr">
        <is>
          <t>អ្ននប្រើប្រាស់</t>
        </is>
      </c>
      <c r="I812" s="74" t="inlineStr">
        <is>
          <t>អ្នកប្រើប្រាស់</t>
        </is>
      </c>
      <c r="J812" s="217" t="inlineStr">
        <is>
          <t>"listUser.username": "User",</t>
        </is>
      </c>
    </row>
    <row r="813" ht="15.75" customHeight="1" s="305">
      <c r="A813" s="67" t="inlineStr">
        <is>
          <t>listUser.phone</t>
        </is>
      </c>
      <c r="B813" s="67" t="inlineStr">
        <is>
          <t>SĐT</t>
        </is>
      </c>
      <c r="C813" s="67" t="inlineStr">
        <is>
          <t>Phone number</t>
        </is>
      </c>
      <c r="D813" s="3">
        <f>IFERROR(__xludf.DUMMYFUNCTION("GOOGLETRANSLATE(B813,""vi"",""km"")"),"លេខទូរស័ព្ទ")</f>
        <v/>
      </c>
      <c r="E813" s="3" t="inlineStr">
        <is>
          <t>លេខទូរស័ព្ទ</t>
        </is>
      </c>
      <c r="F813" s="217" t="inlineStr">
        <is>
          <t>v</t>
        </is>
      </c>
      <c r="G813" s="217" t="inlineStr">
        <is>
          <t>លេខទូរស័ព្ទ</t>
        </is>
      </c>
      <c r="H813" t="inlineStr">
        <is>
          <t>លេខទូរស័ព្ទ</t>
        </is>
      </c>
      <c r="I813" s="74" t="inlineStr">
        <is>
          <t>លេខទូរសព្ទ</t>
        </is>
      </c>
      <c r="J813" s="217" t="inlineStr">
        <is>
          <t>"listUser.phone": "Phone number",</t>
        </is>
      </c>
    </row>
    <row r="814" ht="15.75" customHeight="1" s="305">
      <c r="A814" s="67" t="inlineStr">
        <is>
          <t>listUser.CCCD</t>
        </is>
      </c>
      <c r="B814" s="67" t="inlineStr">
        <is>
          <t>CCCD</t>
        </is>
      </c>
      <c r="C814" s="67" t="inlineStr">
        <is>
          <t>Citizen identification</t>
        </is>
      </c>
      <c r="D814" s="3">
        <f>IFERROR(__xludf.DUMMYFUNCTION("GOOGLETRANSLATE(B814,""vi"",""km"")"),"អត្តសញ្ញាណប័ណ្ណពលរដ្ឋ")</f>
        <v/>
      </c>
      <c r="E814" s="3" t="inlineStr">
        <is>
          <t>អត្តសញ្ញាណប័ណ្ណ</t>
        </is>
      </c>
      <c r="F814" s="217" t="inlineStr">
        <is>
          <t>v</t>
        </is>
      </c>
      <c r="G814" s="217" t="inlineStr">
        <is>
          <t>អត្តសញ្ញាណប័ណ្ណ</t>
        </is>
      </c>
      <c r="H814" t="inlineStr">
        <is>
          <t>អត្តសញ្ញាណប័ណ្ណ</t>
        </is>
      </c>
      <c r="I814" s="74" t="inlineStr">
        <is>
          <t>លេខអត្ថសញ្ញាណបណ្ឌ</t>
        </is>
      </c>
      <c r="J814" s="217" t="inlineStr">
        <is>
          <t>"listUser.CCCD": "Citizen identification",</t>
        </is>
      </c>
    </row>
    <row r="815" ht="15.75" customHeight="1" s="305">
      <c r="A815" s="67" t="inlineStr">
        <is>
          <t>modifyListUser.title</t>
        </is>
      </c>
      <c r="B815" s="67" t="inlineStr">
        <is>
          <t>Thông tin tài khoản người dùng</t>
        </is>
      </c>
      <c r="C815" s="67" t="inlineStr">
        <is>
          <t>User information</t>
        </is>
      </c>
      <c r="D815" s="3">
        <f>IFERROR(__xludf.DUMMYFUNCTION("GOOGLETRANSLATE(B815,""vi"",""km"")"),"ព័ត៌មានគណនីអ្នកប្រើប្រាស់")</f>
        <v/>
      </c>
      <c r="E815" s="3" t="inlineStr">
        <is>
          <t>ព័ត៌មានគណនីអ្នកប្រើប្រាស់</t>
        </is>
      </c>
      <c r="F815" s="217" t="inlineStr">
        <is>
          <t>v</t>
        </is>
      </c>
      <c r="G815" s="217" t="inlineStr">
        <is>
          <t>ព័ត៌មានគណនីអ្នកប្រើប្រាស់</t>
        </is>
      </c>
      <c r="H815" t="inlineStr">
        <is>
          <t>ព័ត៌មានគណនីអ្នកប្រើប្រាស់</t>
        </is>
      </c>
      <c r="I815" s="74" t="inlineStr">
        <is>
          <t>ព័ត៌មានគណនីអ្នកប្រើប្រាស់</t>
        </is>
      </c>
      <c r="J815" s="217" t="inlineStr">
        <is>
          <t>"modifyListUser.title": "User information",</t>
        </is>
      </c>
    </row>
    <row r="816" ht="15.75" customHeight="1" s="305">
      <c r="A816" s="67" t="inlineStr">
        <is>
          <t>modifyListUser.lastName</t>
        </is>
      </c>
      <c r="B816" s="67" t="inlineStr">
        <is>
          <t>Họ &amp; tên đệm</t>
        </is>
      </c>
      <c r="C816" s="67" t="inlineStr">
        <is>
          <t>First &amp; Middle Name</t>
        </is>
      </c>
      <c r="D816" s="3">
        <f>IFERROR(__xludf.DUMMYFUNCTION("GOOGLETRANSLATE(B816,""vi"",""km"")"),"នាមត្រកូល និងឈ្មោះកណ្តាល")</f>
        <v/>
      </c>
      <c r="E816" s="3" t="inlineStr">
        <is>
          <t>គោត្តនាម និងនាម</t>
        </is>
      </c>
      <c r="F816" s="217" t="inlineStr">
        <is>
          <t>x</t>
        </is>
      </c>
      <c r="G816" s="217" t="inlineStr">
        <is>
          <t>គោត្តនាម និងនាម</t>
        </is>
      </c>
      <c r="H816" t="inlineStr">
        <is>
          <t>គោត្តនាម និងនាម</t>
        </is>
      </c>
      <c r="I816" s="74" t="inlineStr">
        <is>
          <t>នាមត្រកូល</t>
        </is>
      </c>
      <c r="J816" s="217" t="inlineStr">
        <is>
          <t>"modifyListUser.lastName": "First &amp; Middle Name",</t>
        </is>
      </c>
    </row>
    <row r="817" ht="15.75" customHeight="1" s="305">
      <c r="A817" s="67" t="inlineStr">
        <is>
          <t>modifyListUser.firstName</t>
        </is>
      </c>
      <c r="B817" s="67" t="inlineStr">
        <is>
          <t>Tên</t>
        </is>
      </c>
      <c r="C817" s="67" t="inlineStr">
        <is>
          <t>Last name</t>
        </is>
      </c>
      <c r="D817" s="3">
        <f>IFERROR(__xludf.DUMMYFUNCTION("GOOGLETRANSLATE(B817,""vi"",""km"")"),"ឈ្មោះ")</f>
        <v/>
      </c>
      <c r="E817" s="3" t="inlineStr">
        <is>
          <t>ឈ្មោះ</t>
        </is>
      </c>
      <c r="F817" s="217" t="inlineStr">
        <is>
          <t>v</t>
        </is>
      </c>
      <c r="G817" s="217" t="inlineStr">
        <is>
          <t>ឈ្មោះ</t>
        </is>
      </c>
      <c r="H817" t="inlineStr">
        <is>
          <t>ឈ្មោះ</t>
        </is>
      </c>
      <c r="I817" s="74" t="inlineStr">
        <is>
          <t>ឈ្មោះ​</t>
        </is>
      </c>
      <c r="J817" s="217" t="inlineStr">
        <is>
          <t>"modifyListUser.firstName": "Last name",</t>
        </is>
      </c>
    </row>
    <row r="818" ht="15.75" customHeight="1" s="305">
      <c r="A818" s="67" t="inlineStr">
        <is>
          <t>modifyListUser.idNo</t>
        </is>
      </c>
      <c r="B818" s="67" t="inlineStr">
        <is>
          <t>Mã công dân</t>
        </is>
      </c>
      <c r="C818" s="67" t="inlineStr">
        <is>
          <t>Citizen identification code</t>
        </is>
      </c>
      <c r="D818" s="3">
        <f>IFERROR(__xludf.DUMMYFUNCTION("GOOGLETRANSLATE(B818,""vi"",""km"")"),"អត្តសញ្ញាណប័ណ្ណពលរដ្ឋ")</f>
        <v/>
      </c>
      <c r="E818" s="3" t="inlineStr">
        <is>
          <t>លេខអត្តសញ្ញាណប័ណ្ណ</t>
        </is>
      </c>
      <c r="F818" s="217" t="inlineStr">
        <is>
          <t>x</t>
        </is>
      </c>
      <c r="G818" s="217" t="inlineStr">
        <is>
          <t>លេខអត្តសញ្ញាណប័ណ្ណ</t>
        </is>
      </c>
      <c r="H818" t="inlineStr">
        <is>
          <t>លេខអត្តសញ្ញាណប័ណ្ណ</t>
        </is>
      </c>
      <c r="I818" s="74" t="inlineStr">
        <is>
          <t>លេខសម្គល់​ id</t>
        </is>
      </c>
      <c r="J818" s="217" t="inlineStr">
        <is>
          <t>"modifyListUser.idNo": "Citizen identification code",</t>
        </is>
      </c>
    </row>
    <row r="819" ht="15.75" customHeight="1" s="305">
      <c r="A819" s="67" t="inlineStr">
        <is>
          <t>modifyListUser.idNohint</t>
        </is>
      </c>
      <c r="B819" s="67" t="inlineStr">
        <is>
          <t>CCCD/CMT</t>
        </is>
      </c>
      <c r="C819" s="67" t="inlineStr">
        <is>
          <t>Citizen identification</t>
        </is>
      </c>
      <c r="D819" s="3">
        <f>IFERROR(__xludf.DUMMYFUNCTION("GOOGLETRANSLATE(B819,""vi"",""km"")"),"អត្តសញ្ញាណប័ណ្ណពលរដ្ឋ/អត្តសញ្ញាណប័ណ្ណជាតិ")</f>
        <v/>
      </c>
      <c r="E819" s="67" t="inlineStr">
        <is>
          <t>CCCD/CMT</t>
        </is>
      </c>
      <c r="F819" s="217" t="inlineStr">
        <is>
          <t>v</t>
        </is>
      </c>
      <c r="G819" s="217" t="inlineStr">
        <is>
          <t>អត្តសញ្ញាណប័ណ្ណ</t>
        </is>
      </c>
      <c r="H819" t="inlineStr">
        <is>
          <t>អត្តសញ្ញាណប័ណ្ណ</t>
        </is>
      </c>
      <c r="I819" s="74" t="inlineStr">
        <is>
          <t>លេខអត្ថសញ្ញាណបណ្ឌ</t>
        </is>
      </c>
      <c r="J819" s="217" t="inlineStr">
        <is>
          <t>"modifyListUser.idNohint": "Citizen identification",</t>
        </is>
      </c>
    </row>
    <row r="820" ht="15.75" customHeight="1" s="305">
      <c r="A820" s="67" t="inlineStr">
        <is>
          <t>modifyListUser.dateOfBirth</t>
        </is>
      </c>
      <c r="B820" s="67" t="inlineStr">
        <is>
          <t>Ngày sinh</t>
        </is>
      </c>
      <c r="C820" s="67" t="inlineStr">
        <is>
          <t>Date of birth</t>
        </is>
      </c>
      <c r="D820" s="3">
        <f>IFERROR(__xludf.DUMMYFUNCTION("GOOGLETRANSLATE(B820,""vi"",""km"")"),"ថ្ងៃខែឆ្នាំកំណើត")</f>
        <v/>
      </c>
      <c r="E820" s="3" t="inlineStr">
        <is>
          <t>ថ្ងៃខែឆ្នាំកំណើត</t>
        </is>
      </c>
      <c r="F820" s="217" t="inlineStr">
        <is>
          <t>v</t>
        </is>
      </c>
      <c r="G820" s="217" t="inlineStr">
        <is>
          <t>ថ្ងៃខែឆ្នាំកំណើត</t>
        </is>
      </c>
      <c r="H820" t="inlineStr">
        <is>
          <t>ថ្ងៃខែឆ្នាំកំណើត</t>
        </is>
      </c>
      <c r="I820" s="74" t="inlineStr">
        <is>
          <t>ថ្ងៃ ខែ ឆ្នាំកំណើត</t>
        </is>
      </c>
      <c r="J820" s="217" t="inlineStr">
        <is>
          <t>"modifyListUser.dateOfBirth": "Date of birth",</t>
        </is>
      </c>
    </row>
    <row r="821" ht="15.75" customHeight="1" s="305">
      <c r="A821" s="67" t="inlineStr">
        <is>
          <t>modifyListUser.gender</t>
        </is>
      </c>
      <c r="B821" s="67" t="inlineStr">
        <is>
          <t>Giới tính</t>
        </is>
      </c>
      <c r="C821" s="67" t="inlineStr">
        <is>
          <t>Gender</t>
        </is>
      </c>
      <c r="D821" s="3" t="inlineStr">
        <is>
          <t>ភេទ</t>
        </is>
      </c>
      <c r="E821" s="3" t="inlineStr">
        <is>
          <t>ភេទ</t>
        </is>
      </c>
      <c r="F821" s="217" t="inlineStr">
        <is>
          <t>v</t>
        </is>
      </c>
      <c r="G821" s="217" t="inlineStr">
        <is>
          <t>ភេទ</t>
        </is>
      </c>
      <c r="H821" t="inlineStr">
        <is>
          <t>ភេទ</t>
        </is>
      </c>
      <c r="I821" s="74" t="inlineStr">
        <is>
          <t>ភេទ</t>
        </is>
      </c>
      <c r="J821" s="217" t="inlineStr">
        <is>
          <t>"modifyListUser.gender": "Gender",</t>
        </is>
      </c>
    </row>
    <row r="822" ht="15.75" customHeight="1" s="305">
      <c r="A822" s="67" t="inlineStr">
        <is>
          <t>modifyListUser.phone</t>
        </is>
      </c>
      <c r="B822" s="67" t="inlineStr">
        <is>
          <t>Số điện thoại</t>
        </is>
      </c>
      <c r="C822" s="67" t="inlineStr">
        <is>
          <t>Phone number</t>
        </is>
      </c>
      <c r="D822" s="3">
        <f>IFERROR(__xludf.DUMMYFUNCTION("GOOGLETRANSLATE(B822,""vi"",""km"")"),"លេខទូរស័ព្ទ")</f>
        <v/>
      </c>
      <c r="E822" s="3" t="inlineStr">
        <is>
          <t>លេខទូូរស័ព្ទ</t>
        </is>
      </c>
      <c r="F822" s="217" t="inlineStr">
        <is>
          <t>v</t>
        </is>
      </c>
      <c r="G822" s="217" t="inlineStr">
        <is>
          <t>លេខទូរស័ព្ទ</t>
        </is>
      </c>
      <c r="H822" t="inlineStr">
        <is>
          <t>លេខទូរស័ព្ទ</t>
        </is>
      </c>
      <c r="I822" s="74" t="inlineStr">
        <is>
          <t>លេខទូរស័ព្ទ</t>
        </is>
      </c>
      <c r="J822" s="217" t="inlineStr">
        <is>
          <t>"modifyListUser.phone": "Phone number",</t>
        </is>
      </c>
    </row>
    <row r="823" ht="15.75" customHeight="1" s="305">
      <c r="A823" s="67" t="inlineStr">
        <is>
          <t>modifyListUser.staffCode</t>
        </is>
      </c>
      <c r="B823" s="67" t="inlineStr">
        <is>
          <t>Mã nhân viên</t>
        </is>
      </c>
      <c r="C823" s="67" t="inlineStr">
        <is>
          <t>Employee ID</t>
        </is>
      </c>
      <c r="D823" s="3">
        <f>IFERROR(__xludf.DUMMYFUNCTION("GOOGLETRANSLATE(B823,""vi"",""km"")"),"លេខកូដបុគ្គលិក")</f>
        <v/>
      </c>
      <c r="E823" s="3" t="inlineStr">
        <is>
          <t>លេខសម្គាល់បុគ្គលិក</t>
        </is>
      </c>
      <c r="F823" s="217" t="inlineStr">
        <is>
          <t>v</t>
        </is>
      </c>
      <c r="G823" s="217" t="inlineStr">
        <is>
          <t>លេខកូដបុគ្គលិក</t>
        </is>
      </c>
      <c r="H823" t="inlineStr">
        <is>
          <t>លេខកូដបុគ្គលិក</t>
        </is>
      </c>
      <c r="I823" s="74" t="inlineStr">
        <is>
          <t>លេខកូដបុគ្គលិក</t>
        </is>
      </c>
      <c r="J823" s="217" t="inlineStr">
        <is>
          <t>"modifyListUser.staffCode": "Employee ID",</t>
        </is>
      </c>
    </row>
    <row r="824" ht="15.75" customHeight="1" s="305">
      <c r="A824" s="67" t="inlineStr">
        <is>
          <t>modifyListUser.contractType</t>
        </is>
      </c>
      <c r="B824" s="67" t="inlineStr">
        <is>
          <t>Loại hợp đồng</t>
        </is>
      </c>
      <c r="C824" s="67" t="inlineStr">
        <is>
          <t>Contract type</t>
        </is>
      </c>
      <c r="D824" s="3">
        <f>IFERROR(__xludf.DUMMYFUNCTION("GOOGLETRANSLATE(B824,""vi"",""km"")"),"ប្រភេទនៃកិច្ចសន្យា")</f>
        <v/>
      </c>
      <c r="E824" s="3" t="inlineStr">
        <is>
          <t>ប្រភេទកិច្ចសន្យា</t>
        </is>
      </c>
      <c r="F824" s="217" t="inlineStr">
        <is>
          <t>v</t>
        </is>
      </c>
      <c r="G824" s="217" t="inlineStr">
        <is>
          <t>ប្រភេទកិច្ចសន្យា</t>
        </is>
      </c>
      <c r="H824" t="inlineStr">
        <is>
          <t>ប្រភេទកិច្ចសន្យា</t>
        </is>
      </c>
      <c r="I824" s="74" t="inlineStr">
        <is>
          <t>ប្រភេទកិច្ចសន្យា</t>
        </is>
      </c>
      <c r="J824" s="217" t="inlineStr">
        <is>
          <t>"modifyListUser.contractType": "Contract type",</t>
        </is>
      </c>
    </row>
    <row r="825" ht="15.75" customHeight="1" s="305">
      <c r="A825" s="67" t="inlineStr">
        <is>
          <t>modifyListUser.email</t>
        </is>
      </c>
      <c r="B825" s="67" t="inlineStr">
        <is>
          <t>Email</t>
        </is>
      </c>
      <c r="C825" s="67" t="inlineStr">
        <is>
          <t>Email</t>
        </is>
      </c>
      <c r="D825" s="3">
        <f>IFERROR(__xludf.DUMMYFUNCTION("GOOGLETRANSLATE(B825,""vi"",""km"")"),"អ៊ីមែល")</f>
        <v/>
      </c>
      <c r="E825" s="3" t="inlineStr">
        <is>
          <t>អ៊ីម៉ែល</t>
        </is>
      </c>
      <c r="F825" s="217" t="inlineStr">
        <is>
          <t>v</t>
        </is>
      </c>
      <c r="G825" s="217" t="inlineStr">
        <is>
          <t>អ៊ីម៉ែល</t>
        </is>
      </c>
      <c r="H825" t="inlineStr">
        <is>
          <t>អ៊ីម៉ែល</t>
        </is>
      </c>
      <c r="I825" s="74" t="inlineStr">
        <is>
          <t>អ៊ីមេល</t>
        </is>
      </c>
      <c r="J825" s="217" t="inlineStr">
        <is>
          <t>"modifyListUser.email": "Email",</t>
        </is>
      </c>
    </row>
    <row r="826" ht="15.75" customHeight="1" s="305">
      <c r="A826" s="67" t="inlineStr">
        <is>
          <t>modifyListUser.remark</t>
        </is>
      </c>
      <c r="B826" s="67" t="inlineStr">
        <is>
          <t>Ghi chú</t>
        </is>
      </c>
      <c r="C826" s="67" t="inlineStr">
        <is>
          <t>Note</t>
        </is>
      </c>
      <c r="D826" s="3">
        <f>IFERROR(__xludf.DUMMYFUNCTION("GOOGLETRANSLATE(B826,""vi"",""km"")"),"កំណត់ចំណាំ")</f>
        <v/>
      </c>
      <c r="E826" s="3" t="inlineStr">
        <is>
          <t>កំណត់ចំណាំ</t>
        </is>
      </c>
      <c r="F826" s="217" t="inlineStr">
        <is>
          <t>v</t>
        </is>
      </c>
      <c r="G826" s="217" t="inlineStr">
        <is>
          <t>ចំណាំ</t>
        </is>
      </c>
      <c r="H826" t="inlineStr">
        <is>
          <t>ចំណាំ</t>
        </is>
      </c>
      <c r="I826" s="74" t="inlineStr">
        <is>
          <t>ចំណាំ</t>
        </is>
      </c>
      <c r="J826" s="217" t="inlineStr">
        <is>
          <t>"modifyListUser.remark": "Note",</t>
        </is>
      </c>
    </row>
    <row r="827" ht="15.75" customHeight="1" s="305">
      <c r="A827" s="67" t="inlineStr">
        <is>
          <t>modifyListUser.remarkHint</t>
        </is>
      </c>
      <c r="B827" s="67" t="inlineStr">
        <is>
          <t>Nhập ghi chú</t>
        </is>
      </c>
      <c r="C827" s="67" t="inlineStr">
        <is>
          <t>Enter note</t>
        </is>
      </c>
      <c r="D827" s="3">
        <f>IFERROR(__xludf.DUMMYFUNCTION("GOOGLETRANSLATE(B827,""vi"",""km"")"),"បញ្ចូលកំណត់ចំណាំ")</f>
        <v/>
      </c>
      <c r="E827" s="3" t="inlineStr">
        <is>
          <t>បញ្ចូលកំណត់ចំណាំ</t>
        </is>
      </c>
      <c r="F827" s="217" t="inlineStr">
        <is>
          <t>v</t>
        </is>
      </c>
      <c r="G827" s="217" t="inlineStr">
        <is>
          <t>បញ្ចូលកំណត់ចំណាំ</t>
        </is>
      </c>
      <c r="H827" t="inlineStr">
        <is>
          <t>បញ្ចូលកំណត់ចំណាំ</t>
        </is>
      </c>
      <c r="I827" s="74" t="inlineStr">
        <is>
          <t>បញ្ចូលកំណត់ចំណាំ</t>
        </is>
      </c>
      <c r="J827" s="217" t="inlineStr">
        <is>
          <t>"modifyListUser.remarkHint": "Enter note",</t>
        </is>
      </c>
    </row>
    <row r="828" ht="15.75" customHeight="1" s="305">
      <c r="A828" s="67" t="inlineStr">
        <is>
          <t>modifyListUser.max100</t>
        </is>
      </c>
      <c r="B828" s="67" t="inlineStr">
        <is>
          <t>Nhập tối đa 100 ký tự</t>
        </is>
      </c>
      <c r="C828" s="67" t="inlineStr">
        <is>
          <t>Enter 100 characters max</t>
        </is>
      </c>
      <c r="D828" s="3">
        <f>IFERROR(__xludf.DUMMYFUNCTION("GOOGLETRANSLATE(B828,""vi"",""km"")"),"បញ្ចូលតួអក្សរអតិបរមា 100 តួអក្សរ។")</f>
        <v/>
      </c>
      <c r="E828" s="3" t="inlineStr">
        <is>
          <t>បញ្ចូលជាអតិបរមា 100 លេខអក្សរ</t>
        </is>
      </c>
      <c r="F828" s="217" t="inlineStr">
        <is>
          <t>v</t>
        </is>
      </c>
      <c r="G828" s="217" t="inlineStr">
        <is>
          <t>បញ្ចូលជាអតិបរមា 100 លេខអក្សរ</t>
        </is>
      </c>
      <c r="H828" t="inlineStr">
        <is>
          <t>បញ្ចូលជាអតិបរមា 100 លេខអក្សរ</t>
        </is>
      </c>
      <c r="I828" s="74" t="inlineStr">
        <is>
          <t>បញ្ចូលរហូតដល់ ១០០ តួអក្សរ</t>
        </is>
      </c>
      <c r="J828" s="217" t="inlineStr">
        <is>
          <t>"modifyListUser.max100": "Enter 100 characters max",</t>
        </is>
      </c>
    </row>
    <row r="829" ht="15.75" customHeight="1" s="305">
      <c r="A829" s="67" t="inlineStr">
        <is>
          <t>modifyListUser.max50</t>
        </is>
      </c>
      <c r="B829" s="67" t="inlineStr">
        <is>
          <t>Nhập tối đa 50 ký tự</t>
        </is>
      </c>
      <c r="C829" s="67" t="inlineStr">
        <is>
          <t>Enter 50 characters max</t>
        </is>
      </c>
      <c r="D829" s="3">
        <f>IFERROR(__xludf.DUMMYFUNCTION("GOOGLETRANSLATE(B829,""vi"",""km"")"),"បញ្ចូលតួអក្សរអតិបរមា 50 តួអក្សរ។")</f>
        <v/>
      </c>
      <c r="E829" s="3" t="inlineStr">
        <is>
          <t>បញ្ចូលជាអតិបរមា 50 លេខអក្សរ</t>
        </is>
      </c>
      <c r="F829" s="217" t="inlineStr">
        <is>
          <t>v</t>
        </is>
      </c>
      <c r="G829" s="217" t="inlineStr">
        <is>
          <t>បញ្ចូលជាអតិបរមា 50 លេខអក្សរ</t>
        </is>
      </c>
      <c r="H829" t="inlineStr">
        <is>
          <t>បញ្ចូលជាអតិបរមា 50 លេខអក្សរ</t>
        </is>
      </c>
      <c r="I829" s="74" t="inlineStr">
        <is>
          <t>បញ្ចូលរហូតដល់ ៥០ តួអក្សរ</t>
        </is>
      </c>
      <c r="J829" s="217" t="inlineStr">
        <is>
          <t>"modifyListUser.max50": "Enter 50 characters max",</t>
        </is>
      </c>
    </row>
    <row r="830" ht="15.75" customHeight="1" s="305">
      <c r="A830" s="67" t="inlineStr">
        <is>
          <t>modifyListUser.max20</t>
        </is>
      </c>
      <c r="B830" s="67" t="inlineStr">
        <is>
          <t>Nhập tối đa 20 ký tự</t>
        </is>
      </c>
      <c r="C830" s="67" t="inlineStr">
        <is>
          <t>Enter 20 characters max</t>
        </is>
      </c>
      <c r="D830" s="3">
        <f>IFERROR(__xludf.DUMMYFUNCTION("GOOGLETRANSLATE(B830,""vi"",""km"")"),"បញ្ចូលតួអក្សរអតិបរមា 20 តួអក្សរ។")</f>
        <v/>
      </c>
      <c r="E830" s="3" t="inlineStr">
        <is>
          <t>បញ្ចូលជាអតិបរមា 20 លេខអក្សរ</t>
        </is>
      </c>
      <c r="F830" s="217" t="inlineStr">
        <is>
          <t>v</t>
        </is>
      </c>
      <c r="G830" s="217" t="inlineStr">
        <is>
          <t>បញ្ចូលជាអតិបរមា 20 លេខអក្សរ</t>
        </is>
      </c>
      <c r="H830" t="inlineStr">
        <is>
          <t>បញ្ចូលជាអតិបរមា 20 លេខអក្សរ</t>
        </is>
      </c>
      <c r="I830" s="74" t="inlineStr">
        <is>
          <t>បញ្ចូលរហូតដល់ ២០ តួអក្សរ</t>
        </is>
      </c>
      <c r="J830" s="217" t="inlineStr">
        <is>
          <t>"modifyListUser.max20": "Enter 20 characters max",</t>
        </is>
      </c>
    </row>
    <row r="831" ht="15.75" customHeight="1" s="305">
      <c r="A831" s="67" t="inlineStr">
        <is>
          <t>modifyListUser.max30</t>
        </is>
      </c>
      <c r="B831" s="67" t="inlineStr">
        <is>
          <t>Nhập mã công dân tối đa 30 ký tự</t>
        </is>
      </c>
      <c r="C831" s="67" t="inlineStr">
        <is>
          <t>Enter citizen ID 30 characters max.</t>
        </is>
      </c>
      <c r="D831" s="3">
        <f>IFERROR(__xludf.DUMMYFUNCTION("GOOGLETRANSLATE(B831,""vi"",""km"")"),"បញ្ចូលលេខកូដពលរដ្ឋ (អតិបរមា 30 តួអក្សរ)")</f>
        <v/>
      </c>
      <c r="E831" s="3" t="inlineStr">
        <is>
          <t>បញ្ចូលលេខកូដប្រជាជនអតិបរមា 30 លេខអក្សរ</t>
        </is>
      </c>
      <c r="F831" s="217" t="inlineStr">
        <is>
          <t>v</t>
        </is>
      </c>
      <c r="G831" s="217" t="inlineStr">
        <is>
          <t>បញ្ចូលលេខកូដប្រជាជនអតិបរមា 30 លេខអក្សរ</t>
        </is>
      </c>
      <c r="H831" t="inlineStr">
        <is>
          <t>បញ្ចូលលេខកូដប្រជាជនអតិបរមា 30 លេខអក្សរ</t>
        </is>
      </c>
      <c r="I831" s="74" t="inlineStr">
        <is>
          <t>បញ្ចូលលេខកូដពលរដ្ឋរហូតដល់ ៣០ តួអក្សរ</t>
        </is>
      </c>
      <c r="J831" s="217" t="inlineStr">
        <is>
          <t>"modifyListUser.max30": "Enter citizen ID 30 characters max.",</t>
        </is>
      </c>
    </row>
    <row r="832" ht="15.75" customHeight="1" s="305">
      <c r="A832" s="67" t="inlineStr">
        <is>
          <t>modifyListUser.max6</t>
        </is>
      </c>
      <c r="B832" s="67" t="inlineStr">
        <is>
          <t>Nhập tối đa 6 ký tự</t>
        </is>
      </c>
      <c r="C832" s="67" t="inlineStr">
        <is>
          <t>Enter 6 characters max</t>
        </is>
      </c>
      <c r="D832" s="3">
        <f>IFERROR(__xludf.DUMMYFUNCTION("GOOGLETRANSLATE(B832,""vi"",""km"")"),"បញ្ចូលតួអក្សរអតិបរមា ៦ តួអក្សរ។")</f>
        <v/>
      </c>
      <c r="E832" s="3" t="inlineStr">
        <is>
          <t>បញ្ចូលជាអតិបរមា 6 លេខអក្សរ</t>
        </is>
      </c>
      <c r="F832" s="217" t="inlineStr">
        <is>
          <t>v</t>
        </is>
      </c>
      <c r="G832" s="217" t="inlineStr">
        <is>
          <t>បញ្ចូលជាអតិបរមា 6 លេខអក្សរ</t>
        </is>
      </c>
      <c r="H832" t="inlineStr">
        <is>
          <t>បញ្ចូលជាអតិបរមា 6 លេខអក្សរ</t>
        </is>
      </c>
      <c r="I832" s="74" t="inlineStr">
        <is>
          <t>បញ្ចូលរហូតដល់ ៦ តួអក្សរ</t>
        </is>
      </c>
      <c r="J832" s="217" t="inlineStr">
        <is>
          <t>"modifyListUser.max6": "Enter 6 characters max",</t>
        </is>
      </c>
    </row>
    <row r="833" ht="15.75" customHeight="1" s="305">
      <c r="A833" s="67" t="inlineStr">
        <is>
          <t>modifyListUser.empty</t>
        </is>
      </c>
      <c r="B833" s="67" t="inlineStr">
        <is>
          <t>Nhập sai định dạng</t>
        </is>
      </c>
      <c r="C833" s="67" t="inlineStr">
        <is>
          <t>invalid format</t>
        </is>
      </c>
      <c r="D833" s="3">
        <f>IFERROR(__xludf.DUMMYFUNCTION("GOOGLETRANSLATE(B833,""vi"",""km"")"),"បានបញ្ចូលទម្រង់មិនត្រឹមត្រូវ")</f>
        <v/>
      </c>
      <c r="E833" s="3" t="inlineStr">
        <is>
          <t>បញ្ចូលទម្រង់មិនបានត្រឹមត្រូវ</t>
        </is>
      </c>
      <c r="F833" s="217" t="inlineStr">
        <is>
          <t>v</t>
        </is>
      </c>
      <c r="G833" s="217" t="inlineStr">
        <is>
          <t>បញ្ចូលទម្រង់មិនបានត្រឹមត្រូវ</t>
        </is>
      </c>
      <c r="H833" t="inlineStr">
        <is>
          <t>បញ្ចូលទម្រង់មិនបានត្រឹមត្រូវ</t>
        </is>
      </c>
      <c r="I833" s="74" t="inlineStr">
        <is>
          <t>បញ្ចូលទម្រង់ខុស</t>
        </is>
      </c>
      <c r="J833" s="217" t="inlineStr">
        <is>
          <t>"modifyListUser.empty": "invalid format",</t>
        </is>
      </c>
    </row>
    <row r="834" ht="15.75" customHeight="1" s="305">
      <c r="A834" s="67" t="inlineStr">
        <is>
          <t>modifyListUser.startWithSpace</t>
        </is>
      </c>
      <c r="B834" s="67" t="inlineStr">
        <is>
          <t>Không được bắt đầu bằng khoảng trắng</t>
        </is>
      </c>
      <c r="C834" s="67" t="inlineStr">
        <is>
          <t>Cannot start with a space.</t>
        </is>
      </c>
      <c r="D834" s="3">
        <f>IFERROR(__xludf.DUMMYFUNCTION("GOOGLETRANSLATE(B834,""vi"",""km"")"),"វាមិនត្រូវចាប់ផ្តើមដោយចន្លោះទេ។")</f>
        <v/>
      </c>
      <c r="E834" s="3" t="inlineStr">
        <is>
          <t>មិនអាចចាប់ផ្តើមដោយដកឃ្លាបានទេ</t>
        </is>
      </c>
      <c r="F834" s="217" t="inlineStr">
        <is>
          <t>v</t>
        </is>
      </c>
      <c r="G834" s="217" t="inlineStr">
        <is>
          <t>មិនអាចចាប់ផ្តើមដោយដកឃ្លាបានទេ</t>
        </is>
      </c>
      <c r="H834" t="inlineStr">
        <is>
          <t>មិនអាចចាប់ផ្តើមដោយដកឃ្លាបានទេ</t>
        </is>
      </c>
      <c r="I834" s="74" t="inlineStr">
        <is>
          <t>មិនត្រូវចាប់ផ្តើមដោយចន្លោះ</t>
        </is>
      </c>
      <c r="J834" s="217" t="inlineStr">
        <is>
          <t>"modifyListUser.startWithSpace": "Cannot start with a space.",</t>
        </is>
      </c>
    </row>
    <row r="835" ht="15.75" customHeight="1" s="305">
      <c r="A835" s="67" t="inlineStr">
        <is>
          <t>modifyListUser.containsSpecialCharacters</t>
        </is>
      </c>
      <c r="B835" s="67" t="inlineStr">
        <is>
          <t>Không được phép nhập ký tự đặc biệt</t>
        </is>
      </c>
      <c r="C835" s="67" t="inlineStr">
        <is>
          <t>Special characters are not allowed</t>
        </is>
      </c>
      <c r="D835" s="3">
        <f>IFERROR(__xludf.DUMMYFUNCTION("GOOGLETRANSLATE(B835,""vi"",""km"")"),"មិនអនុញ្ញាតឱ្យមានតួអក្សរពិសេសទេ។")</f>
        <v/>
      </c>
      <c r="E835" s="3" t="inlineStr">
        <is>
          <t>មិនអនុញ្ញាតិឲ្យបញ្ចូលលេខអក្សរពិសេសបានទេ</t>
        </is>
      </c>
      <c r="F835" s="217" t="inlineStr">
        <is>
          <t>v</t>
        </is>
      </c>
      <c r="G835" s="217" t="inlineStr">
        <is>
          <t>មិនអនុញ្ញាតិឲ្យបញ្ចូលលេខអក្សរពិសេសបានទេ</t>
        </is>
      </c>
      <c r="H835" t="inlineStr">
        <is>
          <t>មិនអនុញ្ញាតិឲ្យបញ្ចូលលេខអក្សរពិសេសបានទេ</t>
        </is>
      </c>
      <c r="I835" s="74" t="inlineStr">
        <is>
          <t>តួអក្សរពិសេសមិនត្រូវបានអនុញ្ញាតទេ។</t>
        </is>
      </c>
      <c r="J835" s="217" t="inlineStr">
        <is>
          <t>"modifyListUser.containsSpecialCharacters": "Special characters are not allowed",</t>
        </is>
      </c>
    </row>
    <row r="836" ht="15.75" customHeight="1" s="305">
      <c r="A836" s="67" t="inlineStr">
        <is>
          <t>modifyListUser.checkOnlyNumber</t>
        </is>
      </c>
      <c r="B836" s="67" t="inlineStr">
        <is>
          <t>Vui lòng chỉ nhập số</t>
        </is>
      </c>
      <c r="C836" s="67" t="inlineStr">
        <is>
          <t>Enter number only</t>
        </is>
      </c>
      <c r="D836" s="3">
        <f>IFERROR(__xludf.DUMMYFUNCTION("GOOGLETRANSLATE(B836,""vi"",""km"")"),"សូមបញ្ចូលតែលេខប៉ុណ្ណោះ។")</f>
        <v/>
      </c>
      <c r="E836" s="3" t="inlineStr">
        <is>
          <t>សូមមេត្តាបញ្ចូលតែលេខ</t>
        </is>
      </c>
      <c r="F836" s="217" t="inlineStr">
        <is>
          <t>v</t>
        </is>
      </c>
      <c r="G836" s="217" t="inlineStr">
        <is>
          <t>សូមមេត្តាបញ្ចូលតែលេខ</t>
        </is>
      </c>
      <c r="H836" t="inlineStr">
        <is>
          <t>សូមមេត្តាបញ្ចូលតែលេខ</t>
        </is>
      </c>
      <c r="I836" s="74" t="inlineStr">
        <is>
          <t>សូមបញ្ចូលលេខតែប៉ុណ្ណោះ</t>
        </is>
      </c>
      <c r="J836" s="217" t="inlineStr">
        <is>
          <t>"modifyListUser.checkOnlyNumber": "Enter number only",</t>
        </is>
      </c>
    </row>
    <row r="837" ht="15.75" customHeight="1" s="305">
      <c r="A837" s="67" t="inlineStr">
        <is>
          <t>modifyListUser.duplicateUser</t>
        </is>
      </c>
      <c r="B837" s="67" t="inlineStr">
        <is>
          <t>Người dùng đã có trên hệ thống</t>
        </is>
      </c>
      <c r="C837" s="67" t="inlineStr">
        <is>
          <t>User already exists.</t>
        </is>
      </c>
      <c r="D837" s="3">
        <f>IFERROR(__xludf.DUMMYFUNCTION("GOOGLETRANSLATE(B837,""vi"",""km"")"),"អ្នកប្រើប្រាស់មាននៅលើប្រព័ន្ធរួចហើយ។")</f>
        <v/>
      </c>
      <c r="E837" s="3" t="inlineStr">
        <is>
          <t>អ្នកប្រើប្រាស់មាននៅក្នុងប្រព័ន្ធ</t>
        </is>
      </c>
      <c r="F837" s="217" t="inlineStr">
        <is>
          <t>v</t>
        </is>
      </c>
      <c r="G837" s="217" t="inlineStr">
        <is>
          <t>អ្នកប្រើប្រាស់មាននៅក្នុងប្រព័ន្ធ</t>
        </is>
      </c>
      <c r="H837" t="inlineStr">
        <is>
          <t>អ្នកប្រើប្រាស់មាននៅក្នុងប្រព័ន្ធ</t>
        </is>
      </c>
      <c r="I837" s="74" t="inlineStr">
        <is>
          <t>អ្នកប្រើប្រាស់មាននៅលើប្រព័ន្ធរួចហើយ</t>
        </is>
      </c>
      <c r="J837" s="217" t="inlineStr">
        <is>
          <t>"modifyListUser.duplicateUser": "User already exists.",</t>
        </is>
      </c>
    </row>
    <row r="838" ht="15.75" customHeight="1" s="305">
      <c r="A838" s="67" t="inlineStr">
        <is>
          <t>changeStatusUser.title</t>
        </is>
      </c>
      <c r="B838" s="67" t="inlineStr">
        <is>
          <t>Bạn có chắc chắn muốn thay đổi tình trạng sử dụng của "{{name}}" thành "{{status}}" không?</t>
        </is>
      </c>
      <c r="C838" s="67" t="inlineStr">
        <is>
          <t>Do you want to switch user status to {{status}} for {{name}}</t>
        </is>
      </c>
      <c r="D838" s="3">
        <f>IFERROR(__xludf.DUMMYFUNCTION("GOOGLETRANSLATE(B838,""vi"",""km"")"),"តើអ្នកពិតជាចង់ផ្លាស់ប្តូរស្ថានភាពប្រើប្រាស់របស់ ""{{name}}"" ទៅជា ""{{status}}"" មែនទេ?")</f>
        <v/>
      </c>
      <c r="E838" s="159">
        <f>IFERROR(__xludf.DUMMYFUNCTION("GOOGLETRANSLATE(C838,""vi"",""km"")"),"តើអ្នកចង់ប្តូរស្ថានភាពអ្នកប្រើប្រាស់ទៅ {{status}} សម្រាប់ {{name}} ដែរឬទេ?")</f>
        <v/>
      </c>
      <c r="F838" s="217" t="inlineStr">
        <is>
          <t>x</t>
        </is>
      </c>
      <c r="G838" s="217" t="inlineStr">
        <is>
          <t>តើអ្នកចង់ប្តូរស្ថានភាពអ្នកប្រើប្រាស់ទៅ {{status}} សម្រាប់ {{name}} ដែរឬទេ?</t>
        </is>
      </c>
      <c r="H838" t="inlineStr">
        <is>
          <t>តើអ្នកចង់ប្តូរស្ថានភាពអ្នកប្រើប្រាស់ទៅ {{status}} សម្រាប់ {{name}} ដែរឬទេ?</t>
        </is>
      </c>
      <c r="I838" s="74" t="inlineStr">
        <is>
          <t>តើអ្នកប្រាកដថាចង់ផ្លាស់ប្តូរស្ថានភាពប្រើប្រាស់របស់ {{name}} ទៅជា "{{status}}"?</t>
        </is>
      </c>
      <c r="J838" s="217" t="inlineStr">
        <is>
          <t>"changeStatusUser.title": "Do you want to switch user status to {{status}} for {{name}}",</t>
        </is>
      </c>
    </row>
    <row r="839" ht="15.75" customHeight="1" s="305">
      <c r="A839" s="67" t="inlineStr">
        <is>
          <t>changeStatusUser.notification</t>
        </is>
      </c>
      <c r="B839" s="67" t="inlineStr">
        <is>
          <t>Cập nhật tình trạng sử dụng thành công!</t>
        </is>
      </c>
      <c r="C839" s="67" t="inlineStr">
        <is>
          <t>Update user status sucessfully!</t>
        </is>
      </c>
      <c r="D839" s="3">
        <f>IFERROR(__xludf.DUMMYFUNCTION("GOOGLETRANSLATE(B839,""vi"",""km"")"),"ស្ថានភាពត្រូវបានធ្វើបច្ចុប្បន្នភាពដោយជោគជ័យ!")</f>
        <v/>
      </c>
      <c r="E839" s="3" t="inlineStr">
        <is>
          <t>អាប់ដេតស្ថានភាពប្រើប្រាស់បានជោគជ័យ!</t>
        </is>
      </c>
      <c r="F839" s="217" t="inlineStr">
        <is>
          <t>v</t>
        </is>
      </c>
      <c r="G839" s="217" t="inlineStr">
        <is>
          <t>អាប់ដេតស្ថានភាពប្រើប្រាស់បានជោគជ័យ!</t>
        </is>
      </c>
      <c r="H839" t="inlineStr">
        <is>
          <t>អាប់ដេតស្ថានភាពប្រើប្រាស់បានជោគជ័យ!</t>
        </is>
      </c>
      <c r="I839" s="74" t="inlineStr">
        <is>
          <t>បានធ្វើបច្ចុប្បន្នភាពស្ថានភាពប្រើប្រាស់ដោយជោគជ័យ!</t>
        </is>
      </c>
      <c r="J839" s="217" t="inlineStr">
        <is>
          <t>"changeStatusUser.notification": "Update user status sucessfully!",</t>
        </is>
      </c>
    </row>
    <row r="840" ht="15.75" customHeight="1" s="305">
      <c r="A840" s="67" t="inlineStr">
        <is>
          <t>listDepartmentUser.role</t>
        </is>
      </c>
      <c r="B840" s="67" t="inlineStr">
        <is>
          <t>Chức danh</t>
        </is>
      </c>
      <c r="C840" s="67" t="inlineStr">
        <is>
          <t>Role</t>
        </is>
      </c>
      <c r="D840" s="3">
        <f>IFERROR(__xludf.DUMMYFUNCTION("GOOGLETRANSLATE(B840,""vi"",""km"")"),"មុខតំណែងការងារ")</f>
        <v/>
      </c>
      <c r="E840" s="3" t="inlineStr">
        <is>
          <t>មុខងារ</t>
        </is>
      </c>
      <c r="F840" s="217" t="inlineStr">
        <is>
          <t>x</t>
        </is>
      </c>
      <c r="G840" s="217" t="inlineStr">
        <is>
          <t>មុខងារ</t>
        </is>
      </c>
      <c r="H840" t="inlineStr">
        <is>
          <t>មុខងារ</t>
        </is>
      </c>
      <c r="I840" s="74" t="inlineStr">
        <is>
          <t>ចំណងជើង</t>
        </is>
      </c>
      <c r="J840" s="217" t="inlineStr">
        <is>
          <t>"listDepartmentUser.role": "Role",</t>
        </is>
      </c>
    </row>
    <row r="841" ht="15.75" customHeight="1" s="305">
      <c r="A841" s="67" t="inlineStr">
        <is>
          <t>listDepartmentUser.status</t>
        </is>
      </c>
      <c r="B841" s="67" t="inlineStr">
        <is>
          <t>Trạng thái</t>
        </is>
      </c>
      <c r="C841" s="67" t="inlineStr">
        <is>
          <t>Status</t>
        </is>
      </c>
      <c r="D841" s="3">
        <f>IFERROR(__xludf.DUMMYFUNCTION("GOOGLETRANSLATE(B841,""vi"",""km"")"),"ស្ថានភាព")</f>
        <v/>
      </c>
      <c r="E841" s="3" t="inlineStr">
        <is>
          <t>ស្ថានភាព</t>
        </is>
      </c>
      <c r="F841" s="217" t="inlineStr">
        <is>
          <t>v</t>
        </is>
      </c>
      <c r="G841" s="217" t="inlineStr">
        <is>
          <t>ស្ថានភាព</t>
        </is>
      </c>
      <c r="H841" t="inlineStr">
        <is>
          <t>ស្ថានភាព</t>
        </is>
      </c>
      <c r="I841" s="74" t="inlineStr">
        <is>
          <t>ស្ថានភាព</t>
        </is>
      </c>
      <c r="J841" s="217" t="inlineStr">
        <is>
          <t>"listDepartmentUser.status": "Status",</t>
        </is>
      </c>
    </row>
    <row r="842" ht="15.75" customHeight="1" s="305">
      <c r="A842" s="67" t="inlineStr">
        <is>
          <t>listDepartmentUser.postOffice</t>
        </is>
      </c>
      <c r="B842" s="67" t="inlineStr">
        <is>
          <t>Bưu cục</t>
        </is>
      </c>
      <c r="C842" s="67" t="inlineStr">
        <is>
          <t>Post office</t>
        </is>
      </c>
      <c r="D842" s="3">
        <f>IFERROR(__xludf.DUMMYFUNCTION("GOOGLETRANSLATE(B842,""vi"",""km"")"),"ការិយាល័យប្រៃសណីយ៍")</f>
        <v/>
      </c>
      <c r="E842" s="3" t="inlineStr">
        <is>
          <t>ការិយាល័យប្រៃសណីយ៍</t>
        </is>
      </c>
      <c r="F842" s="217" t="inlineStr">
        <is>
          <t>v</t>
        </is>
      </c>
      <c r="G842" s="217" t="inlineStr">
        <is>
          <t>ការិយាល័យប្រៃសណីយ៍</t>
        </is>
      </c>
      <c r="H842" t="inlineStr">
        <is>
          <t>ការិយាល័យប្រៃសណីយ៍</t>
        </is>
      </c>
      <c r="I842" s="74" t="inlineStr">
        <is>
          <t>ការិយាល័យប្រៃសណីយ៍</t>
        </is>
      </c>
      <c r="J842" s="217" t="inlineStr">
        <is>
          <t>"listDepartmentUser.postOffice": "Post office",</t>
        </is>
      </c>
    </row>
    <row r="843" ht="15.75" customHeight="1" s="305">
      <c r="A843" s="67" t="inlineStr">
        <is>
          <t>listDepartmentUser.startAt</t>
        </is>
      </c>
      <c r="B843" s="67" t="inlineStr">
        <is>
          <t>Thời gian bắt đầu</t>
        </is>
      </c>
      <c r="C843" s="67" t="inlineStr">
        <is>
          <t>Effective time</t>
        </is>
      </c>
      <c r="D843" s="3">
        <f>IFERROR(__xludf.DUMMYFUNCTION("GOOGLETRANSLATE(B843,""vi"",""km"")"),"ពេលវេលាចាប់ផ្តើម")</f>
        <v/>
      </c>
      <c r="E843" s="3" t="inlineStr">
        <is>
          <t>ពេលវេលាចាប់ផ្តើម</t>
        </is>
      </c>
      <c r="F843" s="217" t="inlineStr">
        <is>
          <t>v</t>
        </is>
      </c>
      <c r="G843" s="217" t="inlineStr">
        <is>
          <t>ពេលវេលាចាប់ផ្តើម</t>
        </is>
      </c>
      <c r="H843" t="inlineStr">
        <is>
          <t>ពេលវេលាចាប់ផ្តើម</t>
        </is>
      </c>
      <c r="I843" s="74" t="inlineStr">
        <is>
          <t>ពេលវេលាចាប់ផ្តើម</t>
        </is>
      </c>
      <c r="J843" s="217" t="inlineStr">
        <is>
          <t>"listDepartmentUser.startAt": "Effective time",</t>
        </is>
      </c>
    </row>
    <row r="844" ht="15.75" customHeight="1" s="305">
      <c r="A844" s="67" t="inlineStr">
        <is>
          <t>modifyListDepartment.title</t>
        </is>
      </c>
      <c r="B844" s="67" t="inlineStr">
        <is>
          <t>Thông tin đơn vị</t>
        </is>
      </c>
      <c r="C844" s="67" t="inlineStr">
        <is>
          <t>Unit information</t>
        </is>
      </c>
      <c r="D844" s="3">
        <f>IFERROR(__xludf.DUMMYFUNCTION("GOOGLETRANSLATE(B844,""vi"",""km"")"),"ព័ត៌មានអង្គភាព")</f>
        <v/>
      </c>
      <c r="E844" s="3" t="inlineStr">
        <is>
          <t>ព័ត៌មានអង្គភាព</t>
        </is>
      </c>
      <c r="F844" s="217" t="inlineStr">
        <is>
          <t>v</t>
        </is>
      </c>
      <c r="G844" s="217" t="inlineStr">
        <is>
          <t>ព័ត៌មានអង្គភាព</t>
        </is>
      </c>
      <c r="H844" t="inlineStr">
        <is>
          <t>ព័ត៌មានអង្គភាព</t>
        </is>
      </c>
      <c r="I844" s="74" t="inlineStr">
        <is>
          <t>ព័ត៌មានអង្គភាព</t>
        </is>
      </c>
      <c r="J844" s="217" t="inlineStr">
        <is>
          <t>"modifyListDepartment.title": "Unit information",</t>
        </is>
      </c>
    </row>
    <row r="845" ht="15.75" customHeight="1" s="305">
      <c r="A845" s="67" t="inlineStr">
        <is>
          <t>modifyListDepartment.departmentCode</t>
        </is>
      </c>
      <c r="B845" s="67" t="inlineStr">
        <is>
          <t>Bưu cục</t>
        </is>
      </c>
      <c r="C845" s="67" t="inlineStr">
        <is>
          <t>Post office</t>
        </is>
      </c>
      <c r="D845" s="3">
        <f>IFERROR(__xludf.DUMMYFUNCTION("GOOGLETRANSLATE(B845,""vi"",""km"")"),"ការិយាល័យប្រៃសណីយ៍")</f>
        <v/>
      </c>
      <c r="E845" s="3" t="inlineStr">
        <is>
          <t>ការិយាល័យប្រៃសណីយ៍</t>
        </is>
      </c>
      <c r="F845" s="217" t="inlineStr">
        <is>
          <t>v</t>
        </is>
      </c>
      <c r="G845" s="217" t="inlineStr">
        <is>
          <t>ការិយាល័យប្រៃសណីយ៍</t>
        </is>
      </c>
      <c r="H845" t="inlineStr">
        <is>
          <t>ការិយាល័យប្រៃសណីយ៍</t>
        </is>
      </c>
      <c r="I845" s="74" t="inlineStr">
        <is>
          <t>ការិយាល័យប្រៃសណីយ៍</t>
        </is>
      </c>
      <c r="J845" s="217" t="inlineStr">
        <is>
          <t>"modifyListDepartment.departmentCode": "Post office",</t>
        </is>
      </c>
    </row>
    <row r="846" ht="15.75" customHeight="1" s="305">
      <c r="A846" s="67" t="inlineStr">
        <is>
          <t>modifyListDepartment.roleCode</t>
        </is>
      </c>
      <c r="B846" s="67" t="inlineStr">
        <is>
          <t>Chức danh</t>
        </is>
      </c>
      <c r="C846" s="67" t="inlineStr">
        <is>
          <t>Role</t>
        </is>
      </c>
      <c r="D846" s="3">
        <f>IFERROR(__xludf.DUMMYFUNCTION("GOOGLETRANSLATE(B846,""vi"",""km"")"),"មុខតំណែងការងារ")</f>
        <v/>
      </c>
      <c r="E846" s="3" t="inlineStr">
        <is>
          <t>មុខងារ</t>
        </is>
      </c>
      <c r="F846" s="217" t="inlineStr">
        <is>
          <t>x</t>
        </is>
      </c>
      <c r="G846" s="217" t="inlineStr">
        <is>
          <t>មុខងារ</t>
        </is>
      </c>
      <c r="H846" t="inlineStr">
        <is>
          <t>មុខងារ</t>
        </is>
      </c>
      <c r="I846" s="74" t="inlineStr">
        <is>
          <t>ចំណងជើង</t>
        </is>
      </c>
      <c r="J846" s="217" t="inlineStr">
        <is>
          <t>"modifyListDepartment.roleCode": "Role",</t>
        </is>
      </c>
    </row>
    <row r="847" ht="15.75" customHeight="1" s="305">
      <c r="A847" s="67" t="inlineStr">
        <is>
          <t>modifyListDepartment.changeStatus</t>
        </is>
      </c>
      <c r="B847" s="67" t="inlineStr">
        <is>
          <t>Bạn có chắc chắn muốn thay đổi trạng thái ở bưu cục "{{name}}" thành "{{status}}" không?</t>
        </is>
      </c>
      <c r="C847" s="67" t="inlineStr">
        <is>
          <t>Do you want to switch user status to {{status}} for {{name}}</t>
        </is>
      </c>
      <c r="D847" s="3">
        <f>IFERROR(__xludf.DUMMYFUNCTION("GOOGLETRANSLATE(B847,""vi"",""km"")"),"តើអ្នកពិតជាចង់ផ្លាស់ប្តូរស្ថានភាពនៅការិយាល័យប្រៃសណីយ៍ ""{{name}}"" ទៅជា ""{{status}}"" មែនទេ?")</f>
        <v/>
      </c>
      <c r="E847" s="3" t="inlineStr">
        <is>
          <t>តើអ្នកពិតជាចង់ផ្លាស់ប្តូរស្ថានភាពនៅការិយាល័យប្រៃសណីយ៍ពី "{{name}}" ទៅជា "{{status}}" ដែរទេ?</t>
        </is>
      </c>
      <c r="F847" s="217" t="inlineStr">
        <is>
          <t>x</t>
        </is>
      </c>
      <c r="G847" s="217" t="inlineStr">
        <is>
          <t>តើអ្នកពិតជាចង់ផ្លាស់ប្តូរស្ថានភាពនៅការិយាល័យប្រៃសណីយ៍ពី "{{name}}" ទៅជា "{{status}}" ដែរទេ?</t>
        </is>
      </c>
      <c r="H847" t="inlineStr">
        <is>
          <t>តើអ្នកពិតជាចង់ផ្លាស់ប្តូរស្ថានភាពនៅការិយាល័យប្រៃសណីយ៍ពី "{{name}}" ទៅជា "{{status}}" ដែរទេ?</t>
        </is>
      </c>
      <c r="I847" s="74" t="inlineStr">
        <is>
          <t>Do you want to switch user status to {{status}} for {{name}}</t>
        </is>
      </c>
      <c r="J847" s="217" t="inlineStr">
        <is>
          <t>"modifyListDepartment.changeStatus": "Do you want to switch user status to {{status}} for {{name}}",</t>
        </is>
      </c>
    </row>
    <row r="848" ht="15.75" customHeight="1" s="305">
      <c r="A848" s="67" t="inlineStr">
        <is>
          <t>historyDepartmentUser.postOffice</t>
        </is>
      </c>
      <c r="B848" s="67" t="inlineStr">
        <is>
          <t>Bưu cục</t>
        </is>
      </c>
      <c r="C848" s="67" t="inlineStr">
        <is>
          <t>Post office</t>
        </is>
      </c>
      <c r="D848" s="3">
        <f>IFERROR(__xludf.DUMMYFUNCTION("GOOGLETRANSLATE(B848,""vi"",""km"")"),"ការិយាល័យប្រៃសណីយ៍")</f>
        <v/>
      </c>
      <c r="E848" s="3" t="inlineStr">
        <is>
          <t>ការិយាល័យប្រៃសណីយ៍</t>
        </is>
      </c>
      <c r="F848" s="217" t="inlineStr">
        <is>
          <t>v</t>
        </is>
      </c>
      <c r="G848" s="217" t="inlineStr">
        <is>
          <t>ការិយាល័យប្រៃសណីយ៍</t>
        </is>
      </c>
      <c r="H848" t="inlineStr">
        <is>
          <t>ការិយាល័យប្រៃសណីយ៍</t>
        </is>
      </c>
      <c r="I848" s="74" t="inlineStr">
        <is>
          <t>ការិយាល័យប្រៃសណីយ៍</t>
        </is>
      </c>
      <c r="J848" s="217" t="inlineStr">
        <is>
          <t>"historyDepartmentUser.postOffice": "Post office",</t>
        </is>
      </c>
    </row>
    <row r="849" ht="15.75" customHeight="1" s="305">
      <c r="A849" s="67" t="inlineStr">
        <is>
          <t>historyDepartmentUser.role</t>
        </is>
      </c>
      <c r="B849" s="67" t="inlineStr">
        <is>
          <t>Chức danh</t>
        </is>
      </c>
      <c r="C849" s="67" t="inlineStr">
        <is>
          <t>Role</t>
        </is>
      </c>
      <c r="D849" s="3">
        <f>IFERROR(__xludf.DUMMYFUNCTION("GOOGLETRANSLATE(B849,""vi"",""km"")"),"មុខតំណែងការងារ")</f>
        <v/>
      </c>
      <c r="E849" s="3" t="inlineStr">
        <is>
          <t>មុខងារ</t>
        </is>
      </c>
      <c r="F849" s="217" t="inlineStr">
        <is>
          <t>x</t>
        </is>
      </c>
      <c r="G849" s="217" t="inlineStr">
        <is>
          <t>មុខងារ</t>
        </is>
      </c>
      <c r="H849" t="inlineStr">
        <is>
          <t>មុខងារ</t>
        </is>
      </c>
      <c r="I849" s="74" t="inlineStr">
        <is>
          <t>ចំណងជើង</t>
        </is>
      </c>
      <c r="J849" s="217" t="inlineStr">
        <is>
          <t>"historyDepartmentUser.role": "Role",</t>
        </is>
      </c>
    </row>
    <row r="850" ht="15.75" customHeight="1" s="305">
      <c r="A850" s="67" t="inlineStr">
        <is>
          <t>historyDepartmentUser.status</t>
        </is>
      </c>
      <c r="B850" s="67" t="inlineStr">
        <is>
          <t>Trạng thái</t>
        </is>
      </c>
      <c r="C850" s="67" t="inlineStr">
        <is>
          <t>Status</t>
        </is>
      </c>
      <c r="D850" s="3">
        <f>IFERROR(__xludf.DUMMYFUNCTION("GOOGLETRANSLATE(B850,""vi"",""km"")"),"ស្ថានភាព")</f>
        <v/>
      </c>
      <c r="E850" s="3" t="inlineStr">
        <is>
          <t>ស្ថានភាព</t>
        </is>
      </c>
      <c r="F850" s="217" t="inlineStr">
        <is>
          <t>v</t>
        </is>
      </c>
      <c r="G850" s="217" t="inlineStr">
        <is>
          <t>ស្ថានភាព</t>
        </is>
      </c>
      <c r="H850" t="inlineStr">
        <is>
          <t>ស្ថានភាព</t>
        </is>
      </c>
      <c r="I850" s="74" t="inlineStr">
        <is>
          <t>ស្ថានភាព</t>
        </is>
      </c>
      <c r="J850" s="217" t="inlineStr">
        <is>
          <t>"historyDepartmentUser.status": "Status",</t>
        </is>
      </c>
    </row>
    <row r="851" ht="15.75" customHeight="1" s="305">
      <c r="A851" s="67" t="inlineStr">
        <is>
          <t>historyDepartmentUser.startAt</t>
        </is>
      </c>
      <c r="B851" s="67" t="inlineStr">
        <is>
          <t>Thời gian bắt đầu</t>
        </is>
      </c>
      <c r="C851" s="67" t="inlineStr">
        <is>
          <t>Effective time</t>
        </is>
      </c>
      <c r="D851" s="3">
        <f>IFERROR(__xludf.DUMMYFUNCTION("GOOGLETRANSLATE(B851,""vi"",""km"")"),"ពេលវេលាចាប់ផ្តើម")</f>
        <v/>
      </c>
      <c r="E851" s="3" t="inlineStr">
        <is>
          <t>ពេលវេលាចាប់ផ្តើម</t>
        </is>
      </c>
      <c r="F851" s="217" t="inlineStr">
        <is>
          <t>v</t>
        </is>
      </c>
      <c r="G851" s="217" t="inlineStr">
        <is>
          <t>ពេលវេលាចាប់ផ្តើម</t>
        </is>
      </c>
      <c r="H851" t="inlineStr">
        <is>
          <t>ពេលវេលាចាប់ផ្តើម</t>
        </is>
      </c>
      <c r="I851" s="74" t="inlineStr">
        <is>
          <t>ពេលវេលាចាប់ផ្តើម</t>
        </is>
      </c>
      <c r="J851" s="217" t="inlineStr">
        <is>
          <t>"historyDepartmentUser.startAt": "Effective time",</t>
        </is>
      </c>
    </row>
    <row r="852" ht="15.75" customHeight="1" s="305">
      <c r="A852" s="67" t="inlineStr">
        <is>
          <t>historyDepartmentUser.actionAt</t>
        </is>
      </c>
      <c r="B852" s="67" t="inlineStr">
        <is>
          <t>Thời gian kết thúc</t>
        </is>
      </c>
      <c r="C852" s="67" t="inlineStr">
        <is>
          <t>Expiration date</t>
        </is>
      </c>
      <c r="D852" s="3">
        <f>IFERROR(__xludf.DUMMYFUNCTION("GOOGLETRANSLATE(B852,""vi"",""km"")"),"ពេលវេលាបញ្ចប់")</f>
        <v/>
      </c>
      <c r="E852" s="3" t="inlineStr">
        <is>
          <t>ពេលវេលាបញ្ចប់</t>
        </is>
      </c>
      <c r="F852" s="217" t="inlineStr">
        <is>
          <t>v</t>
        </is>
      </c>
      <c r="G852" s="217" t="inlineStr">
        <is>
          <t>ពេលវេលាបញ្ចប់</t>
        </is>
      </c>
      <c r="H852" t="inlineStr">
        <is>
          <t>ពេលវេលាបញ្ចប់</t>
        </is>
      </c>
      <c r="I852" s="74" t="inlineStr">
        <is>
          <t>ពេលវេលាបញ្ចប់</t>
        </is>
      </c>
      <c r="J852" s="217" t="inlineStr">
        <is>
          <t>"historyDepartmentUser.actionAt": "Expiration date",</t>
        </is>
      </c>
    </row>
    <row r="853" ht="15.75" customHeight="1" s="305">
      <c r="A853" s="67" t="inlineStr">
        <is>
          <t>branchManager.listBranch</t>
        </is>
      </c>
      <c r="B853" s="67" t="inlineStr">
        <is>
          <t>Quản lý chi nhánh</t>
        </is>
      </c>
      <c r="C853" s="67" t="inlineStr">
        <is>
          <t>Branch management</t>
        </is>
      </c>
      <c r="D853" s="3">
        <f>IFERROR(__xludf.DUMMYFUNCTION("GOOGLETRANSLATE(B853,""vi"",""km"")"),"អ្នកគ្រប់គ្រងសាខា")</f>
        <v/>
      </c>
      <c r="E853" s="3" t="inlineStr">
        <is>
          <t>អ្នកគ្រប់គ្រងសាខា</t>
        </is>
      </c>
      <c r="F853" s="217" t="inlineStr">
        <is>
          <t>v</t>
        </is>
      </c>
      <c r="G853" s="217" t="inlineStr">
        <is>
          <t>អ្នកគ្រប់គ្រងសាខា</t>
        </is>
      </c>
      <c r="H853" t="inlineStr">
        <is>
          <t>អ្នកគ្រប់គ្រងសាខា</t>
        </is>
      </c>
      <c r="I853" s="74" t="inlineStr">
        <is>
          <t>ការគ្រប់គ្រងសាខា</t>
        </is>
      </c>
      <c r="J853" s="217" t="inlineStr">
        <is>
          <t>"branchManager.listBranch": "Branch management",</t>
        </is>
      </c>
    </row>
    <row r="854" ht="15.75" customHeight="1" s="305">
      <c r="A854" s="67" t="inlineStr">
        <is>
          <t>branchManager.createBranch</t>
        </is>
      </c>
      <c r="B854" s="67" t="inlineStr">
        <is>
          <t>Thêm mới chi nhánh</t>
        </is>
      </c>
      <c r="C854" s="67" t="inlineStr">
        <is>
          <t>Create branch</t>
        </is>
      </c>
      <c r="D854" s="3">
        <f>IFERROR(__xludf.DUMMYFUNCTION("GOOGLETRANSLATE(B854,""vi"",""km"")"),"បន្ថែមសាខាថ្មីមួយ")</f>
        <v/>
      </c>
      <c r="E854" s="3" t="inlineStr">
        <is>
          <t>បន្ថែមសាខាថ្មី</t>
        </is>
      </c>
      <c r="F854" s="217" t="inlineStr">
        <is>
          <t>v</t>
        </is>
      </c>
      <c r="G854" s="217" t="inlineStr">
        <is>
          <t>បន្ថែមសាខាថ្មី</t>
        </is>
      </c>
      <c r="H854" t="inlineStr">
        <is>
          <t>បន្ថែមសាខាថ្មី</t>
        </is>
      </c>
      <c r="I854" s="74" t="inlineStr">
        <is>
          <t>បន្ថែមសាខាថ្មី។</t>
        </is>
      </c>
      <c r="J854" s="217" t="inlineStr">
        <is>
          <t>"branchManager.createBranch": "Create branch",</t>
        </is>
      </c>
    </row>
    <row r="855" ht="15.75" customHeight="1" s="305">
      <c r="A855" s="67" t="inlineStr">
        <is>
          <t>branchManager.detailBranch</t>
        </is>
      </c>
      <c r="B855" s="67" t="inlineStr">
        <is>
          <t>Thông tin chi nhánh</t>
        </is>
      </c>
      <c r="C855" s="67" t="inlineStr">
        <is>
          <t>Branch information</t>
        </is>
      </c>
      <c r="D855" s="3">
        <f>IFERROR(__xludf.DUMMYFUNCTION("GOOGLETRANSLATE(B855,""vi"",""km"")"),"ព័ត៌មានសាខា")</f>
        <v/>
      </c>
      <c r="E855" s="3" t="inlineStr">
        <is>
          <t>ព័ត៌មានសាខា</t>
        </is>
      </c>
      <c r="F855" s="217" t="inlineStr">
        <is>
          <t>v</t>
        </is>
      </c>
      <c r="G855" s="217" t="inlineStr">
        <is>
          <t>ព័ត៌មានសាខា</t>
        </is>
      </c>
      <c r="H855" t="inlineStr">
        <is>
          <t>ព័ត៌មានសាខា</t>
        </is>
      </c>
      <c r="I855" s="74" t="inlineStr">
        <is>
          <t>ព័ត៌មានសាខា</t>
        </is>
      </c>
      <c r="J855" s="217" t="inlineStr">
        <is>
          <t>"branchManager.detailBranch": "Branch information",</t>
        </is>
      </c>
    </row>
    <row r="856" ht="15.75" customHeight="1" s="305">
      <c r="A856" s="67" t="inlineStr">
        <is>
          <t>branchManager.searchPlaceholder</t>
        </is>
      </c>
      <c r="B856" s="67" t="inlineStr">
        <is>
          <t>Nhập mã hoặc tên chi nhánh để tìm kiếm</t>
        </is>
      </c>
      <c r="C856" s="67" t="inlineStr">
        <is>
          <t>Enter branch name or ID to search</t>
        </is>
      </c>
      <c r="D856" s="3">
        <f>IFERROR(__xludf.DUMMYFUNCTION("GOOGLETRANSLATE(B856,""vi"",""km"")"),"បញ្ចូលលេខកូដសាខា ឬឈ្មោះដើម្បីស្វែងរក។")</f>
        <v/>
      </c>
      <c r="E856" s="3" t="inlineStr">
        <is>
          <t>បញ្ចូលលេខកូដឬឈ្មោះសាខាដើម្បីស្វែងរក</t>
        </is>
      </c>
      <c r="F856" s="217" t="inlineStr">
        <is>
          <t>v</t>
        </is>
      </c>
      <c r="G856" s="217" t="inlineStr">
        <is>
          <t>បញ្ចូលលេខកូដឬឈ្មោះសាខាដើម្បីស្វែងរក</t>
        </is>
      </c>
      <c r="H856" t="inlineStr">
        <is>
          <t>បញ្ចូលលេខកូដឬឈ្មោះសាខាដើម្បីស្វែងរក</t>
        </is>
      </c>
      <c r="I856" s="74" t="inlineStr">
        <is>
          <t>បញ្ចូលលេខកូដសាខា ឬឈ្មោះដើម្បីស្វែងរក</t>
        </is>
      </c>
      <c r="J856" s="217" t="inlineStr">
        <is>
          <t>"branchManager.searchPlaceholder": "Enter branch name or ID to search",</t>
        </is>
      </c>
    </row>
    <row r="857" ht="15.75" customHeight="1" s="305">
      <c r="A857" s="67" t="inlineStr">
        <is>
          <t>branchManager.branchCode</t>
        </is>
      </c>
      <c r="B857" s="67" t="inlineStr">
        <is>
          <t>Mã chi nhánh</t>
        </is>
      </c>
      <c r="C857" s="67" t="inlineStr">
        <is>
          <t>Branch code</t>
        </is>
      </c>
      <c r="D857" s="3">
        <f>IFERROR(__xludf.DUMMYFUNCTION("GOOGLETRANSLATE(B857,""vi"",""km"")"),"លេខកូដសាខា")</f>
        <v/>
      </c>
      <c r="E857" s="3" t="inlineStr">
        <is>
          <t>លេខកូដសាខា</t>
        </is>
      </c>
      <c r="F857" s="217" t="inlineStr">
        <is>
          <t>v</t>
        </is>
      </c>
      <c r="G857" s="217" t="inlineStr">
        <is>
          <t>លេខកូដសាខា</t>
        </is>
      </c>
      <c r="H857" t="inlineStr">
        <is>
          <t>លេខកូដសាខា</t>
        </is>
      </c>
      <c r="I857" s="74" t="inlineStr">
        <is>
          <t>លេខកូដសាខា</t>
        </is>
      </c>
      <c r="J857" s="217" t="inlineStr">
        <is>
          <t>"branchManager.branchCode": "Branch code",</t>
        </is>
      </c>
    </row>
    <row r="858" ht="15.75" customHeight="1" s="305">
      <c r="A858" s="67" t="inlineStr">
        <is>
          <t>branchManager.branchName</t>
        </is>
      </c>
      <c r="B858" s="67" t="inlineStr">
        <is>
          <t>Tên chi nhánh</t>
        </is>
      </c>
      <c r="C858" s="67" t="inlineStr">
        <is>
          <t>Branch name</t>
        </is>
      </c>
      <c r="D858" s="3">
        <f>IFERROR(__xludf.DUMMYFUNCTION("GOOGLETRANSLATE(B858,""vi"",""km"")"),"ឈ្មោះសាខា")</f>
        <v/>
      </c>
      <c r="E858" s="3" t="inlineStr">
        <is>
          <t>ឈ្មោះសាខា</t>
        </is>
      </c>
      <c r="F858" s="217" t="inlineStr">
        <is>
          <t>v</t>
        </is>
      </c>
      <c r="G858" s="217" t="inlineStr">
        <is>
          <t>ឈ្មោះសាខា</t>
        </is>
      </c>
      <c r="H858" t="inlineStr">
        <is>
          <t>ឈ្មោះសាខា</t>
        </is>
      </c>
      <c r="I858" s="74" t="inlineStr">
        <is>
          <t>ឈ្មោះសាខា</t>
        </is>
      </c>
      <c r="J858" s="217" t="inlineStr">
        <is>
          <t>"branchManager.branchName": "Branch name",</t>
        </is>
      </c>
    </row>
    <row r="859" ht="15.75" customHeight="1" s="305">
      <c r="A859" s="67" t="inlineStr">
        <is>
          <t>branchManager.area</t>
        </is>
      </c>
      <c r="B859" s="67" t="inlineStr">
        <is>
          <t>Khu vực</t>
        </is>
      </c>
      <c r="C859" s="67" t="inlineStr">
        <is>
          <t>Area</t>
        </is>
      </c>
      <c r="D859" s="3">
        <f>IFERROR(__xludf.DUMMYFUNCTION("GOOGLETRANSLATE(B859,""vi"",""km"")"),"តំបន់")</f>
        <v/>
      </c>
      <c r="E859" s="3" t="inlineStr">
        <is>
          <t>តំបន់</t>
        </is>
      </c>
      <c r="F859" s="217" t="inlineStr">
        <is>
          <t>v</t>
        </is>
      </c>
      <c r="G859" s="217" t="inlineStr">
        <is>
          <t>តំបន់</t>
        </is>
      </c>
      <c r="H859" t="inlineStr">
        <is>
          <t>តំបន់</t>
        </is>
      </c>
      <c r="I859" s="74" t="inlineStr">
        <is>
          <t>តំបន់</t>
        </is>
      </c>
      <c r="J859" s="217" t="inlineStr">
        <is>
          <t>"branchManager.area": "Area",</t>
        </is>
      </c>
    </row>
    <row r="860" ht="15.75" customHeight="1" s="305">
      <c r="A860" s="67" t="inlineStr">
        <is>
          <t>branchManager.placeholderBranchCode</t>
        </is>
      </c>
      <c r="B860" s="67" t="inlineStr">
        <is>
          <t>Nhập mã chi nhánh</t>
        </is>
      </c>
      <c r="C860" s="67" t="inlineStr">
        <is>
          <t>Enter branch code</t>
        </is>
      </c>
      <c r="D860" s="3">
        <f>IFERROR(__xludf.DUMMYFUNCTION("GOOGLETRANSLATE(B860,""vi"",""km"")"),"បញ្ចូលលេខកូដសាខា")</f>
        <v/>
      </c>
      <c r="E860" s="3" t="inlineStr">
        <is>
          <t>បញ្ចូ្ចលលេខកូដសាខា</t>
        </is>
      </c>
      <c r="F860" s="217" t="inlineStr">
        <is>
          <t>v</t>
        </is>
      </c>
      <c r="G860" s="217" t="inlineStr">
        <is>
          <t>បញ្ចូ្ចលលេខកូដសាខា</t>
        </is>
      </c>
      <c r="H860" t="inlineStr">
        <is>
          <t>បញ្ចូ្ចលលេខកូដសាខា</t>
        </is>
      </c>
      <c r="I860" s="92" t="inlineStr">
        <is>
          <t>បញ្ចូលលេខកូដសាខា</t>
        </is>
      </c>
      <c r="J860" s="217" t="inlineStr">
        <is>
          <t>"branchManager.placeholderBranchCode": "Enter branch code",</t>
        </is>
      </c>
    </row>
    <row r="861" ht="15.75" customHeight="1" s="305">
      <c r="A861" s="67" t="inlineStr">
        <is>
          <t>branchManager.placeholderBranchName</t>
        </is>
      </c>
      <c r="B861" s="67" t="inlineStr">
        <is>
          <t>Nhập tên chi nhánh</t>
        </is>
      </c>
      <c r="C861" s="67" t="inlineStr">
        <is>
          <t>Enter branch name</t>
        </is>
      </c>
      <c r="D861" s="3">
        <f>IFERROR(__xludf.DUMMYFUNCTION("GOOGLETRANSLATE(B861,""vi"",""km"")"),"បញ្ចូលឈ្មោះសាខា")</f>
        <v/>
      </c>
      <c r="E861" s="3" t="inlineStr">
        <is>
          <t>បញ្ចូលឈ្មោះសាខា</t>
        </is>
      </c>
      <c r="F861" s="217" t="inlineStr">
        <is>
          <t>v</t>
        </is>
      </c>
      <c r="G861" s="217" t="inlineStr">
        <is>
          <t>បញ្ចូលឈ្មោះសាខា</t>
        </is>
      </c>
      <c r="H861" t="inlineStr">
        <is>
          <t>បញ្ចូលឈ្មោះសាខា</t>
        </is>
      </c>
      <c r="I861" s="92" t="inlineStr">
        <is>
          <t>បញ្ចូលឈ្មោះសាខា</t>
        </is>
      </c>
      <c r="J861" s="217" t="inlineStr">
        <is>
          <t>"branchManager.placeholderBranchName": "Enter branch name",</t>
        </is>
      </c>
    </row>
    <row r="862" ht="15.75" customHeight="1" s="305">
      <c r="A862" s="67" t="inlineStr">
        <is>
          <t>branchManager.placeholderArea</t>
        </is>
      </c>
      <c r="B862" s="67" t="inlineStr">
        <is>
          <t>Chọn khu vực</t>
        </is>
      </c>
      <c r="C862" s="67" t="inlineStr">
        <is>
          <t>Select area</t>
        </is>
      </c>
      <c r="D862" s="3">
        <f>IFERROR(__xludf.DUMMYFUNCTION("GOOGLETRANSLATE(B862,""vi"",""km"")"),"ជ្រើសរើសតំបន់")</f>
        <v/>
      </c>
      <c r="E862" s="3" t="inlineStr">
        <is>
          <t>ជ្រើសរើសតំបន់</t>
        </is>
      </c>
      <c r="F862" s="217" t="inlineStr">
        <is>
          <t>v</t>
        </is>
      </c>
      <c r="G862" s="217" t="inlineStr">
        <is>
          <t>ជ្រើសរើសតំបន់</t>
        </is>
      </c>
      <c r="H862" t="inlineStr">
        <is>
          <t>ជ្រើសរើសតំបន់</t>
        </is>
      </c>
      <c r="I862" s="92" t="inlineStr">
        <is>
          <t>ជ្រើសរើសតំបន់</t>
        </is>
      </c>
      <c r="J862" s="217" t="inlineStr">
        <is>
          <t>"branchManager.placeholderArea": "Select area",</t>
        </is>
      </c>
    </row>
    <row r="863" ht="15.75" customHeight="1" s="305">
      <c r="A863" s="67" t="inlineStr">
        <is>
          <t>branchManager.updateAt</t>
        </is>
      </c>
      <c r="B863" s="67" t="inlineStr">
        <is>
          <t>Ngày cập nhật</t>
        </is>
      </c>
      <c r="C863" s="67" t="inlineStr">
        <is>
          <t>Updated date</t>
        </is>
      </c>
      <c r="D863" s="3">
        <f>IFERROR(__xludf.DUMMYFUNCTION("GOOGLETRANSLATE(B863,""vi"",""km"")"),"កាលបរិច្ឆេទ​ដែលបានធ្វើបច្ចុប្បន្នភាព")</f>
        <v/>
      </c>
      <c r="E863" s="3" t="inlineStr">
        <is>
          <t>ថ្ងៃអាប់ដេត</t>
        </is>
      </c>
      <c r="F863" s="217" t="inlineStr">
        <is>
          <t>v</t>
        </is>
      </c>
      <c r="G863" s="217" t="inlineStr">
        <is>
          <t>ថ្ងៃអាប់ដេត</t>
        </is>
      </c>
      <c r="H863" t="inlineStr">
        <is>
          <t>ថ្ងៃអាប់ដេត</t>
        </is>
      </c>
      <c r="I863" s="74" t="inlineStr">
        <is>
          <t>ធ្វើបច្ចុប្បន្នភាពកាលបរិច្ឆេទ</t>
        </is>
      </c>
      <c r="J863" s="217" t="inlineStr">
        <is>
          <t>"branchManager.updateAt": "Updated date",</t>
        </is>
      </c>
    </row>
    <row r="864" ht="15.75" customHeight="1" s="305">
      <c r="A864" s="67" t="inlineStr">
        <is>
          <t>branchManager.updateBy</t>
        </is>
      </c>
      <c r="B864" s="67" t="inlineStr">
        <is>
          <t>Người cập nhật</t>
        </is>
      </c>
      <c r="C864" s="67" t="inlineStr">
        <is>
          <t>Updater</t>
        </is>
      </c>
      <c r="D864" s="3">
        <f>IFERROR(__xludf.DUMMYFUNCTION("GOOGLETRANSLATE(B864,""vi"",""km"")"),"កម្មវិធីធ្វើបច្ចុប្បន្នភាព")</f>
        <v/>
      </c>
      <c r="E864" s="3" t="inlineStr">
        <is>
          <t>អ្នកអាប់ដេត</t>
        </is>
      </c>
      <c r="F864" s="217" t="inlineStr">
        <is>
          <t>v</t>
        </is>
      </c>
      <c r="G864" s="217" t="inlineStr">
        <is>
          <t>អ្នកអាប់ដេត</t>
        </is>
      </c>
      <c r="H864" t="inlineStr">
        <is>
          <t>អ្នកអាប់ដេត</t>
        </is>
      </c>
      <c r="I864" s="74" t="inlineStr">
        <is>
          <t>អ្នកធ្វើបច្ចុប្បន្នភាព</t>
        </is>
      </c>
      <c r="J864" s="217" t="inlineStr">
        <is>
          <t>"branchManager.updateBy": "Updater",</t>
        </is>
      </c>
    </row>
    <row r="865" ht="15.75" customHeight="1" s="305">
      <c r="A865" s="67" t="inlineStr">
        <is>
          <t>modifyBranch.confirmTitle</t>
        </is>
      </c>
      <c r="B865" s="67" t="inlineStr">
        <is>
          <t>Thông báo</t>
        </is>
      </c>
      <c r="C865" s="67" t="inlineStr">
        <is>
          <t>Notification</t>
        </is>
      </c>
      <c r="D865" s="3">
        <f>IFERROR(__xludf.DUMMYFUNCTION("GOOGLETRANSLATE(B865,""vi"",""km"")"),"ការជូនដំណឹង")</f>
        <v/>
      </c>
      <c r="E865" s="3" t="inlineStr">
        <is>
          <t>ការជូនដំណឹង</t>
        </is>
      </c>
      <c r="F865" s="217" t="inlineStr">
        <is>
          <t>v</t>
        </is>
      </c>
      <c r="G865" s="217" t="inlineStr">
        <is>
          <t>ការជូនដំណឹង</t>
        </is>
      </c>
      <c r="H865" t="inlineStr">
        <is>
          <t>ការជូនដំណឹង</t>
        </is>
      </c>
      <c r="I865" s="74" t="inlineStr">
        <is>
          <t>សេចក្តីជូនដំណឹង</t>
        </is>
      </c>
      <c r="J865" s="217" t="inlineStr">
        <is>
          <t>"modifyBranch.confirmTitle": "Notification",</t>
        </is>
      </c>
    </row>
    <row r="866" ht="15.75" customHeight="1" s="305">
      <c r="A866" s="67" t="inlineStr">
        <is>
          <t>modifyBranch.textConfirm</t>
        </is>
      </c>
      <c r="B866" s="67" t="inlineStr">
        <is>
          <t>Quý khách có chắc chắn muốn lưu thông tin chi nhánh này?</t>
        </is>
      </c>
      <c r="C866" s="67" t="inlineStr">
        <is>
          <t>Do you want to save the branch information?</t>
        </is>
      </c>
      <c r="D866" s="3">
        <f>IFERROR(__xludf.DUMMYFUNCTION("GOOGLETRANSLATE(B866,""vi"",""km"")"),"តើអ្នកពិតជាចង់រក្សាទុកព័ត៌មានសាខានេះមែនទេ?")</f>
        <v/>
      </c>
      <c r="E866" s="3" t="inlineStr">
        <is>
          <t>អតិថិជនពិតជាចង់រក្សាទុកព័ត៌មានសាខានេះឬទេ?</t>
        </is>
      </c>
      <c r="F866" s="217" t="inlineStr">
        <is>
          <t>x</t>
        </is>
      </c>
      <c r="G866" s="217" t="inlineStr">
        <is>
          <t>អតិថិជនពិតជាចង់រក្សាទុកព័ត៌មានសាខានេះឬទេ?</t>
        </is>
      </c>
      <c r="H866" t="inlineStr">
        <is>
          <t>អតិថិជនពិតជាចង់រក្សាទុកព័ត៌មានសាខានេះឬទេ?</t>
        </is>
      </c>
      <c r="I866" s="74" t="inlineStr">
        <is>
          <t>តើអ្នកប្រាកដថាចង់រក្សាទុកព័ត៌មានសាខានេះទេ?</t>
        </is>
      </c>
      <c r="J866" s="217" t="inlineStr">
        <is>
          <t>"modifyBranch.textConfirm": "Do you want to save the branch information?",</t>
        </is>
      </c>
    </row>
    <row r="867" ht="15.75" customHeight="1" s="305">
      <c r="A867" s="67" t="inlineStr">
        <is>
          <t>modifyBranch.errorTitle</t>
        </is>
      </c>
      <c r="B867" s="67" t="inlineStr">
        <is>
          <t>Cảnh báo</t>
        </is>
      </c>
      <c r="C867" s="67" t="inlineStr">
        <is>
          <t>Alert</t>
        </is>
      </c>
      <c r="D867" s="3">
        <f>IFERROR(__xludf.DUMMYFUNCTION("GOOGLETRANSLATE(B867,""vi"",""km"")"),"ការព្រមាន")</f>
        <v/>
      </c>
      <c r="E867" s="3" t="inlineStr">
        <is>
          <t>ការព្រមាន</t>
        </is>
      </c>
      <c r="F867" s="217" t="inlineStr">
        <is>
          <t>v</t>
        </is>
      </c>
      <c r="G867" s="217" t="inlineStr">
        <is>
          <t>ការព្រមាន</t>
        </is>
      </c>
      <c r="H867" t="inlineStr">
        <is>
          <t>ការព្រមាន</t>
        </is>
      </c>
      <c r="I867" s="74" t="inlineStr">
        <is>
          <t>ការព្រមាន</t>
        </is>
      </c>
      <c r="J867" s="217" t="inlineStr">
        <is>
          <t>"modifyBranch.errorTitle": "Alert",</t>
        </is>
      </c>
    </row>
    <row r="868" ht="15.75" customHeight="1" s="305">
      <c r="A868" s="67" t="inlineStr">
        <is>
          <t>modifyBranch.searchPostOffice</t>
        </is>
      </c>
      <c r="B868" s="67" t="inlineStr">
        <is>
          <t>Nhập mã hoặc tên bưu cục</t>
        </is>
      </c>
      <c r="C868" s="67" t="inlineStr">
        <is>
          <t>Enter post office ID</t>
        </is>
      </c>
      <c r="D868" s="3">
        <f>IFERROR(__xludf.DUMMYFUNCTION("GOOGLETRANSLATE(B868,""vi"",""km"")"),"បញ្ចូលលេខកូដ ឬឈ្មោះការិយាល័យប្រៃសណីយ៍។")</f>
        <v/>
      </c>
      <c r="E868" s="3" t="inlineStr">
        <is>
          <t>បញ្ចូលកូដឬឈ្មោះការិយាល័យប្រៃសណីយ៍</t>
        </is>
      </c>
      <c r="F868" s="217" t="inlineStr">
        <is>
          <t>v</t>
        </is>
      </c>
      <c r="G868" s="217" t="inlineStr">
        <is>
          <t>បញ្ចូលកូដឬឈ្មោះការិយាល័យប្រៃសណីយ៍</t>
        </is>
      </c>
      <c r="H868" t="inlineStr">
        <is>
          <t>បញ្ចូលកូដឬឈ្មោះការិយាល័យប្រៃសណីយ៍</t>
        </is>
      </c>
      <c r="I868" s="74" t="inlineStr">
        <is>
          <t>បញ្ចូលលេខកូដប្រៃសណីយ៍</t>
        </is>
      </c>
      <c r="J868" s="217" t="inlineStr">
        <is>
          <t>"modifyBranch.searchPostOffice": "Enter post office ID",</t>
        </is>
      </c>
    </row>
    <row r="869" ht="15.75" customHeight="1" s="305">
      <c r="A869" s="67" t="inlineStr">
        <is>
          <t>modifyBranch.startDate</t>
        </is>
      </c>
      <c r="B869" s="67" t="inlineStr">
        <is>
          <t>Từ ngày</t>
        </is>
      </c>
      <c r="C869" s="67" t="inlineStr">
        <is>
          <t>Effective date</t>
        </is>
      </c>
      <c r="D869" s="3">
        <f>IFERROR(__xludf.DUMMYFUNCTION("GOOGLETRANSLATE(B869,""vi"",""km"")"),"ចាប់ពីកាលបរិច្ឆេទ")</f>
        <v/>
      </c>
      <c r="E869" s="3" t="inlineStr">
        <is>
          <t>ចាប់ពីថ្ងៃ</t>
        </is>
      </c>
      <c r="F869" s="217" t="inlineStr">
        <is>
          <t>v</t>
        </is>
      </c>
      <c r="G869" s="217" t="inlineStr">
        <is>
          <t>ចាប់ពីថ្ងៃ</t>
        </is>
      </c>
      <c r="H869" t="inlineStr">
        <is>
          <t>ចាប់ពីថ្ងៃ</t>
        </is>
      </c>
      <c r="I869" s="74" t="inlineStr">
        <is>
          <t>ពីកាលបរិច្ឆេទ</t>
        </is>
      </c>
      <c r="J869" s="217" t="inlineStr">
        <is>
          <t>"modifyBranch.startDate": "Effective date",</t>
        </is>
      </c>
    </row>
    <row r="870" ht="15.75" customHeight="1" s="305">
      <c r="A870" s="67" t="inlineStr">
        <is>
          <t>modifyBranch.endDate</t>
        </is>
      </c>
      <c r="B870" s="67" t="inlineStr">
        <is>
          <t>Đến ngày</t>
        </is>
      </c>
      <c r="C870" s="67" t="inlineStr">
        <is>
          <t>Expiration date</t>
        </is>
      </c>
      <c r="D870" s="3">
        <f>IFERROR(__xludf.DUMMYFUNCTION("GOOGLETRANSLATE(B870,""vi"",""km"")"),"រហូតដល់ថ្ងៃ")</f>
        <v/>
      </c>
      <c r="E870" s="3" t="inlineStr">
        <is>
          <t>រហូតដល់ថ្ងៃ</t>
        </is>
      </c>
      <c r="F870" s="217" t="inlineStr">
        <is>
          <t>v</t>
        </is>
      </c>
      <c r="G870" s="217" t="inlineStr">
        <is>
          <t>រហូតដល់ថ្ងៃ</t>
        </is>
      </c>
      <c r="H870" t="inlineStr">
        <is>
          <t>រហូតដល់ថ្ងៃ</t>
        </is>
      </c>
      <c r="I870" s="74" t="inlineStr">
        <is>
          <t>ដល់ថ្ងៃ</t>
        </is>
      </c>
      <c r="J870" s="217" t="inlineStr">
        <is>
          <t>"modifyBranch.endDate": "Expiration date",</t>
        </is>
      </c>
    </row>
    <row r="871" ht="15.75" customHeight="1" s="305">
      <c r="A871" s="67" t="inlineStr">
        <is>
          <t>modifyBranch.createSuccess</t>
        </is>
      </c>
      <c r="B871" s="67" t="inlineStr">
        <is>
          <t>Thêm mới thông tin thành công</t>
        </is>
      </c>
      <c r="C871" s="67" t="inlineStr">
        <is>
          <t>Create information succesfully</t>
        </is>
      </c>
      <c r="D871" s="3">
        <f>IFERROR(__xludf.DUMMYFUNCTION("GOOGLETRANSLATE(B871,""vi"",""km"")"),"បានបន្ថែមព័ត៌មានថ្មីដោយជោគជ័យ។")</f>
        <v/>
      </c>
      <c r="E871" s="3" t="inlineStr">
        <is>
          <t>បន្ថែមព័ត៌មានថ្មីបានជោគជ័យ</t>
        </is>
      </c>
      <c r="F871" s="217" t="inlineStr">
        <is>
          <t>v</t>
        </is>
      </c>
      <c r="G871" s="217" t="inlineStr">
        <is>
          <t>បន្ថែមព័ត៌មានថ្មីបានជោគជ័យ</t>
        </is>
      </c>
      <c r="H871" t="inlineStr">
        <is>
          <t>បន្ថែមព័ត៌មានថ្មីបានជោគជ័យ</t>
        </is>
      </c>
      <c r="I871" s="74" t="inlineStr">
        <is>
          <t>ព័ត៌មានថ្មីត្រូវបានបន្ថែមដោយជោគជ័យ</t>
        </is>
      </c>
      <c r="J871" s="217" t="inlineStr">
        <is>
          <t>"modifyBranch.createSuccess": "Create information succesfully",</t>
        </is>
      </c>
    </row>
    <row r="872" ht="15.75" customHeight="1" s="305">
      <c r="A872" s="67" t="inlineStr">
        <is>
          <t>modifyBranch.departmentCode</t>
        </is>
      </c>
      <c r="B872" s="67" t="inlineStr">
        <is>
          <t>Mã bưu cục</t>
        </is>
      </c>
      <c r="C872" s="67" t="inlineStr">
        <is>
          <t>Post office code</t>
        </is>
      </c>
      <c r="D872" s="3">
        <f>IFERROR(__xludf.DUMMYFUNCTION("GOOGLETRANSLATE(B872,""vi"",""km"")"),"លេខកូដប្រៃសណីយ៍")</f>
        <v/>
      </c>
      <c r="E872" s="3" t="inlineStr">
        <is>
          <t>លេខកូដការិយាល័យប្រៃសណីយ៍</t>
        </is>
      </c>
      <c r="F872" s="217" t="inlineStr">
        <is>
          <t>v</t>
        </is>
      </c>
      <c r="G872" s="217" t="inlineStr">
        <is>
          <t>លេខកូដការិយាល័យប្រៃសណីយ៍</t>
        </is>
      </c>
      <c r="H872" t="inlineStr">
        <is>
          <t>លេខកូដការិយាល័យប្រៃសណីយ៍</t>
        </is>
      </c>
      <c r="I872" s="74" t="inlineStr">
        <is>
          <t>លេខកូដប្រៃសណីយ៍</t>
        </is>
      </c>
      <c r="J872" s="217" t="inlineStr">
        <is>
          <t>"modifyBranch.departmentCode": "Post office code",</t>
        </is>
      </c>
    </row>
    <row r="873" ht="15.75" customHeight="1" s="305">
      <c r="A873" s="67" t="inlineStr">
        <is>
          <t>modifyBranch.departmentName</t>
        </is>
      </c>
      <c r="B873" s="67" t="inlineStr">
        <is>
          <t>Tên bưu cục</t>
        </is>
      </c>
      <c r="C873" s="67" t="inlineStr">
        <is>
          <t>Post office name</t>
        </is>
      </c>
      <c r="D873" s="3">
        <f>IFERROR(__xludf.DUMMYFUNCTION("GOOGLETRANSLATE(B873,""vi"",""km"")"),"ឈ្មោះ​ការិយាល័យ​ប្រៃសណីយ៍")</f>
        <v/>
      </c>
      <c r="E873" s="3" t="inlineStr">
        <is>
          <t>ឈ្មោះការិយាល័យប្រៃសណីយ៍</t>
        </is>
      </c>
      <c r="F873" s="217" t="inlineStr">
        <is>
          <t>v</t>
        </is>
      </c>
      <c r="G873" s="217" t="inlineStr">
        <is>
          <t>ឈ្មោះការិយាល័យប្រៃសណីយ៍</t>
        </is>
      </c>
      <c r="H873" t="inlineStr">
        <is>
          <t>ឈ្មោះការិយាល័យប្រៃសណីយ៍</t>
        </is>
      </c>
      <c r="I873" s="74" t="inlineStr">
        <is>
          <t>ឈ្មោះការិយាល័យប្រៃសណីយ៍</t>
        </is>
      </c>
      <c r="J873" s="217" t="inlineStr">
        <is>
          <t>"modifyBranch.departmentName": "Post office name",</t>
        </is>
      </c>
    </row>
    <row r="874" ht="15.75" customHeight="1" s="305">
      <c r="A874" s="67" t="inlineStr">
        <is>
          <t>modifyBranch.updatedAt</t>
        </is>
      </c>
      <c r="B874" s="67" t="inlineStr">
        <is>
          <t>Ngày thêm</t>
        </is>
      </c>
      <c r="C874" s="67" t="inlineStr">
        <is>
          <t>Updated date</t>
        </is>
      </c>
      <c r="D874" s="3">
        <f>IFERROR(__xludf.DUMMYFUNCTION("GOOGLETRANSLATE(B874,""vi"",""km"")"),"ថ្ងៃបន្ថែមទៀត")</f>
        <v/>
      </c>
      <c r="E874" s="3" t="inlineStr">
        <is>
          <t>ថ្ងៃបន្ថែម</t>
        </is>
      </c>
      <c r="F874" s="217" t="inlineStr">
        <is>
          <t>v</t>
        </is>
      </c>
      <c r="G874" s="217" t="inlineStr">
        <is>
          <t>ថ្ងៃបន្ថែម</t>
        </is>
      </c>
      <c r="H874" t="inlineStr">
        <is>
          <t>ថ្ងៃបន្ថែម</t>
        </is>
      </c>
      <c r="I874" s="74" t="inlineStr">
        <is>
          <t>ថ្ងៃថែម</t>
        </is>
      </c>
      <c r="J874" s="217" t="inlineStr">
        <is>
          <t>"modifyBranch.updatedAt": "Updated date",</t>
        </is>
      </c>
    </row>
    <row r="875" ht="15.75" customHeight="1" s="305">
      <c r="A875" s="67" t="inlineStr">
        <is>
          <t>modifyBranch.updatedBy</t>
        </is>
      </c>
      <c r="B875" s="67" t="inlineStr">
        <is>
          <t>Người thêm</t>
        </is>
      </c>
      <c r="C875" s="67" t="inlineStr">
        <is>
          <t>Updater</t>
        </is>
      </c>
      <c r="D875" s="3">
        <f>IFERROR(__xludf.DUMMYFUNCTION("GOOGLETRANSLATE(B875,""vi"",""km"")"),"សារធាតុបន្ថែម")</f>
        <v/>
      </c>
      <c r="E875" s="3" t="inlineStr">
        <is>
          <t>អ្នកបន្ថែម</t>
        </is>
      </c>
      <c r="F875" s="217" t="inlineStr">
        <is>
          <t>v</t>
        </is>
      </c>
      <c r="G875" s="217" t="inlineStr">
        <is>
          <t>អ្នកបន្ថែម</t>
        </is>
      </c>
      <c r="H875" t="inlineStr">
        <is>
          <t>អ្នកបន្ថែម</t>
        </is>
      </c>
      <c r="I875" s="74" t="inlineStr">
        <is>
          <t>អ្នកថែម</t>
        </is>
      </c>
      <c r="J875" s="217" t="inlineStr">
        <is>
          <t>"modifyBranch.updatedBy": "Updater",</t>
        </is>
      </c>
    </row>
    <row r="876" ht="15.75" customHeight="1" s="305">
      <c r="A876" s="67" t="inlineStr">
        <is>
          <t>modifyBranch.emptyDate</t>
        </is>
      </c>
      <c r="B876" s="67" t="inlineStr">
        <is>
          <t>Ngày tìm kiếm không được bỏ trống</t>
        </is>
      </c>
      <c r="C876" s="67" t="inlineStr">
        <is>
          <t>Search date is required</t>
        </is>
      </c>
      <c r="D876" s="3">
        <f>IFERROR(__xludf.DUMMYFUNCTION("GOOGLETRANSLATE(B876,""vi"",""km"")"),"កាលបរិច្ឆេទស្វែងរកមិនត្រូវទុកចោលឱ្យនៅទទេឡើយ។")</f>
        <v/>
      </c>
      <c r="E876" s="3" t="inlineStr">
        <is>
          <t>ថ្ងៃស្វែងរកមិនអាចទុកចន្លោះបាន?</t>
        </is>
      </c>
      <c r="F876" s="217" t="inlineStr">
        <is>
          <t>x</t>
        </is>
      </c>
      <c r="G876" s="217" t="inlineStr">
        <is>
          <t>ថ្ងៃស្វែងរកមិនអាចទុកចន្លោះបាន?</t>
        </is>
      </c>
      <c r="H876" t="inlineStr">
        <is>
          <t>ថ្ងៃស្វែងរកមិនអាចទុកចន្លោះបាន?</t>
        </is>
      </c>
      <c r="I876" s="74" t="inlineStr">
        <is>
          <t>កាលបរិច្ឆេទស្វែងរកមិនអាចទុកនៅទទេបានទេ។</t>
        </is>
      </c>
      <c r="J876" s="217" t="inlineStr">
        <is>
          <t>"modifyBranch.emptyDate": "Search date is required",</t>
        </is>
      </c>
    </row>
    <row r="877" ht="15.75" customHeight="1" s="305">
      <c r="A877" s="67" t="inlineStr">
        <is>
          <t>modifyBranch.postOffice</t>
        </is>
      </c>
      <c r="B877" s="67" t="inlineStr">
        <is>
          <t>Bưu cục</t>
        </is>
      </c>
      <c r="C877" s="67" t="inlineStr">
        <is>
          <t>Department</t>
        </is>
      </c>
      <c r="D877" s="3">
        <f>IFERROR(__xludf.DUMMYFUNCTION("GOOGLETRANSLATE(B877,""vi"",""km"")"),"ការិយាល័យប្រៃសណីយ៍")</f>
        <v/>
      </c>
      <c r="E877" s="3" t="inlineStr">
        <is>
          <t>ការិយាល័យប្រៃសណីយ៍</t>
        </is>
      </c>
      <c r="F877" s="217" t="inlineStr">
        <is>
          <t>v</t>
        </is>
      </c>
      <c r="G877" s="217" t="inlineStr">
        <is>
          <t>ការិយាល័យប្រៃសណីយ៍</t>
        </is>
      </c>
      <c r="H877" t="inlineStr">
        <is>
          <t>ការិយាល័យប្រៃសណីយ៍</t>
        </is>
      </c>
      <c r="I877" s="69" t="inlineStr">
        <is>
          <t>នាយកដ្ឋាន</t>
        </is>
      </c>
      <c r="J877" s="217" t="inlineStr">
        <is>
          <t>"modifyBranch.postOffice": "Department",</t>
        </is>
      </c>
    </row>
    <row r="878" ht="15.75" customHeight="1" s="305">
      <c r="A878" s="67" t="inlineStr">
        <is>
          <t>modifyBranch.updateSuccess</t>
        </is>
      </c>
      <c r="B878" s="67" t="inlineStr">
        <is>
          <t>Cập nhật thông tin thành công</t>
        </is>
      </c>
      <c r="C878" s="67" t="inlineStr">
        <is>
          <t>Update information succesfully</t>
        </is>
      </c>
      <c r="D878" s="3">
        <f>IFERROR(__xludf.DUMMYFUNCTION("GOOGLETRANSLATE(B878,""vi"",""km"")"),"ព័ត៌មានត្រូវបានធ្វើបច្ចុប្បន្នភាពដោយជោគជ័យ។")</f>
        <v/>
      </c>
      <c r="E878" s="3" t="inlineStr">
        <is>
          <t>អាប់ដេតព័ត៌មានបានជោគជ័យ</t>
        </is>
      </c>
      <c r="F878" s="217" t="inlineStr">
        <is>
          <t>v</t>
        </is>
      </c>
      <c r="G878" s="217" t="inlineStr">
        <is>
          <t>អាប់ដេតព័ត៌មានបានជោគជ័យ</t>
        </is>
      </c>
      <c r="H878" t="inlineStr">
        <is>
          <t>អាប់ដេតព័ត៌មានបានជោគជ័យ</t>
        </is>
      </c>
      <c r="I878" s="69" t="inlineStr">
        <is>
          <t>ធ្វើបច្ចុប្បន្នភាពព័ត៌មានដោយជោគជ័យ</t>
        </is>
      </c>
      <c r="J878" s="217" t="inlineStr">
        <is>
          <t>"modifyBranch.updateSuccess": "Update information succesfully",</t>
        </is>
      </c>
    </row>
    <row r="879" ht="15.75" customHeight="1" s="305">
      <c r="A879" s="67" t="inlineStr">
        <is>
          <t>modifyBranch.branchCode</t>
        </is>
      </c>
      <c r="B879" s="67" t="inlineStr">
        <is>
          <t>Mã chi nhánh</t>
        </is>
      </c>
      <c r="C879" s="67" t="inlineStr">
        <is>
          <t>Branch code</t>
        </is>
      </c>
      <c r="D879" s="3">
        <f>IFERROR(__xludf.DUMMYFUNCTION("GOOGLETRANSLATE(B879,""vi"",""km"")"),"លេខកូដសាខា")</f>
        <v/>
      </c>
      <c r="E879" s="3" t="inlineStr">
        <is>
          <t>លេខកូដសាខា</t>
        </is>
      </c>
      <c r="F879" s="217" t="inlineStr">
        <is>
          <t>v</t>
        </is>
      </c>
      <c r="G879" s="217" t="inlineStr">
        <is>
          <t>លេខកូដសាខា</t>
        </is>
      </c>
      <c r="H879" t="inlineStr">
        <is>
          <t>លេខកូដសាខា</t>
        </is>
      </c>
      <c r="I879" s="69" t="inlineStr">
        <is>
          <t>លេខកូដសាខា
មាន។</t>
        </is>
      </c>
      <c r="J879" s="217" t="inlineStr">
        <is>
          <t>"modifyBranch.branchCode": "Branch code",</t>
        </is>
      </c>
    </row>
    <row r="880" ht="15.75" customHeight="1" s="305">
      <c r="A880" s="67" t="inlineStr">
        <is>
          <t>modifyBranch.alreadyExist</t>
        </is>
      </c>
      <c r="B880" s="67" t="inlineStr">
        <is>
          <t>đã tồn tại.</t>
        </is>
      </c>
      <c r="C880" s="67" t="inlineStr">
        <is>
          <t>exist.</t>
        </is>
      </c>
      <c r="D880" s="3">
        <f>IFERROR(__xludf.DUMMYFUNCTION("GOOGLETRANSLATE(B880,""vi"",""km"")"),"វាមានរួចហើយ។")</f>
        <v/>
      </c>
      <c r="E880" s="3" t="inlineStr">
        <is>
          <t>បានមានរួចហើយ</t>
        </is>
      </c>
      <c r="F880" s="217" t="inlineStr">
        <is>
          <t>x</t>
        </is>
      </c>
      <c r="G880" s="217" t="inlineStr">
        <is>
          <t>មានរួចហើយ។</t>
        </is>
      </c>
      <c r="H880" t="inlineStr">
        <is>
          <t>មានរួចហើយ។</t>
        </is>
      </c>
      <c r="I880" s="69" t="inlineStr">
        <is>
          <t>ផ្គូផ្គងលេខកូដនាយកដ្ឋានដែលមានស្រាប់</t>
        </is>
      </c>
      <c r="J880" s="217" t="inlineStr">
        <is>
          <t>"modifyBranch.alreadyExist": "exist.",</t>
        </is>
      </c>
    </row>
    <row r="881" ht="15.75" customHeight="1" s="305">
      <c r="A881" s="67" t="inlineStr">
        <is>
          <t>modifyBranch.duplicateDepartment</t>
        </is>
      </c>
      <c r="B881" s="67" t="inlineStr">
        <is>
          <t xml:space="preserve">trùng với mã bưu cục đã tồn tại. </t>
        </is>
      </c>
      <c r="C881" s="67" t="inlineStr">
        <is>
          <t>matches an existing department code.</t>
        </is>
      </c>
      <c r="D881" s="3">
        <f>IFERROR(__xludf.DUMMYFUNCTION("GOOGLETRANSLATE(B881,""vi"",""km"")"),"វាត្រូវគ្នានឹងលេខកូដប្រៃសណីយ៍ដែលមានស្រាប់។")</f>
        <v/>
      </c>
      <c r="E881" s="3" t="inlineStr">
        <is>
          <t>វាត្រូវគ្នានឹងលេខកូដការិយាល័យប្រៃសណីយ៍ដែលមានស្រាប់។</t>
        </is>
      </c>
      <c r="F881" s="217" t="inlineStr">
        <is>
          <t>x</t>
        </is>
      </c>
      <c r="G881" s="217" t="inlineStr">
        <is>
          <t>វាត្រូវគ្នានឹងលេខកូដការិយាល័យប្រៃសណីយ៍ដែលមានស្រាប់។</t>
        </is>
      </c>
      <c r="H881" t="inlineStr">
        <is>
          <t>វាត្រូវគ្នានឹងលេខកូដការិយាល័យប្រៃសណីយ៍ដែលមានស្រាប់។</t>
        </is>
      </c>
      <c r="I881" s="94" t="inlineStr">
        <is>
          <t>ផ្គូផ្គងលេខកូដនាយកដ្ឋានដែលមានស្រាប់</t>
        </is>
      </c>
      <c r="J881" s="217" t="inlineStr">
        <is>
          <t>"modifyBranch.duplicateDepartment": "matches an existing department code.",</t>
        </is>
      </c>
    </row>
    <row r="882" ht="15.75" customHeight="1" s="305">
      <c r="A882" s="67" t="inlineStr">
        <is>
          <t>modifyBranch.notification</t>
        </is>
      </c>
      <c r="B882" s="67" t="inlineStr">
        <is>
          <t>Vui lòng khai báo mã chi nhánh khác!</t>
        </is>
      </c>
      <c r="C882" s="67" t="inlineStr">
        <is>
          <t>Please declare another branch code!</t>
        </is>
      </c>
      <c r="D882" s="3">
        <f>IFERROR(__xludf.DUMMYFUNCTION("GOOGLETRANSLATE(B882,""vi"",""km"")"),"សូមផ្តល់លេខកូដសាខាផ្សេង!")</f>
        <v/>
      </c>
      <c r="E882" s="3" t="inlineStr">
        <is>
          <t>សូមបង្ហាញលេខកូដសាខាផ្សេង</t>
        </is>
      </c>
      <c r="F882" s="217" t="inlineStr">
        <is>
          <t>x</t>
        </is>
      </c>
      <c r="G882" s="217" t="inlineStr">
        <is>
          <t>សូមបង្ហាញលេខកូដសាខាផ្សេង</t>
        </is>
      </c>
      <c r="H882" t="inlineStr">
        <is>
          <t>សូមបង្ហាញលេខកូដសាខាផ្សេង</t>
        </is>
      </c>
      <c r="I882" s="94" t="inlineStr">
        <is>
          <t>សូមប្រកាសលេខកូដសាខាមួយទៀត!</t>
        </is>
      </c>
      <c r="J882" s="217" t="inlineStr">
        <is>
          <t>"modifyBranch.notification": "Please declare another branch code!",</t>
        </is>
      </c>
    </row>
    <row r="883" ht="15.75" customHeight="1" s="305">
      <c r="A883" s="67" t="inlineStr">
        <is>
          <t>modifyBranch.listDepartment</t>
        </is>
      </c>
      <c r="B883" s="67" t="inlineStr">
        <is>
          <t>Danh sách bưu cục</t>
        </is>
      </c>
      <c r="C883" s="67" t="inlineStr">
        <is>
          <t>Danh sách bưu cục</t>
        </is>
      </c>
      <c r="D883" s="3">
        <f>IFERROR(__xludf.DUMMYFUNCTION("GOOGLETRANSLATE(B883,""vi"",""km"")"),"បញ្ជីការិយាល័យប្រៃសណីយ៍")</f>
        <v/>
      </c>
      <c r="E883" s="3" t="inlineStr">
        <is>
          <t>បញ្ជីការិយាល័យប្រៃសណីយ៍</t>
        </is>
      </c>
      <c r="F883" s="217" t="inlineStr">
        <is>
          <t>v</t>
        </is>
      </c>
      <c r="G883" s="217" t="inlineStr">
        <is>
          <t>បញ្ជីការិយាល័យប្រៃសណីយ៍</t>
        </is>
      </c>
      <c r="H883" t="inlineStr">
        <is>
          <t>បញ្ជីការិយាល័យប្រៃសណីយ៍</t>
        </is>
      </c>
      <c r="I883" s="74" t="inlineStr">
        <is>
          <t>Danh sách bưu cục</t>
        </is>
      </c>
      <c r="J883" s="217" t="inlineStr">
        <is>
          <t>"modifyBranch.listDepartment": "Danh sách bưu cục",</t>
        </is>
      </c>
    </row>
    <row r="884" ht="15.75" customHeight="1" s="305">
      <c r="A884" s="67" t="inlineStr">
        <is>
          <t>departmentManager.listdepartment</t>
        </is>
      </c>
      <c r="B884" s="67" t="inlineStr">
        <is>
          <t>Danh sách bưu cục</t>
        </is>
      </c>
      <c r="C884" s="67" t="inlineStr">
        <is>
          <t>Post office list</t>
        </is>
      </c>
      <c r="D884" s="3">
        <f>IFERROR(__xludf.DUMMYFUNCTION("GOOGLETRANSLATE(B884,""vi"",""km"")"),"បញ្ជីការិយាល័យប្រៃសណីយ៍")</f>
        <v/>
      </c>
      <c r="E884" s="3" t="inlineStr">
        <is>
          <t>បញ្ជីការិយាល័យប្រៃសណីយ៍</t>
        </is>
      </c>
      <c r="F884" s="217" t="inlineStr">
        <is>
          <t>v</t>
        </is>
      </c>
      <c r="G884" s="217" t="inlineStr">
        <is>
          <t>បញ្ជីការិយាល័យប្រៃសណីយ៍</t>
        </is>
      </c>
      <c r="H884" t="inlineStr">
        <is>
          <t>បញ្ជីការិយាល័យប្រៃសណីយ៍</t>
        </is>
      </c>
      <c r="I884" s="74" t="inlineStr">
        <is>
          <t>បញ្ជីការិយាល័យប្រៃសណីយ៍</t>
        </is>
      </c>
      <c r="J884" s="217" t="inlineStr">
        <is>
          <t>"departmentManager.listdepartment": "Post office list",</t>
        </is>
      </c>
    </row>
    <row r="885" ht="15.75" customHeight="1" s="305">
      <c r="A885" s="67" t="inlineStr">
        <is>
          <t>departmentManager.createDepartment</t>
        </is>
      </c>
      <c r="B885" s="67" t="inlineStr">
        <is>
          <t>Thêm mới bưu cục</t>
        </is>
      </c>
      <c r="C885" s="67" t="inlineStr">
        <is>
          <t>Create post office</t>
        </is>
      </c>
      <c r="D885" s="3">
        <f>IFERROR(__xludf.DUMMYFUNCTION("GOOGLETRANSLATE(B885,""vi"",""km"")"),"បន្ថែមការិយាល័យប្រៃសណីយ៍ថ្មី។")</f>
        <v/>
      </c>
      <c r="E885" s="3" t="inlineStr">
        <is>
          <t>ការិយាល័យប្រៃសណីយ៍បន្ថែមថ្មី</t>
        </is>
      </c>
      <c r="F885" s="217" t="inlineStr">
        <is>
          <t>v</t>
        </is>
      </c>
      <c r="G885" s="217" t="inlineStr">
        <is>
          <t>ការិយាល័យប្រៃសណីយ៍បន្ថែមថ្មី</t>
        </is>
      </c>
      <c r="H885" t="inlineStr">
        <is>
          <t>ការិយាល័យប្រៃសណីយ៍បន្ថែមថ្មី</t>
        </is>
      </c>
      <c r="I885" s="74" t="inlineStr">
        <is>
          <t>បន្ថែមការិយាល័យប្រៃសណីយ៍ថ្មី។</t>
        </is>
      </c>
      <c r="J885" s="217" t="inlineStr">
        <is>
          <t>"departmentManager.createDepartment": "Create post office",</t>
        </is>
      </c>
    </row>
    <row r="886" ht="15.75" customHeight="1" s="305">
      <c r="A886" s="67" t="inlineStr">
        <is>
          <t>departmentManager.detailDepartment</t>
        </is>
      </c>
      <c r="B886" s="67" t="inlineStr">
        <is>
          <t>Thông tin bưu cục</t>
        </is>
      </c>
      <c r="C886" s="67" t="inlineStr">
        <is>
          <t>Post office information</t>
        </is>
      </c>
      <c r="D886" s="3">
        <f>IFERROR(__xludf.DUMMYFUNCTION("GOOGLETRANSLATE(B886,""vi"",""km"")"),"ព័ត៌មាន​ការិយាល័យ​ប្រៃសណីយ៍")</f>
        <v/>
      </c>
      <c r="E886" s="3" t="inlineStr">
        <is>
          <t>ព័ត៌មានការិយាល័យប្រៃសណីយ៍</t>
        </is>
      </c>
      <c r="F886" s="217" t="inlineStr">
        <is>
          <t>v</t>
        </is>
      </c>
      <c r="G886" s="217" t="inlineStr">
        <is>
          <t>ព័ត៌មានការិយាល័យប្រៃសណីយ៍</t>
        </is>
      </c>
      <c r="H886" t="inlineStr">
        <is>
          <t>ព័ត៌មានការិយាល័យប្រៃសណីយ៍</t>
        </is>
      </c>
      <c r="I886" s="74" t="inlineStr">
        <is>
          <t>ព័ត៌មានពីការិយាល័យប្រៃសណីយ៍</t>
        </is>
      </c>
      <c r="J886" s="217" t="inlineStr">
        <is>
          <t>"departmentManager.detailDepartment": "Post office information",</t>
        </is>
      </c>
    </row>
    <row r="887" ht="15.75" customHeight="1" s="305">
      <c r="A887" s="67" t="inlineStr">
        <is>
          <t>departmentManager.searchPlaceholder</t>
        </is>
      </c>
      <c r="B887" s="67" t="inlineStr">
        <is>
          <t>Nhập mã hoặc tên bưu cục để tìm kiếm</t>
        </is>
      </c>
      <c r="C887" s="67" t="inlineStr">
        <is>
          <t>Enter post office code or name to search</t>
        </is>
      </c>
      <c r="D887" s="3">
        <f>IFERROR(__xludf.DUMMYFUNCTION("GOOGLETRANSLATE(B887,""vi"",""km"")"),"បញ្ចូលលេខកូដប្រៃសណីយ៍ ឬឈ្មោះដើម្បីស្វែងរក។")</f>
        <v/>
      </c>
      <c r="E887" s="3" t="inlineStr">
        <is>
          <t>បញ្ចូលលេខកូដឬឈ្មោះការិយាល័យដើម្បីស្វែងរក</t>
        </is>
      </c>
      <c r="F887" s="217" t="inlineStr">
        <is>
          <t>v</t>
        </is>
      </c>
      <c r="G887" s="217" t="inlineStr">
        <is>
          <t>បញ្ចូលលេខកូដឬឈ្មោះការិយាល័យដើម្បីស្វែងរក</t>
        </is>
      </c>
      <c r="H887" t="inlineStr">
        <is>
          <t>បញ្ចូលលេខកូដឬឈ្មោះការិយាល័យដើម្បីស្វែងរក</t>
        </is>
      </c>
      <c r="I887" s="74" t="inlineStr">
        <is>
          <t>បញ្ចូលលេខកូដការិយាល័យប្រៃសណីយ៍ឬឈ្មោះដើម្បីស្វែងរក</t>
        </is>
      </c>
      <c r="J887" s="217" t="inlineStr">
        <is>
          <t>"departmentManager.searchPlaceholder": "Enter post office code or name to search",</t>
        </is>
      </c>
    </row>
    <row r="888" ht="15.75" customHeight="1" s="305">
      <c r="A888" s="67" t="inlineStr">
        <is>
          <t>departmentManager.departmentCode</t>
        </is>
      </c>
      <c r="B888" s="67" t="inlineStr">
        <is>
          <t>Mã bưu cục</t>
        </is>
      </c>
      <c r="C888" s="67" t="inlineStr">
        <is>
          <t>Post code</t>
        </is>
      </c>
      <c r="D888" s="3">
        <f>IFERROR(__xludf.DUMMYFUNCTION("GOOGLETRANSLATE(B888,""vi"",""km"")"),"លេខកូដប្រៃសណីយ៍")</f>
        <v/>
      </c>
      <c r="E888" s="3" t="inlineStr">
        <is>
          <t>លេខកូដការិយាល័យប្រៃសណីយ៍</t>
        </is>
      </c>
      <c r="F888" s="217" t="inlineStr">
        <is>
          <t>v</t>
        </is>
      </c>
      <c r="G888" s="217" t="inlineStr">
        <is>
          <t>លេខកូដការិយាល័យប្រៃសណីយ៍</t>
        </is>
      </c>
      <c r="H888" t="inlineStr">
        <is>
          <t>លេខកូដការិយាល័យប្រៃសណីយ៍</t>
        </is>
      </c>
      <c r="I888" s="74" t="inlineStr">
        <is>
          <t>លេខកូដប្រៃសណីយ៍</t>
        </is>
      </c>
      <c r="J888" s="217" t="inlineStr">
        <is>
          <t>"departmentManager.departmentCode": "Post code",</t>
        </is>
      </c>
    </row>
    <row r="889" ht="15.75" customHeight="1" s="305">
      <c r="A889" s="67" t="inlineStr">
        <is>
          <t>departmentManager.departmentName</t>
        </is>
      </c>
      <c r="B889" s="67" t="inlineStr">
        <is>
          <t>Tên bưu cục</t>
        </is>
      </c>
      <c r="C889" s="67" t="inlineStr">
        <is>
          <t>Post office name</t>
        </is>
      </c>
      <c r="D889" s="3">
        <f>IFERROR(__xludf.DUMMYFUNCTION("GOOGLETRANSLATE(B889,""vi"",""km"")"),"ឈ្មោះ​ការិយាល័យ​ប្រៃសណីយ៍")</f>
        <v/>
      </c>
      <c r="E889" s="3" t="inlineStr">
        <is>
          <t>ឈ្មោះការិយាល័យប្រៃសណីយ៍</t>
        </is>
      </c>
      <c r="F889" s="217" t="inlineStr">
        <is>
          <t>v</t>
        </is>
      </c>
      <c r="G889" s="217" t="inlineStr">
        <is>
          <t>ឈ្មោះការិយាល័យប្រៃសណីយ៍</t>
        </is>
      </c>
      <c r="H889" t="inlineStr">
        <is>
          <t>ឈ្មោះការិយាល័យប្រៃសណីយ៍</t>
        </is>
      </c>
      <c r="I889" s="74" t="inlineStr">
        <is>
          <t>ឈ្មោះការិយាល័យប្រៃសណីយ៍</t>
        </is>
      </c>
      <c r="J889" s="217" t="inlineStr">
        <is>
          <t>"departmentManager.departmentName": "Post office name",</t>
        </is>
      </c>
    </row>
    <row r="890" ht="15.75" customHeight="1" s="305">
      <c r="A890" s="67" t="inlineStr">
        <is>
          <t>departmentManager.branch</t>
        </is>
      </c>
      <c r="B890" s="67" t="inlineStr">
        <is>
          <t>Chi nhánh</t>
        </is>
      </c>
      <c r="C890" s="67" t="inlineStr">
        <is>
          <t>Branch</t>
        </is>
      </c>
      <c r="D890" s="3">
        <f>IFERROR(__xludf.DUMMYFUNCTION("GOOGLETRANSLATE(B890,""vi"",""km"")"),"សាខា")</f>
        <v/>
      </c>
      <c r="E890" s="3" t="inlineStr">
        <is>
          <t>សាខា</t>
        </is>
      </c>
      <c r="F890" s="217" t="inlineStr">
        <is>
          <t>v</t>
        </is>
      </c>
      <c r="G890" s="217" t="inlineStr">
        <is>
          <t>សាខា</t>
        </is>
      </c>
      <c r="H890" t="inlineStr">
        <is>
          <t>សាខា</t>
        </is>
      </c>
      <c r="I890" s="74" t="inlineStr">
        <is>
          <t>សាខា</t>
        </is>
      </c>
      <c r="J890" s="217" t="inlineStr">
        <is>
          <t>"departmentManager.branch": "Branch",</t>
        </is>
      </c>
    </row>
    <row r="891" ht="15.75" customHeight="1" s="305">
      <c r="A891" s="67" t="inlineStr">
        <is>
          <t>departmentManager.level</t>
        </is>
      </c>
      <c r="B891" s="67" t="inlineStr">
        <is>
          <t>Cấp bưu cục</t>
        </is>
      </c>
      <c r="C891" s="67" t="inlineStr">
        <is>
          <t>Post office level</t>
        </is>
      </c>
      <c r="D891" s="3">
        <f>IFERROR(__xludf.DUMMYFUNCTION("GOOGLETRANSLATE(B891,""vi"",""km"")"),"កម្រិតការិយាល័យប្រៃសណីយ៍")</f>
        <v/>
      </c>
      <c r="E891" s="3" t="inlineStr">
        <is>
          <t>ថ្នាក់ការិយាល័យប្រៃសណីយ៍</t>
        </is>
      </c>
      <c r="F891" s="217" t="inlineStr">
        <is>
          <t>x</t>
        </is>
      </c>
      <c r="G891" s="217" t="inlineStr">
        <is>
          <t>ថ្នាក់ការិយាល័យប្រៃសណីយ៍</t>
        </is>
      </c>
      <c r="H891" t="inlineStr">
        <is>
          <t>ថ្នាក់ការិយាល័យប្រៃសណីយ៍</t>
        </is>
      </c>
      <c r="I891" s="74" t="inlineStr">
        <is>
          <t>កម្រិតការិយាល័យប្រៃសណីយ៍</t>
        </is>
      </c>
      <c r="J891" s="217" t="inlineStr">
        <is>
          <t>"departmentManager.level": "Post office level",</t>
        </is>
      </c>
    </row>
    <row r="892" ht="15.75" customHeight="1" s="305">
      <c r="A892" s="67" t="inlineStr">
        <is>
          <t>departmentManager.status</t>
        </is>
      </c>
      <c r="B892" s="67" t="inlineStr">
        <is>
          <t>Trạng thái</t>
        </is>
      </c>
      <c r="C892" s="67" t="inlineStr">
        <is>
          <t>Status</t>
        </is>
      </c>
      <c r="D892" s="3">
        <f>IFERROR(__xludf.DUMMYFUNCTION("GOOGLETRANSLATE(B892,""vi"",""km"")"),"ស្ថានភាព")</f>
        <v/>
      </c>
      <c r="E892" s="3" t="inlineStr">
        <is>
          <t>ស្ថានភាព</t>
        </is>
      </c>
      <c r="F892" s="217" t="inlineStr">
        <is>
          <t>v</t>
        </is>
      </c>
      <c r="G892" s="217" t="inlineStr">
        <is>
          <t>ស្ថានភាព</t>
        </is>
      </c>
      <c r="H892" t="inlineStr">
        <is>
          <t>ស្ថានភាព</t>
        </is>
      </c>
      <c r="I892" s="74" t="inlineStr">
        <is>
          <t>ស្ថានភាព</t>
        </is>
      </c>
      <c r="J892" s="217" t="inlineStr">
        <is>
          <t>"departmentManager.status": "Status",</t>
        </is>
      </c>
    </row>
    <row r="893" ht="15.75" customHeight="1" s="305">
      <c r="A893" s="67" t="inlineStr">
        <is>
          <t>departmentManager.updateAt</t>
        </is>
      </c>
      <c r="B893" s="67" t="inlineStr">
        <is>
          <t>Ngày cập nhật</t>
        </is>
      </c>
      <c r="C893" s="67" t="inlineStr">
        <is>
          <t>Updated date</t>
        </is>
      </c>
      <c r="D893" s="3">
        <f>IFERROR(__xludf.DUMMYFUNCTION("GOOGLETRANSLATE(B893,""vi"",""km"")"),"កាលបរិច្ឆេទ​ដែលបានធ្វើបច្ចុប្បន្នភាព")</f>
        <v/>
      </c>
      <c r="E893" s="3" t="inlineStr">
        <is>
          <t>ថ្ងៃអាប់ដេត</t>
        </is>
      </c>
      <c r="F893" s="217" t="inlineStr">
        <is>
          <t>v</t>
        </is>
      </c>
      <c r="G893" s="217" t="inlineStr">
        <is>
          <t>ថ្ងៃអាប់ដេត</t>
        </is>
      </c>
      <c r="H893" t="inlineStr">
        <is>
          <t>ថ្ងៃអាប់ដេត</t>
        </is>
      </c>
      <c r="I893" s="74" t="inlineStr">
        <is>
          <t>ធ្វើបច្ចុប្បន្នភាពកាលបរិច្ឆេទ</t>
        </is>
      </c>
      <c r="J893" s="217" t="inlineStr">
        <is>
          <t>"departmentManager.updateAt": "Updated date",</t>
        </is>
      </c>
    </row>
    <row r="894" ht="15.75" customHeight="1" s="305">
      <c r="A894" s="67" t="inlineStr">
        <is>
          <t>departmentManager.updateBy</t>
        </is>
      </c>
      <c r="B894" s="67" t="inlineStr">
        <is>
          <t>Người cập nhật</t>
        </is>
      </c>
      <c r="C894" s="67" t="inlineStr">
        <is>
          <t>Updater</t>
        </is>
      </c>
      <c r="D894" s="3">
        <f>IFERROR(__xludf.DUMMYFUNCTION("GOOGLETRANSLATE(B894,""vi"",""km"")"),"កម្មវិធីធ្វើបច្ចុប្បន្នភាព")</f>
        <v/>
      </c>
      <c r="E894" s="3" t="inlineStr">
        <is>
          <t>អ្នកអាប់ដេត</t>
        </is>
      </c>
      <c r="F894" s="217" t="inlineStr">
        <is>
          <t>v</t>
        </is>
      </c>
      <c r="G894" s="217" t="inlineStr">
        <is>
          <t>អ្នកអាប់ដេត</t>
        </is>
      </c>
      <c r="H894" t="inlineStr">
        <is>
          <t>អ្នកអាប់ដេត</t>
        </is>
      </c>
      <c r="I894" s="74" t="inlineStr">
        <is>
          <t>អ្នកធ្វើបច្ចុប្បន្នភាព</t>
        </is>
      </c>
      <c r="J894" s="217" t="inlineStr">
        <is>
          <t>"departmentManager.updateBy": "Updater",</t>
        </is>
      </c>
    </row>
    <row r="895" ht="15.75" customHeight="1" s="305">
      <c r="A895" s="67" t="inlineStr">
        <is>
          <t>lockDepartment.title</t>
        </is>
      </c>
      <c r="B895" s="67" t="inlineStr">
        <is>
          <t>Thông báo</t>
        </is>
      </c>
      <c r="C895" s="67" t="inlineStr">
        <is>
          <t>Notification</t>
        </is>
      </c>
      <c r="D895" s="3">
        <f>IFERROR(__xludf.DUMMYFUNCTION("GOOGLETRANSLATE(B895,""vi"",""km"")"),"ការជូនដំណឹង")</f>
        <v/>
      </c>
      <c r="E895" s="3" t="inlineStr">
        <is>
          <t>ការជូនដំណឹង</t>
        </is>
      </c>
      <c r="F895" s="217" t="inlineStr">
        <is>
          <t>v</t>
        </is>
      </c>
      <c r="G895" s="217" t="inlineStr">
        <is>
          <t>ការជូនដំណឹង</t>
        </is>
      </c>
      <c r="H895" t="inlineStr">
        <is>
          <t>ការជូនដំណឹង</t>
        </is>
      </c>
      <c r="I895" s="74" t="inlineStr">
        <is>
          <t>សេចក្តីជូនដំណឹង</t>
        </is>
      </c>
      <c r="J895" s="217" t="inlineStr">
        <is>
          <t>"lockDepartment.title": "Notification",</t>
        </is>
      </c>
    </row>
    <row r="896" ht="15.75" customHeight="1" s="305">
      <c r="A896" s="67" t="inlineStr">
        <is>
          <t>lockDepartment.success</t>
        </is>
      </c>
      <c r="B896" s="67" t="inlineStr">
        <is>
          <t>Đổi trạng thái thành công</t>
        </is>
      </c>
      <c r="C896" s="67" t="inlineStr">
        <is>
          <t>Change status successfully</t>
        </is>
      </c>
      <c r="D896" s="3">
        <f>IFERROR(__xludf.DUMMYFUNCTION("GOOGLETRANSLATE(B896,""vi"",""km"")"),"ការផ្លាស់ប្តូរស្ថានភាពបានជោគជ័យ")</f>
        <v/>
      </c>
      <c r="E896" s="3" t="inlineStr">
        <is>
          <t>ផ្លាស់ប្តូរស្ថានភាពបានជោគជ័យ</t>
        </is>
      </c>
      <c r="F896" s="217" t="inlineStr">
        <is>
          <t>x</t>
        </is>
      </c>
      <c r="G896" s="217" t="inlineStr">
        <is>
          <t>ផ្លាស់ប្តូរស្ថានភាពបានជោគជ័យ</t>
        </is>
      </c>
      <c r="H896" t="inlineStr">
        <is>
          <t>ផ្លាស់ប្តូរស្ថានភាពបានជោគជ័យ</t>
        </is>
      </c>
      <c r="I896" s="74" t="inlineStr">
        <is>
          <t>ស្ថានភាពបានផ្លាស់ប្តូរដោយជោគជ័យ</t>
        </is>
      </c>
      <c r="J896" s="217" t="inlineStr">
        <is>
          <t>"lockDepartment.success": "Change status successfully",</t>
        </is>
      </c>
    </row>
    <row r="897" ht="15.75" customHeight="1" s="305">
      <c r="A897" s="67" t="inlineStr">
        <is>
          <t>lockDepartment.textConfirm1</t>
        </is>
      </c>
      <c r="B897" s="67" t="inlineStr">
        <is>
          <t>Quý khách có chắc chắn muốn</t>
        </is>
      </c>
      <c r="C897" s="67" t="inlineStr">
        <is>
          <t>Are you sure you want to</t>
        </is>
      </c>
      <c r="D897" s="3">
        <f>IFERROR(__xludf.DUMMYFUNCTION("GOOGLETRANSLATE(B897,""vi"",""km"")"),"តើអ្នកប្រាកដថាអ្នកចង់បានរបស់នេះទេ?")</f>
        <v/>
      </c>
      <c r="E897" s="3" t="inlineStr">
        <is>
          <t>អតិថិជនប្រាកដថាចង់</t>
        </is>
      </c>
      <c r="F897" s="217" t="inlineStr">
        <is>
          <t>v</t>
        </is>
      </c>
      <c r="G897" s="217" t="inlineStr">
        <is>
          <t>អតិថិជនប្រាកដថាចង់</t>
        </is>
      </c>
      <c r="H897" t="inlineStr">
        <is>
          <t>អតិថិជនប្រាកដថាចង់</t>
        </is>
      </c>
      <c r="I897" s="74" t="inlineStr">
        <is>
          <t xml:space="preserve">តើអ្នកប្រាកដថាចង់ </t>
        </is>
      </c>
      <c r="J897" s="217" t="inlineStr">
        <is>
          <t>"lockDepartment.textConfirm1": "Are you sure you want to",</t>
        </is>
      </c>
    </row>
    <row r="898" ht="15.75" customHeight="1" s="305">
      <c r="A898" s="67" t="inlineStr">
        <is>
          <t>lockDepartment.textConfirm2</t>
        </is>
      </c>
      <c r="B898" s="67" t="inlineStr">
        <is>
          <t>bưu cục {{departmentCode}} này?</t>
        </is>
      </c>
      <c r="C898" s="67" t="inlineStr">
        <is>
          <t>this post office {{departmentCode}}?</t>
        </is>
      </c>
      <c r="D898" s="3">
        <f>IFERROR(__xludf.DUMMYFUNCTION("GOOGLETRANSLATE(B898,""vi"",""km"")"),"ការិយាល័យប្រៃសណីយ៍នេះ {{departmentCode}}?")</f>
        <v/>
      </c>
      <c r="E898" s="67" t="inlineStr">
        <is>
          <t>ការិយាល័យប្រៃសណីយ៍ {{departmentCode}} នេះ?</t>
        </is>
      </c>
      <c r="F898" s="217" t="inlineStr">
        <is>
          <t>x</t>
        </is>
      </c>
      <c r="G898" s="217" t="inlineStr">
        <is>
          <t>ការិយាល័យប្រៃសណីយ៍ {{departmentCode}} នេះ?</t>
        </is>
      </c>
      <c r="H898" t="inlineStr">
        <is>
          <t>ការិយាល័យប្រៃសណីយ៍ {{departmentCode}} នេះ?</t>
        </is>
      </c>
      <c r="I898" s="74" t="inlineStr">
        <is>
          <t>ការិយាល័យប្រៃសណីយ៍នេះ {{departmentCode}}?</t>
        </is>
      </c>
      <c r="J898" s="217" t="inlineStr">
        <is>
          <t>"lockDepartment.textConfirm2": "this post office {{departmentCode}}?",</t>
        </is>
      </c>
    </row>
    <row r="899" ht="15.75" customHeight="1" s="305">
      <c r="A899" s="67" t="inlineStr">
        <is>
          <t>lockDepartment.active</t>
        </is>
      </c>
      <c r="B899" s="67" t="inlineStr">
        <is>
          <t>Mở hoạt động</t>
        </is>
      </c>
      <c r="C899" s="67" t="inlineStr">
        <is>
          <t>Active</t>
        </is>
      </c>
      <c r="D899" s="3">
        <f>IFERROR(__xludf.DUMMYFUNCTION("GOOGLETRANSLATE(B899,""vi"",""km"")"),"ប្រតិបត្តិការបើកចំហ")</f>
        <v/>
      </c>
      <c r="E899" s="3" t="inlineStr">
        <is>
          <t>បើកដំណើរការ</t>
        </is>
      </c>
      <c r="F899" s="217" t="inlineStr">
        <is>
          <t>v</t>
        </is>
      </c>
      <c r="G899" s="217" t="inlineStr">
        <is>
          <t>បើកដំណើរការ</t>
        </is>
      </c>
      <c r="H899" t="inlineStr">
        <is>
          <t>បើកដំណើរការ</t>
        </is>
      </c>
      <c r="I899" s="74" t="inlineStr">
        <is>
          <t>សកម្មភាពបើក</t>
        </is>
      </c>
      <c r="J899" s="217" t="inlineStr">
        <is>
          <t>"lockDepartment.active": "Active",</t>
        </is>
      </c>
    </row>
    <row r="900" ht="15.75" customHeight="1" s="305">
      <c r="A900" s="67" t="inlineStr">
        <is>
          <t>lockDepartment.inActive</t>
        </is>
      </c>
      <c r="B900" s="67" t="inlineStr">
        <is>
          <t>Ngưng hoạt động</t>
        </is>
      </c>
      <c r="C900" s="67" t="inlineStr">
        <is>
          <t>Inactive</t>
        </is>
      </c>
      <c r="D900" s="3">
        <f>IFERROR(__xludf.DUMMYFUNCTION("GOOGLETRANSLATE(B900,""vi"",""km"")"),"បិទ")</f>
        <v/>
      </c>
      <c r="E900" s="3" t="inlineStr">
        <is>
          <t>ផ្អាកដំណើរការ</t>
        </is>
      </c>
      <c r="F900" s="217" t="inlineStr">
        <is>
          <t>x</t>
        </is>
      </c>
      <c r="G900" s="217" t="inlineStr">
        <is>
          <t>ផ្អាកដំណើរការ</t>
        </is>
      </c>
      <c r="H900" t="inlineStr">
        <is>
          <t>ផ្អាកដំណើរការ</t>
        </is>
      </c>
      <c r="I900" s="74" t="inlineStr">
        <is>
          <t>បិទសកម្មភាព</t>
        </is>
      </c>
      <c r="J900" s="217" t="inlineStr">
        <is>
          <t>"lockDepartment.inActive": "Inactive",</t>
        </is>
      </c>
    </row>
    <row r="901" ht="15.75" customHeight="1" s="305">
      <c r="A901" s="67" t="inlineStr">
        <is>
          <t>modifyDepartment.departmentCodePlaceholder</t>
        </is>
      </c>
      <c r="B901" s="67" t="inlineStr">
        <is>
          <t>Nhập mã bưu cục</t>
        </is>
      </c>
      <c r="C901" s="67" t="inlineStr">
        <is>
          <t>Enter postal code</t>
        </is>
      </c>
      <c r="D901" s="3">
        <f>IFERROR(__xludf.DUMMYFUNCTION("GOOGLETRANSLATE(B901,""vi"",""km"")"),"បញ្ចូលលេខកូដប្រៃសណីយ៍")</f>
        <v/>
      </c>
      <c r="E901" s="3" t="inlineStr">
        <is>
          <t>បញ្ចូលកូដការិយាល័យប្រៃសណីយ៍</t>
        </is>
      </c>
      <c r="F901" s="217" t="inlineStr">
        <is>
          <t>v</t>
        </is>
      </c>
      <c r="G901" s="217" t="inlineStr">
        <is>
          <t>បញ្ចូលកូដការិយាល័យប្រៃសណីយ៍</t>
        </is>
      </c>
      <c r="H901" t="inlineStr">
        <is>
          <t>បញ្ចូលកូដការិយាល័យប្រៃសណីយ៍</t>
        </is>
      </c>
      <c r="I901" s="74" t="inlineStr">
        <is>
          <t>បញ្ចូលលេខកូដប្រៃសណីយ៍</t>
        </is>
      </c>
      <c r="J901" s="217" t="inlineStr">
        <is>
          <t>"modifyDepartment.departmentCodePlaceholder": "Enter postal code",</t>
        </is>
      </c>
    </row>
    <row r="902" ht="15.75" customHeight="1" s="305">
      <c r="A902" s="67" t="inlineStr">
        <is>
          <t>modifyDepartment.departmentNamePlaceholder</t>
        </is>
      </c>
      <c r="B902" s="67" t="inlineStr">
        <is>
          <t>Nhập tên bưu cục</t>
        </is>
      </c>
      <c r="C902" s="67" t="inlineStr">
        <is>
          <t>Enter post office name</t>
        </is>
      </c>
      <c r="D902" s="3">
        <f>IFERROR(__xludf.DUMMYFUNCTION("GOOGLETRANSLATE(B902,""vi"",""km"")"),"បញ្ចូលឈ្មោះការិយាល័យប្រៃសណីយ៍")</f>
        <v/>
      </c>
      <c r="E902" s="3" t="inlineStr">
        <is>
          <t>បញ្ចូលឈ្មោះការិយាល័យប្រៃសណីយ៍</t>
        </is>
      </c>
      <c r="F902" s="217" t="inlineStr">
        <is>
          <t>v</t>
        </is>
      </c>
      <c r="G902" s="217" t="inlineStr">
        <is>
          <t>បញ្ចូលឈ្មោះការិយាល័យប្រៃសណីយ៍</t>
        </is>
      </c>
      <c r="H902" t="inlineStr">
        <is>
          <t>បញ្ចូលឈ្មោះការិយាល័យប្រៃសណីយ៍</t>
        </is>
      </c>
      <c r="I902" s="74" t="inlineStr">
        <is>
          <t>បញ្ចូលឈ្មោះការិយាល័យប្រៃសណីយ៍</t>
        </is>
      </c>
      <c r="J902" s="217" t="inlineStr">
        <is>
          <t>"modifyDepartment.departmentNamePlaceholder": "Enter post office name",</t>
        </is>
      </c>
    </row>
    <row r="903" ht="15.75" customHeight="1" s="305">
      <c r="A903" s="67" t="inlineStr">
        <is>
          <t>modifyDepartment.departmentPhonePlaceholder</t>
        </is>
      </c>
      <c r="B903" s="67" t="inlineStr">
        <is>
          <t>Nhập SĐT</t>
        </is>
      </c>
      <c r="C903" s="67" t="inlineStr">
        <is>
          <t>Enter phone number</t>
        </is>
      </c>
      <c r="D903" s="3">
        <f>IFERROR(__xludf.DUMMYFUNCTION("GOOGLETRANSLATE(B903,""vi"",""km"")"),"បញ្ចូលលេខទូរស័ព្ទ")</f>
        <v/>
      </c>
      <c r="E903" s="3" t="inlineStr">
        <is>
          <t>បញ្ចូលលេខទូរស័ព្ទ</t>
        </is>
      </c>
      <c r="F903" s="217" t="inlineStr">
        <is>
          <t>v</t>
        </is>
      </c>
      <c r="G903" s="217" t="inlineStr">
        <is>
          <t>បញ្ចូលលេខទូរស័ព្ទ</t>
        </is>
      </c>
      <c r="H903" t="inlineStr">
        <is>
          <t>បញ្ចូលលេខទូរស័ព្ទ</t>
        </is>
      </c>
      <c r="I903" s="74" t="inlineStr">
        <is>
          <t>បញ្ចូលលេខទូរស័ព្ទ</t>
        </is>
      </c>
      <c r="J903" s="217" t="inlineStr">
        <is>
          <t>"modifyDepartment.departmentPhonePlaceholder": "Enter phone number",</t>
        </is>
      </c>
    </row>
    <row r="904" ht="15.75" customHeight="1" s="305">
      <c r="A904" s="67" t="inlineStr">
        <is>
          <t>modifyDepartment.departmentPhone</t>
        </is>
      </c>
      <c r="B904" s="67" t="inlineStr">
        <is>
          <t>SĐT bưu cục</t>
        </is>
      </c>
      <c r="C904" s="67" t="inlineStr">
        <is>
          <t>Post office phone number</t>
        </is>
      </c>
      <c r="D904" s="3">
        <f>IFERROR(__xludf.DUMMYFUNCTION("GOOGLETRANSLATE(B904,""vi"",""km"")"),"លេខទូរស័ព្ទប្រៃសណីយ៍")</f>
        <v/>
      </c>
      <c r="E904" s="3" t="inlineStr">
        <is>
          <t>លេខទូរស័ព្ទការិយាល័យប្រៃសណីយ៍</t>
        </is>
      </c>
      <c r="F904" s="217" t="inlineStr">
        <is>
          <t>v</t>
        </is>
      </c>
      <c r="G904" s="217" t="inlineStr">
        <is>
          <t>លេខទូរស័ព្ទការិយាល័យប្រៃសណីយ៍</t>
        </is>
      </c>
      <c r="H904" t="inlineStr">
        <is>
          <t>លេខទូរស័ព្ទការិយាល័យប្រៃសណីយ៍</t>
        </is>
      </c>
      <c r="I904" s="74" t="inlineStr">
        <is>
          <t>លេខទូរស័ព្ទការិយាល័យប្រៃសណីយ៍</t>
        </is>
      </c>
      <c r="J904" s="217" t="inlineStr">
        <is>
          <t>"modifyDepartment.departmentPhone": "Post office phone number",</t>
        </is>
      </c>
    </row>
    <row r="905" ht="15.75" customHeight="1" s="305">
      <c r="A905" s="67" t="inlineStr">
        <is>
          <t>modifyDepartment.address</t>
        </is>
      </c>
      <c r="B905" s="67" t="inlineStr">
        <is>
          <t>Địa chỉ</t>
        </is>
      </c>
      <c r="C905" s="67" t="inlineStr">
        <is>
          <t>Address</t>
        </is>
      </c>
      <c r="D905" s="3">
        <f>IFERROR(__xludf.DUMMYFUNCTION("GOOGLETRANSLATE(B905,""vi"",""km"")"),"អាសយដ្ឋាន")</f>
        <v/>
      </c>
      <c r="E905" s="3" t="inlineStr">
        <is>
          <t>អាស័យដ្ឋាន</t>
        </is>
      </c>
      <c r="F905" s="217" t="inlineStr">
        <is>
          <t>v</t>
        </is>
      </c>
      <c r="G905" s="217" t="inlineStr">
        <is>
          <t>អាសយដ្ឋាន</t>
        </is>
      </c>
      <c r="H905" t="inlineStr">
        <is>
          <t>អាសយដ្ឋាន</t>
        </is>
      </c>
      <c r="I905" s="74" t="inlineStr">
        <is>
          <t>អាស័យដ្ឋាន</t>
        </is>
      </c>
      <c r="J905" s="217" t="inlineStr">
        <is>
          <t>"modifyDepartment.address": "Address",</t>
        </is>
      </c>
    </row>
    <row r="906" ht="15.75" customHeight="1" s="305">
      <c r="A906" s="67" t="inlineStr">
        <is>
          <t>modifyDepartment.nation</t>
        </is>
      </c>
      <c r="B906" s="67" t="inlineStr">
        <is>
          <t>Quốc gia</t>
        </is>
      </c>
      <c r="C906" s="67" t="inlineStr">
        <is>
          <t>Country</t>
        </is>
      </c>
      <c r="D906" s="3">
        <f>IFERROR(__xludf.DUMMYFUNCTION("GOOGLETRANSLATE(B906,""vi"",""km"")"),"ប្រជាជាតិ")</f>
        <v/>
      </c>
      <c r="E906" s="3" t="inlineStr">
        <is>
          <t>ប្រទេស</t>
        </is>
      </c>
      <c r="F906" s="217" t="inlineStr">
        <is>
          <t>v</t>
        </is>
      </c>
      <c r="G906" s="217" t="inlineStr">
        <is>
          <t>ប្រទេស</t>
        </is>
      </c>
      <c r="H906" t="inlineStr">
        <is>
          <t>ប្រទេស</t>
        </is>
      </c>
      <c r="I906" s="74" t="inlineStr">
        <is>
          <t>ប្រទេស</t>
        </is>
      </c>
      <c r="J906" s="217" t="inlineStr">
        <is>
          <t>"modifyDepartment.nation": "Country",</t>
        </is>
      </c>
    </row>
    <row r="907" ht="15.75" customHeight="1" s="305">
      <c r="A907" s="67" t="inlineStr">
        <is>
          <t>modifyDepartment.province</t>
        </is>
      </c>
      <c r="B907" s="67" t="inlineStr">
        <is>
          <t>Liên bang/Vùng</t>
        </is>
      </c>
      <c r="C907" s="67" t="inlineStr">
        <is>
          <t>Province</t>
        </is>
      </c>
      <c r="D907" s="3">
        <f>IFERROR(__xludf.DUMMYFUNCTION("GOOGLETRANSLATE(B907,""vi"",""km"")"),"សហព័ន្ធ/តំបន់")</f>
        <v/>
      </c>
      <c r="E907" s="3" t="inlineStr">
        <is>
          <t>សហព័ន្ធ/តំបន់</t>
        </is>
      </c>
      <c r="F907" s="217" t="inlineStr">
        <is>
          <t>x</t>
        </is>
      </c>
      <c r="G907" s="217" t="inlineStr">
        <is>
          <t>សហព័ន្ធ/តំបន់</t>
        </is>
      </c>
      <c r="H907" t="inlineStr">
        <is>
          <t>សហព័ន្ធ/តំបន់</t>
        </is>
      </c>
      <c r="I907" s="74" t="inlineStr">
        <is>
          <t>ខេត្ត</t>
        </is>
      </c>
      <c r="J907" s="217" t="inlineStr">
        <is>
          <t>"modifyDepartment.province": "Province",</t>
        </is>
      </c>
    </row>
    <row r="908" ht="15.75" customHeight="1" s="305">
      <c r="A908" s="67" t="inlineStr">
        <is>
          <t>modifyDepartment.district</t>
        </is>
      </c>
      <c r="B908" s="67" t="inlineStr">
        <is>
          <t>Huyện</t>
        </is>
      </c>
      <c r="C908" s="67" t="inlineStr">
        <is>
          <t>District</t>
        </is>
      </c>
      <c r="D908" s="3">
        <f>IFERROR(__xludf.DUMMYFUNCTION("GOOGLETRANSLATE(B908,""vi"",""km"")"),"ស្រុក")</f>
        <v/>
      </c>
      <c r="E908" s="3" t="inlineStr">
        <is>
          <t>ស្រុក</t>
        </is>
      </c>
      <c r="F908" s="217" t="inlineStr">
        <is>
          <t>v</t>
        </is>
      </c>
      <c r="G908" s="217" t="inlineStr">
        <is>
          <t>ស្រុក</t>
        </is>
      </c>
      <c r="H908" t="inlineStr">
        <is>
          <t>ស្រុក</t>
        </is>
      </c>
      <c r="I908" s="74" t="inlineStr">
        <is>
          <t>ស្រុក</t>
        </is>
      </c>
      <c r="J908" s="217" t="inlineStr">
        <is>
          <t>"modifyDepartment.district": "District",</t>
        </is>
      </c>
    </row>
    <row r="909" ht="15.75" customHeight="1" s="305">
      <c r="A909" s="67" t="inlineStr">
        <is>
          <t>modifyDepartment.ward</t>
        </is>
      </c>
      <c r="B909" s="67" t="inlineStr">
        <is>
          <t>Thị trấn</t>
        </is>
      </c>
      <c r="C909" s="67" t="inlineStr">
        <is>
          <t>Commune</t>
        </is>
      </c>
      <c r="D909" s="3">
        <f>IFERROR(__xludf.DUMMYFUNCTION("GOOGLETRANSLATE(B909,""vi"",""km"")"),"ទីក្រុង")</f>
        <v/>
      </c>
      <c r="E909" s="3" t="inlineStr">
        <is>
          <t>ទីរួមខេត្ត</t>
        </is>
      </c>
      <c r="F909" s="217" t="inlineStr">
        <is>
          <t>x</t>
        </is>
      </c>
      <c r="G909" s="217" t="inlineStr">
        <is>
          <t>ទីរួមខេត្ត</t>
        </is>
      </c>
      <c r="H909" t="inlineStr">
        <is>
          <t>ទីរួមខេត្ត</t>
        </is>
      </c>
      <c r="I909" s="74" t="inlineStr">
        <is>
          <t>ឃុំ</t>
        </is>
      </c>
      <c r="J909" s="217" t="inlineStr">
        <is>
          <t>"modifyDepartment.ward": "Commune",</t>
        </is>
      </c>
    </row>
    <row r="910" ht="15.75" customHeight="1" s="305">
      <c r="A910" s="67" t="inlineStr">
        <is>
          <t>modifyDepartment.provincePlaceholder</t>
        </is>
      </c>
      <c r="B910" s="67" t="inlineStr">
        <is>
          <t>Chọn liên bang/vùng</t>
        </is>
      </c>
      <c r="C910" s="67" t="inlineStr">
        <is>
          <t>Enter province</t>
        </is>
      </c>
      <c r="D910" s="3">
        <f>IFERROR(__xludf.DUMMYFUNCTION("GOOGLETRANSLATE(B910,""vi"",""km"")"),"ជ្រើសរើសសហព័ន្ធ/តំបន់")</f>
        <v/>
      </c>
      <c r="E910" s="3" t="inlineStr">
        <is>
          <t>ជ្រើសរើសសហព័ន្ធ/តំបន់</t>
        </is>
      </c>
      <c r="F910" s="217" t="inlineStr">
        <is>
          <t>x</t>
        </is>
      </c>
      <c r="G910" s="217" t="inlineStr">
        <is>
          <t>ជ្រើសរើសសហព័ន្ធ/តំបន់</t>
        </is>
      </c>
      <c r="H910" t="inlineStr">
        <is>
          <t>ជ្រើសរើសសហព័ន្ធ/តំបន់</t>
        </is>
      </c>
      <c r="I910" s="74" t="inlineStr">
        <is>
          <t>ចូលខេត្ត</t>
        </is>
      </c>
      <c r="J910" s="217" t="inlineStr">
        <is>
          <t>"modifyDepartment.provincePlaceholder": "Enter province",</t>
        </is>
      </c>
    </row>
    <row r="911" ht="15.75" customHeight="1" s="305">
      <c r="A911" s="67" t="inlineStr">
        <is>
          <t>modifyDepartment.districtPlaceholder</t>
        </is>
      </c>
      <c r="B911" s="67" t="inlineStr">
        <is>
          <t>Chọn huyện</t>
        </is>
      </c>
      <c r="C911" s="67" t="inlineStr">
        <is>
          <t>Enter district</t>
        </is>
      </c>
      <c r="D911" s="3">
        <f>IFERROR(__xludf.DUMMYFUNCTION("GOOGLETRANSLATE(B911,""vi"",""km"")"),"ជ្រើសរើសស្រុក")</f>
        <v/>
      </c>
      <c r="E911" s="3" t="inlineStr">
        <is>
          <t>ជ្រើសរើសស្រុក</t>
        </is>
      </c>
      <c r="F911" s="217" t="inlineStr">
        <is>
          <t>v</t>
        </is>
      </c>
      <c r="G911" s="217" t="inlineStr">
        <is>
          <t>ជ្រើសរើសស្រុក</t>
        </is>
      </c>
      <c r="H911" t="inlineStr">
        <is>
          <t>ជ្រើសរើសស្រុក</t>
        </is>
      </c>
      <c r="I911" s="74" t="inlineStr">
        <is>
          <t>ចូលស្រុក</t>
        </is>
      </c>
      <c r="J911" s="217" t="inlineStr">
        <is>
          <t>"modifyDepartment.districtPlaceholder": "Enter district",</t>
        </is>
      </c>
    </row>
    <row r="912" ht="15.75" customHeight="1" s="305">
      <c r="A912" s="67" t="inlineStr">
        <is>
          <t>modifyDepartment.wardPlaceholder</t>
        </is>
      </c>
      <c r="B912" s="67" t="inlineStr">
        <is>
          <t>Chọn thị trấn</t>
        </is>
      </c>
      <c r="C912" s="67" t="inlineStr">
        <is>
          <t>Enter commune</t>
        </is>
      </c>
      <c r="D912" s="3">
        <f>IFERROR(__xludf.DUMMYFUNCTION("GOOGLETRANSLATE(B912,""vi"",""km"")"),"ជ្រើសរើសទីក្រុងមួយ")</f>
        <v/>
      </c>
      <c r="E912" s="3" t="inlineStr">
        <is>
          <t>ជ្រើសរើសទីរួមខេត្ត</t>
        </is>
      </c>
      <c r="F912" s="217" t="inlineStr">
        <is>
          <t>x</t>
        </is>
      </c>
      <c r="G912" s="217" t="inlineStr">
        <is>
          <t>ជ្រើសរើសទីរួមខេត្ត</t>
        </is>
      </c>
      <c r="H912" t="inlineStr">
        <is>
          <t>ជ្រើសរើសទីរួមខេត្ត</t>
        </is>
      </c>
      <c r="I912" s="74" t="inlineStr">
        <is>
          <t>ចូលឃុំ</t>
        </is>
      </c>
      <c r="J912" s="217" t="inlineStr">
        <is>
          <t>"modifyDepartment.wardPlaceholder": "Enter commune",</t>
        </is>
      </c>
    </row>
    <row r="913" ht="15.75" customHeight="1" s="305">
      <c r="A913" s="67" t="inlineStr">
        <is>
          <t>modifyDepartment.addressPlaceholder</t>
        </is>
      </c>
      <c r="B913" s="67" t="inlineStr">
        <is>
          <t>Nhập địa chỉ bưu cục</t>
        </is>
      </c>
      <c r="C913" s="67" t="inlineStr">
        <is>
          <t>Enter post office address</t>
        </is>
      </c>
      <c r="D913" s="3">
        <f>IFERROR(__xludf.DUMMYFUNCTION("GOOGLETRANSLATE(B913,""vi"",""km"")"),"បញ្ចូលអាសយដ្ឋានការិយាល័យប្រៃសណីយ៍")</f>
        <v/>
      </c>
      <c r="E913" s="3" t="inlineStr">
        <is>
          <t>បញ្ចូលទីតាំងការិយាល័យប្រៃសណីយ៍</t>
        </is>
      </c>
      <c r="F913" s="217" t="inlineStr">
        <is>
          <t>v</t>
        </is>
      </c>
      <c r="G913" s="217" t="inlineStr">
        <is>
          <t>បញ្ចូលទីតាំងការិយាល័យប្រៃសណីយ៍</t>
        </is>
      </c>
      <c r="H913" t="inlineStr">
        <is>
          <t>បញ្ចូលទីតាំងការិយាល័យប្រៃសណីយ៍</t>
        </is>
      </c>
      <c r="I913" s="74" t="inlineStr">
        <is>
          <t>បញ្ចូលអាសយដ្ឋានការិយាល័យប្រៃសណីយ៍</t>
        </is>
      </c>
      <c r="J913" s="217" t="inlineStr">
        <is>
          <t>"modifyDepartment.addressPlaceholder": "Enter post office address",</t>
        </is>
      </c>
    </row>
    <row r="914" ht="15.75" customHeight="1" s="305">
      <c r="A914" s="67" t="inlineStr">
        <is>
          <t>modifyDepartment.branchCodePlaceholder</t>
        </is>
      </c>
      <c r="B914" s="67" t="inlineStr">
        <is>
          <t>Chọn chi nhánh</t>
        </is>
      </c>
      <c r="C914" s="67" t="inlineStr">
        <is>
          <t>Select branch</t>
        </is>
      </c>
      <c r="D914" s="3">
        <f>IFERROR(__xludf.DUMMYFUNCTION("GOOGLETRANSLATE(B914,""vi"",""km"")"),"ជ្រើសរើសសាខាមួយ")</f>
        <v/>
      </c>
      <c r="E914" s="3" t="inlineStr">
        <is>
          <t>ជ្រើសរើសសាខា</t>
        </is>
      </c>
      <c r="F914" s="217" t="inlineStr">
        <is>
          <t>v</t>
        </is>
      </c>
      <c r="G914" s="217" t="inlineStr">
        <is>
          <t>ជ្រើសរើសសាខា</t>
        </is>
      </c>
      <c r="H914" t="inlineStr">
        <is>
          <t>ជ្រើសរើសសាខា</t>
        </is>
      </c>
      <c r="I914" s="74" t="inlineStr">
        <is>
          <t>ជ្រើសរើសសាខា</t>
        </is>
      </c>
      <c r="J914" s="217" t="inlineStr">
        <is>
          <t>"modifyDepartment.branchCodePlaceholder": "Select branch",</t>
        </is>
      </c>
    </row>
    <row r="915" ht="15.75" customHeight="1" s="305">
      <c r="A915" s="67" t="inlineStr">
        <is>
          <t>modifyDepartment.branchCode</t>
        </is>
      </c>
      <c r="B915" s="67" t="inlineStr">
        <is>
          <t>Chi nhánh</t>
        </is>
      </c>
      <c r="C915" s="67" t="inlineStr">
        <is>
          <t>Branch</t>
        </is>
      </c>
      <c r="D915" s="3">
        <f>IFERROR(__xludf.DUMMYFUNCTION("GOOGLETRANSLATE(B915,""vi"",""km"")"),"សាខា")</f>
        <v/>
      </c>
      <c r="E915" s="3" t="inlineStr">
        <is>
          <t>សាខា</t>
        </is>
      </c>
      <c r="F915" s="217" t="inlineStr">
        <is>
          <t>v</t>
        </is>
      </c>
      <c r="G915" s="217" t="inlineStr">
        <is>
          <t>សាខា</t>
        </is>
      </c>
      <c r="H915" t="inlineStr">
        <is>
          <t>សាខា</t>
        </is>
      </c>
      <c r="I915" s="74" t="inlineStr">
        <is>
          <t>សាខា</t>
        </is>
      </c>
      <c r="J915" s="217" t="inlineStr">
        <is>
          <t>"modifyDepartment.branchCode": "Branch",</t>
        </is>
      </c>
    </row>
    <row r="916" ht="15.75" customHeight="1" s="305">
      <c r="A916" s="67" t="inlineStr">
        <is>
          <t>modifyDepartment.headPost</t>
        </is>
      </c>
      <c r="B916" s="67" t="inlineStr">
        <is>
          <t>Trưởng bưu cục</t>
        </is>
      </c>
      <c r="C916" s="67" t="inlineStr">
        <is>
          <t>Postmaster</t>
        </is>
      </c>
      <c r="D916" s="3">
        <f>IFERROR(__xludf.DUMMYFUNCTION("GOOGLETRANSLATE(B916,""vi"",""km"")"),"អ្នកគ្រប់គ្រងការិយាល័យប្រៃសណីយ៍")</f>
        <v/>
      </c>
      <c r="E916" s="3" t="inlineStr">
        <is>
          <t>ប្រធានការិយាល័យប្រៃសណីយ៍</t>
        </is>
      </c>
      <c r="F916" s="217" t="inlineStr">
        <is>
          <t>v</t>
        </is>
      </c>
      <c r="G916" s="217" t="inlineStr">
        <is>
          <t>ប្រធានការិយាល័យប្រៃសណីយ៍</t>
        </is>
      </c>
      <c r="H916" t="inlineStr">
        <is>
          <t>ប្រធានការិយាល័យប្រៃសណីយ៍</t>
        </is>
      </c>
      <c r="I916" s="74" t="inlineStr">
        <is>
          <t>មេប្រៃសណីយ៍</t>
        </is>
      </c>
      <c r="J916" s="217" t="inlineStr">
        <is>
          <t>"modifyDepartment.headPost": "Postmaster",</t>
        </is>
      </c>
    </row>
    <row r="917" ht="15.75" customHeight="1" s="305">
      <c r="A917" s="67" t="inlineStr">
        <is>
          <t>modifyDepartment.level</t>
        </is>
      </c>
      <c r="B917" s="67" t="inlineStr">
        <is>
          <t>Chọn cấp bưu cục</t>
        </is>
      </c>
      <c r="C917" s="67" t="inlineStr">
        <is>
          <t>Select post office level</t>
        </is>
      </c>
      <c r="D917" s="3">
        <f>IFERROR(__xludf.DUMMYFUNCTION("GOOGLETRANSLATE(B917,""vi"",""km"")"),"ជ្រើសរើសកម្រិតការិយាល័យប្រៃសណីយ៍")</f>
        <v/>
      </c>
      <c r="E917" s="3" t="inlineStr">
        <is>
          <t>ជ្រើសរើសថ្នាក់ការិយាល័យប្រៃសណីយ៍</t>
        </is>
      </c>
      <c r="F917" s="217" t="inlineStr">
        <is>
          <t>x</t>
        </is>
      </c>
      <c r="G917" s="217" t="inlineStr">
        <is>
          <t>ជ្រើសរើសថ្នាក់ការិយាល័យប្រៃសណីយ៍</t>
        </is>
      </c>
      <c r="H917" t="inlineStr">
        <is>
          <t>ជ្រើសរើសថ្នាក់ការិយាល័យប្រៃសណីយ៍</t>
        </is>
      </c>
      <c r="I917" s="74" t="inlineStr">
        <is>
          <t>ជ្រើសរើសកម្រិតការិយាល័យប្រៃសណីយ៍</t>
        </is>
      </c>
      <c r="J917" s="217" t="inlineStr">
        <is>
          <t>"modifyDepartment.level": "Select post office level",</t>
        </is>
      </c>
    </row>
    <row r="918" ht="15.75" customHeight="1" s="305">
      <c r="A918" s="67" t="inlineStr">
        <is>
          <t>modifyDepartment.getListBranchError</t>
        </is>
      </c>
      <c r="B918" s="67" t="inlineStr">
        <is>
          <t>Lỗi danh sách chi nhánh</t>
        </is>
      </c>
      <c r="C918" s="67" t="inlineStr">
        <is>
          <t>Error branch list</t>
        </is>
      </c>
      <c r="D918" s="3">
        <f>IFERROR(__xludf.DUMMYFUNCTION("GOOGLETRANSLATE(B918,""vi"",""km"")"),"កំហុសបញ្ជីសាខា")</f>
        <v/>
      </c>
      <c r="E918" s="3" t="inlineStr">
        <is>
          <t>បញ្ជីសាខាមានបញ្ហា</t>
        </is>
      </c>
      <c r="F918" s="217" t="inlineStr">
        <is>
          <t>v</t>
        </is>
      </c>
      <c r="G918" s="217" t="inlineStr">
        <is>
          <t>បញ្ជីសាខាមានបញ្ហា</t>
        </is>
      </c>
      <c r="H918" t="inlineStr">
        <is>
          <t>បញ្ជីសាខាមានបញ្ហា</t>
        </is>
      </c>
      <c r="I918" s="74" t="inlineStr">
        <is>
          <t>បញ្ជីសាខាមានកំហុស</t>
        </is>
      </c>
      <c r="J918" s="217" t="inlineStr">
        <is>
          <t>"modifyDepartment.getListBranchError": "Error branch list",</t>
        </is>
      </c>
    </row>
    <row r="919" ht="15.75" customHeight="1" s="305">
      <c r="A919" s="67" t="inlineStr">
        <is>
          <t>modifyDepartment.textConfirm</t>
        </is>
      </c>
      <c r="B919" s="67" t="inlineStr">
        <is>
          <t>Quý khách có chắc chắn muốn lưu thông tin bưu cục này?</t>
        </is>
      </c>
      <c r="C919" s="67" t="inlineStr">
        <is>
          <t>Are you sure you want to save postal information?</t>
        </is>
      </c>
      <c r="D919" s="3">
        <f>IFERROR(__xludf.DUMMYFUNCTION("GOOGLETRANSLATE(B919,""vi"",""km"")"),"តើអ្នកពិតជាចង់រក្សាទុកព័ត៌មានការិយាល័យប្រៃសណីយ៍នេះមែនទេ?")</f>
        <v/>
      </c>
      <c r="E919" s="3" t="inlineStr">
        <is>
          <t>អតិថិជនពិតជាចង់សេវព័ត៌មានប្រៃសណីយ៍នេះទេ?</t>
        </is>
      </c>
      <c r="F919" s="217" t="inlineStr">
        <is>
          <t>v</t>
        </is>
      </c>
      <c r="G919" s="217" t="inlineStr">
        <is>
          <t>អតិថិជនពិតជាចង់សេវព័ត៌មានប្រៃសណីយ៍នេះទេ?</t>
        </is>
      </c>
      <c r="H919" t="inlineStr">
        <is>
          <t>អតិថិជនពិតជាចង់សេវព័ត៌មានប្រៃសណីយ៍នេះទេ?</t>
        </is>
      </c>
      <c r="I919" s="74" t="inlineStr">
        <is>
          <t>តើអ្នកប្រាកដថាចង់រក្សាទុកព័ត៌មានប្រៃសណីយ៍មែនទេ?</t>
        </is>
      </c>
      <c r="J919" s="217" t="inlineStr">
        <is>
          <t>"modifyDepartment.textConfirm": "Are you sure you want to save postal information?",</t>
        </is>
      </c>
    </row>
    <row r="920" ht="15.75" customHeight="1" s="305">
      <c r="A920" s="67" t="inlineStr">
        <is>
          <t>modifyDepartment.departmentCode</t>
        </is>
      </c>
      <c r="B920" s="67" t="inlineStr">
        <is>
          <t>Mã bưu cục</t>
        </is>
      </c>
      <c r="C920" s="67" t="inlineStr">
        <is>
          <t>Postal code</t>
        </is>
      </c>
      <c r="D920" s="3">
        <f>IFERROR(__xludf.DUMMYFUNCTION("GOOGLETRANSLATE(B920,""vi"",""km"")"),"លេខកូដប្រៃសណីយ៍")</f>
        <v/>
      </c>
      <c r="E920" s="3" t="inlineStr">
        <is>
          <t>លេខកូដប្រៃសណីយ៍</t>
        </is>
      </c>
      <c r="F920" s="217" t="inlineStr">
        <is>
          <t>v</t>
        </is>
      </c>
      <c r="G920" s="217" t="inlineStr">
        <is>
          <t>លេខកូដប្រៃសណីយ៍</t>
        </is>
      </c>
      <c r="H920" t="inlineStr">
        <is>
          <t>លេខកូដប្រៃសណីយ៍</t>
        </is>
      </c>
      <c r="I920" s="74" t="inlineStr">
        <is>
          <t>លេខកូដប្រៃសណីយ៍</t>
        </is>
      </c>
      <c r="J920" s="217" t="inlineStr">
        <is>
          <t>"modifyDepartment.departmentCode": "Postal code",</t>
        </is>
      </c>
    </row>
    <row r="921" ht="15.75" customHeight="1" s="305">
      <c r="A921" s="67" t="inlineStr">
        <is>
          <t>modifyDepartment.alreadyExist</t>
        </is>
      </c>
      <c r="B921" s="67" t="inlineStr">
        <is>
          <t>đã tồn tại.</t>
        </is>
      </c>
      <c r="C921" s="67" t="inlineStr">
        <is>
          <t>Existed</t>
        </is>
      </c>
      <c r="D921" s="3">
        <f>IFERROR(__xludf.DUMMYFUNCTION("GOOGLETRANSLATE(B921,""vi"",""km"")"),"វាមានរួចហើយ។")</f>
        <v/>
      </c>
      <c r="E921" s="3" t="inlineStr">
        <is>
          <t>មានរួចហើយ</t>
        </is>
      </c>
      <c r="F921" s="217" t="inlineStr">
        <is>
          <t>x</t>
        </is>
      </c>
      <c r="G921" s="217" t="inlineStr">
        <is>
          <t>មានរួចហើយ។</t>
        </is>
      </c>
      <c r="H921" t="inlineStr">
        <is>
          <t>មានរួចហើយ។</t>
        </is>
      </c>
      <c r="I921" s="74" t="inlineStr">
        <is>
          <t>មានស្រាប់</t>
        </is>
      </c>
      <c r="J921" s="217" t="inlineStr">
        <is>
          <t>"modifyDepartment.alreadyExist": "Existed",</t>
        </is>
      </c>
    </row>
    <row r="922" ht="15.75" customHeight="1" s="305">
      <c r="A922" s="67" t="inlineStr">
        <is>
          <t>modifyDepartment.duplicateBranch</t>
        </is>
      </c>
      <c r="B922" s="67" t="inlineStr">
        <is>
          <t>trùng với mã chi nhánh đã tồn tại.</t>
        </is>
      </c>
      <c r="C922" s="67" t="inlineStr">
        <is>
          <t>Postal code already exists</t>
        </is>
      </c>
      <c r="D922" s="3">
        <f>IFERROR(__xludf.DUMMYFUNCTION("GOOGLETRANSLATE(B922,""vi"",""km"")"),"វាត្រូវគ្នានឹងលេខកូដសាខាដែលមានស្រាប់។")</f>
        <v/>
      </c>
      <c r="E922" s="3" t="inlineStr">
        <is>
          <t>ជាន់គ្នាជាមួយលេខកូដសាខាដែលមានរួច</t>
        </is>
      </c>
      <c r="F922" s="217" t="inlineStr">
        <is>
          <t>x</t>
        </is>
      </c>
      <c r="G922" s="217" t="inlineStr">
        <is>
          <t>ជាន់គ្នាជាមួយលេខកូដសាខាដែលមានរួច</t>
        </is>
      </c>
      <c r="H922" t="inlineStr">
        <is>
          <t>ជាន់គ្នាជាមួយលេខកូដសាខាដែលមានរួច</t>
        </is>
      </c>
      <c r="I922" s="74" t="inlineStr">
        <is>
          <t>លេខកូដប្រៃសណីយ៍មានរួចហើយ</t>
        </is>
      </c>
      <c r="J922" s="217" t="inlineStr">
        <is>
          <t>"modifyDepartment.duplicateBranch": "Postal code already exists",</t>
        </is>
      </c>
    </row>
    <row r="923" ht="15.75" customHeight="1" s="305">
      <c r="A923" s="67" t="inlineStr">
        <is>
          <t>modifyDepartment.notification</t>
        </is>
      </c>
      <c r="B923" s="67" t="inlineStr">
        <is>
          <t>Vui lòng khai báo mã bưu cục khác!</t>
        </is>
      </c>
      <c r="C923" s="67" t="inlineStr">
        <is>
          <t>Please declare another postal code!</t>
        </is>
      </c>
      <c r="D923" s="3">
        <f>IFERROR(__xludf.DUMMYFUNCTION("GOOGLETRANSLATE(B923,""vi"",""km"")"),"សូមផ្តល់លេខកូដប្រៃសណីយ៍ផ្សេង!")</f>
        <v/>
      </c>
      <c r="E923" s="3" t="inlineStr">
        <is>
          <t>សូមបង្ហាញលេខកូដការិយាល័យប្រៃសណីយ៍ផ្សេងទៀត!</t>
        </is>
      </c>
      <c r="F923" s="217" t="inlineStr">
        <is>
          <t>x</t>
        </is>
      </c>
      <c r="G923" s="217" t="inlineStr">
        <is>
          <t>សូមបង្ហាញលេខកូដការិយាល័យប្រៃសណីយ៍ផ្សេងទៀត!</t>
        </is>
      </c>
      <c r="H923" t="inlineStr">
        <is>
          <t>សូមបង្ហាញលេខកូដការិយាល័យប្រៃសណីយ៍ផ្សេងទៀត!</t>
        </is>
      </c>
      <c r="I923" s="74" t="inlineStr">
        <is>
          <t>សូមប្រកាសលេខកូដប្រៃសណីយ៍មួយផ្សេងទៀត!</t>
        </is>
      </c>
      <c r="J923" s="217" t="inlineStr">
        <is>
          <t>"modifyDepartment.notification": "Please declare another postal code!",</t>
        </is>
      </c>
    </row>
    <row r="924" ht="15.75" customHeight="1" s="305">
      <c r="A924" s="67" t="inlineStr">
        <is>
          <t>modifyDepartment.createSuccess</t>
        </is>
      </c>
      <c r="B924" s="67" t="inlineStr">
        <is>
          <t>Thêm mới thông tin thành công</t>
        </is>
      </c>
      <c r="C924" s="67" t="inlineStr">
        <is>
          <t>Created information successfully</t>
        </is>
      </c>
      <c r="D924" s="3">
        <f>IFERROR(__xludf.DUMMYFUNCTION("GOOGLETRANSLATE(B924,""vi"",""km"")"),"បានបន្ថែមព័ត៌មានថ្មីដោយជោគជ័យ។")</f>
        <v/>
      </c>
      <c r="E924" s="3" t="inlineStr">
        <is>
          <t>បន្ថែមព័ត៌មានបានជោគជ័យ</t>
        </is>
      </c>
      <c r="F924" s="217" t="inlineStr">
        <is>
          <t>v</t>
        </is>
      </c>
      <c r="G924" s="217" t="inlineStr">
        <is>
          <t>បន្ថែមព័ត៌មានបានជោគជ័យ</t>
        </is>
      </c>
      <c r="H924" t="inlineStr">
        <is>
          <t>បន្ថែមព័ត៌មានបានជោគជ័យ</t>
        </is>
      </c>
      <c r="I924" s="74" t="inlineStr">
        <is>
          <t>បានបង្កើតព័ត៌មានដោយជោគជ័យ</t>
        </is>
      </c>
      <c r="J924" s="217" t="inlineStr">
        <is>
          <t>"modifyDepartment.createSuccess": "Created information successfully",</t>
        </is>
      </c>
    </row>
    <row r="925" ht="15.75" customHeight="1" s="305">
      <c r="A925" s="67" t="inlineStr">
        <is>
          <t>modifyDepartment.updateSuccess</t>
        </is>
      </c>
      <c r="B925" s="67" t="inlineStr">
        <is>
          <t>Cập nhật thông tin thành công</t>
        </is>
      </c>
      <c r="C925" s="67" t="inlineStr">
        <is>
          <t>Updated information successfully</t>
        </is>
      </c>
      <c r="D925" s="3">
        <f>IFERROR(__xludf.DUMMYFUNCTION("GOOGLETRANSLATE(B925,""vi"",""km"")"),"ព័ត៌មានត្រូវបានធ្វើបច្ចុប្បន្នភាពដោយជោគជ័យ។")</f>
        <v/>
      </c>
      <c r="E925" s="3" t="inlineStr">
        <is>
          <t>អាប់ដេតព័ត៌មានបានជោគជ័យ</t>
        </is>
      </c>
      <c r="F925" s="217" t="inlineStr">
        <is>
          <t>v</t>
        </is>
      </c>
      <c r="G925" s="217" t="inlineStr">
        <is>
          <t>អាប់ដេតព័ត៌មានបានជោគជ័យ</t>
        </is>
      </c>
      <c r="H925" t="inlineStr">
        <is>
          <t>អាប់ដេតព័ត៌មានបានជោគជ័យ</t>
        </is>
      </c>
      <c r="I925" s="74" t="inlineStr">
        <is>
          <t>បានធ្វើបច្ចុប្បន្នភាពព័ត៌មានដោយជោគជ័យ</t>
        </is>
      </c>
      <c r="J925" s="217" t="inlineStr">
        <is>
          <t>"modifyDepartment.updateSuccess": "Updated information successfully",</t>
        </is>
      </c>
    </row>
    <row r="926" ht="15.75" customHeight="1" s="305">
      <c r="A926" s="67" t="inlineStr">
        <is>
          <t>modifyDepartment.historyDepartment</t>
        </is>
      </c>
      <c r="B926" s="67" t="inlineStr">
        <is>
          <t>Lịch sử bưu cục</t>
        </is>
      </c>
      <c r="C926" s="67" t="inlineStr">
        <is>
          <t>Post office history</t>
        </is>
      </c>
      <c r="D926" s="3">
        <f>IFERROR(__xludf.DUMMYFUNCTION("GOOGLETRANSLATE(B926,""vi"",""km"")"),"ប្រវត្តិនៃការិយាល័យប្រៃសណីយ៍")</f>
        <v/>
      </c>
      <c r="E926" s="3" t="inlineStr">
        <is>
          <t>ប្រវត្តិការិយាល័យប្រៃសណីយ៍</t>
        </is>
      </c>
      <c r="F926" s="217" t="inlineStr">
        <is>
          <t>v</t>
        </is>
      </c>
      <c r="G926" s="217" t="inlineStr">
        <is>
          <t>ប្រវត្តិការិយាល័យប្រៃសណីយ៍</t>
        </is>
      </c>
      <c r="H926" t="inlineStr">
        <is>
          <t>ប្រវត្តិការិយាល័យប្រៃសណីយ៍</t>
        </is>
      </c>
      <c r="I926" s="74" t="inlineStr">
        <is>
          <t>ប្រវត្តិការិយាល័យប្រៃសណីយ៍</t>
        </is>
      </c>
      <c r="J926" s="217" t="inlineStr">
        <is>
          <t>"modifyDepartment.historyDepartment": "Post office history",</t>
        </is>
      </c>
    </row>
    <row r="927" ht="15.75" customHeight="1" s="305">
      <c r="A927" s="67" t="inlineStr">
        <is>
          <t>modifyDepartment.startAt</t>
        </is>
      </c>
      <c r="B927" s="67" t="inlineStr">
        <is>
          <t>Thời gian bắt đầu</t>
        </is>
      </c>
      <c r="C927" s="67" t="inlineStr">
        <is>
          <t>Start time</t>
        </is>
      </c>
      <c r="D927" s="3">
        <f>IFERROR(__xludf.DUMMYFUNCTION("GOOGLETRANSLATE(B927,""vi"",""km"")"),"ពេលវេលាចាប់ផ្តើម")</f>
        <v/>
      </c>
      <c r="E927" s="3" t="inlineStr">
        <is>
          <t>ពេលវេលាចាប់ផ្តើម</t>
        </is>
      </c>
      <c r="F927" s="217" t="inlineStr">
        <is>
          <t>v</t>
        </is>
      </c>
      <c r="G927" s="217" t="inlineStr">
        <is>
          <t>ពេលវេលាចាប់ផ្តើម</t>
        </is>
      </c>
      <c r="H927" t="inlineStr">
        <is>
          <t>ពេលវេលាចាប់ផ្តើម</t>
        </is>
      </c>
      <c r="I927" s="74" t="inlineStr">
        <is>
          <t>ពេលវេលាចាប់ផ្តើម</t>
        </is>
      </c>
      <c r="J927" s="217" t="inlineStr">
        <is>
          <t>"modifyDepartment.startAt": "Start time",</t>
        </is>
      </c>
    </row>
    <row r="928" ht="15.75" customHeight="1" s="305">
      <c r="A928" s="67" t="inlineStr">
        <is>
          <t>modifyDepartment.endAt</t>
        </is>
      </c>
      <c r="B928" s="67" t="inlineStr">
        <is>
          <t>Thời gian kết thúc</t>
        </is>
      </c>
      <c r="C928" s="67" t="inlineStr">
        <is>
          <t>End time</t>
        </is>
      </c>
      <c r="D928" s="3">
        <f>IFERROR(__xludf.DUMMYFUNCTION("GOOGLETRANSLATE(B928,""vi"",""km"")"),"ពេលវេលាបញ្ចប់")</f>
        <v/>
      </c>
      <c r="E928" s="3" t="inlineStr">
        <is>
          <t>ពេលវេេលាបញ្ចប់</t>
        </is>
      </c>
      <c r="F928" s="217" t="inlineStr">
        <is>
          <t>v</t>
        </is>
      </c>
      <c r="G928" s="217" t="inlineStr">
        <is>
          <t>ពេលវេេលាបញ្ចប់</t>
        </is>
      </c>
      <c r="H928" t="inlineStr">
        <is>
          <t>ពេលវេេលាបញ្ចប់</t>
        </is>
      </c>
      <c r="I928" s="74" t="inlineStr">
        <is>
          <t>ពេលវេលាបញ្ចប់</t>
        </is>
      </c>
      <c r="J928" s="217" t="inlineStr">
        <is>
          <t>"modifyDepartment.endAt": "End time",</t>
        </is>
      </c>
    </row>
    <row r="929" ht="15.75" customHeight="1" s="305">
      <c r="A929" s="67" t="inlineStr">
        <is>
          <t>modifyDepartment.ACTIVE</t>
        </is>
      </c>
      <c r="B929" s="67" t="inlineStr">
        <is>
          <t>Hiệu lực</t>
        </is>
      </c>
      <c r="C929" s="67" t="inlineStr">
        <is>
          <t>Valid</t>
        </is>
      </c>
      <c r="D929" s="3">
        <f>IFERROR(__xludf.DUMMYFUNCTION("GOOGLETRANSLATE(B929,""vi"",""km"")"),"សុពលភាព")</f>
        <v/>
      </c>
      <c r="E929" s="3" t="inlineStr">
        <is>
          <t>សុពលភាព</t>
        </is>
      </c>
      <c r="F929" s="217" t="inlineStr">
        <is>
          <t>v</t>
        </is>
      </c>
      <c r="G929" s="217" t="inlineStr">
        <is>
          <t>សកម្ម</t>
        </is>
      </c>
      <c r="H929" t="inlineStr">
        <is>
          <t>សកម្ម</t>
        </is>
      </c>
      <c r="I929" s="74" t="inlineStr">
        <is>
          <t>មានសុពលភាព</t>
        </is>
      </c>
      <c r="J929" s="217" t="inlineStr">
        <is>
          <t>"modifyDepartment.ACTIVE": "Valid",</t>
        </is>
      </c>
    </row>
    <row r="930" ht="15.75" customHeight="1" s="305">
      <c r="A930" s="67" t="inlineStr">
        <is>
          <t>modifyDepartment.INACTIVE</t>
        </is>
      </c>
      <c r="B930" s="67" t="inlineStr">
        <is>
          <t>Hết hiệu lực</t>
        </is>
      </c>
      <c r="C930" s="67" t="inlineStr">
        <is>
          <t>Invalid</t>
        </is>
      </c>
      <c r="D930" s="3">
        <f>IFERROR(__xludf.DUMMYFUNCTION("GOOGLETRANSLATE(B930,""vi"",""km"")"),"ផុតកំណត់")</f>
        <v/>
      </c>
      <c r="E930" s="3" t="inlineStr">
        <is>
          <t>អស់សុពលភាព</t>
        </is>
      </c>
      <c r="F930" s="217" t="inlineStr">
        <is>
          <t>v</t>
        </is>
      </c>
      <c r="G930" s="217" t="inlineStr">
        <is>
          <t>អសកម្ម</t>
        </is>
      </c>
      <c r="H930" t="inlineStr">
        <is>
          <t>អសកម្ម</t>
        </is>
      </c>
      <c r="I930" s="74" t="inlineStr">
        <is>
          <t>មិនត្រឹមត្រូវ</t>
        </is>
      </c>
      <c r="J930" s="217" t="inlineStr">
        <is>
          <t>"modifyDepartment.INACTIVE": "Invalid",</t>
        </is>
      </c>
    </row>
    <row r="931" ht="15.75" customHeight="1" s="305">
      <c r="A931" s="67" t="inlineStr">
        <is>
          <t>modifyDepartment.errorGetData</t>
        </is>
      </c>
      <c r="B931" s="67" t="inlineStr">
        <is>
          <t>Lỗi khi lấy dữ liệu thông tin bưu cục</t>
        </is>
      </c>
      <c r="C931" s="67" t="inlineStr">
        <is>
          <t>Error when retrieving post office information data</t>
        </is>
      </c>
      <c r="D931" s="3">
        <f>IFERROR(__xludf.DUMMYFUNCTION("GOOGLETRANSLATE(B931,""vi"",""km"")"),"មានបញ្ហាក្នុងការទាញយកទិន្នន័យព័ត៌មានការិយាល័យប្រៃសណីយ៍។")</f>
        <v/>
      </c>
      <c r="E931" s="3" t="inlineStr">
        <is>
          <t>មានបញ្ហាពេលទាញយកទិន្នន័យព័ត៌មានការិយាល័យប្រៃសណីយ៍</t>
        </is>
      </c>
      <c r="F931" s="217" t="inlineStr">
        <is>
          <t>x</t>
        </is>
      </c>
      <c r="G931" s="217" t="inlineStr">
        <is>
          <t>មានបញ្ហាពេលទាញយកទិន្នន័យព័ត៌មានការិយាល័យប្រៃសណីយ៍</t>
        </is>
      </c>
      <c r="H931" t="inlineStr">
        <is>
          <t>មានបញ្ហាពេលទាញយកទិន្នន័យព័ត៌មានការិយាល័យប្រៃសណីយ៍</t>
        </is>
      </c>
      <c r="I931" s="74" t="inlineStr">
        <is>
          <t>កំហុសនៅពេលទាញយកទិន្នន័យព័ត៌មានការិយាល័យប្រៃសណីយ៍</t>
        </is>
      </c>
      <c r="J931" s="217" t="inlineStr">
        <is>
          <t>"modifyDepartment.errorGetData": "Error when retrieving post office information data",</t>
        </is>
      </c>
    </row>
    <row r="932" ht="15.75" customHeight="1" s="305">
      <c r="A932" s="67" t="inlineStr">
        <is>
          <t>configDelivery.searchPlaceholder</t>
        </is>
      </c>
      <c r="B932" s="67" t="inlineStr">
        <is>
          <t>Nhập tên tuyến hoặc số hộp</t>
        </is>
      </c>
      <c r="C932" s="67" t="inlineStr">
        <is>
          <t>Enter route name or box number</t>
        </is>
      </c>
      <c r="D932" s="3">
        <f>IFERROR(__xludf.DUMMYFUNCTION("GOOGLETRANSLATE(B932,""vi"",""km"")"),"បញ្ចូលឈ្មោះផ្លូវ ឬលេខប្រអប់។")</f>
        <v/>
      </c>
      <c r="E932" s="3" t="inlineStr">
        <is>
          <t>បញ្ចូលឈ្មោះផ្លូវដឹកឬលេខប្រអប់</t>
        </is>
      </c>
      <c r="F932" s="217" t="inlineStr">
        <is>
          <t>x</t>
        </is>
      </c>
      <c r="G932" s="217" t="inlineStr">
        <is>
          <t>បញ្ចូលឈ្មោះផ្លូវដឹកឬលេខប្រអប់</t>
        </is>
      </c>
      <c r="H932" t="inlineStr">
        <is>
          <t>បញ្ចូលឈ្មោះផ្លូវដឹកឬលេខប្រអប់</t>
        </is>
      </c>
      <c r="I932" s="74" t="inlineStr">
        <is>
          <t>បញ្ចូលឈ្មោះផ្លូវ ឬលេខប្រអប់</t>
        </is>
      </c>
      <c r="J932" s="217" t="inlineStr">
        <is>
          <t>"configDelivery.searchPlaceholder": "Enter route name or box number",</t>
        </is>
      </c>
    </row>
    <row r="933" ht="15.75" customHeight="1" s="305">
      <c r="A933" s="67" t="inlineStr">
        <is>
          <t>configDelivery.nameRoute</t>
        </is>
      </c>
      <c r="B933" s="67" t="inlineStr">
        <is>
          <t>Tuyến</t>
        </is>
      </c>
      <c r="C933" s="67" t="inlineStr">
        <is>
          <t>Route</t>
        </is>
      </c>
      <c r="D933" s="3">
        <f>IFERROR(__xludf.DUMMYFUNCTION("GOOGLETRANSLATE(B933,""vi"",""km"")"),"ផ្លូវ")</f>
        <v/>
      </c>
      <c r="E933" s="3" t="inlineStr">
        <is>
          <t>ផ្លូវដឹក</t>
        </is>
      </c>
      <c r="F933" s="217" t="inlineStr">
        <is>
          <t>x</t>
        </is>
      </c>
      <c r="G933" s="217" t="inlineStr">
        <is>
          <t>ផ្លូវដឹក</t>
        </is>
      </c>
      <c r="H933" t="inlineStr">
        <is>
          <t>ផ្លូវដឹក</t>
        </is>
      </c>
      <c r="I933" s="74" t="inlineStr">
        <is>
          <t>ផ្លូវ</t>
        </is>
      </c>
      <c r="J933" s="217" t="inlineStr">
        <is>
          <t>"configDelivery.nameRoute": "Route",</t>
        </is>
      </c>
    </row>
    <row r="934" ht="15.75" customHeight="1" s="305">
      <c r="A934" s="67" t="inlineStr">
        <is>
          <t>configDelivery.leaderRoute</t>
        </is>
      </c>
      <c r="B934" s="67" t="inlineStr">
        <is>
          <t>Mặc định</t>
        </is>
      </c>
      <c r="C934" s="67" t="inlineStr">
        <is>
          <t>Default</t>
        </is>
      </c>
      <c r="D934" s="3">
        <f>IFERROR(__xludf.DUMMYFUNCTION("GOOGLETRANSLATE(B934,""vi"",""km"")"),"លំនាំដើម")</f>
        <v/>
      </c>
      <c r="E934" s="3" t="inlineStr">
        <is>
          <t>លំនាំដើម</t>
        </is>
      </c>
      <c r="F934" s="217" t="inlineStr">
        <is>
          <t>x</t>
        </is>
      </c>
      <c r="G934" s="217" t="inlineStr">
        <is>
          <t>លំនាំដើម</t>
        </is>
      </c>
      <c r="H934" t="inlineStr">
        <is>
          <t>លំនាំដើម</t>
        </is>
      </c>
      <c r="I934" s="74" t="inlineStr">
        <is>
          <t>លំនាំដើម</t>
        </is>
      </c>
      <c r="J934" s="217" t="inlineStr">
        <is>
          <t>"configDelivery.leaderRoute": "Default",</t>
        </is>
      </c>
    </row>
    <row r="935" ht="15.75" customHeight="1" s="305">
      <c r="A935" s="67" t="inlineStr">
        <is>
          <t>configDelivery.box</t>
        </is>
      </c>
      <c r="B935" s="67" t="inlineStr">
        <is>
          <t>Hộp</t>
        </is>
      </c>
      <c r="C935" s="67" t="inlineStr">
        <is>
          <t>Box</t>
        </is>
      </c>
      <c r="D935" s="3">
        <f>IFERROR(__xludf.DUMMYFUNCTION("GOOGLETRANSLATE(B935,""vi"",""km"")"),"ប្រអប់")</f>
        <v/>
      </c>
      <c r="E935" s="3" t="inlineStr">
        <is>
          <t>ប្រអប់</t>
        </is>
      </c>
      <c r="F935" s="217" t="inlineStr">
        <is>
          <t>v</t>
        </is>
      </c>
      <c r="G935" s="217" t="inlineStr">
        <is>
          <t>ប្រអប់</t>
        </is>
      </c>
      <c r="H935" t="inlineStr">
        <is>
          <t>ប្រអប់</t>
        </is>
      </c>
      <c r="I935" s="74" t="inlineStr">
        <is>
          <t>ប្រអប់</t>
        </is>
      </c>
      <c r="J935" s="217" t="inlineStr">
        <is>
          <t>"configDelivery.box": "Box",</t>
        </is>
      </c>
    </row>
    <row r="936" ht="15.75" customHeight="1" s="305">
      <c r="A936" s="67" t="inlineStr">
        <is>
          <t>configDelivery.updateAt</t>
        </is>
      </c>
      <c r="B936" s="67" t="inlineStr">
        <is>
          <t>Ngày cập nhật</t>
        </is>
      </c>
      <c r="C936" s="67" t="inlineStr">
        <is>
          <t>Updated time</t>
        </is>
      </c>
      <c r="D936" s="3">
        <f>IFERROR(__xludf.DUMMYFUNCTION("GOOGLETRANSLATE(B936,""vi"",""km"")"),"កាលបរិច្ឆេទ​ដែលបានធ្វើបច្ចុប្បន្នភាព")</f>
        <v/>
      </c>
      <c r="E936" s="3" t="inlineStr">
        <is>
          <t>ថ្ងៃអាប់ដេត</t>
        </is>
      </c>
      <c r="F936" s="217" t="inlineStr">
        <is>
          <t>v</t>
        </is>
      </c>
      <c r="G936" s="217" t="inlineStr">
        <is>
          <t>ថ្ងៃអាប់ដេត</t>
        </is>
      </c>
      <c r="H936" t="inlineStr">
        <is>
          <t>ថ្ងៃអាប់ដេត</t>
        </is>
      </c>
      <c r="I936" s="74" t="inlineStr">
        <is>
          <t>ពេលវេលាដែលបានធ្វើបច្ចុប្បន្នភាព</t>
        </is>
      </c>
      <c r="J936" s="217" t="inlineStr">
        <is>
          <t>"configDelivery.updateAt": "Updated time",</t>
        </is>
      </c>
    </row>
    <row r="937" ht="15.75" customHeight="1" s="305">
      <c r="A937" s="67" t="inlineStr">
        <is>
          <t>configDelivery.updateBy</t>
        </is>
      </c>
      <c r="B937" s="67" t="inlineStr">
        <is>
          <t>Người cập nhật</t>
        </is>
      </c>
      <c r="C937" s="67" t="inlineStr">
        <is>
          <t>Updater</t>
        </is>
      </c>
      <c r="D937" s="3">
        <f>IFERROR(__xludf.DUMMYFUNCTION("GOOGLETRANSLATE(B937,""vi"",""km"")"),"កម្មវិធីធ្វើបច្ចុប្បន្នភាព")</f>
        <v/>
      </c>
      <c r="E937" s="3" t="inlineStr">
        <is>
          <t>អ្នកអាប់ដេត</t>
        </is>
      </c>
      <c r="F937" s="217" t="inlineStr">
        <is>
          <t>v</t>
        </is>
      </c>
      <c r="G937" s="217" t="inlineStr">
        <is>
          <t>អ្នកអាប់ដេត</t>
        </is>
      </c>
      <c r="H937" t="inlineStr">
        <is>
          <t>អ្នកអាប់ដេត</t>
        </is>
      </c>
      <c r="I937" s="74" t="inlineStr">
        <is>
          <t>អ្នកធ្វើបច្ចុប្បន្នភាព</t>
        </is>
      </c>
      <c r="J937" s="217" t="inlineStr">
        <is>
          <t>"configDelivery.updateBy": "Updater",</t>
        </is>
      </c>
    </row>
    <row r="938" ht="15.75" customHeight="1" s="305">
      <c r="A938" s="67" t="inlineStr">
        <is>
          <t>configDelivery.status</t>
        </is>
      </c>
      <c r="B938" s="67" t="inlineStr">
        <is>
          <t>Trạng thái</t>
        </is>
      </c>
      <c r="C938" s="67" t="inlineStr">
        <is>
          <t>Status</t>
        </is>
      </c>
      <c r="D938" s="3">
        <f>IFERROR(__xludf.DUMMYFUNCTION("GOOGLETRANSLATE(B938,""vi"",""km"")"),"ស្ថានភាព")</f>
        <v/>
      </c>
      <c r="E938" s="3" t="inlineStr">
        <is>
          <t>ស្ថានភាព</t>
        </is>
      </c>
      <c r="F938" s="217" t="inlineStr">
        <is>
          <t>v</t>
        </is>
      </c>
      <c r="G938" s="217" t="inlineStr">
        <is>
          <t>ស្ថានភាព</t>
        </is>
      </c>
      <c r="H938" t="inlineStr">
        <is>
          <t>ស្ថានភាព</t>
        </is>
      </c>
      <c r="I938" s="74" t="inlineStr">
        <is>
          <t>ស្ថានភាព</t>
        </is>
      </c>
      <c r="J938" s="217" t="inlineStr">
        <is>
          <t>"configDelivery.status": "Status",</t>
        </is>
      </c>
    </row>
    <row r="939" ht="15.75" customHeight="1" s="305">
      <c r="A939" s="67" t="inlineStr">
        <is>
          <t>configDelivery.ACTIVE</t>
        </is>
      </c>
      <c r="B939" s="67" t="inlineStr">
        <is>
          <t>Hoạt động</t>
        </is>
      </c>
      <c r="C939" s="67" t="inlineStr">
        <is>
          <t>Active</t>
        </is>
      </c>
      <c r="D939" s="3">
        <f>IFERROR(__xludf.DUMMYFUNCTION("GOOGLETRANSLATE(B939,""vi"",""km"")"),"ការងារ")</f>
        <v/>
      </c>
      <c r="E939" s="3" t="inlineStr">
        <is>
          <t>សកម្ម</t>
        </is>
      </c>
      <c r="F939" s="217" t="inlineStr">
        <is>
          <t>v</t>
        </is>
      </c>
      <c r="G939" s="217" t="inlineStr">
        <is>
          <t>ដំណើរការ</t>
        </is>
      </c>
      <c r="H939" t="inlineStr">
        <is>
          <t>ដំណើរការ</t>
        </is>
      </c>
      <c r="I939" s="74" t="inlineStr">
        <is>
          <t>សកម្ម</t>
        </is>
      </c>
      <c r="J939" s="217" t="inlineStr">
        <is>
          <t>"configDelivery.ACTIVE": "Active",</t>
        </is>
      </c>
    </row>
    <row r="940" ht="15.75" customHeight="1" s="305">
      <c r="A940" s="67" t="inlineStr">
        <is>
          <t>configDelivery.INACTIVE</t>
        </is>
      </c>
      <c r="B940" s="67" t="inlineStr">
        <is>
          <t>Không hoạt động</t>
        </is>
      </c>
      <c r="C940" s="67" t="inlineStr">
        <is>
          <t>Inactive</t>
        </is>
      </c>
      <c r="D940" s="3">
        <f>IFERROR(__xludf.DUMMYFUNCTION("GOOGLETRANSLATE(B940,""vi"",""km"")"),"អសកម្ម")</f>
        <v/>
      </c>
      <c r="E940" s="3" t="inlineStr">
        <is>
          <t>អសកម្ម</t>
        </is>
      </c>
      <c r="F940" s="217" t="inlineStr">
        <is>
          <t>v</t>
        </is>
      </c>
      <c r="G940" s="217" t="inlineStr">
        <is>
          <t>អសកម្ម</t>
        </is>
      </c>
      <c r="H940" t="inlineStr">
        <is>
          <t>អសកម្ម</t>
        </is>
      </c>
      <c r="I940" s="74" t="inlineStr">
        <is>
          <t>អសកម្ម</t>
        </is>
      </c>
      <c r="J940" s="217" t="inlineStr">
        <is>
          <t>"configDelivery.INACTIVE": "Inactive",</t>
        </is>
      </c>
    </row>
    <row r="941" ht="15.75" customHeight="1" s="305">
      <c r="A941" s="96" t="inlineStr">
        <is>
          <t>configDelivery.total</t>
        </is>
      </c>
      <c r="B941" s="96" t="inlineStr">
        <is>
          <t>Tổng số tuyến giao</t>
        </is>
      </c>
      <c r="C941" s="96" t="inlineStr">
        <is>
          <t>Total route</t>
        </is>
      </c>
      <c r="D941" s="3">
        <f>IFERROR(__xludf.DUMMYFUNCTION("GOOGLETRANSLATE(B941,""vi"",""km"")"),"ចំនួនផ្លូវសរុប")</f>
        <v/>
      </c>
      <c r="E941" s="3" t="inlineStr">
        <is>
          <t>សរុបចំនួនផ្លូវប្រគល់</t>
        </is>
      </c>
      <c r="F941" s="217" t="inlineStr">
        <is>
          <t>x</t>
        </is>
      </c>
      <c r="G941" s="217" t="inlineStr">
        <is>
          <t>សរុបចំនួនផ្លូវប្រគល់</t>
        </is>
      </c>
      <c r="H941" t="inlineStr">
        <is>
          <t>សរុបចំនួនផ្លូវប្រគល់</t>
        </is>
      </c>
      <c r="I941" s="74" t="inlineStr">
        <is>
          <t>ផ្លូវសរុប</t>
        </is>
      </c>
      <c r="J941" s="217" t="inlineStr">
        <is>
          <t>"configDelivery.total": "Total route",</t>
        </is>
      </c>
    </row>
    <row r="942" ht="15.75" customHeight="1" s="305">
      <c r="A942" s="96" t="inlineStr">
        <is>
          <t>configDelivery.getDetailFail</t>
        </is>
      </c>
      <c r="B942" s="96" t="inlineStr">
        <is>
          <t>Lỗi dữ liệu chi tiết tuyến giao</t>
        </is>
      </c>
      <c r="C942" s="96" t="inlineStr">
        <is>
          <t>Error in route detail data</t>
        </is>
      </c>
      <c r="D942" s="3">
        <f>IFERROR(__xludf.DUMMYFUNCTION("GOOGLETRANSLATE(B942,""vi"",""km"")"),"កំហុសក្នុងទិន្នន័យព័ត៌មានលម្អិតផ្លូវ")</f>
        <v/>
      </c>
      <c r="E942" s="3" t="inlineStr">
        <is>
          <t>បញ្ហាទិន្នន័យលម្អិតផ្លូវប្រគល់</t>
        </is>
      </c>
      <c r="F942" s="217" t="inlineStr">
        <is>
          <t>x</t>
        </is>
      </c>
      <c r="G942" s="217" t="inlineStr">
        <is>
          <t>បញ្ហាទិន្នន័យលម្អិតផ្លូវប្រគល់</t>
        </is>
      </c>
      <c r="H942" t="inlineStr">
        <is>
          <t>បញ្ហាទិន្នន័យលម្អិតផ្លូវប្រគល់</t>
        </is>
      </c>
      <c r="I942" s="74" t="inlineStr">
        <is>
          <t>កំហុសក្នុងទិន្នន័យលម្អិតផ្លូវ</t>
        </is>
      </c>
      <c r="J942" s="217" t="inlineStr">
        <is>
          <t>"configDelivery.getDetailFail": "Error in route detail data",</t>
        </is>
      </c>
    </row>
    <row r="943" ht="15.75" customHeight="1" s="305">
      <c r="A943" s="67" t="inlineStr">
        <is>
          <t>modifyConfigDelivery.route</t>
        </is>
      </c>
      <c r="B943" s="67" t="inlineStr">
        <is>
          <t>Tuyến</t>
        </is>
      </c>
      <c r="C943" s="67" t="inlineStr">
        <is>
          <t>Route</t>
        </is>
      </c>
      <c r="D943" s="3">
        <f>IFERROR(__xludf.DUMMYFUNCTION("GOOGLETRANSLATE(B943,""vi"",""km"")"),"ផ្លូវ")</f>
        <v/>
      </c>
      <c r="E943" s="3" t="inlineStr">
        <is>
          <t>ផ្លូវដឹក</t>
        </is>
      </c>
      <c r="F943" s="217" t="inlineStr">
        <is>
          <t>x</t>
        </is>
      </c>
      <c r="G943" s="217" t="inlineStr">
        <is>
          <t>ផ្លូវដឹក</t>
        </is>
      </c>
      <c r="H943" t="inlineStr">
        <is>
          <t>ផ្លូវដឹក</t>
        </is>
      </c>
      <c r="I943" s="74" t="inlineStr">
        <is>
          <t>ផ្លូវ</t>
        </is>
      </c>
      <c r="J943" s="217" t="inlineStr">
        <is>
          <t>"modifyConfigDelivery.route": "Route",</t>
        </is>
      </c>
    </row>
    <row r="944" ht="15.75" customHeight="1" s="305">
      <c r="A944" s="67" t="inlineStr">
        <is>
          <t>modifyConfigDelivery.box</t>
        </is>
      </c>
      <c r="B944" s="67" t="inlineStr">
        <is>
          <t>Hộp</t>
        </is>
      </c>
      <c r="C944" s="67" t="inlineStr">
        <is>
          <t>Box</t>
        </is>
      </c>
      <c r="D944" s="3">
        <f>IFERROR(__xludf.DUMMYFUNCTION("GOOGLETRANSLATE(B944,""vi"",""km"")"),"ប្រអប់")</f>
        <v/>
      </c>
      <c r="E944" s="3" t="inlineStr">
        <is>
          <t>ប្រអប់</t>
        </is>
      </c>
      <c r="F944" s="217" t="inlineStr">
        <is>
          <t>v</t>
        </is>
      </c>
      <c r="G944" s="217" t="inlineStr">
        <is>
          <t>ប្រអប់</t>
        </is>
      </c>
      <c r="H944" t="inlineStr">
        <is>
          <t>ប្រអប់</t>
        </is>
      </c>
      <c r="I944" s="74" t="inlineStr">
        <is>
          <t>ប្រអប់</t>
        </is>
      </c>
      <c r="J944" s="217" t="inlineStr">
        <is>
          <t>"modifyConfigDelivery.box": "Box",</t>
        </is>
      </c>
    </row>
    <row r="945" ht="15.75" customHeight="1" s="305">
      <c r="A945" s="67" t="inlineStr">
        <is>
          <t>modifyConfigDelivery.update</t>
        </is>
      </c>
      <c r="B945" s="67" t="inlineStr">
        <is>
          <t>Cập nhật cấu hình</t>
        </is>
      </c>
      <c r="C945" s="67" t="inlineStr">
        <is>
          <t>Update config</t>
        </is>
      </c>
      <c r="D945" s="3">
        <f>IFERROR(__xludf.DUMMYFUNCTION("GOOGLETRANSLATE(B945,""vi"",""km"")"),"ធ្វើបច្ចុប្បន្នភាពការកំណត់រចនាសម្ព័ន្ធ")</f>
        <v/>
      </c>
      <c r="E945" s="3" t="inlineStr">
        <is>
          <t>អាប់ដេតទម្រង់</t>
        </is>
      </c>
      <c r="F945" s="217" t="inlineStr">
        <is>
          <t>x</t>
        </is>
      </c>
      <c r="G945" s="217" t="inlineStr">
        <is>
          <t>អាប់ដេតទម្រង់</t>
        </is>
      </c>
      <c r="H945" t="inlineStr">
        <is>
          <t>អាប់ដេតទម្រង់</t>
        </is>
      </c>
      <c r="I945" s="74" t="inlineStr">
        <is>
          <t>ធ្វើបច្ចុប្បន្នភាពការកំណត់</t>
        </is>
      </c>
      <c r="J945" s="217" t="inlineStr">
        <is>
          <t>"modifyConfigDelivery.update": "Update config",</t>
        </is>
      </c>
    </row>
    <row r="946" ht="15.75" customHeight="1" s="305">
      <c r="A946" s="67" t="inlineStr">
        <is>
          <t>modifyConfigDelivery.create</t>
        </is>
      </c>
      <c r="B946" s="67" t="inlineStr">
        <is>
          <t>Thêm mới cấu hình</t>
        </is>
      </c>
      <c r="C946" s="67" t="inlineStr">
        <is>
          <t>Create config</t>
        </is>
      </c>
      <c r="D946" s="3">
        <f>IFERROR(__xludf.DUMMYFUNCTION("GOOGLETRANSLATE(B946,""vi"",""km"")"),"បន្ថែមការកំណត់រចនាសម្ព័ន្ធថ្មី")</f>
        <v/>
      </c>
      <c r="E946" s="3" t="inlineStr">
        <is>
          <t>បន្ថែមទម្រង់ថ្មី</t>
        </is>
      </c>
      <c r="F946" s="217" t="inlineStr">
        <is>
          <t>x</t>
        </is>
      </c>
      <c r="G946" s="217" t="inlineStr">
        <is>
          <t>បន្ថែមការកំណត់ថ្មី</t>
        </is>
      </c>
      <c r="H946" t="inlineStr">
        <is>
          <t>បន្ថែមការកំណត់ថ្មី</t>
        </is>
      </c>
      <c r="I946" s="74" t="inlineStr">
        <is>
          <t>បង្កើតការកំណត់</t>
        </is>
      </c>
      <c r="J946" s="217" t="inlineStr">
        <is>
          <t>"modifyConfigDelivery.create": "Create config",</t>
        </is>
      </c>
    </row>
    <row r="947" ht="15.75" customHeight="1" s="305">
      <c r="A947" s="67" t="inlineStr">
        <is>
          <t>changeStatusConfig.title</t>
        </is>
      </c>
      <c r="B947" s="67" t="inlineStr">
        <is>
          <t>Bạn có chắc chắn muốn thay đổi trạng thái tuyến bưu tá hay không</t>
        </is>
      </c>
      <c r="C947" s="67" t="inlineStr">
        <is>
          <t>Change status</t>
        </is>
      </c>
      <c r="D947" s="3">
        <f>IFERROR(__xludf.DUMMYFUNCTION("GOOGLETRANSLATE(B947,""vi"",""km"")"),"តើអ្នកពិតជាចង់ផ្លាស់ប្តូរស្ថានភាពសេវាប្រៃសណីយ៍មែនទេ?")</f>
        <v/>
      </c>
      <c r="E947" s="3" t="inlineStr">
        <is>
          <t>តើអ្នកពិតជាចង់ផ្លាស់ប្តូ្តរស្ថានភាពផ្លូវអ្នកដឹកឬអត់ទេ?</t>
        </is>
      </c>
      <c r="F947" s="217" t="inlineStr">
        <is>
          <t>x</t>
        </is>
      </c>
      <c r="G947" s="217" t="inlineStr">
        <is>
          <t>តើអ្នកពិតជាចង់ផ្លាស់ប្តូ្តរស្ថានភាពផ្លូវអ្នកដឹកឬអត់ទេ?</t>
        </is>
      </c>
      <c r="H947" t="inlineStr">
        <is>
          <t>តើអ្នកពិតជាចង់ផ្លាស់ប្តូ្តរស្ថានភាពផ្លូវអ្នកដឹកឬអត់ទេ?</t>
        </is>
      </c>
      <c r="I947" s="74" t="inlineStr">
        <is>
          <t>ផ្លាស់ប្តូរស្ថានភាព</t>
        </is>
      </c>
      <c r="J947" s="217" t="inlineStr">
        <is>
          <t>"changeStatusConfig.title": "Change status",</t>
        </is>
      </c>
    </row>
    <row r="948" ht="15.75" customHeight="1" s="305">
      <c r="A948" s="67" t="inlineStr">
        <is>
          <t>changeStatusConfig.notification</t>
        </is>
      </c>
      <c r="B948" s="67" t="inlineStr">
        <is>
          <t>Thay đổi trạng thái thành công</t>
        </is>
      </c>
      <c r="C948" s="67" t="inlineStr">
        <is>
          <t>Updated status successfully</t>
        </is>
      </c>
      <c r="D948" s="3">
        <f>IFERROR(__xludf.DUMMYFUNCTION("GOOGLETRANSLATE(B948,""vi"",""km"")"),"ការផ្លាស់ប្តូរស្ថានភាពបានជោគជ័យ")</f>
        <v/>
      </c>
      <c r="E948" s="3" t="inlineStr">
        <is>
          <t>បានផ្លាស់ប្តូរស្ថានភាពជោគជ័យ</t>
        </is>
      </c>
      <c r="F948" s="217" t="inlineStr">
        <is>
          <t>v</t>
        </is>
      </c>
      <c r="G948" s="217" t="inlineStr">
        <is>
          <t>បានផ្លាស់ប្តូរស្ថានភាពជោគជ័យ</t>
        </is>
      </c>
      <c r="H948" t="inlineStr">
        <is>
          <t>បានផ្លាស់ប្តូរស្ថានភាពជោគជ័យ</t>
        </is>
      </c>
      <c r="I948" s="84" t="inlineStr">
        <is>
          <t>បានធ្វើបច្ចុប្បន្នភាពស្ថានភាពដោយជោគជ័យ</t>
        </is>
      </c>
      <c r="J948" s="217" t="inlineStr">
        <is>
          <t>"changeStatusConfig.notification": "Updated status successfully",</t>
        </is>
      </c>
    </row>
    <row r="949" ht="15.75" customHeight="1" s="305">
      <c r="A949" s="67" t="inlineStr">
        <is>
          <t>changeStatusConfig.fail</t>
        </is>
      </c>
      <c r="B949" s="67" t="inlineStr">
        <is>
          <t>Thay đổi trạng thái thất bại</t>
        </is>
      </c>
      <c r="C949" s="67" t="inlineStr">
        <is>
          <t>Updated status failed</t>
        </is>
      </c>
      <c r="D949" s="3">
        <f>IFERROR(__xludf.DUMMYFUNCTION("GOOGLETRANSLATE(B949,""vi"",""km"")"),"ផ្លាស់ប្តូរស្ថានភាពបរាជ័យ")</f>
        <v/>
      </c>
      <c r="E949" s="3" t="inlineStr">
        <is>
          <t>ផ្លាស់ប្តូរស្ថានភាពបរាជ័យ</t>
        </is>
      </c>
      <c r="F949" s="217" t="inlineStr">
        <is>
          <t>v</t>
        </is>
      </c>
      <c r="G949" s="217" t="inlineStr">
        <is>
          <t>ផ្លាស់ប្តូរស្ថានភាពបរាជ័យ</t>
        </is>
      </c>
      <c r="H949" t="inlineStr">
        <is>
          <t>ផ្លាស់ប្តូរស្ថានភាពបរាជ័យ</t>
        </is>
      </c>
      <c r="I949" s="74" t="inlineStr">
        <is>
          <t>ស្ថានភាពដែលបានធ្វើបច្ចុប្បន្នភាពបានបរាជ័យ</t>
        </is>
      </c>
      <c r="J949" s="217" t="inlineStr">
        <is>
          <t>"changeStatusConfig.fail": "Updated status failed",</t>
        </is>
      </c>
    </row>
    <row r="950" ht="15.75" customHeight="1" s="305">
      <c r="A950" s="67" t="inlineStr">
        <is>
          <t>areaDelivery.district</t>
        </is>
      </c>
      <c r="B950" s="67" t="inlineStr">
        <is>
          <t>Quận/Huyện</t>
        </is>
      </c>
      <c r="C950" s="67" t="inlineStr">
        <is>
          <t>District</t>
        </is>
      </c>
      <c r="D950" s="3">
        <f>IFERROR(__xludf.DUMMYFUNCTION("GOOGLETRANSLATE(B950,""vi"",""km"")"),"ស្រុក/ខេត្ត")</f>
        <v/>
      </c>
      <c r="E950" s="3" t="inlineStr">
        <is>
          <t>ស្រុក/ខណ្ឌ</t>
        </is>
      </c>
      <c r="F950" s="217" t="inlineStr">
        <is>
          <t>v</t>
        </is>
      </c>
      <c r="G950" s="217" t="inlineStr">
        <is>
          <t>ស្រុក/ខណ្ឌ</t>
        </is>
      </c>
      <c r="H950" t="inlineStr">
        <is>
          <t>ស្រុក/ខណ្ឌ</t>
        </is>
      </c>
      <c r="I950" s="74" t="inlineStr">
        <is>
          <t>ស្រុក</t>
        </is>
      </c>
      <c r="J950" s="217" t="inlineStr">
        <is>
          <t>"areaDelivery.district": "District",</t>
        </is>
      </c>
    </row>
    <row r="951" ht="15.75" customHeight="1" s="305">
      <c r="A951" s="67" t="inlineStr">
        <is>
          <t>areaDelivery.ward</t>
        </is>
      </c>
      <c r="B951" s="67" t="inlineStr">
        <is>
          <t>Phường/Xã</t>
        </is>
      </c>
      <c r="C951" s="67" t="inlineStr">
        <is>
          <t>Commune</t>
        </is>
      </c>
      <c r="D951" s="3">
        <f>IFERROR(__xludf.DUMMYFUNCTION("GOOGLETRANSLATE(B951,""vi"",""km"")"),"វួដ/ឃុំ")</f>
        <v/>
      </c>
      <c r="E951" s="3" t="inlineStr">
        <is>
          <t>ឃុំ/សង្កាត់</t>
        </is>
      </c>
      <c r="F951" s="217" t="inlineStr">
        <is>
          <t>v</t>
        </is>
      </c>
      <c r="G951" s="217" t="inlineStr">
        <is>
          <t>ឃុំ/សង្កាត់</t>
        </is>
      </c>
      <c r="H951" t="inlineStr">
        <is>
          <t>ឃុំ/សង្កាត់</t>
        </is>
      </c>
      <c r="I951" s="74" t="inlineStr">
        <is>
          <t>ឃុំ</t>
        </is>
      </c>
      <c r="J951" s="217" t="inlineStr">
        <is>
          <t>"areaDelivery.ward": "Commune",</t>
        </is>
      </c>
    </row>
    <row r="952" ht="15.75" customHeight="1" s="305">
      <c r="A952" s="67" t="inlineStr">
        <is>
          <t>areaDelivery.selectDistrict</t>
        </is>
      </c>
      <c r="B952" s="67" t="inlineStr">
        <is>
          <t>Chọn quận/huyện</t>
        </is>
      </c>
      <c r="C952" s="67" t="inlineStr">
        <is>
          <t>Select district</t>
        </is>
      </c>
      <c r="D952" s="3">
        <f>IFERROR(__xludf.DUMMYFUNCTION("GOOGLETRANSLATE(B952,""vi"",""km"")"),"ជ្រើសរើសស្រុក/ខេត្ត")</f>
        <v/>
      </c>
      <c r="E952" s="3" t="inlineStr">
        <is>
          <t>ជ្រើសរើសស្រុក/ខណ្ឌ</t>
        </is>
      </c>
      <c r="F952" s="217" t="inlineStr">
        <is>
          <t>v</t>
        </is>
      </c>
      <c r="G952" s="217" t="inlineStr">
        <is>
          <t>ជ្រើសរើសស្រុក/ខណ្ឌ</t>
        </is>
      </c>
      <c r="H952" t="inlineStr">
        <is>
          <t>ជ្រើសរើសស្រុក/ខណ្ឌ</t>
        </is>
      </c>
      <c r="I952" s="74" t="inlineStr">
        <is>
          <t>ជ្រើសរើសស្រុក</t>
        </is>
      </c>
      <c r="J952" s="217" t="inlineStr">
        <is>
          <t>"areaDelivery.selectDistrict": "Select district",</t>
        </is>
      </c>
    </row>
    <row r="953" ht="15.75" customHeight="1" s="305">
      <c r="A953" s="67" t="inlineStr">
        <is>
          <t>areaDelivery.selectWard</t>
        </is>
      </c>
      <c r="B953" s="67" t="inlineStr">
        <is>
          <t>Chọn phường/Xã</t>
        </is>
      </c>
      <c r="C953" s="67" t="inlineStr">
        <is>
          <t>Select commune</t>
        </is>
      </c>
      <c r="D953" s="3">
        <f>IFERROR(__xludf.DUMMYFUNCTION("GOOGLETRANSLATE(B953,""vi"",""km"")"),"ជ្រើសរើស​សង្កាត់/ឃុំ")</f>
        <v/>
      </c>
      <c r="E953" s="3" t="inlineStr">
        <is>
          <t>ជ្រើសរើសឃុំ/សង្កាត់</t>
        </is>
      </c>
      <c r="F953" s="217" t="inlineStr">
        <is>
          <t>v</t>
        </is>
      </c>
      <c r="G953" s="217" t="inlineStr">
        <is>
          <t>ជ្រើសរើសឃុំ/សង្កាត់</t>
        </is>
      </c>
      <c r="H953" t="inlineStr">
        <is>
          <t>ជ្រើសរើសឃុំ/សង្កាត់</t>
        </is>
      </c>
      <c r="I953" s="74" t="inlineStr">
        <is>
          <t>ជ្រើសរើសឃុំ</t>
        </is>
      </c>
      <c r="J953" s="217" t="inlineStr">
        <is>
          <t>"areaDelivery.selectWard": "Select commune",</t>
        </is>
      </c>
    </row>
    <row r="954" ht="15.75" customHeight="1" s="305">
      <c r="A954" s="67" t="inlineStr">
        <is>
          <t>areaDelivery.notiChangeStatus</t>
        </is>
      </c>
      <c r="B954" s="67" t="inlineStr">
        <is>
          <t>Bạn có chác chắn muốn xóa địa danh giao của tuyến hay không</t>
        </is>
      </c>
      <c r="C954" s="67" t="inlineStr">
        <is>
          <t>Are you sure you want to delete the delivery address?</t>
        </is>
      </c>
      <c r="D954" s="3">
        <f>IFERROR(__xludf.DUMMYFUNCTION("GOOGLETRANSLATE(B954,""vi"",""km"")"),"តើអ្នកពិតជាចង់លុបសញ្ញាសម្គាល់ផ្លូវប្រសព្វមែនទេ?")</f>
        <v/>
      </c>
      <c r="E954" s="3" t="inlineStr">
        <is>
          <t>តើអ្នកពិតជាចង់លុបទីតាំងប្រគល់អីវ៉ាន់របស់ផ្លូវដឹកដែរទេ?</t>
        </is>
      </c>
      <c r="F954" s="217" t="inlineStr">
        <is>
          <t>x</t>
        </is>
      </c>
      <c r="G954" s="217" t="inlineStr">
        <is>
          <t>តើអ្នកពិតជាចង់លុបទីតាំងប្រគល់អីវ៉ាន់របស់ផ្លូវដឹកដែរទេ?</t>
        </is>
      </c>
      <c r="H954" t="inlineStr">
        <is>
          <t>តើអ្នកពិតជាចង់លុបទីតាំងប្រគល់អីវ៉ាន់របស់ផ្លូវដឹកដែរទេ?</t>
        </is>
      </c>
      <c r="I954" s="74" t="inlineStr">
        <is>
          <t>តើអ្នកប្រាកដថាចង់លុបអាសយដ្ឋានដឹកជញ្ជូនមែនទេ?</t>
        </is>
      </c>
      <c r="J954" s="217" t="inlineStr">
        <is>
          <t>"areaDelivery.notiChangeStatus": "Are you sure you want to delete the delivery address?",</t>
        </is>
      </c>
    </row>
    <row r="955" ht="15.75" customHeight="1" s="305">
      <c r="A955" s="67" t="inlineStr">
        <is>
          <t>areaDelivery.deleteSuccess</t>
        </is>
      </c>
      <c r="B955" s="67" t="inlineStr">
        <is>
          <t>Xóa địa danh thành công</t>
        </is>
      </c>
      <c r="C955" s="67" t="inlineStr">
        <is>
          <t>Deleted address successfully</t>
        </is>
      </c>
      <c r="D955" s="3">
        <f>IFERROR(__xludf.DUMMYFUNCTION("GOOGLETRANSLATE(B955,""vi"",""km"")"),"ឈ្មោះ​ទីកន្លែង​ត្រូវ​បាន​លុប​ចេញ​ដោយ​ជោគជ័យ")</f>
        <v/>
      </c>
      <c r="E955" s="3" t="inlineStr">
        <is>
          <t>បានលុបទីតាំងបានជោគជ័យ</t>
        </is>
      </c>
      <c r="F955" s="217" t="inlineStr">
        <is>
          <t>x</t>
        </is>
      </c>
      <c r="G955" s="217" t="inlineStr">
        <is>
          <t>បានលុបទីតាំងបានជោគជ័យ</t>
        </is>
      </c>
      <c r="H955" t="inlineStr">
        <is>
          <t>បានលុបទីតាំងបានជោគជ័យ</t>
        </is>
      </c>
      <c r="I955" s="74" t="inlineStr">
        <is>
          <t>បានលុបអាសយដ្ឋានដោយជោគជ័យ</t>
        </is>
      </c>
      <c r="J955" s="217" t="inlineStr">
        <is>
          <t>"areaDelivery.deleteSuccess": "Deleted address successfully",</t>
        </is>
      </c>
    </row>
    <row r="956" ht="15.75" customHeight="1" s="305">
      <c r="A956" s="67" t="inlineStr">
        <is>
          <t>postmanDelivery.searchPostman</t>
        </is>
      </c>
      <c r="B956" s="67" t="inlineStr">
        <is>
          <t>Nhập tên bưu tá</t>
        </is>
      </c>
      <c r="C956" s="67" t="inlineStr">
        <is>
          <t>Enter postman</t>
        </is>
      </c>
      <c r="D956" s="3">
        <f>IFERROR(__xludf.DUMMYFUNCTION("GOOGLETRANSLATE(B956,""vi"",""km"")"),"បញ្ចូលឈ្មោះបុគ្គលិកប្រៃសណីយ៍")</f>
        <v/>
      </c>
      <c r="E956" s="3" t="inlineStr">
        <is>
          <t>បញ្ចូលឈ្មោះអ្នកដឹក</t>
        </is>
      </c>
      <c r="F956" s="217" t="inlineStr">
        <is>
          <t>x</t>
        </is>
      </c>
      <c r="G956" s="217" t="inlineStr">
        <is>
          <t>បញ្ចូលឈ្មោះអ្នកដឹក</t>
        </is>
      </c>
      <c r="H956" t="inlineStr">
        <is>
          <t>បញ្ចូលឈ្មោះអ្នកដឹក</t>
        </is>
      </c>
      <c r="I956" s="74" t="inlineStr">
        <is>
          <t>បញ្ចូលអ្នកប្រៃសណីយ៍</t>
        </is>
      </c>
      <c r="J956" s="217" t="inlineStr">
        <is>
          <t>"postmanDelivery.searchPostman": "Enter postman",</t>
        </is>
      </c>
    </row>
    <row r="957" ht="15.75" customHeight="1" s="305">
      <c r="A957" s="67" t="inlineStr">
        <is>
          <t>postmanDelivery.notiChangeStatus</t>
        </is>
      </c>
      <c r="B957" s="67" t="inlineStr">
        <is>
          <t>Bạn có chắc chắn muốn thay đổi trạng thái tuyến bưu tá hay không</t>
        </is>
      </c>
      <c r="C957" s="67" t="inlineStr">
        <is>
          <t>Are you sure you want to update the status postal route?</t>
        </is>
      </c>
      <c r="D957" s="3">
        <f>IFERROR(__xludf.DUMMYFUNCTION("GOOGLETRANSLATE(B957,""vi"",""km"")"),"តើអ្នកពិតជាចង់ផ្លាស់ប្តូរស្ថានភាពសេវាប្រៃសណីយ៍មែនទេ?")</f>
        <v/>
      </c>
      <c r="E957" s="3" t="inlineStr">
        <is>
          <t>តើអ្នកពិតជាចង់ផ្លាស់ប្តូរស្ថានភាពផ្លូវអ្នកដឹកឬទេ?</t>
        </is>
      </c>
      <c r="F957" s="217" t="inlineStr">
        <is>
          <t>x</t>
        </is>
      </c>
      <c r="G957" s="217" t="inlineStr">
        <is>
          <t>តើអ្នកពិតជាចង់ផ្លាស់ប្តូរស្ថានភាពផ្លូវអ្នកដឹកឬទេ?</t>
        </is>
      </c>
      <c r="H957" t="inlineStr">
        <is>
          <t>តើអ្នកពិតជាចង់ផ្លាស់ប្តូរស្ថានភាពផ្លូវអ្នកដឹកឬទេ?</t>
        </is>
      </c>
      <c r="I957" s="74" t="inlineStr">
        <is>
          <t>តើអ្នកប្រាកដថាចង់ធ្វើបច្ចុប្បន្នភាពផ្លូវប្រៃសណីយ៍ស្ថានភាពមែនទេ?</t>
        </is>
      </c>
      <c r="J957" s="217" t="inlineStr">
        <is>
          <t>"postmanDelivery.notiChangeStatus": "Are you sure you want to update the status postal route?",</t>
        </is>
      </c>
    </row>
    <row r="958" ht="15.75" customHeight="1" s="305">
      <c r="A958" s="67" t="inlineStr">
        <is>
          <t>postmanDelivery.defaultUser</t>
        </is>
      </c>
      <c r="B958" s="67" t="inlineStr">
        <is>
          <t>Mặc định</t>
        </is>
      </c>
      <c r="C958" s="67" t="inlineStr">
        <is>
          <t>Default</t>
        </is>
      </c>
      <c r="D958" s="3">
        <f>IFERROR(__xludf.DUMMYFUNCTION("GOOGLETRANSLATE(B958,""vi"",""km"")"),"លំនាំដើម")</f>
        <v/>
      </c>
      <c r="E958" s="3" t="inlineStr">
        <is>
          <t>លំនាំដើម</t>
        </is>
      </c>
      <c r="F958" s="217" t="inlineStr">
        <is>
          <t>x</t>
        </is>
      </c>
      <c r="G958" s="217" t="inlineStr">
        <is>
          <t>លំនាំដើម</t>
        </is>
      </c>
      <c r="H958" t="inlineStr">
        <is>
          <t>លំនាំដើម</t>
        </is>
      </c>
      <c r="I958" s="74" t="inlineStr">
        <is>
          <t>លំនាំដើម</t>
        </is>
      </c>
      <c r="J958" s="217" t="inlineStr">
        <is>
          <t>"postmanDelivery.defaultUser": "Default",</t>
        </is>
      </c>
    </row>
    <row r="959" ht="15.75" customHeight="1" s="305">
      <c r="A959" s="67" t="inlineStr">
        <is>
          <t>postmanDelivery.NotDefaultUser</t>
        </is>
      </c>
      <c r="B959" s="67" t="inlineStr">
        <is>
          <t>Không mặc định</t>
        </is>
      </c>
      <c r="C959" s="67" t="inlineStr">
        <is>
          <t>Not default</t>
        </is>
      </c>
      <c r="D959" s="3">
        <f>IFERROR(__xludf.DUMMYFUNCTION("GOOGLETRANSLATE(B959,""vi"",""km"")"),"មិនមែនជាលំនាំដើមទេ")</f>
        <v/>
      </c>
      <c r="E959" s="3" t="inlineStr">
        <is>
          <t>មិនតាមលំនាំដើម</t>
        </is>
      </c>
      <c r="F959" s="217" t="inlineStr">
        <is>
          <t>x</t>
        </is>
      </c>
      <c r="G959" s="217" t="inlineStr">
        <is>
          <t>មិនកំណត់ជាលំនាំដើម</t>
        </is>
      </c>
      <c r="H959" t="inlineStr">
        <is>
          <t>មិនកំណត់ជាលំនាំដើម</t>
        </is>
      </c>
      <c r="I959" s="74" t="inlineStr">
        <is>
          <t>មិនមែនលំនាំដើមទេ។</t>
        </is>
      </c>
      <c r="J959" s="217" t="inlineStr">
        <is>
          <t>"postmanDelivery.NotDefaultUser": "Not default",</t>
        </is>
      </c>
    </row>
    <row r="960" ht="15.75" customHeight="1" s="305">
      <c r="A960" s="67" t="inlineStr">
        <is>
          <t>postmanDelivery.changStatusSuccess</t>
        </is>
      </c>
      <c r="B960" s="67" t="inlineStr">
        <is>
          <t>Thay đổi trạng thái thành công</t>
        </is>
      </c>
      <c r="C960" s="67" t="inlineStr">
        <is>
          <t>Change status successfully</t>
        </is>
      </c>
      <c r="D960" s="3">
        <f>IFERROR(__xludf.DUMMYFUNCTION("GOOGLETRANSLATE(B960,""vi"",""km"")"),"ការផ្លាស់ប្តូរស្ថានភាពបានជោគជ័យ")</f>
        <v/>
      </c>
      <c r="E960" s="3" t="inlineStr">
        <is>
          <t>បានផ្លាស់ប្តូរស្ថានភាពបានជោគជ័យ</t>
        </is>
      </c>
      <c r="F960" s="217" t="inlineStr">
        <is>
          <t>v</t>
        </is>
      </c>
      <c r="G960" s="217" t="inlineStr">
        <is>
          <t>បានផ្លាស់ប្តូរស្ថានភាពបានជោគជ័យ</t>
        </is>
      </c>
      <c r="H960" t="inlineStr">
        <is>
          <t>បានផ្លាស់ប្តូរស្ថានភាពបានជោគជ័យ</t>
        </is>
      </c>
      <c r="I960" s="74" t="inlineStr">
        <is>
          <t>ផ្លាស់ប្តូរស្ថានភាពដោយជោគជ័យ</t>
        </is>
      </c>
      <c r="J960" s="217" t="inlineStr">
        <is>
          <t>"postmanDelivery.changStatusSuccess": "Change status successfully",</t>
        </is>
      </c>
    </row>
    <row r="961" ht="15.75" customHeight="1" s="305">
      <c r="A961" s="67" t="inlineStr">
        <is>
          <t>configReceivingDelivery.receiving</t>
        </is>
      </c>
      <c r="B961" s="67" t="inlineStr">
        <is>
          <t>Cấu hình tuyến nhận</t>
        </is>
      </c>
      <c r="C961" s="67" t="inlineStr">
        <is>
          <t>Config of receiving route</t>
        </is>
      </c>
      <c r="D961" s="3">
        <f>IFERROR(__xludf.DUMMYFUNCTION("GOOGLETRANSLATE(B961,""vi"",""km"")"),"កំណត់រចនាសម្ព័ន្ធផ្លូវទទួល។")</f>
        <v/>
      </c>
      <c r="E961" s="3" t="inlineStr">
        <is>
          <t>រចនាសម្ព័ន្ធតំបន់ផ្លូវទទួល</t>
        </is>
      </c>
      <c r="F961" s="217" t="inlineStr">
        <is>
          <t>x</t>
        </is>
      </c>
      <c r="G961" s="217" t="inlineStr">
        <is>
          <t>រចនាសម្ព័ន្ធតំបន់ផ្លូវទទួល</t>
        </is>
      </c>
      <c r="H961" t="inlineStr">
        <is>
          <t>រចនាសម្ព័ន្ធតំបន់ផ្លូវទទួល</t>
        </is>
      </c>
      <c r="I961" s="74" t="inlineStr">
        <is>
          <t>កំណត់រចនាសម្ព័ន្ធផ្លូវទទួល</t>
        </is>
      </c>
      <c r="J961" s="217" t="inlineStr">
        <is>
          <t>"configReceivingDelivery.receiving": "Config of receiving route",</t>
        </is>
      </c>
    </row>
    <row r="962" ht="15.75" customHeight="1" s="305">
      <c r="A962" s="67" t="inlineStr">
        <is>
          <t>configReceivingDelivery.delivery</t>
        </is>
      </c>
      <c r="B962" s="67" t="inlineStr">
        <is>
          <t>Cấu hình tuyến giao</t>
        </is>
      </c>
      <c r="C962" s="67" t="inlineStr">
        <is>
          <t>Config of delivery route</t>
        </is>
      </c>
      <c r="D962" s="3">
        <f>IFERROR(__xludf.DUMMYFUNCTION("GOOGLETRANSLATE(B962,""vi"",""km"")"),"ការកំណត់រចនាសម្ព័ន្ធផ្លូវ")</f>
        <v/>
      </c>
      <c r="E962" s="3" t="inlineStr">
        <is>
          <t>រចនាសម្ព័ន្ធតំបន់ផ្លូវប្រគល់</t>
        </is>
      </c>
      <c r="F962" s="217" t="inlineStr">
        <is>
          <t>x</t>
        </is>
      </c>
      <c r="G962" s="217" t="inlineStr">
        <is>
          <t>រចនាសម្ព័ន្ធតំបន់ផ្លូវប្រគល់</t>
        </is>
      </c>
      <c r="H962" t="inlineStr">
        <is>
          <t>រចនាសម្ព័ន្ធតំបន់ផ្លូវប្រគល់</t>
        </is>
      </c>
      <c r="I962" s="74" t="inlineStr">
        <is>
          <t>កំណត់រចនាសម្ព័ន្ធផ្លូវដឹកជញ្ជូន</t>
        </is>
      </c>
      <c r="J962" s="217" t="inlineStr">
        <is>
          <t>"configReceivingDelivery.delivery": "Config of delivery route",</t>
        </is>
      </c>
    </row>
    <row r="963" ht="15.75" customHeight="1" s="305">
      <c r="A963" s="67" t="inlineStr">
        <is>
          <t>orderStatusReport.selectDate</t>
        </is>
      </c>
      <c r="B963" s="67" t="inlineStr">
        <is>
          <t>Chọn ngày</t>
        </is>
      </c>
      <c r="C963" s="67" t="inlineStr">
        <is>
          <t>Select time</t>
        </is>
      </c>
      <c r="D963" s="3">
        <f>IFERROR(__xludf.DUMMYFUNCTION("GOOGLETRANSLATE(B963,""vi"",""km"")"),"ជ្រើសរើសកាលបរិច្ឆេទ")</f>
        <v/>
      </c>
      <c r="E963" s="3" t="inlineStr">
        <is>
          <t>ជ្រើសរើសថ្ងៃ</t>
        </is>
      </c>
      <c r="F963" s="217" t="inlineStr">
        <is>
          <t>v</t>
        </is>
      </c>
      <c r="G963" s="217" t="inlineStr">
        <is>
          <t>ជ្រើសរើសថ្ងៃ</t>
        </is>
      </c>
      <c r="H963" t="inlineStr">
        <is>
          <t>ជ្រើសរើសថ្ងៃ</t>
        </is>
      </c>
      <c r="I963" s="74" t="inlineStr">
        <is>
          <t>ជ្រើសរើសពេលវេលា</t>
        </is>
      </c>
      <c r="J963" s="217" t="inlineStr">
        <is>
          <t>"orderStatusReport.selectDate": "Select time",</t>
        </is>
      </c>
    </row>
    <row r="964" ht="15.75" customHeight="1" s="305">
      <c r="A964" s="67" t="inlineStr">
        <is>
          <t>orderStatusReport.fromDate</t>
        </is>
      </c>
      <c r="B964" s="67" t="inlineStr">
        <is>
          <t>Từ ngày</t>
        </is>
      </c>
      <c r="C964" s="67" t="inlineStr">
        <is>
          <t>From date</t>
        </is>
      </c>
      <c r="D964" s="3">
        <f>IFERROR(__xludf.DUMMYFUNCTION("GOOGLETRANSLATE(B964,""vi"",""km"")"),"ចាប់ពីកាលបរិច្ឆេទ")</f>
        <v/>
      </c>
      <c r="E964" s="3" t="inlineStr">
        <is>
          <t>ចាប់ពីថ្ងៃ</t>
        </is>
      </c>
      <c r="F964" s="217" t="inlineStr">
        <is>
          <t>v</t>
        </is>
      </c>
      <c r="G964" s="217" t="inlineStr">
        <is>
          <t>ចាប់ពីថ្ងៃ</t>
        </is>
      </c>
      <c r="H964" t="inlineStr">
        <is>
          <t>ចាប់ពីថ្ងៃ</t>
        </is>
      </c>
      <c r="I964" s="74" t="inlineStr">
        <is>
          <t>ពីថ្ងៃ</t>
        </is>
      </c>
      <c r="J964" s="217" t="inlineStr">
        <is>
          <t>"orderStatusReport.fromDate": "From date",</t>
        </is>
      </c>
    </row>
    <row r="965" ht="15.75" customHeight="1" s="305">
      <c r="A965" s="67" t="inlineStr">
        <is>
          <t>orderStatusReport.toDate</t>
        </is>
      </c>
      <c r="B965" s="67" t="inlineStr">
        <is>
          <t>Đến ngày</t>
        </is>
      </c>
      <c r="C965" s="67" t="inlineStr">
        <is>
          <t>To date</t>
        </is>
      </c>
      <c r="D965" s="3">
        <f>IFERROR(__xludf.DUMMYFUNCTION("GOOGLETRANSLATE(B965,""vi"",""km"")"),"រហូតដល់ថ្ងៃ")</f>
        <v/>
      </c>
      <c r="E965" s="3" t="inlineStr">
        <is>
          <t>រហូតដល់ថ្ងៃ</t>
        </is>
      </c>
      <c r="F965" s="217" t="inlineStr">
        <is>
          <t>v</t>
        </is>
      </c>
      <c r="G965" s="217" t="inlineStr">
        <is>
          <t>រហូតដល់ថ្ងៃ</t>
        </is>
      </c>
      <c r="H965" t="inlineStr">
        <is>
          <t>រហូតដល់ថ្ងៃ</t>
        </is>
      </c>
      <c r="I965" s="74" t="inlineStr">
        <is>
          <t>ដល់ថ្ងៃ</t>
        </is>
      </c>
      <c r="J965" s="217" t="inlineStr">
        <is>
          <t>"orderStatusReport.toDate": "To date",</t>
        </is>
      </c>
    </row>
    <row r="966" ht="15.75" customHeight="1" s="305">
      <c r="A966" s="67" t="inlineStr">
        <is>
          <t>orderStatusReport.filterbranch</t>
        </is>
      </c>
      <c r="B966" s="67" t="inlineStr">
        <is>
          <t>Chọn chi nhánh</t>
        </is>
      </c>
      <c r="C966" s="67" t="inlineStr">
        <is>
          <t>Select branch</t>
        </is>
      </c>
      <c r="D966" s="3">
        <f>IFERROR(__xludf.DUMMYFUNCTION("GOOGLETRANSLATE(B966,""vi"",""km"")"),"ជ្រើសរើសសាខាមួយ")</f>
        <v/>
      </c>
      <c r="E966" s="3" t="inlineStr">
        <is>
          <t>ជ្រើសរើសសាខា</t>
        </is>
      </c>
      <c r="F966" s="217" t="inlineStr">
        <is>
          <t>v</t>
        </is>
      </c>
      <c r="G966" s="217" t="inlineStr">
        <is>
          <t>ជ្រើសរើសសាខា</t>
        </is>
      </c>
      <c r="H966" t="inlineStr">
        <is>
          <t>ជ្រើសរើសសាខា</t>
        </is>
      </c>
      <c r="I966" s="74" t="inlineStr">
        <is>
          <t>ជ្រើសរើសសាខា</t>
        </is>
      </c>
      <c r="J966" s="217" t="inlineStr">
        <is>
          <t>"orderStatusReport.filterbranch": "Select branch",</t>
        </is>
      </c>
    </row>
    <row r="967" ht="15.75" customHeight="1" s="305">
      <c r="A967" s="67" t="inlineStr">
        <is>
          <t>orderStatusReport.selectPostOffice</t>
        </is>
      </c>
      <c r="B967" s="67" t="inlineStr">
        <is>
          <t>Chọn bưu cục</t>
        </is>
      </c>
      <c r="C967" s="67" t="inlineStr">
        <is>
          <t>Select post office</t>
        </is>
      </c>
      <c r="D967" s="3">
        <f>IFERROR(__xludf.DUMMYFUNCTION("GOOGLETRANSLATE(B967,""vi"",""km"")"),"ជ្រើសរើសការិយាល័យប្រៃសណីយ៍")</f>
        <v/>
      </c>
      <c r="E967" s="3" t="inlineStr">
        <is>
          <t>ជ្រើសរើសការិយាល័យប្រៃសណីយ៍</t>
        </is>
      </c>
      <c r="F967" s="217" t="inlineStr">
        <is>
          <t>v</t>
        </is>
      </c>
      <c r="G967" s="217" t="inlineStr">
        <is>
          <t>ជ្រើសរើសការិយាល័យប្រៃសណីយ៍</t>
        </is>
      </c>
      <c r="H967" t="inlineStr">
        <is>
          <t>ជ្រើសរើសការិយាល័យប្រៃសណីយ៍</t>
        </is>
      </c>
      <c r="I967" s="74" t="inlineStr">
        <is>
          <t>ជ្រើសរើសការិយាល័យប្រៃសណីយ៍</t>
        </is>
      </c>
      <c r="J967" s="217" t="inlineStr">
        <is>
          <t>"orderStatusReport.selectPostOffice": "Select post office",</t>
        </is>
      </c>
    </row>
    <row r="968" ht="15.75" customHeight="1" s="305">
      <c r="A968" s="67" t="inlineStr">
        <is>
          <t>orderStatusReport.exportSumary</t>
        </is>
      </c>
      <c r="B968" s="67" t="inlineStr">
        <is>
          <t>Xuất tổng hợp</t>
        </is>
      </c>
      <c r="C968" s="67" t="inlineStr">
        <is>
          <t>Export summary report</t>
        </is>
      </c>
      <c r="D968" s="3">
        <f>IFERROR(__xludf.DUMMYFUNCTION("GOOGLETRANSLATE(B968,""vi"",""km"")"),"ការនាំចេញសរុប")</f>
        <v/>
      </c>
      <c r="E968" s="3" t="inlineStr">
        <is>
          <t>ចេញជាសរុប</t>
        </is>
      </c>
      <c r="F968" s="217" t="inlineStr">
        <is>
          <t>x</t>
        </is>
      </c>
      <c r="G968" s="217" t="inlineStr">
        <is>
          <t>ចេញជាសរុប</t>
        </is>
      </c>
      <c r="H968" t="inlineStr">
        <is>
          <t>ចេញជាសរុប</t>
        </is>
      </c>
      <c r="I968" s="74" t="inlineStr">
        <is>
          <t>នាំចេញរបាយការណ៍សង្ខេប</t>
        </is>
      </c>
      <c r="J968" s="217" t="inlineStr">
        <is>
          <t>"orderStatusReport.exportSumary": "Export summary report",</t>
        </is>
      </c>
    </row>
    <row r="969" ht="15.75" customHeight="1" s="305">
      <c r="A969" s="67" t="inlineStr">
        <is>
          <t>orderStatusReport.exportDetail</t>
        </is>
      </c>
      <c r="B969" s="67" t="inlineStr">
        <is>
          <t>Xuất chi tiết</t>
        </is>
      </c>
      <c r="C969" s="67" t="inlineStr">
        <is>
          <t>Export detail report</t>
        </is>
      </c>
      <c r="D969" s="3">
        <f>IFERROR(__xludf.DUMMYFUNCTION("GOOGLETRANSLATE(B969,""vi"",""km"")"),"នាំចេញព័ត៌មានលម្អិត")</f>
        <v/>
      </c>
      <c r="E969" s="3" t="inlineStr">
        <is>
          <t>ចេញលម្អិត</t>
        </is>
      </c>
      <c r="F969" s="217" t="inlineStr">
        <is>
          <t>v</t>
        </is>
      </c>
      <c r="G969" s="217" t="inlineStr">
        <is>
          <t>ចេញលម្អិត</t>
        </is>
      </c>
      <c r="H969" t="inlineStr">
        <is>
          <t>ចេញលម្អិត</t>
        </is>
      </c>
      <c r="I969" s="74" t="inlineStr">
        <is>
          <t>នាំចេញរបាយការណ៍លម្អិត</t>
        </is>
      </c>
      <c r="J969" s="217" t="inlineStr">
        <is>
          <t>"orderStatusReport.exportDetail": "Export detail report",</t>
        </is>
      </c>
    </row>
    <row r="970" ht="15.75" customHeight="1" s="305">
      <c r="A970" s="67" t="inlineStr">
        <is>
          <t>orderStatusReport.branch</t>
        </is>
      </c>
      <c r="B970" s="67" t="inlineStr">
        <is>
          <t>Chi nhánh</t>
        </is>
      </c>
      <c r="C970" s="67" t="inlineStr">
        <is>
          <t>Branch</t>
        </is>
      </c>
      <c r="D970" s="3">
        <f>IFERROR(__xludf.DUMMYFUNCTION("GOOGLETRANSLATE(B970,""vi"",""km"")"),"សាខា")</f>
        <v/>
      </c>
      <c r="E970" s="3" t="inlineStr">
        <is>
          <t>សាខា</t>
        </is>
      </c>
      <c r="F970" s="217" t="inlineStr">
        <is>
          <t>v</t>
        </is>
      </c>
      <c r="G970" s="217" t="inlineStr">
        <is>
          <t>សាខា</t>
        </is>
      </c>
      <c r="H970" t="inlineStr">
        <is>
          <t>សាខា</t>
        </is>
      </c>
      <c r="I970" s="74" t="inlineStr">
        <is>
          <t xml:space="preserve"> សាខា</t>
        </is>
      </c>
      <c r="J970" s="217" t="inlineStr">
        <is>
          <t>"orderStatusReport.branch": "Branch",</t>
        </is>
      </c>
    </row>
    <row r="971" ht="15.75" customHeight="1" s="305">
      <c r="A971" s="67" t="inlineStr">
        <is>
          <t>orderStatusReport.department</t>
        </is>
      </c>
      <c r="B971" s="67" t="inlineStr">
        <is>
          <t>Bưu cục</t>
        </is>
      </c>
      <c r="C971" s="67" t="inlineStr">
        <is>
          <t>Post office</t>
        </is>
      </c>
      <c r="D971" s="3">
        <f>IFERROR(__xludf.DUMMYFUNCTION("GOOGLETRANSLATE(B971,""vi"",""km"")"),"ការិយាល័យប្រៃសណីយ៍")</f>
        <v/>
      </c>
      <c r="E971" s="3" t="inlineStr">
        <is>
          <t>ការិយាល័យប្រៃសណីយ៍</t>
        </is>
      </c>
      <c r="F971" s="217" t="inlineStr">
        <is>
          <t>v</t>
        </is>
      </c>
      <c r="G971" s="217" t="inlineStr">
        <is>
          <t>ការិយាល័យប្រៃសណីយ៍</t>
        </is>
      </c>
      <c r="H971" t="inlineStr">
        <is>
          <t>ការិយាល័យប្រៃសណីយ៍</t>
        </is>
      </c>
      <c r="I971" s="74" t="inlineStr">
        <is>
          <t>ការិយាល័យប្រៃសណីយ៍</t>
        </is>
      </c>
      <c r="J971" s="217" t="inlineStr">
        <is>
          <t>"orderStatusReport.department": "Post office",</t>
        </is>
      </c>
    </row>
    <row r="972" ht="15.75" customHeight="1" s="305">
      <c r="A972" s="67" t="inlineStr">
        <is>
          <t>orderStatusReport.route</t>
        </is>
      </c>
      <c r="B972" s="67" t="inlineStr">
        <is>
          <t>Tuyến</t>
        </is>
      </c>
      <c r="C972" s="67" t="inlineStr">
        <is>
          <t>Route</t>
        </is>
      </c>
      <c r="D972" s="3">
        <f>IFERROR(__xludf.DUMMYFUNCTION("GOOGLETRANSLATE(B972,""vi"",""km"")"),"ផ្លូវ")</f>
        <v/>
      </c>
      <c r="E972" s="3" t="inlineStr">
        <is>
          <t>ផ្លូវដឹក</t>
        </is>
      </c>
      <c r="F972" s="217" t="inlineStr">
        <is>
          <t>x</t>
        </is>
      </c>
      <c r="G972" s="217" t="inlineStr">
        <is>
          <t>ផ្លូវដឹក</t>
        </is>
      </c>
      <c r="H972" t="inlineStr">
        <is>
          <t>ផ្លូវដឹក</t>
        </is>
      </c>
      <c r="I972" s="74" t="inlineStr">
        <is>
          <t>ផ្លូវ</t>
        </is>
      </c>
      <c r="J972" s="217" t="inlineStr">
        <is>
          <t>"orderStatusReport.route": "Route",</t>
        </is>
      </c>
    </row>
    <row r="973" ht="15.75" customHeight="1" s="305">
      <c r="A973" s="67" t="inlineStr">
        <is>
          <t>orderStatusReport.receiving</t>
        </is>
      </c>
      <c r="B973" s="67" t="inlineStr">
        <is>
          <t>Khâu nhận</t>
        </is>
      </c>
      <c r="C973" s="67" t="inlineStr">
        <is>
          <t>First-mile</t>
        </is>
      </c>
      <c r="D973" s="3">
        <f>IFERROR(__xludf.DUMMYFUNCTION("GOOGLETRANSLATE(B973,""vi"",""km"")"),"ដំណាក់កាលទទួល")</f>
        <v/>
      </c>
      <c r="E973" s="3" t="inlineStr">
        <is>
          <t>ដំណាក់កាលទទួល</t>
        </is>
      </c>
      <c r="F973" s="217" t="inlineStr">
        <is>
          <t>x</t>
        </is>
      </c>
      <c r="G973" s="217" t="inlineStr">
        <is>
          <t>ដំណាក់កាលទទួល</t>
        </is>
      </c>
      <c r="H973" t="inlineStr">
        <is>
          <t>ដំណាក់កាលទទួល</t>
        </is>
      </c>
      <c r="I973" s="74" t="inlineStr">
        <is>
          <t>ម៉ាយដំបូង</t>
        </is>
      </c>
      <c r="J973" s="217" t="inlineStr">
        <is>
          <t>"orderStatusReport.receiving": "First-mile",</t>
        </is>
      </c>
    </row>
    <row r="974" ht="15.75" customHeight="1" s="305">
      <c r="A974" s="67" t="inlineStr">
        <is>
          <t>orderStatusReport.transit</t>
        </is>
      </c>
      <c r="B974" s="67" t="inlineStr">
        <is>
          <t>Khâu trung chuyển</t>
        </is>
      </c>
      <c r="C974" s="67" t="inlineStr">
        <is>
          <t>Middle-mile</t>
        </is>
      </c>
      <c r="D974" s="3">
        <f>IFERROR(__xludf.DUMMYFUNCTION("GOOGLETRANSLATE(B974,""vi"",""km"")"),"ដំណាក់កាលផ្ទេរ")</f>
        <v/>
      </c>
      <c r="E974" s="3" t="inlineStr">
        <is>
          <t>ដំណាក់កាលដឹកបន្ត</t>
        </is>
      </c>
      <c r="F974" s="217" t="inlineStr">
        <is>
          <t>x</t>
        </is>
      </c>
      <c r="G974" s="217" t="inlineStr">
        <is>
          <t>ដំណាក់កាលដឹកបន្ត</t>
        </is>
      </c>
      <c r="H974" t="inlineStr">
        <is>
          <t>ដំណាក់កាលដឹកបន្ត</t>
        </is>
      </c>
      <c r="I974" s="74" t="inlineStr">
        <is>
          <t>ម៉ាយកណ្តាល</t>
        </is>
      </c>
      <c r="J974" s="217" t="inlineStr">
        <is>
          <t>"orderStatusReport.transit": "Middle-mile",</t>
        </is>
      </c>
    </row>
    <row r="975" ht="15.75" customHeight="1" s="305">
      <c r="A975" s="67" t="inlineStr">
        <is>
          <t>orderStatusReport.delivery</t>
        </is>
      </c>
      <c r="B975" s="67" t="inlineStr">
        <is>
          <t>Khâu phát</t>
        </is>
      </c>
      <c r="C975" s="67" t="inlineStr">
        <is>
          <t>Last-mile</t>
        </is>
      </c>
      <c r="D975" s="3">
        <f>IFERROR(__xludf.DUMMYFUNCTION("GOOGLETRANSLATE(B975,""vi"",""km"")"),"ដំណាក់កាលចែកចាយ")</f>
        <v/>
      </c>
      <c r="E975" s="3" t="inlineStr">
        <is>
          <t>ដំណាក់កាលប្រគល់</t>
        </is>
      </c>
      <c r="F975" s="217" t="inlineStr">
        <is>
          <t>x</t>
        </is>
      </c>
      <c r="G975" s="217" t="inlineStr">
        <is>
          <t>ដំណាក់កាលប្រគល់</t>
        </is>
      </c>
      <c r="H975" t="inlineStr">
        <is>
          <t>ដំណាក់កាលប្រគល់</t>
        </is>
      </c>
      <c r="I975" s="74" t="inlineStr">
        <is>
          <t>ម៉ាយចុងក្រោយ</t>
        </is>
      </c>
      <c r="J975" s="217" t="inlineStr">
        <is>
          <t>"orderStatusReport.delivery": "Last-mile",</t>
        </is>
      </c>
    </row>
    <row r="976" ht="15.75" customHeight="1" s="305">
      <c r="A976" s="67" t="inlineStr">
        <is>
          <t>orderStatusReport.totalOrder</t>
        </is>
      </c>
      <c r="B976" s="67" t="inlineStr">
        <is>
          <t>Tổng đơn</t>
        </is>
      </c>
      <c r="C976" s="67" t="inlineStr">
        <is>
          <t>Total number of order</t>
        </is>
      </c>
      <c r="D976" s="3">
        <f>IFERROR(__xludf.DUMMYFUNCTION("GOOGLETRANSLATE(B976,""vi"",""km"")"),"ការបញ្ជាទិញសរុប")</f>
        <v/>
      </c>
      <c r="E976" s="3" t="inlineStr">
        <is>
          <t>សរុបបុងបញ្ញើ</t>
        </is>
      </c>
      <c r="F976" s="217" t="inlineStr">
        <is>
          <t>v</t>
        </is>
      </c>
      <c r="G976" s="217" t="inlineStr">
        <is>
          <t>សរុបបុងបញ្ញើ</t>
        </is>
      </c>
      <c r="H976" t="inlineStr">
        <is>
          <t>សរុបបុងបញ្ញើ</t>
        </is>
      </c>
      <c r="I976" s="74" t="inlineStr">
        <is>
          <t>ចំនួនសរុបនៃការបញ្ជាទិញ</t>
        </is>
      </c>
      <c r="J976" s="217" t="inlineStr">
        <is>
          <t>"orderStatusReport.totalOrder": "Total number of order",</t>
        </is>
      </c>
    </row>
    <row r="977" ht="15.75" customHeight="1" s="305">
      <c r="A977" s="67" t="inlineStr">
        <is>
          <t>orderStatusReport.totalFee</t>
        </is>
      </c>
      <c r="B977" s="67" t="inlineStr">
        <is>
          <t>Tổng cước</t>
        </is>
      </c>
      <c r="C977" s="67" t="inlineStr">
        <is>
          <t>Total fee</t>
        </is>
      </c>
      <c r="D977" s="3">
        <f>IFERROR(__xludf.DUMMYFUNCTION("GOOGLETRANSLATE(B977,""vi"",""km"")"),"ការគិតថ្លៃសរុប")</f>
        <v/>
      </c>
      <c r="E977" s="3" t="inlineStr">
        <is>
          <t>សរុុបថ្លៃសេវា</t>
        </is>
      </c>
      <c r="F977" s="217" t="inlineStr">
        <is>
          <t>v</t>
        </is>
      </c>
      <c r="G977" s="217" t="inlineStr">
        <is>
          <t>ថ្លៃដឹកជញ្ជូនសរុប</t>
        </is>
      </c>
      <c r="H977" t="inlineStr">
        <is>
          <t>ថ្លៃដឹកជញ្ជូនសរុប</t>
        </is>
      </c>
      <c r="I977" s="74" t="inlineStr">
        <is>
          <t>តម្លៃសរុប</t>
        </is>
      </c>
      <c r="J977" s="217" t="inlineStr">
        <is>
          <t>"orderStatusReport.totalFee": "Total fee",</t>
        </is>
      </c>
    </row>
    <row r="978" ht="15.75" customHeight="1" s="305">
      <c r="A978" s="67" t="inlineStr">
        <is>
          <t>orderStatusReport.cod</t>
        </is>
      </c>
      <c r="B978" s="67" t="inlineStr">
        <is>
          <t>COD</t>
        </is>
      </c>
      <c r="C978" s="67" t="inlineStr">
        <is>
          <t>COD</t>
        </is>
      </c>
      <c r="D978" s="3">
        <f>IFERROR(__xludf.DUMMYFUNCTION("GOOGLETRANSLATE(B978,""vi"",""km"")"),"ប្រតិបត្តិការ​ទូទាត់​ថ្លៃ​សេវា​ (COD)")</f>
        <v/>
      </c>
      <c r="E978" s="3" t="inlineStr">
        <is>
          <t>COD</t>
        </is>
      </c>
      <c r="F978" s="217" t="inlineStr">
        <is>
          <t>v</t>
        </is>
      </c>
      <c r="G978" s="217" t="inlineStr">
        <is>
          <t>ប្រាក់ COD</t>
        </is>
      </c>
      <c r="H978" t="inlineStr">
        <is>
          <t>ប្រាក់ COD</t>
        </is>
      </c>
      <c r="I978" s="74" t="inlineStr">
        <is>
          <t>COD</t>
        </is>
      </c>
      <c r="J978" s="217" t="inlineStr">
        <is>
          <t>"orderStatusReport.cod": "COD",</t>
        </is>
      </c>
    </row>
    <row r="979" ht="15.75" customHeight="1" s="305">
      <c r="A979" s="67" t="inlineStr">
        <is>
          <t>orderStatusReport.exportSuccess</t>
        </is>
      </c>
      <c r="B979" s="67" t="inlineStr">
        <is>
          <t>Xuất excel thành công</t>
        </is>
      </c>
      <c r="C979" s="67" t="inlineStr">
        <is>
          <t>Export sucessfully</t>
        </is>
      </c>
      <c r="D979" s="3">
        <f>IFERROR(__xludf.DUMMYFUNCTION("GOOGLETRANSLATE(B979,""vi"",""km"")"),"នាំចេញទៅ Excel ដោយជោគជ័យ")</f>
        <v/>
      </c>
      <c r="E979" s="3" t="inlineStr">
        <is>
          <t>ចេញ Excel បានជោគជ័យ</t>
        </is>
      </c>
      <c r="F979" s="217" t="inlineStr">
        <is>
          <t>v</t>
        </is>
      </c>
      <c r="G979" s="217" t="inlineStr">
        <is>
          <t>ចេញ Excel បានជោគជ័យ</t>
        </is>
      </c>
      <c r="H979" t="inlineStr">
        <is>
          <t>ចេញ Excel បានជោគជ័យ</t>
        </is>
      </c>
      <c r="I979" s="74" t="inlineStr">
        <is>
          <t>នាំចេញដោយជោគជ័យ</t>
        </is>
      </c>
      <c r="J979" s="217" t="inlineStr">
        <is>
          <t>"orderStatusReport.exportSuccess": "Export sucessfully",</t>
        </is>
      </c>
    </row>
    <row r="980" ht="15.75" customHeight="1" s="305">
      <c r="A980" s="67" t="inlineStr">
        <is>
          <t>orderStatusReport.sumaryReport</t>
        </is>
      </c>
      <c r="B980" s="67" t="inlineStr">
        <is>
          <t>Bao cao tong hop don hang</t>
        </is>
      </c>
      <c r="C980" s="67" t="inlineStr">
        <is>
          <t>Summary report</t>
        </is>
      </c>
      <c r="D980" s="3">
        <f>IFERROR(__xludf.DUMMYFUNCTION("GOOGLETRANSLATE(B980,""vi"",""km"")"),"របាយការណ៍សង្ខេបការបញ្ជាទិញ")</f>
        <v/>
      </c>
      <c r="E980" s="3" t="inlineStr">
        <is>
          <t>របាយការណ៍សរុបពីបុងបញ្ញើ</t>
        </is>
      </c>
      <c r="F980" s="217" t="inlineStr">
        <is>
          <t>v</t>
        </is>
      </c>
      <c r="G980" s="217" t="inlineStr">
        <is>
          <t>របាយការណ៍សរុបពីបុងបញ្ញើ</t>
        </is>
      </c>
      <c r="H980" t="inlineStr">
        <is>
          <t>របាយការណ៍សរុបពីបុងបញ្ញើ</t>
        </is>
      </c>
      <c r="I980" s="74" t="inlineStr">
        <is>
          <t>របាយការណ៍សង្ខេប</t>
        </is>
      </c>
      <c r="J980" s="217" t="inlineStr">
        <is>
          <t>"orderStatusReport.sumaryReport": "Summary report",</t>
        </is>
      </c>
    </row>
    <row r="981" ht="15.75" customHeight="1" s="305">
      <c r="A981" s="67" t="inlineStr">
        <is>
          <t>orderStatusReport.orderStatusDetailReport</t>
        </is>
      </c>
      <c r="B981" s="67" t="inlineStr">
        <is>
          <t>Bao cao chi tiet don hang theo trang thai</t>
        </is>
      </c>
      <c r="C981" s="67" t="inlineStr">
        <is>
          <t>Order status detail report</t>
        </is>
      </c>
      <c r="D981" s="3">
        <f>IFERROR(__xludf.DUMMYFUNCTION("GOOGLETRANSLATE(B981,""vi"",""km"")"),"របាយការណ៍ស្ថានភាពបញ្ជាទិញលម្អិត")</f>
        <v/>
      </c>
      <c r="E981" s="3" t="inlineStr">
        <is>
          <t>របាយការណ៍លម្អិតពីបុងបញ្ញើតាមស្ថានភាព</t>
        </is>
      </c>
      <c r="F981" s="217" t="inlineStr">
        <is>
          <t>v</t>
        </is>
      </c>
      <c r="G981" s="217" t="inlineStr">
        <is>
          <t>របាយការណ៍លម្អិតពីបុងបញ្ញើតាមស្ថានភាព</t>
        </is>
      </c>
      <c r="H981" t="inlineStr">
        <is>
          <t>របាយការណ៍លម្អិតពីបុងបញ្ញើតាមស្ថានភាព</t>
        </is>
      </c>
      <c r="I981" s="74" t="inlineStr">
        <is>
          <t>របាយការណ៍លម្អិតស្ថានភាពការបញ្ជាទិញ</t>
        </is>
      </c>
      <c r="J981" s="217" t="inlineStr">
        <is>
          <t>"orderStatusReport.orderStatusDetailReport": "Order status detail report",</t>
        </is>
      </c>
    </row>
    <row r="982" ht="15.75" customHeight="1" s="305">
      <c r="A982" s="67" t="inlineStr">
        <is>
          <t>mainStatus.100</t>
        </is>
      </c>
      <c r="B982" s="67" t="inlineStr">
        <is>
          <t>Tạo mới</t>
        </is>
      </c>
      <c r="C982" s="67" t="inlineStr">
        <is>
          <t>New</t>
        </is>
      </c>
      <c r="D982" s="3">
        <f>IFERROR(__xludf.DUMMYFUNCTION("GOOGLETRANSLATE(B982,""vi"",""km"")"),"បង្កើតថ្មី")</f>
        <v/>
      </c>
      <c r="E982" s="3" t="inlineStr">
        <is>
          <t>បង្កើតថ្មី</t>
        </is>
      </c>
      <c r="F982" s="217" t="inlineStr">
        <is>
          <t>v</t>
        </is>
      </c>
      <c r="G982" s="217" t="inlineStr">
        <is>
          <t>បង្កើតថ្មី</t>
        </is>
      </c>
      <c r="H982" t="inlineStr">
        <is>
          <t>បង្កើតថ្មី</t>
        </is>
      </c>
      <c r="I982" s="74" t="inlineStr">
        <is>
          <t>ថ្មី។</t>
        </is>
      </c>
      <c r="J982" s="217" t="inlineStr">
        <is>
          <t>"mainStatus.100": "New",</t>
        </is>
      </c>
    </row>
    <row r="983" ht="15.75" customHeight="1" s="305">
      <c r="A983" s="67" t="inlineStr">
        <is>
          <t>mainStatus.110</t>
        </is>
      </c>
      <c r="B983" s="67" t="inlineStr">
        <is>
          <t>Chưa tiếp nhận</t>
        </is>
      </c>
      <c r="C983" s="67" t="inlineStr">
        <is>
          <t>Confirmed</t>
        </is>
      </c>
      <c r="D983" s="3">
        <f>IFERROR(__xludf.DUMMYFUNCTION("GOOGLETRANSLATE(B983,""vi"",""km"")"),"មិនទាន់ទទួលបាននៅឡើយទេ")</f>
        <v/>
      </c>
      <c r="E983" s="3" t="inlineStr">
        <is>
          <t>មិនទាន់បានទទួល</t>
        </is>
      </c>
      <c r="F983" s="217" t="inlineStr">
        <is>
          <t>v</t>
        </is>
      </c>
      <c r="G983" s="217" t="inlineStr">
        <is>
          <t>មិនទាន់ទទួល</t>
        </is>
      </c>
      <c r="H983" t="inlineStr">
        <is>
          <t>មិនទាន់ទទួល</t>
        </is>
      </c>
      <c r="I983" s="74" t="inlineStr">
        <is>
          <t>បញ្ជាក់</t>
        </is>
      </c>
      <c r="J983" s="217" t="inlineStr">
        <is>
          <t>"mainStatus.110": "Confirmed",</t>
        </is>
      </c>
    </row>
    <row r="984" ht="15.75" customHeight="1" s="305">
      <c r="A984" s="67" t="inlineStr">
        <is>
          <t>mainStatus.120</t>
        </is>
      </c>
      <c r="B984" s="67" t="inlineStr">
        <is>
          <t>Đã tiếp nhận</t>
        </is>
      </c>
      <c r="C984" s="67" t="inlineStr">
        <is>
          <t>Waiting to receive</t>
        </is>
      </c>
      <c r="D984" s="3">
        <f>IFERROR(__xludf.DUMMYFUNCTION("GOOGLETRANSLATE(B984,""vi"",""km"")"),"បានទទួល")</f>
        <v/>
      </c>
      <c r="E984" s="3" t="inlineStr">
        <is>
          <t>បានទទួល</t>
        </is>
      </c>
      <c r="F984" s="217" t="inlineStr">
        <is>
          <t>v</t>
        </is>
      </c>
      <c r="G984" s="217" t="inlineStr">
        <is>
          <t>បានទទួល</t>
        </is>
      </c>
      <c r="H984" t="inlineStr">
        <is>
          <t>បានទទួល</t>
        </is>
      </c>
      <c r="I984" s="74" t="inlineStr">
        <is>
          <t>រង់ចាំទទួល</t>
        </is>
      </c>
      <c r="J984" s="217" t="inlineStr">
        <is>
          <t>"mainStatus.120": "Waiting to receive",</t>
        </is>
      </c>
    </row>
    <row r="985" ht="15.75" customHeight="1" s="305">
      <c r="A985" s="67" t="inlineStr">
        <is>
          <t>mainStatus.200</t>
        </is>
      </c>
      <c r="B985" s="67" t="inlineStr">
        <is>
          <t>Đang lấy hàng</t>
        </is>
      </c>
      <c r="C985" s="67" t="inlineStr">
        <is>
          <t>Receiving</t>
        </is>
      </c>
      <c r="D985" s="3">
        <f>IFERROR(__xludf.DUMMYFUNCTION("GOOGLETRANSLATE(B985,""vi"",""km"")"),"កំពុង​ទៅ​យក​ទំនិញ")</f>
        <v/>
      </c>
      <c r="E985" s="3" t="inlineStr">
        <is>
          <t>កំពុងយកអីវ៉ាន់</t>
        </is>
      </c>
      <c r="F985" s="217" t="inlineStr">
        <is>
          <t>v</t>
        </is>
      </c>
      <c r="G985" s="217" t="inlineStr">
        <is>
          <t>កំពុងទៅយកអីវ៉ាន់</t>
        </is>
      </c>
      <c r="H985" t="inlineStr">
        <is>
          <t>កំពុងទៅយកអីវ៉ាន់</t>
        </is>
      </c>
      <c r="I985" s="74" t="inlineStr">
        <is>
          <t>កំពុងទទួល</t>
        </is>
      </c>
      <c r="J985" s="217" t="inlineStr">
        <is>
          <t>"mainStatus.200": "Receiving",</t>
        </is>
      </c>
    </row>
    <row r="986" ht="15.75" customHeight="1" s="305">
      <c r="A986" s="67" t="inlineStr">
        <is>
          <t>mainStatus.210</t>
        </is>
      </c>
      <c r="B986" s="67" t="inlineStr">
        <is>
          <t>Đã lấy hàng</t>
        </is>
      </c>
      <c r="C986" s="67" t="inlineStr">
        <is>
          <t>Received</t>
        </is>
      </c>
      <c r="D986" s="3">
        <f>IFERROR(__xludf.DUMMYFUNCTION("GOOGLETRANSLATE(B986,""vi"",""km"")"),"ទំនិញត្រូវបានទទួល។")</f>
        <v/>
      </c>
      <c r="E986" s="3" t="inlineStr">
        <is>
          <t>បានយកអីវ៉ាន់</t>
        </is>
      </c>
      <c r="F986" s="217" t="inlineStr">
        <is>
          <t>v</t>
        </is>
      </c>
      <c r="G986" s="217" t="inlineStr">
        <is>
          <t>បានយកអីវ៉ាន់រួចរាល់</t>
        </is>
      </c>
      <c r="H986" t="inlineStr">
        <is>
          <t>បានយកអីវ៉ាន់រួចរាល់</t>
        </is>
      </c>
      <c r="I986" s="74" t="inlineStr">
        <is>
          <t>បានទទួល</t>
        </is>
      </c>
      <c r="J986" s="217" t="inlineStr">
        <is>
          <t>"mainStatus.210": "Received",</t>
        </is>
      </c>
    </row>
    <row r="987" ht="15.75" customHeight="1" s="305">
      <c r="A987" s="67" t="inlineStr">
        <is>
          <t>mainStatus.220</t>
        </is>
      </c>
      <c r="B987" s="67" t="inlineStr">
        <is>
          <t>Hẹn lấy lại</t>
        </is>
      </c>
      <c r="C987" s="67" t="inlineStr">
        <is>
          <t>Receive again</t>
        </is>
      </c>
      <c r="D987" s="3">
        <f>IFERROR(__xludf.DUMMYFUNCTION("GOOGLETRANSLATE(B987,""vi"",""km"")"),"ជួបគ្នាម្តងទៀត")</f>
        <v/>
      </c>
      <c r="E987" s="3" t="inlineStr">
        <is>
          <t>ណាត់យកម្តងទៀត</t>
        </is>
      </c>
      <c r="F987" s="217" t="inlineStr">
        <is>
          <t>v</t>
        </is>
      </c>
      <c r="G987" s="217" t="inlineStr">
        <is>
          <t>ណាត់ពេលទៅយកម្តងទៀត</t>
        </is>
      </c>
      <c r="H987" t="inlineStr">
        <is>
          <t>ណាត់ពេលទៅយកម្តងទៀត</t>
        </is>
      </c>
      <c r="I987" s="74" t="inlineStr">
        <is>
          <t>ទទួលម្តងទៀត</t>
        </is>
      </c>
      <c r="J987" s="217" t="inlineStr">
        <is>
          <t>"mainStatus.220": "Receive again",</t>
        </is>
      </c>
    </row>
    <row r="988" ht="15.75" customHeight="1" s="305">
      <c r="A988" s="67" t="inlineStr">
        <is>
          <t>mainStatus.230</t>
        </is>
      </c>
      <c r="B988" s="67" t="inlineStr">
        <is>
          <t>Không lấy được hàng</t>
        </is>
      </c>
      <c r="C988" s="67" t="inlineStr">
        <is>
          <t>Receive failed</t>
        </is>
      </c>
      <c r="D988" s="3">
        <f>IFERROR(__xludf.DUMMYFUNCTION("GOOGLETRANSLATE(B988,""vi"",""km"")"),"មិនអាចទទួលទំនិញបានទេ។")</f>
        <v/>
      </c>
      <c r="E988" s="3" t="inlineStr">
        <is>
          <t>មិនអាចយកអីវ៉ាន់បាន</t>
        </is>
      </c>
      <c r="F988" s="217" t="inlineStr">
        <is>
          <t>v</t>
        </is>
      </c>
      <c r="G988" s="217" t="inlineStr">
        <is>
          <t>យកអីវ៉ាន់មិនបានសម្រេច</t>
        </is>
      </c>
      <c r="H988" t="inlineStr">
        <is>
          <t>យកអីវ៉ាន់មិនបានសម្រេច</t>
        </is>
      </c>
      <c r="I988" s="74" t="inlineStr">
        <is>
          <t>ការទទួលបរាជ័យ</t>
        </is>
      </c>
      <c r="J988" s="217" t="inlineStr">
        <is>
          <t>"mainStatus.230": "Receive failed",</t>
        </is>
      </c>
    </row>
    <row r="989" ht="15.75" customHeight="1" s="305">
      <c r="A989" s="67" t="inlineStr">
        <is>
          <t>mainStatus.201</t>
        </is>
      </c>
      <c r="B989" s="67" t="inlineStr">
        <is>
          <t>Hủy đơn</t>
        </is>
      </c>
      <c r="C989" s="67" t="inlineStr">
        <is>
          <t>Cancelled</t>
        </is>
      </c>
      <c r="D989" s="3">
        <f>IFERROR(__xludf.DUMMYFUNCTION("GOOGLETRANSLATE(B989,""vi"",""km"")"),"លុបចោលការបញ្ជាទិញ")</f>
        <v/>
      </c>
      <c r="E989" s="3" t="inlineStr">
        <is>
          <t>លុបបុងបញ្ញើ</t>
        </is>
      </c>
      <c r="F989" s="217" t="inlineStr">
        <is>
          <t>v</t>
        </is>
      </c>
      <c r="G989" s="217" t="inlineStr">
        <is>
          <t>លុបបុងចោល</t>
        </is>
      </c>
      <c r="H989" t="inlineStr">
        <is>
          <t>លុបបុងចោល</t>
        </is>
      </c>
      <c r="I989" s="74" t="inlineStr">
        <is>
          <t>បានលុបចោល</t>
        </is>
      </c>
      <c r="J989" s="217" t="inlineStr">
        <is>
          <t>"mainStatus.201": "Cancelled",</t>
        </is>
      </c>
    </row>
    <row r="990" ht="15.75" customHeight="1" s="305">
      <c r="A990" s="67" t="inlineStr">
        <is>
          <t>mainStatus.300</t>
        </is>
      </c>
      <c r="B990" s="67" t="inlineStr">
        <is>
          <t>Gán đơn vào tải</t>
        </is>
      </c>
      <c r="C990" s="67" t="inlineStr">
        <is>
          <t>Assign order to sack</t>
        </is>
      </c>
      <c r="D990" s="3">
        <f>IFERROR(__xludf.DUMMYFUNCTION("GOOGLETRANSLATE(B990,""vi"",""km"")"),"កំណត់ការបញ្ជាទិញទៅបន្ទុក")</f>
        <v/>
      </c>
      <c r="E990" s="3" t="inlineStr">
        <is>
          <t>ភ្ជាប់បុងចូលក្នុង១ជើងដឹក</t>
        </is>
      </c>
      <c r="F990" s="217" t="inlineStr">
        <is>
          <t>x</t>
        </is>
      </c>
      <c r="G990" s="217" t="inlineStr">
        <is>
          <t>ភ្ជាប់បុងចូលក្នុង១ជើងដឹក</t>
        </is>
      </c>
      <c r="H990" t="inlineStr">
        <is>
          <t>ភ្ជាប់បុងចូលក្នុង១ជើងដឹក</t>
        </is>
      </c>
      <c r="I990" s="74" t="inlineStr">
        <is>
          <t>កំណត់ការបញ្ជាទិញដើម្បីផ្ទុក</t>
        </is>
      </c>
      <c r="J990" s="217" t="inlineStr">
        <is>
          <t>"mainStatus.300": "Assign order to sack",</t>
        </is>
      </c>
    </row>
    <row r="991" ht="15.75" customHeight="1" s="305">
      <c r="A991" s="67" t="inlineStr">
        <is>
          <t>mainStatus.301</t>
        </is>
      </c>
      <c r="B991" s="67" t="inlineStr">
        <is>
          <t>Loại bỏ đơn khỏi tải</t>
        </is>
      </c>
      <c r="C991" s="67" t="inlineStr">
        <is>
          <t>Remove order from sack</t>
        </is>
      </c>
      <c r="D991" s="3">
        <f>IFERROR(__xludf.DUMMYFUNCTION("GOOGLETRANSLATE(B991,""vi"",""km"")"),"យកលំដាប់ចេញពីបន្ទុក។")</f>
        <v/>
      </c>
      <c r="E991" s="3" t="inlineStr">
        <is>
          <t>លុបបុុងចេញពីជើងដឹក</t>
        </is>
      </c>
      <c r="F991" s="217" t="inlineStr">
        <is>
          <t>x</t>
        </is>
      </c>
      <c r="G991" s="217" t="inlineStr">
        <is>
          <t>ដកបុងចេញពីបាវ</t>
        </is>
      </c>
      <c r="H991" t="inlineStr">
        <is>
          <t>ដកបុងចេញពីបាវ</t>
        </is>
      </c>
      <c r="I991" s="74" t="inlineStr">
        <is>
          <t>ដកការបញ្ជាទិញចេញពីការផ្ទុក</t>
        </is>
      </c>
      <c r="J991" s="217" t="inlineStr">
        <is>
          <t>"mainStatus.301": "Remove order from sack",</t>
        </is>
      </c>
    </row>
    <row r="992" ht="15.75" customHeight="1" s="305">
      <c r="A992" s="67" t="inlineStr">
        <is>
          <t>mainStatus.302</t>
        </is>
      </c>
      <c r="B992" s="67" t="inlineStr">
        <is>
          <t>Hoàn thành tải</t>
        </is>
      </c>
      <c r="C992" s="67" t="inlineStr">
        <is>
          <t>Sack completed</t>
        </is>
      </c>
      <c r="D992" s="3">
        <f>IFERROR(__xludf.DUMMYFUNCTION("GOOGLETRANSLATE(B992,""vi"",""km"")"),"ការទាញយកបានបញ្ចប់")</f>
        <v/>
      </c>
      <c r="E992" s="3" t="inlineStr">
        <is>
          <t>រៀបចំអីវ៉ាន់ដាក់ឡានបានជោគជ័យ</t>
        </is>
      </c>
      <c r="F992" s="217" t="inlineStr">
        <is>
          <t>x</t>
        </is>
      </c>
      <c r="G992" s="217" t="inlineStr">
        <is>
          <t>ច្រកបាវរួចរាល់</t>
        </is>
      </c>
      <c r="H992" t="inlineStr">
        <is>
          <t>ច្រកបាវរួចរាល់</t>
        </is>
      </c>
      <c r="I992" s="74" t="inlineStr">
        <is>
          <t>ការផ្ទុកពេញលេញ</t>
        </is>
      </c>
      <c r="J992" s="217" t="inlineStr">
        <is>
          <t>"mainStatus.302": "Sack completed",</t>
        </is>
      </c>
    </row>
    <row r="993" ht="15.75" customHeight="1" s="305">
      <c r="A993" s="67" t="inlineStr">
        <is>
          <t>mainStatus.303</t>
        </is>
      </c>
      <c r="B993" s="67" t="inlineStr">
        <is>
          <t>Gửi yêu cầu vận tải</t>
        </is>
      </c>
      <c r="C993" s="67" t="inlineStr">
        <is>
          <t>Send transport request</t>
        </is>
      </c>
      <c r="D993" s="3">
        <f>IFERROR(__xludf.DUMMYFUNCTION("GOOGLETRANSLATE(B993,""vi"",""km"")"),"ដាក់ស្នើសំណើដឹកជញ្ជូន។")</f>
        <v/>
      </c>
      <c r="E993" s="3" t="inlineStr">
        <is>
          <t>ផ្តល់ការស្នើសុំការដឹក</t>
        </is>
      </c>
      <c r="F993" s="217" t="inlineStr">
        <is>
          <t>x</t>
        </is>
      </c>
      <c r="G993" s="217" t="inlineStr">
        <is>
          <t>ផ្ញើសំណើដឹកជញ្ជូន</t>
        </is>
      </c>
      <c r="H993" t="inlineStr">
        <is>
          <t>ផ្ញើសំណើដឹកជញ្ជូន</t>
        </is>
      </c>
      <c r="I993" s="74" t="inlineStr">
        <is>
          <t>ផ្ញើសំណើដឹកជញ្ជូន</t>
        </is>
      </c>
      <c r="J993" s="217" t="inlineStr">
        <is>
          <t>"mainStatus.303": "Send transport request",</t>
        </is>
      </c>
    </row>
    <row r="994" ht="15.75" customHeight="1" s="305">
      <c r="A994" s="67" t="inlineStr">
        <is>
          <t>mainStatus.304</t>
        </is>
      </c>
      <c r="B994" s="67" t="inlineStr">
        <is>
          <t>Xác nhận đến đơn vị (checkin)</t>
        </is>
      </c>
      <c r="C994" s="67" t="inlineStr">
        <is>
          <t>Confirm arrival at unit</t>
        </is>
      </c>
      <c r="D994" s="3">
        <f>IFERROR(__xludf.DUMMYFUNCTION("GOOGLETRANSLATE(B994,""vi"",""km"")"),"ការបញ្ជាក់ពីការមកដល់អង្គភាព (ការចុះឈ្មោះចូល)")</f>
        <v/>
      </c>
      <c r="E994" s="3" t="inlineStr">
        <is>
          <t>បញ្ជាក់ទៅដល់អង្គភាព checkin</t>
        </is>
      </c>
      <c r="F994" s="217" t="inlineStr">
        <is>
          <t>x</t>
        </is>
      </c>
      <c r="G994" s="217" t="inlineStr">
        <is>
          <t>បញ្ជាក់ទៅដល់អង្គភាព checkin</t>
        </is>
      </c>
      <c r="H994" t="inlineStr">
        <is>
          <t>បញ្ជាក់ទៅដល់អង្គភាព checkin</t>
        </is>
      </c>
      <c r="I994" s="74" t="inlineStr">
        <is>
          <t>បញ្ជាក់ការមកដល់នៅអង្គភាព</t>
        </is>
      </c>
      <c r="J994" s="217" t="inlineStr">
        <is>
          <t>"mainStatus.304": "Confirm arrival at unit",</t>
        </is>
      </c>
    </row>
    <row r="995" ht="15.75" customHeight="1" s="305">
      <c r="A995" s="67" t="inlineStr">
        <is>
          <t>mainStatus.305</t>
        </is>
      </c>
      <c r="B995" s="67" t="inlineStr">
        <is>
          <t>Tạo bàn giao</t>
        </is>
      </c>
      <c r="C995" s="67" t="inlineStr">
        <is>
          <t>Create a new handover</t>
        </is>
      </c>
      <c r="D995" s="3">
        <f>IFERROR(__xludf.DUMMYFUNCTION("GOOGLETRANSLATE(B995,""vi"",""km"")"),"បង្កើតការប្រគល់")</f>
        <v/>
      </c>
      <c r="E995" s="3" t="inlineStr">
        <is>
          <t>ធ្វើការប្រគល់</t>
        </is>
      </c>
      <c r="F995" s="217" t="inlineStr">
        <is>
          <t>v</t>
        </is>
      </c>
      <c r="G995" s="217" t="inlineStr">
        <is>
          <t>បង្កើតការប្រគល់ទទួល</t>
        </is>
      </c>
      <c r="H995" t="inlineStr">
        <is>
          <t>បង្កើតការប្រគល់ទទួល</t>
        </is>
      </c>
      <c r="I995" s="74" t="inlineStr">
        <is>
          <t>បង្កើតការប្រគល់ថ្មី។</t>
        </is>
      </c>
      <c r="J995" s="217" t="inlineStr">
        <is>
          <t>"mainStatus.305": "Create a new handover",</t>
        </is>
      </c>
    </row>
    <row r="996" ht="15.75" customHeight="1" s="305">
      <c r="A996" s="67" t="inlineStr">
        <is>
          <t>mainStatus.306</t>
        </is>
      </c>
      <c r="B996" s="67" t="inlineStr">
        <is>
          <t>Nhận bàn giao</t>
        </is>
      </c>
      <c r="C996" s="67" t="inlineStr">
        <is>
          <t>Accept handover</t>
        </is>
      </c>
      <c r="D996" s="3">
        <f>IFERROR(__xludf.DUMMYFUNCTION("GOOGLETRANSLATE(B996,""vi"",""km"")"),"ស្វែងរកការប្រគល់")</f>
        <v/>
      </c>
      <c r="E996" s="3" t="inlineStr">
        <is>
          <t>ទទួលយកការប្រគល់</t>
        </is>
      </c>
      <c r="F996" s="217" t="inlineStr">
        <is>
          <t>v</t>
        </is>
      </c>
      <c r="G996" s="217" t="inlineStr">
        <is>
          <t>ទទួលការប្រគល់ទទួល</t>
        </is>
      </c>
      <c r="H996" t="inlineStr">
        <is>
          <t>ទទួលការប្រគល់ទទួល</t>
        </is>
      </c>
      <c r="I996" s="74" t="inlineStr">
        <is>
          <t>ទទួលយកការប្រគល់</t>
        </is>
      </c>
      <c r="J996" s="217" t="inlineStr">
        <is>
          <t>"mainStatus.306": "Accept handover",</t>
        </is>
      </c>
    </row>
    <row r="997" ht="15.75" customHeight="1" s="305">
      <c r="A997" s="67" t="inlineStr">
        <is>
          <t>mainStatus.307</t>
        </is>
      </c>
      <c r="B997" s="67" t="inlineStr">
        <is>
          <t>Từ chối nhận bàn giao</t>
        </is>
      </c>
      <c r="C997" s="67" t="inlineStr">
        <is>
          <t>Reject</t>
        </is>
      </c>
      <c r="D997" s="3">
        <f>IFERROR(__xludf.DUMMYFUNCTION("GOOGLETRANSLATE(B997,""vi"",""km"")"),"បដិសេធមិនទទួលយកការប្រគល់ជូន។")</f>
        <v/>
      </c>
      <c r="E997" s="3" t="inlineStr">
        <is>
          <t>បដិសេដការទទួលយកការប្រគល់</t>
        </is>
      </c>
      <c r="F997" s="217" t="inlineStr">
        <is>
          <t>v</t>
        </is>
      </c>
      <c r="G997" s="217" t="inlineStr">
        <is>
          <t>បដិសេធទទួលការប្រគល់</t>
        </is>
      </c>
      <c r="H997" t="inlineStr">
        <is>
          <t>បដិសេធទទួលការប្រគល់</t>
        </is>
      </c>
      <c r="I997" s="74" t="inlineStr">
        <is>
          <t>បដិសេធ</t>
        </is>
      </c>
      <c r="J997" s="217" t="inlineStr">
        <is>
          <t>"mainStatus.307": "Reject",</t>
        </is>
      </c>
    </row>
    <row r="998" ht="15.75" customHeight="1" s="305">
      <c r="A998" s="67" t="inlineStr">
        <is>
          <t>mainStatus.308</t>
        </is>
      </c>
      <c r="B998" s="67" t="inlineStr">
        <is>
          <t>Xác nhận rời đơn vị (checkout)</t>
        </is>
      </c>
      <c r="C998" s="67" t="inlineStr">
        <is>
          <t>Confirm departure from unit</t>
        </is>
      </c>
      <c r="D998" s="3">
        <f>IFERROR(__xludf.DUMMYFUNCTION("GOOGLETRANSLATE(B998,""vi"",""km"")"),"ការបញ្ជាក់ពីការចាកចេញពីអង្គភាព (ទូទាត់ប្រាក់)")</f>
        <v/>
      </c>
      <c r="E998" s="3" t="inlineStr">
        <is>
          <t>បញ្ជាក់ចេញពីអង្គភាព checkout</t>
        </is>
      </c>
      <c r="F998" s="217" t="inlineStr">
        <is>
          <t>x</t>
        </is>
      </c>
      <c r="G998" s="217" t="inlineStr">
        <is>
          <t>បញ្ជាក់ចេញពីអង្គភាព checkout</t>
        </is>
      </c>
      <c r="H998" t="inlineStr">
        <is>
          <t>បញ្ជាក់ចេញពីអង្គភាព checkout</t>
        </is>
      </c>
      <c r="I998" s="74" t="inlineStr">
        <is>
          <t>បញ្ជាក់ការចាកចេញពីអង្គភាព</t>
        </is>
      </c>
      <c r="J998" s="217" t="inlineStr">
        <is>
          <t>"mainStatus.308": "Confirm departure from unit",</t>
        </is>
      </c>
    </row>
    <row r="999" ht="15.75" customHeight="1" s="305">
      <c r="A999" s="67" t="inlineStr">
        <is>
          <t>mainStatus.309</t>
        </is>
      </c>
      <c r="B999" s="67" t="inlineStr">
        <is>
          <t>Nhận bưu gửi</t>
        </is>
      </c>
      <c r="C999" s="67" t="inlineStr">
        <is>
          <t>Receive bill</t>
        </is>
      </c>
      <c r="D999" s="3">
        <f>IFERROR(__xludf.DUMMYFUNCTION("GOOGLETRANSLATE(B999,""vi"",""km"")"),"ទទួល​សំបុត្រ")</f>
        <v/>
      </c>
      <c r="E999" s="3" t="inlineStr">
        <is>
          <t>ទទួលអីវ៉ាន់បញ្ញើ</t>
        </is>
      </c>
      <c r="F999" s="217" t="inlineStr">
        <is>
          <t>v</t>
        </is>
      </c>
      <c r="G999" s="217" t="inlineStr">
        <is>
          <t>ទទួលបុងបញ្ញើ</t>
        </is>
      </c>
      <c r="H999" t="inlineStr">
        <is>
          <t>ទទួលបុងបញ្ញើ</t>
        </is>
      </c>
      <c r="I999" s="74" t="inlineStr">
        <is>
          <t>ទទួលវិក័យប័ត្រ</t>
        </is>
      </c>
      <c r="J999" s="217" t="inlineStr">
        <is>
          <t>"mainStatus.309": "Receive bill",</t>
        </is>
      </c>
    </row>
    <row r="1000" ht="15.75" customHeight="1" s="305">
      <c r="A1000" s="67" t="inlineStr">
        <is>
          <t>mainStatus.400</t>
        </is>
      </c>
      <c r="B1000" s="67" t="inlineStr">
        <is>
          <t>Phân công giao - Chưa hoàn thành</t>
        </is>
      </c>
      <c r="C1000" s="67" t="inlineStr">
        <is>
          <t>Assigned to deliver - Not completed</t>
        </is>
      </c>
      <c r="D1000" s="3">
        <f>IFERROR(__xludf.DUMMYFUNCTION("GOOGLETRANSLATE(B1000,""vi"",""km"")"),"កិច្ចការ - មិនទាន់បានបញ្ចប់នៅឡើយទេ")</f>
        <v/>
      </c>
      <c r="E1000" s="3" t="inlineStr">
        <is>
          <t>បែងចែកការប្រគល់-មិនទាន់ជោគជ័យ</t>
        </is>
      </c>
      <c r="F1000" s="217" t="inlineStr">
        <is>
          <t>x</t>
        </is>
      </c>
      <c r="G1000" s="217" t="inlineStr">
        <is>
          <t>ចាត់តាំងការដឹកជញ្ជូន - មិនទាន់បញ្ចប់</t>
        </is>
      </c>
      <c r="H1000" t="inlineStr">
        <is>
          <t>ចាត់តាំងការដឹកជញ្ជូន - មិនទាន់បញ្ចប់</t>
        </is>
      </c>
      <c r="I1000" s="74" t="inlineStr">
        <is>
          <t>ត្រូវបានចាត់តាំងឱ្យដឹកជញ្ជូន - មិនបានបញ្ចប់</t>
        </is>
      </c>
      <c r="J1000" s="217" t="inlineStr">
        <is>
          <t>"mainStatus.400": "Assigned to deliver - Not completed",</t>
        </is>
      </c>
    </row>
    <row r="1001" ht="15.75" customHeight="1" s="305">
      <c r="A1001" s="67" t="inlineStr">
        <is>
          <t>mainStatus.401</t>
        </is>
      </c>
      <c r="B1001" s="67" t="inlineStr">
        <is>
          <t>Phân công giao - Đã hoàn thành</t>
        </is>
      </c>
      <c r="C1001" s="67" t="inlineStr">
        <is>
          <t>Assigned to deliver</t>
        </is>
      </c>
      <c r="D1001" s="3">
        <f>IFERROR(__xludf.DUMMYFUNCTION("GOOGLETRANSLATE(B1001,""vi"",""km"")"),"កិច្ចការបានបញ្ចប់")</f>
        <v/>
      </c>
      <c r="E1001" s="3" t="inlineStr">
        <is>
          <t>បែងចែកការប្រគល់-បានជោគជ័យ</t>
        </is>
      </c>
      <c r="F1001" s="217" t="inlineStr">
        <is>
          <t>x</t>
        </is>
      </c>
      <c r="G1001" s="217" t="inlineStr">
        <is>
          <t>ចាត់តាំងការដឹកជញ្ជូន - បានបញ្ចប់</t>
        </is>
      </c>
      <c r="H1001" t="inlineStr">
        <is>
          <t>ចាត់តាំងការដឹកជញ្ជូន - បានបញ្ចប់</t>
        </is>
      </c>
      <c r="I1001" s="74" t="inlineStr">
        <is>
          <t>ត្រូវបានចាត់តាំងឱ្យដឹកជញ្ជូន</t>
        </is>
      </c>
      <c r="J1001" s="217" t="inlineStr">
        <is>
          <t>"mainStatus.401": "Assigned to deliver",</t>
        </is>
      </c>
    </row>
    <row r="1002" ht="15.75" customHeight="1" s="305">
      <c r="A1002" s="67" t="inlineStr">
        <is>
          <t>mainStatus.402</t>
        </is>
      </c>
      <c r="B1002" s="67" t="inlineStr">
        <is>
          <t>Xác nhận phân công</t>
        </is>
      </c>
      <c r="C1002" s="67" t="inlineStr">
        <is>
          <t>Assignment confirmation</t>
        </is>
      </c>
      <c r="D1002" s="3">
        <f>IFERROR(__xludf.DUMMYFUNCTION("GOOGLETRANSLATE(B1002,""vi"",""km"")"),"បញ្ជាក់​ការចាត់តាំង")</f>
        <v/>
      </c>
      <c r="E1002" s="3" t="inlineStr">
        <is>
          <t>បញ្ជាក់ការបែងចែក</t>
        </is>
      </c>
      <c r="F1002" s="217" t="inlineStr">
        <is>
          <t>x</t>
        </is>
      </c>
      <c r="G1002" s="217" t="inlineStr">
        <is>
          <t>បញ្ជាក់ការចាត់តាំងការងារ</t>
        </is>
      </c>
      <c r="H1002" t="inlineStr">
        <is>
          <t>បញ្ជាក់ការចាត់តាំងការងារ</t>
        </is>
      </c>
      <c r="I1002" s="74" t="inlineStr">
        <is>
          <t>ការបញ្ជាក់ការងារ</t>
        </is>
      </c>
      <c r="J1002" s="217" t="inlineStr">
        <is>
          <t>"mainStatus.402": "Assignment confirmation",</t>
        </is>
      </c>
    </row>
    <row r="1003" ht="15.75" customHeight="1" s="305">
      <c r="A1003" s="67" t="inlineStr">
        <is>
          <t>mainStatus.403</t>
        </is>
      </c>
      <c r="B1003" s="67" t="inlineStr">
        <is>
          <t>Đến địa chỉ giao</t>
        </is>
      </c>
      <c r="C1003" s="67" t="inlineStr">
        <is>
          <t>Arrived at delivery address</t>
        </is>
      </c>
      <c r="D1003" s="3">
        <f>IFERROR(__xludf.DUMMYFUNCTION("GOOGLETRANSLATE(B1003,""vi"",""km"")"),"ដឹកជញ្ជូនដល់អាសយដ្ឋាន")</f>
        <v/>
      </c>
      <c r="E1003" s="3" t="inlineStr">
        <is>
          <t>មកដល់ទីតាំងដឹកជញ្ជូន</t>
        </is>
      </c>
      <c r="F1003" s="217" t="inlineStr">
        <is>
          <t>v</t>
        </is>
      </c>
      <c r="G1003" s="217" t="inlineStr">
        <is>
          <t>មកដល់ទីតាំងដឹកជញ្ជូន</t>
        </is>
      </c>
      <c r="H1003" t="inlineStr">
        <is>
          <t>មកដល់ទីតាំងដឹកជញ្ជូន</t>
        </is>
      </c>
      <c r="I1003" s="74" t="inlineStr">
        <is>
          <t>បានមកដល់អាសយដ្ឋានដឹកជញ្ជូន</t>
        </is>
      </c>
      <c r="J1003" s="217" t="inlineStr">
        <is>
          <t>"mainStatus.403": "Arrived at delivery address",</t>
        </is>
      </c>
    </row>
    <row r="1004" ht="15.75" customHeight="1" s="305">
      <c r="A1004" s="67" t="inlineStr">
        <is>
          <t>mainStatus.410</t>
        </is>
      </c>
      <c r="B1004" s="67" t="inlineStr">
        <is>
          <t>Giao thành công</t>
        </is>
      </c>
      <c r="C1004" s="67" t="inlineStr">
        <is>
          <t>Shipped</t>
        </is>
      </c>
      <c r="D1004" s="3">
        <f>IFERROR(__xludf.DUMMYFUNCTION("GOOGLETRANSLATE(B1004,""vi"",""km"")"),"ការដឹកជញ្ជូនទទួលបានជោគជ័យ")</f>
        <v/>
      </c>
      <c r="E1004" s="3" t="inlineStr">
        <is>
          <t>ដឹកជញ្ជូនបានជោគជ័យ</t>
        </is>
      </c>
      <c r="F1004" s="217" t="inlineStr">
        <is>
          <t>v</t>
        </is>
      </c>
      <c r="G1004" s="217" t="inlineStr">
        <is>
          <t>ដឹកជញ្ជូនជោគជ័យ</t>
        </is>
      </c>
      <c r="H1004" t="inlineStr">
        <is>
          <t>ដឹកជញ្ជូនជោគជ័យ</t>
        </is>
      </c>
      <c r="I1004" s="74" t="inlineStr">
        <is>
          <t>ដឹកជញ្ជូន</t>
        </is>
      </c>
      <c r="J1004" s="217" t="inlineStr">
        <is>
          <t>"mainStatus.410": "Shipped",</t>
        </is>
      </c>
    </row>
    <row r="1005" ht="15.75" customHeight="1" s="305">
      <c r="A1005" s="67" t="inlineStr">
        <is>
          <t>mainStatus.420</t>
        </is>
      </c>
      <c r="B1005" s="67" t="inlineStr">
        <is>
          <t>Hẹn giao lại</t>
        </is>
      </c>
      <c r="C1005" s="67" t="inlineStr">
        <is>
          <t>Ship again</t>
        </is>
      </c>
      <c r="D1005" s="3">
        <f>IFERROR(__xludf.DUMMYFUNCTION("GOOGLETRANSLATE(B1005,""vi"",""km"")"),"ការដឹកជញ្ជូនត្រូវបានកំណត់ពេលឡើងវិញ")</f>
        <v/>
      </c>
      <c r="E1005" s="3" t="inlineStr">
        <is>
          <t>ណាត់ដឹកជញ្ជូនម្តងទៀត</t>
        </is>
      </c>
      <c r="F1005" s="217" t="inlineStr">
        <is>
          <t>v</t>
        </is>
      </c>
      <c r="G1005" s="217" t="inlineStr">
        <is>
          <t>ណាត់ពេលដឹកជញ្ជូនម្តងទៀត</t>
        </is>
      </c>
      <c r="H1005" t="inlineStr">
        <is>
          <t>ណាត់ពេលដឹកជញ្ជូនម្តងទៀត</t>
        </is>
      </c>
      <c r="I1005" s="74" t="inlineStr">
        <is>
          <t>ដឹកជញ្ជូនម្តងទៀត</t>
        </is>
      </c>
      <c r="J1005" s="217" t="inlineStr">
        <is>
          <t>"mainStatus.420": "Ship again",</t>
        </is>
      </c>
    </row>
    <row r="1006" ht="15.75" customHeight="1" s="305">
      <c r="A1006" s="67" t="inlineStr">
        <is>
          <t>mainStatus.430</t>
        </is>
      </c>
      <c r="B1006" s="67" t="inlineStr">
        <is>
          <t>Không giao được hàng</t>
        </is>
      </c>
      <c r="C1006" s="67" t="inlineStr">
        <is>
          <t>Ship failed</t>
        </is>
      </c>
      <c r="D1006" s="3">
        <f>IFERROR(__xludf.DUMMYFUNCTION("GOOGLETRANSLATE(B1006,""vi"",""km"")"),"មិនអាចដឹកជញ្ជូនបានទេ")</f>
        <v/>
      </c>
      <c r="E1006" s="3" t="inlineStr">
        <is>
          <t>មិនអាចដឹកជញ្ជូនអីវ៉ាន់បាន</t>
        </is>
      </c>
      <c r="F1006" s="217" t="inlineStr">
        <is>
          <t>v</t>
        </is>
      </c>
      <c r="G1006" s="217" t="inlineStr">
        <is>
          <t>ដឹកជញ្ជូនមិនបានសម្រេច</t>
        </is>
      </c>
      <c r="H1006" t="inlineStr">
        <is>
          <t>ដឹកជញ្ជូនមិនបានសម្រេច</t>
        </is>
      </c>
      <c r="I1006" s="74" t="inlineStr">
        <is>
          <t>នាវាបានបរាជ័យ</t>
        </is>
      </c>
      <c r="J1006" s="217" t="inlineStr">
        <is>
          <t>"mainStatus.430": "Ship failed",</t>
        </is>
      </c>
    </row>
    <row r="1007" ht="15.75" customHeight="1" s="305">
      <c r="A1007" s="67" t="inlineStr">
        <is>
          <t>mainStatus.440</t>
        </is>
      </c>
      <c r="B1007" s="67" t="inlineStr">
        <is>
          <t>Yêu cầu giao 1 phần</t>
        </is>
      </c>
      <c r="C1007" s="67" t="inlineStr">
        <is>
          <t>Partial ship request</t>
        </is>
      </c>
      <c r="D1007" s="3">
        <f>IFERROR(__xludf.DUMMYFUNCTION("GOOGLETRANSLATE(B1007,""vi"",""km"")"),"ស្នើសុំការដឹកជញ្ជូន ១ ចំណែក")</f>
        <v/>
      </c>
      <c r="E1007" s="3" t="inlineStr">
        <is>
          <t>ស្នើសុំដឹក១ផ្នែក</t>
        </is>
      </c>
      <c r="F1007" s="217" t="inlineStr">
        <is>
          <t>v</t>
        </is>
      </c>
      <c r="G1007" s="217" t="inlineStr">
        <is>
          <t>ស្នើសុំដឹកជញ្ជូនមួយផ្នែក</t>
        </is>
      </c>
      <c r="H1007" t="inlineStr">
        <is>
          <t>ស្នើសុំដឹកជញ្ជូនមួយផ្នែក</t>
        </is>
      </c>
      <c r="I1007" s="74" t="inlineStr">
        <is>
          <t>សំណើកជញ្ជូនមួយផ្នែក</t>
        </is>
      </c>
      <c r="J1007" s="217" t="inlineStr">
        <is>
          <t>"mainStatus.440": "Partial ship request",</t>
        </is>
      </c>
    </row>
    <row r="1008" ht="15.75" customHeight="1" s="305">
      <c r="A1008" s="67" t="inlineStr">
        <is>
          <t>mainStatus.441</t>
        </is>
      </c>
      <c r="B1008" s="67" t="inlineStr">
        <is>
          <t>Giao thành công 1 phần</t>
        </is>
      </c>
      <c r="C1008" s="67" t="inlineStr">
        <is>
          <t>Partially shipped</t>
        </is>
      </c>
      <c r="D1008" s="3">
        <f>IFERROR(__xludf.DUMMYFUNCTION("GOOGLETRANSLATE(B1008,""vi"",""km"")"),"ការដឹកជញ្ជូនដោយផ្នែកទទួលបានជោគជ័យ។")</f>
        <v/>
      </c>
      <c r="E1008" s="3" t="inlineStr">
        <is>
          <t>ដឹកជញ្ជូនបានជោគជ័យ១ផ្នែក</t>
        </is>
      </c>
      <c r="F1008" s="217" t="inlineStr">
        <is>
          <t>v</t>
        </is>
      </c>
      <c r="G1008" s="217" t="inlineStr">
        <is>
          <t>ដឹកជញ្ជូនជោគជ័យមួយផ្នែក</t>
        </is>
      </c>
      <c r="H1008" t="inlineStr">
        <is>
          <t>ដឹកជញ្ជូនជោគជ័យមួយផ្នែក</t>
        </is>
      </c>
      <c r="I1008" s="74" t="inlineStr">
        <is>
          <t>ដឹកជញ្ជូនដោយផ្នែក</t>
        </is>
      </c>
      <c r="J1008" s="217" t="inlineStr">
        <is>
          <t>"mainStatus.441": "Partially shipped",</t>
        </is>
      </c>
    </row>
    <row r="1009" ht="15.75" customHeight="1" s="305">
      <c r="A1009" s="67" t="inlineStr">
        <is>
          <t>mainStatus.450</t>
        </is>
      </c>
      <c r="B1009" s="67" t="inlineStr">
        <is>
          <t>Yêu cầu chuyển địa chỉ</t>
        </is>
      </c>
      <c r="C1009" s="67" t="inlineStr">
        <is>
          <t>Forward request</t>
        </is>
      </c>
      <c r="D1009" s="3">
        <f>IFERROR(__xludf.DUMMYFUNCTION("GOOGLETRANSLATE(B1009,""vi"",""km"")"),"សំណើសុំផ្លាស់ប្តូរអាសយដ្ឋាន")</f>
        <v/>
      </c>
      <c r="E1009" s="3" t="inlineStr">
        <is>
          <t>ស្នើ្នសុំប្តូរទីតាំង</t>
        </is>
      </c>
      <c r="F1009" s="217" t="inlineStr">
        <is>
          <t>v</t>
        </is>
      </c>
      <c r="G1009" s="217" t="inlineStr">
        <is>
          <t>ស្នើសុំប្តូរអាសយដ្ឋានដឹកជញ្ជូន</t>
        </is>
      </c>
      <c r="H1009" t="inlineStr">
        <is>
          <t>ស្នើសុំប្តូរអាសយដ្ឋានដឹកជញ្ជូន</t>
        </is>
      </c>
      <c r="I1009" s="74" t="inlineStr">
        <is>
          <t>សំណើបញ្ជូនបន្ត</t>
        </is>
      </c>
      <c r="J1009" s="217" t="inlineStr">
        <is>
          <t>"mainStatus.450": "Forward request",</t>
        </is>
      </c>
    </row>
    <row r="1010" ht="15.75" customHeight="1" s="305">
      <c r="A1010" s="67" t="inlineStr">
        <is>
          <t>mainStatus.460</t>
        </is>
      </c>
      <c r="B1010" s="67" t="inlineStr">
        <is>
          <t>Thông báo chuyển hoàn</t>
        </is>
      </c>
      <c r="C1010" s="67" t="inlineStr">
        <is>
          <t>Return request</t>
        </is>
      </c>
      <c r="D1010" s="3">
        <f>IFERROR(__xludf.DUMMYFUNCTION("GOOGLETRANSLATE(B1010,""vi"",""km"")"),"ការជូនដំណឹងអំពីការសងប្រាក់វិញ")</f>
        <v/>
      </c>
      <c r="E1010" s="3" t="inlineStr">
        <is>
          <t>ជូនដំណឹងត្រឡប់អីវ៉ាន់</t>
        </is>
      </c>
      <c r="F1010" s="217" t="inlineStr">
        <is>
          <t>v</t>
        </is>
      </c>
      <c r="G1010" s="217" t="inlineStr">
        <is>
          <t>ជូនដំណឹងអំពីការប្រគល់ត្រឡប់</t>
        </is>
      </c>
      <c r="H1010" t="inlineStr">
        <is>
          <t>ជូនដំណឹងអំពីការប្រគល់ត្រឡប់</t>
        </is>
      </c>
      <c r="I1010" s="74" t="inlineStr">
        <is>
          <t>សំណើត្រឡប់មកវិញ</t>
        </is>
      </c>
      <c r="J1010" s="217" t="inlineStr">
        <is>
          <t>"mainStatus.460": "Return request",</t>
        </is>
      </c>
    </row>
    <row r="1011" ht="15.75" customHeight="1" s="305">
      <c r="A1011" s="67" t="inlineStr">
        <is>
          <t>mainStatus.470</t>
        </is>
      </c>
      <c r="B1011" s="67" t="inlineStr">
        <is>
          <t>Đã duyệt hoàn</t>
        </is>
      </c>
      <c r="C1011" s="67" t="inlineStr">
        <is>
          <t>Return confirmed</t>
        </is>
      </c>
      <c r="D1011" s="3">
        <f>IFERROR(__xludf.DUMMYFUNCTION("GOOGLETRANSLATE(B1011,""vi"",""km"")"),"យល់ព្រម")</f>
        <v/>
      </c>
      <c r="E1011" s="3" t="inlineStr">
        <is>
          <t>បានយល់ព្រមត្រឡប់</t>
        </is>
      </c>
      <c r="F1011" s="217" t="inlineStr">
        <is>
          <t>v</t>
        </is>
      </c>
      <c r="G1011" s="217" t="inlineStr">
        <is>
          <t>បានអនុម័តការប្រគល់ត្រឡប់</t>
        </is>
      </c>
      <c r="H1011" t="inlineStr">
        <is>
          <t>បានអនុម័តការប្រគល់ត្រឡប់</t>
        </is>
      </c>
      <c r="I1011" s="74" t="inlineStr">
        <is>
          <t>បញ្ជាក់ការត្រឡប់មកវិញ</t>
        </is>
      </c>
      <c r="J1011" s="217" t="inlineStr">
        <is>
          <t>"mainStatus.470": "Return confirmed",</t>
        </is>
      </c>
    </row>
    <row r="1012" ht="15.75" customHeight="1" s="305">
      <c r="A1012" s="67" t="inlineStr">
        <is>
          <t>mainStatus.471</t>
        </is>
      </c>
      <c r="B1012" s="67" t="inlineStr">
        <is>
          <t>Từ chối hoàn</t>
        </is>
      </c>
      <c r="C1012" s="67" t="inlineStr">
        <is>
          <t>Reject return request</t>
        </is>
      </c>
      <c r="D1012" s="3">
        <f>IFERROR(__xludf.DUMMYFUNCTION("GOOGLETRANSLATE(B1012,""vi"",""km"")"),"បដិសេធការសងប្រាក់វិញ")</f>
        <v/>
      </c>
      <c r="E1012" s="3" t="inlineStr">
        <is>
          <t>បដិសេដការត្រលប់</t>
        </is>
      </c>
      <c r="F1012" s="217" t="inlineStr">
        <is>
          <t>v</t>
        </is>
      </c>
      <c r="G1012" s="217" t="inlineStr">
        <is>
          <t>បដិសេធការប្រគល់ត្រឡប់</t>
        </is>
      </c>
      <c r="H1012" t="inlineStr">
        <is>
          <t>បដិសេធការប្រគល់ត្រឡប់</t>
        </is>
      </c>
      <c r="I1012" s="74" t="inlineStr">
        <is>
          <t>បដិសេធសំណើរត្រឡប់មកវិញ</t>
        </is>
      </c>
      <c r="J1012" s="217" t="inlineStr">
        <is>
          <t>"mainStatus.471": "Reject return request",</t>
        </is>
      </c>
    </row>
    <row r="1013" ht="15.75" customHeight="1" s="305">
      <c r="A1013" s="67" t="inlineStr">
        <is>
          <t>mainStatus.472</t>
        </is>
      </c>
      <c r="B1013" s="67" t="inlineStr">
        <is>
          <t>Lưu kho</t>
        </is>
      </c>
      <c r="C1013" s="67" t="inlineStr">
        <is>
          <t>Store in warehouse</t>
        </is>
      </c>
      <c r="D1013" s="3">
        <f>IFERROR(__xludf.DUMMYFUNCTION("GOOGLETRANSLATE(B1013,""vi"",""km"")"),"ការផ្ទុក")</f>
        <v/>
      </c>
      <c r="E1013" s="3" t="inlineStr">
        <is>
          <t>រក្សាទុកក្នុងឃ្លាំង</t>
        </is>
      </c>
      <c r="F1013" s="217" t="inlineStr">
        <is>
          <t>x</t>
        </is>
      </c>
      <c r="G1013" s="217" t="inlineStr">
        <is>
          <t>រក្សាទុកក្នុងឃ្លាំង</t>
        </is>
      </c>
      <c r="H1013" t="inlineStr">
        <is>
          <t>រក្សាទុកក្នុងឃ្លាំង</t>
        </is>
      </c>
      <c r="I1013" s="74" t="inlineStr">
        <is>
          <t>រក្សាទុកក្នុងឃ្លាំង</t>
        </is>
      </c>
      <c r="J1013" s="217" t="inlineStr">
        <is>
          <t>"mainStatus.472": "Store in warehouse",</t>
        </is>
      </c>
    </row>
    <row r="1014" ht="15.75" customHeight="1" s="305">
      <c r="A1014" s="67" t="inlineStr">
        <is>
          <t>mainStatus.480</t>
        </is>
      </c>
      <c r="B1014" s="67" t="inlineStr">
        <is>
          <t>Chuyển giao địa chỉ mới</t>
        </is>
      </c>
      <c r="C1014" s="67" t="inlineStr">
        <is>
          <t>Change address</t>
        </is>
      </c>
      <c r="D1014" s="3">
        <f>IFERROR(__xludf.DUMMYFUNCTION("GOOGLETRANSLATE(B1014,""vi"",""km"")"),"ផ្ទេរទៅអាសយដ្ឋានថ្មី។")</f>
        <v/>
      </c>
      <c r="E1014" s="3" t="inlineStr">
        <is>
          <t>ដឹកជញ្ជូនទៅកាន់ទីតាំងថ្មី</t>
        </is>
      </c>
      <c r="F1014" s="217" t="inlineStr">
        <is>
          <t>v</t>
        </is>
      </c>
      <c r="G1014" s="217" t="inlineStr">
        <is>
          <t>ដឹកជញ្ជូនទៅកាន់អាសយដ្ឋានថ្មី</t>
        </is>
      </c>
      <c r="H1014" t="inlineStr">
        <is>
          <t>ដឹកជញ្ជូនទៅកាន់អាសយដ្ឋានថ្មី</t>
        </is>
      </c>
      <c r="I1014" s="74" t="inlineStr">
        <is>
          <t>ផ្លាស់ប្តូរអាសយដ្ឋាន</t>
        </is>
      </c>
      <c r="J1014" s="217" t="inlineStr">
        <is>
          <t>"mainStatus.480": "Change address",</t>
        </is>
      </c>
    </row>
    <row r="1015" ht="15.75" customHeight="1" s="305">
      <c r="A1015" s="67" t="inlineStr">
        <is>
          <t>mainStatus.500</t>
        </is>
      </c>
      <c r="B1015" s="67" t="inlineStr">
        <is>
          <t>Chuyển hoàn</t>
        </is>
      </c>
      <c r="C1015" s="67" t="inlineStr">
        <is>
          <t>Return request</t>
        </is>
      </c>
      <c r="D1015" s="3">
        <f>IFERROR(__xludf.DUMMYFUNCTION("GOOGLETRANSLATE(B1015,""vi"",""km"")"),"ត្រឡប់មកវិញ")</f>
        <v/>
      </c>
      <c r="E1015" s="3" t="inlineStr">
        <is>
          <t>ត្រលប់</t>
        </is>
      </c>
      <c r="F1015" s="217" t="inlineStr">
        <is>
          <t>v</t>
        </is>
      </c>
      <c r="G1015" s="217" t="inlineStr">
        <is>
          <t>ត្រលប់</t>
        </is>
      </c>
      <c r="H1015" t="inlineStr">
        <is>
          <t>ត្រលប់</t>
        </is>
      </c>
      <c r="I1015" s="74" t="inlineStr">
        <is>
          <t>សំណើត្រឡប់មកវិញ</t>
        </is>
      </c>
      <c r="J1015" s="217" t="inlineStr">
        <is>
          <t>"mainStatus.500": "Return request",</t>
        </is>
      </c>
    </row>
    <row r="1016" ht="15.75" customHeight="1" s="305">
      <c r="A1016" s="67" t="inlineStr">
        <is>
          <t>mainStatus.550</t>
        </is>
      </c>
      <c r="B1016" s="67" t="inlineStr">
        <is>
          <t xml:space="preserve">Hủy bưu gửi theo yêu cầu khách hàng </t>
        </is>
      </c>
      <c r="C1016" s="67" t="inlineStr">
        <is>
          <t>Cancel shipment per customer request</t>
        </is>
      </c>
      <c r="D1016" s="3">
        <f>IFERROR(__xludf.DUMMYFUNCTION("GOOGLETRANSLATE(B1016,""vi"",""km"")"),"លុបចោលការដឹកជញ្ជូនតាមការស្នើសុំរបស់អតិថិជន។")</f>
        <v/>
      </c>
      <c r="E1016" s="3" t="inlineStr">
        <is>
          <t>លុបចោលអីវ៉ាន់បញ្ញើតាមការស្នើសុំរបស់អតិថិជន</t>
        </is>
      </c>
      <c r="F1016" s="217" t="inlineStr">
        <is>
          <t>v</t>
        </is>
      </c>
      <c r="G1016" s="217" t="inlineStr">
        <is>
          <t>លុបចោលអីវ៉ាន់បញ្ញើតាមការស្នើសុំរបស់អតិថិជន</t>
        </is>
      </c>
      <c r="H1016" t="inlineStr">
        <is>
          <t>លុបចោលអីវ៉ាន់បញ្ញើតាមការស្នើសុំរបស់អតិថិជន</t>
        </is>
      </c>
      <c r="I1016" s="74" t="inlineStr">
        <is>
          <t>បោះបង់ការដឹកជញ្ជូនតាមសំណើរបស់អតិថិជន</t>
        </is>
      </c>
      <c r="J1016" s="217" t="inlineStr">
        <is>
          <t>"mainStatus.550": "Cancel shipment per customer request",</t>
        </is>
      </c>
    </row>
    <row r="1017" ht="15.75" customHeight="1" s="305">
      <c r="A1017" s="67" t="inlineStr">
        <is>
          <t>mainStatus.551</t>
        </is>
      </c>
      <c r="B1017" s="67" t="inlineStr">
        <is>
          <t xml:space="preserve">Hủy bưu gửi vô thừa nhận </t>
        </is>
      </c>
      <c r="C1017" s="67" t="inlineStr">
        <is>
          <t>Cancel unclaimed shipment</t>
        </is>
      </c>
      <c r="D1017" s="3">
        <f>IFERROR(__xludf.DUMMYFUNCTION("GOOGLETRANSLATE(B1017,""vi"",""km"")"),"លុបចោលសំបុត្រដែលមិនទាន់បានទាមទារ")</f>
        <v/>
      </c>
      <c r="E1017" s="3" t="inlineStr">
        <is>
          <t>លុុបចោលបញ្ញើដែលមិនមានអ្នកទទួល</t>
        </is>
      </c>
      <c r="F1017" s="217" t="inlineStr">
        <is>
          <t>x</t>
        </is>
      </c>
      <c r="G1017" s="217" t="inlineStr">
        <is>
          <t>លុុបចោលបញ្ញើដែលមិនមានអ្នកទទួល</t>
        </is>
      </c>
      <c r="H1017" t="inlineStr">
        <is>
          <t>លុុបចោលបញ្ញើដែលមិនមានអ្នកទទួល</t>
        </is>
      </c>
      <c r="I1017" s="74" t="inlineStr">
        <is>
          <t>បោះបង់ការដឹកជញ្ជូនដែលមិនបានទាមទារ</t>
        </is>
      </c>
      <c r="J1017" s="217" t="inlineStr">
        <is>
          <t>"mainStatus.551": "Cancel unclaimed shipment",</t>
        </is>
      </c>
    </row>
    <row r="1018" ht="15.75" customHeight="1" s="305">
      <c r="A1018" s="67" t="inlineStr">
        <is>
          <t>mainStatus.510</t>
        </is>
      </c>
      <c r="B1018" s="67" t="inlineStr">
        <is>
          <t>Phân công giao hoàn - Chưa hoàn thành</t>
        </is>
      </c>
      <c r="C1018" s="67" t="inlineStr">
        <is>
          <t>Return assignment - Not completed</t>
        </is>
      </c>
      <c r="D1018" s="3">
        <f>IFERROR(__xludf.DUMMYFUNCTION("GOOGLETRANSLATE(B1018,""vi"",""km"")"),"ការប្រគល់ភារកិច្ច - មិនទាន់បានបញ្ចប់នៅឡើយទេ")</f>
        <v/>
      </c>
      <c r="E1018" s="3" t="inlineStr">
        <is>
          <t>បែងចែកការដឹកជញ្ជូនអីវ៉ាន់ត្រលប់-មិនទាន់បានបញ្ចប់</t>
        </is>
      </c>
      <c r="F1018" s="217" t="inlineStr">
        <is>
          <t>v</t>
        </is>
      </c>
      <c r="G1018" s="217" t="inlineStr">
        <is>
          <t>បែងចែកការដឹកជញ្ជូនអីវ៉ាន់ត្រលប់-មិនទាន់បានបញ្ចប់</t>
        </is>
      </c>
      <c r="H1018" t="inlineStr">
        <is>
          <t>បែងចែកការដឹកជញ្ជូនអីវ៉ាន់ត្រលប់-មិនទាន់បានបញ្ចប់</t>
        </is>
      </c>
      <c r="I1018" s="74" t="inlineStr">
        <is>
          <t>កិច្ចការត្រឡប់ - មិនបានបញ្ចប់</t>
        </is>
      </c>
      <c r="J1018" s="217" t="inlineStr">
        <is>
          <t>"mainStatus.510": "Return assignment - Not completed",</t>
        </is>
      </c>
    </row>
    <row r="1019" ht="15.75" customHeight="1" s="305">
      <c r="A1019" s="67" t="inlineStr">
        <is>
          <t>mainStatus.511</t>
        </is>
      </c>
      <c r="B1019" s="67" t="inlineStr">
        <is>
          <t>Phân công giao hoàn - Đã hoàn thành</t>
        </is>
      </c>
      <c r="C1019" s="67" t="inlineStr">
        <is>
          <t>Return assignment - Completed</t>
        </is>
      </c>
      <c r="D1019" s="3">
        <f>IFERROR(__xludf.DUMMYFUNCTION("GOOGLETRANSLATE(B1019,""vi"",""km"")"),"ការប្រគល់ភារកិច្ច - បានបញ្ចប់")</f>
        <v/>
      </c>
      <c r="E1019" s="3" t="inlineStr">
        <is>
          <t>បែងចែកការដឹកជញ្ជូនអីវ៉ាន់ត្រ្រលប់-បានបញ្ចប់</t>
        </is>
      </c>
      <c r="F1019" s="217" t="inlineStr">
        <is>
          <t>v</t>
        </is>
      </c>
      <c r="G1019" s="217" t="inlineStr">
        <is>
          <t>បែងចែកការដឹកជញ្ជូនអីវ៉ាន់ត្រ្រលប់-បានបញ្ចប់</t>
        </is>
      </c>
      <c r="H1019" t="inlineStr">
        <is>
          <t>បែងចែកការដឹកជញ្ជូនអីវ៉ាន់ត្រ្រលប់-បានបញ្ចប់</t>
        </is>
      </c>
      <c r="I1019" s="74" t="inlineStr">
        <is>
          <t>កិច្ចការត្រឡប់ - បានបញ្ចប់</t>
        </is>
      </c>
      <c r="J1019" s="217" t="inlineStr">
        <is>
          <t>"mainStatus.511": "Return assignment - Completed",</t>
        </is>
      </c>
    </row>
    <row r="1020" ht="15.75" customHeight="1" s="305">
      <c r="A1020" s="67" t="inlineStr">
        <is>
          <t>mainStatus.512</t>
        </is>
      </c>
      <c r="B1020" s="67" t="inlineStr">
        <is>
          <t>Xác nhận phân công hoàn</t>
        </is>
      </c>
      <c r="C1020" s="67" t="inlineStr">
        <is>
          <t>Return assignment confirmation</t>
        </is>
      </c>
      <c r="D1020" s="3">
        <f>IFERROR(__xludf.DUMMYFUNCTION("GOOGLETRANSLATE(B1020,""vi"",""km"")"),"បញ្ជាក់ថាកិច្ចការបានបញ្ចប់")</f>
        <v/>
      </c>
      <c r="E1020" s="3" t="inlineStr">
        <is>
          <t>បញ្ជាក់ការបែងចែកអីវ៉ាន់ត្រលប់</t>
        </is>
      </c>
      <c r="F1020" s="217" t="inlineStr">
        <is>
          <t>x</t>
        </is>
      </c>
      <c r="G1020" s="217" t="inlineStr">
        <is>
          <t>បញ្ជាក់ការចាត់តាំងប្រគល់ត្រឡប់</t>
        </is>
      </c>
      <c r="H1020" t="inlineStr">
        <is>
          <t>បញ្ជាក់ការចាត់តាំងប្រគល់ត្រឡប់</t>
        </is>
      </c>
      <c r="I1020" s="74" t="inlineStr">
        <is>
          <t>ត្រឡប់ការបញ្ជាក់ការងារ</t>
        </is>
      </c>
      <c r="J1020" s="217" t="inlineStr">
        <is>
          <t>"mainStatus.512": "Return assignment confirmation",</t>
        </is>
      </c>
    </row>
    <row r="1021" ht="15.75" customHeight="1" s="305">
      <c r="A1021" s="67" t="inlineStr">
        <is>
          <t>mainStatus.513</t>
        </is>
      </c>
      <c r="B1021" s="67" t="inlineStr">
        <is>
          <t>Đến địa chỉ giao hoàn</t>
        </is>
      </c>
      <c r="C1021" s="67" t="inlineStr">
        <is>
          <t>Arrived at return address</t>
        </is>
      </c>
      <c r="D1021" s="3">
        <f>IFERROR(__xludf.DUMMYFUNCTION("GOOGLETRANSLATE(B1021,""vi"",""km"")"),"ដឹកជញ្ជូនទៅកាន់អាសយដ្ឋានត្រឡប់មកវិញ")</f>
        <v/>
      </c>
      <c r="E1021" s="3" t="inlineStr">
        <is>
          <t>មកដល់ទីតាំងត្រលប់អីវ៉ាន់</t>
        </is>
      </c>
      <c r="F1021" s="217" t="inlineStr">
        <is>
          <t>v</t>
        </is>
      </c>
      <c r="G1021" s="217" t="inlineStr">
        <is>
          <t>មកដល់ទីតាំងត្រលប់អីវ៉ាន់</t>
        </is>
      </c>
      <c r="H1021" t="inlineStr">
        <is>
          <t>មកដល់ទីតាំងត្រលប់អីវ៉ាន់</t>
        </is>
      </c>
      <c r="I1021" s="74" t="inlineStr">
        <is>
          <t>បានមកដល់អាសយដ្ឋានត្រឡប់មកវិញ</t>
        </is>
      </c>
      <c r="J1021" s="217" t="inlineStr">
        <is>
          <t>"mainStatus.513": "Arrived at return address",</t>
        </is>
      </c>
    </row>
    <row r="1022" ht="15.75" customHeight="1" s="305">
      <c r="A1022" s="67" t="inlineStr">
        <is>
          <t>mainStatus.520</t>
        </is>
      </c>
      <c r="B1022" s="67" t="inlineStr">
        <is>
          <t>Đã trả hàng</t>
        </is>
      </c>
      <c r="C1022" s="67" t="inlineStr">
        <is>
          <t>Return successful</t>
        </is>
      </c>
      <c r="D1022" s="3">
        <f>IFERROR(__xludf.DUMMYFUNCTION("GOOGLETRANSLATE(B1022,""vi"",""km"")"),"បានត្រឡប់មកវិញ")</f>
        <v/>
      </c>
      <c r="E1022" s="3" t="inlineStr">
        <is>
          <t>បានប្រគល់អីវ៉ាន់រួចរាល់</t>
        </is>
      </c>
      <c r="F1022" s="217" t="inlineStr">
        <is>
          <t>x</t>
        </is>
      </c>
      <c r="G1022" s="217" t="inlineStr">
        <is>
          <t>បានប្រគល់ត្រឡប់</t>
        </is>
      </c>
      <c r="H1022" t="inlineStr">
        <is>
          <t>បានប្រគល់ត្រឡប់</t>
        </is>
      </c>
      <c r="I1022" s="74" t="inlineStr">
        <is>
          <t>ត្រឡប់មកវិញដោយជោគជ័យ</t>
        </is>
      </c>
      <c r="J1022" s="217" t="inlineStr">
        <is>
          <t>"mainStatus.520": "Return successful",</t>
        </is>
      </c>
    </row>
    <row r="1023" ht="15.75" customHeight="1" s="305">
      <c r="A1023" s="67" t="inlineStr">
        <is>
          <t>mainStatus.530</t>
        </is>
      </c>
      <c r="B1023" s="67" t="inlineStr">
        <is>
          <t>Hẹn trả hàng</t>
        </is>
      </c>
      <c r="C1023" s="67" t="inlineStr">
        <is>
          <t>Return again</t>
        </is>
      </c>
      <c r="D1023" s="3">
        <f>IFERROR(__xludf.DUMMYFUNCTION("GOOGLETRANSLATE(B1023,""vi"",""km"")"),"កំណត់ពេលដឹកជញ្ជូន")</f>
        <v/>
      </c>
      <c r="E1023" s="3" t="inlineStr">
        <is>
          <t>ណាត់ពេលវេលាប្រគល់អីវ៉ាន់</t>
        </is>
      </c>
      <c r="F1023" s="217" t="inlineStr">
        <is>
          <t>x</t>
        </is>
      </c>
      <c r="G1023" s="217" t="inlineStr">
        <is>
          <t>ណាត់ពេលប្រគល់ត្រឡប់ម្តងទៀត</t>
        </is>
      </c>
      <c r="H1023" t="inlineStr">
        <is>
          <t>ណាត់ពេលប្រគល់ត្រឡប់ម្តងទៀត</t>
        </is>
      </c>
      <c r="I1023" s="74" t="inlineStr">
        <is>
          <t>ត្រឡប់មកវិញម្តងទៀត</t>
        </is>
      </c>
      <c r="J1023" s="217" t="inlineStr">
        <is>
          <t>"mainStatus.530": "Return again",</t>
        </is>
      </c>
    </row>
    <row r="1024" ht="15.75" customHeight="1" s="305">
      <c r="A1024" s="67" t="inlineStr">
        <is>
          <t>mainStatus.540</t>
        </is>
      </c>
      <c r="B1024" s="67" t="inlineStr">
        <is>
          <t>Không trả được hàng</t>
        </is>
      </c>
      <c r="C1024" s="67" t="inlineStr">
        <is>
          <t>Return failed</t>
        </is>
      </c>
      <c r="D1024" s="3">
        <f>IFERROR(__xludf.DUMMYFUNCTION("GOOGLETRANSLATE(B1024,""vi"",""km"")"),"មិនអាចប្រគល់ទំនិញវិញបានទេ។")</f>
        <v/>
      </c>
      <c r="E1024" s="3" t="inlineStr">
        <is>
          <t>មិនអាចប្រគល់អីវ៉ាន់បាន</t>
        </is>
      </c>
      <c r="F1024" s="217" t="inlineStr">
        <is>
          <t>x</t>
        </is>
      </c>
      <c r="G1024" s="217" t="inlineStr">
        <is>
          <t>ប្រគល់ត្រឡប់មិនបានសម្រេច</t>
        </is>
      </c>
      <c r="H1024" t="inlineStr">
        <is>
          <t>ប្រគល់ត្រឡប់មិនបានសម្រេច</t>
        </is>
      </c>
      <c r="I1024" s="74" t="inlineStr">
        <is>
          <t>ការត្រឡប់មកវិញបានបរាជ័យ</t>
        </is>
      </c>
      <c r="J1024" s="217" t="inlineStr">
        <is>
          <t>"mainStatus.540": "Return failed",</t>
        </is>
      </c>
    </row>
    <row r="1025" ht="15.75" customHeight="1" s="305">
      <c r="A1025" s="67" t="inlineStr">
        <is>
          <t>mainStatus.473</t>
        </is>
      </c>
      <c r="B1025" s="67" t="inlineStr">
        <is>
          <t>Phát tiếp</t>
        </is>
      </c>
      <c r="C1025" s="67" t="inlineStr">
        <is>
          <t>ReDelivery</t>
        </is>
      </c>
      <c r="D1025" s="3">
        <f>IFERROR(__xludf.DUMMYFUNCTION("GOOGLETRANSLATE(B1025,""vi"",""km"")"),"លេងម្តងទៀត")</f>
        <v/>
      </c>
      <c r="E1025" s="3" t="inlineStr">
        <is>
          <t>ធ្វើការដឹកជញ្ជូនទៀត</t>
        </is>
      </c>
      <c r="F1025" s="217" t="inlineStr">
        <is>
          <t>v</t>
        </is>
      </c>
      <c r="G1025" s="217" t="inlineStr">
        <is>
          <t>ដឹកជញ្ជូនបន្ត</t>
        </is>
      </c>
      <c r="H1025" t="inlineStr">
        <is>
          <t>ដឹកជញ្ជូនបន្ត</t>
        </is>
      </c>
      <c r="I1025" s="74" t="inlineStr">
        <is>
          <t>ការដឹកជញ្ជូនម្តងទៀត</t>
        </is>
      </c>
      <c r="J1025" s="217" t="inlineStr">
        <is>
          <t>"mainStatus.473": "ReDelivery",</t>
        </is>
      </c>
    </row>
    <row r="1026" ht="15.75" customHeight="1" s="305">
      <c r="A1026" s="67" t="inlineStr">
        <is>
          <t>receivingKpi.selectOneDate</t>
        </is>
      </c>
      <c r="B1026" s="67" t="inlineStr">
        <is>
          <t>Vui lòng chọn 1 ngày</t>
        </is>
      </c>
      <c r="C1026" s="67" t="inlineStr">
        <is>
          <t>Please select a date</t>
        </is>
      </c>
      <c r="D1026" s="3">
        <f>IFERROR(__xludf.DUMMYFUNCTION("GOOGLETRANSLATE(B1026,""vi"",""km"")"),"សូមជ្រើសរើសកាលបរិច្ឆេទ។")</f>
        <v/>
      </c>
      <c r="E1026" s="3" t="inlineStr">
        <is>
          <t>សូមជ្រើសរើស១ថ្ងៃ</t>
        </is>
      </c>
      <c r="F1026" s="217" t="inlineStr">
        <is>
          <t>v</t>
        </is>
      </c>
      <c r="G1026" s="217" t="inlineStr">
        <is>
          <t>សូមជ្រើសរើស១ថ្ងៃ</t>
        </is>
      </c>
      <c r="H1026" t="inlineStr">
        <is>
          <t>សូមជ្រើសរើស១ថ្ងៃ</t>
        </is>
      </c>
      <c r="I1026" s="74" t="inlineStr">
        <is>
          <t>សូមជ្រើសរើសកាលបរិច្ឆេទ</t>
        </is>
      </c>
      <c r="J1026" s="217" t="inlineStr">
        <is>
          <t>"receivingKpi.selectOneDate": "Please select a date",</t>
        </is>
      </c>
    </row>
    <row r="1027" ht="15.75" customHeight="1" s="305">
      <c r="A1027" s="67" t="inlineStr">
        <is>
          <t>receivingKpi.fileNameExcel</t>
        </is>
      </c>
      <c r="B1027" s="67" t="inlineStr">
        <is>
          <t>BaocaoKPIthu</t>
        </is>
      </c>
      <c r="C1027" s="67" t="inlineStr">
        <is>
          <t>RecevingKPIreport</t>
        </is>
      </c>
      <c r="D1027" s="3">
        <f>IFERROR(__xludf.DUMMYFUNCTION("GOOGLETRANSLATE(B1027,""vi"",""km"")"),"បាវកៅ ខេភីធូ")</f>
        <v/>
      </c>
      <c r="E1027" s="3" t="inlineStr">
        <is>
          <t>របាយការណ៍KPI ចំណូល</t>
        </is>
      </c>
      <c r="F1027" s="217" t="inlineStr">
        <is>
          <t>x</t>
        </is>
      </c>
      <c r="G1027" s="217" t="inlineStr">
        <is>
          <t>របាយការណ៍KPI ចំណូល</t>
        </is>
      </c>
      <c r="H1027" t="inlineStr">
        <is>
          <t>របាយការណ៍KPI ចំណូល</t>
        </is>
      </c>
      <c r="I1027" s="84" t="inlineStr">
        <is>
          <t>ការទទួលរបាយការណ៍KPI</t>
        </is>
      </c>
      <c r="J1027" s="217" t="inlineStr">
        <is>
          <t>"receivingKpi.fileNameExcel": "RecevingKPIreport",</t>
        </is>
      </c>
    </row>
    <row r="1028" ht="15.75" customHeight="1" s="305">
      <c r="A1028" s="67" t="inlineStr">
        <is>
          <t>receivingKpi.exportSuccess</t>
        </is>
      </c>
      <c r="B1028" s="67" t="inlineStr">
        <is>
          <t>Xuất excel thành công</t>
        </is>
      </c>
      <c r="C1028" s="67" t="inlineStr">
        <is>
          <t>Export to Excel successful</t>
        </is>
      </c>
      <c r="D1028" s="3">
        <f>IFERROR(__xludf.DUMMYFUNCTION("GOOGLETRANSLATE(B1028,""vi"",""km"")"),"នាំចេញទៅ Excel ដោយជោគជ័យ")</f>
        <v/>
      </c>
      <c r="E1028" s="3" t="inlineStr">
        <is>
          <t>ចេញតាម Excel បានជោគជ័យ</t>
        </is>
      </c>
      <c r="F1028" s="217" t="inlineStr">
        <is>
          <t>v</t>
        </is>
      </c>
      <c r="G1028" s="217" t="inlineStr">
        <is>
          <t>ចេញតាម Excel បានជោគជ័យ</t>
        </is>
      </c>
      <c r="H1028" t="inlineStr">
        <is>
          <t>ចេញតាម Excel បានជោគជ័យ</t>
        </is>
      </c>
      <c r="I1028" s="74" t="inlineStr">
        <is>
          <t>នាំចេញទៅ Excel បានជោគជ័យ</t>
        </is>
      </c>
      <c r="J1028" s="217" t="inlineStr">
        <is>
          <t>"receivingKpi.exportSuccess": "Export to Excel successful",</t>
        </is>
      </c>
    </row>
    <row r="1029" ht="15.75" customHeight="1" s="305">
      <c r="A1029" s="67" t="inlineStr">
        <is>
          <t>receivingKpi.exportFail</t>
        </is>
      </c>
      <c r="B1029" s="67" t="inlineStr">
        <is>
          <t>Xuất excel thất bại</t>
        </is>
      </c>
      <c r="C1029" s="67" t="inlineStr">
        <is>
          <t>Export to Excel failed</t>
        </is>
      </c>
      <c r="D1029" s="3">
        <f>IFERROR(__xludf.DUMMYFUNCTION("GOOGLETRANSLATE(B1029,""vi"",""km"")"),"ការនាំចេញទៅ Excel បានបរាជ័យ។")</f>
        <v/>
      </c>
      <c r="E1029" s="3" t="inlineStr">
        <is>
          <t>ចេញតាម Excel បរាជ័យ</t>
        </is>
      </c>
      <c r="F1029" s="217" t="inlineStr">
        <is>
          <t>v</t>
        </is>
      </c>
      <c r="G1029" s="217" t="inlineStr">
        <is>
          <t>ចេញតាម Excel បរាជ័យ</t>
        </is>
      </c>
      <c r="H1029" t="inlineStr">
        <is>
          <t>ចេញតាម Excel បរាជ័យ</t>
        </is>
      </c>
      <c r="I1029" s="74" t="inlineStr">
        <is>
          <t>ការនាំចេញទៅ Excel បានបរាជ័យ</t>
        </is>
      </c>
      <c r="J1029" s="217" t="inlineStr">
        <is>
          <t>"receivingKpi.exportFail": "Export to Excel failed",</t>
        </is>
      </c>
    </row>
    <row r="1030" ht="15.75" customHeight="1" s="305">
      <c r="A1030" s="67" t="inlineStr">
        <is>
          <t>receivingKpi.fileNameExcelDetail</t>
        </is>
      </c>
      <c r="B1030" s="67" t="inlineStr">
        <is>
          <t>xuatchitiet_baocaoKPIthu</t>
        </is>
      </c>
      <c r="C1030" s="67" t="inlineStr">
        <is>
          <t>Exportdetails_RecevingKPIreport</t>
        </is>
      </c>
      <c r="D1030" s="3">
        <f>IFERROR(__xludf.DUMMYFUNCTION("GOOGLETRANSLATE(B1030,""vi"",""km"")"),"របាយការណ៍​លម្អិត KPI")</f>
        <v/>
      </c>
      <c r="E1030" s="3" t="inlineStr">
        <is>
          <t>ចេញជាលម្អិត-របាយការណ៍KPI ចំណូល</t>
        </is>
      </c>
      <c r="F1030" s="217" t="inlineStr">
        <is>
          <t>x</t>
        </is>
      </c>
      <c r="G1030" s="217" t="inlineStr">
        <is>
          <t>ចេញជាលម្អិត-របាយការណ៍KPI ចំណូល</t>
        </is>
      </c>
      <c r="H1030" t="inlineStr">
        <is>
          <t>ចេញជាលម្អិត-របាយការណ៍KPI ចំណូល</t>
        </is>
      </c>
      <c r="I1030" s="74" t="inlineStr">
        <is>
          <t>ព័ត៌មានលម្អិតអំពីការនាំចេញ_ការទទួលរបាយការណ៍ KPI ​​</t>
        </is>
      </c>
      <c r="J1030" s="217" t="inlineStr">
        <is>
          <t>"receivingKpi.fileNameExcelDetail": "Exportdetails_RecevingKPIreport",</t>
        </is>
      </c>
    </row>
    <row r="1031" ht="15.75" customHeight="1" s="305">
      <c r="A1031" s="67" t="inlineStr">
        <is>
          <t>receivingKpi.selectDate</t>
        </is>
      </c>
      <c r="B1031" s="67" t="inlineStr">
        <is>
          <t>Chọn ngày</t>
        </is>
      </c>
      <c r="C1031" s="67" t="inlineStr">
        <is>
          <t>Select date</t>
        </is>
      </c>
      <c r="D1031" s="3">
        <f>IFERROR(__xludf.DUMMYFUNCTION("GOOGLETRANSLATE(B1031,""vi"",""km"")"),"ជ្រើសរើសកាលបរិច្ឆេទ")</f>
        <v/>
      </c>
      <c r="E1031" s="3" t="inlineStr">
        <is>
          <t>ជ្រើសរើសថ្ងៃ</t>
        </is>
      </c>
      <c r="F1031" s="217" t="inlineStr">
        <is>
          <t>v</t>
        </is>
      </c>
      <c r="G1031" s="217" t="inlineStr">
        <is>
          <t>ជ្រើសរើសថ្ងៃ</t>
        </is>
      </c>
      <c r="H1031" t="inlineStr">
        <is>
          <t>ជ្រើសរើសថ្ងៃ</t>
        </is>
      </c>
      <c r="I1031" s="74" t="inlineStr">
        <is>
          <t>ជ្រើសរើសកាលបរិច្ឆេទ</t>
        </is>
      </c>
      <c r="J1031" s="217" t="inlineStr">
        <is>
          <t>"receivingKpi.selectDate": "Select date",</t>
        </is>
      </c>
    </row>
    <row r="1032" ht="15.75" customHeight="1" s="305">
      <c r="A1032" s="67" t="inlineStr">
        <is>
          <t>receivingKpi.branch</t>
        </is>
      </c>
      <c r="B1032" s="67" t="inlineStr">
        <is>
          <t>Chi nhánh</t>
        </is>
      </c>
      <c r="C1032" s="67" t="inlineStr">
        <is>
          <t>Branch</t>
        </is>
      </c>
      <c r="D1032" s="3">
        <f>IFERROR(__xludf.DUMMYFUNCTION("GOOGLETRANSLATE(B1032,""vi"",""km"")"),"សាខា")</f>
        <v/>
      </c>
      <c r="E1032" s="3" t="inlineStr">
        <is>
          <t>សាខា</t>
        </is>
      </c>
      <c r="F1032" s="217" t="inlineStr">
        <is>
          <t>v</t>
        </is>
      </c>
      <c r="G1032" s="217" t="inlineStr">
        <is>
          <t>សាខា</t>
        </is>
      </c>
      <c r="H1032" t="inlineStr">
        <is>
          <t>សាខា</t>
        </is>
      </c>
      <c r="I1032" s="74" t="inlineStr">
        <is>
          <t>សាខា</t>
        </is>
      </c>
      <c r="J1032" s="217" t="inlineStr">
        <is>
          <t>"receivingKpi.branch": "Branch",</t>
        </is>
      </c>
    </row>
    <row r="1033" ht="15.75" customHeight="1" s="305">
      <c r="A1033" s="67" t="inlineStr">
        <is>
          <t>receivingKpi.selectBranch</t>
        </is>
      </c>
      <c r="B1033" s="67" t="inlineStr">
        <is>
          <t>Chọn chi nhánh</t>
        </is>
      </c>
      <c r="C1033" s="67" t="inlineStr">
        <is>
          <t>Select branch</t>
        </is>
      </c>
      <c r="D1033" s="3">
        <f>IFERROR(__xludf.DUMMYFUNCTION("GOOGLETRANSLATE(B1033,""vi"",""km"")"),"ជ្រើសរើសសាខាមួយ")</f>
        <v/>
      </c>
      <c r="E1033" s="3" t="inlineStr">
        <is>
          <t>ជ្រើសរើសសាខា</t>
        </is>
      </c>
      <c r="F1033" s="217" t="inlineStr">
        <is>
          <t>v</t>
        </is>
      </c>
      <c r="G1033" s="217" t="inlineStr">
        <is>
          <t>ជ្រើសរើសសាខា</t>
        </is>
      </c>
      <c r="H1033" t="inlineStr">
        <is>
          <t>ជ្រើសរើសសាខា</t>
        </is>
      </c>
      <c r="I1033" s="74" t="inlineStr">
        <is>
          <t>ជ្រើសរើសសាខា</t>
        </is>
      </c>
      <c r="J1033" s="217" t="inlineStr">
        <is>
          <t>"receivingKpi.selectBranch": "Select branch",</t>
        </is>
      </c>
    </row>
    <row r="1034" ht="15.75" customHeight="1" s="305">
      <c r="A1034" s="67" t="inlineStr">
        <is>
          <t>receivingKpi.postOffice</t>
        </is>
      </c>
      <c r="B1034" s="67" t="inlineStr">
        <is>
          <t>Bưu cục</t>
        </is>
      </c>
      <c r="C1034" s="67" t="inlineStr">
        <is>
          <t>Post office</t>
        </is>
      </c>
      <c r="D1034" s="3">
        <f>IFERROR(__xludf.DUMMYFUNCTION("GOOGLETRANSLATE(B1034,""vi"",""km"")"),"ការិយាល័យប្រៃសណីយ៍")</f>
        <v/>
      </c>
      <c r="E1034" s="3" t="inlineStr">
        <is>
          <t>ការិយាល័យប្រៃសណីយ៍</t>
        </is>
      </c>
      <c r="F1034" s="217" t="inlineStr">
        <is>
          <t>v</t>
        </is>
      </c>
      <c r="G1034" s="217" t="inlineStr">
        <is>
          <t>ការិយាល័យប្រៃសណីយ៍</t>
        </is>
      </c>
      <c r="H1034" t="inlineStr">
        <is>
          <t>ការិយាល័យប្រៃសណីយ៍</t>
        </is>
      </c>
      <c r="I1034" s="74" t="inlineStr">
        <is>
          <t>ការិយាល័យប្រៃសណីយ៍</t>
        </is>
      </c>
      <c r="J1034" s="217" t="inlineStr">
        <is>
          <t>"receivingKpi.postOffice": "Post office",</t>
        </is>
      </c>
    </row>
    <row r="1035" ht="15.75" customHeight="1" s="305">
      <c r="A1035" s="67" t="inlineStr">
        <is>
          <t>receivingKpi.selectPostOffice</t>
        </is>
      </c>
      <c r="B1035" s="67" t="inlineStr">
        <is>
          <t>Chọn bưu cục</t>
        </is>
      </c>
      <c r="C1035" s="67" t="inlineStr">
        <is>
          <t>Select post office</t>
        </is>
      </c>
      <c r="D1035" s="3">
        <f>IFERROR(__xludf.DUMMYFUNCTION("GOOGLETRANSLATE(B1035,""vi"",""km"")"),"ជ្រើសរើសការិយាល័យប្រៃសណីយ៍")</f>
        <v/>
      </c>
      <c r="E1035" s="3" t="inlineStr">
        <is>
          <t>ជ្រើសរើសការិយាល័យប្រៃសណីយ៍</t>
        </is>
      </c>
      <c r="F1035" s="217" t="inlineStr">
        <is>
          <t>v</t>
        </is>
      </c>
      <c r="G1035" s="217" t="inlineStr">
        <is>
          <t>ជ្រើសរើសការិយាល័យប្រៃសណីយ៍</t>
        </is>
      </c>
      <c r="H1035" t="inlineStr">
        <is>
          <t>ជ្រើសរើសការិយាល័យប្រៃសណីយ៍</t>
        </is>
      </c>
      <c r="I1035" s="74" t="inlineStr">
        <is>
          <t>ជ្រើសរើសការិយាល័យប្រៃសណីយ៍</t>
        </is>
      </c>
      <c r="J1035" s="217" t="inlineStr">
        <is>
          <t>"receivingKpi.selectPostOffice": "Select post office",</t>
        </is>
      </c>
    </row>
    <row r="1036" ht="15.75" customHeight="1" s="305">
      <c r="A1036" s="67" t="inlineStr">
        <is>
          <t>receivingKpi.postman</t>
        </is>
      </c>
      <c r="B1036" s="67" t="inlineStr">
        <is>
          <t>Tuyến</t>
        </is>
      </c>
      <c r="C1036" s="67" t="inlineStr">
        <is>
          <t>Route</t>
        </is>
      </c>
      <c r="D1036" s="3">
        <f>IFERROR(__xludf.DUMMYFUNCTION("GOOGLETRANSLATE(B1036,""vi"",""km"")"),"ផ្លូវ")</f>
        <v/>
      </c>
      <c r="E1036" s="3" t="inlineStr">
        <is>
          <t>ផ្លូវដឹក</t>
        </is>
      </c>
      <c r="F1036" s="217" t="inlineStr">
        <is>
          <t>x</t>
        </is>
      </c>
      <c r="G1036" s="217" t="inlineStr">
        <is>
          <t>ផ្លូវដឹក</t>
        </is>
      </c>
      <c r="H1036" t="inlineStr">
        <is>
          <t>ផ្លូវដឹក</t>
        </is>
      </c>
      <c r="I1036" s="74" t="inlineStr">
        <is>
          <t>ផ្លូវ</t>
        </is>
      </c>
      <c r="J1036" s="217" t="inlineStr">
        <is>
          <t>"receivingKpi.postman": "Route",</t>
        </is>
      </c>
    </row>
    <row r="1037" ht="15.75" customHeight="1" s="305">
      <c r="A1037" s="67" t="inlineStr">
        <is>
          <t>receivingKpi.selectPostman</t>
        </is>
      </c>
      <c r="B1037" s="67" t="inlineStr">
        <is>
          <t>Chọn tuyến</t>
        </is>
      </c>
      <c r="C1037" s="67" t="inlineStr">
        <is>
          <t>Select route</t>
        </is>
      </c>
      <c r="D1037" s="3">
        <f>IFERROR(__xludf.DUMMYFUNCTION("GOOGLETRANSLATE(B1037,""vi"",""km"")"),"ជ្រើសរើសផ្លូវ")</f>
        <v/>
      </c>
      <c r="E1037" s="3" t="inlineStr">
        <is>
          <t>ជ្រើសរើសផ្លូវដឹក</t>
        </is>
      </c>
      <c r="F1037" s="217" t="inlineStr">
        <is>
          <t>x</t>
        </is>
      </c>
      <c r="G1037" s="217" t="inlineStr">
        <is>
          <t>ជ្រើសរើសផ្លូវដឹក</t>
        </is>
      </c>
      <c r="H1037" t="inlineStr">
        <is>
          <t>ជ្រើសរើសផ្លូវដឹក</t>
        </is>
      </c>
      <c r="I1037" s="74" t="inlineStr">
        <is>
          <t>ជ្រើសរើសផ្លូវ</t>
        </is>
      </c>
      <c r="J1037" s="217" t="inlineStr">
        <is>
          <t>"receivingKpi.selectPostman": "Select route",</t>
        </is>
      </c>
    </row>
    <row r="1038" ht="15.75" customHeight="1" s="305">
      <c r="A1038" s="67" t="inlineStr">
        <is>
          <t>receivingKpi.customer</t>
        </is>
      </c>
      <c r="B1038" s="67" t="inlineStr">
        <is>
          <t>Khách hàng</t>
        </is>
      </c>
      <c r="C1038" s="67" t="inlineStr">
        <is>
          <t>Customer</t>
        </is>
      </c>
      <c r="D1038" s="3">
        <f>IFERROR(__xludf.DUMMYFUNCTION("GOOGLETRANSLATE(B1038,""vi"",""km"")"),"អតិថិជន")</f>
        <v/>
      </c>
      <c r="E1038" s="3" t="inlineStr">
        <is>
          <t>អតិថិជន</t>
        </is>
      </c>
      <c r="F1038" s="217" t="inlineStr">
        <is>
          <t>v</t>
        </is>
      </c>
      <c r="G1038" s="217" t="inlineStr">
        <is>
          <t>អតិថិជន</t>
        </is>
      </c>
      <c r="H1038" t="inlineStr">
        <is>
          <t>អតិថិជន</t>
        </is>
      </c>
      <c r="I1038" s="74" t="inlineStr">
        <is>
          <t>អតិថិជន</t>
        </is>
      </c>
      <c r="J1038" s="217" t="inlineStr">
        <is>
          <t>"receivingKpi.customer": "Customer",</t>
        </is>
      </c>
    </row>
    <row r="1039" ht="15.75" customHeight="1" s="305">
      <c r="A1039" s="67" t="inlineStr">
        <is>
          <t>receivingKpi.selectCustomer</t>
        </is>
      </c>
      <c r="B1039" s="67" t="inlineStr">
        <is>
          <t>Chọn khách hàng</t>
        </is>
      </c>
      <c r="C1039" s="67" t="inlineStr">
        <is>
          <t>Select customer</t>
        </is>
      </c>
      <c r="D1039" s="3">
        <f>IFERROR(__xludf.DUMMYFUNCTION("GOOGLETRANSLATE(B1039,""vi"",""km"")"),"ជ្រើសរើសអតិថិជន")</f>
        <v/>
      </c>
      <c r="E1039" s="3" t="inlineStr">
        <is>
          <t>ជ្រើសរើសអតិថិជន</t>
        </is>
      </c>
      <c r="F1039" s="217" t="inlineStr">
        <is>
          <t>v</t>
        </is>
      </c>
      <c r="G1039" s="217" t="inlineStr">
        <is>
          <t>ជ្រើសរើសអតិថិជន</t>
        </is>
      </c>
      <c r="H1039" t="inlineStr">
        <is>
          <t>ជ្រើសរើសអតិថិជន</t>
        </is>
      </c>
      <c r="I1039" s="74" t="inlineStr">
        <is>
          <t>ជ្រើសរើសអតិថិជន</t>
        </is>
      </c>
      <c r="J1039" s="217" t="inlineStr">
        <is>
          <t>"receivingKpi.selectCustomer": "Select customer",</t>
        </is>
      </c>
    </row>
    <row r="1040" ht="15.75" customHeight="1" s="305">
      <c r="A1040" s="67" t="inlineStr">
        <is>
          <t>receivingKpi.service</t>
        </is>
      </c>
      <c r="B1040" s="67" t="inlineStr">
        <is>
          <t>Dịch vụ</t>
        </is>
      </c>
      <c r="C1040" s="67" t="inlineStr">
        <is>
          <t>Service</t>
        </is>
      </c>
      <c r="D1040" s="3">
        <f>IFERROR(__xludf.DUMMYFUNCTION("GOOGLETRANSLATE(B1040,""vi"",""km"")"),"សេវាកម្ម")</f>
        <v/>
      </c>
      <c r="E1040" s="3" t="inlineStr">
        <is>
          <t>សេវាកម្ម</t>
        </is>
      </c>
      <c r="F1040" s="217" t="inlineStr">
        <is>
          <t>v</t>
        </is>
      </c>
      <c r="G1040" s="217" t="inlineStr">
        <is>
          <t>សេវាកម្ម</t>
        </is>
      </c>
      <c r="H1040" t="inlineStr">
        <is>
          <t>សេវាកម្ម</t>
        </is>
      </c>
      <c r="I1040" s="74" t="inlineStr">
        <is>
          <t>សេវាកម្ម</t>
        </is>
      </c>
      <c r="J1040" s="217" t="inlineStr">
        <is>
          <t>"receivingKpi.service": "Service",</t>
        </is>
      </c>
    </row>
    <row r="1041" ht="15.75" customHeight="1" s="305">
      <c r="A1041" s="67" t="inlineStr">
        <is>
          <t>receivingKpi.selectService</t>
        </is>
      </c>
      <c r="B1041" s="67" t="inlineStr">
        <is>
          <t>Chọn dịch vụ</t>
        </is>
      </c>
      <c r="C1041" s="67" t="inlineStr">
        <is>
          <t>Select service</t>
        </is>
      </c>
      <c r="D1041" s="3">
        <f>IFERROR(__xludf.DUMMYFUNCTION("GOOGLETRANSLATE(B1041,""vi"",""km"")"),"ជ្រើសរើសសេវាកម្មមួយ")</f>
        <v/>
      </c>
      <c r="E1041" s="3" t="inlineStr">
        <is>
          <t>ជ្រើសរើសសេវាកម្ម</t>
        </is>
      </c>
      <c r="F1041" s="217" t="inlineStr">
        <is>
          <t>v</t>
        </is>
      </c>
      <c r="G1041" s="217" t="inlineStr">
        <is>
          <t>ជ្រើសរើសសេវាកម្ម</t>
        </is>
      </c>
      <c r="H1041" t="inlineStr">
        <is>
          <t>ជ្រើសរើសសេវាកម្ម</t>
        </is>
      </c>
      <c r="I1041" s="74" t="inlineStr">
        <is>
          <t>ជ្រើសរើសសេវាកម្ម</t>
        </is>
      </c>
      <c r="J1041" s="217" t="inlineStr">
        <is>
          <t>"receivingKpi.selectService": "Select service",</t>
        </is>
      </c>
    </row>
    <row r="1042" ht="15.75" customHeight="1" s="305">
      <c r="A1042" s="67" t="inlineStr">
        <is>
          <t>receivingKpi.total</t>
        </is>
      </c>
      <c r="B1042" s="67" t="inlineStr">
        <is>
          <t>Tổng đơn phải nhận</t>
        </is>
      </c>
      <c r="C1042" s="67" t="inlineStr">
        <is>
          <t>Total orders to receive</t>
        </is>
      </c>
      <c r="D1042" s="3">
        <f>IFERROR(__xludf.DUMMYFUNCTION("GOOGLETRANSLATE(B1042,""vi"",""km"")"),"ចំនួនសរុបនៃការបញ្ជាទិញដែលត្រូវទទួល")</f>
        <v/>
      </c>
      <c r="E1042" s="3" t="inlineStr">
        <is>
          <t>សរុបបុងបញ្ញើដែលត្រូវទទួល</t>
        </is>
      </c>
      <c r="F1042" s="217" t="inlineStr">
        <is>
          <t>v</t>
        </is>
      </c>
      <c r="G1042" s="217" t="inlineStr">
        <is>
          <t>សរុបបុងបញ្ញើដែលត្រូវទទួល</t>
        </is>
      </c>
      <c r="H1042" t="inlineStr">
        <is>
          <t>សរុបបុងបញ្ញើដែលត្រូវទទួល</t>
        </is>
      </c>
      <c r="I1042" s="74" t="inlineStr">
        <is>
          <t>ការបញ្ជាទិញសរុបដែលត្រូវទទួល</t>
        </is>
      </c>
      <c r="J1042" s="217" t="inlineStr">
        <is>
          <t>"receivingKpi.total": "Total orders to receive",</t>
        </is>
      </c>
    </row>
    <row r="1043" ht="15.75" customHeight="1" s="305">
      <c r="A1043" s="67" t="inlineStr">
        <is>
          <t>receivingKpi.totalSuccess</t>
        </is>
      </c>
      <c r="B1043" s="67" t="inlineStr">
        <is>
          <t>Tổng đơn nhận thành công</t>
        </is>
      </c>
      <c r="C1043" s="67" t="inlineStr">
        <is>
          <t>Total successfully received orders</t>
        </is>
      </c>
      <c r="D1043" s="3">
        <f>IFERROR(__xludf.DUMMYFUNCTION("GOOGLETRANSLATE(B1043,""vi"",""km"")"),"ចំនួនសរុបនៃការបញ្ជាទិញដែលទទួលបានជោគជ័យ")</f>
        <v/>
      </c>
      <c r="E1043" s="3" t="inlineStr">
        <is>
          <t>សរុុបបុងបញ្ញើដែលបានជោគជ័យ</t>
        </is>
      </c>
      <c r="F1043" s="217" t="inlineStr">
        <is>
          <t>v</t>
        </is>
      </c>
      <c r="G1043" s="217" t="inlineStr">
        <is>
          <t>សរុុបបុងបញ្ញើដែលបានជោគជ័យ</t>
        </is>
      </c>
      <c r="H1043" t="inlineStr">
        <is>
          <t>សរុុបបុងបញ្ញើដែលបានជោគជ័យ</t>
        </is>
      </c>
      <c r="I1043" s="74" t="inlineStr">
        <is>
          <t>សរុបបានទទួលការបញ្ជាទិញដោយជោគជ័យ</t>
        </is>
      </c>
      <c r="J1043" s="217" t="inlineStr">
        <is>
          <t>"receivingKpi.totalSuccess": "Total successfully received orders",</t>
        </is>
      </c>
    </row>
    <row r="1044" ht="15.75" customHeight="1" s="305">
      <c r="A1044" s="67" t="inlineStr">
        <is>
          <t>receivingKpi.successRate</t>
        </is>
      </c>
      <c r="B1044" s="67" t="inlineStr">
        <is>
          <t>Tỷ lệ thu thành công</t>
        </is>
      </c>
      <c r="C1044" s="67" t="inlineStr">
        <is>
          <t>Successful receiving rate</t>
        </is>
      </c>
      <c r="D1044" s="3">
        <f>IFERROR(__xludf.DUMMYFUNCTION("GOOGLETRANSLATE(B1044,""vi"",""km"")"),"អត្រាជោគជ័យនៃការប្រមូល")</f>
        <v/>
      </c>
      <c r="E1044" s="3" t="inlineStr">
        <is>
          <t>ភាគរយប្រមូលបានជោគជ័យ</t>
        </is>
      </c>
      <c r="F1044" s="217" t="inlineStr">
        <is>
          <t>v</t>
        </is>
      </c>
      <c r="G1044" s="217" t="inlineStr">
        <is>
          <t>ភាគរយប្រមូលបានជោគជ័យ</t>
        </is>
      </c>
      <c r="H1044" t="inlineStr">
        <is>
          <t>ភាគរយប្រមូលបានជោគជ័យ</t>
        </is>
      </c>
      <c r="I1044" s="74" t="inlineStr">
        <is>
          <t>អត្រាទទួលជោគជ័យ</t>
        </is>
      </c>
      <c r="J1044" s="217" t="inlineStr">
        <is>
          <t>"receivingKpi.successRate": "Successful receiving rate",</t>
        </is>
      </c>
    </row>
    <row r="1045" ht="15.75" customHeight="1" s="305">
      <c r="A1045" s="67" t="inlineStr">
        <is>
          <t>receivingKpi.calculateDate</t>
        </is>
      </c>
      <c r="B1045" s="67" t="inlineStr">
        <is>
          <t>Luỹ kế ngày</t>
        </is>
      </c>
      <c r="C1045" s="67" t="inlineStr">
        <is>
          <t>Day-to-date</t>
        </is>
      </c>
      <c r="D1045" s="3">
        <f>IFERROR(__xludf.DUMMYFUNCTION("GOOGLETRANSLATE(B1045,""vi"",""km"")"),"ចំនួនថ្ងៃសរុប")</f>
        <v/>
      </c>
      <c r="E1045" s="3" t="inlineStr">
        <is>
          <t>គិតពីមួយថ្ងៃទៅមួយថ្ងៃ</t>
        </is>
      </c>
      <c r="F1045" s="217" t="inlineStr">
        <is>
          <t>x</t>
        </is>
      </c>
      <c r="G1045" s="217" t="inlineStr">
        <is>
          <t>គិតពីមួយថ្ងៃទៅមួយថ្ងៃ</t>
        </is>
      </c>
      <c r="H1045" t="inlineStr">
        <is>
          <t>គិតពីមួយថ្ងៃទៅមួយថ្ងៃ</t>
        </is>
      </c>
      <c r="I1045" s="74" t="inlineStr">
        <is>
          <t>ពីមួយថ្ងៃទៅមួយថ្ងៃ</t>
        </is>
      </c>
      <c r="J1045" s="217" t="inlineStr">
        <is>
          <t>"receivingKpi.calculateDate": "Day-to-date",</t>
        </is>
      </c>
    </row>
    <row r="1046" ht="15.75" customHeight="1" s="305">
      <c r="A1046" s="67" t="inlineStr">
        <is>
          <t>receivingKpi.calculateMonth</t>
        </is>
      </c>
      <c r="B1046" s="67" t="inlineStr">
        <is>
          <t>Luỹ kế tháng</t>
        </is>
      </c>
      <c r="C1046" s="67" t="inlineStr">
        <is>
          <t>Month-to-date</t>
        </is>
      </c>
      <c r="D1046" s="3">
        <f>IFERROR(__xludf.DUMMYFUNCTION("GOOGLETRANSLATE(B1046,""vi"",""km"")"),"សរុបប្រចាំខែ")</f>
        <v/>
      </c>
      <c r="E1046" s="3" t="inlineStr">
        <is>
          <t>គិតពីមួយខែទៅមួយខែ</t>
        </is>
      </c>
      <c r="F1046" s="217" t="inlineStr">
        <is>
          <t>x</t>
        </is>
      </c>
      <c r="G1046" s="217" t="inlineStr">
        <is>
          <t>គិតពីមួយខែទៅមួយខែ</t>
        </is>
      </c>
      <c r="H1046" t="inlineStr">
        <is>
          <t>គិតពីមួយខែទៅមួយខែ</t>
        </is>
      </c>
      <c r="I1046" s="74" t="inlineStr">
        <is>
          <t>ពីខែដល់បច្ចុប្បន្ន</t>
        </is>
      </c>
      <c r="J1046" s="217" t="inlineStr">
        <is>
          <t>"receivingKpi.calculateMonth": "Month-to-date",</t>
        </is>
      </c>
    </row>
    <row r="1047" ht="15.75" customHeight="1" s="305">
      <c r="A1047" s="67" t="inlineStr">
        <is>
          <t>receivingKpi.orderCode</t>
        </is>
      </c>
      <c r="B1047" s="67" t="inlineStr">
        <is>
          <t>Mã phiếu gửi</t>
        </is>
      </c>
      <c r="C1047" s="67" t="inlineStr">
        <is>
          <t>Order ID</t>
        </is>
      </c>
      <c r="D1047" s="3">
        <f>IFERROR(__xludf.DUMMYFUNCTION("GOOGLETRANSLATE(B1047,""vi"",""km"")"),"លេខកូដបង្កាន់ដៃ")</f>
        <v/>
      </c>
      <c r="E1047" s="3" t="inlineStr">
        <is>
          <t>កូដបុងបញ្ញើ</t>
        </is>
      </c>
      <c r="F1047" s="217" t="inlineStr">
        <is>
          <t>v</t>
        </is>
      </c>
      <c r="G1047" s="217" t="inlineStr">
        <is>
          <t>លេខកូដបុងបញ្ញើ</t>
        </is>
      </c>
      <c r="H1047" t="inlineStr">
        <is>
          <t>លេខកូដបុងបញ្ញើ</t>
        </is>
      </c>
      <c r="I1047" s="74" t="inlineStr">
        <is>
          <t>លេខសម្គាល់ការបញ្ជាទិញ</t>
        </is>
      </c>
      <c r="J1047" s="217" t="inlineStr">
        <is>
          <t>"receivingKpi.orderCode": "Order ID",</t>
        </is>
      </c>
    </row>
    <row r="1048" ht="15.75" customHeight="1" s="305">
      <c r="A1048" s="67" t="inlineStr">
        <is>
          <t>receivingKpi.status</t>
        </is>
      </c>
      <c r="B1048" s="67" t="inlineStr">
        <is>
          <t>Trạng thái</t>
        </is>
      </c>
      <c r="C1048" s="67" t="inlineStr">
        <is>
          <t>Status</t>
        </is>
      </c>
      <c r="D1048" s="3">
        <f>IFERROR(__xludf.DUMMYFUNCTION("GOOGLETRANSLATE(B1048,""vi"",""km"")"),"ស្ថានភាព")</f>
        <v/>
      </c>
      <c r="E1048" s="3" t="inlineStr">
        <is>
          <t>ស្ថានភាព</t>
        </is>
      </c>
      <c r="F1048" s="217" t="inlineStr">
        <is>
          <t>v</t>
        </is>
      </c>
      <c r="G1048" s="217" t="inlineStr">
        <is>
          <t>ស្ថានភាព</t>
        </is>
      </c>
      <c r="H1048" t="inlineStr">
        <is>
          <t>ស្ថានភាព</t>
        </is>
      </c>
      <c r="I1048" s="74" t="inlineStr">
        <is>
          <t>ស្ថានភាព</t>
        </is>
      </c>
      <c r="J1048" s="217" t="inlineStr">
        <is>
          <t>"receivingKpi.status": "Status",</t>
        </is>
      </c>
    </row>
    <row r="1049" ht="15.75" customHeight="1" s="305">
      <c r="A1049" s="67" t="inlineStr">
        <is>
          <t>receivingKpi.receivingBranch</t>
        </is>
      </c>
      <c r="B1049" s="67" t="inlineStr">
        <is>
          <t>Chi nhánh nhận</t>
        </is>
      </c>
      <c r="C1049" s="67" t="inlineStr">
        <is>
          <t>Receiving branch</t>
        </is>
      </c>
      <c r="D1049" s="3">
        <f>IFERROR(__xludf.DUMMYFUNCTION("GOOGLETRANSLATE(B1049,""vi"",""km"")"),"សាខាទទួល")</f>
        <v/>
      </c>
      <c r="E1049" s="3" t="inlineStr">
        <is>
          <t>សាខាទទួល</t>
        </is>
      </c>
      <c r="F1049" s="217" t="inlineStr">
        <is>
          <t>v</t>
        </is>
      </c>
      <c r="G1049" s="217" t="inlineStr">
        <is>
          <t>សាខាទទួល</t>
        </is>
      </c>
      <c r="H1049" t="inlineStr">
        <is>
          <t>សាខាទទួល</t>
        </is>
      </c>
      <c r="I1049" s="74" t="inlineStr">
        <is>
          <t>សាខាទទួល</t>
        </is>
      </c>
      <c r="J1049" s="217" t="inlineStr">
        <is>
          <t>"receivingKpi.receivingBranch": "Receiving branch",</t>
        </is>
      </c>
    </row>
    <row r="1050" ht="15.75" customHeight="1" s="305">
      <c r="A1050" s="67" t="inlineStr">
        <is>
          <t>receivingKpi.receivingPostOffice</t>
        </is>
      </c>
      <c r="B1050" s="67" t="inlineStr">
        <is>
          <t>Bưu cục nhận</t>
        </is>
      </c>
      <c r="C1050" s="67" t="inlineStr">
        <is>
          <t>Receiving post office</t>
        </is>
      </c>
      <c r="D1050" s="3">
        <f>IFERROR(__xludf.DUMMYFUNCTION("GOOGLETRANSLATE(B1050,""vi"",""km"")"),"ការិយាល័យប្រៃសណីយ៍ទទួល")</f>
        <v/>
      </c>
      <c r="E1050" s="3" t="inlineStr">
        <is>
          <t>ការិយាល័យប្រៃសណីយ៍ទទួល</t>
        </is>
      </c>
      <c r="F1050" s="217" t="inlineStr">
        <is>
          <t>x</t>
        </is>
      </c>
      <c r="G1050" s="217" t="inlineStr">
        <is>
          <t>ការិយាល័យប្រៃសណីយ៍ទទួល</t>
        </is>
      </c>
      <c r="H1050" t="inlineStr">
        <is>
          <t>ការិយាល័យប្រៃសណីយ៍ទទួល</t>
        </is>
      </c>
      <c r="I1050" s="74" t="inlineStr">
        <is>
          <t xml:space="preserve">ការទទួលការិយាល័យប្រៃសណីយ៍ </t>
        </is>
      </c>
      <c r="J1050" s="217" t="inlineStr">
        <is>
          <t>"receivingKpi.receivingPostOffice": "Receiving post office",</t>
        </is>
      </c>
    </row>
    <row r="1051" ht="15.75" customHeight="1" s="305">
      <c r="A1051" s="67" t="inlineStr">
        <is>
          <t>receivingKpi.receivingPostman</t>
        </is>
      </c>
      <c r="B1051" s="67" t="inlineStr">
        <is>
          <t>Tuyến bưu tá nhận</t>
        </is>
      </c>
      <c r="C1051" s="67" t="inlineStr">
        <is>
          <t xml:space="preserve"> Receiving route</t>
        </is>
      </c>
      <c r="D1051" s="3">
        <f>IFERROR(__xludf.DUMMYFUNCTION("GOOGLETRANSLATE(B1051,""vi"",""km"")"),"ខ្សែសេវាកម្មប្រៃសណីយ៍")</f>
        <v/>
      </c>
      <c r="E1051" s="3" t="inlineStr">
        <is>
          <t>ផ្លូវអ្នកដឹកទទួល</t>
        </is>
      </c>
      <c r="F1051" s="217" t="inlineStr">
        <is>
          <t>x</t>
        </is>
      </c>
      <c r="G1051" s="217" t="inlineStr">
        <is>
          <t>ផ្លូវអ្នកដឹកទទួល</t>
        </is>
      </c>
      <c r="H1051" t="inlineStr">
        <is>
          <t>ផ្លូវអ្នកដឹកទទួល</t>
        </is>
      </c>
      <c r="I1051" s="74" t="inlineStr">
        <is>
          <t>ផ្លូវទទួល</t>
        </is>
      </c>
      <c r="J1051" s="217" t="inlineStr">
        <is>
          <t>"receivingKpi.receivingPostman": " Receiving route",</t>
        </is>
      </c>
    </row>
    <row r="1052" ht="15.75" customHeight="1" s="305">
      <c r="A1052" s="67" t="inlineStr">
        <is>
          <t>receivingKpi.popupTitle</t>
        </is>
      </c>
      <c r="B1052" s="67" t="inlineStr">
        <is>
          <t>Chi tiết bưu gửi</t>
        </is>
      </c>
      <c r="C1052" s="67" t="inlineStr">
        <is>
          <t>Postal slip details</t>
        </is>
      </c>
      <c r="D1052" s="3">
        <f>IFERROR(__xludf.DUMMYFUNCTION("GOOGLETRANSLATE(B1052,""vi"",""km"")"),"ព័ត៌មានលម្អិតប្រៃសណីយ៍")</f>
        <v/>
      </c>
      <c r="E1052" s="3" t="inlineStr">
        <is>
          <t>លម្អិតពីអីវ៉ាន់បញ្ញើ</t>
        </is>
      </c>
      <c r="F1052" s="217" t="inlineStr">
        <is>
          <t>x</t>
        </is>
      </c>
      <c r="G1052" s="217" t="inlineStr">
        <is>
          <t>លម្អិតពីអីវ៉ាន់បញ្ញើ</t>
        </is>
      </c>
      <c r="H1052" t="inlineStr">
        <is>
          <t>លម្អិតពីអីវ៉ាន់បញ្ញើ</t>
        </is>
      </c>
      <c r="I1052" s="74" t="inlineStr">
        <is>
          <t>ព័ត៌មានលម្អិតអំពីសំបុត្រប្រៃសណីយ៍</t>
        </is>
      </c>
      <c r="J1052" s="217" t="inlineStr">
        <is>
          <t>"receivingKpi.popupTitle": "Postal slip details",</t>
        </is>
      </c>
    </row>
    <row r="1053" ht="15.75" customHeight="1" s="305">
      <c r="A1053" s="67" t="inlineStr">
        <is>
          <t>receivingKpi.exportExcel</t>
        </is>
      </c>
      <c r="B1053" s="67" t="inlineStr">
        <is>
          <t>Xuất excel</t>
        </is>
      </c>
      <c r="C1053" s="67" t="inlineStr">
        <is>
          <t>Export to excel</t>
        </is>
      </c>
      <c r="D1053" s="3">
        <f>IFERROR(__xludf.DUMMYFUNCTION("GOOGLETRANSLATE(B1053,""vi"",""km"")"),"នាំចេញទៅ Excel")</f>
        <v/>
      </c>
      <c r="E1053" s="3" t="inlineStr">
        <is>
          <t>ចេញទៅ Excel</t>
        </is>
      </c>
      <c r="F1053" s="217" t="inlineStr">
        <is>
          <t>v</t>
        </is>
      </c>
      <c r="G1053" s="217" t="inlineStr">
        <is>
          <t>ចេញទៅ Excel</t>
        </is>
      </c>
      <c r="H1053" t="inlineStr">
        <is>
          <t>ចេញទៅ Excel</t>
        </is>
      </c>
      <c r="I1053" s="74" t="inlineStr">
        <is>
          <t>នាំចេញទៅ Excel</t>
        </is>
      </c>
      <c r="J1053" s="217" t="inlineStr">
        <is>
          <t>"receivingKpi.exportExcel": "Export to excel",</t>
        </is>
      </c>
    </row>
    <row r="1054" ht="15.75" customHeight="1" s="305">
      <c r="A1054" s="67" t="inlineStr">
        <is>
          <t>receivingKpi.exportDetail</t>
        </is>
      </c>
      <c r="B1054" s="67" t="inlineStr">
        <is>
          <t>Xuất chi tiết</t>
        </is>
      </c>
      <c r="C1054" s="67" t="inlineStr">
        <is>
          <t>Export details</t>
        </is>
      </c>
      <c r="D1054" s="3">
        <f>IFERROR(__xludf.DUMMYFUNCTION("GOOGLETRANSLATE(B1054,""vi"",""km"")"),"នាំចេញព័ត៌មានលម្អិត")</f>
        <v/>
      </c>
      <c r="E1054" s="3" t="inlineStr">
        <is>
          <t>ចេញលម្អិត</t>
        </is>
      </c>
      <c r="F1054" s="217" t="inlineStr">
        <is>
          <t>v</t>
        </is>
      </c>
      <c r="G1054" s="217" t="inlineStr">
        <is>
          <t>ចេញលម្អិត</t>
        </is>
      </c>
      <c r="H1054" t="inlineStr">
        <is>
          <t>ចេញលម្អិត</t>
        </is>
      </c>
      <c r="I1054" s="74" t="inlineStr">
        <is>
          <t>ព័ត៌មានលម្អិតនាំចេញ</t>
        </is>
      </c>
      <c r="J1054" s="217" t="inlineStr">
        <is>
          <t>"receivingKpi.exportDetail": "Export details",</t>
        </is>
      </c>
    </row>
    <row r="1055" ht="15.75" customHeight="1" s="305">
      <c r="A1055" s="67" t="inlineStr">
        <is>
          <t>receivingKpi.totalOrder</t>
        </is>
      </c>
      <c r="B1055" s="67" t="inlineStr">
        <is>
          <t>Số lượng phát sinh</t>
        </is>
      </c>
      <c r="C1055" s="67" t="inlineStr">
        <is>
          <t>Generated quantity</t>
        </is>
      </c>
      <c r="D1055" s="3">
        <f>IFERROR(__xludf.DUMMYFUNCTION("GOOGLETRANSLATE(B1055,""vi"",""km"")"),"លេខ​ដែល​បាន​បង្កើត")</f>
        <v/>
      </c>
      <c r="E1055" s="3" t="inlineStr">
        <is>
          <t>ចំនួនបន្ថែម</t>
        </is>
      </c>
      <c r="F1055" s="217" t="inlineStr">
        <is>
          <t>x</t>
        </is>
      </c>
      <c r="G1055" s="217" t="inlineStr">
        <is>
          <t>ចំនួនបន្ថែម</t>
        </is>
      </c>
      <c r="H1055" t="inlineStr">
        <is>
          <t>ចំនួនបន្ថែម</t>
        </is>
      </c>
      <c r="I1055" s="74" t="inlineStr">
        <is>
          <t>បរិមាណដែលបានបង្កើត</t>
        </is>
      </c>
      <c r="J1055" s="217" t="inlineStr">
        <is>
          <t>"receivingKpi.totalOrder": "Generated quantity",</t>
        </is>
      </c>
    </row>
    <row r="1056" ht="15.75" customHeight="1" s="305">
      <c r="A1056" s="67" t="inlineStr">
        <is>
          <t>receivingKpi.totalDropoff</t>
        </is>
      </c>
      <c r="B1056" s="67" t="inlineStr">
        <is>
          <t>Đơn dropoff</t>
        </is>
      </c>
      <c r="C1056" s="67" t="inlineStr">
        <is>
          <t>Drop-off order</t>
        </is>
      </c>
      <c r="D1056" s="3">
        <f>IFERROR(__xludf.DUMMYFUNCTION("GOOGLETRANSLATE(B1056,""vi"",""km"")"),"ការបញ្ជាទិញដែលទម្លាក់ចោល")</f>
        <v/>
      </c>
      <c r="E1056" s="67" t="inlineStr">
        <is>
          <t>បុង dropoff</t>
        </is>
      </c>
      <c r="F1056" s="217" t="inlineStr">
        <is>
          <t>x</t>
        </is>
      </c>
      <c r="G1056" s="217" t="inlineStr">
        <is>
          <t>បុងទទួលនៅសាខា</t>
        </is>
      </c>
      <c r="H1056" t="inlineStr">
        <is>
          <t>បុងទទួលនៅសាខា</t>
        </is>
      </c>
      <c r="I1056" s="74" t="inlineStr">
        <is>
          <t>ទម្លាក់ការបញ្ជាទិញ</t>
        </is>
      </c>
      <c r="J1056" s="217" t="inlineStr">
        <is>
          <t>"receivingKpi.totalDropoff": "Drop-off order",</t>
        </is>
      </c>
    </row>
    <row r="1057" ht="15.75" customHeight="1" s="305">
      <c r="A1057" s="67" t="inlineStr">
        <is>
          <t>receivingKpi.totalSuccessOrder</t>
        </is>
      </c>
      <c r="B1057" s="67" t="inlineStr">
        <is>
          <t>Số lượng nhận thành công</t>
        </is>
      </c>
      <c r="C1057" s="67" t="inlineStr">
        <is>
          <t>Successfully received quantity</t>
        </is>
      </c>
      <c r="D1057" s="3">
        <f>IFERROR(__xludf.DUMMYFUNCTION("GOOGLETRANSLATE(B1057,""vi"",""km"")"),"ចំនួននៃការទទួលដែលទទួលបានជោគជ័យ")</f>
        <v/>
      </c>
      <c r="E1057" s="3" t="inlineStr">
        <is>
          <t>ចំនួនទទួលបានជោគជ័យ</t>
        </is>
      </c>
      <c r="F1057" s="217" t="inlineStr">
        <is>
          <t>v</t>
        </is>
      </c>
      <c r="G1057" s="217" t="inlineStr">
        <is>
          <t>ចំនួនទទួលបានជោគជ័យ</t>
        </is>
      </c>
      <c r="H1057" t="inlineStr">
        <is>
          <t>ចំនួនទទួលបានជោគជ័យ</t>
        </is>
      </c>
      <c r="I1057" s="74" t="inlineStr">
        <is>
          <t>បានទទួលបរិមាណដោយជោគជ័យ</t>
        </is>
      </c>
      <c r="J1057" s="217" t="inlineStr">
        <is>
          <t>"receivingKpi.totalSuccessOrder": "Successfully received quantity",</t>
        </is>
      </c>
    </row>
    <row r="1058" ht="15.75" customHeight="1" s="305">
      <c r="A1058" s="67" t="inlineStr">
        <is>
          <t>receivingKpi.totalSuccessDropoff</t>
        </is>
      </c>
      <c r="B1058" s="67" t="inlineStr">
        <is>
          <t>Đơn dropoff</t>
        </is>
      </c>
      <c r="C1058" s="67" t="inlineStr">
        <is>
          <t>Drop-off order</t>
        </is>
      </c>
      <c r="D1058" s="3">
        <f>IFERROR(__xludf.DUMMYFUNCTION("GOOGLETRANSLATE(B1058,""vi"",""km"")"),"ការបញ្ជាទិញដែលទម្លាក់ចោល")</f>
        <v/>
      </c>
      <c r="E1058" s="67" t="inlineStr">
        <is>
          <t>បុង dropoff</t>
        </is>
      </c>
      <c r="F1058" s="217" t="inlineStr">
        <is>
          <t>x</t>
        </is>
      </c>
      <c r="G1058" s="217" t="inlineStr">
        <is>
          <t>បុងទទួលនៅសាខា</t>
        </is>
      </c>
      <c r="H1058" t="inlineStr">
        <is>
          <t>បុងទទួលនៅសាខា</t>
        </is>
      </c>
      <c r="I1058" s="74" t="inlineStr">
        <is>
          <t>ការបញ្ជាទិញទម្លាក់</t>
        </is>
      </c>
      <c r="J1058" s="217" t="inlineStr">
        <is>
          <t>"receivingKpi.totalSuccessDropoff": "Drop-off order",</t>
        </is>
      </c>
    </row>
    <row r="1059" ht="15.75" customHeight="1" s="305">
      <c r="A1059" s="67" t="inlineStr">
        <is>
          <t>receivingKpi.valueAddService</t>
        </is>
      </c>
      <c r="B1059" s="67" t="inlineStr">
        <is>
          <t>Dịch vụ cộng thêm</t>
        </is>
      </c>
      <c r="C1059" s="67" t="inlineStr">
        <is>
          <t>Value-added service</t>
        </is>
      </c>
      <c r="D1059" s="3">
        <f>IFERROR(__xludf.DUMMYFUNCTION("GOOGLETRANSLATE(B1059,""vi"",""km"")"),"សេវាកម្មបន្ថែម")</f>
        <v/>
      </c>
      <c r="E1059" s="3" t="inlineStr">
        <is>
          <t>សេវាកម្មបូកបន្ថែម</t>
        </is>
      </c>
      <c r="F1059" s="217" t="inlineStr">
        <is>
          <t>v</t>
        </is>
      </c>
      <c r="G1059" s="217" t="inlineStr">
        <is>
          <t>សេវាកម្មបន្ថែម</t>
        </is>
      </c>
      <c r="H1059" t="inlineStr">
        <is>
          <t>សេវាកម្មបន្ថែម</t>
        </is>
      </c>
      <c r="I1059" s="74" t="inlineStr">
        <is>
          <t>តម្លៃសេវាកម្មបន្ថែម</t>
        </is>
      </c>
      <c r="J1059" s="217" t="inlineStr">
        <is>
          <t>"receivingKpi.valueAddService": "Value-added service",</t>
        </is>
      </c>
    </row>
    <row r="1060" ht="15.75" customHeight="1" s="305">
      <c r="A1060" s="67" t="inlineStr">
        <is>
          <t>receivingKpi.deliveryTotal</t>
        </is>
      </c>
      <c r="B1060" s="67" t="inlineStr">
        <is>
          <t>Tổng đơn phải phát</t>
        </is>
      </c>
      <c r="C1060" s="67" t="inlineStr">
        <is>
          <t>Total orders for delivery</t>
        </is>
      </c>
      <c r="D1060" s="3">
        <f>IFERROR(__xludf.DUMMYFUNCTION("GOOGLETRANSLATE(B1060,""vi"",""km"")"),"ចំនួនសរុបនៃការបញ្ជាទិញដែលត្រូវចេញ")</f>
        <v/>
      </c>
      <c r="E1060" s="3" t="inlineStr">
        <is>
          <t>សរុបបុងដែលត្រូវប្រគល់</t>
        </is>
      </c>
      <c r="F1060" s="217" t="inlineStr">
        <is>
          <t>x</t>
        </is>
      </c>
      <c r="G1060" s="217" t="inlineStr">
        <is>
          <t>សរុបបុងដែលត្រូវប្រគល់</t>
        </is>
      </c>
      <c r="H1060" t="inlineStr">
        <is>
          <t>សរុបបុងដែលត្រូវប្រគល់</t>
        </is>
      </c>
      <c r="I1060" s="74" t="inlineStr">
        <is>
          <t>ការបញ្ជាទិញសរុបសម្រាប់ការដឹកជញ្ជូន</t>
        </is>
      </c>
      <c r="J1060" s="217" t="inlineStr">
        <is>
          <t>"receivingKpi.deliveryTotal": "Total orders for delivery",</t>
        </is>
      </c>
    </row>
    <row r="1061" ht="15.75" customHeight="1" s="305">
      <c r="A1061" s="67" t="inlineStr">
        <is>
          <t>receivingKpi.deliveryTotalSuccess</t>
        </is>
      </c>
      <c r="B1061" s="67" t="inlineStr">
        <is>
          <t>Tổng đơn phát thành công</t>
        </is>
      </c>
      <c r="C1061" s="67" t="inlineStr">
        <is>
          <t>Total successfully delivered orders</t>
        </is>
      </c>
      <c r="D1061" s="3">
        <f>IFERROR(__xludf.DUMMYFUNCTION("GOOGLETRANSLATE(B1061,""vi"",""km"")"),"ការដឹកជញ្ជូនសរុបដោយជោគជ័យ")</f>
        <v/>
      </c>
      <c r="E1061" s="3" t="inlineStr">
        <is>
          <t>សរុុបបុងដែលប្រគល់បានជោគជ័យ</t>
        </is>
      </c>
      <c r="F1061" s="217" t="inlineStr">
        <is>
          <t>x</t>
        </is>
      </c>
      <c r="G1061" s="217" t="inlineStr">
        <is>
          <t>សរុុបបុងដែលប្រគល់បានជោគជ័យ</t>
        </is>
      </c>
      <c r="H1061" t="inlineStr">
        <is>
          <t>សរុុបបុងដែលប្រគល់បានជោគជ័យ</t>
        </is>
      </c>
      <c r="I1061" s="74" t="inlineStr">
        <is>
          <t>សរុបការបញ្ជាទិញបានចែកចាយដោយជោគជ័យ</t>
        </is>
      </c>
      <c r="J1061" s="217" t="inlineStr">
        <is>
          <t>"receivingKpi.deliveryTotalSuccess": "Total successfully delivered orders",</t>
        </is>
      </c>
    </row>
    <row r="1062" ht="15.75" customHeight="1" s="305">
      <c r="A1062" s="67" t="inlineStr">
        <is>
          <t>receivingKpi.deliverySuccessRate</t>
        </is>
      </c>
      <c r="B1062" s="67" t="inlineStr">
        <is>
          <t>Tỷ lệ phát thành công</t>
        </is>
      </c>
      <c r="C1062" s="67" t="inlineStr">
        <is>
          <t>Successful delivery rate</t>
        </is>
      </c>
      <c r="D1062" s="3">
        <f>IFERROR(__xludf.DUMMYFUNCTION("GOOGLETRANSLATE(B1062,""vi"",""km"")"),"អត្រាជោគជ័យនៃការដឹកជញ្ជូន")</f>
        <v/>
      </c>
      <c r="E1062" s="3" t="inlineStr">
        <is>
          <t>ភាគរយប្រគល់បានជោគជ័យ</t>
        </is>
      </c>
      <c r="F1062" s="217" t="inlineStr">
        <is>
          <t>x</t>
        </is>
      </c>
      <c r="G1062" s="217" t="inlineStr">
        <is>
          <t>ភាគរយប្រគល់បានជោគជ័យ</t>
        </is>
      </c>
      <c r="H1062" t="inlineStr">
        <is>
          <t>ភាគរយប្រគល់បានជោគជ័យ</t>
        </is>
      </c>
      <c r="I1062" s="74" t="inlineStr">
        <is>
          <t>អត្រាចែកចាយជោគជ័យ</t>
        </is>
      </c>
      <c r="J1062" s="217" t="inlineStr">
        <is>
          <t>"receivingKpi.deliverySuccessRate": "Successful delivery rate",</t>
        </is>
      </c>
    </row>
    <row r="1063" ht="15.75" customHeight="1" s="305">
      <c r="A1063" s="67" t="inlineStr">
        <is>
          <t>receivingKpi.deliveryBranch</t>
        </is>
      </c>
      <c r="B1063" s="67" t="inlineStr">
        <is>
          <t>Chi nhánh phát</t>
        </is>
      </c>
      <c r="C1063" s="67" t="inlineStr">
        <is>
          <t>Delivery branch</t>
        </is>
      </c>
      <c r="D1063" s="3">
        <f>IFERROR(__xludf.DUMMYFUNCTION("GOOGLETRANSLATE(B1063,""vi"",""km"")"),"សាខា")</f>
        <v/>
      </c>
      <c r="E1063" s="3" t="inlineStr">
        <is>
          <t>សាខាប្រគល់</t>
        </is>
      </c>
      <c r="F1063" s="217" t="inlineStr">
        <is>
          <t>x</t>
        </is>
      </c>
      <c r="G1063" s="217" t="inlineStr">
        <is>
          <t>សាខាប្រគល់</t>
        </is>
      </c>
      <c r="H1063" t="inlineStr">
        <is>
          <t>សាខាប្រគល់</t>
        </is>
      </c>
      <c r="I1063" s="74" t="inlineStr">
        <is>
          <t>សាខាដឹកជញ្ជូន</t>
        </is>
      </c>
      <c r="J1063" s="217" t="inlineStr">
        <is>
          <t>"receivingKpi.deliveryBranch": "Delivery branch",</t>
        </is>
      </c>
    </row>
    <row r="1064" ht="15.75" customHeight="1" s="305">
      <c r="A1064" s="67" t="inlineStr">
        <is>
          <t>receivingKpi.deliveryPostOffice</t>
        </is>
      </c>
      <c r="B1064" s="67" t="inlineStr">
        <is>
          <t>Bưu cục phát</t>
        </is>
      </c>
      <c r="C1064" s="67" t="inlineStr">
        <is>
          <t>Delivery post office</t>
        </is>
      </c>
      <c r="D1064" s="3">
        <f>IFERROR(__xludf.DUMMYFUNCTION("GOOGLETRANSLATE(B1064,""vi"",""km"")"),"ការិយាល័យប្រៃសណីយ៍ដឹកជញ្ជូន")</f>
        <v/>
      </c>
      <c r="E1064" s="3" t="inlineStr">
        <is>
          <t>ការិយាល័យប្រៃណីយ៍ប្រគល់</t>
        </is>
      </c>
      <c r="F1064" s="217" t="inlineStr">
        <is>
          <t>x</t>
        </is>
      </c>
      <c r="G1064" s="217" t="inlineStr">
        <is>
          <t>ការិយាល័យប្រៃសណីយ៍ដឹកចែក</t>
        </is>
      </c>
      <c r="H1064" t="inlineStr">
        <is>
          <t>ការិយាល័យប្រៃសណីយ៍ដឹកចែក</t>
        </is>
      </c>
      <c r="I1064" s="74" t="inlineStr">
        <is>
          <t>ការិយាល័យប្រៃសណីយ៍ដឹកជញ្ជូន</t>
        </is>
      </c>
      <c r="J1064" s="217" t="inlineStr">
        <is>
          <t>"receivingKpi.deliveryPostOffice": "Delivery post office",</t>
        </is>
      </c>
    </row>
    <row r="1065" ht="15.75" customHeight="1" s="305">
      <c r="A1065" s="67" t="inlineStr">
        <is>
          <t>receivingKpi.deliveryPostman</t>
        </is>
      </c>
      <c r="B1065" s="67" t="inlineStr">
        <is>
          <t>Tuyến bưu tá phát</t>
        </is>
      </c>
      <c r="C1065" s="67" t="inlineStr">
        <is>
          <t>Delivery route</t>
        </is>
      </c>
      <c r="D1065" s="3">
        <f>IFERROR(__xludf.DUMMYFUNCTION("GOOGLETRANSLATE(B1065,""vi"",""km"")"),"សេវាកម្មដឹកជញ្ជូនប្រៃសណីយ៍")</f>
        <v/>
      </c>
      <c r="E1065" s="3" t="inlineStr">
        <is>
          <t>ផ្លូវអ្នកដឹកប្រគល់</t>
        </is>
      </c>
      <c r="F1065" s="217" t="inlineStr">
        <is>
          <t>x</t>
        </is>
      </c>
      <c r="G1065" s="217" t="inlineStr">
        <is>
          <t>ផ្លូវអ្នកដឹកប្រគល់</t>
        </is>
      </c>
      <c r="H1065" t="inlineStr">
        <is>
          <t>ផ្លូវអ្នកដឹកប្រគល់</t>
        </is>
      </c>
      <c r="I1065" s="74" t="inlineStr">
        <is>
          <t>ផ្លូវដឹកជញ្ជូន</t>
        </is>
      </c>
      <c r="J1065" s="217" t="inlineStr">
        <is>
          <t>"receivingKpi.deliveryPostman": "Delivery route",</t>
        </is>
      </c>
    </row>
    <row r="1066" ht="15.75" customHeight="1" s="305">
      <c r="A1066" s="67" t="inlineStr">
        <is>
          <t>receivingKpi.tooltipDay</t>
        </is>
      </c>
      <c r="B1066" s="67" t="inlineStr">
        <is>
          <t>Tổng đơn phát thành công: là các đơn giao thành công (410, 441, 550, 551) trong ngày N, có thời gian phát sinh phải giao trong ngày N ( thời gian trạng thái 306 (Đối với trường hợp Bưu cục nhận bàn giao = Bưu cục phát dự kiến) hoặc thời gian trạng thái 400 (đối với trường hợp bưu cục phát khác bưu cục dự kiến phát</t>
        </is>
      </c>
      <c r="C1066" s="67" t="inlineStr">
        <is>
          <t>The Successful Delivery Total refers to all shipments successfully delivered (statuses 410, 441, 550, 551) on day N, with a required delivery date falling on day N. This includes: (i) shipments with status 306 (for cases where the receiving post office is the same as the expected delivery post office), and (ii) shipments with status 400 (for cases where the actual delivery post office is different from the expected delivery post office)</t>
        </is>
      </c>
      <c r="D1066" s="3">
        <f>IFERROR(__xludf.DUMMYFUNCTION("GOOGLETRANSLATE(B1066,""vi"",""km"")"),"ការដឹកជញ្ជូនសរុបដោយជោគជ័យ៖ ទាំងនេះគឺជាការដឹកជញ្ជូនដែលបានបញ្ចប់ដោយជោគជ័យ (410, 441, 550, 551) នៅថ្ងៃទី N ដោយពេលវេលាដឹកជញ្ជូនកើតឡើងនៅថ្ងៃទី N (ពេលវេលាស្ថានភាព 306 (សម្រាប់ករណីដែលការិយាល័យប្រៃសណីយ៍ទទួលស្មើនឹងការិយាល័យប្រៃសណីយ៍ដឹកជញ្ជូនដែលរំពឹងទុក) ឬពេលវេលាស្"&amp;"ថានភាព 400 (សម្រាប់ករណីដែលការិយាល័យប្រៃសណីយ៍ដឹកជញ្ជូនខុសពីការិយាល័យប្រៃសណីយ៍ដឹកជញ្ជូនដែលរំពឹងទុក)។")</f>
        <v/>
      </c>
      <c r="E1066" s="3" t="inlineStr">
        <is>
          <t>សរុបបុងដែលដឹកជញ្ជូនបានដោយជោគជ័យ៖ ទាំងនេះគឺជាបុងប្រគល់បានជោគជ័យ (410, 441, 550, 551) នៅថ្ងៃទី N ដោយមានពេលវេលាបន្ថែមត្រូវប្រគល់ក្នុងថ្ងៃទី N (ពេលវេលាស្ថានភាព 306 (សម្រាប់ករណីដែលការិយាល័យប្រៃសណីយ៍ទទួលប្រគល់ស្មើនឹងការិយាល័យប្រៃសណីយ៍ដែលរំពឹងទុក) ឬពេលវេលាស្ថានភាព 400 (សម្រាប់ករណីដែលការិយាល័យប្រៃសណីយ៍ប្រគល់ ខុសពីការិយាល័យប្រៃសណីយ៍ដែលរំពឹងទុក)។</t>
        </is>
      </c>
      <c r="F1066" s="217" t="inlineStr">
        <is>
          <t>x</t>
        </is>
      </c>
      <c r="G1066" s="217" t="inlineStr">
        <is>
          <t>សរុបបុងដែលដឹកជញ្ជូនបានដោយជោគជ័យ៖ ទាំងនេះគឺជាបុងប្រគល់បានជោគជ័យ (410, 441, 550, 551) នៅថ្ងៃទី N ដោយមានពេលវេលាបន្ថែមត្រូវប្រគល់ក្នុងថ្ងៃទី N (ពេលវេលាស្ថានភាព 306 (សម្រាប់ករណីដែលការិយាល័យប្រៃសណីយ៍ទទួលប្រគល់ស្មើនឹងការិយាល័យប្រៃសណីយ៍ដែលរំពឹងទុក) ឬពេលវេលាស្ថានភាព 400 (សម្រាប់ករណីដែលការិយាល័យប្រៃសណីយ៍ប្រគល់ ខុសពីការិយាល័យប្រៃសណីយ៍ដែលរំពឹងទុក)។</t>
        </is>
      </c>
      <c r="H1066" t="inlineStr">
        <is>
          <t>សរុបបុងដែលដឹកជញ្ជូនបានដោយជោគជ័យ៖ ទាំងនេះគឺជាបុងប្រគល់បានជោគជ័យ (410, 441, 550, 551) នៅថ្ងៃទី N ដោយមានពេលវេលាបន្ថែមត្រូវប្រគល់ក្នុងថ្ងៃទី N (ពេលវេលាស្ថានភាព 306 (សម្រាប់ករណីដែលការិយាល័យប្រៃសណីយ៍ទទួលប្រគល់ស្មើនឹងការិយាល័យប្រៃសណីយ៍ដែលរំពឹងទុក) ឬពេលវេលាស្ថានភាព 400 (សម្រាប់ករណីដែលការិយាល័យប្រៃសណីយ៍ប្រគល់ ខុសពីការិយាល័យប្រៃសណីយ៍ដែលរំពឹងទុក)។</t>
        </is>
      </c>
      <c r="I1066" s="74" t="inlineStr">
        <is>
          <t>ការបញ្ជាទិញសរុបដែលទទួលបានជោគជ័យ៖ គឺជាការបញ្ជាទិញដែលទទួលបានជោគជ័យ (410, 441, 550, 551) នៅថ្ងៃ N ជាមួយនឹងពេលវេលានៃការកើតឡើងដែលត្រូវប្រគល់នៅថ្ងៃ N (ពេលវេលាស្ថានភាព 306 (សម្រាប់ករណីដែលការិយាល័យប្រៃសណីយ៍ទទួល = ការិយាល័យប្រៃសណីយ៍ដឹកជញ្ជូនដែលរំពឹងទុក) ឬពេលវេលាស្ថានភាព 400 (សម្រាប់ករណីដែលការិយាល័យប្រៃសណីយ៍ដឹកជញ្ជូនខុសពីការិយាល័យប្រៃសណីយ៍ដឹកជញ្ជូនដែលរំពឹងទុក)</t>
        </is>
      </c>
      <c r="J1066" s="217" t="inlineStr">
        <is>
          <t>"receivingKpi.tooltipDay": "The Successful Delivery Total refers to all shipments successfully delivered (statuses 410, 441, 550, 551) on day N, with a required delivery date falling on day N. This includes: (i) shipments with status 306 (for cases where the receiving post office is the same as the expected delivery post office), and (ii) shipments with status 400 (for cases where the actual delivery post office is different from the expected delivery post office)",</t>
        </is>
      </c>
    </row>
    <row r="1067" ht="15.75" customHeight="1" s="305">
      <c r="A1067" s="67" t="inlineStr">
        <is>
          <t>receivingKpi.tooltipMonth</t>
        </is>
      </c>
      <c r="B1067" s="67" t="inlineStr">
        <is>
          <t>Tổng đơn phát thành công: Là các đơn giao thành công (410, 441, 550, 551) trong tháng T đến ngày 3 của tháng T + 1 có thời gian phát sinh phải giao trong tháng T ( thời gian trạng thái 306 (Đối với trường hợp Bưu cục nhận bàn giao = Bưu cục phát dự kiến) hoặc thời gian trạng thái 400 (đối với trường hợp bưu cục phát khác bưu cục dự kiến phát)</t>
        </is>
      </c>
      <c r="C1067" s="67" t="inlineStr">
        <is>
          <t>The Successful Delivery Total refers to all shipments successfully delivered (statuses 410, 441, 550, 551) from month T up to the 3rd day of month T+1, with a required delivery date falling within month T. This includes: (i) shipments with status 306 (for cases where the receiving post office is the same as the expected delivery post office), and (ii) shipments with status 400 (for cases where the actual delivery post office is different from the expected delivery post office)</t>
        </is>
      </c>
      <c r="D1067" s="3">
        <f>IFERROR(__xludf.DUMMYFUNCTION("GOOGLETRANSLATE(B1067,""vi"",""km"")"),"ការដឹកជញ្ជូនសរុបដោយជោគជ័យ៖ ទាំងនេះគឺជាការដឹកជញ្ជូនដោយជោគជ័យ (410, 441, 550, 551) ក្នុងខែ T រហូតដល់ថ្ងៃទី 3 នៃខែ T + 1 ជាមួយនឹងពេលវេលាដឹកជញ្ជូនក្នុងខែ T (ស្ថានភាពពេលវេលា 306 (សម្រាប់ករណីដែលការិយាល័យប្រៃសណីយ៍ទទួលស្មើនឹងការិយាល័យប្រៃសណីយ៍ដឹកជញ្ជូនដែលរំពឹងទុក"&amp;") ឬស្ថានភាពពេលវេលា 400 (សម្រាប់ករណីដែលការិយាល័យប្រៃសណីយ៍ដឹកជញ្ជូនខុសពីការិយាល័យប្រៃសណីយ៍ដឹកជញ្ជូនដែលរំពឹងទុក))។")</f>
        <v/>
      </c>
      <c r="E1067" s="3" t="inlineStr">
        <is>
          <t>សរុបបុងដែលដឹកជញ្ជូនបានដោយជោគជ័យ៖ ទាំងនេះគឺជាការបុងដែលដឹកជញ្ជូនដោយជោគជ័យ (410, 441, 550, 551) ក្នុងខែ T រហូតដល់ថ្ងៃទី 3 របស់ខែ T + 1 មានពេលវេលាបន្ថែមត្រូវបប្រគល់ក្នុងខែ T (ស្ថានភាពពេលវេលា 306 (សម្រាប់ករណីដែលការិយាល័យប្រៃសណីយ៍ទទួលប្រគល់ ស្មើនឹងការិយាល័យប្រៃសណីយ៍ដឹកជញ្ជូនដែលរំពឹងទុក) ឬពេលវេលាស្ថានភាព 400 (សម្រាប់ករណីដែលការិយាល័យប្រៃសណីយ៍ដឹកជញ្ជូនខុសពីការិយាល័យប្រៃសណីយ៍ដឹកជញ្ជូនដែលរំពឹងទុកប្រគល់))។</t>
        </is>
      </c>
      <c r="F1067" s="217" t="inlineStr">
        <is>
          <t>x</t>
        </is>
      </c>
      <c r="G1067" s="217" t="inlineStr">
        <is>
          <t>សរុបបុងដែលដឹកជញ្ជូនបានដោយជោគជ័យ៖ ទាំងនេះគឺជាការបុងដែលដឹកជញ្ជូនដោយជោគជ័យ (410, 441, 550, 551) ក្នុងខែ T រហូតដល់ថ្ងៃទី 3 របស់ខែ T + 1 មានពេលវេលាបន្ថែមត្រូវបប្រគល់ក្នុងខែ T (ស្ថានភាពពេលវេលា 306 (សម្រាប់ករណីដែលការិយាល័យប្រៃសណីយ៍ទទួលប្រគល់ ស្មើនឹងការិយាល័យប្រៃសណីយ៍ដឹកជញ្ជូនដែលរំពឹងទុក) ឬពេលវេលាស្ថានភាព 400 (សម្រាប់ករណីដែលការិយាល័យប្រៃសណីយ៍ដឹកជញ្ជូនខុសពីការិយាល័យប្រៃសណីយ៍ដឹកជញ្ជូនដែលរំពឹងទុកប្រគល់))។</t>
        </is>
      </c>
      <c r="H1067" t="inlineStr">
        <is>
          <t>សរុបបុងដែលដឹកជញ្ជូនបានដោយជោគជ័យ៖ ទាំងនេះគឺជាការបុងដែលដឹកជញ្ជូនដោយជោគជ័យ (410, 441, 550, 551) ក្នុងខែ T រហូតដល់ថ្ងៃទី 3 របស់ខែ T + 1 មានពេលវេលាបន្ថែមត្រូវបប្រគល់ក្នុងខែ T (ស្ថានភាពពេលវេលា 306 (សម្រាប់ករណីដែលការិយាល័យប្រៃសណីយ៍ទទួលប្រគល់ ស្មើនឹងការិយាល័យប្រៃសណីយ៍ដឹកជញ្ជូនដែលរំពឹងទុក) ឬពេលវេលាស្ថានភាព 400 (សម្រាប់ករណីដែលការិយាល័យប្រៃសណីយ៍ដឹកជញ្ជូនខុសពីការិយាល័យប្រៃសណីយ៍ដឹកជញ្ជូនដែលរំពឹងទុកប្រគល់))។</t>
        </is>
      </c>
      <c r="I1067" s="74" t="inlineStr">
        <is>
          <t>សរុបការដឹកជញ្ជូនជោគជ័យ សំដៅលើការដឹកជញ្ជូនទាំងអស់ដែលបានចែកចាយដោយជោគជ័យ (ស្ថានភាព 410, 441, 550, 551) ចាប់ពីខែ T ដល់ថ្ងៃទី 3 នៃខែ T+1 ជាមួយនឹងកាលបរិច្ឆេទដឹកជញ្ជូនដែលតម្រូវឱ្យធ្លាក់ក្នុងខែ T. នេះរួមមាន (i) ការដឹកជញ្ជូនដែលមានស្ថានភាព 306 (សម្រាប់ករណីដែលការិយាល័យប្រៃសណីយ៍ទទួលគឺ 4 ករណី) និង 0 (ii ករណីដឹកជញ្ជូនដែលរំពឹងទុក) ដែលជាកន្លែងដែលការិយាល័យប្រៃសណីយ៍ដឹកជញ្ជូនពិតប្រាកដខុសពីការិយាល័យប្រៃសណីយ៍ដឹកជញ្ជូនដែលរំពឹងទុក)</t>
        </is>
      </c>
      <c r="J1067" s="217" t="inlineStr">
        <is>
          <t>"receivingKpi.tooltipMonth": "The Successful Delivery Total refers to all shipments successfully delivered (statuses 410, 441, 550, 551) from month T up to the 3rd day of month T+1, with a required delivery date falling within month T. This includes: (i) shipments with status 306 (for cases where the receiving post office is the same as the expected delivery post office), and (ii) shipments with status 400 (for cases where the actual delivery post office is different from the expected delivery post office)",</t>
        </is>
      </c>
    </row>
    <row r="1068" ht="15.75" customHeight="1" s="305">
      <c r="A1068" s="67" t="inlineStr">
        <is>
          <t>deliveryKpi.exportSuccess</t>
        </is>
      </c>
      <c r="B1068" s="67" t="inlineStr">
        <is>
          <t>Xuất excel thành công</t>
        </is>
      </c>
      <c r="C1068" s="67" t="inlineStr">
        <is>
          <t>Export to Excel successful</t>
        </is>
      </c>
      <c r="D1068" s="3">
        <f>IFERROR(__xludf.DUMMYFUNCTION("GOOGLETRANSLATE(B1068,""vi"",""km"")"),"នាំចេញទៅ Excel ដោយជោគជ័យ")</f>
        <v/>
      </c>
      <c r="E1068" s="3" t="inlineStr">
        <is>
          <t>ចេញExcel បានជោគជ័យ</t>
        </is>
      </c>
      <c r="F1068" s="217" t="inlineStr">
        <is>
          <t>v</t>
        </is>
      </c>
      <c r="G1068" s="217" t="inlineStr">
        <is>
          <t>ចេញExcel បានជោគជ័យ</t>
        </is>
      </c>
      <c r="H1068" t="inlineStr">
        <is>
          <t>ចេញExcel បានជោគជ័យ</t>
        </is>
      </c>
      <c r="I1068" s="74" t="inlineStr">
        <is>
          <t>នាំចេញទៅ Excel បានជោគជ័យ</t>
        </is>
      </c>
      <c r="J1068" s="217" t="inlineStr">
        <is>
          <t>"deliveryKpi.exportSuccess": "Export to Excel successful",</t>
        </is>
      </c>
    </row>
    <row r="1069" ht="15.75" customHeight="1" s="305">
      <c r="A1069" s="67" t="inlineStr">
        <is>
          <t>deliveryKpi.exportFail</t>
        </is>
      </c>
      <c r="B1069" s="67" t="inlineStr">
        <is>
          <t>Xuất excel thất bại</t>
        </is>
      </c>
      <c r="C1069" s="67" t="inlineStr">
        <is>
          <t>Export to Excel failed</t>
        </is>
      </c>
      <c r="D1069" s="3">
        <f>IFERROR(__xludf.DUMMYFUNCTION("GOOGLETRANSLATE(B1069,""vi"",""km"")"),"ការនាំចេញទៅ Excel បានបរាជ័យ។")</f>
        <v/>
      </c>
      <c r="E1069" s="3" t="inlineStr">
        <is>
          <t>ចេញExcel បរាជ័យ</t>
        </is>
      </c>
      <c r="F1069" s="217" t="inlineStr">
        <is>
          <t>v</t>
        </is>
      </c>
      <c r="G1069" s="217" t="inlineStr">
        <is>
          <t>ចេញExcel បរាជ័យ</t>
        </is>
      </c>
      <c r="H1069" t="inlineStr">
        <is>
          <t>ចេញExcel បរាជ័យ</t>
        </is>
      </c>
      <c r="I1069" s="74" t="inlineStr">
        <is>
          <t>ការនាំចេញទៅ Excel បានបរាជ័យ</t>
        </is>
      </c>
      <c r="J1069" s="217" t="inlineStr">
        <is>
          <t>"deliveryKpi.exportFail": "Export to Excel failed",</t>
        </is>
      </c>
    </row>
    <row r="1070" ht="15.75" customHeight="1" s="305">
      <c r="A1070" s="67" t="inlineStr">
        <is>
          <t>deliveryKpi.fileNameExcel</t>
        </is>
      </c>
      <c r="B1070" s="67" t="inlineStr">
        <is>
          <t>BaocaoKPIphat</t>
        </is>
      </c>
      <c r="C1070" s="67" t="inlineStr">
        <is>
          <t>DeliveryKPIreport</t>
        </is>
      </c>
      <c r="D1070" s="3">
        <f>IFERROR(__xludf.DUMMYFUNCTION("GOOGLETRANSLATE(B1070,""vi"",""km"")"),"របាយការណ៍ KPI")</f>
        <v/>
      </c>
      <c r="E1070" s="3" t="inlineStr">
        <is>
          <t>របាយការណ៍ KPI</t>
        </is>
      </c>
      <c r="F1070" s="217" t="inlineStr">
        <is>
          <t>x</t>
        </is>
      </c>
      <c r="G1070" s="217" t="inlineStr">
        <is>
          <t>របាយការណ៍ KPI</t>
        </is>
      </c>
      <c r="H1070" t="inlineStr">
        <is>
          <t>របាយការណ៍ KPI</t>
        </is>
      </c>
      <c r="I1070" s="74" t="inlineStr">
        <is>
          <t>របាយការណ៍ដឹកជញ្ជូនKPI</t>
        </is>
      </c>
      <c r="J1070" s="217" t="inlineStr">
        <is>
          <t>"deliveryKpi.fileNameExcel": "DeliveryKPIreport",</t>
        </is>
      </c>
    </row>
    <row r="1071" ht="15.75" customHeight="1" s="305">
      <c r="A1071" s="67" t="inlineStr">
        <is>
          <t>deliveryKpi.fileNameExcelDetail</t>
        </is>
      </c>
      <c r="B1071" s="67" t="inlineStr">
        <is>
          <t>xuatchitiet_baocaoKPIphat</t>
        </is>
      </c>
      <c r="C1071" s="67" t="inlineStr">
        <is>
          <t>Exportdetails_DeliveryKPIreport</t>
        </is>
      </c>
      <c r="D1071" s="3">
        <f>IFERROR(__xludf.DUMMYFUNCTION("GOOGLETRANSLATE(B1071,""vi"",""km"")"),"xaatchitiet_baocaoKPiphat")</f>
        <v/>
      </c>
      <c r="E1071" s="3" t="inlineStr">
        <is>
          <t>ការចេញលម្អិត-របាយការណ៍KPIប្រគល់ចេញ</t>
        </is>
      </c>
      <c r="F1071" s="217" t="inlineStr">
        <is>
          <t>x</t>
        </is>
      </c>
      <c r="G1071" s="217" t="inlineStr">
        <is>
          <t>ការចេញលម្អិត-របាយការណ៍KPIប្រគល់ចេញ</t>
        </is>
      </c>
      <c r="H1071" t="inlineStr">
        <is>
          <t>ការចេញលម្អិត-របាយការណ៍KPIប្រគល់ចេញ</t>
        </is>
      </c>
      <c r="I1071" s="74" t="inlineStr">
        <is>
          <t>ព័ត៌មានលម្អិតនាំចេញ_ការចែកចាយKPIreport</t>
        </is>
      </c>
      <c r="J1071" s="217" t="inlineStr">
        <is>
          <t>"deliveryKpi.fileNameExcelDetail": "Exportdetails_DeliveryKPIreport",</t>
        </is>
      </c>
    </row>
    <row r="1072" ht="15.75" customHeight="1" s="305">
      <c r="A1072" s="67" t="inlineStr">
        <is>
          <t>slider.Controller</t>
        </is>
      </c>
      <c r="B1072" s="67" t="inlineStr">
        <is>
          <t>Vận hành</t>
        </is>
      </c>
      <c r="C1072" s="67" t="inlineStr">
        <is>
          <t>Controller</t>
        </is>
      </c>
      <c r="D1072" s="3">
        <f>IFERROR(__xludf.DUMMYFUNCTION("GOOGLETRANSLATE(B1072,""vi"",""km"")"),"ប្រតិបត្តិការ")</f>
        <v/>
      </c>
      <c r="E1072" s="3" t="inlineStr">
        <is>
          <t>ដំណើរការដឹកជញ្ជូន</t>
        </is>
      </c>
      <c r="F1072" s="217" t="inlineStr">
        <is>
          <t>x</t>
        </is>
      </c>
      <c r="G1072" s="217" t="inlineStr">
        <is>
          <t>ដំណើរការដឹកជញ្ជូន</t>
        </is>
      </c>
      <c r="H1072" t="inlineStr">
        <is>
          <t>ដំណើរការដឹកជញ្ជូន</t>
        </is>
      </c>
      <c r="I1072" s="74" t="inlineStr">
        <is>
          <t>ឧបករណ៍បញ្ជា</t>
        </is>
      </c>
      <c r="J1072" s="217" t="inlineStr">
        <is>
          <t>"slider.Controller": "Controller",</t>
        </is>
      </c>
    </row>
    <row r="1073" ht="15.75" customHeight="1" s="305">
      <c r="A1073" s="67" t="inlineStr">
        <is>
          <t>slider.ModifyOrder</t>
        </is>
      </c>
      <c r="B1073" s="67" t="inlineStr">
        <is>
          <t>Tiếp nhận đơn</t>
        </is>
      </c>
      <c r="C1073" s="67" t="inlineStr">
        <is>
          <t>Accept order</t>
        </is>
      </c>
      <c r="D1073" s="3">
        <f>IFERROR(__xludf.DUMMYFUNCTION("GOOGLETRANSLATE(B1073,""vi"",""km"")"),"ទទួលពាក្យស្នើសុំ")</f>
        <v/>
      </c>
      <c r="E1073" s="3" t="inlineStr">
        <is>
          <t>ទទួលបុងបញ្ញើ</t>
        </is>
      </c>
      <c r="F1073" s="217" t="inlineStr">
        <is>
          <t>v</t>
        </is>
      </c>
      <c r="G1073" s="217" t="inlineStr">
        <is>
          <t>ទទួលបុងបញ្ញើ</t>
        </is>
      </c>
      <c r="H1073" t="inlineStr">
        <is>
          <t>ទទួលបុងបញ្ញើ</t>
        </is>
      </c>
      <c r="I1073" s="74" t="inlineStr">
        <is>
          <t>ទទួលយកការបញ្ជាទិញ</t>
        </is>
      </c>
      <c r="J1073" s="217" t="inlineStr">
        <is>
          <t>"slider.ModifyOrder": "Accept order",</t>
        </is>
      </c>
    </row>
    <row r="1074" ht="15.75" customHeight="1" s="305">
      <c r="A1074" s="67" t="inlineStr">
        <is>
          <t>slider.Packing</t>
        </is>
      </c>
      <c r="B1074" s="67" t="inlineStr">
        <is>
          <t>Đóng tải</t>
        </is>
      </c>
      <c r="C1074" s="67" t="inlineStr">
        <is>
          <t>Packup</t>
        </is>
      </c>
      <c r="D1074" s="3">
        <f>IFERROR(__xludf.DUMMYFUNCTION("GOOGLETRANSLATE(B1074,""vi"",""km"")"),"កំពុងផ្ទុក")</f>
        <v/>
      </c>
      <c r="E1074" s="3" t="inlineStr">
        <is>
          <t>បិទកញ្ចប់ទំនិញ</t>
        </is>
      </c>
      <c r="F1074" s="217" t="inlineStr">
        <is>
          <t>x</t>
        </is>
      </c>
      <c r="G1074" s="217" t="inlineStr">
        <is>
          <t>បិទកញ្ចប់ទំនិញ</t>
        </is>
      </c>
      <c r="H1074" t="inlineStr">
        <is>
          <t>បិទកញ្ចប់ទំនិញ</t>
        </is>
      </c>
      <c r="I1074" s="74" t="inlineStr">
        <is>
          <t>កញ្ចប់</t>
        </is>
      </c>
      <c r="J1074" s="217" t="inlineStr">
        <is>
          <t>"slider.Packing": "Packup",</t>
        </is>
      </c>
    </row>
    <row r="1075" ht="15.75" customHeight="1" s="305">
      <c r="A1075" s="67" t="inlineStr">
        <is>
          <t>slider.packageIncomplete</t>
        </is>
      </c>
      <c r="B1075" s="67" t="inlineStr">
        <is>
          <t>Chưa đóng</t>
        </is>
      </c>
      <c r="C1075" s="67" t="inlineStr">
        <is>
          <t>Incomplete</t>
        </is>
      </c>
      <c r="D1075" s="3">
        <f>IFERROR(__xludf.DUMMYFUNCTION("GOOGLETRANSLATE(B1075,""vi"",""km"")"),"មិនទាន់បិទទេ")</f>
        <v/>
      </c>
      <c r="E1075" s="3" t="inlineStr">
        <is>
          <t>មិនទាន់បិទខ្ចប់</t>
        </is>
      </c>
      <c r="F1075" s="217" t="inlineStr">
        <is>
          <t>v</t>
        </is>
      </c>
      <c r="G1075" s="217" t="inlineStr">
        <is>
          <t>មិនទាន់ច្រកបាវ</t>
        </is>
      </c>
      <c r="H1075" t="inlineStr">
        <is>
          <t>មិនទាន់ច្រកបាវ</t>
        </is>
      </c>
      <c r="I1075" s="74" t="inlineStr">
        <is>
          <t>មិនពេញលេញ</t>
        </is>
      </c>
      <c r="J1075" s="217" t="inlineStr">
        <is>
          <t>"slider.packageIncomplete": "Incomplete",</t>
        </is>
      </c>
    </row>
    <row r="1076" ht="15.75" customHeight="1" s="305">
      <c r="A1076" s="67" t="inlineStr">
        <is>
          <t>slider.packageProcess</t>
        </is>
      </c>
      <c r="B1076" s="67" t="inlineStr">
        <is>
          <t>Đang đóng</t>
        </is>
      </c>
      <c r="C1076" s="67" t="inlineStr">
        <is>
          <t>Packup in progress</t>
        </is>
      </c>
      <c r="D1076" s="3">
        <f>IFERROR(__xludf.DUMMYFUNCTION("GOOGLETRANSLATE(B1076,""vi"",""km"")"),"កំពុងបិទ")</f>
        <v/>
      </c>
      <c r="E1076" s="3" t="inlineStr">
        <is>
          <t>កំពុងបិទខ្ចប់</t>
        </is>
      </c>
      <c r="F1076" s="217" t="inlineStr">
        <is>
          <t>x</t>
        </is>
      </c>
      <c r="G1076" s="217" t="inlineStr">
        <is>
          <t>កំពុងច្រកបាវ</t>
        </is>
      </c>
      <c r="H1076" t="inlineStr">
        <is>
          <t>កំពុងច្រកបាវ</t>
        </is>
      </c>
      <c r="I1076" s="74" t="inlineStr">
        <is>
          <t>ការវេចខ្ចប់កំពុងដំណើរការ</t>
        </is>
      </c>
      <c r="J1076" s="217" t="inlineStr">
        <is>
          <t>"slider.packageProcess": "Packup in progress",</t>
        </is>
      </c>
    </row>
    <row r="1077" ht="15.75" customHeight="1" s="305">
      <c r="A1077" s="67" t="inlineStr">
        <is>
          <t>slider.packageComplete</t>
        </is>
      </c>
      <c r="B1077" s="67" t="inlineStr">
        <is>
          <t>Đã đóng</t>
        </is>
      </c>
      <c r="C1077" s="67" t="inlineStr">
        <is>
          <t>Completed</t>
        </is>
      </c>
      <c r="D1077" s="3">
        <f>IFERROR(__xludf.DUMMYFUNCTION("GOOGLETRANSLATE(B1077,""vi"",""km"")"),"បិទ")</f>
        <v/>
      </c>
      <c r="E1077" s="3" t="inlineStr">
        <is>
          <t>បានបិទខ្ចប់</t>
        </is>
      </c>
      <c r="F1077" s="217" t="inlineStr">
        <is>
          <t>x</t>
        </is>
      </c>
      <c r="G1077" s="217" t="inlineStr">
        <is>
          <t>បានច្រកបាវរួចរាល់</t>
        </is>
      </c>
      <c r="H1077" t="inlineStr">
        <is>
          <t>បានច្រកបាវរួចរាល់</t>
        </is>
      </c>
      <c r="I1077" s="74" t="inlineStr">
        <is>
          <t>បានបញ្ចប់</t>
        </is>
      </c>
      <c r="J1077" s="217" t="inlineStr">
        <is>
          <t>"slider.packageComplete": "Completed",</t>
        </is>
      </c>
    </row>
    <row r="1078" ht="15.75" customHeight="1" s="305">
      <c r="A1078" s="67" t="inlineStr">
        <is>
          <t>slider.ListOrderOfPacking</t>
        </is>
      </c>
      <c r="B1078" s="67" t="inlineStr">
        <is>
          <t>Chi tiết điểm đến</t>
        </is>
      </c>
      <c r="C1078" s="67" t="inlineStr">
        <is>
          <t>Detail destination</t>
        </is>
      </c>
      <c r="D1078" s="3">
        <f>IFERROR(__xludf.DUMMYFUNCTION("GOOGLETRANSLATE(B1078,""vi"",""km"")"),"ព័ត៌មានលម្អិតអំពីគោលដៅ")</f>
        <v/>
      </c>
      <c r="E1078" s="3" t="inlineStr">
        <is>
          <t>លម្អិតពីទីតាំងមកដល់</t>
        </is>
      </c>
      <c r="F1078" s="217" t="inlineStr">
        <is>
          <t>v</t>
        </is>
      </c>
      <c r="G1078" s="217" t="inlineStr">
        <is>
          <t>លម្អិតពីទីតាំងមកដល់</t>
        </is>
      </c>
      <c r="H1078" t="inlineStr">
        <is>
          <t>លម្អិតពីទីតាំងមកដល់</t>
        </is>
      </c>
      <c r="I1078" s="74" t="inlineStr">
        <is>
          <t>ទិសដៅលម្អិត</t>
        </is>
      </c>
      <c r="J1078" s="217" t="inlineStr">
        <is>
          <t>"slider.ListOrderOfPacking": "Detail destination",</t>
        </is>
      </c>
    </row>
    <row r="1079" ht="15.75" customHeight="1" s="305">
      <c r="A1079" s="67" t="inlineStr">
        <is>
          <t>slider.DetailPacking</t>
        </is>
      </c>
      <c r="B1079" s="67" t="inlineStr">
        <is>
          <t>Chi tiết tải</t>
        </is>
      </c>
      <c r="C1079" s="67" t="inlineStr">
        <is>
          <t>Package detail</t>
        </is>
      </c>
      <c r="D1079" s="3">
        <f>IFERROR(__xludf.DUMMYFUNCTION("GOOGLETRANSLATE(B1079,""vi"",""km"")"),"ទាញយកព័ត៌មានលម្អិត")</f>
        <v/>
      </c>
      <c r="E1079" s="3" t="inlineStr">
        <is>
          <t>លម្អិតពីកញ្ចប់ទំនិញ</t>
        </is>
      </c>
      <c r="F1079" s="217" t="inlineStr">
        <is>
          <t>x</t>
        </is>
      </c>
      <c r="G1079" s="217" t="inlineStr">
        <is>
          <t>លម្អិតពីកញ្ចប់ទំនិញ</t>
        </is>
      </c>
      <c r="H1079" t="inlineStr">
        <is>
          <t>លម្អិតពីកញ្ចប់ទំនិញ</t>
        </is>
      </c>
      <c r="I1079" s="74" t="inlineStr">
        <is>
          <t>ព័ត៌មានលម្អិតអំពីកញ្ចប់</t>
        </is>
      </c>
      <c r="J1079" s="217" t="inlineStr">
        <is>
          <t>"slider.DetailPacking": "Package detail",</t>
        </is>
      </c>
    </row>
    <row r="1080" ht="15.75" customHeight="1" s="305">
      <c r="A1080" s="67" t="inlineStr">
        <is>
          <t>slider.Process</t>
        </is>
      </c>
      <c r="B1080" s="67" t="inlineStr">
        <is>
          <t>Khai thác đến</t>
        </is>
      </c>
      <c r="C1080" s="67" t="inlineStr">
        <is>
          <t>Process</t>
        </is>
      </c>
      <c r="D1080" s="3" t="inlineStr">
        <is>
          <t>ការចាត់ចែងទំនិញមកដល់</t>
        </is>
      </c>
      <c r="E1080" s="3" t="inlineStr">
        <is>
          <t>ការចាត់ចែងទំនិញមកដល់</t>
        </is>
      </c>
      <c r="F1080" s="217" t="inlineStr">
        <is>
          <t>x</t>
        </is>
      </c>
      <c r="G1080" s="217" t="inlineStr">
        <is>
          <t>ការចាត់ចែងទំនិញមកដល់</t>
        </is>
      </c>
      <c r="H1080" t="inlineStr">
        <is>
          <t>ការចាត់ចែងទំនិញមកដល់</t>
        </is>
      </c>
      <c r="I1080" s="74" t="inlineStr">
        <is>
          <t>ដំណើរការ</t>
        </is>
      </c>
      <c r="J1080" s="217" t="inlineStr">
        <is>
          <t>"slider.Process": "Process",</t>
        </is>
      </c>
    </row>
    <row r="1081" ht="15.75" customHeight="1" s="305">
      <c r="A1081" s="67" t="inlineStr">
        <is>
          <t>slider.DeliveryKpiReport</t>
        </is>
      </c>
      <c r="B1081" s="67" t="inlineStr">
        <is>
          <t>Báo cáo KPI phát</t>
        </is>
      </c>
      <c r="C1081" s="67" t="inlineStr">
        <is>
          <t>Delivery KPI report</t>
        </is>
      </c>
      <c r="D1081" s="3">
        <f>IFERROR(__xludf.DUMMYFUNCTION("GOOGLETRANSLATE(B1081,""vi"",""km"")"),"របាយការណ៍ KPI")</f>
        <v/>
      </c>
      <c r="E1081" s="3" t="inlineStr">
        <is>
          <t>របាយការណ៍KPIប្រគល់</t>
        </is>
      </c>
      <c r="F1081" s="217" t="inlineStr">
        <is>
          <t>x</t>
        </is>
      </c>
      <c r="G1081" s="217" t="inlineStr">
        <is>
          <t>របាយការណ៍KPIប្រគល់</t>
        </is>
      </c>
      <c r="H1081" t="inlineStr">
        <is>
          <t>របាយការណ៍KPIប្រគល់</t>
        </is>
      </c>
      <c r="I1081" s="74" t="inlineStr">
        <is>
          <t>របាយការណ៍ KPI នៃការដឹកជញ្ជូន</t>
        </is>
      </c>
      <c r="J1081" s="217" t="inlineStr">
        <is>
          <t>"slider.DeliveryKpiReport": "Delivery KPI report",</t>
        </is>
      </c>
    </row>
    <row r="1082" ht="15.75" customHeight="1" s="305">
      <c r="A1082" s="67" t="inlineStr">
        <is>
          <t>validate.minLength</t>
        </is>
      </c>
      <c r="B1082" s="67" t="inlineStr">
        <is>
          <t>Nhập tối thiểu {{length}} ký tự</t>
        </is>
      </c>
      <c r="C1082" s="67" t="inlineStr">
        <is>
          <t>Enter at least {{length}} characters</t>
        </is>
      </c>
      <c r="D1082" s="3">
        <f>IFERROR(__xludf.DUMMYFUNCTION("GOOGLETRANSLATE(B1082,""vi"",""km"")"),"បញ្ចូលតួអក្សរយ៉ាងតិច {{length}}")</f>
        <v/>
      </c>
      <c r="E1082" s="3" t="inlineStr">
        <is>
          <t>បញ្ចូលតិចបំផុត {{length}} តួអក្សរលេខ</t>
        </is>
      </c>
      <c r="F1082" s="217" t="inlineStr">
        <is>
          <t>x</t>
        </is>
      </c>
      <c r="G1082" s="217" t="inlineStr">
        <is>
          <t>បញ្ចូលតិចបំផុត {{length}} តួអក្សរលេខ</t>
        </is>
      </c>
      <c r="H1082" t="inlineStr">
        <is>
          <t>បញ្ចូលតិចបំផុត {{length}} តួអក្សរលេខ</t>
        </is>
      </c>
      <c r="I1082" s="74" t="inlineStr">
        <is>
          <t>បញ្ចូលយ៉ាងហោចណាស់ {{length}} តួអក្សរ</t>
        </is>
      </c>
      <c r="J1082" s="217" t="inlineStr">
        <is>
          <t>"validate.minLength": "Enter at least {{length}} characters",</t>
        </is>
      </c>
    </row>
    <row r="1083" ht="15.75" customHeight="1" s="305">
      <c r="A1083" s="67" t="inlineStr">
        <is>
          <t>validate.numberGreaterThanZero</t>
        </is>
      </c>
      <c r="B1083" s="67" t="inlineStr">
        <is>
          <t>Nhập giá trị lớn hơn 0</t>
        </is>
      </c>
      <c r="C1083" s="67" t="inlineStr">
        <is>
          <t>Number must be greater than 0</t>
        </is>
      </c>
      <c r="D1083" s="3">
        <f>IFERROR(__xludf.DUMMYFUNCTION("GOOGLETRANSLATE(B1083,""vi"",""km"")"),"បញ្ចូលតម្លៃធំជាង ០")</f>
        <v/>
      </c>
      <c r="E1083" s="3" t="inlineStr">
        <is>
          <t>បញ្ចូលតម្លៃធំជាង 0</t>
        </is>
      </c>
      <c r="F1083" s="217" t="inlineStr">
        <is>
          <t>v</t>
        </is>
      </c>
      <c r="G1083" s="217" t="inlineStr">
        <is>
          <t>បញ្ចូលតម្លៃធំជាង 0</t>
        </is>
      </c>
      <c r="H1083" t="inlineStr">
        <is>
          <t>បញ្ចូលតម្លៃធំជាង 0</t>
        </is>
      </c>
      <c r="I1083" s="74" t="inlineStr">
        <is>
          <t>លេខត្រូវតែធំជាង 0</t>
        </is>
      </c>
      <c r="J1083" s="217" t="inlineStr">
        <is>
          <t>"validate.numberGreaterThanZero": "Number must be greater than 0",</t>
        </is>
      </c>
    </row>
    <row r="1084" ht="15.75" customHeight="1" s="305">
      <c r="A1084" s="67" t="inlineStr">
        <is>
          <t>validate.validatePhone</t>
        </is>
      </c>
      <c r="B1084" s="67" t="inlineStr">
        <is>
          <t>Số điện thoại sai định dạng</t>
        </is>
      </c>
      <c r="C1084" s="67" t="inlineStr">
        <is>
          <t>Invalid phone number</t>
        </is>
      </c>
      <c r="D1084" s="3">
        <f>IFERROR(__xludf.DUMMYFUNCTION("GOOGLETRANSLATE(B1084,""vi"",""km"")"),"ទម្រង់លេខទូរស័ព្ទមិនត្រឹមត្រូវ")</f>
        <v/>
      </c>
      <c r="E1084" s="3" t="inlineStr">
        <is>
          <t>លេខទូរស័ព្ទខុសទម្រង់</t>
        </is>
      </c>
      <c r="F1084" s="217" t="inlineStr">
        <is>
          <t>v</t>
        </is>
      </c>
      <c r="G1084" s="217" t="inlineStr">
        <is>
          <t>លេខទូរស័ព្ទខុសទម្រង់</t>
        </is>
      </c>
      <c r="H1084" t="inlineStr">
        <is>
          <t>លេខទូរស័ព្ទខុសទម្រង់</t>
        </is>
      </c>
      <c r="I1084" s="74" t="inlineStr">
        <is>
          <t>លេខទូរស័ព្ទមិនត្រឹមត្រូវ</t>
        </is>
      </c>
      <c r="J1084" s="217" t="inlineStr">
        <is>
          <t>"validate.validatePhone": "Invalid phone number",</t>
        </is>
      </c>
    </row>
    <row r="1085" ht="15.75" customHeight="1" s="305">
      <c r="A1085" s="67" t="inlineStr">
        <is>
          <t>modalPrint.A5</t>
        </is>
      </c>
      <c r="B1085" s="67" t="inlineStr">
        <is>
          <t>A5</t>
        </is>
      </c>
      <c r="C1085" s="67" t="inlineStr">
        <is>
          <t>A5</t>
        </is>
      </c>
      <c r="D1085" s="3">
        <f>IFERROR(__xludf.DUMMYFUNCTION("GOOGLETRANSLATE(B1085,""vi"",""km"")"),"ក៥")</f>
        <v/>
      </c>
      <c r="E1085" s="67" t="inlineStr">
        <is>
          <t>A5</t>
        </is>
      </c>
      <c r="F1085" s="217" t="inlineStr">
        <is>
          <t>v</t>
        </is>
      </c>
      <c r="G1085" s="217" t="inlineStr">
        <is>
          <t>A5</t>
        </is>
      </c>
      <c r="H1085" t="inlineStr">
        <is>
          <t>A5</t>
        </is>
      </c>
      <c r="I1085" s="74" t="inlineStr">
        <is>
          <t>A5</t>
        </is>
      </c>
      <c r="J1085" s="217" t="inlineStr">
        <is>
          <t>"modalPrint.A5": "A5",</t>
        </is>
      </c>
    </row>
    <row r="1086" ht="15.75" customHeight="1" s="305">
      <c r="A1086" s="67" t="inlineStr">
        <is>
          <t>modalPrint.A6</t>
        </is>
      </c>
      <c r="B1086" s="67" t="inlineStr">
        <is>
          <t>A6</t>
        </is>
      </c>
      <c r="C1086" s="67" t="inlineStr">
        <is>
          <t>A6</t>
        </is>
      </c>
      <c r="D1086" s="3">
        <f>IFERROR(__xludf.DUMMYFUNCTION("GOOGLETRANSLATE(B1086,""vi"",""km"")"),"A6")</f>
        <v/>
      </c>
      <c r="E1086" s="67" t="inlineStr">
        <is>
          <t>A6</t>
        </is>
      </c>
      <c r="F1086" s="217" t="inlineStr">
        <is>
          <t>v</t>
        </is>
      </c>
      <c r="G1086" s="217" t="inlineStr">
        <is>
          <t>A6</t>
        </is>
      </c>
      <c r="H1086" t="inlineStr">
        <is>
          <t>A6</t>
        </is>
      </c>
      <c r="I1086" s="74" t="inlineStr">
        <is>
          <t>A6</t>
        </is>
      </c>
      <c r="J1086" s="217" t="inlineStr">
        <is>
          <t>"modalPrint.A6": "A6",</t>
        </is>
      </c>
    </row>
    <row r="1087" ht="15.75" customHeight="1" s="305">
      <c r="A1087" s="67" t="inlineStr">
        <is>
          <t>modalPrint.A7</t>
        </is>
      </c>
      <c r="B1087" s="67" t="inlineStr">
        <is>
          <t>A7</t>
        </is>
      </c>
      <c r="C1087" s="67" t="inlineStr">
        <is>
          <t>A7</t>
        </is>
      </c>
      <c r="D1087" s="3">
        <f>IFERROR(__xludf.DUMMYFUNCTION("GOOGLETRANSLATE(B1087,""vi"",""km"")"),"A7")</f>
        <v/>
      </c>
      <c r="E1087" s="67" t="inlineStr">
        <is>
          <t>A7</t>
        </is>
      </c>
      <c r="F1087" s="217" t="inlineStr">
        <is>
          <t>v</t>
        </is>
      </c>
      <c r="G1087" s="217" t="inlineStr">
        <is>
          <t>A7</t>
        </is>
      </c>
      <c r="H1087" t="inlineStr">
        <is>
          <t>A7</t>
        </is>
      </c>
      <c r="I1087" s="74" t="inlineStr">
        <is>
          <t>A7</t>
        </is>
      </c>
      <c r="J1087" s="217" t="inlineStr">
        <is>
          <t>"modalPrint.A7": "A7",</t>
        </is>
      </c>
    </row>
    <row r="1088" ht="15.75" customHeight="1" s="305">
      <c r="A1088" s="67" t="inlineStr">
        <is>
          <t>trackingOrder.provinceCodeReceiving</t>
        </is>
      </c>
      <c r="B1088" s="67" t="inlineStr">
        <is>
          <t>Tỉnh nhận</t>
        </is>
      </c>
      <c r="C1088" s="67" t="inlineStr">
        <is>
          <t>Province Receiving</t>
        </is>
      </c>
      <c r="D1088" s="3">
        <f>IFERROR(__xludf.DUMMYFUNCTION("GOOGLETRANSLATE(B1088,""vi"",""km"")"),"ខេត្តទទួលបាន")</f>
        <v/>
      </c>
      <c r="E1088" s="3" t="inlineStr">
        <is>
          <t>ខេត្តទទួល</t>
        </is>
      </c>
      <c r="F1088" s="217" t="inlineStr">
        <is>
          <t>v</t>
        </is>
      </c>
      <c r="G1088" s="217" t="inlineStr">
        <is>
          <t>ខេត្តទទួល</t>
        </is>
      </c>
      <c r="H1088" t="inlineStr">
        <is>
          <t>ខេត្តទទួល</t>
        </is>
      </c>
      <c r="I1088" s="84" t="inlineStr">
        <is>
          <t>ខេត្តទទួល</t>
        </is>
      </c>
      <c r="J1088" s="217" t="inlineStr">
        <is>
          <t>"trackingOrder.provinceCodeReceiving": "Province Receiving",</t>
        </is>
      </c>
    </row>
    <row r="1089" ht="15.75" customHeight="1" s="305">
      <c r="A1089" s="67" t="inlineStr">
        <is>
          <t>trackingOrder.districtCodeReceiving</t>
        </is>
      </c>
      <c r="B1089" s="67" t="inlineStr">
        <is>
          <t>Huyện nhận</t>
        </is>
      </c>
      <c r="C1089" s="67" t="inlineStr">
        <is>
          <t>District Receiving</t>
        </is>
      </c>
      <c r="D1089" s="3">
        <f>IFERROR(__xludf.DUMMYFUNCTION("GOOGLETRANSLATE(B1089,""vi"",""km"")"),"ស្រុកទទួលបាន")</f>
        <v/>
      </c>
      <c r="E1089" s="3" t="inlineStr">
        <is>
          <t>ស្រុកទទួល</t>
        </is>
      </c>
      <c r="F1089" s="217" t="inlineStr">
        <is>
          <t>v</t>
        </is>
      </c>
      <c r="G1089" s="217" t="inlineStr">
        <is>
          <t>ស្រុកទទួល</t>
        </is>
      </c>
      <c r="H1089" t="inlineStr">
        <is>
          <t>ស្រុកទទួល</t>
        </is>
      </c>
      <c r="I1089" s="84" t="inlineStr">
        <is>
          <t>ស្រុកទទួល</t>
        </is>
      </c>
      <c r="J1089" s="217" t="inlineStr">
        <is>
          <t>"trackingOrder.districtCodeReceiving": "District Receiving",</t>
        </is>
      </c>
    </row>
    <row r="1090" ht="15.75" customHeight="1" s="305">
      <c r="A1090" s="67" t="inlineStr">
        <is>
          <t>trackingOrder.payerType</t>
        </is>
      </c>
      <c r="B1090" s="67" t="inlineStr">
        <is>
          <t>Người trả cước</t>
        </is>
      </c>
      <c r="C1090" s="67" t="inlineStr">
        <is>
          <t>Payer</t>
        </is>
      </c>
      <c r="D1090" s="3">
        <f>IFERROR(__xludf.DUMMYFUNCTION("GOOGLETRANSLATE(B1090,""vi"",""km"")"),"អ្នកបង់ប្រាក់")</f>
        <v/>
      </c>
      <c r="E1090" s="3" t="inlineStr">
        <is>
          <t>អ្នកចេញសេវា</t>
        </is>
      </c>
      <c r="F1090" s="217" t="inlineStr">
        <is>
          <t>v</t>
        </is>
      </c>
      <c r="G1090" s="217" t="inlineStr">
        <is>
          <t>អ្នកចេញសេវា</t>
        </is>
      </c>
      <c r="H1090" t="inlineStr">
        <is>
          <t>អ្នកចេញសេវា</t>
        </is>
      </c>
      <c r="I1090" s="84" t="inlineStr">
        <is>
          <t>អ្នកបង់ប្រាក់</t>
        </is>
      </c>
      <c r="J1090" s="217" t="inlineStr">
        <is>
          <t>"trackingOrder.payerType": "Payer",</t>
        </is>
      </c>
    </row>
    <row r="1091" ht="15.75" customHeight="1" s="305">
      <c r="A1091" s="67" t="inlineStr">
        <is>
          <t>trackingOrder.CONSIGNEE</t>
        </is>
      </c>
      <c r="B1091" s="67" t="inlineStr">
        <is>
          <t>Người nhận</t>
        </is>
      </c>
      <c r="C1091" s="67" t="inlineStr">
        <is>
          <t>consignee</t>
        </is>
      </c>
      <c r="D1091" s="3">
        <f>IFERROR(__xludf.DUMMYFUNCTION("GOOGLETRANSLATE(B1091,""vi"",""km"")"),"អ្នកទទួល")</f>
        <v/>
      </c>
      <c r="E1091" s="3" t="inlineStr">
        <is>
          <t>អ្នកទទួល</t>
        </is>
      </c>
      <c r="F1091" s="217" t="inlineStr">
        <is>
          <t>v</t>
        </is>
      </c>
      <c r="G1091" s="217" t="inlineStr">
        <is>
          <t>អ្នកទទួល</t>
        </is>
      </c>
      <c r="H1091" t="inlineStr">
        <is>
          <t>អ្នកទទួល</t>
        </is>
      </c>
      <c r="I1091" s="84" t="inlineStr">
        <is>
          <t>អ្នកទទួលទំនិញ</t>
        </is>
      </c>
      <c r="J1091" s="217" t="inlineStr">
        <is>
          <t>"trackingOrder.CONSIGNEE": "consignee",</t>
        </is>
      </c>
    </row>
    <row r="1092" ht="15.75" customHeight="1" s="305">
      <c r="A1092" s="67" t="inlineStr">
        <is>
          <t>trackingOrder.SELLER</t>
        </is>
      </c>
      <c r="B1092" s="67" t="inlineStr">
        <is>
          <t>Người gửi</t>
        </is>
      </c>
      <c r="C1092" s="67" t="inlineStr">
        <is>
          <t>seller</t>
        </is>
      </c>
      <c r="D1092" s="3">
        <f>IFERROR(__xludf.DUMMYFUNCTION("GOOGLETRANSLATE(B1092,""vi"",""km"")"),"អ្នកផ្ញើ")</f>
        <v/>
      </c>
      <c r="E1092" s="3" t="inlineStr">
        <is>
          <t>អ្នកផ្ញើបញ្ញើ</t>
        </is>
      </c>
      <c r="F1092" s="217" t="inlineStr">
        <is>
          <t>v</t>
        </is>
      </c>
      <c r="G1092" s="217" t="inlineStr">
        <is>
          <t>អ្នកផ្ញើ</t>
        </is>
      </c>
      <c r="H1092" t="inlineStr">
        <is>
          <t>អ្នកផ្ញើ</t>
        </is>
      </c>
      <c r="I1092" s="74" t="inlineStr">
        <is>
          <t>អ្នកលក់</t>
        </is>
      </c>
      <c r="J1092" s="217" t="inlineStr">
        <is>
          <t>"trackingOrder.SELLER": "seller",</t>
        </is>
      </c>
    </row>
    <row r="1093" ht="15.75" customHeight="1" s="305">
      <c r="A1093" s="67" t="inlineStr">
        <is>
          <t>trackingOrder.GOODS</t>
        </is>
      </c>
      <c r="B1093" s="67" t="inlineStr">
        <is>
          <t>Hàng hoá</t>
        </is>
      </c>
      <c r="C1093" s="67" t="inlineStr">
        <is>
          <t>Goods</t>
        </is>
      </c>
      <c r="D1093" s="3">
        <f>IFERROR(__xludf.DUMMYFUNCTION("GOOGLETRANSLATE(B1093,""vi"",""km"")"),"ទំនិញ")</f>
        <v/>
      </c>
      <c r="E1093" s="3" t="inlineStr">
        <is>
          <t>អីវ៉ាន់</t>
        </is>
      </c>
      <c r="F1093" s="217" t="inlineStr">
        <is>
          <t>v</t>
        </is>
      </c>
      <c r="G1093" s="217" t="inlineStr">
        <is>
          <t>អីវ៉ាន់</t>
        </is>
      </c>
      <c r="H1093" t="inlineStr">
        <is>
          <t>អីវ៉ាន់</t>
        </is>
      </c>
      <c r="I1093" s="84" t="inlineStr">
        <is>
          <t>ទំនិញ</t>
        </is>
      </c>
      <c r="J1093" s="217" t="inlineStr">
        <is>
          <t>"trackingOrder.GOODS": "Goods",</t>
        </is>
      </c>
    </row>
    <row r="1094" ht="15.75" customHeight="1" s="305">
      <c r="A1094" s="67" t="inlineStr">
        <is>
          <t>trackingOrder.DOCUMENT</t>
        </is>
      </c>
      <c r="B1094" s="67" t="inlineStr">
        <is>
          <t>Thư</t>
        </is>
      </c>
      <c r="C1094" s="67" t="inlineStr">
        <is>
          <t>Document</t>
        </is>
      </c>
      <c r="D1094" s="3">
        <f>IFERROR(__xludf.DUMMYFUNCTION("GOOGLETRANSLATE(B1094,""vi"",""km"")"),"សំបុត្រ")</f>
        <v/>
      </c>
      <c r="E1094" s="3" t="inlineStr">
        <is>
          <t>សំបុត្រ</t>
        </is>
      </c>
      <c r="F1094" s="217" t="inlineStr">
        <is>
          <t>v</t>
        </is>
      </c>
      <c r="G1094" s="217" t="inlineStr">
        <is>
          <t>សំបុត្រ</t>
        </is>
      </c>
      <c r="H1094" t="inlineStr">
        <is>
          <t>សំបុត្រ</t>
        </is>
      </c>
      <c r="I1094" s="84" t="inlineStr">
        <is>
          <t>ឯកសារ</t>
        </is>
      </c>
      <c r="J1094" s="217" t="inlineStr">
        <is>
          <t>"trackingOrder.DOCUMENT": "Document",</t>
        </is>
      </c>
    </row>
    <row r="1095" ht="15.75" customHeight="1" s="305">
      <c r="A1095" s="67" t="inlineStr">
        <is>
          <t>listButton.printReturn</t>
        </is>
      </c>
      <c r="B1095" s="67" t="inlineStr">
        <is>
          <t>In phiếu hoàn</t>
        </is>
      </c>
      <c r="C1095" s="67" t="inlineStr">
        <is>
          <t>Print return order</t>
        </is>
      </c>
      <c r="D1095" s="3">
        <f>IFERROR(__xludf.DUMMYFUNCTION("GOOGLETRANSLATE(B1095,""vi"",""km"")"),"បោះពុម្ពបង្កាន់ដៃសងប្រាក់វិញ")</f>
        <v/>
      </c>
      <c r="E1095" s="3" t="inlineStr">
        <is>
          <t>ព្រីនបុងដែលត្រឡប់</t>
        </is>
      </c>
      <c r="F1095" s="217" t="inlineStr">
        <is>
          <t>v</t>
        </is>
      </c>
      <c r="G1095" s="217" t="inlineStr">
        <is>
          <t>ព្រីនបុងដែលត្រឡប់</t>
        </is>
      </c>
      <c r="H1095" t="inlineStr">
        <is>
          <t>ព្រីនបុងដែលត្រឡប់</t>
        </is>
      </c>
      <c r="I1095" s="74" t="inlineStr">
        <is>
          <t>បោះពុម្ពការបញ្ជាទិញត្រឡប់មកវិញ</t>
        </is>
      </c>
      <c r="J1095" s="217" t="inlineStr">
        <is>
          <t>"listButton.printReturn": "Print return order",</t>
        </is>
      </c>
    </row>
    <row r="1096" ht="15.75" customHeight="1" s="305">
      <c r="A1096" s="67" t="inlineStr">
        <is>
          <t>departmentManagerTab.departmentManager</t>
        </is>
      </c>
      <c r="B1096" s="67" t="inlineStr">
        <is>
          <t>Danh sách bưu cục</t>
        </is>
      </c>
      <c r="C1096" s="67" t="inlineStr">
        <is>
          <t>Danh sách bưu cục</t>
        </is>
      </c>
      <c r="D1096" s="3">
        <f>IFERROR(__xludf.DUMMYFUNCTION("GOOGLETRANSLATE(B1096,""vi"",""km"")"),"បញ្ជីការិយាល័យប្រៃសណីយ៍")</f>
        <v/>
      </c>
      <c r="E1096" s="3" t="inlineStr">
        <is>
          <t>បញ្ជីប្រៃសណីយ៍</t>
        </is>
      </c>
      <c r="F1096" s="217" t="inlineStr">
        <is>
          <t>v</t>
        </is>
      </c>
      <c r="G1096" s="217" t="inlineStr">
        <is>
          <t>បញ្ជីប្រៃសណីយ៍</t>
        </is>
      </c>
      <c r="H1096" t="inlineStr">
        <is>
          <t>បញ្ជីប្រៃសណីយ៍</t>
        </is>
      </c>
      <c r="I1096" s="74" t="inlineStr">
        <is>
          <t>បញ្ជីការិយាល័យប្រៃសណីយ៍</t>
        </is>
      </c>
      <c r="J1096" s="217" t="inlineStr">
        <is>
          <t>"departmentManagerTab.departmentManager": "Danh sách bưu cục",</t>
        </is>
      </c>
    </row>
    <row r="1097" ht="15.75" customHeight="1" s="305">
      <c r="A1097" s="67" t="inlineStr">
        <is>
          <t>departmentManagerTab.departmentLookup</t>
        </is>
      </c>
      <c r="B1097" s="67" t="inlineStr">
        <is>
          <t>Tra cứu bưu cục phục vụ</t>
        </is>
      </c>
      <c r="C1097" s="67" t="inlineStr">
        <is>
          <t>Tra cứu bưu cục phục vụ</t>
        </is>
      </c>
      <c r="D1097" s="3">
        <f>IFERROR(__xludf.DUMMYFUNCTION("GOOGLETRANSLATE(B1097,""vi"",""km"")"),"សូមរកមើលការិយាល័យប្រៃសណីយ៍ដែលបម្រើអ្នក។")</f>
        <v/>
      </c>
      <c r="E1097" s="3" t="inlineStr">
        <is>
          <t>រកមើលផ្នែកសេវាកម្មក្នុងការិយាល័យ</t>
        </is>
      </c>
      <c r="F1097" s="217" t="inlineStr">
        <is>
          <t>v</t>
        </is>
      </c>
      <c r="G1097" s="217" t="inlineStr">
        <is>
          <t>រកមើលផ្នែកសេវាកម្មក្នុងការិយាល័យ</t>
        </is>
      </c>
      <c r="H1097" t="inlineStr">
        <is>
          <t>រកមើលផ្នែកសេវាកម្មក្នុងការិយាល័យ</t>
        </is>
      </c>
      <c r="I1097" s="74" t="inlineStr">
        <is>
          <t>រកមើលការិយាល័យប្រៃសណីយ៍</t>
        </is>
      </c>
      <c r="J1097" s="217" t="inlineStr">
        <is>
          <t>"departmentManagerTab.departmentLookup": "Tra cứu bưu cục phục vụ",</t>
        </is>
      </c>
    </row>
    <row r="1098" ht="15.75" customHeight="1" s="305">
      <c r="A1098" s="67" t="inlineStr">
        <is>
          <t>locationDepartment.locationReceiving</t>
        </is>
      </c>
      <c r="B1098" s="67" t="inlineStr">
        <is>
          <t>Địa danh nhận</t>
        </is>
      </c>
      <c r="C1098" s="67" t="inlineStr">
        <is>
          <t>Địa danh nhận</t>
        </is>
      </c>
      <c r="D1098" s="3">
        <f>IFERROR(__xludf.DUMMYFUNCTION("GOOGLETRANSLATE(B1098,""vi"",""km"")"),"ឈ្មោះទីកន្លែង")</f>
        <v/>
      </c>
      <c r="E1098" s="3" t="inlineStr">
        <is>
          <t>ទីតាំងទទួល</t>
        </is>
      </c>
      <c r="F1098" s="217" t="inlineStr">
        <is>
          <t>x</t>
        </is>
      </c>
      <c r="G1098" s="217" t="inlineStr">
        <is>
          <t>ទីតាំងទទួល</t>
        </is>
      </c>
      <c r="H1098" t="inlineStr">
        <is>
          <t>ទីតាំងទទួល</t>
        </is>
      </c>
      <c r="I1098" s="74" t="inlineStr">
        <is>
          <t>ទីតាំងទទួល</t>
        </is>
      </c>
      <c r="J1098" s="217" t="inlineStr">
        <is>
          <t>"locationDepartment.locationReceiving": "Địa danh nhận",</t>
        </is>
      </c>
    </row>
    <row r="1099" ht="15.75" customHeight="1" s="305">
      <c r="A1099" s="67" t="inlineStr">
        <is>
          <t>locationDepartment.locationDelivery</t>
        </is>
      </c>
      <c r="B1099" s="67" t="inlineStr">
        <is>
          <t>Địa danh giao</t>
        </is>
      </c>
      <c r="C1099" s="67" t="inlineStr">
        <is>
          <t>Địa danh giao</t>
        </is>
      </c>
      <c r="D1099" s="3">
        <f>IFERROR(__xludf.DUMMYFUNCTION("GOOGLETRANSLATE(B1099,""vi"",""km"")"),"ចំណុចប្រសព្វឈ្មោះទីកន្លែង")</f>
        <v/>
      </c>
      <c r="E1099" s="3" t="inlineStr">
        <is>
          <t>ទីតាំងប្រគល់</t>
        </is>
      </c>
      <c r="F1099" s="217" t="inlineStr">
        <is>
          <t>x</t>
        </is>
      </c>
      <c r="G1099" s="217" t="inlineStr">
        <is>
          <t>ទីតាំងដឹកចែក</t>
        </is>
      </c>
      <c r="H1099" t="inlineStr">
        <is>
          <t>ទីតាំងដឹកចែក</t>
        </is>
      </c>
      <c r="I1099" s="74" t="inlineStr">
        <is>
          <t>ទីតាំងដឹកជញ្ជូន</t>
        </is>
      </c>
      <c r="J1099" s="217" t="inlineStr">
        <is>
          <t>"locationDepartment.locationDelivery": "Địa danh giao",</t>
        </is>
      </c>
    </row>
    <row r="1100" ht="15.75" customHeight="1" s="305">
      <c r="A1100" s="67" t="inlineStr">
        <is>
          <t>locationDepartment.province</t>
        </is>
      </c>
      <c r="B1100" s="67" t="inlineStr">
        <is>
          <t>Liên bang/Vùng</t>
        </is>
      </c>
      <c r="C1100" s="67" t="inlineStr">
        <is>
          <t>Liên bang/Vùng</t>
        </is>
      </c>
      <c r="D1100" s="3">
        <f>IFERROR(__xludf.DUMMYFUNCTION("GOOGLETRANSLATE(B1100,""vi"",""km"")"),"សហព័ន្ធ/តំបន់")</f>
        <v/>
      </c>
      <c r="E1100" s="3">
        <f>IFERROR(__xludf.DUMMYFUNCTION("GOOGLETRANSLATE(C1100,""vi"",""km"")"),"សហព័ន្ធ/តំបន់")</f>
        <v/>
      </c>
      <c r="F1100" s="217" t="inlineStr">
        <is>
          <t>x</t>
        </is>
      </c>
      <c r="G1100" s="217" t="inlineStr">
        <is>
          <t>សហព័ន្ធ/តំបន់</t>
        </is>
      </c>
      <c r="H1100" t="inlineStr">
        <is>
          <t>សហព័ន្ធ/តំបន់</t>
        </is>
      </c>
      <c r="I1100" s="74" t="inlineStr">
        <is>
          <t>តំបន់</t>
        </is>
      </c>
      <c r="J1100" s="217" t="inlineStr">
        <is>
          <t>"locationDepartment.province": "Liên bang/Vùng",</t>
        </is>
      </c>
    </row>
    <row r="1101" ht="15.75" customHeight="1" s="305">
      <c r="A1101" s="67" t="inlineStr">
        <is>
          <t>locationDepartment.district</t>
        </is>
      </c>
      <c r="B1101" s="67" t="inlineStr">
        <is>
          <t>Huyện</t>
        </is>
      </c>
      <c r="C1101" s="67" t="inlineStr">
        <is>
          <t>Huyện</t>
        </is>
      </c>
      <c r="D1101" s="3">
        <f>IFERROR(__xludf.DUMMYFUNCTION("GOOGLETRANSLATE(B1101,""vi"",""km"")"),"ស្រុក")</f>
        <v/>
      </c>
      <c r="E1101" s="3" t="inlineStr">
        <is>
          <t>ស្រុក</t>
        </is>
      </c>
      <c r="F1101" s="217" t="inlineStr">
        <is>
          <t>v</t>
        </is>
      </c>
      <c r="G1101" s="217" t="inlineStr">
        <is>
          <t>ស្រុក</t>
        </is>
      </c>
      <c r="H1101" t="inlineStr">
        <is>
          <t>ស្រុក</t>
        </is>
      </c>
      <c r="I1101" s="74" t="inlineStr">
        <is>
          <t>ស្រុក</t>
        </is>
      </c>
      <c r="J1101" s="217" t="inlineStr">
        <is>
          <t>"locationDepartment.district": "Huyện",</t>
        </is>
      </c>
    </row>
    <row r="1102" ht="15.75" customHeight="1" s="305">
      <c r="A1102" s="67" t="inlineStr">
        <is>
          <t>locationDepartment.ward</t>
        </is>
      </c>
      <c r="B1102" s="67" t="inlineStr">
        <is>
          <t>Thị trấn</t>
        </is>
      </c>
      <c r="C1102" s="67" t="inlineStr">
        <is>
          <t>Thị trấn</t>
        </is>
      </c>
      <c r="D1102" s="3">
        <f>IFERROR(__xludf.DUMMYFUNCTION("GOOGLETRANSLATE(B1102,""vi"",""km"")"),"ទីក្រុង")</f>
        <v/>
      </c>
      <c r="E1102" s="3" t="inlineStr">
        <is>
          <t>ទីរួមខេត្ត</t>
        </is>
      </c>
      <c r="F1102" s="217" t="inlineStr">
        <is>
          <t>v</t>
        </is>
      </c>
      <c r="G1102" s="217" t="inlineStr">
        <is>
          <t>ទីរួមខេត្ត</t>
        </is>
      </c>
      <c r="H1102" t="inlineStr">
        <is>
          <t>ទីរួមខេត្ត</t>
        </is>
      </c>
      <c r="I1102" s="74" t="inlineStr">
        <is>
          <t>ទីប្រជុំជន</t>
        </is>
      </c>
      <c r="J1102" s="217" t="inlineStr">
        <is>
          <t>"locationDepartment.ward": "Thị trấn",</t>
        </is>
      </c>
    </row>
    <row r="1103" ht="15.75" customHeight="1" s="305">
      <c r="A1103" s="67" t="inlineStr">
        <is>
          <t>locationDepartment.provincePlaceholder</t>
        </is>
      </c>
      <c r="B1103" s="67" t="inlineStr">
        <is>
          <t>Chọn liên bang/Vùng</t>
        </is>
      </c>
      <c r="C1103" s="67" t="inlineStr">
        <is>
          <t>Chọn liên bang/Vùng</t>
        </is>
      </c>
      <c r="D1103" s="3">
        <f>IFERROR(__xludf.DUMMYFUNCTION("GOOGLETRANSLATE(B1103,""vi"",""km"")"),"ជ្រើសរើសសហព័ន្ធ/តំបន់")</f>
        <v/>
      </c>
      <c r="E1103" s="3">
        <f>IFERROR(__xludf.DUMMYFUNCTION("GOOGLETRANSLATE(C1103,""vi"",""km"")"),"ជ្រើសរើសសហព័ន្ធ/តំបន់")</f>
        <v/>
      </c>
      <c r="F1103" s="217" t="inlineStr">
        <is>
          <t>x</t>
        </is>
      </c>
      <c r="G1103" s="217" t="inlineStr">
        <is>
          <t>ជ្រើសរើសសហព័ន្ធ/តំបន់</t>
        </is>
      </c>
      <c r="H1103" t="inlineStr">
        <is>
          <t>ជ្រើសរើសសហព័ន្ធ/តំបន់</t>
        </is>
      </c>
      <c r="I1103" s="74" t="inlineStr">
        <is>
          <t>ជ្រើសរើសតំបន់</t>
        </is>
      </c>
      <c r="J1103" s="217" t="inlineStr">
        <is>
          <t>"locationDepartment.provincePlaceholder": "Chọn liên bang/Vùng",</t>
        </is>
      </c>
    </row>
    <row r="1104" ht="15.75" customHeight="1" s="305">
      <c r="A1104" s="67" t="inlineStr">
        <is>
          <t>locationDepartment.districtPlaceholder</t>
        </is>
      </c>
      <c r="B1104" s="67" t="inlineStr">
        <is>
          <t>Chọn huyện</t>
        </is>
      </c>
      <c r="C1104" s="67" t="inlineStr">
        <is>
          <t>Chọn huyện</t>
        </is>
      </c>
      <c r="D1104" s="3">
        <f>IFERROR(__xludf.DUMMYFUNCTION("GOOGLETRANSLATE(B1104,""vi"",""km"")"),"ជ្រើសរើសស្រុក")</f>
        <v/>
      </c>
      <c r="E1104" s="3" t="inlineStr">
        <is>
          <t>ជ្រើសរើសស្រុក</t>
        </is>
      </c>
      <c r="F1104" s="217" t="inlineStr">
        <is>
          <t>v</t>
        </is>
      </c>
      <c r="G1104" s="217" t="inlineStr">
        <is>
          <t>ជ្រើសរើសស្រុក</t>
        </is>
      </c>
      <c r="H1104" t="inlineStr">
        <is>
          <t>ជ្រើសរើសស្រុក</t>
        </is>
      </c>
      <c r="I1104" s="74" t="inlineStr">
        <is>
          <t>ជ្រើសរើសស្រុក</t>
        </is>
      </c>
      <c r="J1104" s="217" t="inlineStr">
        <is>
          <t>"locationDepartment.districtPlaceholder": "Chọn huyện",</t>
        </is>
      </c>
    </row>
    <row r="1105" ht="15.75" customHeight="1" s="305">
      <c r="A1105" s="67" t="inlineStr">
        <is>
          <t>locationDepartment.wardPlaceholder</t>
        </is>
      </c>
      <c r="B1105" s="67" t="inlineStr">
        <is>
          <t>Chọn thị trấn</t>
        </is>
      </c>
      <c r="C1105" s="67" t="inlineStr">
        <is>
          <t>Chọn thị trấn</t>
        </is>
      </c>
      <c r="D1105" s="3">
        <f>IFERROR(__xludf.DUMMYFUNCTION("GOOGLETRANSLATE(B1105,""vi"",""km"")"),"ជ្រើសរើសទីក្រុងមួយ")</f>
        <v/>
      </c>
      <c r="E1105" s="3" t="inlineStr">
        <is>
          <t>ជ្រើសរើសទីរួួមខេត្ត</t>
        </is>
      </c>
      <c r="F1105" s="217" t="inlineStr">
        <is>
          <t>x</t>
        </is>
      </c>
      <c r="G1105" s="217" t="inlineStr">
        <is>
          <t>ជ្រើសរើសទីរួួមខេត្ត</t>
        </is>
      </c>
      <c r="H1105" t="inlineStr">
        <is>
          <t>ជ្រើសរើសទីរួួមខេត្ត</t>
        </is>
      </c>
      <c r="I1105" s="74" t="inlineStr">
        <is>
          <t>ជ្រើសរើសទីក្រុង</t>
        </is>
      </c>
      <c r="J1105" s="217" t="inlineStr">
        <is>
          <t>"locationDepartment.wardPlaceholder": "Chọn thị trấn",</t>
        </is>
      </c>
    </row>
    <row r="1106" ht="15.75" customHeight="1" s="305">
      <c r="A1106" s="67" t="inlineStr">
        <is>
          <t>locationDepartment.deleteLocation</t>
        </is>
      </c>
      <c r="B1106" s="67" t="inlineStr">
        <is>
          <t>Đồng chí có chắc chắn muốn xóa cấu hình địa danh này?</t>
        </is>
      </c>
      <c r="C1106" s="67" t="inlineStr">
        <is>
          <t>Đồng chí có chắc chắn muốn xóa cấu hình địa danh này?</t>
        </is>
      </c>
      <c r="D1106" s="3">
        <f>IFERROR(__xludf.DUMMYFUNCTION("GOOGLETRANSLATE(B1106,""vi"",""km"")"),"តើអ្នកពិតជាចង់លុបការកំណត់រចនាសម្ព័ន្ធឈ្មោះទីកន្លែងនេះមែនទេ?")</f>
        <v/>
      </c>
      <c r="E1106" s="3" t="inlineStr">
        <is>
          <t>តើអ្នកពិតជាចង់លុបរចនាសម្ព័ន្ធទីតាំងនេះមែនទេ?</t>
        </is>
      </c>
      <c r="F1106" s="217" t="inlineStr">
        <is>
          <t>x</t>
        </is>
      </c>
      <c r="G1106" s="217" t="inlineStr">
        <is>
          <t>តើអ្នកពិតជាចង់លុបរចនាសម្ព័ន្ធទីតាំងនេះមែនទេ?</t>
        </is>
      </c>
      <c r="H1106" t="inlineStr">
        <is>
          <t>តើអ្នកពិតជាចង់លុបរចនាសម្ព័ន្ធទីតាំងនេះមែនទេ?</t>
        </is>
      </c>
      <c r="I1106" s="74" t="inlineStr">
        <is>
          <t>តើអ្នកប្រាកដថាចង់លុបការកំណត់ទីតាំងនេះទេ?</t>
        </is>
      </c>
      <c r="J1106" s="217" t="inlineStr">
        <is>
          <t>"locationDepartment.deleteLocation": "Đồng chí có chắc chắn muốn xóa cấu hình địa danh này?",</t>
        </is>
      </c>
    </row>
    <row r="1107" ht="15.75" customHeight="1" s="305">
      <c r="A1107" s="67" t="inlineStr">
        <is>
          <t>departmentLookup.deliveryDepartment</t>
        </is>
      </c>
      <c r="B1107" s="67" t="inlineStr">
        <is>
          <t>Bưu cục giao</t>
        </is>
      </c>
      <c r="C1107" s="67" t="inlineStr">
        <is>
          <t>Bưu cục giao</t>
        </is>
      </c>
      <c r="D1107" s="3">
        <f>IFERROR(__xludf.DUMMYFUNCTION("GOOGLETRANSLATE(B1107,""vi"",""km"")"),"ការដឹកជញ្ជូនតាមប្រៃសណីយ៍")</f>
        <v/>
      </c>
      <c r="E1107" s="3" t="inlineStr">
        <is>
          <t>ការិយាល័យប្រៃសណីយ៍ប្រគល់</t>
        </is>
      </c>
      <c r="F1107" s="217" t="inlineStr">
        <is>
          <t>x</t>
        </is>
      </c>
      <c r="G1107" s="217" t="inlineStr">
        <is>
          <t>ការិយាល័យប្រៃសណីយ៍ប្រគល់</t>
        </is>
      </c>
      <c r="H1107" t="inlineStr">
        <is>
          <t>ការិយាល័យប្រៃសណីយ៍ប្រគល់</t>
        </is>
      </c>
      <c r="I1107" s="74" t="inlineStr">
        <is>
          <t>ប្រគល់ការិយាល័យប្រៃសណីយ៍</t>
        </is>
      </c>
      <c r="J1107" s="217" t="inlineStr">
        <is>
          <t>"departmentLookup.deliveryDepartment": "Bưu cục giao",</t>
        </is>
      </c>
    </row>
    <row r="1108" ht="15.75" customHeight="1" s="305">
      <c r="A1108" s="67" t="inlineStr">
        <is>
          <t>departmentLookup.receivingDepartment</t>
        </is>
      </c>
      <c r="B1108" s="67" t="inlineStr">
        <is>
          <t>Bưu cục nhận</t>
        </is>
      </c>
      <c r="C1108" s="67" t="inlineStr">
        <is>
          <t>Bưu cục nhận</t>
        </is>
      </c>
      <c r="D1108" s="3">
        <f>IFERROR(__xludf.DUMMYFUNCTION("GOOGLETRANSLATE(B1108,""vi"",""km"")"),"ការិយាល័យប្រៃសណីយ៍ទទួល")</f>
        <v/>
      </c>
      <c r="E1108" s="3" t="inlineStr">
        <is>
          <t>ការិយាល័យប្រៃសណីយ៍ទទួល</t>
        </is>
      </c>
      <c r="F1108" s="217" t="inlineStr">
        <is>
          <t>v</t>
        </is>
      </c>
      <c r="G1108" s="217" t="inlineStr">
        <is>
          <t>ការិយាល័យប្រៃសណីយ៍ទទួល</t>
        </is>
      </c>
      <c r="H1108" t="inlineStr">
        <is>
          <t>ការិយាល័យប្រៃសណីយ៍ទទួល</t>
        </is>
      </c>
      <c r="I1108" s="74" t="inlineStr">
        <is>
          <t>ការទទួលការិយាល័យប្រៃសណីយ៍</t>
        </is>
      </c>
      <c r="J1108" s="217" t="inlineStr">
        <is>
          <t>"departmentLookup.receivingDepartment": "Bưu cục nhận",</t>
        </is>
      </c>
    </row>
    <row r="1109" ht="15.75" customHeight="1" s="305">
      <c r="A1109" s="67" t="inlineStr">
        <is>
          <t>departmentLookup.modifyDepartment</t>
        </is>
      </c>
      <c r="B1109" s="67" t="inlineStr">
        <is>
          <t>Sửa bưu cục phục vụ</t>
        </is>
      </c>
      <c r="C1109" s="67" t="inlineStr">
        <is>
          <t>Sửa bưu cục phục vụ</t>
        </is>
      </c>
      <c r="D1109" s="3">
        <f>IFERROR(__xludf.DUMMYFUNCTION("GOOGLETRANSLATE(B1109,""vi"",""km"")"),"ជួសជុលសេវាកម្មប្រៃសណីយ៍")</f>
        <v/>
      </c>
      <c r="E1109" s="159" t="inlineStr">
        <is>
          <t>កែប្រែការិយាល័យប្រៃសណីយ៍</t>
        </is>
      </c>
      <c r="F1109" s="217" t="inlineStr">
        <is>
          <t>x</t>
        </is>
      </c>
      <c r="G1109" s="217" t="inlineStr">
        <is>
          <t>កែប្រែការិយាល័យប្រៃសណីយ៍</t>
        </is>
      </c>
      <c r="H1109" t="inlineStr">
        <is>
          <t>កែប្រែការិយាល័យប្រៃសណីយ៍</t>
        </is>
      </c>
      <c r="I1109" s="74" t="inlineStr">
        <is>
          <t>កែសម្រួលការបម្រើប្រៃសណីយ៍</t>
        </is>
      </c>
      <c r="J1109" s="217" t="inlineStr">
        <is>
          <t>"departmentLookup.modifyDepartment": "Sửa bưu cục phục vụ",</t>
        </is>
      </c>
    </row>
    <row r="1110" ht="15.75" customHeight="1" s="305">
      <c r="A1110" s="67" t="inlineStr">
        <is>
          <t>modifyOrder.createOrderDomestic</t>
        </is>
      </c>
      <c r="B1110" s="67" t="inlineStr">
        <is>
          <t>Trong nước</t>
        </is>
      </c>
      <c r="C1110" s="67" t="inlineStr">
        <is>
          <t>Domestic order</t>
        </is>
      </c>
      <c r="D1110" s="3">
        <f>IFERROR(__xludf.DUMMYFUNCTION("GOOGLETRANSLATE(B1110,""vi"",""km"")"),"ក្នុងស្រុក")</f>
        <v/>
      </c>
      <c r="E1110" s="3" t="inlineStr">
        <is>
          <t>ក្រុងស្រុក</t>
        </is>
      </c>
      <c r="F1110" s="217" t="inlineStr">
        <is>
          <t>v</t>
        </is>
      </c>
      <c r="G1110" s="217" t="inlineStr">
        <is>
          <t>ក្រុងស្រុក</t>
        </is>
      </c>
      <c r="H1110" t="inlineStr">
        <is>
          <t>ក្រុងស្រុក</t>
        </is>
      </c>
      <c r="I1110" s="84" t="inlineStr">
        <is>
          <t>ការបញ្ជាទិញក្នុងស្រុក</t>
        </is>
      </c>
      <c r="J1110" s="217" t="inlineStr">
        <is>
          <t>"modifyOrder.createOrderDomestic": "Domestic order",</t>
        </is>
      </c>
    </row>
    <row r="1111" ht="15.75" customHeight="1" s="305">
      <c r="A1111" s="67" t="inlineStr">
        <is>
          <t>modifyOrder.createOrderInternational</t>
        </is>
      </c>
      <c r="B1111" s="67" t="inlineStr">
        <is>
          <t>Quốc tế</t>
        </is>
      </c>
      <c r="C1111" s="67" t="inlineStr">
        <is>
          <t>International order</t>
        </is>
      </c>
      <c r="D1111" s="3">
        <f>IFERROR(__xludf.DUMMYFUNCTION("GOOGLETRANSLATE(B1111,""vi"",""km"")"),"អន្តរជាតិ")</f>
        <v/>
      </c>
      <c r="E1111" s="3" t="inlineStr">
        <is>
          <t>អន្តរជាតិ</t>
        </is>
      </c>
      <c r="F1111" s="217" t="inlineStr">
        <is>
          <t>v</t>
        </is>
      </c>
      <c r="G1111" s="217" t="inlineStr">
        <is>
          <t>អន្តរជាតិ</t>
        </is>
      </c>
      <c r="H1111" t="inlineStr">
        <is>
          <t>អន្តរជាតិ</t>
        </is>
      </c>
      <c r="I1111" s="74" t="inlineStr">
        <is>
          <t>ការបញ្ជាទិញ ពីអន្តរជាតិ</t>
        </is>
      </c>
      <c r="J1111" s="217" t="inlineStr">
        <is>
          <t>"modifyOrder.createOrderInternational": "International order",</t>
        </is>
      </c>
    </row>
    <row r="1112" ht="15.75" customHeight="1" s="305">
      <c r="A1112" s="67" t="inlineStr">
        <is>
          <t>modifyOrder.updateOrder</t>
        </is>
      </c>
      <c r="B1112" s="67" t="inlineStr">
        <is>
          <t>Sửa đơn</t>
        </is>
      </c>
      <c r="C1112" s="67" t="inlineStr">
        <is>
          <t>Order modification</t>
        </is>
      </c>
      <c r="D1112" s="3">
        <f>IFERROR(__xludf.DUMMYFUNCTION("GOOGLETRANSLATE(B1112,""vi"",""km"")"),"កែសម្រួលការបញ្ជាទិញ")</f>
        <v/>
      </c>
      <c r="E1112" s="3" t="inlineStr">
        <is>
          <t>កែបុងបញ្ញើ</t>
        </is>
      </c>
      <c r="F1112" s="217" t="inlineStr">
        <is>
          <t>v</t>
        </is>
      </c>
      <c r="G1112" s="217" t="inlineStr">
        <is>
          <t>កែបុងបញ្ញើ</t>
        </is>
      </c>
      <c r="H1112" t="inlineStr">
        <is>
          <t>កែបុងបញ្ញើ</t>
        </is>
      </c>
      <c r="I1112" s="74" t="inlineStr">
        <is>
          <t>ការកែប្រែការបញ្ជាទិញ</t>
        </is>
      </c>
      <c r="J1112" s="217" t="inlineStr">
        <is>
          <t>"modifyOrder.updateOrder": "Order modification",</t>
        </is>
      </c>
    </row>
    <row r="1113" ht="15.75" customHeight="1" s="305">
      <c r="A1113" s="67" t="inlineStr">
        <is>
          <t>modifyOrder.informationOrder</t>
        </is>
      </c>
      <c r="B1113" s="67" t="inlineStr">
        <is>
          <t>Thông tin phiếu gửi</t>
        </is>
      </c>
      <c r="C1113" s="67" t="inlineStr">
        <is>
          <t>Postal slip details</t>
        </is>
      </c>
      <c r="D1113" s="3">
        <f>IFERROR(__xludf.DUMMYFUNCTION("GOOGLETRANSLATE(B1113,""vi"",""km"")"),"ព័ត៌មានអំពីប័ណ្ណដឹកជញ្ជូន")</f>
        <v/>
      </c>
      <c r="E1113" s="3" t="inlineStr">
        <is>
          <t>ព័ត៌មានបុងបញ្ញើ</t>
        </is>
      </c>
      <c r="F1113" s="217" t="inlineStr">
        <is>
          <t>v</t>
        </is>
      </c>
      <c r="G1113" s="217" t="inlineStr">
        <is>
          <t>ព័ត៌មានបុងបញ្ញើ</t>
        </is>
      </c>
      <c r="H1113" t="inlineStr">
        <is>
          <t>ព័ត៌មានបុងបញ្ញើ</t>
        </is>
      </c>
      <c r="I1113" s="74" t="inlineStr">
        <is>
          <t>ព័ត៌មានលម្អិតអំពីសំបុត្រប្រៃសណីយ៍</t>
        </is>
      </c>
      <c r="J1113" s="217" t="inlineStr">
        <is>
          <t>"modifyOrder.informationOrder": "Postal slip details",</t>
        </is>
      </c>
    </row>
    <row r="1114" ht="15.75" customHeight="1" s="305">
      <c r="A1114" s="67" t="inlineStr">
        <is>
          <t>modifyOrder.orderCode</t>
        </is>
      </c>
      <c r="B1114" s="67" t="inlineStr">
        <is>
          <t>Mã phiếu gửi</t>
        </is>
      </c>
      <c r="C1114" s="67" t="inlineStr">
        <is>
          <t xml:space="preserve">Enter the postal slip ID </t>
        </is>
      </c>
      <c r="D1114" s="3">
        <f>IFERROR(__xludf.DUMMYFUNCTION("GOOGLETRANSLATE(B1114,""vi"",""km"")"),"លេខកូដបង្កាន់ដៃ")</f>
        <v/>
      </c>
      <c r="E1114" s="3" t="inlineStr">
        <is>
          <t>លេខកូដបុងបញ្ញើ</t>
        </is>
      </c>
      <c r="F1114" s="217" t="inlineStr">
        <is>
          <t>v</t>
        </is>
      </c>
      <c r="G1114" s="217" t="inlineStr">
        <is>
          <t>លេខកូដបុងបញ្ញើ</t>
        </is>
      </c>
      <c r="H1114" t="inlineStr">
        <is>
          <t>លេខកូដបុងបញ្ញើ</t>
        </is>
      </c>
      <c r="I1114" s="74" t="inlineStr">
        <is>
          <t>បញ្ចូលអត្តសញ្ញាណប័ណ្ណប្រៃសណីយ៍</t>
        </is>
      </c>
      <c r="J1114" s="217" t="inlineStr">
        <is>
          <t>"modifyOrder.orderCode": "Enter the postal slip ID ",</t>
        </is>
      </c>
    </row>
    <row r="1115" ht="15.75" customHeight="1" s="305">
      <c r="A1115" s="67" t="inlineStr">
        <is>
          <t>modifyOrder.orderCodePlaceholder</t>
        </is>
      </c>
      <c r="B1115" s="67" t="inlineStr">
        <is>
          <t>Nhập mã phiếu gửi</t>
        </is>
      </c>
      <c r="C1115" s="67" t="inlineStr">
        <is>
          <t>Enter postal slip's code</t>
        </is>
      </c>
      <c r="D1115" s="3">
        <f>IFERROR(__xludf.DUMMYFUNCTION("GOOGLETRANSLATE(B1115,""vi"",""km"")"),"បញ្ចូលលេខកូដប័ណ្ណដឹកជញ្ជូន")</f>
        <v/>
      </c>
      <c r="E1115" s="3" t="inlineStr">
        <is>
          <t>បញ្ចូលកូដបុងបញ្ញើ</t>
        </is>
      </c>
      <c r="F1115" s="217" t="inlineStr">
        <is>
          <t>v</t>
        </is>
      </c>
      <c r="G1115" s="217" t="inlineStr">
        <is>
          <t>បញ្ចូលកូដបុងបញ្ញើ</t>
        </is>
      </c>
      <c r="H1115" t="inlineStr">
        <is>
          <t>បញ្ចូលកូដបុងបញ្ញើ</t>
        </is>
      </c>
      <c r="I1115" s="74" t="inlineStr">
        <is>
          <t>បញ្ចូលលេខកូដប្រៃសណីយ៍</t>
        </is>
      </c>
      <c r="J1115" s="217" t="inlineStr">
        <is>
          <t>"modifyOrder.orderCodePlaceholder": "Enter postal slip's code",</t>
        </is>
      </c>
    </row>
    <row r="1116" ht="15.75" customHeight="1" s="305">
      <c r="A1116" s="67" t="inlineStr">
        <is>
          <t>modifyOrder.orderExisted</t>
        </is>
      </c>
      <c r="B1116" s="67" t="inlineStr">
        <is>
          <t>Nhập mã có sẵn</t>
        </is>
      </c>
      <c r="C1116" s="67" t="inlineStr">
        <is>
          <t>Enter an existing code</t>
        </is>
      </c>
      <c r="D1116" s="3">
        <f>IFERROR(__xludf.DUMMYFUNCTION("GOOGLETRANSLATE(B1116,""vi"",""km"")"),"បញ្ចូលលេខកូដដែលអាចប្រើបាន")</f>
        <v/>
      </c>
      <c r="E1116" s="3" t="inlineStr">
        <is>
          <t>បញ្ចូ្ចលលេខកូដមានស្រាប់</t>
        </is>
      </c>
      <c r="F1116" s="217" t="inlineStr">
        <is>
          <t>v</t>
        </is>
      </c>
      <c r="G1116" s="217" t="inlineStr">
        <is>
          <t>បញ្ចូ្ចលលេខកូដមានស្រាប់</t>
        </is>
      </c>
      <c r="H1116" t="inlineStr">
        <is>
          <t>បញ្ចូ្ចលលេខកូដមានស្រាប់</t>
        </is>
      </c>
      <c r="I1116" s="74" t="inlineStr">
        <is>
          <t>បញ្ចូលលេខកូដដែលមានស្រាប់</t>
        </is>
      </c>
      <c r="J1116" s="217" t="inlineStr">
        <is>
          <t>"modifyOrder.orderExisted": "Enter an existing code",</t>
        </is>
      </c>
    </row>
    <row r="1117" ht="15.75" customHeight="1" s="305">
      <c r="A1117" s="67" t="inlineStr">
        <is>
          <t>modifyOrder.shippingDate</t>
        </is>
      </c>
      <c r="B1117" s="67" t="inlineStr">
        <is>
          <t>Ngày gửi</t>
        </is>
      </c>
      <c r="C1117" s="67" t="inlineStr">
        <is>
          <t>Sent date</t>
        </is>
      </c>
      <c r="D1117" s="3">
        <f>IFERROR(__xludf.DUMMYFUNCTION("GOOGLETRANSLATE(B1117,""vi"",""km"")"),"កាលបរិច្ឆេទដែលបានផ្ញើ")</f>
        <v/>
      </c>
      <c r="E1117" s="3" t="inlineStr">
        <is>
          <t>ថ្ងៃផ្ញើ</t>
        </is>
      </c>
      <c r="F1117" s="217" t="inlineStr">
        <is>
          <t>v</t>
        </is>
      </c>
      <c r="G1117" s="217" t="inlineStr">
        <is>
          <t>កាលបរិច្ឆេទផ្ញើ</t>
        </is>
      </c>
      <c r="H1117" t="inlineStr">
        <is>
          <t>កាលបរិច្ឆេទផ្ញើ</t>
        </is>
      </c>
      <c r="I1117" s="74" t="inlineStr">
        <is>
          <t>កាលបរិច្ឆេទបានផ្ញើ</t>
        </is>
      </c>
      <c r="J1117" s="217" t="inlineStr">
        <is>
          <t>"modifyOrder.shippingDate": "Sent date",</t>
        </is>
      </c>
    </row>
    <row r="1118" ht="15.75" customHeight="1" s="305">
      <c r="A1118" s="67" t="inlineStr">
        <is>
          <t>modifyOrder.sender</t>
        </is>
      </c>
      <c r="B1118" s="67" t="inlineStr">
        <is>
          <t>Người gửi</t>
        </is>
      </c>
      <c r="C1118" s="67" t="inlineStr">
        <is>
          <t>Sender</t>
        </is>
      </c>
      <c r="D1118" s="3">
        <f>IFERROR(__xludf.DUMMYFUNCTION("GOOGLETRANSLATE(B1118,""vi"",""km"")"),"អ្នកផ្ញើ")</f>
        <v/>
      </c>
      <c r="E1118" s="3" t="inlineStr">
        <is>
          <t>អ្នកផ្ញើ</t>
        </is>
      </c>
      <c r="F1118" s="217" t="inlineStr">
        <is>
          <t>v</t>
        </is>
      </c>
      <c r="G1118" s="217" t="inlineStr">
        <is>
          <t>អ្នកផ្ញើ</t>
        </is>
      </c>
      <c r="H1118" t="inlineStr">
        <is>
          <t>អ្នកផ្ញើ</t>
        </is>
      </c>
      <c r="I1118" s="74" t="inlineStr">
        <is>
          <t>អ្នកផ្ញើ</t>
        </is>
      </c>
      <c r="J1118" s="217" t="inlineStr">
        <is>
          <t>"modifyOrder.sender": "Sender",</t>
        </is>
      </c>
    </row>
    <row r="1119" ht="15.75" customHeight="1" s="305">
      <c r="A1119" s="67" t="inlineStr">
        <is>
          <t>modifyOrder.phone</t>
        </is>
      </c>
      <c r="B1119" s="67" t="inlineStr">
        <is>
          <t>Số điện thoại</t>
        </is>
      </c>
      <c r="C1119" s="67" t="inlineStr">
        <is>
          <t>Phone number</t>
        </is>
      </c>
      <c r="D1119" s="3">
        <f>IFERROR(__xludf.DUMMYFUNCTION("GOOGLETRANSLATE(B1119,""vi"",""km"")"),"លេខទូរស័ព្ទ")</f>
        <v/>
      </c>
      <c r="E1119" s="3" t="inlineStr">
        <is>
          <t>លេខទូរស័ព្ទ</t>
        </is>
      </c>
      <c r="F1119" s="217" t="inlineStr">
        <is>
          <t>v</t>
        </is>
      </c>
      <c r="G1119" s="217" t="inlineStr">
        <is>
          <t>លេខទូរស័ព្ទ</t>
        </is>
      </c>
      <c r="H1119" t="inlineStr">
        <is>
          <t>លេខទូរស័ព្ទ</t>
        </is>
      </c>
      <c r="I1119" s="74" t="inlineStr">
        <is>
          <t>លេខទូរស័ព្ទ</t>
        </is>
      </c>
      <c r="J1119" s="217" t="inlineStr">
        <is>
          <t>"modifyOrder.phone": "Phone number",</t>
        </is>
      </c>
    </row>
    <row r="1120" ht="15.75" customHeight="1" s="305">
      <c r="A1120" s="67" t="inlineStr">
        <is>
          <t>modifyOrder.phonePlaceholder</t>
        </is>
      </c>
      <c r="B1120" s="67" t="inlineStr">
        <is>
          <t>Nhập số điện thoại</t>
        </is>
      </c>
      <c r="C1120" s="67" t="inlineStr">
        <is>
          <t>Enter the phone number</t>
        </is>
      </c>
      <c r="D1120" s="3">
        <f>IFERROR(__xludf.DUMMYFUNCTION("GOOGLETRANSLATE(B1120,""vi"",""km"")"),"បញ្ចូលលេខទូរស័ព្ទ")</f>
        <v/>
      </c>
      <c r="E1120" s="3" t="inlineStr">
        <is>
          <t>បញ្ចូលលេខទូរស័ព្ទ</t>
        </is>
      </c>
      <c r="F1120" s="217" t="inlineStr">
        <is>
          <t>v</t>
        </is>
      </c>
      <c r="G1120" s="217" t="inlineStr">
        <is>
          <t>បញ្ចូលលេខទូរស័ព្ទ</t>
        </is>
      </c>
      <c r="H1120" t="inlineStr">
        <is>
          <t>បញ្ចូលលេខទូរស័ព្ទ</t>
        </is>
      </c>
      <c r="I1120" s="84" t="inlineStr">
        <is>
          <t>បញ្ចូលលេខទូរស័ព្ទ</t>
        </is>
      </c>
      <c r="J1120" s="217" t="inlineStr">
        <is>
          <t>"modifyOrder.phonePlaceholder": "Enter the phone number",</t>
        </is>
      </c>
    </row>
    <row r="1121" ht="15.75" customHeight="1" s="305">
      <c r="A1121" s="67" t="inlineStr">
        <is>
          <t>modifyOrder.name</t>
        </is>
      </c>
      <c r="B1121" s="67" t="inlineStr">
        <is>
          <t>Họ tên</t>
        </is>
      </c>
      <c r="C1121" s="67" t="inlineStr">
        <is>
          <t>Full name</t>
        </is>
      </c>
      <c r="D1121" s="3">
        <f>IFERROR(__xludf.DUMMYFUNCTION("GOOGLETRANSLATE(B1121,""vi"",""km"")"),"ឈ្មោះពេញ")</f>
        <v/>
      </c>
      <c r="E1121" s="3" t="inlineStr">
        <is>
          <t>គោត្តនាម និងនាម</t>
        </is>
      </c>
      <c r="F1121" s="217" t="inlineStr">
        <is>
          <t>v</t>
        </is>
      </c>
      <c r="G1121" s="217" t="inlineStr">
        <is>
          <t>ឈ្មោះពេញ</t>
        </is>
      </c>
      <c r="H1121" t="inlineStr">
        <is>
          <t>ឈ្មោះពេញ</t>
        </is>
      </c>
      <c r="I1121" s="74" t="inlineStr">
        <is>
          <t>ឈ្មោះពេញ</t>
        </is>
      </c>
      <c r="J1121" s="217" t="inlineStr">
        <is>
          <t>"modifyOrder.name": "Full name",</t>
        </is>
      </c>
    </row>
    <row r="1122" ht="15.75" customHeight="1" s="305">
      <c r="A1122" s="67" t="inlineStr">
        <is>
          <t>modifyOrder.nameSender</t>
        </is>
      </c>
      <c r="B1122" s="67" t="inlineStr">
        <is>
          <t>Họ tên người gửi</t>
        </is>
      </c>
      <c r="C1122" s="67" t="inlineStr">
        <is>
          <t>Sender full name</t>
        </is>
      </c>
      <c r="D1122" s="3">
        <f>IFERROR(__xludf.DUMMYFUNCTION("GOOGLETRANSLATE(B1122,""vi"",""km"")"),"ឈ្មោះអ្នកផ្ញើ")</f>
        <v/>
      </c>
      <c r="E1122" s="3" t="inlineStr">
        <is>
          <t>គោត្តនាម និងនាមអ្នកផ្ញើ</t>
        </is>
      </c>
      <c r="F1122" s="217" t="inlineStr">
        <is>
          <t>v</t>
        </is>
      </c>
      <c r="G1122" s="217" t="inlineStr">
        <is>
          <t>គោត្តនាម និងនាមអ្នកផ្ញើ</t>
        </is>
      </c>
      <c r="H1122" t="inlineStr">
        <is>
          <t>គោត្តនាម និងនាមអ្នកផ្ញើ</t>
        </is>
      </c>
      <c r="I1122" s="84" t="inlineStr">
        <is>
          <t>ឈ្មោះពេញអ្នកផ្ញើ</t>
        </is>
      </c>
      <c r="J1122" s="217" t="inlineStr">
        <is>
          <t>"modifyOrder.nameSender": "Sender full name",</t>
        </is>
      </c>
    </row>
    <row r="1123" ht="15.75" customHeight="1" s="305">
      <c r="A1123" s="67" t="inlineStr">
        <is>
          <t>modifyOrder.nameConsignee</t>
        </is>
      </c>
      <c r="B1123" s="67" t="inlineStr">
        <is>
          <t>Họ tên người nhận</t>
        </is>
      </c>
      <c r="C1123" s="67" t="inlineStr">
        <is>
          <t>Consignee full name</t>
        </is>
      </c>
      <c r="D1123" s="3">
        <f>IFERROR(__xludf.DUMMYFUNCTION("GOOGLETRANSLATE(B1123,""vi"",""km"")"),"ឈ្មោះពេញរបស់អ្នកទទួល")</f>
        <v/>
      </c>
      <c r="E1123" s="3" t="inlineStr">
        <is>
          <t>គោត្តនាម និងនាមអ្នកទទួល</t>
        </is>
      </c>
      <c r="F1123" s="217" t="inlineStr">
        <is>
          <t>v</t>
        </is>
      </c>
      <c r="G1123" s="217" t="inlineStr">
        <is>
          <t>គោត្តនាម និងនាមអ្នកទទួល</t>
        </is>
      </c>
      <c r="H1123" t="inlineStr">
        <is>
          <t>គោត្តនាម និងនាមអ្នកទទួល</t>
        </is>
      </c>
      <c r="I1123" s="84" t="inlineStr">
        <is>
          <t>ឈ្មោះពេញអ្នកទទួល</t>
        </is>
      </c>
      <c r="J1123" s="217" t="inlineStr">
        <is>
          <t>"modifyOrder.nameConsignee": "Consignee full name",</t>
        </is>
      </c>
    </row>
    <row r="1124" ht="15.75" customHeight="1" s="305">
      <c r="A1124" s="67" t="inlineStr">
        <is>
          <t>modifyOrder.namePlaceholder</t>
        </is>
      </c>
      <c r="B1124" s="67" t="inlineStr">
        <is>
          <t>Nhập họ tên</t>
        </is>
      </c>
      <c r="C1124" s="67" t="inlineStr">
        <is>
          <t>Enter your name</t>
        </is>
      </c>
      <c r="D1124" s="3">
        <f>IFERROR(__xludf.DUMMYFUNCTION("GOOGLETRANSLATE(B1124,""vi"",""km"")"),"បញ្ចូលឈ្មោះពេញរបស់អ្នក")</f>
        <v/>
      </c>
      <c r="E1124" s="3" t="inlineStr">
        <is>
          <t>បញ្ចូលគោត្តនាម និងនាម</t>
        </is>
      </c>
      <c r="F1124" s="217" t="inlineStr">
        <is>
          <t>v</t>
        </is>
      </c>
      <c r="G1124" s="217" t="inlineStr">
        <is>
          <t>បញ្ចូលគោត្តនាម និងនាម</t>
        </is>
      </c>
      <c r="H1124" t="inlineStr">
        <is>
          <t>បញ្ចូលគោត្តនាម និងនាម</t>
        </is>
      </c>
      <c r="I1124" s="74" t="inlineStr">
        <is>
          <t>បញ្ចូលឈ្មោះរបស់អ្នក។</t>
        </is>
      </c>
      <c r="J1124" s="217" t="inlineStr">
        <is>
          <t>"modifyOrder.namePlaceholder": "Enter your name",</t>
        </is>
      </c>
    </row>
    <row r="1125" ht="15.75" customHeight="1" s="305">
      <c r="A1125" s="67" t="inlineStr">
        <is>
          <t>modifyOrder.address</t>
        </is>
      </c>
      <c r="B1125" s="67" t="inlineStr">
        <is>
          <t>Địa chỉ chi tiết</t>
        </is>
      </c>
      <c r="C1125" s="67" t="inlineStr">
        <is>
          <t>Address details</t>
        </is>
      </c>
      <c r="D1125" s="3">
        <f>IFERROR(__xludf.DUMMYFUNCTION("GOOGLETRANSLATE(B1125,""vi"",""km"")"),"អាសយដ្ឋានលម្អិត")</f>
        <v/>
      </c>
      <c r="E1125" s="3" t="inlineStr">
        <is>
          <t>អាស័យដ្ឋានលម្អិត</t>
        </is>
      </c>
      <c r="F1125" s="217" t="inlineStr">
        <is>
          <t>v</t>
        </is>
      </c>
      <c r="G1125" s="217" t="inlineStr">
        <is>
          <t>អាសយដ្ឋានលម្អិត</t>
        </is>
      </c>
      <c r="H1125" t="inlineStr">
        <is>
          <t>អាសយដ្ឋានលម្អិត</t>
        </is>
      </c>
      <c r="I1125" s="74" t="inlineStr">
        <is>
          <t>ព័ត៌មានលម្អិតអំពីអាសយដ្ឋាន</t>
        </is>
      </c>
      <c r="J1125" s="217" t="inlineStr">
        <is>
          <t>"modifyOrder.address": "Address details",</t>
        </is>
      </c>
    </row>
    <row r="1126" ht="15.75" customHeight="1" s="305">
      <c r="A1126" s="67" t="inlineStr">
        <is>
          <t>modifyOrder.addressPlaceholder</t>
        </is>
      </c>
      <c r="B1126" s="67" t="inlineStr">
        <is>
          <t>Nhập địa chỉ</t>
        </is>
      </c>
      <c r="C1126" s="67" t="inlineStr">
        <is>
          <t>Enter address</t>
        </is>
      </c>
      <c r="D1126" s="3">
        <f>IFERROR(__xludf.DUMMYFUNCTION("GOOGLETRANSLATE(B1126,""vi"",""km"")"),"បញ្ចូលអាសយដ្ឋាន")</f>
        <v/>
      </c>
      <c r="E1126" s="3" t="inlineStr">
        <is>
          <t>បញ្ចូលអាស័យដ្ឋាន</t>
        </is>
      </c>
      <c r="F1126" s="217" t="inlineStr">
        <is>
          <t>v</t>
        </is>
      </c>
      <c r="G1126" s="217" t="inlineStr">
        <is>
          <t>បញ្ចូលអាសយដ្ឋាន</t>
        </is>
      </c>
      <c r="H1126" t="inlineStr">
        <is>
          <t>បញ្ចូលអាសយដ្ឋាន</t>
        </is>
      </c>
      <c r="I1126" s="74" t="inlineStr">
        <is>
          <t>បញ្ចូលអាសយដ្ឋាន</t>
        </is>
      </c>
      <c r="J1126" s="217" t="inlineStr">
        <is>
          <t>"modifyOrder.addressPlaceholder": "Enter address",</t>
        </is>
      </c>
    </row>
    <row r="1127" ht="15.75" customHeight="1" s="305">
      <c r="A1127" s="67" t="inlineStr">
        <is>
          <t>modifyOrder.addressNew</t>
        </is>
      </c>
      <c r="B1127" s="67" t="inlineStr">
        <is>
          <t>Địa chỉ mới</t>
        </is>
      </c>
      <c r="C1127" s="67" t="inlineStr">
        <is>
          <t>New address</t>
        </is>
      </c>
      <c r="D1127" s="3">
        <f>IFERROR(__xludf.DUMMYFUNCTION("GOOGLETRANSLATE(B1127,""vi"",""km"")"),"អាសយដ្ឋានថ្មី")</f>
        <v/>
      </c>
      <c r="E1127" s="3" t="inlineStr">
        <is>
          <t>អាស័យដ្ឋានថ្មី</t>
        </is>
      </c>
      <c r="F1127" s="217" t="inlineStr">
        <is>
          <t>v</t>
        </is>
      </c>
      <c r="G1127" s="217" t="inlineStr">
        <is>
          <t>អាសយដ្ឋានថ្មី</t>
        </is>
      </c>
      <c r="H1127" t="inlineStr">
        <is>
          <t>អាសយដ្ឋានថ្មី</t>
        </is>
      </c>
      <c r="I1127" s="74" t="inlineStr">
        <is>
          <t>អាសយដ្ឋានថ្មី។</t>
        </is>
      </c>
      <c r="J1127" s="217" t="inlineStr">
        <is>
          <t>"modifyOrder.addressNew": "New address",</t>
        </is>
      </c>
    </row>
    <row r="1128" ht="15.75" customHeight="1" s="305">
      <c r="A1128" s="67" t="inlineStr">
        <is>
          <t>modifyOrder.addAddress</t>
        </is>
      </c>
      <c r="B1128" s="67" t="inlineStr">
        <is>
          <t>Thêm địa chỉ gửi hàng khác</t>
        </is>
      </c>
      <c r="C1128" s="67" t="inlineStr">
        <is>
          <t>Add new address</t>
        </is>
      </c>
      <c r="D1128" s="3">
        <f>IFERROR(__xludf.DUMMYFUNCTION("GOOGLETRANSLATE(B1128,""vi"",""km"")"),"បន្ថែមអាសយដ្ឋានដឹកជញ្ជូនផ្សេងទៀត")</f>
        <v/>
      </c>
      <c r="E1128" s="3" t="inlineStr">
        <is>
          <t>បន្ថែមទីតាំងផ្ញើអីវ៉ាន់ផ្សេង</t>
        </is>
      </c>
      <c r="F1128" s="217" t="inlineStr">
        <is>
          <t>v</t>
        </is>
      </c>
      <c r="G1128" s="217" t="inlineStr">
        <is>
          <t>បន្ថែមទីតាំងផ្ញើអីវ៉ាន់ផ្សេង</t>
        </is>
      </c>
      <c r="H1128" t="inlineStr">
        <is>
          <t>បន្ថែមទីតាំងផ្ញើអីវ៉ាន់ផ្សេង</t>
        </is>
      </c>
      <c r="I1128" s="74" t="inlineStr">
        <is>
          <t>បន្ថែមអាសយដ្ឋានថ្មី</t>
        </is>
      </c>
      <c r="J1128" s="217" t="inlineStr">
        <is>
          <t>"modifyOrder.addAddress": "Add new address",</t>
        </is>
      </c>
    </row>
    <row r="1129" ht="15.75" customHeight="1" s="305">
      <c r="A1129" s="67" t="inlineStr">
        <is>
          <t>modifyOrder.addressName</t>
        </is>
      </c>
      <c r="B1129" s="67" t="inlineStr">
        <is>
          <t>Tên địa chỉ</t>
        </is>
      </c>
      <c r="C1129" s="67" t="inlineStr">
        <is>
          <t>Address name</t>
        </is>
      </c>
      <c r="D1129" s="3">
        <f>IFERROR(__xludf.DUMMYFUNCTION("GOOGLETRANSLATE(B1129,""vi"",""km"")"),"ឈ្មោះអាសយដ្ឋាន")</f>
        <v/>
      </c>
      <c r="E1129" s="3" t="inlineStr">
        <is>
          <t>ឈ្មោះអាស័យដ្ឋាន</t>
        </is>
      </c>
      <c r="F1129" s="217" t="inlineStr">
        <is>
          <t>v</t>
        </is>
      </c>
      <c r="G1129" s="217" t="inlineStr">
        <is>
          <t>ឈ្មោះអាសយដ្ឋាន</t>
        </is>
      </c>
      <c r="H1129" t="inlineStr">
        <is>
          <t>ឈ្មោះអាសយដ្ឋាន</t>
        </is>
      </c>
      <c r="I1129" s="74" t="inlineStr">
        <is>
          <t>ឈ្មោះអាសយដ្ឋាន</t>
        </is>
      </c>
      <c r="J1129" s="217" t="inlineStr">
        <is>
          <t>"modifyOrder.addressName": "Address name",</t>
        </is>
      </c>
    </row>
    <row r="1130" ht="15.75" customHeight="1" s="305">
      <c r="A1130" s="67" t="inlineStr">
        <is>
          <t>modifyOrder.addressNamePlace</t>
        </is>
      </c>
      <c r="B1130" s="67" t="inlineStr">
        <is>
          <t>Nhập tên địa chỉ</t>
        </is>
      </c>
      <c r="C1130" s="67" t="inlineStr">
        <is>
          <t>Enter address name</t>
        </is>
      </c>
      <c r="D1130" s="3">
        <f>IFERROR(__xludf.DUMMYFUNCTION("GOOGLETRANSLATE(B1130,""vi"",""km"")"),"បញ្ចូលឈ្មោះអាសយដ្ឋាន")</f>
        <v/>
      </c>
      <c r="E1130" s="3" t="inlineStr">
        <is>
          <t>បញ្ចូលឈ្មោះអាស័យដ្ឋាន</t>
        </is>
      </c>
      <c r="F1130" s="217" t="inlineStr">
        <is>
          <t>v</t>
        </is>
      </c>
      <c r="G1130" s="217" t="inlineStr">
        <is>
          <t>បញ្ចូលឈ្មោះអាសយដ្ឋាន</t>
        </is>
      </c>
      <c r="H1130" t="inlineStr">
        <is>
          <t>បញ្ចូលឈ្មោះអាសយដ្ឋាន</t>
        </is>
      </c>
      <c r="I1130" s="74" t="inlineStr">
        <is>
          <t>បញ្ចូលឈ្មោះអាសយដ្ឋាន</t>
        </is>
      </c>
      <c r="J1130" s="217" t="inlineStr">
        <is>
          <t>"modifyOrder.addressNamePlace": "Enter address name",</t>
        </is>
      </c>
    </row>
    <row r="1131" ht="15.75" customHeight="1" s="305">
      <c r="A1131" s="67" t="inlineStr">
        <is>
          <t>modifyOrder.addalternativePhones</t>
        </is>
      </c>
      <c r="B1131" s="67" t="inlineStr">
        <is>
          <t>Thêm SĐT phụ</t>
        </is>
      </c>
      <c r="C1131" s="67" t="inlineStr">
        <is>
          <t>Additional phone number</t>
        </is>
      </c>
      <c r="D1131" s="3">
        <f>IFERROR(__xludf.DUMMYFUNCTION("GOOGLETRANSLATE(B1131,""vi"",""km"")"),"បន្ថែមលេខទូរស័ព្ទបន្ទាប់បន្សំ។")</f>
        <v/>
      </c>
      <c r="E1131" s="3" t="inlineStr">
        <is>
          <t>លេខទូរស័ព្ទបន្ថែ្ថម</t>
        </is>
      </c>
      <c r="F1131" s="217" t="inlineStr">
        <is>
          <t>v</t>
        </is>
      </c>
      <c r="G1131" s="217" t="inlineStr">
        <is>
          <t>លេខទូរស័ព្ទបន្ថែ្ថម</t>
        </is>
      </c>
      <c r="H1131" t="inlineStr">
        <is>
          <t>លេខទូរស័ព្ទបន្ថែ្ថម</t>
        </is>
      </c>
      <c r="I1131" s="74" t="inlineStr">
        <is>
          <t>លេខទូរស័ព្ទបន្ថែម</t>
        </is>
      </c>
      <c r="J1131" s="217" t="inlineStr">
        <is>
          <t>"modifyOrder.addalternativePhones": "Additional phone number",</t>
        </is>
      </c>
    </row>
    <row r="1132" ht="15.75" customHeight="1" s="305">
      <c r="A1132" s="67" t="inlineStr">
        <is>
          <t>modifyOrder.consignee</t>
        </is>
      </c>
      <c r="B1132" s="67" t="inlineStr">
        <is>
          <t>Người nhận</t>
        </is>
      </c>
      <c r="C1132" s="67" t="inlineStr">
        <is>
          <t xml:space="preserve">Recipient information </t>
        </is>
      </c>
      <c r="D1132" s="3">
        <f>IFERROR(__xludf.DUMMYFUNCTION("GOOGLETRANSLATE(B1132,""vi"",""km"")"),"អ្នកទទួល")</f>
        <v/>
      </c>
      <c r="E1132" s="3" t="inlineStr">
        <is>
          <t>អ្នកទទួល</t>
        </is>
      </c>
      <c r="F1132" s="217" t="inlineStr">
        <is>
          <t>v</t>
        </is>
      </c>
      <c r="G1132" s="217" t="inlineStr">
        <is>
          <t>អ្នកទទួល</t>
        </is>
      </c>
      <c r="H1132" t="inlineStr">
        <is>
          <t>អ្នកទទួល</t>
        </is>
      </c>
      <c r="I1132" s="74" t="inlineStr">
        <is>
          <t>ព័ត៌មានអ្នកទទួល</t>
        </is>
      </c>
      <c r="J1132" s="217" t="inlineStr">
        <is>
          <t>"modifyOrder.consignee": "Recipient information ",</t>
        </is>
      </c>
    </row>
    <row r="1133" ht="15.75" customHeight="1" s="305">
      <c r="A1133" s="67" t="inlineStr">
        <is>
          <t>modifyOrder.deliveryAppointment</t>
        </is>
      </c>
      <c r="B1133" s="67" t="inlineStr">
        <is>
          <t>Thời gian hẹn giao</t>
        </is>
      </c>
      <c r="C1133" s="67" t="inlineStr">
        <is>
          <t>Delivery time</t>
        </is>
      </c>
      <c r="D1133" s="3">
        <f>IFERROR(__xludf.DUMMYFUNCTION("GOOGLETRANSLATE(B1133,""vi"",""km"")"),"ពេលវេលាដឹកជញ្ជូន")</f>
        <v/>
      </c>
      <c r="E1133" s="3" t="inlineStr">
        <is>
          <t>ពេលវេលាណាត់ដឹកជញ្ជូន</t>
        </is>
      </c>
      <c r="F1133" s="217" t="inlineStr">
        <is>
          <t>x</t>
        </is>
      </c>
      <c r="G1133" s="217" t="inlineStr">
        <is>
          <t>ពេលវេលាណាត់ដឹកជញ្ជូន</t>
        </is>
      </c>
      <c r="H1133" t="inlineStr">
        <is>
          <t>ពេលវេលាណាត់ដឹកជញ្ជូន</t>
        </is>
      </c>
      <c r="I1133" s="74" t="inlineStr">
        <is>
          <t>ពេលវេលាដឹកជញ្ជូន</t>
        </is>
      </c>
      <c r="J1133" s="217" t="inlineStr">
        <is>
          <t>"modifyOrder.deliveryAppointment": "Delivery time",</t>
        </is>
      </c>
    </row>
    <row r="1134" ht="15.75" customHeight="1" s="305">
      <c r="A1134" s="67" t="inlineStr">
        <is>
          <t>modifyOrder.all_day</t>
        </is>
      </c>
      <c r="B1134" s="67" t="inlineStr">
        <is>
          <t>Cả ngày</t>
        </is>
      </c>
      <c r="C1134" s="67" t="inlineStr">
        <is>
          <t>All day</t>
        </is>
      </c>
      <c r="D1134" s="3">
        <f>IFERROR(__xludf.DUMMYFUNCTION("GOOGLETRANSLATE(B1134,""vi"",""km"")"),"ពេញមួយថ្ងៃ")</f>
        <v/>
      </c>
      <c r="E1134" s="3" t="inlineStr">
        <is>
          <t>ពេញ១ថ្ងៃ</t>
        </is>
      </c>
      <c r="F1134" s="217" t="inlineStr">
        <is>
          <t>v</t>
        </is>
      </c>
      <c r="G1134" s="217" t="inlineStr">
        <is>
          <t>ពេញ១ថ្ងៃ</t>
        </is>
      </c>
      <c r="H1134" t="inlineStr">
        <is>
          <t>ពេញ១ថ្ងៃ</t>
        </is>
      </c>
      <c r="I1134" s="74" t="inlineStr">
        <is>
          <t>ពេញមួយថ្ងៃ</t>
        </is>
      </c>
      <c r="J1134" s="217" t="inlineStr">
        <is>
          <t>"modifyOrder.all_day": "All day",</t>
        </is>
      </c>
    </row>
    <row r="1135" ht="15.75" customHeight="1" s="305">
      <c r="A1135" s="67" t="inlineStr">
        <is>
          <t>modifyOrder.morning</t>
        </is>
      </c>
      <c r="B1135" s="67" t="inlineStr">
        <is>
          <t>Sáng (7h30 - 12h00)</t>
        </is>
      </c>
      <c r="C1135" s="67" t="inlineStr">
        <is>
          <t>Morning (7:30 - 12:00)</t>
        </is>
      </c>
      <c r="D1135" s="3">
        <f>IFERROR(__xludf.DUMMYFUNCTION("GOOGLETRANSLATE(B1135,""vi"",""km"")"),"ពេលព្រឹក (ម៉ោង ៧:៣០ ព្រឹក - ១២:០០ ថ្ងៃត្រង់)")</f>
        <v/>
      </c>
      <c r="E1135" s="3" t="inlineStr">
        <is>
          <t>ពេលព្រឹក(7h30 - 12h00)</t>
        </is>
      </c>
      <c r="F1135" s="217" t="inlineStr">
        <is>
          <t>v</t>
        </is>
      </c>
      <c r="G1135" s="217" t="inlineStr">
        <is>
          <t>ពេលព្រឹក(7h30 - 12h00)</t>
        </is>
      </c>
      <c r="H1135" t="inlineStr">
        <is>
          <t>ពេលព្រឹក(7h30 - 12h00)</t>
        </is>
      </c>
      <c r="I1135" s="74" t="inlineStr">
        <is>
          <t>ពេលព្រឹក (7:30 - 12:00)</t>
        </is>
      </c>
      <c r="J1135" s="217" t="inlineStr">
        <is>
          <t>"modifyOrder.morning": "Morning (7:30 - 12:00)",</t>
        </is>
      </c>
    </row>
    <row r="1136" ht="15.75" customHeight="1" s="305">
      <c r="A1136" s="67" t="inlineStr">
        <is>
          <t>modifyOrder.afternoon</t>
        </is>
      </c>
      <c r="B1136" s="67" t="inlineStr">
        <is>
          <t>Chiều (13h30 - 18h00)</t>
        </is>
      </c>
      <c r="C1136" s="67" t="inlineStr">
        <is>
          <t>Afternoon (13:30 - 18:00)</t>
        </is>
      </c>
      <c r="D1136" s="3">
        <f>IFERROR(__xludf.DUMMYFUNCTION("GOOGLETRANSLATE(B1136,""vi"",""km"")"),"ពេលរសៀល (ម៉ោង ១:៣០ រសៀល - ៦:០០ ល្ងាច)")</f>
        <v/>
      </c>
      <c r="E1136" s="67" t="inlineStr">
        <is>
          <t>ពេលថ្ងៃ (13h30 - 18h00)</t>
        </is>
      </c>
      <c r="F1136" s="217" t="inlineStr">
        <is>
          <t>v</t>
        </is>
      </c>
      <c r="G1136" s="217" t="inlineStr">
        <is>
          <t>ពេលថ្ងៃ (13h30 - 18h00)</t>
        </is>
      </c>
      <c r="H1136" t="inlineStr">
        <is>
          <t>ពេលថ្ងៃ (13h30 - 18h00)</t>
        </is>
      </c>
      <c r="I1136" s="74" t="inlineStr">
        <is>
          <t>ពេលរសៀល (13:30 - 18:00)</t>
        </is>
      </c>
      <c r="J1136" s="217" t="inlineStr">
        <is>
          <t>"modifyOrder.afternoon": "Afternoon (13:30 - 18:00)",</t>
        </is>
      </c>
    </row>
    <row r="1137" ht="15.75" customHeight="1" s="305">
      <c r="A1137" s="67" t="inlineStr">
        <is>
          <t>modifyOrder.night</t>
        </is>
      </c>
      <c r="B1137" s="67" t="inlineStr">
        <is>
          <t>Tối (18h00 - 21h00)</t>
        </is>
      </c>
      <c r="C1137" s="67" t="inlineStr">
        <is>
          <t>Evening (18:00 - 21:00)</t>
        </is>
      </c>
      <c r="D1137" s="3">
        <f>IFERROR(__xludf.DUMMYFUNCTION("GOOGLETRANSLATE(B1137,""vi"",""km"")"),"ល្ងាច (ម៉ោង ៦:០០ ល្ងាច - ៩:០០ យប់)")</f>
        <v/>
      </c>
      <c r="E1137" s="67" t="inlineStr">
        <is>
          <t>យប់ (18h00 - 21h00)</t>
        </is>
      </c>
      <c r="F1137" s="217" t="inlineStr">
        <is>
          <t>v</t>
        </is>
      </c>
      <c r="G1137" s="217" t="inlineStr">
        <is>
          <t>យប់ (18h00 - 21h00)</t>
        </is>
      </c>
      <c r="H1137" t="inlineStr">
        <is>
          <t>យប់ (18h00 - 21h00)</t>
        </is>
      </c>
      <c r="I1137" s="74" t="inlineStr">
        <is>
          <t>ល្ងាច (18:00 - 21:00)</t>
        </is>
      </c>
      <c r="J1137" s="217" t="inlineStr">
        <is>
          <t>"modifyOrder.night": "Evening (18:00 - 21:00)",</t>
        </is>
      </c>
    </row>
    <row r="1138" ht="15.75" customHeight="1" s="305">
      <c r="A1138" s="67" t="inlineStr">
        <is>
          <t>modifyOrder.office_hours</t>
        </is>
      </c>
      <c r="B1138" s="67" t="inlineStr">
        <is>
          <t>Giờ hành chính (7h30 - 11h30, 13h00 - 17h30)</t>
        </is>
      </c>
      <c r="C1138" s="67" t="inlineStr">
        <is>
          <t>Office hours (7:30 - 11:30, 13:00 - 17:30)</t>
        </is>
      </c>
      <c r="D1138" s="3">
        <f>IFERROR(__xludf.DUMMYFUNCTION("GOOGLETRANSLATE(B1138,""vi"",""km"")"),"ម៉ោងធ្វើការ (៧:៣០ ព្រឹក - ១១:៣០ ព្រឹក, ១:០០ រសៀល - ៥:៣០ ល្ងាច)")</f>
        <v/>
      </c>
      <c r="E1138" s="67" t="inlineStr">
        <is>
          <t>ពេលវេលាធ្វើការ (7h30 - 11h30, 13h00 - 17h30)</t>
        </is>
      </c>
      <c r="F1138" s="217" t="inlineStr">
        <is>
          <t>v</t>
        </is>
      </c>
      <c r="G1138" s="217" t="inlineStr">
        <is>
          <t>ពេលវេលាធ្វើការ (7h30 - 11h30, 13h00 - 17h30)</t>
        </is>
      </c>
      <c r="H1138" t="inlineStr">
        <is>
          <t>ពេលវេលាធ្វើការ (7h30 - 11h30, 13h00 - 17h30)</t>
        </is>
      </c>
      <c r="I1138" s="74" t="inlineStr">
        <is>
          <t>ម៉ោងធ្វើការ (7:30 - 11:30, 13:00 - 17:30)</t>
        </is>
      </c>
      <c r="J1138" s="217" t="inlineStr">
        <is>
          <t>"modifyOrder.office_hours": "Office hours (7:30 - 11:30, 13:00 - 17:30)",</t>
        </is>
      </c>
    </row>
    <row r="1139" ht="15.75" customHeight="1" s="305">
      <c r="A1139" s="67" t="inlineStr">
        <is>
          <t>modifyOrder.sunday</t>
        </is>
      </c>
      <c r="B1139" s="67" t="inlineStr">
        <is>
          <t>Chủ nhật</t>
        </is>
      </c>
      <c r="C1139" s="67" t="inlineStr">
        <is>
          <t>Sunday</t>
        </is>
      </c>
      <c r="D1139" s="3">
        <f>IFERROR(__xludf.DUMMYFUNCTION("GOOGLETRANSLATE(B1139,""vi"",""km"")"),"ថ្ងៃអាទិត្យ")</f>
        <v/>
      </c>
      <c r="E1139" s="3" t="inlineStr">
        <is>
          <t>ថ្ងៃ្ងអាទិត្យ</t>
        </is>
      </c>
      <c r="F1139" s="217" t="inlineStr">
        <is>
          <t>v</t>
        </is>
      </c>
      <c r="G1139" s="217" t="inlineStr">
        <is>
          <t>ថ្ងៃ្ងអាទិត្យ</t>
        </is>
      </c>
      <c r="H1139" t="inlineStr">
        <is>
          <t>ថ្ងៃ្ងអាទិត្យ</t>
        </is>
      </c>
      <c r="I1139" s="74" t="inlineStr">
        <is>
          <t>ថ្ងៃអាទិត្យ</t>
        </is>
      </c>
      <c r="J1139" s="217" t="inlineStr">
        <is>
          <t>"modifyOrder.sunday": "Sunday",</t>
        </is>
      </c>
    </row>
    <row r="1140" ht="15.75" customHeight="1" s="305">
      <c r="A1140" s="67" t="inlineStr">
        <is>
          <t>modifyOrder.otherInfomation</t>
        </is>
      </c>
      <c r="B1140" s="67" t="inlineStr">
        <is>
          <t>Thông tin khác</t>
        </is>
      </c>
      <c r="C1140" s="67" t="inlineStr">
        <is>
          <t>Other Information</t>
        </is>
      </c>
      <c r="D1140" s="3">
        <f>IFERROR(__xludf.DUMMYFUNCTION("GOOGLETRANSLATE(B1140,""vi"",""km"")"),"ព័ត៌មានផ្សេងទៀត")</f>
        <v/>
      </c>
      <c r="E1140" s="3" t="inlineStr">
        <is>
          <t>ព័ត៌មានផ្សេងៗ</t>
        </is>
      </c>
      <c r="F1140" s="217" t="inlineStr">
        <is>
          <t>v</t>
        </is>
      </c>
      <c r="G1140" s="217" t="inlineStr">
        <is>
          <t>ព័ត៌មានផ្សេងៗ</t>
        </is>
      </c>
      <c r="H1140" t="inlineStr">
        <is>
          <t>ព័ត៌មានផ្សេងៗ</t>
        </is>
      </c>
      <c r="I1140" s="74" t="inlineStr">
        <is>
          <t>ព័ត៌មានផ្សេងៗ</t>
        </is>
      </c>
      <c r="J1140" s="217" t="inlineStr">
        <is>
          <t>"modifyOrder.otherInfomation": "Other Information",</t>
        </is>
      </c>
    </row>
    <row r="1141" ht="15.75" customHeight="1" s="305">
      <c r="A1141" s="67" t="inlineStr">
        <is>
          <t>modifyOrder.parcelType</t>
        </is>
      </c>
      <c r="B1141" s="67" t="inlineStr">
        <is>
          <t>Loại hàng hoá</t>
        </is>
      </c>
      <c r="C1141" s="67" t="inlineStr">
        <is>
          <t>Goods categories</t>
        </is>
      </c>
      <c r="D1141" s="3">
        <f>IFERROR(__xludf.DUMMYFUNCTION("GOOGLETRANSLATE(B1141,""vi"",""km"")"),"ប្រភេទទំនិញ")</f>
        <v/>
      </c>
      <c r="E1141" s="3" t="inlineStr">
        <is>
          <t>ប្រភេទទំនិញ</t>
        </is>
      </c>
      <c r="F1141" s="217" t="inlineStr">
        <is>
          <t>v</t>
        </is>
      </c>
      <c r="G1141" s="217" t="inlineStr">
        <is>
          <t>ប្រភេទទំនិញ</t>
        </is>
      </c>
      <c r="H1141" t="inlineStr">
        <is>
          <t>ប្រភេទទំនិញ</t>
        </is>
      </c>
      <c r="I1141" s="74" t="inlineStr">
        <is>
          <t>ប្រភេទទំនិញ</t>
        </is>
      </c>
      <c r="J1141" s="217" t="inlineStr">
        <is>
          <t>"modifyOrder.parcelType": "Goods categories",</t>
        </is>
      </c>
    </row>
    <row r="1142" ht="15.75" customHeight="1" s="305">
      <c r="A1142" s="67" t="inlineStr">
        <is>
          <t>modifyOrder.parcel</t>
        </is>
      </c>
      <c r="B1142" s="67" t="inlineStr">
        <is>
          <t>Hàng hoá</t>
        </is>
      </c>
      <c r="C1142" s="67" t="inlineStr">
        <is>
          <t>Freight</t>
        </is>
      </c>
      <c r="D1142" s="3">
        <f>IFERROR(__xludf.DUMMYFUNCTION("GOOGLETRANSLATE(B1142,""vi"",""km"")"),"ទំនិញ")</f>
        <v/>
      </c>
      <c r="E1142" s="3" t="inlineStr">
        <is>
          <t>អីវ៉ាន់</t>
        </is>
      </c>
      <c r="F1142" s="217" t="inlineStr">
        <is>
          <t>v</t>
        </is>
      </c>
      <c r="G1142" s="217" t="inlineStr">
        <is>
          <t>អីវ៉ាន់</t>
        </is>
      </c>
      <c r="H1142" t="inlineStr">
        <is>
          <t>អីវ៉ាន់</t>
        </is>
      </c>
      <c r="I1142" s="74" t="inlineStr">
        <is>
          <t>ដឹកទំនិញ</t>
        </is>
      </c>
      <c r="J1142" s="217" t="inlineStr">
        <is>
          <t>"modifyOrder.parcel": "Freight",</t>
        </is>
      </c>
    </row>
    <row r="1143" ht="15.75" customHeight="1" s="305">
      <c r="A1143" s="67" t="inlineStr">
        <is>
          <t>modifyOrder.goods</t>
        </is>
      </c>
      <c r="B1143" s="67" t="inlineStr">
        <is>
          <t>Bưu phẩm</t>
        </is>
      </c>
      <c r="C1143" s="67" t="inlineStr">
        <is>
          <t xml:space="preserve">Parcel </t>
        </is>
      </c>
      <c r="D1143" s="3">
        <f>IFERROR(__xludf.DUMMYFUNCTION("GOOGLETRANSLATE(B1143,""vi"",""km"")"),"វត្ថុប្រៃសណីយ៍")</f>
        <v/>
      </c>
      <c r="E1143" s="3" t="inlineStr">
        <is>
          <t>អីវ៉ាន់</t>
        </is>
      </c>
      <c r="F1143" s="217" t="inlineStr">
        <is>
          <t>v</t>
        </is>
      </c>
      <c r="G1143" s="217" t="inlineStr">
        <is>
          <t>អីវ៉ាន់</t>
        </is>
      </c>
      <c r="H1143" t="inlineStr">
        <is>
          <t>អីវ៉ាន់</t>
        </is>
      </c>
      <c r="I1143" s="74" t="inlineStr">
        <is>
          <t>កញ្ចប់</t>
        </is>
      </c>
      <c r="J1143" s="217" t="inlineStr">
        <is>
          <t>"modifyOrder.goods": "Parcel ",</t>
        </is>
      </c>
    </row>
    <row r="1144" ht="15.75" customHeight="1" s="305">
      <c r="A1144" s="67" t="inlineStr">
        <is>
          <t>modifyOrder.document</t>
        </is>
      </c>
      <c r="B1144" s="67" t="inlineStr">
        <is>
          <t>Tài liệu</t>
        </is>
      </c>
      <c r="C1144" s="67" t="inlineStr">
        <is>
          <t>Documents</t>
        </is>
      </c>
      <c r="D1144" s="3">
        <f>IFERROR(__xludf.DUMMYFUNCTION("GOOGLETRANSLATE(B1144,""vi"",""km"")"),"ឯកសារ")</f>
        <v/>
      </c>
      <c r="E1144" s="3" t="inlineStr">
        <is>
          <t>ឯកសារ</t>
        </is>
      </c>
      <c r="F1144" s="217" t="inlineStr">
        <is>
          <t>v</t>
        </is>
      </c>
      <c r="G1144" s="217" t="inlineStr">
        <is>
          <t>ឯកសារ</t>
        </is>
      </c>
      <c r="H1144" t="inlineStr">
        <is>
          <t>ឯកសារ</t>
        </is>
      </c>
      <c r="I1144" s="74" t="inlineStr">
        <is>
          <t>ឯកសារ</t>
        </is>
      </c>
      <c r="J1144" s="217" t="inlineStr">
        <is>
          <t>"modifyOrder.document": "Documents",</t>
        </is>
      </c>
    </row>
    <row r="1145" ht="15.75" customHeight="1" s="305">
      <c r="A1145" s="67" t="inlineStr">
        <is>
          <t>modifyOrder.parcelName</t>
        </is>
      </c>
      <c r="B1145" s="67" t="inlineStr">
        <is>
          <t>Tên hàng hoá</t>
        </is>
      </c>
      <c r="C1145" s="67" t="inlineStr">
        <is>
          <t>Parcel description</t>
        </is>
      </c>
      <c r="D1145" s="3">
        <f>IFERROR(__xludf.DUMMYFUNCTION("GOOGLETRANSLATE(B1145,""vi"",""km"")"),"ឈ្មោះផលិតផល")</f>
        <v/>
      </c>
      <c r="E1145" s="3" t="inlineStr">
        <is>
          <t>ឈ្មោះអីវ៉ាន់</t>
        </is>
      </c>
      <c r="F1145" s="217" t="inlineStr">
        <is>
          <t>v</t>
        </is>
      </c>
      <c r="G1145" s="217" t="inlineStr">
        <is>
          <t>ឈ្មោះអីវ៉ាន់</t>
        </is>
      </c>
      <c r="H1145" t="inlineStr">
        <is>
          <t>ឈ្មោះអីវ៉ាន់</t>
        </is>
      </c>
      <c r="I1145" s="74" t="inlineStr">
        <is>
          <t>ការពិពណ៌នាអំពីកញ្ចប់</t>
        </is>
      </c>
      <c r="J1145" s="217" t="inlineStr">
        <is>
          <t>"modifyOrder.parcelName": "Parcel description",</t>
        </is>
      </c>
    </row>
    <row r="1146" ht="15.75" customHeight="1" s="305">
      <c r="A1146" s="67" t="inlineStr">
        <is>
          <t>modifyOrder.parcelQuantity</t>
        </is>
      </c>
      <c r="B1146" s="67" t="inlineStr">
        <is>
          <t>Số lượng</t>
        </is>
      </c>
      <c r="C1146" s="67" t="inlineStr">
        <is>
          <t>Quantity</t>
        </is>
      </c>
      <c r="D1146" s="3">
        <f>IFERROR(__xludf.DUMMYFUNCTION("GOOGLETRANSLATE(B1146,""vi"",""km"")"),"បរិមាណ")</f>
        <v/>
      </c>
      <c r="E1146" s="3" t="inlineStr">
        <is>
          <t>ចំនួន</t>
        </is>
      </c>
      <c r="F1146" s="217" t="inlineStr">
        <is>
          <t>v</t>
        </is>
      </c>
      <c r="G1146" s="217" t="inlineStr">
        <is>
          <t>ចំនួន</t>
        </is>
      </c>
      <c r="H1146" t="inlineStr">
        <is>
          <t>ចំនួន</t>
        </is>
      </c>
      <c r="I1146" s="84" t="inlineStr">
        <is>
          <t>បរិមាណ</t>
        </is>
      </c>
      <c r="J1146" s="217" t="inlineStr">
        <is>
          <t>"modifyOrder.parcelQuantity": "Quantity",</t>
        </is>
      </c>
    </row>
    <row r="1147" ht="15.75" customHeight="1" s="305">
      <c r="A1147" s="67" t="inlineStr">
        <is>
          <t>modifyOrder.parcelWeightLabel</t>
        </is>
      </c>
      <c r="B1147" s="67" t="inlineStr">
        <is>
          <t>Trọng lượng</t>
        </is>
      </c>
      <c r="C1147" s="67" t="inlineStr">
        <is>
          <t>Weight</t>
        </is>
      </c>
      <c r="D1147" s="3">
        <f>IFERROR(__xludf.DUMMYFUNCTION("GOOGLETRANSLATE(B1147,""vi"",""km"")"),"ទម្ងន់")</f>
        <v/>
      </c>
      <c r="E1147" s="3" t="inlineStr">
        <is>
          <t>ទម្ងន់</t>
        </is>
      </c>
      <c r="F1147" s="217" t="inlineStr">
        <is>
          <t>v</t>
        </is>
      </c>
      <c r="G1147" s="217" t="inlineStr">
        <is>
          <t>ទម្ងន់</t>
        </is>
      </c>
      <c r="H1147" t="inlineStr">
        <is>
          <t>ទម្ងន់</t>
        </is>
      </c>
      <c r="I1147" s="84" t="inlineStr">
        <is>
          <t>ទម្ងន់</t>
        </is>
      </c>
      <c r="J1147" s="217" t="inlineStr">
        <is>
          <t>"modifyOrder.parcelWeightLabel": "Weight",</t>
        </is>
      </c>
    </row>
    <row r="1148" ht="15.75" customHeight="1" s="305">
      <c r="A1148" s="67" t="inlineStr">
        <is>
          <t>modifyOrder.parcelWeight</t>
        </is>
      </c>
      <c r="B1148" s="67" t="inlineStr">
        <is>
          <t>KL(g)</t>
        </is>
      </c>
      <c r="C1148" s="67" t="inlineStr">
        <is>
          <t>Wt(g)</t>
        </is>
      </c>
      <c r="D1148" s="3">
        <f>IFERROR(__xludf.DUMMYFUNCTION("GOOGLETRANSLATE(B1148,""vi"",""km"")"),"ទម្ងន់ (ក្រាម)")</f>
        <v/>
      </c>
      <c r="E1148" s="67" t="inlineStr">
        <is>
          <t>ទម្ងន់(ក្រាម)</t>
        </is>
      </c>
      <c r="F1148" s="217" t="inlineStr">
        <is>
          <t>v</t>
        </is>
      </c>
      <c r="G1148" s="217" t="inlineStr">
        <is>
          <t>ទម្ងន់(ក្រាម)</t>
        </is>
      </c>
      <c r="H1148" t="inlineStr">
        <is>
          <t>ទម្ងន់(ក្រាម)</t>
        </is>
      </c>
      <c r="I1148" s="74" t="inlineStr">
        <is>
          <t>Wt(g)</t>
        </is>
      </c>
      <c r="J1148" s="217" t="inlineStr">
        <is>
          <t>"modifyOrder.parcelWeight": "Wt(g)",</t>
        </is>
      </c>
    </row>
    <row r="1149" ht="15.75" customHeight="1" s="305">
      <c r="A1149" s="67" t="inlineStr">
        <is>
          <t>modifyOrder.parcelValue</t>
        </is>
      </c>
      <c r="B1149" s="67" t="inlineStr">
        <is>
          <t>Giá trị ({{countryMoney}})</t>
        </is>
      </c>
      <c r="C1149" s="67" t="inlineStr">
        <is>
          <t>Freight value ({{countryMoney}})</t>
        </is>
      </c>
      <c r="D1149" s="3">
        <f>IFERROR(__xludf.DUMMYFUNCTION("GOOGLETRANSLATE(B1149,""vi"",""km"")"),"តម្លៃ (ប្រាក់ប្រទេស)")</f>
        <v/>
      </c>
      <c r="E1149" s="67" t="inlineStr">
        <is>
          <t>តម្លៃ ({{countryMoney}})</t>
        </is>
      </c>
      <c r="F1149" s="217" t="inlineStr">
        <is>
          <t>v</t>
        </is>
      </c>
      <c r="G1149" s="217" t="inlineStr">
        <is>
          <t>តម្លៃ ({{countryMoney}})</t>
        </is>
      </c>
      <c r="H1149" t="inlineStr">
        <is>
          <t>តម្លៃ ({{countryMoney}})</t>
        </is>
      </c>
      <c r="I1149" s="74" t="inlineStr">
        <is>
          <t>តម្លៃដឹកជញ្ជូន ({{countryMoney}})</t>
        </is>
      </c>
      <c r="J1149" s="217" t="inlineStr">
        <is>
          <t>"modifyOrder.parcelValue": "Freight value ({{countryMoney}})",</t>
        </is>
      </c>
    </row>
    <row r="1150" ht="15.75" customHeight="1" s="305">
      <c r="A1150" s="67" t="inlineStr">
        <is>
          <t>modifyOrder.size</t>
        </is>
      </c>
      <c r="B1150" s="67" t="inlineStr">
        <is>
          <t>Kích thước (cm)</t>
        </is>
      </c>
      <c r="C1150" s="67" t="inlineStr">
        <is>
          <t>Size (cm)</t>
        </is>
      </c>
      <c r="D1150" s="3">
        <f>IFERROR(__xludf.DUMMYFUNCTION("GOOGLETRANSLATE(B1150,""vi"",""km"")"),"ទំហំ (សង់ទីម៉ែត្រ)")</f>
        <v/>
      </c>
      <c r="E1150" s="3" t="inlineStr">
        <is>
          <t>ទំហំ</t>
        </is>
      </c>
      <c r="F1150" s="217" t="inlineStr">
        <is>
          <t>v</t>
        </is>
      </c>
      <c r="G1150" s="217" t="inlineStr">
        <is>
          <t>ទំហំ</t>
        </is>
      </c>
      <c r="H1150" t="inlineStr">
        <is>
          <t>ទំហំ</t>
        </is>
      </c>
      <c r="I1150" s="74" t="inlineStr">
        <is>
          <t>ទំហំ (សង់ទីម៉ែត្រ)</t>
        </is>
      </c>
      <c r="J1150" s="217" t="inlineStr">
        <is>
          <t>"modifyOrder.size": "Size (cm)",</t>
        </is>
      </c>
    </row>
    <row r="1151" ht="15.75" customHeight="1" s="305">
      <c r="A1151" s="67" t="inlineStr">
        <is>
          <t>modifyOrder.length</t>
        </is>
      </c>
      <c r="B1151" s="67" t="inlineStr">
        <is>
          <t>Dài</t>
        </is>
      </c>
      <c r="C1151" s="67" t="inlineStr">
        <is>
          <t>Length</t>
        </is>
      </c>
      <c r="D1151" s="3">
        <f>IFERROR(__xludf.DUMMYFUNCTION("GOOGLETRANSLATE(B1151,""vi"",""km"")"),"វែង")</f>
        <v/>
      </c>
      <c r="E1151" s="3" t="inlineStr">
        <is>
          <t>ប្រវែង</t>
        </is>
      </c>
      <c r="F1151" s="217" t="inlineStr">
        <is>
          <t>v</t>
        </is>
      </c>
      <c r="G1151" s="217" t="inlineStr">
        <is>
          <t>បណ្តោយ</t>
        </is>
      </c>
      <c r="H1151" t="inlineStr">
        <is>
          <t>បណ្តោយ</t>
        </is>
      </c>
      <c r="I1151" s="74" t="inlineStr">
        <is>
          <t>ប្រវែង</t>
        </is>
      </c>
      <c r="J1151" s="217" t="inlineStr">
        <is>
          <t>"modifyOrder.length": "Length",</t>
        </is>
      </c>
    </row>
    <row r="1152" ht="15.75" customHeight="1" s="305">
      <c r="A1152" s="67" t="inlineStr">
        <is>
          <t>modifyOrder.width</t>
        </is>
      </c>
      <c r="B1152" s="67" t="inlineStr">
        <is>
          <t>Rộng</t>
        </is>
      </c>
      <c r="C1152" s="67" t="inlineStr">
        <is>
          <t>Width</t>
        </is>
      </c>
      <c r="D1152" s="3">
        <f>IFERROR(__xludf.DUMMYFUNCTION("GOOGLETRANSLATE(B1152,""vi"",""km"")"),"ធំទូលាយ")</f>
        <v/>
      </c>
      <c r="E1152" s="3" t="inlineStr">
        <is>
          <t>ទទឹង</t>
        </is>
      </c>
      <c r="F1152" s="217" t="inlineStr">
        <is>
          <t>x</t>
        </is>
      </c>
      <c r="G1152" s="217" t="inlineStr">
        <is>
          <t>ទទឹង</t>
        </is>
      </c>
      <c r="H1152" t="inlineStr">
        <is>
          <t>ទទឹង</t>
        </is>
      </c>
      <c r="I1152" s="74" t="inlineStr">
        <is>
          <t>ទទឹង</t>
        </is>
      </c>
      <c r="J1152" s="217" t="inlineStr">
        <is>
          <t>"modifyOrder.width": "Width",</t>
        </is>
      </c>
    </row>
    <row r="1153" ht="15.75" customHeight="1" s="305">
      <c r="A1153" s="67" t="inlineStr">
        <is>
          <t>modifyOrder.height</t>
        </is>
      </c>
      <c r="B1153" s="67" t="inlineStr">
        <is>
          <t>Cao</t>
        </is>
      </c>
      <c r="C1153" s="67" t="inlineStr">
        <is>
          <t>Height</t>
        </is>
      </c>
      <c r="D1153" s="3">
        <f>IFERROR(__xludf.DUMMYFUNCTION("GOOGLETRANSLATE(B1153,""vi"",""km"")"),"ខ្ពស់")</f>
        <v/>
      </c>
      <c r="E1153" s="3" t="inlineStr">
        <is>
          <t>កម្ពស់</t>
        </is>
      </c>
      <c r="F1153" s="217" t="inlineStr">
        <is>
          <t>v</t>
        </is>
      </c>
      <c r="G1153" s="217" t="inlineStr">
        <is>
          <t>កម្ពស់</t>
        </is>
      </c>
      <c r="H1153" t="inlineStr">
        <is>
          <t>កម្ពស់</t>
        </is>
      </c>
      <c r="I1153" s="74" t="inlineStr">
        <is>
          <t>កម្ពស់</t>
        </is>
      </c>
      <c r="J1153" s="217" t="inlineStr">
        <is>
          <t>"modifyOrder.height": "Height",</t>
        </is>
      </c>
    </row>
    <row r="1154" ht="15.75" customHeight="1" s="305">
      <c r="A1154" s="67" t="inlineStr">
        <is>
          <t>modifyOrder.mainService</t>
        </is>
      </c>
      <c r="B1154" s="67" t="inlineStr">
        <is>
          <t>Dịch vụ chính</t>
        </is>
      </c>
      <c r="C1154" s="67" t="inlineStr">
        <is>
          <t>Main service</t>
        </is>
      </c>
      <c r="D1154" s="3">
        <f>IFERROR(__xludf.DUMMYFUNCTION("GOOGLETRANSLATE(B1154,""vi"",""km"")"),"សេវាកម្មសំខាន់ៗ")</f>
        <v/>
      </c>
      <c r="E1154" s="3" t="inlineStr">
        <is>
          <t>សេវាកម្មចម្បង</t>
        </is>
      </c>
      <c r="F1154" s="217" t="inlineStr">
        <is>
          <t>v</t>
        </is>
      </c>
      <c r="G1154" s="217" t="inlineStr">
        <is>
          <t>សេវាកម្មចម្បង</t>
        </is>
      </c>
      <c r="H1154" t="inlineStr">
        <is>
          <t>សេវាកម្មចម្បង</t>
        </is>
      </c>
      <c r="I1154" s="84" t="inlineStr">
        <is>
          <t>សេវាកម្មចម្បង</t>
        </is>
      </c>
      <c r="J1154" s="217" t="inlineStr">
        <is>
          <t>"modifyOrder.mainService": "Main service",</t>
        </is>
      </c>
    </row>
    <row r="1155" ht="15.75" customHeight="1" s="305">
      <c r="A1155" s="67" t="inlineStr">
        <is>
          <t>modifyOrder.calculatorPricing</t>
        </is>
      </c>
      <c r="B1155" s="67" t="inlineStr">
        <is>
          <t>Khối lượng tính cước</t>
        </is>
      </c>
      <c r="C1155" s="67" t="inlineStr">
        <is>
          <t>Chargeable weight</t>
        </is>
      </c>
      <c r="D1155" s="3">
        <f>IFERROR(__xludf.DUMMYFUNCTION("GOOGLETRANSLATE(B1155,""vi"",""km"")"),"ទម្ងន់ដែលអាចគិតថ្លៃបាន")</f>
        <v/>
      </c>
      <c r="E1155" s="3" t="inlineStr">
        <is>
          <t>ទម្ងន់គិតសេវា</t>
        </is>
      </c>
      <c r="F1155" s="217" t="inlineStr">
        <is>
          <t>v</t>
        </is>
      </c>
      <c r="G1155" s="217" t="inlineStr">
        <is>
          <t>ទម្ងន់គិតសេវា</t>
        </is>
      </c>
      <c r="H1155" t="inlineStr">
        <is>
          <t>ទម្ងន់គិតសេវា</t>
        </is>
      </c>
      <c r="I1155" s="74" t="inlineStr">
        <is>
          <t>ទំងន់ដែលអាចសាកបាន។</t>
        </is>
      </c>
      <c r="J1155" s="217" t="inlineStr">
        <is>
          <t>"modifyOrder.calculatorPricing": "Chargeable weight",</t>
        </is>
      </c>
    </row>
    <row r="1156" ht="15.75" customHeight="1" s="305">
      <c r="A1156" s="67" t="inlineStr">
        <is>
          <t>modifyOrder.calculatorWeight</t>
        </is>
      </c>
      <c r="B1156" s="67" t="inlineStr">
        <is>
          <t>Quy đổi (g)</t>
        </is>
      </c>
      <c r="C1156" s="67" t="inlineStr">
        <is>
          <t>Converted (g)</t>
        </is>
      </c>
      <c r="D1156" s="3">
        <f>IFERROR(__xludf.DUMMYFUNCTION("GOOGLETRANSLATE(B1156,""vi"",""km"")"),"ការបម្លែង (ក្រាម)")</f>
        <v/>
      </c>
      <c r="E1156" s="3" t="inlineStr">
        <is>
          <t>បម្លាស់ប្តូរ (ក្រាម)</t>
        </is>
      </c>
      <c r="F1156" s="217" t="inlineStr">
        <is>
          <t>v</t>
        </is>
      </c>
      <c r="G1156" s="217" t="inlineStr">
        <is>
          <t>បម្លាស់ប្តូរ (ក្រាម)</t>
        </is>
      </c>
      <c r="H1156" t="inlineStr">
        <is>
          <t>បម្លាស់ប្តូរ (ក្រាម)</t>
        </is>
      </c>
      <c r="I1156" s="84" t="inlineStr">
        <is>
          <t>បំប្លែង (g)</t>
        </is>
      </c>
      <c r="J1156" s="217" t="inlineStr">
        <is>
          <t>"modifyOrder.calculatorWeight": "Converted (g)",</t>
        </is>
      </c>
    </row>
    <row r="1157" ht="15.75" customHeight="1" s="305">
      <c r="A1157" s="67" t="inlineStr">
        <is>
          <t>modifyOrder.moneyCollection</t>
        </is>
      </c>
      <c r="B1157" s="67" t="inlineStr">
        <is>
          <t>Tiền thu hộ COD ({{money_unit}})</t>
        </is>
      </c>
      <c r="C1157" s="67" t="inlineStr">
        <is>
          <t>COD ({{money_unit}})</t>
        </is>
      </c>
      <c r="D1157" s="3">
        <f>IFERROR(__xludf.DUMMYFUNCTION("GOOGLETRANSLATE(B1157,""vi"",""km"")"),"ការទូទាត់ប្រាក់សុទ្ធពេលទទួលទំនិញ (COD) ({{money_unit}})")</f>
        <v/>
      </c>
      <c r="E1157" s="67" t="inlineStr">
        <is>
          <t>ប្រាក់ប្រមូលជំនួស COD ({{money_unit}})</t>
        </is>
      </c>
      <c r="F1157" s="217" t="inlineStr">
        <is>
          <t>v</t>
        </is>
      </c>
      <c r="G1157" s="217" t="inlineStr">
        <is>
          <t>ប្រាក់ប្រមូលជំនួស COD ({{money_unit}})</t>
        </is>
      </c>
      <c r="H1157" t="inlineStr">
        <is>
          <t>ប្រាក់ប្រមូលជំនួស COD ({{money_unit}})</t>
        </is>
      </c>
      <c r="I1157" s="74" t="inlineStr">
        <is>
          <t>COD ({{money_unit}})</t>
        </is>
      </c>
      <c r="J1157" s="217" t="inlineStr">
        <is>
          <t>"modifyOrder.moneyCollection": "COD ({{money_unit}})",</t>
        </is>
      </c>
    </row>
    <row r="1158" ht="15.75" customHeight="1" s="305">
      <c r="A1158" s="67" t="inlineStr">
        <is>
          <t>modifyOrder.codInParcel</t>
        </is>
      </c>
      <c r="B1158" s="67" t="inlineStr">
        <is>
          <t>Thu hộ bằng tiền hàng</t>
        </is>
      </c>
      <c r="C1158" s="67" t="inlineStr">
        <is>
          <t>Cash on Delivery</t>
        </is>
      </c>
      <c r="D1158" s="3">
        <f>IFERROR(__xludf.DUMMYFUNCTION("GOOGLETRANSLATE(B1158,""vi"",""km"")"),"ប្រមូលការទូទាត់ជាសាច់ប្រាក់ពីទំនិញ។")</f>
        <v/>
      </c>
      <c r="E1158" s="3" t="inlineStr">
        <is>
          <t>ប្រមូលជំនួសស្មើតម្លៃអីវ៉ាន់</t>
        </is>
      </c>
      <c r="F1158" s="217" t="inlineStr">
        <is>
          <t>x</t>
        </is>
      </c>
      <c r="G1158" s="217" t="inlineStr">
        <is>
          <t>ប្រមូលជំនួសស្មើតម្លៃអីវ៉ាន់</t>
        </is>
      </c>
      <c r="H1158" t="inlineStr">
        <is>
          <t>ប្រមូលជំនួសស្មើតម្លៃអីវ៉ាន់</t>
        </is>
      </c>
      <c r="I1158" s="74" t="inlineStr">
        <is>
          <t>សាច់ប្រាក់លើការដឹកជញ្ជូន</t>
        </is>
      </c>
      <c r="J1158" s="217" t="inlineStr">
        <is>
          <t>"modifyOrder.codInParcel": "Cash on Delivery",</t>
        </is>
      </c>
    </row>
    <row r="1159" ht="15.75" customHeight="1" s="305">
      <c r="A1159" s="67" t="inlineStr">
        <is>
          <t>modifyOrder.moneyCollectionPlaceholder</t>
        </is>
      </c>
      <c r="B1159" s="67" t="inlineStr">
        <is>
          <t>Nhập tiền thu hộ</t>
        </is>
      </c>
      <c r="C1159" s="67" t="inlineStr">
        <is>
          <t>Enter COD</t>
        </is>
      </c>
      <c r="D1159" s="3">
        <f>IFERROR(__xludf.DUMMYFUNCTION("GOOGLETRANSLATE(B1159,""vi"",""km"")"),"បញ្ចូលការទូទាត់ដែលប្រមូលបាន")</f>
        <v/>
      </c>
      <c r="E1159" s="3" t="inlineStr">
        <is>
          <t>បញ្ចូលសាច់ប្រាក់ប្រមូលជំនួស</t>
        </is>
      </c>
      <c r="F1159" s="217" t="inlineStr">
        <is>
          <t>v</t>
        </is>
      </c>
      <c r="G1159" s="217" t="inlineStr">
        <is>
          <t>បញ្ចូលសាច់ប្រាក់ប្រមូលជំនួស</t>
        </is>
      </c>
      <c r="H1159" t="inlineStr">
        <is>
          <t>បញ្ចូលសាច់ប្រាក់ប្រមូលជំនួស</t>
        </is>
      </c>
      <c r="I1159" s="84" t="inlineStr">
        <is>
          <t>បញ្ចូល COD</t>
        </is>
      </c>
      <c r="J1159" s="217" t="inlineStr">
        <is>
          <t>"modifyOrder.moneyCollectionPlaceholder": "Enter COD",</t>
        </is>
      </c>
    </row>
    <row r="1160" ht="15.75" customHeight="1" s="305">
      <c r="A1160" s="67" t="inlineStr">
        <is>
          <t>modifyOrder.seller</t>
        </is>
      </c>
      <c r="B1160" s="67" t="inlineStr">
        <is>
          <t>Người gửi</t>
        </is>
      </c>
      <c r="C1160" s="67" t="inlineStr">
        <is>
          <t>Sender</t>
        </is>
      </c>
      <c r="D1160" s="3">
        <f>IFERROR(__xludf.DUMMYFUNCTION("GOOGLETRANSLATE(B1160,""vi"",""km"")"),"អ្នកផ្ញើ")</f>
        <v/>
      </c>
      <c r="E1160" s="3" t="inlineStr">
        <is>
          <t>អ្នកផ្ញើ្ញ</t>
        </is>
      </c>
      <c r="F1160" s="217" t="inlineStr">
        <is>
          <t>v</t>
        </is>
      </c>
      <c r="G1160" s="217" t="inlineStr">
        <is>
          <t>អ្នកផ្ញើ</t>
        </is>
      </c>
      <c r="H1160" t="inlineStr">
        <is>
          <t>អ្នកផ្ញើ</t>
        </is>
      </c>
      <c r="I1160" s="74" t="inlineStr">
        <is>
          <t>អ្នកផ្ញើ</t>
        </is>
      </c>
      <c r="J1160" s="217" t="inlineStr">
        <is>
          <t>"modifyOrder.seller": "Sender",</t>
        </is>
      </c>
    </row>
    <row r="1161" ht="15.75" customHeight="1" s="305">
      <c r="A1161" s="67" t="inlineStr">
        <is>
          <t>modifyOrder.payerType</t>
        </is>
      </c>
      <c r="B1161" s="67" t="inlineStr">
        <is>
          <t>Người trả cước</t>
        </is>
      </c>
      <c r="C1161" s="67" t="inlineStr">
        <is>
          <t xml:space="preserve">Payer </t>
        </is>
      </c>
      <c r="D1161" s="3">
        <f>IFERROR(__xludf.DUMMYFUNCTION("GOOGLETRANSLATE(B1161,""vi"",""km"")"),"អ្នកបង់ប្រាក់")</f>
        <v/>
      </c>
      <c r="E1161" s="3" t="inlineStr">
        <is>
          <t>អ្នកបង់សេវា</t>
        </is>
      </c>
      <c r="F1161" s="217" t="inlineStr">
        <is>
          <t>v</t>
        </is>
      </c>
      <c r="G1161" s="217" t="inlineStr">
        <is>
          <t>អ្នកបង់សេវា</t>
        </is>
      </c>
      <c r="H1161" t="inlineStr">
        <is>
          <t>អ្នកបង់សេវា</t>
        </is>
      </c>
      <c r="I1161" s="84" t="inlineStr">
        <is>
          <t>អ្នកបង់ប្រាក់</t>
        </is>
      </c>
      <c r="J1161" s="217" t="inlineStr">
        <is>
          <t>"modifyOrder.payerType": "Payer ",</t>
        </is>
      </c>
    </row>
    <row r="1162" ht="15.75" customHeight="1" s="305">
      <c r="A1162" s="67" t="inlineStr">
        <is>
          <t>modifyOrder.paymentType</t>
        </is>
      </c>
      <c r="B1162" s="67" t="inlineStr">
        <is>
          <t>Loại thanh toán</t>
        </is>
      </c>
      <c r="C1162" s="67" t="inlineStr">
        <is>
          <t>Payment categories</t>
        </is>
      </c>
      <c r="D1162" s="3">
        <f>IFERROR(__xludf.DUMMYFUNCTION("GOOGLETRANSLATE(B1162,""vi"",""km"")"),"ប្រភេទនៃការបង់ប្រាក់")</f>
        <v/>
      </c>
      <c r="E1162" s="3" t="inlineStr">
        <is>
          <t>ប្រភេទទូទាត់</t>
        </is>
      </c>
      <c r="F1162" s="217" t="inlineStr">
        <is>
          <t>v</t>
        </is>
      </c>
      <c r="G1162" s="217" t="inlineStr">
        <is>
          <t>ប្រភេទទូទាត់</t>
        </is>
      </c>
      <c r="H1162" t="inlineStr">
        <is>
          <t>ប្រភេទទូទាត់</t>
        </is>
      </c>
      <c r="I1162" s="74" t="inlineStr">
        <is>
          <t>ប្រភេទការទូទាត់</t>
        </is>
      </c>
      <c r="J1162" s="217" t="inlineStr">
        <is>
          <t>"modifyOrder.paymentType": "Payment categories",</t>
        </is>
      </c>
    </row>
    <row r="1163" ht="15.75" customHeight="1" s="305">
      <c r="A1163" s="67" t="inlineStr">
        <is>
          <t>modifyOrder.cash</t>
        </is>
      </c>
      <c r="B1163" s="67" t="inlineStr">
        <is>
          <t>Thanh toán ngay</t>
        </is>
      </c>
      <c r="C1163" s="67" t="inlineStr">
        <is>
          <t>Cash</t>
        </is>
      </c>
      <c r="D1163" s="3">
        <f>IFERROR(__xludf.DUMMYFUNCTION("GOOGLETRANSLATE(B1163,""vi"",""km"")"),"បង់ប្រាក់ឥឡូវនេះ")</f>
        <v/>
      </c>
      <c r="E1163" s="3" t="inlineStr">
        <is>
          <t>ទូទាត់ភ្លាមៗ</t>
        </is>
      </c>
      <c r="F1163" s="217" t="inlineStr">
        <is>
          <t>v</t>
        </is>
      </c>
      <c r="G1163" s="217" t="inlineStr">
        <is>
          <t>ទូទាត់ភ្លាមៗ</t>
        </is>
      </c>
      <c r="H1163" t="inlineStr">
        <is>
          <t>ទូទាត់ភ្លាមៗ</t>
        </is>
      </c>
      <c r="I1163" s="74" t="inlineStr">
        <is>
          <t>សាច់ប្រាក់</t>
        </is>
      </c>
      <c r="J1163" s="217" t="inlineStr">
        <is>
          <t>"modifyOrder.cash": "Cash",</t>
        </is>
      </c>
    </row>
    <row r="1164" ht="15.75" customHeight="1" s="305">
      <c r="A1164" s="67" t="inlineStr">
        <is>
          <t>modifyOrder.contract</t>
        </is>
      </c>
      <c r="B1164" s="67" t="inlineStr">
        <is>
          <t>Thanh toán theo hợp đồng</t>
        </is>
      </c>
      <c r="C1164" s="67" t="inlineStr">
        <is>
          <t>Pay by Contract Details</t>
        </is>
      </c>
      <c r="D1164" s="3">
        <f>IFERROR(__xludf.DUMMYFUNCTION("GOOGLETRANSLATE(B1164,""vi"",""km"")"),"ការទូទាត់តាមកិច្ចសន្យា")</f>
        <v/>
      </c>
      <c r="E1164" s="3" t="inlineStr">
        <is>
          <t>ទូទាត់តាមកិច្ចសន្យា</t>
        </is>
      </c>
      <c r="F1164" s="217" t="inlineStr">
        <is>
          <t>v</t>
        </is>
      </c>
      <c r="G1164" s="217" t="inlineStr">
        <is>
          <t>ទូទាត់តាមកិច្ចសន្យា</t>
        </is>
      </c>
      <c r="H1164" t="inlineStr">
        <is>
          <t>ទូទាត់តាមកិច្ចសន្យា</t>
        </is>
      </c>
      <c r="I1164" s="74" t="inlineStr">
        <is>
          <t>បង់ដោយព័ត៌មានលម្អិតនៃកិច្ចសន្យា</t>
        </is>
      </c>
      <c r="J1164" s="217" t="inlineStr">
        <is>
          <t>"modifyOrder.contract": "Pay by Contract Details",</t>
        </is>
      </c>
    </row>
    <row r="1165" ht="15.75" customHeight="1" s="305">
      <c r="A1165" s="67" t="inlineStr">
        <is>
          <t>modifyOrder.parcelDescription</t>
        </is>
      </c>
      <c r="B1165" s="67" t="inlineStr">
        <is>
          <t>Ghi chú</t>
        </is>
      </c>
      <c r="C1165" s="67" t="inlineStr">
        <is>
          <t>Note</t>
        </is>
      </c>
      <c r="D1165" s="3">
        <f>IFERROR(__xludf.DUMMYFUNCTION("GOOGLETRANSLATE(B1165,""vi"",""km"")"),"កំណត់ចំណាំ")</f>
        <v/>
      </c>
      <c r="E1165" s="3" t="inlineStr">
        <is>
          <t>កំណត់ចំណាំ</t>
        </is>
      </c>
      <c r="F1165" s="217" t="inlineStr">
        <is>
          <t>v</t>
        </is>
      </c>
      <c r="G1165" s="217" t="inlineStr">
        <is>
          <t>ចំណាំ</t>
        </is>
      </c>
      <c r="H1165" t="inlineStr">
        <is>
          <t>ចំណាំ</t>
        </is>
      </c>
      <c r="I1165" s="84" t="inlineStr">
        <is>
          <t>ចំណាំ</t>
        </is>
      </c>
      <c r="J1165" s="217" t="inlineStr">
        <is>
          <t>"modifyOrder.parcelDescription": "Note",</t>
        </is>
      </c>
    </row>
    <row r="1166" ht="15.75" customHeight="1" s="305">
      <c r="A1166" s="67" t="inlineStr">
        <is>
          <t>modifyOrder.parcelDescriptionPlaceholder</t>
        </is>
      </c>
      <c r="B1166" s="67" t="inlineStr">
        <is>
          <t>Nhập ghi chú</t>
        </is>
      </c>
      <c r="C1166" s="67" t="inlineStr">
        <is>
          <t>Enter note</t>
        </is>
      </c>
      <c r="D1166" s="3">
        <f>IFERROR(__xludf.DUMMYFUNCTION("GOOGLETRANSLATE(B1166,""vi"",""km"")"),"បញ្ចូលកំណត់ចំណាំ")</f>
        <v/>
      </c>
      <c r="E1166" s="3" t="inlineStr">
        <is>
          <t>បញ្ចូលការកំណត់ចំណាំ</t>
        </is>
      </c>
      <c r="F1166" s="217" t="inlineStr">
        <is>
          <t>v</t>
        </is>
      </c>
      <c r="G1166" s="217" t="inlineStr">
        <is>
          <t>បញ្ចូលការកំណត់ចំណាំ</t>
        </is>
      </c>
      <c r="H1166" t="inlineStr">
        <is>
          <t>បញ្ចូលការកំណត់ចំណាំ</t>
        </is>
      </c>
      <c r="I1166" s="103" t="inlineStr">
        <is>
          <t>បញ្ចូលចំណាំ</t>
        </is>
      </c>
      <c r="J1166" s="217" t="inlineStr">
        <is>
          <t>"modifyOrder.parcelDescriptionPlaceholder": "Enter note",</t>
        </is>
      </c>
    </row>
    <row r="1167" ht="15.75" customHeight="1" s="305">
      <c r="A1167" s="67" t="inlineStr">
        <is>
          <t>modifyOrder.services</t>
        </is>
      </c>
      <c r="B1167" s="67" t="inlineStr">
        <is>
          <t>Dịch vụ</t>
        </is>
      </c>
      <c r="C1167" s="67" t="inlineStr">
        <is>
          <t>Service</t>
        </is>
      </c>
      <c r="D1167" s="3">
        <f>IFERROR(__xludf.DUMMYFUNCTION("GOOGLETRANSLATE(B1167,""vi"",""km"")"),"សេវាកម្ម")</f>
        <v/>
      </c>
      <c r="E1167" s="3" t="inlineStr">
        <is>
          <t>សេវាកម្ម</t>
        </is>
      </c>
      <c r="F1167" s="217" t="inlineStr">
        <is>
          <t>v</t>
        </is>
      </c>
      <c r="G1167" s="217" t="inlineStr">
        <is>
          <t>សេវាកម្ម</t>
        </is>
      </c>
      <c r="H1167" t="inlineStr">
        <is>
          <t>សេវាកម្ម</t>
        </is>
      </c>
      <c r="I1167" s="74" t="inlineStr">
        <is>
          <t>សេវាកម្ម</t>
        </is>
      </c>
      <c r="J1167" s="217" t="inlineStr">
        <is>
          <t>"modifyOrder.services": "Service",</t>
        </is>
      </c>
    </row>
    <row r="1168" ht="15.75" customHeight="1" s="305">
      <c r="A1168" s="67" t="inlineStr">
        <is>
          <t>modifyOrder.shippingFee</t>
        </is>
      </c>
      <c r="B1168" s="67" t="inlineStr">
        <is>
          <t>Cước phí</t>
        </is>
      </c>
      <c r="C1168" s="67" t="inlineStr">
        <is>
          <t>Shipping fee</t>
        </is>
      </c>
      <c r="D1168" s="3">
        <f>IFERROR(__xludf.DUMMYFUNCTION("GOOGLETRANSLATE(B1168,""vi"",""km"")"),"ថ្លៃដឹកជញ្ជូន")</f>
        <v/>
      </c>
      <c r="E1168" s="3" t="inlineStr">
        <is>
          <t>ថ្លៃសេវាដឹកជញ្ជូន</t>
        </is>
      </c>
      <c r="F1168" s="217" t="inlineStr">
        <is>
          <t>v</t>
        </is>
      </c>
      <c r="G1168" s="217" t="inlineStr">
        <is>
          <t>ថ្លៃដឹកជញ្ជូន</t>
        </is>
      </c>
      <c r="H1168" t="inlineStr">
        <is>
          <t>ថ្លៃដឹកជញ្ជូន</t>
        </is>
      </c>
      <c r="I1168" s="74" t="inlineStr">
        <is>
          <t>ថ្លៃដឹកជញ្ជូន</t>
        </is>
      </c>
      <c r="J1168" s="217" t="inlineStr">
        <is>
          <t>"modifyOrder.shippingFee": "Shipping fee",</t>
        </is>
      </c>
    </row>
    <row r="1169" ht="15.75" customHeight="1" s="305">
      <c r="A1169" s="67" t="inlineStr">
        <is>
          <t>modifyOrder.surchargeType</t>
        </is>
      </c>
      <c r="B1169" s="67" t="inlineStr">
        <is>
          <t>Loại phụ phí</t>
        </is>
      </c>
      <c r="C1169" s="67" t="inlineStr">
        <is>
          <t>Surcharge categories</t>
        </is>
      </c>
      <c r="D1169" s="3">
        <f>IFERROR(__xludf.DUMMYFUNCTION("GOOGLETRANSLATE(B1169,""vi"",""km"")"),"ប្រភេទនៃការគិតថ្លៃបន្ថែម")</f>
        <v/>
      </c>
      <c r="E1169" s="3" t="inlineStr">
        <is>
          <t>ប្រភេទសេវាផ្សេងៗ</t>
        </is>
      </c>
      <c r="F1169" s="217" t="inlineStr">
        <is>
          <t>x</t>
        </is>
      </c>
      <c r="G1169" s="217" t="inlineStr">
        <is>
          <t>ប្រភេទសេវាផ្សេងៗ</t>
        </is>
      </c>
      <c r="H1169" t="inlineStr">
        <is>
          <t>ប្រភេទសេវាផ្សេងៗ</t>
        </is>
      </c>
      <c r="I1169" s="74" t="inlineStr">
        <is>
          <t>ប្រភេទបន្ថែម</t>
        </is>
      </c>
      <c r="J1169" s="217" t="inlineStr">
        <is>
          <t>"modifyOrder.surchargeType": "Surcharge categories",</t>
        </is>
      </c>
    </row>
    <row r="1170" ht="15.75" customHeight="1" s="305">
      <c r="A1170" s="67" t="inlineStr">
        <is>
          <t>modifyOrder.surcharge</t>
        </is>
      </c>
      <c r="B1170" s="67" t="inlineStr">
        <is>
          <t>Phụ phí</t>
        </is>
      </c>
      <c r="C1170" s="67" t="inlineStr">
        <is>
          <t>Surcharge</t>
        </is>
      </c>
      <c r="D1170" s="3">
        <f>IFERROR(__xludf.DUMMYFUNCTION("GOOGLETRANSLATE(B1170,""vi"",""km"")"),"ការគិតថ្លៃបន្ថែម")</f>
        <v/>
      </c>
      <c r="E1170" s="3" t="inlineStr">
        <is>
          <t>សេវាផ្សេងៗ</t>
        </is>
      </c>
      <c r="F1170" s="217" t="inlineStr">
        <is>
          <t>x</t>
        </is>
      </c>
      <c r="G1170" s="217" t="inlineStr">
        <is>
          <t>ថ្លៃសេវាបន្ថែម</t>
        </is>
      </c>
      <c r="H1170" t="inlineStr">
        <is>
          <t>ថ្លៃសេវាបន្ថែម</t>
        </is>
      </c>
      <c r="I1170" s="74" t="inlineStr">
        <is>
          <t>ថ្លៃបន្ថែម</t>
        </is>
      </c>
      <c r="J1170" s="217" t="inlineStr">
        <is>
          <t>"modifyOrder.surcharge": "Surcharge",</t>
        </is>
      </c>
    </row>
    <row r="1171" ht="15.75" customHeight="1" s="305">
      <c r="A1171" s="67" t="inlineStr">
        <is>
          <t>modifyOrder.packaging</t>
        </is>
      </c>
      <c r="B1171" s="67" t="inlineStr">
        <is>
          <t>Phụ phí đóng gói</t>
        </is>
      </c>
      <c r="C1171" s="67" t="inlineStr">
        <is>
          <t>Packing charge</t>
        </is>
      </c>
      <c r="D1171" s="3">
        <f>IFERROR(__xludf.DUMMYFUNCTION("GOOGLETRANSLATE(B1171,""vi"",""km"")"),"ការគិតថ្លៃបន្ថែមលើការវេចខ្ចប់")</f>
        <v/>
      </c>
      <c r="E1171" s="3" t="inlineStr">
        <is>
          <t>សេវាពីការវេចខ្ចប់ផ្សេងៗ</t>
        </is>
      </c>
      <c r="F1171" s="217" t="inlineStr">
        <is>
          <t>x</t>
        </is>
      </c>
      <c r="G1171" s="217" t="inlineStr">
        <is>
          <t>សេវាពីការវេចខ្ចប់ផ្សេងៗ</t>
        </is>
      </c>
      <c r="H1171" t="inlineStr">
        <is>
          <t>សេវាពីការវេចខ្ចប់ផ្សេងៗ</t>
        </is>
      </c>
      <c r="I1171" s="74" t="inlineStr">
        <is>
          <t>ថ្លៃវេចខ្ចប់</t>
        </is>
      </c>
      <c r="J1171" s="217" t="inlineStr">
        <is>
          <t>"modifyOrder.packaging": "Packing charge",</t>
        </is>
      </c>
    </row>
    <row r="1172" ht="15.75" customHeight="1" s="305">
      <c r="A1172" s="67" t="inlineStr">
        <is>
          <t>modifyOrder.shipping</t>
        </is>
      </c>
      <c r="B1172" s="67" t="inlineStr">
        <is>
          <t>Phụ phí bốc xếp</t>
        </is>
      </c>
      <c r="C1172" s="67" t="inlineStr">
        <is>
          <t>Handling charge</t>
        </is>
      </c>
      <c r="D1172" s="3">
        <f>IFERROR(__xludf.DUMMYFUNCTION("GOOGLETRANSLATE(B1172,""vi"",""km"")"),"ការគិតថ្លៃបន្ថែមសម្រាប់ការផ្ទុក និង ការផ្ទុកទំនិញចេញ")</f>
        <v/>
      </c>
      <c r="E1172" s="3" t="inlineStr">
        <is>
          <t>សេវាលើកដាក់អីវ៉ាន់</t>
        </is>
      </c>
      <c r="F1172" s="217" t="inlineStr">
        <is>
          <t>x</t>
        </is>
      </c>
      <c r="G1172" s="217" t="inlineStr">
        <is>
          <t>សេវាលើកដាក់អីវ៉ាន់</t>
        </is>
      </c>
      <c r="H1172" t="inlineStr">
        <is>
          <t>សេវាលើកដាក់អីវ៉ាន់</t>
        </is>
      </c>
      <c r="I1172" s="74" t="inlineStr">
        <is>
          <t>បន្ទុកគ្រប់គ្រង</t>
        </is>
      </c>
      <c r="J1172" s="217" t="inlineStr">
        <is>
          <t>"modifyOrder.shipping": "Handling charge",</t>
        </is>
      </c>
    </row>
    <row r="1173" ht="15.75" customHeight="1" s="305">
      <c r="A1173" s="67" t="inlineStr">
        <is>
          <t>modifyOrder.materials</t>
        </is>
      </c>
      <c r="B1173" s="67" t="inlineStr">
        <is>
          <t>Phụ phí nguyên vật liệu</t>
        </is>
      </c>
      <c r="C1173" s="67" t="inlineStr">
        <is>
          <t>Materials charge</t>
        </is>
      </c>
      <c r="D1173" s="3">
        <f>IFERROR(__xludf.DUMMYFUNCTION("GOOGLETRANSLATE(B1173,""vi"",""km"")"),"ការគិតថ្លៃបន្ថែមលើសម្ភារៈ")</f>
        <v/>
      </c>
      <c r="E1173" s="3" t="inlineStr">
        <is>
          <t>សេវាវត្ថុធាតុដើម</t>
        </is>
      </c>
      <c r="F1173" s="217" t="inlineStr">
        <is>
          <t>x</t>
        </is>
      </c>
      <c r="G1173" s="217" t="inlineStr">
        <is>
          <t>សេវាវត្ថុធាតុដើម</t>
        </is>
      </c>
      <c r="H1173" t="inlineStr">
        <is>
          <t>សេវាវត្ថុធាតុដើម</t>
        </is>
      </c>
      <c r="I1173" s="74" t="inlineStr">
        <is>
          <t>ថ្លៃសម្ភារៈ</t>
        </is>
      </c>
      <c r="J1173" s="217" t="inlineStr">
        <is>
          <t>"modifyOrder.materials": "Materials charge",</t>
        </is>
      </c>
    </row>
    <row r="1174" ht="15.75" customHeight="1" s="305">
      <c r="A1174" s="67" t="inlineStr">
        <is>
          <t>modifyOrder.other</t>
        </is>
      </c>
      <c r="B1174" s="67" t="inlineStr">
        <is>
          <t>Phụ phí khác</t>
        </is>
      </c>
      <c r="C1174" s="67" t="inlineStr">
        <is>
          <t xml:space="preserve">Other </t>
        </is>
      </c>
      <c r="D1174" s="3">
        <f>IFERROR(__xludf.DUMMYFUNCTION("GOOGLETRANSLATE(B1174,""vi"",""km"")"),"ការគិតថ្លៃបន្ថែមផ្សេងទៀត")</f>
        <v/>
      </c>
      <c r="E1174" s="3" t="inlineStr">
        <is>
          <t>សេវាផ្សេងៗ</t>
        </is>
      </c>
      <c r="F1174" s="217" t="inlineStr">
        <is>
          <t>x</t>
        </is>
      </c>
      <c r="G1174" s="217" t="inlineStr">
        <is>
          <t>សេវាផ្សេងៗ</t>
        </is>
      </c>
      <c r="H1174" t="inlineStr">
        <is>
          <t>សេវាផ្សេងៗ</t>
        </is>
      </c>
      <c r="I1174" s="74" t="inlineStr">
        <is>
          <t>ផ្សេងៗ</t>
        </is>
      </c>
      <c r="J1174" s="217" t="inlineStr">
        <is>
          <t>"modifyOrder.other": "Other ",</t>
        </is>
      </c>
    </row>
    <row r="1175" ht="15.75" customHeight="1" s="305">
      <c r="A1175" s="67" t="inlineStr">
        <is>
          <t>modifyOrder.totalFee</t>
        </is>
      </c>
      <c r="B1175" s="67" t="inlineStr">
        <is>
          <t>Tổng cước</t>
        </is>
      </c>
      <c r="C1175" s="67" t="inlineStr">
        <is>
          <t>Total fee</t>
        </is>
      </c>
      <c r="D1175" s="3">
        <f>IFERROR(__xludf.DUMMYFUNCTION("GOOGLETRANSLATE(B1175,""vi"",""km"")"),"ការគិតថ្លៃសរុប")</f>
        <v/>
      </c>
      <c r="E1175" s="3" t="inlineStr">
        <is>
          <t>សរុប សេវា</t>
        </is>
      </c>
      <c r="F1175" s="217" t="inlineStr">
        <is>
          <t>x</t>
        </is>
      </c>
      <c r="G1175" s="217" t="inlineStr">
        <is>
          <t>ថ្លៃដឹកជញ្ជូនសរុប</t>
        </is>
      </c>
      <c r="H1175" t="inlineStr">
        <is>
          <t>ថ្លៃដឹកជញ្ជូនសរុប</t>
        </is>
      </c>
      <c r="I1175" s="74" t="inlineStr">
        <is>
          <t>ថ្លៃសរុប</t>
        </is>
      </c>
      <c r="J1175" s="217" t="inlineStr">
        <is>
          <t>"modifyOrder.totalFee": "Total fee",</t>
        </is>
      </c>
    </row>
    <row r="1176" ht="15.75" customHeight="1" s="305">
      <c r="A1176" s="67" t="inlineStr">
        <is>
          <t>modifyOrder.moneyCollectionFooter</t>
        </is>
      </c>
      <c r="B1176" s="67" t="inlineStr">
        <is>
          <t>Tiền thu hộ</t>
        </is>
      </c>
      <c r="C1176" s="67" t="inlineStr">
        <is>
          <t>COD</t>
        </is>
      </c>
      <c r="D1176" s="3">
        <f>IFERROR(__xludf.DUMMYFUNCTION("GOOGLETRANSLATE(B1176,""vi"",""km"")"),"ប្រាក់ដែលប្រមូលបានក្នុងនាមអ្នកដទៃ")</f>
        <v/>
      </c>
      <c r="E1176" s="3" t="inlineStr">
        <is>
          <t>ប្រាក់ប្រមូូលជំនួស</t>
        </is>
      </c>
      <c r="F1176" s="217" t="inlineStr">
        <is>
          <t>v</t>
        </is>
      </c>
      <c r="G1176" s="217" t="inlineStr">
        <is>
          <t>ប្រាក់ប្រមូលជំនួស (COD)</t>
        </is>
      </c>
      <c r="H1176" t="inlineStr">
        <is>
          <t>ប្រាក់ប្រមូលជំនួស (COD)</t>
        </is>
      </c>
      <c r="I1176" s="74" t="inlineStr">
        <is>
          <t>COD</t>
        </is>
      </c>
      <c r="J1176" s="217" t="inlineStr">
        <is>
          <t>"modifyOrder.moneyCollectionFooter": "COD",</t>
        </is>
      </c>
    </row>
    <row r="1177" ht="15.75" customHeight="1" s="305">
      <c r="A1177" s="67" t="inlineStr">
        <is>
          <t>modifyOrder.collectionSender</t>
        </is>
      </c>
      <c r="B1177" s="67" t="inlineStr">
        <is>
          <t>Tiền thu người gửi</t>
        </is>
      </c>
      <c r="C1177" s="67" t="inlineStr">
        <is>
          <t>Sender's charges</t>
        </is>
      </c>
      <c r="D1177" s="3">
        <f>IFERROR(__xludf.DUMMYFUNCTION("GOOGLETRANSLATE(B1177,""vi"",""km"")"),"ប្រាក់ដែលប្រមូលបានពីអ្នកដាក់ប្រាក់")</f>
        <v/>
      </c>
      <c r="E1177" s="3" t="inlineStr">
        <is>
          <t>ប្រាក់ប្រមូលបានពីអ្នកផ្ញើ</t>
        </is>
      </c>
      <c r="F1177" s="217" t="inlineStr">
        <is>
          <t>v</t>
        </is>
      </c>
      <c r="G1177" s="217" t="inlineStr">
        <is>
          <t>ប្រាក់ប្រមូលបានពីអ្នកផ្ញើ</t>
        </is>
      </c>
      <c r="H1177" t="inlineStr">
        <is>
          <t>ប្រាក់ប្រមូលបានពីអ្នកផ្ញើ</t>
        </is>
      </c>
      <c r="I1177" s="74" t="inlineStr">
        <is>
          <t>ការគិតថ្លៃពីអ្នកផ្ញើ</t>
        </is>
      </c>
      <c r="J1177" s="217" t="inlineStr">
        <is>
          <t>"modifyOrder.collectionSender": "Sender's charges",</t>
        </is>
      </c>
    </row>
    <row r="1178" ht="15.75" customHeight="1" s="305">
      <c r="A1178" s="67" t="inlineStr">
        <is>
          <t>modifyOrder.appointment</t>
        </is>
      </c>
      <c r="B1178" s="67" t="inlineStr">
        <is>
          <t>Thời gian dự kiến</t>
        </is>
      </c>
      <c r="C1178" s="67" t="inlineStr">
        <is>
          <t>Expected time</t>
        </is>
      </c>
      <c r="D1178" s="3">
        <f>IFERROR(__xludf.DUMMYFUNCTION("GOOGLETRANSLATE(B1178,""vi"",""km"")"),"ពេលវេលាប៉ាន់ស្មាន")</f>
        <v/>
      </c>
      <c r="E1178" s="217" t="inlineStr">
        <is>
          <t>ពេលវេលាគ្រោងទុក</t>
        </is>
      </c>
      <c r="F1178" s="217" t="inlineStr">
        <is>
          <t>v</t>
        </is>
      </c>
      <c r="G1178" s="217" t="inlineStr">
        <is>
          <t>ពេលវេលាគ្រោងទុក</t>
        </is>
      </c>
      <c r="H1178" t="inlineStr">
        <is>
          <t>ពេលវេលាគ្រោងទុក</t>
        </is>
      </c>
      <c r="I1178" s="74" t="inlineStr">
        <is>
          <t>ពេលវេលារំពឹងទុក</t>
        </is>
      </c>
      <c r="J1178" s="217" t="inlineStr">
        <is>
          <t>"modifyOrder.appointment": "Expected time",</t>
        </is>
      </c>
    </row>
    <row r="1179" ht="15.75" customHeight="1" s="305">
      <c r="A1179" s="67" t="inlineStr">
        <is>
          <t>modifyOrder.refresh</t>
        </is>
      </c>
      <c r="B1179" s="67" t="inlineStr">
        <is>
          <t>Làm mới</t>
        </is>
      </c>
      <c r="C1179" s="67" t="inlineStr">
        <is>
          <t>Refresh</t>
        </is>
      </c>
      <c r="D1179" s="3">
        <f>IFERROR(__xludf.DUMMYFUNCTION("GOOGLETRANSLATE(B1179,""vi"",""km"")"),"ធ្វើឱ្យស្រស់ឡើងវិញ")</f>
        <v/>
      </c>
      <c r="E1179" s="3" t="inlineStr">
        <is>
          <t>បង្កើតថ្មី្ម</t>
        </is>
      </c>
      <c r="F1179" s="217" t="inlineStr">
        <is>
          <t>v</t>
        </is>
      </c>
      <c r="G1179" s="217" t="inlineStr">
        <is>
          <t>ផ្ទុកឡើងវិញ</t>
        </is>
      </c>
      <c r="H1179" t="inlineStr">
        <is>
          <t>ផ្ទុកឡើងវិញ</t>
        </is>
      </c>
      <c r="I1179" s="74" t="inlineStr">
        <is>
          <t>ធ្វើឱ្យស្រស់</t>
        </is>
      </c>
      <c r="J1179" s="217" t="inlineStr">
        <is>
          <t>"modifyOrder.refresh": "Refresh",</t>
        </is>
      </c>
    </row>
    <row r="1180" ht="15.75" customHeight="1" s="305">
      <c r="A1180" s="67" t="inlineStr">
        <is>
          <t>modifyOrder.titleSubmit</t>
        </is>
      </c>
      <c r="B1180" s="67" t="inlineStr">
        <is>
          <t>Đồng chí có chắc chắn muốn tạo đơn hàng này?</t>
        </is>
      </c>
      <c r="C1180" s="67" t="inlineStr">
        <is>
          <t>Are you sure you want to create this order?</t>
        </is>
      </c>
      <c r="D1180" s="3">
        <f>IFERROR(__xludf.DUMMYFUNCTION("GOOGLETRANSLATE(B1180,""vi"",""km"")"),"តើអ្នកពិតជាចង់បង្កើតការបញ្ជាទិញនេះមែនទេ?")</f>
        <v/>
      </c>
      <c r="E1180" s="3" t="inlineStr">
        <is>
          <t>អ្នកពិតជាចង់ធ្វើបុងបញ្ញើរាល់ថ្ងៃមែនទេ?</t>
        </is>
      </c>
      <c r="F1180" s="217" t="inlineStr">
        <is>
          <t>v</t>
        </is>
      </c>
      <c r="G1180" s="217" t="inlineStr">
        <is>
          <t>អ្នកពិតជាចង់ធ្វើបុងបញ្ញើរាល់ថ្ងៃមែនទេ?</t>
        </is>
      </c>
      <c r="H1180" t="inlineStr">
        <is>
          <t>អ្នកពិតជាចង់ធ្វើបុងបញ្ញើរាល់ថ្ងៃមែនទេ?</t>
        </is>
      </c>
      <c r="I1180" s="74" t="inlineStr">
        <is>
          <t>តើអ្នកប្រាកដថាចង់បង្កើតការបញ្ជាទិញនេះទេ?</t>
        </is>
      </c>
      <c r="J1180" s="217" t="inlineStr">
        <is>
          <t>"modifyOrder.titleSubmit": "Are you sure you want to create this order?",</t>
        </is>
      </c>
    </row>
    <row r="1181" ht="15.75" customHeight="1" s="305">
      <c r="A1181" s="67" t="inlineStr">
        <is>
          <t>modifyOrder.titleRefresh</t>
        </is>
      </c>
      <c r="B1181" s="67" t="inlineStr">
        <is>
          <t>Quý khách có chắc chắn muốn tạo một đơn hàng khác?</t>
        </is>
      </c>
      <c r="C1181" s="67" t="inlineStr">
        <is>
          <t>Are you sure you want to create another order?</t>
        </is>
      </c>
      <c r="D1181" s="3">
        <f>IFERROR(__xludf.DUMMYFUNCTION("GOOGLETRANSLATE(B1181,""vi"",""km"")"),"តើអ្នកពិតជាចង់បង្កើតការបញ្ជាទិញមួយផ្សេងទៀតមែនទេ?")</f>
        <v/>
      </c>
      <c r="E1181" s="3" t="inlineStr">
        <is>
          <t>អតិថិជនពិតជាចង់បង្កើតបុងបញ្ញើ១ផ្សេងទៀតមែនទេ?</t>
        </is>
      </c>
      <c r="F1181" s="217" t="inlineStr">
        <is>
          <t>v</t>
        </is>
      </c>
      <c r="G1181" s="217" t="inlineStr">
        <is>
          <t>អតិថិជនពិតជាចង់បង្កើតបុងបញ្ញើ១ផ្សេងទៀតមែនទេ?</t>
        </is>
      </c>
      <c r="H1181" t="inlineStr">
        <is>
          <t>អតិថិជនពិតជាចង់បង្កើតបុងបញ្ញើ១ផ្សេងទៀតមែនទេ?</t>
        </is>
      </c>
      <c r="I1181" s="74" t="inlineStr">
        <is>
          <t>តើអ្នកប្រាកដថាចង់បង្កើតការបញ្ជាទិញផ្សេងទៀតទេ?</t>
        </is>
      </c>
      <c r="J1181" s="217" t="inlineStr">
        <is>
          <t>"modifyOrder.titleRefresh": "Are you sure you want to create another order?",</t>
        </is>
      </c>
    </row>
    <row r="1182" ht="15.75" customHeight="1" s="305">
      <c r="A1182" s="67" t="inlineStr">
        <is>
          <t>modifyOrder.note</t>
        </is>
      </c>
      <c r="B1182" s="67" t="inlineStr">
        <is>
          <t>*Lưu ý: Mọi dữ liệu hiện tại sẽ bị mất</t>
        </is>
      </c>
      <c r="C1182" s="67" t="inlineStr">
        <is>
          <t>*Note: Your current data will no longer exist</t>
        </is>
      </c>
      <c r="D1182" s="3">
        <f>IFERROR(__xludf.DUMMYFUNCTION("GOOGLETRANSLATE(B1182,""vi"",""km"")"),"*ចំណាំ៖ ទិន្នន័យបច្ចុប្បន្នទាំងអស់នឹងត្រូវបាត់បង់។")</f>
        <v/>
      </c>
      <c r="E1182" s="3" t="inlineStr">
        <is>
          <t>*ចំណាំ៖ រាល់ទិន្នន័យបច្ចុប្បន្ននឹងបាត់ទៅ</t>
        </is>
      </c>
      <c r="F1182" s="217" t="inlineStr">
        <is>
          <t>x</t>
        </is>
      </c>
      <c r="G1182" s="217" t="inlineStr">
        <is>
          <t>*ចំណាំ៖ រាល់ទិន្នន័យបច្ចុប្បន្ននឹងបាត់ទៅ</t>
        </is>
      </c>
      <c r="H1182" t="inlineStr">
        <is>
          <t>*ចំណាំ៖ រាល់ទិន្នន័យបច្ចុប្បន្ននឹងបាត់ទៅ</t>
        </is>
      </c>
      <c r="I1182" s="74" t="inlineStr">
        <is>
          <t>*ចំណាំ៖ ទិន្នន័យបច្ចុប្បន្នរបស់អ្នកនឹងលែងមានទៀតហើយ</t>
        </is>
      </c>
      <c r="J1182" s="217" t="inlineStr">
        <is>
          <t>"modifyOrder.note": "*Note: Your current data will no longer exist",</t>
        </is>
      </c>
    </row>
    <row r="1183" ht="15.75" customHeight="1" s="305">
      <c r="A1183" s="67" t="inlineStr">
        <is>
          <t>modifyOrder.createSuccess</t>
        </is>
      </c>
      <c r="B1183" s="67" t="inlineStr">
        <is>
          <t>Tạo đơn thành công!</t>
        </is>
      </c>
      <c r="C1183" s="67" t="inlineStr">
        <is>
          <t xml:space="preserve">Order created successfully </t>
        </is>
      </c>
      <c r="D1183" s="3">
        <f>IFERROR(__xludf.DUMMYFUNCTION("GOOGLETRANSLATE(B1183,""vi"",""km"")"),"ការបញ្ជាទិញត្រូវបានបង្កើតឡើងដោយជោគជ័យ!")</f>
        <v/>
      </c>
      <c r="E1183" s="3" t="inlineStr">
        <is>
          <t>បង្កើតបុងបញ្ញើបានជោគជ័យ!</t>
        </is>
      </c>
      <c r="F1183" s="217" t="inlineStr">
        <is>
          <t>v</t>
        </is>
      </c>
      <c r="G1183" s="217" t="inlineStr">
        <is>
          <t>បង្កើតបុងបញ្ញើបានជោគជ័យ!</t>
        </is>
      </c>
      <c r="H1183" t="inlineStr">
        <is>
          <t>បង្កើតបុងបញ្ញើបានជោគជ័យ!</t>
        </is>
      </c>
      <c r="I1183" s="74" t="inlineStr">
        <is>
          <t>ការបញ្ជាទិញត្រូវបានបង្កើតដោយជោគជ័យ</t>
        </is>
      </c>
      <c r="J1183" s="217" t="inlineStr">
        <is>
          <t>"modifyOrder.createSuccess": "Order created successfully ",</t>
        </is>
      </c>
    </row>
    <row r="1184" ht="15.75" customHeight="1" s="305">
      <c r="A1184" s="67" t="inlineStr">
        <is>
          <t>modifyOrder.successDescription</t>
        </is>
      </c>
      <c r="B1184" s="67" t="inlineStr">
        <is>
          <t>Tạo và gửi duyệt thành công đơn hàng</t>
        </is>
      </c>
      <c r="C1184" s="67" t="inlineStr">
        <is>
          <t>Order submitted successfully</t>
        </is>
      </c>
      <c r="D1184" s="3">
        <f>IFERROR(__xludf.DUMMYFUNCTION("GOOGLETRANSLATE(B1184,""vi"",""km"")"),"ការបញ្ជាទិញត្រូវបានបង្កើត និងដាក់ស្នើសម្រាប់ការអនុម័តដោយជោគជ័យ។")</f>
        <v/>
      </c>
      <c r="E1184" s="3" t="inlineStr">
        <is>
          <t>បង្កើ្កតនិងផ្ញើបញ្ញើបានជោគជ័យ</t>
        </is>
      </c>
      <c r="F1184" s="217" t="inlineStr">
        <is>
          <t>v</t>
        </is>
      </c>
      <c r="G1184" s="217" t="inlineStr">
        <is>
          <t>បង្កើ្កតនិងផ្ញើបញ្ញើបានជោគជ័យ</t>
        </is>
      </c>
      <c r="H1184" t="inlineStr">
        <is>
          <t>បង្កើ្កតនិងផ្ញើបញ្ញើបានជោគជ័យ</t>
        </is>
      </c>
      <c r="I1184" s="74" t="inlineStr">
        <is>
          <t>ការបញ្ជាទិញត្រូវបានបញ្ជូនដោយជោគជ័យ</t>
        </is>
      </c>
      <c r="J1184" s="217" t="inlineStr">
        <is>
          <t>"modifyOrder.successDescription": "Order submitted successfully",</t>
        </is>
      </c>
    </row>
    <row r="1185" ht="15.75" customHeight="1" s="305">
      <c r="A1185" s="67" t="inlineStr">
        <is>
          <t>modifyOrder.printOrder</t>
        </is>
      </c>
      <c r="B1185" s="67" t="inlineStr">
        <is>
          <t>Số liên cần in trên một đơn</t>
        </is>
      </c>
      <c r="C1185" s="67" t="inlineStr">
        <is>
          <t>Number of page required per order</t>
        </is>
      </c>
      <c r="D1185" s="3">
        <f>IFERROR(__xludf.DUMMYFUNCTION("GOOGLETRANSLATE(B1185,""vi"",""km"")"),"ចំនួនច្បាប់ចម្លងដែលត្រូវបោះពុម្ពលើទម្រង់បែបបទ។")</f>
        <v/>
      </c>
      <c r="E1185" s="3" t="inlineStr">
        <is>
          <t>ចំនួនច្បាប់ដែលត្រូវការព្រីនក្នុងមួយបុងបញ្ញើ</t>
        </is>
      </c>
      <c r="F1185" s="217" t="inlineStr">
        <is>
          <t>x</t>
        </is>
      </c>
      <c r="G1185" s="217" t="inlineStr">
        <is>
          <t>ចំនួនច្បាប់ដែលត្រូវការព្រីនក្នុងមួយបុងបញ្ញើ</t>
        </is>
      </c>
      <c r="H1185" t="inlineStr">
        <is>
          <t>ចំនួនច្បាប់ដែលត្រូវការព្រីនក្នុងមួយបុងបញ្ញើ</t>
        </is>
      </c>
      <c r="I1185" s="74" t="inlineStr">
        <is>
          <t>ចំនួនទំព័រដែលត្រូវការក្នុងការបញ្ជាទិញ</t>
        </is>
      </c>
      <c r="J1185" s="217" t="inlineStr">
        <is>
          <t>"modifyOrder.printOrder": "Number of page required per order",</t>
        </is>
      </c>
    </row>
    <row r="1186" ht="15.75" customHeight="1" s="305">
      <c r="A1186" s="67" t="inlineStr">
        <is>
          <t>modifyOrder.page1</t>
        </is>
      </c>
      <c r="B1186" s="67" t="inlineStr">
        <is>
          <t>1 liên</t>
        </is>
      </c>
      <c r="C1186" s="67" t="inlineStr">
        <is>
          <t>1 page</t>
        </is>
      </c>
      <c r="D1186" s="3">
        <f>IFERROR(__xludf.DUMMYFUNCTION("GOOGLETRANSLATE(B1186,""vi"",""km"")"),"តំណភ្ជាប់ចំនួន ១")</f>
        <v/>
      </c>
      <c r="E1186" s="3" t="inlineStr">
        <is>
          <t>1 ច្បាប់</t>
        </is>
      </c>
      <c r="F1186" s="217" t="inlineStr">
        <is>
          <t>x</t>
        </is>
      </c>
      <c r="G1186" s="217" t="inlineStr">
        <is>
          <t>1 ច្បាប់</t>
        </is>
      </c>
      <c r="H1186" t="inlineStr">
        <is>
          <t>1 ច្បាប់</t>
        </is>
      </c>
      <c r="I1186" s="74" t="inlineStr">
        <is>
          <t>1 ទំព័រ</t>
        </is>
      </c>
      <c r="J1186" s="217" t="inlineStr">
        <is>
          <t>"modifyOrder.page1": "1 page",</t>
        </is>
      </c>
    </row>
    <row r="1187" ht="15.75" customHeight="1" s="305">
      <c r="A1187" s="67" t="inlineStr">
        <is>
          <t>modifyOrder.page2</t>
        </is>
      </c>
      <c r="B1187" s="67" t="inlineStr">
        <is>
          <t>2 liên</t>
        </is>
      </c>
      <c r="C1187" s="67" t="inlineStr">
        <is>
          <t>2 pages</t>
        </is>
      </c>
      <c r="D1187" s="3">
        <f>IFERROR(__xludf.DUMMYFUNCTION("GOOGLETRANSLATE(B1187,""vi"",""km"")"),"ច្បាប់ចម្លងចំនួន ២ ច្បាប់")</f>
        <v/>
      </c>
      <c r="E1187" s="3" t="inlineStr">
        <is>
          <t>2  ច្បាប់</t>
        </is>
      </c>
      <c r="F1187" s="217" t="inlineStr">
        <is>
          <t>x</t>
        </is>
      </c>
      <c r="G1187" s="217" t="inlineStr">
        <is>
          <t>2 ច្បាប់</t>
        </is>
      </c>
      <c r="H1187" t="inlineStr">
        <is>
          <t>2 ច្បាប់</t>
        </is>
      </c>
      <c r="I1187" s="74" t="inlineStr">
        <is>
          <t>2 ទំព័រ</t>
        </is>
      </c>
      <c r="J1187" s="217" t="inlineStr">
        <is>
          <t>"modifyOrder.page2": "2 pages",</t>
        </is>
      </c>
    </row>
    <row r="1188" ht="15.75" customHeight="1" s="305">
      <c r="A1188" s="67" t="inlineStr">
        <is>
          <t>modifyOrder.titleAlternativePhones</t>
        </is>
      </c>
      <c r="B1188" s="67" t="inlineStr">
        <is>
          <t>Thêm số điện thoại phụ</t>
        </is>
      </c>
      <c r="C1188" s="67" t="inlineStr">
        <is>
          <t>Additional phone number</t>
        </is>
      </c>
      <c r="D1188" s="3">
        <f>IFERROR(__xludf.DUMMYFUNCTION("GOOGLETRANSLATE(B1188,""vi"",""km"")"),"បន្ថែមលេខទូរស័ព្ទបន្ទាប់បន្សំ")</f>
        <v/>
      </c>
      <c r="E1188" s="3" t="inlineStr">
        <is>
          <t>លេខទូរស័ព្ទបន្ថែម</t>
        </is>
      </c>
      <c r="F1188" s="217" t="inlineStr">
        <is>
          <t>v</t>
        </is>
      </c>
      <c r="G1188" s="217" t="inlineStr">
        <is>
          <t>លេខទូរស័ព្ទបន្ថែម</t>
        </is>
      </c>
      <c r="H1188" t="inlineStr">
        <is>
          <t>លេខទូរស័ព្ទបន្ថែម</t>
        </is>
      </c>
      <c r="I1188" s="74" t="inlineStr">
        <is>
          <t>លេខទូរស័ព្ទបន្ថែម</t>
        </is>
      </c>
      <c r="J1188" s="217" t="inlineStr">
        <is>
          <t>"modifyOrder.titleAlternativePhones": "Additional phone number",</t>
        </is>
      </c>
    </row>
    <row r="1189" ht="15.75" customHeight="1" s="305">
      <c r="A1189" s="67" t="inlineStr">
        <is>
          <t>modifyOrder.alternativePhones</t>
        </is>
      </c>
      <c r="B1189" s="67" t="inlineStr">
        <is>
          <t>Điện thoại phụ</t>
        </is>
      </c>
      <c r="C1189" s="67" t="inlineStr">
        <is>
          <t>Additional phone number</t>
        </is>
      </c>
      <c r="D1189" s="3">
        <f>IFERROR(__xludf.DUMMYFUNCTION("GOOGLETRANSLATE(B1189,""vi"",""km"")"),"ទូរស័ព្ទបន្ទាប់បន្សំ")</f>
        <v/>
      </c>
      <c r="E1189" s="3" t="inlineStr">
        <is>
          <t>លេខទូរស័ព្ទបន្ថែម</t>
        </is>
      </c>
      <c r="F1189" s="217" t="inlineStr">
        <is>
          <t>v</t>
        </is>
      </c>
      <c r="G1189" s="217" t="inlineStr">
        <is>
          <t>លេខទូរស័ព្ទបន្ថែម</t>
        </is>
      </c>
      <c r="H1189" t="inlineStr">
        <is>
          <t>លេខទូរស័ព្ទបន្ថែម</t>
        </is>
      </c>
      <c r="I1189" s="74" t="inlineStr">
        <is>
          <t>លេខទូរស័ព្ទបន្ថែម</t>
        </is>
      </c>
      <c r="J1189" s="217" t="inlineStr">
        <is>
          <t>"modifyOrder.alternativePhones": "Additional phone number",</t>
        </is>
      </c>
    </row>
    <row r="1190" ht="15.75" customHeight="1" s="305">
      <c r="A1190" s="67" t="inlineStr">
        <is>
          <t>modifyOrder.alternativePhonesPlaceholder</t>
        </is>
      </c>
      <c r="B1190" s="67" t="inlineStr">
        <is>
          <t>Nhập số điện thoại phụ</t>
        </is>
      </c>
      <c r="C1190" s="67" t="inlineStr">
        <is>
          <t>Enter additional phone number</t>
        </is>
      </c>
      <c r="D1190" s="3">
        <f>IFERROR(__xludf.DUMMYFUNCTION("GOOGLETRANSLATE(B1190,""vi"",""km"")"),"បញ្ចូលលេខទូរស័ព្ទបន្ទាប់បន្សំ")</f>
        <v/>
      </c>
      <c r="E1190" s="3" t="inlineStr">
        <is>
          <t>បញ្ចូលលេខទូូរស័ព្ទបន្ថែម</t>
        </is>
      </c>
      <c r="F1190" s="217" t="inlineStr">
        <is>
          <t>v</t>
        </is>
      </c>
      <c r="G1190" s="217" t="inlineStr">
        <is>
          <t>បញ្ចូលលេខទូូរស័ព្ទបន្ថែម</t>
        </is>
      </c>
      <c r="H1190" t="inlineStr">
        <is>
          <t>បញ្ចូលលេខទូូរស័ព្ទបន្ថែម</t>
        </is>
      </c>
      <c r="I1190" s="84" t="inlineStr">
        <is>
          <t>បញ្ចូលលេខទូរស័ព្ទបន្ថែម</t>
        </is>
      </c>
      <c r="J1190" s="217" t="inlineStr">
        <is>
          <t>"modifyOrder.alternativePhonesPlaceholder": "Enter additional phone number",</t>
        </is>
      </c>
    </row>
    <row r="1191" ht="15.75" customHeight="1" s="305">
      <c r="A1191" s="67" t="inlineStr">
        <is>
          <t>modifyOrder.alternativePhonesNote</t>
        </is>
      </c>
      <c r="B1191" s="67" t="inlineStr">
        <is>
          <t>*Lưu ý: Số điện thoại phụ sẽ được phân cách bởi dấu phẩy.</t>
        </is>
      </c>
      <c r="C1191" s="67" t="inlineStr">
        <is>
          <t>Note: Additional phone numbers should be separated by commas.</t>
        </is>
      </c>
      <c r="D1191" s="3">
        <f>IFERROR(__xludf.DUMMYFUNCTION("GOOGLETRANSLATE(B1191,""vi"",""km"")"),"*ចំណាំ៖ លេខទូរស័ព្ទបន្ទាប់បន្សំនឹងត្រូវបានបំបែកដោយសញ្ញាក្បៀស។")</f>
        <v/>
      </c>
      <c r="E1191" s="3" t="inlineStr">
        <is>
          <t>*ចំណាំ៖លេខទូរស័ព្ទបន្ថែមនឹងត្រូវបានចែកជា២ដោយសញ្ញាក្បៀស</t>
        </is>
      </c>
      <c r="F1191" s="217" t="inlineStr">
        <is>
          <t>v</t>
        </is>
      </c>
      <c r="G1191" s="217" t="inlineStr">
        <is>
          <t>*ចំណាំ៖លេខទូរស័ព្ទបន្ថែមនឹងត្រូវបានចែកជា២ដោយសញ្ញាក្បៀស</t>
        </is>
      </c>
      <c r="H1191" t="inlineStr">
        <is>
          <t>*ចំណាំ៖លេខទូរស័ព្ទបន្ថែមនឹងត្រូវបានចែកជា២ដោយសញ្ញាក្បៀស</t>
        </is>
      </c>
      <c r="I1191" s="74" t="inlineStr">
        <is>
          <t>ចំណាំ៖ លេខទូរស័ព្ទបន្ថែមគួរតែត្រូវបានបំបែកដោយសញ្ញាក្បៀស។</t>
        </is>
      </c>
      <c r="J1191" s="217" t="inlineStr">
        <is>
          <t>"modifyOrder.alternativePhonesNote": "Note: Additional phone numbers should be separated by commas.",</t>
        </is>
      </c>
    </row>
    <row r="1192" ht="15.75" customHeight="1" s="305">
      <c r="A1192" s="67" t="inlineStr">
        <is>
          <t>modifyOrder.newCustomer</t>
        </is>
      </c>
      <c r="B1192" s="67" t="inlineStr">
        <is>
          <t>Số điện thoại chưa tồn tại trong hệ thống</t>
        </is>
      </c>
      <c r="C1192" s="67" t="inlineStr">
        <is>
          <t>This phone number does not exist in out system</t>
        </is>
      </c>
      <c r="D1192" s="3">
        <f>IFERROR(__xludf.DUMMYFUNCTION("GOOGLETRANSLATE(B1192,""vi"",""km"")"),"លេខទូរស័ព្ទនេះមិនមាននៅក្នុងប្រព័ន្ធទេ។")</f>
        <v/>
      </c>
      <c r="E1192" s="3" t="inlineStr">
        <is>
          <t>លេខទូរស័ព្ទមិនទាន់មានលើប្រព័ន្ធ</t>
        </is>
      </c>
      <c r="F1192" s="217" t="inlineStr">
        <is>
          <t>v</t>
        </is>
      </c>
      <c r="G1192" s="217" t="inlineStr">
        <is>
          <t>លេខទូរស័ព្ទមិនទាន់មានលើប្រព័ន្ធ</t>
        </is>
      </c>
      <c r="H1192" t="inlineStr">
        <is>
          <t>លេខទូរស័ព្ទមិនទាន់មានលើប្រព័ន្ធ</t>
        </is>
      </c>
      <c r="I1192" s="74" t="inlineStr">
        <is>
          <t>លេខទូរស័ព្ទនេះមិនមាននៅក្នុងនិងខាងក្រៅ ប្រព័ន្ធទេ។</t>
        </is>
      </c>
      <c r="J1192" s="217" t="inlineStr">
        <is>
          <t>"modifyOrder.newCustomer": "This phone number does not exist in out system",</t>
        </is>
      </c>
    </row>
    <row r="1193" ht="15.75" customHeight="1" s="305">
      <c r="A1193" s="67" t="inlineStr">
        <is>
          <t>modifyOrder.orderExistedInList</t>
        </is>
      </c>
      <c r="B1193" s="67" t="inlineStr">
        <is>
          <t>Mã phiếu gửi {{orderCode}} đã tồn tại trong danh sách. Vui lòng kiểm tra lại</t>
        </is>
      </c>
      <c r="C1193" s="67" t="inlineStr">
        <is>
          <t>The postal slip {{orderCode}} has already been found. Please double-check</t>
        </is>
      </c>
      <c r="D1193" s="3">
        <f>IFERROR(__xludf.DUMMYFUNCTION("GOOGLETRANSLATE(B1193,""vi"",""km"")"),"លេខកូដបញ្ជាទិញ {{orderCode}} មានរួចហើយនៅក្នុងបញ្ជី។ សូមពិនិត្យមើលម្តងទៀត។")</f>
        <v/>
      </c>
      <c r="E1193" s="3" t="inlineStr">
        <is>
          <t>លេខកូដបុងបញ្ញើ បានមាននៅក្នុងបញ្ជី។ សូមមេត្តាពិនិត្យមើលម្តងទៀត</t>
        </is>
      </c>
      <c r="F1193" s="217" t="inlineStr">
        <is>
          <t>v</t>
        </is>
      </c>
      <c r="G1193" s="217" t="inlineStr">
        <is>
          <t>លេខកូដបុងបញ្ញើ បានមាននៅក្នុងបញ្ជី។ សូមមេត្តាពិនិត្យមើលម្តងទៀត</t>
        </is>
      </c>
      <c r="H1193" t="inlineStr">
        <is>
          <t>លេខកូដបុងបញ្ញើ បានមាននៅក្នុងបញ្ជី។ សូមមេត្តាពិនិត្យមើលម្តងទៀត</t>
        </is>
      </c>
      <c r="I1193" s="74" t="inlineStr">
        <is>
          <t>សំបុត្រប្រៃសណីយ៍ {{orderCode}} ត្រូវបានរកឃើញរួចហើយ។ សូមពិនិត្យពីរដង</t>
        </is>
      </c>
      <c r="J1193" s="217" t="inlineStr">
        <is>
          <t>"modifyOrder.orderExistedInList": "The postal slip {{orderCode}} has already been found. Please double-check",</t>
        </is>
      </c>
    </row>
    <row r="1194" ht="15.75" customHeight="1" s="305">
      <c r="A1194" s="67" t="inlineStr">
        <is>
          <t>modifyOrder.orderCanceled</t>
        </is>
      </c>
      <c r="B1194" s="67" t="inlineStr">
        <is>
          <t>Mã phiếu gửi {{orderCode}} đã bị hủy. Vui lòng nhập mã khác</t>
        </is>
      </c>
      <c r="C1194" s="67" t="inlineStr">
        <is>
          <t>The postal slip {{orderCode}} has been canceled. Please enter a different one.</t>
        </is>
      </c>
      <c r="D1194" s="3">
        <f>IFERROR(__xludf.DUMMYFUNCTION("GOOGLETRANSLATE(B1194,""vi"",""km"")"),"លេខកូដបញ្ជាទិញ {{orderCode}} ត្រូវបានលុបចោល។ សូមបញ្ចូលលេខកូដផ្សេង។")</f>
        <v/>
      </c>
      <c r="E1194" s="3" t="inlineStr">
        <is>
          <t>លេខកូូដបុងបញ្ញើត្រូវបានលុបចេញ។ សូមមេត្តាបញ្ចូលលេខកូដផ្សេងទៀត</t>
        </is>
      </c>
      <c r="F1194" s="217" t="inlineStr">
        <is>
          <t>v</t>
        </is>
      </c>
      <c r="G1194" s="217" t="inlineStr">
        <is>
          <t>លេខកូូដបុងបញ្ញើត្រូវបានលុបចេញ។ សូមមេត្តាបញ្ចូលលេខកូដផ្សេងទៀត</t>
        </is>
      </c>
      <c r="H1194" t="inlineStr">
        <is>
          <t>លេខកូូដបុងបញ្ញើត្រូវបានលុបចេញ។ សូមមេត្តាបញ្ចូលលេខកូដផ្សេងទៀត</t>
        </is>
      </c>
      <c r="I1194" s="74" t="inlineStr">
        <is>
          <t>ប័ណ្ណប្រៃសណីយ៍ {{orderCode}} ត្រូវបានលុបចោល។ សូមបញ្ចូលមួយផ្សេង។</t>
        </is>
      </c>
      <c r="J1194" s="217" t="inlineStr">
        <is>
          <t>"modifyOrder.orderCanceled": "The postal slip {{orderCode}} has been canceled. Please enter a different one.",</t>
        </is>
      </c>
    </row>
    <row r="1195" ht="15.75" customHeight="1" s="305">
      <c r="A1195" s="67" t="inlineStr">
        <is>
          <t>modifyOrder.invalOrder</t>
        </is>
      </c>
      <c r="B1195" s="67" t="inlineStr">
        <is>
          <t>Không tìm thấy mã phiếu gửi</t>
        </is>
      </c>
      <c r="C1195" s="67" t="inlineStr">
        <is>
          <t>No postal slip found</t>
        </is>
      </c>
      <c r="D1195" s="3">
        <f>IFERROR(__xludf.DUMMYFUNCTION("GOOGLETRANSLATE(B1195,""vi"",""km"")"),"រកមិនឃើញលេខបង្កាន់ដៃដឹកជញ្ជូនទេ។")</f>
        <v/>
      </c>
      <c r="E1195" s="3" t="inlineStr">
        <is>
          <t>មិនឃើញមានលេខកូដបុងបញ្ញើ</t>
        </is>
      </c>
      <c r="F1195" s="217" t="inlineStr">
        <is>
          <t>v</t>
        </is>
      </c>
      <c r="G1195" s="217" t="inlineStr">
        <is>
          <t>មិនឃើញមានលេខកូដបុងបញ្ញើ</t>
        </is>
      </c>
      <c r="H1195" t="inlineStr">
        <is>
          <t>មិនឃើញមានលេខកូដបុងបញ្ញើ</t>
        </is>
      </c>
      <c r="I1195" s="74" t="inlineStr">
        <is>
          <t>រកមិនឃើញប័ណ្ណប្រៃសណីយ៍ទេ។</t>
        </is>
      </c>
      <c r="J1195" s="217" t="inlineStr">
        <is>
          <t>"modifyOrder.invalOrder": "No postal slip found",</t>
        </is>
      </c>
    </row>
    <row r="1196" ht="15.75" customHeight="1" s="305">
      <c r="A1196" s="67" t="inlineStr">
        <is>
          <t>modifyOrder.extraPrices</t>
        </is>
      </c>
      <c r="B1196" s="67" t="inlineStr">
        <is>
          <t>Dịch vụ cộng thêm</t>
        </is>
      </c>
      <c r="C1196" s="67" t="inlineStr">
        <is>
          <t>Extra prices</t>
        </is>
      </c>
      <c r="D1196" s="3">
        <f>IFERROR(__xludf.DUMMYFUNCTION("GOOGLETRANSLATE(B1196,""vi"",""km"")"),"សេវាកម្មបន្ថែម")</f>
        <v/>
      </c>
      <c r="E1196" s="3" t="inlineStr">
        <is>
          <t>សេវាកម្មបូកបន្ថែម</t>
        </is>
      </c>
      <c r="F1196" s="217" t="inlineStr">
        <is>
          <t>v</t>
        </is>
      </c>
      <c r="G1196" s="217" t="inlineStr">
        <is>
          <t>សេវាកម្មបន្ថែម</t>
        </is>
      </c>
      <c r="H1196" t="inlineStr">
        <is>
          <t>សេវាកម្មបន្ថែម</t>
        </is>
      </c>
      <c r="I1196" s="74" t="inlineStr">
        <is>
          <t>តម្លៃបន្ថែម</t>
        </is>
      </c>
      <c r="J1196" s="217" t="inlineStr">
        <is>
          <t>"modifyOrder.extraPrices": "Extra prices",</t>
        </is>
      </c>
    </row>
    <row r="1197" ht="15.75" customHeight="1" s="305">
      <c r="A1197" s="67" t="inlineStr">
        <is>
          <t>modifyOrder.emptySurcharge</t>
        </is>
      </c>
      <c r="B1197" s="67" t="inlineStr">
        <is>
          <t>Vui lòng nhập phụ phí</t>
        </is>
      </c>
      <c r="C1197" s="67" t="inlineStr">
        <is>
          <t>Please enter surcharges</t>
        </is>
      </c>
      <c r="D1197" s="3">
        <f>IFERROR(__xludf.DUMMYFUNCTION("GOOGLETRANSLATE(B1197,""vi"",""km"")"),"សូមបញ្ចូលថ្លៃសេវាបន្ថែម។")</f>
        <v/>
      </c>
      <c r="E1197" s="3" t="inlineStr">
        <is>
          <t>សូមបញ្ចូលថ្លៃសេវាបន្ថែម</t>
        </is>
      </c>
      <c r="F1197" s="217" t="inlineStr">
        <is>
          <t>x</t>
        </is>
      </c>
      <c r="G1197" s="217" t="inlineStr">
        <is>
          <t>សូមបញ្ចូលថ្លៃសេវាបន្ថែម</t>
        </is>
      </c>
      <c r="H1197" t="inlineStr">
        <is>
          <t>សូមបញ្ចូលថ្លៃសេវាបន្ថែម</t>
        </is>
      </c>
      <c r="I1197" s="74" t="inlineStr">
        <is>
          <t>សូមបញ្ចូលការគិតថ្លៃបន្ថែម</t>
        </is>
      </c>
      <c r="J1197" s="217" t="inlineStr">
        <is>
          <t>"modifyOrder.emptySurcharge": "Please enter surcharges",</t>
        </is>
      </c>
    </row>
    <row r="1198" ht="15.75" customHeight="1" s="305">
      <c r="A1198" s="67" t="inlineStr">
        <is>
          <t>modifyOrder.value</t>
        </is>
      </c>
      <c r="B1198" s="67" t="inlineStr">
        <is>
          <t>Giá trị</t>
        </is>
      </c>
      <c r="C1198" s="67" t="inlineStr">
        <is>
          <t>Value</t>
        </is>
      </c>
      <c r="D1198" s="3">
        <f>IFERROR(__xludf.DUMMYFUNCTION("GOOGLETRANSLATE(B1198,""vi"",""km"")"),"តម្លៃ")</f>
        <v/>
      </c>
      <c r="E1198" s="3" t="inlineStr">
        <is>
          <t>តម្លៃ</t>
        </is>
      </c>
      <c r="F1198" s="217" t="inlineStr">
        <is>
          <t>v</t>
        </is>
      </c>
      <c r="G1198" s="217" t="inlineStr">
        <is>
          <t>តម្លៃ</t>
        </is>
      </c>
      <c r="H1198" t="inlineStr">
        <is>
          <t>តម្លៃ</t>
        </is>
      </c>
      <c r="I1198" s="74" t="inlineStr">
        <is>
          <t>តម្លៃ</t>
        </is>
      </c>
      <c r="J1198" s="217" t="inlineStr">
        <is>
          <t>"modifyOrder.value": "Value",</t>
        </is>
      </c>
    </row>
    <row r="1199" ht="15.75" customHeight="1" s="305">
      <c r="A1199" s="67" t="inlineStr">
        <is>
          <t>modifyOrder.emptyMainService</t>
        </is>
      </c>
      <c r="B1199" s="67" t="inlineStr">
        <is>
          <t>Không tìm thấy mã dịch vụ</t>
        </is>
      </c>
      <c r="C1199" s="67" t="inlineStr">
        <is>
          <t>Service code not found</t>
        </is>
      </c>
      <c r="D1199" s="3">
        <f>IFERROR(__xludf.DUMMYFUNCTION("GOOGLETRANSLATE(B1199,""vi"",""km"")"),"រកមិនឃើញលេខកូដសេវាកម្មទេ")</f>
        <v/>
      </c>
      <c r="E1199" s="3" t="inlineStr">
        <is>
          <t>មិនរកឃើញលេខកូដសេវាកម្ម</t>
        </is>
      </c>
      <c r="F1199" s="217" t="inlineStr">
        <is>
          <t>v</t>
        </is>
      </c>
      <c r="G1199" s="217" t="inlineStr">
        <is>
          <t>មិនរកឃើញលេខកូដសេវាកម្ម</t>
        </is>
      </c>
      <c r="H1199" t="inlineStr">
        <is>
          <t>មិនរកឃើញលេខកូដសេវាកម្ម</t>
        </is>
      </c>
      <c r="I1199" s="74" t="inlineStr">
        <is>
          <t>រកមិនឃើញលេខកូដសេវាកម្មទេ។</t>
        </is>
      </c>
      <c r="J1199" s="217" t="inlineStr">
        <is>
          <t>"modifyOrder.emptyMainService": "Service code not found",</t>
        </is>
      </c>
    </row>
    <row r="1200" ht="15.75" customHeight="1" s="305">
      <c r="A1200" s="67" t="inlineStr">
        <is>
          <t>modifyOrder.emptyPricing</t>
        </is>
      </c>
      <c r="B1200" s="67" t="inlineStr">
        <is>
          <t>Không tìm thấy giá</t>
        </is>
      </c>
      <c r="C1200" s="67" t="inlineStr">
        <is>
          <t>Pricing not found</t>
        </is>
      </c>
      <c r="D1200" s="3">
        <f>IFERROR(__xludf.DUMMYFUNCTION("GOOGLETRANSLATE(B1200,""vi"",""km"")"),"រកមិនឃើញតម្លៃទេ")</f>
        <v/>
      </c>
      <c r="E1200" s="3" t="inlineStr">
        <is>
          <t>មិនទាន់រកឃើញតម្លៃ</t>
        </is>
      </c>
      <c r="F1200" s="217" t="inlineStr">
        <is>
          <t>v</t>
        </is>
      </c>
      <c r="G1200" s="217" t="inlineStr">
        <is>
          <t>មិនទាន់រកឃើញតម្លៃ</t>
        </is>
      </c>
      <c r="H1200" t="inlineStr">
        <is>
          <t>មិនទាន់រកឃើញតម្លៃ</t>
        </is>
      </c>
      <c r="I1200" s="74" t="inlineStr">
        <is>
          <t>រកមិនឃើញតម្លៃទេ</t>
        </is>
      </c>
      <c r="J1200" s="217" t="inlineStr">
        <is>
          <t>"modifyOrder.emptyPricing": "Pricing not found",</t>
        </is>
      </c>
    </row>
    <row r="1201" ht="15.75" customHeight="1" s="305">
      <c r="A1201" s="67" t="inlineStr">
        <is>
          <t>address.provinceMM</t>
        </is>
      </c>
      <c r="B1201" s="67" t="inlineStr">
        <is>
          <t>Liên bang/Vùng</t>
        </is>
      </c>
      <c r="C1201" s="67" t="inlineStr">
        <is>
          <t>Region</t>
        </is>
      </c>
      <c r="D1201" s="3">
        <f>IFERROR(__xludf.DUMMYFUNCTION("GOOGLETRANSLATE(B1201,""vi"",""km"")"),"សហព័ន្ធ/តំបន់")</f>
        <v/>
      </c>
      <c r="E1201" s="3" t="inlineStr">
        <is>
          <t>សហព័ន្ធ/តំបន់</t>
        </is>
      </c>
      <c r="F1201" s="217" t="inlineStr">
        <is>
          <t>x</t>
        </is>
      </c>
      <c r="G1201" s="217" t="inlineStr">
        <is>
          <t>សហព័ន្ធ/តំបន់</t>
        </is>
      </c>
      <c r="H1201" t="inlineStr">
        <is>
          <t>សហព័ន្ធ/តំបន់</t>
        </is>
      </c>
      <c r="I1201" s="74" t="inlineStr">
        <is>
          <t>តំបន់</t>
        </is>
      </c>
      <c r="J1201" s="217" t="inlineStr">
        <is>
          <t>"address.provinceMM": "Region",</t>
        </is>
      </c>
    </row>
    <row r="1202" ht="15.75" customHeight="1" s="305">
      <c r="A1202" s="67" t="inlineStr">
        <is>
          <t>address.districtMM</t>
        </is>
      </c>
      <c r="B1202" s="67" t="inlineStr">
        <is>
          <t>Huyện</t>
        </is>
      </c>
      <c r="C1202" s="67" t="inlineStr">
        <is>
          <t>District</t>
        </is>
      </c>
      <c r="D1202" s="3">
        <f>IFERROR(__xludf.DUMMYFUNCTION("GOOGLETRANSLATE(B1202,""vi"",""km"")"),"ស្រុក")</f>
        <v/>
      </c>
      <c r="E1202" s="3" t="inlineStr">
        <is>
          <t>ស្រុក</t>
        </is>
      </c>
      <c r="F1202" s="217" t="inlineStr">
        <is>
          <t>v</t>
        </is>
      </c>
      <c r="G1202" s="217" t="inlineStr">
        <is>
          <t>ស្រុក</t>
        </is>
      </c>
      <c r="H1202" t="inlineStr">
        <is>
          <t>ស្រុក</t>
        </is>
      </c>
      <c r="I1202" s="74" t="inlineStr">
        <is>
          <t>ស្រុក</t>
        </is>
      </c>
      <c r="J1202" s="217" t="inlineStr">
        <is>
          <t>"address.districtMM": "District",</t>
        </is>
      </c>
    </row>
    <row r="1203" ht="15.75" customHeight="1" s="305">
      <c r="A1203" s="67" t="inlineStr">
        <is>
          <t>address.wardMM</t>
        </is>
      </c>
      <c r="B1203" s="67" t="inlineStr">
        <is>
          <t>Thị trấn</t>
        </is>
      </c>
      <c r="C1203" s="67" t="inlineStr">
        <is>
          <t>Ward</t>
        </is>
      </c>
      <c r="D1203" s="3">
        <f>IFERROR(__xludf.DUMMYFUNCTION("GOOGLETRANSLATE(B1203,""vi"",""km"")"),"ទីក្រុង")</f>
        <v/>
      </c>
      <c r="E1203" s="3" t="inlineStr">
        <is>
          <t>ទីរួួមខេត្ត</t>
        </is>
      </c>
      <c r="F1203" s="217" t="inlineStr">
        <is>
          <t>v</t>
        </is>
      </c>
      <c r="G1203" s="217" t="inlineStr">
        <is>
          <t>ទីរួួមខេត្ត</t>
        </is>
      </c>
      <c r="H1203" t="inlineStr">
        <is>
          <t>ទីរួួមខេត្ត</t>
        </is>
      </c>
      <c r="I1203" s="74" t="inlineStr">
        <is>
          <t>ទីប្រជុំជន</t>
        </is>
      </c>
      <c r="J1203" s="217" t="inlineStr">
        <is>
          <t>"address.wardMM": "Ward",</t>
        </is>
      </c>
    </row>
    <row r="1204" ht="15.75" customHeight="1" s="305">
      <c r="A1204" s="67" t="inlineStr">
        <is>
          <t>address.provincePlaceholderMM</t>
        </is>
      </c>
      <c r="B1204" s="67" t="inlineStr">
        <is>
          <t>Chọn liên bang/Vùng</t>
        </is>
      </c>
      <c r="C1204" s="67" t="inlineStr">
        <is>
          <t>Select region</t>
        </is>
      </c>
      <c r="D1204" s="3">
        <f>IFERROR(__xludf.DUMMYFUNCTION("GOOGLETRANSLATE(B1204,""vi"",""km"")"),"ជ្រើសរើសសហព័ន្ធ/តំបន់")</f>
        <v/>
      </c>
      <c r="E1204" s="3" t="inlineStr">
        <is>
          <t>ជ្រើសរើសសហព័ន្ធ/តំបន់</t>
        </is>
      </c>
      <c r="F1204" s="217" t="inlineStr">
        <is>
          <t>x</t>
        </is>
      </c>
      <c r="G1204" s="217" t="inlineStr">
        <is>
          <t>ជ្រើសរើសសហព័ន្ធ/តំបន់</t>
        </is>
      </c>
      <c r="H1204" t="inlineStr">
        <is>
          <t>ជ្រើសរើសសហព័ន្ធ/តំបន់</t>
        </is>
      </c>
      <c r="I1204" s="74" t="inlineStr">
        <is>
          <t>ជ្រើសរើសតំបន់</t>
        </is>
      </c>
      <c r="J1204" s="217" t="inlineStr">
        <is>
          <t>"address.provincePlaceholderMM": "Select region",</t>
        </is>
      </c>
    </row>
    <row r="1205" ht="15.75" customHeight="1" s="305">
      <c r="A1205" s="67" t="inlineStr">
        <is>
          <t>address.districtPlaceholderMM</t>
        </is>
      </c>
      <c r="B1205" s="67" t="inlineStr">
        <is>
          <t>Chọn huyện</t>
        </is>
      </c>
      <c r="C1205" s="67" t="inlineStr">
        <is>
          <t>Select district</t>
        </is>
      </c>
      <c r="D1205" s="3">
        <f>IFERROR(__xludf.DUMMYFUNCTION("GOOGLETRANSLATE(B1205,""vi"",""km"")"),"ជ្រើសរើសស្រុក")</f>
        <v/>
      </c>
      <c r="E1205" s="3" t="inlineStr">
        <is>
          <t>ជ្រើសរើសស្រុក</t>
        </is>
      </c>
      <c r="F1205" s="217" t="inlineStr">
        <is>
          <t>v</t>
        </is>
      </c>
      <c r="G1205" s="217" t="inlineStr">
        <is>
          <t>ជ្រើសរើសស្រុក</t>
        </is>
      </c>
      <c r="H1205" t="inlineStr">
        <is>
          <t>ជ្រើសរើសស្រុក</t>
        </is>
      </c>
      <c r="I1205" s="74" t="inlineStr">
        <is>
          <t>ជ្រើសរើសស្រុក</t>
        </is>
      </c>
      <c r="J1205" s="217" t="inlineStr">
        <is>
          <t>"address.districtPlaceholderMM": "Select district",</t>
        </is>
      </c>
    </row>
    <row r="1206" ht="15.75" customHeight="1" s="305">
      <c r="A1206" s="67" t="inlineStr">
        <is>
          <t>address.wardPlaceholderMM</t>
        </is>
      </c>
      <c r="B1206" s="67" t="inlineStr">
        <is>
          <t>Chọn thị trấn</t>
        </is>
      </c>
      <c r="C1206" s="67" t="inlineStr">
        <is>
          <t>Select ward</t>
        </is>
      </c>
      <c r="D1206" s="3">
        <f>IFERROR(__xludf.DUMMYFUNCTION("GOOGLETRANSLATE(B1206,""vi"",""km"")"),"ជ្រើសរើសទីក្រុងមួយ")</f>
        <v/>
      </c>
      <c r="E1206" s="3" t="inlineStr">
        <is>
          <t>ជ្រើសរើសទីរួួមខេត្ត</t>
        </is>
      </c>
      <c r="F1206" s="217" t="inlineStr">
        <is>
          <t>x</t>
        </is>
      </c>
      <c r="G1206" s="217" t="inlineStr">
        <is>
          <t>ជ្រើសរើសទីរួួមខេត្ត</t>
        </is>
      </c>
      <c r="H1206" t="inlineStr">
        <is>
          <t>ជ្រើសរើសទីរួួមខេត្ត</t>
        </is>
      </c>
      <c r="I1206" s="74" t="inlineStr">
        <is>
          <t>ជ្រើសរើសទីក្រុង</t>
        </is>
      </c>
      <c r="J1206" s="217" t="inlineStr">
        <is>
          <t>"address.wardPlaceholderMM": "Select ward",</t>
        </is>
      </c>
    </row>
    <row r="1207" ht="15.75" customHeight="1" s="305">
      <c r="A1207" s="67" t="inlineStr">
        <is>
          <t>address.provinceKH</t>
        </is>
      </c>
      <c r="B1207" s="67" t="inlineStr">
        <is>
          <t>Tỉnh</t>
        </is>
      </c>
      <c r="C1207" s="67" t="inlineStr">
        <is>
          <t>Province</t>
        </is>
      </c>
      <c r="D1207" s="3">
        <f>IFERROR(__xludf.DUMMYFUNCTION("GOOGLETRANSLATE(B1207,""vi"",""km"")"),"ដឹងខ្លួន")</f>
        <v/>
      </c>
      <c r="E1207" s="3" t="inlineStr">
        <is>
          <t>ខេត្ត</t>
        </is>
      </c>
      <c r="F1207" s="217" t="inlineStr">
        <is>
          <t>v</t>
        </is>
      </c>
      <c r="G1207" s="217" t="inlineStr">
        <is>
          <t>ខេត្ត</t>
        </is>
      </c>
      <c r="H1207" t="inlineStr">
        <is>
          <t>ខេត្ត</t>
        </is>
      </c>
      <c r="I1207" s="74" t="inlineStr">
        <is>
          <t>ខេត្ត</t>
        </is>
      </c>
      <c r="J1207" s="217" t="inlineStr">
        <is>
          <t>"address.provinceKH": "Province",</t>
        </is>
      </c>
    </row>
    <row r="1208" ht="15.75" customHeight="1" s="305">
      <c r="A1208" s="67" t="inlineStr">
        <is>
          <t>address.districtKH</t>
        </is>
      </c>
      <c r="B1208" s="67" t="inlineStr">
        <is>
          <t>Huyện</t>
        </is>
      </c>
      <c r="C1208" s="67" t="inlineStr">
        <is>
          <t>District</t>
        </is>
      </c>
      <c r="D1208" s="3">
        <f>IFERROR(__xludf.DUMMYFUNCTION("GOOGLETRANSLATE(B1208,""vi"",""km"")"),"ស្រុក")</f>
        <v/>
      </c>
      <c r="E1208" s="3" t="inlineStr">
        <is>
          <t>ស្រុក</t>
        </is>
      </c>
      <c r="F1208" s="217" t="inlineStr">
        <is>
          <t>v</t>
        </is>
      </c>
      <c r="G1208" s="217" t="inlineStr">
        <is>
          <t>ស្រុក</t>
        </is>
      </c>
      <c r="H1208" t="inlineStr">
        <is>
          <t>ស្រុក</t>
        </is>
      </c>
      <c r="I1208" s="74" t="inlineStr">
        <is>
          <t>ស្រុក</t>
        </is>
      </c>
      <c r="J1208" s="217" t="inlineStr">
        <is>
          <t>"address.districtKH": "District",</t>
        </is>
      </c>
    </row>
    <row r="1209" ht="15.75" customHeight="1" s="305">
      <c r="A1209" s="67" t="inlineStr">
        <is>
          <t>address.wardKH</t>
        </is>
      </c>
      <c r="B1209" s="67" t="inlineStr">
        <is>
          <t>Xã</t>
        </is>
      </c>
      <c r="C1209" s="67" t="inlineStr">
        <is>
          <t>Commune</t>
        </is>
      </c>
      <c r="D1209" s="3">
        <f>IFERROR(__xludf.DUMMYFUNCTION("GOOGLETRANSLATE(B1209,""vi"",""km"")"),"ឃុំ")</f>
        <v/>
      </c>
      <c r="E1209" s="3" t="inlineStr">
        <is>
          <t>ឃុំ</t>
        </is>
      </c>
      <c r="F1209" s="217" t="inlineStr">
        <is>
          <t>v</t>
        </is>
      </c>
      <c r="G1209" s="217" t="inlineStr">
        <is>
          <t>ឃុំ</t>
        </is>
      </c>
      <c r="H1209" t="inlineStr">
        <is>
          <t>ឃុំ</t>
        </is>
      </c>
      <c r="I1209" s="74" t="inlineStr">
        <is>
          <t>ឃុំ</t>
        </is>
      </c>
      <c r="J1209" s="217" t="inlineStr">
        <is>
          <t>"address.wardKH": "Commune",</t>
        </is>
      </c>
    </row>
    <row r="1210" ht="15.75" customHeight="1" s="305">
      <c r="A1210" s="67" t="inlineStr">
        <is>
          <t>address.provincePlaceholderKH</t>
        </is>
      </c>
      <c r="B1210" s="67" t="inlineStr">
        <is>
          <t>Chọn tỉnh</t>
        </is>
      </c>
      <c r="C1210" s="67" t="inlineStr">
        <is>
          <t>Select province</t>
        </is>
      </c>
      <c r="D1210" s="3">
        <f>IFERROR(__xludf.DUMMYFUNCTION("GOOGLETRANSLATE(B1210,""vi"",""km"")"),"ជ្រើសរើសខេត្ត")</f>
        <v/>
      </c>
      <c r="E1210" s="3" t="inlineStr">
        <is>
          <t>ជ្រើសរើសខេត្ត</t>
        </is>
      </c>
      <c r="F1210" s="217" t="inlineStr">
        <is>
          <t>v</t>
        </is>
      </c>
      <c r="G1210" s="217" t="inlineStr">
        <is>
          <t>ជ្រើសរើសខេត្ត</t>
        </is>
      </c>
      <c r="H1210" t="inlineStr">
        <is>
          <t>ជ្រើសរើសខេត្ត</t>
        </is>
      </c>
      <c r="I1210" s="74" t="inlineStr">
        <is>
          <t>ជ្រើសរើសខេត្ត</t>
        </is>
      </c>
      <c r="J1210" s="217" t="inlineStr">
        <is>
          <t>"address.provincePlaceholderKH": "Select province",</t>
        </is>
      </c>
    </row>
    <row r="1211" ht="15.75" customHeight="1" s="305">
      <c r="A1211" s="67" t="inlineStr">
        <is>
          <t>address.districtPlaceholderKH</t>
        </is>
      </c>
      <c r="B1211" s="67" t="inlineStr">
        <is>
          <t>Chọn huyện</t>
        </is>
      </c>
      <c r="C1211" s="67" t="inlineStr">
        <is>
          <t>Select district</t>
        </is>
      </c>
      <c r="D1211" s="3">
        <f>IFERROR(__xludf.DUMMYFUNCTION("GOOGLETRANSLATE(B1211,""vi"",""km"")"),"ជ្រើសរើសស្រុក")</f>
        <v/>
      </c>
      <c r="E1211" s="3" t="inlineStr">
        <is>
          <t>ជ្រើសរើសស្រុក</t>
        </is>
      </c>
      <c r="F1211" s="217" t="inlineStr">
        <is>
          <t>v</t>
        </is>
      </c>
      <c r="G1211" s="217" t="inlineStr">
        <is>
          <t>ជ្រើសរើសស្រុក</t>
        </is>
      </c>
      <c r="H1211" t="inlineStr">
        <is>
          <t>ជ្រើសរើសស្រុក</t>
        </is>
      </c>
      <c r="I1211" s="74" t="inlineStr">
        <is>
          <t>ជ្រើសរើសស្រុក</t>
        </is>
      </c>
      <c r="J1211" s="217" t="inlineStr">
        <is>
          <t>"address.districtPlaceholderKH": "Select district",</t>
        </is>
      </c>
    </row>
    <row r="1212" ht="15.75" customHeight="1" s="305">
      <c r="A1212" s="67" t="inlineStr">
        <is>
          <t>address.wardPlaceholderKH</t>
        </is>
      </c>
      <c r="B1212" s="67" t="inlineStr">
        <is>
          <t>Chọn xã</t>
        </is>
      </c>
      <c r="C1212" s="67" t="inlineStr">
        <is>
          <t>Select commune</t>
        </is>
      </c>
      <c r="D1212" s="3">
        <f>IFERROR(__xludf.DUMMYFUNCTION("GOOGLETRANSLATE(B1212,""vi"",""km"")"),"ជ្រើសរើសឃុំ")</f>
        <v/>
      </c>
      <c r="E1212" s="3" t="inlineStr">
        <is>
          <t>ជ្រើសរើសឃុំ</t>
        </is>
      </c>
      <c r="F1212" s="217" t="inlineStr">
        <is>
          <t>v</t>
        </is>
      </c>
      <c r="G1212" s="217" t="inlineStr">
        <is>
          <t>ជ្រើសរើសឃុំ</t>
        </is>
      </c>
      <c r="H1212" t="inlineStr">
        <is>
          <t>ជ្រើសរើសឃុំ</t>
        </is>
      </c>
      <c r="I1212" s="74" t="inlineStr">
        <is>
          <t>ជ្រើសរើសឃុំ</t>
        </is>
      </c>
      <c r="J1212" s="217" t="inlineStr">
        <is>
          <t>"address.wardPlaceholderKH": "Select commune",</t>
        </is>
      </c>
    </row>
    <row r="1213" ht="15.75" customHeight="1" s="305">
      <c r="A1213" s="67" t="inlineStr">
        <is>
          <t>address.provinceLA</t>
        </is>
      </c>
      <c r="B1213" s="67" t="inlineStr">
        <is>
          <t>Tỉnh</t>
        </is>
      </c>
      <c r="C1213" s="67" t="inlineStr">
        <is>
          <t>Province</t>
        </is>
      </c>
      <c r="D1213" s="3">
        <f>IFERROR(__xludf.DUMMYFUNCTION("GOOGLETRANSLATE(B1213,""vi"",""km"")"),"ដឹងខ្លួន")</f>
        <v/>
      </c>
      <c r="E1213" s="3" t="inlineStr">
        <is>
          <t>ខេត្ត</t>
        </is>
      </c>
      <c r="F1213" s="217" t="inlineStr">
        <is>
          <t>v</t>
        </is>
      </c>
      <c r="G1213" s="217" t="inlineStr">
        <is>
          <t>ខេត្ត</t>
        </is>
      </c>
      <c r="H1213" t="inlineStr">
        <is>
          <t>ខេត្ត</t>
        </is>
      </c>
      <c r="I1213" s="74" t="inlineStr">
        <is>
          <t>ខេត្ត</t>
        </is>
      </c>
      <c r="J1213" s="217" t="inlineStr">
        <is>
          <t>"address.provinceLA": "Province",</t>
        </is>
      </c>
    </row>
    <row r="1214" ht="15.75" customHeight="1" s="305">
      <c r="A1214" s="67" t="inlineStr">
        <is>
          <t>address.districtLA</t>
        </is>
      </c>
      <c r="B1214" s="67" t="inlineStr">
        <is>
          <t>Mường</t>
        </is>
      </c>
      <c r="C1214" s="67" t="inlineStr">
        <is>
          <t>District</t>
        </is>
      </c>
      <c r="D1214" s="3">
        <f>IFERROR(__xludf.DUMMYFUNCTION("GOOGLETRANSLATE(B1214,""vi"",""km"")"),"មួង")</f>
        <v/>
      </c>
      <c r="E1214" s="3" t="inlineStr">
        <is>
          <t>ភូមិ</t>
        </is>
      </c>
      <c r="F1214" s="217" t="inlineStr">
        <is>
          <t>x</t>
        </is>
      </c>
      <c r="G1214" s="217" t="inlineStr">
        <is>
          <t>ភូមិ</t>
        </is>
      </c>
      <c r="H1214" t="inlineStr">
        <is>
          <t>ភូមិ</t>
        </is>
      </c>
      <c r="I1214" s="74" t="inlineStr">
        <is>
          <t>ស្រុក</t>
        </is>
      </c>
      <c r="J1214" s="217" t="inlineStr">
        <is>
          <t>"address.districtLA": "District",</t>
        </is>
      </c>
    </row>
    <row r="1215" ht="15.75" customHeight="1" s="305">
      <c r="A1215" s="67" t="inlineStr">
        <is>
          <t>address.wardLA</t>
        </is>
      </c>
      <c r="B1215" s="67" t="inlineStr">
        <is>
          <t>Xã</t>
        </is>
      </c>
      <c r="C1215" s="67" t="inlineStr">
        <is>
          <t>Village</t>
        </is>
      </c>
      <c r="D1215" s="3">
        <f>IFERROR(__xludf.DUMMYFUNCTION("GOOGLETRANSLATE(B1215,""vi"",""km"")"),"ឃុំ")</f>
        <v/>
      </c>
      <c r="E1215" s="3" t="inlineStr">
        <is>
          <t>ឃុំ</t>
        </is>
      </c>
      <c r="F1215" s="217" t="inlineStr">
        <is>
          <t>v</t>
        </is>
      </c>
      <c r="G1215" s="217" t="inlineStr">
        <is>
          <t>ឃុំ</t>
        </is>
      </c>
      <c r="H1215" t="inlineStr">
        <is>
          <t>ឃុំ</t>
        </is>
      </c>
      <c r="I1215" s="74" t="inlineStr">
        <is>
          <t>ភូមិ</t>
        </is>
      </c>
      <c r="J1215" s="217" t="inlineStr">
        <is>
          <t>"address.wardLA": "Village",</t>
        </is>
      </c>
    </row>
    <row r="1216" ht="15.75" customHeight="1" s="305">
      <c r="A1216" s="67" t="inlineStr">
        <is>
          <t>address.provincePlaceholderLA</t>
        </is>
      </c>
      <c r="B1216" s="67" t="inlineStr">
        <is>
          <t>Chọn tỉnh</t>
        </is>
      </c>
      <c r="C1216" s="67" t="inlineStr">
        <is>
          <t>Select province</t>
        </is>
      </c>
      <c r="D1216" s="3">
        <f>IFERROR(__xludf.DUMMYFUNCTION("GOOGLETRANSLATE(B1216,""vi"",""km"")"),"ជ្រើសរើសខេត្ត")</f>
        <v/>
      </c>
      <c r="E1216" s="3" t="inlineStr">
        <is>
          <t>ជ្រើសរើសខេត្ត</t>
        </is>
      </c>
      <c r="F1216" s="217" t="inlineStr">
        <is>
          <t>v</t>
        </is>
      </c>
      <c r="G1216" s="217" t="inlineStr">
        <is>
          <t>ជ្រើសរើសខេត្ត</t>
        </is>
      </c>
      <c r="H1216" t="inlineStr">
        <is>
          <t>ជ្រើសរើសខេត្ត</t>
        </is>
      </c>
      <c r="I1216" s="74" t="inlineStr">
        <is>
          <t>ជ្រើសរើសខេត្ត</t>
        </is>
      </c>
      <c r="J1216" s="217" t="inlineStr">
        <is>
          <t>"address.provincePlaceholderLA": "Select province",</t>
        </is>
      </c>
    </row>
    <row r="1217" ht="15.75" customHeight="1" s="305">
      <c r="A1217" s="67" t="inlineStr">
        <is>
          <t>address.districtPlaceholderLA</t>
        </is>
      </c>
      <c r="B1217" s="67" t="inlineStr">
        <is>
          <t>Chọn mường</t>
        </is>
      </c>
      <c r="C1217" s="67" t="inlineStr">
        <is>
          <t>Select district</t>
        </is>
      </c>
      <c r="D1217" s="3">
        <f>IFERROR(__xludf.DUMMYFUNCTION("GOOGLETRANSLATE(B1217,""vi"",""km"")"),"ជ្រើសរើសភូមិមួយ")</f>
        <v/>
      </c>
      <c r="E1217" s="3" t="inlineStr">
        <is>
          <t>ជ្រើសរើសភូមិ</t>
        </is>
      </c>
      <c r="F1217" s="217" t="inlineStr">
        <is>
          <t>x</t>
        </is>
      </c>
      <c r="G1217" s="217" t="inlineStr">
        <is>
          <t>ជ្រើសរើសភូមិ</t>
        </is>
      </c>
      <c r="H1217" t="inlineStr">
        <is>
          <t>ជ្រើសរើសភូមិ</t>
        </is>
      </c>
      <c r="I1217" s="74" t="inlineStr">
        <is>
          <t>ជ្រើសរើសស្រុក</t>
        </is>
      </c>
      <c r="J1217" s="217" t="inlineStr">
        <is>
          <t>"address.districtPlaceholderLA": "Select district",</t>
        </is>
      </c>
    </row>
    <row r="1218" ht="15.75" customHeight="1" s="305">
      <c r="A1218" s="67" t="inlineStr">
        <is>
          <t>address.wardPlaceholderLA</t>
        </is>
      </c>
      <c r="B1218" s="67" t="inlineStr">
        <is>
          <t>Chọn xã</t>
        </is>
      </c>
      <c r="C1218" s="67" t="inlineStr">
        <is>
          <t>Select village</t>
        </is>
      </c>
      <c r="D1218" s="3">
        <f>IFERROR(__xludf.DUMMYFUNCTION("GOOGLETRANSLATE(B1218,""vi"",""km"")"),"ជ្រើសរើសឃុំ")</f>
        <v/>
      </c>
      <c r="E1218" s="3" t="inlineStr">
        <is>
          <t>ជ្រើសរើសឃុំ</t>
        </is>
      </c>
      <c r="F1218" s="217" t="inlineStr">
        <is>
          <t>v</t>
        </is>
      </c>
      <c r="G1218" s="217" t="inlineStr">
        <is>
          <t>ជ្រើសរើសឃុំ</t>
        </is>
      </c>
      <c r="H1218" t="inlineStr">
        <is>
          <t>ជ្រើសរើសឃុំ</t>
        </is>
      </c>
      <c r="I1218" s="74" t="inlineStr">
        <is>
          <t>ជ្រើសរើសភូមិ</t>
        </is>
      </c>
      <c r="J1218" s="217" t="inlineStr">
        <is>
          <t>"address.wardPlaceholderLA": "Select village",</t>
        </is>
      </c>
    </row>
    <row r="1219" ht="15.75" customHeight="1" s="305">
      <c r="A1219" s="67" t="inlineStr">
        <is>
          <t>packing.packageIncomplete</t>
        </is>
      </c>
      <c r="B1219" s="67" t="inlineStr">
        <is>
          <t>Chưa đóng</t>
        </is>
      </c>
      <c r="C1219" s="67" t="inlineStr">
        <is>
          <t>Incomplete</t>
        </is>
      </c>
      <c r="D1219" s="3">
        <f>IFERROR(__xludf.DUMMYFUNCTION("GOOGLETRANSLATE(B1219,""vi"",""km"")"),"មិនទាន់បិទទេ")</f>
        <v/>
      </c>
      <c r="E1219" s="3" t="inlineStr">
        <is>
          <t>មិនទាន់បានបិទ</t>
        </is>
      </c>
      <c r="F1219" s="217" t="inlineStr">
        <is>
          <t>v</t>
        </is>
      </c>
      <c r="G1219" s="217" t="inlineStr">
        <is>
          <t>មិនទាន់ច្រកបាវ</t>
        </is>
      </c>
      <c r="H1219" t="inlineStr">
        <is>
          <t>មិនទាន់ច្រកបាវ</t>
        </is>
      </c>
      <c r="I1219" s="74" t="inlineStr">
        <is>
          <t>មិនពេញលេញ</t>
        </is>
      </c>
      <c r="J1219" s="217" t="inlineStr">
        <is>
          <t>"packing.packageIncomplete": "Incomplete",</t>
        </is>
      </c>
    </row>
    <row r="1220" ht="15.75" customHeight="1" s="305">
      <c r="A1220" s="67" t="inlineStr">
        <is>
          <t>packing.packageProgress</t>
        </is>
      </c>
      <c r="B1220" s="67" t="inlineStr">
        <is>
          <t>Đang đóng</t>
        </is>
      </c>
      <c r="C1220" s="67" t="inlineStr">
        <is>
          <t>Packup in progress</t>
        </is>
      </c>
      <c r="D1220" s="3">
        <f>IFERROR(__xludf.DUMMYFUNCTION("GOOGLETRANSLATE(B1220,""vi"",""km"")"),"កំពុងបិទ")</f>
        <v/>
      </c>
      <c r="E1220" s="3" t="inlineStr">
        <is>
          <t>កំពុងបិទ</t>
        </is>
      </c>
      <c r="F1220" s="217" t="inlineStr">
        <is>
          <t>v</t>
        </is>
      </c>
      <c r="G1220" s="217" t="inlineStr">
        <is>
          <t>កំពុងច្រកបាវ</t>
        </is>
      </c>
      <c r="H1220" t="inlineStr">
        <is>
          <t>កំពុងច្រកបាវ</t>
        </is>
      </c>
      <c r="I1220" s="74" t="inlineStr">
        <is>
          <t>ការវេចខ្ចប់កំពុងដំណើរការ</t>
        </is>
      </c>
      <c r="J1220" s="217" t="inlineStr">
        <is>
          <t>"packing.packageProgress": "Packup in progress",</t>
        </is>
      </c>
    </row>
    <row r="1221" ht="15.75" customHeight="1" s="305">
      <c r="A1221" s="67" t="inlineStr">
        <is>
          <t>packing.packageComplete</t>
        </is>
      </c>
      <c r="B1221" s="67" t="inlineStr">
        <is>
          <t>Đã đóng</t>
        </is>
      </c>
      <c r="C1221" s="67" t="inlineStr">
        <is>
          <t>Packed</t>
        </is>
      </c>
      <c r="D1221" s="3">
        <f>IFERROR(__xludf.DUMMYFUNCTION("GOOGLETRANSLATE(B1221,""vi"",""km"")"),"បិទ")</f>
        <v/>
      </c>
      <c r="E1221" s="3" t="inlineStr">
        <is>
          <t>បានបិទ</t>
        </is>
      </c>
      <c r="F1221" s="217" t="inlineStr">
        <is>
          <t>v</t>
        </is>
      </c>
      <c r="G1221" s="217" t="inlineStr">
        <is>
          <t>បានច្រកបាវរួចរាល់</t>
        </is>
      </c>
      <c r="H1221" t="inlineStr">
        <is>
          <t>បានច្រកបាវរួចរាល់</t>
        </is>
      </c>
      <c r="I1221" s="74" t="inlineStr">
        <is>
          <t>ខ្ចប់</t>
        </is>
      </c>
      <c r="J1221" s="217" t="inlineStr">
        <is>
          <t>"packing.packageComplete": "Packed",</t>
        </is>
      </c>
    </row>
    <row r="1222" ht="15.75" customHeight="1" s="305">
      <c r="A1222" s="67" t="inlineStr">
        <is>
          <t>packing.destination</t>
        </is>
      </c>
      <c r="B1222" s="67" t="inlineStr">
        <is>
          <t>Điểm đến</t>
        </is>
      </c>
      <c r="C1222" s="67" t="inlineStr">
        <is>
          <t>Destination</t>
        </is>
      </c>
      <c r="D1222" s="3">
        <f>IFERROR(__xludf.DUMMYFUNCTION("GOOGLETRANSLATE(B1222,""vi"",""km"")"),"គោលដៅ")</f>
        <v/>
      </c>
      <c r="E1222" s="3" t="inlineStr">
        <is>
          <t>ចំណុចមកដល់</t>
        </is>
      </c>
      <c r="F1222" s="217" t="inlineStr">
        <is>
          <t>v</t>
        </is>
      </c>
      <c r="G1222" s="217" t="inlineStr">
        <is>
          <t>គោលដៅ</t>
        </is>
      </c>
      <c r="H1222" t="inlineStr">
        <is>
          <t>គោលដៅ</t>
        </is>
      </c>
      <c r="I1222" s="74" t="inlineStr">
        <is>
          <t>គោលដៅ</t>
        </is>
      </c>
      <c r="J1222" s="217" t="inlineStr">
        <is>
          <t>"packing.destination": "Destination",</t>
        </is>
      </c>
    </row>
    <row r="1223" ht="15.75" customHeight="1" s="305">
      <c r="A1223" s="67" t="inlineStr">
        <is>
          <t>packing.detailDestination</t>
        </is>
      </c>
      <c r="B1223" s="67" t="inlineStr">
        <is>
          <t>Chi tiết điểm đến</t>
        </is>
      </c>
      <c r="C1223" s="67" t="inlineStr">
        <is>
          <t>Destination details</t>
        </is>
      </c>
      <c r="D1223" s="3">
        <f>IFERROR(__xludf.DUMMYFUNCTION("GOOGLETRANSLATE(B1223,""vi"",""km"")"),"ព័ត៌មានលម្អិតអំពីគោលដៅ")</f>
        <v/>
      </c>
      <c r="E1223" s="3" t="inlineStr">
        <is>
          <t>លម្អិតទីតាំងមកដល់</t>
        </is>
      </c>
      <c r="F1223" s="217" t="inlineStr">
        <is>
          <t>v</t>
        </is>
      </c>
      <c r="G1223" s="217" t="inlineStr">
        <is>
          <t>លម្អិតទីតាំងមកដល់</t>
        </is>
      </c>
      <c r="H1223" t="inlineStr">
        <is>
          <t>លម្អិតទីតាំងមកដល់</t>
        </is>
      </c>
      <c r="I1223" s="74" t="inlineStr">
        <is>
          <t>ព័ត៌មានលម្អិតអំពីទិសដៅ</t>
        </is>
      </c>
      <c r="J1223" s="217" t="inlineStr">
        <is>
          <t>"packing.detailDestination": "Destination details",</t>
        </is>
      </c>
    </row>
    <row r="1224" ht="15.75" customHeight="1" s="305">
      <c r="A1224" s="67" t="inlineStr">
        <is>
          <t>packing.enterDestination</t>
        </is>
      </c>
      <c r="B1224" s="67" t="inlineStr">
        <is>
          <t>Nhập điểm đến</t>
        </is>
      </c>
      <c r="C1224" s="67" t="inlineStr">
        <is>
          <t>Enter destination</t>
        </is>
      </c>
      <c r="D1224" s="3">
        <f>IFERROR(__xludf.DUMMYFUNCTION("GOOGLETRANSLATE(B1224,""vi"",""km"")"),"បញ្ចូលគោលដៅ")</f>
        <v/>
      </c>
      <c r="E1224" s="3" t="inlineStr">
        <is>
          <t>បញ្ចូលទីតាំងមកដល់</t>
        </is>
      </c>
      <c r="F1224" s="217" t="inlineStr">
        <is>
          <t>v</t>
        </is>
      </c>
      <c r="G1224" s="217" t="inlineStr">
        <is>
          <t>បញ្ចូលទីតាំងមកដល់</t>
        </is>
      </c>
      <c r="H1224" t="inlineStr">
        <is>
          <t>បញ្ចូលទីតាំងមកដល់</t>
        </is>
      </c>
      <c r="I1224" s="74" t="inlineStr">
        <is>
          <t>បញ្ចូលគោលដៅ</t>
        </is>
      </c>
      <c r="J1224" s="217" t="inlineStr">
        <is>
          <t>"packing.enterDestination": "Enter destination",</t>
        </is>
      </c>
    </row>
    <row r="1225" ht="15.75" customHeight="1" s="305">
      <c r="A1225" s="67" t="inlineStr">
        <is>
          <t>packing.GOODS</t>
        </is>
      </c>
      <c r="B1225" s="67" t="inlineStr">
        <is>
          <t>Hàng nhỏ</t>
        </is>
      </c>
      <c r="C1225" s="67" t="inlineStr">
        <is>
          <t>Small-sized</t>
        </is>
      </c>
      <c r="D1225" s="3">
        <f>IFERROR(__xludf.DUMMYFUNCTION("GOOGLETRANSLATE(B1225,""vi"",""km"")"),"របស់របរតូចៗ")</f>
        <v/>
      </c>
      <c r="E1225" s="3" t="inlineStr">
        <is>
          <t>អីវ៉ាន់តូចៗ</t>
        </is>
      </c>
      <c r="F1225" s="217" t="inlineStr">
        <is>
          <t>v</t>
        </is>
      </c>
      <c r="G1225" s="217" t="inlineStr">
        <is>
          <t>អីវ៉ាន់តូចៗ</t>
        </is>
      </c>
      <c r="H1225" t="inlineStr">
        <is>
          <t>អីវ៉ាន់តូចៗ</t>
        </is>
      </c>
      <c r="I1225" s="74" t="inlineStr">
        <is>
          <t>ទំហំតូច</t>
        </is>
      </c>
      <c r="J1225" s="217" t="inlineStr">
        <is>
          <t>"packing.GOODS": "Small-sized",</t>
        </is>
      </c>
    </row>
    <row r="1226" ht="15.75" customHeight="1" s="305">
      <c r="A1226" s="67" t="inlineStr">
        <is>
          <t>packing.DOCUMENT</t>
        </is>
      </c>
      <c r="B1226" s="67" t="inlineStr">
        <is>
          <t>Thư</t>
        </is>
      </c>
      <c r="C1226" s="67" t="inlineStr">
        <is>
          <t>Documents</t>
        </is>
      </c>
      <c r="D1226" s="3">
        <f>IFERROR(__xludf.DUMMYFUNCTION("GOOGLETRANSLATE(B1226,""vi"",""km"")"),"សំបុត្រ")</f>
        <v/>
      </c>
      <c r="E1226" s="3" t="inlineStr">
        <is>
          <t>សំបុត្រ</t>
        </is>
      </c>
      <c r="F1226" s="217" t="inlineStr">
        <is>
          <t>v</t>
        </is>
      </c>
      <c r="G1226" s="217" t="inlineStr">
        <is>
          <t>សំបុត្រ</t>
        </is>
      </c>
      <c r="H1226" t="inlineStr">
        <is>
          <t>សំបុត្រ</t>
        </is>
      </c>
      <c r="I1226" s="74" t="inlineStr">
        <is>
          <t>ឯកសារ</t>
        </is>
      </c>
      <c r="J1226" s="217" t="inlineStr">
        <is>
          <t>"packing.DOCUMENT": "Documents",</t>
        </is>
      </c>
    </row>
    <row r="1227" ht="15.75" customHeight="1" s="305">
      <c r="A1227" s="67" t="inlineStr">
        <is>
          <t>packing.totalPackages</t>
        </is>
      </c>
      <c r="B1227" s="67" t="inlineStr">
        <is>
          <t>Số lượng bưu phẩm</t>
        </is>
      </c>
      <c r="C1227" s="67" t="inlineStr">
        <is>
          <t>Quantity of parcels</t>
        </is>
      </c>
      <c r="D1227" s="3">
        <f>IFERROR(__xludf.DUMMYFUNCTION("GOOGLETRANSLATE(B1227,""vi"",""km"")"),"ចំនួន​ក្បាលដី")</f>
        <v/>
      </c>
      <c r="E1227" s="3" t="inlineStr">
        <is>
          <t>ចំនួនអីវ៉ាន់</t>
        </is>
      </c>
      <c r="F1227" s="217" t="inlineStr">
        <is>
          <t>v</t>
        </is>
      </c>
      <c r="G1227" s="217" t="inlineStr">
        <is>
          <t>ចំនួនអីវ៉ាន់</t>
        </is>
      </c>
      <c r="H1227" t="inlineStr">
        <is>
          <t>ចំនួនអីវ៉ាន់</t>
        </is>
      </c>
      <c r="I1227" s="74" t="inlineStr">
        <is>
          <t>បរិមាណនៃកញ្ចប់</t>
        </is>
      </c>
      <c r="J1227" s="217" t="inlineStr">
        <is>
          <t>"packing.totalPackages": "Quantity of parcels",</t>
        </is>
      </c>
    </row>
    <row r="1228" ht="15.75" customHeight="1" s="305">
      <c r="A1228" s="67" t="inlineStr">
        <is>
          <t>packing.weight</t>
        </is>
      </c>
      <c r="B1228" s="67" t="inlineStr">
        <is>
          <t>Trọng lượng (g)</t>
        </is>
      </c>
      <c r="C1228" s="67" t="inlineStr">
        <is>
          <t>Weight (g)</t>
        </is>
      </c>
      <c r="D1228" s="3">
        <f>IFERROR(__xludf.DUMMYFUNCTION("GOOGLETRANSLATE(B1228,""vi"",""km"")"),"ទម្ងន់ (ក្រាម)")</f>
        <v/>
      </c>
      <c r="E1228" s="3" t="inlineStr">
        <is>
          <t>ទម្ងន់(g)</t>
        </is>
      </c>
      <c r="F1228" s="217" t="inlineStr">
        <is>
          <t>v</t>
        </is>
      </c>
      <c r="G1228" s="217" t="inlineStr">
        <is>
          <t>ទម្ងន់(g)</t>
        </is>
      </c>
      <c r="H1228" t="inlineStr">
        <is>
          <t>ទម្ងន់(g)</t>
        </is>
      </c>
      <c r="I1228" s="74" t="inlineStr">
        <is>
          <t>ទម្ងន់ (ក្រាម)</t>
        </is>
      </c>
      <c r="J1228" s="217" t="inlineStr">
        <is>
          <t>"packing.weight": "Weight (g)",</t>
        </is>
      </c>
    </row>
    <row r="1229" ht="15.75" customHeight="1" s="305">
      <c r="A1229" s="67" t="inlineStr">
        <is>
          <t>packing.orderType</t>
        </is>
      </c>
      <c r="B1229" s="67" t="inlineStr">
        <is>
          <t>Loại hàng hoá</t>
        </is>
      </c>
      <c r="C1229" s="67" t="inlineStr">
        <is>
          <t>Freight types</t>
        </is>
      </c>
      <c r="D1229" s="3">
        <f>IFERROR(__xludf.DUMMYFUNCTION("GOOGLETRANSLATE(B1229,""vi"",""km"")"),"ប្រភេទទំនិញ")</f>
        <v/>
      </c>
      <c r="E1229" s="3" t="inlineStr">
        <is>
          <t>ប្រភេទទំនិញ</t>
        </is>
      </c>
      <c r="F1229" s="217" t="inlineStr">
        <is>
          <t>v</t>
        </is>
      </c>
      <c r="G1229" s="217" t="inlineStr">
        <is>
          <t>ប្រភេទទំនិញ</t>
        </is>
      </c>
      <c r="H1229" t="inlineStr">
        <is>
          <t>ប្រភេទទំនិញ</t>
        </is>
      </c>
      <c r="I1229" s="74" t="inlineStr">
        <is>
          <t>ប្រភេទដឹកទំនិញ</t>
        </is>
      </c>
      <c r="J1229" s="217" t="inlineStr">
        <is>
          <t>"packing.orderType": "Freight types",</t>
        </is>
      </c>
    </row>
    <row r="1230" ht="15.75" customHeight="1" s="305">
      <c r="A1230" s="67" t="inlineStr">
        <is>
          <t>packing.totalWarehouse</t>
        </is>
      </c>
      <c r="B1230" s="67" t="inlineStr">
        <is>
          <t>Tổng kho hàng</t>
        </is>
      </c>
      <c r="C1230" s="67" t="inlineStr">
        <is>
          <t>Total warehouse</t>
        </is>
      </c>
      <c r="D1230" s="3">
        <f>IFERROR(__xludf.DUMMYFUNCTION("GOOGLETRANSLATE(B1230,""vi"",""km"")"),"ឃ្លាំង")</f>
        <v/>
      </c>
      <c r="E1230" s="3" t="inlineStr">
        <is>
          <t>សរុបឃ្លាំងអីវ៉ាន់</t>
        </is>
      </c>
      <c r="F1230" s="217" t="inlineStr">
        <is>
          <t>v</t>
        </is>
      </c>
      <c r="G1230" s="217" t="inlineStr">
        <is>
          <t>សរុបឃ្លាំងអីវ៉ាន់</t>
        </is>
      </c>
      <c r="H1230" t="inlineStr">
        <is>
          <t>សរុបឃ្លាំងអីវ៉ាន់</t>
        </is>
      </c>
      <c r="I1230" s="74" t="inlineStr">
        <is>
          <t>ឃ្លាំងសរុប</t>
        </is>
      </c>
      <c r="J1230" s="217" t="inlineStr">
        <is>
          <t>"packing.totalWarehouse": "Total warehouse",</t>
        </is>
      </c>
    </row>
    <row r="1231" ht="15.75" customHeight="1" s="305">
      <c r="A1231" s="67" t="inlineStr">
        <is>
          <t>packing.totalWeight</t>
        </is>
      </c>
      <c r="B1231" s="67" t="inlineStr">
        <is>
          <t>Tổng trọng lượng</t>
        </is>
      </c>
      <c r="C1231" s="67" t="inlineStr">
        <is>
          <t>Total weight</t>
        </is>
      </c>
      <c r="D1231" s="3">
        <f>IFERROR(__xludf.DUMMYFUNCTION("GOOGLETRANSLATE(B1231,""vi"",""km"")"),"ទម្ងន់សរុប")</f>
        <v/>
      </c>
      <c r="E1231" s="3" t="inlineStr">
        <is>
          <t>សរុបទម្ងន់អីវ៉ាន់</t>
        </is>
      </c>
      <c r="F1231" s="217" t="inlineStr">
        <is>
          <t>v</t>
        </is>
      </c>
      <c r="G1231" s="217" t="inlineStr">
        <is>
          <t>សរុបទម្ងន់អីវ៉ាន់</t>
        </is>
      </c>
      <c r="H1231" t="inlineStr">
        <is>
          <t>សរុបទម្ងន់អីវ៉ាន់</t>
        </is>
      </c>
      <c r="I1231" s="74" t="inlineStr">
        <is>
          <t>ទំងន់សរុប</t>
        </is>
      </c>
      <c r="J1231" s="217" t="inlineStr">
        <is>
          <t>"packing.totalWeight": "Total weight",</t>
        </is>
      </c>
    </row>
    <row r="1232" ht="15.75" customHeight="1" s="305">
      <c r="A1232" s="67" t="inlineStr">
        <is>
          <t>packing.packageIncompleteList</t>
        </is>
      </c>
      <c r="B1232" s="67" t="inlineStr">
        <is>
          <t>Danh sách chưa đóng</t>
        </is>
      </c>
      <c r="C1232" s="67" t="inlineStr">
        <is>
          <t>Incomplete list</t>
        </is>
      </c>
      <c r="D1232" s="3">
        <f>IFERROR(__xludf.DUMMYFUNCTION("GOOGLETRANSLATE(B1232,""vi"",""km"")"),"បញ្ជីនេះមិនទាន់បិទនៅឡើយទេ។")</f>
        <v/>
      </c>
      <c r="E1232" s="3" t="inlineStr">
        <is>
          <t>បញ្ជីមិនទាន់បានបិទ</t>
        </is>
      </c>
      <c r="F1232" s="217" t="inlineStr">
        <is>
          <t>v</t>
        </is>
      </c>
      <c r="G1232" s="217" t="inlineStr">
        <is>
          <t>បញ្ជីមិនទាន់បានបិទ</t>
        </is>
      </c>
      <c r="H1232" t="inlineStr">
        <is>
          <t>បញ្ជីមិនទាន់បានបិទ</t>
        </is>
      </c>
      <c r="I1232" s="74" t="inlineStr">
        <is>
          <t>បញ្ជីមិនពេញលេញ</t>
        </is>
      </c>
      <c r="J1232" s="217" t="inlineStr">
        <is>
          <t>"packing.packageIncompleteList": "Incomplete list",</t>
        </is>
      </c>
    </row>
    <row r="1233" ht="15.75" customHeight="1" s="305">
      <c r="A1233" s="67" t="inlineStr">
        <is>
          <t>packing.status</t>
        </is>
      </c>
      <c r="B1233" s="67" t="inlineStr">
        <is>
          <t>Trạng thái</t>
        </is>
      </c>
      <c r="C1233" s="67" t="inlineStr">
        <is>
          <t>Status</t>
        </is>
      </c>
      <c r="D1233" s="3">
        <f>IFERROR(__xludf.DUMMYFUNCTION("GOOGLETRANSLATE(B1233,""vi"",""km"")"),"ស្ថានភាព")</f>
        <v/>
      </c>
      <c r="E1233" s="3" t="inlineStr">
        <is>
          <t>ស្ថានភាព</t>
        </is>
      </c>
      <c r="F1233" s="217" t="inlineStr">
        <is>
          <t>v</t>
        </is>
      </c>
      <c r="G1233" s="217" t="inlineStr">
        <is>
          <t>ស្ថានភាព</t>
        </is>
      </c>
      <c r="H1233" t="inlineStr">
        <is>
          <t>ស្ថានភាព</t>
        </is>
      </c>
      <c r="I1233" s="74" t="inlineStr">
        <is>
          <t>ស្ថានភាព</t>
        </is>
      </c>
      <c r="J1233" s="217" t="inlineStr">
        <is>
          <t>"packing.status": "Status",</t>
        </is>
      </c>
    </row>
    <row r="1234" ht="15.75" customHeight="1" s="305">
      <c r="A1234" s="67" t="inlineStr">
        <is>
          <t>packing.allStatus</t>
        </is>
      </c>
      <c r="B1234" s="67" t="inlineStr">
        <is>
          <t>Tất cả trạng thái</t>
        </is>
      </c>
      <c r="C1234" s="67" t="inlineStr">
        <is>
          <t>All status</t>
        </is>
      </c>
      <c r="D1234" s="3">
        <f>IFERROR(__xludf.DUMMYFUNCTION("GOOGLETRANSLATE(B1234,""vi"",""km"")"),"រដ្ឋទាំងអស់")</f>
        <v/>
      </c>
      <c r="E1234" s="3" t="inlineStr">
        <is>
          <t>ស្ថានភាពទាំងអស់</t>
        </is>
      </c>
      <c r="F1234" s="217" t="inlineStr">
        <is>
          <t>v</t>
        </is>
      </c>
      <c r="G1234" s="217" t="inlineStr">
        <is>
          <t>ស្ថានភាពទាំងអស់</t>
        </is>
      </c>
      <c r="H1234" t="inlineStr">
        <is>
          <t>ស្ថានភាពទាំងអស់</t>
        </is>
      </c>
      <c r="I1234" s="74" t="inlineStr">
        <is>
          <t>ស្ថានភាពទាំងអស់</t>
        </is>
      </c>
      <c r="J1234" s="217" t="inlineStr">
        <is>
          <t>"packing.allStatus": "All status",</t>
        </is>
      </c>
    </row>
    <row r="1235" ht="15.75" customHeight="1" s="305">
      <c r="A1235" s="67" t="inlineStr">
        <is>
          <t>packing.all</t>
        </is>
      </c>
      <c r="B1235" s="67" t="inlineStr">
        <is>
          <t>Tất cả</t>
        </is>
      </c>
      <c r="C1235" s="67" t="inlineStr">
        <is>
          <t>All</t>
        </is>
      </c>
      <c r="D1235" s="3">
        <f>IFERROR(__xludf.DUMMYFUNCTION("GOOGLETRANSLATE(B1235,""vi"",""km"")"),"ទាំងអស់")</f>
        <v/>
      </c>
      <c r="E1235" s="3" t="inlineStr">
        <is>
          <t>ទាំងអស់</t>
        </is>
      </c>
      <c r="F1235" s="217" t="inlineStr">
        <is>
          <t>v</t>
        </is>
      </c>
      <c r="G1235" s="217" t="inlineStr">
        <is>
          <t>ទាំងអស់</t>
        </is>
      </c>
      <c r="H1235" t="inlineStr">
        <is>
          <t>ទាំងអស់</t>
        </is>
      </c>
      <c r="I1235" s="74" t="inlineStr">
        <is>
          <t>ទាំងអស់</t>
        </is>
      </c>
      <c r="J1235" s="217" t="inlineStr">
        <is>
          <t>"packing.all": "All",</t>
        </is>
      </c>
    </row>
    <row r="1236" ht="15.75" customHeight="1" s="305">
      <c r="A1236" s="67" t="inlineStr">
        <is>
          <t>packing.orderCode</t>
        </is>
      </c>
      <c r="B1236" s="67" t="inlineStr">
        <is>
          <t>Mã phiếu gửi</t>
        </is>
      </c>
      <c r="C1236" s="67" t="inlineStr">
        <is>
          <t>Postal slip code</t>
        </is>
      </c>
      <c r="D1236" s="3">
        <f>IFERROR(__xludf.DUMMYFUNCTION("GOOGLETRANSLATE(B1236,""vi"",""km"")"),"លេខកូដបង្កាន់ដៃ")</f>
        <v/>
      </c>
      <c r="E1236" s="3" t="inlineStr">
        <is>
          <t>លេខកូដបុងបញ្ញើ</t>
        </is>
      </c>
      <c r="F1236" s="217" t="inlineStr">
        <is>
          <t>v</t>
        </is>
      </c>
      <c r="G1236" s="217" t="inlineStr">
        <is>
          <t>លេខកូដបុងបញ្ញើ</t>
        </is>
      </c>
      <c r="H1236" t="inlineStr">
        <is>
          <t>លេខកូដបុងបញ្ញើ</t>
        </is>
      </c>
      <c r="I1236" s="74" t="inlineStr">
        <is>
          <t>លេខកូដប្រៃសណីយ៍</t>
        </is>
      </c>
      <c r="J1236" s="217" t="inlineStr">
        <is>
          <t>"packing.orderCode": "Postal slip code",</t>
        </is>
      </c>
    </row>
    <row r="1237" ht="15.75" customHeight="1" s="305">
      <c r="A1237" s="67" t="inlineStr">
        <is>
          <t>packing.enterOrderCode</t>
        </is>
      </c>
      <c r="B1237" s="67" t="inlineStr">
        <is>
          <t>Nhập mã phiếu gửi</t>
        </is>
      </c>
      <c r="C1237" s="67" t="inlineStr">
        <is>
          <t>Enter postal slip code</t>
        </is>
      </c>
      <c r="D1237" s="3">
        <f>IFERROR(__xludf.DUMMYFUNCTION("GOOGLETRANSLATE(B1237,""vi"",""km"")"),"បញ្ចូលលេខកូដប័ណ្ណដឹកជញ្ជូន")</f>
        <v/>
      </c>
      <c r="E1237" s="3" t="inlineStr">
        <is>
          <t>បញ្ចូលលេខកូដបុងបញ្ញើ</t>
        </is>
      </c>
      <c r="F1237" s="217" t="inlineStr">
        <is>
          <t>v</t>
        </is>
      </c>
      <c r="G1237" s="217" t="inlineStr">
        <is>
          <t>បញ្ចូលលេខកូដបុងបញ្ញើ</t>
        </is>
      </c>
      <c r="H1237" t="inlineStr">
        <is>
          <t>បញ្ចូលលេខកូដបុងបញ្ញើ</t>
        </is>
      </c>
      <c r="I1237" s="74" t="inlineStr">
        <is>
          <t>បញ្ចូលលេខកូដប្រៃសណីយ៍</t>
        </is>
      </c>
      <c r="J1237" s="217" t="inlineStr">
        <is>
          <t>"packing.enterOrderCode": "Enter postal slip code",</t>
        </is>
      </c>
    </row>
    <row r="1238" ht="15.75" customHeight="1" s="305">
      <c r="A1238" s="67" t="inlineStr">
        <is>
          <t>packing.print</t>
        </is>
      </c>
      <c r="B1238" s="67" t="inlineStr">
        <is>
          <t>In đơn</t>
        </is>
      </c>
      <c r="C1238" s="67" t="inlineStr">
        <is>
          <t>Print</t>
        </is>
      </c>
      <c r="D1238" s="3">
        <f>IFERROR(__xludf.DUMMYFUNCTION("GOOGLETRANSLATE(B1238,""vi"",""km"")"),"ការបញ្ជាទិញបោះពុម្ព")</f>
        <v/>
      </c>
      <c r="E1238" s="3" t="inlineStr">
        <is>
          <t>ព្រីនបុងបញ្ញើ</t>
        </is>
      </c>
      <c r="F1238" s="217" t="inlineStr">
        <is>
          <t>v</t>
        </is>
      </c>
      <c r="G1238" s="217" t="inlineStr">
        <is>
          <t>ព្រីនបុងបញ្ញើ</t>
        </is>
      </c>
      <c r="H1238" t="inlineStr">
        <is>
          <t>ព្រីនបុងបញ្ញើ</t>
        </is>
      </c>
      <c r="I1238" s="74" t="inlineStr">
        <is>
          <t>បោះពុម្ព</t>
        </is>
      </c>
      <c r="J1238" s="217" t="inlineStr">
        <is>
          <t>"packing.print": "Print",</t>
        </is>
      </c>
    </row>
    <row r="1239" ht="15.75" customHeight="1" s="305">
      <c r="A1239" s="67" t="inlineStr">
        <is>
          <t>packing.selected</t>
        </is>
      </c>
      <c r="B1239" s="67" t="inlineStr">
        <is>
          <t>Đã chọn</t>
        </is>
      </c>
      <c r="C1239" s="67" t="inlineStr">
        <is>
          <t>Selected</t>
        </is>
      </c>
      <c r="D1239" s="3">
        <f>IFERROR(__xludf.DUMMYFUNCTION("GOOGLETRANSLATE(B1239,""vi"",""km"")"),"បានជ្រើសរើស")</f>
        <v/>
      </c>
      <c r="E1239" s="3" t="inlineStr">
        <is>
          <t>បានជ្រើសរើស</t>
        </is>
      </c>
      <c r="F1239" s="217" t="inlineStr">
        <is>
          <t>v</t>
        </is>
      </c>
      <c r="G1239" s="217" t="inlineStr">
        <is>
          <t>បានជ្រើសរើស</t>
        </is>
      </c>
      <c r="H1239" t="inlineStr">
        <is>
          <t>បានជ្រើសរើស</t>
        </is>
      </c>
      <c r="I1239" s="74" t="inlineStr">
        <is>
          <t>បានជ្រើសរើស</t>
        </is>
      </c>
      <c r="J1239" s="217" t="inlineStr">
        <is>
          <t>"packing.selected": "Selected",</t>
        </is>
      </c>
    </row>
    <row r="1240" ht="15.75" customHeight="1" s="305">
      <c r="A1240" s="67" t="inlineStr">
        <is>
          <t>packing.emptyOrder</t>
        </is>
      </c>
      <c r="B1240" s="67" t="inlineStr">
        <is>
          <t>Vui lòng chọn đơn cần in</t>
        </is>
      </c>
      <c r="C1240" s="67" t="inlineStr">
        <is>
          <t>Please select the order to print</t>
        </is>
      </c>
      <c r="D1240" s="3">
        <f>IFERROR(__xludf.DUMMYFUNCTION("GOOGLETRANSLATE(B1240,""vi"",""km"")"),"សូមជ្រើសរើសការបញ្ជាទិញដែលអ្នកចង់បោះពុម្ព។")</f>
        <v/>
      </c>
      <c r="E1240" s="3" t="inlineStr">
        <is>
          <t>សូមមេត្តាជ្រើសរើសបុងបញ្ញើដែលត្រូវព្រីន</t>
        </is>
      </c>
      <c r="F1240" s="217" t="inlineStr">
        <is>
          <t>v</t>
        </is>
      </c>
      <c r="G1240" s="217" t="inlineStr">
        <is>
          <t>សូមមេត្តាជ្រើសរើសបុងបញ្ញើដែលត្រូវព្រីន</t>
        </is>
      </c>
      <c r="H1240" t="inlineStr">
        <is>
          <t>សូមមេត្តាជ្រើសរើសបុងបញ្ញើដែលត្រូវព្រីន</t>
        </is>
      </c>
      <c r="I1240" s="74" t="inlineStr">
        <is>
          <t>សូមជ្រើសរើសការបញ្ជាទិញដើម្បីបោះពុម្ព</t>
        </is>
      </c>
      <c r="J1240" s="217" t="inlineStr">
        <is>
          <t>"packing.emptyOrder": "Please select the order to print",</t>
        </is>
      </c>
    </row>
    <row r="1241" ht="15.75" customHeight="1" s="305">
      <c r="A1241" s="67" t="inlineStr">
        <is>
          <t>packing.service</t>
        </is>
      </c>
      <c r="B1241" s="67" t="inlineStr">
        <is>
          <t>Dịch vụ</t>
        </is>
      </c>
      <c r="C1241" s="67" t="inlineStr">
        <is>
          <t>Service</t>
        </is>
      </c>
      <c r="D1241" s="3">
        <f>IFERROR(__xludf.DUMMYFUNCTION("GOOGLETRANSLATE(B1241,""vi"",""km"")"),"សេវាកម្ម")</f>
        <v/>
      </c>
      <c r="E1241" s="3" t="inlineStr">
        <is>
          <t>សេវាកម្ម</t>
        </is>
      </c>
      <c r="F1241" s="217" t="inlineStr">
        <is>
          <t>v</t>
        </is>
      </c>
      <c r="G1241" s="217" t="inlineStr">
        <is>
          <t>សេវាកម្ម</t>
        </is>
      </c>
      <c r="H1241" t="inlineStr">
        <is>
          <t>សេវាកម្ម</t>
        </is>
      </c>
      <c r="I1241" s="74" t="inlineStr">
        <is>
          <t>សេវាកម្ម</t>
        </is>
      </c>
      <c r="J1241" s="217" t="inlineStr">
        <is>
          <t>"packing.service": "Service",</t>
        </is>
      </c>
    </row>
    <row r="1242" ht="15.75" customHeight="1" s="305">
      <c r="A1242" s="67" t="inlineStr">
        <is>
          <t>packing.address</t>
        </is>
      </c>
      <c r="B1242" s="67" t="inlineStr">
        <is>
          <t>Địa chỉ</t>
        </is>
      </c>
      <c r="C1242" s="67" t="inlineStr">
        <is>
          <t>Address</t>
        </is>
      </c>
      <c r="D1242" s="3">
        <f>IFERROR(__xludf.DUMMYFUNCTION("GOOGLETRANSLATE(B1242,""vi"",""km"")"),"អាសយដ្ឋាន")</f>
        <v/>
      </c>
      <c r="E1242" s="3" t="inlineStr">
        <is>
          <t>អាស័យដ្ឋាន</t>
        </is>
      </c>
      <c r="F1242" s="217" t="inlineStr">
        <is>
          <t>v</t>
        </is>
      </c>
      <c r="G1242" s="217" t="inlineStr">
        <is>
          <t>អាសយដ្ឋាន</t>
        </is>
      </c>
      <c r="H1242" t="inlineStr">
        <is>
          <t>អាសយដ្ឋាន</t>
        </is>
      </c>
      <c r="I1242" s="74" t="inlineStr">
        <is>
          <t>អាស័យដ្ឋាន</t>
        </is>
      </c>
      <c r="J1242" s="217" t="inlineStr">
        <is>
          <t>"packing.address": "Address",</t>
        </is>
      </c>
    </row>
    <row r="1243" ht="15.75" customHeight="1" s="305">
      <c r="A1243" s="67" t="inlineStr">
        <is>
          <t>packing.parcel</t>
        </is>
      </c>
      <c r="B1243" s="67" t="inlineStr">
        <is>
          <t>Hàng hoá</t>
        </is>
      </c>
      <c r="C1243" s="67" t="inlineStr">
        <is>
          <t>Goods</t>
        </is>
      </c>
      <c r="D1243" s="3">
        <f>IFERROR(__xludf.DUMMYFUNCTION("GOOGLETRANSLATE(B1243,""vi"",""km"")"),"ទំនិញ")</f>
        <v/>
      </c>
      <c r="E1243" s="3" t="inlineStr">
        <is>
          <t>អីវ៉ាន់</t>
        </is>
      </c>
      <c r="F1243" s="217" t="inlineStr">
        <is>
          <t>v</t>
        </is>
      </c>
      <c r="G1243" s="217" t="inlineStr">
        <is>
          <t>អីវ៉ាន់</t>
        </is>
      </c>
      <c r="H1243" t="inlineStr">
        <is>
          <t>អីវ៉ាន់</t>
        </is>
      </c>
      <c r="I1243" s="74" t="inlineStr">
        <is>
          <t>ទំនិញ</t>
        </is>
      </c>
      <c r="J1243" s="217" t="inlineStr">
        <is>
          <t>"packing.parcel": "Goods",</t>
        </is>
      </c>
    </row>
    <row r="1244" ht="15.75" customHeight="1" s="305">
      <c r="A1244" s="67" t="inlineStr">
        <is>
          <t>packing.typeAll</t>
        </is>
      </c>
      <c r="B1244" s="67" t="inlineStr">
        <is>
          <t>Tất cả</t>
        </is>
      </c>
      <c r="C1244" s="67" t="inlineStr">
        <is>
          <t>All</t>
        </is>
      </c>
      <c r="D1244" s="3">
        <f>IFERROR(__xludf.DUMMYFUNCTION("GOOGLETRANSLATE(B1244,""vi"",""km"")"),"ទាំងអស់")</f>
        <v/>
      </c>
      <c r="E1244" s="3" t="inlineStr">
        <is>
          <t>ទាំងអស់</t>
        </is>
      </c>
      <c r="F1244" s="217" t="inlineStr">
        <is>
          <t>v</t>
        </is>
      </c>
      <c r="G1244" s="217" t="inlineStr">
        <is>
          <t>ទាំងអស់</t>
        </is>
      </c>
      <c r="H1244" t="inlineStr">
        <is>
          <t>ទាំងអស់</t>
        </is>
      </c>
      <c r="I1244" s="74" t="inlineStr">
        <is>
          <t>ទាំងអស់។</t>
        </is>
      </c>
      <c r="J1244" s="217" t="inlineStr">
        <is>
          <t>"packing.typeAll": "All",</t>
        </is>
      </c>
    </row>
    <row r="1245" ht="15.75" customHeight="1" s="305">
      <c r="A1245" s="67" t="inlineStr">
        <is>
          <t>packing.typeGood</t>
        </is>
      </c>
      <c r="B1245" s="67" t="inlineStr">
        <is>
          <t>Hàng nhỏ</t>
        </is>
      </c>
      <c r="C1245" s="67" t="inlineStr">
        <is>
          <t>Small-sized</t>
        </is>
      </c>
      <c r="D1245" s="3">
        <f>IFERROR(__xludf.DUMMYFUNCTION("GOOGLETRANSLATE(B1245,""vi"",""km"")"),"របស់របរតូចៗ")</f>
        <v/>
      </c>
      <c r="E1245" s="3" t="inlineStr">
        <is>
          <t>អីវ៉ាន់តូចៗ</t>
        </is>
      </c>
      <c r="F1245" s="217" t="inlineStr">
        <is>
          <t>v</t>
        </is>
      </c>
      <c r="G1245" s="217" t="inlineStr">
        <is>
          <t>អីវ៉ាន់តូចៗ</t>
        </is>
      </c>
      <c r="H1245" t="inlineStr">
        <is>
          <t>អីវ៉ាន់តូចៗ</t>
        </is>
      </c>
      <c r="I1245" s="74" t="inlineStr">
        <is>
          <t>ទំហំតូច</t>
        </is>
      </c>
      <c r="J1245" s="217" t="inlineStr">
        <is>
          <t>"packing.typeGood": "Small-sized",</t>
        </is>
      </c>
    </row>
    <row r="1246" ht="15.75" customHeight="1" s="305">
      <c r="A1246" s="67" t="inlineStr">
        <is>
          <t>packing.typeDocument</t>
        </is>
      </c>
      <c r="B1246" s="67" t="inlineStr">
        <is>
          <t>Thư</t>
        </is>
      </c>
      <c r="C1246" s="67" t="inlineStr">
        <is>
          <t>Documents</t>
        </is>
      </c>
      <c r="D1246" s="3">
        <f>IFERROR(__xludf.DUMMYFUNCTION("GOOGLETRANSLATE(B1246,""vi"",""km"")"),"សំបុត្រ")</f>
        <v/>
      </c>
      <c r="E1246" s="3" t="inlineStr">
        <is>
          <t>សំបុុត្រ</t>
        </is>
      </c>
      <c r="F1246" s="217" t="inlineStr">
        <is>
          <t>v</t>
        </is>
      </c>
      <c r="G1246" s="217" t="inlineStr">
        <is>
          <t>សំបុុត្រ</t>
        </is>
      </c>
      <c r="H1246" t="inlineStr">
        <is>
          <t>សំបុុត្រ</t>
        </is>
      </c>
      <c r="I1246" s="74" t="inlineStr">
        <is>
          <t>ឯកសារ</t>
        </is>
      </c>
      <c r="J1246" s="217" t="inlineStr">
        <is>
          <t>"packing.typeDocument": "Documents",</t>
        </is>
      </c>
    </row>
    <row r="1247" ht="15.75" customHeight="1" s="305">
      <c r="A1247" s="67" t="inlineStr">
        <is>
          <t>packing.enterOrderAndDestination</t>
        </is>
      </c>
      <c r="B1247" s="67" t="inlineStr">
        <is>
          <t>Nhập điểm đến, mã tải</t>
        </is>
      </c>
      <c r="C1247" s="67" t="inlineStr">
        <is>
          <t>Enter destination, package code</t>
        </is>
      </c>
      <c r="D1247" s="3">
        <f>IFERROR(__xludf.DUMMYFUNCTION("GOOGLETRANSLATE(B1247,""vi"",""km"")"),"បញ្ចូលគោលដៅ ទាញយកលេខកូដ")</f>
        <v/>
      </c>
      <c r="E1247" s="3" t="inlineStr">
        <is>
          <t>បញ្ចូលទីតាំងមកដល់ លេខកូដកញ្ចប់ទំនិញ</t>
        </is>
      </c>
      <c r="F1247" s="217" t="inlineStr">
        <is>
          <t>x</t>
        </is>
      </c>
      <c r="G1247" s="217" t="inlineStr">
        <is>
          <t>បញ្ចូលទីតាំងមកដល់ លេខកូដកញ្ចប់ទំនិញ</t>
        </is>
      </c>
      <c r="H1247" t="inlineStr">
        <is>
          <t>បញ្ចូលទីតាំងមកដល់ លេខកូដកញ្ចប់ទំនិញ</t>
        </is>
      </c>
      <c r="I1247" s="74" t="inlineStr">
        <is>
          <t>បញ្ចូលគោលដៅ លេខកូដកញ្ចប់</t>
        </is>
      </c>
      <c r="J1247" s="217" t="inlineStr">
        <is>
          <t>"packing.enterOrderAndDestination": "Enter destination, package code",</t>
        </is>
      </c>
    </row>
    <row r="1248" ht="15.75" customHeight="1" s="305">
      <c r="A1248" s="67" t="inlineStr">
        <is>
          <t>packing.parcelCode</t>
        </is>
      </c>
      <c r="B1248" s="67" t="inlineStr">
        <is>
          <t>Mã tải</t>
        </is>
      </c>
      <c r="C1248" s="67" t="inlineStr">
        <is>
          <t>Pack code</t>
        </is>
      </c>
      <c r="D1248" s="3">
        <f>IFERROR(__xludf.DUMMYFUNCTION("GOOGLETRANSLATE(B1248,""vi"",""km"")"),"ទាញយកលេខកូដ")</f>
        <v/>
      </c>
      <c r="E1248" s="3" t="inlineStr">
        <is>
          <t>លេខកូដកញ្ចប់ទំនិញ</t>
        </is>
      </c>
      <c r="F1248" s="217" t="inlineStr">
        <is>
          <t>v</t>
        </is>
      </c>
      <c r="G1248" s="217" t="inlineStr">
        <is>
          <t>លេខកូដកញ្ចប់ទំនិញ</t>
        </is>
      </c>
      <c r="H1248" t="inlineStr">
        <is>
          <t>លេខកូដកញ្ចប់ទំនិញ</t>
        </is>
      </c>
      <c r="I1248" s="74" t="inlineStr">
        <is>
          <t>កូដកញ្ចប់</t>
        </is>
      </c>
      <c r="J1248" s="217" t="inlineStr">
        <is>
          <t>"packing.parcelCode": "Pack code",</t>
        </is>
      </c>
    </row>
    <row r="1249" ht="15.75" customHeight="1" s="305">
      <c r="A1249" s="67" t="inlineStr">
        <is>
          <t>packing.postalCodeAddress</t>
        </is>
      </c>
      <c r="B1249" s="67" t="inlineStr">
        <is>
          <t>Bưu cục đến</t>
        </is>
      </c>
      <c r="C1249" s="67" t="inlineStr">
        <is>
          <t>Receiving post office</t>
        </is>
      </c>
      <c r="D1249" s="3">
        <f>IFERROR(__xludf.DUMMYFUNCTION("GOOGLETRANSLATE(B1249,""vi"",""km"")"),"ការិយាល័យប្រៃសណីយ៍")</f>
        <v/>
      </c>
      <c r="E1249" s="3" t="inlineStr">
        <is>
          <t>ការិយាល័យប្រៃសណីយ៍ដល់</t>
        </is>
      </c>
      <c r="F1249" s="217" t="inlineStr">
        <is>
          <t>v</t>
        </is>
      </c>
      <c r="G1249" s="217" t="inlineStr">
        <is>
          <t>ការិយាល័យប្រៃសណីយ៍គោលដៅ</t>
        </is>
      </c>
      <c r="H1249" t="inlineStr">
        <is>
          <t>ការិយាល័យប្រៃសណីយ៍គោលដៅ</t>
        </is>
      </c>
      <c r="I1249" s="74" t="inlineStr">
        <is>
          <t>ការទទួលការិយាល័យប្រៃសណីយ៍</t>
        </is>
      </c>
      <c r="J1249" s="217" t="inlineStr">
        <is>
          <t>"packing.postalCodeAddress": "Receiving post office",</t>
        </is>
      </c>
    </row>
    <row r="1250" ht="15.75" customHeight="1" s="305">
      <c r="A1250" s="67" t="inlineStr">
        <is>
          <t>packing.quantity</t>
        </is>
      </c>
      <c r="B1250" s="67" t="inlineStr">
        <is>
          <t>Số lượng bưu phẩm</t>
        </is>
      </c>
      <c r="C1250" s="67" t="inlineStr">
        <is>
          <t>Quantity of parcels</t>
        </is>
      </c>
      <c r="D1250" s="3">
        <f>IFERROR(__xludf.DUMMYFUNCTION("GOOGLETRANSLATE(B1250,""vi"",""km"")"),"ចំនួន​ក្បាលដី")</f>
        <v/>
      </c>
      <c r="E1250" s="3" t="inlineStr">
        <is>
          <t>ចំនួនកញ្ចប់ទំនិញ</t>
        </is>
      </c>
      <c r="F1250" s="217" t="inlineStr">
        <is>
          <t>v</t>
        </is>
      </c>
      <c r="G1250" s="217" t="inlineStr">
        <is>
          <t>ចំនួនកញ្ចប់ទំនិញ</t>
        </is>
      </c>
      <c r="H1250" t="inlineStr">
        <is>
          <t>ចំនួនកញ្ចប់ទំនិញ</t>
        </is>
      </c>
      <c r="I1250" s="74" t="inlineStr">
        <is>
          <t>បរិមាណនៃកញ្ចប់</t>
        </is>
      </c>
      <c r="J1250" s="217" t="inlineStr">
        <is>
          <t>"packing.quantity": "Quantity of parcels",</t>
        </is>
      </c>
    </row>
    <row r="1251" ht="15.75" customHeight="1" s="305">
      <c r="A1251" s="67" t="inlineStr">
        <is>
          <t>packing.note</t>
        </is>
      </c>
      <c r="B1251" s="67" t="inlineStr">
        <is>
          <t>Ghi chú</t>
        </is>
      </c>
      <c r="C1251" s="67" t="inlineStr">
        <is>
          <t>Note</t>
        </is>
      </c>
      <c r="D1251" s="3">
        <f>IFERROR(__xludf.DUMMYFUNCTION("GOOGLETRANSLATE(B1251,""vi"",""km"")"),"កំណត់ចំណាំ")</f>
        <v/>
      </c>
      <c r="E1251" s="3" t="inlineStr">
        <is>
          <t>កំណត់ចំណាំ</t>
        </is>
      </c>
      <c r="F1251" s="217" t="inlineStr">
        <is>
          <t>v</t>
        </is>
      </c>
      <c r="G1251" s="217" t="inlineStr">
        <is>
          <t>ចំណាំ</t>
        </is>
      </c>
      <c r="H1251" t="inlineStr">
        <is>
          <t>ចំណាំ</t>
        </is>
      </c>
      <c r="I1251" s="74" t="inlineStr">
        <is>
          <t>ចំណាំ</t>
        </is>
      </c>
      <c r="J1251" s="217" t="inlineStr">
        <is>
          <t>"packing.note": "Note",</t>
        </is>
      </c>
    </row>
    <row r="1252" ht="15.75" customHeight="1" s="305">
      <c r="A1252" s="67" t="inlineStr">
        <is>
          <t>packing.createdAt</t>
        </is>
      </c>
      <c r="B1252" s="67" t="inlineStr">
        <is>
          <t>Thời gian tạo</t>
        </is>
      </c>
      <c r="C1252" s="67" t="inlineStr">
        <is>
          <t>Creation time</t>
        </is>
      </c>
      <c r="D1252" s="3">
        <f>IFERROR(__xludf.DUMMYFUNCTION("GOOGLETRANSLATE(B1252,""vi"",""km"")"),"ពេលវេលាបង្កើត")</f>
        <v/>
      </c>
      <c r="E1252" s="3" t="inlineStr">
        <is>
          <t>ពេលវេលាបង្កើត</t>
        </is>
      </c>
      <c r="F1252" s="217" t="inlineStr">
        <is>
          <t>v</t>
        </is>
      </c>
      <c r="G1252" s="217" t="inlineStr">
        <is>
          <t>ពេលវេលាបង្កើត</t>
        </is>
      </c>
      <c r="H1252" t="inlineStr">
        <is>
          <t>ពេលវេលាបង្កើត</t>
        </is>
      </c>
      <c r="I1252" s="74" t="inlineStr">
        <is>
          <t>ពេលវេលាបង្កើត</t>
        </is>
      </c>
      <c r="J1252" s="217" t="inlineStr">
        <is>
          <t>"packing.createdAt": "Creation time",</t>
        </is>
      </c>
    </row>
    <row r="1253" ht="15.75" customHeight="1" s="305">
      <c r="A1253" s="67" t="inlineStr">
        <is>
          <t>packing.totalPackage</t>
        </is>
      </c>
      <c r="B1253" s="67" t="inlineStr">
        <is>
          <t>Tổng tải</t>
        </is>
      </c>
      <c r="C1253" s="67" t="inlineStr">
        <is>
          <t>Total package</t>
        </is>
      </c>
      <c r="D1253" s="3">
        <f>IFERROR(__xludf.DUMMYFUNCTION("GOOGLETRANSLATE(B1253,""vi"",""km"")"),"បន្ទុកសរុប")</f>
        <v/>
      </c>
      <c r="E1253" s="3" t="inlineStr">
        <is>
          <t>សរុបកញ្ចប់ទំនិញ</t>
        </is>
      </c>
      <c r="F1253" s="217" t="inlineStr">
        <is>
          <t>v</t>
        </is>
      </c>
      <c r="G1253" s="217" t="inlineStr">
        <is>
          <t>សរុបកញ្ចប់ទំនិញ</t>
        </is>
      </c>
      <c r="H1253" t="inlineStr">
        <is>
          <t>សរុបកញ្ចប់ទំនិញ</t>
        </is>
      </c>
      <c r="I1253" s="74" t="inlineStr">
        <is>
          <t>កញ្ចប់សរុប</t>
        </is>
      </c>
      <c r="J1253" s="217" t="inlineStr">
        <is>
          <t>"packing.totalPackage": "Total package",</t>
        </is>
      </c>
    </row>
    <row r="1254" ht="15.75" customHeight="1" s="305">
      <c r="A1254" s="67" t="inlineStr">
        <is>
          <t>packing.groupmanually</t>
        </is>
      </c>
      <c r="B1254" s="67" t="inlineStr">
        <is>
          <t>Gom bưu</t>
        </is>
      </c>
      <c r="C1254" s="67" t="inlineStr">
        <is>
          <t>Group order</t>
        </is>
      </c>
      <c r="D1254" s="3">
        <f>IFERROR(__xludf.DUMMYFUNCTION("GOOGLETRANSLATE(B1254,""vi"",""km"")"),"ប្រមូលសំបុត្រ")</f>
        <v/>
      </c>
      <c r="E1254" s="3" t="inlineStr">
        <is>
          <t>ប្រមូលអីវ៉ាន់</t>
        </is>
      </c>
      <c r="F1254" s="217" t="inlineStr">
        <is>
          <t>v</t>
        </is>
      </c>
      <c r="G1254" s="217" t="inlineStr">
        <is>
          <t>ប្រមូលផ្តុំកញ្ចប់បញ្ញើ</t>
        </is>
      </c>
      <c r="H1254" t="inlineStr">
        <is>
          <t>ប្រមូលផ្តុំកញ្ចប់បញ្ញើ</t>
        </is>
      </c>
      <c r="I1254" s="74" t="inlineStr">
        <is>
          <t>ក្រុមបញ្ជាទិញ</t>
        </is>
      </c>
      <c r="J1254" s="217" t="inlineStr">
        <is>
          <t>"packing.groupmanually": "Group order",</t>
        </is>
      </c>
    </row>
    <row r="1255" ht="15.75" customHeight="1" s="305">
      <c r="A1255" s="67" t="inlineStr">
        <is>
          <t>packing.listType</t>
        </is>
      </c>
      <c r="B1255" s="67" t="inlineStr">
        <is>
          <t>Loại bảng kê</t>
        </is>
      </c>
      <c r="C1255" s="67" t="inlineStr">
        <is>
          <t>Checklist type</t>
        </is>
      </c>
      <c r="D1255" s="3">
        <f>IFERROR(__xludf.DUMMYFUNCTION("GOOGLETRANSLATE(B1255,""vi"",""km"")"),"ប្រភេទនៃសេចក្តីថ្លែងការណ៍")</f>
        <v/>
      </c>
      <c r="E1255" s="3" t="inlineStr">
        <is>
          <t>ប្រភេទតារាង</t>
        </is>
      </c>
      <c r="F1255" s="217" t="inlineStr">
        <is>
          <t>x</t>
        </is>
      </c>
      <c r="G1255" s="217" t="inlineStr">
        <is>
          <t>ប្រភេទតារាង</t>
        </is>
      </c>
      <c r="H1255" t="inlineStr">
        <is>
          <t>ប្រភេទតារាង</t>
        </is>
      </c>
      <c r="I1255" s="74" t="inlineStr">
        <is>
          <t>ប្រភេទបញ្ជីត្រួតពិនិត្យ</t>
        </is>
      </c>
      <c r="J1255" s="217" t="inlineStr">
        <is>
          <t>"packing.listType": "Checklist type",</t>
        </is>
      </c>
    </row>
    <row r="1256" ht="15.75" customHeight="1" s="305">
      <c r="A1256" s="67" t="inlineStr">
        <is>
          <t>packing.direct</t>
        </is>
      </c>
      <c r="B1256" s="67" t="inlineStr">
        <is>
          <t>Trực tiếp</t>
        </is>
      </c>
      <c r="C1256" s="67" t="inlineStr">
        <is>
          <t>On-site</t>
        </is>
      </c>
      <c r="D1256" s="3">
        <f>IFERROR(__xludf.DUMMYFUNCTION("GOOGLETRANSLATE(B1256,""vi"",""km"")"),"ផ្ទាល់")</f>
        <v/>
      </c>
      <c r="E1256" s="3" t="inlineStr">
        <is>
          <t>ដោយផ្ទាល់</t>
        </is>
      </c>
      <c r="F1256" s="217" t="inlineStr">
        <is>
          <t>v</t>
        </is>
      </c>
      <c r="G1256" s="217" t="inlineStr">
        <is>
          <t>ដោយផ្ទាល់</t>
        </is>
      </c>
      <c r="H1256" t="inlineStr">
        <is>
          <t>ដោយផ្ទាល់</t>
        </is>
      </c>
      <c r="I1256" s="74" t="inlineStr">
        <is>
          <t>នៅនឹងកន្លែង</t>
        </is>
      </c>
      <c r="J1256" s="217" t="inlineStr">
        <is>
          <t>"packing.direct": "On-site",</t>
        </is>
      </c>
    </row>
    <row r="1257" ht="15.75" customHeight="1" s="305">
      <c r="A1257" s="67" t="inlineStr">
        <is>
          <t>packing.parcelType</t>
        </is>
      </c>
      <c r="B1257" s="67" t="inlineStr">
        <is>
          <t>Loại hàng hoá</t>
        </is>
      </c>
      <c r="C1257" s="67" t="inlineStr">
        <is>
          <t>Freight types</t>
        </is>
      </c>
      <c r="D1257" s="3">
        <f>IFERROR(__xludf.DUMMYFUNCTION("GOOGLETRANSLATE(B1257,""vi"",""km"")"),"ប្រភេទទំនិញ")</f>
        <v/>
      </c>
      <c r="E1257" s="3" t="inlineStr">
        <is>
          <t>ប្រភេទទំនិញ</t>
        </is>
      </c>
      <c r="F1257" s="217" t="inlineStr">
        <is>
          <t>v</t>
        </is>
      </c>
      <c r="G1257" s="217" t="inlineStr">
        <is>
          <t>ប្រភេទទំនិញ</t>
        </is>
      </c>
      <c r="H1257" t="inlineStr">
        <is>
          <t>ប្រភេទទំនិញ</t>
        </is>
      </c>
      <c r="I1257" s="74" t="inlineStr">
        <is>
          <t>ប្រភេទដឹកទំនិញ</t>
        </is>
      </c>
      <c r="J1257" s="217" t="inlineStr">
        <is>
          <t>"packing.parcelType": "Freight types",</t>
        </is>
      </c>
    </row>
    <row r="1258" ht="15.75" customHeight="1" s="305">
      <c r="A1258" s="67" t="inlineStr">
        <is>
          <t>packing.toAddress</t>
        </is>
      </c>
      <c r="B1258" s="67" t="inlineStr">
        <is>
          <t>Nơi đến</t>
        </is>
      </c>
      <c r="C1258" s="67" t="inlineStr">
        <is>
          <t>Destination</t>
        </is>
      </c>
      <c r="D1258" s="3">
        <f>IFERROR(__xludf.DUMMYFUNCTION("GOOGLETRANSLATE(B1258,""vi"",""km"")"),"គោលដៅ")</f>
        <v/>
      </c>
      <c r="E1258" s="3" t="inlineStr">
        <is>
          <t>ទីតាំងមកដល់</t>
        </is>
      </c>
      <c r="F1258" s="217" t="inlineStr">
        <is>
          <t>v</t>
        </is>
      </c>
      <c r="G1258" s="217" t="inlineStr">
        <is>
          <t>ទីតាំងមកដល់</t>
        </is>
      </c>
      <c r="H1258" t="inlineStr">
        <is>
          <t>ទីតាំងមកដល់</t>
        </is>
      </c>
      <c r="I1258" s="74" t="inlineStr">
        <is>
          <t>គោលដៅ</t>
        </is>
      </c>
      <c r="J1258" s="217" t="inlineStr">
        <is>
          <t>"packing.toAddress": "Destination",</t>
        </is>
      </c>
    </row>
    <row r="1259" ht="15.75" customHeight="1" s="305">
      <c r="A1259" s="67" t="inlineStr">
        <is>
          <t>packing.enterNote</t>
        </is>
      </c>
      <c r="B1259" s="67" t="inlineStr">
        <is>
          <t>Nhập nội dung ghi chú</t>
        </is>
      </c>
      <c r="C1259" s="67" t="inlineStr">
        <is>
          <t>Note here</t>
        </is>
      </c>
      <c r="D1259" s="3">
        <f>IFERROR(__xludf.DUMMYFUNCTION("GOOGLETRANSLATE(B1259,""vi"",""km"")"),"បញ្ចូលខ្លឹមសារនៃកំណត់ចំណាំ")</f>
        <v/>
      </c>
      <c r="E1259" s="3" t="inlineStr">
        <is>
          <t>បញ្ចូលខ្លឹមសារកំណត់ចំណាំ</t>
        </is>
      </c>
      <c r="F1259" s="217" t="inlineStr">
        <is>
          <t>v</t>
        </is>
      </c>
      <c r="G1259" s="217" t="inlineStr">
        <is>
          <t>បញ្ចូលខ្លឹមសារកំណត់ចំណាំ</t>
        </is>
      </c>
      <c r="H1259" t="inlineStr">
        <is>
          <t>បញ្ចូលខ្លឹមសារកំណត់ចំណាំ</t>
        </is>
      </c>
      <c r="I1259" s="74" t="inlineStr">
        <is>
          <t>ចំណាំនៅទីនេះ</t>
        </is>
      </c>
      <c r="J1259" s="217" t="inlineStr">
        <is>
          <t>"packing.enterNote": "Note here",</t>
        </is>
      </c>
    </row>
    <row r="1260" ht="15.75" customHeight="1" s="305">
      <c r="A1260" s="67" t="inlineStr">
        <is>
          <t>packing.completePacking</t>
        </is>
      </c>
      <c r="B1260" s="67" t="inlineStr">
        <is>
          <t>Hoàn thành tải thành công</t>
        </is>
      </c>
      <c r="C1260" s="67" t="inlineStr">
        <is>
          <t>Pack up the package successfully</t>
        </is>
      </c>
      <c r="D1260" s="3">
        <f>IFERROR(__xludf.DUMMYFUNCTION("GOOGLETRANSLATE(B1260,""vi"",""km"")"),"ការទាញយកបានបញ្ចប់ដោយជោគជ័យ។")</f>
        <v/>
      </c>
      <c r="E1260" s="3" t="inlineStr">
        <is>
          <t>ការទាញយកបានបញ្ចប់ដោយជោគជ័យ</t>
        </is>
      </c>
      <c r="F1260" s="217" t="inlineStr">
        <is>
          <t>v</t>
        </is>
      </c>
      <c r="G1260" s="217" t="inlineStr">
        <is>
          <t>ច្រកបាវរួចរាល់ដោយជោគជ័យ</t>
        </is>
      </c>
      <c r="H1260" t="inlineStr">
        <is>
          <t>ច្រកបាវរួចរាល់ដោយជោគជ័យ</t>
        </is>
      </c>
      <c r="I1260" s="74" t="inlineStr">
        <is>
          <t>រៀបចំកញ្ចប់ដោយជោគជ័យ</t>
        </is>
      </c>
      <c r="J1260" s="217" t="inlineStr">
        <is>
          <t>"packing.completePacking": "Pack up the package successfully",</t>
        </is>
      </c>
    </row>
    <row r="1261" ht="15.75" customHeight="1" s="305">
      <c r="A1261" s="67" t="inlineStr">
        <is>
          <t>packing.emptyAddOrder</t>
        </is>
      </c>
      <c r="B1261" s="67" t="inlineStr">
        <is>
          <t>Vui lòng nhập mã phiếu gửi</t>
        </is>
      </c>
      <c r="C1261" s="67" t="inlineStr">
        <is>
          <t>Please enter the postal slip code</t>
        </is>
      </c>
      <c r="D1261" s="3">
        <f>IFERROR(__xludf.DUMMYFUNCTION("GOOGLETRANSLATE(B1261,""vi"",""km"")"),"សូមបញ្ចូលលេខកូដប័ណ្ណដឹកជញ្ជូន។")</f>
        <v/>
      </c>
      <c r="E1261" s="3" t="inlineStr">
        <is>
          <t>សូមមេត្តាបញ្ចូលលេខកូដបុងបញ្ញើ</t>
        </is>
      </c>
      <c r="F1261" s="217" t="inlineStr">
        <is>
          <t>v</t>
        </is>
      </c>
      <c r="G1261" s="217" t="inlineStr">
        <is>
          <t>សូមមេត្តាបញ្ចូលលេខកូដបុងបញ្ញើ</t>
        </is>
      </c>
      <c r="H1261" t="inlineStr">
        <is>
          <t>សូមមេត្តាបញ្ចូលលេខកូដបុងបញ្ញើ</t>
        </is>
      </c>
      <c r="I1261" s="74" t="inlineStr">
        <is>
          <t>សូមបញ្ចូលលេខកូដប្រៃសណីយ៍</t>
        </is>
      </c>
      <c r="J1261" s="217" t="inlineStr">
        <is>
          <t>"packing.emptyAddOrder": "Please enter the postal slip code",</t>
        </is>
      </c>
    </row>
    <row r="1262" ht="15.75" customHeight="1" s="305">
      <c r="A1262" s="67" t="inlineStr">
        <is>
          <t>packing.addOrder</t>
        </is>
      </c>
      <c r="B1262" s="67" t="inlineStr">
        <is>
          <t>Thêm đơn hàng</t>
        </is>
      </c>
      <c r="C1262" s="67" t="inlineStr">
        <is>
          <t>Add more order</t>
        </is>
      </c>
      <c r="D1262" s="3">
        <f>IFERROR(__xludf.DUMMYFUNCTION("GOOGLETRANSLATE(B1262,""vi"",""km"")"),"បន្ថែមការបញ្ជាទិញ")</f>
        <v/>
      </c>
      <c r="E1262" s="3" t="inlineStr">
        <is>
          <t>បន្ថែមបុងបញ្ញើ</t>
        </is>
      </c>
      <c r="F1262" s="217" t="inlineStr">
        <is>
          <t>v</t>
        </is>
      </c>
      <c r="G1262" s="217" t="inlineStr">
        <is>
          <t>បន្ថែមបុងបញ្ញើ</t>
        </is>
      </c>
      <c r="H1262" t="inlineStr">
        <is>
          <t>បន្ថែមបុងបញ្ញើ</t>
        </is>
      </c>
      <c r="I1262" s="74" t="inlineStr">
        <is>
          <t>បន្ថែមការបញ្ជាទិញបន្ថែមទៀត</t>
        </is>
      </c>
      <c r="J1262" s="217" t="inlineStr">
        <is>
          <t>"packing.addOrder": "Add more order",</t>
        </is>
      </c>
    </row>
    <row r="1263" ht="15.75" customHeight="1" s="305">
      <c r="A1263" s="67" t="inlineStr">
        <is>
          <t>packing.enterOrderCodeToAdd</t>
        </is>
      </c>
      <c r="B1263" s="67" t="inlineStr">
        <is>
          <t>Nhập mã phiếu gửi để quét</t>
        </is>
      </c>
      <c r="C1263" s="67" t="inlineStr">
        <is>
          <t>Enter postal slip code to scan</t>
        </is>
      </c>
      <c r="D1263" s="3">
        <f>IFERROR(__xludf.DUMMYFUNCTION("GOOGLETRANSLATE(B1263,""vi"",""km"")"),"បញ្ចូលលេខកូដបង្កាន់ដៃដើម្បីស្កេន។")</f>
        <v/>
      </c>
      <c r="E1263" s="3" t="inlineStr">
        <is>
          <t>បញ្ចូ្ចលលេខកូដបុងបញ្ញើដើម្បីស្កេន</t>
        </is>
      </c>
      <c r="F1263" s="217" t="inlineStr">
        <is>
          <t>v</t>
        </is>
      </c>
      <c r="G1263" s="217" t="inlineStr">
        <is>
          <t>បញ្ចូ្ចលលេខកូដបុងបញ្ញើដើម្បីស្កេន</t>
        </is>
      </c>
      <c r="H1263" t="inlineStr">
        <is>
          <t>បញ្ចូ្ចលលេខកូដបុងបញ្ញើដើម្បីស្កេន</t>
        </is>
      </c>
      <c r="I1263" s="74" t="inlineStr">
        <is>
          <t>បញ្ចូលលេខកូដប្រៃសណីយ៍ដើម្បីស្កេន</t>
        </is>
      </c>
      <c r="J1263" s="217" t="inlineStr">
        <is>
          <t>"packing.enterOrderCodeToAdd": "Enter postal slip code to scan",</t>
        </is>
      </c>
    </row>
    <row r="1264" ht="15.75" customHeight="1" s="305">
      <c r="A1264" s="67" t="inlineStr">
        <is>
          <t>packing.complete</t>
        </is>
      </c>
      <c r="B1264" s="67" t="inlineStr">
        <is>
          <t>Hoàn thành</t>
        </is>
      </c>
      <c r="C1264" s="67" t="inlineStr">
        <is>
          <t>Complete</t>
        </is>
      </c>
      <c r="D1264" s="3">
        <f>IFERROR(__xludf.DUMMYFUNCTION("GOOGLETRANSLATE(B1264,""vi"",""km"")"),"ពេញលេញ")</f>
        <v/>
      </c>
      <c r="E1264" s="3" t="inlineStr">
        <is>
          <t>បានបញ្ចប់</t>
        </is>
      </c>
      <c r="F1264" s="217" t="inlineStr">
        <is>
          <t>v</t>
        </is>
      </c>
      <c r="G1264" s="217" t="inlineStr">
        <is>
          <t>បានបញ្ចប់</t>
        </is>
      </c>
      <c r="H1264" t="inlineStr">
        <is>
          <t>បានបញ្ចប់</t>
        </is>
      </c>
      <c r="I1264" s="74" t="inlineStr">
        <is>
          <t>បញ្ចប់</t>
        </is>
      </c>
      <c r="J1264" s="217" t="inlineStr">
        <is>
          <t>"packing.complete": "Complete",</t>
        </is>
      </c>
    </row>
    <row r="1265" ht="15.75" customHeight="1" s="305">
      <c r="A1265" s="67" t="inlineStr">
        <is>
          <t>packing.deleteOrder</t>
        </is>
      </c>
      <c r="B1265" s="67" t="inlineStr">
        <is>
          <t>Loại bỏ</t>
        </is>
      </c>
      <c r="C1265" s="67" t="inlineStr">
        <is>
          <t>Remove</t>
        </is>
      </c>
      <c r="D1265" s="3">
        <f>IFERROR(__xludf.DUMMYFUNCTION("GOOGLETRANSLATE(B1265,""vi"",""km"")"),"លុបចេញ")</f>
        <v/>
      </c>
      <c r="E1265" s="3" t="inlineStr">
        <is>
          <t>លុបចេញ</t>
        </is>
      </c>
      <c r="F1265" s="217" t="inlineStr">
        <is>
          <t>v</t>
        </is>
      </c>
      <c r="G1265" s="217" t="inlineStr">
        <is>
          <t>លុបចេញ</t>
        </is>
      </c>
      <c r="H1265" t="inlineStr">
        <is>
          <t>លុបចេញ</t>
        </is>
      </c>
      <c r="I1265" s="74" t="inlineStr">
        <is>
          <t>ដកចេញ</t>
        </is>
      </c>
      <c r="J1265" s="217" t="inlineStr">
        <is>
          <t>"packing.deleteOrder": "Remove",</t>
        </is>
      </c>
    </row>
    <row r="1266" ht="15.75" customHeight="1" s="305">
      <c r="A1266" s="67" t="inlineStr">
        <is>
          <t>packing.deleteSelectedOrder</t>
        </is>
      </c>
      <c r="B1266" s="67" t="inlineStr">
        <is>
          <t>Xoá đơn đã chọn</t>
        </is>
      </c>
      <c r="C1266" s="67" t="inlineStr">
        <is>
          <t>Delete selected order</t>
        </is>
      </c>
      <c r="D1266" s="3">
        <f>IFERROR(__xludf.DUMMYFUNCTION("GOOGLETRANSLATE(B1266,""vi"",""km"")"),"លុបការបញ្ជាទិញដែលបានជ្រើសរើស")</f>
        <v/>
      </c>
      <c r="E1266" s="3" t="inlineStr">
        <is>
          <t>លុុបបុងដែលបានជ្រើសរើស</t>
        </is>
      </c>
      <c r="F1266" s="217" t="inlineStr">
        <is>
          <t>v</t>
        </is>
      </c>
      <c r="G1266" s="217" t="inlineStr">
        <is>
          <t>លុុបបុងដែលបានជ្រើសរើស</t>
        </is>
      </c>
      <c r="H1266" t="inlineStr">
        <is>
          <t>លុុបបុងដែលបានជ្រើសរើស</t>
        </is>
      </c>
      <c r="I1266" s="74" t="inlineStr">
        <is>
          <t>លុបលំដាប់ដែលបានជ្រើសរើស</t>
        </is>
      </c>
      <c r="J1266" s="217" t="inlineStr">
        <is>
          <t>"packing.deleteSelectedOrder": "Delete selected order",</t>
        </is>
      </c>
    </row>
    <row r="1267" ht="15.75" customHeight="1" s="305">
      <c r="A1267" s="67" t="inlineStr">
        <is>
          <t>packing.totalOrder</t>
        </is>
      </c>
      <c r="B1267" s="67" t="inlineStr">
        <is>
          <t>Tổng đơn</t>
        </is>
      </c>
      <c r="C1267" s="67" t="inlineStr">
        <is>
          <t>Total order</t>
        </is>
      </c>
      <c r="D1267" s="3">
        <f>IFERROR(__xludf.DUMMYFUNCTION("GOOGLETRANSLATE(B1267,""vi"",""km"")"),"ការបញ្ជាទិញសរុប")</f>
        <v/>
      </c>
      <c r="E1267" s="3" t="inlineStr">
        <is>
          <t>សរុបបុងបញ្ញើ</t>
        </is>
      </c>
      <c r="F1267" s="217" t="inlineStr">
        <is>
          <t>v</t>
        </is>
      </c>
      <c r="G1267" s="217" t="inlineStr">
        <is>
          <t>សរុបបុងបញ្ញើ</t>
        </is>
      </c>
      <c r="H1267" t="inlineStr">
        <is>
          <t>សរុបបុងបញ្ញើ</t>
        </is>
      </c>
      <c r="I1267" s="74" t="inlineStr">
        <is>
          <t>ការបញ្ជាទិញសរុប</t>
        </is>
      </c>
      <c r="J1267" s="217" t="inlineStr">
        <is>
          <t>"packing.totalOrder": "Total order",</t>
        </is>
      </c>
    </row>
    <row r="1268" ht="15.75" customHeight="1" s="305">
      <c r="A1268" s="67" t="inlineStr">
        <is>
          <t>packing.removeOrderFail</t>
        </is>
      </c>
      <c r="B1268" s="67" t="inlineStr">
        <is>
          <t>Xoá đơn khỏi tải thất bại</t>
        </is>
      </c>
      <c r="C1268" s="67" t="inlineStr">
        <is>
          <t>Failed to remove order from package</t>
        </is>
      </c>
      <c r="D1268" s="3">
        <f>IFERROR(__xludf.DUMMYFUNCTION("GOOGLETRANSLATE(B1268,""vi"",""km"")"),"ការលុបការបញ្ជាទិញចេញពីការទាញយកបានបរាជ័យ។")</f>
        <v/>
      </c>
      <c r="E1268" s="3" t="inlineStr">
        <is>
          <t>ដកបុងចេញពីកញ្ចប់ទំនិញមិនបានជោគជ័យ</t>
        </is>
      </c>
      <c r="F1268" s="217" t="inlineStr">
        <is>
          <t>x</t>
        </is>
      </c>
      <c r="G1268" s="217" t="inlineStr">
        <is>
          <t>ដកបុងចេញពីកញ្ចប់ទំនិញមិនបានជោគជ័យ</t>
        </is>
      </c>
      <c r="H1268" t="inlineStr">
        <is>
          <t>ដកបុងចេញពីកញ្ចប់ទំនិញមិនបានជោគជ័យ</t>
        </is>
      </c>
      <c r="I1268" s="74" t="inlineStr">
        <is>
          <t>បរាជ័យក្នុងការដកការបញ្ជាទិញចេញពីកញ្ចប់</t>
        </is>
      </c>
      <c r="J1268" s="217" t="inlineStr">
        <is>
          <t>"packing.removeOrderFail": "Failed to remove order from package",</t>
        </is>
      </c>
    </row>
    <row r="1269" ht="15.75" customHeight="1" s="305">
      <c r="A1269" s="67" t="inlineStr">
        <is>
          <t>packing.removeOrderSuccess</t>
        </is>
      </c>
      <c r="B1269" s="67" t="inlineStr">
        <is>
          <t>Xoá đơn khỏi tải thành công</t>
        </is>
      </c>
      <c r="C1269" s="67" t="inlineStr">
        <is>
          <t>Successfully removed order from package</t>
        </is>
      </c>
      <c r="D1269" s="3">
        <f>IFERROR(__xludf.DUMMYFUNCTION("GOOGLETRANSLATE(B1269,""vi"",""km"")"),"បានលុបការបញ្ជាទិញចេញពីការទាញយកដោយជោគជ័យ។")</f>
        <v/>
      </c>
      <c r="E1269" s="3" t="inlineStr">
        <is>
          <t>ដកបុងចេញពីកញ្ចប់ទំនិញបានជោគជ័យ</t>
        </is>
      </c>
      <c r="F1269" s="217" t="inlineStr">
        <is>
          <t>x</t>
        </is>
      </c>
      <c r="G1269" s="217" t="inlineStr">
        <is>
          <t>ដកបុងចេញពីកញ្ចប់ទំនិញបានជោគជ័យ</t>
        </is>
      </c>
      <c r="H1269" t="inlineStr">
        <is>
          <t>ដកបុងចេញពីកញ្ចប់ទំនិញបានជោគជ័យ</t>
        </is>
      </c>
      <c r="I1269" s="74" t="inlineStr">
        <is>
          <t>បានដកការបញ្ជាទិញចេញពីកញ្ចប់ដោយជោគជ័យ</t>
        </is>
      </c>
      <c r="J1269" s="217" t="inlineStr">
        <is>
          <t>"packing.removeOrderSuccess": "Successfully removed order from package",</t>
        </is>
      </c>
    </row>
    <row r="1270" ht="15.75" customHeight="1" s="305">
      <c r="A1270" s="67" t="inlineStr">
        <is>
          <t>packing.detailPacking</t>
        </is>
      </c>
      <c r="B1270" s="67" t="inlineStr">
        <is>
          <t>Chi tiết tải</t>
        </is>
      </c>
      <c r="C1270" s="67" t="inlineStr">
        <is>
          <t>Package details</t>
        </is>
      </c>
      <c r="D1270" s="3">
        <f>IFERROR(__xludf.DUMMYFUNCTION("GOOGLETRANSLATE(B1270,""vi"",""km"")"),"ទាញយកព័ត៌មានលម្អិត")</f>
        <v/>
      </c>
      <c r="E1270" s="3" t="inlineStr">
        <is>
          <t>លម្អិតពីកញ្ចប់ទំនិញ</t>
        </is>
      </c>
      <c r="F1270" s="217" t="inlineStr">
        <is>
          <t>x</t>
        </is>
      </c>
      <c r="G1270" s="217" t="inlineStr">
        <is>
          <t>លម្អិតពីកញ្ចប់ទំនិញ</t>
        </is>
      </c>
      <c r="H1270" t="inlineStr">
        <is>
          <t>លម្អិតពីកញ្ចប់ទំនិញ</t>
        </is>
      </c>
      <c r="I1270" s="74" t="inlineStr">
        <is>
          <t>ព័ត៌មានលម្អិតអំពីកញ្ចប់</t>
        </is>
      </c>
      <c r="J1270" s="217" t="inlineStr">
        <is>
          <t>"packing.detailPacking": "Package details",</t>
        </is>
      </c>
    </row>
    <row r="1271" ht="15.75" customHeight="1" s="305">
      <c r="A1271" s="67" t="inlineStr">
        <is>
          <t>packing.addOrderSuccess</t>
        </is>
      </c>
      <c r="B1271" s="67" t="inlineStr">
        <is>
          <t>Thêm đơn thành công</t>
        </is>
      </c>
      <c r="C1271" s="67" t="inlineStr">
        <is>
          <t>Add more order sucessfully</t>
        </is>
      </c>
      <c r="D1271" s="3">
        <f>IFERROR(__xludf.DUMMYFUNCTION("GOOGLETRANSLATE(B1271,""vi"",""km"")"),"បានបន្ថែមការបញ្ជាទិញដោយជោគជ័យ")</f>
        <v/>
      </c>
      <c r="E1271" s="3" t="inlineStr">
        <is>
          <t>បន្ថែ្ថមបុងបញ្ញើបានជោគជ័យ</t>
        </is>
      </c>
      <c r="F1271" s="217" t="inlineStr">
        <is>
          <t>v</t>
        </is>
      </c>
      <c r="G1271" s="217" t="inlineStr">
        <is>
          <t>បន្ថែ្ថមបុងបញ្ញើបានជោគជ័យ</t>
        </is>
      </c>
      <c r="H1271" t="inlineStr">
        <is>
          <t>បន្ថែ្ថមបុងបញ្ញើបានជោគជ័យ</t>
        </is>
      </c>
      <c r="I1271" s="74" t="inlineStr">
        <is>
          <t>បញ្ចូលការបញ្ជាទិញបន្ថែមទៀតដោយជោគជ័យ</t>
        </is>
      </c>
      <c r="J1271" s="217" t="inlineStr">
        <is>
          <t>"packing.addOrderSuccess": "Add more order sucessfully",</t>
        </is>
      </c>
    </row>
    <row r="1272" ht="15.75" customHeight="1" s="305">
      <c r="A1272" s="67" t="inlineStr">
        <is>
          <t>packing.deleteDescription</t>
        </is>
      </c>
      <c r="B1272" s="67" t="inlineStr">
        <is>
          <t>Đồng chí có chắc chắn muốn xóa phiếu gửi</t>
        </is>
      </c>
      <c r="C1272" s="67" t="inlineStr">
        <is>
          <t>Are you sure to report these postal slips</t>
        </is>
      </c>
      <c r="D1272" s="3">
        <f>IFERROR(__xludf.DUMMYFUNCTION("GOOGLETRANSLATE(B1272,""vi"",""km"")"),"តើអ្នកពិតជាចង់លុបសំបុត្រដែលបានផ្ញើមែនទេ?")</f>
        <v/>
      </c>
      <c r="E1272" s="3" t="inlineStr">
        <is>
          <t>អ្នកពិតជាចង់លុបបុងបញ្ញើមែនទេ?</t>
        </is>
      </c>
      <c r="F1272" s="217" t="inlineStr">
        <is>
          <t>v</t>
        </is>
      </c>
      <c r="G1272" s="217" t="inlineStr">
        <is>
          <t>អ្នកពិតជាចង់លុបបុងបញ្ញើមែនទេ?</t>
        </is>
      </c>
      <c r="H1272" t="inlineStr">
        <is>
          <t>អ្នកពិតជាចង់លុបបុងបញ្ញើមែនទេ?</t>
        </is>
      </c>
      <c r="I1272" s="74" t="inlineStr">
        <is>
          <t>តើ​អ្នក​ប្រាកដ​ក្នុង​ការ​រាយការណ៍​ប័ណ្ណ​ប្រៃសណីយ៍​ទាំងនេះ</t>
        </is>
      </c>
      <c r="J1272" s="217" t="inlineStr">
        <is>
          <t>"packing.deleteDescription": "Are you sure to report these postal slips",</t>
        </is>
      </c>
    </row>
    <row r="1273" ht="15.75" customHeight="1" s="305">
      <c r="A1273" s="67" t="inlineStr">
        <is>
          <t>packing.completePackingSuccess</t>
        </is>
      </c>
      <c r="B1273" s="67" t="inlineStr">
        <is>
          <t>Gom tải thành công!</t>
        </is>
      </c>
      <c r="C1273" s="67" t="inlineStr">
        <is>
          <t>Group package successful!</t>
        </is>
      </c>
      <c r="D1273" s="3">
        <f>IFERROR(__xludf.DUMMYFUNCTION("GOOGLETRANSLATE(B1273,""vi"",""km"")"),"ការ​បង្រួម​ការ​ទាញ​យក​បាន​ជោគជ័យ!")</f>
        <v/>
      </c>
      <c r="E1273" s="3" t="inlineStr">
        <is>
          <t>ប្រមូលអីវ៉ាន់ក្នុងជើងដឹកមួយបានជោគជ័យ!</t>
        </is>
      </c>
      <c r="F1273" s="217" t="inlineStr">
        <is>
          <t>x</t>
        </is>
      </c>
      <c r="G1273" s="217" t="inlineStr">
        <is>
          <t>ប្រមូលអីវ៉ាន់ក្នុងជើងដឹកមួយបានជោគជ័យ!</t>
        </is>
      </c>
      <c r="H1273" t="inlineStr">
        <is>
          <t>ប្រមូលអីវ៉ាន់ក្នុងជើងដឹកមួយបានជោគជ័យ!</t>
        </is>
      </c>
      <c r="I1273" s="74" t="inlineStr">
        <is>
          <t>កញ្ចប់ក្រុមជោគជ័យ!</t>
        </is>
      </c>
      <c r="J1273" s="217" t="inlineStr">
        <is>
          <t>"packing.completePackingSuccess": "Group package successful!",</t>
        </is>
      </c>
    </row>
    <row r="1274" ht="15.75" customHeight="1" s="305">
      <c r="A1274" s="67" t="inlineStr">
        <is>
          <t>packing.emptyPacking</t>
        </is>
      </c>
      <c r="B1274" s="67" t="inlineStr">
        <is>
          <t>Vui lòng chọn tải cần in</t>
        </is>
      </c>
      <c r="C1274" s="67" t="inlineStr">
        <is>
          <t>Please select the package to print</t>
        </is>
      </c>
      <c r="D1274" s="3">
        <f>IFERROR(__xludf.DUMMYFUNCTION("GOOGLETRANSLATE(B1274,""vi"",""km"")"),"សូមជ្រើសរើសបន្ទុកដែលអ្នកចង់បោះពុម្ព។")</f>
        <v/>
      </c>
      <c r="E1274" s="3" t="inlineStr">
        <is>
          <t>សូមជ្រើសរើសកញ្ចប់ទំនិញមួយដែលត្រូវការព្រីន</t>
        </is>
      </c>
      <c r="F1274" s="217" t="inlineStr">
        <is>
          <t>x</t>
        </is>
      </c>
      <c r="G1274" s="217" t="inlineStr">
        <is>
          <t>សូមជ្រើសរើសកញ្ចប់ទំនិញមួយដែលត្រូវការព្រីន</t>
        </is>
      </c>
      <c r="H1274" t="inlineStr">
        <is>
          <t>សូមជ្រើសរើសកញ្ចប់ទំនិញមួយដែលត្រូវការព្រីន</t>
        </is>
      </c>
      <c r="I1274" s="74" t="inlineStr">
        <is>
          <t>សូមជ្រើសរើសកញ្ចប់ដើម្បីបោះពុម្ព</t>
        </is>
      </c>
      <c r="J1274" s="217" t="inlineStr">
        <is>
          <t>"packing.emptyPacking": "Please select the package to print",</t>
        </is>
      </c>
    </row>
    <row r="1275" ht="15.75" customHeight="1" s="305">
      <c r="A1275" s="67" t="inlineStr">
        <is>
          <t>packing.enterPackageAndDestination</t>
        </is>
      </c>
      <c r="B1275" s="67" t="inlineStr">
        <is>
          <t>Nhập mã tải hoặc điểm đến</t>
        </is>
      </c>
      <c r="C1275" s="67" t="inlineStr">
        <is>
          <t>Enter the package code or destination</t>
        </is>
      </c>
      <c r="D1275" s="3">
        <f>IFERROR(__xludf.DUMMYFUNCTION("GOOGLETRANSLATE(B1275,""vi"",""km"")"),"បញ្ចូលលេខកូដទាញយក ឬគោលដៅ")</f>
        <v/>
      </c>
      <c r="E1275" s="3" t="inlineStr">
        <is>
          <t>បញ្ចូលលេខកូដកញ្ចប់ទំនិញឬទីតាំងមកដល់</t>
        </is>
      </c>
      <c r="F1275" s="217" t="inlineStr">
        <is>
          <t>v</t>
        </is>
      </c>
      <c r="G1275" s="217" t="inlineStr">
        <is>
          <t>បញ្ចូលលេខកូដកញ្ចប់ទំនិញឬទីតាំងមកដល់</t>
        </is>
      </c>
      <c r="H1275" t="inlineStr">
        <is>
          <t>បញ្ចូលលេខកូដកញ្ចប់ទំនិញឬទីតាំងមកដល់</t>
        </is>
      </c>
      <c r="I1275" s="74" t="inlineStr">
        <is>
          <t>បញ្ចូលលេខកូដកញ្ចប់ ឬគោលដៅ</t>
        </is>
      </c>
      <c r="J1275" s="217" t="inlineStr">
        <is>
          <t>"packing.enterPackageAndDestination": "Enter the package code or destination",</t>
        </is>
      </c>
    </row>
    <row r="1276" ht="15.75" customHeight="1" s="305">
      <c r="A1276" s="67" t="inlineStr">
        <is>
          <t>packing.printPacking</t>
        </is>
      </c>
      <c r="B1276" s="67" t="inlineStr">
        <is>
          <t>In mã tải</t>
        </is>
      </c>
      <c r="C1276" s="67" t="inlineStr">
        <is>
          <t>Print code</t>
        </is>
      </c>
      <c r="D1276" s="3">
        <f>IFERROR(__xludf.DUMMYFUNCTION("GOOGLETRANSLATE(B1276,""vi"",""km"")"),"បោះពុម្ពលេខកូដទាញយក")</f>
        <v/>
      </c>
      <c r="E1276" s="3" t="inlineStr">
        <is>
          <t>ព្រីនលេខកូដកញ្ចប់ទំនិញ</t>
        </is>
      </c>
      <c r="F1276" s="217" t="inlineStr">
        <is>
          <t>v</t>
        </is>
      </c>
      <c r="G1276" s="217" t="inlineStr">
        <is>
          <t>ព្រីនលេខកូដកញ្ចប់ទំនិញ</t>
        </is>
      </c>
      <c r="H1276" t="inlineStr">
        <is>
          <t>ព្រីនលេខកូដកញ្ចប់ទំនិញ</t>
        </is>
      </c>
      <c r="I1276" s="74" t="inlineStr">
        <is>
          <t>បោះពុម្ពលេខកូដ</t>
        </is>
      </c>
      <c r="J1276" s="217" t="inlineStr">
        <is>
          <t>"packing.printPacking": "Print code",</t>
        </is>
      </c>
    </row>
    <row r="1277" ht="15.75" customHeight="1" s="305">
      <c r="A1277" s="67" t="inlineStr">
        <is>
          <t>packing.parcelSackCode</t>
        </is>
      </c>
      <c r="B1277" s="67" t="inlineStr">
        <is>
          <t>Mã tải kiện</t>
        </is>
      </c>
      <c r="C1277" s="67" t="inlineStr">
        <is>
          <t>Package code</t>
        </is>
      </c>
      <c r="D1277" s="3">
        <f>IFERROR(__xludf.DUMMYFUNCTION("GOOGLETRANSLATE(B1277,""vi"",""km"")"),"លេខកូដកញ្ចប់")</f>
        <v/>
      </c>
      <c r="E1277" s="3" t="inlineStr">
        <is>
          <t>លេខកូដកញ្ចប់ទំនិញ</t>
        </is>
      </c>
      <c r="F1277" s="217" t="inlineStr">
        <is>
          <t>v</t>
        </is>
      </c>
      <c r="G1277" s="217" t="inlineStr">
        <is>
          <t>លេខកូដកញ្ចប់ទំនិញ</t>
        </is>
      </c>
      <c r="H1277" t="inlineStr">
        <is>
          <t>លេខកូដកញ្ចប់ទំនិញ</t>
        </is>
      </c>
      <c r="I1277" s="74" t="inlineStr">
        <is>
          <t>លេខកូដកញ្ចប់</t>
        </is>
      </c>
      <c r="J1277" s="217" t="inlineStr">
        <is>
          <t>"packing.parcelSackCode": "Package code",</t>
        </is>
      </c>
    </row>
    <row r="1278" ht="15.75" customHeight="1" s="305">
      <c r="A1278" s="67" t="inlineStr">
        <is>
          <t>packing.createdBy</t>
        </is>
      </c>
      <c r="B1278" s="67" t="inlineStr">
        <is>
          <t>Người tác động</t>
        </is>
      </c>
      <c r="C1278" s="67" t="inlineStr">
        <is>
          <t>Actor</t>
        </is>
      </c>
      <c r="D1278" s="3">
        <f>IFERROR(__xludf.DUMMYFUNCTION("GOOGLETRANSLATE(B1278,""vi"",""km"")"),"អ្នកមានឥទ្ធិពល")</f>
        <v/>
      </c>
      <c r="E1278" s="3" t="inlineStr">
        <is>
          <t>អ្នកកែសម្រួល</t>
        </is>
      </c>
      <c r="F1278" s="217" t="inlineStr">
        <is>
          <t>x</t>
        </is>
      </c>
      <c r="G1278" s="217" t="inlineStr">
        <is>
          <t>អ្នកធ្វើប្រតិបត្តិការ</t>
        </is>
      </c>
      <c r="H1278" t="inlineStr">
        <is>
          <t>អ្នកធ្វើប្រតិបត្តិការ</t>
        </is>
      </c>
      <c r="I1278" s="74" t="inlineStr">
        <is>
          <t>តារាសម្តែង</t>
        </is>
      </c>
      <c r="J1278" s="217" t="inlineStr">
        <is>
          <t>"packing.createdBy": "Actor",</t>
        </is>
      </c>
    </row>
    <row r="1279" ht="15.75" customHeight="1" s="305">
      <c r="A1279" s="67" t="inlineStr">
        <is>
          <t>packing.dateUpdate</t>
        </is>
      </c>
      <c r="B1279" s="67" t="inlineStr">
        <is>
          <t>Ngày tác động</t>
        </is>
      </c>
      <c r="C1279" s="67" t="inlineStr">
        <is>
          <t>Modification date</t>
        </is>
      </c>
      <c r="D1279" s="3">
        <f>IFERROR(__xludf.DUMMYFUNCTION("GOOGLETRANSLATE(B1279,""vi"",""km"")"),"កាលបរិច្ឆេទនៃផលប៉ះពាល់")</f>
        <v/>
      </c>
      <c r="E1279" s="3" t="inlineStr">
        <is>
          <t>ថ្ងៃកែសម្រួល</t>
        </is>
      </c>
      <c r="F1279" s="217" t="inlineStr">
        <is>
          <t>x</t>
        </is>
      </c>
      <c r="G1279" s="217" t="inlineStr">
        <is>
          <t>ថ្ងៃកែសម្រួល</t>
        </is>
      </c>
      <c r="H1279" t="inlineStr">
        <is>
          <t>ថ្ងៃកែសម្រួល</t>
        </is>
      </c>
      <c r="I1279" s="74" t="inlineStr">
        <is>
          <t>កាលបរិច្ឆេទកែប្រែ</t>
        </is>
      </c>
      <c r="J1279" s="217" t="inlineStr">
        <is>
          <t>"packing.dateUpdate": "Modification date",</t>
        </is>
      </c>
    </row>
    <row r="1280" ht="15.75" customHeight="1" s="305">
      <c r="A1280" s="67" t="inlineStr">
        <is>
          <t>packing.printOrderSameStatus</t>
        </is>
      </c>
      <c r="B1280" s="67" t="inlineStr">
        <is>
          <t>Vui lòng chọn đơn cùng trạng thái để in nhiều</t>
        </is>
      </c>
      <c r="C1280" s="67" t="inlineStr">
        <is>
          <t>Please select orders with the same status to print multiple</t>
        </is>
      </c>
      <c r="D1280" s="3">
        <f>IFERROR(__xludf.DUMMYFUNCTION("GOOGLETRANSLATE(B1280,""vi"",""km"")"),"សូមជ្រើសរើសការបញ្ជាទិញដែលមានស្ថានភាពដូចគ្នា ដើម្បីបោះពុម្ពច្បាប់ចម្លងច្រើន។")</f>
        <v/>
      </c>
      <c r="E1280" s="3" t="inlineStr">
        <is>
          <t>សូមមេត្តាជ្រើសរើសបុងបញ្ញើដែលរួមស្ថានភាពដើម្បីព្រីនច្រើន</t>
        </is>
      </c>
      <c r="F1280" s="217" t="inlineStr">
        <is>
          <t>v</t>
        </is>
      </c>
      <c r="G1280" s="217" t="inlineStr">
        <is>
          <t>សូមមេត្តាជ្រើសរើសបុងបញ្ញើដែលរួមស្ថានភាពដើម្បីព្រីនច្រើន</t>
        </is>
      </c>
      <c r="H1280" t="inlineStr">
        <is>
          <t>សូមមេត្តាជ្រើសរើសបុងបញ្ញើដែលរួមស្ថានភាពដើម្បីព្រីនច្រើន</t>
        </is>
      </c>
      <c r="I1280" s="74" t="inlineStr">
        <is>
          <t>សូមជ្រើសរើសការបញ្ជាទិញដែលមានស្ថានភាពដូចគ្នា ដើម្បីបោះពុម្ពច្រើន។</t>
        </is>
      </c>
      <c r="J1280" s="217" t="inlineStr">
        <is>
          <t>"packing.printOrderSameStatus": "Please select orders with the same status to print multiple",</t>
        </is>
      </c>
    </row>
    <row r="1281" ht="15.75" customHeight="1" s="305">
      <c r="A1281" s="67" t="inlineStr">
        <is>
          <t>packing.printDescription1</t>
        </is>
      </c>
      <c r="B1281" s="67" t="inlineStr">
        <is>
          <t>Bạn đã chọn</t>
        </is>
      </c>
      <c r="C1281" s="67" t="inlineStr">
        <is>
          <t>You have selected</t>
        </is>
      </c>
      <c r="D1281" s="3">
        <f>IFERROR(__xludf.DUMMYFUNCTION("GOOGLETRANSLATE(B1281,""vi"",""km"")"),"អ្នកបានជ្រើសរើស")</f>
        <v/>
      </c>
      <c r="E1281" s="3" t="inlineStr">
        <is>
          <t>អ្នកបានជ្រើសរើស</t>
        </is>
      </c>
      <c r="F1281" s="217" t="inlineStr">
        <is>
          <t>v</t>
        </is>
      </c>
      <c r="G1281" s="217" t="inlineStr">
        <is>
          <t>អ្នកបានជ្រើសរើស</t>
        </is>
      </c>
      <c r="H1281" t="inlineStr">
        <is>
          <t>អ្នកបានជ្រើសរើស</t>
        </is>
      </c>
      <c r="I1281" s="74" t="inlineStr">
        <is>
          <t>អ្នកបានជ្រើសរើស</t>
        </is>
      </c>
      <c r="J1281" s="217" t="inlineStr">
        <is>
          <t>"packing.printDescription1": "You have selected",</t>
        </is>
      </c>
    </row>
    <row r="1282" ht="15.75" customHeight="1" s="305">
      <c r="A1282" s="67" t="inlineStr">
        <is>
          <t>packing.printDescription2</t>
        </is>
      </c>
      <c r="B1282" s="67" t="inlineStr">
        <is>
          <t>trong tổng số</t>
        </is>
      </c>
      <c r="C1282" s="67" t="inlineStr">
        <is>
          <t>orders out of</t>
        </is>
      </c>
      <c r="D1282" s="3">
        <f>IFERROR(__xludf.DUMMYFUNCTION("GOOGLETRANSLATE(B1282,""vi"",""km"")"),"សរុប")</f>
        <v/>
      </c>
      <c r="E1282" s="3" t="inlineStr">
        <is>
          <t>ក្នុងសរុបចំនួន</t>
        </is>
      </c>
      <c r="F1282" s="217" t="inlineStr">
        <is>
          <t>v</t>
        </is>
      </c>
      <c r="G1282" s="217" t="inlineStr">
        <is>
          <t>ក្នុងសរុបចំនួន</t>
        </is>
      </c>
      <c r="H1282" t="inlineStr">
        <is>
          <t>ក្នុងសរុបចំនួន</t>
        </is>
      </c>
      <c r="I1282" s="74" t="inlineStr">
        <is>
          <t>បញ្ជាទិញចេញពី</t>
        </is>
      </c>
      <c r="J1282" s="217" t="inlineStr">
        <is>
          <t>"packing.printDescription2": "orders out of",</t>
        </is>
      </c>
    </row>
    <row r="1283" ht="15.75" customHeight="1" s="305">
      <c r="A1283" s="67" t="inlineStr">
        <is>
          <t>packing.printDescription3</t>
        </is>
      </c>
      <c r="B1283" s="67" t="inlineStr">
        <is>
          <t>đơn</t>
        </is>
      </c>
      <c r="C1283" s="67" t="n"/>
      <c r="D1283" s="3">
        <f>IFERROR(__xludf.DUMMYFUNCTION("GOOGLETRANSLATE(B1283,""vi"",""km"")"),"នៅលីវ")</f>
        <v/>
      </c>
      <c r="E1283" s="3" t="inlineStr">
        <is>
          <t>បុងបញ្ញើ</t>
        </is>
      </c>
      <c r="F1283" s="217" t="inlineStr">
        <is>
          <t>v</t>
        </is>
      </c>
      <c r="G1283" s="217" t="inlineStr">
        <is>
          <t>បុងបញ្ញើ</t>
        </is>
      </c>
      <c r="H1283" t="inlineStr">
        <is>
          <t>បុងបញ្ញើ</t>
        </is>
      </c>
      <c r="I1283" s="74" t="n"/>
      <c r="J1283" s="217" t="inlineStr">
        <is>
          <t>"packing.printDescription3": "",</t>
        </is>
      </c>
    </row>
    <row r="1284" ht="15.75" customHeight="1" s="305">
      <c r="A1284" s="67" t="inlineStr">
        <is>
          <t>packing.printDescriptionOverflow</t>
        </is>
      </c>
      <c r="B1284" s="67" t="inlineStr">
        <is>
          <t>Số lượng phiếu in quá lớn, cần {{page}} trang in để in toàn bộ phiếu gửi</t>
        </is>
      </c>
      <c r="C1284" s="67" t="inlineStr">
        <is>
          <t>Too many slips to print. {{page}} pages needed to print all</t>
        </is>
      </c>
      <c r="D1284" s="3">
        <f>IFERROR(__xludf.DUMMYFUNCTION("GOOGLETRANSLATE(B1284,""vi"",""km"")"),"ចំនួន​ទម្រង់​បែបបទ​ដែល​ត្រូវ​បោះពុម្ព​មាន​ចំនួន​ច្រើន​ពេក។ ត្រូវការ​ទំព័រ {{page}} ដើម្បី​បោះពុម្ព​ទម្រង់​បែបបទ​ទាំងអស់។")</f>
        <v/>
      </c>
      <c r="E1284" s="3" t="inlineStr">
        <is>
          <t>ចំនួនបុងព្រីនច្រើនខ្លាំង ត្រូវការ ទំព័រព្រីនដើម្បីព្រីនសរុប</t>
        </is>
      </c>
      <c r="F1284" s="217" t="inlineStr">
        <is>
          <t>v</t>
        </is>
      </c>
      <c r="G1284" s="217" t="inlineStr">
        <is>
          <t>ចំនួនបុងព្រីនច្រើនខ្លាំង ត្រូវការ ទំព័រព្រីនដើម្បីព្រីនសរុប</t>
        </is>
      </c>
      <c r="H1284" t="inlineStr">
        <is>
          <t>ចំនួនបុងព្រីនច្រើនខ្លាំង ត្រូវការ ទំព័រព្រីនដើម្បីព្រីនសរុប</t>
        </is>
      </c>
      <c r="I1284" s="74" t="inlineStr">
        <is>
          <t>មានសន្លឹកច្រើនពេកដើម្បីបោះពុម្ព។ ត្រូវការទំព័រ {{page}} ដើម្បីបោះពុម្ពទាំងអស់</t>
        </is>
      </c>
      <c r="J1284" s="217" t="inlineStr">
        <is>
          <t>"packing.printDescriptionOverflow": "Too many slips to print. {{page}} pages needed to print all",</t>
        </is>
      </c>
    </row>
    <row r="1285" ht="15.75" customHeight="1" s="305">
      <c r="A1285" s="67" t="inlineStr">
        <is>
          <t>packing.printNote</t>
        </is>
      </c>
      <c r="B1285" s="67" t="inlineStr">
        <is>
          <t>Lưu ý: mỗi trang in gồm {{maxSize}} đơn</t>
        </is>
      </c>
      <c r="C1285" s="67" t="inlineStr">
        <is>
          <t>Note: A printed page contains {{maxSize}} orders.</t>
        </is>
      </c>
      <c r="D1285" s="3">
        <f>IFERROR(__xludf.DUMMYFUNCTION("GOOGLETRANSLATE(B1285,""vi"",""km"")"),"ចំណាំ៖ ទំព័របោះពុម្ពនីមួយៗមានឯកតា {{maxSize}}")</f>
        <v/>
      </c>
      <c r="E1285" s="67" t="inlineStr">
        <is>
          <t>ចំណាំ៖ រាល់បុងបញ្ញើនីមួយៗរួមបញ្ចូលទាំងការព្រីន {{maxSize}} បុង</t>
        </is>
      </c>
      <c r="F1285" s="217" t="inlineStr">
        <is>
          <t>v</t>
        </is>
      </c>
      <c r="G1285" s="217" t="inlineStr">
        <is>
          <t>ចំណាំ៖ រាល់បុងបញ្ញើនីមួយៗរួមបញ្ចូលទាំងការព្រីន {{maxSize}} បុង</t>
        </is>
      </c>
      <c r="H1285" t="inlineStr">
        <is>
          <t>ចំណាំ៖ រាល់បុងបញ្ញើនីមួយៗរួមបញ្ចូលទាំងការព្រីន {{maxSize}} បុង</t>
        </is>
      </c>
      <c r="I1285" s="74" t="inlineStr">
        <is>
          <t>ចំណាំ៖ ទំព័រដែលបានបោះពុម្ពមានការបញ្ជាទិញ {{maxSize}} ។</t>
        </is>
      </c>
      <c r="J1285" s="217" t="inlineStr">
        <is>
          <t>"packing.printNote": "Note: A printed page contains {{maxSize}} orders.",</t>
        </is>
      </c>
    </row>
    <row r="1286" ht="15.75" customHeight="1" s="305">
      <c r="A1286" s="67" t="inlineStr">
        <is>
          <t>packing.confirmWeight</t>
        </is>
      </c>
      <c r="B1286" s="67" t="inlineStr">
        <is>
          <t>Xác nhận trọng lượng</t>
        </is>
      </c>
      <c r="C1286" s="67" t="inlineStr">
        <is>
          <t>Weight confirmation</t>
        </is>
      </c>
      <c r="D1286" s="3">
        <f>IFERROR(__xludf.DUMMYFUNCTION("GOOGLETRANSLATE(B1286,""vi"",""km"")"),"បញ្ជាក់ទម្ងន់")</f>
        <v/>
      </c>
      <c r="E1286" s="3" t="inlineStr">
        <is>
          <t>បញ្ជាក់ទម្ងន់</t>
        </is>
      </c>
      <c r="F1286" s="217" t="inlineStr">
        <is>
          <t>x</t>
        </is>
      </c>
      <c r="G1286" s="217" t="inlineStr">
        <is>
          <t>បញ្ជាក់ទម្ងន់</t>
        </is>
      </c>
      <c r="H1286" t="inlineStr">
        <is>
          <t>បញ្ជាក់ទម្ងន់</t>
        </is>
      </c>
      <c r="I1286" s="74" t="inlineStr">
        <is>
          <t>ការបញ្ជាក់ទម្ងន់</t>
        </is>
      </c>
      <c r="J1286" s="217" t="inlineStr">
        <is>
          <t>"packing.confirmWeight": "Weight confirmation",</t>
        </is>
      </c>
    </row>
    <row r="1287" ht="15.75" customHeight="1" s="305">
      <c r="A1287" s="67" t="inlineStr">
        <is>
          <t>packing.delayTime</t>
        </is>
      </c>
      <c r="B1287" s="67" t="inlineStr">
        <is>
          <t>Thời gian tồn</t>
        </is>
      </c>
      <c r="C1287" s="67" t="inlineStr">
        <is>
          <t>Storage time</t>
        </is>
      </c>
      <c r="D1287" s="3">
        <f>IFERROR(__xludf.DUMMYFUNCTION("GOOGLETRANSLATE(B1287,""vi"",""km"")"),"រយៈពេលផ្ទុក")</f>
        <v/>
      </c>
      <c r="E1287" s="3" t="inlineStr">
        <is>
          <t>ពេលវេលាដែលនៅមាន</t>
        </is>
      </c>
      <c r="F1287" s="217" t="inlineStr">
        <is>
          <t>x</t>
        </is>
      </c>
      <c r="G1287" s="217" t="inlineStr">
        <is>
          <t>ពេលវេលាដែលនៅមាន</t>
        </is>
      </c>
      <c r="H1287" t="inlineStr">
        <is>
          <t>ពេលវេលាដែលនៅមាន</t>
        </is>
      </c>
      <c r="I1287" s="74" t="inlineStr">
        <is>
          <t>ពេលវេលាផ្ទុក</t>
        </is>
      </c>
      <c r="J1287" s="217" t="inlineStr">
        <is>
          <t>"packing.delayTime": "Storage time",</t>
        </is>
      </c>
    </row>
    <row r="1288" ht="15.75" customHeight="1" s="305">
      <c r="A1288" s="67" t="inlineStr">
        <is>
          <t>packing.totalParcel</t>
        </is>
      </c>
      <c r="B1288" s="67" t="inlineStr">
        <is>
          <t>Tổng bưu phẩm</t>
        </is>
      </c>
      <c r="C1288" s="67" t="inlineStr">
        <is>
          <t>Total parcels</t>
        </is>
      </c>
      <c r="D1288" s="3">
        <f>IFERROR(__xludf.DUMMYFUNCTION("GOOGLETRANSLATE(B1288,""vi"",""km"")"),"សរុប​ទំនិញ​ប្រៃសណីយ៍")</f>
        <v/>
      </c>
      <c r="E1288" s="3" t="inlineStr">
        <is>
          <t>សរុបអីវ៉ាន់</t>
        </is>
      </c>
      <c r="F1288" s="217" t="inlineStr">
        <is>
          <t>v</t>
        </is>
      </c>
      <c r="G1288" s="217" t="inlineStr">
        <is>
          <t>សរុបអីវ៉ាន់</t>
        </is>
      </c>
      <c r="H1288" t="inlineStr">
        <is>
          <t>សរុបអីវ៉ាន់</t>
        </is>
      </c>
      <c r="I1288" s="74" t="inlineStr">
        <is>
          <t>សំបុត្រសរុប</t>
        </is>
      </c>
      <c r="J1288" s="217" t="inlineStr">
        <is>
          <t>"packing.totalParcel": "Total parcels",</t>
        </is>
      </c>
    </row>
    <row r="1289" ht="15.75" customHeight="1" s="305">
      <c r="A1289" s="67" t="inlineStr">
        <is>
          <t>packing.selectToAddress</t>
        </is>
      </c>
      <c r="B1289" s="67" t="inlineStr">
        <is>
          <t>Chọn nơi đến</t>
        </is>
      </c>
      <c r="C1289" s="67" t="inlineStr">
        <is>
          <t>Select destination</t>
        </is>
      </c>
      <c r="D1289" s="3">
        <f>IFERROR(__xludf.DUMMYFUNCTION("GOOGLETRANSLATE(B1289,""vi"",""km"")"),"ជ្រើសរើសគោលដៅរបស់អ្នក")</f>
        <v/>
      </c>
      <c r="E1289" s="3" t="inlineStr">
        <is>
          <t>ជ្រើសរើសទីតាំងមកដល់</t>
        </is>
      </c>
      <c r="F1289" s="217" t="inlineStr">
        <is>
          <t>v</t>
        </is>
      </c>
      <c r="G1289" s="217" t="inlineStr">
        <is>
          <t>ជ្រើសរើសទីតាំងមកដល់</t>
        </is>
      </c>
      <c r="H1289" t="inlineStr">
        <is>
          <t>ជ្រើសរើសទីតាំងមកដល់</t>
        </is>
      </c>
      <c r="I1289" s="74" t="inlineStr">
        <is>
          <t>ជ្រើសរើសគោលដៅ</t>
        </is>
      </c>
      <c r="J1289" s="217" t="inlineStr">
        <is>
          <t>"packing.selectToAddress": "Select destination",</t>
        </is>
      </c>
    </row>
    <row r="1290" ht="15.75" customHeight="1" s="305">
      <c r="A1290" s="67" t="inlineStr">
        <is>
          <t>packing.printFail</t>
        </is>
      </c>
      <c r="B1290" s="67" t="inlineStr">
        <is>
          <t>In mã tải thất bại</t>
        </is>
      </c>
      <c r="C1290" s="67" t="inlineStr">
        <is>
          <t>Print failed</t>
        </is>
      </c>
      <c r="D1290" s="3">
        <f>IFERROR(__xludf.DUMMYFUNCTION("GOOGLETRANSLATE(B1290,""vi"",""km"")"),"ការបោះពុម្ពកូដទាញយកបរាជ័យ")</f>
        <v/>
      </c>
      <c r="E1290" s="3" t="inlineStr">
        <is>
          <t>ព្រីនលេខកូូដកញ្ចប់ទំនិញមិនបានជោគជ័យ</t>
        </is>
      </c>
      <c r="F1290" s="217" t="inlineStr">
        <is>
          <t>v</t>
        </is>
      </c>
      <c r="G1290" s="217" t="inlineStr">
        <is>
          <t>ព្រីនលេខកូូដកញ្ចប់ទំនិញមិនបានជោគជ័យ</t>
        </is>
      </c>
      <c r="H1290" t="inlineStr">
        <is>
          <t>ព្រីនលេខកូូដកញ្ចប់ទំនិញមិនបានជោគជ័យ</t>
        </is>
      </c>
      <c r="I1290" s="74" t="inlineStr">
        <is>
          <t>ការបោះពុម្ពបានបរាជ័យ</t>
        </is>
      </c>
      <c r="J1290" s="217" t="inlineStr">
        <is>
          <t>"packing.printFail": "Print failed",</t>
        </is>
      </c>
    </row>
    <row r="1291" ht="15.75" customHeight="1" s="305">
      <c r="A1291" s="67" t="inlineStr">
        <is>
          <t>packing.weightRequired</t>
        </is>
      </c>
      <c r="B1291" s="67" t="inlineStr">
        <is>
          <t>Vui lòng điền trọng lượng</t>
        </is>
      </c>
      <c r="C1291" s="67" t="inlineStr">
        <is>
          <t>Please enter the weight</t>
        </is>
      </c>
      <c r="D1291" s="3">
        <f>IFERROR(__xludf.DUMMYFUNCTION("GOOGLETRANSLATE(B1291,""vi"",""km"")"),"សូមបំពេញទម្ងន់")</f>
        <v/>
      </c>
      <c r="E1291" s="3" t="inlineStr">
        <is>
          <t>សូមមេេត្តាបំពេញទម្ងន់</t>
        </is>
      </c>
      <c r="F1291" s="217" t="inlineStr">
        <is>
          <t>v</t>
        </is>
      </c>
      <c r="G1291" s="217" t="inlineStr">
        <is>
          <t>សូមមេេត្តាបំពេញទម្ងន់</t>
        </is>
      </c>
      <c r="H1291" t="inlineStr">
        <is>
          <t>សូមមេេត្តាបំពេញទម្ងន់</t>
        </is>
      </c>
      <c r="I1291" s="74" t="inlineStr">
        <is>
          <t>សូមបញ្ចូលទម្ងន់</t>
        </is>
      </c>
      <c r="J1291" s="217" t="inlineStr">
        <is>
          <t>"packing.weightRequired": "Please enter the weight",</t>
        </is>
      </c>
    </row>
    <row r="1292" ht="15.75" customHeight="1" s="305">
      <c r="A1292" s="67" t="inlineStr">
        <is>
          <t>process.processPackage</t>
        </is>
      </c>
      <c r="B1292" s="67" t="inlineStr">
        <is>
          <t>Tải kiện</t>
        </is>
      </c>
      <c r="C1292" s="67" t="inlineStr">
        <is>
          <t>Package</t>
        </is>
      </c>
      <c r="D1292" s="3">
        <f>IFERROR(__xludf.DUMMYFUNCTION("GOOGLETRANSLATE(B1292,""vi"",""km"")"),"ឯកសារ")</f>
        <v/>
      </c>
      <c r="E1292" s="3" t="inlineStr">
        <is>
          <t>កញ្ចប់ទំនិញ</t>
        </is>
      </c>
      <c r="F1292" s="217" t="inlineStr">
        <is>
          <t>v</t>
        </is>
      </c>
      <c r="G1292" s="217" t="inlineStr">
        <is>
          <t>កញ្ចប់ទំនិញ</t>
        </is>
      </c>
      <c r="H1292" t="inlineStr">
        <is>
          <t>កញ្ចប់ទំនិញ</t>
        </is>
      </c>
      <c r="I1292" s="74" t="inlineStr">
        <is>
          <t>កញ្ចប់</t>
        </is>
      </c>
      <c r="J1292" s="217" t="inlineStr">
        <is>
          <t>"process.processPackage": "Package",</t>
        </is>
      </c>
    </row>
    <row r="1293" ht="15.75" customHeight="1" s="305">
      <c r="A1293" s="67" t="inlineStr">
        <is>
          <t>process.processReceived</t>
        </is>
      </c>
      <c r="B1293" s="67" t="inlineStr">
        <is>
          <t>Đơn đã nhận</t>
        </is>
      </c>
      <c r="C1293" s="67" t="inlineStr">
        <is>
          <t>Arrived order</t>
        </is>
      </c>
      <c r="D1293" s="3">
        <f>IFERROR(__xludf.DUMMYFUNCTION("GOOGLETRANSLATE(B1293,""vi"",""km"")"),"ការបញ្ជាទិញត្រូវបានទទួលហើយ។")</f>
        <v/>
      </c>
      <c r="E1293" s="3" t="inlineStr">
        <is>
          <t>បុុងបញ្ញើដែលបានទទួល</t>
        </is>
      </c>
      <c r="F1293" s="217" t="inlineStr">
        <is>
          <t>v</t>
        </is>
      </c>
      <c r="G1293" s="217" t="inlineStr">
        <is>
          <t>បុុងបញ្ញើដែលបានទទួល</t>
        </is>
      </c>
      <c r="H1293" t="inlineStr">
        <is>
          <t>បុុងបញ្ញើដែលបានទទួល</t>
        </is>
      </c>
      <c r="I1293" s="74" t="inlineStr">
        <is>
          <t>ការបញ្ជាទិញបានមកដល់</t>
        </is>
      </c>
      <c r="J1293" s="217" t="inlineStr">
        <is>
          <t>"process.processReceived": "Arrived order",</t>
        </is>
      </c>
    </row>
    <row r="1294" ht="15.75" customHeight="1" s="305">
      <c r="A1294" s="67" t="inlineStr">
        <is>
          <t>process.processForward</t>
        </is>
      </c>
      <c r="B1294" s="67" t="inlineStr">
        <is>
          <t>Chuyển tiếp</t>
        </is>
      </c>
      <c r="C1294" s="67" t="inlineStr">
        <is>
          <t>Forward</t>
        </is>
      </c>
      <c r="D1294" s="3">
        <f>IFERROR(__xludf.DUMMYFUNCTION("GOOGLETRANSLATE(B1294,""vi"",""km"")"),"ទៅមុខ")</f>
        <v/>
      </c>
      <c r="E1294" s="3" t="inlineStr">
        <is>
          <t>បញ្ជូនបន្ត</t>
        </is>
      </c>
      <c r="F1294" s="217" t="inlineStr">
        <is>
          <t>v</t>
        </is>
      </c>
      <c r="G1294" s="217" t="inlineStr">
        <is>
          <t>បញ្ជូនបន្ត</t>
        </is>
      </c>
      <c r="H1294" t="inlineStr">
        <is>
          <t>បញ្ជូនបន្ត</t>
        </is>
      </c>
      <c r="I1294" s="74" t="inlineStr">
        <is>
          <t>ទៅមុខ</t>
        </is>
      </c>
      <c r="J1294" s="217" t="inlineStr">
        <is>
          <t>"process.processForward": "Forward",</t>
        </is>
      </c>
    </row>
    <row r="1295" ht="15.75" customHeight="1" s="305">
      <c r="A1295" s="67" t="inlineStr">
        <is>
          <t>process.processMissing</t>
        </is>
      </c>
      <c r="B1295" s="67" t="inlineStr">
        <is>
          <t>Đơn thiếu</t>
        </is>
      </c>
      <c r="C1295" s="67" t="inlineStr">
        <is>
          <t>Missing order</t>
        </is>
      </c>
      <c r="D1295" s="3">
        <f>IFERROR(__xludf.DUMMYFUNCTION("GOOGLETRANSLATE(B1295,""vi"",""km"")"),"ការបញ្ជាទិញមិនពេញលេញ")</f>
        <v/>
      </c>
      <c r="E1295" s="3" t="inlineStr">
        <is>
          <t>បុងដែលខ្វះ</t>
        </is>
      </c>
      <c r="F1295" s="217" t="inlineStr">
        <is>
          <t>v</t>
        </is>
      </c>
      <c r="G1295" s="217" t="inlineStr">
        <is>
          <t>បុងដែលខ្វះ</t>
        </is>
      </c>
      <c r="H1295" t="inlineStr">
        <is>
          <t>បុងដែលខ្វះ</t>
        </is>
      </c>
      <c r="I1295" s="74" t="inlineStr">
        <is>
          <t>បាត់ការបញ្ជាទិញ</t>
        </is>
      </c>
      <c r="J1295" s="217" t="inlineStr">
        <is>
          <t>"process.processMissing": "Missing order",</t>
        </is>
      </c>
    </row>
    <row r="1296" ht="15.75" customHeight="1" s="305">
      <c r="A1296" s="67" t="inlineStr">
        <is>
          <t>process.packageUnexploited</t>
        </is>
      </c>
      <c r="B1296" s="67" t="inlineStr">
        <is>
          <t>Chưa khai thác</t>
        </is>
      </c>
      <c r="C1296" s="67" t="inlineStr">
        <is>
          <t>Process pending</t>
        </is>
      </c>
      <c r="D1296" s="3">
        <f>IFERROR(__xludf.DUMMYFUNCTION("GOOGLETRANSLATE(B1296,""vi"",""km"")"),"មិនទាន់បានកេងប្រវ័ញ្ចនៅឡើយទេ")</f>
        <v/>
      </c>
      <c r="E1296" s="3" t="inlineStr">
        <is>
          <t>មិនទាន់ចាត់ចែង</t>
        </is>
      </c>
      <c r="F1296" s="217" t="inlineStr">
        <is>
          <t>x</t>
        </is>
      </c>
      <c r="G1296" s="217" t="inlineStr">
        <is>
          <t>មិនទាន់ចាត់ចែង</t>
        </is>
      </c>
      <c r="H1296" t="inlineStr">
        <is>
          <t>មិនទាន់ចាត់ចែង</t>
        </is>
      </c>
      <c r="I1296" s="74" t="inlineStr">
        <is>
          <t>ដំណើរការកំពុងរង់ចាំ</t>
        </is>
      </c>
      <c r="J1296" s="217" t="inlineStr">
        <is>
          <t>"process.packageUnexploited": "Process pending",</t>
        </is>
      </c>
    </row>
    <row r="1297" ht="15.75" customHeight="1" s="305">
      <c r="A1297" s="67" t="inlineStr">
        <is>
          <t>process.packageExploited</t>
        </is>
      </c>
      <c r="B1297" s="67" t="inlineStr">
        <is>
          <t>Đã khai thác</t>
        </is>
      </c>
      <c r="C1297" s="67" t="inlineStr">
        <is>
          <t>Processed</t>
        </is>
      </c>
      <c r="D1297" s="3">
        <f>IFERROR(__xludf.DUMMYFUNCTION("GOOGLETRANSLATE(B1297,""vi"",""km"")"),"កេងប្រវ័ញ្ចរួចហើយ")</f>
        <v/>
      </c>
      <c r="E1297" s="3" t="inlineStr">
        <is>
          <t>បានចាត់ចែង</t>
        </is>
      </c>
      <c r="F1297" s="217" t="inlineStr">
        <is>
          <t>x</t>
        </is>
      </c>
      <c r="G1297" s="217" t="inlineStr">
        <is>
          <t>បានចាត់ចែង</t>
        </is>
      </c>
      <c r="H1297" t="inlineStr">
        <is>
          <t>បានចាត់ចែង</t>
        </is>
      </c>
      <c r="I1297" s="74" t="inlineStr">
        <is>
          <t>ដំណើរការ</t>
        </is>
      </c>
      <c r="J1297" s="217" t="inlineStr">
        <is>
          <t>"process.packageExploited": "Processed",</t>
        </is>
      </c>
    </row>
    <row r="1298" ht="15.75" customHeight="1" s="305">
      <c r="A1298" s="67" t="inlineStr">
        <is>
          <t>process.packageDetail</t>
        </is>
      </c>
      <c r="B1298" s="67" t="inlineStr">
        <is>
          <t>Chi tiết tải</t>
        </is>
      </c>
      <c r="C1298" s="67" t="inlineStr">
        <is>
          <t>Package detail</t>
        </is>
      </c>
      <c r="D1298" s="3">
        <f>IFERROR(__xludf.DUMMYFUNCTION("GOOGLETRANSLATE(B1298,""vi"",""km"")"),"ទាញយកព័ត៌មានលម្អិត")</f>
        <v/>
      </c>
      <c r="E1298" s="3" t="inlineStr">
        <is>
          <t>លម្អិតពីកញ្ចប់ទំនិញ</t>
        </is>
      </c>
      <c r="F1298" s="217" t="inlineStr">
        <is>
          <t>x</t>
        </is>
      </c>
      <c r="G1298" s="217" t="inlineStr">
        <is>
          <t>លម្អិតពីកញ្ចប់ទំនិញ</t>
        </is>
      </c>
      <c r="H1298" t="inlineStr">
        <is>
          <t>លម្អិតពីកញ្ចប់ទំនិញ</t>
        </is>
      </c>
      <c r="I1298" s="74" t="inlineStr">
        <is>
          <t>ព័ត៌មានលម្អិតអំពីកញ្ចប់</t>
        </is>
      </c>
      <c r="J1298" s="217" t="inlineStr">
        <is>
          <t>"process.packageDetail": "Package detail",</t>
        </is>
      </c>
    </row>
    <row r="1299" ht="15.75" customHeight="1" s="305">
      <c r="A1299" s="67" t="inlineStr">
        <is>
          <t>process.totalPackage</t>
        </is>
      </c>
      <c r="B1299" s="67" t="inlineStr">
        <is>
          <t>Tổng tải kiện</t>
        </is>
      </c>
      <c r="C1299" s="67" t="inlineStr">
        <is>
          <t>Total package</t>
        </is>
      </c>
      <c r="D1299" s="3">
        <f>IFERROR(__xludf.DUMMYFUNCTION("GOOGLETRANSLATE(B1299,""vi"",""km"")"),"កញ្ចប់សរុប")</f>
        <v/>
      </c>
      <c r="E1299" s="3" t="inlineStr">
        <is>
          <t>សរុបកញ្ចប់ទំនិញ</t>
        </is>
      </c>
      <c r="F1299" s="217" t="inlineStr">
        <is>
          <t>v</t>
        </is>
      </c>
      <c r="G1299" s="217" t="inlineStr">
        <is>
          <t>សរុបកញ្ចប់ទំនិញ</t>
        </is>
      </c>
      <c r="H1299" t="inlineStr">
        <is>
          <t>សរុបកញ្ចប់ទំនិញ</t>
        </is>
      </c>
      <c r="I1299" s="74" t="inlineStr">
        <is>
          <t>កញ្ចប់សរុប</t>
        </is>
      </c>
      <c r="J1299" s="217" t="inlineStr">
        <is>
          <t>"process.totalPackage": "Total package",</t>
        </is>
      </c>
    </row>
    <row r="1300" ht="15.75" customHeight="1" s="305">
      <c r="A1300" s="67" t="inlineStr">
        <is>
          <t>process.enterPackageCode</t>
        </is>
      </c>
      <c r="B1300" s="67" t="inlineStr">
        <is>
          <t>Nhập mã tải kiện</t>
        </is>
      </c>
      <c r="C1300" s="67" t="inlineStr">
        <is>
          <t>Enter package code</t>
        </is>
      </c>
      <c r="D1300" s="3">
        <f>IFERROR(__xludf.DUMMYFUNCTION("GOOGLETRANSLATE(B1300,""vi"",""km"")"),"បញ្ចូលលេខកូដកញ្ចប់")</f>
        <v/>
      </c>
      <c r="E1300" s="3" t="inlineStr">
        <is>
          <t>បញ្ចូលលេខកូដកញ្ចប់ទំនិញ</t>
        </is>
      </c>
      <c r="F1300" s="217" t="inlineStr">
        <is>
          <t>v</t>
        </is>
      </c>
      <c r="G1300" s="217" t="inlineStr">
        <is>
          <t>បញ្ចូលលេខកូដកញ្ចប់ទំនិញ</t>
        </is>
      </c>
      <c r="H1300" t="inlineStr">
        <is>
          <t>បញ្ចូលលេខកូដកញ្ចប់ទំនិញ</t>
        </is>
      </c>
      <c r="I1300" s="74" t="inlineStr">
        <is>
          <t>បញ្ចូលលេខកូដកញ្ចប់</t>
        </is>
      </c>
      <c r="J1300" s="217" t="inlineStr">
        <is>
          <t>"process.enterPackageCode": "Enter package code",</t>
        </is>
      </c>
    </row>
    <row r="1301" ht="15.75" customHeight="1" s="305">
      <c r="A1301" s="67" t="inlineStr">
        <is>
          <t>process.packageCode</t>
        </is>
      </c>
      <c r="B1301" s="67" t="inlineStr">
        <is>
          <t>Mã tải</t>
        </is>
      </c>
      <c r="C1301" s="67" t="inlineStr">
        <is>
          <t>Package code</t>
        </is>
      </c>
      <c r="D1301" s="3">
        <f>IFERROR(__xludf.DUMMYFUNCTION("GOOGLETRANSLATE(B1301,""vi"",""km"")"),"ទាញយកលេខកូដ")</f>
        <v/>
      </c>
      <c r="E1301" s="3" t="inlineStr">
        <is>
          <t>លេខកូដកញ្ចប់ទំនិញ</t>
        </is>
      </c>
      <c r="F1301" s="217" t="inlineStr">
        <is>
          <t>x</t>
        </is>
      </c>
      <c r="G1301" s="217" t="inlineStr">
        <is>
          <t>លេខកូដកញ្ចប់ទំនិញ</t>
        </is>
      </c>
      <c r="H1301" t="inlineStr">
        <is>
          <t>លេខកូដកញ្ចប់ទំនិញ</t>
        </is>
      </c>
      <c r="I1301" s="74" t="inlineStr">
        <is>
          <t>លេខកូដកញ្ចប់</t>
        </is>
      </c>
      <c r="J1301" s="217" t="inlineStr">
        <is>
          <t>"process.packageCode": "Package code",</t>
        </is>
      </c>
    </row>
    <row r="1302" ht="15.75" customHeight="1" s="305">
      <c r="A1302" s="67" t="inlineStr">
        <is>
          <t>process.sendPO</t>
        </is>
      </c>
      <c r="B1302" s="67" t="inlineStr">
        <is>
          <t>Bưu cục đi</t>
        </is>
      </c>
      <c r="C1302" s="67" t="inlineStr">
        <is>
          <t>From post office</t>
        </is>
      </c>
      <c r="D1302" s="3">
        <f>IFERROR(__xludf.DUMMYFUNCTION("GOOGLETRANSLATE(B1302,""vi"",""km"")"),"ការិយាល័យប្រៃសណីយ៍")</f>
        <v/>
      </c>
      <c r="E1302" s="3" t="inlineStr">
        <is>
          <t>ការិយាល័យប្រៃសណីយ៍ចាកចេញ</t>
        </is>
      </c>
      <c r="F1302" s="217" t="inlineStr">
        <is>
          <t>v</t>
        </is>
      </c>
      <c r="G1302" s="217" t="inlineStr">
        <is>
          <t>ការិយាល័យប្រៃសណីយ៍ចាកចេញ</t>
        </is>
      </c>
      <c r="H1302" t="inlineStr">
        <is>
          <t>ការិយាល័យប្រៃសណីយ៍ចាកចេញ</t>
        </is>
      </c>
      <c r="I1302" s="74" t="inlineStr">
        <is>
          <t>ពីការិយាល័យប្រៃសណីយ៍</t>
        </is>
      </c>
      <c r="J1302" s="217" t="inlineStr">
        <is>
          <t>"process.sendPO": "From post office",</t>
        </is>
      </c>
    </row>
    <row r="1303" ht="15.75" customHeight="1" s="305">
      <c r="A1303" s="67" t="inlineStr">
        <is>
          <t>process.receivePo</t>
        </is>
      </c>
      <c r="B1303" s="67" t="inlineStr">
        <is>
          <t>Bưu cục đến</t>
        </is>
      </c>
      <c r="C1303" s="67" t="inlineStr">
        <is>
          <t>Receiving post office</t>
        </is>
      </c>
      <c r="D1303" s="3">
        <f>IFERROR(__xludf.DUMMYFUNCTION("GOOGLETRANSLATE(B1303,""vi"",""km"")"),"ការិយាល័យប្រៃសណីយ៍")</f>
        <v/>
      </c>
      <c r="E1303" s="3" t="inlineStr">
        <is>
          <t>ការិយាល័យប្រៃសណីយ៍មកដល់</t>
        </is>
      </c>
      <c r="F1303" s="217" t="inlineStr">
        <is>
          <t>v</t>
        </is>
      </c>
      <c r="G1303" s="217" t="inlineStr">
        <is>
          <t>ការិយាល័យប្រៃសណីយ៍គោលដៅ</t>
        </is>
      </c>
      <c r="H1303" t="inlineStr">
        <is>
          <t>ការិយាល័យប្រៃសណីយ៍គោលដៅ</t>
        </is>
      </c>
      <c r="I1303" s="74" t="inlineStr">
        <is>
          <t>ការទទួលការិយាល័យប្រៃសណីយ៍</t>
        </is>
      </c>
      <c r="J1303" s="217" t="inlineStr">
        <is>
          <t>"process.receivePo": "Receiving post office",</t>
        </is>
      </c>
    </row>
    <row r="1304" ht="15.75" customHeight="1" s="305">
      <c r="A1304" s="67" t="inlineStr">
        <is>
          <t>process.quantity</t>
        </is>
      </c>
      <c r="B1304" s="67" t="inlineStr">
        <is>
          <t>Số lượng bưu phẩm</t>
        </is>
      </c>
      <c r="C1304" s="67" t="inlineStr">
        <is>
          <t>Quantity of parcels</t>
        </is>
      </c>
      <c r="D1304" s="3">
        <f>IFERROR(__xludf.DUMMYFUNCTION("GOOGLETRANSLATE(B1304,""vi"",""km"")"),"ចំនួន​ក្បាលដី")</f>
        <v/>
      </c>
      <c r="E1304" s="3" t="inlineStr">
        <is>
          <t>ចំនួនកញ្ចប់អីវ៉ាន់</t>
        </is>
      </c>
      <c r="F1304" s="217" t="inlineStr">
        <is>
          <t>v</t>
        </is>
      </c>
      <c r="G1304" s="217" t="inlineStr">
        <is>
          <t>ចំនួនកញ្ចប់អីវ៉ាន់</t>
        </is>
      </c>
      <c r="H1304" t="inlineStr">
        <is>
          <t>ចំនួនកញ្ចប់អីវ៉ាន់</t>
        </is>
      </c>
      <c r="I1304" s="74" t="inlineStr">
        <is>
          <t>បរិមាណនៃកញ្ចប់</t>
        </is>
      </c>
      <c r="J1304" s="217" t="inlineStr">
        <is>
          <t>"process.quantity": "Quantity of parcels",</t>
        </is>
      </c>
    </row>
    <row r="1305" ht="15.75" customHeight="1" s="305">
      <c r="A1305" s="67" t="inlineStr">
        <is>
          <t>process.weight</t>
        </is>
      </c>
      <c r="B1305" s="67" t="inlineStr">
        <is>
          <t>Trọng lượng (g)</t>
        </is>
      </c>
      <c r="C1305" s="67" t="inlineStr">
        <is>
          <t>Weight</t>
        </is>
      </c>
      <c r="D1305" s="3">
        <f>IFERROR(__xludf.DUMMYFUNCTION("GOOGLETRANSLATE(B1305,""vi"",""km"")"),"ទម្ងន់ (ក្រាម)")</f>
        <v/>
      </c>
      <c r="E1305" s="3" t="inlineStr">
        <is>
          <t>ទម្ងន់(ក្រាម)</t>
        </is>
      </c>
      <c r="F1305" s="217" t="inlineStr">
        <is>
          <t>v</t>
        </is>
      </c>
      <c r="G1305" s="217" t="inlineStr">
        <is>
          <t>ទម្ងន់(ក្រាម)</t>
        </is>
      </c>
      <c r="H1305" t="inlineStr">
        <is>
          <t>ទម្ងន់(ក្រាម)</t>
        </is>
      </c>
      <c r="I1305" s="74" t="inlineStr">
        <is>
          <t>ទម្ងន់</t>
        </is>
      </c>
      <c r="J1305" s="217" t="inlineStr">
        <is>
          <t>"process.weight": "Weight",</t>
        </is>
      </c>
    </row>
    <row r="1306" ht="15.75" customHeight="1" s="305">
      <c r="A1306" s="67" t="inlineStr">
        <is>
          <t>process.receivedByName</t>
        </is>
      </c>
      <c r="B1306" s="67" t="inlineStr">
        <is>
          <t>Người nhận tải</t>
        </is>
      </c>
      <c r="C1306" s="67" t="inlineStr">
        <is>
          <t>Package recipient</t>
        </is>
      </c>
      <c r="D1306" s="3">
        <f>IFERROR(__xludf.DUMMYFUNCTION("GOOGLETRANSLATE(B1306,""vi"",""km"")"),"ទាញយកអ្នកទទួល")</f>
        <v/>
      </c>
      <c r="E1306" s="3" t="inlineStr">
        <is>
          <t>អ្នកទទួលកញ្ចប់ទំនិញ</t>
        </is>
      </c>
      <c r="F1306" s="217" t="inlineStr">
        <is>
          <t>v</t>
        </is>
      </c>
      <c r="G1306" s="217" t="inlineStr">
        <is>
          <t>អ្នកទទួលកញ្ចប់ទំនិញ</t>
        </is>
      </c>
      <c r="H1306" t="inlineStr">
        <is>
          <t>អ្នកទទួលកញ្ចប់ទំនិញ</t>
        </is>
      </c>
      <c r="I1306" s="74" t="inlineStr">
        <is>
          <t>អ្នកទទួលកញ្ចប់</t>
        </is>
      </c>
      <c r="J1306" s="217" t="inlineStr">
        <is>
          <t>"process.receivedByName": "Package recipient",</t>
        </is>
      </c>
    </row>
    <row r="1307" ht="15.75" customHeight="1" s="305">
      <c r="A1307" s="67" t="inlineStr">
        <is>
          <t>process.updateByName</t>
        </is>
      </c>
      <c r="B1307" s="67" t="n"/>
      <c r="C1307" s="67" t="inlineStr">
        <is>
          <t>Updater</t>
        </is>
      </c>
      <c r="D1307" s="3">
        <f>IFERROR(__xludf.DUMMYFUNCTION("GOOGLETRANSLATE(B1307,""vi"",""km"")"),"#VALUE!")</f>
        <v/>
      </c>
      <c r="E1307" s="3" t="inlineStr">
        <is>
          <t>អ្នកអាប់ដេត</t>
        </is>
      </c>
      <c r="F1307" s="217" t="inlineStr">
        <is>
          <t>x</t>
        </is>
      </c>
      <c r="G1307" s="217" t="inlineStr">
        <is>
          <t>អ្នកអាប់ដេត</t>
        </is>
      </c>
      <c r="H1307" t="inlineStr">
        <is>
          <t>អ្នកអាប់ដេត</t>
        </is>
      </c>
      <c r="I1307" s="74" t="inlineStr">
        <is>
          <t>អ្នកធ្វើបច្ចុប្បន្នភាព</t>
        </is>
      </c>
      <c r="J1307" s="217" t="inlineStr">
        <is>
          <t>"process.updateByName": "Updater",</t>
        </is>
      </c>
    </row>
    <row r="1308" ht="15.75" customHeight="1" s="305">
      <c r="A1308" s="67" t="inlineStr">
        <is>
          <t>process.receivedAt</t>
        </is>
      </c>
      <c r="B1308" s="67" t="inlineStr">
        <is>
          <t>Ngày nhận</t>
        </is>
      </c>
      <c r="C1308" s="67" t="inlineStr">
        <is>
          <t>Received date</t>
        </is>
      </c>
      <c r="D1308" s="3">
        <f>IFERROR(__xludf.DUMMYFUNCTION("GOOGLETRANSLATE(B1308,""vi"",""km"")"),"កាលបរិច្ឆេទទទួលបាន")</f>
        <v/>
      </c>
      <c r="E1308" s="3" t="inlineStr">
        <is>
          <t>ថ្ងៃទទួល</t>
        </is>
      </c>
      <c r="F1308" s="217" t="inlineStr">
        <is>
          <t>v</t>
        </is>
      </c>
      <c r="G1308" s="217" t="inlineStr">
        <is>
          <t>កាលបរិច្ឆេទទទួល</t>
        </is>
      </c>
      <c r="H1308" t="inlineStr">
        <is>
          <t>កាលបរិច្ឆេទទទួល</t>
        </is>
      </c>
      <c r="I1308" s="74" t="inlineStr">
        <is>
          <t>ថ្ងៃទទួល</t>
        </is>
      </c>
      <c r="J1308" s="217" t="inlineStr">
        <is>
          <t>"process.receivedAt": "Received date",</t>
        </is>
      </c>
    </row>
    <row r="1309" ht="15.75" customHeight="1" s="305">
      <c r="A1309" s="67" t="inlineStr">
        <is>
          <t>process.updateAt</t>
        </is>
      </c>
      <c r="B1309" s="67" t="n"/>
      <c r="C1309" s="67" t="inlineStr">
        <is>
          <t>Updated time</t>
        </is>
      </c>
      <c r="D1309" s="3">
        <f>IFERROR(__xludf.DUMMYFUNCTION("GOOGLETRANSLATE(B1309,""vi"",""km"")"),"#VALUE!")</f>
        <v/>
      </c>
      <c r="E1309" s="3" t="n"/>
      <c r="F1309" s="217" t="inlineStr">
        <is>
          <t>x</t>
        </is>
      </c>
      <c r="G1309" s="217" t="inlineStr">
        <is>
          <t>ពេលវេលាដែលបានធ្វើបច្ចុប្បន្នភាព</t>
        </is>
      </c>
      <c r="H1309" t="inlineStr">
        <is>
          <t>ពេលវេលាដែលបានធ្វើបច្ចុប្បន្នភាព</t>
        </is>
      </c>
      <c r="I1309" s="74" t="inlineStr">
        <is>
          <t>ពេលវេលាដែលបានធ្វើបច្ចុប្បន្នភាព</t>
        </is>
      </c>
      <c r="J1309" s="217" t="inlineStr">
        <is>
          <t>"process.updateAt": "Updated time",</t>
        </is>
      </c>
    </row>
    <row r="1310" ht="15.75" customHeight="1" s="305">
      <c r="A1310" s="67" t="inlineStr">
        <is>
          <t>process.enterOrderCode</t>
        </is>
      </c>
      <c r="B1310" s="67" t="inlineStr">
        <is>
          <t>Nhập mã phiếu gửi</t>
        </is>
      </c>
      <c r="C1310" s="67" t="inlineStr">
        <is>
          <t>Enter postal slip's code</t>
        </is>
      </c>
      <c r="D1310" s="3">
        <f>IFERROR(__xludf.DUMMYFUNCTION("GOOGLETRANSLATE(B1310,""vi"",""km"")"),"បញ្ចូលលេខកូដប័ណ្ណដឹកជញ្ជូន")</f>
        <v/>
      </c>
      <c r="E1310" s="3" t="inlineStr">
        <is>
          <t>បញ្ចូលលេខកូដបុងបញ្ញើ</t>
        </is>
      </c>
      <c r="F1310" s="217" t="inlineStr">
        <is>
          <t>v</t>
        </is>
      </c>
      <c r="G1310" s="217" t="inlineStr">
        <is>
          <t>បញ្ចូលលេខកូដបុងបញ្ញើ</t>
        </is>
      </c>
      <c r="H1310" t="inlineStr">
        <is>
          <t>បញ្ចូលលេខកូដបុងបញ្ញើ</t>
        </is>
      </c>
      <c r="I1310" s="74" t="inlineStr">
        <is>
          <t>បញ្ចូលលេខកូដប្រៃសណីយ៍</t>
        </is>
      </c>
      <c r="J1310" s="217" t="inlineStr">
        <is>
          <t>"process.enterOrderCode": "Enter postal slip's code",</t>
        </is>
      </c>
    </row>
    <row r="1311" ht="15.75" customHeight="1" s="305">
      <c r="A1311" s="67" t="inlineStr">
        <is>
          <t>process.receiveOrder</t>
        </is>
      </c>
      <c r="B1311" s="67" t="inlineStr">
        <is>
          <t>Nhận phiếu gửi</t>
        </is>
      </c>
      <c r="C1311" s="67" t="inlineStr">
        <is>
          <t>Receive postal slip</t>
        </is>
      </c>
      <c r="D1311" s="3">
        <f>IFERROR(__xludf.DUMMYFUNCTION("GOOGLETRANSLATE(B1311,""vi"",""km"")"),"ទទួលបង្កាន់ដៃដឹកជញ្ជូន")</f>
        <v/>
      </c>
      <c r="E1311" s="3" t="inlineStr">
        <is>
          <t>ទទួលយកបុងបញ្ញើ</t>
        </is>
      </c>
      <c r="F1311" s="217" t="inlineStr">
        <is>
          <t>v</t>
        </is>
      </c>
      <c r="G1311" s="217" t="inlineStr">
        <is>
          <t>ទទួលយកបុងបញ្ញើ</t>
        </is>
      </c>
      <c r="H1311" t="inlineStr">
        <is>
          <t>ទទួលយកបុងបញ្ញើ</t>
        </is>
      </c>
      <c r="I1311" s="74" t="inlineStr">
        <is>
          <t>ទទួលសំបុត្រប្រៃសណីយ៍</t>
        </is>
      </c>
      <c r="J1311" s="217" t="inlineStr">
        <is>
          <t>"process.receiveOrder": "Receive postal slip",</t>
        </is>
      </c>
    </row>
    <row r="1312" ht="15.75" customHeight="1" s="305">
      <c r="A1312" s="67" t="inlineStr">
        <is>
          <t>process.missingOrder</t>
        </is>
      </c>
      <c r="B1312" s="67" t="inlineStr">
        <is>
          <t>Báo thiếu</t>
        </is>
      </c>
      <c r="C1312" s="67" t="inlineStr">
        <is>
          <t>Report missing</t>
        </is>
      </c>
      <c r="D1312" s="3">
        <f>IFERROR(__xludf.DUMMYFUNCTION("GOOGLETRANSLATE(B1312,""vi"",""km"")"),"របាយការណ៍បាត់")</f>
        <v/>
      </c>
      <c r="E1312" s="3" t="inlineStr">
        <is>
          <t>របាយការណ៍ខ្វះ</t>
        </is>
      </c>
      <c r="F1312" s="217" t="inlineStr">
        <is>
          <t>v</t>
        </is>
      </c>
      <c r="G1312" s="217" t="inlineStr">
        <is>
          <t>របាយការណ៍ខ្វះ</t>
        </is>
      </c>
      <c r="H1312" t="inlineStr">
        <is>
          <t>របាយការណ៍ខ្វះ</t>
        </is>
      </c>
      <c r="I1312" s="74" t="inlineStr">
        <is>
          <t>រាយការណ៍ថាបាត់</t>
        </is>
      </c>
      <c r="J1312" s="217" t="inlineStr">
        <is>
          <t>"process.missingOrder": "Report missing",</t>
        </is>
      </c>
    </row>
    <row r="1313" ht="15.75" customHeight="1" s="305">
      <c r="A1313" s="67" t="inlineStr">
        <is>
          <t>process.orderCode</t>
        </is>
      </c>
      <c r="B1313" s="67" t="inlineStr">
        <is>
          <t>Mã phiếu gửi</t>
        </is>
      </c>
      <c r="C1313" s="67" t="inlineStr">
        <is>
          <t>Postal slip code</t>
        </is>
      </c>
      <c r="D1313" s="3">
        <f>IFERROR(__xludf.DUMMYFUNCTION("GOOGLETRANSLATE(B1313,""vi"",""km"")"),"លេខកូដបង្កាន់ដៃ")</f>
        <v/>
      </c>
      <c r="E1313" s="3" t="inlineStr">
        <is>
          <t>លេខកូដបុងបញ្ញើ</t>
        </is>
      </c>
      <c r="F1313" s="217" t="inlineStr">
        <is>
          <t>v</t>
        </is>
      </c>
      <c r="G1313" s="217" t="inlineStr">
        <is>
          <t>លេខកូដបុងបញ្ញើ</t>
        </is>
      </c>
      <c r="H1313" t="inlineStr">
        <is>
          <t>លេខកូដបុងបញ្ញើ</t>
        </is>
      </c>
      <c r="I1313" s="74" t="inlineStr">
        <is>
          <t>លេខកូដប្រៃសណីយ៍</t>
        </is>
      </c>
      <c r="J1313" s="217" t="inlineStr">
        <is>
          <t>"process.orderCode": "Postal slip code",</t>
        </is>
      </c>
    </row>
    <row r="1314" ht="15.75" customHeight="1" s="305">
      <c r="A1314" s="67" t="inlineStr">
        <is>
          <t>process.box</t>
        </is>
      </c>
      <c r="B1314" s="67" t="inlineStr">
        <is>
          <t>Hộp</t>
        </is>
      </c>
      <c r="C1314" s="67" t="inlineStr">
        <is>
          <t>Box</t>
        </is>
      </c>
      <c r="D1314" s="3">
        <f>IFERROR(__xludf.DUMMYFUNCTION("GOOGLETRANSLATE(B1314,""vi"",""km"")"),"ប្រអប់")</f>
        <v/>
      </c>
      <c r="E1314" s="3" t="inlineStr">
        <is>
          <t>ប្រអប់</t>
        </is>
      </c>
      <c r="F1314" s="217" t="inlineStr">
        <is>
          <t>v</t>
        </is>
      </c>
      <c r="G1314" s="217" t="inlineStr">
        <is>
          <t>ប្រអប់</t>
        </is>
      </c>
      <c r="H1314" t="inlineStr">
        <is>
          <t>ប្រអប់</t>
        </is>
      </c>
      <c r="I1314" s="74" t="inlineStr">
        <is>
          <t>ប្រអប់</t>
        </is>
      </c>
      <c r="J1314" s="217" t="inlineStr">
        <is>
          <t>"process.box": "Box",</t>
        </is>
      </c>
    </row>
    <row r="1315" ht="15.75" customHeight="1" s="305">
      <c r="A1315" s="67" t="inlineStr">
        <is>
          <t>process.fromPostal</t>
        </is>
      </c>
      <c r="B1315" s="67" t="inlineStr">
        <is>
          <t>Bưu cục gốc</t>
        </is>
      </c>
      <c r="C1315" s="67" t="inlineStr">
        <is>
          <t>Original post office</t>
        </is>
      </c>
      <c r="D1315" s="3">
        <f>IFERROR(__xludf.DUMMYFUNCTION("GOOGLETRANSLATE(B1315,""vi"",""km"")"),"ការិយាល័យប្រៃសណីយ៍ដើម")</f>
        <v/>
      </c>
      <c r="E1315" s="3" t="inlineStr">
        <is>
          <t>ការិយាល័យបប្រៃសណីយ៍ដើម</t>
        </is>
      </c>
      <c r="F1315" s="217" t="inlineStr">
        <is>
          <t>v</t>
        </is>
      </c>
      <c r="G1315" s="217" t="inlineStr">
        <is>
          <t>ការិយាល័យប្រៃសណីយ៍ដើម</t>
        </is>
      </c>
      <c r="H1315" t="inlineStr">
        <is>
          <t>ការិយាល័យប្រៃសណីយ៍ដើម</t>
        </is>
      </c>
      <c r="I1315" s="74" t="inlineStr">
        <is>
          <t>ការិយាល័យប្រៃសណីយ៍ដើម</t>
        </is>
      </c>
      <c r="J1315" s="217" t="inlineStr">
        <is>
          <t>"process.fromPostal": "Original post office",</t>
        </is>
      </c>
    </row>
    <row r="1316" ht="15.75" customHeight="1" s="305">
      <c r="A1316" s="67" t="inlineStr">
        <is>
          <t>process.toPostal</t>
        </is>
      </c>
      <c r="B1316" s="67" t="inlineStr">
        <is>
          <t>Bưu cục phát</t>
        </is>
      </c>
      <c r="C1316" s="67" t="inlineStr">
        <is>
          <t>Delivery post office</t>
        </is>
      </c>
      <c r="D1316" s="3">
        <f>IFERROR(__xludf.DUMMYFUNCTION("GOOGLETRANSLATE(B1316,""vi"",""km"")"),"ការិយាល័យប្រៃសណីយ៍ដឹកជញ្ជូន")</f>
        <v/>
      </c>
      <c r="E1316" s="3" t="inlineStr">
        <is>
          <t>ការិយាល័យប្រៃសណីយ៍ប្រគល់</t>
        </is>
      </c>
      <c r="F1316" s="217" t="inlineStr">
        <is>
          <t>x</t>
        </is>
      </c>
      <c r="G1316" s="217" t="inlineStr">
        <is>
          <t>ការិយាល័យប្រៃសណីយ៍ដឹកចែក</t>
        </is>
      </c>
      <c r="H1316" t="inlineStr">
        <is>
          <t>ការិយាល័យប្រៃសណីយ៍ដឹកចែក</t>
        </is>
      </c>
      <c r="I1316" s="74" t="inlineStr">
        <is>
          <t>ការិយាល័យប្រៃសណីយ៍ដឹកជញ្ជូន</t>
        </is>
      </c>
      <c r="J1316" s="217" t="inlineStr">
        <is>
          <t>"process.toPostal": "Delivery post office",</t>
        </is>
      </c>
    </row>
    <row r="1317" ht="15.75" customHeight="1" s="305">
      <c r="A1317" s="67" t="inlineStr">
        <is>
          <t>process.closePostal</t>
        </is>
      </c>
      <c r="B1317" s="67" t="inlineStr">
        <is>
          <t>Bưu cục đóng đến</t>
        </is>
      </c>
      <c r="C1317" s="67" t="inlineStr">
        <is>
          <t>Completed sack to post office</t>
        </is>
      </c>
      <c r="D1317" s="3">
        <f>IFERROR(__xludf.DUMMYFUNCTION("GOOGLETRANSLATE(B1317,""vi"",""km"")"),"ការិយាល័យប្រៃសណីយ៍ត្រូវបានបិទ។")</f>
        <v/>
      </c>
      <c r="E1317" s="3" t="inlineStr">
        <is>
          <t>ការិយាល័យប្រៃសណីយ៍បានរៀបចំអីវ៉ាន់ដល់</t>
        </is>
      </c>
      <c r="F1317" s="217" t="inlineStr">
        <is>
          <t>x</t>
        </is>
      </c>
      <c r="G1317" s="217" t="inlineStr">
        <is>
          <t>ការិយាល័យប្រៃសណីយ៍បានរៀបចំអីវ៉ាន់ដល់</t>
        </is>
      </c>
      <c r="H1317" t="inlineStr">
        <is>
          <t>ការិយាល័យប្រៃសណីយ៍បានរៀបចំអីវ៉ាន់ដល់</t>
        </is>
      </c>
      <c r="I1317" s="74" t="inlineStr">
        <is>
          <t>បាវបានបញ្ចប់ទៅការិយាល័យប្រៃសណីយ៍</t>
        </is>
      </c>
      <c r="J1317" s="217" t="inlineStr">
        <is>
          <t>"process.closePostal": "Completed sack to post office",</t>
        </is>
      </c>
    </row>
    <row r="1318" ht="15.75" customHeight="1" s="305">
      <c r="A1318" s="67" t="inlineStr">
        <is>
          <t>process.sendDate</t>
        </is>
      </c>
      <c r="B1318" s="67" t="inlineStr">
        <is>
          <t>Ngày gửi</t>
        </is>
      </c>
      <c r="C1318" s="67" t="inlineStr">
        <is>
          <t>Sent date</t>
        </is>
      </c>
      <c r="D1318" s="3">
        <f>IFERROR(__xludf.DUMMYFUNCTION("GOOGLETRANSLATE(B1318,""vi"",""km"")"),"កាលបរិច្ឆេទដែលបានផ្ញើ")</f>
        <v/>
      </c>
      <c r="E1318" s="3" t="inlineStr">
        <is>
          <t>ថ្ងៃផ្ញើ</t>
        </is>
      </c>
      <c r="F1318" s="217" t="inlineStr">
        <is>
          <t>v</t>
        </is>
      </c>
      <c r="G1318" s="217" t="inlineStr">
        <is>
          <t>កាលបរិច្ឆេទផ្ញើ</t>
        </is>
      </c>
      <c r="H1318" t="inlineStr">
        <is>
          <t>កាលបរិច្ឆេទផ្ញើ</t>
        </is>
      </c>
      <c r="I1318" s="74" t="inlineStr">
        <is>
          <t>ថ្ងែផ្ញើរ</t>
        </is>
      </c>
      <c r="J1318" s="217" t="inlineStr">
        <is>
          <t>"process.sendDate": "Sent date",</t>
        </is>
      </c>
    </row>
    <row r="1319" ht="15.75" customHeight="1" s="305">
      <c r="A1319" s="67" t="inlineStr">
        <is>
          <t>process.toProvince</t>
        </is>
      </c>
      <c r="B1319" s="67" t="inlineStr">
        <is>
          <t>Tỉnh đến</t>
        </is>
      </c>
      <c r="C1319" s="67" t="inlineStr">
        <is>
          <t>Receiving province</t>
        </is>
      </c>
      <c r="D1319" s="3">
        <f>IFERROR(__xludf.DUMMYFUNCTION("GOOGLETRANSLATE(B1319,""vi"",""km"")"),"ខេត្ត")</f>
        <v/>
      </c>
      <c r="E1319" s="3" t="inlineStr">
        <is>
          <t>ខេត្តមកដល់</t>
        </is>
      </c>
      <c r="F1319" s="217" t="inlineStr">
        <is>
          <t>v</t>
        </is>
      </c>
      <c r="G1319" s="217" t="inlineStr">
        <is>
          <t>ខេត្តមកដល់</t>
        </is>
      </c>
      <c r="H1319" t="inlineStr">
        <is>
          <t>ខេត្តមកដល់</t>
        </is>
      </c>
      <c r="I1319" s="74" t="inlineStr">
        <is>
          <t>ខេត្តទទួល</t>
        </is>
      </c>
      <c r="J1319" s="217" t="inlineStr">
        <is>
          <t>"process.toProvince": "Receiving province",</t>
        </is>
      </c>
    </row>
    <row r="1320" ht="15.75" customHeight="1" s="305">
      <c r="A1320" s="67" t="inlineStr">
        <is>
          <t>process.price</t>
        </is>
      </c>
      <c r="B1320" s="67" t="inlineStr">
        <is>
          <t>Tổng cước ({{money_unit}})</t>
        </is>
      </c>
      <c r="C1320" s="67" t="inlineStr">
        <is>
          <t>Total fee ({{money_unit}})</t>
        </is>
      </c>
      <c r="D1320" s="3">
        <f>IFERROR(__xludf.DUMMYFUNCTION("GOOGLETRANSLATE(B1320,""vi"",""km"")"),"ការគិតថ្លៃសរុប ({{money_unit}})")</f>
        <v/>
      </c>
      <c r="E1320" s="67" t="inlineStr">
        <is>
          <t>សរុបថ្លៃសេវា ({{money_unit}})</t>
        </is>
      </c>
      <c r="F1320" s="217" t="inlineStr">
        <is>
          <t>v</t>
        </is>
      </c>
      <c r="G1320" s="217" t="inlineStr">
        <is>
          <t>សរុបថ្លៃសេវា ({{money_unit}})</t>
        </is>
      </c>
      <c r="H1320" t="inlineStr">
        <is>
          <t>សរុបថ្លៃសេវា ({{money_unit}})</t>
        </is>
      </c>
      <c r="I1320" s="74" t="inlineStr">
        <is>
          <t>តម្លៃសរុប ({{money_unit}})</t>
        </is>
      </c>
      <c r="J1320" s="217" t="inlineStr">
        <is>
          <t>"process.price": "Total fee ({{money_unit}})",</t>
        </is>
      </c>
    </row>
    <row r="1321" ht="15.75" customHeight="1" s="305">
      <c r="A1321" s="67" t="inlineStr">
        <is>
          <t>process.selected</t>
        </is>
      </c>
      <c r="B1321" s="67" t="inlineStr">
        <is>
          <t>Đã chọn</t>
        </is>
      </c>
      <c r="C1321" s="67" t="inlineStr">
        <is>
          <t>Selected</t>
        </is>
      </c>
      <c r="D1321" s="3">
        <f>IFERROR(__xludf.DUMMYFUNCTION("GOOGLETRANSLATE(B1321,""vi"",""km"")"),"បានជ្រើសរើស")</f>
        <v/>
      </c>
      <c r="E1321" s="3" t="inlineStr">
        <is>
          <t>បានជ្រើសរើស</t>
        </is>
      </c>
      <c r="F1321" s="217" t="inlineStr">
        <is>
          <t>v</t>
        </is>
      </c>
      <c r="G1321" s="217" t="inlineStr">
        <is>
          <t>បានជ្រើសរើស</t>
        </is>
      </c>
      <c r="H1321" t="inlineStr">
        <is>
          <t>បានជ្រើសរើស</t>
        </is>
      </c>
      <c r="I1321" s="74" t="inlineStr">
        <is>
          <t>បានជ្រើសរើស</t>
        </is>
      </c>
      <c r="J1321" s="217" t="inlineStr">
        <is>
          <t>"process.selected": "Selected",</t>
        </is>
      </c>
    </row>
    <row r="1322" ht="15.75" customHeight="1" s="305">
      <c r="A1322" s="67" t="inlineStr">
        <is>
          <t>process.onReceiveOrderSuccess</t>
        </is>
      </c>
      <c r="B1322" s="67" t="inlineStr">
        <is>
          <t>Đồng chí đã nhận phiếu gửi thành công</t>
        </is>
      </c>
      <c r="C1322" s="67" t="inlineStr">
        <is>
          <t>Receive postal slip successfully</t>
        </is>
      </c>
      <c r="D1322" s="3">
        <f>IFERROR(__xludf.DUMMYFUNCTION("GOOGLETRANSLATE(B1322,""vi"",""km"")"),"សមមិត្តបានទទួលបង្កាន់ដៃដឹកជញ្ជូនដោយជោគជ័យ។")</f>
        <v/>
      </c>
      <c r="E1322" s="3" t="inlineStr">
        <is>
          <t>អ្នកបានទទួលបុងបញ្ញើបានជោគជ័យ</t>
        </is>
      </c>
      <c r="F1322" s="217" t="inlineStr">
        <is>
          <t>v</t>
        </is>
      </c>
      <c r="G1322" s="217" t="inlineStr">
        <is>
          <t>អ្នកបានទទួលបុងបញ្ញើបានជោគជ័យ</t>
        </is>
      </c>
      <c r="H1322" t="inlineStr">
        <is>
          <t>អ្នកបានទទួលបុងបញ្ញើបានជោគជ័យ</t>
        </is>
      </c>
      <c r="I1322" s="74" t="inlineStr">
        <is>
          <t>ទទួលបានប័ណ្ណប្រៃសណីយ៍ដោយជោគជ័យ</t>
        </is>
      </c>
      <c r="J1322" s="217" t="inlineStr">
        <is>
          <t>"process.onReceiveOrderSuccess": "Receive postal slip successfully",</t>
        </is>
      </c>
    </row>
    <row r="1323" ht="15.75" customHeight="1" s="305">
      <c r="A1323" s="67" t="inlineStr">
        <is>
          <t>process.onMissingSuccess</t>
        </is>
      </c>
      <c r="B1323" s="67" t="inlineStr">
        <is>
          <t>Đồng chí đã báo thiếu phiếu gửi thành công</t>
        </is>
      </c>
      <c r="C1323" s="67" t="inlineStr">
        <is>
          <t>Report missing postal slip successfully</t>
        </is>
      </c>
      <c r="D1323" s="3">
        <f>IFERROR(__xludf.DUMMYFUNCTION("GOOGLETRANSLATE(B1323,""vi"",""km"")"),"សមមិត្ត អ្នកបានរាយការណ៍ថា ការបញ្ជាទិញតាមប្រៃសណីយ៍មិនពេញលេញ និងមិនបានជោគជ័យ។")</f>
        <v/>
      </c>
      <c r="E1323" s="3" t="inlineStr">
        <is>
          <t>អ្នកបានធ្វើរបាយការណ៍ខ្វះបុងបញ្ញើបានជោគជ័យ</t>
        </is>
      </c>
      <c r="F1323" s="217" t="inlineStr">
        <is>
          <t>v</t>
        </is>
      </c>
      <c r="G1323" s="217" t="inlineStr">
        <is>
          <t>អ្នកបានធ្វើរបាយការណ៍ខ្វះបុងបញ្ញើបានជោគជ័យ</t>
        </is>
      </c>
      <c r="H1323" t="inlineStr">
        <is>
          <t>អ្នកបានធ្វើរបាយការណ៍ខ្វះបុងបញ្ញើបានជោគជ័យ</t>
        </is>
      </c>
      <c r="I1323" s="74" t="inlineStr">
        <is>
          <t>រាយការណ៍ប័ណ្ណប្រៃសណីយ៍ដែលបាត់ដោយជោគជ័យ</t>
        </is>
      </c>
      <c r="J1323" s="217" t="inlineStr">
        <is>
          <t>"process.onMissingSuccess": "Report missing postal slip successfully",</t>
        </is>
      </c>
    </row>
    <row r="1324" ht="15.75" customHeight="1" s="305">
      <c r="A1324" s="67" t="inlineStr">
        <is>
          <t>process.confirmMissing</t>
        </is>
      </c>
      <c r="B1324" s="67" t="inlineStr">
        <is>
          <t>Đồng chí có chắc chắn muốn báo thiếu các phiếu gửi này?</t>
        </is>
      </c>
      <c r="C1324" s="67" t="inlineStr">
        <is>
          <t>Are you sure to report these postal slips?</t>
        </is>
      </c>
      <c r="D1324" s="3">
        <f>IFERROR(__xludf.DUMMYFUNCTION("GOOGLETRANSLATE(B1324,""vi"",""km"")"),"តើអ្នកពិតជាចង់រាយការណ៍អំពីសំបុត្រផ្ញើសំបុត្រដែលបាត់ទាំងនេះមែនទេ?")</f>
        <v/>
      </c>
      <c r="E1324" s="3" t="inlineStr">
        <is>
          <t>អ្នកពិតជាចង់ធ្វើរបាយការណ៍ខ្វះបុងបញ្ញើនេះមែនទេ?</t>
        </is>
      </c>
      <c r="F1324" s="217" t="inlineStr">
        <is>
          <t>v</t>
        </is>
      </c>
      <c r="G1324" s="217" t="inlineStr">
        <is>
          <t>អ្នកពិតជាចង់ធ្វើរបាយការណ៍ខ្វះបុងបញ្ញើនេះមែនទេ?</t>
        </is>
      </c>
      <c r="H1324" t="inlineStr">
        <is>
          <t>អ្នកពិតជាចង់ធ្វើរបាយការណ៍ខ្វះបុងបញ្ញើនេះមែនទេ?</t>
        </is>
      </c>
      <c r="I1324" s="74" t="inlineStr">
        <is>
          <t>តើអ្នកប្រាកដក្នុងការរាយការណ៍ប័ណ្ណប្រៃសណីយ៍ទាំងនេះទេ?</t>
        </is>
      </c>
      <c r="J1324" s="217" t="inlineStr">
        <is>
          <t>"process.confirmMissing": "Are you sure to report these postal slips?",</t>
        </is>
      </c>
    </row>
    <row r="1325" ht="15.75" customHeight="1" s="305">
      <c r="A1325" s="67" t="inlineStr">
        <is>
          <t>process.totalOrder</t>
        </is>
      </c>
      <c r="B1325" s="67" t="inlineStr">
        <is>
          <t>Tổng đơn</t>
        </is>
      </c>
      <c r="C1325" s="67" t="inlineStr">
        <is>
          <t>Total order</t>
        </is>
      </c>
      <c r="D1325" s="3">
        <f>IFERROR(__xludf.DUMMYFUNCTION("GOOGLETRANSLATE(B1325,""vi"",""km"")"),"ការបញ្ជាទិញសរុប")</f>
        <v/>
      </c>
      <c r="E1325" s="3" t="inlineStr">
        <is>
          <t>សរុុបបុងបញ្ញើ</t>
        </is>
      </c>
      <c r="F1325" s="217" t="inlineStr">
        <is>
          <t>v</t>
        </is>
      </c>
      <c r="G1325" s="217" t="inlineStr">
        <is>
          <t>សរុុបបុងបញ្ញើ</t>
        </is>
      </c>
      <c r="H1325" t="inlineStr">
        <is>
          <t>សរុុបបុងបញ្ញើ</t>
        </is>
      </c>
      <c r="I1325" s="74" t="inlineStr">
        <is>
          <t>ការបញ្ជាទិញសរុប</t>
        </is>
      </c>
      <c r="J1325" s="217" t="inlineStr">
        <is>
          <t>"process.totalOrder": "Total order",</t>
        </is>
      </c>
    </row>
    <row r="1326" ht="15.75" customHeight="1" s="305">
      <c r="A1326" s="67" t="inlineStr">
        <is>
          <t>process.service</t>
        </is>
      </c>
      <c r="B1326" s="67" t="inlineStr">
        <is>
          <t>Dịch vụ</t>
        </is>
      </c>
      <c r="C1326" s="67" t="inlineStr">
        <is>
          <t>Service</t>
        </is>
      </c>
      <c r="D1326" s="3">
        <f>IFERROR(__xludf.DUMMYFUNCTION("GOOGLETRANSLATE(B1326,""vi"",""km"")"),"សេវាកម្ម")</f>
        <v/>
      </c>
      <c r="E1326" s="3" t="inlineStr">
        <is>
          <t>សេវាកម្ម</t>
        </is>
      </c>
      <c r="F1326" s="217" t="inlineStr">
        <is>
          <t>v</t>
        </is>
      </c>
      <c r="G1326" s="217" t="inlineStr">
        <is>
          <t>សេវាកម្ម</t>
        </is>
      </c>
      <c r="H1326" t="inlineStr">
        <is>
          <t>សេវាកម្ម</t>
        </is>
      </c>
      <c r="I1326" s="74" t="inlineStr">
        <is>
          <t>សេវាកម្ម</t>
        </is>
      </c>
      <c r="J1326" s="217" t="inlineStr">
        <is>
          <t>"process.service": "Service",</t>
        </is>
      </c>
    </row>
    <row r="1327" ht="15.75" customHeight="1" s="305">
      <c r="A1327" s="67" t="inlineStr">
        <is>
          <t>process.packageCodeOrder</t>
        </is>
      </c>
      <c r="B1327" s="67" t="inlineStr">
        <is>
          <t>Mã tải kiện</t>
        </is>
      </c>
      <c r="C1327" s="67" t="inlineStr">
        <is>
          <t>Package code</t>
        </is>
      </c>
      <c r="D1327" s="3">
        <f>IFERROR(__xludf.DUMMYFUNCTION("GOOGLETRANSLATE(B1327,""vi"",""km"")"),"លេខកូដកញ្ចប់")</f>
        <v/>
      </c>
      <c r="E1327" s="3" t="inlineStr">
        <is>
          <t>លេខកូូដកញ្ចប់ទំនិញ</t>
        </is>
      </c>
      <c r="F1327" s="217" t="inlineStr">
        <is>
          <t>v</t>
        </is>
      </c>
      <c r="G1327" s="217" t="inlineStr">
        <is>
          <t>លេខកូូដកញ្ចប់ទំនិញ</t>
        </is>
      </c>
      <c r="H1327" t="inlineStr">
        <is>
          <t>លេខកូូដកញ្ចប់ទំនិញ</t>
        </is>
      </c>
      <c r="I1327" s="74" t="inlineStr">
        <is>
          <t>លេខកូដកញ្ចប់</t>
        </is>
      </c>
      <c r="J1327" s="217" t="inlineStr">
        <is>
          <t>"process.packageCodeOrder": "Package code",</t>
        </is>
      </c>
    </row>
    <row r="1328" ht="15.75" customHeight="1" s="305">
      <c r="A1328" s="67" t="inlineStr">
        <is>
          <t>process.updateByMissing</t>
        </is>
      </c>
      <c r="B1328" s="67" t="inlineStr">
        <is>
          <t>Người báo thiếu</t>
        </is>
      </c>
      <c r="C1328" s="67" t="inlineStr">
        <is>
          <t>Report missing user</t>
        </is>
      </c>
      <c r="D1328" s="3">
        <f>IFERROR(__xludf.DUMMYFUNCTION("GOOGLETRANSLATE(B1328,""vi"",""km"")"),"អ្នករាយការណ៍បាត់ខ្លួន")</f>
        <v/>
      </c>
      <c r="E1328" s="3" t="inlineStr">
        <is>
          <t>អ្នករបាយណ៍ការខ្វះ</t>
        </is>
      </c>
      <c r="F1328" s="217" t="inlineStr">
        <is>
          <t>v</t>
        </is>
      </c>
      <c r="G1328" s="217" t="inlineStr">
        <is>
          <t>អ្នករបាយណ៍ការខ្វះ</t>
        </is>
      </c>
      <c r="H1328" t="inlineStr">
        <is>
          <t>អ្នករបាយណ៍ការខ្វះ</t>
        </is>
      </c>
      <c r="I1328" s="74" t="inlineStr">
        <is>
          <t>រាយការណ៍ពីអ្នកប្រើប្រាស់ដែលបាត់</t>
        </is>
      </c>
      <c r="J1328" s="217" t="inlineStr">
        <is>
          <t>"process.updateByMissing": "Report missing user",</t>
        </is>
      </c>
    </row>
    <row r="1329" ht="15.75" customHeight="1" s="305">
      <c r="A1329" s="67" t="inlineStr">
        <is>
          <t>process.updateAtMissing</t>
        </is>
      </c>
      <c r="B1329" s="67" t="inlineStr">
        <is>
          <t>Ngày báo thiếu</t>
        </is>
      </c>
      <c r="C1329" s="67" t="inlineStr">
        <is>
          <t>Report missing date</t>
        </is>
      </c>
      <c r="D1329" s="3">
        <f>IFERROR(__xludf.DUMMYFUNCTION("GOOGLETRANSLATE(B1329,""vi"",""km"")"),"កាសែតនេះបាត់កាលបរិច្ឆេទ។")</f>
        <v/>
      </c>
      <c r="E1329" s="3" t="inlineStr">
        <is>
          <t>ថ្ងៃ្ងធ្វើរបាយកាណ៍ខ្វះ</t>
        </is>
      </c>
      <c r="F1329" s="217" t="inlineStr">
        <is>
          <t>v</t>
        </is>
      </c>
      <c r="G1329" s="217" t="inlineStr">
        <is>
          <t>ថ្ងៃ្ងធ្វើរបាយកាណ៍ខ្វះ</t>
        </is>
      </c>
      <c r="H1329" t="inlineStr">
        <is>
          <t>ថ្ងៃ្ងធ្វើរបាយកាណ៍ខ្វះ</t>
        </is>
      </c>
      <c r="I1329" s="74" t="inlineStr">
        <is>
          <t>រាយការណ៍កាលបរិច្ឆេទដែលបាត់</t>
        </is>
      </c>
      <c r="J1329" s="217" t="inlineStr">
        <is>
          <t>"process.updateAtMissing": "Report missing date",</t>
        </is>
      </c>
    </row>
    <row r="1330" ht="15.75" customHeight="1" s="305">
      <c r="A1330" s="67" t="inlineStr">
        <is>
          <t>process.parcelType</t>
        </is>
      </c>
      <c r="B1330" s="67" t="inlineStr">
        <is>
          <t>Loại hàng hoá</t>
        </is>
      </c>
      <c r="C1330" s="67" t="inlineStr">
        <is>
          <t>Freight types</t>
        </is>
      </c>
      <c r="D1330" s="3">
        <f>IFERROR(__xludf.DUMMYFUNCTION("GOOGLETRANSLATE(B1330,""vi"",""km"")"),"ប្រភេទទំនិញ")</f>
        <v/>
      </c>
      <c r="E1330" s="3" t="inlineStr">
        <is>
          <t>ប្រភេទទំនិញ</t>
        </is>
      </c>
      <c r="F1330" s="217" t="inlineStr">
        <is>
          <t>v</t>
        </is>
      </c>
      <c r="G1330" s="217" t="inlineStr">
        <is>
          <t>ប្រភេទទំនិញ</t>
        </is>
      </c>
      <c r="H1330" t="inlineStr">
        <is>
          <t>ប្រភេទទំនិញ</t>
        </is>
      </c>
      <c r="I1330" s="74" t="inlineStr">
        <is>
          <t>ប្រភេទដឹកទំនិញ</t>
        </is>
      </c>
      <c r="J1330" s="217" t="inlineStr">
        <is>
          <t>"process.parcelType": "Freight types",</t>
        </is>
      </c>
    </row>
    <row r="1331" ht="15.75" customHeight="1" s="305">
      <c r="A1331" s="67" t="inlineStr">
        <is>
          <t>process.updateLocation</t>
        </is>
      </c>
      <c r="B1331" s="67" t="inlineStr">
        <is>
          <t>Cập nhật địa chỉ</t>
        </is>
      </c>
      <c r="C1331" s="67" t="inlineStr">
        <is>
          <t>Address update</t>
        </is>
      </c>
      <c r="D1331" s="3">
        <f>IFERROR(__xludf.DUMMYFUNCTION("GOOGLETRANSLATE(B1331,""vi"",""km"")"),"ធ្វើបច្ចុប្បន្នភាពអាសយដ្ឋាន")</f>
        <v/>
      </c>
      <c r="E1331" s="3" t="inlineStr">
        <is>
          <t>អាប់ដេតអាស័យដ្ឋាន</t>
        </is>
      </c>
      <c r="F1331" s="217" t="inlineStr">
        <is>
          <t>v</t>
        </is>
      </c>
      <c r="G1331" s="217" t="inlineStr">
        <is>
          <t>អាប់ដេតអាសយដ្ឋាន</t>
        </is>
      </c>
      <c r="H1331" t="inlineStr">
        <is>
          <t>អាប់ដេតអាសយដ្ឋាន</t>
        </is>
      </c>
      <c r="I1331" s="74" t="inlineStr">
        <is>
          <t>ធ្វើបច្ចុប្បន្នភាពអាសយដ្ឋាន</t>
        </is>
      </c>
      <c r="J1331" s="217" t="inlineStr">
        <is>
          <t>"process.updateLocation": "Address update",</t>
        </is>
      </c>
    </row>
    <row r="1332" ht="15.75" customHeight="1" s="305">
      <c r="A1332" s="67" t="inlineStr">
        <is>
          <t>process.orderDetail</t>
        </is>
      </c>
      <c r="B1332" s="67" t="inlineStr">
        <is>
          <t>Chi tiết đơn</t>
        </is>
      </c>
      <c r="C1332" s="67" t="inlineStr">
        <is>
          <t>Order details</t>
        </is>
      </c>
      <c r="D1332" s="3">
        <f>IFERROR(__xludf.DUMMYFUNCTION("GOOGLETRANSLATE(B1332,""vi"",""km"")"),"ព័ត៌មានលម្អិតអំពីការបញ្ជាទិញ")</f>
        <v/>
      </c>
      <c r="E1332" s="3" t="inlineStr">
        <is>
          <t>លម្អិតពីបុងបញ្ញើ</t>
        </is>
      </c>
      <c r="F1332" s="217" t="inlineStr">
        <is>
          <t>v</t>
        </is>
      </c>
      <c r="G1332" s="217" t="inlineStr">
        <is>
          <t>លម្អិតពីបុងបញ្ញើ</t>
        </is>
      </c>
      <c r="H1332" t="inlineStr">
        <is>
          <t>លម្អិតពីបុងបញ្ញើ</t>
        </is>
      </c>
      <c r="I1332" s="74" t="inlineStr">
        <is>
          <t>ព័ត៌មានលម្អិតនៃការបញ្ជាទិញ</t>
        </is>
      </c>
      <c r="J1332" s="217" t="inlineStr">
        <is>
          <t>"process.orderDetail": "Order details",</t>
        </is>
      </c>
    </row>
    <row r="1333" ht="15.75" customHeight="1" s="305">
      <c r="A1333" s="67" t="inlineStr">
        <is>
          <t>process.weightOrder</t>
        </is>
      </c>
      <c r="B1333" s="67" t="inlineStr">
        <is>
          <t>Trọng lượng</t>
        </is>
      </c>
      <c r="C1333" s="67" t="inlineStr">
        <is>
          <t>Weight</t>
        </is>
      </c>
      <c r="D1333" s="3">
        <f>IFERROR(__xludf.DUMMYFUNCTION("GOOGLETRANSLATE(B1333,""vi"",""km"")"),"ទម្ងន់")</f>
        <v/>
      </c>
      <c r="E1333" s="3" t="inlineStr">
        <is>
          <t>ទម្ងន់</t>
        </is>
      </c>
      <c r="F1333" s="217" t="inlineStr">
        <is>
          <t>v</t>
        </is>
      </c>
      <c r="G1333" s="217" t="inlineStr">
        <is>
          <t>ទម្ងន់</t>
        </is>
      </c>
      <c r="H1333" t="inlineStr">
        <is>
          <t>ទម្ងន់</t>
        </is>
      </c>
      <c r="I1333" s="74" t="inlineStr">
        <is>
          <t>ទម្ងន់</t>
        </is>
      </c>
      <c r="J1333" s="217" t="inlineStr">
        <is>
          <t>"process.weightOrder": "Weight",</t>
        </is>
      </c>
    </row>
    <row r="1334" ht="15.75" customHeight="1" s="305">
      <c r="A1334" s="67" t="inlineStr">
        <is>
          <t>process.priceOrder</t>
        </is>
      </c>
      <c r="B1334" s="67" t="inlineStr">
        <is>
          <t>Tổng cước</t>
        </is>
      </c>
      <c r="C1334" s="67" t="inlineStr">
        <is>
          <t>Total fee</t>
        </is>
      </c>
      <c r="D1334" s="3">
        <f>IFERROR(__xludf.DUMMYFUNCTION("GOOGLETRANSLATE(B1334,""vi"",""km"")"),"ការគិតថ្លៃសរុប")</f>
        <v/>
      </c>
      <c r="E1334" s="3" t="inlineStr">
        <is>
          <t>សរុបថ្លៃសេវា</t>
        </is>
      </c>
      <c r="F1334" s="217" t="inlineStr">
        <is>
          <t>v</t>
        </is>
      </c>
      <c r="G1334" s="217" t="inlineStr">
        <is>
          <t>ថ្លៃដឹកជញ្ជូនសរុប</t>
        </is>
      </c>
      <c r="H1334" t="inlineStr">
        <is>
          <t>ថ្លៃដឹកជញ្ជូនសរុប</t>
        </is>
      </c>
      <c r="I1334" s="74" t="inlineStr">
        <is>
          <t>តម្លៃសរុប</t>
        </is>
      </c>
      <c r="J1334" s="217" t="inlineStr">
        <is>
          <t>"process.priceOrder": "Total fee",</t>
        </is>
      </c>
    </row>
    <row r="1335" ht="15.75" customHeight="1" s="305">
      <c r="A1335" s="67" t="inlineStr">
        <is>
          <t>process.receiveUser</t>
        </is>
      </c>
      <c r="B1335" s="67" t="inlineStr">
        <is>
          <t>Người nhận</t>
        </is>
      </c>
      <c r="C1335" s="67" t="inlineStr">
        <is>
          <t>Recipient</t>
        </is>
      </c>
      <c r="D1335" s="3">
        <f>IFERROR(__xludf.DUMMYFUNCTION("GOOGLETRANSLATE(B1335,""vi"",""km"")"),"អ្នកទទួល")</f>
        <v/>
      </c>
      <c r="E1335" s="3" t="inlineStr">
        <is>
          <t>អ្នកទទួល</t>
        </is>
      </c>
      <c r="F1335" s="217" t="inlineStr">
        <is>
          <t>v</t>
        </is>
      </c>
      <c r="G1335" s="217" t="inlineStr">
        <is>
          <t>អ្នកទទួល</t>
        </is>
      </c>
      <c r="H1335" t="inlineStr">
        <is>
          <t>អ្នកទទួល</t>
        </is>
      </c>
      <c r="I1335" s="74" t="inlineStr">
        <is>
          <t>អ្នកទទួល</t>
        </is>
      </c>
      <c r="J1335" s="217" t="inlineStr">
        <is>
          <t>"process.receiveUser": "Recipient",</t>
        </is>
      </c>
    </row>
    <row r="1336" ht="15.75" customHeight="1" s="305">
      <c r="A1336" s="67" t="inlineStr">
        <is>
          <t>process.provinceDelivery</t>
        </is>
      </c>
      <c r="B1336" s="67" t="inlineStr">
        <is>
          <t>{{province}} phát</t>
        </is>
      </c>
      <c r="C1336" s="67" t="inlineStr">
        <is>
          <t>Delivery province</t>
        </is>
      </c>
      <c r="D1336" s="3">
        <f>IFERROR(__xludf.DUMMYFUNCTION("GOOGLETRANSLATE(B1336,""vi"",""km"")"),"{{province}} ផាត")</f>
        <v/>
      </c>
      <c r="E1336" s="67" t="inlineStr">
        <is>
          <t>{{province}} ប្រគល់</t>
        </is>
      </c>
      <c r="F1336" s="217" t="inlineStr">
        <is>
          <t>x</t>
        </is>
      </c>
      <c r="G1336" s="217" t="inlineStr">
        <is>
          <t>{{province}} ប្រគល់</t>
        </is>
      </c>
      <c r="H1336" t="inlineStr">
        <is>
          <t>{{province}} ប្រគល់</t>
        </is>
      </c>
      <c r="I1336" s="84" t="inlineStr">
        <is>
          <t>ខេត្តដឹកជញ្ជូន</t>
        </is>
      </c>
      <c r="J1336" s="217" t="inlineStr">
        <is>
          <t>"process.provinceDelivery": "Delivery province",</t>
        </is>
      </c>
    </row>
    <row r="1337" ht="15.75" customHeight="1" s="305">
      <c r="A1337" s="67" t="inlineStr">
        <is>
          <t>process.districtDelivery</t>
        </is>
      </c>
      <c r="B1337" s="67" t="inlineStr">
        <is>
          <t>{{district}} phát</t>
        </is>
      </c>
      <c r="C1337" s="67" t="inlineStr">
        <is>
          <t>Delivery district</t>
        </is>
      </c>
      <c r="D1337" s="3">
        <f>IFERROR(__xludf.DUMMYFUNCTION("GOOGLETRANSLATE(B1337,""vi"",""km"")"),"ការបណ្តេញចេញតាមស្រុក")</f>
        <v/>
      </c>
      <c r="E1337" s="67" t="inlineStr">
        <is>
          <t>{{district}} ប្រគល់</t>
        </is>
      </c>
      <c r="F1337" s="217" t="inlineStr">
        <is>
          <t>x</t>
        </is>
      </c>
      <c r="G1337" s="217" t="inlineStr">
        <is>
          <t>{{district}} ប្រគល់</t>
        </is>
      </c>
      <c r="H1337" t="inlineStr">
        <is>
          <t>{{district}} ប្រគល់</t>
        </is>
      </c>
      <c r="I1337" s="84" t="inlineStr">
        <is>
          <t>ស្រុកដឹកជញ្ជូន</t>
        </is>
      </c>
      <c r="J1337" s="217" t="inlineStr">
        <is>
          <t>"process.districtDelivery": "Delivery district",</t>
        </is>
      </c>
    </row>
    <row r="1338" ht="15.75" customHeight="1" s="305">
      <c r="A1338" s="67" t="inlineStr">
        <is>
          <t>process.wardDelivery</t>
        </is>
      </c>
      <c r="B1338" s="67" t="inlineStr">
        <is>
          <t>{{ward}} phát</t>
        </is>
      </c>
      <c r="C1338" s="67" t="inlineStr">
        <is>
          <t>Delivery ward</t>
        </is>
      </c>
      <c r="D1338" s="3">
        <f>IFERROR(__xludf.DUMMYFUNCTION("GOOGLETRANSLATE(B1338,""vi"",""km"")"),"ការផ្សាយរបស់ {{ward}}")</f>
        <v/>
      </c>
      <c r="E1338" s="67" t="inlineStr">
        <is>
          <t>{{ward}} ប្រគល់</t>
        </is>
      </c>
      <c r="F1338" s="217" t="inlineStr">
        <is>
          <t>x</t>
        </is>
      </c>
      <c r="G1338" s="217" t="inlineStr">
        <is>
          <t>{{ward}} ប្រគល់</t>
        </is>
      </c>
      <c r="H1338" t="inlineStr">
        <is>
          <t>{{ward}} ប្រគល់</t>
        </is>
      </c>
      <c r="I1338" s="74" t="inlineStr">
        <is>
          <t>{{ward}} ជញ្ជូន</t>
        </is>
      </c>
      <c r="J1338" s="217" t="inlineStr">
        <is>
          <t>"process.wardDelivery": "Delivery ward",</t>
        </is>
      </c>
    </row>
    <row r="1339" ht="15.75" customHeight="1" s="305">
      <c r="A1339" s="67" t="inlineStr">
        <is>
          <t>process.parcelSackCode</t>
        </is>
      </c>
      <c r="B1339" s="67" t="inlineStr">
        <is>
          <t>Mã tải kiện</t>
        </is>
      </c>
      <c r="C1339" s="67" t="inlineStr">
        <is>
          <t>Package code</t>
        </is>
      </c>
      <c r="D1339" s="3">
        <f>IFERROR(__xludf.DUMMYFUNCTION("GOOGLETRANSLATE(B1339,""vi"",""km"")"),"លេខកូដកញ្ចប់")</f>
        <v/>
      </c>
      <c r="E1339" s="3" t="inlineStr">
        <is>
          <t>លេខកូដកញ្ចប់ទំនិញ</t>
        </is>
      </c>
      <c r="F1339" s="217" t="inlineStr">
        <is>
          <t>v</t>
        </is>
      </c>
      <c r="G1339" s="217" t="inlineStr">
        <is>
          <t>លេខកូដកញ្ចប់ទំនិញ</t>
        </is>
      </c>
      <c r="H1339" t="inlineStr">
        <is>
          <t>លេខកូដកញ្ចប់ទំនិញ</t>
        </is>
      </c>
      <c r="I1339" s="84" t="inlineStr">
        <is>
          <t>លេខកូដកញ្ចប់</t>
        </is>
      </c>
      <c r="J1339" s="217" t="inlineStr">
        <is>
          <t>"process.parcelSackCode": "Package code",</t>
        </is>
      </c>
    </row>
    <row r="1340" ht="15.75" customHeight="1" s="305">
      <c r="A1340" s="67" t="inlineStr">
        <is>
          <t>process.detailAddress</t>
        </is>
      </c>
      <c r="B1340" s="67" t="inlineStr">
        <is>
          <t>Địa chỉ chi tiết</t>
        </is>
      </c>
      <c r="C1340" s="67" t="inlineStr">
        <is>
          <t>Address details</t>
        </is>
      </c>
      <c r="D1340" s="3">
        <f>IFERROR(__xludf.DUMMYFUNCTION("GOOGLETRANSLATE(B1340,""vi"",""km"")"),"អាសយដ្ឋានលម្អិត")</f>
        <v/>
      </c>
      <c r="E1340" s="3" t="inlineStr">
        <is>
          <t>អាស័យដ្ឋានលម្អិត</t>
        </is>
      </c>
      <c r="F1340" s="217" t="inlineStr">
        <is>
          <t>v</t>
        </is>
      </c>
      <c r="G1340" s="217" t="inlineStr">
        <is>
          <t>អាសយដ្ឋានលម្អិត</t>
        </is>
      </c>
      <c r="H1340" t="inlineStr">
        <is>
          <t>អាសយដ្ឋានលម្អិត</t>
        </is>
      </c>
      <c r="I1340" s="74" t="inlineStr">
        <is>
          <t>ព័ត៌មានលម្អិតអំពីអាសយដ្ឋាន</t>
        </is>
      </c>
      <c r="J1340" s="217" t="inlineStr">
        <is>
          <t>"process.detailAddress": "Address details",</t>
        </is>
      </c>
    </row>
    <row r="1341" ht="15.75" customHeight="1" s="305">
      <c r="A1341" s="67" t="inlineStr">
        <is>
          <t>process.enterAddress</t>
        </is>
      </c>
      <c r="B1341" s="67" t="inlineStr">
        <is>
          <t>Nhập địa chỉ</t>
        </is>
      </c>
      <c r="C1341" s="67" t="inlineStr">
        <is>
          <t>Enter address</t>
        </is>
      </c>
      <c r="D1341" s="3">
        <f>IFERROR(__xludf.DUMMYFUNCTION("GOOGLETRANSLATE(B1341,""vi"",""km"")"),"បញ្ចូលអាសយដ្ឋាន")</f>
        <v/>
      </c>
      <c r="E1341" s="3" t="inlineStr">
        <is>
          <t>បញ្ចូ្ចលអាស័យដ្ឋាន</t>
        </is>
      </c>
      <c r="F1341" s="217" t="inlineStr">
        <is>
          <t>v</t>
        </is>
      </c>
      <c r="G1341" s="217" t="inlineStr">
        <is>
          <t>បញ្ចូ្ចលអាសយដ្ឋាន</t>
        </is>
      </c>
      <c r="H1341" t="inlineStr">
        <is>
          <t>បញ្ចូ្ចលអាសយដ្ឋាន</t>
        </is>
      </c>
      <c r="I1341" s="84" t="inlineStr">
        <is>
          <t>បញ្ចូលអាសយដ្ឋាន</t>
        </is>
      </c>
      <c r="J1341" s="217" t="inlineStr">
        <is>
          <t>"process.enterAddress": "Enter address",</t>
        </is>
      </c>
    </row>
    <row r="1342" ht="15.75" customHeight="1" s="305">
      <c r="A1342" s="67" t="inlineStr">
        <is>
          <t>process.updateFail</t>
        </is>
      </c>
      <c r="B1342" s="67" t="inlineStr">
        <is>
          <t>Cập nhật địa chỉ thất bại</t>
        </is>
      </c>
      <c r="C1342" s="67" t="inlineStr">
        <is>
          <t>Fail to update address</t>
        </is>
      </c>
      <c r="D1342" s="3">
        <f>IFERROR(__xludf.DUMMYFUNCTION("GOOGLETRANSLATE(B1342,""vi"",""km"")"),"ការអាប់ដេតអាសយដ្ឋានបានបរាជ័យ។")</f>
        <v/>
      </c>
      <c r="E1342" s="3" t="inlineStr">
        <is>
          <t>ការអាប់ដេតអាស័យដ្ឋានមិនបានជោគជ័យ</t>
        </is>
      </c>
      <c r="F1342" s="217" t="inlineStr">
        <is>
          <t>v</t>
        </is>
      </c>
      <c r="G1342" s="217" t="inlineStr">
        <is>
          <t>ការអាប់ដេតអាសយដ្ឋានមិនបានជោគជ័យ</t>
        </is>
      </c>
      <c r="H1342" t="inlineStr">
        <is>
          <t>ការអាប់ដេតអាសយដ្ឋានមិនបានជោគជ័យ</t>
        </is>
      </c>
      <c r="I1342" s="74" t="inlineStr">
        <is>
          <t>បរាជ័យក្នុងការធ្វើបច្ចុប្បន្នភាពអាសយដ្ឋាន</t>
        </is>
      </c>
      <c r="J1342" s="217" t="inlineStr">
        <is>
          <t>"process.updateFail": "Fail to update address",</t>
        </is>
      </c>
    </row>
    <row r="1343" ht="15.75" customHeight="1" s="305">
      <c r="A1343" s="67" t="inlineStr">
        <is>
          <t>process.totalOrderReceived</t>
        </is>
      </c>
      <c r="B1343" s="67" t="inlineStr">
        <is>
          <t>Tổng đơn đã nhận</t>
        </is>
      </c>
      <c r="C1343" s="67" t="inlineStr">
        <is>
          <t>Total received orders</t>
        </is>
      </c>
      <c r="D1343" s="3">
        <f>IFERROR(__xludf.DUMMYFUNCTION("GOOGLETRANSLATE(B1343,""vi"",""km"")"),"ការបញ្ជាទិញសរុបដែលបានទទួល")</f>
        <v/>
      </c>
      <c r="E1343" s="3" t="inlineStr">
        <is>
          <t>សរុបបុងបញ្ញើដែលបានទទួល</t>
        </is>
      </c>
      <c r="F1343" s="217" t="inlineStr">
        <is>
          <t>v</t>
        </is>
      </c>
      <c r="G1343" s="217" t="inlineStr">
        <is>
          <t>សរុបបុងបញ្ញើដែលបានទទួល</t>
        </is>
      </c>
      <c r="H1343" t="inlineStr">
        <is>
          <t>សរុបបុងបញ្ញើដែលបានទទួល</t>
        </is>
      </c>
      <c r="I1343" s="74" t="inlineStr">
        <is>
          <t>សរុបការបញ្ជាទិញដែលបានទទួល</t>
        </is>
      </c>
      <c r="J1343" s="217" t="inlineStr">
        <is>
          <t>"process.totalOrderReceived": "Total received orders",</t>
        </is>
      </c>
    </row>
    <row r="1344" ht="15.75" customHeight="1" s="305">
      <c r="A1344" s="67" t="inlineStr">
        <is>
          <t>process.receivedSuccess</t>
        </is>
      </c>
      <c r="B1344" s="67" t="inlineStr">
        <is>
          <t>Đồng chí đã nhận phiếu gửi thành công</t>
        </is>
      </c>
      <c r="C1344" s="67" t="inlineStr">
        <is>
          <t>Receive postal slip successfully</t>
        </is>
      </c>
      <c r="D1344" s="3">
        <f>IFERROR(__xludf.DUMMYFUNCTION("GOOGLETRANSLATE(B1344,""vi"",""km"")"),"សមមិត្តបានទទួលបង្កាន់ដៃដឹកជញ្ជូនដោយជោគជ័យ។")</f>
        <v/>
      </c>
      <c r="E1344" s="3" t="inlineStr">
        <is>
          <t>អ្នកបានទទួលបុងបញ្ញើបានជោគជ័យ</t>
        </is>
      </c>
      <c r="F1344" s="217" t="inlineStr">
        <is>
          <t>v</t>
        </is>
      </c>
      <c r="G1344" s="217" t="inlineStr">
        <is>
          <t>អ្នកបានទទួលបុងបញ្ញើបានជោគជ័យ</t>
        </is>
      </c>
      <c r="H1344" t="inlineStr">
        <is>
          <t>អ្នកបានទទួលបុងបញ្ញើបានជោគជ័យ</t>
        </is>
      </c>
      <c r="I1344" s="74" t="inlineStr">
        <is>
          <t>ទទួលបានប័ណ្ណប្រៃសណីយ៍ដោយជោគជ័យ</t>
        </is>
      </c>
      <c r="J1344" s="217" t="inlineStr">
        <is>
          <t>"process.receivedSuccess": "Receive postal slip successfully",</t>
        </is>
      </c>
    </row>
    <row r="1345" ht="15.75" customHeight="1" s="305">
      <c r="A1345" s="67" t="inlineStr">
        <is>
          <t>process.receivedDifferentLocation</t>
        </is>
      </c>
      <c r="B1345" s="67" t="inlineStr">
        <is>
          <t>Phiếu gửi {{orderCode}} sai địa danh phát, sang tab "Chuyển tiếp" để xử lý</t>
        </is>
      </c>
      <c r="C1345" s="67" t="inlineStr">
        <is>
          <t>The postal slip {{orderCode}} has the wrong delivery address. Go to the "Forwarding" tab to process it</t>
        </is>
      </c>
      <c r="D1345" s="3">
        <f>IFERROR(__xludf.DUMMYFUNCTION("GOOGLETRANSLATE(B1345,""vi"",""km"")"),"ប្រសិនបើទម្រង់បញ្ជាទិញមានអាសយដ្ឋានដឹកជញ្ជូនមិនត្រឹមត្រូវ សូមចូលទៅកាន់ផ្ទាំង ""បញ្ជូនបន្ត"" ដើម្បីដោះស្រាយវា។")</f>
        <v/>
      </c>
      <c r="E1345" s="67" t="inlineStr">
        <is>
          <t>បុងបញ្ញើ {{orderCode}} ខុសទីតាំង, ចុចពាក្យ "បញ្ជូនបន្ត" ដើម្បីដោះស្រាយ</t>
        </is>
      </c>
      <c r="F1345" s="217" t="inlineStr">
        <is>
          <t>v</t>
        </is>
      </c>
      <c r="G1345" s="217" t="inlineStr">
        <is>
          <t>បុងបញ្ញើ {{orderCode}} ខុសទីតាំង, ចុចពាក្យ "បញ្ជូនបន្ត" ដើម្បីដោះស្រាយ</t>
        </is>
      </c>
      <c r="H1345" t="inlineStr">
        <is>
          <t>បុងបញ្ញើ {{orderCode}} ខុសទីតាំង, ចុចពាក្យ "បញ្ជូនបន្ត" ដើម្បីដោះស្រាយ</t>
        </is>
      </c>
      <c r="I1345" s="74" t="inlineStr">
        <is>
          <t>សំបុត្រប្រៃសណីយ៍ {{orderCode}} មានអាសយដ្ឋានដឹកជញ្ជូនខុស។ ចូលទៅកាន់ផ្ទាំង "ការបញ្ជូនបន្ត" ដើម្បីដំណើរការវា</t>
        </is>
      </c>
      <c r="J1345" s="217" t="inlineStr">
        <is>
          <t>"process.receivedDifferentLocation": "The postal slip {{orderCode}} has the wrong delivery address. Go to the \"Forwarding\" tab to process it",</t>
        </is>
      </c>
    </row>
    <row r="1346" ht="15.75" customHeight="1" s="305">
      <c r="A1346" s="67" t="inlineStr">
        <is>
          <t>process.receivedDifferentMultiple</t>
        </is>
      </c>
      <c r="B1346" s="67" t="inlineStr">
        <is>
          <t>Đồng chí đã nhận {{sameLength}} phiếu gửi thành công. {{diffLength}} phiếu gửi sai địa danh phát, đồng chí sang tab "Chuyển tiếp" để xử lý</t>
        </is>
      </c>
      <c r="C1346" s="67" t="inlineStr">
        <is>
          <t>You have successfully received {{sameLength}} postal slips. {{diffLength}} postal slips have the wrong delivery address. Please go to the 'Forwarding' tab to process them</t>
        </is>
      </c>
      <c r="D1346" s="3">
        <f>IFERROR(__xludf.DUMMYFUNCTION("GOOGLETRANSLATE(B1346,""vi"",""km"")"),"អ្នកបានទទួលបង្កាន់ដៃដឹកជញ្ជូន {{sameLength}} ដោយជោគជ័យ។ ប្រសិនបើបង្កាន់ដៃដឹកជញ្ជូន {{diffLength}} មានអាសយដ្ឋានដឹកជញ្ជូនមិនត្រឹមត្រូវ សូមចូលទៅកាន់ផ្ទាំង ""បញ្ជូនបន្ត"" ដើម្បីដំណើរការវា។")</f>
        <v/>
      </c>
      <c r="E1346" s="67" t="inlineStr">
        <is>
          <t>តើអ្នកបានទទួល {{sameLength}} បុងបញ្ញើជោគជ័យហើយឬនៅ? {{diffLength}} បុងបញ្ញើបានប្រគល់មកខុសទីតាំងប្រគល់, អ្នកចុចទំព័រថ្មី"បន្ត" ដើម្បីដោះស្រាយ</t>
        </is>
      </c>
      <c r="F1346" s="217" t="inlineStr">
        <is>
          <t>x</t>
        </is>
      </c>
      <c r="G1346" s="217" t="inlineStr">
        <is>
          <t>តើអ្នកបានទទួល {{sameLength}} បុងបញ្ញើជោគជ័យហើយឬនៅ? {{diffLength}} បុងបញ្ញើបានប្រគល់មកខុសទីតាំងប្រគល់, អ្នកចុចទំព័រថ្មី"បន្ត" ដើម្បីដោះស្រាយ</t>
        </is>
      </c>
      <c r="H1346" t="inlineStr">
        <is>
          <t>តើអ្នកបានទទួល {{sameLength}} បុងបញ្ញើជោគជ័យហើយឬនៅ? {{diffLength}} បុងបញ្ញើបានប្រគល់មកខុសទីតាំងប្រគល់, អ្នកចុចទំព័រថ្មី"បន្ត" ដើម្បីដោះស្រាយ</t>
        </is>
      </c>
      <c r="I1346" s="107" t="inlineStr">
        <is>
          <t>អ្នកបានទទួលសំបុត្រប្រៃសណីយ៍ {{sameLength}} ដោយជោគជ័យ។ សំបុត្រប្រៃសណីយ៍ {{diffLength}} មានអាសយដ្ឋានដឹកជញ្ជូនខុស។ សូមចូលទៅកាន់ផ្ទាំង 'ការបញ្ជូនបន្ត' ដើម្បីដំណើរការ</t>
        </is>
      </c>
      <c r="J1346" s="217" t="inlineStr">
        <is>
          <t>"process.receivedDifferentMultiple": "You have successfully received {{sameLength}} postal slips. {{diffLength}} postal slips have the wrong delivery address. Please go to the 'Forwarding' tab to process them",</t>
        </is>
      </c>
    </row>
    <row r="1347" ht="15.75" customHeight="1" s="305">
      <c r="A1347" s="67" t="inlineStr">
        <is>
          <t>orderStatusReport.notAssigned</t>
        </is>
      </c>
      <c r="B1347" s="67" t="inlineStr">
        <is>
          <t>Bưu cục chưa được phân công</t>
        </is>
      </c>
      <c r="C1347" s="67" t="inlineStr">
        <is>
          <t>Post office not assigned</t>
        </is>
      </c>
      <c r="D1347" s="3">
        <f>IFERROR(__xludf.DUMMYFUNCTION("GOOGLETRANSLATE(B1347,""vi"",""km"")"),"ការិយាល័យប្រៃសណីយ៍មិនទាន់ត្រូវបានចាត់តាំងនៅឡើយទេ។")</f>
        <v/>
      </c>
      <c r="E1347" s="3" t="n"/>
      <c r="F1347" s="217" t="inlineStr">
        <is>
          <t>x</t>
        </is>
      </c>
      <c r="G1347" s="217" t="inlineStr">
        <is>
          <t>ការិយាល័យប្រៃសណីយ៍មិនទាន់ត្រូវបានចាត់តាំងនៅឡើយទេ។</t>
        </is>
      </c>
      <c r="H1347" t="inlineStr">
        <is>
          <t>ការិយាល័យប្រៃសណីយ៍មិនទាន់ត្រូវបានចាត់តាំងនៅឡើយទេ។</t>
        </is>
      </c>
      <c r="I1347" s="74" t="n"/>
      <c r="J1347" s="217" t="inlineStr">
        <is>
          <t>"orderStatusReport.notAssigned": "Post office not assigned",</t>
        </is>
      </c>
    </row>
    <row r="1348" ht="15.75" customHeight="1" s="305">
      <c r="A1348" s="67" t="inlineStr">
        <is>
          <t>process.emptySelectedOrderMissing</t>
        </is>
      </c>
      <c r="B1348" s="67" t="inlineStr">
        <is>
          <t>Vui lòng chọn đơn để báo thiếu</t>
        </is>
      </c>
      <c r="C1348" s="67" t="inlineStr">
        <is>
          <t>Please select the postal slip to report missing</t>
        </is>
      </c>
      <c r="D1348" s="3">
        <f>IFERROR(__xludf.DUMMYFUNCTION("GOOGLETRANSLATE(B1348,""vi"",""km"")"),"សូមជ្រើសរើសលំដាប់ដើម្បីរាយការណ៍អំពីរបស់របរដែលបាត់។")</f>
        <v/>
      </c>
      <c r="E1348" s="3" t="n"/>
      <c r="F1348" s="217" t="inlineStr">
        <is>
          <t>x</t>
        </is>
      </c>
      <c r="G1348" s="217" t="inlineStr">
        <is>
          <t>សូមជ្រើសរើសលំដាប់ដើម្បីរាយការណ៍អំពីរបស់របរដែលបាត់។</t>
        </is>
      </c>
      <c r="H1348" t="inlineStr">
        <is>
          <t>សូមជ្រើសរើសលំដាប់ដើម្បីរាយការណ៍អំពីរបស់របរដែលបាត់។</t>
        </is>
      </c>
      <c r="I1348" s="74" t="n"/>
      <c r="J1348" s="217" t="inlineStr">
        <is>
          <t>"process.emptySelectedOrderMissing": "Please select the postal slip to report missing",</t>
        </is>
      </c>
    </row>
    <row r="1349" ht="15.75" customHeight="1" s="305">
      <c r="A1349" s="67" t="inlineStr">
        <is>
          <t>process.emptySelectedOrderReceiver</t>
        </is>
      </c>
      <c r="B1349" s="67" t="inlineStr">
        <is>
          <t>Vui lòng chọn đơn để nhận</t>
        </is>
      </c>
      <c r="C1349" s="67" t="inlineStr">
        <is>
          <t>Please select the postal slip to receive</t>
        </is>
      </c>
      <c r="D1349" s="3">
        <f>IFERROR(__xludf.DUMMYFUNCTION("GOOGLETRANSLATE(B1349,""vi"",""km"")"),"សូមជ្រើសរើសការបញ្ជាទិញដែលអ្នកចង់ទទួល។")</f>
        <v/>
      </c>
      <c r="E1349" s="3" t="n"/>
      <c r="F1349" s="217" t="inlineStr">
        <is>
          <t>x</t>
        </is>
      </c>
      <c r="G1349" s="217" t="inlineStr">
        <is>
          <t>សូមជ្រើសរើសការបញ្ជាទិញដែលអ្នកចង់ទទួល។</t>
        </is>
      </c>
      <c r="H1349" t="inlineStr">
        <is>
          <t>សូមជ្រើសរើសការបញ្ជាទិញដែលអ្នកចង់ទទួល។</t>
        </is>
      </c>
      <c r="I1349" s="74" t="n"/>
      <c r="J1349" s="217" t="inlineStr">
        <is>
          <t>"process.emptySelectedOrderReceiver": "Please select the postal slip to receive",</t>
        </is>
      </c>
    </row>
    <row r="1350" ht="15.75" customHeight="1" s="305">
      <c r="A1350" s="67" t="inlineStr">
        <is>
          <t>slider.Debit</t>
        </is>
      </c>
      <c r="B1350" s="67" t="inlineStr">
        <is>
          <t>Công nợ</t>
        </is>
      </c>
      <c r="C1350" s="67">
        <f>IFERROR(__xludf.DUMMYFUNCTION("GOOGLETRANSLATE(B1350,""vi"",""en"")"),"Accounts payable")</f>
        <v/>
      </c>
      <c r="D1350" s="3">
        <f>IFERROR(__xludf.DUMMYFUNCTION("GOOGLETRANSLATE(B1350,""vi"",""km"")"),"គណនី​ត្រូវ​បង់")</f>
        <v/>
      </c>
      <c r="E1350" s="3" t="inlineStr">
        <is>
          <t>បំណុល</t>
        </is>
      </c>
      <c r="F1350" s="217" t="inlineStr">
        <is>
          <t>v</t>
        </is>
      </c>
      <c r="G1350" s="217" t="inlineStr">
        <is>
          <t>បំណុល</t>
        </is>
      </c>
      <c r="H1350" t="inlineStr">
        <is>
          <t>បំណុល</t>
        </is>
      </c>
      <c r="I1350" s="74" t="n"/>
      <c r="J1350" s="217" t="inlineStr">
        <is>
          <t>"slider.Debit": "Accounts payable",</t>
        </is>
      </c>
    </row>
    <row r="1351" ht="15.75" customHeight="1" s="305">
      <c r="A1351" s="67" t="inlineStr">
        <is>
          <t>slider.CodEmployee</t>
        </is>
      </c>
      <c r="B1351" s="67" t="inlineStr">
        <is>
          <t>Thu công nợ COD bưu tá</t>
        </is>
      </c>
      <c r="C1351" s="67">
        <f>IFERROR(__xludf.DUMMYFUNCTION("GOOGLETRANSLATE(B1351,""vi"",""en"")"),"Collecting COD payments from postal workers.")</f>
        <v/>
      </c>
      <c r="D1351" s="3">
        <f>IFERROR(__xludf.DUMMYFUNCTION("GOOGLETRANSLATE(B1351,""vi"",""km"")"),"ការប្រមូលការទូទាត់ COD ពីបុគ្គលិកប្រៃសណីយ៍។")</f>
        <v/>
      </c>
      <c r="E1351" s="3" t="inlineStr">
        <is>
          <t>ប្រមូលបំណុល COD អ្នកដឹក</t>
        </is>
      </c>
      <c r="F1351" s="217" t="inlineStr">
        <is>
          <t>x</t>
        </is>
      </c>
      <c r="G1351" s="217" t="inlineStr">
        <is>
          <t>ប្រមូលបំណុល COD អ្នកដឹក</t>
        </is>
      </c>
      <c r="H1351" t="inlineStr">
        <is>
          <t>ប្រមូលបំណុល COD អ្នកដឹក</t>
        </is>
      </c>
      <c r="I1351" s="74" t="n"/>
      <c r="J1351" s="217" t="inlineStr">
        <is>
          <t>"slider.CodEmployee": "Collecting COD payments from postal workers.",</t>
        </is>
      </c>
    </row>
    <row r="1352" ht="15.75" customHeight="1" s="305">
      <c r="A1352" s="67" t="inlineStr">
        <is>
          <t>slider.EmployeeDebt</t>
        </is>
      </c>
      <c r="B1352" s="67" t="inlineStr">
        <is>
          <t>Bưu tá chưa tạo bảng kê</t>
        </is>
      </c>
      <c r="C1352" s="67">
        <f>IFERROR(__xludf.DUMMYFUNCTION("GOOGLETRANSLATE(B1352,""vi"",""en"")"),"The postal worker has not created the order form.")</f>
        <v/>
      </c>
      <c r="D1352" s="3">
        <f>IFERROR(__xludf.DUMMYFUNCTION("GOOGLETRANSLATE(B1352,""vi"",""km"")"),"បុគ្គលិកប្រៃសណីយ៍មិនបានបង្កើតទម្រង់បញ្ជាទិញទេ។")</f>
        <v/>
      </c>
      <c r="E1352" s="3" t="inlineStr">
        <is>
          <t>បុគ្គលិកមិនទាន់បានបង្កើតតារាង</t>
        </is>
      </c>
      <c r="F1352" s="217" t="inlineStr">
        <is>
          <t>v</t>
        </is>
      </c>
      <c r="G1352" s="217" t="inlineStr">
        <is>
          <t>បុគ្គលិកមិនទាន់បានបង្កើតតារាង</t>
        </is>
      </c>
      <c r="H1352" t="inlineStr">
        <is>
          <t>បុគ្គលិកមិនទាន់បានបង្កើតតារាង</t>
        </is>
      </c>
      <c r="I1352" s="74" t="n"/>
      <c r="J1352" s="217" t="inlineStr">
        <is>
          <t>"slider.EmployeeDebt": "The postal worker has not created the order form.",</t>
        </is>
      </c>
    </row>
    <row r="1353" ht="15.75" customHeight="1" s="305">
      <c r="A1353" s="67" t="inlineStr">
        <is>
          <t>slider.EmployeeDebtDeatil</t>
        </is>
      </c>
      <c r="B1353" s="67" t="inlineStr">
        <is>
          <t>Chi tiết bưu tá</t>
        </is>
      </c>
      <c r="C1353" s="67">
        <f>IFERROR(__xludf.DUMMYFUNCTION("GOOGLETRANSLATE(B1353,""vi"",""en"")"),"Postal worker details")</f>
        <v/>
      </c>
      <c r="D1353" s="3">
        <f>IFERROR(__xludf.DUMMYFUNCTION("GOOGLETRANSLATE(B1353,""vi"",""km"")"),"ព័ត៌មានលម្អិតរបស់បុគ្គលិកប្រៃសណីយ៍")</f>
        <v/>
      </c>
      <c r="E1353" s="3" t="inlineStr">
        <is>
          <t>លម្អិតអ្នកដឹកជញ្ជូន</t>
        </is>
      </c>
      <c r="F1353" s="217" t="inlineStr">
        <is>
          <t>x</t>
        </is>
      </c>
      <c r="G1353" s="217" t="inlineStr">
        <is>
          <t>លម្អិតអ្នកដឹកជញ្ជូន</t>
        </is>
      </c>
      <c r="H1353" t="inlineStr">
        <is>
          <t>លម្អិតអ្នកដឹកជញ្ជូន</t>
        </is>
      </c>
      <c r="I1353" s="74" t="n"/>
      <c r="J1353" s="217" t="inlineStr">
        <is>
          <t>"slider.EmployeeDebtDeatil": "Postal worker details",</t>
        </is>
      </c>
    </row>
    <row r="1354" ht="15.75" customHeight="1" s="305">
      <c r="A1354" s="67" t="inlineStr">
        <is>
          <t>slider.EmployeeCodDetail</t>
        </is>
      </c>
      <c r="B1354" s="67" t="inlineStr">
        <is>
          <t>Chi tiết bảng kê</t>
        </is>
      </c>
      <c r="C1354" s="67">
        <f>IFERROR(__xludf.DUMMYFUNCTION("GOOGLETRANSLATE(B1354,""vi"",""en"")"),"Details of the statement")</f>
        <v/>
      </c>
      <c r="D1354" s="3">
        <f>IFERROR(__xludf.DUMMYFUNCTION("GOOGLETRANSLATE(B1354,""vi"",""km"")"),"ព័ត៌មានលម្អិតនៃសេចក្តីថ្លែងការណ៍")</f>
        <v/>
      </c>
      <c r="E1354" s="3" t="inlineStr">
        <is>
          <t>លម្អិតតារាង</t>
        </is>
      </c>
      <c r="F1354" s="217" t="inlineStr">
        <is>
          <t>v</t>
        </is>
      </c>
      <c r="G1354" s="217" t="inlineStr">
        <is>
          <t>លម្អិតតារាង</t>
        </is>
      </c>
      <c r="H1354" t="inlineStr">
        <is>
          <t>លម្អិតតារាង</t>
        </is>
      </c>
      <c r="I1354" s="74" t="n"/>
      <c r="J1354" s="217" t="inlineStr">
        <is>
          <t>"slider.EmployeeCodDetail": "Details of the statement",</t>
        </is>
      </c>
    </row>
    <row r="1355" ht="15.75" customHeight="1" s="305">
      <c r="A1355" s="67" t="inlineStr">
        <is>
          <t>slider.ChangePass</t>
        </is>
      </c>
      <c r="B1355" s="67" t="inlineStr">
        <is>
          <t>Đổi mật khẩu</t>
        </is>
      </c>
      <c r="C1355" s="67">
        <f>IFERROR(__xludf.DUMMYFUNCTION("GOOGLETRANSLATE(B1355,""vi"",""en"")"),"Change password")</f>
        <v/>
      </c>
      <c r="D1355" s="3">
        <f>IFERROR(__xludf.DUMMYFUNCTION("GOOGLETRANSLATE(B1355,""vi"",""km"")"),"ប្តូរពាក្យសម្ងាត់")</f>
        <v/>
      </c>
      <c r="E1355" s="3" t="inlineStr">
        <is>
          <t>ផ្លាស់ប្តូរពាក្យសម្ងាត់</t>
        </is>
      </c>
      <c r="F1355" s="217" t="inlineStr">
        <is>
          <t>v</t>
        </is>
      </c>
      <c r="G1355" s="217" t="inlineStr">
        <is>
          <t>ផ្លាស់ប្តូរពាក្យសម្ងាត់</t>
        </is>
      </c>
      <c r="H1355" t="inlineStr">
        <is>
          <t>ផ្លាស់ប្តូរពាក្យសម្ងាត់</t>
        </is>
      </c>
      <c r="I1355" s="74" t="n"/>
      <c r="J1355" s="217" t="inlineStr">
        <is>
          <t>"slider.ChangePass": "Change password",</t>
        </is>
      </c>
    </row>
    <row r="1356" ht="15.75" customHeight="1" s="305">
      <c r="A1356" s="67" t="inlineStr">
        <is>
          <t>login.changePass</t>
        </is>
      </c>
      <c r="B1356" s="67" t="inlineStr">
        <is>
          <t>Đổi mật khẩu</t>
        </is>
      </c>
      <c r="C1356" s="67">
        <f>IFERROR(__xludf.DUMMYFUNCTION("GOOGLETRANSLATE(B1356,""vi"",""en"")"),"Change password")</f>
        <v/>
      </c>
      <c r="D1356" s="3">
        <f>IFERROR(__xludf.DUMMYFUNCTION("GOOGLETRANSLATE(B1356,""vi"",""km"")"),"ប្តូរពាក្យសម្ងាត់")</f>
        <v/>
      </c>
      <c r="E1356" s="3" t="inlineStr">
        <is>
          <t>ផ្លាស់ប្តូរពាក្យសម្ងាត់</t>
        </is>
      </c>
      <c r="F1356" s="217" t="inlineStr">
        <is>
          <t>v</t>
        </is>
      </c>
      <c r="G1356" s="217" t="inlineStr">
        <is>
          <t>ផ្លាស់ប្តូរពាក្យសម្ងាត់</t>
        </is>
      </c>
      <c r="H1356" t="inlineStr">
        <is>
          <t>ផ្លាស់ប្តូរពាក្យសម្ងាត់</t>
        </is>
      </c>
      <c r="I1356" s="74" t="n"/>
      <c r="J1356" s="217" t="inlineStr">
        <is>
          <t>"login.changePass": "Change password",</t>
        </is>
      </c>
    </row>
    <row r="1357" ht="15.75" customHeight="1" s="305">
      <c r="A1357" s="67" t="inlineStr">
        <is>
          <t>trackingOrder.return</t>
        </is>
      </c>
      <c r="B1357" s="67" t="inlineStr">
        <is>
          <t>Mã phiếu hoàn</t>
        </is>
      </c>
      <c r="C1357" s="67">
        <f>IFERROR(__xludf.DUMMYFUNCTION("GOOGLETRANSLATE(B1357,""vi"",""en"")"),"Refund voucher code")</f>
        <v/>
      </c>
      <c r="D1357" s="3">
        <f>IFERROR(__xludf.DUMMYFUNCTION("GOOGLETRANSLATE(B1357,""vi"",""km"")"),"លេខកូដប័ណ្ណសងប្រាក់វិញ")</f>
        <v/>
      </c>
      <c r="E1357" s="3" t="inlineStr">
        <is>
          <t>លេខកូដបុងត្រលប់</t>
        </is>
      </c>
      <c r="F1357" s="217" t="inlineStr">
        <is>
          <t>v</t>
        </is>
      </c>
      <c r="G1357" s="217" t="inlineStr">
        <is>
          <t>លេខកូដបុងត្រលប់</t>
        </is>
      </c>
      <c r="H1357" t="inlineStr">
        <is>
          <t>លេខកូដបុងត្រលប់</t>
        </is>
      </c>
      <c r="I1357" s="74" t="n"/>
      <c r="J1357" s="217" t="inlineStr">
        <is>
          <t>"trackingOrder.return": "Refund voucher code",</t>
        </is>
      </c>
    </row>
    <row r="1358" ht="15.75" customHeight="1" s="305">
      <c r="A1358" s="67" t="inlineStr">
        <is>
          <t>trackingOrder.forward</t>
        </is>
      </c>
      <c r="B1358" s="67" t="inlineStr">
        <is>
          <t>Mã phiếu chuyển tiếp</t>
        </is>
      </c>
      <c r="C1358" s="67">
        <f>IFERROR(__xludf.DUMMYFUNCTION("GOOGLETRANSLATE(B1358,""vi"",""en"")"),"Transfer voucher code")</f>
        <v/>
      </c>
      <c r="D1358" s="3">
        <f>IFERROR(__xludf.DUMMYFUNCTION("GOOGLETRANSLATE(B1358,""vi"",""km"")"),"លេខកូដប័ណ្ណផ្ទេរ")</f>
        <v/>
      </c>
      <c r="E1358" s="3" t="inlineStr">
        <is>
          <t>លេខកូូដបុងបញ្ជូនបន្ត</t>
        </is>
      </c>
      <c r="F1358" s="217" t="inlineStr">
        <is>
          <t>v</t>
        </is>
      </c>
      <c r="G1358" s="217" t="inlineStr">
        <is>
          <t>លេខកូូដបុងបញ្ជូនបន្ត</t>
        </is>
      </c>
      <c r="H1358" t="inlineStr">
        <is>
          <t>លេខកូូដបុងបញ្ជូនបន្ត</t>
        </is>
      </c>
      <c r="I1358" s="74" t="n"/>
      <c r="J1358" s="217" t="inlineStr">
        <is>
          <t>"trackingOrder.forward": "Transfer voucher code",</t>
        </is>
      </c>
    </row>
    <row r="1359" ht="15.75" customHeight="1" s="305">
      <c r="A1359" s="67" t="inlineStr">
        <is>
          <t>trackingOrder.sub</t>
        </is>
      </c>
      <c r="B1359" s="67" t="inlineStr">
        <is>
          <t>Mã phiếu đơn con</t>
        </is>
      </c>
      <c r="C1359" s="67">
        <f>IFERROR(__xludf.DUMMYFUNCTION("GOOGLETRANSLATE(B1359,""vi"",""en"")"),"Sub-invoice code")</f>
        <v/>
      </c>
      <c r="D1359" s="3">
        <f>IFERROR(__xludf.DUMMYFUNCTION("GOOGLETRANSLATE(B1359,""vi"",""km"")"),"លេខកូដវិក្កយបត្ររង")</f>
        <v/>
      </c>
      <c r="E1359" s="3" t="inlineStr">
        <is>
          <t>លេខកូូដបុងរង</t>
        </is>
      </c>
      <c r="F1359" s="217" t="inlineStr">
        <is>
          <t>x</t>
        </is>
      </c>
      <c r="G1359" s="217" t="inlineStr">
        <is>
          <t>លេខកូូដបុងរង</t>
        </is>
      </c>
      <c r="H1359" t="inlineStr">
        <is>
          <t>លេខកូូដបុងរង</t>
        </is>
      </c>
      <c r="I1359" s="74" t="n"/>
      <c r="J1359" s="217" t="inlineStr">
        <is>
          <t>"trackingOrder.sub": "Sub-invoice code",</t>
        </is>
      </c>
    </row>
    <row r="1360" ht="15.75" customHeight="1" s="305">
      <c r="A1360" s="67" t="inlineStr">
        <is>
          <t>trackingOrder.detailReturn</t>
        </is>
      </c>
      <c r="B1360" s="67" t="inlineStr">
        <is>
          <t>Chi tiết mã phiếu hoàn</t>
        </is>
      </c>
      <c r="C1360" s="67">
        <f>IFERROR(__xludf.DUMMYFUNCTION("GOOGLETRANSLATE(B1360,""vi"",""en"")"),"Refund voucher details")</f>
        <v/>
      </c>
      <c r="D1360" s="3">
        <f>IFERROR(__xludf.DUMMYFUNCTION("GOOGLETRANSLATE(B1360,""vi"",""km"")"),"ព័ត៌មានលម្អិតអំពីប័ណ្ណសងប្រាក់វិញ")</f>
        <v/>
      </c>
      <c r="E1360" s="3" t="inlineStr">
        <is>
          <t>លម្អិតពីកូដបុងដែលបានត្រលប់</t>
        </is>
      </c>
      <c r="F1360" s="217" t="inlineStr">
        <is>
          <t>v</t>
        </is>
      </c>
      <c r="G1360" s="217" t="inlineStr">
        <is>
          <t>លម្អិតពីកូដបុងដែលបានត្រលប់</t>
        </is>
      </c>
      <c r="H1360" t="inlineStr">
        <is>
          <t>លម្អិតពីកូដបុងដែលបានត្រលប់</t>
        </is>
      </c>
      <c r="I1360" s="74" t="n"/>
      <c r="J1360" s="217" t="inlineStr">
        <is>
          <t>"trackingOrder.detailReturn": "Refund voucher details",</t>
        </is>
      </c>
    </row>
    <row r="1361" ht="15.75" customHeight="1" s="305">
      <c r="A1361" s="67" t="inlineStr">
        <is>
          <t>trackingOrder.detailForward</t>
        </is>
      </c>
      <c r="B1361" s="67" t="inlineStr">
        <is>
          <t>Chi tiết mã phiếu chuyển tiếp</t>
        </is>
      </c>
      <c r="C1361" s="67">
        <f>IFERROR(__xludf.DUMMYFUNCTION("GOOGLETRANSLATE(B1361,""vi"",""en"")"),"Details of the forwarding voucher code")</f>
        <v/>
      </c>
      <c r="D1361" s="3">
        <f>IFERROR(__xludf.DUMMYFUNCTION("GOOGLETRANSLATE(B1361,""vi"",""km"")"),"ព័ត៌មានលម្អិតនៃលេខកូដប័ណ្ណបញ្ជូនបន្ត")</f>
        <v/>
      </c>
      <c r="E1361" s="3" t="inlineStr">
        <is>
          <t>លម្អិតពីកូដបុងដែលបានបញ្ជូនបន្ត</t>
        </is>
      </c>
      <c r="F1361" s="217" t="inlineStr">
        <is>
          <t>v</t>
        </is>
      </c>
      <c r="G1361" s="217" t="inlineStr">
        <is>
          <t>ព័ត៌មានលម្អិតលេខកូដបុងបញ្ជូនបន្ត</t>
        </is>
      </c>
      <c r="H1361" t="inlineStr">
        <is>
          <t>ព័ត៌មានលម្អិតលេខកូដបុងបញ្ជូនបន្ត</t>
        </is>
      </c>
      <c r="I1361" s="74" t="n"/>
      <c r="J1361" s="217" t="inlineStr">
        <is>
          <t>"trackingOrder.detailForward": "Details of the forwarding voucher code",</t>
        </is>
      </c>
    </row>
    <row r="1362" ht="15.75" customHeight="1" s="305">
      <c r="A1362" s="67" t="inlineStr">
        <is>
          <t>trackingOrder.subReturn</t>
        </is>
      </c>
      <c r="B1362" s="67" t="inlineStr">
        <is>
          <t>Mã phiếu hoàn</t>
        </is>
      </c>
      <c r="C1362" s="67">
        <f>IFERROR(__xludf.DUMMYFUNCTION("GOOGLETRANSLATE(B1362,""vi"",""en"")"),"Refund voucher code")</f>
        <v/>
      </c>
      <c r="D1362" s="3">
        <f>IFERROR(__xludf.DUMMYFUNCTION("GOOGLETRANSLATE(B1362,""vi"",""km"")"),"លេខកូដប័ណ្ណសងប្រាក់វិញ")</f>
        <v/>
      </c>
      <c r="E1362" s="3" t="inlineStr">
        <is>
          <t>លេខកូដបុងបញ្ញើដែលត្រលប់</t>
        </is>
      </c>
      <c r="F1362" s="217" t="inlineStr">
        <is>
          <t>v</t>
        </is>
      </c>
      <c r="G1362" s="217" t="inlineStr">
        <is>
          <t>លេខកូដបុងបញ្ញើដែលត្រលប់</t>
        </is>
      </c>
      <c r="H1362" t="inlineStr">
        <is>
          <t>លេខកូដបុងបញ្ញើដែលត្រលប់</t>
        </is>
      </c>
      <c r="I1362" s="74" t="n"/>
      <c r="J1362" s="217" t="inlineStr">
        <is>
          <t>"trackingOrder.subReturn": "Refund voucher code",</t>
        </is>
      </c>
    </row>
    <row r="1363" ht="15.75" customHeight="1" s="305">
      <c r="A1363" s="67" t="inlineStr">
        <is>
          <t>trackingOrder.subForward</t>
        </is>
      </c>
      <c r="B1363" s="67" t="inlineStr">
        <is>
          <t>Mã phiếu chuyển tiếp</t>
        </is>
      </c>
      <c r="C1363" s="67">
        <f>IFERROR(__xludf.DUMMYFUNCTION("GOOGLETRANSLATE(B1363,""vi"",""en"")"),"Transfer voucher code")</f>
        <v/>
      </c>
      <c r="D1363" s="3">
        <f>IFERROR(__xludf.DUMMYFUNCTION("GOOGLETRANSLATE(B1363,""vi"",""km"")"),"លេខកូដប័ណ្ណផ្ទេរ")</f>
        <v/>
      </c>
      <c r="E1363" s="3" t="inlineStr">
        <is>
          <t>លេខកូដបុងបញ្ញើដែលបញ្ជូនបន្ត</t>
        </is>
      </c>
      <c r="F1363" s="217" t="inlineStr">
        <is>
          <t>v</t>
        </is>
      </c>
      <c r="G1363" s="217" t="inlineStr">
        <is>
          <t>លេខកូដបុងបញ្ញើដែលបញ្ជូនបន្ត</t>
        </is>
      </c>
      <c r="H1363" t="inlineStr">
        <is>
          <t>លេខកូដបុងបញ្ញើដែលបញ្ជូនបន្ត</t>
        </is>
      </c>
      <c r="I1363" s="74" t="n"/>
      <c r="J1363" s="217" t="inlineStr">
        <is>
          <t>"trackingOrder.subForward": "Transfer voucher code",</t>
        </is>
      </c>
    </row>
    <row r="1364" ht="15.75" customHeight="1" s="305">
      <c r="A1364" s="67" t="inlineStr">
        <is>
          <t>codEmployee.employeeDebt</t>
        </is>
      </c>
      <c r="B1364" s="67" t="inlineStr">
        <is>
          <t>Bưu tá chưa tạo bảng kê</t>
        </is>
      </c>
      <c r="C1364" s="67">
        <f>IFERROR(__xludf.DUMMYFUNCTION("GOOGLETRANSLATE(B1364,""vi"",""en"")"),"The postal worker has not created the order form.")</f>
        <v/>
      </c>
      <c r="D1364" s="3">
        <f>IFERROR(__xludf.DUMMYFUNCTION("GOOGLETRANSLATE(B1364,""vi"",""km"")"),"បុគ្គលិកប្រៃសណីយ៍មិនបានបង្កើតទម្រង់បញ្ជាទិញទេ។")</f>
        <v/>
      </c>
      <c r="E1364" s="3" t="inlineStr">
        <is>
          <t>បុគ្គលិកមិនទាន់បានបង្កើតតារាង</t>
        </is>
      </c>
      <c r="F1364" s="217" t="inlineStr">
        <is>
          <t>v</t>
        </is>
      </c>
      <c r="G1364" s="217" t="inlineStr">
        <is>
          <t>បុគ្គលិកមិនទាន់បានបង្កើតតារាង</t>
        </is>
      </c>
      <c r="H1364" t="inlineStr">
        <is>
          <t>បុគ្គលិកមិនទាន់បានបង្កើតតារាង</t>
        </is>
      </c>
      <c r="I1364" s="74" t="n"/>
      <c r="J1364" s="217" t="inlineStr">
        <is>
          <t>"codEmployee.employeeDebt": "The postal worker has not created the order form.",</t>
        </is>
      </c>
    </row>
    <row r="1365" ht="15.75" customHeight="1" s="305">
      <c r="A1365" s="67" t="inlineStr">
        <is>
          <t>codEmployee.employeeCod</t>
        </is>
      </c>
      <c r="B1365" s="67" t="inlineStr">
        <is>
          <t>Xác nhận bảng kê thu COD</t>
        </is>
      </c>
      <c r="C1365" s="67">
        <f>IFERROR(__xludf.DUMMYFUNCTION("GOOGLETRANSLATE(B1365,""vi"",""en"")"),"Confirm COD collection statement")</f>
        <v/>
      </c>
      <c r="D1365" s="3">
        <f>IFERROR(__xludf.DUMMYFUNCTION("GOOGLETRANSLATE(B1365,""vi"",""km"")"),"បញ្ជាក់សេចក្តីថ្លែងការណ៍ប្រមូល COD")</f>
        <v/>
      </c>
      <c r="E1365" s="3" t="inlineStr">
        <is>
          <t>បញ្ជាក់តារាងទទួលប្រាក់ COD</t>
        </is>
      </c>
      <c r="F1365" s="217" t="inlineStr">
        <is>
          <t>x</t>
        </is>
      </c>
      <c r="G1365" s="217" t="inlineStr">
        <is>
          <t>បញ្ជាក់តារាងទទួលប្រាក់ COD</t>
        </is>
      </c>
      <c r="H1365" t="inlineStr">
        <is>
          <t>បញ្ជាក់តារាងទទួលប្រាក់ COD</t>
        </is>
      </c>
      <c r="I1365" s="74" t="n"/>
      <c r="J1365" s="217" t="inlineStr">
        <is>
          <t>"codEmployee.employeeCod": "Confirm COD collection statement",</t>
        </is>
      </c>
    </row>
    <row r="1366" ht="15.75" customHeight="1" s="305">
      <c r="A1366" s="67" t="inlineStr">
        <is>
          <t>codEmployee.createCod</t>
        </is>
      </c>
      <c r="B1366" s="67" t="inlineStr">
        <is>
          <t>Tạo bảng kê</t>
        </is>
      </c>
      <c r="C1366" s="67">
        <f>IFERROR(__xludf.DUMMYFUNCTION("GOOGLETRANSLATE(B1366,""vi"",""en"")"),"Create a statement")</f>
        <v/>
      </c>
      <c r="D1366" s="3">
        <f>IFERROR(__xludf.DUMMYFUNCTION("GOOGLETRANSLATE(B1366,""vi"",""km"")"),"បង្កើតសេចក្តីថ្លែងការណ៍មួយ")</f>
        <v/>
      </c>
      <c r="E1366" s="3" t="inlineStr">
        <is>
          <t>បង្កើតតារាង</t>
        </is>
      </c>
      <c r="F1366" s="217" t="inlineStr">
        <is>
          <t>v</t>
        </is>
      </c>
      <c r="G1366" s="217" t="inlineStr">
        <is>
          <t>បង្កើតតារាង</t>
        </is>
      </c>
      <c r="H1366" t="inlineStr">
        <is>
          <t>បង្កើតតារាង</t>
        </is>
      </c>
      <c r="I1366" s="74" t="n"/>
      <c r="J1366" s="217" t="inlineStr">
        <is>
          <t>"codEmployee.createCod": "Create a statement",</t>
        </is>
      </c>
    </row>
    <row r="1367" ht="15.75" customHeight="1" s="305">
      <c r="A1367" s="67" t="inlineStr">
        <is>
          <t>codEmployee.branch</t>
        </is>
      </c>
      <c r="B1367" s="67" t="inlineStr">
        <is>
          <t>Chi nhánh</t>
        </is>
      </c>
      <c r="C1367" s="67">
        <f>IFERROR(__xludf.DUMMYFUNCTION("GOOGLETRANSLATE(B1367,""vi"",""en"")"),"Branch")</f>
        <v/>
      </c>
      <c r="D1367" s="3">
        <f>IFERROR(__xludf.DUMMYFUNCTION("GOOGLETRANSLATE(B1367,""vi"",""km"")"),"សាខា")</f>
        <v/>
      </c>
      <c r="E1367" s="3" t="inlineStr">
        <is>
          <t>សាខា</t>
        </is>
      </c>
      <c r="F1367" s="217" t="inlineStr">
        <is>
          <t>v</t>
        </is>
      </c>
      <c r="G1367" s="217" t="inlineStr">
        <is>
          <t>សាខា</t>
        </is>
      </c>
      <c r="H1367" t="inlineStr">
        <is>
          <t>សាខា</t>
        </is>
      </c>
      <c r="I1367" s="74" t="n"/>
      <c r="J1367" s="217" t="inlineStr">
        <is>
          <t>"codEmployee.branch": "Branch",</t>
        </is>
      </c>
    </row>
    <row r="1368" ht="15.75" customHeight="1" s="305">
      <c r="A1368" s="67" t="inlineStr">
        <is>
          <t>codEmployee.post</t>
        </is>
      </c>
      <c r="B1368" s="67" t="inlineStr">
        <is>
          <t>Bưu cục</t>
        </is>
      </c>
      <c r="C1368" s="67">
        <f>IFERROR(__xludf.DUMMYFUNCTION("GOOGLETRANSLATE(B1368,""vi"",""en"")"),"Post Office")</f>
        <v/>
      </c>
      <c r="D1368" s="3">
        <f>IFERROR(__xludf.DUMMYFUNCTION("GOOGLETRANSLATE(B1368,""vi"",""km"")"),"ការិយាល័យប្រៃសណីយ៍")</f>
        <v/>
      </c>
      <c r="E1368" s="3" t="inlineStr">
        <is>
          <t>ការិយាល័យប្រៃសណីយ៍</t>
        </is>
      </c>
      <c r="F1368" s="217" t="inlineStr">
        <is>
          <t>v</t>
        </is>
      </c>
      <c r="G1368" s="217" t="inlineStr">
        <is>
          <t>ការិយាល័យប្រៃសណីយ៍</t>
        </is>
      </c>
      <c r="H1368" t="inlineStr">
        <is>
          <t>ការិយាល័យប្រៃសណីយ៍</t>
        </is>
      </c>
      <c r="I1368" s="74" t="n"/>
      <c r="J1368" s="217" t="inlineStr">
        <is>
          <t>"codEmployee.post": "Post Office",</t>
        </is>
      </c>
    </row>
    <row r="1369" ht="15.75" customHeight="1" s="305">
      <c r="A1369" s="67" t="inlineStr">
        <is>
          <t>codEmployee.postman</t>
        </is>
      </c>
      <c r="B1369" s="67" t="inlineStr">
        <is>
          <t>Bưu tá</t>
        </is>
      </c>
      <c r="C1369" s="67">
        <f>IFERROR(__xludf.DUMMYFUNCTION("GOOGLETRANSLATE(B1369,""vi"",""en"")"),"Postman")</f>
        <v/>
      </c>
      <c r="D1369" s="3">
        <f>IFERROR(__xludf.DUMMYFUNCTION("GOOGLETRANSLATE(B1369,""vi"",""km"")"),"អ្នករត់សំបុត្រ")</f>
        <v/>
      </c>
      <c r="E1369" s="3" t="inlineStr">
        <is>
          <t>អ្នកដឹក</t>
        </is>
      </c>
      <c r="F1369" s="217" t="inlineStr">
        <is>
          <t>x</t>
        </is>
      </c>
      <c r="G1369" s="217" t="inlineStr">
        <is>
          <t>បុគ្គលិកដឹកជញ្ជូន</t>
        </is>
      </c>
      <c r="H1369" t="inlineStr">
        <is>
          <t>បុគ្គលិកដឹកជញ្ជូន</t>
        </is>
      </c>
      <c r="I1369" s="74" t="n"/>
      <c r="J1369" s="217" t="inlineStr">
        <is>
          <t>"codEmployee.postman": "Postman",</t>
        </is>
      </c>
    </row>
    <row r="1370" ht="15.75" customHeight="1" s="305">
      <c r="A1370" s="67" t="inlineStr">
        <is>
          <t>codEmployee.dateDelivery</t>
        </is>
      </c>
      <c r="B1370" s="67" t="inlineStr">
        <is>
          <t>Ngày PTC</t>
        </is>
      </c>
      <c r="C1370" s="67">
        <f>IFERROR(__xludf.DUMMYFUNCTION("GOOGLETRANSLATE(B1370,""vi"",""en"")"),"PTC Day")</f>
        <v/>
      </c>
      <c r="D1370" s="3">
        <f>IFERROR(__xludf.DUMMYFUNCTION("GOOGLETRANSLATE(B1370,""vi"",""km"")"),"ទិវា PTC")</f>
        <v/>
      </c>
      <c r="E1370" s="3" t="inlineStr">
        <is>
          <t>ថ្ងៃ PTC</t>
        </is>
      </c>
      <c r="F1370" s="217" t="inlineStr">
        <is>
          <t>v</t>
        </is>
      </c>
      <c r="G1370" s="217" t="inlineStr">
        <is>
          <t>កាលបរិច្ឆេទដឹកជញ្ជូនជោគជ័យ</t>
        </is>
      </c>
      <c r="H1370" t="inlineStr">
        <is>
          <t>កាលបរិច្ឆេទដឹកជញ្ជូនជោគជ័យ</t>
        </is>
      </c>
      <c r="I1370" s="74" t="n"/>
      <c r="J1370" s="217" t="inlineStr">
        <is>
          <t>"codEmployee.dateDelivery": "PTC Day",</t>
        </is>
      </c>
    </row>
    <row r="1371" ht="15.75" customHeight="1" s="305">
      <c r="A1371" s="67" t="inlineStr">
        <is>
          <t>codEmployee.totalCod</t>
        </is>
      </c>
      <c r="B1371" s="67" t="inlineStr">
        <is>
          <t>Tiền nộp</t>
        </is>
      </c>
      <c r="C1371" s="67">
        <f>IFERROR(__xludf.DUMMYFUNCTION("GOOGLETRANSLATE(B1371,""vi"",""en"")"),"Payment")</f>
        <v/>
      </c>
      <c r="D1371" s="3">
        <f>IFERROR(__xludf.DUMMYFUNCTION("GOOGLETRANSLATE(B1371,""vi"",""km"")"),"ការទូទាត់")</f>
        <v/>
      </c>
      <c r="E1371" s="3" t="inlineStr">
        <is>
          <t>ប្រាក់បង់</t>
        </is>
      </c>
      <c r="F1371" s="217" t="inlineStr">
        <is>
          <t>v</t>
        </is>
      </c>
      <c r="G1371" s="217" t="inlineStr">
        <is>
          <t>ប្រាក់បង់</t>
        </is>
      </c>
      <c r="H1371" t="inlineStr">
        <is>
          <t>ប្រាក់បង់</t>
        </is>
      </c>
      <c r="I1371" s="74" t="n"/>
      <c r="J1371" s="217" t="inlineStr">
        <is>
          <t>"codEmployee.totalCod": "Payment",</t>
        </is>
      </c>
    </row>
    <row r="1372" ht="15.75" customHeight="1" s="305">
      <c r="A1372" s="67" t="inlineStr">
        <is>
          <t>codEmployee.detailDebt</t>
        </is>
      </c>
      <c r="B1372" s="67" t="inlineStr">
        <is>
          <t>Chi tiết bưu tá</t>
        </is>
      </c>
      <c r="C1372" s="67">
        <f>IFERROR(__xludf.DUMMYFUNCTION("GOOGLETRANSLATE(B1372,""vi"",""en"")"),"Postal worker details")</f>
        <v/>
      </c>
      <c r="D1372" s="3">
        <f>IFERROR(__xludf.DUMMYFUNCTION("GOOGLETRANSLATE(B1372,""vi"",""km"")"),"ព័ត៌មានលម្អិតរបស់បុគ្គលិកប្រៃសណីយ៍")</f>
        <v/>
      </c>
      <c r="E1372" s="3" t="inlineStr">
        <is>
          <t>លម្អិតពីអ្នកដឹក</t>
        </is>
      </c>
      <c r="F1372" s="217" t="inlineStr">
        <is>
          <t>x</t>
        </is>
      </c>
      <c r="G1372" s="217" t="inlineStr">
        <is>
          <t>លម្អិតពីអ្នកដឹក</t>
        </is>
      </c>
      <c r="H1372" t="inlineStr">
        <is>
          <t>លម្អិតពីអ្នកដឹក</t>
        </is>
      </c>
      <c r="I1372" s="74" t="n"/>
      <c r="J1372" s="217" t="inlineStr">
        <is>
          <t>"codEmployee.detailDebt": "Postal worker details",</t>
        </is>
      </c>
    </row>
    <row r="1373" ht="15.75" customHeight="1" s="305">
      <c r="A1373" s="67" t="inlineStr">
        <is>
          <t>codEmployee.orderCode</t>
        </is>
      </c>
      <c r="B1373" s="67" t="inlineStr">
        <is>
          <t>Mã vận đơn</t>
        </is>
      </c>
      <c r="C1373" s="67">
        <f>IFERROR(__xludf.DUMMYFUNCTION("GOOGLETRANSLATE(B1373,""vi"",""en"")"),"Tracking number")</f>
        <v/>
      </c>
      <c r="D1373" s="3">
        <f>IFERROR(__xludf.DUMMYFUNCTION("GOOGLETRANSLATE(B1373,""vi"",""km"")"),"លេខតាមដាន")</f>
        <v/>
      </c>
      <c r="E1373" s="3" t="inlineStr">
        <is>
          <t>លេខកូដបញ្ញើ</t>
        </is>
      </c>
      <c r="F1373" s="217" t="inlineStr">
        <is>
          <t>v</t>
        </is>
      </c>
      <c r="G1373" s="217" t="inlineStr">
        <is>
          <t>លេខកូដបុងបញ្ញើ</t>
        </is>
      </c>
      <c r="H1373" t="inlineStr">
        <is>
          <t>លេខកូដបុងបញ្ញើ</t>
        </is>
      </c>
      <c r="I1373" s="74" t="n"/>
      <c r="J1373" s="217" t="inlineStr">
        <is>
          <t>"codEmployee.orderCode": "Tracking number",</t>
        </is>
      </c>
    </row>
    <row r="1374" ht="15.75" customHeight="1" s="305">
      <c r="A1374" s="67" t="inlineStr">
        <is>
          <t>codEmployee.dateBill</t>
        </is>
      </c>
      <c r="B1374" s="67" t="inlineStr">
        <is>
          <t>Ngày nhập máy</t>
        </is>
      </c>
      <c r="C1374" s="67">
        <f>IFERROR(__xludf.DUMMYFUNCTION("GOOGLETRANSLATE(B1374,""vi"",""en"")"),"Date of machine entry")</f>
        <v/>
      </c>
      <c r="D1374" s="3">
        <f>IFERROR(__xludf.DUMMYFUNCTION("GOOGLETRANSLATE(B1374,""vi"",""km"")"),"កាលបរិច្ឆេទនៃការបញ្ចូលម៉ាស៊ីន")</f>
        <v/>
      </c>
      <c r="E1374" s="3" t="inlineStr">
        <is>
          <t>ថ្ងៃ្ងបញ្ចូលក្នុងម៉ាសុីន</t>
        </is>
      </c>
      <c r="F1374" s="217" t="inlineStr">
        <is>
          <t>v</t>
        </is>
      </c>
      <c r="G1374" s="217" t="inlineStr">
        <is>
          <t>កាលបរិច្ឆេទបញ្ចូលប្រព័ន្ធ</t>
        </is>
      </c>
      <c r="H1374" t="inlineStr">
        <is>
          <t>កាលបរិច្ឆេទបញ្ចូលប្រព័ន្ធ</t>
        </is>
      </c>
      <c r="I1374" s="74" t="n"/>
      <c r="J1374" s="217" t="inlineStr">
        <is>
          <t>"codEmployee.dateBill": "Date of machine entry",</t>
        </is>
      </c>
    </row>
    <row r="1375" ht="15.75" customHeight="1" s="305">
      <c r="A1375" s="67" t="inlineStr">
        <is>
          <t>codEmployee.service</t>
        </is>
      </c>
      <c r="B1375" s="67" t="inlineStr">
        <is>
          <t>Dịch vụ</t>
        </is>
      </c>
      <c r="C1375" s="67">
        <f>IFERROR(__xludf.DUMMYFUNCTION("GOOGLETRANSLATE(B1375,""vi"",""en"")"),"Service")</f>
        <v/>
      </c>
      <c r="D1375" s="3">
        <f>IFERROR(__xludf.DUMMYFUNCTION("GOOGLETRANSLATE(B1375,""vi"",""km"")"),"សេវាកម្ម")</f>
        <v/>
      </c>
      <c r="E1375" s="3" t="inlineStr">
        <is>
          <t>សេវាកម្ម</t>
        </is>
      </c>
      <c r="F1375" s="217" t="inlineStr">
        <is>
          <t>v</t>
        </is>
      </c>
      <c r="G1375" s="217" t="inlineStr">
        <is>
          <t>សេវាកម្ម</t>
        </is>
      </c>
      <c r="H1375" t="inlineStr">
        <is>
          <t>សេវាកម្ម</t>
        </is>
      </c>
      <c r="I1375" s="74" t="n"/>
      <c r="J1375" s="217" t="inlineStr">
        <is>
          <t>"codEmployee.service": "Service",</t>
        </is>
      </c>
    </row>
    <row r="1376" ht="15.75" customHeight="1" s="305">
      <c r="A1376" s="67" t="inlineStr">
        <is>
          <t>codEmployee.totalOrder</t>
        </is>
      </c>
      <c r="B1376" s="67" t="inlineStr">
        <is>
          <t>Tổng đơn</t>
        </is>
      </c>
      <c r="C1376" s="67">
        <f>IFERROR(__xludf.DUMMYFUNCTION("GOOGLETRANSLATE(B1376,""vi"",""en"")"),"Total order")</f>
        <v/>
      </c>
      <c r="D1376" s="3">
        <f>IFERROR(__xludf.DUMMYFUNCTION("GOOGLETRANSLATE(B1376,""vi"",""km"")"),"ការបញ្ជាទិញសរុប")</f>
        <v/>
      </c>
      <c r="E1376" s="3" t="inlineStr">
        <is>
          <t>សរុបបុងបញ្ញើ</t>
        </is>
      </c>
      <c r="F1376" s="217" t="inlineStr">
        <is>
          <t>v</t>
        </is>
      </c>
      <c r="G1376" s="217" t="inlineStr">
        <is>
          <t>សរុបបុងបញ្ញើ</t>
        </is>
      </c>
      <c r="H1376" t="inlineStr">
        <is>
          <t>សរុបបុងបញ្ញើ</t>
        </is>
      </c>
      <c r="I1376" s="74" t="n"/>
      <c r="J1376" s="217" t="inlineStr">
        <is>
          <t>"codEmployee.totalOrder": "Total order",</t>
        </is>
      </c>
    </row>
    <row r="1377" ht="15.75" customHeight="1" s="305">
      <c r="A1377" s="67" t="inlineStr">
        <is>
          <t>codEmployee.ALL</t>
        </is>
      </c>
      <c r="B1377" s="67" t="inlineStr">
        <is>
          <t>Tất cả</t>
        </is>
      </c>
      <c r="C1377" s="67">
        <f>IFERROR(__xludf.DUMMYFUNCTION("GOOGLETRANSLATE(B1377,""vi"",""en"")"),"All")</f>
        <v/>
      </c>
      <c r="D1377" s="3">
        <f>IFERROR(__xludf.DUMMYFUNCTION("GOOGLETRANSLATE(B1377,""vi"",""km"")"),"ទាំងអស់")</f>
        <v/>
      </c>
      <c r="E1377" s="3" t="inlineStr">
        <is>
          <t>ទាំងអស់</t>
        </is>
      </c>
      <c r="F1377" s="217" t="inlineStr">
        <is>
          <t>v</t>
        </is>
      </c>
      <c r="G1377" s="217" t="inlineStr">
        <is>
          <t>ទាំងអស់</t>
        </is>
      </c>
      <c r="H1377" t="inlineStr">
        <is>
          <t>ទាំងអស់</t>
        </is>
      </c>
      <c r="I1377" s="74" t="n"/>
      <c r="J1377" s="217" t="inlineStr">
        <is>
          <t>"codEmployee.ALL": "All",</t>
        </is>
      </c>
    </row>
    <row r="1378" ht="15.75" customHeight="1" s="305">
      <c r="A1378" s="67" t="inlineStr">
        <is>
          <t>codEmployee.NEW</t>
        </is>
      </c>
      <c r="B1378" s="67" t="inlineStr">
        <is>
          <t>Tạo mới</t>
        </is>
      </c>
      <c r="C1378" s="67">
        <f>IFERROR(__xludf.DUMMYFUNCTION("GOOGLETRANSLATE(B1378,""vi"",""en"")"),"Create new")</f>
        <v/>
      </c>
      <c r="D1378" s="3">
        <f>IFERROR(__xludf.DUMMYFUNCTION("GOOGLETRANSLATE(B1378,""vi"",""km"")"),"បង្កើតថ្មី")</f>
        <v/>
      </c>
      <c r="E1378" s="3" t="inlineStr">
        <is>
          <t>បង្កើ្កតថ្មី</t>
        </is>
      </c>
      <c r="F1378" s="217" t="inlineStr">
        <is>
          <t>v</t>
        </is>
      </c>
      <c r="G1378" s="217" t="inlineStr">
        <is>
          <t>បង្កើតថ្មី</t>
        </is>
      </c>
      <c r="H1378" t="inlineStr">
        <is>
          <t>បង្កើតថ្មី</t>
        </is>
      </c>
      <c r="I1378" s="74" t="n"/>
      <c r="J1378" s="217" t="inlineStr">
        <is>
          <t>"codEmployee.NEW": "Create new",</t>
        </is>
      </c>
    </row>
    <row r="1379" ht="15.75" customHeight="1" s="305">
      <c r="A1379" s="67" t="inlineStr">
        <is>
          <t>codEmployee.DONE</t>
        </is>
      </c>
      <c r="B1379" s="67" t="inlineStr">
        <is>
          <t>Chốt thu</t>
        </is>
      </c>
      <c r="C1379" s="67">
        <f>IFERROR(__xludf.DUMMYFUNCTION("GOOGLETRANSLATE(B1379,""vi"",""en"")"),"Collection point")</f>
        <v/>
      </c>
      <c r="D1379" s="3">
        <f>IFERROR(__xludf.DUMMYFUNCTION("GOOGLETRANSLATE(B1379,""vi"",""km"")"),"ចំណុចប្រមូល")</f>
        <v/>
      </c>
      <c r="E1379" s="3" t="inlineStr">
        <is>
          <t>ប្រមូូល</t>
        </is>
      </c>
      <c r="F1379" s="217" t="inlineStr">
        <is>
          <t>x</t>
        </is>
      </c>
      <c r="G1379" s="217" t="inlineStr">
        <is>
          <t>ប្រមូូល</t>
        </is>
      </c>
      <c r="H1379" t="inlineStr">
        <is>
          <t>ប្រមូូល</t>
        </is>
      </c>
      <c r="I1379" s="74" t="n"/>
      <c r="J1379" s="217" t="inlineStr">
        <is>
          <t>"codEmployee.DONE": "Collection point",</t>
        </is>
      </c>
    </row>
    <row r="1380" ht="15.75" customHeight="1" s="305">
      <c r="A1380" s="67" t="inlineStr">
        <is>
          <t>codEmployee.user</t>
        </is>
      </c>
      <c r="B1380" s="67" t="inlineStr">
        <is>
          <t>Nhân viên</t>
        </is>
      </c>
      <c r="C1380" s="67">
        <f>IFERROR(__xludf.DUMMYFUNCTION("GOOGLETRANSLATE(B1380,""vi"",""en"")"),"Staff")</f>
        <v/>
      </c>
      <c r="D1380" s="3">
        <f>IFERROR(__xludf.DUMMYFUNCTION("GOOGLETRANSLATE(B1380,""vi"",""km"")"),"បុគ្គលិក")</f>
        <v/>
      </c>
      <c r="E1380" s="3" t="inlineStr">
        <is>
          <t>បុគ្គលិក</t>
        </is>
      </c>
      <c r="F1380" s="217" t="inlineStr">
        <is>
          <t>v</t>
        </is>
      </c>
      <c r="G1380" s="217" t="inlineStr">
        <is>
          <t>បុគ្គលិក</t>
        </is>
      </c>
      <c r="H1380" t="inlineStr">
        <is>
          <t>បុគ្គលិក</t>
        </is>
      </c>
      <c r="I1380" s="74" t="n"/>
      <c r="J1380" s="217" t="inlineStr">
        <is>
          <t>"codEmployee.user": "Staff",</t>
        </is>
      </c>
    </row>
    <row r="1381" ht="15.75" customHeight="1" s="305">
      <c r="A1381" s="67" t="inlineStr">
        <is>
          <t>codEmployee.status</t>
        </is>
      </c>
      <c r="B1381" s="67" t="inlineStr">
        <is>
          <t>Trạng thái</t>
        </is>
      </c>
      <c r="C1381" s="67">
        <f>IFERROR(__xludf.DUMMYFUNCTION("GOOGLETRANSLATE(B1381,""vi"",""en"")"),"Status")</f>
        <v/>
      </c>
      <c r="D1381" s="3">
        <f>IFERROR(__xludf.DUMMYFUNCTION("GOOGLETRANSLATE(B1381,""vi"",""km"")"),"ស្ថានភាព")</f>
        <v/>
      </c>
      <c r="E1381" s="3" t="inlineStr">
        <is>
          <t>ស្ថានភាព</t>
        </is>
      </c>
      <c r="F1381" s="217" t="inlineStr">
        <is>
          <t>v</t>
        </is>
      </c>
      <c r="G1381" s="217" t="inlineStr">
        <is>
          <t>ស្ថានភាព</t>
        </is>
      </c>
      <c r="H1381" t="inlineStr">
        <is>
          <t>ស្ថានភាព</t>
        </is>
      </c>
      <c r="I1381" s="74" t="n"/>
      <c r="J1381" s="217" t="inlineStr">
        <is>
          <t>"codEmployee.status": "Status",</t>
        </is>
      </c>
    </row>
    <row r="1382" ht="15.75" customHeight="1" s="305">
      <c r="A1382" s="67" t="inlineStr">
        <is>
          <t>codEmployee.filterBranch</t>
        </is>
      </c>
      <c r="B1382" s="67" t="inlineStr">
        <is>
          <t>Chọn chi nhánh</t>
        </is>
      </c>
      <c r="C1382" s="67">
        <f>IFERROR(__xludf.DUMMYFUNCTION("GOOGLETRANSLATE(B1382,""vi"",""en"")"),"Select a branch")</f>
        <v/>
      </c>
      <c r="D1382" s="3">
        <f>IFERROR(__xludf.DUMMYFUNCTION("GOOGLETRANSLATE(B1382,""vi"",""km"")"),"ជ្រើសរើសសាខាមួយ")</f>
        <v/>
      </c>
      <c r="E1382" s="3" t="inlineStr">
        <is>
          <t>ជ្រើសរើសសាខា</t>
        </is>
      </c>
      <c r="F1382" s="217" t="inlineStr">
        <is>
          <t>v</t>
        </is>
      </c>
      <c r="G1382" s="217" t="inlineStr">
        <is>
          <t>ជ្រើសរើសសាខា</t>
        </is>
      </c>
      <c r="H1382" t="inlineStr">
        <is>
          <t>ជ្រើសរើសសាខា</t>
        </is>
      </c>
      <c r="I1382" s="74" t="n"/>
      <c r="J1382" s="217" t="inlineStr">
        <is>
          <t>"codEmployee.filterBranch": "Select a branch",</t>
        </is>
      </c>
    </row>
    <row r="1383" ht="15.75" customHeight="1" s="305">
      <c r="A1383" s="67" t="inlineStr">
        <is>
          <t>codEmployee.filterPost</t>
        </is>
      </c>
      <c r="B1383" s="67" t="inlineStr">
        <is>
          <t>Chọn bưu cục</t>
        </is>
      </c>
      <c r="C1383" s="67">
        <f>IFERROR(__xludf.DUMMYFUNCTION("GOOGLETRANSLATE(B1383,""vi"",""en"")"),"Select post office")</f>
        <v/>
      </c>
      <c r="D1383" s="3">
        <f>IFERROR(__xludf.DUMMYFUNCTION("GOOGLETRANSLATE(B1383,""vi"",""km"")"),"ជ្រើសរើសការិយាល័យប្រៃសណីយ៍")</f>
        <v/>
      </c>
      <c r="E1383" s="3" t="inlineStr">
        <is>
          <t>ជ្រើសរើសការិយាល័យប្រៃសណីយ៍</t>
        </is>
      </c>
      <c r="F1383" s="217" t="inlineStr">
        <is>
          <t>v</t>
        </is>
      </c>
      <c r="G1383" s="217" t="inlineStr">
        <is>
          <t>ជ្រើសរើសការិយាល័យប្រៃសណីយ៍</t>
        </is>
      </c>
      <c r="H1383" t="inlineStr">
        <is>
          <t>ជ្រើសរើសការិយាល័យប្រៃសណីយ៍</t>
        </is>
      </c>
      <c r="I1383" s="74" t="n"/>
      <c r="J1383" s="217" t="inlineStr">
        <is>
          <t>"codEmployee.filterPost": "Select post office",</t>
        </is>
      </c>
    </row>
    <row r="1384" ht="15.75" customHeight="1" s="305">
      <c r="A1384" s="67" t="inlineStr">
        <is>
          <t>codEmployee.filterUser</t>
        </is>
      </c>
      <c r="B1384" s="67" t="inlineStr">
        <is>
          <t>Chọn nhân viên</t>
        </is>
      </c>
      <c r="C1384" s="67">
        <f>IFERROR(__xludf.DUMMYFUNCTION("GOOGLETRANSLATE(B1384,""vi"",""en"")"),"Select employees")</f>
        <v/>
      </c>
      <c r="D1384" s="3">
        <f>IFERROR(__xludf.DUMMYFUNCTION("GOOGLETRANSLATE(B1384,""vi"",""km"")"),"ជ្រើសរើសបុគ្គលិក")</f>
        <v/>
      </c>
      <c r="E1384" s="3" t="inlineStr">
        <is>
          <t>ជ្រើសរើសបុគ្គលិក</t>
        </is>
      </c>
      <c r="F1384" s="217" t="inlineStr">
        <is>
          <t>v</t>
        </is>
      </c>
      <c r="G1384" s="217" t="inlineStr">
        <is>
          <t>ជ្រើសរើសបុគ្គលិក</t>
        </is>
      </c>
      <c r="H1384" t="inlineStr">
        <is>
          <t>ជ្រើសរើសបុគ្គលិក</t>
        </is>
      </c>
      <c r="I1384" s="74" t="n"/>
      <c r="J1384" s="217" t="inlineStr">
        <is>
          <t>"codEmployee.filterUser": "Select employees",</t>
        </is>
      </c>
    </row>
    <row r="1385" ht="15.75" customHeight="1" s="305">
      <c r="A1385" s="67" t="inlineStr">
        <is>
          <t>codEmployee.filterStatus</t>
        </is>
      </c>
      <c r="B1385" s="67" t="inlineStr">
        <is>
          <t>Chọn trạng thái</t>
        </is>
      </c>
      <c r="C1385" s="67">
        <f>IFERROR(__xludf.DUMMYFUNCTION("GOOGLETRANSLATE(B1385,""vi"",""en"")"),"Select state")</f>
        <v/>
      </c>
      <c r="D1385" s="3">
        <f>IFERROR(__xludf.DUMMYFUNCTION("GOOGLETRANSLATE(B1385,""vi"",""km"")"),"ជ្រើសរើសរដ្ឋ")</f>
        <v/>
      </c>
      <c r="E1385" s="3" t="inlineStr">
        <is>
          <t>ជ្រើសរើសសា្ថនភាព</t>
        </is>
      </c>
      <c r="F1385" s="217" t="inlineStr">
        <is>
          <t>v</t>
        </is>
      </c>
      <c r="G1385" s="217" t="inlineStr">
        <is>
          <t>ជ្រើសរើសសា្ថនភាព</t>
        </is>
      </c>
      <c r="H1385" t="inlineStr">
        <is>
          <t>ជ្រើសរើសសា្ថនភាព</t>
        </is>
      </c>
      <c r="I1385" s="74" t="n"/>
      <c r="J1385" s="217" t="inlineStr">
        <is>
          <t>"codEmployee.filterStatus": "Select state",</t>
        </is>
      </c>
    </row>
    <row r="1386" ht="15.75" customHeight="1" s="305">
      <c r="A1386" s="67" t="inlineStr">
        <is>
          <t>codEmployee.codId</t>
        </is>
      </c>
      <c r="B1386" s="67" t="inlineStr">
        <is>
          <t>Mã bảng kê</t>
        </is>
      </c>
      <c r="C1386" s="67">
        <f>IFERROR(__xludf.DUMMYFUNCTION("GOOGLETRANSLATE(B1386,""vi"",""en"")"),"Statement code")</f>
        <v/>
      </c>
      <c r="D1386" s="3">
        <f>IFERROR(__xludf.DUMMYFUNCTION("GOOGLETRANSLATE(B1386,""vi"",""km"")"),"កូដ​សេចក្តីថ្លែងការណ៍")</f>
        <v/>
      </c>
      <c r="E1386" s="3" t="inlineStr">
        <is>
          <t>លេខកូដតារាង</t>
        </is>
      </c>
      <c r="F1386" s="217" t="inlineStr">
        <is>
          <t>v</t>
        </is>
      </c>
      <c r="G1386" s="217" t="inlineStr">
        <is>
          <t>លេខកូដតារាង</t>
        </is>
      </c>
      <c r="H1386" t="inlineStr">
        <is>
          <t>លេខកូដតារាង</t>
        </is>
      </c>
      <c r="I1386" s="74" t="n"/>
      <c r="J1386" s="217" t="inlineStr">
        <is>
          <t>"codEmployee.codId": "Statement code",</t>
        </is>
      </c>
    </row>
    <row r="1387" ht="15.75" customHeight="1" s="305">
      <c r="A1387" s="67" t="inlineStr">
        <is>
          <t>codEmployee.createdAt</t>
        </is>
      </c>
      <c r="B1387" s="67" t="inlineStr">
        <is>
          <t>Ngày tạo</t>
        </is>
      </c>
      <c r="C1387" s="67">
        <f>IFERROR(__xludf.DUMMYFUNCTION("GOOGLETRANSLATE(B1387,""vi"",""en"")"),"Creation date")</f>
        <v/>
      </c>
      <c r="D1387" s="3">
        <f>IFERROR(__xludf.DUMMYFUNCTION("GOOGLETRANSLATE(B1387,""vi"",""km"")"),"កាលបរិច្ឆេទបង្កើត")</f>
        <v/>
      </c>
      <c r="E1387" s="3" t="inlineStr">
        <is>
          <t>ថ្ងៃបង្កើត</t>
        </is>
      </c>
      <c r="F1387" s="217" t="inlineStr">
        <is>
          <t>v</t>
        </is>
      </c>
      <c r="G1387" s="217" t="inlineStr">
        <is>
          <t>កាលបរិច្ឆេទបង្កើត</t>
        </is>
      </c>
      <c r="H1387" t="inlineStr">
        <is>
          <t>កាលបរិច្ឆេទបង្កើត</t>
        </is>
      </c>
      <c r="I1387" s="74" t="n"/>
      <c r="J1387" s="217" t="inlineStr">
        <is>
          <t>"codEmployee.createdAt": "Creation date",</t>
        </is>
      </c>
    </row>
    <row r="1388" ht="15.75" customHeight="1" s="305">
      <c r="A1388" s="67" t="inlineStr">
        <is>
          <t>codEmployee.createdBy</t>
        </is>
      </c>
      <c r="B1388" s="67" t="inlineStr">
        <is>
          <t>Người tạo</t>
        </is>
      </c>
      <c r="C1388" s="67">
        <f>IFERROR(__xludf.DUMMYFUNCTION("GOOGLETRANSLATE(B1388,""vi"",""en"")"),"Creator")</f>
        <v/>
      </c>
      <c r="D1388" s="3">
        <f>IFERROR(__xludf.DUMMYFUNCTION("GOOGLETRANSLATE(B1388,""vi"",""km"")"),"អ្នកបង្កើត")</f>
        <v/>
      </c>
      <c r="E1388" s="3" t="inlineStr">
        <is>
          <t>អ្នកបង្កើត</t>
        </is>
      </c>
      <c r="F1388" s="217" t="inlineStr">
        <is>
          <t>v</t>
        </is>
      </c>
      <c r="G1388" s="217" t="inlineStr">
        <is>
          <t>អ្នកបង្កើត</t>
        </is>
      </c>
      <c r="H1388" t="inlineStr">
        <is>
          <t>អ្នកបង្កើត</t>
        </is>
      </c>
      <c r="I1388" s="74" t="n"/>
      <c r="J1388" s="217" t="inlineStr">
        <is>
          <t>"codEmployee.createdBy": "Creator",</t>
        </is>
      </c>
    </row>
    <row r="1389" ht="15.75" customHeight="1" s="305">
      <c r="A1389" s="67" t="inlineStr">
        <is>
          <t>codEmployee.updatedAt</t>
        </is>
      </c>
      <c r="B1389" s="67" t="inlineStr">
        <is>
          <t>Ngày cập nhật</t>
        </is>
      </c>
      <c r="C1389" s="67">
        <f>IFERROR(__xludf.DUMMYFUNCTION("GOOGLETRANSLATE(B1389,""vi"",""en"")"),"Date updated")</f>
        <v/>
      </c>
      <c r="D1389" s="3">
        <f>IFERROR(__xludf.DUMMYFUNCTION("GOOGLETRANSLATE(B1389,""vi"",""km"")"),"កាលបរិច្ឆេទ​ដែលបានធ្វើបច្ចុប្បន្នភាព")</f>
        <v/>
      </c>
      <c r="E1389" s="3" t="inlineStr">
        <is>
          <t>ថ្ងៃអាប់ដេត</t>
        </is>
      </c>
      <c r="F1389" s="217" t="inlineStr">
        <is>
          <t>v</t>
        </is>
      </c>
      <c r="G1389" s="217" t="inlineStr">
        <is>
          <t>ថ្ងៃអាប់ដេត</t>
        </is>
      </c>
      <c r="H1389" t="inlineStr">
        <is>
          <t>ថ្ងៃអាប់ដេត</t>
        </is>
      </c>
      <c r="I1389" s="74" t="n"/>
      <c r="J1389" s="217" t="inlineStr">
        <is>
          <t>"codEmployee.updatedAt": "Date updated",</t>
        </is>
      </c>
    </row>
    <row r="1390" ht="15.75" customHeight="1" s="305">
      <c r="A1390" s="67" t="inlineStr">
        <is>
          <t>codEmployee.updatedBy</t>
        </is>
      </c>
      <c r="B1390" s="67" t="inlineStr">
        <is>
          <t>Người cập nhật</t>
        </is>
      </c>
      <c r="C1390" s="67">
        <f>IFERROR(__xludf.DUMMYFUNCTION("GOOGLETRANSLATE(B1390,""vi"",""en"")"),"Updater")</f>
        <v/>
      </c>
      <c r="D1390" s="3">
        <f>IFERROR(__xludf.DUMMYFUNCTION("GOOGLETRANSLATE(B1390,""vi"",""km"")"),"កម្មវិធីធ្វើបច្ចុប្បន្នភាព")</f>
        <v/>
      </c>
      <c r="E1390" s="3" t="inlineStr">
        <is>
          <t>អ្នកអាប់ដេត</t>
        </is>
      </c>
      <c r="F1390" s="217" t="inlineStr">
        <is>
          <t>v</t>
        </is>
      </c>
      <c r="G1390" s="217" t="inlineStr">
        <is>
          <t>អ្នកអាប់ដេត</t>
        </is>
      </c>
      <c r="H1390" t="inlineStr">
        <is>
          <t>អ្នកអាប់ដេត</t>
        </is>
      </c>
      <c r="I1390" s="74" t="n"/>
      <c r="J1390" s="217" t="inlineStr">
        <is>
          <t>"codEmployee.updatedBy": "Updater",</t>
        </is>
      </c>
    </row>
    <row r="1391" ht="15.75" customHeight="1" s="305">
      <c r="A1391" s="67" t="inlineStr">
        <is>
          <t>codEmployee.confirm</t>
        </is>
      </c>
      <c r="B1391" s="67" t="inlineStr">
        <is>
          <t>Chốt thu</t>
        </is>
      </c>
      <c r="C1391" s="67">
        <f>IFERROR(__xludf.DUMMYFUNCTION("GOOGLETRANSLATE(B1391,""vi"",""en"")"),"Collection point")</f>
        <v/>
      </c>
      <c r="D1391" s="3">
        <f>IFERROR(__xludf.DUMMYFUNCTION("GOOGLETRANSLATE(B1391,""vi"",""km"")"),"ចំណុចប្រមូល")</f>
        <v/>
      </c>
      <c r="E1391" s="3" t="inlineStr">
        <is>
          <t>បញ្ចប់ការប្រមូូល</t>
        </is>
      </c>
      <c r="F1391" s="217" t="inlineStr">
        <is>
          <t>x</t>
        </is>
      </c>
      <c r="G1391" s="217" t="inlineStr">
        <is>
          <t>បញ្ចប់ការប្រមូូល</t>
        </is>
      </c>
      <c r="H1391" t="inlineStr">
        <is>
          <t>បញ្ចប់ការប្រមូូល</t>
        </is>
      </c>
      <c r="I1391" s="74" t="n"/>
      <c r="J1391" s="217" t="inlineStr">
        <is>
          <t>"codEmployee.confirm": "Collection point",</t>
        </is>
      </c>
    </row>
    <row r="1392" ht="15.75" customHeight="1" s="305">
      <c r="A1392" s="67" t="inlineStr">
        <is>
          <t>codEmployee.confirmBank</t>
        </is>
      </c>
      <c r="B1392" s="67" t="inlineStr">
        <is>
          <t>Xác nhận tiền về</t>
        </is>
      </c>
      <c r="C1392" s="67">
        <f>IFERROR(__xludf.DUMMYFUNCTION("GOOGLETRANSLATE(B1392,""vi"",""en"")"),"Confirm receipt of funds")</f>
        <v/>
      </c>
      <c r="D1392" s="3">
        <f>IFERROR(__xludf.DUMMYFUNCTION("GOOGLETRANSLATE(B1392,""vi"",""km"")"),"បញ្ជាក់ការទទួលប្រាក់")</f>
        <v/>
      </c>
      <c r="E1392" s="3" t="inlineStr">
        <is>
          <t>បញ្ជាក់ប្រាក់បានត្រលប់</t>
        </is>
      </c>
      <c r="F1392" s="217" t="inlineStr">
        <is>
          <t>x</t>
        </is>
      </c>
      <c r="G1392" s="217" t="inlineStr">
        <is>
          <t>បញ្ជាក់ប្រាក់បានត្រលប់</t>
        </is>
      </c>
      <c r="H1392" t="inlineStr">
        <is>
          <t>បញ្ជាក់ប្រាក់បានត្រលប់</t>
        </is>
      </c>
      <c r="I1392" s="74" t="n"/>
      <c r="J1392" s="217" t="inlineStr">
        <is>
          <t>"codEmployee.confirmBank": "Confirm receipt of funds",</t>
        </is>
      </c>
    </row>
    <row r="1393" ht="15.75" customHeight="1" s="305">
      <c r="A1393" s="67" t="inlineStr">
        <is>
          <t>codEmployee.deleteCod</t>
        </is>
      </c>
      <c r="B1393" s="67" t="inlineStr">
        <is>
          <t>Xoá bảng kê</t>
        </is>
      </c>
      <c r="C1393" s="67">
        <f>IFERROR(__xludf.DUMMYFUNCTION("GOOGLETRANSLATE(B1393,""vi"",""en"")"),"Delete the statement")</f>
        <v/>
      </c>
      <c r="D1393" s="3">
        <f>IFERROR(__xludf.DUMMYFUNCTION("GOOGLETRANSLATE(B1393,""vi"",""km"")"),"លុប​សេចក្ដីថ្លែងការណ៍")</f>
        <v/>
      </c>
      <c r="E1393" s="3" t="inlineStr">
        <is>
          <t>លុបតារាង</t>
        </is>
      </c>
      <c r="F1393" s="217" t="inlineStr">
        <is>
          <t>v</t>
        </is>
      </c>
      <c r="G1393" s="217" t="inlineStr">
        <is>
          <t>លុបតារាង</t>
        </is>
      </c>
      <c r="H1393" t="inlineStr">
        <is>
          <t>លុបតារាង</t>
        </is>
      </c>
      <c r="I1393" s="74" t="n"/>
      <c r="J1393" s="217" t="inlineStr">
        <is>
          <t>"codEmployee.deleteCod": "Delete the statement",</t>
        </is>
      </c>
    </row>
    <row r="1394" ht="15.75" customHeight="1" s="305">
      <c r="A1394" s="67" t="inlineStr">
        <is>
          <t>codEmployee.print</t>
        </is>
      </c>
      <c r="B1394" s="67" t="inlineStr">
        <is>
          <t>In</t>
        </is>
      </c>
      <c r="C1394" s="67">
        <f>IFERROR(__xludf.DUMMYFUNCTION("GOOGLETRANSLATE(B1394,""vi"",""en"")"),"Print")</f>
        <v/>
      </c>
      <c r="D1394" s="3">
        <f>IFERROR(__xludf.DUMMYFUNCTION("GOOGLETRANSLATE(B1394,""vi"",""km"")"),"បោះពុម្ព")</f>
        <v/>
      </c>
      <c r="E1394" s="3" t="inlineStr">
        <is>
          <t>ព្រីន</t>
        </is>
      </c>
      <c r="F1394" s="217" t="inlineStr">
        <is>
          <t>v</t>
        </is>
      </c>
      <c r="G1394" s="217" t="inlineStr">
        <is>
          <t>ព្រីន</t>
        </is>
      </c>
      <c r="H1394" t="inlineStr">
        <is>
          <t>ព្រីន</t>
        </is>
      </c>
      <c r="I1394" s="74" t="n"/>
      <c r="J1394" s="217" t="inlineStr">
        <is>
          <t>"codEmployee.print": "Print",</t>
        </is>
      </c>
    </row>
    <row r="1395" ht="15.75" customHeight="1" s="305">
      <c r="A1395" s="67" t="inlineStr">
        <is>
          <t>codEmployee.excel</t>
        </is>
      </c>
      <c r="B1395" s="67" t="inlineStr">
        <is>
          <t>Xuất Excel</t>
        </is>
      </c>
      <c r="C1395" s="67">
        <f>IFERROR(__xludf.DUMMYFUNCTION("GOOGLETRANSLATE(B1395,""vi"",""en"")"),"Export to Excel")</f>
        <v/>
      </c>
      <c r="D1395" s="3">
        <f>IFERROR(__xludf.DUMMYFUNCTION("GOOGLETRANSLATE(B1395,""vi"",""km"")"),"នាំចេញទៅ Excel")</f>
        <v/>
      </c>
      <c r="E1395" s="3" t="inlineStr">
        <is>
          <t>ចេញទៅ Excel</t>
        </is>
      </c>
      <c r="F1395" s="217" t="inlineStr">
        <is>
          <t>v</t>
        </is>
      </c>
      <c r="G1395" s="217" t="inlineStr">
        <is>
          <t>ចេញទៅ Excel</t>
        </is>
      </c>
      <c r="H1395" t="inlineStr">
        <is>
          <t>ចេញទៅ Excel</t>
        </is>
      </c>
      <c r="I1395" s="74" t="n"/>
      <c r="J1395" s="217" t="inlineStr">
        <is>
          <t>"codEmployee.excel": "Export to Excel",</t>
        </is>
      </c>
    </row>
    <row r="1396" ht="15.75" customHeight="1" s="305">
      <c r="A1396" s="67" t="inlineStr">
        <is>
          <t>codEmployee.detailCod</t>
        </is>
      </c>
      <c r="B1396" s="67" t="inlineStr">
        <is>
          <t>Chi tiết bảng kê</t>
        </is>
      </c>
      <c r="C1396" s="67">
        <f>IFERROR(__xludf.DUMMYFUNCTION("GOOGLETRANSLATE(B1396,""vi"",""en"")"),"Details of the statement")</f>
        <v/>
      </c>
      <c r="D1396" s="3">
        <f>IFERROR(__xludf.DUMMYFUNCTION("GOOGLETRANSLATE(B1396,""vi"",""km"")"),"ព័ត៌មានលម្អិតនៃសេចក្តីថ្លែងការណ៍")</f>
        <v/>
      </c>
      <c r="E1396" s="3" t="inlineStr">
        <is>
          <t>លម្អិតពីតារាង</t>
        </is>
      </c>
      <c r="F1396" s="217" t="inlineStr">
        <is>
          <t>v</t>
        </is>
      </c>
      <c r="G1396" s="217" t="inlineStr">
        <is>
          <t>លម្អិតពីតារាង</t>
        </is>
      </c>
      <c r="H1396" t="inlineStr">
        <is>
          <t>លម្អិតពីតារាង</t>
        </is>
      </c>
      <c r="I1396" s="74" t="n"/>
      <c r="J1396" s="217" t="inlineStr">
        <is>
          <t>"codEmployee.detailCod": "Details of the statement",</t>
        </is>
      </c>
    </row>
    <row r="1397" ht="15.75" customHeight="1" s="305">
      <c r="A1397" s="67" t="inlineStr">
        <is>
          <t>codEmployee.dateDeliveryBill</t>
        </is>
      </c>
      <c r="B1397" s="67" t="inlineStr">
        <is>
          <t>Ngày phát thành công</t>
        </is>
      </c>
      <c r="C1397" s="67">
        <f>IFERROR(__xludf.DUMMYFUNCTION("GOOGLETRANSLATE(B1397,""vi"",""en"")"),"Successful release date")</f>
        <v/>
      </c>
      <c r="D1397" s="3">
        <f>IFERROR(__xludf.DUMMYFUNCTION("GOOGLETRANSLATE(B1397,""vi"",""km"")"),"កាលបរិច្ឆេទចេញផ្សាយដោយជោគជ័យ")</f>
        <v/>
      </c>
      <c r="E1397" s="3" t="inlineStr">
        <is>
          <t>ថ្ងៃប្រគល់បានជោគជ័យ</t>
        </is>
      </c>
      <c r="F1397" s="217" t="inlineStr">
        <is>
          <t>x</t>
        </is>
      </c>
      <c r="G1397" s="217" t="inlineStr">
        <is>
          <t>កាលបរិច្ឆេទដឹកជញ្ជូនជោគជ័យ</t>
        </is>
      </c>
      <c r="H1397" t="inlineStr">
        <is>
          <t>កាលបរិច្ឆេទដឹកជញ្ជូនជោគជ័យ</t>
        </is>
      </c>
      <c r="I1397" s="74" t="n"/>
      <c r="J1397" s="217" t="inlineStr">
        <is>
          <t>"codEmployee.dateDeliveryBill": "Successful release date",</t>
        </is>
      </c>
    </row>
    <row r="1398" ht="15.75" customHeight="1" s="305">
      <c r="A1398" s="67" t="inlineStr">
        <is>
          <t>codEmployee.enterOrderCode</t>
        </is>
      </c>
      <c r="B1398" s="67" t="inlineStr">
        <is>
          <t>Nhập mã vận đơn</t>
        </is>
      </c>
      <c r="C1398" s="67">
        <f>IFERROR(__xludf.DUMMYFUNCTION("GOOGLETRANSLATE(B1398,""vi"",""en"")"),"Enter the tracking number")</f>
        <v/>
      </c>
      <c r="D1398" s="3">
        <f>IFERROR(__xludf.DUMMYFUNCTION("GOOGLETRANSLATE(B1398,""vi"",""km"")"),"បញ្ចូលលេខតាមដាន")</f>
        <v/>
      </c>
      <c r="E1398" s="3" t="inlineStr">
        <is>
          <t>បញ្ចូលលេខកូដបុងបញ្ញើ</t>
        </is>
      </c>
      <c r="F1398" s="217" t="inlineStr">
        <is>
          <t>v</t>
        </is>
      </c>
      <c r="G1398" s="217" t="inlineStr">
        <is>
          <t>បញ្ចូលលេខកូដបុងបញ្ញើ</t>
        </is>
      </c>
      <c r="H1398" t="inlineStr">
        <is>
          <t>បញ្ចូលលេខកូដបុងបញ្ញើ</t>
        </is>
      </c>
      <c r="I1398" s="74" t="n"/>
      <c r="J1398" s="217" t="inlineStr">
        <is>
          <t>"codEmployee.enterOrderCode": "Enter the tracking number",</t>
        </is>
      </c>
    </row>
    <row r="1399" ht="15.75" customHeight="1" s="305">
      <c r="A1399" s="67" t="inlineStr">
        <is>
          <t>codEmployee.addOrderCode</t>
        </is>
      </c>
      <c r="B1399" s="67" t="inlineStr">
        <is>
          <t>Thêm vận đơn</t>
        </is>
      </c>
      <c r="C1399" s="67">
        <f>IFERROR(__xludf.DUMMYFUNCTION("GOOGLETRANSLATE(B1399,""vi"",""en"")"),"Add bill of lading")</f>
        <v/>
      </c>
      <c r="D1399" s="3">
        <f>IFERROR(__xludf.DUMMYFUNCTION("GOOGLETRANSLATE(B1399,""vi"",""km"")"),"បន្ថែមវិក្កយបត្រដឹកជញ្ជូន")</f>
        <v/>
      </c>
      <c r="E1399" s="3" t="inlineStr">
        <is>
          <t>បន្ថែមបញ្ញើ</t>
        </is>
      </c>
      <c r="F1399" s="217" t="inlineStr">
        <is>
          <t>v</t>
        </is>
      </c>
      <c r="G1399" s="217" t="inlineStr">
        <is>
          <t>បន្ថែមបញ្ញើ</t>
        </is>
      </c>
      <c r="H1399" t="inlineStr">
        <is>
          <t>បន្ថែមបញ្ញើ</t>
        </is>
      </c>
      <c r="I1399" s="74" t="n"/>
      <c r="J1399" s="217" t="inlineStr">
        <is>
          <t>"codEmployee.addOrderCode": "Add bill of lading",</t>
        </is>
      </c>
    </row>
    <row r="1400" ht="15.75" customHeight="1" s="305">
      <c r="A1400" s="67" t="inlineStr">
        <is>
          <t>codEmployee.deleteOrder</t>
        </is>
      </c>
      <c r="B1400" s="67" t="inlineStr">
        <is>
          <t>Loại vận đơn</t>
        </is>
      </c>
      <c r="C1400" s="67">
        <f>IFERROR(__xludf.DUMMYFUNCTION("GOOGLETRANSLATE(B1400,""vi"",""en"")"),"Type of bill of lading")</f>
        <v/>
      </c>
      <c r="D1400" s="3">
        <f>IFERROR(__xludf.DUMMYFUNCTION("GOOGLETRANSLATE(B1400,""vi"",""km"")"),"ប្រភេទនៃវិក្កយបត្រដឹកជញ្ជូន")</f>
        <v/>
      </c>
      <c r="E1400" s="3" t="inlineStr">
        <is>
          <t>ប្រភេទបញ្ញើ</t>
        </is>
      </c>
      <c r="F1400" s="217" t="inlineStr">
        <is>
          <t>v</t>
        </is>
      </c>
      <c r="G1400" s="217" t="inlineStr">
        <is>
          <t>ប្រភេទបញ្ញើ</t>
        </is>
      </c>
      <c r="H1400" t="inlineStr">
        <is>
          <t>ប្រភេទបញ្ញើ</t>
        </is>
      </c>
      <c r="I1400" s="74" t="n"/>
      <c r="J1400" s="217" t="inlineStr">
        <is>
          <t>"codEmployee.deleteOrder": "Type of bill of lading",</t>
        </is>
      </c>
    </row>
    <row r="1401" ht="15.75" customHeight="1" s="305">
      <c r="A1401" s="67" t="inlineStr">
        <is>
          <t>codEmployee.createSameEmployee</t>
        </is>
      </c>
      <c r="B1401" s="67" t="inlineStr">
        <is>
          <t>Vui lòng chỉ chọn 1 bưu tá để tạo bảng kê</t>
        </is>
      </c>
      <c r="C1401" s="67">
        <f>IFERROR(__xludf.DUMMYFUNCTION("GOOGLETRANSLATE(B1401,""vi"",""en"")"),"Please select only one courier to create the manifest.")</f>
        <v/>
      </c>
      <c r="D1401" s="3">
        <f>IFERROR(__xludf.DUMMYFUNCTION("GOOGLETRANSLATE(B1401,""vi"",""km"")"),"សូមជ្រើសរើសអ្នកដឹកជញ្ជូនតែមួយប៉ុណ្ណោះ ដើម្បីបង្កើតបញ្ជីឯកសារ។")</f>
        <v/>
      </c>
      <c r="E1401" s="3" t="inlineStr">
        <is>
          <t>សូមជ្រើសរើសអ្នកដឹកតែ១នាក់ដើម្បីបង្កើតតារាង</t>
        </is>
      </c>
      <c r="F1401" s="217" t="inlineStr">
        <is>
          <t>x</t>
        </is>
      </c>
      <c r="G1401" s="217" t="inlineStr">
        <is>
          <t>សូមជ្រើសរើសអ្នកដឹកតែ១នាក់ដើម្បីបង្កើតតារាង</t>
        </is>
      </c>
      <c r="H1401" t="inlineStr">
        <is>
          <t>សូមជ្រើសរើសអ្នកដឹកតែ១នាក់ដើម្បីបង្កើតតារាង</t>
        </is>
      </c>
      <c r="I1401" s="74" t="n"/>
      <c r="J1401" s="217" t="inlineStr">
        <is>
          <t>"codEmployee.createSameEmployee": "Please select only one courier to create the manifest.",</t>
        </is>
      </c>
    </row>
    <row r="1402" ht="15.75" customHeight="1" s="305">
      <c r="A1402" s="67" t="inlineStr">
        <is>
          <t>codEmployee.payCod</t>
        </is>
      </c>
      <c r="B1402" s="67" t="inlineStr">
        <is>
          <t>Tiền phải thu</t>
        </is>
      </c>
      <c r="C1402" s="67">
        <f>IFERROR(__xludf.DUMMYFUNCTION("GOOGLETRANSLATE(B1402,""vi"",""en"")"),"Accounts receivable")</f>
        <v/>
      </c>
      <c r="D1402" s="3">
        <f>IFERROR(__xludf.DUMMYFUNCTION("GOOGLETRANSLATE(B1402,""vi"",""km"")"),"គណនី​ទទួល​បាន")</f>
        <v/>
      </c>
      <c r="E1402" s="3" t="inlineStr">
        <is>
          <t>ប្រាក់ត្រូវប្រមូល</t>
        </is>
      </c>
      <c r="F1402" s="217" t="inlineStr">
        <is>
          <t>v</t>
        </is>
      </c>
      <c r="G1402" s="217" t="inlineStr">
        <is>
          <t>ប្រាក់ត្រូវប្រមូល</t>
        </is>
      </c>
      <c r="H1402" t="inlineStr">
        <is>
          <t>ប្រាក់ត្រូវប្រមូល</t>
        </is>
      </c>
      <c r="I1402" s="74" t="n"/>
      <c r="J1402" s="217" t="inlineStr">
        <is>
          <t>"codEmployee.payCod": "Accounts receivable",</t>
        </is>
      </c>
    </row>
    <row r="1403" ht="15.75" customHeight="1" s="305">
      <c r="A1403" s="67" t="inlineStr">
        <is>
          <t>codEmployee.emptyOrderCode</t>
        </is>
      </c>
      <c r="B1403" s="67" t="inlineStr">
        <is>
          <t>Vui lòng nhập mã vận đơn</t>
        </is>
      </c>
      <c r="C1403" s="67">
        <f>IFERROR(__xludf.DUMMYFUNCTION("GOOGLETRANSLATE(B1403,""vi"",""en"")"),"Please enter the tracking number.")</f>
        <v/>
      </c>
      <c r="D1403" s="3">
        <f>IFERROR(__xludf.DUMMYFUNCTION("GOOGLETRANSLATE(B1403,""vi"",""km"")"),"សូមបញ្ចូលលេខតាមដាន។")</f>
        <v/>
      </c>
      <c r="E1403" s="3" t="inlineStr">
        <is>
          <t>សូូមមេត្តាបញ្ចូលកូដបុងបញ្ញើ</t>
        </is>
      </c>
      <c r="F1403" s="217" t="inlineStr">
        <is>
          <t>v</t>
        </is>
      </c>
      <c r="G1403" s="217" t="inlineStr">
        <is>
          <t>សូមមេត្តាបញ្ចូលកូដបុងបញ្ញើ</t>
        </is>
      </c>
      <c r="H1403" t="inlineStr">
        <is>
          <t>សូមមេត្តាបញ្ចូលកូដបុងបញ្ញើ</t>
        </is>
      </c>
      <c r="I1403" s="74" t="n"/>
      <c r="J1403" s="217" t="inlineStr">
        <is>
          <t>"codEmployee.emptyOrderCode": "Please enter the tracking number.",</t>
        </is>
      </c>
    </row>
    <row r="1404" ht="15.75" customHeight="1" s="305">
      <c r="A1404" s="67" t="inlineStr">
        <is>
          <t>codEmployee.emptySelectOrderCode</t>
        </is>
      </c>
      <c r="B1404" s="67" t="inlineStr">
        <is>
          <t>Vui lòng chọn đơn để loại bỏ</t>
        </is>
      </c>
      <c r="C1404" s="67">
        <f>IFERROR(__xludf.DUMMYFUNCTION("GOOGLETRANSLATE(B1404,""vi"",""en"")"),"Please select the order to remove.")</f>
        <v/>
      </c>
      <c r="D1404" s="3">
        <f>IFERROR(__xludf.DUMMYFUNCTION("GOOGLETRANSLATE(B1404,""vi"",""km"")"),"សូមជ្រើសរើសលំដាប់ដើម្បីដកចេញ។")</f>
        <v/>
      </c>
      <c r="E1404" s="3" t="inlineStr">
        <is>
          <t>សូមជ្រើសរើសបុងបញ្ញើដើម្បីលុបចោល</t>
        </is>
      </c>
      <c r="F1404" s="217" t="inlineStr">
        <is>
          <t>x</t>
        </is>
      </c>
      <c r="G1404" s="217" t="inlineStr">
        <is>
          <t>សូមជ្រើសរើសបុងបញ្ញើដើម្បីលុបចោល</t>
        </is>
      </c>
      <c r="H1404" t="inlineStr">
        <is>
          <t>សូមជ្រើសរើសបុងបញ្ញើដើម្បីលុបចោល</t>
        </is>
      </c>
      <c r="I1404" s="74" t="n"/>
      <c r="J1404" s="217" t="inlineStr">
        <is>
          <t>"codEmployee.emptySelectOrderCode": "Please select the order to remove.",</t>
        </is>
      </c>
    </row>
    <row r="1405" ht="15.75" customHeight="1" s="305">
      <c r="A1405" s="67" t="inlineStr">
        <is>
          <t>codEmployee.totalMoney</t>
        </is>
      </c>
      <c r="B1405" s="67" t="inlineStr">
        <is>
          <t>Tổng tiền</t>
        </is>
      </c>
      <c r="C1405" s="67">
        <f>IFERROR(__xludf.DUMMYFUNCTION("GOOGLETRANSLATE(B1405,""vi"",""en"")"),"Total amount")</f>
        <v/>
      </c>
      <c r="D1405" s="3">
        <f>IFERROR(__xludf.DUMMYFUNCTION("GOOGLETRANSLATE(B1405,""vi"",""km"")"),"ចំនួនទឹកប្រាក់សរុប")</f>
        <v/>
      </c>
      <c r="E1405" s="3" t="inlineStr">
        <is>
          <t>សរុបប្រាក់</t>
        </is>
      </c>
      <c r="F1405" s="217" t="inlineStr">
        <is>
          <t>v</t>
        </is>
      </c>
      <c r="G1405" s="217" t="inlineStr">
        <is>
          <t>ចំនួនទឹកប្រាក់សរុប</t>
        </is>
      </c>
      <c r="H1405" t="inlineStr">
        <is>
          <t>ចំនួនទឹកប្រាក់សរុប</t>
        </is>
      </c>
      <c r="I1405" s="74" t="n"/>
      <c r="J1405" s="217" t="inlineStr">
        <is>
          <t>"codEmployee.totalMoney": "Total amount",</t>
        </is>
      </c>
    </row>
    <row r="1406" ht="15.75" customHeight="1" s="305">
      <c r="A1406" s="67" t="inlineStr">
        <is>
          <t>codEmployee.route</t>
        </is>
      </c>
      <c r="B1406" s="67" t="inlineStr">
        <is>
          <t>Tên tuyến</t>
        </is>
      </c>
      <c r="C1406" s="67">
        <f>IFERROR(__xludf.DUMMYFUNCTION("GOOGLETRANSLATE(B1406,""vi"",""en"")"),"Route name")</f>
        <v/>
      </c>
      <c r="D1406" s="3">
        <f>IFERROR(__xludf.DUMMYFUNCTION("GOOGLETRANSLATE(B1406,""vi"",""km"")"),"ឈ្មោះផ្លូវ")</f>
        <v/>
      </c>
      <c r="E1406" s="3" t="n"/>
      <c r="F1406" s="217" t="inlineStr">
        <is>
          <t>x</t>
        </is>
      </c>
      <c r="G1406" s="217" t="inlineStr">
        <is>
          <t>ឈ្មោះផ្លូវ</t>
        </is>
      </c>
      <c r="H1406" t="inlineStr">
        <is>
          <t>ឈ្មោះផ្លូវ</t>
        </is>
      </c>
      <c r="I1406" s="74" t="n"/>
      <c r="J1406" s="217" t="inlineStr">
        <is>
          <t>"codEmployee.route": "Route name",</t>
        </is>
      </c>
    </row>
    <row r="1407" ht="15.75" customHeight="1" s="305">
      <c r="A1407" s="67" t="inlineStr">
        <is>
          <t>codEmployee.deliveredAt</t>
        </is>
      </c>
      <c r="B1407" s="67" t="inlineStr">
        <is>
          <t>Ngày phát thành công</t>
        </is>
      </c>
      <c r="C1407" s="67">
        <f>IFERROR(__xludf.DUMMYFUNCTION("GOOGLETRANSLATE(B1407,""vi"",""en"")"),"Successful release date")</f>
        <v/>
      </c>
      <c r="D1407" s="3">
        <f>IFERROR(__xludf.DUMMYFUNCTION("GOOGLETRANSLATE(B1407,""vi"",""km"")"),"កាលបរិច្ឆេទចេញផ្សាយដោយជោគជ័យ")</f>
        <v/>
      </c>
      <c r="E1407" s="3" t="inlineStr">
        <is>
          <t>ថ្ងៃប្រគល់ បានជោគជ័យ</t>
        </is>
      </c>
      <c r="F1407" s="217" t="inlineStr">
        <is>
          <t>x</t>
        </is>
      </c>
      <c r="G1407" s="217" t="inlineStr">
        <is>
          <t>កាលបរិច្ឆេទដឹកជញ្ជូនជោគជ័យ</t>
        </is>
      </c>
      <c r="H1407" t="inlineStr">
        <is>
          <t>កាលបរិច្ឆេទដឹកជញ្ជូនជោគជ័យ</t>
        </is>
      </c>
      <c r="I1407" s="74" t="n"/>
      <c r="J1407" s="217" t="inlineStr">
        <is>
          <t>"codEmployee.deliveredAt": "Successful release date",</t>
        </is>
      </c>
    </row>
    <row r="1408" ht="15.75" customHeight="1" s="305">
      <c r="A1408" s="67" t="inlineStr">
        <is>
          <t>codEmployee.cod</t>
        </is>
      </c>
      <c r="B1408" s="67" t="inlineStr">
        <is>
          <t>Phải thu</t>
        </is>
      </c>
      <c r="C1408" s="67">
        <f>IFERROR(__xludf.DUMMYFUNCTION("GOOGLETRANSLATE(B1408,""vi"",""en"")"),"Accounts Receivable")</f>
        <v/>
      </c>
      <c r="D1408" s="3">
        <f>IFERROR(__xludf.DUMMYFUNCTION("GOOGLETRANSLATE(B1408,""vi"",""km"")"),"គណនី​ទទួល​បាន")</f>
        <v/>
      </c>
      <c r="E1408" s="3" t="inlineStr">
        <is>
          <t>ត្រូវប្រមូល</t>
        </is>
      </c>
      <c r="F1408" s="217" t="inlineStr">
        <is>
          <t>v</t>
        </is>
      </c>
      <c r="G1408" s="217" t="inlineStr">
        <is>
          <t>ត្រូវប្រមូល</t>
        </is>
      </c>
      <c r="H1408" t="inlineStr">
        <is>
          <t>ត្រូវប្រមូល</t>
        </is>
      </c>
      <c r="I1408" s="74" t="n"/>
      <c r="J1408" s="217" t="inlineStr">
        <is>
          <t>"codEmployee.cod": "Accounts Receivable",</t>
        </is>
      </c>
    </row>
    <row r="1409" ht="15.75" customHeight="1" s="305">
      <c r="A1409" s="67" t="inlineStr">
        <is>
          <t>codEmployee.confirmError</t>
        </is>
      </c>
      <c r="B1409" s="67" t="inlineStr">
        <is>
          <t>Chỉ user tạo bảng kê mới có quyền thực hiện thao tác này</t>
        </is>
      </c>
      <c r="C1409" s="67">
        <f>IFERROR(__xludf.DUMMYFUNCTION("GOOGLETRANSLATE(B1409,""vi"",""en"")"),"Only the user who created the statement has the right to perform this operation.")</f>
        <v/>
      </c>
      <c r="D1409" s="3">
        <f>IFERROR(__xludf.DUMMYFUNCTION("GOOGLETRANSLATE(B1409,""vi"",""km"")"),"មានតែអ្នកប្រើប្រាស់ដែលបានបង្កើតសេចក្តីថ្លែងការណ៍ប៉ុណ្ណោះដែលមានសិទ្ធិអនុវត្តប្រតិបត្តិការនេះ។")</f>
        <v/>
      </c>
      <c r="E1409" s="3" t="inlineStr">
        <is>
          <t>មានតែម្ចាស់គណនីទើបមានសិទ្ធិអនុវត្តប្រតិបត្តិការនេះ</t>
        </is>
      </c>
      <c r="F1409" s="217" t="inlineStr">
        <is>
          <t>x</t>
        </is>
      </c>
      <c r="G1409" s="217" t="inlineStr">
        <is>
          <t>មានតែម្ចាស់គណនីទើបមានសិទ្ធិអនុវត្តប្រតិបត្តិការនេះ</t>
        </is>
      </c>
      <c r="H1409" t="inlineStr">
        <is>
          <t>មានតែម្ចាស់គណនីទើបមានសិទ្ធិអនុវត្តប្រតិបត្តិការនេះ</t>
        </is>
      </c>
      <c r="I1409" s="74" t="n"/>
      <c r="J1409" s="217" t="inlineStr">
        <is>
          <t>"codEmployee.confirmError": "Only the user who created the statement has the right to perform this operation.",</t>
        </is>
      </c>
    </row>
    <row r="1410" ht="15.75" customHeight="1" s="305">
      <c r="A1410" s="67" t="inlineStr">
        <is>
          <t>codEmployee.emptyBill</t>
        </is>
      </c>
      <c r="B1410" s="67" t="inlineStr">
        <is>
          <t>Không tìm thấy mã vận đơn phù hợp</t>
        </is>
      </c>
      <c r="C1410" s="67">
        <f>IFERROR(__xludf.DUMMYFUNCTION("GOOGLETRANSLATE(B1410,""vi"",""en"")"),"No matching tracking number found.")</f>
        <v/>
      </c>
      <c r="D1410" s="3">
        <f>IFERROR(__xludf.DUMMYFUNCTION("GOOGLETRANSLATE(B1410,""vi"",""km"")"),"រកមិនឃើញលេខតាមដានដែលត្រូវគ្នាទេ។")</f>
        <v/>
      </c>
      <c r="E1410" s="3" t="inlineStr">
        <is>
          <t>មិនអាចស្វែងរកកូដបុងអីវ៉ាន់ដែលសមស្របបាន</t>
        </is>
      </c>
      <c r="F1410" s="217" t="inlineStr">
        <is>
          <t>v</t>
        </is>
      </c>
      <c r="G1410" s="217" t="inlineStr">
        <is>
          <t>មិនអាចស្វែងរកកូដបុងអីវ៉ាន់ដែលសមស្របបាន</t>
        </is>
      </c>
      <c r="H1410" t="inlineStr">
        <is>
          <t>មិនអាចស្វែងរកកូដបុងអីវ៉ាន់ដែលសមស្របបាន</t>
        </is>
      </c>
      <c r="I1410" s="74" t="n"/>
      <c r="J1410" s="217" t="inlineStr">
        <is>
          <t>"codEmployee.emptyBill": "No matching tracking number found.",</t>
        </is>
      </c>
    </row>
    <row r="1411" ht="15.75" customHeight="1" s="305">
      <c r="A1411" s="67" t="inlineStr">
        <is>
          <t>codEmployee.codEmptyBill</t>
        </is>
      </c>
      <c r="B1411" s="67" t="inlineStr">
        <is>
          <t>Bảng kê không còn mã vận đơn nào</t>
        </is>
      </c>
      <c r="C1411" s="67">
        <f>IFERROR(__xludf.DUMMYFUNCTION("GOOGLETRANSLATE(B1411,""vi"",""en"")"),"The invoice no longer contains any tracking numbers.")</f>
        <v/>
      </c>
      <c r="D1411" s="3">
        <f>IFERROR(__xludf.DUMMYFUNCTION("GOOGLETRANSLATE(B1411,""vi"",""km"")"),"វិក្កយបត្រលែងមានលេខតាមដានទៀតហើយ។")</f>
        <v/>
      </c>
      <c r="E1411" s="3" t="inlineStr">
        <is>
          <t>ក្នុងតារាងមិនមានកូដបុងបញ្ញើណាមួយឡើយ</t>
        </is>
      </c>
      <c r="F1411" s="217" t="inlineStr">
        <is>
          <t>v</t>
        </is>
      </c>
      <c r="G1411" s="217" t="inlineStr">
        <is>
          <t>ក្នុងតារាងមិនមានកូដបុងបញ្ញើណាមួយឡើយ</t>
        </is>
      </c>
      <c r="H1411" t="inlineStr">
        <is>
          <t>ក្នុងតារាងមិនមានកូដបុងបញ្ញើណាមួយឡើយ</t>
        </is>
      </c>
      <c r="I1411" s="74" t="n"/>
      <c r="J1411" s="217" t="inlineStr">
        <is>
          <t>"codEmployee.codEmptyBill": "The invoice no longer contains any tracking numbers.",</t>
        </is>
      </c>
    </row>
    <row r="1412" ht="15.75" customHeight="1" s="305">
      <c r="A1412" s="67" t="inlineStr">
        <is>
          <t>codEmployee.addBill</t>
        </is>
      </c>
      <c r="B1412" s="67" t="inlineStr">
        <is>
          <t>Thêm đơn vào bảng kê thành công</t>
        </is>
      </c>
      <c r="C1412" s="67">
        <f>IFERROR(__xludf.DUMMYFUNCTION("GOOGLETRANSLATE(B1412,""vi"",""en"")"),"Order added to list successfully")</f>
        <v/>
      </c>
      <c r="D1412" s="3">
        <f>IFERROR(__xludf.DUMMYFUNCTION("GOOGLETRANSLATE(B1412,""vi"",""km"")"),"បានបន្ថែមការបញ្ជាទិញទៅក្នុងបញ្ជីដោយជោគជ័យ")</f>
        <v/>
      </c>
      <c r="E1412" s="3" t="inlineStr">
        <is>
          <t>បន្ថែមបុងចូលក្នុងតារាងបានជោកជ័យ</t>
        </is>
      </c>
      <c r="F1412" s="217" t="inlineStr">
        <is>
          <t>v</t>
        </is>
      </c>
      <c r="G1412" s="217" t="inlineStr">
        <is>
          <t>បន្ថែមបុងចូលក្នុងតារាងបានជោកជ័យ</t>
        </is>
      </c>
      <c r="H1412" t="inlineStr">
        <is>
          <t>បន្ថែមបុងចូលក្នុងតារាងបានជោកជ័យ</t>
        </is>
      </c>
      <c r="I1412" s="74" t="n"/>
      <c r="J1412" s="217" t="inlineStr">
        <is>
          <t>"codEmployee.addBill": "Order added to list successfully",</t>
        </is>
      </c>
    </row>
    <row r="1413" ht="15.75" customHeight="1" s="305">
      <c r="A1413" s="67" t="inlineStr">
        <is>
          <t>codEmployee.deleteBill</t>
        </is>
      </c>
      <c r="B1413" s="67" t="inlineStr">
        <is>
          <t>Xoá đơn khỏi bảng kê thành công</t>
        </is>
      </c>
      <c r="C1413" s="67">
        <f>IFERROR(__xludf.DUMMYFUNCTION("GOOGLETRANSLATE(B1413,""vi"",""en"")"),"The invoice has been successfully removed from the statement.")</f>
        <v/>
      </c>
      <c r="D1413" s="3">
        <f>IFERROR(__xludf.DUMMYFUNCTION("GOOGLETRANSLATE(B1413,""vi"",""km"")"),"វិក្កយបត្រត្រូវបានដកចេញពីរបាយការណ៍ដោយជោគជ័យ។")</f>
        <v/>
      </c>
      <c r="E1413" s="3" t="inlineStr">
        <is>
          <t>លុបបុងពីតារាងបានជោគជ័យ</t>
        </is>
      </c>
      <c r="F1413" s="217" t="inlineStr">
        <is>
          <t>v</t>
        </is>
      </c>
      <c r="G1413" s="217" t="inlineStr">
        <is>
          <t>លុបបុងពីតារាងបានជោគជ័យ</t>
        </is>
      </c>
      <c r="H1413" t="inlineStr">
        <is>
          <t>លុបបុងពីតារាងបានជោគជ័យ</t>
        </is>
      </c>
      <c r="I1413" s="74" t="n"/>
      <c r="J1413" s="217" t="inlineStr">
        <is>
          <t>"codEmployee.deleteBill": "The invoice has been successfully removed from the statement.",</t>
        </is>
      </c>
    </row>
    <row r="1414" ht="15.75" customHeight="1" s="305">
      <c r="A1414" s="67" t="inlineStr">
        <is>
          <t>codEmployee.success</t>
        </is>
      </c>
      <c r="B1414" s="67" t="inlineStr">
        <is>
          <t>thành công</t>
        </is>
      </c>
      <c r="C1414" s="67">
        <f>IFERROR(__xludf.DUMMYFUNCTION("GOOGLETRANSLATE(B1414,""vi"",""en"")"),"success")</f>
        <v/>
      </c>
      <c r="D1414" s="3">
        <f>IFERROR(__xludf.DUMMYFUNCTION("GOOGLETRANSLATE(B1414,""vi"",""km"")"),"ភាពជោគជ័យ")</f>
        <v/>
      </c>
      <c r="E1414" s="3" t="inlineStr">
        <is>
          <t>ជោគជ័យ</t>
        </is>
      </c>
      <c r="F1414" s="217" t="inlineStr">
        <is>
          <t>v</t>
        </is>
      </c>
      <c r="G1414" s="217" t="inlineStr">
        <is>
          <t>ជោគជ័យ</t>
        </is>
      </c>
      <c r="H1414" t="inlineStr">
        <is>
          <t>ជោគជ័យ</t>
        </is>
      </c>
      <c r="I1414" s="74" t="n"/>
      <c r="J1414" s="217" t="inlineStr">
        <is>
          <t>"codEmployee.success": "success",</t>
        </is>
      </c>
    </row>
    <row r="1415" ht="15.75" customHeight="1" s="305">
      <c r="A1415" s="67" t="inlineStr">
        <is>
          <t>codEmployee.copy</t>
        </is>
      </c>
      <c r="B1415" s="67" t="inlineStr">
        <is>
          <t>Sao chép mã bảng kê thành công</t>
        </is>
      </c>
      <c r="C1415" s="67">
        <f>IFERROR(__xludf.DUMMYFUNCTION("GOOGLETRANSLATE(B1415,""vi"",""en"")"),"The statement code was copied successfully.")</f>
        <v/>
      </c>
      <c r="D1415" s="3">
        <f>IFERROR(__xludf.DUMMYFUNCTION("GOOGLETRANSLATE(B1415,""vi"",""km"")"),"កូដ​សេចក្តីថ្លែងការណ៍​ត្រូវបានចម្លងដោយជោគជ័យ។")</f>
        <v/>
      </c>
      <c r="E1415" s="3" t="inlineStr">
        <is>
          <t>ចម្លងលេខកូដពីតារាងបានជោគជ័យ</t>
        </is>
      </c>
      <c r="F1415" s="217" t="inlineStr">
        <is>
          <t>x</t>
        </is>
      </c>
      <c r="G1415" s="217" t="inlineStr">
        <is>
          <t>ចម្លងលេខកូដពីតារាងបានជោគជ័យ</t>
        </is>
      </c>
      <c r="H1415" t="inlineStr">
        <is>
          <t>ចម្លងលេខកូដពីតារាងបានជោគជ័យ</t>
        </is>
      </c>
      <c r="I1415" s="74" t="n"/>
      <c r="J1415" s="217" t="inlineStr">
        <is>
          <t>"codEmployee.copy": "The statement code was copied successfully.",</t>
        </is>
      </c>
    </row>
    <row r="1416" ht="15.75" customHeight="1" s="305">
      <c r="A1416" s="67" t="inlineStr">
        <is>
          <t>codEmployee.confirmSuccess</t>
        </is>
      </c>
      <c r="B1416" s="67" t="inlineStr">
        <is>
          <t>Chốt thu bảng kê thành công</t>
        </is>
      </c>
      <c r="C1416" s="67">
        <f>IFERROR(__xludf.DUMMYFUNCTION("GOOGLETRANSLATE(B1416,""vi"",""en"")"),"The final settlement statement was successfully completed.")</f>
        <v/>
      </c>
      <c r="D1416" s="3">
        <f>IFERROR(__xludf.DUMMYFUNCTION("GOOGLETRANSLATE(B1416,""vi"",""km"")"),"សេចក្តីថ្លែងការណ៍ទូទាត់ចុងក្រោយត្រូវបានបញ្ចប់ដោយជោគជ័យ។")</f>
        <v/>
      </c>
      <c r="E1416" s="3" t="inlineStr">
        <is>
          <t>ប្រមូលតារាងបានជោគជ័យ</t>
        </is>
      </c>
      <c r="F1416" s="217" t="inlineStr">
        <is>
          <t>x</t>
        </is>
      </c>
      <c r="G1416" s="217" t="inlineStr">
        <is>
          <t>ប្រមូលតារាងបានជោគជ័យ</t>
        </is>
      </c>
      <c r="H1416" t="inlineStr">
        <is>
          <t>ប្រមូលតារាងបានជោគជ័យ</t>
        </is>
      </c>
      <c r="I1416" s="74" t="n"/>
      <c r="J1416" s="217" t="inlineStr">
        <is>
          <t>"codEmployee.confirmSuccess": "The final settlement statement was successfully completed.",</t>
        </is>
      </c>
    </row>
    <row r="1417" ht="15.75" customHeight="1" s="305">
      <c r="A1417" s="67" t="inlineStr">
        <is>
          <t>codEmployee.deleteSuccess</t>
        </is>
      </c>
      <c r="B1417" s="67" t="inlineStr">
        <is>
          <t>Xoá bảng kê thành công</t>
        </is>
      </c>
      <c r="C1417" s="67">
        <f>IFERROR(__xludf.DUMMYFUNCTION("GOOGLETRANSLATE(B1417,""vi"",""en"")"),"Statement deleted successfully.")</f>
        <v/>
      </c>
      <c r="D1417" s="3">
        <f>IFERROR(__xludf.DUMMYFUNCTION("GOOGLETRANSLATE(B1417,""vi"",""km"")"),"បានលុបសេចក្តីថ្លែងការណ៍ដោយជោគជ័យ។")</f>
        <v/>
      </c>
      <c r="E1417" s="3" t="inlineStr">
        <is>
          <t>តារាងត្រូវបានលុបដោយជោគជ័យ</t>
        </is>
      </c>
      <c r="F1417" s="217" t="inlineStr">
        <is>
          <t>x</t>
        </is>
      </c>
      <c r="G1417" s="217" t="inlineStr">
        <is>
          <t>តារាងត្រូវបានលុបដោយជោគជ័យ</t>
        </is>
      </c>
      <c r="H1417" t="inlineStr">
        <is>
          <t>តារាងត្រូវបានលុបដោយជោគជ័យ</t>
        </is>
      </c>
      <c r="I1417" s="74" t="n"/>
      <c r="J1417" s="217" t="inlineStr">
        <is>
          <t>"codEmployee.deleteSuccess": "Statement deleted successfully.",</t>
        </is>
      </c>
    </row>
    <row r="1418" ht="15.75" customHeight="1" s="305">
      <c r="A1418" s="67" t="inlineStr">
        <is>
          <t>codEmployee.excelSuccess</t>
        </is>
      </c>
      <c r="B1418" s="67" t="inlineStr">
        <is>
          <t>Xuất Excel thành công</t>
        </is>
      </c>
      <c r="C1418" s="67">
        <f>IFERROR(__xludf.DUMMYFUNCTION("GOOGLETRANSLATE(B1418,""vi"",""en"")"),"Export to Excel successfully")</f>
        <v/>
      </c>
      <c r="D1418" s="3">
        <f>IFERROR(__xludf.DUMMYFUNCTION("GOOGLETRANSLATE(B1418,""vi"",""km"")"),"នាំចេញទៅ Excel ដោយជោគជ័យ")</f>
        <v/>
      </c>
      <c r="E1418" s="3" t="inlineStr">
        <is>
          <t>ចេញ Excel ដោយជោគជ័យ</t>
        </is>
      </c>
      <c r="F1418" s="217" t="inlineStr">
        <is>
          <t>x</t>
        </is>
      </c>
      <c r="G1418" s="217" t="inlineStr">
        <is>
          <t>ចេញ Excel ដោយជោគជ័យ</t>
        </is>
      </c>
      <c r="H1418" t="inlineStr">
        <is>
          <t>ចេញ Excel ដោយជោគជ័យ</t>
        </is>
      </c>
      <c r="I1418" s="74" t="n"/>
      <c r="J1418" s="217" t="inlineStr">
        <is>
          <t>"codEmployee.excelSuccess": "Export to Excel successfully",</t>
        </is>
      </c>
    </row>
    <row r="1419" ht="15.75" customHeight="1" s="305">
      <c r="A1419" s="67" t="inlineStr">
        <is>
          <t>codEmployee.confirmDoneCod</t>
        </is>
      </c>
      <c r="B1419" s="67" t="inlineStr">
        <is>
          <t>Xác nhận thu tiền</t>
        </is>
      </c>
      <c r="C1419" s="67">
        <f>IFERROR(__xludf.DUMMYFUNCTION("GOOGLETRANSLATE(B1419,""vi"",""en"")"),"Confirm payment")</f>
        <v/>
      </c>
      <c r="D1419" s="3">
        <f>IFERROR(__xludf.DUMMYFUNCTION("GOOGLETRANSLATE(B1419,""vi"",""km"")"),"បញ្ជាក់ការទូទាត់")</f>
        <v/>
      </c>
      <c r="E1419" s="3" t="inlineStr">
        <is>
          <t>បញ្ជាក់ទទួលលុយបានជោគជ័យ</t>
        </is>
      </c>
      <c r="F1419" s="217" t="inlineStr">
        <is>
          <t>v</t>
        </is>
      </c>
      <c r="G1419" s="217" t="inlineStr">
        <is>
          <t>បញ្ជាក់ទទួលលុយបានជោគជ័យ</t>
        </is>
      </c>
      <c r="H1419" t="inlineStr">
        <is>
          <t>បញ្ជាក់ទទួលលុយបានជោគជ័យ</t>
        </is>
      </c>
      <c r="I1419" s="74" t="n"/>
      <c r="J1419" s="217" t="inlineStr">
        <is>
          <t>"codEmployee.confirmDoneCod": "Confirm payment",</t>
        </is>
      </c>
    </row>
    <row r="1420" ht="15.75" customHeight="1" s="305">
      <c r="A1420" s="67" t="inlineStr">
        <is>
          <t>codEmployee.confirmCod</t>
        </is>
      </c>
      <c r="B1420" s="67" t="inlineStr">
        <is>
          <t>Xác nhận nộp số tiền</t>
        </is>
      </c>
      <c r="C1420" s="67">
        <f>IFERROR(__xludf.DUMMYFUNCTION("GOOGLETRANSLATE(B1420,""vi"",""en"")"),"Confirm payment of the amount")</f>
        <v/>
      </c>
      <c r="D1420" s="3">
        <f>IFERROR(__xludf.DUMMYFUNCTION("GOOGLETRANSLATE(B1420,""vi"",""km"")"),"បញ្ជាក់ការទូទាត់ចំនួនទឹកប្រាក់")</f>
        <v/>
      </c>
      <c r="E1420" s="3" t="inlineStr">
        <is>
          <t>បញ្ជាក់ការបញ្ចូលចំនួនទឹកប្រាក់</t>
        </is>
      </c>
      <c r="F1420" s="217" t="inlineStr">
        <is>
          <t>v</t>
        </is>
      </c>
      <c r="G1420" s="217" t="inlineStr">
        <is>
          <t>បញ្ជាក់ការបញ្ចូលចំនួនទឹកប្រាក់</t>
        </is>
      </c>
      <c r="H1420" t="inlineStr">
        <is>
          <t>បញ្ជាក់ការបញ្ចូលចំនួនទឹកប្រាក់</t>
        </is>
      </c>
      <c r="I1420" s="74" t="n"/>
      <c r="J1420" s="217" t="inlineStr">
        <is>
          <t>"codEmployee.confirmCod": "Confirm payment of the amount",</t>
        </is>
      </c>
    </row>
    <row r="1421" ht="15.75" customHeight="1" s="305">
      <c r="A1421" s="67" t="inlineStr">
        <is>
          <t>codEmployee.forCod</t>
        </is>
      </c>
      <c r="B1421" s="67" t="inlineStr">
        <is>
          <t>cho bảng kê</t>
        </is>
      </c>
      <c r="C1421" s="67">
        <f>IFERROR(__xludf.DUMMYFUNCTION("GOOGLETRANSLATE(B1421,""vi"",""en"")"),"for the statement")</f>
        <v/>
      </c>
      <c r="D1421" s="3">
        <f>IFERROR(__xludf.DUMMYFUNCTION("GOOGLETRANSLATE(B1421,""vi"",""km"")"),"ចំពោះសេចក្តីថ្លែងការណ៍")</f>
        <v/>
      </c>
      <c r="E1421" s="3" t="inlineStr">
        <is>
          <t>សម្រាប់តារាង</t>
        </is>
      </c>
      <c r="F1421" s="217" t="inlineStr">
        <is>
          <t>v</t>
        </is>
      </c>
      <c r="G1421" s="217" t="inlineStr">
        <is>
          <t>សម្រាប់តារាង</t>
        </is>
      </c>
      <c r="H1421" t="inlineStr">
        <is>
          <t>សម្រាប់តារាង</t>
        </is>
      </c>
      <c r="I1421" s="74" t="n"/>
      <c r="J1421" s="217" t="inlineStr">
        <is>
          <t>"codEmployee.forCod": "for the statement",</t>
        </is>
      </c>
    </row>
    <row r="1422" ht="15.75" customHeight="1" s="305">
      <c r="A1422" s="67" t="inlineStr">
        <is>
          <t>codEmployee.confirmCodSuccess</t>
        </is>
      </c>
      <c r="B1422" s="67" t="inlineStr">
        <is>
          <t>Xác nhận tiền về thành công</t>
        </is>
      </c>
      <c r="C1422" s="67">
        <f>IFERROR(__xludf.DUMMYFUNCTION("GOOGLETRANSLATE(B1422,""vi"",""en"")"),"Money received successfully confirmed.")</f>
        <v/>
      </c>
      <c r="D1422" s="3">
        <f>IFERROR(__xludf.DUMMYFUNCTION("GOOGLETRANSLATE(B1422,""vi"",""km"")"),"ប្រាក់ដែលបានទទួលត្រូវបានបញ្ជាក់ដោយជោគជ័យ។")</f>
        <v/>
      </c>
      <c r="E1422" s="3" t="inlineStr">
        <is>
          <t>បញ្ជាក់ទឹកប្រាក់ត្រលប់បានជោគជ័យ</t>
        </is>
      </c>
      <c r="F1422" s="217" t="inlineStr">
        <is>
          <t>v</t>
        </is>
      </c>
      <c r="G1422" s="217" t="inlineStr">
        <is>
          <t>បញ្ជាក់ទឹកប្រាក់ត្រលប់បានជោគជ័យ</t>
        </is>
      </c>
      <c r="H1422" t="inlineStr">
        <is>
          <t>បញ្ជាក់ទឹកប្រាក់ត្រលប់បានជោគជ័យ</t>
        </is>
      </c>
      <c r="I1422" s="74" t="n"/>
      <c r="J1422" s="217" t="inlineStr">
        <is>
          <t>"codEmployee.confirmCodSuccess": "Money received successfully confirmed.",</t>
        </is>
      </c>
    </row>
    <row r="1423" ht="15.75" customHeight="1" s="305">
      <c r="A1423" s="67" t="inlineStr">
        <is>
          <t>codEmployee.staffDebt</t>
        </is>
      </c>
      <c r="B1423" s="67" t="inlineStr">
        <is>
          <t>Danh sách chưa nộp tiền</t>
        </is>
      </c>
      <c r="C1423" s="67">
        <f>IFERROR(__xludf.DUMMYFUNCTION("GOOGLETRANSLATE(B1423,""vi"",""en"")"),"List of unpaid bills")</f>
        <v/>
      </c>
      <c r="D1423" s="3">
        <f>IFERROR(__xludf.DUMMYFUNCTION("GOOGLETRANSLATE(B1423,""vi"",""km"")"),"បញ្ជីវិក្កយបត្រដែលមិនទាន់បានបង់")</f>
        <v/>
      </c>
      <c r="E1423" s="3" t="inlineStr">
        <is>
          <t>បញ្ជីដែលមិនទាន់បានបង់</t>
        </is>
      </c>
      <c r="F1423" s="217" t="inlineStr">
        <is>
          <t>v</t>
        </is>
      </c>
      <c r="G1423" s="217" t="inlineStr">
        <is>
          <t>បញ្ជីដែលមិនទាន់បានបង់</t>
        </is>
      </c>
      <c r="H1423" t="inlineStr">
        <is>
          <t>បញ្ជីដែលមិនទាន់បានបង់</t>
        </is>
      </c>
      <c r="I1423" s="74" t="n"/>
      <c r="J1423" s="217" t="inlineStr">
        <is>
          <t>"codEmployee.staffDebt": "List of unpaid bills",</t>
        </is>
      </c>
    </row>
    <row r="1424" ht="15.75" customHeight="1" s="305">
      <c r="A1424" s="67" t="inlineStr">
        <is>
          <t>codEmployee.staffCod</t>
        </is>
      </c>
      <c r="B1424" s="67" t="inlineStr">
        <is>
          <t>Xác nhận tiền về</t>
        </is>
      </c>
      <c r="C1424" s="67">
        <f>IFERROR(__xludf.DUMMYFUNCTION("GOOGLETRANSLATE(B1424,""vi"",""en"")"),"Confirm receipt of funds")</f>
        <v/>
      </c>
      <c r="D1424" s="3">
        <f>IFERROR(__xludf.DUMMYFUNCTION("GOOGLETRANSLATE(B1424,""vi"",""km"")"),"បញ្ជាក់ការទទួលប្រាក់")</f>
        <v/>
      </c>
      <c r="E1424" s="3" t="inlineStr">
        <is>
          <t>បញ្ជាក់ប្រាក់ត្រលប់</t>
        </is>
      </c>
      <c r="F1424" s="217" t="inlineStr">
        <is>
          <t>v</t>
        </is>
      </c>
      <c r="G1424" s="217" t="inlineStr">
        <is>
          <t>បញ្ជាក់ប្រាក់ត្រលប់</t>
        </is>
      </c>
      <c r="H1424" t="inlineStr">
        <is>
          <t>បញ្ជាក់ប្រាក់ត្រលប់</t>
        </is>
      </c>
      <c r="I1424" s="74" t="n"/>
      <c r="J1424" s="217" t="inlineStr">
        <is>
          <t>"codEmployee.staffCod": "Confirm receipt of funds",</t>
        </is>
      </c>
    </row>
    <row r="1425" ht="15.75" customHeight="1" s="305">
      <c r="A1425" s="67" t="inlineStr">
        <is>
          <t>codEmployee.codIdLevel2</t>
        </is>
      </c>
      <c r="B1425" s="67" t="inlineStr">
        <is>
          <t>Mã bảng kê cấp 2</t>
        </is>
      </c>
      <c r="C1425" s="67">
        <f>IFERROR(__xludf.DUMMYFUNCTION("GOOGLETRANSLATE(B1425,""vi"",""en"")"),"Level 2 Invoice Code")</f>
        <v/>
      </c>
      <c r="D1425" s="3">
        <f>IFERROR(__xludf.DUMMYFUNCTION("GOOGLETRANSLATE(B1425,""vi"",""km"")"),"លេខកូដវិក្កយបត្រកម្រិត 2")</f>
        <v/>
      </c>
      <c r="E1425" s="3" t="inlineStr">
        <is>
          <t>លេខកូដតារាងកម្រិត 2</t>
        </is>
      </c>
      <c r="F1425" s="217" t="inlineStr">
        <is>
          <t>v</t>
        </is>
      </c>
      <c r="G1425" s="217" t="inlineStr">
        <is>
          <t>លេខកូដតារាងកម្រិត 2</t>
        </is>
      </c>
      <c r="H1425" t="inlineStr">
        <is>
          <t>លេខកូដតារាងកម្រិត 2</t>
        </is>
      </c>
      <c r="I1425" s="74" t="n"/>
      <c r="J1425" s="217" t="inlineStr">
        <is>
          <t>"codEmployee.codIdLevel2": "Level 2 Invoice Code",</t>
        </is>
      </c>
    </row>
    <row r="1426" ht="15.75" customHeight="1" s="305">
      <c r="A1426" s="67" t="inlineStr">
        <is>
          <t>codEmployee.confirmLevel2</t>
        </is>
      </c>
      <c r="B1426" s="67" t="inlineStr">
        <is>
          <t>Nộp tiền</t>
        </is>
      </c>
      <c r="C1426" s="67">
        <f>IFERROR(__xludf.DUMMYFUNCTION("GOOGLETRANSLATE(B1426,""vi"",""en"")"),"Pay")</f>
        <v/>
      </c>
      <c r="D1426" s="3">
        <f>IFERROR(__xludf.DUMMYFUNCTION("GOOGLETRANSLATE(B1426,""vi"",""km"")"),"បង់ប្រាក់")</f>
        <v/>
      </c>
      <c r="E1426" s="3" t="inlineStr">
        <is>
          <t>បញ្ចូលលុយ</t>
        </is>
      </c>
      <c r="F1426" s="217" t="inlineStr">
        <is>
          <t>v</t>
        </is>
      </c>
      <c r="G1426" s="217" t="inlineStr">
        <is>
          <t>បញ្ចូលលុយ</t>
        </is>
      </c>
      <c r="H1426" t="inlineStr">
        <is>
          <t>បញ្ចូលលុយ</t>
        </is>
      </c>
      <c r="I1426" s="74" t="n"/>
      <c r="J1426" s="217" t="inlineStr">
        <is>
          <t>"codEmployee.confirmLevel2": "Pay",</t>
        </is>
      </c>
    </row>
    <row r="1427" ht="15.75" customHeight="1" s="305">
      <c r="A1427" s="67" t="inlineStr">
        <is>
          <t>codEmployee.createDate</t>
        </is>
      </c>
      <c r="B1427" s="67" t="inlineStr">
        <is>
          <t>Ngày tạo</t>
        </is>
      </c>
      <c r="C1427" s="67">
        <f>IFERROR(__xludf.DUMMYFUNCTION("GOOGLETRANSLATE(B1427,""vi"",""en"")"),"Creation date")</f>
        <v/>
      </c>
      <c r="D1427" s="3">
        <f>IFERROR(__xludf.DUMMYFUNCTION("GOOGLETRANSLATE(B1427,""vi"",""km"")"),"កាលបរិច្ឆេទបង្កើត")</f>
        <v/>
      </c>
      <c r="E1427" s="3" t="inlineStr">
        <is>
          <t>ថ្ងៃបង្កើត</t>
        </is>
      </c>
      <c r="F1427" s="217" t="inlineStr">
        <is>
          <t>v</t>
        </is>
      </c>
      <c r="G1427" s="217" t="inlineStr">
        <is>
          <t>កាលបរិច្ឆេទបង្កើត</t>
        </is>
      </c>
      <c r="H1427" t="inlineStr">
        <is>
          <t>កាលបរិច្ឆេទបង្កើត</t>
        </is>
      </c>
      <c r="I1427" s="74" t="n"/>
      <c r="J1427" s="217" t="inlineStr">
        <is>
          <t>"codEmployee.createDate": "Creation date",</t>
        </is>
      </c>
    </row>
    <row r="1428" ht="15.75" customHeight="1" s="305">
      <c r="A1428" s="67" t="inlineStr">
        <is>
          <t>codEmployee.startDate</t>
        </is>
      </c>
      <c r="B1428" s="67" t="inlineStr">
        <is>
          <t>Từ ngày</t>
        </is>
      </c>
      <c r="C1428" s="67">
        <f>IFERROR(__xludf.DUMMYFUNCTION("GOOGLETRANSLATE(B1428,""vi"",""en"")"),"From date")</f>
        <v/>
      </c>
      <c r="D1428" s="3">
        <f>IFERROR(__xludf.DUMMYFUNCTION("GOOGLETRANSLATE(B1428,""vi"",""km"")"),"ចាប់ពីកាលបរិច្ឆេទ")</f>
        <v/>
      </c>
      <c r="E1428" s="3" t="inlineStr">
        <is>
          <t>ចាប់ពីថ្ងៃ</t>
        </is>
      </c>
      <c r="F1428" s="217" t="inlineStr">
        <is>
          <t>v</t>
        </is>
      </c>
      <c r="G1428" s="217" t="inlineStr">
        <is>
          <t>ចាប់ពីថ្ងៃ</t>
        </is>
      </c>
      <c r="H1428" t="inlineStr">
        <is>
          <t>ចាប់ពីថ្ងៃ</t>
        </is>
      </c>
      <c r="I1428" s="74" t="n"/>
      <c r="J1428" s="217" t="inlineStr">
        <is>
          <t>"codEmployee.startDate": "From date",</t>
        </is>
      </c>
    </row>
    <row r="1429" ht="15.75" customHeight="1" s="305">
      <c r="A1429" s="67" t="inlineStr">
        <is>
          <t>codEmployee.endDate</t>
        </is>
      </c>
      <c r="B1429" s="67" t="inlineStr">
        <is>
          <t>Đến ngày</t>
        </is>
      </c>
      <c r="C1429" s="67">
        <f>IFERROR(__xludf.DUMMYFUNCTION("GOOGLETRANSLATE(B1429,""vi"",""en"")"),"Until the day")</f>
        <v/>
      </c>
      <c r="D1429" s="3">
        <f>IFERROR(__xludf.DUMMYFUNCTION("GOOGLETRANSLATE(B1429,""vi"",""km"")"),"រហូតដល់ថ្ងៃ")</f>
        <v/>
      </c>
      <c r="E1429" s="3" t="inlineStr">
        <is>
          <t>រហូតដល់ថ្ងៃ</t>
        </is>
      </c>
      <c r="F1429" s="217" t="inlineStr">
        <is>
          <t>v</t>
        </is>
      </c>
      <c r="G1429" s="217" t="inlineStr">
        <is>
          <t>រហូតដល់ថ្ងៃ</t>
        </is>
      </c>
      <c r="H1429" t="inlineStr">
        <is>
          <t>រហូតដល់ថ្ងៃ</t>
        </is>
      </c>
      <c r="I1429" s="74" t="n"/>
      <c r="J1429" s="217" t="inlineStr">
        <is>
          <t>"codEmployee.endDate": "Until the day",</t>
        </is>
      </c>
    </row>
    <row r="1430" ht="15.75" customHeight="1" s="305">
      <c r="A1430" s="67" t="inlineStr">
        <is>
          <t>codEmployee.staff</t>
        </is>
      </c>
      <c r="B1430" s="67" t="inlineStr">
        <is>
          <t>Nhân viên</t>
        </is>
      </c>
      <c r="C1430" s="67">
        <f>IFERROR(__xludf.DUMMYFUNCTION("GOOGLETRANSLATE(B1430,""vi"",""en"")"),"Staff")</f>
        <v/>
      </c>
      <c r="D1430" s="3">
        <f>IFERROR(__xludf.DUMMYFUNCTION("GOOGLETRANSLATE(B1430,""vi"",""km"")"),"បុគ្គលិក")</f>
        <v/>
      </c>
      <c r="E1430" s="3" t="inlineStr">
        <is>
          <t>បុគ្គលិក</t>
        </is>
      </c>
      <c r="F1430" s="217" t="inlineStr">
        <is>
          <t>v</t>
        </is>
      </c>
      <c r="G1430" s="217" t="inlineStr">
        <is>
          <t>បុគ្គលិក</t>
        </is>
      </c>
      <c r="H1430" t="inlineStr">
        <is>
          <t>បុគ្គលិក</t>
        </is>
      </c>
      <c r="I1430" s="74" t="n"/>
      <c r="J1430" s="217" t="inlineStr">
        <is>
          <t>"codEmployee.staff": "Staff",</t>
        </is>
      </c>
    </row>
    <row r="1431" ht="15.75" customHeight="1" s="305">
      <c r="A1431" s="67" t="inlineStr">
        <is>
          <t>codPrint.title</t>
        </is>
      </c>
      <c r="B1431" s="67" t="inlineStr">
        <is>
          <t>BẢNG KÊ THU TIỀN</t>
        </is>
      </c>
      <c r="C1431" s="67">
        <f>IFERROR(__xludf.DUMMYFUNCTION("GOOGLETRANSLATE(B1431,""vi"",""en"")"),"RECEIPT OF PAYMENTS")</f>
        <v/>
      </c>
      <c r="D1431" s="3">
        <f>IFERROR(__xludf.DUMMYFUNCTION("GOOGLETRANSLATE(B1431,""vi"",""km"")"),"បង្កាន់ដៃបង់ប្រាក់")</f>
        <v/>
      </c>
      <c r="E1431" s="3" t="inlineStr">
        <is>
          <t>តារាងប្រមូលប្រាក់</t>
        </is>
      </c>
      <c r="F1431" s="217" t="inlineStr">
        <is>
          <t>v</t>
        </is>
      </c>
      <c r="G1431" s="217" t="inlineStr">
        <is>
          <t>តារាងប្រមូលប្រាក់</t>
        </is>
      </c>
      <c r="H1431" t="inlineStr">
        <is>
          <t>តារាងប្រមូលប្រាក់</t>
        </is>
      </c>
      <c r="I1431" s="74" t="n"/>
      <c r="J1431" s="217" t="inlineStr">
        <is>
          <t>"codPrint.title": "RECEIPT OF PAYMENTS",</t>
        </is>
      </c>
    </row>
    <row r="1432" ht="15.75" customHeight="1" s="305">
      <c r="A1432" s="67" t="inlineStr">
        <is>
          <t>codPrint.datetime</t>
        </is>
      </c>
      <c r="B1432" s="67" t="inlineStr">
        <is>
          <t>Ngày {{date}} tháng {{month}} năm {{year}}</t>
        </is>
      </c>
      <c r="C1432" s="67">
        <f>IFERROR(__xludf.DUMMYFUNCTION("GOOGLETRANSLATE(B1432,""vi"",""en"")"),"Date {{date}} month {{month}} year {{year}}")</f>
        <v/>
      </c>
      <c r="D1432" s="3">
        <f>IFERROR(__xludf.DUMMYFUNCTION("GOOGLETRANSLATE(B1432,""vi"",""km"")"),"កាលបរិច្ឆេទ {{date}} ខែ {{month}} ឆ្នាំ {{year}}")</f>
        <v/>
      </c>
      <c r="E1432" s="3" t="inlineStr">
        <is>
          <t>កាលបរិច្ឆេទ {{date}} ខែ {{month}} ឆ្នាំ {{year}}</t>
        </is>
      </c>
      <c r="F1432" s="217" t="inlineStr">
        <is>
          <t>v</t>
        </is>
      </c>
      <c r="G1432" s="217" t="inlineStr">
        <is>
          <t>កាលបរិច្ឆេទ {{date}} ខែ {{month}} ឆ្នាំ {{year}}</t>
        </is>
      </c>
      <c r="H1432" t="inlineStr">
        <is>
          <t>កាលបរិច្ឆេទ {{date}} ខែ {{month}} ឆ្នាំ {{year}}</t>
        </is>
      </c>
      <c r="I1432" s="74" t="n"/>
      <c r="J1432" s="217" t="inlineStr">
        <is>
          <t>"codPrint.datetime": "Date {{date}} month {{month}} year {{year}}",</t>
        </is>
      </c>
    </row>
    <row r="1433" ht="15.75" customHeight="1" s="305">
      <c r="A1433" s="67" t="inlineStr">
        <is>
          <t>codPrint.hours</t>
        </is>
      </c>
      <c r="B1433" s="67" t="inlineStr">
        <is>
          <t>Giờ {{hours}}</t>
        </is>
      </c>
      <c r="C1433" s="67">
        <f>IFERROR(__xludf.DUMMYFUNCTION("GOOGLETRANSLATE(B1433,""vi"",""en"")"),"Hours")</f>
        <v/>
      </c>
      <c r="D1433" s="3">
        <f>IFERROR(__xludf.DUMMYFUNCTION("GOOGLETRANSLATE(B1433,""vi"",""km"")"),"ម៉ោង")</f>
        <v/>
      </c>
      <c r="E1433" s="3" t="inlineStr">
        <is>
          <t>ម៉ោង {{hours}}</t>
        </is>
      </c>
      <c r="F1433" s="217" t="inlineStr">
        <is>
          <t>v</t>
        </is>
      </c>
      <c r="G1433" s="217" t="inlineStr">
        <is>
          <t>ម៉ោង {{hours}}</t>
        </is>
      </c>
      <c r="H1433" t="inlineStr">
        <is>
          <t>ម៉ោង {{hours}}</t>
        </is>
      </c>
      <c r="I1433" s="74" t="n"/>
      <c r="J1433" s="217" t="inlineStr">
        <is>
          <t>"codPrint.hours": "Hours",</t>
        </is>
      </c>
    </row>
    <row r="1434" ht="15.75" customHeight="1" s="305">
      <c r="A1434" s="67" t="inlineStr">
        <is>
          <t>codPrint.postmanId</t>
        </is>
      </c>
      <c r="B1434" s="67" t="inlineStr">
        <is>
          <t>Mã bưu tá</t>
        </is>
      </c>
      <c r="C1434" s="67">
        <f>IFERROR(__xludf.DUMMYFUNCTION("GOOGLETRANSLATE(B1434,""vi"",""en"")"),"Postal Code")</f>
        <v/>
      </c>
      <c r="D1434" s="3">
        <f>IFERROR(__xludf.DUMMYFUNCTION("GOOGLETRANSLATE(B1434,""vi"",""km"")"),"លេខកូដប្រៃសណីយ៍")</f>
        <v/>
      </c>
      <c r="E1434" s="3" t="inlineStr">
        <is>
          <t>លេខកូដអ្នកដឹក</t>
        </is>
      </c>
      <c r="F1434" s="217" t="inlineStr">
        <is>
          <t>x</t>
        </is>
      </c>
      <c r="G1434" s="217" t="inlineStr">
        <is>
          <t>លេខកូដអ្នកដឹក</t>
        </is>
      </c>
      <c r="H1434" t="inlineStr">
        <is>
          <t>លេខកូដអ្នកដឹក</t>
        </is>
      </c>
      <c r="I1434" s="74" t="n"/>
      <c r="J1434" s="217" t="inlineStr">
        <is>
          <t>"codPrint.postmanId": "Postal Code",</t>
        </is>
      </c>
    </row>
    <row r="1435" ht="15.75" customHeight="1" s="305">
      <c r="A1435" s="67" t="inlineStr">
        <is>
          <t>codPrint.postnameName</t>
        </is>
      </c>
      <c r="B1435" s="67" t="inlineStr">
        <is>
          <t>Tên bưu tá</t>
        </is>
      </c>
      <c r="C1435" s="67">
        <f>IFERROR(__xludf.DUMMYFUNCTION("GOOGLETRANSLATE(B1435,""vi"",""en"")"),"Postman's name")</f>
        <v/>
      </c>
      <c r="D1435" s="3">
        <f>IFERROR(__xludf.DUMMYFUNCTION("GOOGLETRANSLATE(B1435,""vi"",""km"")"),"ឈ្មោះអ្នកប្រៃសណីយ៍")</f>
        <v/>
      </c>
      <c r="E1435" s="3" t="inlineStr">
        <is>
          <t>ឈ្មោះអ្នកដឹក</t>
        </is>
      </c>
      <c r="F1435" s="217" t="inlineStr">
        <is>
          <t>x</t>
        </is>
      </c>
      <c r="G1435" s="217" t="inlineStr">
        <is>
          <t>ឈ្មោះអ្នកដឹក</t>
        </is>
      </c>
      <c r="H1435" t="inlineStr">
        <is>
          <t>ឈ្មោះអ្នកដឹក</t>
        </is>
      </c>
      <c r="I1435" s="74" t="n"/>
      <c r="J1435" s="217" t="inlineStr">
        <is>
          <t>"codPrint.postnameName": "Postman's name",</t>
        </is>
      </c>
    </row>
    <row r="1436" ht="15.75" customHeight="1" s="305">
      <c r="A1436" s="67" t="inlineStr">
        <is>
          <t>codPrint.note</t>
        </is>
      </c>
      <c r="B1436" s="67" t="inlineStr">
        <is>
          <t>Ghi chú</t>
        </is>
      </c>
      <c r="C1436" s="67">
        <f>IFERROR(__xludf.DUMMYFUNCTION("GOOGLETRANSLATE(B1436,""vi"",""en"")"),"Note")</f>
        <v/>
      </c>
      <c r="D1436" s="3">
        <f>IFERROR(__xludf.DUMMYFUNCTION("GOOGLETRANSLATE(B1436,""vi"",""km"")"),"កំណត់ចំណាំ")</f>
        <v/>
      </c>
      <c r="E1436" s="3" t="inlineStr">
        <is>
          <t>កំណត់ចំណាំ</t>
        </is>
      </c>
      <c r="F1436" s="217" t="inlineStr">
        <is>
          <t>v</t>
        </is>
      </c>
      <c r="G1436" s="217" t="inlineStr">
        <is>
          <t>ចំណាំ</t>
        </is>
      </c>
      <c r="H1436" t="inlineStr">
        <is>
          <t>ចំណាំ</t>
        </is>
      </c>
      <c r="I1436" s="74" t="n"/>
      <c r="J1436" s="217" t="inlineStr">
        <is>
          <t>"codPrint.note": "Note",</t>
        </is>
      </c>
    </row>
    <row r="1437" ht="15.75" customHeight="1" s="305">
      <c r="A1437" s="67" t="inlineStr">
        <is>
          <t>codPrint.payer</t>
        </is>
      </c>
      <c r="B1437" s="67" t="inlineStr">
        <is>
          <t>Người nộp tiền</t>
        </is>
      </c>
      <c r="C1437" s="67">
        <f>IFERROR(__xludf.DUMMYFUNCTION("GOOGLETRANSLATE(B1437,""vi"",""en"")"),"Payer")</f>
        <v/>
      </c>
      <c r="D1437" s="3">
        <f>IFERROR(__xludf.DUMMYFUNCTION("GOOGLETRANSLATE(B1437,""vi"",""km"")"),"អ្នកបង់ប្រាក់")</f>
        <v/>
      </c>
      <c r="E1437" s="3" t="inlineStr">
        <is>
          <t>អ្នកបង់ប្រាក់</t>
        </is>
      </c>
      <c r="F1437" s="217" t="inlineStr">
        <is>
          <t>v</t>
        </is>
      </c>
      <c r="G1437" s="217" t="inlineStr">
        <is>
          <t>អ្នកបង់ប្រាក់</t>
        </is>
      </c>
      <c r="H1437" t="inlineStr">
        <is>
          <t>អ្នកបង់ប្រាក់</t>
        </is>
      </c>
      <c r="I1437" s="74" t="n"/>
      <c r="J1437" s="217" t="inlineStr">
        <is>
          <t>"codPrint.payer": "Payer",</t>
        </is>
      </c>
    </row>
    <row r="1438" ht="15.75" customHeight="1" s="305">
      <c r="A1438" s="67" t="inlineStr">
        <is>
          <t>codPrint.collector</t>
        </is>
      </c>
      <c r="B1438" s="67" t="inlineStr">
        <is>
          <t>Người thu tiền</t>
        </is>
      </c>
      <c r="C1438" s="67">
        <f>IFERROR(__xludf.DUMMYFUNCTION("GOOGLETRANSLATE(B1438,""vi"",""en"")"),"Cashier")</f>
        <v/>
      </c>
      <c r="D1438" s="3">
        <f>IFERROR(__xludf.DUMMYFUNCTION("GOOGLETRANSLATE(B1438,""vi"",""km"")"),"អ្នកគិតលុយ")</f>
        <v/>
      </c>
      <c r="E1438" s="3" t="inlineStr">
        <is>
          <t>អ្នកប្រមូលប្រាក់</t>
        </is>
      </c>
      <c r="F1438" s="217" t="inlineStr">
        <is>
          <t>v</t>
        </is>
      </c>
      <c r="G1438" s="217" t="inlineStr">
        <is>
          <t>អ្នកប្រមូលប្រាក់</t>
        </is>
      </c>
      <c r="H1438" t="inlineStr">
        <is>
          <t>អ្នកប្រមូលប្រាក់</t>
        </is>
      </c>
      <c r="I1438" s="74" t="n"/>
      <c r="J1438" s="217" t="inlineStr">
        <is>
          <t>"codPrint.collector": "Cashier",</t>
        </is>
      </c>
    </row>
    <row r="1439" ht="15.75" customHeight="1" s="305">
      <c r="A1439" s="67" t="inlineStr">
        <is>
          <t>codPrint.leader</t>
        </is>
      </c>
      <c r="B1439" s="67" t="inlineStr">
        <is>
          <t>Trưởng bưu cục</t>
        </is>
      </c>
      <c r="C1439" s="67">
        <f>IFERROR(__xludf.DUMMYFUNCTION("GOOGLETRANSLATE(B1439,""vi"",""en"")"),"Post office manager")</f>
        <v/>
      </c>
      <c r="D1439" s="3">
        <f>IFERROR(__xludf.DUMMYFUNCTION("GOOGLETRANSLATE(B1439,""vi"",""km"")"),"អ្នកគ្រប់គ្រងការិយាល័យប្រៃសណីយ៍")</f>
        <v/>
      </c>
      <c r="E1439" s="3" t="inlineStr">
        <is>
          <t>អ្នកគ្រប់គ្រងការិយាល័យប្រៃសណីយ៍</t>
        </is>
      </c>
      <c r="F1439" s="217" t="inlineStr">
        <is>
          <t>v</t>
        </is>
      </c>
      <c r="G1439" s="217" t="inlineStr">
        <is>
          <t>អ្នកគ្រប់គ្រងការិយាល័យប្រៃសណីយ៍</t>
        </is>
      </c>
      <c r="H1439" t="inlineStr">
        <is>
          <t>អ្នកគ្រប់គ្រងការិយាល័យប្រៃសណីយ៍</t>
        </is>
      </c>
      <c r="I1439" s="74" t="n"/>
      <c r="J1439" s="217" t="inlineStr">
        <is>
          <t>"codPrint.leader": "Post office manager",</t>
        </is>
      </c>
    </row>
    <row r="1440" ht="15.75" customHeight="1" s="305">
      <c r="A1440" s="67" t="inlineStr">
        <is>
          <t>codPrint.cancel</t>
        </is>
      </c>
      <c r="B1440" s="67" t="inlineStr">
        <is>
          <t>Huỷ bỏ</t>
        </is>
      </c>
      <c r="C1440" s="67">
        <f>IFERROR(__xludf.DUMMYFUNCTION("GOOGLETRANSLATE(B1440,""vi"",""en"")"),"Cancel")</f>
        <v/>
      </c>
      <c r="D1440" s="3">
        <f>IFERROR(__xludf.DUMMYFUNCTION("GOOGLETRANSLATE(B1440,""vi"",""km"")"),"បោះបង់")</f>
        <v/>
      </c>
      <c r="E1440" s="3" t="inlineStr">
        <is>
          <t>លុបចោល</t>
        </is>
      </c>
      <c r="F1440" s="217" t="inlineStr">
        <is>
          <t>v</t>
        </is>
      </c>
      <c r="G1440" s="217" t="inlineStr">
        <is>
          <t>លុបចោល</t>
        </is>
      </c>
      <c r="H1440" t="inlineStr">
        <is>
          <t>លុបចោល</t>
        </is>
      </c>
      <c r="I1440" s="74" t="n"/>
      <c r="J1440" s="217" t="inlineStr">
        <is>
          <t>"codPrint.cancel": "Cancel",</t>
        </is>
      </c>
    </row>
    <row r="1441" ht="15.75" customHeight="1" s="305">
      <c r="A1441" s="67" t="inlineStr">
        <is>
          <t>codPrint.print</t>
        </is>
      </c>
      <c r="B1441" s="67" t="inlineStr">
        <is>
          <t>In phiếu</t>
        </is>
      </c>
      <c r="C1441" s="67">
        <f>IFERROR(__xludf.DUMMYFUNCTION("GOOGLETRANSLATE(B1441,""vi"",""en"")"),"Print receipts")</f>
        <v/>
      </c>
      <c r="D1441" s="3">
        <f>IFERROR(__xludf.DUMMYFUNCTION("GOOGLETRANSLATE(B1441,""vi"",""km"")"),"បោះពុម្ពបង្កាន់ដៃ")</f>
        <v/>
      </c>
      <c r="E1441" s="3" t="inlineStr">
        <is>
          <t>ព្រីនបុងបញ្ញើ</t>
        </is>
      </c>
      <c r="F1441" s="217" t="inlineStr">
        <is>
          <t>v</t>
        </is>
      </c>
      <c r="G1441" s="217" t="inlineStr">
        <is>
          <t>ព្រីនបុងបញ្ញើ</t>
        </is>
      </c>
      <c r="H1441" t="inlineStr">
        <is>
          <t>ព្រីនបុងបញ្ញើ</t>
        </is>
      </c>
      <c r="I1441" s="74" t="n"/>
      <c r="J1441" s="217" t="inlineStr">
        <is>
          <t>"codPrint.print": "Print receipts",</t>
        </is>
      </c>
    </row>
    <row r="1442" ht="15.75" customHeight="1" s="305">
      <c r="A1442" s="67" t="inlineStr">
        <is>
          <t>codPrint.orderCode</t>
        </is>
      </c>
      <c r="B1442" s="67" t="inlineStr">
        <is>
          <t>Mã vận đơn</t>
        </is>
      </c>
      <c r="C1442" s="67">
        <f>IFERROR(__xludf.DUMMYFUNCTION("GOOGLETRANSLATE(B1442,""vi"",""en"")"),"Tracking number")</f>
        <v/>
      </c>
      <c r="D1442" s="3">
        <f>IFERROR(__xludf.DUMMYFUNCTION("GOOGLETRANSLATE(B1442,""vi"",""km"")"),"លេខតាមដាន")</f>
        <v/>
      </c>
      <c r="E1442" s="3" t="inlineStr">
        <is>
          <t>លេខកូដបុុងបញ្ញើ</t>
        </is>
      </c>
      <c r="F1442" s="217" t="inlineStr">
        <is>
          <t>v</t>
        </is>
      </c>
      <c r="G1442" s="217" t="inlineStr">
        <is>
          <t>លេខកូដបុងបញ្ញើ</t>
        </is>
      </c>
      <c r="H1442" t="inlineStr">
        <is>
          <t>លេខកូដបុងបញ្ញើ</t>
        </is>
      </c>
      <c r="I1442" s="74" t="n"/>
      <c r="J1442" s="217" t="inlineStr">
        <is>
          <t>"codPrint.orderCode": "Tracking number",</t>
        </is>
      </c>
    </row>
    <row r="1443" ht="15.75" customHeight="1" s="305">
      <c r="A1443" s="67" t="inlineStr">
        <is>
          <t>codPrint.dateDelivery</t>
        </is>
      </c>
      <c r="B1443" s="67" t="inlineStr">
        <is>
          <t>Ngày PTC</t>
        </is>
      </c>
      <c r="C1443" s="67">
        <f>IFERROR(__xludf.DUMMYFUNCTION("GOOGLETRANSLATE(B1443,""vi"",""en"")"),"PTC Day")</f>
        <v/>
      </c>
      <c r="D1443" s="3">
        <f>IFERROR(__xludf.DUMMYFUNCTION("GOOGLETRANSLATE(B1443,""vi"",""km"")"),"ទិវា PTC")</f>
        <v/>
      </c>
      <c r="E1443" s="3" t="inlineStr">
        <is>
          <t>ថ្ងៃ PTC</t>
        </is>
      </c>
      <c r="F1443" s="217" t="inlineStr">
        <is>
          <t>v</t>
        </is>
      </c>
      <c r="G1443" s="217" t="inlineStr">
        <is>
          <t>កាលបរិច្ឆេទដឹកជញ្ជូនជោគជ័យ</t>
        </is>
      </c>
      <c r="H1443" t="inlineStr">
        <is>
          <t>កាលបរិច្ឆេទដឹកជញ្ជូនជោគជ័យ</t>
        </is>
      </c>
      <c r="I1443" s="74" t="n"/>
      <c r="J1443" s="217" t="inlineStr">
        <is>
          <t>"codPrint.dateDelivery": "PTC Day",</t>
        </is>
      </c>
    </row>
    <row r="1444" ht="15.75" customHeight="1" s="305">
      <c r="A1444" s="67" t="inlineStr">
        <is>
          <t>codPrint.codTotal</t>
        </is>
      </c>
      <c r="B1444" s="67" t="inlineStr">
        <is>
          <t>Tiền phải nộp</t>
        </is>
      </c>
      <c r="C1444" s="67">
        <f>IFERROR(__xludf.DUMMYFUNCTION("GOOGLETRANSLATE(B1444,""vi"",""en"")"),"Amount payable")</f>
        <v/>
      </c>
      <c r="D1444" s="3">
        <f>IFERROR(__xludf.DUMMYFUNCTION("GOOGLETRANSLATE(B1444,""vi"",""km"")"),"ចំនួនទឹកប្រាក់ដែលត្រូវបង់")</f>
        <v/>
      </c>
      <c r="E1444" s="3" t="inlineStr">
        <is>
          <t>ចំនួនទឹកប្រាក់ដែលត្រូវបង់</t>
        </is>
      </c>
      <c r="F1444" s="217" t="inlineStr">
        <is>
          <t>v</t>
        </is>
      </c>
      <c r="G1444" s="217" t="inlineStr">
        <is>
          <t>ចំនួនទឹកប្រាក់ដែលត្រូវបង់</t>
        </is>
      </c>
      <c r="H1444" t="inlineStr">
        <is>
          <t>ចំនួនទឹកប្រាក់ដែលត្រូវបង់</t>
        </is>
      </c>
      <c r="I1444" s="74" t="n"/>
      <c r="J1444" s="217" t="inlineStr">
        <is>
          <t>"codPrint.codTotal": "Amount payable",</t>
        </is>
      </c>
    </row>
    <row r="1445" ht="15.75" customHeight="1" s="305">
      <c r="A1445" s="67" t="inlineStr">
        <is>
          <t>changePass.titlePage</t>
        </is>
      </c>
      <c r="B1445" s="67" t="inlineStr">
        <is>
          <t>Cài đặt tài khoản</t>
        </is>
      </c>
      <c r="C1445" s="67">
        <f>IFERROR(__xludf.DUMMYFUNCTION("GOOGLETRANSLATE(B1445,""vi"",""en"")"),"Account settings")</f>
        <v/>
      </c>
      <c r="D1445" s="3">
        <f>IFERROR(__xludf.DUMMYFUNCTION("GOOGLETRANSLATE(B1445,""vi"",""km"")"),"ការកំណត់គណនី")</f>
        <v/>
      </c>
      <c r="E1445" s="3" t="inlineStr">
        <is>
          <t>ដំឡើងគណនី</t>
        </is>
      </c>
      <c r="F1445" s="217" t="inlineStr">
        <is>
          <t>x</t>
        </is>
      </c>
      <c r="G1445" s="217" t="inlineStr">
        <is>
          <t>ដំឡើងគណនី</t>
        </is>
      </c>
      <c r="H1445" t="inlineStr">
        <is>
          <t>ដំឡើងគណនី</t>
        </is>
      </c>
      <c r="I1445" s="74" t="n"/>
      <c r="J1445" s="217" t="inlineStr">
        <is>
          <t>"changePass.titlePage": "Account settings",</t>
        </is>
      </c>
    </row>
    <row r="1446" ht="15.75" customHeight="1" s="305">
      <c r="A1446" s="67" t="inlineStr">
        <is>
          <t>changePass.accountInformation</t>
        </is>
      </c>
      <c r="B1446" s="67" t="inlineStr">
        <is>
          <t>Thông tin tài khoản</t>
        </is>
      </c>
      <c r="C1446" s="67">
        <f>IFERROR(__xludf.DUMMYFUNCTION("GOOGLETRANSLATE(B1446,""vi"",""en"")"),"Account information")</f>
        <v/>
      </c>
      <c r="D1446" s="3">
        <f>IFERROR(__xludf.DUMMYFUNCTION("GOOGLETRANSLATE(B1446,""vi"",""km"")"),"ព័ត៌មានគណនី")</f>
        <v/>
      </c>
      <c r="E1446" s="3" t="inlineStr">
        <is>
          <t>ព័ត៌មានគណនី</t>
        </is>
      </c>
      <c r="F1446" s="217" t="inlineStr">
        <is>
          <t>v</t>
        </is>
      </c>
      <c r="G1446" s="217" t="inlineStr">
        <is>
          <t>ព័ត៌មានគណនី</t>
        </is>
      </c>
      <c r="H1446" t="inlineStr">
        <is>
          <t>ព័ត៌មានគណនី</t>
        </is>
      </c>
      <c r="I1446" s="74" t="n"/>
      <c r="J1446" s="217" t="inlineStr">
        <is>
          <t>"changePass.accountInformation": "Account information",</t>
        </is>
      </c>
    </row>
    <row r="1447" ht="15.75" customHeight="1" s="305">
      <c r="A1447" s="67" t="inlineStr">
        <is>
          <t>changePass.warehouseSettings</t>
        </is>
      </c>
      <c r="B1447" s="67" t="inlineStr">
        <is>
          <t>Cài đặt kho hàng</t>
        </is>
      </c>
      <c r="C1447" s="67">
        <f>IFERROR(__xludf.DUMMYFUNCTION("GOOGLETRANSLATE(B1447,""vi"",""en"")"),"Warehouse setup")</f>
        <v/>
      </c>
      <c r="D1447" s="3">
        <f>IFERROR(__xludf.DUMMYFUNCTION("GOOGLETRANSLATE(B1447,""vi"",""km"")"),"ការរៀបចំឃ្លាំង")</f>
        <v/>
      </c>
      <c r="E1447" s="3" t="inlineStr">
        <is>
          <t>ដំឡើងឃ្លាំងអីវ៉ាន់</t>
        </is>
      </c>
      <c r="F1447" s="217" t="inlineStr">
        <is>
          <t>x</t>
        </is>
      </c>
      <c r="G1447" s="217" t="inlineStr">
        <is>
          <t>ដំឡើងឃ្លាំងអីវ៉ាន់</t>
        </is>
      </c>
      <c r="H1447" t="inlineStr">
        <is>
          <t>ដំឡើងឃ្លាំងអីវ៉ាន់</t>
        </is>
      </c>
      <c r="I1447" s="74" t="n"/>
      <c r="J1447" s="217" t="inlineStr">
        <is>
          <t>"changePass.warehouseSettings": "Warehouse setup",</t>
        </is>
      </c>
    </row>
    <row r="1448" ht="15.75" customHeight="1" s="305">
      <c r="A1448" s="67" t="inlineStr">
        <is>
          <t>changePass.tokenManagement</t>
        </is>
      </c>
      <c r="B1448" s="67" t="inlineStr">
        <is>
          <t>Quản lý token</t>
        </is>
      </c>
      <c r="C1448" s="67">
        <f>IFERROR(__xludf.DUMMYFUNCTION("GOOGLETRANSLATE(B1448,""vi"",""en"")"),"Token management")</f>
        <v/>
      </c>
      <c r="D1448" s="3">
        <f>IFERROR(__xludf.DUMMYFUNCTION("GOOGLETRANSLATE(B1448,""vi"",""km"")"),"ការគ្រប់គ្រងសញ្ញាសម្ងាត់")</f>
        <v/>
      </c>
      <c r="E1448" s="3" t="inlineStr">
        <is>
          <t>ការគ្រប់គ្រង  token</t>
        </is>
      </c>
      <c r="F1448" s="217" t="inlineStr">
        <is>
          <t>v</t>
        </is>
      </c>
      <c r="G1448" s="217" t="inlineStr">
        <is>
          <t>ការគ្រប់គ្រង token</t>
        </is>
      </c>
      <c r="H1448" t="inlineStr">
        <is>
          <t>ការគ្រប់គ្រង token</t>
        </is>
      </c>
      <c r="I1448" s="74" t="n"/>
      <c r="J1448" s="217" t="inlineStr">
        <is>
          <t>"changePass.tokenManagement": "Token management",</t>
        </is>
      </c>
    </row>
    <row r="1449" ht="15.75" customHeight="1" s="305">
      <c r="A1449" s="67" t="inlineStr">
        <is>
          <t>changePass.manageWebhooks</t>
        </is>
      </c>
      <c r="B1449" s="67" t="inlineStr">
        <is>
          <t>Quản lý webhook</t>
        </is>
      </c>
      <c r="C1449" s="67">
        <f>IFERROR(__xludf.DUMMYFUNCTION("GOOGLETRANSLATE(B1449,""vi"",""en"")"),"Webhook management")</f>
        <v/>
      </c>
      <c r="D1449" s="3">
        <f>IFERROR(__xludf.DUMMYFUNCTION("GOOGLETRANSLATE(B1449,""vi"",""km"")"),"ការគ្រប់គ្រង Webhook")</f>
        <v/>
      </c>
      <c r="E1449" s="3" t="inlineStr">
        <is>
          <t>ការគ្រប់គ្រង Webhook</t>
        </is>
      </c>
      <c r="F1449" s="217" t="inlineStr">
        <is>
          <t>v</t>
        </is>
      </c>
      <c r="G1449" s="217" t="inlineStr">
        <is>
          <t>ការគ្រប់គ្រង Webhook</t>
        </is>
      </c>
      <c r="H1449" t="inlineStr">
        <is>
          <t>ការគ្រប់គ្រង Webhook</t>
        </is>
      </c>
      <c r="I1449" s="74" t="n"/>
      <c r="J1449" s="217" t="inlineStr">
        <is>
          <t>"changePass.manageWebhooks": "Webhook management",</t>
        </is>
      </c>
    </row>
    <row r="1450" ht="15.75" customHeight="1" s="305">
      <c r="A1450" s="67" t="inlineStr">
        <is>
          <t>changePass.fullName</t>
        </is>
      </c>
      <c r="B1450" s="67" t="inlineStr">
        <is>
          <t>Họ và tên</t>
        </is>
      </c>
      <c r="C1450" s="67">
        <f>IFERROR(__xludf.DUMMYFUNCTION("GOOGLETRANSLATE(B1450,""vi"",""en"")"),"Full name")</f>
        <v/>
      </c>
      <c r="D1450" s="3">
        <f>IFERROR(__xludf.DUMMYFUNCTION("GOOGLETRANSLATE(B1450,""vi"",""km"")"),"ឈ្មោះពេញ")</f>
        <v/>
      </c>
      <c r="E1450" s="3" t="inlineStr">
        <is>
          <t>គោត្តនាម និងនាម</t>
        </is>
      </c>
      <c r="F1450" s="217" t="inlineStr">
        <is>
          <t>v</t>
        </is>
      </c>
      <c r="G1450" s="217" t="inlineStr">
        <is>
          <t>ឈ្មោះពេញ</t>
        </is>
      </c>
      <c r="H1450" t="inlineStr">
        <is>
          <t>ឈ្មោះពេញ</t>
        </is>
      </c>
      <c r="I1450" s="74" t="n"/>
      <c r="J1450" s="217" t="inlineStr">
        <is>
          <t>"changePass.fullName": "Full name",</t>
        </is>
      </c>
    </row>
    <row r="1451" ht="15.75" customHeight="1" s="305">
      <c r="A1451" s="67" t="inlineStr">
        <is>
          <t>changePass.fullNamePlaceholder</t>
        </is>
      </c>
      <c r="B1451" s="67" t="inlineStr">
        <is>
          <t>Nhập họ tên</t>
        </is>
      </c>
      <c r="C1451" s="67">
        <f>IFERROR(__xludf.DUMMYFUNCTION("GOOGLETRANSLATE(B1451,""vi"",""en"")"),"Enter your full name")</f>
        <v/>
      </c>
      <c r="D1451" s="3">
        <f>IFERROR(__xludf.DUMMYFUNCTION("GOOGLETRANSLATE(B1451,""vi"",""km"")"),"បញ្ចូលឈ្មោះពេញរបស់អ្នក")</f>
        <v/>
      </c>
      <c r="E1451" s="3" t="inlineStr">
        <is>
          <t>បញ្ចូលគោត្តនាម និងនាម</t>
        </is>
      </c>
      <c r="F1451" s="217" t="inlineStr">
        <is>
          <t>v</t>
        </is>
      </c>
      <c r="G1451" s="217" t="inlineStr">
        <is>
          <t>បញ្ចូលគោត្តនាម និងនាម</t>
        </is>
      </c>
      <c r="H1451" t="inlineStr">
        <is>
          <t>បញ្ចូលគោត្តនាម និងនាម</t>
        </is>
      </c>
      <c r="I1451" s="74" t="n"/>
      <c r="J1451" s="217" t="inlineStr">
        <is>
          <t>"changePass.fullNamePlaceholder": "Enter your full name",</t>
        </is>
      </c>
    </row>
    <row r="1452" ht="15.75" customHeight="1" s="305">
      <c r="A1452" s="67" t="inlineStr">
        <is>
          <t>changePass.dateOfBirth</t>
        </is>
      </c>
      <c r="B1452" s="67" t="inlineStr">
        <is>
          <t>Sinh nhật</t>
        </is>
      </c>
      <c r="C1452" s="67">
        <f>IFERROR(__xludf.DUMMYFUNCTION("GOOGLETRANSLATE(B1452,""vi"",""en"")"),"Birthday")</f>
        <v/>
      </c>
      <c r="D1452" s="3">
        <f>IFERROR(__xludf.DUMMYFUNCTION("GOOGLETRANSLATE(B1452,""vi"",""km"")"),"ថ្ងៃកំណើត")</f>
        <v/>
      </c>
      <c r="E1452" s="3" t="inlineStr">
        <is>
          <t>ថ្ងៃខែឆ្នាំកំណើត</t>
        </is>
      </c>
      <c r="F1452" s="217" t="inlineStr">
        <is>
          <t>v</t>
        </is>
      </c>
      <c r="G1452" s="217" t="inlineStr">
        <is>
          <t>ថ្ងៃខែឆ្នាំកំណើត</t>
        </is>
      </c>
      <c r="H1452" t="inlineStr">
        <is>
          <t>ថ្ងៃខែឆ្នាំកំណើត</t>
        </is>
      </c>
      <c r="I1452" s="74" t="n"/>
      <c r="J1452" s="217" t="inlineStr">
        <is>
          <t>"changePass.dateOfBirth": "Birthday",</t>
        </is>
      </c>
    </row>
    <row r="1453" ht="15.75" customHeight="1" s="305">
      <c r="A1453" s="67" t="inlineStr">
        <is>
          <t>changePass.dateOfBirthPlaceholder</t>
        </is>
      </c>
      <c r="B1453" s="67" t="inlineStr">
        <is>
          <t>Chọn ngày</t>
        </is>
      </c>
      <c r="C1453" s="67">
        <f>IFERROR(__xludf.DUMMYFUNCTION("GOOGLETRANSLATE(B1453,""vi"",""en"")"),"Select a date")</f>
        <v/>
      </c>
      <c r="D1453" s="3">
        <f>IFERROR(__xludf.DUMMYFUNCTION("GOOGLETRANSLATE(B1453,""vi"",""km"")"),"ជ្រើសរើសកាលបរិច្ឆេទ")</f>
        <v/>
      </c>
      <c r="E1453" s="3" t="inlineStr">
        <is>
          <t>ជ្រើសរើសកាលបរិច្ឆេទ</t>
        </is>
      </c>
      <c r="F1453" s="217" t="inlineStr">
        <is>
          <t>v</t>
        </is>
      </c>
      <c r="G1453" s="217" t="inlineStr">
        <is>
          <t>ជ្រើសរើសកាលបរិច្ឆេទ</t>
        </is>
      </c>
      <c r="H1453" t="inlineStr">
        <is>
          <t>ជ្រើសរើសកាលបរិច្ឆេទ</t>
        </is>
      </c>
      <c r="I1453" s="74" t="n"/>
      <c r="J1453" s="217" t="inlineStr">
        <is>
          <t>"changePass.dateOfBirthPlaceholder": "Select a date",</t>
        </is>
      </c>
    </row>
    <row r="1454" ht="15.75" customHeight="1" s="305">
      <c r="A1454" s="67" t="inlineStr">
        <is>
          <t>changePass.phone</t>
        </is>
      </c>
      <c r="B1454" s="67" t="inlineStr">
        <is>
          <t>Số điện thoại</t>
        </is>
      </c>
      <c r="C1454" s="67">
        <f>IFERROR(__xludf.DUMMYFUNCTION("GOOGLETRANSLATE(B1454,""vi"",""en"")"),"Phone number")</f>
        <v/>
      </c>
      <c r="D1454" s="3">
        <f>IFERROR(__xludf.DUMMYFUNCTION("GOOGLETRANSLATE(B1454,""vi"",""km"")"),"លេខទូរស័ព្ទ")</f>
        <v/>
      </c>
      <c r="E1454" s="3" t="inlineStr">
        <is>
          <t>លេខទូរស័ព្ទ</t>
        </is>
      </c>
      <c r="F1454" s="217" t="inlineStr">
        <is>
          <t>v</t>
        </is>
      </c>
      <c r="G1454" s="217" t="inlineStr">
        <is>
          <t>លេខទូរស័ព្ទ</t>
        </is>
      </c>
      <c r="H1454" t="inlineStr">
        <is>
          <t>លេខទូរស័ព្ទ</t>
        </is>
      </c>
      <c r="I1454" s="74" t="n"/>
      <c r="J1454" s="217" t="inlineStr">
        <is>
          <t>"changePass.phone": "Phone number",</t>
        </is>
      </c>
    </row>
    <row r="1455" ht="15.75" customHeight="1" s="305">
      <c r="A1455" s="67" t="inlineStr">
        <is>
          <t>changePass.phonePlaceholder</t>
        </is>
      </c>
      <c r="B1455" s="67" t="inlineStr">
        <is>
          <t>Nhập số điện thoại</t>
        </is>
      </c>
      <c r="C1455" s="67">
        <f>IFERROR(__xludf.DUMMYFUNCTION("GOOGLETRANSLATE(B1455,""vi"",""en"")"),"Enter phone number")</f>
        <v/>
      </c>
      <c r="D1455" s="3">
        <f>IFERROR(__xludf.DUMMYFUNCTION("GOOGLETRANSLATE(B1455,""vi"",""km"")"),"បញ្ចូលលេខទូរស័ព្ទ")</f>
        <v/>
      </c>
      <c r="E1455" s="3" t="inlineStr">
        <is>
          <t>បញ្ចូលលេខទូរស័ព្ទ</t>
        </is>
      </c>
      <c r="F1455" s="217" t="inlineStr">
        <is>
          <t>v</t>
        </is>
      </c>
      <c r="G1455" s="217" t="inlineStr">
        <is>
          <t>បញ្ចូលលេខទូរស័ព្ទ</t>
        </is>
      </c>
      <c r="H1455" t="inlineStr">
        <is>
          <t>បញ្ចូលលេខទូរស័ព្ទ</t>
        </is>
      </c>
      <c r="I1455" s="74" t="n"/>
      <c r="J1455" s="217" t="inlineStr">
        <is>
          <t>"changePass.phonePlaceholder": "Enter phone number",</t>
        </is>
      </c>
    </row>
    <row r="1456" ht="15.75" customHeight="1" s="305">
      <c r="A1456" s="67" t="inlineStr">
        <is>
          <t>changePass.email</t>
        </is>
      </c>
      <c r="B1456" s="67" t="inlineStr">
        <is>
          <t>Email</t>
        </is>
      </c>
      <c r="C1456" s="67">
        <f>IFERROR(__xludf.DUMMYFUNCTION("GOOGLETRANSLATE(B1456,""vi"",""en"")"),"E-mail")</f>
        <v/>
      </c>
      <c r="D1456" s="3">
        <f>IFERROR(__xludf.DUMMYFUNCTION("GOOGLETRANSLATE(B1456,""vi"",""km"")"),"អ៊ីមែល")</f>
        <v/>
      </c>
      <c r="E1456" s="3" t="inlineStr">
        <is>
          <t>អ៊ីម៉ែល</t>
        </is>
      </c>
      <c r="F1456" s="217" t="inlineStr">
        <is>
          <t>v</t>
        </is>
      </c>
      <c r="G1456" s="217" t="inlineStr">
        <is>
          <t>អ៊ីម៉ែល</t>
        </is>
      </c>
      <c r="H1456" t="inlineStr">
        <is>
          <t>អ៊ីម៉ែល</t>
        </is>
      </c>
      <c r="I1456" s="74" t="n"/>
      <c r="J1456" s="217" t="inlineStr">
        <is>
          <t>"changePass.email": "E-mail",</t>
        </is>
      </c>
    </row>
    <row r="1457" ht="15.75" customHeight="1" s="305">
      <c r="A1457" s="67" t="inlineStr">
        <is>
          <t>changePass.emailPlaceholder</t>
        </is>
      </c>
      <c r="B1457" s="67" t="inlineStr">
        <is>
          <t>Nhập email</t>
        </is>
      </c>
      <c r="C1457" s="67">
        <f>IFERROR(__xludf.DUMMYFUNCTION("GOOGLETRANSLATE(B1457,""vi"",""en"")"),"Enter email")</f>
        <v/>
      </c>
      <c r="D1457" s="3">
        <f>IFERROR(__xludf.DUMMYFUNCTION("GOOGLETRANSLATE(B1457,""vi"",""km"")"),"បញ្ចូលអ៊ីមែល")</f>
        <v/>
      </c>
      <c r="E1457" s="3" t="inlineStr">
        <is>
          <t>បញ្ចូលអ៊ីម៉ែល</t>
        </is>
      </c>
      <c r="F1457" s="217" t="inlineStr">
        <is>
          <t>v</t>
        </is>
      </c>
      <c r="G1457" s="217" t="inlineStr">
        <is>
          <t>បញ្ចូលអ៊ីម៉ែល</t>
        </is>
      </c>
      <c r="H1457" t="inlineStr">
        <is>
          <t>បញ្ចូលអ៊ីម៉ែល</t>
        </is>
      </c>
      <c r="I1457" s="74" t="n"/>
      <c r="J1457" s="217" t="inlineStr">
        <is>
          <t>"changePass.emailPlaceholder": "Enter email",</t>
        </is>
      </c>
    </row>
    <row r="1458" ht="15.75" customHeight="1" s="305">
      <c r="A1458" s="67" t="inlineStr">
        <is>
          <t>changePass.address</t>
        </is>
      </c>
      <c r="B1458" s="67" t="inlineStr">
        <is>
          <t>Địa chỉ chi tiết</t>
        </is>
      </c>
      <c r="C1458" s="67">
        <f>IFERROR(__xludf.DUMMYFUNCTION("GOOGLETRANSLATE(B1458,""vi"",""en"")"),"Detailed address")</f>
        <v/>
      </c>
      <c r="D1458" s="3">
        <f>IFERROR(__xludf.DUMMYFUNCTION("GOOGLETRANSLATE(B1458,""vi"",""km"")"),"អាសយដ្ឋានលម្អិត")</f>
        <v/>
      </c>
      <c r="E1458" s="3" t="inlineStr">
        <is>
          <t>អាស័យដ្ឋានលម្អិត</t>
        </is>
      </c>
      <c r="F1458" s="217" t="inlineStr">
        <is>
          <t>v</t>
        </is>
      </c>
      <c r="G1458" s="217" t="inlineStr">
        <is>
          <t>អាសយដ្ឋានលម្អិត</t>
        </is>
      </c>
      <c r="H1458" t="inlineStr">
        <is>
          <t>អាសយដ្ឋានលម្អិត</t>
        </is>
      </c>
      <c r="I1458" s="74" t="n"/>
      <c r="J1458" s="217" t="inlineStr">
        <is>
          <t>"changePass.address": "Detailed address",</t>
        </is>
      </c>
    </row>
    <row r="1459" ht="15.75" customHeight="1" s="305">
      <c r="A1459" s="67" t="inlineStr">
        <is>
          <t>changePass.change</t>
        </is>
      </c>
      <c r="B1459" s="67" t="inlineStr">
        <is>
          <t>Thay đổi</t>
        </is>
      </c>
      <c r="C1459" s="67">
        <f>IFERROR(__xludf.DUMMYFUNCTION("GOOGLETRANSLATE(B1459,""vi"",""en"")"),"Change")</f>
        <v/>
      </c>
      <c r="D1459" s="3">
        <f>IFERROR(__xludf.DUMMYFUNCTION("GOOGLETRANSLATE(B1459,""vi"",""km"")"),"ការផ្លាស់ប្តូរ")</f>
        <v/>
      </c>
      <c r="E1459" s="3" t="inlineStr">
        <is>
          <t>ការផ្លាស់ប្តូរ</t>
        </is>
      </c>
      <c r="F1459" s="217" t="inlineStr">
        <is>
          <t>v</t>
        </is>
      </c>
      <c r="G1459" s="217" t="inlineStr">
        <is>
          <t>ការផ្លាស់ប្តូរ</t>
        </is>
      </c>
      <c r="H1459" t="inlineStr">
        <is>
          <t>ការផ្លាស់ប្តូរ</t>
        </is>
      </c>
      <c r="I1459" s="74" t="n"/>
      <c r="J1459" s="217" t="inlineStr">
        <is>
          <t>"changePass.change": "Change",</t>
        </is>
      </c>
    </row>
    <row r="1460" ht="15.75" customHeight="1" s="305">
      <c r="A1460" s="67" t="inlineStr">
        <is>
          <t>changePass.idCard</t>
        </is>
      </c>
      <c r="B1460" s="67" t="inlineStr">
        <is>
          <t>Căn cước công dân/CMT</t>
        </is>
      </c>
      <c r="C1460" s="67">
        <f>IFERROR(__xludf.DUMMYFUNCTION("GOOGLETRANSLATE(B1460,""vi"",""en"")"),"Citizen ID Card")</f>
        <v/>
      </c>
      <c r="D1460" s="3">
        <f>IFERROR(__xludf.DUMMYFUNCTION("GOOGLETRANSLATE(B1460,""vi"",""km"")"),"អត្តសញ្ញាណប័ណ្ណពលរដ្ឋ")</f>
        <v/>
      </c>
      <c r="E1460" s="3" t="inlineStr">
        <is>
          <t>អត្តសញ្ញាណប័ណ្ណពលរដ្ឋ/CMT</t>
        </is>
      </c>
      <c r="F1460" s="217" t="inlineStr">
        <is>
          <t>v</t>
        </is>
      </c>
      <c r="G1460" s="217" t="inlineStr">
        <is>
          <t>អត្តសញ្ញាណប័ណ្ណពលរដ្ឋ/CMT</t>
        </is>
      </c>
      <c r="H1460" t="inlineStr">
        <is>
          <t>អត្តសញ្ញាណប័ណ្ណពលរដ្ឋ/CMT</t>
        </is>
      </c>
      <c r="I1460" s="74" t="n"/>
      <c r="J1460" s="217" t="inlineStr">
        <is>
          <t>"changePass.idCard": "Citizen ID Card",</t>
        </is>
      </c>
    </row>
    <row r="1461" ht="15.75" customHeight="1" s="305">
      <c r="A1461" s="67" t="inlineStr">
        <is>
          <t>changePass.billingInformation</t>
        </is>
      </c>
      <c r="B1461" s="67" t="inlineStr">
        <is>
          <t>Thông tin thanh toán</t>
        </is>
      </c>
      <c r="C1461" s="67">
        <f>IFERROR(__xludf.DUMMYFUNCTION("GOOGLETRANSLATE(B1461,""vi"",""en"")"),"Payment information")</f>
        <v/>
      </c>
      <c r="D1461" s="3">
        <f>IFERROR(__xludf.DUMMYFUNCTION("GOOGLETRANSLATE(B1461,""vi"",""km"")"),"ព័ត៌មាន​ទូទាត់")</f>
        <v/>
      </c>
      <c r="E1461" s="3" t="inlineStr">
        <is>
          <t>ព័ត៌មានទូទាត់</t>
        </is>
      </c>
      <c r="F1461" s="217" t="inlineStr">
        <is>
          <t>v</t>
        </is>
      </c>
      <c r="G1461" s="217" t="inlineStr">
        <is>
          <t>ព័ត៌មានទូទាត់</t>
        </is>
      </c>
      <c r="H1461" t="inlineStr">
        <is>
          <t>ព័ត៌មានទូទាត់</t>
        </is>
      </c>
      <c r="I1461" s="74" t="n"/>
      <c r="J1461" s="217" t="inlineStr">
        <is>
          <t>"changePass.billingInformation": "Payment information",</t>
        </is>
      </c>
    </row>
    <row r="1462" ht="15.75" customHeight="1" s="305">
      <c r="A1462" s="67" t="inlineStr">
        <is>
          <t>changePass.feePaymentInformation</t>
        </is>
      </c>
      <c r="B1462" s="67" t="inlineStr">
        <is>
          <t>Thông tin thanh toán cước</t>
        </is>
      </c>
      <c r="C1462" s="67">
        <f>IFERROR(__xludf.DUMMYFUNCTION("GOOGLETRANSLATE(B1462,""vi"",""en"")"),"Bill payment information")</f>
        <v/>
      </c>
      <c r="D1462" s="3">
        <f>IFERROR(__xludf.DUMMYFUNCTION("GOOGLETRANSLATE(B1462,""vi"",""km"")"),"ព័ត៌មាន​ទូទាត់​វិក្កយបត្រ")</f>
        <v/>
      </c>
      <c r="E1462" s="3" t="inlineStr">
        <is>
          <t>ព័ត៌មានទូទាត់សេវា</t>
        </is>
      </c>
      <c r="F1462" s="217" t="inlineStr">
        <is>
          <t>v</t>
        </is>
      </c>
      <c r="G1462" s="217" t="inlineStr">
        <is>
          <t>ព័ត៌មានទូទាត់សេវា</t>
        </is>
      </c>
      <c r="H1462" t="inlineStr">
        <is>
          <t>ព័ត៌មានទូទាត់សេវា</t>
        </is>
      </c>
      <c r="I1462" s="74" t="n"/>
      <c r="J1462" s="217" t="inlineStr">
        <is>
          <t>"changePass.feePaymentInformation": "Bill payment information",</t>
        </is>
      </c>
    </row>
    <row r="1463" ht="15.75" customHeight="1" s="305">
      <c r="A1463" s="67" t="inlineStr">
        <is>
          <t>changePass.bank</t>
        </is>
      </c>
      <c r="B1463" s="67" t="inlineStr">
        <is>
          <t>Ngân hàng</t>
        </is>
      </c>
      <c r="C1463" s="67">
        <f>IFERROR(__xludf.DUMMYFUNCTION("GOOGLETRANSLATE(B1463,""vi"",""en"")"),"Bank")</f>
        <v/>
      </c>
      <c r="D1463" s="3">
        <f>IFERROR(__xludf.DUMMYFUNCTION("GOOGLETRANSLATE(B1463,""vi"",""km"")"),"ធនាគារ")</f>
        <v/>
      </c>
      <c r="E1463" s="3" t="inlineStr">
        <is>
          <t>ធនាគារ</t>
        </is>
      </c>
      <c r="F1463" s="217" t="inlineStr">
        <is>
          <t>v</t>
        </is>
      </c>
      <c r="G1463" s="217" t="inlineStr">
        <is>
          <t>ធនាគារ</t>
        </is>
      </c>
      <c r="H1463" t="inlineStr">
        <is>
          <t>ធនាគារ</t>
        </is>
      </c>
      <c r="I1463" s="74" t="n"/>
      <c r="J1463" s="217" t="inlineStr">
        <is>
          <t>"changePass.bank": "Bank",</t>
        </is>
      </c>
    </row>
    <row r="1464" ht="15.75" customHeight="1" s="305">
      <c r="A1464" s="67" t="inlineStr">
        <is>
          <t>changePass.accountNumber</t>
        </is>
      </c>
      <c r="B1464" s="67" t="inlineStr">
        <is>
          <t>Số tài khoản</t>
        </is>
      </c>
      <c r="C1464" s="67">
        <f>IFERROR(__xludf.DUMMYFUNCTION("GOOGLETRANSLATE(B1464,""vi"",""en"")"),"Account number")</f>
        <v/>
      </c>
      <c r="D1464" s="3">
        <f>IFERROR(__xludf.DUMMYFUNCTION("GOOGLETRANSLATE(B1464,""vi"",""km"")"),"លេខគណនី")</f>
        <v/>
      </c>
      <c r="E1464" s="3" t="inlineStr">
        <is>
          <t>លេខគណនី</t>
        </is>
      </c>
      <c r="F1464" s="217" t="inlineStr">
        <is>
          <t>v</t>
        </is>
      </c>
      <c r="G1464" s="217" t="inlineStr">
        <is>
          <t>លេខគណនីធនាគារ</t>
        </is>
      </c>
      <c r="H1464" t="inlineStr">
        <is>
          <t>លេខគណនីធនាគារ</t>
        </is>
      </c>
      <c r="I1464" s="74" t="n"/>
      <c r="J1464" s="217" t="inlineStr">
        <is>
          <t>"changePass.accountNumber": "Account number",</t>
        </is>
      </c>
    </row>
    <row r="1465" ht="15.75" customHeight="1" s="305">
      <c r="A1465" s="67" t="inlineStr">
        <is>
          <t>changePass.accountOwner</t>
        </is>
      </c>
      <c r="B1465" s="67" t="inlineStr">
        <is>
          <t>Chủ tài khoản</t>
        </is>
      </c>
      <c r="C1465" s="67">
        <f>IFERROR(__xludf.DUMMYFUNCTION("GOOGLETRANSLATE(B1465,""vi"",""en"")"),"Account holder")</f>
        <v/>
      </c>
      <c r="D1465" s="3">
        <f>IFERROR(__xludf.DUMMYFUNCTION("GOOGLETRANSLATE(B1465,""vi"",""km"")"),"ម្ចាស់គណនី")</f>
        <v/>
      </c>
      <c r="E1465" s="3" t="inlineStr">
        <is>
          <t>ម្ចាស់គណនី</t>
        </is>
      </c>
      <c r="F1465" s="217" t="inlineStr">
        <is>
          <t>v</t>
        </is>
      </c>
      <c r="G1465" s="217" t="inlineStr">
        <is>
          <t>ម្ចាស់គណនី</t>
        </is>
      </c>
      <c r="H1465" t="inlineStr">
        <is>
          <t>ម្ចាស់គណនី</t>
        </is>
      </c>
      <c r="I1465" s="74" t="n"/>
      <c r="J1465" s="217" t="inlineStr">
        <is>
          <t>"changePass.accountOwner": "Account holder",</t>
        </is>
      </c>
    </row>
    <row r="1466" ht="15.75" customHeight="1" s="305">
      <c r="A1466" s="67" t="inlineStr">
        <is>
          <t>changePass.feePaymentInfo</t>
        </is>
      </c>
      <c r="B1466" s="67" t="inlineStr">
        <is>
          <t>Phương thức thanh toán</t>
        </is>
      </c>
      <c r="C1466" s="67">
        <f>IFERROR(__xludf.DUMMYFUNCTION("GOOGLETRANSLATE(B1466,""vi"",""en"")"),"Payment methods")</f>
        <v/>
      </c>
      <c r="D1466" s="3">
        <f>IFERROR(__xludf.DUMMYFUNCTION("GOOGLETRANSLATE(B1466,""vi"",""km"")"),"វិធីសាស្ត្រទូទាត់")</f>
        <v/>
      </c>
      <c r="E1466" s="3" t="inlineStr">
        <is>
          <t>វិធីសាស្ត្រទូទាត់</t>
        </is>
      </c>
      <c r="F1466" s="217" t="inlineStr">
        <is>
          <t>v</t>
        </is>
      </c>
      <c r="G1466" s="217" t="inlineStr">
        <is>
          <t>វិធីសាស្ត្រទូទាត់</t>
        </is>
      </c>
      <c r="H1466" t="inlineStr">
        <is>
          <t>វិធីសាស្ត្រទូទាត់</t>
        </is>
      </c>
      <c r="I1466" s="74" t="n"/>
      <c r="J1466" s="217" t="inlineStr">
        <is>
          <t>"changePass.feePaymentInfo": "Payment methods",</t>
        </is>
      </c>
    </row>
    <row r="1467" ht="15.75" customHeight="1" s="305">
      <c r="A1467" s="67" t="inlineStr">
        <is>
          <t>changePass.codPaymentInfo</t>
        </is>
      </c>
      <c r="B1467" s="67" t="inlineStr">
        <is>
          <t>Hình thức thanh toán</t>
        </is>
      </c>
      <c r="C1467" s="67">
        <f>IFERROR(__xludf.DUMMYFUNCTION("GOOGLETRANSLATE(B1467,""vi"",""en"")"),"Payment methods")</f>
        <v/>
      </c>
      <c r="D1467" s="3">
        <f>IFERROR(__xludf.DUMMYFUNCTION("GOOGLETRANSLATE(B1467,""vi"",""km"")"),"វិធីសាស្ត្រទូទាត់")</f>
        <v/>
      </c>
      <c r="E1467" s="3" t="inlineStr">
        <is>
          <t>ប្រភេទការទូទាត់</t>
        </is>
      </c>
      <c r="F1467" s="217" t="inlineStr">
        <is>
          <t>v</t>
        </is>
      </c>
      <c r="G1467" s="217" t="inlineStr">
        <is>
          <t>ប្រភេទការទូទាត់</t>
        </is>
      </c>
      <c r="H1467" t="inlineStr">
        <is>
          <t>ប្រភេទការទូទាត់</t>
        </is>
      </c>
      <c r="I1467" s="74" t="n"/>
      <c r="J1467" s="217" t="inlineStr">
        <is>
          <t>"changePass.codPaymentInfo": "Payment methods",</t>
        </is>
      </c>
    </row>
    <row r="1468" ht="15.75" customHeight="1" s="305">
      <c r="A1468" s="67" t="inlineStr">
        <is>
          <t>changePass.codPaymentInformation</t>
        </is>
      </c>
      <c r="B1468" s="67" t="inlineStr">
        <is>
          <t>Thông tin thanh toán COD</t>
        </is>
      </c>
      <c r="C1468" s="67">
        <f>IFERROR(__xludf.DUMMYFUNCTION("GOOGLETRANSLATE(B1468,""vi"",""en"")"),"Cash on Delivery (COD) payment information")</f>
        <v/>
      </c>
      <c r="D1468" s="3">
        <f>IFERROR(__xludf.DUMMYFUNCTION("GOOGLETRANSLATE(B1468,""vi"",""km"")"),"ព័ត៌មានអំពីការទូទាត់ប្រាក់ពេលទទួលទំនិញ (COD)")</f>
        <v/>
      </c>
      <c r="E1468" s="3" t="inlineStr">
        <is>
          <t>ព័ត៌មានទូទាត់ COD</t>
        </is>
      </c>
      <c r="F1468" s="217" t="inlineStr">
        <is>
          <t>v</t>
        </is>
      </c>
      <c r="G1468" s="217" t="inlineStr">
        <is>
          <t>ព័ត៌មានទូទាត់ COD</t>
        </is>
      </c>
      <c r="H1468" t="inlineStr">
        <is>
          <t>ព័ត៌មានទូទាត់ COD</t>
        </is>
      </c>
      <c r="I1468" s="74" t="n"/>
      <c r="J1468" s="217" t="inlineStr">
        <is>
          <t>"changePass.codPaymentInformation": "Cash on Delivery (COD) payment information",</t>
        </is>
      </c>
    </row>
    <row r="1469" ht="15.75" customHeight="1" s="305">
      <c r="A1469" s="67" t="inlineStr">
        <is>
          <t>changePass.MON_WED_FRI</t>
        </is>
      </c>
      <c r="B1469" s="67" t="inlineStr">
        <is>
          <t>Thứ 2,4,6 hàng tuần</t>
        </is>
      </c>
      <c r="C1469" s="67">
        <f>IFERROR(__xludf.DUMMYFUNCTION("GOOGLETRANSLATE(B1469,""vi"",""en"")"),"Mondays, Wednesdays, and Fridays")</f>
        <v/>
      </c>
      <c r="D1469" s="3">
        <f>IFERROR(__xludf.DUMMYFUNCTION("GOOGLETRANSLATE(B1469,""vi"",""km"")"),"ថ្ងៃច័ន្ទ ថ្ងៃពុធ និងថ្ងៃសុក្រ")</f>
        <v/>
      </c>
      <c r="E1469" s="3" t="inlineStr">
        <is>
          <t>ថ្ងៃច័ន្ទ ថ្ងៃពុធ ថ្ងៃសុក្រ រាល់សប្តាហ៍</t>
        </is>
      </c>
      <c r="F1469" s="217" t="inlineStr">
        <is>
          <t>v</t>
        </is>
      </c>
      <c r="G1469" s="217" t="inlineStr">
        <is>
          <t>ថ្ងៃច័ន្ទ ថ្ងៃពុធ ថ្ងៃសុក្រ រាល់សប្តាហ៍</t>
        </is>
      </c>
      <c r="H1469" t="inlineStr">
        <is>
          <t>ថ្ងៃច័ន្ទ ថ្ងៃពុធ ថ្ងៃសុក្រ រាល់សប្តាហ៍</t>
        </is>
      </c>
      <c r="I1469" s="74" t="n"/>
      <c r="J1469" s="217" t="inlineStr">
        <is>
          <t>"changePass.MON_WED_FRI": "Mondays, Wednesdays, and Fridays",</t>
        </is>
      </c>
    </row>
    <row r="1470" ht="15.75" customHeight="1" s="305">
      <c r="A1470" s="67" t="inlineStr">
        <is>
          <t>changePass.TUE_THU</t>
        </is>
      </c>
      <c r="B1470" s="67" t="inlineStr">
        <is>
          <t>Thứ 3,5 hàng tuần</t>
        </is>
      </c>
      <c r="C1470" s="67">
        <f>IFERROR(__xludf.DUMMYFUNCTION("GOOGLETRANSLATE(B1470,""vi"",""en"")"),"Tuesdays and Thursdays every week")</f>
        <v/>
      </c>
      <c r="D1470" s="3">
        <f>IFERROR(__xludf.DUMMYFUNCTION("GOOGLETRANSLATE(B1470,""vi"",""km"")"),"ថ្ងៃអង្គារ និងថ្ងៃព្រហស្បតិ៍ រៀងរាល់សប្តាហ៍")</f>
        <v/>
      </c>
      <c r="E1470" s="3" t="inlineStr">
        <is>
          <t>ថ្ងៃអង្គារ ថ្ងៃព្រហស្បតិ៍ រាល់សប្តាហ៍</t>
        </is>
      </c>
      <c r="F1470" s="217" t="inlineStr">
        <is>
          <t>v</t>
        </is>
      </c>
      <c r="G1470" s="217" t="inlineStr">
        <is>
          <t>ថ្ងៃអង្គារ ថ្ងៃព្រហស្បតិ៍ រាល់សប្តាហ៍</t>
        </is>
      </c>
      <c r="H1470" t="inlineStr">
        <is>
          <t>ថ្ងៃអង្គារ ថ្ងៃព្រហស្បតិ៍ រាល់សប្តាហ៍</t>
        </is>
      </c>
      <c r="I1470" s="74" t="n"/>
      <c r="J1470" s="217" t="inlineStr">
        <is>
          <t>"changePass.TUE_THU": "Tuesdays and Thursdays every week",</t>
        </is>
      </c>
    </row>
    <row r="1471" ht="15.75" customHeight="1" s="305">
      <c r="A1471" s="67" t="inlineStr">
        <is>
          <t>changePass.FIXED_DATE</t>
        </is>
      </c>
      <c r="B1471" s="67" t="inlineStr">
        <is>
          <t>Ngày trong tháng</t>
        </is>
      </c>
      <c r="C1471" s="67">
        <f>IFERROR(__xludf.DUMMYFUNCTION("GOOGLETRANSLATE(B1471,""vi"",""en"")"),"Day of the month")</f>
        <v/>
      </c>
      <c r="D1471" s="3">
        <f>IFERROR(__xludf.DUMMYFUNCTION("GOOGLETRANSLATE(B1471,""vi"",""km"")"),"ថ្ងៃនៃខែ")</f>
        <v/>
      </c>
      <c r="E1471" s="3" t="inlineStr">
        <is>
          <t>ថ្ងៃក្នុងខែ</t>
        </is>
      </c>
      <c r="F1471" s="217" t="inlineStr">
        <is>
          <t>v</t>
        </is>
      </c>
      <c r="G1471" s="217" t="inlineStr">
        <is>
          <t>ថ្ងៃក្នុងខែ</t>
        </is>
      </c>
      <c r="H1471" t="inlineStr">
        <is>
          <t>ថ្ងៃក្នុងខែ</t>
        </is>
      </c>
      <c r="I1471" s="74" t="n"/>
      <c r="J1471" s="217" t="inlineStr">
        <is>
          <t>"changePass.FIXED_DATE": "Day of the month",</t>
        </is>
      </c>
    </row>
    <row r="1472" ht="15.75" customHeight="1" s="305">
      <c r="A1472" s="67" t="inlineStr">
        <is>
          <t>changePass.selectDate</t>
        </is>
      </c>
      <c r="B1472" s="67" t="inlineStr">
        <is>
          <t>Chọn ngày</t>
        </is>
      </c>
      <c r="C1472" s="67">
        <f>IFERROR(__xludf.DUMMYFUNCTION("GOOGLETRANSLATE(B1472,""vi"",""en"")"),"Select a date")</f>
        <v/>
      </c>
      <c r="D1472" s="3">
        <f>IFERROR(__xludf.DUMMYFUNCTION("GOOGLETRANSLATE(B1472,""vi"",""km"")"),"ជ្រើសរើសកាលបរិច្ឆេទ")</f>
        <v/>
      </c>
      <c r="E1472" s="3" t="inlineStr">
        <is>
          <t>ជ្រើសរើសថ្ងៃ</t>
        </is>
      </c>
      <c r="F1472" s="217" t="inlineStr">
        <is>
          <t>v</t>
        </is>
      </c>
      <c r="G1472" s="217" t="inlineStr">
        <is>
          <t>ជ្រើសរើសថ្ងៃ</t>
        </is>
      </c>
      <c r="H1472" t="inlineStr">
        <is>
          <t>ជ្រើសរើសថ្ងៃ</t>
        </is>
      </c>
      <c r="I1472" s="74" t="n"/>
      <c r="J1472" s="217" t="inlineStr">
        <is>
          <t>"changePass.selectDate": "Select a date",</t>
        </is>
      </c>
    </row>
    <row r="1473" ht="15.75" customHeight="1" s="305">
      <c r="A1473" s="67" t="inlineStr">
        <is>
          <t>changePass.descriptionSelectDate</t>
        </is>
      </c>
      <c r="B1473" s="67" t="inlineStr">
        <is>
          <t>Quý khách có thể chọn nhiều ngày trong tháng:</t>
        </is>
      </c>
      <c r="C1473" s="67">
        <f>IFERROR(__xludf.DUMMYFUNCTION("GOOGLETRANSLATE(B1473,""vi"",""en"")"),"You can choose multiple days of the month:")</f>
        <v/>
      </c>
      <c r="D1473" s="3">
        <f>IFERROR(__xludf.DUMMYFUNCTION("GOOGLETRANSLATE(B1473,""vi"",""km"")"),"អ្នកអាចជ្រើសរើសថ្ងៃច្រើននៃខែ៖")</f>
        <v/>
      </c>
      <c r="E1473" s="3" t="inlineStr">
        <is>
          <t>អ្នកអាចជ្រើសរើសច្រើនថ្ងៃក្នុងខែ៖</t>
        </is>
      </c>
      <c r="F1473" s="217" t="inlineStr">
        <is>
          <t>v</t>
        </is>
      </c>
      <c r="G1473" s="217" t="inlineStr">
        <is>
          <t>អ្នកអាចជ្រើសរើសច្រើនថ្ងៃក្នុងខែ៖</t>
        </is>
      </c>
      <c r="H1473" t="inlineStr">
        <is>
          <t>អ្នកអាចជ្រើសរើសច្រើនថ្ងៃក្នុងខែ៖</t>
        </is>
      </c>
      <c r="I1473" s="74" t="n"/>
      <c r="J1473" s="217" t="inlineStr">
        <is>
          <t>"changePass.descriptionSelectDate": "You can choose multiple days of the month:",</t>
        </is>
      </c>
    </row>
    <row r="1474" ht="15.75" customHeight="1" s="305">
      <c r="A1474" s="67" t="inlineStr">
        <is>
          <t>changePass.selectedAll</t>
        </is>
      </c>
      <c r="B1474" s="67" t="inlineStr">
        <is>
          <t>Chọn tất cả</t>
        </is>
      </c>
      <c r="C1474" s="67">
        <f>IFERROR(__xludf.DUMMYFUNCTION("GOOGLETRANSLATE(B1474,""vi"",""en"")"),"Select all")</f>
        <v/>
      </c>
      <c r="D1474" s="3">
        <f>IFERROR(__xludf.DUMMYFUNCTION("GOOGLETRANSLATE(B1474,""vi"",""km"")"),"ជ្រើសរើសទាំងអស់")</f>
        <v/>
      </c>
      <c r="E1474" s="3" t="inlineStr">
        <is>
          <t>ជ្រើសរើសទាំងអស់</t>
        </is>
      </c>
      <c r="F1474" s="217" t="inlineStr">
        <is>
          <t>v</t>
        </is>
      </c>
      <c r="G1474" s="217" t="inlineStr">
        <is>
          <t>ជ្រើសរើសទាំងអស់</t>
        </is>
      </c>
      <c r="H1474" t="inlineStr">
        <is>
          <t>ជ្រើសរើសទាំងអស់</t>
        </is>
      </c>
      <c r="I1474" s="74" t="n"/>
      <c r="J1474" s="217" t="inlineStr">
        <is>
          <t>"changePass.selectedAll": "Select all",</t>
        </is>
      </c>
    </row>
    <row r="1475" ht="15.75" customHeight="1" s="305">
      <c r="A1475" s="67" t="inlineStr">
        <is>
          <t>changePass.selectedAllDay</t>
        </is>
      </c>
      <c r="B1475" s="67" t="inlineStr">
        <is>
          <t>Chọn tất cả các ngày trong tháng</t>
        </is>
      </c>
      <c r="C1475" s="67">
        <f>IFERROR(__xludf.DUMMYFUNCTION("GOOGLETRANSLATE(B1475,""vi"",""en"")"),"Select all days of the month")</f>
        <v/>
      </c>
      <c r="D1475" s="3">
        <f>IFERROR(__xludf.DUMMYFUNCTION("GOOGLETRANSLATE(B1475,""vi"",""km"")"),"ជ្រើសរើសថ្ងៃទាំងអស់នៃខែ")</f>
        <v/>
      </c>
      <c r="E1475" s="3" t="inlineStr">
        <is>
          <t>ជ្រើសរើសថ្ងៃទាំងអស់ក្នុងខែ</t>
        </is>
      </c>
      <c r="F1475" s="217" t="inlineStr">
        <is>
          <t>v</t>
        </is>
      </c>
      <c r="G1475" s="217" t="inlineStr">
        <is>
          <t>ជ្រើសរើសថ្ងៃទាំងអស់ក្នុងខែ</t>
        </is>
      </c>
      <c r="H1475" t="inlineStr">
        <is>
          <t>ជ្រើសរើសថ្ងៃទាំងអស់ក្នុងខែ</t>
        </is>
      </c>
      <c r="I1475" s="74" t="n"/>
      <c r="J1475" s="217" t="inlineStr">
        <is>
          <t>"changePass.selectedAllDay": "Select all days of the month",</t>
        </is>
      </c>
    </row>
    <row r="1476" ht="15.75" customHeight="1" s="305">
      <c r="A1476" s="67" t="inlineStr">
        <is>
          <t>changePass.days</t>
        </is>
      </c>
      <c r="B1476" s="67" t="inlineStr">
        <is>
          <t>Các ngày</t>
        </is>
      </c>
      <c r="C1476" s="67">
        <f>IFERROR(__xludf.DUMMYFUNCTION("GOOGLETRANSLATE(B1476,""vi"",""en"")"),"The days")</f>
        <v/>
      </c>
      <c r="D1476" s="3">
        <f>IFERROR(__xludf.DUMMYFUNCTION("GOOGLETRANSLATE(B1476,""vi"",""km"")"),"ថ្ងៃទាំងនោះ")</f>
        <v/>
      </c>
      <c r="E1476" s="3" t="inlineStr">
        <is>
          <t>ថ្ងៃទាំងអស់</t>
        </is>
      </c>
      <c r="F1476" s="217" t="inlineStr">
        <is>
          <t>v</t>
        </is>
      </c>
      <c r="G1476" s="217" t="inlineStr">
        <is>
          <t>ថ្ងៃទាំងអស់</t>
        </is>
      </c>
      <c r="H1476" t="inlineStr">
        <is>
          <t>ថ្ងៃទាំងអស់</t>
        </is>
      </c>
      <c r="I1476" s="74" t="n"/>
      <c r="J1476" s="217" t="inlineStr">
        <is>
          <t>"changePass.days": "The days",</t>
        </is>
      </c>
    </row>
    <row r="1477" ht="15.75" customHeight="1" s="305">
      <c r="A1477" s="67" t="inlineStr">
        <is>
          <t>changePass.monthly</t>
        </is>
      </c>
      <c r="B1477" s="67" t="inlineStr">
        <is>
          <t>hàng tháng</t>
        </is>
      </c>
      <c r="C1477" s="67">
        <f>IFERROR(__xludf.DUMMYFUNCTION("GOOGLETRANSLATE(B1477,""vi"",""en"")"),"monthly")</f>
        <v/>
      </c>
      <c r="D1477" s="3">
        <f>IFERROR(__xludf.DUMMYFUNCTION("GOOGLETRANSLATE(B1477,""vi"",""km"")"),"ប្រចាំខែ")</f>
        <v/>
      </c>
      <c r="E1477" s="3" t="inlineStr">
        <is>
          <t>រាល់ខែ</t>
        </is>
      </c>
      <c r="F1477" s="217" t="inlineStr">
        <is>
          <t>v</t>
        </is>
      </c>
      <c r="G1477" s="217" t="inlineStr">
        <is>
          <t>រាល់ខែ</t>
        </is>
      </c>
      <c r="H1477" t="inlineStr">
        <is>
          <t>រាល់ខែ</t>
        </is>
      </c>
      <c r="I1477" s="74" t="n"/>
      <c r="J1477" s="217" t="inlineStr">
        <is>
          <t>"changePass.monthly": "monthly",</t>
        </is>
      </c>
    </row>
    <row r="1478" ht="15.75" customHeight="1" s="305">
      <c r="A1478" s="67" t="inlineStr">
        <is>
          <t>changePass.note</t>
        </is>
      </c>
      <c r="B1478" s="67" t="inlineStr">
        <is>
          <t>Lưu ý</t>
        </is>
      </c>
      <c r="C1478" s="67">
        <f>IFERROR(__xludf.DUMMYFUNCTION("GOOGLETRANSLATE(B1478,""vi"",""en"")"),"Note")</f>
        <v/>
      </c>
      <c r="D1478" s="3">
        <f>IFERROR(__xludf.DUMMYFUNCTION("GOOGLETRANSLATE(B1478,""vi"",""km"")"),"កំណត់ចំណាំ")</f>
        <v/>
      </c>
      <c r="E1478" s="3" t="inlineStr">
        <is>
          <t>ចំណាំ</t>
        </is>
      </c>
      <c r="F1478" s="217" t="inlineStr">
        <is>
          <t>v</t>
        </is>
      </c>
      <c r="G1478" s="217" t="inlineStr">
        <is>
          <t>ចំណាំ</t>
        </is>
      </c>
      <c r="H1478" t="inlineStr">
        <is>
          <t>ចំណាំ</t>
        </is>
      </c>
      <c r="I1478" s="74" t="n"/>
      <c r="J1478" s="217" t="inlineStr">
        <is>
          <t>"changePass.note": "Note",</t>
        </is>
      </c>
    </row>
    <row r="1479" ht="15.75" customHeight="1" s="305">
      <c r="A1479" s="67" t="inlineStr">
        <is>
          <t>changePass.noteDate</t>
        </is>
      </c>
      <c r="B1479" s="67" t="inlineStr">
        <is>
          <t>Khi quý khách chọn ngày 31, đối với những tháng 28, 29 hoặc 30 ngày, hoá đơn sẽ xuất vào cuối mỗi tháng</t>
        </is>
      </c>
      <c r="C1479" s="67">
        <f>IFERROR(__xludf.DUMMYFUNCTION("GOOGLETRANSLATE(B1479,""vi"",""en"")"),"When you select the 31st, for months with 28, 29, or 30 days, the invoice will be issued at the end of each month.")</f>
        <v/>
      </c>
      <c r="D1479" s="3">
        <f>IFERROR(__xludf.DUMMYFUNCTION("GOOGLETRANSLATE(B1479,""vi"",""km"")"),"នៅពេលអ្នកជ្រើសរើសថ្ងៃទី 31 សម្រាប់ខែដែលមាន 28, 29 ឬ 30 ថ្ងៃ វិក្កយបត្រនឹងត្រូវបានចេញនៅចុងខែនីមួយៗ។")</f>
        <v/>
      </c>
      <c r="E1479" s="3" t="inlineStr">
        <is>
          <t>នៅពេលអ្នកជ្រើសរើសថ្ងៃទី 31 សម្រាប់ខែដែលមាន 28, 29 ឬ 30 ថ្ងៃ វិក្កយបត្រនឹងត្រូវបានចេញនៅចុងខែនីមួយៗ</t>
        </is>
      </c>
      <c r="F1479" s="217" t="inlineStr">
        <is>
          <t>v</t>
        </is>
      </c>
      <c r="G1479" s="3" t="inlineStr">
        <is>
          <t>នៅពេលអ្នកជ្រើសរើសថ្ងៃទី 31 សម្រាប់ខែដែលមាន 28, 29 ឬ 30 ថ្ងៃ វិក្កយបត្រនឹងត្រូវបានចេញនៅចុងខែនីមួយៗ</t>
        </is>
      </c>
      <c r="H1479" t="inlineStr">
        <is>
          <t>នៅពេលអ្នកជ្រើសរើសថ្ងៃទី 31 សម្រាប់ខែដែលមាន 28, 29 ឬ 30 ថ្ងៃ វិក្កយបត្រនឹងត្រូវបានចេញនៅចុងខែនីមួយៗ</t>
        </is>
      </c>
      <c r="I1479" s="74" t="n"/>
      <c r="J1479" s="217" t="inlineStr">
        <is>
          <t>"changePass.noteDate": "When you select the 31st, for months with 28, 29, or 30 days, the invoice will be issued at the end of each month.",</t>
        </is>
      </c>
    </row>
    <row r="1480" ht="15.75" customHeight="1" s="305">
      <c r="A1480" s="67" t="inlineStr">
        <is>
          <t>changePass.saveSelect</t>
        </is>
      </c>
      <c r="B1480" s="67" t="inlineStr">
        <is>
          <t>Lưu tùy chọn</t>
        </is>
      </c>
      <c r="C1480" s="67">
        <f>IFERROR(__xludf.DUMMYFUNCTION("GOOGLETRANSLATE(B1480,""vi"",""en"")"),"Save options")</f>
        <v/>
      </c>
      <c r="D1480" s="3">
        <f>IFERROR(__xludf.DUMMYFUNCTION("GOOGLETRANSLATE(B1480,""vi"",""km"")"),"រក្សាទុកជម្រើស")</f>
        <v/>
      </c>
      <c r="E1480" s="3" t="inlineStr">
        <is>
          <t>រក្សាទុកជម្រើស</t>
        </is>
      </c>
      <c r="F1480" s="217" t="inlineStr">
        <is>
          <t>v</t>
        </is>
      </c>
      <c r="G1480" s="217" t="inlineStr">
        <is>
          <t>រក្សាទុកជម្រើស</t>
        </is>
      </c>
      <c r="H1480" t="inlineStr">
        <is>
          <t>រក្សាទុកជម្រើស</t>
        </is>
      </c>
      <c r="I1480" s="74" t="n"/>
      <c r="J1480" s="217" t="inlineStr">
        <is>
          <t>"changePass.saveSelect": "Save options",</t>
        </is>
      </c>
    </row>
    <row r="1481" ht="15.75" customHeight="1" s="305">
      <c r="A1481" s="67" t="inlineStr">
        <is>
          <t>changePass.constPayment.DEDUCTED_FROM_COD</t>
        </is>
      </c>
      <c r="B1481" s="67" t="inlineStr">
        <is>
          <t>Cấn trừ tiền cước phí dịch vụ với tiền COD</t>
        </is>
      </c>
      <c r="C1481" s="67">
        <f>IFERROR(__xludf.DUMMYFUNCTION("GOOGLETRANSLATE(B1481,""vi"",""en"")"),"Deduct the service fee from the COD payment.")</f>
        <v/>
      </c>
      <c r="D1481" s="3">
        <f>IFERROR(__xludf.DUMMYFUNCTION("GOOGLETRANSLATE(B1481,""vi"",""km"")"),"កាត់ថ្លៃសេវាកម្មចេញពីការទូទាត់ COD។")</f>
        <v/>
      </c>
      <c r="E1481" s="3" t="inlineStr">
        <is>
          <t>កាត់ថ្លៃសេវាកម្មពីការទូទាត់ COD</t>
        </is>
      </c>
      <c r="F1481" s="217" t="inlineStr">
        <is>
          <t>v</t>
        </is>
      </c>
      <c r="G1481" s="217" t="inlineStr">
        <is>
          <t>កាត់ថ្លៃសេវាកម្មពីការទូទាត់ COD</t>
        </is>
      </c>
      <c r="H1481" t="inlineStr">
        <is>
          <t>កាត់ថ្លៃសេវាកម្មពីការទូទាត់ COD</t>
        </is>
      </c>
      <c r="I1481" s="74" t="n"/>
      <c r="J1481" s="217" t="inlineStr">
        <is>
          <t>"changePass.constPayment.DEDUCTED_FROM_COD": "Deduct the service fee from the COD payment.",</t>
        </is>
      </c>
    </row>
    <row r="1482" ht="15.75" customHeight="1" s="305">
      <c r="A1482" s="67" t="inlineStr">
        <is>
          <t>changePass.constPayment.BANK_TRANSFER</t>
        </is>
      </c>
      <c r="B1482" s="67" t="inlineStr">
        <is>
          <t>Chuyển khoản</t>
        </is>
      </c>
      <c r="C1482" s="67">
        <f>IFERROR(__xludf.DUMMYFUNCTION("GOOGLETRANSLATE(B1482,""vi"",""en"")"),"Transfer")</f>
        <v/>
      </c>
      <c r="D1482" s="3">
        <f>IFERROR(__xludf.DUMMYFUNCTION("GOOGLETRANSLATE(B1482,""vi"",""km"")"),"ផ្ទេរ")</f>
        <v/>
      </c>
      <c r="E1482" s="3" t="inlineStr">
        <is>
          <t>ការផ្ទេរប្រាក់តាមធនាគារ</t>
        </is>
      </c>
      <c r="F1482" s="217" t="inlineStr">
        <is>
          <t>v</t>
        </is>
      </c>
      <c r="G1482" s="217" t="inlineStr">
        <is>
          <t>ផ្ទេរប្រាក់</t>
        </is>
      </c>
      <c r="H1482" t="inlineStr">
        <is>
          <t>ផ្ទេរប្រាក់</t>
        </is>
      </c>
      <c r="I1482" s="74" t="n"/>
      <c r="J1482" s="217" t="inlineStr">
        <is>
          <t>"changePass.constPayment.BANK_TRANSFER": "Transfer",</t>
        </is>
      </c>
    </row>
    <row r="1483" ht="15.75" customHeight="1" s="305">
      <c r="A1483" s="67" t="inlineStr">
        <is>
          <t>changePass.validateBillingCycleDayOfMonth</t>
        </is>
      </c>
      <c r="B1483" s="67" t="inlineStr">
        <is>
          <t>Vui lòng chọn ít nhất 1 ngày trong tháng</t>
        </is>
      </c>
      <c r="C1483" s="67">
        <f>IFERROR(__xludf.DUMMYFUNCTION("GOOGLETRANSLATE(B1483,""vi"",""en"")"),"Please select at least one day in the month.")</f>
        <v/>
      </c>
      <c r="D1483" s="3">
        <f>IFERROR(__xludf.DUMMYFUNCTION("GOOGLETRANSLATE(B1483,""vi"",""km"")"),"សូមជ្រើសរើសយ៉ាងហោចណាស់មួយថ្ងៃក្នុងមួយខែ។")</f>
        <v/>
      </c>
      <c r="E1483" s="3" t="inlineStr">
        <is>
          <t>សូមជ្រើសរើសយ៉ាងហោចណាស់ 1 ថ្ងៃក្នុង1ខែ</t>
        </is>
      </c>
      <c r="F1483" s="217" t="inlineStr">
        <is>
          <t>v</t>
        </is>
      </c>
      <c r="G1483" s="217" t="inlineStr">
        <is>
          <t>សូមជ្រើសរើសយ៉ាងហោចណាស់ 1 ថ្ងៃក្នុង1ខែ</t>
        </is>
      </c>
      <c r="H1483" t="inlineStr">
        <is>
          <t>សូមជ្រើសរើសយ៉ាងហោចណាស់ 1 ថ្ងៃក្នុង1ខែ</t>
        </is>
      </c>
      <c r="I1483" s="74" t="n"/>
      <c r="J1483" s="217" t="inlineStr">
        <is>
          <t>"changePass.validateBillingCycleDayOfMonth": "Please select at least one day in the month.",</t>
        </is>
      </c>
    </row>
    <row r="1484" ht="15.75" customHeight="1" s="305">
      <c r="A1484" s="67" t="inlineStr">
        <is>
          <t>changePass.changePassword</t>
        </is>
      </c>
      <c r="B1484" s="67" t="inlineStr">
        <is>
          <t>Đổi mật khẩu</t>
        </is>
      </c>
      <c r="C1484" s="67">
        <f>IFERROR(__xludf.DUMMYFUNCTION("GOOGLETRANSLATE(B1484,""vi"",""en"")"),"Change password")</f>
        <v/>
      </c>
      <c r="D1484" s="3">
        <f>IFERROR(__xludf.DUMMYFUNCTION("GOOGLETRANSLATE(B1484,""vi"",""km"")"),"ប្តូរពាក្យសម្ងាត់")</f>
        <v/>
      </c>
      <c r="E1484" s="3" t="inlineStr">
        <is>
          <t>ផ្លាស់ប្តូរពាក្យសម្ងាត់</t>
        </is>
      </c>
      <c r="F1484" s="217" t="inlineStr">
        <is>
          <t>v</t>
        </is>
      </c>
      <c r="G1484" s="217" t="inlineStr">
        <is>
          <t>ផ្លាស់ប្តូរពាក្យសម្ងាត់</t>
        </is>
      </c>
      <c r="H1484" t="inlineStr">
        <is>
          <t>ផ្លាស់ប្តូរពាក្យសម្ងាត់</t>
        </is>
      </c>
      <c r="I1484" s="74" t="n"/>
      <c r="J1484" s="217" t="inlineStr">
        <is>
          <t>"changePass.changePassword": "Change password",</t>
        </is>
      </c>
    </row>
    <row r="1485" ht="15.75" customHeight="1" s="305">
      <c r="A1485" s="67" t="inlineStr">
        <is>
          <t>changePass.forgetPassword</t>
        </is>
      </c>
      <c r="B1485" s="67" t="inlineStr">
        <is>
          <t>Quên mật khẩu hiện tại</t>
        </is>
      </c>
      <c r="C1485" s="67">
        <f>IFERROR(__xludf.DUMMYFUNCTION("GOOGLETRANSLATE(B1485,""vi"",""en"")"),"Forgot your current password")</f>
        <v/>
      </c>
      <c r="D1485" s="3">
        <f>IFERROR(__xludf.DUMMYFUNCTION("GOOGLETRANSLATE(B1485,""vi"",""km"")"),"ភ្លេចពាក្យសម្ងាត់បច្ចុប្បន្នរបស់អ្នក")</f>
        <v/>
      </c>
      <c r="E1485" s="3" t="inlineStr">
        <is>
          <t>ភ្លេចពាក្យសម្ងាត់បច្ចុប្បន្ន</t>
        </is>
      </c>
      <c r="F1485" s="217" t="inlineStr">
        <is>
          <t>v</t>
        </is>
      </c>
      <c r="G1485" s="217" t="inlineStr">
        <is>
          <t>ភ្លេចពាក្យសម្ងាត់បច្ចុប្បន្ន</t>
        </is>
      </c>
      <c r="H1485" t="inlineStr">
        <is>
          <t>ភ្លេចពាក្យសម្ងាត់បច្ចុប្បន្ន</t>
        </is>
      </c>
      <c r="I1485" s="74" t="n"/>
      <c r="J1485" s="217" t="inlineStr">
        <is>
          <t>"changePass.forgetPassword": "Forgot your current password",</t>
        </is>
      </c>
    </row>
    <row r="1486" ht="15.75" customHeight="1" s="305">
      <c r="A1486" s="67" t="inlineStr">
        <is>
          <t>changePass.currentPassword</t>
        </is>
      </c>
      <c r="B1486" s="67" t="inlineStr">
        <is>
          <t>Mật khẩu hiện tại</t>
        </is>
      </c>
      <c r="C1486" s="67">
        <f>IFERROR(__xludf.DUMMYFUNCTION("GOOGLETRANSLATE(B1486,""vi"",""en"")"),"Current password")</f>
        <v/>
      </c>
      <c r="D1486" s="3">
        <f>IFERROR(__xludf.DUMMYFUNCTION("GOOGLETRANSLATE(B1486,""vi"",""km"")"),"ពាក្យសម្ងាត់បច្ចុប្បន្ន")</f>
        <v/>
      </c>
      <c r="E1486" s="3" t="inlineStr">
        <is>
          <t>ពាក្យសម្ងាត់បច្ចុប្បន្ន</t>
        </is>
      </c>
      <c r="F1486" s="217" t="inlineStr">
        <is>
          <t>v</t>
        </is>
      </c>
      <c r="G1486" s="217" t="inlineStr">
        <is>
          <t>ពាក្យសម្ងាត់បច្ចុប្បន្ន</t>
        </is>
      </c>
      <c r="H1486" t="inlineStr">
        <is>
          <t>ពាក្យសម្ងាត់បច្ចុប្បន្ន</t>
        </is>
      </c>
      <c r="I1486" s="74" t="n"/>
      <c r="J1486" s="217" t="inlineStr">
        <is>
          <t>"changePass.currentPassword": "Current password",</t>
        </is>
      </c>
    </row>
    <row r="1487" ht="15.75" customHeight="1" s="305">
      <c r="A1487" s="67" t="inlineStr">
        <is>
          <t>changePass.currentPasswordPlaceholder</t>
        </is>
      </c>
      <c r="B1487" s="67" t="inlineStr">
        <is>
          <t>Nhập mật khẩu hiện tại</t>
        </is>
      </c>
      <c r="C1487" s="67">
        <f>IFERROR(__xludf.DUMMYFUNCTION("GOOGLETRANSLATE(B1487,""vi"",""en"")"),"Enter your current password")</f>
        <v/>
      </c>
      <c r="D1487" s="3">
        <f>IFERROR(__xludf.DUMMYFUNCTION("GOOGLETRANSLATE(B1487,""vi"",""km"")"),"បញ្ចូលពាក្យសម្ងាត់បច្ចុប្បន្នរបស់អ្នក")</f>
        <v/>
      </c>
      <c r="E1487" s="3" t="inlineStr">
        <is>
          <t>បញ្ចូលពាក្យសម្ងាត់បច្ចុប្បន្ន</t>
        </is>
      </c>
      <c r="F1487" s="217" t="inlineStr">
        <is>
          <t>v</t>
        </is>
      </c>
      <c r="G1487" s="217" t="inlineStr">
        <is>
          <t>បញ្ចូលពាក្យសម្ងាត់បច្ចុប្បន្ន</t>
        </is>
      </c>
      <c r="H1487" t="inlineStr">
        <is>
          <t>បញ្ចូលពាក្យសម្ងាត់បច្ចុប្បន្ន</t>
        </is>
      </c>
      <c r="I1487" s="74" t="n"/>
      <c r="J1487" s="217" t="inlineStr">
        <is>
          <t>"changePass.currentPasswordPlaceholder": "Enter your current password",</t>
        </is>
      </c>
    </row>
    <row r="1488" ht="15.75" customHeight="1" s="305">
      <c r="A1488" s="67" t="inlineStr">
        <is>
          <t>changePass.newPassword</t>
        </is>
      </c>
      <c r="B1488" s="67" t="inlineStr">
        <is>
          <t>Mật khẩu mới</t>
        </is>
      </c>
      <c r="C1488" s="67">
        <f>IFERROR(__xludf.DUMMYFUNCTION("GOOGLETRANSLATE(B1488,""vi"",""en"")"),"New password")</f>
        <v/>
      </c>
      <c r="D1488" s="3">
        <f>IFERROR(__xludf.DUMMYFUNCTION("GOOGLETRANSLATE(B1488,""vi"",""km"")"),"ពាក្យសម្ងាត់ថ្មី")</f>
        <v/>
      </c>
      <c r="E1488" s="3" t="inlineStr">
        <is>
          <t>ពាក្យសម្ងាត់ថ្មី</t>
        </is>
      </c>
      <c r="F1488" s="217" t="inlineStr">
        <is>
          <t>v</t>
        </is>
      </c>
      <c r="G1488" s="217" t="inlineStr">
        <is>
          <t>ពាក្យសម្ងាត់ថ្មី</t>
        </is>
      </c>
      <c r="H1488" t="inlineStr">
        <is>
          <t>ពាក្យសម្ងាត់ថ្មី</t>
        </is>
      </c>
      <c r="I1488" s="74" t="n"/>
      <c r="J1488" s="217" t="inlineStr">
        <is>
          <t>"changePass.newPassword": "New password",</t>
        </is>
      </c>
    </row>
    <row r="1489" ht="15.75" customHeight="1" s="305">
      <c r="A1489" s="67" t="inlineStr">
        <is>
          <t>changePass.newPasswordPlaceholder</t>
        </is>
      </c>
      <c r="B1489" s="67" t="inlineStr">
        <is>
          <t>Nhập mật khẩu mới</t>
        </is>
      </c>
      <c r="C1489" s="67">
        <f>IFERROR(__xludf.DUMMYFUNCTION("GOOGLETRANSLATE(B1489,""vi"",""en"")"),"Enter new password")</f>
        <v/>
      </c>
      <c r="D1489" s="3">
        <f>IFERROR(__xludf.DUMMYFUNCTION("GOOGLETRANSLATE(B1489,""vi"",""km"")"),"បញ្ចូលពាក្យសម្ងាត់ថ្មី")</f>
        <v/>
      </c>
      <c r="E1489" s="3" t="inlineStr">
        <is>
          <t>បញ្ចូលពាក្យសម្ងាត់ថ្មី</t>
        </is>
      </c>
      <c r="F1489" s="217" t="inlineStr">
        <is>
          <t>v</t>
        </is>
      </c>
      <c r="G1489" s="217" t="inlineStr">
        <is>
          <t>បញ្ចូលពាក្យសម្ងាត់ថ្មី</t>
        </is>
      </c>
      <c r="H1489" t="inlineStr">
        <is>
          <t>បញ្ចូលពាក្យសម្ងាត់ថ្មី</t>
        </is>
      </c>
      <c r="I1489" s="74" t="n"/>
      <c r="J1489" s="217" t="inlineStr">
        <is>
          <t>"changePass.newPasswordPlaceholder": "Enter new password",</t>
        </is>
      </c>
    </row>
    <row r="1490" ht="15.75" customHeight="1" s="305">
      <c r="A1490" s="67" t="inlineStr">
        <is>
          <t>changePass.confirmPassword</t>
        </is>
      </c>
      <c r="B1490" s="67" t="inlineStr">
        <is>
          <t>Xác nhận mật khẩu</t>
        </is>
      </c>
      <c r="C1490" s="67">
        <f>IFERROR(__xludf.DUMMYFUNCTION("GOOGLETRANSLATE(B1490,""vi"",""en"")"),"Confirm password")</f>
        <v/>
      </c>
      <c r="D1490" s="3">
        <f>IFERROR(__xludf.DUMMYFUNCTION("GOOGLETRANSLATE(B1490,""vi"",""km"")"),"បញ្ជាក់ពាក្យសម្ងាត់")</f>
        <v/>
      </c>
      <c r="E1490" s="3" t="inlineStr">
        <is>
          <t>បញ្ជាក់ពាក្យសម្ងាត់</t>
        </is>
      </c>
      <c r="F1490" s="217" t="inlineStr">
        <is>
          <t>v</t>
        </is>
      </c>
      <c r="G1490" s="217" t="inlineStr">
        <is>
          <t>បញ្ជាក់ពាក្យសម្ងាត់</t>
        </is>
      </c>
      <c r="H1490" t="inlineStr">
        <is>
          <t>បញ្ជាក់ពាក្យសម្ងាត់</t>
        </is>
      </c>
      <c r="I1490" s="74" t="n"/>
      <c r="J1490" s="217" t="inlineStr">
        <is>
          <t>"changePass.confirmPassword": "Confirm password",</t>
        </is>
      </c>
    </row>
    <row r="1491" ht="15.75" customHeight="1" s="305">
      <c r="A1491" s="67" t="inlineStr">
        <is>
          <t>changePass.confirmPasswordPlaceholder</t>
        </is>
      </c>
      <c r="B1491" s="67" t="inlineStr">
        <is>
          <t>Nhập lại mật khẩu mới</t>
        </is>
      </c>
      <c r="C1491" s="67">
        <f>IFERROR(__xludf.DUMMYFUNCTION("GOOGLETRANSLATE(B1491,""vi"",""en"")"),"Re-enter your new password.")</f>
        <v/>
      </c>
      <c r="D1491" s="3">
        <f>IFERROR(__xludf.DUMMYFUNCTION("GOOGLETRANSLATE(B1491,""vi"",""km"")"),"បញ្ចូលពាក្យសម្ងាត់ថ្មីរបស់អ្នកឡើងវិញ។")</f>
        <v/>
      </c>
      <c r="E1491" s="3" t="inlineStr">
        <is>
          <t>បញ្ចូលពាក្យសម្ងាត់ថ្មីឡើងវិញ</t>
        </is>
      </c>
      <c r="F1491" s="217" t="inlineStr">
        <is>
          <t>v</t>
        </is>
      </c>
      <c r="G1491" s="217" t="inlineStr">
        <is>
          <t>បញ្ចូលពាក្យសម្ងាត់ថ្មីឡើងវិញ</t>
        </is>
      </c>
      <c r="H1491" t="inlineStr">
        <is>
          <t>បញ្ចូលពាក្យសម្ងាត់ថ្មីឡើងវិញ</t>
        </is>
      </c>
      <c r="I1491" s="74" t="n"/>
      <c r="J1491" s="217" t="inlineStr">
        <is>
          <t>"changePass.confirmPasswordPlaceholder": "Re-enter your new password.",</t>
        </is>
      </c>
    </row>
    <row r="1492" ht="15.75" customHeight="1" s="305">
      <c r="A1492" s="67" t="inlineStr">
        <is>
          <t>changePass.save</t>
        </is>
      </c>
      <c r="B1492" s="67" t="inlineStr">
        <is>
          <t>Lưu thay đổi</t>
        </is>
      </c>
      <c r="C1492" s="67">
        <f>IFERROR(__xludf.DUMMYFUNCTION("GOOGLETRANSLATE(B1492,""vi"",""en"")"),"Save changes")</f>
        <v/>
      </c>
      <c r="D1492" s="3">
        <f>IFERROR(__xludf.DUMMYFUNCTION("GOOGLETRANSLATE(B1492,""vi"",""km"")"),"រក្សាទុកការផ្លាស់ប្តូរ")</f>
        <v/>
      </c>
      <c r="E1492" s="3" t="inlineStr">
        <is>
          <t>រក្សាទុកការផ្លាស់ប្តូរ</t>
        </is>
      </c>
      <c r="F1492" s="217" t="inlineStr">
        <is>
          <t>v</t>
        </is>
      </c>
      <c r="G1492" s="217" t="inlineStr">
        <is>
          <t>រក្សាទុកការផ្លាស់ប្តូរ</t>
        </is>
      </c>
      <c r="H1492" t="inlineStr">
        <is>
          <t>រក្សាទុកការផ្លាស់ប្តូរ</t>
        </is>
      </c>
      <c r="I1492" s="74" t="n"/>
      <c r="J1492" s="217" t="inlineStr">
        <is>
          <t>"changePass.save": "Save changes",</t>
        </is>
      </c>
    </row>
    <row r="1493" ht="15.75" customHeight="1" s="305">
      <c r="A1493" s="67" t="inlineStr">
        <is>
          <t>changePass.passwordLength</t>
        </is>
      </c>
      <c r="B1493" s="67" t="inlineStr">
        <is>
          <t>Độ dài tối thiếu 8 ký tự và tối đa 20 ký tự</t>
        </is>
      </c>
      <c r="C1493" s="67">
        <f>IFERROR(__xludf.DUMMYFUNCTION("GOOGLETRANSLATE(B1493,""vi"",""en"")"),"Minimum length is 8 characters and maximum is 20 characters.")</f>
        <v/>
      </c>
      <c r="D1493" s="3">
        <f>IFERROR(__xludf.DUMMYFUNCTION("GOOGLETRANSLATE(B1493,""vi"",""km"")"),"ប្រវែងអប្បបរមាគឺ ៨ តួអក្សរ និងអតិបរមាគឺ ២០ តួអក្សរ។")</f>
        <v/>
      </c>
      <c r="E1493" s="3" t="inlineStr">
        <is>
          <t>ប្រវែងអប្បបរមា 8 តួអក្សរ និងប្រវែងអតិបរមា 20 តួអក្សរ</t>
        </is>
      </c>
      <c r="F1493" s="217" t="inlineStr">
        <is>
          <t>v</t>
        </is>
      </c>
      <c r="G1493" s="217" t="inlineStr">
        <is>
          <t>ប្រវែងអប្បបរមា 8 តួអក្សរ និងប្រវែងអតិបរមា 20 តួអក្សរ</t>
        </is>
      </c>
      <c r="H1493" t="inlineStr">
        <is>
          <t>ប្រវែងអប្បបរមា 8 តួអក្សរ និងប្រវែងអតិបរមា 20 តួអក្សរ</t>
        </is>
      </c>
      <c r="I1493" s="74" t="n"/>
      <c r="J1493" s="217" t="inlineStr">
        <is>
          <t>"changePass.passwordLength": "Minimum length is 8 characters and maximum is 20 characters.",</t>
        </is>
      </c>
    </row>
    <row r="1494" ht="15.75" customHeight="1" s="305">
      <c r="A1494" s="67" t="inlineStr">
        <is>
          <t>changePass.passwordAccept</t>
        </is>
      </c>
      <c r="B1494" s="67" t="inlineStr">
        <is>
          <t>Gồm ký tự số và chữ</t>
        </is>
      </c>
      <c r="C1494" s="67">
        <f>IFERROR(__xludf.DUMMYFUNCTION("GOOGLETRANSLATE(B1494,""vi"",""en"")"),"Consists of both numbers and letters.")</f>
        <v/>
      </c>
      <c r="D1494" s="3">
        <f>IFERROR(__xludf.DUMMYFUNCTION("GOOGLETRANSLATE(B1494,""vi"",""km"")"),"មានទាំងលេខ និងអក្សរ។")</f>
        <v/>
      </c>
      <c r="E1494" s="3" t="inlineStr">
        <is>
          <t>រួមបញ្ចូលទាំងលេខ និងអក្សរ</t>
        </is>
      </c>
      <c r="F1494" s="217" t="inlineStr">
        <is>
          <t>v</t>
        </is>
      </c>
      <c r="G1494" s="217" t="inlineStr">
        <is>
          <t>រួមបញ្ចូលទាំងលេខ និងអក្សរ</t>
        </is>
      </c>
      <c r="H1494" t="inlineStr">
        <is>
          <t>រួមបញ្ចូលទាំងលេខ និងអក្សរ</t>
        </is>
      </c>
      <c r="I1494" s="74" t="n"/>
      <c r="J1494" s="217" t="inlineStr">
        <is>
          <t>"changePass.passwordAccept": "Consists of both numbers and letters.",</t>
        </is>
      </c>
    </row>
    <row r="1495" ht="15.75" customHeight="1" s="305">
      <c r="A1495" s="67" t="inlineStr">
        <is>
          <t>changePass.overlap</t>
        </is>
      </c>
      <c r="B1495" s="67" t="inlineStr">
        <is>
          <t>Mật khẩu mới không được trùng với mật khẩu cũ</t>
        </is>
      </c>
      <c r="C1495" s="67">
        <f>IFERROR(__xludf.DUMMYFUNCTION("GOOGLETRANSLATE(B1495,""vi"",""en"")"),"The new password must not be the same as the old password.")</f>
        <v/>
      </c>
      <c r="D1495" s="3">
        <f>IFERROR(__xludf.DUMMYFUNCTION("GOOGLETRANSLATE(B1495,""vi"",""km"")"),"ពាក្យសម្ងាត់ថ្មីមិនត្រូវដូចគ្នានឹងពាក្យសម្ងាត់ចាស់ទេ។")</f>
        <v/>
      </c>
      <c r="E1495" s="3" t="inlineStr">
        <is>
          <t>ពាក្យសម្ងាត់ថ្មីមិនត្រូវដូចគ្នានឹងពាក្យសម្ងាត់ចាស់ទេ</t>
        </is>
      </c>
      <c r="F1495" s="217" t="inlineStr">
        <is>
          <t>v</t>
        </is>
      </c>
      <c r="G1495" s="217" t="inlineStr">
        <is>
          <t>ពាក្យសម្ងាត់ថ្មីមិនត្រូវដូចគ្នានឹងពាក្យសម្ងាត់ចាស់ទេ</t>
        </is>
      </c>
      <c r="H1495" t="inlineStr">
        <is>
          <t>ពាក្យសម្ងាត់ថ្មីមិនត្រូវដូចគ្នានឹងពាក្យសម្ងាត់ចាស់ទេ</t>
        </is>
      </c>
      <c r="I1495" s="74" t="n"/>
      <c r="J1495" s="217" t="inlineStr">
        <is>
          <t>"changePass.overlap": "The new password must not be the same as the old password.",</t>
        </is>
      </c>
    </row>
    <row r="1496" ht="15.75" customHeight="1" s="305">
      <c r="A1496" s="67" t="inlineStr">
        <is>
          <t>changePass.passwordWrong</t>
        </is>
      </c>
      <c r="B1496" s="67" t="inlineStr">
        <is>
          <t>Mật khẩu không đúng quy tắc</t>
        </is>
      </c>
      <c r="C1496" s="67">
        <f>IFERROR(__xludf.DUMMYFUNCTION("GOOGLETRANSLATE(B1496,""vi"",""en"")"),"The password is incorrect.")</f>
        <v/>
      </c>
      <c r="D1496" s="3">
        <f>IFERROR(__xludf.DUMMYFUNCTION("GOOGLETRANSLATE(B1496,""vi"",""km"")"),"ពាក្យសម្ងាត់មិនត្រឹមត្រូវ។")</f>
        <v/>
      </c>
      <c r="E1496" s="3" t="inlineStr">
        <is>
          <t>ពាក្យសម្ងាត់មិនត្រឹមត្រូវ</t>
        </is>
      </c>
      <c r="F1496" s="217" t="inlineStr">
        <is>
          <t>v</t>
        </is>
      </c>
      <c r="G1496" s="217" t="inlineStr">
        <is>
          <t>ពាក្យសម្ងាត់មិនត្រឹមត្រូវ</t>
        </is>
      </c>
      <c r="H1496" t="inlineStr">
        <is>
          <t>ពាក្យសម្ងាត់មិនត្រឹមត្រូវ</t>
        </is>
      </c>
      <c r="I1496" s="74" t="n"/>
      <c r="J1496" s="217" t="inlineStr">
        <is>
          <t>"changePass.passwordWrong": "The password is incorrect.",</t>
        </is>
      </c>
    </row>
    <row r="1497" ht="15.75" customHeight="1" s="305">
      <c r="A1497" s="67" t="inlineStr">
        <is>
          <t>changePass.confirmPasswordWrong</t>
        </is>
      </c>
      <c r="B1497" s="67" t="inlineStr">
        <is>
          <t>Xác nhận mật khẩu không chính xác</t>
        </is>
      </c>
      <c r="C1497" s="67">
        <f>IFERROR(__xludf.DUMMYFUNCTION("GOOGLETRANSLATE(B1497,""vi"",""en"")"),"Password confirmation is incorrect.")</f>
        <v/>
      </c>
      <c r="D1497" s="3">
        <f>IFERROR(__xludf.DUMMYFUNCTION("GOOGLETRANSLATE(B1497,""vi"",""km"")"),"ការបញ្ជាក់ពាក្យសម្ងាត់មិនត្រឹមត្រូវ។")</f>
        <v/>
      </c>
      <c r="E1497" s="3" t="inlineStr">
        <is>
          <t>ការបញ្ជាក់ពាក្យសម្ងាត់មិនត្រឹមត្រូវ</t>
        </is>
      </c>
      <c r="F1497" s="217" t="inlineStr">
        <is>
          <t>v</t>
        </is>
      </c>
      <c r="G1497" s="217" t="inlineStr">
        <is>
          <t>ការបញ្ជាក់ពាក្យសម្ងាត់មិនត្រឹមត្រូវ</t>
        </is>
      </c>
      <c r="H1497" t="inlineStr">
        <is>
          <t>ការបញ្ជាក់ពាក្យសម្ងាត់មិនត្រឹមត្រូវ</t>
        </is>
      </c>
      <c r="I1497" s="74" t="n"/>
      <c r="J1497" s="217" t="inlineStr">
        <is>
          <t>"changePass.confirmPasswordWrong": "Password confirmation is incorrect.",</t>
        </is>
      </c>
    </row>
    <row r="1498" ht="15.75" customHeight="1" s="305">
      <c r="A1498" s="67" t="inlineStr">
        <is>
          <t>changePass.passwordInvalid</t>
        </is>
      </c>
      <c r="B1498" s="67" t="inlineStr">
        <is>
          <t>Mật khẩu không chính xác</t>
        </is>
      </c>
      <c r="C1498" s="67">
        <f>IFERROR(__xludf.DUMMYFUNCTION("GOOGLETRANSLATE(B1498,""vi"",""en"")"),"Incorrect password")</f>
        <v/>
      </c>
      <c r="D1498" s="3">
        <f>IFERROR(__xludf.DUMMYFUNCTION("GOOGLETRANSLATE(B1498,""vi"",""km"")"),"ពាក្យសម្ងាត់មិនត្រឹមត្រូវ")</f>
        <v/>
      </c>
      <c r="E1498" s="3" t="inlineStr">
        <is>
          <t>ពាក្យសម្ងាត់មិនត្រឹមត្រូវ</t>
        </is>
      </c>
      <c r="F1498" s="217" t="inlineStr">
        <is>
          <t>v</t>
        </is>
      </c>
      <c r="G1498" s="217" t="inlineStr">
        <is>
          <t>ពាក្យសម្ងាត់មិនត្រឹមត្រូវ</t>
        </is>
      </c>
      <c r="H1498" t="inlineStr">
        <is>
          <t>ពាក្យសម្ងាត់មិនត្រឹមត្រូវ</t>
        </is>
      </c>
      <c r="I1498" s="74" t="n"/>
      <c r="J1498" s="217" t="inlineStr">
        <is>
          <t>"changePass.passwordInvalid": "Incorrect password",</t>
        </is>
      </c>
    </row>
    <row r="1499" ht="15.75" customHeight="1" s="305">
      <c r="A1499" s="67" t="inlineStr">
        <is>
          <t>changePass.confirmOtp</t>
        </is>
      </c>
      <c r="B1499" s="67" t="inlineStr">
        <is>
          <t>Xác nhận OTP</t>
        </is>
      </c>
      <c r="C1499" s="67">
        <f>IFERROR(__xludf.DUMMYFUNCTION("GOOGLETRANSLATE(B1499,""vi"",""en"")"),"OTP Confirmation")</f>
        <v/>
      </c>
      <c r="D1499" s="3">
        <f>IFERROR(__xludf.DUMMYFUNCTION("GOOGLETRANSLATE(B1499,""vi"",""km"")"),"ការបញ្ជាក់ OTP")</f>
        <v/>
      </c>
      <c r="E1499" s="3" t="inlineStr">
        <is>
          <t>បញ្ជាក់ OTP</t>
        </is>
      </c>
      <c r="F1499" s="217" t="inlineStr">
        <is>
          <t>v</t>
        </is>
      </c>
      <c r="G1499" s="217" t="inlineStr">
        <is>
          <t>បញ្ជាក់ OTP</t>
        </is>
      </c>
      <c r="H1499" t="inlineStr">
        <is>
          <t>បញ្ជាក់ OTP</t>
        </is>
      </c>
      <c r="I1499" s="74" t="n"/>
      <c r="J1499" s="217" t="inlineStr">
        <is>
          <t>"changePass.confirmOtp": "OTP Confirmation",</t>
        </is>
      </c>
    </row>
    <row r="1500" ht="15.75" customHeight="1" s="305">
      <c r="A1500" s="67" t="inlineStr">
        <is>
          <t>changePass.titleOtp</t>
        </is>
      </c>
      <c r="B1500" s="67" t="inlineStr">
        <is>
          <t>Nhập OTP vừa được gửi tới số điện thoại</t>
        </is>
      </c>
      <c r="C1500" s="67">
        <f>IFERROR(__xludf.DUMMYFUNCTION("GOOGLETRANSLATE(B1500,""vi"",""en"")"),"Enter the OTP that was just sent to your phone number.")</f>
        <v/>
      </c>
      <c r="D1500" s="3">
        <f>IFERROR(__xludf.DUMMYFUNCTION("GOOGLETRANSLATE(B1500,""vi"",""km"")"),"បញ្ចូលលេខ OTP ដែលទើបតែផ្ញើទៅកាន់លេខទូរស័ព្ទរបស់អ្នក។")</f>
        <v/>
      </c>
      <c r="E1500" s="3" t="inlineStr">
        <is>
          <t>បញ្ចូល OTP ដែលបានផ្ញើទៅកាន់លេខទូរស័ព្ទរបស់អ្នក</t>
        </is>
      </c>
      <c r="F1500" s="217" t="inlineStr">
        <is>
          <t>v</t>
        </is>
      </c>
      <c r="G1500" s="217" t="inlineStr">
        <is>
          <t>បញ្ចូល OTP ដែលបានផ្ញើទៅកាន់លេខទូរស័ព្ទរបស់អ្នក</t>
        </is>
      </c>
      <c r="H1500" t="inlineStr">
        <is>
          <t>បញ្ចូល OTP ដែលបានផ្ញើទៅកាន់លេខទូរស័ព្ទរបស់អ្នក</t>
        </is>
      </c>
      <c r="I1500" s="74" t="n"/>
      <c r="J1500" s="217" t="inlineStr">
        <is>
          <t>"changePass.titleOtp": "Enter the OTP that was just sent to your phone number.",</t>
        </is>
      </c>
    </row>
    <row r="1501" ht="15.75" customHeight="1" s="305">
      <c r="A1501" s="67" t="inlineStr">
        <is>
          <t>changePass.changePassSuccess</t>
        </is>
      </c>
      <c r="B1501" s="67" t="inlineStr">
        <is>
          <t>Đổi mật khẩu thành công</t>
        </is>
      </c>
      <c r="C1501" s="67">
        <f>IFERROR(__xludf.DUMMYFUNCTION("GOOGLETRANSLATE(B1501,""vi"",""en"")"),"Password changed successfully.")</f>
        <v/>
      </c>
      <c r="D1501" s="3">
        <f>IFERROR(__xludf.DUMMYFUNCTION("GOOGLETRANSLATE(B1501,""vi"",""km"")"),"បានផ្លាស់ប្តូរពាក្យសម្ងាត់ដោយជោគជ័យ។")</f>
        <v/>
      </c>
      <c r="E1501" s="3" t="inlineStr">
        <is>
          <t>ការផ្លាស់ប្តូរពាក្យសម្ងាត់បានជោគជ័យ</t>
        </is>
      </c>
      <c r="F1501" s="217" t="inlineStr">
        <is>
          <t>v</t>
        </is>
      </c>
      <c r="G1501" s="217" t="inlineStr">
        <is>
          <t>ការផ្លាស់ប្តូរពាក្យសម្ងាត់បានជោគជ័យ</t>
        </is>
      </c>
      <c r="H1501" t="inlineStr">
        <is>
          <t>ការផ្លាស់ប្តូរពាក្យសម្ងាត់បានជោគជ័យ</t>
        </is>
      </c>
      <c r="I1501" s="74" t="n"/>
      <c r="J1501" s="217" t="inlineStr">
        <is>
          <t>"changePass.changePassSuccess": "Password changed successfully.",</t>
        </is>
      </c>
    </row>
    <row r="1502" ht="15.75" customHeight="1" s="305">
      <c r="A1502" s="67" t="inlineStr">
        <is>
          <t>changePass.updatePassSuccess</t>
        </is>
      </c>
      <c r="B1502" s="67" t="inlineStr">
        <is>
          <t>Cập nhật mật khẩu thành công</t>
        </is>
      </c>
      <c r="C1502" s="67">
        <f>IFERROR(__xludf.DUMMYFUNCTION("GOOGLETRANSLATE(B1502,""vi"",""en"")"),"Password updated successfully.")</f>
        <v/>
      </c>
      <c r="D1502" s="3">
        <f>IFERROR(__xludf.DUMMYFUNCTION("GOOGLETRANSLATE(B1502,""vi"",""km"")"),"ពាក្យសម្ងាត់ត្រូវបានអាប់ដេតដោយជោគជ័យ។")</f>
        <v/>
      </c>
      <c r="E1502" s="3" t="inlineStr">
        <is>
          <t>ការអាប់ដេតពាក្យសម្ងាត់បានជោគជ័យ</t>
        </is>
      </c>
      <c r="F1502" s="217" t="inlineStr">
        <is>
          <t>v</t>
        </is>
      </c>
      <c r="G1502" s="217" t="inlineStr">
        <is>
          <t>ការអាប់ដេតពាក្យសម្ងាត់បានជោគជ័យ</t>
        </is>
      </c>
      <c r="H1502" t="inlineStr">
        <is>
          <t>ការអាប់ដេតពាក្យសម្ងាត់បានជោគជ័យ</t>
        </is>
      </c>
      <c r="I1502" s="74" t="n"/>
      <c r="J1502" s="217" t="inlineStr">
        <is>
          <t>"changePass.updatePassSuccess": "Password updated successfully.",</t>
        </is>
      </c>
    </row>
    <row r="1503" ht="15.75" customHeight="1" s="305">
      <c r="A1503" s="67" t="inlineStr">
        <is>
          <t>changePass.updatePassFail</t>
        </is>
      </c>
      <c r="B1503" s="67" t="inlineStr">
        <is>
          <t>Cập nhật mật khẩu thất bại</t>
        </is>
      </c>
      <c r="C1503" s="67">
        <f>IFERROR(__xludf.DUMMYFUNCTION("GOOGLETRANSLATE(B1503,""vi"",""en"")"),"Password update failed.")</f>
        <v/>
      </c>
      <c r="D1503" s="3">
        <f>IFERROR(__xludf.DUMMYFUNCTION("GOOGLETRANSLATE(B1503,""vi"",""km"")"),"ការអាប់ដេតពាក្យសម្ងាត់បរាជ័យ។")</f>
        <v/>
      </c>
      <c r="E1503" s="3" t="inlineStr">
        <is>
          <t>ការអាប់ដេតពាក្យសម្ងាត់បរាជ័យ</t>
        </is>
      </c>
      <c r="F1503" s="217" t="inlineStr">
        <is>
          <t>v</t>
        </is>
      </c>
      <c r="G1503" s="217" t="inlineStr">
        <is>
          <t>ការអាប់ដេតពាក្យសម្ងាត់បរាជ័យ</t>
        </is>
      </c>
      <c r="H1503" t="inlineStr">
        <is>
          <t>ការអាប់ដេតពាក្យសម្ងាត់បរាជ័យ</t>
        </is>
      </c>
      <c r="I1503" s="74" t="n"/>
      <c r="J1503" s="217" t="inlineStr">
        <is>
          <t>"changePass.updatePassFail": "Password update failed.",</t>
        </is>
      </c>
    </row>
    <row r="1504" ht="15.75" customHeight="1" s="305">
      <c r="A1504" s="67" t="inlineStr">
        <is>
          <t>changePass.otpExpired</t>
        </is>
      </c>
      <c r="B1504" s="67" t="inlineStr">
        <is>
          <t>Mã OTP đã hết hạn</t>
        </is>
      </c>
      <c r="C1504" s="67">
        <f>IFERROR(__xludf.DUMMYFUNCTION("GOOGLETRANSLATE(B1504,""vi"",""en"")"),"The OTP code has expired.")</f>
        <v/>
      </c>
      <c r="D1504" s="3">
        <f>IFERROR(__xludf.DUMMYFUNCTION("GOOGLETRANSLATE(B1504,""vi"",""km"")"),"លេខកូដ OTP ផុតកំណត់ហើយ។")</f>
        <v/>
      </c>
      <c r="E1504" s="3" t="inlineStr">
        <is>
          <t>លេខកូដ OTP បានផុតកំណត់</t>
        </is>
      </c>
      <c r="F1504" s="217" t="inlineStr">
        <is>
          <t>v</t>
        </is>
      </c>
      <c r="G1504" s="217" t="inlineStr">
        <is>
          <t>លេខកូដ OTP បានផុតកំណត់</t>
        </is>
      </c>
      <c r="H1504" t="inlineStr">
        <is>
          <t>លេខកូដ OTP បានផុតកំណត់</t>
        </is>
      </c>
      <c r="I1504" s="74" t="n"/>
      <c r="J1504" s="217" t="inlineStr">
        <is>
          <t>"changePass.otpExpired": "The OTP code has expired.",</t>
        </is>
      </c>
    </row>
    <row r="1505" ht="15.75" customHeight="1" s="305">
      <c r="A1505" s="67" t="inlineStr">
        <is>
          <t>changePass.resend</t>
        </is>
      </c>
      <c r="B1505" s="67" t="inlineStr">
        <is>
          <t>Gửi lại</t>
        </is>
      </c>
      <c r="C1505" s="67">
        <f>IFERROR(__xludf.DUMMYFUNCTION("GOOGLETRANSLATE(B1505,""vi"",""en"")"),"Resend")</f>
        <v/>
      </c>
      <c r="D1505" s="3">
        <f>IFERROR(__xludf.DUMMYFUNCTION("GOOGLETRANSLATE(B1505,""vi"",""km"")"),"ផ្ញើឡើងវិញ")</f>
        <v/>
      </c>
      <c r="E1505" s="3" t="inlineStr">
        <is>
          <t>ផ្ញើម្តងទៀត</t>
        </is>
      </c>
      <c r="F1505" s="217" t="inlineStr">
        <is>
          <t>v</t>
        </is>
      </c>
      <c r="G1505" s="217" t="inlineStr">
        <is>
          <t>ផ្ញើម្តងទៀត</t>
        </is>
      </c>
      <c r="H1505" t="inlineStr">
        <is>
          <t>ផ្ញើម្តងទៀត</t>
        </is>
      </c>
      <c r="I1505" s="74" t="n"/>
      <c r="J1505" s="217" t="inlineStr">
        <is>
          <t>"changePass.resend": "Resend",</t>
        </is>
      </c>
    </row>
    <row r="1506" ht="15.75" customHeight="1" s="305">
      <c r="A1506" s="67" t="inlineStr">
        <is>
          <t>changePass.resendIn</t>
        </is>
      </c>
      <c r="B1506" s="67" t="inlineStr">
        <is>
          <t>Gửi lại sau ({{time}}s)</t>
        </is>
      </c>
      <c r="C1506" s="67">
        <f>IFERROR(__xludf.DUMMYFUNCTION("GOOGLETRANSLATE(B1506,""vi"",""en"")"),"Resend later (times)")</f>
        <v/>
      </c>
      <c r="D1506" s="3">
        <f>IFERROR(__xludf.DUMMYFUNCTION("GOOGLETRANSLATE(B1506,""vi"",""km"")"),"ផ្ញើម្តងទៀតនៅពេលក្រោយ (ដង)")</f>
        <v/>
      </c>
      <c r="E1506" s="3" t="inlineStr">
        <is>
          <t>ផ្ញើម្តងទៀតបន្ទាប់ពី ({{time}} វិនាទី)</t>
        </is>
      </c>
      <c r="F1506" s="217" t="inlineStr">
        <is>
          <t>v</t>
        </is>
      </c>
      <c r="G1506" s="217" t="inlineStr">
        <is>
          <t>ផ្ញើម្តងទៀតបន្ទាប់ពី ({{time}} វិនាទី)</t>
        </is>
      </c>
      <c r="H1506" t="inlineStr">
        <is>
          <t>ផ្ញើម្តងទៀតបន្ទាប់ពី ({{time}} វិនាទី)</t>
        </is>
      </c>
      <c r="I1506" s="74" t="n"/>
      <c r="J1506" s="217" t="inlineStr">
        <is>
          <t>"changePass.resendIn": "Resend later (times)",</t>
        </is>
      </c>
    </row>
    <row r="1507" ht="15.75" customHeight="1" s="305">
      <c r="A1507" s="67" t="inlineStr">
        <is>
          <t>changePass.questionOtp</t>
        </is>
      </c>
      <c r="B1507" s="67" t="inlineStr">
        <is>
          <t>Bạn chưa nhận được OTP?</t>
        </is>
      </c>
      <c r="C1507" s="67">
        <f>IFERROR(__xludf.DUMMYFUNCTION("GOOGLETRANSLATE(B1507,""vi"",""en"")"),"Haven't received the OTP yet?")</f>
        <v/>
      </c>
      <c r="D1507" s="3">
        <f>IFERROR(__xludf.DUMMYFUNCTION("GOOGLETRANSLATE(B1507,""vi"",""km"")"),"មិនទាន់ទទួលបាន OTP នៅឡើយទេ?")</f>
        <v/>
      </c>
      <c r="E1507" s="3" t="inlineStr">
        <is>
          <t>មិនទាន់ទទួលបាន OTP មែនទេ?</t>
        </is>
      </c>
      <c r="F1507" s="217" t="inlineStr">
        <is>
          <t>v</t>
        </is>
      </c>
      <c r="G1507" s="217" t="inlineStr">
        <is>
          <t>មិនទាន់ទទួលបាន OTP មែនទេ?</t>
        </is>
      </c>
      <c r="H1507" t="inlineStr">
        <is>
          <t>មិនទាន់ទទួលបាន OTP មែនទេ?</t>
        </is>
      </c>
      <c r="I1507" s="74" t="n"/>
      <c r="J1507" s="217" t="inlineStr">
        <is>
          <t>"changePass.questionOtp": "Haven't received the OTP yet?",</t>
        </is>
      </c>
    </row>
    <row r="1508" ht="15.75" customHeight="1" s="305">
      <c r="A1508" s="67" t="inlineStr">
        <is>
          <t>changePass.forgotPassword</t>
        </is>
      </c>
      <c r="B1508" s="67" t="inlineStr">
        <is>
          <t>Quên mật khẩu</t>
        </is>
      </c>
      <c r="C1508" s="67">
        <f>IFERROR(__xludf.DUMMYFUNCTION("GOOGLETRANSLATE(B1508,""vi"",""en"")"),"Forgot password")</f>
        <v/>
      </c>
      <c r="D1508" s="3">
        <f>IFERROR(__xludf.DUMMYFUNCTION("GOOGLETRANSLATE(B1508,""vi"",""km"")"),"ភ្លេចពាក្យសម្ងាត់")</f>
        <v/>
      </c>
      <c r="E1508" s="3" t="inlineStr">
        <is>
          <t>ភ្លេចពាក្យសម្ងាត់</t>
        </is>
      </c>
      <c r="F1508" s="217" t="inlineStr">
        <is>
          <t>v</t>
        </is>
      </c>
      <c r="G1508" s="217" t="inlineStr">
        <is>
          <t>ភ្លេចពាក្យសម្ងាត់</t>
        </is>
      </c>
      <c r="H1508" t="inlineStr">
        <is>
          <t>ភ្លេចពាក្យសម្ងាត់</t>
        </is>
      </c>
      <c r="I1508" s="74" t="n"/>
      <c r="J1508" s="217" t="inlineStr">
        <is>
          <t>"changePass.forgotPassword": "Forgot password",</t>
        </is>
      </c>
    </row>
    <row r="1509" ht="15.75" customHeight="1" s="305">
      <c r="A1509" s="67" t="inlineStr">
        <is>
          <t>changePass.enterNewPassword</t>
        </is>
      </c>
      <c r="B1509" s="67" t="inlineStr">
        <is>
          <t>Vui lòng nhập mật khẩu mới</t>
        </is>
      </c>
      <c r="C1509" s="67">
        <f>IFERROR(__xludf.DUMMYFUNCTION("GOOGLETRANSLATE(B1509,""vi"",""en"")"),"Please enter your new password.")</f>
        <v/>
      </c>
      <c r="D1509" s="3">
        <f>IFERROR(__xludf.DUMMYFUNCTION("GOOGLETRANSLATE(B1509,""vi"",""km"")"),"សូមបញ្ចូលពាក្យសម្ងាត់ថ្មីរបស់អ្នក។")</f>
        <v/>
      </c>
      <c r="E1509" s="3" t="inlineStr">
        <is>
          <t>សូមបញ្ចូលពាក្យសម្ងាត់ថ្មី</t>
        </is>
      </c>
      <c r="F1509" s="217" t="inlineStr">
        <is>
          <t>v</t>
        </is>
      </c>
      <c r="G1509" s="217" t="inlineStr">
        <is>
          <t>សូមបញ្ចូលពាក្យសម្ងាត់ថ្មី</t>
        </is>
      </c>
      <c r="H1509" t="inlineStr">
        <is>
          <t>សូមបញ្ចូលពាក្យសម្ងាត់ថ្មី</t>
        </is>
      </c>
      <c r="I1509" s="74" t="n"/>
      <c r="J1509" s="217" t="inlineStr">
        <is>
          <t>"changePass.enterNewPassword": "Please enter your new password.",</t>
        </is>
      </c>
    </row>
    <row r="1510" ht="15.75" customHeight="1" s="305">
      <c r="A1510" s="67" t="inlineStr">
        <is>
          <t>modifyOrder.dimensionsAreRequired</t>
        </is>
      </c>
      <c r="B1510" s="67" t="inlineStr">
        <is>
          <t>Kích thước không được để trống</t>
        </is>
      </c>
      <c r="C1510" s="67" t="inlineStr">
        <is>
          <t>Size cannot be empty</t>
        </is>
      </c>
      <c r="D1510" s="3" t="inlineStr">
        <is>
          <t>ទំហំមិនអាចទុកចន្លោះបាន</t>
        </is>
      </c>
      <c r="E1510" s="3" t="n"/>
      <c r="F1510" s="217" t="n"/>
      <c r="G1510" t="inlineStr">
        <is>
          <t>ទំហំមិនអាចទុកចន្លោះបាន</t>
        </is>
      </c>
      <c r="H1510" t="inlineStr">
        <is>
          <t>ទំហំមិនអាចទុកចន្លោះបាន</t>
        </is>
      </c>
      <c r="I1510" s="111" t="n"/>
      <c r="J1510" s="217" t="inlineStr">
        <is>
          <t>"modifyOrder.dimensionsAreRequired": "Size cannot be empty",</t>
        </is>
      </c>
    </row>
    <row r="1511" ht="15.75" customHeight="1" s="305">
      <c r="A1511" s="67" t="inlineStr">
        <is>
          <t>orderStatusReport.fileNameDetail</t>
        </is>
      </c>
      <c r="B1511" s="67" t="inlineStr">
        <is>
          <t>Detail_order status report</t>
        </is>
      </c>
      <c r="C1511" s="67" t="inlineStr">
        <is>
          <t>Order status detail report</t>
        </is>
      </c>
      <c r="D1511" s="3" t="inlineStr">
        <is>
          <t>លម្អិត_របាយការណ៍ស្ថានភាពការកម្ម៉ង់</t>
        </is>
      </c>
      <c r="E1511" s="3" t="n"/>
      <c r="F1511" s="217" t="n"/>
      <c r="G1511" t="inlineStr">
        <is>
          <t>លម្អិត_របាយការណ៍ស្ថានភាពការកម្ម៉ង់</t>
        </is>
      </c>
      <c r="H1511" t="inlineStr">
        <is>
          <t>លម្អិត_របាយការណ៍ស្ថានភាពការកម្ម៉ង់</t>
        </is>
      </c>
      <c r="I1511" s="111" t="n"/>
      <c r="J1511" s="217" t="inlineStr">
        <is>
          <t>"orderStatusReport.fileNameDetail": "Order status detail report",</t>
        </is>
      </c>
    </row>
    <row r="1512" ht="15.75" customHeight="1" s="305">
      <c r="A1512" s="67" t="inlineStr">
        <is>
          <t>orderStatusReport.fileNameSumary</t>
        </is>
      </c>
      <c r="B1512" s="67" t="inlineStr">
        <is>
          <t>Summary_order status report</t>
        </is>
      </c>
      <c r="C1512" s="67" t="inlineStr">
        <is>
          <t>Order status summary report</t>
        </is>
      </c>
      <c r="D1512" s="3" t="inlineStr">
        <is>
          <t>សង្ខេប_របាយការណ៍ស្ថានភាពការកម្ម៉ង់</t>
        </is>
      </c>
      <c r="E1512" s="3" t="n"/>
      <c r="F1512" s="217" t="n"/>
      <c r="G1512" t="inlineStr">
        <is>
          <t>សង្ខេប_របាយការណ៍ស្ថានភាពការកម្ម៉ង់</t>
        </is>
      </c>
      <c r="H1512" t="inlineStr">
        <is>
          <t>សង្ខេប_របាយការណ៍ស្ថានភាពការកម្ម៉ង់</t>
        </is>
      </c>
      <c r="I1512" s="111" t="n"/>
      <c r="J1512" s="217" t="inlineStr">
        <is>
          <t>"orderStatusReport.fileNameSumary": "Order status summary report",</t>
        </is>
      </c>
    </row>
    <row r="1513" ht="15.75" customHeight="1" s="305">
      <c r="A1513" s="67" t="inlineStr">
        <is>
          <t>revenueOutput.employee</t>
        </is>
      </c>
      <c r="B1513" s="67" t="inlineStr">
        <is>
          <t>Nhân viên</t>
        </is>
      </c>
      <c r="C1513" s="67" t="inlineStr">
        <is>
          <t>Employee</t>
        </is>
      </c>
      <c r="D1513" s="3" t="inlineStr">
        <is>
          <t>បុគ្គលិក</t>
        </is>
      </c>
      <c r="E1513" s="3" t="n"/>
      <c r="F1513" s="217" t="n"/>
      <c r="G1513" t="inlineStr">
        <is>
          <t>បុគ្គលិក</t>
        </is>
      </c>
      <c r="H1513" t="inlineStr">
        <is>
          <t>បុគ្គលិក</t>
        </is>
      </c>
      <c r="I1513" s="111" t="n"/>
      <c r="J1513" s="217" t="inlineStr">
        <is>
          <t>"revenueOutput.employee": "Employee",</t>
        </is>
      </c>
    </row>
    <row r="1514" ht="15.75" customHeight="1" s="305">
      <c r="A1514" s="67" t="inlineStr">
        <is>
          <t>revenueOutput.filterEmployee</t>
        </is>
      </c>
      <c r="B1514" s="67" t="inlineStr">
        <is>
          <t>Chọn nhân viên</t>
        </is>
      </c>
      <c r="C1514" s="67" t="inlineStr">
        <is>
          <t>Select employee</t>
        </is>
      </c>
      <c r="D1514" s="3" t="inlineStr">
        <is>
          <t>ជ្រើសរើសបុុគ្គលិក</t>
        </is>
      </c>
      <c r="E1514" s="3" t="n"/>
      <c r="F1514" s="217" t="n"/>
      <c r="G1514" t="inlineStr">
        <is>
          <t>ជ្រើសរើសបុុគ្គលិក</t>
        </is>
      </c>
      <c r="H1514" t="inlineStr">
        <is>
          <t>ជ្រើសរើសបុុគ្គលិក</t>
        </is>
      </c>
      <c r="I1514" s="111" t="n"/>
      <c r="J1514" s="217" t="inlineStr">
        <is>
          <t>"revenueOutput.filterEmployee": "Select employee",</t>
        </is>
      </c>
    </row>
    <row r="1515" ht="15.75" customHeight="1" s="305">
      <c r="A1515" s="67" t="inlineStr">
        <is>
          <t>revenueOutput.revenueDelivery</t>
        </is>
      </c>
      <c r="B1515" s="67" t="inlineStr">
        <is>
          <t>Doanh thu giao</t>
        </is>
      </c>
      <c r="C1515" s="67" t="inlineStr">
        <is>
          <t>Delivery revenue</t>
        </is>
      </c>
      <c r="D1515" s="3" t="inlineStr">
        <is>
          <t>ប្រាក់ចំណូលដឹកជញ្ជូន</t>
        </is>
      </c>
      <c r="E1515" s="3" t="n"/>
      <c r="F1515" s="217" t="n"/>
      <c r="G1515" t="inlineStr">
        <is>
          <t>ប្រាក់ចំណូលដឹកជញ្ជូន</t>
        </is>
      </c>
      <c r="H1515" t="inlineStr">
        <is>
          <t>ប្រាក់ចំណូលដឹកជញ្ជូន</t>
        </is>
      </c>
      <c r="I1515" s="111" t="n"/>
      <c r="J1515" s="217" t="inlineStr">
        <is>
          <t>"revenueOutput.revenueDelivery": "Delivery revenue",</t>
        </is>
      </c>
    </row>
    <row r="1516" ht="15.75" customHeight="1" s="305">
      <c r="A1516" s="67" t="inlineStr">
        <is>
          <t>revenueOutput.revenuePickup</t>
        </is>
      </c>
      <c r="B1516" s="67" t="inlineStr">
        <is>
          <t>Doanh thu nhận</t>
        </is>
      </c>
      <c r="C1516" s="67" t="inlineStr">
        <is>
          <t>Receiving revenue</t>
        </is>
      </c>
      <c r="D1516" s="3" t="inlineStr">
        <is>
          <t>ប្រាក់ចំណូលបានទទួល</t>
        </is>
      </c>
      <c r="E1516" s="3" t="n"/>
      <c r="F1516" s="217" t="n"/>
      <c r="G1516" t="inlineStr">
        <is>
          <t>ប្រាក់ចំណូលបានទទួល</t>
        </is>
      </c>
      <c r="H1516" t="inlineStr">
        <is>
          <t>ប្រាក់ចំណូលបានទទួល</t>
        </is>
      </c>
      <c r="I1516" s="111" t="n"/>
      <c r="J1516" s="217" t="inlineStr">
        <is>
          <t>"revenueOutput.revenuePickup": "Receiving revenue",</t>
        </is>
      </c>
    </row>
    <row r="1517" ht="15.75" customHeight="1" s="305">
      <c r="A1517" s="67" t="inlineStr">
        <is>
          <t>revenueOutput.selectTime</t>
        </is>
      </c>
      <c r="B1517" s="67" t="inlineStr">
        <is>
          <t>Chọn thời gian</t>
        </is>
      </c>
      <c r="C1517" s="67" t="inlineStr">
        <is>
          <t>Select time</t>
        </is>
      </c>
      <c r="D1517" s="3" t="inlineStr">
        <is>
          <t>ជ្រើសរើសពេលវេលា</t>
        </is>
      </c>
      <c r="E1517" s="3" t="n"/>
      <c r="F1517" s="217" t="n"/>
      <c r="G1517" t="inlineStr">
        <is>
          <t>ជ្រើសរើសពេលវេលា</t>
        </is>
      </c>
      <c r="H1517" t="inlineStr">
        <is>
          <t>ជ្រើសរើសពេលវេលា</t>
        </is>
      </c>
      <c r="I1517" s="111" t="n"/>
      <c r="J1517" s="217" t="inlineStr">
        <is>
          <t>"revenueOutput.selectTime": "Select time",</t>
        </is>
      </c>
    </row>
    <row r="1518" ht="15.75" customHeight="1" s="305">
      <c r="A1518" s="67" t="inlineStr">
        <is>
          <t>slider.OrderStatusReportLabelV2</t>
        </is>
      </c>
      <c r="B1518" s="67" t="inlineStr">
        <is>
          <t>Đơn hàng theo trạng thái</t>
        </is>
      </c>
      <c r="C1518" s="67" t="inlineStr">
        <is>
          <t>Orders by status</t>
        </is>
      </c>
      <c r="D1518" s="3" t="inlineStr">
        <is>
          <t>បុងបញ្ញើតាមស្ថានភាព</t>
        </is>
      </c>
      <c r="E1518" s="3" t="n"/>
      <c r="F1518" s="217" t="n"/>
      <c r="G1518" t="inlineStr">
        <is>
          <t>បុងបញ្ញើតាមស្ថានភាព</t>
        </is>
      </c>
      <c r="H1518" t="inlineStr">
        <is>
          <t>បុងបញ្ញើតាមស្ថានភាព</t>
        </is>
      </c>
      <c r="I1518" s="111" t="n"/>
      <c r="J1518" s="217" t="inlineStr">
        <is>
          <t>"slider.OrderStatusReportLabelV2": "Orders by status",</t>
        </is>
      </c>
    </row>
    <row r="1519" ht="15.75" customHeight="1" s="305">
      <c r="A1519" s="67" t="inlineStr">
        <is>
          <t>slider.OrderStatusReportV2</t>
        </is>
      </c>
      <c r="B1519" s="67" t="inlineStr">
        <is>
          <t>Báo cáo đơn hàng theo trạng thái</t>
        </is>
      </c>
      <c r="C1519" s="67" t="inlineStr">
        <is>
          <t>Order report by status</t>
        </is>
      </c>
      <c r="D1519" s="3" t="inlineStr">
        <is>
          <t>របាយការណ៍បុងបញ្ញើតាមស្ថានភាព</t>
        </is>
      </c>
      <c r="E1519" s="3" t="n"/>
      <c r="F1519" s="217" t="n"/>
      <c r="G1519" t="inlineStr">
        <is>
          <t>របាយការណ៍បុងបញ្ញើតាមស្ថានភាព</t>
        </is>
      </c>
      <c r="H1519" t="inlineStr">
        <is>
          <t>របាយការណ៍បុងបញ្ញើតាមស្ថានភាព</t>
        </is>
      </c>
      <c r="I1519" s="111" t="n"/>
      <c r="J1519" s="217" t="inlineStr">
        <is>
          <t>"slider.OrderStatusReportV2": "Order report by status",</t>
        </is>
      </c>
    </row>
    <row r="1520" ht="15.75" customHeight="1" s="305">
      <c r="A1520" s="67" t="inlineStr">
        <is>
          <t>slider.RevenueOutputV2</t>
        </is>
      </c>
      <c r="B1520" s="67" t="inlineStr">
        <is>
          <t>Doanh thu sản lượng</t>
        </is>
      </c>
      <c r="C1520" s="67" t="inlineStr">
        <is>
          <t>Revenue by volume</t>
        </is>
      </c>
      <c r="D1520" s="3" t="inlineStr">
        <is>
          <t>ប្រាក់ចំណូលផលិតផល</t>
        </is>
      </c>
      <c r="E1520" s="3" t="n"/>
      <c r="F1520" s="217" t="n"/>
      <c r="G1520" t="inlineStr">
        <is>
          <t>ប្រាក់ចំណូលផលិតផល</t>
        </is>
      </c>
      <c r="H1520" t="inlineStr">
        <is>
          <t>ប្រាក់ចំណូលផលិតផល</t>
        </is>
      </c>
      <c r="I1520" s="111" t="n"/>
      <c r="J1520" s="217" t="inlineStr">
        <is>
          <t>"slider.RevenueOutputV2": "Revenue by volume",</t>
        </is>
      </c>
    </row>
    <row r="1521" ht="15.75" customHeight="1" s="305">
      <c r="A1521" s="67" t="inlineStr">
        <is>
          <t>sorting.active</t>
        </is>
      </c>
      <c r="B1521" s="67" t="inlineStr">
        <is>
          <t>Hiệu lực</t>
        </is>
      </c>
      <c r="C1521" s="67" t="inlineStr">
        <is>
          <t>Valid</t>
        </is>
      </c>
      <c r="D1521" s="3" t="inlineStr">
        <is>
          <t>មានសុពលភាព</t>
        </is>
      </c>
      <c r="E1521" s="3" t="n"/>
      <c r="F1521" s="217" t="n"/>
      <c r="G1521" t="inlineStr">
        <is>
          <t>សកម្ម</t>
        </is>
      </c>
      <c r="H1521" t="inlineStr">
        <is>
          <t>សកម្ម</t>
        </is>
      </c>
      <c r="I1521" s="111" t="n"/>
      <c r="J1521" s="217" t="inlineStr">
        <is>
          <t>"sorting.active": "Valid",</t>
        </is>
      </c>
    </row>
    <row r="1522" ht="15.75" customHeight="1" s="305">
      <c r="A1522" s="67" t="inlineStr">
        <is>
          <t>sorting.inactive</t>
        </is>
      </c>
      <c r="B1522" s="67" t="inlineStr">
        <is>
          <t>Hết hiệu lực</t>
        </is>
      </c>
      <c r="C1522" s="67" t="inlineStr">
        <is>
          <t>Expired</t>
        </is>
      </c>
      <c r="D1522" s="3" t="inlineStr">
        <is>
          <t>អស់សុពលភាព</t>
        </is>
      </c>
      <c r="E1522" s="3" t="n"/>
      <c r="F1522" s="217" t="n"/>
      <c r="G1522" t="inlineStr">
        <is>
          <t>អសកម្ម</t>
        </is>
      </c>
      <c r="H1522" t="inlineStr">
        <is>
          <t>អសកម្ម</t>
        </is>
      </c>
      <c r="I1522" s="111" t="n"/>
      <c r="J1522" s="217" t="inlineStr">
        <is>
          <t>"sorting.inactive": "Expired",</t>
        </is>
      </c>
    </row>
    <row r="1523" ht="15.75" customHeight="1" s="305">
      <c r="A1523" s="67" t="inlineStr">
        <is>
          <t>trackingOrder.receiveAt</t>
        </is>
      </c>
      <c r="B1523" s="67" t="inlineStr">
        <is>
          <t>Nhận tại CH</t>
        </is>
      </c>
      <c r="C1523" s="67" t="inlineStr">
        <is>
          <t>Pickup at store</t>
        </is>
      </c>
      <c r="D1523" s="3" t="inlineStr">
        <is>
          <t>ទទួលនៅសាខា</t>
        </is>
      </c>
      <c r="E1523" s="3" t="n"/>
      <c r="F1523" s="217" t="n"/>
      <c r="G1523" t="inlineStr">
        <is>
          <t>ទទួលនៅសាខា</t>
        </is>
      </c>
      <c r="H1523" t="inlineStr">
        <is>
          <t>ទទួលនៅសាខា</t>
        </is>
      </c>
      <c r="I1523" s="111" t="n"/>
      <c r="J1523" s="217" t="inlineStr">
        <is>
          <t>"trackingOrder.receiveAt": "Pickup at store",</t>
        </is>
      </c>
    </row>
    <row r="1524" ht="15.75" customHeight="1" s="305">
      <c r="A1524" s="67" t="inlineStr">
        <is>
          <t>trackingOrder.sendAt</t>
        </is>
      </c>
      <c r="B1524" s="67" t="inlineStr">
        <is>
          <t>Gửi tại CH</t>
        </is>
      </c>
      <c r="C1524" s="67" t="inlineStr">
        <is>
          <t>Drop off at store</t>
        </is>
      </c>
      <c r="D1524" s="3" t="inlineStr">
        <is>
          <t>ផ្ញើនៅសាខា</t>
        </is>
      </c>
      <c r="E1524" s="3" t="n"/>
      <c r="F1524" s="217" t="n"/>
      <c r="G1524" t="inlineStr">
        <is>
          <t>ផ្ញើនៅសាខា</t>
        </is>
      </c>
      <c r="H1524" t="inlineStr">
        <is>
          <t>ផ្ញើនៅសាខា</t>
        </is>
      </c>
      <c r="I1524" s="111" t="n"/>
      <c r="J1524" s="217" t="inlineStr">
        <is>
          <t>"trackingOrder.sendAt": "Drop off at store",</t>
        </is>
      </c>
    </row>
    <row r="1525" ht="15.75" customHeight="1" s="305">
      <c r="A1525" s="67" t="inlineStr">
        <is>
          <t>correctionBill.requestList</t>
        </is>
      </c>
      <c r="B1525" s="112" t="inlineStr">
        <is>
          <t xml:space="preserve">Danh sách yêu cầu </t>
        </is>
      </c>
      <c r="C1525" s="113" t="inlineStr">
        <is>
          <t>Request list</t>
        </is>
      </c>
      <c r="D1525" s="112" t="inlineStr">
        <is>
          <t>បញ្ជីសំណើ</t>
        </is>
      </c>
      <c r="E1525" s="3" t="n"/>
      <c r="F1525" s="217" t="n"/>
      <c r="G1525" t="inlineStr">
        <is>
          <t>បញ្ជីសំណើ</t>
        </is>
      </c>
      <c r="H1525" t="inlineStr">
        <is>
          <t>បញ្ជីសំណើ</t>
        </is>
      </c>
      <c r="I1525" s="111" t="n"/>
      <c r="J1525" s="217" t="inlineStr">
        <is>
          <t>"correctionBill.requestList": "Request list",</t>
        </is>
      </c>
    </row>
    <row r="1526" ht="15.75" customHeight="1" s="305">
      <c r="A1526" s="67" t="inlineStr">
        <is>
          <t>correctionBill.requestApproval</t>
        </is>
      </c>
      <c r="B1526" s="112" t="inlineStr">
        <is>
          <t>Phê duyệt yêu cầu</t>
        </is>
      </c>
      <c r="C1526" s="113" t="inlineStr">
        <is>
          <t>Approve request</t>
        </is>
      </c>
      <c r="D1526" s="112" t="inlineStr">
        <is>
          <t>អនុម័តសំណើ</t>
        </is>
      </c>
      <c r="E1526" s="3" t="n"/>
      <c r="F1526" s="217" t="n"/>
      <c r="G1526" t="inlineStr">
        <is>
          <t>អនុម័តសំណើ</t>
        </is>
      </c>
      <c r="H1526" t="inlineStr">
        <is>
          <t>អនុម័តសំណើ</t>
        </is>
      </c>
      <c r="I1526" s="111" t="n"/>
      <c r="J1526" s="217" t="inlineStr">
        <is>
          <t>"correctionBill.requestApproval": "Approve request",</t>
        </is>
      </c>
    </row>
    <row r="1527" ht="15.75" customHeight="1" s="305">
      <c r="A1527" s="67" t="inlineStr">
        <is>
          <t>correctionBill.status</t>
        </is>
      </c>
      <c r="B1527" s="112" t="inlineStr">
        <is>
          <t>Trạng thái</t>
        </is>
      </c>
      <c r="C1527" s="113" t="inlineStr">
        <is>
          <t>Status</t>
        </is>
      </c>
      <c r="D1527" s="112" t="inlineStr">
        <is>
          <t>ស្ថានភាព</t>
        </is>
      </c>
      <c r="E1527" s="3" t="n"/>
      <c r="F1527" s="217" t="n"/>
      <c r="G1527" t="inlineStr">
        <is>
          <t>ស្ថានភាព</t>
        </is>
      </c>
      <c r="H1527" t="inlineStr">
        <is>
          <t>ស្ថានភាព</t>
        </is>
      </c>
      <c r="I1527" s="111" t="n"/>
      <c r="J1527" s="217" t="inlineStr">
        <is>
          <t>"correctionBill.status": "Status",</t>
        </is>
      </c>
    </row>
    <row r="1528" ht="15.75" customHeight="1" s="305">
      <c r="A1528" s="67" t="inlineStr">
        <is>
          <t>correctionBill.orderCode</t>
        </is>
      </c>
      <c r="B1528" s="112" t="inlineStr">
        <is>
          <t>Mã đơn hàng</t>
        </is>
      </c>
      <c r="C1528" s="113" t="inlineStr">
        <is>
          <t>Order number</t>
        </is>
      </c>
      <c r="D1528" s="112" t="inlineStr">
        <is>
          <t>លេខកូដបុងបញ្ញើ</t>
        </is>
      </c>
      <c r="E1528" s="3" t="n"/>
      <c r="F1528" s="217" t="n"/>
      <c r="G1528" t="inlineStr">
        <is>
          <t>លេខកូដបុងបញ្ញើ</t>
        </is>
      </c>
      <c r="H1528" t="inlineStr">
        <is>
          <t>លេខកូដបុងបញ្ញើ</t>
        </is>
      </c>
      <c r="I1528" s="111" t="n"/>
      <c r="J1528" s="217" t="inlineStr">
        <is>
          <t>"correctionBill.orderCode": "Order number",</t>
        </is>
      </c>
    </row>
    <row r="1529" ht="15.75" customHeight="1" s="305">
      <c r="A1529" s="67" t="inlineStr">
        <is>
          <t>correctionBill.reason</t>
        </is>
      </c>
      <c r="B1529" s="112" t="inlineStr">
        <is>
          <t>Nội dung yêu cầu sửa</t>
        </is>
      </c>
      <c r="C1529" s="113" t="inlineStr">
        <is>
          <t>Content of repair request</t>
        </is>
      </c>
      <c r="D1529" s="112" t="inlineStr">
        <is>
          <t>ខ្លឹមសារស្នើកែសម្រួល</t>
        </is>
      </c>
      <c r="E1529" s="3" t="n"/>
      <c r="F1529" s="217" t="n"/>
      <c r="G1529" t="inlineStr">
        <is>
          <t>ខ្លឹមសារស្នើកែសម្រួល</t>
        </is>
      </c>
      <c r="H1529" t="inlineStr">
        <is>
          <t>ខ្លឹមសារស្នើកែសម្រួល</t>
        </is>
      </c>
      <c r="I1529" s="111" t="n"/>
      <c r="J1529" s="217" t="inlineStr">
        <is>
          <t>"correctionBill.reason": "Content of repair request",</t>
        </is>
      </c>
    </row>
    <row r="1530" ht="15.75" customHeight="1" s="305">
      <c r="A1530" s="67" t="inlineStr">
        <is>
          <t>correctionBill.createdBy</t>
        </is>
      </c>
      <c r="B1530" s="112" t="inlineStr">
        <is>
          <t>Người yêu cầu sửa</t>
        </is>
      </c>
      <c r="C1530" s="113" t="inlineStr">
        <is>
          <t>Requester</t>
        </is>
      </c>
      <c r="D1530" s="112" t="inlineStr">
        <is>
          <t>អ្នកស្នើសុំកែសម្រួល</t>
        </is>
      </c>
      <c r="E1530" s="3" t="n"/>
      <c r="F1530" s="217" t="n"/>
      <c r="G1530" t="inlineStr">
        <is>
          <t>អ្នកស្នើសុំកែសម្រួល</t>
        </is>
      </c>
      <c r="H1530" t="inlineStr">
        <is>
          <t>អ្នកស្នើសុំកែសម្រួល</t>
        </is>
      </c>
      <c r="I1530" s="111" t="n"/>
      <c r="J1530" s="217" t="inlineStr">
        <is>
          <t>"correctionBill.createdBy": "Requester",</t>
        </is>
      </c>
    </row>
    <row r="1531" ht="15.75" customHeight="1" s="305">
      <c r="A1531" s="67" t="inlineStr">
        <is>
          <t>correctionBill.createdAt</t>
        </is>
      </c>
      <c r="B1531" s="112" t="inlineStr">
        <is>
          <t>Ngày yêu cầu</t>
        </is>
      </c>
      <c r="C1531" s="113" t="inlineStr">
        <is>
          <t>Request date</t>
        </is>
      </c>
      <c r="D1531" s="112" t="inlineStr">
        <is>
          <t>ថ្ងៃស្នើសុំ</t>
        </is>
      </c>
      <c r="E1531" s="3" t="n"/>
      <c r="F1531" s="217" t="n"/>
      <c r="G1531" t="inlineStr">
        <is>
          <t>ថ្ងៃស្នើសុំ</t>
        </is>
      </c>
      <c r="H1531" t="inlineStr">
        <is>
          <t>ថ្ងៃស្នើសុំ</t>
        </is>
      </c>
      <c r="I1531" s="111" t="n"/>
      <c r="J1531" s="217" t="inlineStr">
        <is>
          <t>"correctionBill.createdAt": "Request date",</t>
        </is>
      </c>
    </row>
    <row r="1532" ht="15.75" customHeight="1" s="305">
      <c r="A1532" s="67" t="inlineStr">
        <is>
          <t>correctionBill.deliveryPostCode</t>
        </is>
      </c>
      <c r="B1532" s="112" t="inlineStr">
        <is>
          <t>Bưu cục phê duyệt</t>
        </is>
      </c>
      <c r="C1532" s="113" t="inlineStr">
        <is>
          <t>Post office approval</t>
        </is>
      </c>
      <c r="D1532" s="112" t="inlineStr">
        <is>
          <t>ប្រៃសណីយ៍អនុម័ត</t>
        </is>
      </c>
      <c r="E1532" s="3" t="n"/>
      <c r="F1532" s="217" t="n"/>
      <c r="G1532" t="inlineStr">
        <is>
          <t>ប្រៃសណីយ៍អនុម័ត</t>
        </is>
      </c>
      <c r="H1532" t="inlineStr">
        <is>
          <t>ប្រៃសណីយ៍អនុម័ត</t>
        </is>
      </c>
      <c r="I1532" s="111" t="n"/>
      <c r="J1532" s="217" t="inlineStr">
        <is>
          <t>"correctionBill.deliveryPostCode": "Post office approval",</t>
        </is>
      </c>
    </row>
    <row r="1533" ht="15.75" customHeight="1" s="305">
      <c r="A1533" s="67" t="inlineStr">
        <is>
          <t>correctionBill.reviewedAt</t>
        </is>
      </c>
      <c r="B1533" s="112" t="inlineStr">
        <is>
          <t>Ngày duyệt</t>
        </is>
      </c>
      <c r="C1533" s="113" t="inlineStr">
        <is>
          <t>Approval date</t>
        </is>
      </c>
      <c r="D1533" s="112" t="inlineStr">
        <is>
          <t>ថ្ងៃអនុម័ត</t>
        </is>
      </c>
      <c r="E1533" s="3" t="n"/>
      <c r="F1533" s="217" t="n"/>
      <c r="G1533" t="inlineStr">
        <is>
          <t>កាលបរិច្ឆេទអនុម័ត</t>
        </is>
      </c>
      <c r="H1533" t="inlineStr">
        <is>
          <t>កាលបរិច្ឆេទអនុម័ត</t>
        </is>
      </c>
      <c r="I1533" s="111" t="n"/>
      <c r="J1533" s="217" t="inlineStr">
        <is>
          <t>"correctionBill.reviewedAt": "Approval date",</t>
        </is>
      </c>
    </row>
    <row r="1534" ht="15.75" customHeight="1" s="305">
      <c r="A1534" s="67" t="inlineStr">
        <is>
          <t>correctionBill.createRequest</t>
        </is>
      </c>
      <c r="B1534" s="112" t="inlineStr">
        <is>
          <t>Tạo yêu cầu</t>
        </is>
      </c>
      <c r="C1534" s="113" t="inlineStr">
        <is>
          <t>Create request</t>
        </is>
      </c>
      <c r="D1534" s="112" t="inlineStr">
        <is>
          <t>បង្កើតសំណើ</t>
        </is>
      </c>
      <c r="E1534" s="3" t="n"/>
      <c r="F1534" s="217" t="n"/>
      <c r="G1534" t="inlineStr">
        <is>
          <t>បង្កើតសំណើ</t>
        </is>
      </c>
      <c r="H1534" t="inlineStr">
        <is>
          <t>បង្កើតសំណើ</t>
        </is>
      </c>
      <c r="I1534" s="111" t="n"/>
      <c r="J1534" s="217" t="inlineStr">
        <is>
          <t>"correctionBill.createRequest": "Create request",</t>
        </is>
      </c>
    </row>
    <row r="1535" ht="15.75" customHeight="1" s="305">
      <c r="A1535" s="67" t="inlineStr">
        <is>
          <t>correctionBill.searchPlaceholder</t>
        </is>
      </c>
      <c r="B1535" s="112" t="inlineStr">
        <is>
          <t>Nhập từ khóa tìm kiếm</t>
        </is>
      </c>
      <c r="C1535" s="113" t="inlineStr">
        <is>
          <t>Enter search keywords</t>
        </is>
      </c>
      <c r="D1535" s="112" t="inlineStr">
        <is>
          <t>បំពេញពាក្យគន្លឹះស្វែងរក</t>
        </is>
      </c>
      <c r="E1535" s="3" t="n"/>
      <c r="F1535" s="217" t="n"/>
      <c r="G1535" t="inlineStr">
        <is>
          <t>បំពេញពាក្យគន្លឹះស្វែងរក</t>
        </is>
      </c>
      <c r="H1535" t="inlineStr">
        <is>
          <t>បំពេញពាក្យគន្លឹះស្វែងរក</t>
        </is>
      </c>
      <c r="I1535" s="111" t="n"/>
      <c r="J1535" s="217" t="inlineStr">
        <is>
          <t>"correctionBill.searchPlaceholder": "Enter search keywords",</t>
        </is>
      </c>
    </row>
    <row r="1536" ht="15.75" customHeight="1" s="305">
      <c r="A1536" s="67" t="inlineStr">
        <is>
          <t>correctionBill.orderCodePlaceholder</t>
        </is>
      </c>
      <c r="B1536" s="112" t="inlineStr">
        <is>
          <t>Nhập mã đơn hàng</t>
        </is>
      </c>
      <c r="C1536" s="113" t="inlineStr">
        <is>
          <t>Enter order number</t>
        </is>
      </c>
      <c r="D1536" s="112" t="inlineStr">
        <is>
          <t>បំពេញលេខកូដបុងបញ្ញើ</t>
        </is>
      </c>
      <c r="E1536" s="3" t="n"/>
      <c r="F1536" s="217" t="n"/>
      <c r="G1536" t="inlineStr">
        <is>
          <t>បំពេញលេខកូដបុងបញ្ញើ</t>
        </is>
      </c>
      <c r="H1536" t="inlineStr">
        <is>
          <t>បំពេញលេខកូដបុងបញ្ញើ</t>
        </is>
      </c>
      <c r="I1536" s="111" t="n"/>
      <c r="J1536" s="217" t="inlineStr">
        <is>
          <t>"correctionBill.orderCodePlaceholder": "Enter order number",</t>
        </is>
      </c>
    </row>
    <row r="1537" ht="15.75" customHeight="1" s="305">
      <c r="A1537" s="67" t="inlineStr">
        <is>
          <t>correctionBill.reasonPlaceholder</t>
        </is>
      </c>
      <c r="B1537" s="112" t="inlineStr">
        <is>
          <t>Nhập nội dung</t>
        </is>
      </c>
      <c r="C1537" s="113" t="inlineStr">
        <is>
          <t>Enter content</t>
        </is>
      </c>
      <c r="D1537" s="112" t="inlineStr">
        <is>
          <t>បំពេញខ្លឹមសារ</t>
        </is>
      </c>
      <c r="E1537" s="3" t="n"/>
      <c r="F1537" s="217" t="n"/>
      <c r="G1537" t="inlineStr">
        <is>
          <t>បំពេញខ្លឹមសារ</t>
        </is>
      </c>
      <c r="H1537" t="inlineStr">
        <is>
          <t>បំពេញខ្លឹមសារ</t>
        </is>
      </c>
      <c r="I1537" s="111" t="n"/>
      <c r="J1537" s="217" t="inlineStr">
        <is>
          <t>"correctionBill.reasonPlaceholder": "Enter content",</t>
        </is>
      </c>
    </row>
    <row r="1538" ht="15.75" customHeight="1" s="305">
      <c r="A1538" s="67" t="inlineStr">
        <is>
          <t>correctionBill.statusPending</t>
        </is>
      </c>
      <c r="B1538" s="112" t="inlineStr">
        <is>
          <t>Chờ duyệt</t>
        </is>
      </c>
      <c r="C1538" s="113" t="inlineStr">
        <is>
          <t>Pending approval</t>
        </is>
      </c>
      <c r="D1538" s="112" t="inlineStr">
        <is>
          <t>រង់ចាំការអនុម័ត</t>
        </is>
      </c>
      <c r="E1538" s="3" t="n"/>
      <c r="F1538" s="217" t="n"/>
      <c r="G1538" t="inlineStr">
        <is>
          <t>រង់ចាំការអនុម័ត</t>
        </is>
      </c>
      <c r="H1538" t="inlineStr">
        <is>
          <t>រង់ចាំការអនុម័ត</t>
        </is>
      </c>
      <c r="I1538" s="111" t="n"/>
      <c r="J1538" s="217" t="inlineStr">
        <is>
          <t>"correctionBill.statusPending": "Pending approval",</t>
        </is>
      </c>
    </row>
    <row r="1539" ht="15.75" customHeight="1" s="305">
      <c r="A1539" s="67" t="inlineStr">
        <is>
          <t>correctionBill.statusApproved</t>
        </is>
      </c>
      <c r="B1539" s="112" t="inlineStr">
        <is>
          <t>Đã duyệt</t>
        </is>
      </c>
      <c r="C1539" s="113" t="inlineStr">
        <is>
          <t>Approved</t>
        </is>
      </c>
      <c r="D1539" s="112" t="inlineStr">
        <is>
          <t>បានអនុម័ត</t>
        </is>
      </c>
      <c r="E1539" s="3" t="n"/>
      <c r="F1539" s="217" t="n"/>
      <c r="G1539" t="inlineStr">
        <is>
          <t>បានអនុម័ត</t>
        </is>
      </c>
      <c r="H1539" t="inlineStr">
        <is>
          <t>បានអនុម័ត</t>
        </is>
      </c>
      <c r="I1539" s="111" t="n"/>
      <c r="J1539" s="217" t="inlineStr">
        <is>
          <t>"correctionBill.statusApproved": "Approved",</t>
        </is>
      </c>
    </row>
    <row r="1540" ht="15.75" customHeight="1" s="305">
      <c r="A1540" s="67" t="inlineStr">
        <is>
          <t>correctionBill.statusRejected</t>
        </is>
      </c>
      <c r="B1540" s="112" t="inlineStr">
        <is>
          <t>Từ chối</t>
        </is>
      </c>
      <c r="C1540" s="113" t="inlineStr">
        <is>
          <t>Rejected</t>
        </is>
      </c>
      <c r="D1540" s="112" t="inlineStr">
        <is>
          <t>បដិសេធ</t>
        </is>
      </c>
      <c r="E1540" s="3" t="n"/>
      <c r="F1540" s="217" t="n"/>
      <c r="G1540" t="inlineStr">
        <is>
          <t>បដិសេធ</t>
        </is>
      </c>
      <c r="H1540" t="inlineStr">
        <is>
          <t>បដិសេធ</t>
        </is>
      </c>
      <c r="I1540" s="111" t="n"/>
      <c r="J1540" s="217" t="inlineStr">
        <is>
          <t>"correctionBill.statusRejected": "Rejected",</t>
        </is>
      </c>
    </row>
    <row r="1541" ht="15.75" customHeight="1" s="305">
      <c r="A1541" s="67" t="inlineStr">
        <is>
          <t>correctionBill.statusCompleted</t>
        </is>
      </c>
      <c r="B1541" s="112" t="inlineStr">
        <is>
          <t>Đã sửa</t>
        </is>
      </c>
      <c r="C1541" s="113" t="inlineStr">
        <is>
          <t>Repaired</t>
        </is>
      </c>
      <c r="D1541" s="112" t="inlineStr">
        <is>
          <t>បានកែសម្រួល</t>
        </is>
      </c>
      <c r="E1541" s="3" t="n"/>
      <c r="F1541" s="217" t="n"/>
      <c r="G1541" t="inlineStr">
        <is>
          <t>បានកែសម្រួល</t>
        </is>
      </c>
      <c r="H1541" t="inlineStr">
        <is>
          <t>បានកែសម្រួល</t>
        </is>
      </c>
      <c r="I1541" s="111" t="n"/>
      <c r="J1541" s="217" t="inlineStr">
        <is>
          <t>"correctionBill.statusCompleted": "Repaired",</t>
        </is>
      </c>
    </row>
    <row r="1542" ht="15.75" customHeight="1" s="305">
      <c r="A1542" s="67" t="inlineStr">
        <is>
          <t>correctionBill.statusCancelled</t>
        </is>
      </c>
      <c r="B1542" s="112" t="inlineStr">
        <is>
          <t>Đã hủy</t>
        </is>
      </c>
      <c r="C1542" s="113" t="inlineStr">
        <is>
          <t>Canceled</t>
        </is>
      </c>
      <c r="D1542" s="112" t="inlineStr">
        <is>
          <t>បានបោះបង់</t>
        </is>
      </c>
      <c r="E1542" s="3" t="n"/>
      <c r="F1542" s="217" t="n"/>
      <c r="G1542" t="inlineStr">
        <is>
          <t>បានបោះបង់</t>
        </is>
      </c>
      <c r="H1542" t="inlineStr">
        <is>
          <t>បានបោះបង់</t>
        </is>
      </c>
      <c r="I1542" s="111" t="n"/>
      <c r="J1542" s="217" t="inlineStr">
        <is>
          <t>"correctionBill.statusCancelled": "Canceled",</t>
        </is>
      </c>
    </row>
    <row r="1543" ht="15.75" customHeight="1" s="305">
      <c r="A1543" s="67" t="inlineStr">
        <is>
          <t>correctionBill.deleteConfirm</t>
        </is>
      </c>
      <c r="B1543" s="112" t="inlineStr">
        <is>
          <t>Bạn có chắc muốn xóa yêu cầu</t>
        </is>
      </c>
      <c r="C1543" s="113" t="inlineStr">
        <is>
          <t>Are you sure you want to delete the request?</t>
        </is>
      </c>
      <c r="D1543" s="112" t="inlineStr">
        <is>
          <t>តើអ្នកប្រាកដថាចង់លុបសំណើនេះមែនទេ?</t>
        </is>
      </c>
      <c r="E1543" s="3" t="n"/>
      <c r="F1543" s="217" t="n"/>
      <c r="G1543" t="inlineStr">
        <is>
          <t>តើអ្នកប្រាកដថាចង់លុបសំណើនេះមែនទេ?</t>
        </is>
      </c>
      <c r="H1543" t="inlineStr">
        <is>
          <t>តើអ្នកប្រាកដថាចង់លុបសំណើនេះមែនទេ?</t>
        </is>
      </c>
      <c r="I1543" s="111" t="n"/>
      <c r="J1543" s="217" t="inlineStr">
        <is>
          <t>"correctionBill.deleteConfirm": "Are you sure you want to delete the request?",</t>
        </is>
      </c>
    </row>
    <row r="1544" ht="15.75" customHeight="1" s="305">
      <c r="A1544" s="67" t="inlineStr">
        <is>
          <t>correctionBill.deleteSuccess</t>
        </is>
      </c>
      <c r="B1544" s="112" t="inlineStr">
        <is>
          <t>Xóa yêu cầu thành công</t>
        </is>
      </c>
      <c r="C1544" s="113" t="inlineStr">
        <is>
          <t>Request deleted successfully</t>
        </is>
      </c>
      <c r="D1544" s="112" t="inlineStr">
        <is>
          <t>លុបសំណើបានជោគជ័យ</t>
        </is>
      </c>
      <c r="E1544" s="3" t="n"/>
      <c r="F1544" s="217" t="n"/>
      <c r="G1544" t="inlineStr">
        <is>
          <t>លុបសំណើបានជោគជ័យ</t>
        </is>
      </c>
      <c r="H1544" t="inlineStr">
        <is>
          <t>លុបសំណើបានជោគជ័យ</t>
        </is>
      </c>
      <c r="I1544" s="111" t="n"/>
      <c r="J1544" s="217" t="inlineStr">
        <is>
          <t>"correctionBill.deleteSuccess": "Request deleted successfully",</t>
        </is>
      </c>
    </row>
    <row r="1545" ht="15.75" customHeight="1" s="305">
      <c r="A1545" s="67" t="inlineStr">
        <is>
          <t>correctionBill.rejectRequest</t>
        </is>
      </c>
      <c r="B1545" s="112" t="inlineStr">
        <is>
          <t>Từ chối yêu cầu</t>
        </is>
      </c>
      <c r="C1545" s="113" t="inlineStr">
        <is>
          <t>Reject request</t>
        </is>
      </c>
      <c r="D1545" s="112" t="inlineStr">
        <is>
          <t>បដិសេធសំណើ</t>
        </is>
      </c>
      <c r="E1545" s="3" t="n"/>
      <c r="F1545" s="217" t="n"/>
      <c r="G1545" t="inlineStr">
        <is>
          <t>បដិសេធសំណើ</t>
        </is>
      </c>
      <c r="H1545" t="inlineStr">
        <is>
          <t>បដិសេធសំណើ</t>
        </is>
      </c>
      <c r="I1545" s="111" t="n"/>
      <c r="J1545" s="217" t="inlineStr">
        <is>
          <t>"correctionBill.rejectRequest": "Reject request",</t>
        </is>
      </c>
    </row>
    <row r="1546" ht="15.75" customHeight="1" s="305">
      <c r="A1546" s="67" t="inlineStr">
        <is>
          <t>correctionBill.rejectReason</t>
        </is>
      </c>
      <c r="B1546" s="112" t="inlineStr">
        <is>
          <t>Lý do từ chối</t>
        </is>
      </c>
      <c r="C1546" s="113" t="inlineStr">
        <is>
          <t>Reason for rejection</t>
        </is>
      </c>
      <c r="D1546" s="112" t="inlineStr">
        <is>
          <t>មូលហេតុបដិសេធ</t>
        </is>
      </c>
      <c r="E1546" s="3" t="n"/>
      <c r="F1546" s="217" t="n"/>
      <c r="G1546" t="inlineStr">
        <is>
          <t>មូលហេតុបដិសេធ</t>
        </is>
      </c>
      <c r="H1546" t="inlineStr">
        <is>
          <t>មូលហេតុបដិសេធ</t>
        </is>
      </c>
      <c r="I1546" s="111" t="n"/>
      <c r="J1546" s="217" t="inlineStr">
        <is>
          <t>"correctionBill.rejectReason": "Reason for rejection",</t>
        </is>
      </c>
    </row>
    <row r="1547" ht="15.75" customHeight="1" s="305">
      <c r="A1547" s="67" t="n"/>
      <c r="B1547" s="67" t="inlineStr">
        <is>
          <t>Rất tiếc, địa chỉ này chưa hỗ trợ giao tại nhà. Bạn có thể chọn điểm nhận gần nhất hoặc điều chỉnh lại địa chỉ.</t>
        </is>
      </c>
      <c r="C1547" s="217" t="inlineStr">
        <is>
          <t>Sorry, this address is currently not supported for home delivery. You can choose the nearest pickup point or adjust the address.</t>
        </is>
      </c>
      <c r="D1547" s="3" t="inlineStr">
        <is>
          <t>សូមទោស អាសយដ្ឋាននេះមិនទាន់មានសេវាដឹកជញ្ជូនដល់ផ្ទះនៅឡើយទេ។ អ្នកអាចជ្រើសរើសទីតាំងទទួលទំនិញដែលនៅជិតបំផុត ឬកែសម្រួលអាសយដ្ឋានឡើងវិញ</t>
        </is>
      </c>
      <c r="E1547" s="3" t="n"/>
      <c r="F1547" s="217" t="n"/>
      <c r="G1547" t="inlineStr">
        <is>
          <t>សូមទោស អាសយដ្ឋាននេះមិនទាន់មានសេវាដឹកជញ្ជូនដល់ផ្ទះនៅឡើយទេ។ អ្នកអាចជ្រើសរើសទីតាំងទទួលទំនិញដែលនៅជិតបំផុត ឬកែសម្រួលអាសយដ្ឋានឡើងវិញ</t>
        </is>
      </c>
      <c r="H1547" t="inlineStr">
        <is>
          <t>សូមទោស អាសយដ្ឋាននេះមិនទាន់មានសេវាដឹកជញ្ជូនដល់ផ្ទះនៅឡើយទេ។ អ្នកអាចជ្រើសរើសទីតាំងទទួលទំនិញដែលនៅជិតបំផុត ឬកែសម្រួលអាសយដ្ឋានឡើងវិញ</t>
        </is>
      </c>
      <c r="I1547" s="111" t="n"/>
      <c r="J1547" s="217" t="inlineStr"/>
    </row>
    <row r="1548" ht="15.75" customHeight="1" s="305">
      <c r="A1548" s="215" t="inlineStr">
        <is>
          <t>title</t>
        </is>
      </c>
      <c r="B1548" s="215" t="inlineStr">
        <is>
          <t>Quản lý chức năng</t>
        </is>
      </c>
      <c r="C1548" s="217" t="inlineStr">
        <is>
          <t>Function Management</t>
        </is>
      </c>
      <c r="D1548" s="3" t="n"/>
      <c r="E1548" s="3" t="n"/>
      <c r="F1548" s="217" t="n"/>
      <c r="G1548" t="inlineStr">
        <is>
          <t>គ្រប់គ្រងមុខងារ</t>
        </is>
      </c>
      <c r="H1548" t="inlineStr">
        <is>
          <t>គ្រប់គ្រងមុខងារ</t>
        </is>
      </c>
      <c r="I1548" s="111" t="n"/>
      <c r="J1548" s="217" t="inlineStr">
        <is>
          <t>"title": "Function Management",</t>
        </is>
      </c>
    </row>
    <row r="1549" ht="15.75" customHeight="1" s="305">
      <c r="A1549" s="215" t="inlineStr">
        <is>
          <t>createFeature</t>
        </is>
      </c>
      <c r="B1549" s="215" t="inlineStr">
        <is>
          <t>Thêm mới chức năng</t>
        </is>
      </c>
      <c r="C1549" s="217" t="inlineStr">
        <is>
          <t>Add New Function</t>
        </is>
      </c>
      <c r="D1549" s="3" t="n"/>
      <c r="E1549" s="3" t="n"/>
      <c r="F1549" s="217" t="n"/>
      <c r="G1549" t="inlineStr">
        <is>
          <t>បន្ថែមមុខងារថ្មី</t>
        </is>
      </c>
      <c r="H1549" t="inlineStr">
        <is>
          <t>បន្ថែមមុខងារថ្មី</t>
        </is>
      </c>
      <c r="I1549" s="111" t="n"/>
      <c r="J1549" s="217" t="inlineStr">
        <is>
          <t>"createFeature": "Add New Function",</t>
        </is>
      </c>
    </row>
    <row r="1550" ht="15.75" customHeight="1" s="305">
      <c r="A1550" s="215" t="inlineStr">
        <is>
          <t>dragTitle</t>
        </is>
      </c>
      <c r="B1550" s="215" t="inlineStr">
        <is>
          <t>Giữ để kéo thả vị trí</t>
        </is>
      </c>
      <c r="C1550" s="217" t="inlineStr">
        <is>
          <t>Hold to drag and drop position</t>
        </is>
      </c>
      <c r="D1550" s="3" t="n"/>
      <c r="E1550" s="3" t="n"/>
      <c r="F1550" s="217" t="n"/>
      <c r="G1550" t="inlineStr">
        <is>
          <t>ចុចសង្កត់ដើម្បីអូសប្តូរទីតាំង</t>
        </is>
      </c>
      <c r="H1550" t="inlineStr">
        <is>
          <t>ចុចសង្កត់ដើម្បីអូសប្តូរទីតាំង</t>
        </is>
      </c>
      <c r="I1550" s="111" t="n"/>
      <c r="J1550" s="217" t="inlineStr">
        <is>
          <t>"dragTitle": "Hold to drag and drop position",</t>
        </is>
      </c>
    </row>
    <row r="1551" ht="15.75" customHeight="1" s="305">
      <c r="A1551" s="215" t="inlineStr">
        <is>
          <t>createNew</t>
        </is>
      </c>
      <c r="B1551" s="215" t="inlineStr">
        <is>
          <t xml:space="preserve"> Thêm mới</t>
        </is>
      </c>
      <c r="C1551" s="217" t="inlineStr">
        <is>
          <t>Add New</t>
        </is>
      </c>
      <c r="D1551" s="3" t="n"/>
      <c r="E1551" s="3" t="n"/>
      <c r="F1551" s="217" t="n"/>
      <c r="G1551" t="inlineStr">
        <is>
          <t>បន្ថែមថ្មី</t>
        </is>
      </c>
      <c r="H1551" t="inlineStr">
        <is>
          <t>បន្ថែមថ្មី</t>
        </is>
      </c>
      <c r="I1551" s="111" t="n"/>
      <c r="J1551" s="217" t="inlineStr">
        <is>
          <t>"createNew": "Add New",</t>
        </is>
      </c>
    </row>
    <row r="1552" ht="15.75" customHeight="1" s="305">
      <c r="A1552" s="215" t="inlineStr">
        <is>
          <t>move</t>
        </is>
      </c>
      <c r="B1552" s="215" t="inlineStr">
        <is>
          <t>Di chuyển</t>
        </is>
      </c>
      <c r="C1552" s="217" t="inlineStr">
        <is>
          <t>Move</t>
        </is>
      </c>
      <c r="D1552" s="3" t="n"/>
      <c r="E1552" s="3" t="n"/>
      <c r="F1552" s="217" t="n"/>
      <c r="G1552" t="inlineStr">
        <is>
          <t>ផ្លាស់ទី</t>
        </is>
      </c>
      <c r="H1552" t="inlineStr">
        <is>
          <t>ផ្លាស់ទី</t>
        </is>
      </c>
      <c r="I1552" s="111" t="n"/>
      <c r="J1552" s="217" t="inlineStr">
        <is>
          <t>"move": "Move",</t>
        </is>
      </c>
    </row>
    <row r="1553" ht="15.75" customHeight="1" s="305">
      <c r="A1553" s="215" t="inlineStr">
        <is>
          <t>clone</t>
        </is>
      </c>
      <c r="B1553" s="215" t="inlineStr">
        <is>
          <t>Nhân bản</t>
        </is>
      </c>
      <c r="C1553" s="217" t="inlineStr">
        <is>
          <t>Duplicate</t>
        </is>
      </c>
      <c r="D1553" s="3" t="n"/>
      <c r="E1553" s="3" t="n"/>
      <c r="F1553" s="217" t="n"/>
      <c r="G1553" t="inlineStr">
        <is>
          <t>ចម្លងស្ទួន</t>
        </is>
      </c>
      <c r="H1553" t="inlineStr">
        <is>
          <t>ចម្លងស្ទួន</t>
        </is>
      </c>
      <c r="I1553" s="111" t="n"/>
      <c r="J1553" s="217" t="inlineStr">
        <is>
          <t>"clone": "Duplicate",</t>
        </is>
      </c>
    </row>
    <row r="1554" ht="15.75" customHeight="1" s="305">
      <c r="A1554" s="215" t="inlineStr">
        <is>
          <t>DOC_TYPE_MODULE</t>
        </is>
      </c>
      <c r="B1554" s="215" t="inlineStr">
        <is>
          <t>Module</t>
        </is>
      </c>
      <c r="C1554" s="217" t="inlineStr">
        <is>
          <t>Module</t>
        </is>
      </c>
      <c r="D1554" s="3" t="n"/>
      <c r="E1554" s="3" t="n"/>
      <c r="F1554" s="217" t="n"/>
      <c r="G1554" t="inlineStr">
        <is>
          <t>ម៉ូឌុល (Module)</t>
        </is>
      </c>
      <c r="H1554" t="inlineStr">
        <is>
          <t>ម៉ូឌុល (Module)</t>
        </is>
      </c>
      <c r="I1554" s="111" t="n"/>
      <c r="J1554" s="217" t="inlineStr">
        <is>
          <t>"DOC_TYPE_MODULE": "Module",</t>
        </is>
      </c>
    </row>
    <row r="1555" ht="15.75" customHeight="1" s="305">
      <c r="A1555" s="215" t="inlineStr">
        <is>
          <t>DOC_TYPE_TAB</t>
        </is>
      </c>
      <c r="B1555" s="215" t="inlineStr">
        <is>
          <t>Tab</t>
        </is>
      </c>
      <c r="C1555" s="217" t="inlineStr">
        <is>
          <t>Tab</t>
        </is>
      </c>
      <c r="D1555" s="3" t="n"/>
      <c r="E1555" s="3" t="n"/>
      <c r="F1555" s="217" t="n"/>
      <c r="G1555" t="inlineStr">
        <is>
          <t>ផ្ទាំង (Tab)</t>
        </is>
      </c>
      <c r="H1555" t="inlineStr">
        <is>
          <t>ផ្ទាំង (Tab)</t>
        </is>
      </c>
      <c r="I1555" s="111" t="n"/>
      <c r="J1555" s="217" t="inlineStr">
        <is>
          <t>"DOC_TYPE_TAB": "Tab",</t>
        </is>
      </c>
    </row>
    <row r="1556" ht="15.75" customHeight="1" s="305">
      <c r="A1556" s="215" t="inlineStr">
        <is>
          <t>id</t>
        </is>
      </c>
      <c r="B1556" s="215" t="inlineStr">
        <is>
          <t>Mã chức năng</t>
        </is>
      </c>
      <c r="C1556" s="217" t="inlineStr">
        <is>
          <t>Function Code</t>
        </is>
      </c>
      <c r="D1556" s="3" t="n"/>
      <c r="E1556" s="3" t="n"/>
      <c r="F1556" s="217" t="n"/>
      <c r="G1556" t="inlineStr">
        <is>
          <t>លេខកូដមុខងារ</t>
        </is>
      </c>
      <c r="H1556" t="inlineStr">
        <is>
          <t>លេខកូដមុខងារ</t>
        </is>
      </c>
      <c r="I1556" s="111" t="n"/>
      <c r="J1556" s="217" t="inlineStr">
        <is>
          <t>"id": "Function Code",</t>
        </is>
      </c>
    </row>
    <row r="1557" ht="15.75" customHeight="1" s="305">
      <c r="A1557" s="215" t="inlineStr">
        <is>
          <t>name</t>
        </is>
      </c>
      <c r="B1557" s="215" t="inlineStr">
        <is>
          <t>Tên chức năng</t>
        </is>
      </c>
      <c r="C1557" s="217" t="inlineStr">
        <is>
          <t>Function Name</t>
        </is>
      </c>
      <c r="D1557" s="3" t="n"/>
      <c r="E1557" s="3" t="n"/>
      <c r="F1557" s="217" t="n"/>
      <c r="G1557" t="inlineStr">
        <is>
          <t>ឈ្មោះមុខងារ</t>
        </is>
      </c>
      <c r="H1557" t="inlineStr">
        <is>
          <t>ឈ្មោះមុខងារ</t>
        </is>
      </c>
      <c r="I1557" s="111" t="n"/>
      <c r="J1557" s="217" t="inlineStr">
        <is>
          <t>"name": "Function Name",</t>
        </is>
      </c>
    </row>
    <row r="1558" ht="15.75" customHeight="1" s="305">
      <c r="A1558" s="215" t="inlineStr">
        <is>
          <t>type</t>
        </is>
      </c>
      <c r="B1558" s="215" t="inlineStr">
        <is>
          <t>Loại</t>
        </is>
      </c>
      <c r="C1558" s="217" t="inlineStr">
        <is>
          <t>Type</t>
        </is>
      </c>
      <c r="D1558" s="3" t="n"/>
      <c r="E1558" s="3" t="n"/>
      <c r="F1558" s="217" t="n"/>
      <c r="G1558" t="inlineStr">
        <is>
          <t>ប្រភេទ</t>
        </is>
      </c>
      <c r="H1558" t="inlineStr">
        <is>
          <t>ប្រភេទ</t>
        </is>
      </c>
      <c r="I1558" s="111" t="n"/>
      <c r="J1558" s="217" t="inlineStr">
        <is>
          <t>"type": "Type",</t>
        </is>
      </c>
    </row>
    <row r="1559" ht="15.75" customHeight="1" s="305">
      <c r="A1559" s="215" t="inlineStr">
        <is>
          <t>url</t>
        </is>
      </c>
      <c r="B1559" s="215" t="inlineStr">
        <is>
          <t>Đường dẫn URL</t>
        </is>
      </c>
      <c r="C1559" s="217" t="inlineStr">
        <is>
          <t>URL Path</t>
        </is>
      </c>
      <c r="D1559" s="3" t="n"/>
      <c r="E1559" s="3" t="n"/>
      <c r="F1559" s="217" t="n"/>
      <c r="G1559" t="inlineStr">
        <is>
          <t>តំណភ្ជាប់ URL</t>
        </is>
      </c>
      <c r="H1559" t="inlineStr">
        <is>
          <t>តំណភ្ជាប់ URL</t>
        </is>
      </c>
      <c r="I1559" s="111" t="n"/>
      <c r="J1559" s="217" t="inlineStr">
        <is>
          <t>"url": "URL Path",</t>
        </is>
      </c>
    </row>
    <row r="1560" ht="15.75" customHeight="1" s="305">
      <c r="A1560" s="215" t="inlineStr">
        <is>
          <t>description</t>
        </is>
      </c>
      <c r="B1560" s="215" t="inlineStr">
        <is>
          <t>Mô tả</t>
        </is>
      </c>
      <c r="C1560" s="217" t="inlineStr">
        <is>
          <t>Description</t>
        </is>
      </c>
      <c r="D1560" s="3" t="n"/>
      <c r="E1560" s="3" t="n"/>
      <c r="F1560" s="217" t="n"/>
      <c r="G1560" t="inlineStr">
        <is>
          <t>ការពិពណ៌នា</t>
        </is>
      </c>
      <c r="H1560" t="inlineStr">
        <is>
          <t>ការពិពណ៌នា</t>
        </is>
      </c>
      <c r="I1560" s="111" t="n"/>
      <c r="J1560" s="217" t="inlineStr">
        <is>
          <t>"description": "Description",</t>
        </is>
      </c>
    </row>
    <row r="1561" ht="15.75" customHeight="1" s="305">
      <c r="A1561" s="215" t="inlineStr">
        <is>
          <t>status</t>
        </is>
      </c>
      <c r="B1561" s="215" t="inlineStr">
        <is>
          <t>Trạng thái</t>
        </is>
      </c>
      <c r="C1561" s="217" t="inlineStr">
        <is>
          <t>Status</t>
        </is>
      </c>
      <c r="D1561" s="3" t="n"/>
      <c r="E1561" s="3" t="n"/>
      <c r="F1561" s="217" t="n"/>
      <c r="G1561" t="inlineStr">
        <is>
          <t>ស្ថានភាព</t>
        </is>
      </c>
      <c r="H1561" t="inlineStr">
        <is>
          <t>ស្ថានភាព</t>
        </is>
      </c>
      <c r="I1561" s="111" t="n"/>
      <c r="J1561" s="217" t="inlineStr">
        <is>
          <t>"status": "Status",</t>
        </is>
      </c>
    </row>
    <row r="1562" ht="15.75" customHeight="1" s="305">
      <c r="A1562" s="215" t="inlineStr">
        <is>
          <t>groupRights</t>
        </is>
      </c>
      <c r="B1562" s="215" t="inlineStr">
        <is>
          <t>Nhóm quyền</t>
        </is>
      </c>
      <c r="C1562" s="217" t="inlineStr">
        <is>
          <t>Permission Group</t>
        </is>
      </c>
      <c r="D1562" s="3" t="n"/>
      <c r="E1562" s="3" t="n"/>
      <c r="F1562" s="217" t="n"/>
      <c r="G1562" t="inlineStr">
        <is>
          <t>ក្រុមសិទ្ធិ</t>
        </is>
      </c>
      <c r="H1562" t="inlineStr">
        <is>
          <t>ក្រុមសិទ្ធិ</t>
        </is>
      </c>
      <c r="I1562" s="111" t="n"/>
      <c r="J1562" s="217" t="inlineStr">
        <is>
          <t>"groupRights": "Permission Group",</t>
        </is>
      </c>
    </row>
    <row r="1563" ht="15.75" customHeight="1" s="305">
      <c r="A1563" s="215" t="inlineStr">
        <is>
          <t>groupRightSelect</t>
        </is>
      </c>
      <c r="B1563" s="215" t="inlineStr">
        <is>
          <t>Chọn nhóm quyền</t>
        </is>
      </c>
      <c r="C1563" s="217" t="inlineStr">
        <is>
          <t>Select Permission Group</t>
        </is>
      </c>
      <c r="D1563" s="3" t="n"/>
      <c r="E1563" s="3" t="n"/>
      <c r="F1563" s="217" t="n"/>
      <c r="G1563" t="inlineStr">
        <is>
          <t>ជ្រើសរើសក្រុមសិទ្ធិ</t>
        </is>
      </c>
      <c r="H1563" t="inlineStr">
        <is>
          <t>ជ្រើសរើសក្រុមសិទ្ធិ</t>
        </is>
      </c>
      <c r="I1563" s="111" t="n"/>
      <c r="J1563" s="217" t="inlineStr">
        <is>
          <t>"groupRightSelect": "Select Permission Group",</t>
        </is>
      </c>
    </row>
    <row r="1564" ht="15.75" customHeight="1" s="305">
      <c r="A1564" s="215" t="inlineStr">
        <is>
          <t>add</t>
        </is>
      </c>
      <c r="B1564" s="215" t="inlineStr">
        <is>
          <t>Thêm</t>
        </is>
      </c>
      <c r="C1564" s="217" t="inlineStr">
        <is>
          <t>Add</t>
        </is>
      </c>
      <c r="D1564" s="3" t="n"/>
      <c r="E1564" s="3" t="n"/>
      <c r="F1564" s="217" t="n"/>
      <c r="G1564" t="inlineStr">
        <is>
          <t>បន្ថែម</t>
        </is>
      </c>
      <c r="H1564" t="inlineStr">
        <is>
          <t>បន្ថែម</t>
        </is>
      </c>
      <c r="I1564" s="111" t="n"/>
      <c r="J1564" s="217" t="inlineStr">
        <is>
          <t>"add": "Add",</t>
        </is>
      </c>
    </row>
    <row r="1565" ht="15.75" customHeight="1" s="305">
      <c r="A1565" s="215" t="inlineStr">
        <is>
          <t>customer</t>
        </is>
      </c>
      <c r="B1565" s="215" t="inlineStr">
        <is>
          <t>Người dùng</t>
        </is>
      </c>
      <c r="C1565" s="217" t="inlineStr">
        <is>
          <t>User</t>
        </is>
      </c>
      <c r="D1565" s="3" t="n"/>
      <c r="E1565" s="3" t="n"/>
      <c r="F1565" s="217" t="n"/>
      <c r="G1565" t="inlineStr">
        <is>
          <t>អ្នកប្រើប្រាស់</t>
        </is>
      </c>
      <c r="H1565" t="inlineStr">
        <is>
          <t>អ្នកប្រើប្រាស់</t>
        </is>
      </c>
      <c r="I1565" s="111" t="n"/>
      <c r="J1565" s="217" t="inlineStr">
        <is>
          <t>"customer": "User",</t>
        </is>
      </c>
    </row>
    <row r="1566" ht="15.75" customHeight="1" s="305">
      <c r="A1566" s="215" t="inlineStr">
        <is>
          <t>cusId</t>
        </is>
      </c>
      <c r="B1566" s="215" t="inlineStr">
        <is>
          <t>Mã nhân viên</t>
        </is>
      </c>
      <c r="C1566" s="217" t="inlineStr">
        <is>
          <t>Employee Code</t>
        </is>
      </c>
      <c r="D1566" s="3" t="n"/>
      <c r="E1566" s="3" t="n"/>
      <c r="F1566" s="217" t="n"/>
      <c r="G1566" t="inlineStr">
        <is>
          <t>លេខកូដបុគ្គលិក</t>
        </is>
      </c>
      <c r="H1566" t="inlineStr">
        <is>
          <t>លេខកូដបុគ្គលិក</t>
        </is>
      </c>
      <c r="I1566" s="111" t="n"/>
      <c r="J1566" s="217" t="inlineStr">
        <is>
          <t>"cusId": "Employee Code",</t>
        </is>
      </c>
    </row>
    <row r="1567" ht="15.75" customHeight="1" s="305">
      <c r="A1567" s="215" t="inlineStr">
        <is>
          <t>username</t>
        </is>
      </c>
      <c r="B1567" s="215" t="inlineStr">
        <is>
          <t>Username</t>
        </is>
      </c>
      <c r="C1567" s="217" t="inlineStr">
        <is>
          <t>Username</t>
        </is>
      </c>
      <c r="D1567" s="3" t="n"/>
      <c r="E1567" s="3" t="n"/>
      <c r="F1567" s="217" t="n"/>
      <c r="G1567" t="inlineStr">
        <is>
          <t>ឈ្មោះគណនី</t>
        </is>
      </c>
      <c r="H1567" t="inlineStr">
        <is>
          <t>ឈ្មោះគណនី</t>
        </is>
      </c>
      <c r="I1567" s="111" t="n"/>
      <c r="J1567" s="217" t="inlineStr">
        <is>
          <t>"username": "Username",</t>
        </is>
      </c>
    </row>
    <row r="1568" ht="15.75" customHeight="1" s="305">
      <c r="A1568" s="215" t="inlineStr">
        <is>
          <t>cusName</t>
        </is>
      </c>
      <c r="B1568" s="215" t="inlineStr">
        <is>
          <t>Tên người dùng</t>
        </is>
      </c>
      <c r="C1568" s="217" t="inlineStr">
        <is>
          <t>User Full Name</t>
        </is>
      </c>
      <c r="D1568" s="3" t="n"/>
      <c r="E1568" s="3" t="n"/>
      <c r="F1568" s="217" t="n"/>
      <c r="G1568" t="inlineStr">
        <is>
          <t>ឈ្មោះអ្នកប្រើប្រាស់</t>
        </is>
      </c>
      <c r="H1568" t="inlineStr">
        <is>
          <t>ឈ្មោះអ្នកប្រើប្រាស់</t>
        </is>
      </c>
      <c r="I1568" s="111" t="n"/>
      <c r="J1568" s="217" t="inlineStr">
        <is>
          <t>"cusName": "User Full Name",</t>
        </is>
      </c>
    </row>
    <row r="1569" ht="15.75" customHeight="1" s="305">
      <c r="A1569" s="215" t="inlineStr">
        <is>
          <t>customerSelect</t>
        </is>
      </c>
      <c r="B1569" s="215" t="inlineStr">
        <is>
          <t>Chọn người dùng</t>
        </is>
      </c>
      <c r="C1569" s="217" t="inlineStr">
        <is>
          <t>Select User</t>
        </is>
      </c>
      <c r="D1569" s="3" t="n"/>
      <c r="E1569" s="3" t="n"/>
      <c r="F1569" s="217" t="n"/>
      <c r="G1569" t="inlineStr">
        <is>
          <t>ជ្រើសរើសអ្នកប្រើប្រាស់</t>
        </is>
      </c>
      <c r="H1569" t="inlineStr">
        <is>
          <t>ជ្រើសរើសអ្នកប្រើប្រាស់</t>
        </is>
      </c>
      <c r="I1569" s="111" t="n"/>
      <c r="J1569" s="217" t="inlineStr">
        <is>
          <t>"customerSelect": "Select User",</t>
        </is>
      </c>
    </row>
    <row r="1570" ht="15.75" customHeight="1" s="305">
      <c r="A1570" s="215" t="inlineStr">
        <is>
          <t>addNewNotice</t>
        </is>
      </c>
      <c r="B1570" s="215" t="inlineStr">
        <is>
          <t>Thêm mới chức năng</t>
        </is>
      </c>
      <c r="C1570" s="217" t="inlineStr">
        <is>
          <t>Add New Function</t>
        </is>
      </c>
      <c r="D1570" s="3" t="n"/>
      <c r="E1570" s="3" t="n"/>
      <c r="F1570" s="217" t="n"/>
      <c r="G1570" t="inlineStr">
        <is>
          <t>បន្ថែមមុខងារថ្មី</t>
        </is>
      </c>
      <c r="H1570" t="inlineStr">
        <is>
          <t>បន្ថែមមុខងារថ្មី</t>
        </is>
      </c>
      <c r="I1570" s="111" t="n"/>
      <c r="J1570" s="217" t="inlineStr">
        <is>
          <t>"addNewNotice": "Add New Function",</t>
        </is>
      </c>
    </row>
    <row r="1571" ht="15.75" customHeight="1" s="305">
      <c r="A1571" s="215" t="inlineStr">
        <is>
          <t>updateNotice</t>
        </is>
      </c>
      <c r="B1571" s="215" t="inlineStr">
        <is>
          <t>Cập nhật chức năng</t>
        </is>
      </c>
      <c r="C1571" s="217" t="inlineStr">
        <is>
          <t>Update Function</t>
        </is>
      </c>
      <c r="D1571" s="3" t="n"/>
      <c r="E1571" s="3" t="n"/>
      <c r="F1571" s="217" t="n"/>
      <c r="G1571" t="inlineStr">
        <is>
          <t>ធ្វើបច្ចុប្បន្នភាពមុខងារ</t>
        </is>
      </c>
      <c r="H1571" t="inlineStr">
        <is>
          <t>ធ្វើបច្ចុប្បន្នភាពមុខងារ</t>
        </is>
      </c>
      <c r="I1571" s="111" t="n"/>
      <c r="J1571" s="217" t="inlineStr">
        <is>
          <t>"updateNotice": "Update Function",</t>
        </is>
      </c>
    </row>
    <row r="1572" ht="15.75" customHeight="1" s="305">
      <c r="A1572" s="215" t="inlineStr">
        <is>
          <t>duplicateNotice</t>
        </is>
      </c>
      <c r="B1572" s="215" t="inlineStr">
        <is>
          <t>Nhân bản chức năng</t>
        </is>
      </c>
      <c r="C1572" s="217" t="inlineStr">
        <is>
          <t>Duplicate Function</t>
        </is>
      </c>
      <c r="D1572" s="3" t="n"/>
      <c r="E1572" s="3" t="n"/>
      <c r="F1572" s="217" t="n"/>
      <c r="G1572" t="inlineStr">
        <is>
          <t>ចម្លងស្ទួនមុខងារ</t>
        </is>
      </c>
      <c r="H1572" t="inlineStr">
        <is>
          <t>ចម្លងស្ទួនមុខងារ</t>
        </is>
      </c>
      <c r="I1572" s="111" t="n"/>
      <c r="J1572" s="217" t="inlineStr">
        <is>
          <t>"duplicateNotice": "Duplicate Function",</t>
        </is>
      </c>
    </row>
    <row r="1573" ht="15.75" customHeight="1" s="305">
      <c r="A1573" s="215" t="inlineStr">
        <is>
          <t>moveFeatureNotice</t>
        </is>
      </c>
      <c r="B1573" s="215" t="inlineStr">
        <is>
          <t>Di chuyển chức năng</t>
        </is>
      </c>
      <c r="C1573" s="217" t="inlineStr">
        <is>
          <t>Move Function</t>
        </is>
      </c>
      <c r="D1573" s="3" t="n"/>
      <c r="E1573" s="3" t="n"/>
      <c r="F1573" s="217" t="n"/>
      <c r="G1573" t="inlineStr">
        <is>
          <t>ផ្លាស់ទីមុខងារ</t>
        </is>
      </c>
      <c r="H1573" t="inlineStr">
        <is>
          <t>ផ្លាស់ទីមុខងារ</t>
        </is>
      </c>
      <c r="I1573" s="111" t="n"/>
      <c r="J1573" s="217" t="inlineStr">
        <is>
          <t>"moveFeatureNotice": "Move Function",</t>
        </is>
      </c>
    </row>
    <row r="1574" ht="15.75" customHeight="1" s="305">
      <c r="A1574" s="215" t="inlineStr">
        <is>
          <t>groupRightId</t>
        </is>
      </c>
      <c r="B1574" s="215" t="inlineStr">
        <is>
          <t>Mã nhóm quyền</t>
        </is>
      </c>
      <c r="C1574" s="217" t="inlineStr">
        <is>
          <t>Permission Group Code</t>
        </is>
      </c>
      <c r="D1574" s="3" t="n"/>
      <c r="E1574" s="3" t="n"/>
      <c r="F1574" s="217" t="n"/>
      <c r="G1574" t="inlineStr">
        <is>
          <t>លេខកូដក្រុមសិទ្ធិ</t>
        </is>
      </c>
      <c r="H1574" t="inlineStr">
        <is>
          <t>លេខកូដក្រុមសិទ្ធិ</t>
        </is>
      </c>
      <c r="I1574" s="111" t="n"/>
      <c r="J1574" s="217" t="inlineStr">
        <is>
          <t>"groupRightId": "Permission Group Code",</t>
        </is>
      </c>
    </row>
    <row r="1575" ht="15.75" customHeight="1" s="305">
      <c r="A1575" s="215" t="inlineStr">
        <is>
          <t>groupRightName</t>
        </is>
      </c>
      <c r="B1575" s="215" t="inlineStr">
        <is>
          <t>Tên nhóm quyền</t>
        </is>
      </c>
      <c r="C1575" s="217" t="inlineStr">
        <is>
          <t>Permission Group Name</t>
        </is>
      </c>
      <c r="D1575" s="3" t="n"/>
      <c r="E1575" s="3" t="n"/>
      <c r="F1575" s="217" t="n"/>
      <c r="G1575" t="inlineStr">
        <is>
          <t>ឈ្មោះក្រុមសិទ្ធិ</t>
        </is>
      </c>
      <c r="H1575" t="inlineStr">
        <is>
          <t>ឈ្មោះក្រុមសិទ្ធិ</t>
        </is>
      </c>
      <c r="I1575" s="111" t="n"/>
      <c r="J1575" s="217" t="inlineStr">
        <is>
          <t>"groupRightName": "Permission Group Name",</t>
        </is>
      </c>
    </row>
    <row r="1576" ht="15.75" customHeight="1" s="305">
      <c r="A1576" s="215" t="inlineStr">
        <is>
          <t>moveTitle</t>
        </is>
      </c>
      <c r="B1576" s="215" t="inlineStr">
        <is>
          <t>Di chuyển chức năng</t>
        </is>
      </c>
      <c r="C1576" s="217" t="inlineStr">
        <is>
          <t>Move Function</t>
        </is>
      </c>
      <c r="D1576" s="3" t="n"/>
      <c r="E1576" s="3" t="n"/>
      <c r="F1576" s="217" t="n"/>
      <c r="G1576" t="inlineStr">
        <is>
          <t>ផ្លាស់ទីមុខងារ</t>
        </is>
      </c>
      <c r="H1576" t="inlineStr">
        <is>
          <t>ផ្លាស់ទីមុខងារ</t>
        </is>
      </c>
      <c r="I1576" s="111" t="n"/>
      <c r="J1576" s="217" t="inlineStr">
        <is>
          <t>"moveTitle": "Move Function",</t>
        </is>
      </c>
    </row>
    <row r="1577" ht="15.75" customHeight="1" s="305">
      <c r="A1577" s="215" t="inlineStr">
        <is>
          <t>moveTo</t>
        </is>
      </c>
      <c r="B1577" s="215" t="inlineStr">
        <is>
          <t>Di chuyển tới</t>
        </is>
      </c>
      <c r="C1577" s="217" t="inlineStr">
        <is>
          <t>Move To</t>
        </is>
      </c>
      <c r="D1577" s="3" t="n"/>
      <c r="E1577" s="3" t="n"/>
      <c r="F1577" s="217" t="n"/>
      <c r="G1577" t="inlineStr">
        <is>
          <t>ផ្លាស់ទីទៅកាន់</t>
        </is>
      </c>
      <c r="H1577" t="inlineStr">
        <is>
          <t>ផ្លាស់ទីទៅកាន់</t>
        </is>
      </c>
      <c r="I1577" s="111" t="n"/>
      <c r="J1577" s="217" t="inlineStr">
        <is>
          <t>"moveTo": "Move To",</t>
        </is>
      </c>
    </row>
    <row r="1578" ht="15.75" customHeight="1" s="305">
      <c r="A1578" s="215" t="inlineStr">
        <is>
          <t>feature</t>
        </is>
      </c>
      <c r="B1578" s="215" t="inlineStr">
        <is>
          <t>Chức năng</t>
        </is>
      </c>
      <c r="C1578" s="217" t="inlineStr">
        <is>
          <t>Function</t>
        </is>
      </c>
      <c r="D1578" s="3" t="n"/>
      <c r="E1578" s="3" t="n"/>
      <c r="F1578" s="217" t="n"/>
      <c r="G1578" t="inlineStr">
        <is>
          <t>មុខងារ</t>
        </is>
      </c>
      <c r="H1578" t="inlineStr">
        <is>
          <t>មុខងារ</t>
        </is>
      </c>
      <c r="I1578" s="111" t="n"/>
      <c r="J1578" s="217" t="inlineStr">
        <is>
          <t>"feature": "Function",</t>
        </is>
      </c>
    </row>
    <row r="1579" ht="15.75" customHeight="1" s="305">
      <c r="A1579" s="215" t="inlineStr">
        <is>
          <t>locationFeature</t>
        </is>
      </c>
      <c r="B1579" s="215" t="inlineStr">
        <is>
          <t>Vị trí chức năng</t>
        </is>
      </c>
      <c r="C1579" s="217" t="inlineStr">
        <is>
          <t>Function Position</t>
        </is>
      </c>
      <c r="D1579" s="3" t="n"/>
      <c r="E1579" s="3" t="n"/>
      <c r="F1579" s="217" t="n"/>
      <c r="G1579" t="inlineStr">
        <is>
          <t>ទីតាំងមុខងារ</t>
        </is>
      </c>
      <c r="H1579" t="inlineStr">
        <is>
          <t>ទីតាំងមុខងារ</t>
        </is>
      </c>
      <c r="I1579" s="111" t="n"/>
      <c r="J1579" s="217" t="inlineStr">
        <is>
          <t>"locationFeature": "Function Position",</t>
        </is>
      </c>
    </row>
    <row r="1580" ht="15.75" customHeight="1" s="305">
      <c r="A1580" s="215" t="inlineStr">
        <is>
          <t>confirmNotice</t>
        </is>
      </c>
      <c r="B1580" s="215" t="inlineStr">
        <is>
          <t>Bạn có chắc chắn muốn xoá chức năng này</t>
        </is>
      </c>
      <c r="C1580" s="217" t="inlineStr">
        <is>
          <t>Are you sure you want to delete this function?</t>
        </is>
      </c>
      <c r="D1580" s="3" t="n"/>
      <c r="E1580" s="3" t="n"/>
      <c r="F1580" s="217" t="n"/>
      <c r="G1580" t="inlineStr">
        <is>
          <t>តើអ្នកពិតជាចង់លុបមុខងារនេះមែនទេ?</t>
        </is>
      </c>
      <c r="H1580" t="inlineStr">
        <is>
          <t>តើអ្នកពិតជាចង់លុបមុខងារនេះមែនទេ?</t>
        </is>
      </c>
      <c r="I1580" s="111" t="n"/>
      <c r="J1580" s="217" t="inlineStr">
        <is>
          <t>"confirmNotice": "Are you sure you want to delete this function?",</t>
        </is>
      </c>
    </row>
    <row r="1581" ht="15.75" customHeight="1" s="305">
      <c r="A1581" s="215" t="inlineStr">
        <is>
          <t>deleteNotice</t>
        </is>
      </c>
      <c r="B1581" s="215" t="inlineStr">
        <is>
          <t>Xoá chức năng</t>
        </is>
      </c>
      <c r="C1581" s="217" t="inlineStr">
        <is>
          <t>Delete Function</t>
        </is>
      </c>
      <c r="D1581" s="3" t="n"/>
      <c r="E1581" s="3" t="n"/>
      <c r="F1581" s="217" t="n"/>
      <c r="G1581" t="inlineStr">
        <is>
          <t>លុបមុខងារ</t>
        </is>
      </c>
      <c r="H1581" t="inlineStr">
        <is>
          <t>លុបមុខងារ</t>
        </is>
      </c>
      <c r="I1581" s="111" t="n"/>
      <c r="J1581" s="217" t="inlineStr">
        <is>
          <t>"deleteNotice": "Delete Function",</t>
        </is>
      </c>
    </row>
    <row r="1582" ht="15.75" customHeight="1" s="305">
      <c r="A1582" s="215" t="inlineStr">
        <is>
          <t>duplicateRoleNotice</t>
        </is>
      </c>
      <c r="B1582" s="215" t="inlineStr">
        <is>
          <t>Quyền này đã tồn tại trong module</t>
        </is>
      </c>
      <c r="C1582" s="217" t="inlineStr">
        <is>
          <t>This permission already exists in the module</t>
        </is>
      </c>
      <c r="D1582" s="3" t="n"/>
      <c r="E1582" s="3" t="n"/>
      <c r="F1582" s="217" t="n"/>
      <c r="G1582" t="inlineStr">
        <is>
          <t>សិទ្ធិនេះមានរួចហើយនៅក្នុងម៉ូឌុល</t>
        </is>
      </c>
      <c r="H1582" t="inlineStr">
        <is>
          <t>សិទ្ធិនេះមានរួចហើយនៅក្នុងម៉ូឌុល</t>
        </is>
      </c>
      <c r="I1582" s="111" t="n"/>
      <c r="J1582" s="217" t="inlineStr">
        <is>
          <t>"duplicateRoleNotice": "This permission already exists in the module",</t>
        </is>
      </c>
    </row>
    <row r="1583" ht="15.75" customHeight="1" s="305">
      <c r="A1583" s="215" t="inlineStr">
        <is>
          <t>RECORD_ACTIVE</t>
        </is>
      </c>
      <c r="B1583" s="215" t="inlineStr">
        <is>
          <t>Hiệu lực</t>
        </is>
      </c>
      <c r="C1583" s="217" t="inlineStr">
        <is>
          <t>Active</t>
        </is>
      </c>
      <c r="D1583" s="3" t="n"/>
      <c r="E1583" s="3" t="n"/>
      <c r="F1583" s="217" t="n"/>
      <c r="G1583" t="inlineStr">
        <is>
          <t>សកម្ម</t>
        </is>
      </c>
      <c r="H1583" t="inlineStr">
        <is>
          <t>សកម្ម</t>
        </is>
      </c>
      <c r="I1583" s="111" t="n"/>
      <c r="J1583" s="217" t="inlineStr">
        <is>
          <t>"RECORD_ACTIVE": "Active",</t>
        </is>
      </c>
    </row>
    <row r="1584" ht="15.75" customHeight="1" s="305">
      <c r="A1584" s="215" t="inlineStr">
        <is>
          <t>RECORD_INACTIVE</t>
        </is>
      </c>
      <c r="B1584" s="215" t="inlineStr">
        <is>
          <t>Hết hiệu lực</t>
        </is>
      </c>
      <c r="C1584" s="217" t="inlineStr">
        <is>
          <t>Expired</t>
        </is>
      </c>
      <c r="D1584" s="3" t="n"/>
      <c r="E1584" s="3" t="n"/>
      <c r="F1584" s="217" t="n"/>
      <c r="G1584" t="inlineStr">
        <is>
          <t>អសកម្ម</t>
        </is>
      </c>
      <c r="H1584" t="inlineStr">
        <is>
          <t>អសកម្ម</t>
        </is>
      </c>
      <c r="I1584" s="111" t="n"/>
      <c r="J1584" s="217" t="inlineStr">
        <is>
          <t>"RECORD_INACTIVE": "Expired",</t>
        </is>
      </c>
    </row>
    <row r="1585" ht="15.75" customHeight="1" s="305">
      <c r="A1585" s="215" t="inlineStr">
        <is>
          <t>statusConfirmNotice</t>
        </is>
      </c>
      <c r="B1585" s="215" t="inlineStr">
        <is>
          <t>Bạn có chắc chắn muốn đổi trạng thái</t>
        </is>
      </c>
      <c r="C1585" s="217" t="inlineStr">
        <is>
          <t>Are you sure you want to change the status?</t>
        </is>
      </c>
      <c r="D1585" s="3" t="n"/>
      <c r="E1585" s="3" t="n"/>
      <c r="F1585" s="217" t="n"/>
      <c r="G1585" t="inlineStr">
        <is>
          <t>តើអ្នកពិតជាចង់ផ្លាស់ប្តូរស្ថានភាពមែនទេ?</t>
        </is>
      </c>
      <c r="H1585" t="inlineStr">
        <is>
          <t>តើអ្នកពិតជាចង់ផ្លាស់ប្តូរស្ថានភាពមែនទេ?</t>
        </is>
      </c>
      <c r="I1585" s="111" t="n"/>
      <c r="J1585" s="217" t="inlineStr">
        <is>
          <t>"statusConfirmNotice": "Are you sure you want to change the status?",</t>
        </is>
      </c>
    </row>
    <row r="1586" ht="15.75" customHeight="1" s="305">
      <c r="A1586" s="215" t="inlineStr">
        <is>
          <t>switchStatus</t>
        </is>
      </c>
      <c r="B1586" s="215" t="inlineStr">
        <is>
          <t>Đổi trạng thái</t>
        </is>
      </c>
      <c r="C1586" s="217" t="inlineStr">
        <is>
          <t>Change Status</t>
        </is>
      </c>
      <c r="D1586" s="3" t="n"/>
      <c r="E1586" s="3" t="n"/>
      <c r="F1586" s="217" t="n"/>
      <c r="G1586" t="inlineStr">
        <is>
          <t>ប្តូរស្ថានភាព</t>
        </is>
      </c>
      <c r="H1586" t="inlineStr">
        <is>
          <t>ប្តូរស្ថានភាព</t>
        </is>
      </c>
      <c r="I1586" s="111" t="n"/>
      <c r="J1586" s="217" t="inlineStr">
        <is>
          <t>"switchStatus": "Change Status",</t>
        </is>
      </c>
    </row>
    <row r="1587" ht="15.75" customHeight="1" s="305">
      <c r="A1587" s="215" t="inlineStr">
        <is>
          <t>idLengthInvalid</t>
        </is>
      </c>
      <c r="B1587" s="215" t="inlineStr">
        <is>
          <t>tối đa 50 ký tự</t>
        </is>
      </c>
      <c r="C1587" s="217" t="inlineStr">
        <is>
          <t>Maximum 50 characters</t>
        </is>
      </c>
      <c r="D1587" s="3" t="n"/>
      <c r="E1587" s="3" t="n"/>
      <c r="F1587" s="217" t="n"/>
      <c r="G1587" t="inlineStr">
        <is>
          <t>អតិបរមា 50 តួអក្សរ</t>
        </is>
      </c>
      <c r="H1587" t="inlineStr">
        <is>
          <t>អតិបរមា 50 តួអក្សរ</t>
        </is>
      </c>
      <c r="I1587" s="111" t="n"/>
      <c r="J1587" s="217" t="inlineStr">
        <is>
          <t>"idLengthInvalid": "Maximum 50 characters",</t>
        </is>
      </c>
    </row>
    <row r="1588" ht="15.75" customHeight="1" s="305">
      <c r="A1588" s="215" t="inlineStr">
        <is>
          <t>duplicateId</t>
        </is>
      </c>
      <c r="B1588" s="215" t="inlineStr">
        <is>
          <t>ID đã tồn tại</t>
        </is>
      </c>
      <c r="C1588" s="217" t="inlineStr">
        <is>
          <t>ID already exists</t>
        </is>
      </c>
      <c r="D1588" s="3" t="n"/>
      <c r="E1588" s="3" t="n"/>
      <c r="F1588" s="217" t="n"/>
      <c r="G1588" t="inlineStr">
        <is>
          <t>លេខសម្គាល់ (ID) មានរួចហើយ</t>
        </is>
      </c>
      <c r="H1588" t="inlineStr">
        <is>
          <t>លេខសម្គាល់ (ID) មានរួចហើយ</t>
        </is>
      </c>
      <c r="I1588" s="111" t="n"/>
      <c r="J1588" s="217" t="inlineStr">
        <is>
          <t>"duplicateId": "ID already exists",</t>
        </is>
      </c>
    </row>
    <row r="1589" ht="15.75" customHeight="1" s="305">
      <c r="A1589" s="215" t="inlineStr">
        <is>
          <t>nameLengthInvalid</t>
        </is>
      </c>
      <c r="B1589" s="215" t="inlineStr">
        <is>
          <t>tối đa 200 ký tự</t>
        </is>
      </c>
      <c r="C1589" s="217" t="inlineStr">
        <is>
          <t>Maximum 200 characters</t>
        </is>
      </c>
      <c r="D1589" s="3" t="n"/>
      <c r="E1589" s="3" t="n"/>
      <c r="F1589" s="217" t="n"/>
      <c r="G1589" t="inlineStr">
        <is>
          <t>អតិបរមា 200 តួអក្សរ</t>
        </is>
      </c>
      <c r="H1589" t="inlineStr">
        <is>
          <t>អតិបរមា 200 តួអក្សរ</t>
        </is>
      </c>
      <c r="I1589" s="111" t="n"/>
      <c r="J1589" s="217" t="inlineStr">
        <is>
          <t>"nameLengthInvalid": "Maximum 200 characters",</t>
        </is>
      </c>
    </row>
    <row r="1590" ht="15.75" customHeight="1" s="305">
      <c r="A1590" s="215" t="inlineStr">
        <is>
          <t>duplicateName</t>
        </is>
      </c>
      <c r="B1590" s="215" t="inlineStr">
        <is>
          <t>Tên đã tồn tại</t>
        </is>
      </c>
      <c r="C1590" s="217" t="inlineStr">
        <is>
          <t>Name already exists</t>
        </is>
      </c>
      <c r="D1590" s="3" t="n"/>
      <c r="E1590" s="3" t="n"/>
      <c r="F1590" s="217" t="n"/>
      <c r="G1590" t="inlineStr">
        <is>
          <t>ឈ្មោះនេះមានរួចហើយ</t>
        </is>
      </c>
      <c r="H1590" t="inlineStr">
        <is>
          <t>ឈ្មោះនេះមានរួចហើយ</t>
        </is>
      </c>
      <c r="I1590" s="111" t="n"/>
      <c r="J1590" s="217" t="inlineStr">
        <is>
          <t>"duplicateName": "Name already exists",</t>
        </is>
      </c>
    </row>
    <row r="1591" ht="15.75" customHeight="1" s="305">
      <c r="A1591" s="215" t="inlineStr">
        <is>
          <t>invalidUrl</t>
        </is>
      </c>
      <c r="B1591" s="215" t="inlineStr">
        <is>
          <t>Đường dẫn URL không hợp lệ</t>
        </is>
      </c>
      <c r="C1591" s="217" t="inlineStr">
        <is>
          <t>Invalid URL Path</t>
        </is>
      </c>
      <c r="D1591" s="3" t="n"/>
      <c r="E1591" s="3" t="n"/>
      <c r="F1591" s="217" t="n"/>
      <c r="G1591" t="inlineStr">
        <is>
          <t>តំណភ្ជាប់ URL មិនត្រឹមត្រូវទេ</t>
        </is>
      </c>
      <c r="H1591" t="inlineStr">
        <is>
          <t>តំណភ្ជាប់ URL មិនត្រឹមត្រូវទេ</t>
        </is>
      </c>
      <c r="I1591" s="111" t="n"/>
      <c r="J1591" s="217" t="inlineStr">
        <is>
          <t>"invalidUrl": "Invalid URL Path",</t>
        </is>
      </c>
    </row>
    <row r="1592" ht="15.75" customHeight="1" s="305">
      <c r="A1592" s="215" t="inlineStr">
        <is>
          <t>urlLengthInvalid</t>
        </is>
      </c>
      <c r="B1592" s="215" t="inlineStr">
        <is>
          <t>tối đa 50 ký tự</t>
        </is>
      </c>
      <c r="C1592" s="217" t="inlineStr">
        <is>
          <t>Maximum 50 characters</t>
        </is>
      </c>
      <c r="D1592" s="3" t="n"/>
      <c r="E1592" s="3" t="n"/>
      <c r="F1592" s="217" t="n"/>
      <c r="G1592" t="inlineStr">
        <is>
          <t>អតិបរមា 50 តួអក្សរ</t>
        </is>
      </c>
      <c r="H1592" t="inlineStr">
        <is>
          <t>អតិបរមា 50 តួអក្សរ</t>
        </is>
      </c>
      <c r="I1592" s="111" t="n"/>
      <c r="J1592" s="217" t="inlineStr">
        <is>
          <t>"urlLengthInvalid": "Maximum 50 characters",</t>
        </is>
      </c>
    </row>
    <row r="1593" ht="15.75" customHeight="1" s="305">
      <c r="A1593" s="215" t="inlineStr">
        <is>
          <t>lock</t>
        </is>
      </c>
      <c r="B1593" s="215" t="inlineStr">
        <is>
          <t>Khoá</t>
        </is>
      </c>
      <c r="C1593" s="217" t="inlineStr">
        <is>
          <t>Lock</t>
        </is>
      </c>
      <c r="D1593" s="3" t="n"/>
      <c r="E1593" s="3" t="n"/>
      <c r="F1593" s="217" t="n"/>
      <c r="G1593" t="inlineStr">
        <is>
          <t>ចាក់សោ</t>
        </is>
      </c>
      <c r="H1593" t="inlineStr">
        <is>
          <t>ចាក់សោ</t>
        </is>
      </c>
      <c r="I1593" s="111" t="n"/>
      <c r="J1593" s="217" t="inlineStr">
        <is>
          <t>"lock": "Lock",</t>
        </is>
      </c>
    </row>
    <row r="1594" ht="15.75" customHeight="1" s="305">
      <c r="A1594" s="215" t="inlineStr">
        <is>
          <t>unlock</t>
        </is>
      </c>
      <c r="B1594" s="215" t="inlineStr">
        <is>
          <t>Mở khoá</t>
        </is>
      </c>
      <c r="C1594" s="217" t="inlineStr">
        <is>
          <t>Unlock</t>
        </is>
      </c>
      <c r="D1594" s="3" t="n"/>
      <c r="E1594" s="3" t="n"/>
      <c r="F1594" s="217" t="n"/>
      <c r="G1594" t="inlineStr">
        <is>
          <t>ដោះសោ</t>
        </is>
      </c>
      <c r="H1594" t="inlineStr">
        <is>
          <t>ដោះសោ</t>
        </is>
      </c>
      <c r="I1594" s="111" t="n"/>
      <c r="J1594" s="217" t="inlineStr">
        <is>
          <t>"unlock": "Unlock",</t>
        </is>
      </c>
    </row>
    <row r="1595" ht="15.75" customHeight="1" s="305">
      <c r="A1595" s="215" t="n"/>
      <c r="B1595" s="115" t="inlineStr">
        <is>
          <t>Công nhân viện quốc phòng</t>
        </is>
      </c>
      <c r="C1595" s="217" t="inlineStr">
        <is>
          <t>Defense Industry Worker</t>
        </is>
      </c>
      <c r="D1595" s="3" t="n"/>
      <c r="E1595" s="3" t="n"/>
      <c r="F1595" s="217" t="n"/>
      <c r="G1595" t="inlineStr">
        <is>
          <t>បុគ្គលិកការពារជាតិ</t>
        </is>
      </c>
      <c r="H1595" t="inlineStr">
        <is>
          <t>បុគ្គលិកការពារជាតិ</t>
        </is>
      </c>
      <c r="I1595" s="111" t="n"/>
      <c r="J1595" s="217" t="inlineStr"/>
    </row>
    <row r="1596" ht="15.75" customHeight="1" s="305">
      <c r="A1596" s="215" t="n"/>
      <c r="B1596" s="115" t="inlineStr">
        <is>
          <t>Cộng tác viên</t>
        </is>
      </c>
      <c r="C1596" s="217" t="inlineStr">
        <is>
          <t>Collaborator</t>
        </is>
      </c>
      <c r="D1596" s="3" t="n"/>
      <c r="E1596" s="3" t="n"/>
      <c r="F1596" s="217" t="n"/>
      <c r="G1596" t="inlineStr">
        <is>
          <t>សហការី/ភ្នាក់ងារសហការ</t>
        </is>
      </c>
      <c r="H1596" t="inlineStr">
        <is>
          <t>សហការី/ភ្នាក់ងារសហការ</t>
        </is>
      </c>
      <c r="I1596" s="111" t="n"/>
      <c r="J1596" s="217" t="inlineStr"/>
    </row>
    <row r="1597" ht="15.75" customHeight="1" s="305">
      <c r="A1597" s="215" t="n"/>
      <c r="B1597" s="115" t="inlineStr">
        <is>
          <t>Cộng tác viên xã hội</t>
        </is>
      </c>
      <c r="C1597" s="217" t="inlineStr">
        <is>
          <t>Social Collaborator</t>
        </is>
      </c>
      <c r="D1597" s="3" t="n"/>
      <c r="E1597" s="3" t="n"/>
      <c r="F1597" s="217" t="n"/>
      <c r="G1597" t="inlineStr">
        <is>
          <t>Cộng tác viên ឃុំ/សង្កាត់ hội</t>
        </is>
      </c>
      <c r="H1597" t="inlineStr">
        <is>
          <t>Cộng tác viên ឃុំ/សង្កាត់ hội</t>
        </is>
      </c>
      <c r="I1597" s="111" t="n"/>
      <c r="J1597" s="217" t="inlineStr"/>
    </row>
    <row r="1598" ht="15.75" customHeight="1" s="305">
      <c r="A1598" s="215" t="n"/>
      <c r="B1598" s="115" t="inlineStr">
        <is>
          <t>Hợp đồng khoán việc</t>
        </is>
      </c>
      <c r="C1598" s="217" t="inlineStr">
        <is>
          <t>Work Assignment Contract</t>
        </is>
      </c>
      <c r="D1598" s="3" t="n"/>
      <c r="E1598" s="3" t="n"/>
      <c r="F1598" s="217" t="n"/>
      <c r="G1598" t="inlineStr">
        <is>
          <t>កិច្ចសន្យាម៉ៅការការងារ</t>
        </is>
      </c>
      <c r="H1598" t="inlineStr">
        <is>
          <t>កិច្ចសន្យាម៉ៅការការងារ</t>
        </is>
      </c>
      <c r="I1598" s="111" t="n"/>
      <c r="J1598" s="217" t="inlineStr"/>
    </row>
    <row r="1599" ht="15.75" customHeight="1" s="305">
      <c r="A1599" s="215" t="n"/>
      <c r="B1599" s="115" t="inlineStr">
        <is>
          <t>Hợp đồng lao động</t>
        </is>
      </c>
      <c r="C1599" s="217" t="inlineStr">
        <is>
          <t>Labor Contract</t>
        </is>
      </c>
      <c r="D1599" s="3" t="n"/>
      <c r="E1599" s="3" t="n"/>
      <c r="F1599" s="217" t="n"/>
      <c r="G1599" t="inlineStr">
        <is>
          <t>កិច្ចសន្យាការងារ</t>
        </is>
      </c>
      <c r="H1599" t="inlineStr">
        <is>
          <t>កិច្ចសន្យាការងារ</t>
        </is>
      </c>
      <c r="I1599" s="111" t="n"/>
      <c r="J1599" s="217" t="inlineStr"/>
    </row>
    <row r="1600" ht="15.75" customHeight="1" s="305">
      <c r="A1600" s="215" t="n"/>
      <c r="B1600" s="115" t="inlineStr">
        <is>
          <t>Mygo</t>
        </is>
      </c>
      <c r="C1600" s="217" t="inlineStr">
        <is>
          <t>Mygo</t>
        </is>
      </c>
      <c r="D1600" s="3" t="n"/>
      <c r="E1600" s="3" t="n"/>
      <c r="F1600" s="217" t="n"/>
      <c r="G1600" t="inlineStr">
        <is>
          <t>Mygo</t>
        </is>
      </c>
      <c r="H1600" t="inlineStr">
        <is>
          <t>Mygo</t>
        </is>
      </c>
      <c r="I1600" s="111" t="n"/>
      <c r="J1600" s="217" t="inlineStr"/>
    </row>
    <row r="1601" ht="15.75" customHeight="1" s="305">
      <c r="A1601" s="215" t="n"/>
      <c r="B1601" s="115" t="inlineStr">
        <is>
          <t>Nhân sự qua đối tác (OS)</t>
        </is>
      </c>
      <c r="C1601" s="217" t="inlineStr">
        <is>
          <t>Outsourced Personnel (OS)</t>
        </is>
      </c>
      <c r="D1601" s="3" t="n"/>
      <c r="E1601" s="3" t="n"/>
      <c r="F1601" s="217" t="n"/>
      <c r="G1601" t="inlineStr">
        <is>
          <t>បុគ្គលិកតាមរយៈដៃគូ (Outsource)</t>
        </is>
      </c>
      <c r="H1601" t="inlineStr">
        <is>
          <t>បុគ្គលិកតាមរយៈដៃគូ (Outsource)</t>
        </is>
      </c>
      <c r="I1601" s="111" t="n"/>
      <c r="J1601" s="217" t="inlineStr"/>
    </row>
    <row r="1602" ht="15.75" customHeight="1" s="305">
      <c r="A1602" s="215" t="n"/>
      <c r="B1602" s="115" t="inlineStr">
        <is>
          <t>Quân nhân chuyên nghiệp</t>
        </is>
      </c>
      <c r="C1602" s="217" t="inlineStr">
        <is>
          <t>Professional Soldier</t>
        </is>
      </c>
      <c r="D1602" s="3" t="n"/>
      <c r="E1602" s="3" t="n"/>
      <c r="F1602" s="217" t="n"/>
      <c r="G1602" t="inlineStr">
        <is>
          <t>យោធិនអាជីព</t>
        </is>
      </c>
      <c r="H1602" t="inlineStr">
        <is>
          <t>យោធិនអាជីព</t>
        </is>
      </c>
      <c r="I1602" s="111" t="n"/>
      <c r="J1602" s="217" t="inlineStr"/>
    </row>
    <row r="1603" ht="15.75" customHeight="1" s="305">
      <c r="A1603" s="215" t="n"/>
      <c r="B1603" s="115" t="inlineStr">
        <is>
          <t>Nhân sự đại lý ủy quyền</t>
        </is>
      </c>
      <c r="C1603" s="217" t="inlineStr">
        <is>
          <t>Authorized Agency Personnel</t>
        </is>
      </c>
      <c r="D1603" s="3" t="n"/>
      <c r="E1603" s="3" t="n"/>
      <c r="F1603" s="217" t="n"/>
      <c r="G1603" t="inlineStr">
        <is>
          <t>បុគ្គលិកភ្នាក់ងារចែកចាយបន្ត</t>
        </is>
      </c>
      <c r="H1603" t="inlineStr">
        <is>
          <t>បុគ្គលិកភ្នាក់ងារចែកចាយបន្ត</t>
        </is>
      </c>
      <c r="I1603" s="111" t="n"/>
      <c r="J1603" s="217" t="inlineStr"/>
    </row>
    <row r="1604" ht="15.75" customHeight="1" s="305">
      <c r="A1604" s="215" t="n"/>
      <c r="B1604" s="115" t="inlineStr">
        <is>
          <t>Sỹ Quan</t>
        </is>
      </c>
      <c r="C1604" s="217" t="inlineStr">
        <is>
          <t>Officer</t>
        </is>
      </c>
      <c r="D1604" s="3" t="n"/>
      <c r="E1604" s="3" t="n"/>
      <c r="F1604" s="217" t="n"/>
      <c r="G1604" t="inlineStr">
        <is>
          <t>នាយទាហាន/នាយនគរបាល</t>
        </is>
      </c>
      <c r="H1604" t="inlineStr">
        <is>
          <t>នាយទាហាន/នាយនគរបាល</t>
        </is>
      </c>
      <c r="I1604" s="111" t="n"/>
      <c r="J1604" s="217" t="inlineStr"/>
    </row>
    <row r="1605" ht="15.75" customHeight="1" s="305">
      <c r="A1605" s="215" t="n"/>
      <c r="B1605" s="115" t="inlineStr">
        <is>
          <t>Thuê ngoài</t>
        </is>
      </c>
      <c r="C1605" s="217" t="inlineStr">
        <is>
          <t>Outsourced Staff</t>
        </is>
      </c>
      <c r="D1605" s="3" t="n"/>
      <c r="E1605" s="3" t="n"/>
      <c r="F1605" s="217" t="n"/>
      <c r="G1605" t="inlineStr">
        <is>
          <t>ជួលក្រៅ (Outsource)</t>
        </is>
      </c>
      <c r="H1605" t="inlineStr">
        <is>
          <t>ជួលក្រៅ (Outsource)</t>
        </is>
      </c>
      <c r="I1605" s="111" t="n"/>
      <c r="J1605" s="217" t="inlineStr"/>
    </row>
    <row r="1606" ht="15.75" customHeight="1" s="305">
      <c r="A1606" s="215" t="n"/>
      <c r="B1606" s="115" t="inlineStr">
        <is>
          <t>Điểm thu gom</t>
        </is>
      </c>
      <c r="C1606" s="217" t="inlineStr">
        <is>
          <t>Collection Point</t>
        </is>
      </c>
      <c r="D1606" s="3" t="n"/>
      <c r="E1606" s="3" t="n"/>
      <c r="F1606" s="217" t="n"/>
      <c r="G1606" t="inlineStr">
        <is>
          <t>ចំណុចប្រមូលផ្ដុំទំនិញ</t>
        </is>
      </c>
      <c r="H1606" t="inlineStr">
        <is>
          <t>ចំណុចប្រមូលផ្ដុំទំនិញ</t>
        </is>
      </c>
      <c r="I1606" s="111" t="n"/>
      <c r="J1606" s="217" t="inlineStr"/>
    </row>
    <row r="1607" ht="15.75" customHeight="1" s="305">
      <c r="A1607" s="215" t="n"/>
      <c r="B1607" s="115" t="inlineStr">
        <is>
          <t>Khác</t>
        </is>
      </c>
      <c r="C1607" s="217" t="inlineStr">
        <is>
          <t>Others</t>
        </is>
      </c>
      <c r="D1607" s="3" t="n"/>
      <c r="E1607" s="3" t="n"/>
      <c r="F1607" s="217" t="n"/>
      <c r="G1607" t="inlineStr">
        <is>
          <t>ផ្សេងៗ</t>
        </is>
      </c>
      <c r="H1607" t="inlineStr">
        <is>
          <t>ផ្សេងៗ</t>
        </is>
      </c>
      <c r="I1607" s="111" t="n"/>
      <c r="J1607" s="217" t="inlineStr"/>
    </row>
    <row r="1608" ht="15.75" customHeight="1" s="305">
      <c r="A1608" s="215" t="n"/>
      <c r="B1608" s="115" t="inlineStr">
        <is>
          <t>Hợp đồng dài hạn</t>
        </is>
      </c>
      <c r="C1608" s="217" t="inlineStr">
        <is>
          <t>Long-term Contract</t>
        </is>
      </c>
      <c r="D1608" s="3" t="n"/>
      <c r="E1608" s="3" t="n"/>
      <c r="F1608" s="217" t="n"/>
      <c r="G1608" t="inlineStr">
        <is>
          <t>កិច្ចសន្យារយៈពេលវែង</t>
        </is>
      </c>
      <c r="H1608" t="inlineStr">
        <is>
          <t>កិច្ចសន្យារយៈពេលវែង</t>
        </is>
      </c>
      <c r="I1608" s="111" t="n"/>
      <c r="J1608" s="217" t="inlineStr"/>
    </row>
    <row r="1609" ht="15.75" customHeight="1" s="305">
      <c r="A1609" s="215" t="inlineStr">
        <is>
          <t>catalogManager:tabListProvince</t>
        </is>
      </c>
      <c r="B1609" s="215" t="inlineStr">
        <is>
          <t>Danh mục tỉnh</t>
        </is>
      </c>
      <c r="C1609" s="217" t="inlineStr">
        <is>
          <t>Province Directory</t>
        </is>
      </c>
      <c r="D1609" s="3" t="n"/>
      <c r="E1609" s="3" t="n"/>
      <c r="F1609" s="217" t="n"/>
      <c r="G1609" t="inlineStr">
        <is>
          <t>Danh mục ខេត្ត</t>
        </is>
      </c>
      <c r="H1609" t="inlineStr">
        <is>
          <t>Danh mục ខេត្ត</t>
        </is>
      </c>
      <c r="I1609" s="111" t="n"/>
      <c r="J1609" s="217" t="inlineStr">
        <is>
          <t>"catalogManager:tabListProvince": "Province Directory",</t>
        </is>
      </c>
    </row>
    <row r="1610" ht="15.75" customHeight="1" s="305">
      <c r="A1610" s="215" t="inlineStr">
        <is>
          <t>catalogManager:tabListDistrict</t>
        </is>
      </c>
      <c r="B1610" s="215" t="inlineStr">
        <is>
          <t>Danh mục quận huyện</t>
        </is>
      </c>
      <c r="C1610" s="217" t="inlineStr">
        <is>
          <t>District Directory</t>
        </is>
      </c>
      <c r="D1610" s="3" t="n"/>
      <c r="E1610" s="3" t="n"/>
      <c r="F1610" s="217" t="n"/>
      <c r="G1610" t="inlineStr">
        <is>
          <t>Danh mục ស្រុក/ខណ្ឌ</t>
        </is>
      </c>
      <c r="H1610" t="inlineStr">
        <is>
          <t>Danh mục ស្រុក/ខណ្ឌ</t>
        </is>
      </c>
      <c r="I1610" s="111" t="n"/>
      <c r="J1610" s="217" t="inlineStr">
        <is>
          <t>"catalogManager:tabListDistrict": "District Directory",</t>
        </is>
      </c>
    </row>
    <row r="1611" ht="15.75" customHeight="1" s="305">
      <c r="A1611" s="215" t="inlineStr">
        <is>
          <t>catalogManager:tabListWard</t>
        </is>
      </c>
      <c r="B1611" s="215" t="inlineStr">
        <is>
          <t>Danh mục phường xã</t>
        </is>
      </c>
      <c r="C1611" s="217" t="inlineStr">
        <is>
          <t>Ward/Commune Directory</t>
        </is>
      </c>
      <c r="D1611" s="3" t="n"/>
      <c r="E1611" s="3" t="n"/>
      <c r="F1611" s="217" t="n"/>
      <c r="G1611" t="inlineStr">
        <is>
          <t>Danh mục ឃុំ/សង្កាត់</t>
        </is>
      </c>
      <c r="H1611" t="inlineStr">
        <is>
          <t>Danh mục ឃុំ/សង្កាត់</t>
        </is>
      </c>
      <c r="I1611" s="111" t="n"/>
      <c r="J1611" s="217" t="inlineStr">
        <is>
          <t>"catalogManager:tabListWard": "Ward/Commune Directory",</t>
        </is>
      </c>
    </row>
    <row r="1612" ht="15.75" customHeight="1" s="305">
      <c r="A1612" s="215" t="inlineStr">
        <is>
          <t>catalogManager:country</t>
        </is>
      </c>
      <c r="B1612" s="215" t="inlineStr">
        <is>
          <t>Nước</t>
        </is>
      </c>
      <c r="C1612" s="217" t="inlineStr">
        <is>
          <t>Country</t>
        </is>
      </c>
      <c r="D1612" s="3" t="n"/>
      <c r="E1612" s="3" t="n"/>
      <c r="F1612" s="217" t="n"/>
      <c r="G1612" t="inlineStr">
        <is>
          <t>ប្រទេស</t>
        </is>
      </c>
      <c r="H1612" t="inlineStr">
        <is>
          <t>ប្រទេស</t>
        </is>
      </c>
      <c r="I1612" s="111" t="n"/>
      <c r="J1612" s="217" t="inlineStr">
        <is>
          <t>"catalogManager:country": "Country",</t>
        </is>
      </c>
    </row>
    <row r="1613" ht="15.75" customHeight="1" s="305">
      <c r="A1613" s="215" t="inlineStr">
        <is>
          <t>catalogManager:provinceCode</t>
        </is>
      </c>
      <c r="B1613" s="215" t="inlineStr">
        <is>
          <t>Mã tỉnh</t>
        </is>
      </c>
      <c r="C1613" s="217" t="inlineStr">
        <is>
          <t>Province Code</t>
        </is>
      </c>
      <c r="D1613" s="3" t="n"/>
      <c r="E1613" s="3" t="n"/>
      <c r="F1613" s="217" t="n"/>
      <c r="G1613" t="inlineStr">
        <is>
          <t>លេខកូដខេត្ត</t>
        </is>
      </c>
      <c r="H1613" t="inlineStr">
        <is>
          <t>លេខកូដខេត្ត</t>
        </is>
      </c>
      <c r="I1613" s="111" t="n"/>
      <c r="J1613" s="217" t="inlineStr">
        <is>
          <t>"catalogManager:provinceCode": "Province Code",</t>
        </is>
      </c>
    </row>
    <row r="1614" ht="15.75" customHeight="1" s="305">
      <c r="A1614" s="215" t="inlineStr">
        <is>
          <t>catalogManager:districtCode</t>
        </is>
      </c>
      <c r="B1614" s="215" t="inlineStr">
        <is>
          <t>Mã quận huyện</t>
        </is>
      </c>
      <c r="C1614" s="217" t="inlineStr">
        <is>
          <t>District Code</t>
        </is>
      </c>
      <c r="D1614" s="3" t="n"/>
      <c r="E1614" s="3" t="n"/>
      <c r="F1614" s="217" t="n"/>
      <c r="G1614" t="inlineStr">
        <is>
          <t>លេខកូដស្រុក/ខណ្ឌ</t>
        </is>
      </c>
      <c r="H1614" t="inlineStr">
        <is>
          <t>លេខកូដស្រុក/ខណ្ឌ</t>
        </is>
      </c>
      <c r="I1614" s="111" t="n"/>
      <c r="J1614" s="217" t="inlineStr">
        <is>
          <t>"catalogManager:districtCode": "District Code",</t>
        </is>
      </c>
    </row>
    <row r="1615" ht="15.75" customHeight="1" s="305">
      <c r="A1615" s="215" t="inlineStr">
        <is>
          <t>catalogManager:wardCode</t>
        </is>
      </c>
      <c r="B1615" s="215" t="inlineStr">
        <is>
          <t>Mã phường xã</t>
        </is>
      </c>
      <c r="C1615" s="217" t="inlineStr">
        <is>
          <t>Ward/Commune Code</t>
        </is>
      </c>
      <c r="D1615" s="3" t="n"/>
      <c r="E1615" s="3" t="n"/>
      <c r="F1615" s="217" t="n"/>
      <c r="G1615" t="inlineStr">
        <is>
          <t>លេខកូដឃុំ/សង្កាត់</t>
        </is>
      </c>
      <c r="H1615" t="inlineStr">
        <is>
          <t>លេខកូដឃុំ/សង្កាត់</t>
        </is>
      </c>
      <c r="I1615" s="111" t="n"/>
      <c r="J1615" s="217" t="inlineStr">
        <is>
          <t>"catalogManager:wardCode": "Ward/Commune Code",</t>
        </is>
      </c>
    </row>
    <row r="1616" ht="15.75" customHeight="1" s="305">
      <c r="A1616" s="215" t="inlineStr">
        <is>
          <t>catalogManager:search</t>
        </is>
      </c>
      <c r="B1616" s="215" t="inlineStr">
        <is>
          <t>Tìm kiếm</t>
        </is>
      </c>
      <c r="C1616" s="217" t="inlineStr">
        <is>
          <t>Search</t>
        </is>
      </c>
      <c r="D1616" s="3" t="n"/>
      <c r="E1616" s="3" t="n"/>
      <c r="F1616" s="217" t="n"/>
      <c r="G1616" t="inlineStr">
        <is>
          <t>ស្វែងរក</t>
        </is>
      </c>
      <c r="H1616" t="inlineStr">
        <is>
          <t>ស្វែងរក</t>
        </is>
      </c>
      <c r="I1616" s="111" t="n"/>
      <c r="J1616" s="217" t="inlineStr">
        <is>
          <t>"catalogManager:search": "Search",</t>
        </is>
      </c>
    </row>
    <row r="1617" ht="15.75" customHeight="1" s="305">
      <c r="A1617" s="215" t="inlineStr">
        <is>
          <t>catalogManager:addNew</t>
        </is>
      </c>
      <c r="B1617" s="215" t="inlineStr">
        <is>
          <t>Thêm mới</t>
        </is>
      </c>
      <c r="C1617" s="217" t="inlineStr">
        <is>
          <t>Add New</t>
        </is>
      </c>
      <c r="D1617" s="3" t="n"/>
      <c r="E1617" s="3" t="n"/>
      <c r="F1617" s="217" t="n"/>
      <c r="G1617" t="inlineStr">
        <is>
          <t>បន្ថែមថ្មី</t>
        </is>
      </c>
      <c r="H1617" t="inlineStr">
        <is>
          <t>បន្ថែមថ្មី</t>
        </is>
      </c>
      <c r="I1617" s="111" t="n"/>
      <c r="J1617" s="217" t="inlineStr">
        <is>
          <t>"catalogManager:addNew": "Add New",</t>
        </is>
      </c>
    </row>
    <row r="1618" ht="15.75" customHeight="1" s="305">
      <c r="A1618" s="215" t="inlineStr">
        <is>
          <t>catalogManager:clear</t>
        </is>
      </c>
      <c r="B1618" s="215" t="inlineStr">
        <is>
          <t>Xóa</t>
        </is>
      </c>
      <c r="C1618" s="217" t="inlineStr">
        <is>
          <t>Delete</t>
        </is>
      </c>
      <c r="D1618" s="3" t="n"/>
      <c r="E1618" s="3" t="n"/>
      <c r="F1618" s="217" t="n"/>
      <c r="G1618" t="inlineStr">
        <is>
          <t>លុប</t>
        </is>
      </c>
      <c r="H1618" t="inlineStr">
        <is>
          <t>លុប</t>
        </is>
      </c>
      <c r="I1618" s="111" t="n"/>
      <c r="J1618" s="217" t="inlineStr">
        <is>
          <t>"catalogManager:clear": "Delete",</t>
        </is>
      </c>
    </row>
    <row r="1619" ht="15.75" customHeight="1" s="305">
      <c r="A1619" s="215" t="inlineStr">
        <is>
          <t>catalogManager:titleProvince</t>
        </is>
      </c>
      <c r="B1619" s="215" t="inlineStr">
        <is>
          <t>Thông tin danh mục tỉnh</t>
        </is>
      </c>
      <c r="C1619" s="217" t="inlineStr">
        <is>
          <t>Province Directory Information</t>
        </is>
      </c>
      <c r="D1619" s="3" t="n"/>
      <c r="E1619" s="3" t="n"/>
      <c r="F1619" s="217" t="n"/>
      <c r="G1619" t="inlineStr">
        <is>
          <t>ព័ត៌មាន danh mục ខេត្ត</t>
        </is>
      </c>
      <c r="H1619" t="inlineStr">
        <is>
          <t>ព័ត៌មាន danh mục ខេត្ត</t>
        </is>
      </c>
      <c r="I1619" s="111" t="n"/>
      <c r="J1619" s="217" t="inlineStr">
        <is>
          <t>"catalogManager:titleProvince": "Province Directory Information",</t>
        </is>
      </c>
    </row>
    <row r="1620" ht="15.75" customHeight="1" s="305">
      <c r="A1620" s="215" t="inlineStr">
        <is>
          <t>catalogManager:titleDistrict</t>
        </is>
      </c>
      <c r="B1620" s="215" t="inlineStr">
        <is>
          <t>Thông tin danh mục quận huyện</t>
        </is>
      </c>
      <c r="C1620" s="217" t="inlineStr">
        <is>
          <t>District Directory Information</t>
        </is>
      </c>
      <c r="D1620" s="3" t="n"/>
      <c r="E1620" s="3" t="n"/>
      <c r="F1620" s="217" t="n"/>
      <c r="G1620" t="inlineStr">
        <is>
          <t>ព័ត៌មាន danh mục ស្រុក/ខណ្ឌ</t>
        </is>
      </c>
      <c r="H1620" t="inlineStr">
        <is>
          <t>ព័ត៌មាន danh mục ស្រុក/ខណ្ឌ</t>
        </is>
      </c>
      <c r="I1620" s="111" t="n"/>
      <c r="J1620" s="217" t="inlineStr">
        <is>
          <t>"catalogManager:titleDistrict": "District Directory Information",</t>
        </is>
      </c>
    </row>
    <row r="1621" ht="15.75" customHeight="1" s="305">
      <c r="A1621" s="215" t="inlineStr">
        <is>
          <t>catalogManager:titleWard</t>
        </is>
      </c>
      <c r="B1621" s="215" t="inlineStr">
        <is>
          <t>Thông tin danh mục phường xã</t>
        </is>
      </c>
      <c r="C1621" s="217" t="inlineStr">
        <is>
          <t>Ward/Commune Directory Information</t>
        </is>
      </c>
      <c r="D1621" s="3" t="n"/>
      <c r="E1621" s="3" t="n"/>
      <c r="F1621" s="217" t="n"/>
      <c r="G1621" t="inlineStr">
        <is>
          <t>ព័ត៌មាន danh mục ឃុំ/សង្កាត់</t>
        </is>
      </c>
      <c r="H1621" t="inlineStr">
        <is>
          <t>ព័ត៌មាន danh mục ឃុំ/សង្កាត់</t>
        </is>
      </c>
      <c r="I1621" s="111" t="n"/>
      <c r="J1621" s="217" t="inlineStr">
        <is>
          <t>"catalogManager:titleWard": "Ward/Commune Directory Information",</t>
        </is>
      </c>
    </row>
    <row r="1622" ht="15.75" customHeight="1" s="305">
      <c r="A1622" s="215" t="inlineStr">
        <is>
          <t>catalogManager:editTitleProvince</t>
        </is>
      </c>
      <c r="B1622" s="215" t="inlineStr">
        <is>
          <t>Sửa thông tin danh mục tỉnh</t>
        </is>
      </c>
      <c r="C1622" s="217" t="inlineStr">
        <is>
          <t>Edit Province Directory Information</t>
        </is>
      </c>
      <c r="D1622" s="3" t="n"/>
      <c r="E1622" s="3" t="n"/>
      <c r="F1622" s="217" t="n"/>
      <c r="G1622" t="inlineStr">
        <is>
          <t>Sửa ព័ត៌មាន danh mục ខេត្ត</t>
        </is>
      </c>
      <c r="H1622" t="inlineStr">
        <is>
          <t>Sửa ព័ត៌មាន danh mục ខេត្ត</t>
        </is>
      </c>
      <c r="I1622" s="111" t="n"/>
      <c r="J1622" s="217" t="inlineStr">
        <is>
          <t>"catalogManager:editTitleProvince": "Edit Province Directory Information",</t>
        </is>
      </c>
    </row>
    <row r="1623" ht="15.75" customHeight="1" s="305">
      <c r="A1623" s="215" t="inlineStr">
        <is>
          <t>catalogManager:editTitleDistrict</t>
        </is>
      </c>
      <c r="B1623" s="215" t="inlineStr">
        <is>
          <t>Sửa thông tin danh mục quận huyện</t>
        </is>
      </c>
      <c r="C1623" s="217" t="inlineStr">
        <is>
          <t>Edit District Directory Information</t>
        </is>
      </c>
      <c r="D1623" s="3" t="n"/>
      <c r="E1623" s="3" t="n"/>
      <c r="F1623" s="217" t="n"/>
      <c r="G1623" t="inlineStr">
        <is>
          <t>Sửa ព័ត៌មាន danh mục ស្រុក/ខណ្ឌ</t>
        </is>
      </c>
      <c r="H1623" t="inlineStr">
        <is>
          <t>Sửa ព័ត៌មាន danh mục ស្រុក/ខណ្ឌ</t>
        </is>
      </c>
      <c r="I1623" s="111" t="n"/>
      <c r="J1623" s="217" t="inlineStr">
        <is>
          <t>"catalogManager:editTitleDistrict": "Edit District Directory Information",</t>
        </is>
      </c>
    </row>
    <row r="1624" ht="15.75" customHeight="1" s="305">
      <c r="A1624" s="215" t="inlineStr">
        <is>
          <t>catalogManager:editTitleWard</t>
        </is>
      </c>
      <c r="B1624" s="215" t="inlineStr">
        <is>
          <t>Sửa thông tin danh mục phường xã</t>
        </is>
      </c>
      <c r="C1624" s="217" t="inlineStr">
        <is>
          <t>Edit Ward/Commune Directory Information</t>
        </is>
      </c>
      <c r="D1624" s="3" t="n"/>
      <c r="E1624" s="3" t="n"/>
      <c r="F1624" s="217" t="n"/>
      <c r="G1624" t="inlineStr">
        <is>
          <t>Sửa ព័ត៌មាន danh mục ឃុំ/សង្កាត់</t>
        </is>
      </c>
      <c r="H1624" t="inlineStr">
        <is>
          <t>Sửa ព័ត៌មាន danh mục ឃុំ/សង្កាត់</t>
        </is>
      </c>
      <c r="I1624" s="111" t="n"/>
      <c r="J1624" s="217" t="inlineStr">
        <is>
          <t>"catalogManager:editTitleWard": "Edit Ward/Commune Directory Information",</t>
        </is>
      </c>
    </row>
    <row r="1625" ht="15.75" customHeight="1" s="305">
      <c r="A1625" s="215" t="inlineStr">
        <is>
          <t>catalogManager:nameLatinh</t>
        </is>
      </c>
      <c r="B1625" s="215" t="inlineStr">
        <is>
          <t>Tên Latinh</t>
        </is>
      </c>
      <c r="C1625" s="217" t="inlineStr">
        <is>
          <t>Latin Name</t>
        </is>
      </c>
      <c r="D1625" s="3" t="n"/>
      <c r="E1625" s="3" t="n"/>
      <c r="F1625" s="217" t="n"/>
      <c r="G1625" t="inlineStr">
        <is>
          <t>ឈ្មោះLatinh</t>
        </is>
      </c>
      <c r="H1625" t="inlineStr">
        <is>
          <t>ឈ្មោះLatinh</t>
        </is>
      </c>
      <c r="I1625" s="111" t="n"/>
      <c r="J1625" s="217" t="inlineStr">
        <is>
          <t>"catalogManager:nameLatinh": "Latin Name",</t>
        </is>
      </c>
    </row>
    <row r="1626" ht="15.75" customHeight="1" s="305">
      <c r="A1626" s="215" t="inlineStr">
        <is>
          <t>catalogManager:nameLocal</t>
        </is>
      </c>
      <c r="B1626" s="215" t="inlineStr">
        <is>
          <t>Tên bản địa</t>
        </is>
      </c>
      <c r="C1626" s="217" t="inlineStr">
        <is>
          <t>Native Name</t>
        </is>
      </c>
      <c r="D1626" s="3" t="n"/>
      <c r="E1626" s="3" t="n"/>
      <c r="F1626" s="217" t="n"/>
      <c r="G1626" t="inlineStr">
        <is>
          <t>ឈ្មោះbản địa</t>
        </is>
      </c>
      <c r="H1626" t="inlineStr">
        <is>
          <t>ឈ្មោះbản địa</t>
        </is>
      </c>
      <c r="I1626" s="111" t="n"/>
      <c r="J1626" s="217" t="inlineStr">
        <is>
          <t>"catalogManager:nameLocal": "Native Name",</t>
        </is>
      </c>
    </row>
    <row r="1627" ht="15.75" customHeight="1" s="305">
      <c r="A1627" s="215" t="inlineStr">
        <is>
          <t>catalogManager:nameEn</t>
        </is>
      </c>
      <c r="B1627" s="215" t="inlineStr">
        <is>
          <t>Tên tiếng Anh</t>
        </is>
      </c>
      <c r="C1627" s="217" t="inlineStr">
        <is>
          <t>English Name</t>
        </is>
      </c>
      <c r="D1627" s="3" t="n"/>
      <c r="E1627" s="3" t="n"/>
      <c r="F1627" s="217" t="n"/>
      <c r="G1627" t="inlineStr">
        <is>
          <t>ឈ្មោះtiếng Anh</t>
        </is>
      </c>
      <c r="H1627" t="inlineStr">
        <is>
          <t>ឈ្មោះtiếng Anh</t>
        </is>
      </c>
      <c r="I1627" s="111" t="n"/>
      <c r="J1627" s="217" t="inlineStr">
        <is>
          <t>"catalogManager:nameEn": "English Name",</t>
        </is>
      </c>
    </row>
    <row r="1628" ht="15.75" customHeight="1" s="305">
      <c r="A1628" s="215" t="inlineStr">
        <is>
          <t>catalogManager:statusLabel</t>
        </is>
      </c>
      <c r="B1628" s="215" t="inlineStr">
        <is>
          <t>Trạng thái hoạt động:</t>
        </is>
      </c>
      <c r="C1628" s="217" t="inlineStr">
        <is>
          <t>Operating Status:</t>
        </is>
      </c>
      <c r="D1628" s="3" t="n"/>
      <c r="E1628" s="3" t="n"/>
      <c r="F1628" s="217" t="n"/>
      <c r="G1628" t="inlineStr">
        <is>
          <t>ស្ថានភាព hoạt động:</t>
        </is>
      </c>
      <c r="H1628" t="inlineStr">
        <is>
          <t>ស្ថានភាព hoạt động:</t>
        </is>
      </c>
      <c r="I1628" s="111" t="n"/>
      <c r="J1628" s="217" t="inlineStr">
        <is>
          <t>"catalogManager:statusLabel": "Operating Status:",</t>
        </is>
      </c>
    </row>
    <row r="1629" ht="15.75" customHeight="1" s="305">
      <c r="A1629" s="215" t="inlineStr">
        <is>
          <t>catalogManager:statusActive</t>
        </is>
      </c>
      <c r="B1629" s="215" t="inlineStr">
        <is>
          <t>Sử dụng</t>
        </is>
      </c>
      <c r="C1629" s="217" t="inlineStr">
        <is>
          <t>In Use</t>
        </is>
      </c>
      <c r="D1629" s="3" t="n"/>
      <c r="E1629" s="3" t="n"/>
      <c r="F1629" s="217" t="n"/>
      <c r="G1629" t="inlineStr">
        <is>
          <t>ប្រើប្រាស់</t>
        </is>
      </c>
      <c r="H1629" t="inlineStr">
        <is>
          <t>ប្រើប្រាស់</t>
        </is>
      </c>
      <c r="I1629" s="111" t="n"/>
      <c r="J1629" s="217" t="inlineStr">
        <is>
          <t>"catalogManager:statusActive": "In Use",</t>
        </is>
      </c>
    </row>
    <row r="1630" ht="15.75" customHeight="1" s="305">
      <c r="A1630" s="215" t="inlineStr">
        <is>
          <t>catalogManager:statusInactive</t>
        </is>
      </c>
      <c r="B1630" s="215" t="inlineStr">
        <is>
          <t>Ngưng sử dụng</t>
        </is>
      </c>
      <c r="C1630" s="217" t="inlineStr">
        <is>
          <t>Discontinued</t>
        </is>
      </c>
      <c r="D1630" s="3" t="n"/>
      <c r="E1630" s="3" t="n"/>
      <c r="F1630" s="217" t="n"/>
      <c r="G1630" t="inlineStr">
        <is>
          <t>ឈប់ប្រើប្រាស់</t>
        </is>
      </c>
      <c r="H1630" t="inlineStr">
        <is>
          <t>ឈប់ប្រើប្រាស់</t>
        </is>
      </c>
      <c r="I1630" s="111" t="n"/>
      <c r="J1630" s="217" t="inlineStr">
        <is>
          <t>"catalogManager:statusInactive": "Discontinued",</t>
        </is>
      </c>
    </row>
    <row r="1631" ht="15.75" customHeight="1" s="305">
      <c r="A1631" s="215" t="inlineStr">
        <is>
          <t>catalogManager:statusActiveText</t>
        </is>
      </c>
      <c r="B1631" s="215" t="inlineStr">
        <is>
          <t>Hoạt động</t>
        </is>
      </c>
      <c r="C1631" s="217" t="inlineStr">
        <is>
          <t>Active</t>
        </is>
      </c>
      <c r="D1631" s="3" t="n"/>
      <c r="E1631" s="3" t="n"/>
      <c r="F1631" s="217" t="n"/>
      <c r="G1631" t="inlineStr">
        <is>
          <t>ដំណើរការ</t>
        </is>
      </c>
      <c r="H1631" t="inlineStr">
        <is>
          <t>ដំណើរការ</t>
        </is>
      </c>
      <c r="I1631" s="111" t="n"/>
      <c r="J1631" s="217" t="inlineStr">
        <is>
          <t>"catalogManager:statusActiveText": "Active",</t>
        </is>
      </c>
    </row>
    <row r="1632" ht="15.75" customHeight="1" s="305">
      <c r="A1632" s="215" t="inlineStr">
        <is>
          <t>catalogManager:statusInactiveText</t>
        </is>
      </c>
      <c r="B1632" s="215" t="inlineStr">
        <is>
          <t>Ngưng hoạt động</t>
        </is>
      </c>
      <c r="C1632" s="217" t="inlineStr">
        <is>
          <t>Inactive</t>
        </is>
      </c>
      <c r="D1632" s="3" t="n"/>
      <c r="E1632" s="3" t="n"/>
      <c r="F1632" s="217" t="n"/>
      <c r="G1632" t="inlineStr">
        <is>
          <t>ផ្អាកដំណើរការ</t>
        </is>
      </c>
      <c r="H1632" t="inlineStr">
        <is>
          <t>ផ្អាកដំណើរការ</t>
        </is>
      </c>
      <c r="I1632" s="111" t="n"/>
      <c r="J1632" s="217" t="inlineStr">
        <is>
          <t>"catalogManager:statusInactiveText": "Inactive",</t>
        </is>
      </c>
    </row>
    <row r="1633" ht="15.75" customHeight="1" s="305">
      <c r="A1633" s="215" t="inlineStr">
        <is>
          <t>catalogManager:save</t>
        </is>
      </c>
      <c r="B1633" s="215" t="inlineStr">
        <is>
          <t>Ghi lại</t>
        </is>
      </c>
      <c r="C1633" s="217" t="inlineStr">
        <is>
          <t>Save</t>
        </is>
      </c>
      <c r="D1633" s="3" t="n"/>
      <c r="E1633" s="3" t="n"/>
      <c r="F1633" s="217" t="n"/>
      <c r="G1633" t="inlineStr">
        <is>
          <t>កត់ត្រាទុក</t>
        </is>
      </c>
      <c r="H1633" t="inlineStr">
        <is>
          <t>កត់ត្រាទុក</t>
        </is>
      </c>
      <c r="I1633" s="111" t="n"/>
      <c r="J1633" s="217" t="inlineStr">
        <is>
          <t>"catalogManager:save": "Save",</t>
        </is>
      </c>
    </row>
    <row r="1634" ht="15.75" customHeight="1" s="305">
      <c r="A1634" s="215" t="inlineStr">
        <is>
          <t>catalogManager:update</t>
        </is>
      </c>
      <c r="B1634" s="215" t="inlineStr">
        <is>
          <t>Cập nhật</t>
        </is>
      </c>
      <c r="C1634" s="217" t="inlineStr">
        <is>
          <t>Update</t>
        </is>
      </c>
      <c r="D1634" s="3" t="n"/>
      <c r="E1634" s="3" t="n"/>
      <c r="F1634" s="217" t="n"/>
      <c r="G1634" t="inlineStr">
        <is>
          <t>ធ្វើបច្ចុប្បន្នភាព</t>
        </is>
      </c>
      <c r="H1634" t="inlineStr">
        <is>
          <t>ធ្វើបច្ចុប្បន្នភាព</t>
        </is>
      </c>
      <c r="I1634" s="111" t="n"/>
      <c r="J1634" s="217" t="inlineStr">
        <is>
          <t>"catalogManager:update": "Update",</t>
        </is>
      </c>
    </row>
    <row r="1635" ht="15.75" customHeight="1" s="305">
      <c r="A1635" s="215" t="inlineStr">
        <is>
          <t>catalogManager:close</t>
        </is>
      </c>
      <c r="B1635" s="215" t="inlineStr">
        <is>
          <t>Thoát</t>
        </is>
      </c>
      <c r="C1635" s="217" t="inlineStr">
        <is>
          <t>Exit</t>
        </is>
      </c>
      <c r="D1635" s="3" t="n"/>
      <c r="E1635" s="3" t="n"/>
      <c r="F1635" s="217" t="n"/>
      <c r="G1635" t="inlineStr">
        <is>
          <t>ចាកចេញ</t>
        </is>
      </c>
      <c r="H1635" t="inlineStr">
        <is>
          <t>ចាកចេញ</t>
        </is>
      </c>
      <c r="I1635" s="111" t="n"/>
      <c r="J1635" s="217" t="inlineStr">
        <is>
          <t>"catalogManager:close": "Exit",</t>
        </is>
      </c>
    </row>
    <row r="1636" ht="15.75" customHeight="1" s="305">
      <c r="A1636" s="215" t="inlineStr">
        <is>
          <t>catalogManager:edit</t>
        </is>
      </c>
      <c r="B1636" s="215" t="inlineStr">
        <is>
          <t>Sửa</t>
        </is>
      </c>
      <c r="C1636" s="217" t="inlineStr">
        <is>
          <t>Edit</t>
        </is>
      </c>
      <c r="D1636" s="3" t="n"/>
      <c r="E1636" s="3" t="n"/>
      <c r="F1636" s="217" t="n"/>
      <c r="G1636" t="inlineStr">
        <is>
          <t>កែសម្រួល</t>
        </is>
      </c>
      <c r="H1636" t="inlineStr">
        <is>
          <t>កែសម្រួល</t>
        </is>
      </c>
      <c r="I1636" s="111" t="n"/>
      <c r="J1636" s="217" t="inlineStr">
        <is>
          <t>"catalogManager:edit": "Edit",</t>
        </is>
      </c>
    </row>
    <row r="1637" ht="15.75" customHeight="1" s="305">
      <c r="A1637" s="215" t="inlineStr">
        <is>
          <t>catalogManager:delete</t>
        </is>
      </c>
      <c r="B1637" s="215" t="inlineStr">
        <is>
          <t>Xoá</t>
        </is>
      </c>
      <c r="C1637" s="217" t="inlineStr">
        <is>
          <t>Delete</t>
        </is>
      </c>
      <c r="D1637" s="3" t="n"/>
      <c r="E1637" s="3" t="n"/>
      <c r="F1637" s="217" t="n"/>
      <c r="G1637" t="inlineStr">
        <is>
          <t>លុប</t>
        </is>
      </c>
      <c r="H1637" t="inlineStr">
        <is>
          <t>លុប</t>
        </is>
      </c>
      <c r="I1637" s="111" t="n"/>
      <c r="J1637" s="217" t="inlineStr">
        <is>
          <t>"catalogManager:delete": "Delete",</t>
        </is>
      </c>
    </row>
    <row r="1638" ht="15.75" customHeight="1" s="305">
      <c r="A1638" s="215" t="inlineStr">
        <is>
          <t>catalogManager:requiredCode</t>
        </is>
      </c>
      <c r="B1638" s="215" t="inlineStr">
        <is>
          <t>Vui lòng nhập mã</t>
        </is>
      </c>
      <c r="C1638" s="217" t="inlineStr">
        <is>
          <t>Please enter the code</t>
        </is>
      </c>
      <c r="D1638" s="3" t="n"/>
      <c r="E1638" s="3" t="n"/>
      <c r="F1638" s="217" t="n"/>
      <c r="G1638" t="inlineStr">
        <is>
          <t>សូមបញ្ចូលលេខកូដ</t>
        </is>
      </c>
      <c r="H1638" t="inlineStr">
        <is>
          <t>សូមបញ្ចូលលេខកូដ</t>
        </is>
      </c>
      <c r="I1638" s="111" t="n"/>
      <c r="J1638" s="217" t="inlineStr">
        <is>
          <t>"catalogManager:requiredCode": "Please enter the code",</t>
        </is>
      </c>
    </row>
    <row r="1639" ht="15.75" customHeight="1" s="305">
      <c r="A1639" s="215" t="inlineStr">
        <is>
          <t>catalogManager:requiredNameLatinh</t>
        </is>
      </c>
      <c r="B1639" s="215" t="inlineStr">
        <is>
          <t>Vui lòng nhập tên Latinh</t>
        </is>
      </c>
      <c r="C1639" s="217" t="inlineStr">
        <is>
          <t>Please enter the Latin name</t>
        </is>
      </c>
      <c r="D1639" s="3" t="n"/>
      <c r="E1639" s="3" t="n"/>
      <c r="F1639" s="217" t="n"/>
      <c r="G1639" t="inlineStr">
        <is>
          <t>សូមបញ្ចូលឈ្មោះ Latinh</t>
        </is>
      </c>
      <c r="H1639" t="inlineStr">
        <is>
          <t>សូមបញ្ចូលឈ្មោះ Latinh</t>
        </is>
      </c>
      <c r="I1639" s="111" t="n"/>
      <c r="J1639" s="217" t="inlineStr">
        <is>
          <t>"catalogManager:requiredNameLatinh": "Please enter the Latin name",</t>
        </is>
      </c>
    </row>
    <row r="1640" ht="15.75" customHeight="1" s="305">
      <c r="A1640" s="215" t="inlineStr">
        <is>
          <t>catalogManager:requiredNameLocal</t>
        </is>
      </c>
      <c r="B1640" s="215" t="inlineStr">
        <is>
          <t>Vui lòng nhập tên Bản địa</t>
        </is>
      </c>
      <c r="C1640" s="217" t="inlineStr">
        <is>
          <t>Please enter the native name</t>
        </is>
      </c>
      <c r="D1640" s="3" t="n"/>
      <c r="E1640" s="3" t="n"/>
      <c r="F1640" s="217" t="n"/>
      <c r="G1640" t="inlineStr">
        <is>
          <t>សូមបញ្ចូលឈ្មោះ Bản địa</t>
        </is>
      </c>
      <c r="H1640" t="inlineStr">
        <is>
          <t>សូមបញ្ចូលឈ្មោះ Bản địa</t>
        </is>
      </c>
      <c r="I1640" s="111" t="n"/>
      <c r="J1640" s="217" t="inlineStr">
        <is>
          <t>"catalogManager:requiredNameLocal": "Please enter the native name",</t>
        </is>
      </c>
    </row>
    <row r="1641" ht="15.75" customHeight="1" s="305">
      <c r="A1641" s="215" t="inlineStr">
        <is>
          <t>catalogManager:maxLength</t>
        </is>
      </c>
      <c r="B1641" s="215" t="inlineStr">
        <is>
          <t>Tối đa 150 ký tự</t>
        </is>
      </c>
      <c r="C1641" s="217" t="inlineStr">
        <is>
          <t>Maximum 150 characters</t>
        </is>
      </c>
      <c r="D1641" s="3" t="n"/>
      <c r="E1641" s="3" t="n"/>
      <c r="F1641" s="217" t="n"/>
      <c r="G1641" t="inlineStr">
        <is>
          <t>អតិបរមា 150 តួអក្សរ</t>
        </is>
      </c>
      <c r="H1641" t="inlineStr">
        <is>
          <t>អតិបរមា 150 តួអក្សរ</t>
        </is>
      </c>
      <c r="I1641" s="111" t="n"/>
      <c r="J1641" s="217" t="inlineStr">
        <is>
          <t>"catalogManager:maxLength": "Maximum 150 characters",</t>
        </is>
      </c>
    </row>
    <row r="1642" ht="15.75" customHeight="1" s="305">
      <c r="A1642" s="215" t="inlineStr">
        <is>
          <t>catalogManager:noSpecialChars</t>
        </is>
      </c>
      <c r="B1642" s="215" t="inlineStr">
        <is>
          <t>Không được nhập ký tự đặc biệt</t>
        </is>
      </c>
      <c r="C1642" s="217" t="inlineStr">
        <is>
          <t>Special characters are not allowed</t>
        </is>
      </c>
      <c r="D1642" s="3" t="n"/>
      <c r="E1642" s="3" t="n"/>
      <c r="F1642" s="217" t="n"/>
      <c r="G1642" t="inlineStr">
        <is>
          <t>មិនអនុញ្ញាតឱ្យបញ្ចូលតួអក្សរពិសេសទេ</t>
        </is>
      </c>
      <c r="H1642" t="inlineStr">
        <is>
          <t>មិនអនុញ្ញាតឱ្យបញ្ចូលតួអក្សរពិសេសទេ</t>
        </is>
      </c>
      <c r="I1642" s="111" t="n"/>
      <c r="J1642" s="217" t="inlineStr">
        <is>
          <t>"catalogManager:noSpecialChars": "Special characters are not allowed",</t>
        </is>
      </c>
    </row>
    <row r="1643" ht="15.75" customHeight="1" s="305">
      <c r="A1643" s="215" t="inlineStr">
        <is>
          <t>catalogManager:duplicateProvince</t>
        </is>
      </c>
      <c r="B1643" s="215" t="inlineStr">
        <is>
          <t>Mã tỉnh đã tồn tại trong nước này</t>
        </is>
      </c>
      <c r="C1643" s="217" t="inlineStr">
        <is>
          <t>Province code already exists in this country</t>
        </is>
      </c>
      <c r="D1643" s="3" t="n"/>
      <c r="E1643" s="3" t="n"/>
      <c r="F1643" s="217" t="n"/>
      <c r="G1643" t="inlineStr">
        <is>
          <t>លេខកូដខេត្ត đã tồn tại trong nước này</t>
        </is>
      </c>
      <c r="H1643" t="inlineStr">
        <is>
          <t>លេខកូដខេត្ត đã tồn tại trong nước này</t>
        </is>
      </c>
      <c r="I1643" s="111" t="n"/>
      <c r="J1643" s="217" t="inlineStr">
        <is>
          <t>"catalogManager:duplicateProvince": "Province code already exists in this country",</t>
        </is>
      </c>
    </row>
    <row r="1644" ht="15.75" customHeight="1" s="305">
      <c r="A1644" s="215" t="inlineStr">
        <is>
          <t>catalogManager:duplicateDistrict</t>
        </is>
      </c>
      <c r="B1644" s="215" t="inlineStr">
        <is>
          <t>Mã quận huyện đã tồn tại trong tỉnh này</t>
        </is>
      </c>
      <c r="C1644" s="217" t="inlineStr">
        <is>
          <t>District code already exists in this province</t>
        </is>
      </c>
      <c r="D1644" s="3" t="n"/>
      <c r="E1644" s="3" t="n"/>
      <c r="F1644" s="217" t="n"/>
      <c r="G1644" t="inlineStr">
        <is>
          <t>លេខកូដស្រុក/ខណ្ឌ đã tồn tại trong ខេត្ត này</t>
        </is>
      </c>
      <c r="H1644" t="inlineStr">
        <is>
          <t>លេខកូដស្រុក/ខណ្ឌ đã tồn tại trong ខេត្ត này</t>
        </is>
      </c>
      <c r="I1644" s="111" t="n"/>
      <c r="J1644" s="217" t="inlineStr">
        <is>
          <t>"catalogManager:duplicateDistrict": "District code already exists in this province",</t>
        </is>
      </c>
    </row>
    <row r="1645" ht="15.75" customHeight="1" s="305">
      <c r="A1645" s="215" t="inlineStr">
        <is>
          <t>catalogManager:duplicateWard</t>
        </is>
      </c>
      <c r="B1645" s="215" t="inlineStr">
        <is>
          <t>Mã phường xã đã tồn tại trong quận huyện này</t>
        </is>
      </c>
      <c r="C1645" s="217" t="inlineStr">
        <is>
          <t>Ward/Commune code already exists in this district</t>
        </is>
      </c>
      <c r="D1645" s="3" t="n"/>
      <c r="E1645" s="3" t="n"/>
      <c r="F1645" s="217" t="n"/>
      <c r="G1645" t="inlineStr">
        <is>
          <t>លេខកូដឃុំ/សង្កាត់ đã tồn tại trong ស្រុក/ខណ្ឌ này</t>
        </is>
      </c>
      <c r="H1645" t="inlineStr">
        <is>
          <t>លេខកូដឃុំ/សង្កាត់ đã tồn tại trong ស្រុក/ខណ្ឌ này</t>
        </is>
      </c>
      <c r="I1645" s="111" t="n"/>
      <c r="J1645" s="217" t="inlineStr">
        <is>
          <t>"catalogManager:duplicateWard": "Ward/Commune code already exists in this district",</t>
        </is>
      </c>
    </row>
    <row r="1646" ht="15.75" customHeight="1" s="305">
      <c r="A1646" s="215" t="inlineStr">
        <is>
          <t>catalogManager:createSuccess</t>
        </is>
      </c>
      <c r="B1646" s="215" t="inlineStr">
        <is>
          <t>Thêm mới thành công!</t>
        </is>
      </c>
      <c r="C1646" s="217" t="inlineStr">
        <is>
          <t>Added successfully!</t>
        </is>
      </c>
      <c r="D1646" s="3" t="n"/>
      <c r="E1646" s="3" t="n"/>
      <c r="F1646" s="217" t="n"/>
      <c r="G1646" t="inlineStr">
        <is>
          <t>បន្ថែមថ្មី ជោគជ័យ!</t>
        </is>
      </c>
      <c r="H1646" t="inlineStr">
        <is>
          <t>បន្ថែមថ្មី ជោគជ័យ!</t>
        </is>
      </c>
      <c r="I1646" s="111" t="n"/>
      <c r="J1646" s="217" t="inlineStr">
        <is>
          <t>"catalogManager:createSuccess": "Added successfully!",</t>
        </is>
      </c>
    </row>
    <row r="1647" ht="15.75" customHeight="1" s="305">
      <c r="A1647" s="215" t="inlineStr">
        <is>
          <t>catalogManager:updateSuccess</t>
        </is>
      </c>
      <c r="B1647" s="215" t="inlineStr">
        <is>
          <t>Cập nhật thành công!</t>
        </is>
      </c>
      <c r="C1647" s="217" t="inlineStr">
        <is>
          <t>Updated successfully!</t>
        </is>
      </c>
      <c r="D1647" s="3" t="n"/>
      <c r="E1647" s="3" t="n"/>
      <c r="F1647" s="217" t="n"/>
      <c r="G1647" t="inlineStr">
        <is>
          <t>ធ្វើបច្ចុប្បន្នភាពជោគជ័យ!</t>
        </is>
      </c>
      <c r="H1647" t="inlineStr">
        <is>
          <t>ធ្វើបច្ចុប្បន្នភាពជោគជ័យ!</t>
        </is>
      </c>
      <c r="I1647" s="111" t="n"/>
      <c r="J1647" s="217" t="inlineStr">
        <is>
          <t>"catalogManager:updateSuccess": "Updated successfully!",</t>
        </is>
      </c>
    </row>
    <row r="1648" ht="15.75" customHeight="1" s="305">
      <c r="A1648" s="215" t="inlineStr">
        <is>
          <t>catalogManager:deleteSuccess</t>
        </is>
      </c>
      <c r="B1648" s="215" t="inlineStr">
        <is>
          <t>Xóa thành công!</t>
        </is>
      </c>
      <c r="C1648" s="217" t="inlineStr">
        <is>
          <t>Deleted successfully!</t>
        </is>
      </c>
      <c r="D1648" s="3" t="n"/>
      <c r="E1648" s="3" t="n"/>
      <c r="F1648" s="217" t="n"/>
      <c r="G1648" t="inlineStr">
        <is>
          <t>លុប ជោគជ័យ!</t>
        </is>
      </c>
      <c r="H1648" t="inlineStr">
        <is>
          <t>លុប ជោគជ័យ!</t>
        </is>
      </c>
      <c r="I1648" s="111" t="n"/>
      <c r="J1648" s="217" t="inlineStr">
        <is>
          <t>"catalogManager:deleteSuccess": "Deleted successfully!",</t>
        </is>
      </c>
    </row>
    <row r="1649" ht="15.75" customHeight="1" s="305">
      <c r="A1649" s="215" t="inlineStr">
        <is>
          <t>catalogManager:deleteConfirm</t>
        </is>
      </c>
      <c r="B1649" s="215" t="inlineStr">
        <is>
          <t>Bạn có chắc chắn muốn xóa mục này?</t>
        </is>
      </c>
      <c r="C1649" s="217" t="inlineStr">
        <is>
          <t>Are you sure you want to delete this item?</t>
        </is>
      </c>
      <c r="D1649" s="3" t="n"/>
      <c r="E1649" s="3" t="n"/>
      <c r="F1649" s="217" t="n"/>
      <c r="G1649" t="inlineStr">
        <is>
          <t>Bạn có chắc chắn muốn លុប mục này?</t>
        </is>
      </c>
      <c r="H1649" t="inlineStr">
        <is>
          <t>Bạn có chắc chắn muốn លុប mục này?</t>
        </is>
      </c>
      <c r="I1649" s="111" t="n"/>
      <c r="J1649" s="217" t="inlineStr">
        <is>
          <t>"catalogManager:deleteConfirm": "Are you sure you want to delete this item?",</t>
        </is>
      </c>
    </row>
    <row r="1650" ht="15.75" customHeight="1" s="305">
      <c r="A1650" s="215" t="n"/>
      <c r="B1650" s="116" t="inlineStr">
        <is>
          <t>Số tiền UNC không khớp với tổng số tiền Phiếu chi</t>
        </is>
      </c>
      <c r="C1650" s="217" t="inlineStr">
        <is>
          <t>The bank transfer amount does not match the total payment voucher amount.</t>
        </is>
      </c>
      <c r="D1650" s="3" t="n"/>
      <c r="E1650" s="3" t="n"/>
      <c r="F1650" s="217" t="n"/>
      <c r="G1650" t="inlineStr">
        <is>
          <t>ចំនួនទឹកប្រាក់ UNC không khớp với tổng ចំនួនទឹកប្រាក់ Phiếu chi</t>
        </is>
      </c>
      <c r="H1650" t="inlineStr">
        <is>
          <t>ចំនួនទឹកប្រាក់ UNC không khớp với tổng ចំនួនទឹកប្រាក់ Phiếu chi</t>
        </is>
      </c>
      <c r="I1650" s="111" t="n"/>
      <c r="J1650" s="217" t="inlineStr"/>
    </row>
    <row r="1651" ht="15.75" customHeight="1" s="305">
      <c r="A1651" s="215" t="inlineStr">
        <is>
          <t>partnerList</t>
        </is>
      </c>
      <c r="B1651" s="219" t="inlineStr">
        <is>
          <t>Danh sách đối tác</t>
        </is>
      </c>
      <c r="C1651" s="217" t="inlineStr">
        <is>
          <t>Partner List</t>
        </is>
      </c>
      <c r="D1651" s="3" t="n"/>
      <c r="E1651" s="3" t="n"/>
      <c r="F1651" s="217" t="n"/>
      <c r="G1651" t="inlineStr">
        <is>
          <t>បញ្ជីđối tác</t>
        </is>
      </c>
      <c r="H1651" t="inlineStr">
        <is>
          <t>បញ្ជីđối tác</t>
        </is>
      </c>
      <c r="I1651" s="111" t="n"/>
      <c r="J1651" s="217" t="inlineStr">
        <is>
          <t>"partnerList": "Partner List",</t>
        </is>
      </c>
    </row>
    <row r="1652" ht="15.75" customHeight="1" s="305">
      <c r="A1652" s="215" t="inlineStr">
        <is>
          <t>partnerEdit</t>
        </is>
      </c>
      <c r="B1652" s="219" t="inlineStr">
        <is>
          <t xml:space="preserve">Chỉnh sửa đối tác
</t>
        </is>
      </c>
      <c r="C1652" s="217" t="inlineStr">
        <is>
          <t>Edit Partner</t>
        </is>
      </c>
      <c r="D1652" s="3" t="n"/>
      <c r="E1652" s="3" t="n"/>
      <c r="F1652" s="217" t="n"/>
      <c r="G1652" t="inlineStr">
        <is>
          <t>កែសម្រួល đối tác</t>
        </is>
      </c>
      <c r="H1652" t="inlineStr">
        <is>
          <t>កែសម្រួល đối tác</t>
        </is>
      </c>
      <c r="I1652" s="111" t="n"/>
      <c r="J1652" s="217" t="inlineStr">
        <is>
          <t>"partnerEdit": "Edit Partner",</t>
        </is>
      </c>
    </row>
    <row r="1653" ht="15.75" customHeight="1" s="305">
      <c r="A1653" s="215" t="inlineStr">
        <is>
          <t>partnerEditBreadcrumb</t>
        </is>
      </c>
      <c r="B1653" s="219" t="inlineStr">
        <is>
          <t>Sửa</t>
        </is>
      </c>
      <c r="C1653" s="217" t="inlineStr">
        <is>
          <t>Edit</t>
        </is>
      </c>
      <c r="D1653" s="3" t="n"/>
      <c r="E1653" s="3" t="n"/>
      <c r="F1653" s="217" t="n"/>
      <c r="G1653" t="inlineStr">
        <is>
          <t>កែសម្រួល</t>
        </is>
      </c>
      <c r="H1653" t="inlineStr">
        <is>
          <t>កែសម្រួល</t>
        </is>
      </c>
      <c r="I1653" s="111" t="n"/>
      <c r="J1653" s="217" t="inlineStr">
        <is>
          <t>"partnerEditBreadcrumb": "Edit",</t>
        </is>
      </c>
    </row>
    <row r="1654" ht="15.75" customHeight="1" s="305">
      <c r="A1654" s="215" t="inlineStr">
        <is>
          <t>editPartnerTabLabel</t>
        </is>
      </c>
      <c r="B1654" s="219" t="inlineStr">
        <is>
          <t>Sửa đối tác</t>
        </is>
      </c>
      <c r="C1654" s="217" t="inlineStr">
        <is>
          <t>Edit Partner</t>
        </is>
      </c>
      <c r="D1654" s="3" t="n"/>
      <c r="E1654" s="3" t="n"/>
      <c r="F1654" s="217" t="n"/>
      <c r="G1654" t="inlineStr">
        <is>
          <t>កែសម្រួលដៃគូ</t>
        </is>
      </c>
      <c r="H1654" t="inlineStr">
        <is>
          <t>កែសម្រួលដៃគូ</t>
        </is>
      </c>
      <c r="I1654" s="111" t="n"/>
      <c r="J1654" s="217" t="inlineStr">
        <is>
          <t>"editPartnerTabLabel": "Edit Partner",</t>
        </is>
      </c>
    </row>
    <row r="1655" ht="15.75" customHeight="1" s="305">
      <c r="A1655" s="215" t="inlineStr">
        <is>
          <t xml:space="preserve">editPartnerPageTitle
</t>
        </is>
      </c>
      <c r="B1655" s="219" t="inlineStr">
        <is>
          <t xml:space="preserve">Sửa đối tác: {{code}} - {{name}}
</t>
        </is>
      </c>
      <c r="C1655" s="217" t="inlineStr">
        <is>
          <t>Edit Partner: {{code}} - {{name}}</t>
        </is>
      </c>
      <c r="D1655" s="3" t="n"/>
      <c r="E1655" s="3" t="n"/>
      <c r="F1655" s="217" t="n"/>
      <c r="G1655" t="inlineStr">
        <is>
          <t>កែសម្រួលដៃគូ: {{code}} - {{name}}</t>
        </is>
      </c>
      <c r="H1655" t="inlineStr">
        <is>
          <t>កែសម្រួលដៃគូ: {{code}} - {{name}}</t>
        </is>
      </c>
      <c r="I1655" s="111" t="n"/>
      <c r="J1655" s="217" t="inlineStr">
        <is>
          <t>"editPartnerPageTitle
": "Edit Partner: {{code}} - {{name}}",</t>
        </is>
      </c>
    </row>
    <row r="1656" ht="15.75" customHeight="1" s="305">
      <c r="A1656" s="215" t="inlineStr">
        <is>
          <t>editPartnerTitleLead</t>
        </is>
      </c>
      <c r="B1656" s="219" t="inlineStr">
        <is>
          <t>Sửa đối tác:</t>
        </is>
      </c>
      <c r="C1656" s="217" t="inlineStr">
        <is>
          <t>Edit Partner:</t>
        </is>
      </c>
      <c r="D1656" s="3" t="n"/>
      <c r="E1656" s="3" t="n"/>
      <c r="F1656" s="217" t="n"/>
      <c r="G1656" t="inlineStr">
        <is>
          <t>កែសម្រួលដៃគូ:</t>
        </is>
      </c>
      <c r="H1656" t="inlineStr">
        <is>
          <t>កែសម្រួលដៃគូ:</t>
        </is>
      </c>
      <c r="I1656" s="111" t="n"/>
      <c r="J1656" s="217" t="inlineStr">
        <is>
          <t>"editPartnerTitleLead": "Edit Partner:",</t>
        </is>
      </c>
    </row>
    <row r="1657" ht="15.75" customHeight="1" s="305">
      <c r="A1657" s="215" t="inlineStr">
        <is>
          <t>editPartnerNotFound</t>
        </is>
      </c>
      <c r="B1657" s="219" t="inlineStr">
        <is>
          <t>Không tìm thấy đối tác hoặc bạn không có quyền xem.</t>
        </is>
      </c>
      <c r="C1657" s="217" t="inlineStr">
        <is>
          <t>Partner not found or you do not have permission to view it.</t>
        </is>
      </c>
      <c r="D1657" s="3" t="n"/>
      <c r="E1657" s="3" t="n"/>
      <c r="F1657" s="217" t="n"/>
      <c r="G1657" t="inlineStr">
        <is>
          <t>រកមិនឃើញដៃគូ ឬអ្នកមិនមានសិទ្ធិមើលព័ត៌មាននេះទេ។</t>
        </is>
      </c>
      <c r="H1657" t="inlineStr">
        <is>
          <t>រកមិនឃើញដៃគូ ឬអ្នកមិនមានសិទ្ធិមើលព័ត៌មាននេះទេ។</t>
        </is>
      </c>
      <c r="I1657" s="111" t="n"/>
      <c r="J1657" s="217" t="inlineStr">
        <is>
          <t>"editPartnerNotFound": "Partner not found or you do not have permission to view it.",</t>
        </is>
      </c>
    </row>
    <row r="1658" ht="15.75" customHeight="1" s="305">
      <c r="A1658" s="215" t="inlineStr">
        <is>
          <t>backToPartnerList</t>
        </is>
      </c>
      <c r="B1658" s="219" t="inlineStr">
        <is>
          <t>Về danh sách đối tác</t>
        </is>
      </c>
      <c r="C1658" s="217" t="inlineStr">
        <is>
          <t>Back to Partner List</t>
        </is>
      </c>
      <c r="D1658" s="3" t="n"/>
      <c r="E1658" s="3" t="n"/>
      <c r="F1658" s="217" t="n"/>
      <c r="G1658" t="inlineStr">
        <is>
          <t>Về បញ្ជី đối tác</t>
        </is>
      </c>
      <c r="H1658" t="inlineStr">
        <is>
          <t>Về បញ្ជី đối tác</t>
        </is>
      </c>
      <c r="I1658" s="111" t="n"/>
      <c r="J1658" s="217" t="inlineStr">
        <is>
          <t>"backToPartnerList": "Back to Partner List",</t>
        </is>
      </c>
    </row>
    <row r="1659" ht="15.75" customHeight="1" s="305">
      <c r="A1659" s="215" t="inlineStr">
        <is>
          <t>partnerTabTitle</t>
        </is>
      </c>
      <c r="B1659" s="219" t="inlineStr">
        <is>
          <t xml:space="preserve">Đối tác {{code}}
</t>
        </is>
      </c>
      <c r="C1659" s="217" t="inlineStr">
        <is>
          <t>Partner {{code}}</t>
        </is>
      </c>
      <c r="D1659" s="3" t="n"/>
      <c r="E1659" s="3" t="n"/>
      <c r="F1659" s="217" t="n"/>
      <c r="G1659" t="inlineStr">
        <is>
          <t>ដៃគូ {{code}}</t>
        </is>
      </c>
      <c r="H1659" t="inlineStr">
        <is>
          <t>ដៃគូ {{code}}</t>
        </is>
      </c>
      <c r="I1659" s="111" t="n"/>
      <c r="J1659" s="217" t="inlineStr">
        <is>
          <t>"partnerTabTitle": "Partner {{code}}",</t>
        </is>
      </c>
    </row>
    <row r="1660" ht="15.75" customHeight="1" s="305">
      <c r="A1660" s="215" t="inlineStr">
        <is>
          <t>updatePartner</t>
        </is>
      </c>
      <c r="B1660" s="219" t="inlineStr">
        <is>
          <t>Cập nhật</t>
        </is>
      </c>
      <c r="C1660" s="217" t="inlineStr">
        <is>
          <t>Update</t>
        </is>
      </c>
      <c r="D1660" s="3" t="n"/>
      <c r="E1660" s="3" t="n"/>
      <c r="F1660" s="217" t="n"/>
      <c r="G1660" t="inlineStr">
        <is>
          <t>ធ្វើបច្ចុប្បន្នភាព</t>
        </is>
      </c>
      <c r="H1660" t="inlineStr">
        <is>
          <t>ធ្វើបច្ចុប្បន្នភាព</t>
        </is>
      </c>
      <c r="I1660" s="111" t="n"/>
      <c r="J1660" s="217" t="inlineStr">
        <is>
          <t>"updatePartner": "Update",</t>
        </is>
      </c>
    </row>
    <row r="1661" ht="15.75" customHeight="1" s="305">
      <c r="A1661" s="215" t="inlineStr">
        <is>
          <t>totalRecords</t>
        </is>
      </c>
      <c r="B1661" s="219" t="inlineStr">
        <is>
          <t xml:space="preserve">Tổng số bản ghi
</t>
        </is>
      </c>
      <c r="C1661" s="217" t="inlineStr">
        <is>
          <t>Total Records</t>
        </is>
      </c>
      <c r="D1661" s="3" t="n"/>
      <c r="E1661" s="3" t="n"/>
      <c r="F1661" s="217" t="n"/>
      <c r="G1661" t="inlineStr">
        <is>
          <t>ចំនួនsố bản ghiសរុប</t>
        </is>
      </c>
      <c r="H1661" t="inlineStr">
        <is>
          <t>ចំនួនsố bản ghiសរុប</t>
        </is>
      </c>
      <c r="I1661" s="111" t="n"/>
      <c r="J1661" s="217" t="inlineStr">
        <is>
          <t>"totalRecords": "Total Records",</t>
        </is>
      </c>
    </row>
    <row r="1662" ht="15.75" customHeight="1" s="305">
      <c r="A1662" s="215" t="inlineStr">
        <is>
          <t xml:space="preserve">addNewPartner
</t>
        </is>
      </c>
      <c r="B1662" s="219" t="inlineStr">
        <is>
          <t xml:space="preserve">Thêm mới đối tác
</t>
        </is>
      </c>
      <c r="C1662" s="217" t="inlineStr">
        <is>
          <t>Add New Partner</t>
        </is>
      </c>
      <c r="D1662" s="3" t="n"/>
      <c r="E1662" s="3" t="n"/>
      <c r="F1662" s="217" t="n"/>
      <c r="G1662" t="inlineStr">
        <is>
          <t>បន្ថែមថ្មី đối tác</t>
        </is>
      </c>
      <c r="H1662" t="inlineStr">
        <is>
          <t>បន្ថែមថ្មី đối tác</t>
        </is>
      </c>
      <c r="I1662" s="111" t="n"/>
      <c r="J1662" s="217" t="inlineStr">
        <is>
          <t>"addNewPartner
": "Add New Partner",</t>
        </is>
      </c>
    </row>
    <row r="1663" ht="15.75" customHeight="1" s="305">
      <c r="A1663" s="215" t="inlineStr">
        <is>
          <t xml:space="preserve">addPartnerModalTitle
</t>
        </is>
      </c>
      <c r="B1663" s="219" t="inlineStr">
        <is>
          <t xml:space="preserve">Thêm mới
</t>
        </is>
      </c>
      <c r="C1663" s="217" t="inlineStr">
        <is>
          <t>Add New</t>
        </is>
      </c>
      <c r="D1663" s="3" t="n"/>
      <c r="E1663" s="3" t="n"/>
      <c r="F1663" s="217" t="n"/>
      <c r="G1663" t="inlineStr">
        <is>
          <t>បន្ថែមថ្មី</t>
        </is>
      </c>
      <c r="H1663" t="inlineStr">
        <is>
          <t>បន្ថែមថ្មី</t>
        </is>
      </c>
      <c r="I1663" s="111" t="n"/>
      <c r="J1663" s="217" t="inlineStr">
        <is>
          <t>"addPartnerModalTitle
": "Add New",</t>
        </is>
      </c>
    </row>
    <row r="1664" ht="15.75" customHeight="1" s="305">
      <c r="A1664" s="215" t="inlineStr">
        <is>
          <t>addPartnerNotePlaceholder</t>
        </is>
      </c>
      <c r="B1664" s="219" t="inlineStr">
        <is>
          <t>Nhập nội dung</t>
        </is>
      </c>
      <c r="C1664" s="217" t="inlineStr">
        <is>
          <t>Enter content</t>
        </is>
      </c>
      <c r="D1664" s="3" t="n"/>
      <c r="E1664" s="3" t="n"/>
      <c r="F1664" s="217" t="n"/>
      <c r="G1664" t="inlineStr">
        <is>
          <t>បញ្ចូលខ្លឹមសារ</t>
        </is>
      </c>
      <c r="H1664" t="inlineStr">
        <is>
          <t>បញ្ចូលខ្លឹមសារ</t>
        </is>
      </c>
      <c r="I1664" s="111" t="n"/>
      <c r="J1664" s="217" t="inlineStr">
        <is>
          <t>"addPartnerNotePlaceholder": "Enter content",</t>
        </is>
      </c>
    </row>
    <row r="1665" ht="15.75" customHeight="1" s="305">
      <c r="A1665" s="215" t="inlineStr">
        <is>
          <t xml:space="preserve">addPartnerTokenPlaceholder
</t>
        </is>
      </c>
      <c r="B1665" s="219" t="inlineStr">
        <is>
          <t xml:space="preserve">Nhập token
</t>
        </is>
      </c>
      <c r="C1665" s="217" t="inlineStr">
        <is>
          <t>Enter token</t>
        </is>
      </c>
      <c r="D1665" s="3" t="n"/>
      <c r="E1665" s="3" t="n"/>
      <c r="F1665" s="217" t="n"/>
      <c r="G1665" t="inlineStr">
        <is>
          <t>បញ្ចូលtoken</t>
        </is>
      </c>
      <c r="H1665" t="inlineStr">
        <is>
          <t>បញ្ចូលtoken</t>
        </is>
      </c>
      <c r="I1665" s="111" t="n"/>
      <c r="J1665" s="217" t="inlineStr">
        <is>
          <t>"addPartnerTokenPlaceholder
": "Enter token",</t>
        </is>
      </c>
    </row>
    <row r="1666" ht="15.75" customHeight="1" s="305">
      <c r="A1666" s="215" t="inlineStr">
        <is>
          <t xml:space="preserve">addPartnerUrlPlaceholder
</t>
        </is>
      </c>
      <c r="B1666" s="219" t="inlineStr">
        <is>
          <t>Nhập URL</t>
        </is>
      </c>
      <c r="C1666" s="217" t="inlineStr">
        <is>
          <t>Enter URL</t>
        </is>
      </c>
      <c r="D1666" s="3" t="n"/>
      <c r="E1666" s="3" t="n"/>
      <c r="F1666" s="217" t="n"/>
      <c r="G1666" t="inlineStr">
        <is>
          <t>បញ្ចូលURL</t>
        </is>
      </c>
      <c r="H1666" t="inlineStr">
        <is>
          <t>បញ្ចូលURL</t>
        </is>
      </c>
      <c r="I1666" s="111" t="n"/>
      <c r="J1666" s="217" t="inlineStr">
        <is>
          <t>"addPartnerUrlPlaceholder
": "Enter URL",</t>
        </is>
      </c>
    </row>
    <row r="1667" ht="15.75" customHeight="1" s="305">
      <c r="A1667" s="215" t="inlineStr">
        <is>
          <t xml:space="preserve">addPartnerRetryPlaceholder
</t>
        </is>
      </c>
      <c r="B1667" s="219" t="inlineStr">
        <is>
          <t xml:space="preserve">Nhập số lần
</t>
        </is>
      </c>
      <c r="C1667" s="217" t="inlineStr">
        <is>
          <t>Enter number of retries</t>
        </is>
      </c>
      <c r="D1667" s="3" t="n"/>
      <c r="E1667" s="3" t="n"/>
      <c r="F1667" s="217" t="n"/>
      <c r="G1667" t="inlineStr">
        <is>
          <t>បញ្ចូលsố lần</t>
        </is>
      </c>
      <c r="H1667" t="inlineStr">
        <is>
          <t>បញ្ចូលsố lần</t>
        </is>
      </c>
      <c r="I1667" s="111" t="n"/>
      <c r="J1667" s="217" t="inlineStr">
        <is>
          <t>"addPartnerRetryPlaceholder
": "Enter number of retries",</t>
        </is>
      </c>
    </row>
    <row r="1668" ht="15.75" customHeight="1" s="305">
      <c r="A1668" s="215" t="inlineStr">
        <is>
          <t>addPartnerTimeoutPlaceholder</t>
        </is>
      </c>
      <c r="B1668" s="219" t="inlineStr">
        <is>
          <t xml:space="preserve">Nhập timeout
</t>
        </is>
      </c>
      <c r="C1668" s="217" t="inlineStr">
        <is>
          <t>Enter timeout</t>
        </is>
      </c>
      <c r="D1668" s="3" t="n"/>
      <c r="E1668" s="3" t="n"/>
      <c r="F1668" s="217" t="n"/>
      <c r="G1668" t="inlineStr">
        <is>
          <t>បញ្ចូលtimeout</t>
        </is>
      </c>
      <c r="H1668" t="inlineStr">
        <is>
          <t>បញ្ចូលtimeout</t>
        </is>
      </c>
      <c r="I1668" s="111" t="n"/>
      <c r="J1668" s="217" t="inlineStr">
        <is>
          <t>"addPartnerTimeoutPlaceholder": "Enter timeout",</t>
        </is>
      </c>
    </row>
    <row r="1669" ht="15.75" customHeight="1" s="305">
      <c r="A1669" s="215" t="inlineStr">
        <is>
          <t xml:space="preserve">enterPartnerCode
</t>
        </is>
      </c>
      <c r="B1669" s="219" t="inlineStr">
        <is>
          <t>Nhập mã đối tác</t>
        </is>
      </c>
      <c r="C1669" s="217" t="inlineStr">
        <is>
          <t>Enter partner code</t>
        </is>
      </c>
      <c r="D1669" s="3" t="n"/>
      <c r="E1669" s="3" t="n"/>
      <c r="F1669" s="217" t="n"/>
      <c r="G1669" t="inlineStr">
        <is>
          <t>បញ្ចូលលេខកូដ đối tác</t>
        </is>
      </c>
      <c r="H1669" t="inlineStr">
        <is>
          <t>បញ្ចូលលេខកូដ đối tác</t>
        </is>
      </c>
      <c r="I1669" s="111" t="n"/>
      <c r="J1669" s="217" t="inlineStr">
        <is>
          <t>"enterPartnerCode
": "Enter partner code",</t>
        </is>
      </c>
    </row>
    <row r="1670" ht="15.75" customHeight="1" s="305">
      <c r="A1670" s="215" t="inlineStr">
        <is>
          <t>enterPartnerName</t>
        </is>
      </c>
      <c r="B1670" s="219" t="inlineStr">
        <is>
          <t>Nhập tên đối tác</t>
        </is>
      </c>
      <c r="C1670" s="217" t="inlineStr">
        <is>
          <t>Enter partner name</t>
        </is>
      </c>
      <c r="D1670" s="3" t="n"/>
      <c r="E1670" s="3" t="n"/>
      <c r="F1670" s="217" t="n"/>
      <c r="G1670" t="inlineStr">
        <is>
          <t>បញ្ចូលឈ្មោះ đối tác</t>
        </is>
      </c>
      <c r="H1670" t="inlineStr">
        <is>
          <t>បញ្ចូលឈ្មោះ đối tác</t>
        </is>
      </c>
      <c r="I1670" s="111" t="n"/>
      <c r="J1670" s="217" t="inlineStr">
        <is>
          <t>"enterPartnerName": "Enter partner name",</t>
        </is>
      </c>
    </row>
    <row r="1671" ht="15.75" customHeight="1" s="305">
      <c r="A1671" s="118" t="inlineStr">
        <is>
          <t>note</t>
        </is>
      </c>
      <c r="B1671" s="219" t="inlineStr">
        <is>
          <t>Ghi chú</t>
        </is>
      </c>
      <c r="C1671" s="217" t="inlineStr">
        <is>
          <t>Notes</t>
        </is>
      </c>
      <c r="D1671" s="3" t="n"/>
      <c r="E1671" s="3" t="n"/>
      <c r="F1671" s="217" t="n"/>
      <c r="G1671" t="inlineStr">
        <is>
          <t>ចំណាំ</t>
        </is>
      </c>
      <c r="H1671" t="inlineStr">
        <is>
          <t>ចំណាំ</t>
        </is>
      </c>
      <c r="I1671" s="111" t="n"/>
      <c r="J1671" s="217" t="inlineStr">
        <is>
          <t>"note": "Notes",</t>
        </is>
      </c>
    </row>
    <row r="1672" ht="15.75" customHeight="1" s="305">
      <c r="A1672" s="215" t="inlineStr">
        <is>
          <t>notePlaceholder</t>
        </is>
      </c>
      <c r="B1672" s="219" t="inlineStr">
        <is>
          <t>Nhập thông tin bổ sung về đối tác: điều khoản hợp tác, liên hệ phụ trách, lưu ý vận hành…</t>
        </is>
      </c>
      <c r="C1672" s="217" t="inlineStr">
        <is>
          <t>Enter additional partner information: cooperation terms, contact person, operational notes…</t>
        </is>
      </c>
      <c r="D1672" s="3" t="n"/>
      <c r="E1672" s="3" t="n"/>
      <c r="F1672" s="217" t="n"/>
      <c r="G1672" t="inlineStr">
        <is>
          <t>បញ្ចូលព័ត៌មាន bổ sung về đối tác: điều khoản hợp tác, liên hệ phụ trách, lưu ý vận hành…</t>
        </is>
      </c>
      <c r="H1672" t="inlineStr">
        <is>
          <t>បញ្ចូលព័ត៌មាន bổ sung về đối tác: điều khoản hợp tác, liên hệ phụ trách, lưu ý vận hành…</t>
        </is>
      </c>
      <c r="I1672" s="111" t="n"/>
      <c r="J1672" s="217" t="inlineStr">
        <is>
          <t>"notePlaceholder": "Enter additional partner information: cooperation terms, contact person, operational notes…",</t>
        </is>
      </c>
    </row>
    <row r="1673" ht="15.75" customHeight="1" s="305">
      <c r="A1673" s="215" t="inlineStr">
        <is>
          <t xml:space="preserve">tokenWebhook
</t>
        </is>
      </c>
      <c r="B1673" s="219" t="inlineStr">
        <is>
          <t>Token webhook</t>
        </is>
      </c>
      <c r="C1673" s="217" t="inlineStr">
        <is>
          <t>Webhook Token</t>
        </is>
      </c>
      <c r="D1673" s="3" t="n"/>
      <c r="E1673" s="3" t="n"/>
      <c r="F1673" s="217" t="n"/>
      <c r="G1673" t="inlineStr">
        <is>
          <t>Token webhook</t>
        </is>
      </c>
      <c r="H1673" t="inlineStr">
        <is>
          <t>Token webhook</t>
        </is>
      </c>
      <c r="I1673" s="111" t="n"/>
      <c r="J1673" s="217" t="inlineStr">
        <is>
          <t>"tokenWebhook
": "Webhook Token",</t>
        </is>
      </c>
    </row>
    <row r="1674" ht="15.75" customHeight="1" s="305">
      <c r="A1674" s="215" t="inlineStr">
        <is>
          <t xml:space="preserve">urlWebhook
</t>
        </is>
      </c>
      <c r="B1674" s="219" t="inlineStr">
        <is>
          <t xml:space="preserve">URL webhook
</t>
        </is>
      </c>
      <c r="C1674" s="217" t="inlineStr">
        <is>
          <t>Webhook URL</t>
        </is>
      </c>
      <c r="D1674" s="3" t="n"/>
      <c r="E1674" s="3" t="n"/>
      <c r="F1674" s="217" t="n"/>
      <c r="G1674" t="inlineStr">
        <is>
          <t>URL webhook</t>
        </is>
      </c>
      <c r="H1674" t="inlineStr">
        <is>
          <t>URL webhook</t>
        </is>
      </c>
      <c r="I1674" s="111" t="n"/>
      <c r="J1674" s="217" t="inlineStr">
        <is>
          <t>"urlWebhook
": "Webhook URL",</t>
        </is>
      </c>
    </row>
    <row r="1675" ht="15.75" customHeight="1" s="305">
      <c r="A1675" s="215" t="inlineStr">
        <is>
          <t>tokenWebhookPlaceholder</t>
        </is>
      </c>
      <c r="B1675" s="219" t="inlineStr">
        <is>
          <t xml:space="preserve">Nhập token webhook
</t>
        </is>
      </c>
      <c r="C1675" s="217" t="inlineStr">
        <is>
          <t>Enter webhook token</t>
        </is>
      </c>
      <c r="D1675" s="3" t="n"/>
      <c r="E1675" s="3" t="n"/>
      <c r="F1675" s="217" t="n"/>
      <c r="G1675" t="inlineStr">
        <is>
          <t>បញ្ចូលtoken webhook</t>
        </is>
      </c>
      <c r="H1675" t="inlineStr">
        <is>
          <t>បញ្ចូលtoken webhook</t>
        </is>
      </c>
      <c r="I1675" s="111" t="n"/>
      <c r="J1675" s="217" t="inlineStr">
        <is>
          <t>"tokenWebhookPlaceholder": "Enter webhook token",</t>
        </is>
      </c>
    </row>
    <row r="1676" ht="15.75" customHeight="1" s="305">
      <c r="A1676" s="215" t="inlineStr">
        <is>
          <t xml:space="preserve">requirePartnerCodeAndName
</t>
        </is>
      </c>
      <c r="B1676" s="219" t="inlineStr">
        <is>
          <t xml:space="preserve">Yêu cầu nhập mã/tên đối tác
</t>
        </is>
      </c>
      <c r="C1676" s="217" t="inlineStr">
        <is>
          <t>Partner code/name is required</t>
        </is>
      </c>
      <c r="D1676" s="3" t="n"/>
      <c r="E1676" s="3" t="n"/>
      <c r="F1676" s="217" t="n"/>
      <c r="G1676" t="inlineStr">
        <is>
          <t>សំណើ nhập លេខកូដ/ឈ្មោះ đối tác</t>
        </is>
      </c>
      <c r="H1676" t="inlineStr">
        <is>
          <t>សំណើ nhập លេខកូដ/ឈ្មោះ đối tác</t>
        </is>
      </c>
      <c r="I1676" s="111" t="n"/>
      <c r="J1676" s="217" t="inlineStr">
        <is>
          <t>"requirePartnerCodeAndName
": "Partner code/name is required",</t>
        </is>
      </c>
    </row>
    <row r="1677" ht="15.75" customHeight="1" s="305">
      <c r="A1677" s="215" t="inlineStr">
        <is>
          <t>partnerCodeDuplicate</t>
        </is>
      </c>
      <c r="B1677" s="219" t="inlineStr">
        <is>
          <t>Mã đối tác đã tồn tại</t>
        </is>
      </c>
      <c r="C1677" s="217" t="inlineStr">
        <is>
          <t>Partner code already exists</t>
        </is>
      </c>
      <c r="D1677" s="3" t="n"/>
      <c r="E1677" s="3" t="n"/>
      <c r="F1677" s="217" t="n"/>
      <c r="G1677" t="inlineStr">
        <is>
          <t>លេខកូដđối tác đã tồn tại</t>
        </is>
      </c>
      <c r="H1677" t="inlineStr">
        <is>
          <t>លេខកូដđối tác đã tồn tại</t>
        </is>
      </c>
      <c r="I1677" s="111" t="n"/>
      <c r="J1677" s="217" t="inlineStr">
        <is>
          <t>"partnerCodeDuplicate": "Partner code already exists",</t>
        </is>
      </c>
    </row>
    <row r="1678" ht="15.75" customHeight="1" s="305">
      <c r="A1678" s="215" t="inlineStr">
        <is>
          <t>partnerCodeInvalidChars</t>
        </is>
      </c>
      <c r="B1678" s="219" t="inlineStr">
        <is>
          <t>Chỉ được nhập chữ, số, dấu gạch dưới và gạch nối</t>
        </is>
      </c>
      <c r="C1678" s="217" t="inlineStr">
        <is>
          <t>Only letters, numbers, underscores, and hyphens are allowed</t>
        </is>
      </c>
      <c r="D1678" s="3" t="n"/>
      <c r="E1678" s="3" t="n"/>
      <c r="F1678" s="217" t="n"/>
      <c r="G1678" t="inlineStr">
        <is>
          <t>អនុញ្ញាតឱ្យបញ្ចូលតែអក្សរ លេខ សញ្ញា _ និង - ប៉ុណ្ណោះ</t>
        </is>
      </c>
      <c r="H1678" t="inlineStr">
        <is>
          <t>អនុញ្ញាតឱ្យបញ្ចូលតែអក្សរ លេខ សញ្ញា _ និង - ប៉ុណ្ណោះ</t>
        </is>
      </c>
      <c r="I1678" s="111" t="n"/>
      <c r="J1678" s="217" t="inlineStr">
        <is>
          <t>"partnerCodeInvalidChars": "Only letters, numbers, underscores, and hyphens are allowed",</t>
        </is>
      </c>
    </row>
    <row r="1679" ht="15.75" customHeight="1" s="305">
      <c r="A1679" s="215" t="inlineStr">
        <is>
          <t xml:space="preserve">partnerCodeMaxLength
</t>
        </is>
      </c>
      <c r="B1679" s="219" t="inlineStr">
        <is>
          <t>Mã đối tác tối đa 50 ký tự</t>
        </is>
      </c>
      <c r="C1679" s="217" t="inlineStr">
        <is>
          <t>Partner code must not exceed 50 characters</t>
        </is>
      </c>
      <c r="D1679" s="3" t="n"/>
      <c r="E1679" s="3" t="n"/>
      <c r="F1679" s="217" t="n"/>
      <c r="G1679" t="inlineStr">
        <is>
          <t>លេខកូដđối tác tối đa 50 ký tự</t>
        </is>
      </c>
      <c r="H1679" t="inlineStr">
        <is>
          <t>លេខកូដđối tác tối đa 50 ký tự</t>
        </is>
      </c>
      <c r="I1679" s="111" t="n"/>
      <c r="J1679" s="217" t="inlineStr">
        <is>
          <t>"partnerCodeMaxLength
": "Partner code must not exceed 50 characters",</t>
        </is>
      </c>
    </row>
    <row r="1680" ht="15.75" customHeight="1" s="305">
      <c r="A1680" s="215" t="inlineStr">
        <is>
          <t xml:space="preserve">partnerNameMaxLength
</t>
        </is>
      </c>
      <c r="B1680" s="219" t="inlineStr">
        <is>
          <t xml:space="preserve">Tên đối tác tối đa 255 ký tự
</t>
        </is>
      </c>
      <c r="C1680" s="217" t="inlineStr">
        <is>
          <t>Partner name must not exceed 255 characters</t>
        </is>
      </c>
      <c r="D1680" s="3" t="n"/>
      <c r="E1680" s="3" t="n"/>
      <c r="F1680" s="217" t="n"/>
      <c r="G1680" t="inlineStr">
        <is>
          <t>ឈ្មោះđối tác tối đa 255 ký tự</t>
        </is>
      </c>
      <c r="H1680" t="inlineStr">
        <is>
          <t>ឈ្មោះđối tác tối đa 255 ký tự</t>
        </is>
      </c>
      <c r="I1680" s="111" t="n"/>
      <c r="J1680" s="217" t="inlineStr">
        <is>
          <t>"partnerNameMaxLength
": "Partner name must not exceed 255 characters",</t>
        </is>
      </c>
    </row>
    <row r="1681" ht="15.75" customHeight="1" s="305">
      <c r="A1681" s="215" t="inlineStr">
        <is>
          <t>noteMaxLength</t>
        </is>
      </c>
      <c r="B1681" s="219" t="inlineStr">
        <is>
          <t xml:space="preserve">Ghi chú tối đa 500 ký tự
</t>
        </is>
      </c>
      <c r="C1681" s="217" t="inlineStr">
        <is>
          <t>Notes must not exceed 500 characters</t>
        </is>
      </c>
      <c r="D1681" s="3" t="n"/>
      <c r="E1681" s="3" t="n"/>
      <c r="F1681" s="217" t="n"/>
      <c r="G1681" t="inlineStr">
        <is>
          <t>ចំណាំ tối đa 500 ký tự</t>
        </is>
      </c>
      <c r="H1681" t="inlineStr">
        <is>
          <t>ចំណាំ tối đa 500 ký tự</t>
        </is>
      </c>
      <c r="I1681" s="111" t="n"/>
      <c r="J1681" s="217" t="inlineStr">
        <is>
          <t>"noteMaxLength": "Notes must not exceed 500 characters",</t>
        </is>
      </c>
    </row>
    <row r="1682" ht="15.75" customHeight="1" s="305">
      <c r="A1682" s="215" t="inlineStr">
        <is>
          <t>tokenMaxLength</t>
        </is>
      </c>
      <c r="B1682" s="219" t="inlineStr">
        <is>
          <t xml:space="preserve">Token tối đa 255 ký tự
</t>
        </is>
      </c>
      <c r="C1682" s="217" t="inlineStr">
        <is>
          <t>Token must not exceed 255 characters</t>
        </is>
      </c>
      <c r="D1682" s="3" t="n"/>
      <c r="E1682" s="3" t="n"/>
      <c r="F1682" s="217" t="n"/>
      <c r="G1682" t="inlineStr">
        <is>
          <t>Token អតិបរមា 255 តួអក្សរ</t>
        </is>
      </c>
      <c r="H1682" t="inlineStr">
        <is>
          <t>Token អតិបរមា 255 តួអក្សរ</t>
        </is>
      </c>
      <c r="I1682" s="111" t="n"/>
      <c r="J1682" s="217" t="inlineStr">
        <is>
          <t>"tokenMaxLength": "Token must not exceed 255 characters",</t>
        </is>
      </c>
    </row>
    <row r="1683" ht="15.75" customHeight="1" s="305">
      <c r="A1683" s="215" t="inlineStr">
        <is>
          <t>webhookUrlInvalid</t>
        </is>
      </c>
      <c r="B1683" s="219" t="inlineStr">
        <is>
          <t xml:space="preserve">URL không đúng định dạng (http/https)
</t>
        </is>
      </c>
      <c r="C1683" s="217" t="inlineStr">
        <is>
          <t>Invalid URL format (http/https)</t>
        </is>
      </c>
      <c r="D1683" s="3" t="n"/>
      <c r="E1683" s="3" t="n"/>
      <c r="F1683" s="217" t="n"/>
      <c r="G1683" t="inlineStr">
        <is>
          <t>តំណភ្ជាប់ URL មិនត្រឹមត្រូវតាមទម្រង់ (http/https)</t>
        </is>
      </c>
      <c r="H1683" t="inlineStr">
        <is>
          <t>តំណភ្ជាប់ URL មិនត្រឹមត្រូវតាមទម្រង់ (http/https)</t>
        </is>
      </c>
      <c r="I1683" s="111" t="n"/>
      <c r="J1683" s="217" t="inlineStr">
        <is>
          <t>"webhookUrlInvalid": "Invalid URL format (http/https)",</t>
        </is>
      </c>
    </row>
    <row r="1684" ht="15.75" customHeight="1" s="305">
      <c r="A1684" s="215" t="inlineStr">
        <is>
          <t>webhookUrlMaxLength</t>
        </is>
      </c>
      <c r="B1684" s="219" t="inlineStr">
        <is>
          <t xml:space="preserve">URL tối đa 500 ký tự
</t>
        </is>
      </c>
      <c r="C1684" s="217" t="inlineStr">
        <is>
          <t>URL must not exceed 500 characters</t>
        </is>
      </c>
      <c r="D1684" s="3" t="n"/>
      <c r="E1684" s="3" t="n"/>
      <c r="F1684" s="217" t="n"/>
      <c r="G1684" t="inlineStr">
        <is>
          <t>តំណភ្ជាប់ URL អតិបរមា 500 តួអក្សរ</t>
        </is>
      </c>
      <c r="H1684" t="inlineStr">
        <is>
          <t>តំណភ្ជាប់ URL អតិបរមា 500 តួអក្សរ</t>
        </is>
      </c>
      <c r="I1684" s="111" t="n"/>
      <c r="J1684" s="217" t="inlineStr">
        <is>
          <t>"webhookUrlMaxLength": "URL must not exceed 500 characters",</t>
        </is>
      </c>
    </row>
    <row r="1685" ht="15.75" customHeight="1" s="305">
      <c r="A1685" s="215" t="inlineStr">
        <is>
          <t>webhookUrlModalPlaceholder</t>
        </is>
      </c>
      <c r="B1685" s="219" t="inlineStr">
        <is>
          <t xml:space="preserve">Nhập URL webhook (https://...)
</t>
        </is>
      </c>
      <c r="C1685" s="217" t="inlineStr">
        <is>
          <t>Enter webhook URL (https://...)</t>
        </is>
      </c>
      <c r="D1685" s="3" t="n"/>
      <c r="E1685" s="3" t="n"/>
      <c r="F1685" s="217" t="n"/>
      <c r="G1685" t="inlineStr">
        <is>
          <t>បញ្ចូលURL webhook (https://...)</t>
        </is>
      </c>
      <c r="H1685" t="inlineStr">
        <is>
          <t>បញ្ចូលURL webhook (https://...)</t>
        </is>
      </c>
      <c r="I1685" s="111" t="n"/>
      <c r="J1685" s="217" t="inlineStr">
        <is>
          <t>"webhookUrlModalPlaceholder": "Enter webhook URL (https://...)",</t>
        </is>
      </c>
    </row>
    <row r="1686" ht="15.75" customHeight="1" s="305">
      <c r="A1686" s="215" t="inlineStr">
        <is>
          <t>tokenRequiredWhenUrl</t>
        </is>
      </c>
      <c r="B1686" s="219" t="inlineStr">
        <is>
          <t xml:space="preserve">Yêu cầu nhập token webhook khi đã nhập URL
</t>
        </is>
      </c>
      <c r="C1686" s="217" t="inlineStr">
        <is>
          <t>Webhook token is required when webhook URL is provided</t>
        </is>
      </c>
      <c r="D1686" s="3" t="n"/>
      <c r="E1686" s="3" t="n"/>
      <c r="F1686" s="217" t="n"/>
      <c r="G1686" t="inlineStr">
        <is>
          <t>សំណើ nhập token webhook khi đã nhập URL</t>
        </is>
      </c>
      <c r="H1686" t="inlineStr">
        <is>
          <t>សំណើ nhập token webhook khi đã nhập URL</t>
        </is>
      </c>
      <c r="I1686" s="111" t="n"/>
      <c r="J1686" s="217" t="inlineStr">
        <is>
          <t>"tokenRequiredWhenUrl": "Webhook token is required when webhook URL is provided",</t>
        </is>
      </c>
    </row>
    <row r="1687" ht="15.75" customHeight="1" s="305">
      <c r="A1687" s="215" t="inlineStr">
        <is>
          <t>urlRequiredWhenToken</t>
        </is>
      </c>
      <c r="B1687" s="219" t="inlineStr">
        <is>
          <t xml:space="preserve">Yêu cầu nhập URL webhook khi đã nhập token
</t>
        </is>
      </c>
      <c r="C1687" s="217" t="inlineStr">
        <is>
          <t>Webhook URL is required when webhook token is provided</t>
        </is>
      </c>
      <c r="D1687" s="3" t="n"/>
      <c r="E1687" s="3" t="n"/>
      <c r="F1687" s="217" t="n"/>
      <c r="G1687" t="inlineStr">
        <is>
          <t>សំណើ nhập URL webhook khi đã nhập token</t>
        </is>
      </c>
      <c r="H1687" t="inlineStr">
        <is>
          <t>សំណើ nhập URL webhook khi đã nhập token</t>
        </is>
      </c>
      <c r="I1687" s="111" t="n"/>
      <c r="J1687" s="217" t="inlineStr">
        <is>
          <t>"urlRequiredWhenToken": "Webhook URL is required when webhook token is provided",</t>
        </is>
      </c>
    </row>
    <row r="1688" ht="15.75" customHeight="1" s="305">
      <c r="A1688" s="215" t="inlineStr">
        <is>
          <t>retryRange</t>
        </is>
      </c>
      <c r="B1688" s="219" t="inlineStr">
        <is>
          <t>Số lần retry phải là số nguyên từ 0 đến 10</t>
        </is>
      </c>
      <c r="C1688" s="217" t="inlineStr">
        <is>
          <t>Retry count must be an integer from 0 to 10</t>
        </is>
      </c>
      <c r="D1688" s="3" t="n"/>
      <c r="E1688" s="3" t="n"/>
      <c r="F1688" s="217" t="n"/>
      <c r="G1688" t="inlineStr">
        <is>
          <t>ចំនួនដងសាកល្បងឡើងវិញ (retry) ត្រូវតែជាចំនួនគត់ពី 0 ដល់ 10</t>
        </is>
      </c>
      <c r="H1688" t="inlineStr">
        <is>
          <t>ចំនួនដងសាកល្បងឡើងវិញ (retry) ត្រូវតែជាចំនួនគត់ពី 0 ដល់ 10</t>
        </is>
      </c>
      <c r="I1688" s="111" t="n"/>
      <c r="J1688" s="217" t="inlineStr">
        <is>
          <t>"retryRange": "Retry count must be an integer from 0 to 10",</t>
        </is>
      </c>
    </row>
    <row r="1689" ht="15.75" customHeight="1" s="305">
      <c r="A1689" s="215" t="inlineStr">
        <is>
          <t>timeoutRange</t>
        </is>
      </c>
      <c r="B1689" s="219" t="inlineStr">
        <is>
          <t>Time out phải là số nguyên từ 1 đến 300 (giây)</t>
        </is>
      </c>
      <c r="C1689" s="217" t="inlineStr">
        <is>
          <t>Timeout must be an integer from 1 to 300 seconds</t>
        </is>
      </c>
      <c r="D1689" s="3" t="n"/>
      <c r="E1689" s="3" t="n"/>
      <c r="F1689" s="217" t="n"/>
      <c r="G1689" t="inlineStr">
        <is>
          <t>កាលកំណត់ពេល (Timeout) ត្រូវតែជាចំនួនគត់ពី 1 ដល់ 300 (វិនាទី)</t>
        </is>
      </c>
      <c r="H1689" t="inlineStr">
        <is>
          <t>កាលកំណត់ពេល (Timeout) ត្រូវតែជាចំនួនគត់ពី 1 ដល់ 300 (វិនាទី)</t>
        </is>
      </c>
      <c r="I1689" s="111" t="n"/>
      <c r="J1689" s="217" t="inlineStr">
        <is>
          <t>"timeoutRange": "Timeout must be an integer from 1 to 300 seconds",</t>
        </is>
      </c>
    </row>
    <row r="1690" ht="15.75" customHeight="1" s="305">
      <c r="A1690" s="215" t="inlineStr">
        <is>
          <t>retryPlaceholderModal</t>
        </is>
      </c>
      <c r="B1690" s="219" t="inlineStr">
        <is>
          <t xml:space="preserve">Nhập số lần retry
</t>
        </is>
      </c>
      <c r="C1690" s="217" t="inlineStr">
        <is>
          <t>Enter retry count</t>
        </is>
      </c>
      <c r="D1690" s="3" t="n"/>
      <c r="E1690" s="3" t="n"/>
      <c r="F1690" s="217" t="n"/>
      <c r="G1690" t="inlineStr">
        <is>
          <t>បញ្ចូលsố lần retry</t>
        </is>
      </c>
      <c r="H1690" t="inlineStr">
        <is>
          <t>បញ្ចូលsố lần retry</t>
        </is>
      </c>
      <c r="I1690" s="111" t="n"/>
      <c r="J1690" s="217" t="inlineStr">
        <is>
          <t>"retryPlaceholderModal": "Enter retry count",</t>
        </is>
      </c>
    </row>
    <row r="1691" ht="15.75" customHeight="1" s="305">
      <c r="A1691" s="215" t="inlineStr">
        <is>
          <t>timeoutPlaceholderModal</t>
        </is>
      </c>
      <c r="B1691" s="219" t="inlineStr">
        <is>
          <t>Nhập time out (giây)</t>
        </is>
      </c>
      <c r="C1691" s="217" t="inlineStr">
        <is>
          <t>Enter timeout (seconds)</t>
        </is>
      </c>
      <c r="D1691" s="3" t="n"/>
      <c r="E1691" s="3" t="n"/>
      <c r="F1691" s="217" t="n"/>
      <c r="G1691" t="inlineStr">
        <is>
          <t>បញ្ចូលtime out (giây)</t>
        </is>
      </c>
      <c r="H1691" t="inlineStr">
        <is>
          <t>បញ្ចូលtime out (giây)</t>
        </is>
      </c>
      <c r="I1691" s="111" t="n"/>
      <c r="J1691" s="217" t="inlineStr">
        <is>
          <t>"timeoutPlaceholderModal": "Enter timeout (seconds)",</t>
        </is>
      </c>
    </row>
    <row r="1692" ht="15.75" customHeight="1" s="305">
      <c r="A1692" s="215" t="inlineStr">
        <is>
          <t>confirmCancelCreateTitle</t>
        </is>
      </c>
      <c r="B1692" s="219" t="inlineStr">
        <is>
          <t xml:space="preserve">Xác nhận hủy
</t>
        </is>
      </c>
      <c r="C1692" s="217" t="inlineStr">
        <is>
          <t>Confirm Cancellation</t>
        </is>
      </c>
      <c r="D1692" s="3" t="n"/>
      <c r="E1692" s="3" t="n"/>
      <c r="F1692" s="217" t="n"/>
      <c r="G1692" t="inlineStr">
        <is>
          <t>បញ្ជាក់ លុបចោល</t>
        </is>
      </c>
      <c r="H1692" t="inlineStr">
        <is>
          <t>បញ្ជាក់ លុបចោល</t>
        </is>
      </c>
      <c r="I1692" s="111" t="n"/>
      <c r="J1692" s="217" t="inlineStr">
        <is>
          <t>"confirmCancelCreateTitle": "Confirm Cancellation",</t>
        </is>
      </c>
    </row>
    <row r="1693" ht="15.75" customHeight="1" s="305">
      <c r="A1693" s="215" t="inlineStr">
        <is>
          <t>confirmCancelCreatePartner</t>
        </is>
      </c>
      <c r="B1693" s="219" t="inlineStr">
        <is>
          <t>Bạn có chắc chắn muốn hủy tạo mới đối tác?</t>
        </is>
      </c>
      <c r="C1693" s="217" t="inlineStr">
        <is>
          <t>Are you sure you want to cancel partner creation?</t>
        </is>
      </c>
      <c r="D1693" s="3" t="n"/>
      <c r="E1693" s="3" t="n"/>
      <c r="F1693" s="217" t="n"/>
      <c r="G1693" t="inlineStr">
        <is>
          <t>Bạn có chắc chắn muốn លុបចោល បង្កើតថ្មី đối tác?</t>
        </is>
      </c>
      <c r="H1693" t="inlineStr">
        <is>
          <t>Bạn có chắc chắn muốn លុបចោល បង្កើតថ្មី đối tác?</t>
        </is>
      </c>
      <c r="I1693" s="111" t="n"/>
      <c r="J1693" s="217" t="inlineStr">
        <is>
          <t>"confirmCancelCreatePartner": "Are you sure you want to cancel partner creation?",</t>
        </is>
      </c>
    </row>
    <row r="1694" ht="15.75" customHeight="1" s="305">
      <c r="A1694" s="215" t="inlineStr">
        <is>
          <t>createPartnerSuccessTitle</t>
        </is>
      </c>
      <c r="B1694" s="219" t="inlineStr">
        <is>
          <t xml:space="preserve">Thêm mới đối tác thành công!
</t>
        </is>
      </c>
      <c r="C1694" s="217" t="inlineStr">
        <is>
          <t>Partner created successfully!</t>
        </is>
      </c>
      <c r="D1694" s="3" t="n"/>
      <c r="E1694" s="3" t="n"/>
      <c r="F1694" s="217" t="n"/>
      <c r="G1694" t="inlineStr">
        <is>
          <t>បន្ថែមថ្មី đối tác ជោគជ័យ!</t>
        </is>
      </c>
      <c r="H1694" t="inlineStr">
        <is>
          <t>បន្ថែមថ្មី đối tác ជោគជ័យ!</t>
        </is>
      </c>
      <c r="I1694" s="111" t="n"/>
      <c r="J1694" s="217" t="inlineStr">
        <is>
          <t>"createPartnerSuccessTitle": "Partner created successfully!",</t>
        </is>
      </c>
    </row>
    <row r="1695" ht="15.75" customHeight="1" s="305">
      <c r="A1695" s="215" t="inlineStr">
        <is>
          <t>createPartnerSuccessBody</t>
        </is>
      </c>
      <c r="B1695" s="219" t="inlineStr">
        <is>
          <t>Token tích hợp đã được khởi tạo. Sao chép và gửi token này cho đối tác để sử dụng khi kết nối với hệ thống chuyển phát.</t>
        </is>
      </c>
      <c r="C1695" s="217" t="inlineStr">
        <is>
          <t>The integration token has been generated. Copy and send this token to the partner for use when connecting to the delivery system.</t>
        </is>
      </c>
      <c r="D1695" s="3" t="n"/>
      <c r="E1695" s="3" t="n"/>
      <c r="F1695" s="217" t="n"/>
      <c r="G1695" t="inlineStr">
        <is>
          <t>Token tích hợp đã được khởi tạo. Sao chép và ផ្ញើ token này cho đối tác để sử dụng khi kết nối với hệ thống chuyển ដឹកចែក.</t>
        </is>
      </c>
      <c r="H1695" t="inlineStr">
        <is>
          <t>Token tích hợp đã được khởi tạo. Sao chép và ផ្ញើ token này cho đối tác để sử dụng khi kết nối với hệ thống chuyển ដឹកចែក.</t>
        </is>
      </c>
      <c r="I1695" s="111" t="n"/>
      <c r="J1695" s="217" t="inlineStr">
        <is>
          <t>"createPartnerSuccessBody": "The integration token has been generated. Copy and send this token to the partner for use when connecting to the delivery system.",</t>
        </is>
      </c>
    </row>
    <row r="1696" ht="15.75" customHeight="1" s="305">
      <c r="A1696" s="215" t="inlineStr">
        <is>
          <t>integrationTokenLabel</t>
        </is>
      </c>
      <c r="B1696" s="219" t="inlineStr">
        <is>
          <t>Token tích hợp</t>
        </is>
      </c>
      <c r="C1696" s="217" t="inlineStr">
        <is>
          <t>Integration Token</t>
        </is>
      </c>
      <c r="D1696" s="3" t="n"/>
      <c r="E1696" s="3" t="n"/>
      <c r="F1696" s="217" t="n"/>
      <c r="G1696" t="inlineStr">
        <is>
          <t>Token សម្រាប់តភ្ជាប់</t>
        </is>
      </c>
      <c r="H1696" t="inlineStr">
        <is>
          <t>Token សម្រាប់តភ្ជាប់</t>
        </is>
      </c>
      <c r="I1696" s="111" t="n"/>
      <c r="J1696" s="217" t="inlineStr">
        <is>
          <t>"integrationTokenLabel": "Integration Token",</t>
        </is>
      </c>
    </row>
    <row r="1697" ht="15.75" customHeight="1" s="305">
      <c r="A1697" s="215" t="inlineStr">
        <is>
          <t>copyToken</t>
        </is>
      </c>
      <c r="B1697" s="219" t="inlineStr">
        <is>
          <t>Sao chép token</t>
        </is>
      </c>
      <c r="C1697" s="217" t="inlineStr">
        <is>
          <t>Copy Token</t>
        </is>
      </c>
      <c r="D1697" s="3" t="n"/>
      <c r="E1697" s="3" t="n"/>
      <c r="F1697" s="217" t="n"/>
      <c r="G1697" t="inlineStr">
        <is>
          <t>ចម្លង Token</t>
        </is>
      </c>
      <c r="H1697" t="inlineStr">
        <is>
          <t>ចម្លង Token</t>
        </is>
      </c>
      <c r="I1697" s="111" t="n"/>
      <c r="J1697" s="217" t="inlineStr">
        <is>
          <t>"copyToken": "Copy Token",</t>
        </is>
      </c>
    </row>
    <row r="1698" ht="15.75" customHeight="1" s="305">
      <c r="A1698" s="215" t="inlineStr">
        <is>
          <t>copyContentSuccess</t>
        </is>
      </c>
      <c r="B1698" s="219" t="inlineStr">
        <is>
          <t>Đã sao chép nội dung</t>
        </is>
      </c>
      <c r="C1698" s="217" t="inlineStr">
        <is>
          <t>Content copied successfully</t>
        </is>
      </c>
      <c r="D1698" s="3" t="n"/>
      <c r="E1698" s="3" t="n"/>
      <c r="F1698" s="217" t="n"/>
      <c r="G1698" t="inlineStr">
        <is>
          <t>Đã sao chép ខ្លឹមសារ</t>
        </is>
      </c>
      <c r="H1698" t="inlineStr">
        <is>
          <t>Đã sao chép ខ្លឹមសារ</t>
        </is>
      </c>
      <c r="I1698" s="111" t="n"/>
      <c r="J1698" s="217" t="inlineStr">
        <is>
          <t>"copyContentSuccess": "Content copied successfully",</t>
        </is>
      </c>
    </row>
    <row r="1699" ht="15.75" customHeight="1" s="305">
      <c r="A1699" s="215" t="inlineStr">
        <is>
          <t>webhookUrlFormatEdit</t>
        </is>
      </c>
      <c r="B1699" s="219" t="inlineStr">
        <is>
          <t>Yêu cầu nhập đúng định dạng URL</t>
        </is>
      </c>
      <c r="C1699" s="217" t="inlineStr">
        <is>
          <t>Please enter a valid URL format</t>
        </is>
      </c>
      <c r="D1699" s="3" t="n"/>
      <c r="E1699" s="3" t="n"/>
      <c r="F1699" s="217" t="n"/>
      <c r="G1699" t="inlineStr">
        <is>
          <t>សំណើ nhập đúng định dạng URL</t>
        </is>
      </c>
      <c r="H1699" t="inlineStr">
        <is>
          <t>សំណើ nhập đúng định dạng URL</t>
        </is>
      </c>
      <c r="I1699" s="111" t="n"/>
      <c r="J1699" s="217" t="inlineStr">
        <is>
          <t>"webhookUrlFormatEdit": "Please enter a valid URL format",</t>
        </is>
      </c>
    </row>
    <row r="1700" ht="15.75" customHeight="1" s="305">
      <c r="A1700" s="215" t="inlineStr">
        <is>
          <t>retryInvalidEdit</t>
        </is>
      </c>
      <c r="B1700" s="219" t="inlineStr">
        <is>
          <t>Số lần retry phải lớn hơn 0</t>
        </is>
      </c>
      <c r="C1700" s="217" t="inlineStr">
        <is>
          <t>Retry count must be greater than 0</t>
        </is>
      </c>
      <c r="D1700" s="3" t="n"/>
      <c r="E1700" s="3" t="n"/>
      <c r="F1700" s="217" t="n"/>
      <c r="G1700" t="inlineStr">
        <is>
          <t>ចំនួនដងសាកល្បងឡើងវិញត្រូវតែធំជាង 0</t>
        </is>
      </c>
      <c r="H1700" t="inlineStr">
        <is>
          <t>ចំនួនដងសាកល្បងឡើងវិញត្រូវតែធំជាង 0</t>
        </is>
      </c>
      <c r="I1700" s="111" t="n"/>
      <c r="J1700" s="217" t="inlineStr">
        <is>
          <t>"retryInvalidEdit": "Retry count must be greater than 0",</t>
        </is>
      </c>
    </row>
    <row r="1701" ht="15.75" customHeight="1" s="305">
      <c r="A1701" s="215" t="inlineStr">
        <is>
          <t>timeoutInvalidEdit</t>
        </is>
      </c>
      <c r="B1701" s="219" t="inlineStr">
        <is>
          <t>Thời gian time out phải lớn hơn 1s</t>
        </is>
      </c>
      <c r="C1701" s="217" t="inlineStr">
        <is>
          <t>Timeout must be greater than 1 second</t>
        </is>
      </c>
      <c r="D1701" s="3" t="n"/>
      <c r="E1701" s="3" t="n"/>
      <c r="F1701" s="217" t="n"/>
      <c r="G1701" t="inlineStr">
        <is>
          <t>ពេលវេលាtime out phải lớn hơn 1s</t>
        </is>
      </c>
      <c r="H1701" t="inlineStr">
        <is>
          <t>ពេលវេលាtime out phải lớn hơn 1s</t>
        </is>
      </c>
      <c r="I1701" s="111" t="n"/>
      <c r="J1701" s="217" t="inlineStr">
        <is>
          <t>"timeoutInvalidEdit": "Timeout must be greater than 1 second",</t>
        </is>
      </c>
    </row>
    <row r="1702" ht="15.75" customHeight="1" s="305">
      <c r="A1702" s="215" t="inlineStr">
        <is>
          <t>errorCreatePartner</t>
        </is>
      </c>
      <c r="B1702" s="219" t="inlineStr">
        <is>
          <t>Tạo mới đối tác không thành công. Vui lòng thử lại.</t>
        </is>
      </c>
      <c r="C1702" s="217" t="inlineStr">
        <is>
          <t>Failed to create partner. Please try again.</t>
        </is>
      </c>
      <c r="D1702" s="3" t="n"/>
      <c r="E1702" s="3" t="n"/>
      <c r="F1702" s="217" t="n"/>
      <c r="G1702" t="inlineStr">
        <is>
          <t>បង្កើតmới đối tác không ជោគជ័យ. Vui lòng thử lại.</t>
        </is>
      </c>
      <c r="H1702" t="inlineStr">
        <is>
          <t>បង្កើតmới đối tác không ជោគជ័យ. Vui lòng thử lại.</t>
        </is>
      </c>
      <c r="I1702" s="111" t="n"/>
      <c r="J1702" s="217" t="inlineStr">
        <is>
          <t>"errorCreatePartner": "Failed to create partner. Please try again.",</t>
        </is>
      </c>
    </row>
    <row r="1703" ht="15.75" customHeight="1" s="305">
      <c r="A1703" s="215" t="inlineStr">
        <is>
          <t>columnActivity</t>
        </is>
      </c>
      <c r="B1703" s="219" t="inlineStr">
        <is>
          <t xml:space="preserve">Hoạt động
</t>
        </is>
      </c>
      <c r="C1703" s="217" t="inlineStr">
        <is>
          <t>Active</t>
        </is>
      </c>
      <c r="D1703" s="3" t="n"/>
      <c r="E1703" s="3" t="n"/>
      <c r="F1703" s="217" t="n"/>
      <c r="G1703" t="inlineStr">
        <is>
          <t>ដំណើរការ</t>
        </is>
      </c>
      <c r="H1703" t="inlineStr">
        <is>
          <t>ដំណើរការ</t>
        </is>
      </c>
      <c r="I1703" s="111" t="n"/>
      <c r="J1703" s="217" t="inlineStr">
        <is>
          <t>"columnActivity": "Active",</t>
        </is>
      </c>
    </row>
    <row r="1704" ht="15.75" customHeight="1" s="305">
      <c r="A1704" s="215" t="inlineStr">
        <is>
          <t>columnCreatedAt</t>
        </is>
      </c>
      <c r="B1704" s="219" t="inlineStr">
        <is>
          <t xml:space="preserve">Thời gian tạo
</t>
        </is>
      </c>
      <c r="C1704" s="217" t="inlineStr">
        <is>
          <t>Created Time</t>
        </is>
      </c>
      <c r="D1704" s="3" t="n"/>
      <c r="E1704" s="3" t="n"/>
      <c r="F1704" s="217" t="n"/>
      <c r="G1704" t="inlineStr">
        <is>
          <t>ពេលវេលាtạo</t>
        </is>
      </c>
      <c r="H1704" t="inlineStr">
        <is>
          <t>ពេលវេលាtạo</t>
        </is>
      </c>
      <c r="I1704" s="111" t="n"/>
      <c r="J1704" s="217" t="inlineStr">
        <is>
          <t>"columnCreatedAt": "Created Time",</t>
        </is>
      </c>
    </row>
    <row r="1705" ht="15.75" customHeight="1" s="305">
      <c r="A1705" s="215" t="inlineStr">
        <is>
          <t>columnCreatedBy</t>
        </is>
      </c>
      <c r="B1705" s="219" t="inlineStr">
        <is>
          <t xml:space="preserve">User tạo
</t>
        </is>
      </c>
      <c r="C1705" s="217" t="inlineStr">
        <is>
          <t>Created By</t>
        </is>
      </c>
      <c r="D1705" s="3" t="n"/>
      <c r="E1705" s="3" t="n"/>
      <c r="F1705" s="217" t="n"/>
      <c r="G1705" t="inlineStr">
        <is>
          <t>អ្នកបង្កើត</t>
        </is>
      </c>
      <c r="H1705" t="inlineStr">
        <is>
          <t>អ្នកបង្កើត</t>
        </is>
      </c>
      <c r="I1705" s="111" t="n"/>
      <c r="J1705" s="217" t="inlineStr">
        <is>
          <t>"columnCreatedBy": "Created By",</t>
        </is>
      </c>
    </row>
    <row r="1706" ht="15.75" customHeight="1" s="305">
      <c r="A1706" s="215" t="inlineStr">
        <is>
          <t>columnUpdatedAt</t>
        </is>
      </c>
      <c r="B1706" s="219" t="inlineStr">
        <is>
          <t>Thời gian cập nhật</t>
        </is>
      </c>
      <c r="C1706" s="217" t="inlineStr">
        <is>
          <t>Updated Time</t>
        </is>
      </c>
      <c r="D1706" s="3" t="n"/>
      <c r="E1706" s="3" t="n"/>
      <c r="F1706" s="217" t="n"/>
      <c r="G1706" t="inlineStr">
        <is>
          <t>ពេលវេលាធ្វើបច្ចុប្បន្នភាព</t>
        </is>
      </c>
      <c r="H1706" t="inlineStr">
        <is>
          <t>ពេលវេលាធ្វើបច្ចុប្បន្នភាព</t>
        </is>
      </c>
      <c r="I1706" s="111" t="n"/>
      <c r="J1706" s="217" t="inlineStr">
        <is>
          <t>"columnUpdatedAt": "Updated Time",</t>
        </is>
      </c>
    </row>
    <row r="1707" ht="15.75" customHeight="1" s="305">
      <c r="A1707" s="215" t="inlineStr">
        <is>
          <t>columnUpdatedBy</t>
        </is>
      </c>
      <c r="B1707" s="219" t="inlineStr">
        <is>
          <t xml:space="preserve">User cập nhật
</t>
        </is>
      </c>
      <c r="C1707" s="217" t="inlineStr">
        <is>
          <t>Updated By</t>
        </is>
      </c>
      <c r="D1707" s="3" t="n"/>
      <c r="E1707" s="3" t="n"/>
      <c r="F1707" s="217" t="n"/>
      <c r="G1707" t="inlineStr">
        <is>
          <t>User ធ្វើបច្ចុប្បន្នភាព</t>
        </is>
      </c>
      <c r="H1707" t="inlineStr">
        <is>
          <t>User ធ្វើបច្ចុប្បន្នភាព</t>
        </is>
      </c>
      <c r="I1707" s="111" t="n"/>
      <c r="J1707" s="217" t="inlineStr">
        <is>
          <t>"columnUpdatedBy": "Updated By",</t>
        </is>
      </c>
    </row>
    <row r="1708" ht="15.75" customHeight="1" s="305">
      <c r="A1708" s="215" t="inlineStr">
        <is>
          <t>successUpdatePartnerDetail</t>
        </is>
      </c>
      <c r="B1708" s="219" t="inlineStr">
        <is>
          <t>Cập nhật thông tin đối tác thành công !</t>
        </is>
      </c>
      <c r="C1708" s="217" t="inlineStr">
        <is>
          <t>Partner information updated successfully!</t>
        </is>
      </c>
      <c r="D1708" s="3" t="n"/>
      <c r="E1708" s="3" t="n"/>
      <c r="F1708" s="217" t="n"/>
      <c r="G1708" t="inlineStr">
        <is>
          <t>ធ្វើបច្ចុប្បន្នភាពព័ត៌មាន đối tác ជោគជ័យ !</t>
        </is>
      </c>
      <c r="H1708" t="inlineStr">
        <is>
          <t>ធ្វើបច្ចុប្បន្នភាពព័ត៌មាន đối tác ជោគជ័យ !</t>
        </is>
      </c>
      <c r="I1708" s="111" t="n"/>
      <c r="J1708" s="217" t="inlineStr">
        <is>
          <t>"successUpdatePartnerDetail": "Partner information updated successfully!",</t>
        </is>
      </c>
    </row>
    <row r="1709" ht="15.75" customHeight="1" s="305">
      <c r="A1709" s="276" t="inlineStr">
        <is>
          <t>titlePaymentTrackingSearch</t>
        </is>
      </c>
      <c r="B1709" s="276" t="inlineStr">
        <is>
          <t>"Tra cứu vận đơn thanh toán",</t>
        </is>
      </c>
      <c r="C1709" s="123" t="inlineStr">
        <is>
          <t>Payment shipment tracking</t>
        </is>
      </c>
      <c r="D1709" s="3" t="n"/>
      <c r="E1709" s="3" t="n"/>
      <c r="F1709" s="217" t="n"/>
      <c r="G1709" t="inlineStr">
        <is>
          <t>"Tra cứu vận បញ្ញើ ទូទាត់ប្រាក់",</t>
        </is>
      </c>
      <c r="H1709" t="inlineStr">
        <is>
          <t>"Tra cứu vận បញ្ញើ ទូទាត់ប្រាក់",</t>
        </is>
      </c>
      <c r="I1709" s="111" t="n"/>
      <c r="J1709" s="217" t="inlineStr">
        <is>
          <t>"titlePaymentTrackingSearch": "Payment shipment tracking",</t>
        </is>
      </c>
    </row>
    <row r="1710" ht="15.75" customHeight="1" s="305">
      <c r="A1710" s="276" t="inlineStr">
        <is>
          <t>titleEnterTrackingCode</t>
        </is>
      </c>
      <c r="B1710" s="276" t="inlineStr">
        <is>
          <t>"Nhập mã vận đơn",</t>
        </is>
      </c>
      <c r="C1710" s="123" t="inlineStr">
        <is>
          <t>Enter order ID</t>
        </is>
      </c>
      <c r="D1710" s="3" t="n"/>
      <c r="E1710" s="3" t="n"/>
      <c r="F1710" s="217" t="n"/>
      <c r="G1710" t="inlineStr">
        <is>
          <t>"Nhập លេខកូដបញ្ញើ",</t>
        </is>
      </c>
      <c r="H1710" t="inlineStr">
        <is>
          <t>"Nhập លេខកូដបញ្ញើ",</t>
        </is>
      </c>
      <c r="I1710" s="111" t="n"/>
      <c r="J1710" s="217" t="inlineStr">
        <is>
          <t>"titleEnterTrackingCode": "Enter order ID",</t>
        </is>
      </c>
    </row>
    <row r="1711" ht="15.75" customHeight="1" s="305">
      <c r="A1711" s="276" t="inlineStr">
        <is>
          <t>titleNoSearchInfo</t>
        </is>
      </c>
      <c r="B1711" s="276" t="inlineStr">
        <is>
          <t>"Chưa có thông tin tìm kiếm",</t>
        </is>
      </c>
      <c r="C1711" s="123" t="inlineStr">
        <is>
          <t>No search information</t>
        </is>
      </c>
      <c r="D1711" s="3" t="n"/>
      <c r="E1711" s="3" t="n"/>
      <c r="F1711" s="217" t="n"/>
      <c r="G1711" t="inlineStr">
        <is>
          <t>"Chưa có ព័ត៌មាន ស្វែងរក",</t>
        </is>
      </c>
      <c r="H1711" t="inlineStr">
        <is>
          <t>"Chưa có ព័ត៌មាន ស្វែងរក",</t>
        </is>
      </c>
      <c r="I1711" s="111" t="n"/>
      <c r="J1711" s="217" t="inlineStr">
        <is>
          <t>"titleNoSearchInfo": "No search information",</t>
        </is>
      </c>
    </row>
    <row r="1712" ht="15.75" customHeight="1" s="305">
      <c r="A1712" s="276" t="inlineStr">
        <is>
          <t>shippingDebt</t>
        </is>
      </c>
      <c r="B1712" s="276" t="inlineStr">
        <is>
          <t>"Công nợ cước",</t>
        </is>
      </c>
      <c r="C1712" s="123" t="inlineStr">
        <is>
          <t>Shipping fee debt</t>
        </is>
      </c>
      <c r="D1712" s="3" t="n"/>
      <c r="E1712" s="3" t="n"/>
      <c r="F1712" s="217" t="n"/>
      <c r="G1712" t="inlineStr">
        <is>
          <t>"Công nợ cước",</t>
        </is>
      </c>
      <c r="H1712" t="inlineStr">
        <is>
          <t>"Công nợ cước",</t>
        </is>
      </c>
      <c r="I1712" s="111" t="n"/>
      <c r="J1712" s="217" t="inlineStr">
        <is>
          <t>"shippingDebt": "Shipping fee debt",</t>
        </is>
      </c>
    </row>
    <row r="1713" ht="15.75" customHeight="1" s="305">
      <c r="A1713" s="276" t="inlineStr">
        <is>
          <t>codDebt</t>
        </is>
      </c>
      <c r="B1713" s="276" t="inlineStr">
        <is>
          <t>"COD",</t>
        </is>
      </c>
      <c r="C1713" s="123" t="inlineStr">
        <is>
          <t xml:space="preserve">COD </t>
        </is>
      </c>
      <c r="D1713" s="3" t="n"/>
      <c r="E1713" s="3" t="n"/>
      <c r="F1713" s="217" t="n"/>
      <c r="G1713" t="inlineStr">
        <is>
          <t>"COD",</t>
        </is>
      </c>
      <c r="H1713" t="inlineStr">
        <is>
          <t>"COD",</t>
        </is>
      </c>
      <c r="I1713" s="111" t="n"/>
      <c r="J1713" s="217" t="inlineStr">
        <is>
          <t>"codDebt": "COD ",</t>
        </is>
      </c>
    </row>
    <row r="1714" ht="15.75" customHeight="1" s="305">
      <c r="A1714" s="276" t="inlineStr">
        <is>
          <t>sendDate</t>
        </is>
      </c>
      <c r="B1714" s="276" t="inlineStr">
        <is>
          <t>"Ngày gửi",</t>
        </is>
      </c>
      <c r="C1714" s="123" t="inlineStr">
        <is>
          <t>Sent date</t>
        </is>
      </c>
      <c r="D1714" s="3" t="n"/>
      <c r="E1714" s="3" t="n"/>
      <c r="F1714" s="217" t="n"/>
      <c r="G1714" t="inlineStr">
        <is>
          <t>"កាលបរិច្ឆេទ ផ្ញើ",</t>
        </is>
      </c>
      <c r="H1714" t="inlineStr">
        <is>
          <t>"កាលបរិច្ឆេទ ផ្ញើ",</t>
        </is>
      </c>
      <c r="I1714" s="111" t="n"/>
      <c r="J1714" s="217" t="inlineStr">
        <is>
          <t>"sendDate": "Sent date",</t>
        </is>
      </c>
    </row>
    <row r="1715" ht="15.75" customHeight="1" s="305">
      <c r="A1715" s="276" t="inlineStr">
        <is>
          <t>cusID</t>
        </is>
      </c>
      <c r="B1715" s="276" t="inlineStr">
        <is>
          <t>"Cus ID",</t>
        </is>
      </c>
      <c r="C1715" s="123" t="inlineStr">
        <is>
          <t>Cus ID</t>
        </is>
      </c>
      <c r="D1715" s="3" t="n"/>
      <c r="E1715" s="3" t="n"/>
      <c r="F1715" s="217" t="n"/>
      <c r="G1715" t="inlineStr">
        <is>
          <t>"Cus ID",</t>
        </is>
      </c>
      <c r="H1715" t="inlineStr">
        <is>
          <t>"Cus ID",</t>
        </is>
      </c>
      <c r="I1715" s="111" t="n"/>
      <c r="J1715" s="217" t="inlineStr">
        <is>
          <t>"cusID": "Cus ID",</t>
        </is>
      </c>
    </row>
    <row r="1716" ht="15.75" customHeight="1" s="305">
      <c r="A1716" s="276" t="inlineStr">
        <is>
          <t>customerName</t>
        </is>
      </c>
      <c r="B1716" s="276" t="inlineStr">
        <is>
          <t>"Tên khách hàng",</t>
        </is>
      </c>
      <c r="C1716" s="123" t="inlineStr">
        <is>
          <t>Customer name</t>
        </is>
      </c>
      <c r="D1716" s="3" t="n"/>
      <c r="E1716" s="3" t="n"/>
      <c r="F1716" s="217" t="n"/>
      <c r="G1716" t="inlineStr">
        <is>
          <t>"ឈ្មោះអតិថិជន",</t>
        </is>
      </c>
      <c r="H1716" t="inlineStr">
        <is>
          <t>"ឈ្មោះអតិថិជន",</t>
        </is>
      </c>
      <c r="I1716" s="111" t="n"/>
      <c r="J1716" s="217" t="inlineStr">
        <is>
          <t>"customerName": "Customer name",</t>
        </is>
      </c>
    </row>
    <row r="1717" ht="15.75" customHeight="1" s="305">
      <c r="A1717" s="276" t="inlineStr">
        <is>
          <t>titlePaymentType</t>
        </is>
      </c>
      <c r="B1717" s="276" t="inlineStr">
        <is>
          <t>"Loại thanh toán",</t>
        </is>
      </c>
      <c r="C1717" s="123" t="inlineStr">
        <is>
          <t>Payment type</t>
        </is>
      </c>
      <c r="D1717" s="3" t="n"/>
      <c r="E1717" s="3" t="n"/>
      <c r="F1717" s="217" t="n"/>
      <c r="G1717" t="inlineStr">
        <is>
          <t>"ប្រភេទ ទូទាត់ប្រាក់",</t>
        </is>
      </c>
      <c r="H1717" t="inlineStr">
        <is>
          <t>"ប្រភេទ ទូទាត់ប្រាក់",</t>
        </is>
      </c>
      <c r="I1717" s="111" t="n"/>
      <c r="J1717" s="217" t="inlineStr">
        <is>
          <t>"titlePaymentType": "Payment type",</t>
        </is>
      </c>
    </row>
    <row r="1718" ht="15.75" customHeight="1" s="305">
      <c r="A1718" s="276" t="inlineStr">
        <is>
          <t>titleService</t>
        </is>
      </c>
      <c r="B1718" s="276" t="inlineStr">
        <is>
          <t>"Dịch vụ",</t>
        </is>
      </c>
      <c r="C1718" s="123" t="inlineStr">
        <is>
          <t>Service</t>
        </is>
      </c>
      <c r="D1718" s="3" t="n"/>
      <c r="E1718" s="3" t="n"/>
      <c r="F1718" s="217" t="n"/>
      <c r="G1718" t="inlineStr">
        <is>
          <t>"Dịch vụ",</t>
        </is>
      </c>
      <c r="H1718" t="inlineStr">
        <is>
          <t>"Dịch vụ",</t>
        </is>
      </c>
      <c r="I1718" s="111" t="n"/>
      <c r="J1718" s="217" t="inlineStr">
        <is>
          <t>"titleService": "Service",</t>
        </is>
      </c>
    </row>
    <row r="1719" ht="15.75" customHeight="1" s="305">
      <c r="A1719" s="276" t="inlineStr">
        <is>
          <t>trongLuong</t>
        </is>
      </c>
      <c r="B1719" s="276" t="inlineStr">
        <is>
          <t>"Trọng lượng",</t>
        </is>
      </c>
      <c r="C1719" s="123" t="inlineStr">
        <is>
          <t>Weight</t>
        </is>
      </c>
      <c r="D1719" s="3" t="n"/>
      <c r="E1719" s="3" t="n"/>
      <c r="F1719" s="217" t="n"/>
      <c r="G1719" t="inlineStr">
        <is>
          <t>"ទម្ងន់",</t>
        </is>
      </c>
      <c r="H1719" t="inlineStr">
        <is>
          <t>"ទម្ងន់",</t>
        </is>
      </c>
      <c r="I1719" s="111" t="n"/>
      <c r="J1719" s="217" t="inlineStr">
        <is>
          <t>"trongLuong": "Weight",</t>
        </is>
      </c>
    </row>
    <row r="1720" ht="15.75" customHeight="1" s="305">
      <c r="A1720" s="276" t="inlineStr">
        <is>
          <t>tienCuoc</t>
        </is>
      </c>
      <c r="B1720" s="276" t="inlineStr">
        <is>
          <t>"Tiền cước",</t>
        </is>
      </c>
      <c r="C1720" s="123" t="inlineStr">
        <is>
          <t>Fee</t>
        </is>
      </c>
      <c r="D1720" s="3" t="n"/>
      <c r="E1720" s="3" t="n"/>
      <c r="F1720" s="217" t="n"/>
      <c r="G1720" t="inlineStr">
        <is>
          <t>"ថ្លៃដឹកជញ្ជូន",</t>
        </is>
      </c>
      <c r="H1720" t="inlineStr">
        <is>
          <t>"ថ្លៃដឹកជញ្ជូន",</t>
        </is>
      </c>
      <c r="I1720" s="111" t="n"/>
      <c r="J1720" s="217" t="inlineStr">
        <is>
          <t>"tienCuoc": "Fee",</t>
        </is>
      </c>
    </row>
    <row r="1721" ht="15.75" customHeight="1" s="305">
      <c r="A1721" s="276" t="inlineStr">
        <is>
          <t>tienCOD</t>
        </is>
      </c>
      <c r="B1721" s="276" t="inlineStr">
        <is>
          <t>"Tiền COD",</t>
        </is>
      </c>
      <c r="C1721" s="123" t="inlineStr">
        <is>
          <t xml:space="preserve">COD </t>
        </is>
      </c>
      <c r="D1721" s="3" t="n"/>
      <c r="E1721" s="3" t="n"/>
      <c r="F1721" s="217" t="n"/>
      <c r="G1721" t="inlineStr">
        <is>
          <t>"ប្រាក់ COD",</t>
        </is>
      </c>
      <c r="H1721" t="inlineStr">
        <is>
          <t>"ប្រាក់ COD",</t>
        </is>
      </c>
      <c r="I1721" s="111" t="n"/>
      <c r="J1721" s="217" t="inlineStr">
        <is>
          <t>"tienCOD": "COD ",</t>
        </is>
      </c>
    </row>
    <row r="1722" ht="15.75" customHeight="1" s="305">
      <c r="A1722" s="276" t="inlineStr">
        <is>
          <t>tienGiamGia</t>
        </is>
      </c>
      <c r="B1722" s="276" t="inlineStr">
        <is>
          <t>"Tiền giảm giá",</t>
        </is>
      </c>
      <c r="C1722" s="123" t="inlineStr">
        <is>
          <t>Discount amount</t>
        </is>
      </c>
      <c r="D1722" s="3" t="n"/>
      <c r="E1722" s="3" t="n"/>
      <c r="F1722" s="217" t="n"/>
      <c r="G1722" t="inlineStr">
        <is>
          <t>"Tiền giảm giá",</t>
        </is>
      </c>
      <c r="H1722" t="inlineStr">
        <is>
          <t>"Tiền giảm giá",</t>
        </is>
      </c>
      <c r="I1722" s="111" t="n"/>
      <c r="J1722" s="217" t="inlineStr">
        <is>
          <t>"tienGiamGia": "Discount amount",</t>
        </is>
      </c>
    </row>
    <row r="1723" ht="15.75" customHeight="1" s="305">
      <c r="A1723" s="276" t="inlineStr">
        <is>
          <t>daThanhToan</t>
        </is>
      </c>
      <c r="B1723" s="276" t="inlineStr">
        <is>
          <t>"Đã thanh toán",</t>
        </is>
      </c>
      <c r="C1723" s="123" t="inlineStr">
        <is>
          <t>Paid</t>
        </is>
      </c>
      <c r="D1723" s="3" t="n"/>
      <c r="E1723" s="3" t="n"/>
      <c r="F1723" s="217" t="n"/>
      <c r="G1723" t="inlineStr">
        <is>
          <t>"Đã ទូទាត់ប្រាក់",</t>
        </is>
      </c>
      <c r="H1723" t="inlineStr">
        <is>
          <t>"Đã ទូទាត់ប្រាក់",</t>
        </is>
      </c>
      <c r="I1723" s="111" t="n"/>
      <c r="J1723" s="217" t="inlineStr">
        <is>
          <t>"daThanhToan": "Paid",</t>
        </is>
      </c>
    </row>
    <row r="1724" ht="15.75" customHeight="1" s="305">
      <c r="A1724" s="276" t="inlineStr">
        <is>
          <t>titleTrangThai</t>
        </is>
      </c>
      <c r="B1724" s="276" t="inlineStr">
        <is>
          <t>"Trạng thái",</t>
        </is>
      </c>
      <c r="C1724" s="123" t="inlineStr">
        <is>
          <t>Status</t>
        </is>
      </c>
      <c r="D1724" s="3" t="n"/>
      <c r="E1724" s="3" t="n"/>
      <c r="F1724" s="217" t="n"/>
      <c r="G1724" t="inlineStr">
        <is>
          <t>"ស្ថានភាព",</t>
        </is>
      </c>
      <c r="H1724" t="inlineStr">
        <is>
          <t>"ស្ថានភាព",</t>
        </is>
      </c>
      <c r="I1724" s="111" t="n"/>
      <c r="J1724" s="217" t="inlineStr">
        <is>
          <t>"titleTrangThai": "Status",</t>
        </is>
      </c>
    </row>
    <row r="1725" ht="15.75" customHeight="1" s="305">
      <c r="A1725" s="276" t="inlineStr">
        <is>
          <t>titleNgayPTC</t>
        </is>
      </c>
      <c r="B1725" s="276" t="inlineStr">
        <is>
          <t>"Ngày phát thành công",</t>
        </is>
      </c>
      <c r="C1725" s="123" t="inlineStr">
        <is>
          <t>Successful delivery date</t>
        </is>
      </c>
      <c r="D1725" s="3" t="n"/>
      <c r="E1725" s="3" t="n"/>
      <c r="F1725" s="217" t="n"/>
      <c r="G1725" t="inlineStr">
        <is>
          <t>"កាលបរិច្ឆេទ ដឹកចែក ជោគជ័យ",</t>
        </is>
      </c>
      <c r="H1725" t="inlineStr">
        <is>
          <t>"កាលបរិច្ឆេទ ដឹកចែក ជោគជ័យ",</t>
        </is>
      </c>
      <c r="I1725" s="111" t="n"/>
      <c r="J1725" s="217" t="inlineStr">
        <is>
          <t>"titleNgayPTC": "Successful delivery date",</t>
        </is>
      </c>
    </row>
    <row r="1726" ht="15.75" customHeight="1" s="305">
      <c r="A1726" s="276" t="inlineStr">
        <is>
          <t>titleLoaiDon</t>
        </is>
      </c>
      <c r="B1726" s="276" t="inlineStr">
        <is>
          <t>"Loại đơn",</t>
        </is>
      </c>
      <c r="C1726" s="123" t="inlineStr">
        <is>
          <t>Order type</t>
        </is>
      </c>
      <c r="D1726" s="3" t="n"/>
      <c r="E1726" s="3" t="n"/>
      <c r="F1726" s="217" t="n"/>
      <c r="G1726" t="inlineStr">
        <is>
          <t>"ប្រភេទ បញ្ញើ",</t>
        </is>
      </c>
      <c r="H1726" t="inlineStr">
        <is>
          <t>"ប្រភេទ បញ្ញើ",</t>
        </is>
      </c>
      <c r="I1726" s="111" t="n"/>
      <c r="J1726" s="217" t="inlineStr">
        <is>
          <t>"titleLoaiDon": "Order type",</t>
        </is>
      </c>
    </row>
    <row r="1727" ht="15.75" customHeight="1" s="305">
      <c r="A1727" s="276" t="inlineStr">
        <is>
          <t>titleQuetMaDon</t>
        </is>
      </c>
      <c r="B1727" s="276" t="inlineStr">
        <is>
          <t>"Quét mã đơn",</t>
        </is>
      </c>
      <c r="C1727" s="123" t="inlineStr">
        <is>
          <t>Scan order code</t>
        </is>
      </c>
      <c r="D1727" s="3" t="n"/>
      <c r="E1727" s="3" t="n"/>
      <c r="F1727" s="217" t="n"/>
      <c r="G1727" t="inlineStr">
        <is>
          <t>"Quét លេខកូដ បញ្ញើ",</t>
        </is>
      </c>
      <c r="H1727" t="inlineStr">
        <is>
          <t>"Quét លេខកូដ បញ្ញើ",</t>
        </is>
      </c>
      <c r="I1727" s="111" t="n"/>
      <c r="J1727" s="217" t="inlineStr">
        <is>
          <t>"titleQuetMaDon": "Scan order code",</t>
        </is>
      </c>
    </row>
    <row r="1728" ht="15.75" customHeight="1" s="305">
      <c r="A1728" s="276" t="inlineStr">
        <is>
          <t>titleNoiDungHuongDanQuet</t>
        </is>
      </c>
      <c r="B1728" s="276" t="inlineStr">
        <is>
          <t>"Vui lòng đưa mã đơn vào camera để quét",</t>
        </is>
      </c>
      <c r="C1728" s="123" t="inlineStr">
        <is>
          <t>Please place the order code in front of the camera to scan</t>
        </is>
      </c>
      <c r="D1728" s="3" t="n"/>
      <c r="E1728" s="3" t="n"/>
      <c r="F1728" s="217" t="n"/>
      <c r="G1728" t="inlineStr">
        <is>
          <t>"Vui lòng đưa លេខកូដ បញ្ញើ vào camera để quét",</t>
        </is>
      </c>
      <c r="H1728" t="inlineStr">
        <is>
          <t>"Vui lòng đưa លេខកូដ បញ្ញើ vào camera để quét",</t>
        </is>
      </c>
      <c r="I1728" s="111" t="n"/>
      <c r="J1728" s="217" t="inlineStr">
        <is>
          <t>"titleNoiDungHuongDanQuet": "Please place the order code in front of the camera to scan",</t>
        </is>
      </c>
    </row>
    <row r="1729" ht="15.75" customHeight="1" s="305">
      <c r="A1729" s="276" t="inlineStr">
        <is>
          <t>titleBuuCucCongNo</t>
        </is>
      </c>
      <c r="B1729" s="276" t="inlineStr">
        <is>
          <t>"Bưu cục công nợ",</t>
        </is>
      </c>
      <c r="C1729" s="123" t="inlineStr">
        <is>
          <t>Debt post office</t>
        </is>
      </c>
      <c r="D1729" s="3" t="n"/>
      <c r="E1729" s="3" t="n"/>
      <c r="F1729" s="217" t="n"/>
      <c r="G1729" t="inlineStr">
        <is>
          <t>"ការិយាល័យប្រៃសណីយ៍ công nợ",</t>
        </is>
      </c>
      <c r="H1729" t="inlineStr">
        <is>
          <t>"ការិយាល័យប្រៃសណីយ៍ công nợ",</t>
        </is>
      </c>
      <c r="I1729" s="111" t="n"/>
      <c r="J1729" s="217" t="inlineStr">
        <is>
          <t>"titleBuuCucCongNo": "Debt post office",</t>
        </is>
      </c>
    </row>
    <row r="1730" ht="15.75" customHeight="1" s="305">
      <c r="A1730" s="276" t="inlineStr">
        <is>
          <t>titleKhachHang</t>
        </is>
      </c>
      <c r="B1730" s="276" t="inlineStr">
        <is>
          <t>"Khách hàng",</t>
        </is>
      </c>
      <c r="C1730" s="123" t="inlineStr">
        <is>
          <t>Customer</t>
        </is>
      </c>
      <c r="D1730" s="3" t="n"/>
      <c r="E1730" s="3" t="n"/>
      <c r="F1730" s="217" t="n"/>
      <c r="G1730" t="inlineStr">
        <is>
          <t>"អតិថិជន",</t>
        </is>
      </c>
      <c r="H1730" t="inlineStr">
        <is>
          <t>"អតិថិជន",</t>
        </is>
      </c>
      <c r="I1730" s="111" t="n"/>
      <c r="J1730" s="217" t="inlineStr">
        <is>
          <t>"titleKhachHang": "Customer",</t>
        </is>
      </c>
    </row>
    <row r="1731" ht="15.75" customHeight="1" s="305">
      <c r="A1731" s="276" t="inlineStr">
        <is>
          <t>titleNgayTao</t>
        </is>
      </c>
      <c r="B1731" s="276" t="inlineStr">
        <is>
          <t>"Ngày tạo",</t>
        </is>
      </c>
      <c r="C1731" s="123" t="inlineStr">
        <is>
          <t>Created date</t>
        </is>
      </c>
      <c r="D1731" s="3" t="n"/>
      <c r="E1731" s="3" t="n"/>
      <c r="F1731" s="217" t="n"/>
      <c r="G1731" t="inlineStr">
        <is>
          <t>"កាលបរិច្ឆេទបង្កើត",</t>
        </is>
      </c>
      <c r="H1731" t="inlineStr">
        <is>
          <t>"កាលបរិច្ឆេទបង្កើត",</t>
        </is>
      </c>
      <c r="I1731" s="111" t="n"/>
      <c r="J1731" s="217" t="inlineStr">
        <is>
          <t>"titleNgayTao": "Created date",</t>
        </is>
      </c>
    </row>
    <row r="1732" ht="15.75" customHeight="1" s="305">
      <c r="A1732" s="276" t="inlineStr">
        <is>
          <t>titleNgayCapNhat</t>
        </is>
      </c>
      <c r="B1732" s="276" t="inlineStr">
        <is>
          <t>"Ngày cập nhật",</t>
        </is>
      </c>
      <c r="C1732" s="123" t="inlineStr">
        <is>
          <t>Updated date</t>
        </is>
      </c>
      <c r="D1732" s="3" t="n"/>
      <c r="E1732" s="3" t="n"/>
      <c r="F1732" s="217" t="n"/>
      <c r="G1732" t="inlineStr">
        <is>
          <t>"កាលបរិច្ឆេទ ធ្វើបច្ចុប្បន្នភាព",</t>
        </is>
      </c>
      <c r="H1732" t="inlineStr">
        <is>
          <t>"កាលបរិច្ឆេទ ធ្វើបច្ចុប្បន្នភាព",</t>
        </is>
      </c>
      <c r="I1732" s="111" t="n"/>
      <c r="J1732" s="217" t="inlineStr">
        <is>
          <t>"titleNgayCapNhat": "Updated date",</t>
        </is>
      </c>
    </row>
    <row r="1733" ht="15.75" customHeight="1" s="305">
      <c r="A1733" s="276" t="inlineStr">
        <is>
          <t>titleGiamGia</t>
        </is>
      </c>
      <c r="B1733" s="276" t="inlineStr">
        <is>
          <t>"Giảm giá",</t>
        </is>
      </c>
      <c r="C1733" s="123" t="inlineStr">
        <is>
          <t>Discount</t>
        </is>
      </c>
      <c r="D1733" s="3" t="n"/>
      <c r="E1733" s="3" t="n"/>
      <c r="F1733" s="217" t="n"/>
      <c r="G1733" t="inlineStr">
        <is>
          <t>"Giảm giá",</t>
        </is>
      </c>
      <c r="H1733" t="inlineStr">
        <is>
          <t>"Giảm giá",</t>
        </is>
      </c>
      <c r="I1733" s="111" t="n"/>
      <c r="J1733" s="217" t="inlineStr">
        <is>
          <t>"titleGiamGia": "Discount",</t>
        </is>
      </c>
    </row>
    <row r="1734" ht="15.75" customHeight="1" s="305">
      <c r="A1734" s="276" t="inlineStr">
        <is>
          <t>titleThongTinPhieuChi</t>
        </is>
      </c>
      <c r="B1734" s="276" t="inlineStr">
        <is>
          <t>"Thông tin phiếu chi",</t>
        </is>
      </c>
      <c r="C1734" s="123" t="inlineStr">
        <is>
          <t>Disbursement voucher information</t>
        </is>
      </c>
      <c r="D1734" s="3" t="n"/>
      <c r="E1734" s="3" t="n"/>
      <c r="F1734" s="217" t="n"/>
      <c r="G1734" t="inlineStr">
        <is>
          <t>"ព័ត៌មាន phiếu chi",</t>
        </is>
      </c>
      <c r="H1734" t="inlineStr">
        <is>
          <t>"ព័ត៌មាន phiếu chi",</t>
        </is>
      </c>
      <c r="I1734" s="111" t="n"/>
      <c r="J1734" s="217" t="inlineStr">
        <is>
          <t>"titleThongTinPhieuChi": "Disbursement voucher information",</t>
        </is>
      </c>
    </row>
    <row r="1735" ht="15.75" customHeight="1" s="305">
      <c r="A1735" s="276" t="inlineStr">
        <is>
          <t>titleThongTinCongNo</t>
        </is>
      </c>
      <c r="B1735" s="276" t="inlineStr">
        <is>
          <t>"Thông tin công nợ",</t>
        </is>
      </c>
      <c r="C1735" s="123" t="inlineStr">
        <is>
          <t>Debt information</t>
        </is>
      </c>
      <c r="D1735" s="3" t="n"/>
      <c r="E1735" s="3" t="n"/>
      <c r="F1735" s="217" t="n"/>
      <c r="G1735" t="inlineStr">
        <is>
          <t>"ព័ត៌មាន công nợ",</t>
        </is>
      </c>
      <c r="H1735" t="inlineStr">
        <is>
          <t>"ព័ត៌មាន công nợ",</t>
        </is>
      </c>
      <c r="I1735" s="111" t="n"/>
      <c r="J1735" s="217" t="inlineStr">
        <is>
          <t>"titleThongTinCongNo": "Debt information",</t>
        </is>
      </c>
    </row>
    <row r="1736" ht="15.75" customHeight="1" s="305">
      <c r="A1736" s="276" t="inlineStr">
        <is>
          <t>titleChungTu</t>
        </is>
      </c>
      <c r="B1736" s="276" t="inlineStr">
        <is>
          <t>"chứng từ {{value}}",</t>
        </is>
      </c>
      <c r="C1736" s="123" t="inlineStr">
        <is>
          <t>Document {{value}}</t>
        </is>
      </c>
      <c r="D1736" s="3" t="n"/>
      <c r="E1736" s="3" t="n"/>
      <c r="F1736" s="217" t="n"/>
      <c r="G1736" t="inlineStr">
        <is>
          <t>"chứng từ {{value}}",</t>
        </is>
      </c>
      <c r="H1736" t="inlineStr">
        <is>
          <t>"chứng từ {{value}}",</t>
        </is>
      </c>
      <c r="I1736" s="111" t="n"/>
      <c r="J1736" s="217" t="inlineStr">
        <is>
          <t>"titleChungTu": "Document {{value}}",</t>
        </is>
      </c>
    </row>
    <row r="1737" ht="15.75" customHeight="1" s="305">
      <c r="A1737" s="276" t="inlineStr">
        <is>
          <t>titleBuuCuc</t>
        </is>
      </c>
      <c r="B1737" s="276" t="inlineStr">
        <is>
          <t>"Bưu cục",</t>
        </is>
      </c>
      <c r="C1737" s="123" t="inlineStr">
        <is>
          <t>Post office</t>
        </is>
      </c>
      <c r="D1737" s="3" t="n"/>
      <c r="E1737" s="3" t="n"/>
      <c r="F1737" s="217" t="n"/>
      <c r="G1737" t="inlineStr">
        <is>
          <t>ការិយាល័យប្រៃសណីយ៍</t>
        </is>
      </c>
      <c r="H1737" t="inlineStr">
        <is>
          <t>ការិយាល័យប្រៃសណីយ៍</t>
        </is>
      </c>
      <c r="I1737" s="111" t="n"/>
      <c r="J1737" s="217" t="inlineStr">
        <is>
          <t>"titleBuuCuc": "Post office",</t>
        </is>
      </c>
    </row>
    <row r="1738" ht="15.75" customHeight="1" s="305">
      <c r="A1738" s="276" t="inlineStr">
        <is>
          <t>titlePhaiTra</t>
        </is>
      </c>
      <c r="B1738" s="276" t="inlineStr">
        <is>
          <t>"Phải trả",</t>
        </is>
      </c>
      <c r="C1738" s="123" t="inlineStr">
        <is>
          <t>Payable</t>
        </is>
      </c>
      <c r="D1738" s="3" t="n"/>
      <c r="E1738" s="3" t="n"/>
      <c r="F1738" s="217" t="n"/>
      <c r="G1738" t="inlineStr">
        <is>
          <t>"Phải trả",</t>
        </is>
      </c>
      <c r="H1738" t="inlineStr">
        <is>
          <t>"Phải trả",</t>
        </is>
      </c>
      <c r="I1738" s="111" t="n"/>
      <c r="J1738" s="217" t="inlineStr">
        <is>
          <t>"titlePhaiTra": "Payable",</t>
        </is>
      </c>
    </row>
    <row r="1739" ht="15.75" customHeight="1" s="305">
      <c r="A1739" s="276" t="inlineStr">
        <is>
          <t>titleCourierReceivable</t>
        </is>
      </c>
      <c r="B1739" s="276" t="inlineStr">
        <is>
          <t>"Phải thu bưu tá",</t>
        </is>
      </c>
      <c r="C1739" s="123" t="inlineStr">
        <is>
          <t>Staff receivable</t>
        </is>
      </c>
      <c r="D1739" s="3" t="n"/>
      <c r="E1739" s="3" t="n"/>
      <c r="F1739" s="217" t="n"/>
      <c r="G1739" t="inlineStr">
        <is>
          <t>"Phải thu បុគ្គលិកដឹកជញ្ជូន",</t>
        </is>
      </c>
      <c r="H1739" t="inlineStr">
        <is>
          <t>"Phải thu បុគ្គលិកដឹកជញ្ជូន",</t>
        </is>
      </c>
      <c r="I1739" s="111" t="n"/>
      <c r="J1739" s="217" t="inlineStr">
        <is>
          <t>"titleCourierReceivable": "Staff receivable",</t>
        </is>
      </c>
    </row>
    <row r="1740" ht="15.75" customHeight="1" s="305">
      <c r="A1740" s="276" t="inlineStr">
        <is>
          <t>titleSenderPayable</t>
        </is>
      </c>
      <c r="B1740" s="276" t="inlineStr">
        <is>
          <t>"Phải trả khách hàng",</t>
        </is>
      </c>
      <c r="C1740" s="123" t="inlineStr">
        <is>
          <t>Payable to customer</t>
        </is>
      </c>
      <c r="D1740" s="3" t="n"/>
      <c r="E1740" s="3" t="n"/>
      <c r="F1740" s="217" t="n"/>
      <c r="G1740" t="inlineStr">
        <is>
          <t>"Phải trả អតិថិជន",</t>
        </is>
      </c>
      <c r="H1740" t="inlineStr">
        <is>
          <t>"Phải trả អតិថិជន",</t>
        </is>
      </c>
      <c r="I1740" s="111" t="n"/>
      <c r="J1740" s="217" t="inlineStr">
        <is>
          <t>"titleSenderPayable": "Payable to customer",</t>
        </is>
      </c>
    </row>
    <row r="1741" ht="15.75" customHeight="1" s="305">
      <c r="A1741" s="276" t="inlineStr">
        <is>
          <t>titleStatementCode</t>
        </is>
      </c>
      <c r="B1741" s="276" t="inlineStr">
        <is>
          <t>"Mã bảng kê",</t>
        </is>
      </c>
      <c r="C1741" s="123" t="inlineStr">
        <is>
          <t>Statement code</t>
        </is>
      </c>
      <c r="D1741" s="3" t="n"/>
      <c r="E1741" s="3" t="n"/>
      <c r="F1741" s="217" t="n"/>
      <c r="G1741" t="inlineStr">
        <is>
          <t>"លេខកូដ bảng kê",</t>
        </is>
      </c>
      <c r="H1741" t="inlineStr">
        <is>
          <t>"លេខកូដ bảng kê",</t>
        </is>
      </c>
      <c r="I1741" s="111" t="n"/>
      <c r="J1741" s="217" t="inlineStr">
        <is>
          <t>"titleStatementCode": "Statement code",</t>
        </is>
      </c>
    </row>
    <row r="1742" ht="15.75" customHeight="1" s="305">
      <c r="A1742" s="276" t="inlineStr">
        <is>
          <t>titleStatementState</t>
        </is>
      </c>
      <c r="B1742" s="276" t="inlineStr">
        <is>
          <t>"Trạng thái bảng kê",</t>
        </is>
      </c>
      <c r="C1742" s="123" t="inlineStr">
        <is>
          <t>Statement status</t>
        </is>
      </c>
      <c r="D1742" s="3" t="n"/>
      <c r="E1742" s="3" t="n"/>
      <c r="F1742" s="217" t="n"/>
      <c r="G1742" t="inlineStr">
        <is>
          <t>"ស្ថានភាព bảng kê",</t>
        </is>
      </c>
      <c r="H1742" t="inlineStr">
        <is>
          <t>"ស្ថានភាព bảng kê",</t>
        </is>
      </c>
      <c r="I1742" s="111" t="n"/>
      <c r="J1742" s="217" t="inlineStr">
        <is>
          <t>"titleStatementState": "Statement status",</t>
        </is>
      </c>
    </row>
    <row r="1743" ht="15.75" customHeight="1" s="305">
      <c r="A1743" s="276" t="inlineStr">
        <is>
          <t>titlePostman</t>
        </is>
      </c>
      <c r="B1743" s="276" t="inlineStr">
        <is>
          <t>"Bưu tá",</t>
        </is>
      </c>
      <c r="C1743" s="123" t="inlineStr">
        <is>
          <t>Postman</t>
        </is>
      </c>
      <c r="D1743" s="3" t="n"/>
      <c r="E1743" s="3" t="n"/>
      <c r="F1743" s="217" t="n"/>
      <c r="G1743" t="inlineStr">
        <is>
          <t>"បុគ្គលិកដឹកជញ្ជូន",</t>
        </is>
      </c>
      <c r="H1743" t="inlineStr">
        <is>
          <t>"បុគ្គលិកដឹកជញ្ជូន",</t>
        </is>
      </c>
      <c r="I1743" s="111" t="n"/>
      <c r="J1743" s="217" t="inlineStr">
        <is>
          <t>"titlePostman": "Postman",</t>
        </is>
      </c>
    </row>
    <row r="1744" ht="15.75" customHeight="1" s="305">
      <c r="A1744" s="276" t="inlineStr">
        <is>
          <t>titleTotalAmount</t>
        </is>
      </c>
      <c r="B1744" s="276" t="inlineStr">
        <is>
          <t>"Tổng tiền",</t>
        </is>
      </c>
      <c r="C1744" s="123" t="inlineStr">
        <is>
          <t>Total amount</t>
        </is>
      </c>
      <c r="D1744" s="3" t="n"/>
      <c r="E1744" s="3" t="n"/>
      <c r="F1744" s="217" t="n"/>
      <c r="G1744" t="inlineStr">
        <is>
          <t>"ចំនួនទឹកប្រាក់សរុប",</t>
        </is>
      </c>
      <c r="H1744" t="inlineStr">
        <is>
          <t>"ចំនួនទឹកប្រាក់សរុប",</t>
        </is>
      </c>
      <c r="I1744" s="111" t="n"/>
      <c r="J1744" s="217" t="inlineStr">
        <is>
          <t>"titleTotalAmount": "Total amount",</t>
        </is>
      </c>
    </row>
    <row r="1745" ht="15.75" customHeight="1" s="305">
      <c r="A1745" s="276" t="inlineStr">
        <is>
          <t>titleGlandPostMan</t>
        </is>
      </c>
      <c r="B1745" s="276" t="inlineStr">
        <is>
          <t>"Tuyến bưu tá",</t>
        </is>
      </c>
      <c r="C1745" s="123" t="inlineStr">
        <is>
          <t>Postman route</t>
        </is>
      </c>
      <c r="D1745" s="3" t="n"/>
      <c r="E1745" s="3" t="n"/>
      <c r="F1745" s="217" t="n"/>
      <c r="G1745" t="inlineStr">
        <is>
          <t>"ខ្សែផ្លូវ បុគ្គលិកដឹកជញ្ជូន",</t>
        </is>
      </c>
      <c r="H1745" t="inlineStr">
        <is>
          <t>"ខ្សែផ្លូវ បុគ្គលិកដឹកជញ្ជូន",</t>
        </is>
      </c>
      <c r="I1745" s="111" t="n"/>
      <c r="J1745" s="217" t="inlineStr">
        <is>
          <t>"titleGlandPostMan": "Postman route",</t>
        </is>
      </c>
    </row>
    <row r="1746" ht="15.75" customHeight="1" s="305">
      <c r="A1746" s="276" t="inlineStr">
        <is>
          <t>titleTotalReceived</t>
        </is>
      </c>
      <c r="B1746" s="276" t="inlineStr">
        <is>
          <t>"Tổng thu",</t>
        </is>
      </c>
      <c r="C1746" s="123" t="inlineStr">
        <is>
          <t>Total collected</t>
        </is>
      </c>
      <c r="D1746" s="3" t="n"/>
      <c r="E1746" s="3" t="n"/>
      <c r="F1746" s="217" t="n"/>
      <c r="G1746" t="inlineStr">
        <is>
          <t>"Tổng thu",</t>
        </is>
      </c>
      <c r="H1746" t="inlineStr">
        <is>
          <t>"Tổng thu",</t>
        </is>
      </c>
      <c r="I1746" s="111" t="n"/>
      <c r="J1746" s="217" t="inlineStr">
        <is>
          <t>"titleTotalReceived": "Total collected",</t>
        </is>
      </c>
    </row>
    <row r="1747" ht="15.75" customHeight="1" s="305">
      <c r="A1747" s="276" t="inlineStr">
        <is>
          <t>valueOrderCod</t>
        </is>
      </c>
      <c r="B1747" s="276" t="inlineStr">
        <is>
          <t>"Thu hộ đơn",</t>
        </is>
      </c>
      <c r="C1747" s="123" t="inlineStr">
        <is>
          <t>Order cod collection</t>
        </is>
      </c>
      <c r="D1747" s="3" t="n"/>
      <c r="E1747" s="3" t="n"/>
      <c r="F1747" s="217" t="n"/>
      <c r="G1747" t="inlineStr">
        <is>
          <t>"Thu hộ បញ្ញើ",</t>
        </is>
      </c>
      <c r="H1747" t="inlineStr">
        <is>
          <t>"Thu hộ បញ្ញើ",</t>
        </is>
      </c>
      <c r="I1747" s="111" t="n"/>
      <c r="J1747" s="217" t="inlineStr">
        <is>
          <t>"valueOrderCod": "Order cod collection",</t>
        </is>
      </c>
    </row>
    <row r="1748" ht="15.75" customHeight="1" s="305">
      <c r="A1748" s="276" t="inlineStr">
        <is>
          <t>valueUnpaid</t>
        </is>
      </c>
      <c r="B1748" s="276" t="inlineStr">
        <is>
          <t>"Chưa thanh toán",</t>
        </is>
      </c>
      <c r="C1748" s="123" t="inlineStr">
        <is>
          <t>Unpaid</t>
        </is>
      </c>
      <c r="D1748" s="3" t="n"/>
      <c r="E1748" s="3" t="n"/>
      <c r="F1748" s="217" t="n"/>
      <c r="G1748" t="inlineStr">
        <is>
          <t>"Chưa ទូទាត់ប្រាក់",</t>
        </is>
      </c>
      <c r="H1748" t="inlineStr">
        <is>
          <t>"Chưa ទូទាត់ប្រាក់",</t>
        </is>
      </c>
      <c r="I1748" s="111" t="n"/>
      <c r="J1748" s="217" t="inlineStr">
        <is>
          <t>"valueUnpaid": "Unpaid",</t>
        </is>
      </c>
    </row>
    <row r="1749" ht="15.75" customHeight="1" s="305">
      <c r="A1749" s="276" t="inlineStr">
        <is>
          <t>valuePaid</t>
        </is>
      </c>
      <c r="B1749" s="276" t="inlineStr">
        <is>
          <t>"Đã thanh toán",</t>
        </is>
      </c>
      <c r="C1749" s="123" t="inlineStr">
        <is>
          <t>Paid</t>
        </is>
      </c>
      <c r="D1749" s="3" t="n"/>
      <c r="E1749" s="3" t="n"/>
      <c r="F1749" s="217" t="n"/>
      <c r="G1749" t="inlineStr">
        <is>
          <t>"Đã ទូទាត់ប្រាក់",</t>
        </is>
      </c>
      <c r="H1749" t="inlineStr">
        <is>
          <t>"Đã ទូទាត់ប្រាក់",</t>
        </is>
      </c>
      <c r="I1749" s="111" t="n"/>
      <c r="J1749" s="217" t="inlineStr">
        <is>
          <t>"valuePaid": "Paid",</t>
        </is>
      </c>
    </row>
    <row r="1750" ht="15.75" customHeight="1" s="305">
      <c r="A1750" s="276" t="inlineStr">
        <is>
          <t>valueFailed</t>
        </is>
      </c>
      <c r="B1750" s="276" t="inlineStr">
        <is>
          <t>"Thất bại",</t>
        </is>
      </c>
      <c r="C1750" s="123" t="inlineStr">
        <is>
          <t>Failed</t>
        </is>
      </c>
      <c r="D1750" s="3" t="n"/>
      <c r="E1750" s="3" t="n"/>
      <c r="F1750" s="217" t="n"/>
      <c r="G1750" t="inlineStr">
        <is>
          <t>"បរាជ័យ",</t>
        </is>
      </c>
      <c r="H1750" t="inlineStr">
        <is>
          <t>"បរាជ័យ",</t>
        </is>
      </c>
      <c r="I1750" s="111" t="n"/>
      <c r="J1750" s="217" t="inlineStr">
        <is>
          <t>"valueFailed": "Failed",</t>
        </is>
      </c>
    </row>
    <row r="1751" ht="15.75" customHeight="1" s="305">
      <c r="A1751" s="276" t="inlineStr">
        <is>
          <t>valueUnpay</t>
        </is>
      </c>
      <c r="B1751" s="276" t="inlineStr">
        <is>
          <t>"Chưa trả",</t>
        </is>
      </c>
      <c r="C1751" s="123" t="inlineStr">
        <is>
          <t>Not paid</t>
        </is>
      </c>
      <c r="D1751" s="3" t="n"/>
      <c r="E1751" s="3" t="n"/>
      <c r="F1751" s="217" t="n"/>
      <c r="G1751" t="inlineStr">
        <is>
          <t>"Chưa trả",</t>
        </is>
      </c>
      <c r="H1751" t="inlineStr">
        <is>
          <t>"Chưa trả",</t>
        </is>
      </c>
      <c r="I1751" s="111" t="n"/>
      <c r="J1751" s="217" t="inlineStr">
        <is>
          <t>"valueUnpay": "Not paid",</t>
        </is>
      </c>
    </row>
    <row r="1752" ht="15.75" customHeight="1" s="305">
      <c r="A1752" s="276" t="inlineStr">
        <is>
          <t>valuePaid1</t>
        </is>
      </c>
      <c r="B1752" s="276" t="inlineStr">
        <is>
          <t>"Đã trả",</t>
        </is>
      </c>
      <c r="C1752" s="123" t="inlineStr">
        <is>
          <t>Paid</t>
        </is>
      </c>
      <c r="D1752" s="3" t="n"/>
      <c r="E1752" s="3" t="n"/>
      <c r="F1752" s="217" t="n"/>
      <c r="G1752" t="inlineStr">
        <is>
          <t>"Đã trả",</t>
        </is>
      </c>
      <c r="H1752" t="inlineStr">
        <is>
          <t>"Đã trả",</t>
        </is>
      </c>
      <c r="I1752" s="111" t="n"/>
      <c r="J1752" s="217" t="inlineStr">
        <is>
          <t>"valuePaid1": "Paid",</t>
        </is>
      </c>
    </row>
    <row r="1753" ht="15.75" customHeight="1" s="305">
      <c r="A1753" s="276" t="inlineStr">
        <is>
          <t>valueCollected</t>
        </is>
      </c>
      <c r="B1753" s="276" t="inlineStr">
        <is>
          <t>"Đã thu",</t>
        </is>
      </c>
      <c r="C1753" s="123" t="inlineStr">
        <is>
          <t>Collected</t>
        </is>
      </c>
      <c r="D1753" s="3" t="n"/>
      <c r="E1753" s="3" t="n"/>
      <c r="F1753" s="217" t="n"/>
      <c r="G1753" t="inlineStr">
        <is>
          <t>"Đã thu",</t>
        </is>
      </c>
      <c r="H1753" t="inlineStr">
        <is>
          <t>"Đã thu",</t>
        </is>
      </c>
      <c r="I1753" s="111" t="n"/>
      <c r="J1753" s="217" t="inlineStr">
        <is>
          <t>"valueCollected": "Collected",</t>
        </is>
      </c>
    </row>
    <row r="1754" ht="15.75" customHeight="1" s="305">
      <c r="A1754" s="276" t="inlineStr">
        <is>
          <t>valueProcessing</t>
        </is>
      </c>
      <c r="B1754" s="276" t="inlineStr">
        <is>
          <t>"Đang xử lý",</t>
        </is>
      </c>
      <c r="C1754" s="123" t="inlineStr">
        <is>
          <t>Processing</t>
        </is>
      </c>
      <c r="D1754" s="3" t="n"/>
      <c r="E1754" s="3" t="n"/>
      <c r="F1754" s="217" t="n"/>
      <c r="G1754" t="inlineStr">
        <is>
          <t>"កំពុងដំណើរការ",</t>
        </is>
      </c>
      <c r="H1754" t="inlineStr">
        <is>
          <t>"កំពុងដំណើរការ",</t>
        </is>
      </c>
      <c r="I1754" s="111" t="n"/>
      <c r="J1754" s="217" t="inlineStr">
        <is>
          <t>"valueProcessing": "Processing",</t>
        </is>
      </c>
    </row>
    <row r="1755" ht="15.75" customHeight="1" s="305">
      <c r="A1755" s="276" t="inlineStr">
        <is>
          <t>valueNotSubmited</t>
        </is>
      </c>
      <c r="B1755" s="276" t="inlineStr">
        <is>
          <t>"Chưa nộp",</t>
        </is>
      </c>
      <c r="C1755" s="123" t="inlineStr">
        <is>
          <t>Not submitted</t>
        </is>
      </c>
      <c r="D1755" s="3" t="n"/>
      <c r="E1755" s="3" t="n"/>
      <c r="F1755" s="217" t="n"/>
      <c r="G1755" t="inlineStr">
        <is>
          <t>"Chưa nộp",</t>
        </is>
      </c>
      <c r="H1755" t="inlineStr">
        <is>
          <t>"Chưa nộp",</t>
        </is>
      </c>
      <c r="I1755" s="111" t="n"/>
      <c r="J1755" s="217" t="inlineStr">
        <is>
          <t>"valueNotSubmited": "Not submitted",</t>
        </is>
      </c>
    </row>
    <row r="1756" ht="15.75" customHeight="1" s="305">
      <c r="A1756" s="276" t="inlineStr">
        <is>
          <t>valueSubmited</t>
        </is>
      </c>
      <c r="B1756" s="276" t="inlineStr">
        <is>
          <t>"Đã nộp",</t>
        </is>
      </c>
      <c r="C1756" s="123" t="inlineStr">
        <is>
          <t>Submitted</t>
        </is>
      </c>
      <c r="D1756" s="3" t="n"/>
      <c r="E1756" s="3" t="n"/>
      <c r="F1756" s="217" t="n"/>
      <c r="G1756" t="inlineStr">
        <is>
          <t>"Đã nộp",</t>
        </is>
      </c>
      <c r="H1756" t="inlineStr">
        <is>
          <t>"Đã nộp",</t>
        </is>
      </c>
      <c r="I1756" s="111" t="n"/>
      <c r="J1756" s="217" t="inlineStr">
        <is>
          <t>"valueSubmited": "Submitted",</t>
        </is>
      </c>
    </row>
    <row r="1757" ht="15.75" customHeight="1" s="305">
      <c r="A1757" s="276" t="inlineStr">
        <is>
          <t>valueCreated</t>
        </is>
      </c>
      <c r="B1757" s="276" t="inlineStr">
        <is>
          <t>"Tạo mới",</t>
        </is>
      </c>
      <c r="C1757" s="123" t="inlineStr">
        <is>
          <t>Created</t>
        </is>
      </c>
      <c r="D1757" s="3" t="n"/>
      <c r="E1757" s="3" t="n"/>
      <c r="F1757" s="217" t="n"/>
      <c r="G1757" t="inlineStr">
        <is>
          <t>"បង្កើតថ្មី",</t>
        </is>
      </c>
      <c r="H1757" t="inlineStr">
        <is>
          <t>"បង្កើតថ្មី",</t>
        </is>
      </c>
      <c r="I1757" s="111" t="n"/>
      <c r="J1757" s="217" t="inlineStr">
        <is>
          <t>"valueCreated": "Created",</t>
        </is>
      </c>
    </row>
    <row r="1758" ht="15.75" customHeight="1" s="305">
      <c r="A1758" s="276" t="inlineStr">
        <is>
          <t>valueStatementClosed</t>
        </is>
      </c>
      <c r="B1758" s="276" t="inlineStr">
        <is>
          <t>"Chốt bảng kê",</t>
        </is>
      </c>
      <c r="C1758" s="123" t="inlineStr">
        <is>
          <t>Statement closed</t>
        </is>
      </c>
      <c r="D1758" s="3" t="n"/>
      <c r="E1758" s="3" t="n"/>
      <c r="F1758" s="217" t="n"/>
      <c r="G1758" t="inlineStr">
        <is>
          <t>"Chốt bảng kê",</t>
        </is>
      </c>
      <c r="H1758" t="inlineStr">
        <is>
          <t>"Chốt bảng kê",</t>
        </is>
      </c>
      <c r="I1758" s="111" t="n"/>
      <c r="J1758" s="217" t="inlineStr">
        <is>
          <t>"valueStatementClosed": "Statement closed",</t>
        </is>
      </c>
    </row>
    <row r="1759" ht="15.75" customHeight="1" s="305">
      <c r="A1759" s="276" t="inlineStr">
        <is>
          <t>valuePaidOut</t>
        </is>
      </c>
      <c r="B1759" s="276" t="inlineStr">
        <is>
          <t>"Đã chi",</t>
        </is>
      </c>
      <c r="C1759" s="123" t="inlineStr">
        <is>
          <t>Paid out</t>
        </is>
      </c>
      <c r="D1759" s="3" t="n"/>
      <c r="E1759" s="3" t="n"/>
      <c r="F1759" s="217" t="n"/>
      <c r="G1759" t="inlineStr">
        <is>
          <t>"Đã chi",</t>
        </is>
      </c>
      <c r="H1759" t="inlineStr">
        <is>
          <t>"Đã chi",</t>
        </is>
      </c>
      <c r="I1759" s="111" t="n"/>
      <c r="J1759" s="217" t="inlineStr">
        <is>
          <t>"valuePaidOut": "Paid out",</t>
        </is>
      </c>
    </row>
    <row r="1760" ht="15.75" customHeight="1" s="305">
      <c r="A1760" s="276" t="inlineStr">
        <is>
          <t>valueDisbursementFinalized</t>
        </is>
      </c>
      <c r="B1760" s="276" t="inlineStr">
        <is>
          <t>"Chốt chi",</t>
        </is>
      </c>
      <c r="C1760" s="123" t="inlineStr">
        <is>
          <t>Payment finalized</t>
        </is>
      </c>
      <c r="D1760" s="3" t="n"/>
      <c r="E1760" s="3" t="n"/>
      <c r="F1760" s="217" t="n"/>
      <c r="G1760" t="inlineStr">
        <is>
          <t>"Chốt chi",</t>
        </is>
      </c>
      <c r="H1760" t="inlineStr">
        <is>
          <t>"Chốt chi",</t>
        </is>
      </c>
      <c r="I1760" s="111" t="n"/>
      <c r="J1760" s="217" t="inlineStr">
        <is>
          <t>"valueDisbursementFinalized": "Payment finalized",</t>
        </is>
      </c>
    </row>
    <row r="1761" ht="15.75" customHeight="1" s="305">
      <c r="A1761" s="276" t="inlineStr">
        <is>
          <t>valuePendingDisbursement</t>
        </is>
      </c>
      <c r="B1761" s="276" t="inlineStr">
        <is>
          <t>"Chờ chi",</t>
        </is>
      </c>
      <c r="C1761" s="123" t="inlineStr">
        <is>
          <t>Pending payment</t>
        </is>
      </c>
      <c r="D1761" s="3" t="n"/>
      <c r="E1761" s="3" t="n"/>
      <c r="F1761" s="217" t="n"/>
      <c r="G1761" t="inlineStr">
        <is>
          <t>"Chờ chi",</t>
        </is>
      </c>
      <c r="H1761" t="inlineStr">
        <is>
          <t>"Chờ chi",</t>
        </is>
      </c>
      <c r="I1761" s="111" t="n"/>
      <c r="J1761" s="217" t="inlineStr">
        <is>
          <t>"valuePendingDisbursement": "Pending payment",</t>
        </is>
      </c>
    </row>
    <row r="1762" ht="15.75" customHeight="1" s="305">
      <c r="A1762" s="276" t="inlineStr">
        <is>
          <t>valueDisbursedSuccessfully</t>
        </is>
      </c>
      <c r="B1762" s="276" t="inlineStr">
        <is>
          <t>"Chi thành công",</t>
        </is>
      </c>
      <c r="C1762" s="123" t="inlineStr">
        <is>
          <t>Payment successful</t>
        </is>
      </c>
      <c r="D1762" s="3" t="n"/>
      <c r="E1762" s="3" t="n"/>
      <c r="F1762" s="217" t="n"/>
      <c r="G1762" t="inlineStr">
        <is>
          <t>"Chi ជោគជ័យ",</t>
        </is>
      </c>
      <c r="H1762" t="inlineStr">
        <is>
          <t>"Chi ជោគជ័យ",</t>
        </is>
      </c>
      <c r="I1762" s="111" t="n"/>
      <c r="J1762" s="217" t="inlineStr">
        <is>
          <t>"valueDisbursedSuccessfully": "Payment successful",</t>
        </is>
      </c>
    </row>
    <row r="1763" ht="15.75" customHeight="1" s="305">
      <c r="A1763" s="276" t="inlineStr">
        <is>
          <t>valueDisbursementFailed</t>
        </is>
      </c>
      <c r="B1763" s="276" t="inlineStr">
        <is>
          <t>"Chi thất bại",</t>
        </is>
      </c>
      <c r="C1763" s="123" t="inlineStr">
        <is>
          <t>Payment failed</t>
        </is>
      </c>
      <c r="D1763" s="3" t="n"/>
      <c r="E1763" s="3" t="n"/>
      <c r="F1763" s="217" t="n"/>
      <c r="G1763" t="inlineStr">
        <is>
          <t>"Chi បរាជ័យ",</t>
        </is>
      </c>
      <c r="H1763" t="inlineStr">
        <is>
          <t>"Chi បរាជ័យ",</t>
        </is>
      </c>
      <c r="I1763" s="111" t="n"/>
      <c r="J1763" s="217" t="inlineStr">
        <is>
          <t>"valueDisbursementFailed": "Payment failed",</t>
        </is>
      </c>
    </row>
    <row r="1764" ht="15.75" customHeight="1" s="305">
      <c r="A1764" s="276" t="inlineStr">
        <is>
          <t>valueDisbursing</t>
        </is>
      </c>
      <c r="B1764" s="276" t="inlineStr">
        <is>
          <t>"Đang chi",</t>
        </is>
      </c>
      <c r="C1764" s="123" t="inlineStr">
        <is>
          <t>Processing payment</t>
        </is>
      </c>
      <c r="D1764" s="3" t="n"/>
      <c r="E1764" s="3" t="n"/>
      <c r="F1764" s="217" t="n"/>
      <c r="G1764" t="inlineStr">
        <is>
          <t>"Đang chi",</t>
        </is>
      </c>
      <c r="H1764" t="inlineStr">
        <is>
          <t>"Đang chi",</t>
        </is>
      </c>
      <c r="I1764" s="111" t="n"/>
      <c r="J1764" s="217" t="inlineStr">
        <is>
          <t>"valueDisbursing": "Processing payment",</t>
        </is>
      </c>
    </row>
    <row r="1765" ht="15.75" customHeight="1" s="305">
      <c r="A1765" s="276" t="inlineStr">
        <is>
          <t>valueFailedPendingRetry</t>
        </is>
      </c>
      <c r="B1765" s="276" t="inlineStr">
        <is>
          <t>"Thất bại chờ chi lại",</t>
        </is>
      </c>
      <c r="C1765" s="123" t="inlineStr">
        <is>
          <t>Failed - pending retry</t>
        </is>
      </c>
      <c r="D1765" s="3" t="n"/>
      <c r="E1765" s="3" t="n"/>
      <c r="F1765" s="217" t="n"/>
      <c r="G1765" t="inlineStr">
        <is>
          <t>"បរាជ័យ chờ chi lại",</t>
        </is>
      </c>
      <c r="H1765" t="inlineStr">
        <is>
          <t>"បរាជ័យ chờ chi lại",</t>
        </is>
      </c>
      <c r="I1765" s="111" t="n"/>
      <c r="J1765" s="217" t="inlineStr">
        <is>
          <t>"valueFailedPendingRetry": "Failed - pending retry",</t>
        </is>
      </c>
    </row>
    <row r="1766" ht="15.75" customHeight="1" s="305">
      <c r="A1766" s="276" t="inlineStr">
        <is>
          <t>valueRejected</t>
        </is>
      </c>
      <c r="B1766" s="276" t="inlineStr">
        <is>
          <t>"Từ chối",</t>
        </is>
      </c>
      <c r="C1766" s="123" t="inlineStr">
        <is>
          <t>Rejected</t>
        </is>
      </c>
      <c r="D1766" s="3" t="n"/>
      <c r="E1766" s="3" t="n"/>
      <c r="F1766" s="217" t="n"/>
      <c r="G1766" t="inlineStr">
        <is>
          <t>"បដិសេធ",</t>
        </is>
      </c>
      <c r="H1766" t="inlineStr">
        <is>
          <t>"បដិសេធ",</t>
        </is>
      </c>
      <c r="I1766" s="111" t="n"/>
      <c r="J1766" s="217" t="inlineStr">
        <is>
          <t>"valueRejected": "Rejected",</t>
        </is>
      </c>
    </row>
    <row r="1767" ht="15.75" customHeight="1" s="305">
      <c r="A1767" s="276" t="inlineStr">
        <is>
          <t>valueWaiting</t>
        </is>
      </c>
      <c r="B1767" s="276" t="inlineStr">
        <is>
          <t>"Chờ xác nhận",</t>
        </is>
      </c>
      <c r="C1767" s="123" t="inlineStr">
        <is>
          <t>Waiting for confirmation</t>
        </is>
      </c>
      <c r="D1767" s="3" t="n"/>
      <c r="E1767" s="3" t="n"/>
      <c r="F1767" s="217" t="n"/>
      <c r="G1767" t="inlineStr">
        <is>
          <t>"Chờ បញ្ជាក់",</t>
        </is>
      </c>
      <c r="H1767" t="inlineStr">
        <is>
          <t>"Chờ បញ្ជាក់",</t>
        </is>
      </c>
      <c r="I1767" s="111" t="n"/>
      <c r="J1767" s="217" t="inlineStr">
        <is>
          <t>"valueWaiting": "Waiting for confirmation",</t>
        </is>
      </c>
    </row>
    <row r="1768" ht="15.75" customHeight="1" s="305">
      <c r="A1768" s="276" t="inlineStr">
        <is>
          <t>valueConfirmed</t>
        </is>
      </c>
      <c r="B1768" s="276" t="inlineStr">
        <is>
          <t>"Đã xác nhận",</t>
        </is>
      </c>
      <c r="C1768" s="123" t="inlineStr">
        <is>
          <t>Confirmed</t>
        </is>
      </c>
      <c r="D1768" s="3" t="n"/>
      <c r="E1768" s="3" t="n"/>
      <c r="F1768" s="217" t="n"/>
      <c r="G1768" t="inlineStr">
        <is>
          <t>"Đã បញ្ជាក់",</t>
        </is>
      </c>
      <c r="H1768" t="inlineStr">
        <is>
          <t>"Đã បញ្ជាក់",</t>
        </is>
      </c>
      <c r="I1768" s="111" t="n"/>
      <c r="J1768" s="217" t="inlineStr">
        <is>
          <t>"valueConfirmed": "Confirmed",</t>
        </is>
      </c>
    </row>
    <row r="1769" ht="15.75" customHeight="1" s="305">
      <c r="A1769" s="276" t="inlineStr">
        <is>
          <t>valuePostmanCashCollection</t>
        </is>
      </c>
      <c r="B1769" s="276" t="inlineStr">
        <is>
          <t>"Thu tiền mặt bưu tá",</t>
        </is>
      </c>
      <c r="C1769" s="123" t="inlineStr">
        <is>
          <t>Postman cash collection</t>
        </is>
      </c>
      <c r="D1769" s="3" t="n"/>
      <c r="E1769" s="3" t="n"/>
      <c r="F1769" s="217" t="n"/>
      <c r="G1769" t="inlineStr">
        <is>
          <t>"ប្រមូលប្រាក់ mặt បុគ្គលិកដឹកជញ្ជូន",</t>
        </is>
      </c>
      <c r="H1769" t="inlineStr">
        <is>
          <t>"ប្រមូលប្រាក់ mặt បុគ្គលិកដឹកជញ្ជូន",</t>
        </is>
      </c>
      <c r="I1769" s="111" t="n"/>
      <c r="J1769" s="217" t="inlineStr">
        <is>
          <t>"valuePostmanCashCollection": "Postman cash collection",</t>
        </is>
      </c>
    </row>
    <row r="1770" ht="15.75" customHeight="1" s="305">
      <c r="A1770" s="276" t="inlineStr">
        <is>
          <t>valueReconciling</t>
        </is>
      </c>
      <c r="B1770" s="276" t="inlineStr">
        <is>
          <t>"Đang đối soát",</t>
        </is>
      </c>
      <c r="C1770" s="123" t="inlineStr">
        <is>
          <t>Reconciling</t>
        </is>
      </c>
      <c r="D1770" s="3" t="n"/>
      <c r="E1770" s="3" t="n"/>
      <c r="F1770" s="217" t="n"/>
      <c r="G1770" t="inlineStr">
        <is>
          <t>"Đang đối soát",</t>
        </is>
      </c>
      <c r="H1770" t="inlineStr">
        <is>
          <t>"Đang đối soát",</t>
        </is>
      </c>
      <c r="I1770" s="111" t="n"/>
      <c r="J1770" s="217" t="inlineStr">
        <is>
          <t>"valueReconciling": "Reconciling",</t>
        </is>
      </c>
    </row>
    <row r="1771" ht="15.75" customHeight="1" s="305">
      <c r="A1771" s="276" t="inlineStr">
        <is>
          <t>valueCreateCashReceipt</t>
        </is>
      </c>
      <c r="B1771" s="276" t="inlineStr">
        <is>
          <t>"Tạo phiếu thu tiền mặt",</t>
        </is>
      </c>
      <c r="C1771" s="123" t="inlineStr">
        <is>
          <t>Create cash receipt</t>
        </is>
      </c>
      <c r="D1771" s="3" t="n"/>
      <c r="E1771" s="3" t="n"/>
      <c r="F1771" s="217" t="n"/>
      <c r="G1771" t="inlineStr">
        <is>
          <t>"Tạo phiếu ប្រមូលប្រាក់ mặt",</t>
        </is>
      </c>
      <c r="H1771" t="inlineStr">
        <is>
          <t>"Tạo phiếu ប្រមូលប្រាក់ mặt",</t>
        </is>
      </c>
      <c r="I1771" s="111" t="n"/>
      <c r="J1771" s="217" t="inlineStr">
        <is>
          <t>"valueCreateCashReceipt": "Create cash receipt",</t>
        </is>
      </c>
    </row>
    <row r="1772" ht="15.75" customHeight="1" s="305">
      <c r="A1772" s="276" t="inlineStr">
        <is>
          <t>valuePendingConfirmation</t>
        </is>
      </c>
      <c r="B1772" s="276" t="inlineStr">
        <is>
          <t>"Chờ xác nhận",</t>
        </is>
      </c>
      <c r="C1772" s="123" t="inlineStr">
        <is>
          <t>Pending confirmation</t>
        </is>
      </c>
      <c r="D1772" s="3" t="n"/>
      <c r="E1772" s="3" t="n"/>
      <c r="F1772" s="217" t="n"/>
      <c r="G1772" t="inlineStr">
        <is>
          <t>"Chờ បញ្ជាក់",</t>
        </is>
      </c>
      <c r="H1772" t="inlineStr">
        <is>
          <t>"Chờ បញ្ជាក់",</t>
        </is>
      </c>
      <c r="I1772" s="111" t="n"/>
      <c r="J1772" s="217" t="inlineStr">
        <is>
          <t>"valuePendingConfirmation": "Pending confirmation",</t>
        </is>
      </c>
    </row>
    <row r="1773" ht="15.75" customHeight="1" s="305">
      <c r="A1773" s="276" t="inlineStr">
        <is>
          <t>valueNoCollection</t>
        </is>
      </c>
      <c r="B1773" s="276" t="inlineStr">
        <is>
          <t>"Không thu hộ",</t>
        </is>
      </c>
      <c r="C1773" s="123" t="inlineStr">
        <is>
          <t>No collection</t>
        </is>
      </c>
      <c r="D1773" s="3" t="n"/>
      <c r="E1773" s="3" t="n"/>
      <c r="F1773" s="217" t="n"/>
      <c r="G1773" t="inlineStr">
        <is>
          <t>"Không thu hộ",</t>
        </is>
      </c>
      <c r="H1773" t="inlineStr">
        <is>
          <t>"Không thu hộ",</t>
        </is>
      </c>
      <c r="I1773" s="111" t="n"/>
      <c r="J1773" s="217" t="inlineStr">
        <is>
          <t>"valueNoCollection": "No collection",</t>
        </is>
      </c>
    </row>
    <row r="1774" ht="15.75" customHeight="1" s="305">
      <c r="A1774" s="276" t="inlineStr">
        <is>
          <t>valueCollectShippingFee</t>
        </is>
      </c>
      <c r="B1774" s="276" t="inlineStr">
        <is>
          <t>"Có thu hộ cước",</t>
        </is>
      </c>
      <c r="C1774" s="123" t="inlineStr">
        <is>
          <t>Collect shipping fee</t>
        </is>
      </c>
      <c r="D1774" s="3" t="n"/>
      <c r="E1774" s="3" t="n"/>
      <c r="F1774" s="217" t="n"/>
      <c r="G1774" t="inlineStr">
        <is>
          <t>"Có thu hộ cước",</t>
        </is>
      </c>
      <c r="H1774" t="inlineStr">
        <is>
          <t>"Có thu hộ cước",</t>
        </is>
      </c>
      <c r="I1774" s="111" t="n"/>
      <c r="J1774" s="217" t="inlineStr">
        <is>
          <t>"valueCollectShippingFee": "Collect shipping fee",</t>
        </is>
      </c>
    </row>
    <row r="1775" ht="15.75" customHeight="1" s="305">
      <c r="A1775" s="276" t="inlineStr">
        <is>
          <t>valueCollectCOD</t>
        </is>
      </c>
      <c r="B1775" s="276" t="inlineStr">
        <is>
          <t>"Có thu hộ COD",</t>
        </is>
      </c>
      <c r="C1775" s="123" t="inlineStr">
        <is>
          <t>Collect COD</t>
        </is>
      </c>
      <c r="D1775" s="3" t="n"/>
      <c r="E1775" s="3" t="n"/>
      <c r="F1775" s="217" t="n"/>
      <c r="G1775" t="inlineStr">
        <is>
          <t>"Có thu hộ COD",</t>
        </is>
      </c>
      <c r="H1775" t="inlineStr">
        <is>
          <t>"Có thu hộ COD",</t>
        </is>
      </c>
      <c r="I1775" s="111" t="n"/>
      <c r="J1775" s="217" t="inlineStr">
        <is>
          <t>"valueCollectCOD": "Collect COD",</t>
        </is>
      </c>
    </row>
    <row r="1776" ht="15.75" customHeight="1" s="305">
      <c r="A1776" s="276" t="inlineStr">
        <is>
          <t>valueCollectCodAndFee</t>
        </is>
      </c>
      <c r="B1776" s="276" t="inlineStr">
        <is>
          <t>"Có thu hộ COD và cước",</t>
        </is>
      </c>
      <c r="C1776" s="123" t="inlineStr">
        <is>
          <t>Collect COD and shipping fee</t>
        </is>
      </c>
      <c r="D1776" s="3" t="n"/>
      <c r="E1776" s="3" t="n"/>
      <c r="F1776" s="217" t="n"/>
      <c r="G1776" t="inlineStr">
        <is>
          <t>"Có thu hộ COD và cước",</t>
        </is>
      </c>
      <c r="H1776" t="inlineStr">
        <is>
          <t>"Có thu hộ COD và cước",</t>
        </is>
      </c>
      <c r="I1776" s="111" t="n"/>
      <c r="J1776" s="217" t="inlineStr">
        <is>
          <t>"valueCollectCodAndFee": "Collect COD and shipping fee",</t>
        </is>
      </c>
    </row>
    <row r="1777" ht="15.75" customHeight="1" s="305">
      <c r="A1777" s="276" t="inlineStr">
        <is>
          <t>paymentTypePostPaid</t>
        </is>
      </c>
      <c r="B1777" s="276" t="inlineStr">
        <is>
          <t>"Trả sau",</t>
        </is>
      </c>
      <c r="C1777" s="123" t="inlineStr">
        <is>
          <t>Postpaid</t>
        </is>
      </c>
      <c r="D1777" s="3" t="n"/>
      <c r="E1777" s="3" t="n"/>
      <c r="F1777" s="217" t="n"/>
      <c r="G1777" t="inlineStr">
        <is>
          <t>"Trả sau",</t>
        </is>
      </c>
      <c r="H1777" t="inlineStr">
        <is>
          <t>"Trả sau",</t>
        </is>
      </c>
      <c r="I1777" s="111" t="n"/>
      <c r="J1777" s="217" t="inlineStr">
        <is>
          <t>"paymentTypePostPaid": "Postpaid",</t>
        </is>
      </c>
    </row>
    <row r="1778" ht="15.75" customHeight="1" s="305">
      <c r="A1778" s="215" t="n"/>
      <c r="B1778" s="115" t="n"/>
      <c r="C1778" s="67" t="n"/>
      <c r="D1778" s="3" t="n"/>
      <c r="E1778" s="3" t="n"/>
      <c r="F1778" s="217" t="n"/>
      <c r="G1778" t="inlineStr"/>
      <c r="H1778" t="inlineStr"/>
      <c r="I1778" s="111" t="n"/>
      <c r="J1778" s="217" t="inlineStr"/>
    </row>
    <row r="1779" ht="15.75" customHeight="1" s="305">
      <c r="A1779" s="129" t="inlineStr">
        <is>
          <t>common.copied</t>
        </is>
      </c>
      <c r="B1779" s="130" t="inlineStr">
        <is>
          <t>Đã copy</t>
        </is>
      </c>
      <c r="C1779" s="67" t="n"/>
      <c r="D1779" s="3" t="n"/>
      <c r="E1779" s="3" t="n"/>
      <c r="F1779" s="217" t="n"/>
      <c r="G1779" t="inlineStr">
        <is>
          <t>បានចម្លងរួចរាល់</t>
        </is>
      </c>
      <c r="H1779" t="inlineStr">
        <is>
          <t>បានចម្លងរួចរាល់</t>
        </is>
      </c>
      <c r="I1779" s="111" t="n"/>
      <c r="J1779" s="217" t="inlineStr">
        <is>
          <t>"common.copied": "",</t>
        </is>
      </c>
    </row>
    <row r="1780" ht="15.75" customHeight="1" s="305">
      <c r="A1780" s="129" t="inlineStr">
        <is>
          <t>common.failedToRequestPermission</t>
        </is>
      </c>
      <c r="B1780" s="130" t="inlineStr">
        <is>
          <t>Yêu cầu cấp quyền thất bại</t>
        </is>
      </c>
      <c r="C1780" s="67" t="inlineStr">
        <is>
          <t>Failed to request permission</t>
        </is>
      </c>
      <c r="D1780" s="3" t="n"/>
      <c r="E1780" s="3" t="n"/>
      <c r="F1780" s="217" t="n"/>
      <c r="G1780" t="inlineStr">
        <is>
          <t>សំណើ cấp quyền បរាជ័យ</t>
        </is>
      </c>
      <c r="H1780" t="inlineStr">
        <is>
          <t>សំណើ cấp quyền បរាជ័យ</t>
        </is>
      </c>
      <c r="I1780" s="111" t="n"/>
      <c r="J1780" s="217" t="inlineStr">
        <is>
          <t>"common.failedToRequestPermission": "Failed to request permission",</t>
        </is>
      </c>
    </row>
    <row r="1781" ht="15.75" customHeight="1" s="305">
      <c r="A1781" s="129" t="inlineStr">
        <is>
          <t>payment.paymentMethod</t>
        </is>
      </c>
      <c r="B1781" s="131" t="inlineStr">
        <is>
          <t>Hình thức thanh toán</t>
        </is>
      </c>
      <c r="C1781" s="67" t="n"/>
      <c r="D1781" s="3" t="n"/>
      <c r="E1781" s="3" t="n"/>
      <c r="F1781" s="217" t="n"/>
      <c r="G1781" t="inlineStr">
        <is>
          <t>Hình thức ទូទាត់ប្រាក់</t>
        </is>
      </c>
      <c r="H1781" t="inlineStr">
        <is>
          <t>Hình thức ទូទាត់ប្រាក់</t>
        </is>
      </c>
      <c r="I1781" s="111" t="n"/>
      <c r="J1781" s="217" t="inlineStr">
        <is>
          <t>"payment.paymentMethod": "",</t>
        </is>
      </c>
    </row>
    <row r="1782" ht="15.75" customHeight="1" s="305">
      <c r="A1782" s="129" t="inlineStr">
        <is>
          <t>payment.totalAmountToCollect</t>
        </is>
      </c>
      <c r="B1782" s="131" t="inlineStr">
        <is>
          <t>Tổng tiền phải thu</t>
        </is>
      </c>
      <c r="C1782" s="67" t="n"/>
      <c r="D1782" s="3" t="n"/>
      <c r="E1782" s="3" t="n"/>
      <c r="F1782" s="217" t="n"/>
      <c r="G1782" t="inlineStr">
        <is>
          <t>ចំនួនtiền phải thuសរុប</t>
        </is>
      </c>
      <c r="H1782" t="inlineStr">
        <is>
          <t>ចំនួនtiền phải thuសរុប</t>
        </is>
      </c>
      <c r="I1782" s="111" t="n"/>
      <c r="J1782" s="217" t="inlineStr">
        <is>
          <t>"payment.totalAmountToCollect": "",</t>
        </is>
      </c>
    </row>
    <row r="1783" ht="15.75" customHeight="1" s="305">
      <c r="A1783" s="129" t="inlineStr">
        <is>
          <t>payment.selectPaymentMethod</t>
        </is>
      </c>
      <c r="B1783" s="131" t="inlineStr">
        <is>
          <t>Chọn phương thức thanh toán</t>
        </is>
      </c>
      <c r="C1783" s="67" t="n"/>
      <c r="D1783" s="3" t="n"/>
      <c r="E1783" s="3" t="n"/>
      <c r="F1783" s="217" t="n"/>
      <c r="G1783" t="inlineStr">
        <is>
          <t>ជ្រើសរើសphương thức ទូទាត់ប្រាក់</t>
        </is>
      </c>
      <c r="H1783" t="inlineStr">
        <is>
          <t>ជ្រើសរើសphương thức ទូទាត់ប្រាក់</t>
        </is>
      </c>
      <c r="I1783" s="111" t="n"/>
      <c r="J1783" s="217" t="inlineStr">
        <is>
          <t>"payment.selectPaymentMethod": "",</t>
        </is>
      </c>
    </row>
    <row r="1784" ht="15.75" customHeight="1" s="305">
      <c r="A1784" s="129" t="inlineStr">
        <is>
          <t>payment.qrCode</t>
        </is>
      </c>
      <c r="B1784" s="131" t="inlineStr">
        <is>
          <t>QR code</t>
        </is>
      </c>
      <c r="C1784" s="67" t="n"/>
      <c r="D1784" s="3" t="n"/>
      <c r="E1784" s="3" t="n"/>
      <c r="F1784" s="217" t="n"/>
      <c r="G1784" t="inlineStr">
        <is>
          <t>QR code</t>
        </is>
      </c>
      <c r="H1784" t="inlineStr">
        <is>
          <t>QR code</t>
        </is>
      </c>
      <c r="I1784" s="111" t="n"/>
      <c r="J1784" s="217" t="inlineStr">
        <is>
          <t>"payment.qrCode": "",</t>
        </is>
      </c>
    </row>
    <row r="1785" ht="15.75" customHeight="1" s="305">
      <c r="A1785" s="129" t="inlineStr">
        <is>
          <t>payment.cashPayment</t>
        </is>
      </c>
      <c r="B1785" s="131" t="inlineStr">
        <is>
          <t>Thanh toán tiền mặt</t>
        </is>
      </c>
      <c r="C1785" s="67" t="n"/>
      <c r="D1785" s="3" t="n"/>
      <c r="E1785" s="3" t="n"/>
      <c r="F1785" s="217" t="n"/>
      <c r="G1785" t="inlineStr">
        <is>
          <t>ទូទាត់ប្រាក់ tiền mặt</t>
        </is>
      </c>
      <c r="H1785" t="inlineStr">
        <is>
          <t>ទូទាត់ប្រាក់ tiền mặt</t>
        </is>
      </c>
      <c r="I1785" s="111" t="n"/>
      <c r="J1785" s="217" t="inlineStr">
        <is>
          <t>"payment.cashPayment": "",</t>
        </is>
      </c>
    </row>
    <row r="1786" ht="15.75" customHeight="1" s="305">
      <c r="A1786" s="129" t="inlineStr">
        <is>
          <t>payment.payByQrCode</t>
        </is>
      </c>
      <c r="B1786" s="131" t="inlineStr">
        <is>
          <t>Thanh toán bằng mã QR</t>
        </is>
      </c>
      <c r="C1786" s="67" t="n"/>
      <c r="D1786" s="3" t="n"/>
      <c r="E1786" s="3" t="n"/>
      <c r="F1786" s="217" t="n"/>
      <c r="G1786" t="inlineStr">
        <is>
          <t>ទូទាត់ប្រាក់ bằng លេខកូដ QR</t>
        </is>
      </c>
      <c r="H1786" t="inlineStr">
        <is>
          <t>ទូទាត់ប្រាក់ bằng លេខកូដ QR</t>
        </is>
      </c>
      <c r="I1786" s="111" t="n"/>
      <c r="J1786" s="217" t="inlineStr">
        <is>
          <t>"payment.payByQrCode": "",</t>
        </is>
      </c>
    </row>
    <row r="1787" ht="15.75" customHeight="1" s="305">
      <c r="A1787" s="129" t="inlineStr">
        <is>
          <t>payment.transactionId</t>
        </is>
      </c>
      <c r="B1787" s="131" t="inlineStr">
        <is>
          <t>Mã giao dịch</t>
        </is>
      </c>
      <c r="C1787" s="67" t="n"/>
      <c r="D1787" s="3" t="n"/>
      <c r="E1787" s="3" t="n"/>
      <c r="F1787" s="217" t="n"/>
      <c r="G1787" t="inlineStr">
        <is>
          <t>លេខកូដgiao dịch</t>
        </is>
      </c>
      <c r="H1787" t="inlineStr">
        <is>
          <t>លេខកូដgiao dịch</t>
        </is>
      </c>
      <c r="I1787" s="111" t="n"/>
      <c r="J1787" s="217" t="inlineStr">
        <is>
          <t>"payment.transactionId": "",</t>
        </is>
      </c>
    </row>
    <row r="1788" ht="15.75" customHeight="1" s="305">
      <c r="A1788" s="129" t="inlineStr">
        <is>
          <t>payment.paymentInstruction</t>
        </is>
      </c>
      <c r="B1788" s="131" t="inlineStr">
        <is>
          <t>Vui lòng sử dụng ứng dụng ngân hàng bất kỳ để thanh toán và không thoát màn hình cho đến khi nhận được kết quả giao dịch</t>
        </is>
      </c>
      <c r="C1788" s="67" t="n"/>
      <c r="D1788" s="3" t="n"/>
      <c r="E1788" s="3" t="n"/>
      <c r="F1788" s="217" t="n"/>
      <c r="G1788" t="inlineStr">
        <is>
          <t>Vui lòng sử dụng ứng dụng ngân ទំនិញ bất kỳ để ទូទាត់ប្រាក់ và không thoát màn hình cho đến khi ទទួល được លទ្ធផល giao dịch</t>
        </is>
      </c>
      <c r="H1788" t="inlineStr">
        <is>
          <t>Vui lòng sử dụng ứng dụng ngân ទំនិញ bất kỳ để ទូទាត់ប្រាក់ và không thoát màn hình cho đến khi ទទួល được លទ្ធផល giao dịch</t>
        </is>
      </c>
      <c r="I1788" s="111" t="n"/>
      <c r="J1788" s="217" t="inlineStr">
        <is>
          <t>"payment.paymentInstruction": "",</t>
        </is>
      </c>
    </row>
    <row r="1789" ht="15.75" customHeight="1" s="305">
      <c r="A1789" s="129" t="inlineStr">
        <is>
          <t>payment.checkResult</t>
        </is>
      </c>
      <c r="B1789" s="131" t="inlineStr">
        <is>
          <t>Tra cứu kết quả</t>
        </is>
      </c>
      <c r="C1789" s="67" t="n"/>
      <c r="D1789" s="3" t="n"/>
      <c r="E1789" s="3" t="n"/>
      <c r="F1789" s="217" t="n"/>
      <c r="G1789" t="inlineStr">
        <is>
          <t>Tra cứu លទ្ធផល</t>
        </is>
      </c>
      <c r="H1789" t="inlineStr">
        <is>
          <t>Tra cứu លទ្ធផល</t>
        </is>
      </c>
      <c r="I1789" s="111" t="n"/>
      <c r="J1789" s="217" t="inlineStr">
        <is>
          <t>"payment.checkResult": "",</t>
        </is>
      </c>
    </row>
    <row r="1790" ht="15.75" customHeight="1" s="305">
      <c r="A1790" s="129" t="inlineStr">
        <is>
          <t>payment.paid</t>
        </is>
      </c>
      <c r="B1790" s="131" t="inlineStr">
        <is>
          <t>Đã thanh toán</t>
        </is>
      </c>
      <c r="C1790" s="67" t="n"/>
      <c r="D1790" s="3" t="n"/>
      <c r="E1790" s="3" t="n"/>
      <c r="F1790" s="217" t="n"/>
      <c r="G1790" t="inlineStr">
        <is>
          <t>Đã ទូទាត់ប្រាក់</t>
        </is>
      </c>
      <c r="H1790" t="inlineStr">
        <is>
          <t>Đã ទូទាត់ប្រាក់</t>
        </is>
      </c>
      <c r="I1790" s="111" t="n"/>
      <c r="J1790" s="217" t="inlineStr">
        <is>
          <t>"payment.paid": "",</t>
        </is>
      </c>
    </row>
    <row r="1791" ht="15.75" customHeight="1" s="305">
      <c r="A1791" s="129" t="inlineStr">
        <is>
          <t>payment.paymentSuccess</t>
        </is>
      </c>
      <c r="B1791" s="131" t="inlineStr">
        <is>
          <t>Thanh toán thành công!</t>
        </is>
      </c>
      <c r="C1791" s="67" t="n"/>
      <c r="D1791" s="3" t="n"/>
      <c r="E1791" s="3" t="n"/>
      <c r="F1791" s="217" t="n"/>
      <c r="G1791" t="inlineStr">
        <is>
          <t>ទូទាត់ប្រាក់ ជោគជ័យ!</t>
        </is>
      </c>
      <c r="H1791" t="inlineStr">
        <is>
          <t>ទូទាត់ប្រាក់ ជោគជ័យ!</t>
        </is>
      </c>
      <c r="I1791" s="111" t="n"/>
      <c r="J1791" s="217" t="inlineStr">
        <is>
          <t>"payment.paymentSuccess": "",</t>
        </is>
      </c>
    </row>
    <row r="1792" ht="15.75" customHeight="1" s="305">
      <c r="A1792" s="129" t="inlineStr">
        <is>
          <t>payment.amount</t>
        </is>
      </c>
      <c r="B1792" s="131" t="inlineStr">
        <is>
          <t>Số tiền</t>
        </is>
      </c>
      <c r="C1792" s="67" t="n"/>
      <c r="D1792" s="3" t="n"/>
      <c r="E1792" s="3" t="n"/>
      <c r="F1792" s="217" t="n"/>
      <c r="G1792" t="inlineStr">
        <is>
          <t>ចំនួនទឹកប្រាក់</t>
        </is>
      </c>
      <c r="H1792" t="inlineStr">
        <is>
          <t>ចំនួនទឹកប្រាក់</t>
        </is>
      </c>
      <c r="I1792" s="111" t="n"/>
      <c r="J1792" s="217" t="inlineStr">
        <is>
          <t>"payment.amount": "",</t>
        </is>
      </c>
    </row>
    <row r="1793" ht="15.75" customHeight="1" s="305">
      <c r="A1793" s="129" t="inlineStr">
        <is>
          <t>payment.orderInfo</t>
        </is>
      </c>
      <c r="B1793" s="131" t="inlineStr">
        <is>
          <t>Thông tin đơn</t>
        </is>
      </c>
      <c r="C1793" s="67" t="n"/>
      <c r="D1793" s="3" t="n"/>
      <c r="E1793" s="3" t="n"/>
      <c r="F1793" s="217" t="n"/>
      <c r="G1793" t="inlineStr">
        <is>
          <t>ព័ត៌មាន បញ្ញើ</t>
        </is>
      </c>
      <c r="H1793" t="inlineStr">
        <is>
          <t>ព័ត៌មាន បញ្ញើ</t>
        </is>
      </c>
      <c r="I1793" s="111" t="n"/>
      <c r="J1793" s="217" t="inlineStr">
        <is>
          <t>"payment.orderInfo": "",</t>
        </is>
      </c>
    </row>
    <row r="1794" ht="15.75" customHeight="1" s="305">
      <c r="A1794" s="129" t="inlineStr">
        <is>
          <t>payment.receiver</t>
        </is>
      </c>
      <c r="B1794" s="131" t="inlineStr">
        <is>
          <t>Người nhận</t>
        </is>
      </c>
      <c r="C1794" s="67" t="n"/>
      <c r="D1794" s="3" t="n"/>
      <c r="E1794" s="3" t="n"/>
      <c r="F1794" s="217" t="n"/>
      <c r="G1794" t="inlineStr">
        <is>
          <t>អ្នកទទួល</t>
        </is>
      </c>
      <c r="H1794" t="inlineStr">
        <is>
          <t>អ្នកទទួល</t>
        </is>
      </c>
      <c r="I1794" s="111" t="n"/>
      <c r="J1794" s="217" t="inlineStr">
        <is>
          <t>"payment.receiver": "",</t>
        </is>
      </c>
    </row>
    <row r="1795" ht="15.75" customHeight="1" s="305">
      <c r="A1795" s="129" t="inlineStr">
        <is>
          <t>payment.product</t>
        </is>
      </c>
      <c r="B1795" s="131" t="inlineStr">
        <is>
          <t>Sản phẩm</t>
        </is>
      </c>
      <c r="C1795" s="67" t="n"/>
      <c r="D1795" s="3" t="n"/>
      <c r="E1795" s="3" t="n"/>
      <c r="F1795" s="217" t="n"/>
      <c r="G1795" t="inlineStr">
        <is>
          <t>ផលិតផល</t>
        </is>
      </c>
      <c r="H1795" t="inlineStr">
        <is>
          <t>ផលិតផល</t>
        </is>
      </c>
      <c r="I1795" s="111" t="n"/>
      <c r="J1795" s="217" t="inlineStr">
        <is>
          <t>"payment.product": "",</t>
        </is>
      </c>
    </row>
    <row r="1796" ht="15.75" customHeight="1" s="305">
      <c r="A1796" s="129" t="inlineStr">
        <is>
          <t>payment.codCollection</t>
        </is>
      </c>
      <c r="B1796" s="131" t="inlineStr">
        <is>
          <t>Thu hộ COD</t>
        </is>
      </c>
      <c r="C1796" s="67" t="n"/>
      <c r="D1796" s="3" t="n"/>
      <c r="E1796" s="3" t="n"/>
      <c r="F1796" s="217" t="n"/>
      <c r="G1796" t="inlineStr">
        <is>
          <t>ប្រមូលប្រាក់ COD</t>
        </is>
      </c>
      <c r="H1796" t="inlineStr">
        <is>
          <t>ប្រមូលប្រាក់ COD</t>
        </is>
      </c>
      <c r="I1796" s="111" t="n"/>
      <c r="J1796" s="217" t="inlineStr">
        <is>
          <t>"payment.codCollection": "",</t>
        </is>
      </c>
    </row>
    <row r="1797" ht="15.75" customHeight="1" s="305">
      <c r="A1797" s="129" t="inlineStr">
        <is>
          <t>payment.senderPaysShipping</t>
        </is>
      </c>
      <c r="B1797" s="131" t="inlineStr">
        <is>
          <t>Người gửi trả cước</t>
        </is>
      </c>
      <c r="C1797" s="67" t="n"/>
      <c r="D1797" s="3" t="n"/>
      <c r="E1797" s="3" t="n"/>
      <c r="F1797" s="217" t="n"/>
      <c r="G1797" t="inlineStr">
        <is>
          <t>Người ផ្ញើ trả cước</t>
        </is>
      </c>
      <c r="H1797" t="inlineStr">
        <is>
          <t>Người ផ្ញើ trả cước</t>
        </is>
      </c>
      <c r="I1797" s="111" t="n"/>
      <c r="J1797" s="217" t="inlineStr">
        <is>
          <t>"payment.senderPaysShipping": "",</t>
        </is>
      </c>
    </row>
    <row r="1798" ht="15.75" customHeight="1" s="305">
      <c r="A1798" s="129" t="inlineStr">
        <is>
          <t>payment.backToHome</t>
        </is>
      </c>
      <c r="B1798" s="131" t="inlineStr">
        <is>
          <t>Về trang chủ</t>
        </is>
      </c>
      <c r="C1798" s="67" t="n"/>
      <c r="D1798" s="3" t="n"/>
      <c r="E1798" s="3" t="n"/>
      <c r="F1798" s="217" t="n"/>
      <c r="G1798" t="inlineStr">
        <is>
          <t>ត្រឡប់ទៅទំព័រដើម</t>
        </is>
      </c>
      <c r="H1798" t="inlineStr">
        <is>
          <t>ត្រឡប់ទៅទំព័រដើម</t>
        </is>
      </c>
      <c r="I1798" s="111" t="n"/>
      <c r="J1798" s="217" t="inlineStr">
        <is>
          <t>"payment.backToHome": "",</t>
        </is>
      </c>
    </row>
    <row r="1799" ht="15.75" customHeight="1" s="305">
      <c r="A1799" s="129" t="inlineStr">
        <is>
          <t>payment.continueCreatingOrder</t>
        </is>
      </c>
      <c r="B1799" s="131" t="inlineStr">
        <is>
          <t>Tiếp tục tạo đơn</t>
        </is>
      </c>
      <c r="C1799" s="67" t="n"/>
      <c r="D1799" s="3" t="n"/>
      <c r="E1799" s="3" t="n"/>
      <c r="F1799" s="217" t="n"/>
      <c r="G1799" t="inlineStr">
        <is>
          <t>Tiếp tục tạo បញ្ញើ</t>
        </is>
      </c>
      <c r="H1799" t="inlineStr">
        <is>
          <t>Tiếp tục tạo បញ្ញើ</t>
        </is>
      </c>
      <c r="I1799" s="111" t="n"/>
      <c r="J1799" s="217" t="inlineStr">
        <is>
          <t>"payment.continueCreatingOrder": "",</t>
        </is>
      </c>
    </row>
    <row r="1800" ht="15.75" customHeight="1" s="305">
      <c r="A1800" s="129" t="inlineStr">
        <is>
          <t>payment.collectMoneySuccess</t>
        </is>
      </c>
      <c r="B1800" s="131" t="inlineStr">
        <is>
          <t>Xác nhận thu tiền về thành công!</t>
        </is>
      </c>
      <c r="C1800" s="67" t="n"/>
      <c r="D1800" s="3" t="n"/>
      <c r="E1800" s="3" t="n"/>
      <c r="F1800" s="217" t="n"/>
      <c r="G1800" t="inlineStr">
        <is>
          <t>បញ្ជាក់ ប្រមូលប្រាក់ về ជោគជ័យ!</t>
        </is>
      </c>
      <c r="H1800" t="inlineStr">
        <is>
          <t>បញ្ជាក់ ប្រមូលប្រាក់ về ជោគជ័យ!</t>
        </is>
      </c>
      <c r="I1800" s="111" t="n"/>
      <c r="J1800" s="217" t="inlineStr">
        <is>
          <t>"payment.collectMoneySuccess": "",</t>
        </is>
      </c>
    </row>
    <row r="1801" ht="15.75" customHeight="1" s="305">
      <c r="A1801" s="129" t="inlineStr">
        <is>
          <t>payment.confirmCashCollection</t>
        </is>
      </c>
      <c r="B1801" s="131" t="inlineStr">
        <is>
          <t>Xác nhận thu tiền mặt</t>
        </is>
      </c>
      <c r="C1801" s="67" t="n"/>
      <c r="D1801" s="3" t="n"/>
      <c r="E1801" s="3" t="n"/>
      <c r="F1801" s="217" t="n"/>
      <c r="G1801" t="inlineStr">
        <is>
          <t>បញ្ជាក់ ប្រមូលប្រាក់ mặt</t>
        </is>
      </c>
      <c r="H1801" t="inlineStr">
        <is>
          <t>បញ្ជាក់ ប្រមូលប្រាក់ mặt</t>
        </is>
      </c>
      <c r="I1801" s="111" t="n"/>
      <c r="J1801" s="217" t="inlineStr">
        <is>
          <t>"payment.confirmCashCollection": "",</t>
        </is>
      </c>
    </row>
    <row r="1802" ht="15.75" customHeight="1" s="305">
      <c r="A1802" s="129" t="inlineStr">
        <is>
          <t>payment.cashPaymentWarning</t>
        </is>
      </c>
      <c r="B1802" s="131" t="inlineStr">
        <is>
          <t>Công nợ sẽ được chuyển về bưu tá. Bạn có xác nhận cách thức thanh toán này không?</t>
        </is>
      </c>
      <c r="C1802" s="67" t="n"/>
      <c r="D1802" s="3" t="n"/>
      <c r="E1802" s="3" t="n"/>
      <c r="F1802" s="217" t="n"/>
      <c r="G1802" t="inlineStr">
        <is>
          <t>Công nợ sẽ được chuyển về បុគ្គលិកដឹកជញ្ជូន. Bạn có បញ្ជាក់ cách thức ទូទាត់ប្រាក់ này không?</t>
        </is>
      </c>
      <c r="H1802" t="inlineStr">
        <is>
          <t>Công nợ sẽ được chuyển về បុគ្គលិកដឹកជញ្ជូន. Bạn có បញ្ជាក់ cách thức ទូទាត់ប្រាក់ này không?</t>
        </is>
      </c>
      <c r="I1802" s="111" t="n"/>
      <c r="J1802" s="217" t="inlineStr">
        <is>
          <t>"payment.cashPaymentWarning": "",</t>
        </is>
      </c>
    </row>
    <row r="1803" ht="15.75" customHeight="1" s="305">
      <c r="A1803" s="129" t="inlineStr">
        <is>
          <t>payment.transactionNotRecorded</t>
        </is>
      </c>
      <c r="B1803" s="131" t="inlineStr">
        <is>
          <t>Giao dịch chưa được ghi nhận!</t>
        </is>
      </c>
      <c r="C1803" s="67" t="n"/>
      <c r="D1803" s="3" t="n"/>
      <c r="E1803" s="3" t="n"/>
      <c r="F1803" s="217" t="n"/>
      <c r="G1803" t="inlineStr">
        <is>
          <t>Giao dịch chưa được ghi ទទួល!</t>
        </is>
      </c>
      <c r="H1803" t="inlineStr">
        <is>
          <t>Giao dịch chưa được ghi ទទួល!</t>
        </is>
      </c>
      <c r="I1803" s="111" t="n"/>
      <c r="J1803" s="217" t="inlineStr">
        <is>
          <t>"payment.transactionNotRecorded": "",</t>
        </is>
      </c>
    </row>
    <row r="1804" ht="15.75" customHeight="1" s="305">
      <c r="A1804" s="129" t="inlineStr">
        <is>
          <t>payment.pleaseRetry</t>
        </is>
      </c>
      <c r="B1804" s="131" t="inlineStr">
        <is>
          <t>Vui lòng thực hiện lại</t>
        </is>
      </c>
      <c r="C1804" s="67" t="n"/>
      <c r="D1804" s="3" t="n"/>
      <c r="E1804" s="3" t="n"/>
      <c r="F1804" s="217" t="n"/>
      <c r="G1804" t="inlineStr">
        <is>
          <t>សូមព្យាយាមម្តងទៀត</t>
        </is>
      </c>
      <c r="H1804" t="inlineStr">
        <is>
          <t>សូមព្យាយាមម្តងទៀត</t>
        </is>
      </c>
      <c r="I1804" s="111" t="n"/>
      <c r="J1804" s="217" t="inlineStr">
        <is>
          <t>"payment.pleaseRetry": "",</t>
        </is>
      </c>
    </row>
    <row r="1805" ht="15.75" customHeight="1" s="305">
      <c r="A1805" s="129" t="inlineStr">
        <is>
          <t>payment.transactionPending</t>
        </is>
      </c>
      <c r="B1805" s="131" t="inlineStr">
        <is>
          <t>Giao dịch đang chờ kết quả thanh toán!</t>
        </is>
      </c>
      <c r="C1805" s="67" t="n"/>
      <c r="D1805" s="3" t="n"/>
      <c r="E1805" s="3" t="n"/>
      <c r="F1805" s="217" t="n"/>
      <c r="G1805" t="inlineStr">
        <is>
          <t>Giao dịch đang chờ លទ្ធផល ទូទាត់ប្រាក់!</t>
        </is>
      </c>
      <c r="H1805" t="inlineStr">
        <is>
          <t>Giao dịch đang chờ លទ្ធផល ទូទាត់ប្រាក់!</t>
        </is>
      </c>
      <c r="I1805" s="111" t="n"/>
      <c r="J1805" s="217" t="inlineStr">
        <is>
          <t>"payment.transactionPending": "",</t>
        </is>
      </c>
    </row>
    <row r="1806" ht="15.75" customHeight="1" s="305">
      <c r="A1806" s="129" t="inlineStr">
        <is>
          <t>payment.pleaseWait</t>
        </is>
      </c>
      <c r="B1806" s="131" t="inlineStr">
        <is>
          <t>Vui lòng chờ trong giây lát</t>
        </is>
      </c>
      <c r="C1806" s="67" t="n"/>
      <c r="D1806" s="3" t="n"/>
      <c r="E1806" s="3" t="n"/>
      <c r="F1806" s="217" t="n"/>
      <c r="G1806" t="inlineStr">
        <is>
          <t>សូមរង់ចាំបន្តិច</t>
        </is>
      </c>
      <c r="H1806" t="inlineStr">
        <is>
          <t>សូមរង់ចាំបន្តិច</t>
        </is>
      </c>
      <c r="I1806" s="111" t="n"/>
      <c r="J1806" s="217" t="inlineStr">
        <is>
          <t>"payment.pleaseWait": "",</t>
        </is>
      </c>
    </row>
    <row r="1807" ht="15.75" customHeight="1" s="305">
      <c r="A1807" s="129" t="inlineStr">
        <is>
          <t>payment.qrCancelWarning</t>
        </is>
      </c>
      <c r="B1807" s="131" t="inlineStr">
        <is>
          <t>Mã QR sẽ bị hủy khi thực hiện thao tác quay lại, bạn có xác nhận quay lại không?</t>
        </is>
      </c>
      <c r="C1807" s="67" t="n"/>
      <c r="D1807" s="3" t="n"/>
      <c r="E1807" s="3" t="n"/>
      <c r="F1807" s="217" t="n"/>
      <c r="G1807" t="inlineStr">
        <is>
          <t>លេខកូដQR sẽ bị លុបចោល khi thực hiện thao tác quay lại, bạn có បញ្ជាក់ quay lại không?</t>
        </is>
      </c>
      <c r="H1807" t="inlineStr">
        <is>
          <t>លេខកូដQR sẽ bị លុបចោល khi thực hiện thao tác quay lại, bạn có បញ្ជាក់ quay lại không?</t>
        </is>
      </c>
      <c r="I1807" s="111" t="n"/>
      <c r="J1807" s="217" t="inlineStr">
        <is>
          <t>"payment.qrCancelWarning": "",</t>
        </is>
      </c>
    </row>
    <row r="1808" ht="15.75" customHeight="1" s="305">
      <c r="A1808" s="129" t="inlineStr">
        <is>
          <t>payment.transactionInfo</t>
        </is>
      </c>
      <c r="B1808" s="131" t="inlineStr">
        <is>
          <t>Thông tin giao dịch</t>
        </is>
      </c>
      <c r="C1808" s="67" t="n"/>
      <c r="D1808" s="3" t="n"/>
      <c r="E1808" s="3" t="n"/>
      <c r="F1808" s="217" t="n"/>
      <c r="G1808" t="inlineStr">
        <is>
          <t>ព័ត៌មាន giao dịch</t>
        </is>
      </c>
      <c r="H1808" t="inlineStr">
        <is>
          <t>ព័ត៌មាន giao dịch</t>
        </is>
      </c>
      <c r="I1808" s="111" t="n"/>
      <c r="J1808" s="217" t="inlineStr">
        <is>
          <t>"payment.transactionInfo": "",</t>
        </is>
      </c>
    </row>
    <row r="1809" ht="15.75" customHeight="1" s="305">
      <c r="A1809" s="129" t="inlineStr">
        <is>
          <t>payment.status</t>
        </is>
      </c>
      <c r="B1809" s="131" t="inlineStr">
        <is>
          <t>Trạng thái</t>
        </is>
      </c>
      <c r="C1809" s="67" t="n"/>
      <c r="D1809" s="3" t="n"/>
      <c r="E1809" s="3" t="n"/>
      <c r="F1809" s="217" t="n"/>
      <c r="G1809" t="inlineStr">
        <is>
          <t>ស្ថានភាព</t>
        </is>
      </c>
      <c r="H1809" t="inlineStr">
        <is>
          <t>ស្ថានភាព</t>
        </is>
      </c>
      <c r="I1809" s="111" t="n"/>
      <c r="J1809" s="217" t="inlineStr">
        <is>
          <t>"payment.status": "",</t>
        </is>
      </c>
    </row>
    <row r="1810" ht="15.75" customHeight="1" s="305">
      <c r="A1810" s="129" t="inlineStr">
        <is>
          <t>payment.transactionCode</t>
        </is>
      </c>
      <c r="B1810" s="131" t="inlineStr">
        <is>
          <t>Mã giao dịch</t>
        </is>
      </c>
      <c r="C1810" s="67" t="n"/>
      <c r="D1810" s="3" t="n"/>
      <c r="E1810" s="3" t="n"/>
      <c r="F1810" s="217" t="n"/>
      <c r="G1810" t="inlineStr">
        <is>
          <t>លេខកូដgiao dịch</t>
        </is>
      </c>
      <c r="H1810" t="inlineStr">
        <is>
          <t>លេខកូដgiao dịch</t>
        </is>
      </c>
      <c r="I1810" s="111" t="n"/>
      <c r="J1810" s="217" t="inlineStr">
        <is>
          <t>"payment.transactionCode": "",</t>
        </is>
      </c>
    </row>
    <row r="1811" ht="15.75" customHeight="1" s="305">
      <c r="A1811" s="129" t="inlineStr">
        <is>
          <t>payment.transactionTime</t>
        </is>
      </c>
      <c r="B1811" s="131" t="inlineStr">
        <is>
          <t>Thời gian giao dịch</t>
        </is>
      </c>
      <c r="C1811" s="67" t="n"/>
      <c r="D1811" s="3" t="n"/>
      <c r="E1811" s="3" t="n"/>
      <c r="F1811" s="217" t="n"/>
      <c r="G1811" t="inlineStr">
        <is>
          <t>ពេលវេលាgiao dịch</t>
        </is>
      </c>
      <c r="H1811" t="inlineStr">
        <is>
          <t>ពេលវេលាgiao dịch</t>
        </is>
      </c>
      <c r="I1811" s="111" t="n"/>
      <c r="J1811" s="217" t="inlineStr">
        <is>
          <t>"payment.transactionTime": "",</t>
        </is>
      </c>
    </row>
    <row r="1812" ht="15.75" customHeight="1" s="305">
      <c r="A1812" s="129" t="inlineStr">
        <is>
          <t>payment.totalPaymentAmount</t>
        </is>
      </c>
      <c r="B1812" s="131" t="inlineStr">
        <is>
          <t>Tổng tiền thanh toán</t>
        </is>
      </c>
      <c r="C1812" s="67" t="n"/>
      <c r="D1812" s="3" t="n"/>
      <c r="E1812" s="3" t="n"/>
      <c r="F1812" s="217" t="n"/>
      <c r="G1812" t="inlineStr">
        <is>
          <t>ចំនួនtiền ទូទាត់ប្រាក់សរុប</t>
        </is>
      </c>
      <c r="H1812" t="inlineStr">
        <is>
          <t>ចំនួនtiền ទូទាត់ប្រាក់សរុប</t>
        </is>
      </c>
      <c r="I1812" s="111" t="n"/>
      <c r="J1812" s="217" t="inlineStr">
        <is>
          <t>"payment.totalPaymentAmount": "",</t>
        </is>
      </c>
    </row>
    <row r="1813" ht="15.75" customHeight="1" s="305">
      <c r="A1813" s="129" t="inlineStr">
        <is>
          <t>payment.success</t>
        </is>
      </c>
      <c r="B1813" s="131" t="inlineStr">
        <is>
          <t>Thành công</t>
        </is>
      </c>
      <c r="C1813" s="67" t="n"/>
      <c r="D1813" s="3" t="n"/>
      <c r="E1813" s="3" t="n"/>
      <c r="F1813" s="217" t="n"/>
      <c r="G1813" t="inlineStr">
        <is>
          <t>ជោគជ័យ</t>
        </is>
      </c>
      <c r="H1813" t="inlineStr">
        <is>
          <t>ជោគជ័យ</t>
        </is>
      </c>
      <c r="I1813" s="111" t="n"/>
      <c r="J1813" s="217" t="inlineStr">
        <is>
          <t>"payment.success": "",</t>
        </is>
      </c>
    </row>
    <row r="1814" ht="15.75" customHeight="1" s="305">
      <c r="A1814" s="129" t="inlineStr">
        <is>
          <t>payment.failed</t>
        </is>
      </c>
      <c r="B1814" s="131" t="inlineStr">
        <is>
          <t>Thất bại</t>
        </is>
      </c>
      <c r="C1814" s="67" t="n"/>
      <c r="D1814" s="3" t="n"/>
      <c r="E1814" s="3" t="n"/>
      <c r="F1814" s="217" t="n"/>
      <c r="G1814" t="inlineStr">
        <is>
          <t>បរាជ័យ</t>
        </is>
      </c>
      <c r="H1814" t="inlineStr">
        <is>
          <t>បរាជ័យ</t>
        </is>
      </c>
      <c r="I1814" s="111" t="n"/>
      <c r="J1814" s="217" t="inlineStr">
        <is>
          <t>"payment.failed": "",</t>
        </is>
      </c>
    </row>
    <row r="1815" ht="15.75" customHeight="1" s="305">
      <c r="A1815" s="129" t="inlineStr">
        <is>
          <t>payment.undefined</t>
        </is>
      </c>
      <c r="B1815" s="131" t="inlineStr">
        <is>
          <t>Chưa xác định</t>
        </is>
      </c>
      <c r="C1815" s="67" t="n"/>
      <c r="D1815" s="3" t="n"/>
      <c r="E1815" s="3" t="n"/>
      <c r="F1815" s="217" t="n"/>
      <c r="G1815" t="inlineStr">
        <is>
          <t>មិនទាន់កំណត់</t>
        </is>
      </c>
      <c r="H1815" t="inlineStr">
        <is>
          <t>មិនទាន់កំណត់</t>
        </is>
      </c>
      <c r="I1815" s="111" t="n"/>
      <c r="J1815" s="217" t="inlineStr">
        <is>
          <t>"payment.undefined": "",</t>
        </is>
      </c>
    </row>
    <row r="1816" ht="15.75" customHeight="1" s="305">
      <c r="A1816" s="129" t="inlineStr">
        <is>
          <t>payment.invalidPaymentStatus</t>
        </is>
      </c>
      <c r="B1816" s="130" t="inlineStr">
        <is>
          <t>Thanh toán không hợp lệ, vui lòng kiểm tra lại trạng thái thanh toán của đơn</t>
        </is>
      </c>
      <c r="C1816" s="67" t="n"/>
      <c r="D1816" s="3" t="n"/>
      <c r="E1816" s="3" t="n"/>
      <c r="F1816" s="217" t="n"/>
      <c r="G1816" t="inlineStr">
        <is>
          <t>ទូទាត់ប្រាក់ không hợp lệ, vui lòng kiểm tra lại ស្ថានភាព ទូទាត់ប្រាក់ của បញ្ញើ</t>
        </is>
      </c>
      <c r="H1816" t="inlineStr">
        <is>
          <t>ទូទាត់ប្រាក់ không hợp lệ, vui lòng kiểm tra lại ស្ថានភាព ទូទាត់ប្រាក់ của បញ្ញើ</t>
        </is>
      </c>
      <c r="I1816" s="111" t="n"/>
      <c r="J1816" s="217" t="inlineStr">
        <is>
          <t>"payment.invalidPaymentStatus": "",</t>
        </is>
      </c>
    </row>
    <row r="1817" ht="15.75" customHeight="1" s="305">
      <c r="A1817" s="129" t="inlineStr">
        <is>
          <t>payment.orderCreatedPendingPayment</t>
        </is>
      </c>
      <c r="B1817" s="130" t="inlineStr">
        <is>
          <t>Đơn &lt;b&gt;{{value}}&lt;/b&gt; đã được tạo thành công nhưng chưa thanh toán, đề nghị hoàn tất thanh toán</t>
        </is>
      </c>
      <c r="C1817" s="67" t="n"/>
      <c r="D1817" s="3" t="n"/>
      <c r="E1817" s="3" t="n"/>
      <c r="F1817" s="217" t="n"/>
      <c r="G1817" t="inlineStr">
        <is>
          <t>បញ្ញើ &lt;b&gt;{{value}}&lt;/b&gt; đã được tạo ជោគជ័យ nhưng chưa ទូទាត់ប្រាក់, đề nghị រួចរាល់ ទូទាត់ប្រាក់</t>
        </is>
      </c>
      <c r="H1817" t="inlineStr">
        <is>
          <t>បញ្ញើ &lt;b&gt;{{value}}&lt;/b&gt; đã được tạo ជោគជ័យ nhưng chưa ទូទាត់ប្រាក់, đề nghị រួចរាល់ ទូទាត់ប្រាក់</t>
        </is>
      </c>
      <c r="I1817" s="111" t="n"/>
      <c r="J1817" s="217" t="inlineStr">
        <is>
          <t>"payment.orderCreatedPendingPayment": "",</t>
        </is>
      </c>
    </row>
    <row r="1818" ht="15.75" customHeight="1" s="305">
      <c r="A1818" s="219" t="n"/>
      <c r="B1818" s="133" t="n"/>
      <c r="C1818" s="67" t="n"/>
      <c r="D1818" s="3" t="n"/>
      <c r="E1818" s="3" t="n"/>
      <c r="F1818" s="217" t="n"/>
      <c r="G1818" t="inlineStr"/>
      <c r="H1818" t="inlineStr"/>
      <c r="I1818" s="111" t="n"/>
      <c r="J1818" s="217" t="inlineStr"/>
    </row>
    <row r="1819" ht="15.75" customHeight="1" s="305">
      <c r="A1819" s="219" t="n"/>
      <c r="B1819" s="133" t="n"/>
      <c r="C1819" s="67" t="n"/>
      <c r="D1819" s="3" t="n"/>
      <c r="E1819" s="3" t="n"/>
      <c r="F1819" s="217" t="n"/>
      <c r="G1819" t="inlineStr"/>
      <c r="H1819" t="inlineStr"/>
      <c r="I1819" s="111" t="n"/>
      <c r="J1819" s="217" t="inlineStr"/>
    </row>
    <row r="1820" ht="15.75" customHeight="1" s="305">
      <c r="A1820" s="219" t="n"/>
      <c r="B1820" s="134" t="inlineStr">
        <is>
          <t>Dịch vụ chuyên tuyến Cambodia - Việt Nam</t>
        </is>
      </c>
      <c r="C1820" s="67" t="n"/>
      <c r="D1820" s="3" t="n"/>
      <c r="F1820" s="217" t="n"/>
      <c r="G1820" s="134" t="inlineStr">
        <is>
          <t>សេវាកម្មដឹកជញ្ជូនពិសេស កម្ពុជា - វៀតណាម</t>
        </is>
      </c>
      <c r="H1820" t="inlineStr">
        <is>
          <t>សេវាកម្មដឹកជញ្ជូនពិសេស កម្ពុជា - វៀតណាម</t>
        </is>
      </c>
      <c r="I1820" s="111" t="n"/>
      <c r="J1820" s="217" t="inlineStr"/>
    </row>
    <row r="1821" ht="15.75" customHeight="1" s="305">
      <c r="A1821" s="219" t="n"/>
      <c r="B1821" s="134" t="inlineStr">
        <is>
          <t>Chờ kết nối quốc tế</t>
        </is>
      </c>
      <c r="C1821" s="67" t="n"/>
      <c r="D1821" s="3" t="n"/>
      <c r="F1821" s="217" t="n"/>
      <c r="G1821" s="134" t="inlineStr">
        <is>
          <t>រង់ចាំការភ្ជាប់ទំនាក់ទំនងអន្តរជាតិ</t>
        </is>
      </c>
      <c r="H1821" t="inlineStr">
        <is>
          <t>រង់ចាំការភ្ជាប់ទំនាក់ទំនងអន្តរជាតិ</t>
        </is>
      </c>
      <c r="I1821" s="111" t="n"/>
      <c r="J1821" s="217" t="inlineStr"/>
    </row>
    <row r="1822" ht="15.75" customHeight="1" s="305">
      <c r="A1822" s="219" t="n"/>
      <c r="B1822" s="134" t="inlineStr">
        <is>
          <t>Tồn chưa kết nối quốc tế</t>
        </is>
      </c>
      <c r="C1822" s="67" t="n"/>
      <c r="D1822" s="3" t="n"/>
      <c r="F1822" s="217" t="n"/>
      <c r="G1822" s="134" t="inlineStr">
        <is>
          <t>អីវ៉ាន់នៅសល់មិនទាន់ភ្ជាប់ទំនាក់ទំនងអន្តរជាតិ</t>
        </is>
      </c>
      <c r="H1822" t="inlineStr">
        <is>
          <t>អីវ៉ាន់នៅសល់មិនទាន់ភ្ជាប់ទំនាក់ទំនងអន្តរជាតិ</t>
        </is>
      </c>
      <c r="I1822" s="111" t="n"/>
      <c r="J1822" s="217" t="inlineStr"/>
    </row>
    <row r="1823" ht="15.75" customHeight="1" s="305">
      <c r="A1823" s="215" t="n"/>
      <c r="B1823" s="134" t="inlineStr">
        <is>
          <t>Đang vận chuyển quốc tế</t>
        </is>
      </c>
      <c r="C1823" s="67" t="n"/>
      <c r="D1823" s="3" t="n"/>
      <c r="F1823" s="217" t="n"/>
      <c r="G1823" s="134" t="inlineStr">
        <is>
          <t>កំពុងដឹកជញ្ជូនអន្តរជាតិ</t>
        </is>
      </c>
      <c r="H1823" t="inlineStr">
        <is>
          <t>កំពុងដឹកជញ្ជូនអន្តរជាតិ</t>
        </is>
      </c>
      <c r="I1823" s="111" t="n"/>
      <c r="J1823" s="217" t="inlineStr"/>
    </row>
    <row r="1824" ht="15.75" customHeight="1" s="305">
      <c r="A1824" s="215" t="n"/>
      <c r="B1824" s="134" t="inlineStr">
        <is>
          <t>Đang vận chuyển quốc tế đến nước nhận</t>
        </is>
      </c>
      <c r="C1824" s="67" t="n"/>
      <c r="D1824" s="3" t="n"/>
      <c r="F1824" s="217" t="n"/>
      <c r="G1824" s="134" t="inlineStr">
        <is>
          <t>កំពុងដឹកជញ្ជូនអន្តរជាតិទៅកាន់ប្រទេសទទួល</t>
        </is>
      </c>
      <c r="H1824" t="inlineStr">
        <is>
          <t>កំពុងដឹកជញ្ជូនអន្តរជាតិទៅកាន់ប្រទេសទទួល</t>
        </is>
      </c>
      <c r="I1824" s="111" t="n"/>
      <c r="J1824" s="217" t="inlineStr"/>
    </row>
    <row r="1825" ht="15.75" customHeight="1" s="305">
      <c r="A1825" s="215" t="n"/>
      <c r="B1825" s="134" t="inlineStr">
        <is>
          <t>Đã đến nước nhận</t>
        </is>
      </c>
      <c r="C1825" s="67" t="n"/>
      <c r="D1825" s="3" t="n"/>
      <c r="F1825" s="217" t="n"/>
      <c r="G1825" s="134" t="inlineStr">
        <is>
          <t>បានមកដល់ប្រទេសទទួល/</t>
        </is>
      </c>
      <c r="H1825" t="inlineStr">
        <is>
          <t>បានមកដល់ប្រទេសទទួល/</t>
        </is>
      </c>
      <c r="I1825" s="111" t="n"/>
      <c r="J1825" s="217" t="inlineStr"/>
    </row>
    <row r="1826" ht="15.75" customHeight="1" s="305">
      <c r="A1826" s="215" t="n"/>
      <c r="B1826" s="134" t="inlineStr">
        <is>
          <t>Đang thông quan</t>
        </is>
      </c>
      <c r="C1826" s="67" t="n"/>
      <c r="D1826" s="3" t="n"/>
      <c r="F1826" s="217" t="n"/>
      <c r="G1826" s="134" t="inlineStr">
        <is>
          <t>កំពុងឆ្លងកាត់គយ</t>
        </is>
      </c>
      <c r="H1826" t="inlineStr">
        <is>
          <t>កំពុងឆ្លងកាត់គយ</t>
        </is>
      </c>
      <c r="I1826" s="111" t="n"/>
      <c r="J1826" s="217" t="inlineStr"/>
    </row>
    <row r="1827" ht="15.75" customHeight="1" s="305">
      <c r="A1827" s="215" t="n"/>
      <c r="B1827" s="134" t="inlineStr">
        <is>
          <t>Đang trong quá trình thông quan tại nước nhận</t>
        </is>
      </c>
      <c r="C1827" s="67" t="n"/>
      <c r="D1827" s="3" t="n"/>
      <c r="F1827" s="217" t="n"/>
      <c r="G1827" s="134" t="inlineStr">
        <is>
          <t>កំពុងស្ថិតក្នុងដំណើរការឆ្លងកាត់គយនៅប្រទេសទទួល</t>
        </is>
      </c>
      <c r="H1827" t="inlineStr">
        <is>
          <t>កំពុងស្ថិតក្នុងដំណើរការឆ្លងកាត់គយនៅប្រទេសទទួល</t>
        </is>
      </c>
      <c r="I1827" s="111" t="n"/>
      <c r="J1827" s="217" t="inlineStr"/>
    </row>
    <row r="1828" ht="15.75" customHeight="1" s="305">
      <c r="A1828" s="215" t="n"/>
      <c r="B1828" s="134" t="inlineStr">
        <is>
          <t>Thông quan thất bại</t>
        </is>
      </c>
      <c r="C1828" s="67" t="n"/>
      <c r="D1828" s="3" t="n"/>
      <c r="F1828" s="217" t="n"/>
      <c r="G1828" s="134" t="inlineStr">
        <is>
          <t>ឆ្លងគយបរាជ័យ</t>
        </is>
      </c>
      <c r="H1828" t="inlineStr">
        <is>
          <t>ឆ្លងគយបរាជ័យ</t>
        </is>
      </c>
      <c r="I1828" s="111" t="n"/>
      <c r="J1828" s="217" t="inlineStr"/>
    </row>
    <row r="1829" ht="15.75" customHeight="1" s="305">
      <c r="A1829" s="215" t="n"/>
      <c r="B1829" s="134" t="inlineStr">
        <is>
          <t>Hoàn tất thông quan</t>
        </is>
      </c>
      <c r="C1829" s="67" t="n"/>
      <c r="D1829" s="3" t="n"/>
      <c r="F1829" s="217" t="n"/>
      <c r="G1829" s="134" t="inlineStr">
        <is>
          <t>ឆ្លងគយជោគជ័យ</t>
        </is>
      </c>
      <c r="H1829" t="inlineStr">
        <is>
          <t>ឆ្លងគយជោគជ័យ</t>
        </is>
      </c>
      <c r="I1829" s="111" t="n"/>
      <c r="J1829" s="217" t="inlineStr"/>
    </row>
    <row r="1830" ht="15.75" customHeight="1" s="305">
      <c r="A1830" s="215" t="n"/>
      <c r="B1830" s="134" t="inlineStr">
        <is>
          <t>Đang vận chuyển nội địa</t>
        </is>
      </c>
      <c r="C1830" s="67" t="n"/>
      <c r="D1830" s="3" t="n"/>
      <c r="F1830" s="217" t="n"/>
      <c r="G1830" s="134" t="inlineStr">
        <is>
          <t>កំពុងដឹកជញ្ជូនក្នុងប្រទេស</t>
        </is>
      </c>
      <c r="H1830" t="inlineStr">
        <is>
          <t>កំពុងដឹកជញ្ជូនក្នុងប្រទេស</t>
        </is>
      </c>
      <c r="I1830" s="111" t="n"/>
      <c r="J1830" s="217" t="inlineStr"/>
    </row>
    <row r="1831" ht="15.75" customHeight="1" s="305">
      <c r="A1831" s="215" t="n"/>
      <c r="B1831" s="134" t="inlineStr">
        <is>
          <t>Đang trên đường vận chuyển đến nơi giao hàng</t>
        </is>
      </c>
      <c r="C1831" s="67" t="n"/>
      <c r="D1831" s="3" t="n"/>
      <c r="F1831" s="217" t="n"/>
      <c r="G1831" s="134" t="inlineStr">
        <is>
          <t>កំពុងនៅលើផ្លូវដឹកជញ្ជូនទៅកាន់ទីតាំងប្រគល់អីវ៉ាន់</t>
        </is>
      </c>
      <c r="H1831" t="inlineStr">
        <is>
          <t>កំពុងនៅលើផ្លូវដឹកជញ្ជូនទៅកាន់ទីតាំងប្រគល់អីវ៉ាន់</t>
        </is>
      </c>
      <c r="I1831" s="111" t="n"/>
      <c r="J1831" s="217" t="inlineStr"/>
    </row>
    <row r="1832" ht="15.75" customHeight="1" s="305">
      <c r="A1832" s="215" t="n"/>
      <c r="B1832" s="133" t="n"/>
      <c r="C1832" s="67" t="n"/>
      <c r="D1832" s="3" t="n"/>
      <c r="E1832" s="3" t="n"/>
      <c r="F1832" s="3" t="n"/>
      <c r="G1832" t="inlineStr"/>
      <c r="H1832" t="inlineStr"/>
      <c r="I1832" s="111" t="n"/>
      <c r="J1832" s="217" t="inlineStr"/>
    </row>
    <row r="1833" ht="15.75" customHeight="1" s="305">
      <c r="A1833" s="215" t="n"/>
      <c r="B1833" s="136" t="inlineStr">
        <is>
          <t>Chỉ trưởng bưu cục được thực hiện (chuyển) phân công đơn [mã vận đơn]</t>
        </is>
      </c>
      <c r="C1833" s="136" t="inlineStr">
        <is>
          <t>Only the Head of Post Office can assign (transfer) orders [Tracking Number]</t>
        </is>
      </c>
      <c r="D1833" s="3" t="n"/>
      <c r="E1833" s="3" t="n"/>
      <c r="F1833" s="3" t="n"/>
      <c r="G1833" s="136" t="inlineStr">
        <is>
          <t>មានតែប្រធានសាខា ប៉ុណ្ណោះ ដែលមានសិទ្ធិអនុវត្ត (ផ្ទេរ) ការបែងចែកបុង [លេខកូដបុងបញ្ញើ]</t>
        </is>
      </c>
      <c r="H1833" t="inlineStr">
        <is>
          <t>មានតែប្រធានសាខា ប៉ុណ្ណោះ ដែលមានសិទ្ធិអនុវត្ត (ផ្ទេរ) ការបែងចែកបុង [លេខកូដបុងបញ្ញើ]</t>
        </is>
      </c>
      <c r="I1833" s="111" t="n"/>
      <c r="J1833" s="217" t="inlineStr"/>
    </row>
    <row r="1834" ht="15.75" customHeight="1" s="305">
      <c r="A1834" s="215" t="n"/>
      <c r="B1834" s="115" t="n"/>
      <c r="C1834" s="67" t="n"/>
      <c r="D1834" s="3" t="n"/>
      <c r="E1834" s="3" t="n"/>
      <c r="F1834" s="217" t="n"/>
      <c r="G1834" t="inlineStr"/>
      <c r="H1834" t="inlineStr"/>
      <c r="I1834" s="111" t="n"/>
      <c r="J1834" s="217" t="inlineStr"/>
    </row>
    <row r="1835" ht="15.75" customHeight="1" s="305">
      <c r="A1835" s="215" t="n"/>
      <c r="B1835" s="115" t="n"/>
      <c r="C1835" s="67" t="n"/>
      <c r="D1835" s="3" t="n"/>
      <c r="E1835" s="3" t="n"/>
      <c r="F1835" s="217" t="n"/>
      <c r="G1835" t="inlineStr"/>
      <c r="H1835" t="inlineStr"/>
      <c r="I1835" s="111" t="n"/>
      <c r="J1835" s="217" t="inlineStr"/>
    </row>
    <row r="1836" ht="15.75" customHeight="1" s="305">
      <c r="A1836" s="215" t="n"/>
      <c r="B1836" s="115" t="n"/>
      <c r="C1836" s="67" t="n"/>
      <c r="D1836" s="3" t="n"/>
      <c r="E1836" s="3" t="n"/>
      <c r="F1836" s="217" t="n"/>
      <c r="G1836" t="inlineStr"/>
      <c r="H1836" t="inlineStr"/>
      <c r="I1836" s="111" t="n"/>
      <c r="J1836" s="217" t="inlineStr"/>
    </row>
    <row r="1837" ht="15.75" customHeight="1" s="305">
      <c r="A1837" s="215" t="n"/>
      <c r="B1837" s="115" t="n"/>
      <c r="C1837" s="67" t="n"/>
      <c r="D1837" s="3" t="n"/>
      <c r="E1837" s="3" t="n"/>
      <c r="F1837" s="217" t="n"/>
      <c r="G1837" t="inlineStr"/>
      <c r="H1837" t="inlineStr"/>
      <c r="I1837" s="111" t="n"/>
      <c r="J1837" s="217" t="inlineStr"/>
    </row>
    <row r="1838" ht="15.75" customHeight="1" s="305">
      <c r="A1838" s="215" t="n"/>
      <c r="B1838" s="115" t="n"/>
      <c r="C1838" s="67" t="n"/>
      <c r="D1838" s="3" t="n"/>
      <c r="E1838" s="3" t="n"/>
      <c r="F1838" s="217" t="n"/>
      <c r="G1838" t="inlineStr"/>
      <c r="H1838" t="inlineStr"/>
      <c r="I1838" s="111" t="n"/>
      <c r="J1838" s="217" t="inlineStr"/>
    </row>
    <row r="1839" ht="15.75" customHeight="1" s="305">
      <c r="A1839" s="215" t="n"/>
      <c r="B1839" s="115" t="n"/>
      <c r="C1839" s="67" t="n"/>
      <c r="D1839" s="3" t="n"/>
      <c r="E1839" s="3" t="n"/>
      <c r="F1839" s="217" t="n"/>
      <c r="G1839" t="inlineStr"/>
      <c r="H1839" t="inlineStr"/>
      <c r="I1839" s="111" t="n"/>
      <c r="J1839" s="217" t="inlineStr"/>
    </row>
    <row r="1840" ht="15.75" customHeight="1" s="305">
      <c r="A1840" s="215" t="n"/>
      <c r="B1840" s="115" t="n"/>
      <c r="C1840" s="67" t="n"/>
      <c r="D1840" s="3" t="n"/>
      <c r="E1840" s="3" t="n"/>
      <c r="F1840" s="217" t="n"/>
      <c r="G1840" t="inlineStr"/>
      <c r="H1840" t="inlineStr"/>
      <c r="I1840" s="111" t="n"/>
      <c r="J1840" s="217" t="inlineStr"/>
    </row>
    <row r="1841" ht="15.75" customHeight="1" s="305">
      <c r="A1841" s="215" t="n"/>
      <c r="B1841" s="115" t="n"/>
      <c r="C1841" s="67" t="n"/>
      <c r="D1841" s="3" t="n"/>
      <c r="E1841" s="3" t="n"/>
      <c r="F1841" s="217" t="n"/>
      <c r="G1841" t="inlineStr"/>
      <c r="H1841" t="inlineStr"/>
      <c r="I1841" s="111" t="n"/>
      <c r="J1841" s="217" t="inlineStr"/>
    </row>
    <row r="1842" ht="15.75" customHeight="1" s="305">
      <c r="A1842" s="215" t="n"/>
      <c r="B1842" s="115" t="n"/>
      <c r="C1842" s="67" t="n"/>
      <c r="D1842" s="3" t="n"/>
      <c r="E1842" s="3" t="n"/>
      <c r="F1842" s="217" t="n"/>
      <c r="G1842" t="inlineStr"/>
      <c r="H1842" t="inlineStr"/>
      <c r="I1842" s="111" t="n"/>
      <c r="J1842" s="217" t="inlineStr"/>
    </row>
    <row r="1843" ht="15.75" customHeight="1" s="305">
      <c r="A1843" s="215" t="n"/>
      <c r="B1843" s="115" t="n"/>
      <c r="C1843" s="67" t="n"/>
      <c r="D1843" s="3" t="n"/>
      <c r="E1843" s="3" t="n"/>
      <c r="F1843" s="217" t="n"/>
      <c r="G1843" t="inlineStr"/>
      <c r="H1843" t="inlineStr"/>
      <c r="I1843" s="111" t="n"/>
      <c r="J1843" s="217" t="inlineStr"/>
    </row>
    <row r="1844" ht="15.75" customHeight="1" s="305">
      <c r="A1844" s="215" t="n"/>
      <c r="B1844" s="115" t="n"/>
      <c r="C1844" s="67" t="n"/>
      <c r="D1844" s="3" t="n"/>
      <c r="E1844" s="3" t="n"/>
      <c r="F1844" s="217" t="n"/>
      <c r="G1844" t="inlineStr"/>
      <c r="H1844" t="inlineStr"/>
      <c r="I1844" s="111" t="n"/>
      <c r="J1844" s="217" t="inlineStr"/>
    </row>
    <row r="1845" ht="15.75" customHeight="1" s="305">
      <c r="A1845" s="215" t="n"/>
      <c r="B1845" s="115" t="n"/>
      <c r="C1845" s="67" t="n"/>
      <c r="D1845" s="3" t="n"/>
      <c r="E1845" s="3" t="n"/>
      <c r="F1845" s="217" t="n"/>
      <c r="G1845" t="inlineStr"/>
      <c r="H1845" t="inlineStr"/>
      <c r="I1845" s="111" t="n"/>
      <c r="J1845" s="217" t="inlineStr"/>
    </row>
    <row r="1846" ht="15.75" customHeight="1" s="305">
      <c r="A1846" s="215" t="n"/>
      <c r="B1846" s="115" t="n"/>
      <c r="C1846" s="67" t="n"/>
      <c r="D1846" s="3" t="n"/>
      <c r="E1846" s="3" t="n"/>
      <c r="F1846" s="217" t="n"/>
      <c r="G1846" t="inlineStr"/>
      <c r="H1846" t="inlineStr"/>
      <c r="I1846" s="111" t="n"/>
      <c r="J1846" s="217" t="inlineStr"/>
    </row>
    <row r="1847" ht="15.75" customHeight="1" s="305">
      <c r="A1847" s="215" t="n"/>
      <c r="B1847" s="115" t="n"/>
      <c r="C1847" s="67" t="n"/>
      <c r="D1847" s="3" t="n"/>
      <c r="E1847" s="3" t="n"/>
      <c r="F1847" s="217" t="n"/>
      <c r="G1847" t="inlineStr"/>
      <c r="H1847" t="inlineStr"/>
      <c r="I1847" s="111" t="n"/>
      <c r="J1847" s="217" t="inlineStr"/>
    </row>
    <row r="1848" ht="15.75" customHeight="1" s="305">
      <c r="A1848" s="215" t="n"/>
      <c r="B1848" s="115" t="n"/>
      <c r="C1848" s="67" t="n"/>
      <c r="D1848" s="3" t="n"/>
      <c r="E1848" s="3" t="n"/>
      <c r="F1848" s="217" t="n"/>
      <c r="G1848" t="inlineStr"/>
      <c r="H1848" t="inlineStr"/>
      <c r="I1848" s="111" t="n"/>
      <c r="J1848" s="217" t="inlineStr"/>
    </row>
    <row r="1849" ht="15.75" customHeight="1" s="305">
      <c r="A1849" s="215" t="n"/>
      <c r="B1849" s="115" t="n"/>
      <c r="C1849" s="67" t="n"/>
      <c r="D1849" s="3" t="n"/>
      <c r="E1849" s="3" t="n"/>
      <c r="F1849" s="217" t="n"/>
      <c r="G1849" t="inlineStr"/>
      <c r="H1849" t="inlineStr"/>
      <c r="I1849" s="111" t="n"/>
      <c r="J1849" s="217" t="inlineStr"/>
    </row>
    <row r="1850" ht="15.75" customHeight="1" s="305">
      <c r="A1850" s="215" t="n"/>
      <c r="B1850" s="115" t="n"/>
      <c r="C1850" s="67" t="n"/>
      <c r="D1850" s="3" t="n"/>
      <c r="E1850" s="3" t="n"/>
      <c r="F1850" s="217" t="n"/>
      <c r="G1850" t="inlineStr"/>
      <c r="H1850" t="inlineStr"/>
      <c r="I1850" s="111" t="n"/>
      <c r="J1850" s="217" t="inlineStr"/>
    </row>
    <row r="1851" ht="15.75" customHeight="1" s="305">
      <c r="A1851" s="215" t="n"/>
      <c r="B1851" s="115" t="n"/>
      <c r="C1851" s="67" t="n"/>
      <c r="D1851" s="3" t="n"/>
      <c r="E1851" s="3" t="n"/>
      <c r="F1851" s="217" t="n"/>
      <c r="G1851" t="inlineStr"/>
      <c r="H1851" t="inlineStr"/>
      <c r="I1851" s="111" t="n"/>
      <c r="J1851" s="217" t="inlineStr"/>
    </row>
    <row r="1852" ht="15.75" customHeight="1" s="305">
      <c r="A1852" s="215" t="n"/>
      <c r="B1852" s="115" t="n"/>
      <c r="C1852" s="67" t="n"/>
      <c r="D1852" s="3" t="n"/>
      <c r="E1852" s="3" t="n"/>
      <c r="F1852" s="217" t="n"/>
      <c r="G1852" t="inlineStr"/>
      <c r="H1852" t="inlineStr"/>
      <c r="I1852" s="111" t="n"/>
      <c r="J1852" s="217" t="inlineStr"/>
    </row>
    <row r="1853" ht="15.75" customHeight="1" s="305">
      <c r="A1853" s="215" t="n"/>
      <c r="B1853" s="115" t="n"/>
      <c r="C1853" s="67" t="n"/>
      <c r="D1853" s="3" t="n"/>
      <c r="E1853" s="3" t="n"/>
      <c r="F1853" s="217" t="n"/>
      <c r="G1853" t="inlineStr"/>
      <c r="H1853" t="inlineStr"/>
      <c r="I1853" s="111" t="n"/>
      <c r="J1853" s="217" t="inlineStr"/>
    </row>
    <row r="1854" ht="15.75" customHeight="1" s="305">
      <c r="A1854" s="215" t="n"/>
      <c r="B1854" s="115" t="n"/>
      <c r="C1854" s="67" t="n"/>
      <c r="D1854" s="3" t="n"/>
      <c r="E1854" s="3" t="n"/>
      <c r="F1854" s="217" t="n"/>
      <c r="G1854" t="inlineStr"/>
      <c r="H1854" t="inlineStr"/>
      <c r="I1854" s="111" t="n"/>
      <c r="J1854" s="217" t="inlineStr"/>
    </row>
    <row r="1855" ht="15.75" customHeight="1" s="305">
      <c r="A1855" s="215" t="n"/>
      <c r="B1855" s="115" t="n"/>
      <c r="C1855" s="67" t="n"/>
      <c r="D1855" s="3" t="n"/>
      <c r="E1855" s="3" t="n"/>
      <c r="F1855" s="217" t="n"/>
      <c r="G1855" t="inlineStr"/>
      <c r="H1855" t="inlineStr"/>
      <c r="I1855" s="111" t="n"/>
      <c r="J1855" s="217" t="inlineStr"/>
    </row>
    <row r="1856" ht="15.75" customHeight="1" s="305">
      <c r="A1856" s="215" t="n"/>
      <c r="B1856" s="115" t="n"/>
      <c r="C1856" s="67" t="n"/>
      <c r="D1856" s="3" t="n"/>
      <c r="E1856" s="3" t="n"/>
      <c r="F1856" s="217" t="n"/>
      <c r="G1856" t="inlineStr"/>
      <c r="H1856" t="inlineStr"/>
      <c r="I1856" s="111" t="n"/>
      <c r="J1856" s="217" t="inlineStr"/>
    </row>
    <row r="1857" ht="15.75" customHeight="1" s="305">
      <c r="A1857" s="215" t="n"/>
      <c r="B1857" s="115" t="n"/>
      <c r="C1857" s="67" t="n"/>
      <c r="D1857" s="3" t="n"/>
      <c r="E1857" s="3" t="n"/>
      <c r="F1857" s="217" t="n"/>
      <c r="G1857" t="inlineStr"/>
      <c r="H1857" t="inlineStr"/>
      <c r="I1857" s="111" t="n"/>
      <c r="J1857" s="217" t="inlineStr"/>
    </row>
    <row r="1858" ht="15.75" customHeight="1" s="305">
      <c r="A1858" s="215" t="n"/>
      <c r="B1858" s="115" t="n"/>
      <c r="C1858" s="67" t="n"/>
      <c r="D1858" s="3" t="n"/>
      <c r="E1858" s="3" t="n"/>
      <c r="F1858" s="217" t="n"/>
      <c r="G1858" t="inlineStr"/>
      <c r="H1858" t="inlineStr"/>
      <c r="I1858" s="111" t="n"/>
      <c r="J1858" s="217" t="inlineStr"/>
    </row>
    <row r="1859" ht="15.75" customHeight="1" s="305">
      <c r="A1859" s="215" t="n"/>
      <c r="B1859" s="115" t="n"/>
      <c r="C1859" s="67" t="n"/>
      <c r="D1859" s="3" t="n"/>
      <c r="E1859" s="3" t="n"/>
      <c r="F1859" s="217" t="n"/>
      <c r="G1859" t="inlineStr"/>
      <c r="H1859" t="inlineStr"/>
      <c r="I1859" s="111" t="n"/>
      <c r="J1859" s="217" t="inlineStr"/>
    </row>
    <row r="1860" ht="15.75" customHeight="1" s="305">
      <c r="A1860" s="215" t="n"/>
      <c r="B1860" s="115" t="n"/>
      <c r="C1860" s="67" t="n"/>
      <c r="D1860" s="3" t="n"/>
      <c r="E1860" s="3" t="n"/>
      <c r="F1860" s="217" t="n"/>
      <c r="G1860" t="inlineStr"/>
      <c r="H1860" t="inlineStr"/>
      <c r="I1860" s="111" t="n"/>
      <c r="J1860" s="217" t="inlineStr"/>
    </row>
    <row r="1861" ht="15.75" customHeight="1" s="305">
      <c r="A1861" s="215" t="n"/>
      <c r="B1861" s="115" t="n"/>
      <c r="C1861" s="67" t="n"/>
      <c r="D1861" s="3" t="n"/>
      <c r="E1861" s="3" t="n"/>
      <c r="F1861" s="217" t="n"/>
      <c r="G1861" t="inlineStr"/>
      <c r="H1861" t="inlineStr"/>
      <c r="I1861" s="111" t="n"/>
      <c r="J1861" s="217" t="inlineStr"/>
    </row>
    <row r="1862" ht="15.75" customHeight="1" s="305">
      <c r="A1862" s="215" t="n"/>
      <c r="B1862" s="115" t="n"/>
      <c r="C1862" s="67" t="n"/>
      <c r="D1862" s="3" t="n"/>
      <c r="E1862" s="3" t="n"/>
      <c r="F1862" s="217" t="n"/>
      <c r="G1862" t="inlineStr"/>
      <c r="H1862" t="inlineStr"/>
      <c r="I1862" s="111" t="n"/>
      <c r="J1862" s="217" t="inlineStr"/>
    </row>
    <row r="1863" ht="15.75" customHeight="1" s="305">
      <c r="A1863" s="215" t="n"/>
      <c r="B1863" s="115" t="n"/>
      <c r="C1863" s="67" t="n"/>
      <c r="D1863" s="3" t="n"/>
      <c r="E1863" s="3" t="n"/>
      <c r="F1863" s="217" t="n"/>
      <c r="G1863" t="inlineStr"/>
      <c r="H1863" t="inlineStr"/>
      <c r="I1863" s="111" t="n"/>
      <c r="J1863" s="217" t="inlineStr"/>
    </row>
    <row r="1864" ht="15.75" customHeight="1" s="305">
      <c r="A1864" s="215" t="n"/>
      <c r="B1864" s="115" t="n"/>
      <c r="C1864" s="67" t="n"/>
      <c r="D1864" s="3" t="n"/>
      <c r="E1864" s="3" t="n"/>
      <c r="F1864" s="217" t="n"/>
      <c r="G1864" t="inlineStr"/>
      <c r="H1864" t="inlineStr"/>
      <c r="I1864" s="111" t="n"/>
      <c r="J1864" s="217" t="inlineStr"/>
    </row>
    <row r="1865" ht="15.75" customHeight="1" s="305">
      <c r="A1865" s="215" t="n"/>
      <c r="B1865" s="115" t="n"/>
      <c r="C1865" s="67" t="n"/>
      <c r="D1865" s="3" t="n"/>
      <c r="E1865" s="3" t="n"/>
      <c r="F1865" s="217" t="n"/>
      <c r="G1865" t="inlineStr"/>
      <c r="H1865" t="inlineStr"/>
      <c r="I1865" s="111" t="n"/>
      <c r="J1865" s="217" t="inlineStr"/>
    </row>
    <row r="1866" ht="15.75" customHeight="1" s="305">
      <c r="A1866" s="215" t="n"/>
      <c r="B1866" s="115" t="n"/>
      <c r="C1866" s="67" t="n"/>
      <c r="D1866" s="3" t="n"/>
      <c r="E1866" s="3" t="n"/>
      <c r="F1866" s="217" t="n"/>
      <c r="G1866" t="inlineStr"/>
      <c r="H1866" t="inlineStr"/>
      <c r="I1866" s="111" t="n"/>
      <c r="J1866" s="217" t="inlineStr"/>
    </row>
    <row r="1867" ht="15.75" customHeight="1" s="305">
      <c r="A1867" s="215" t="n"/>
      <c r="B1867" s="115" t="n"/>
      <c r="C1867" s="67" t="n"/>
      <c r="D1867" s="3" t="n"/>
      <c r="E1867" s="3" t="n"/>
      <c r="F1867" s="217" t="n"/>
      <c r="G1867" t="inlineStr"/>
      <c r="H1867" t="inlineStr"/>
      <c r="I1867" s="111" t="n"/>
      <c r="J1867" s="217" t="inlineStr"/>
    </row>
    <row r="1868" ht="15.75" customHeight="1" s="305">
      <c r="A1868" s="215" t="n"/>
      <c r="B1868" s="115" t="n"/>
      <c r="C1868" s="67" t="n"/>
      <c r="D1868" s="3" t="n"/>
      <c r="E1868" s="3" t="n"/>
      <c r="F1868" s="217" t="n"/>
      <c r="G1868" t="inlineStr"/>
      <c r="H1868" t="inlineStr"/>
      <c r="I1868" s="111" t="n"/>
      <c r="J1868" s="217" t="inlineStr"/>
    </row>
    <row r="1869" ht="15.75" customHeight="1" s="305">
      <c r="A1869" s="215" t="n"/>
      <c r="B1869" s="115" t="n"/>
      <c r="C1869" s="67" t="n"/>
      <c r="D1869" s="3" t="n"/>
      <c r="E1869" s="3" t="n"/>
      <c r="F1869" s="217" t="n"/>
      <c r="G1869" t="inlineStr"/>
      <c r="H1869" t="inlineStr"/>
      <c r="I1869" s="111" t="n"/>
      <c r="J1869" s="217" t="inlineStr"/>
    </row>
    <row r="1870" ht="15.75" customHeight="1" s="305">
      <c r="A1870" s="215" t="n"/>
      <c r="B1870" s="115" t="n"/>
      <c r="C1870" s="67" t="n"/>
      <c r="D1870" s="3" t="n"/>
      <c r="E1870" s="3" t="n"/>
      <c r="F1870" s="217" t="n"/>
      <c r="G1870" t="inlineStr"/>
      <c r="H1870" t="inlineStr"/>
      <c r="I1870" s="111" t="n"/>
      <c r="J1870" s="217" t="inlineStr"/>
    </row>
    <row r="1871" ht="15.75" customHeight="1" s="305">
      <c r="A1871" s="215" t="n"/>
      <c r="B1871" s="115" t="n"/>
      <c r="C1871" s="67" t="n"/>
      <c r="D1871" s="3" t="n"/>
      <c r="E1871" s="3" t="n"/>
      <c r="F1871" s="217" t="n"/>
      <c r="G1871" t="inlineStr"/>
      <c r="H1871" t="inlineStr"/>
      <c r="I1871" s="111" t="n"/>
      <c r="J1871" s="217" t="inlineStr"/>
    </row>
    <row r="1872" ht="15.75" customHeight="1" s="305">
      <c r="A1872" s="215" t="n"/>
      <c r="B1872" s="115" t="n"/>
      <c r="C1872" s="67" t="n"/>
      <c r="D1872" s="3" t="n"/>
      <c r="E1872" s="3" t="n"/>
      <c r="F1872" s="217" t="n"/>
      <c r="G1872" t="inlineStr"/>
      <c r="H1872" t="inlineStr"/>
      <c r="I1872" s="111" t="n"/>
      <c r="J1872" s="217" t="inlineStr"/>
    </row>
    <row r="1873" ht="15.75" customHeight="1" s="305">
      <c r="A1873" s="215" t="n"/>
      <c r="B1873" s="115" t="n"/>
      <c r="C1873" s="67" t="n"/>
      <c r="D1873" s="3" t="n"/>
      <c r="E1873" s="3" t="n"/>
      <c r="F1873" s="217" t="n"/>
      <c r="G1873" t="inlineStr"/>
      <c r="H1873" t="inlineStr"/>
      <c r="I1873" s="111" t="n"/>
      <c r="J1873" s="217" t="inlineStr"/>
    </row>
    <row r="1874" ht="15.75" customHeight="1" s="305">
      <c r="A1874" s="215" t="n"/>
      <c r="B1874" s="115" t="n"/>
      <c r="C1874" s="67" t="n"/>
      <c r="D1874" s="3" t="n"/>
      <c r="E1874" s="3" t="n"/>
      <c r="F1874" s="217" t="n"/>
      <c r="G1874" t="inlineStr"/>
      <c r="H1874" t="inlineStr"/>
      <c r="I1874" s="111" t="n"/>
      <c r="J1874" s="217" t="inlineStr"/>
    </row>
    <row r="1875" ht="15.75" customHeight="1" s="305">
      <c r="A1875" s="215" t="n"/>
      <c r="B1875" s="115" t="n"/>
      <c r="C1875" s="67" t="n"/>
      <c r="D1875" s="3" t="n"/>
      <c r="E1875" s="3" t="n"/>
      <c r="F1875" s="217" t="n"/>
      <c r="G1875" t="inlineStr"/>
      <c r="H1875" t="inlineStr"/>
      <c r="I1875" s="111" t="n"/>
      <c r="J1875" s="217" t="inlineStr"/>
    </row>
    <row r="1876" ht="15.75" customHeight="1" s="305">
      <c r="A1876" s="215" t="n"/>
      <c r="B1876" s="115" t="n"/>
      <c r="C1876" s="67" t="n"/>
      <c r="D1876" s="3" t="n"/>
      <c r="E1876" s="3" t="n"/>
      <c r="F1876" s="217" t="n"/>
      <c r="G1876" t="inlineStr"/>
      <c r="H1876" t="inlineStr"/>
      <c r="I1876" s="111" t="n"/>
      <c r="J1876" s="217" t="inlineStr"/>
    </row>
    <row r="1877" ht="15.75" customHeight="1" s="305">
      <c r="A1877" s="215" t="n"/>
      <c r="B1877" s="115" t="n"/>
      <c r="C1877" s="67" t="n"/>
      <c r="D1877" s="3" t="n"/>
      <c r="E1877" s="3" t="n"/>
      <c r="F1877" s="217" t="n"/>
      <c r="G1877" t="inlineStr"/>
      <c r="H1877" t="inlineStr"/>
      <c r="I1877" s="111" t="n"/>
      <c r="J1877" s="217" t="inlineStr"/>
    </row>
    <row r="1878" ht="15.75" customHeight="1" s="305">
      <c r="A1878" s="215" t="n"/>
      <c r="B1878" s="115" t="n"/>
      <c r="C1878" s="67" t="n"/>
      <c r="D1878" s="3" t="n"/>
      <c r="E1878" s="3" t="n"/>
      <c r="F1878" s="217" t="n"/>
      <c r="G1878" t="inlineStr"/>
      <c r="H1878" t="inlineStr"/>
      <c r="I1878" s="111" t="n"/>
      <c r="J1878" s="217" t="inlineStr"/>
    </row>
    <row r="1879" ht="15.75" customHeight="1" s="305">
      <c r="A1879" s="215" t="n"/>
      <c r="B1879" s="115" t="n"/>
      <c r="C1879" s="67" t="n"/>
      <c r="D1879" s="3" t="n"/>
      <c r="E1879" s="3" t="n"/>
      <c r="F1879" s="217" t="n"/>
      <c r="G1879" t="inlineStr"/>
      <c r="H1879" t="inlineStr"/>
      <c r="I1879" s="111" t="n"/>
      <c r="J1879" s="217" t="inlineStr"/>
    </row>
    <row r="1880" ht="15.75" customHeight="1" s="305">
      <c r="A1880" s="215" t="n"/>
      <c r="B1880" s="115" t="n"/>
      <c r="C1880" s="67" t="n"/>
      <c r="D1880" s="3" t="n"/>
      <c r="E1880" s="3" t="n"/>
      <c r="F1880" s="217" t="n"/>
      <c r="G1880" t="inlineStr"/>
      <c r="H1880" t="inlineStr"/>
      <c r="I1880" s="111" t="n"/>
      <c r="J1880" s="217" t="inlineStr"/>
    </row>
    <row r="1881" ht="15.75" customHeight="1" s="305">
      <c r="A1881" s="215" t="n"/>
      <c r="B1881" s="115" t="n"/>
      <c r="C1881" s="67" t="n"/>
      <c r="D1881" s="3" t="n"/>
      <c r="E1881" s="3" t="n"/>
      <c r="F1881" s="217" t="n"/>
      <c r="G1881" t="inlineStr"/>
      <c r="H1881" t="inlineStr"/>
      <c r="I1881" s="111" t="n"/>
      <c r="J1881" s="217" t="inlineStr"/>
    </row>
    <row r="1882" ht="15.75" customHeight="1" s="305">
      <c r="A1882" s="215" t="n"/>
      <c r="B1882" s="115" t="n"/>
      <c r="C1882" s="67" t="n"/>
      <c r="D1882" s="3" t="n"/>
      <c r="E1882" s="3" t="n"/>
      <c r="F1882" s="217" t="n"/>
      <c r="G1882" t="inlineStr"/>
      <c r="H1882" t="inlineStr"/>
      <c r="I1882" s="111" t="n"/>
      <c r="J1882" s="217" t="inlineStr"/>
    </row>
    <row r="1883" ht="15.75" customHeight="1" s="305">
      <c r="A1883" s="215" t="n"/>
      <c r="B1883" s="115" t="n"/>
      <c r="C1883" s="67" t="n"/>
      <c r="D1883" s="3" t="n"/>
      <c r="E1883" s="3" t="n"/>
      <c r="F1883" s="217" t="n"/>
      <c r="G1883" t="inlineStr"/>
      <c r="H1883" t="inlineStr"/>
      <c r="I1883" s="111" t="n"/>
      <c r="J1883" s="217" t="inlineStr"/>
    </row>
    <row r="1884" ht="15.75" customHeight="1" s="305">
      <c r="A1884" s="215" t="n"/>
      <c r="B1884" s="115" t="n"/>
      <c r="C1884" s="67" t="n"/>
      <c r="D1884" s="3" t="n"/>
      <c r="E1884" s="3" t="n"/>
      <c r="F1884" s="217" t="n"/>
      <c r="G1884" t="inlineStr"/>
      <c r="H1884" t="inlineStr"/>
      <c r="I1884" s="111" t="n"/>
      <c r="J1884" s="217" t="inlineStr"/>
    </row>
    <row r="1885" ht="15.75" customHeight="1" s="305">
      <c r="A1885" s="215" t="n"/>
      <c r="B1885" s="115" t="n"/>
      <c r="C1885" s="67" t="n"/>
      <c r="D1885" s="3" t="n"/>
      <c r="E1885" s="3" t="n"/>
      <c r="F1885" s="217" t="n"/>
      <c r="G1885" t="inlineStr"/>
      <c r="H1885" t="inlineStr"/>
      <c r="I1885" s="111" t="n"/>
      <c r="J1885" s="217" t="inlineStr"/>
    </row>
    <row r="1886" ht="15.75" customHeight="1" s="305">
      <c r="A1886" s="215" t="n"/>
      <c r="B1886" s="115" t="n"/>
      <c r="C1886" s="67" t="n"/>
      <c r="D1886" s="3" t="n"/>
      <c r="E1886" s="3" t="n"/>
      <c r="F1886" s="217" t="n"/>
      <c r="G1886" t="inlineStr"/>
      <c r="H1886" t="inlineStr"/>
      <c r="I1886" s="111" t="n"/>
      <c r="J1886" s="217" t="inlineStr"/>
    </row>
    <row r="1887" ht="15.75" customHeight="1" s="305">
      <c r="A1887" s="215" t="n"/>
      <c r="B1887" s="115" t="n"/>
      <c r="C1887" s="67" t="n"/>
      <c r="D1887" s="3" t="n"/>
      <c r="E1887" s="3" t="n"/>
      <c r="F1887" s="217" t="n"/>
      <c r="G1887" t="inlineStr"/>
      <c r="H1887" t="inlineStr"/>
      <c r="I1887" s="111" t="n"/>
      <c r="J1887" s="217" t="inlineStr"/>
    </row>
    <row r="1888" ht="15.75" customHeight="1" s="305">
      <c r="A1888" s="215" t="n"/>
      <c r="B1888" s="115" t="n"/>
      <c r="C1888" s="67" t="n"/>
      <c r="D1888" s="3" t="n"/>
      <c r="E1888" s="3" t="n"/>
      <c r="F1888" s="217" t="n"/>
      <c r="G1888" t="inlineStr"/>
      <c r="H1888" t="inlineStr"/>
      <c r="I1888" s="111" t="n"/>
      <c r="J1888" s="217" t="inlineStr"/>
    </row>
    <row r="1889" ht="15.75" customHeight="1" s="305">
      <c r="A1889" s="215" t="n"/>
      <c r="B1889" s="115" t="n"/>
      <c r="C1889" s="67" t="n"/>
      <c r="D1889" s="3" t="n"/>
      <c r="E1889" s="3" t="n"/>
      <c r="F1889" s="217" t="n"/>
      <c r="G1889" t="inlineStr"/>
      <c r="H1889" t="inlineStr"/>
      <c r="I1889" s="111" t="n"/>
      <c r="J1889" s="217" t="inlineStr"/>
    </row>
    <row r="1890" ht="15.75" customHeight="1" s="305">
      <c r="A1890" s="215" t="n"/>
      <c r="B1890" s="115" t="n"/>
      <c r="C1890" s="67" t="n"/>
      <c r="D1890" s="3" t="n"/>
      <c r="E1890" s="3" t="n"/>
      <c r="F1890" s="217" t="n"/>
      <c r="G1890" t="inlineStr"/>
      <c r="H1890" t="inlineStr"/>
      <c r="I1890" s="111" t="n"/>
      <c r="J1890" s="217" t="inlineStr"/>
    </row>
    <row r="1891" ht="15.75" customHeight="1" s="305">
      <c r="A1891" s="215" t="n"/>
      <c r="B1891" s="115" t="n"/>
      <c r="C1891" s="67" t="n"/>
      <c r="D1891" s="3" t="n"/>
      <c r="E1891" s="3" t="n"/>
      <c r="F1891" s="217" t="n"/>
      <c r="G1891" t="inlineStr"/>
      <c r="H1891" t="inlineStr"/>
      <c r="I1891" s="111" t="n"/>
      <c r="J1891" s="217" t="inlineStr"/>
    </row>
    <row r="1892" ht="15.75" customHeight="1" s="305">
      <c r="A1892" s="215" t="n"/>
      <c r="B1892" s="115" t="n"/>
      <c r="C1892" s="67" t="n"/>
      <c r="D1892" s="3" t="n"/>
      <c r="E1892" s="3" t="n"/>
      <c r="F1892" s="217" t="n"/>
      <c r="G1892" t="inlineStr"/>
      <c r="H1892" t="inlineStr"/>
      <c r="I1892" s="111" t="n"/>
      <c r="J1892" s="217" t="inlineStr"/>
    </row>
    <row r="1893" ht="15.75" customHeight="1" s="305">
      <c r="A1893" s="215" t="n"/>
      <c r="B1893" s="115" t="n"/>
      <c r="C1893" s="67" t="n"/>
      <c r="D1893" s="3" t="n"/>
      <c r="E1893" s="3" t="n"/>
      <c r="F1893" s="217" t="n"/>
      <c r="G1893" t="inlineStr"/>
      <c r="H1893" t="inlineStr"/>
      <c r="I1893" s="111" t="n"/>
      <c r="J1893" s="217" t="inlineStr"/>
    </row>
    <row r="1894" ht="15.75" customHeight="1" s="305">
      <c r="A1894" s="215" t="n"/>
      <c r="B1894" s="115" t="n"/>
      <c r="C1894" s="67" t="n"/>
      <c r="D1894" s="3" t="n"/>
      <c r="E1894" s="3" t="n"/>
      <c r="F1894" s="217" t="n"/>
      <c r="G1894" t="inlineStr"/>
      <c r="H1894" t="inlineStr"/>
      <c r="I1894" s="111" t="n"/>
      <c r="J1894" s="217" t="inlineStr"/>
    </row>
    <row r="1895" ht="15.75" customHeight="1" s="305">
      <c r="A1895" s="215" t="n"/>
      <c r="B1895" s="115" t="n"/>
      <c r="C1895" s="67" t="n"/>
      <c r="D1895" s="3" t="n"/>
      <c r="E1895" s="3" t="n"/>
      <c r="F1895" s="217" t="n"/>
      <c r="G1895" t="inlineStr"/>
      <c r="H1895" t="inlineStr"/>
      <c r="I1895" s="111" t="n"/>
      <c r="J1895" s="217" t="inlineStr"/>
    </row>
    <row r="1896" ht="15.75" customHeight="1" s="305">
      <c r="A1896" s="215" t="n"/>
      <c r="B1896" s="115" t="n"/>
      <c r="C1896" s="67" t="n"/>
      <c r="D1896" s="3" t="n"/>
      <c r="E1896" s="3" t="n"/>
      <c r="F1896" s="217" t="n"/>
      <c r="G1896" t="inlineStr"/>
      <c r="H1896" t="inlineStr"/>
      <c r="I1896" s="111" t="n"/>
      <c r="J1896" s="217" t="inlineStr"/>
    </row>
    <row r="1897" ht="15.75" customHeight="1" s="305">
      <c r="A1897" s="215" t="n"/>
      <c r="B1897" s="115" t="n"/>
      <c r="C1897" s="67" t="n"/>
      <c r="D1897" s="3" t="n"/>
      <c r="E1897" s="3" t="n"/>
      <c r="F1897" s="217" t="n"/>
      <c r="G1897" t="inlineStr"/>
      <c r="H1897" t="inlineStr"/>
      <c r="I1897" s="111" t="n"/>
      <c r="J1897" s="217" t="inlineStr"/>
    </row>
    <row r="1898" ht="15.75" customHeight="1" s="305">
      <c r="A1898" s="215" t="n"/>
      <c r="B1898" s="115" t="n"/>
      <c r="C1898" s="67" t="n"/>
      <c r="D1898" s="3" t="n"/>
      <c r="E1898" s="3" t="n"/>
      <c r="F1898" s="217" t="n"/>
      <c r="G1898" t="inlineStr"/>
      <c r="H1898" t="inlineStr"/>
      <c r="I1898" s="111" t="n"/>
      <c r="J1898" s="217" t="inlineStr"/>
    </row>
    <row r="1899" ht="15.75" customHeight="1" s="305">
      <c r="A1899" s="215" t="n"/>
      <c r="B1899" s="115" t="n"/>
      <c r="C1899" s="67" t="n"/>
      <c r="D1899" s="3" t="n"/>
      <c r="E1899" s="3" t="n"/>
      <c r="F1899" s="217" t="n"/>
      <c r="G1899" t="inlineStr"/>
      <c r="H1899" t="inlineStr"/>
      <c r="I1899" s="111" t="n"/>
      <c r="J1899" s="217" t="inlineStr"/>
    </row>
    <row r="1900" ht="15.75" customHeight="1" s="305">
      <c r="A1900" s="215" t="n"/>
      <c r="B1900" s="115" t="n"/>
      <c r="C1900" s="67" t="n"/>
      <c r="D1900" s="3" t="n"/>
      <c r="E1900" s="3" t="n"/>
      <c r="F1900" s="217" t="n"/>
      <c r="G1900" t="inlineStr"/>
      <c r="H1900" t="inlineStr"/>
      <c r="I1900" s="111" t="n"/>
      <c r="J1900" s="217" t="inlineStr"/>
    </row>
    <row r="1901" ht="15.75" customHeight="1" s="305">
      <c r="A1901" s="215" t="n"/>
      <c r="B1901" s="115" t="n"/>
      <c r="C1901" s="67" t="n"/>
      <c r="D1901" s="3" t="n"/>
      <c r="E1901" s="3" t="n"/>
      <c r="F1901" s="217" t="n"/>
      <c r="G1901" t="inlineStr"/>
      <c r="H1901" t="inlineStr"/>
      <c r="I1901" s="111" t="n"/>
      <c r="J1901" s="217" t="inlineStr"/>
    </row>
    <row r="1902" ht="15.75" customHeight="1" s="305">
      <c r="A1902" s="215" t="n"/>
      <c r="B1902" s="115" t="n"/>
      <c r="C1902" s="67" t="n"/>
      <c r="D1902" s="3" t="n"/>
      <c r="E1902" s="3" t="n"/>
      <c r="F1902" s="217" t="n"/>
      <c r="G1902" t="inlineStr"/>
      <c r="H1902" t="inlineStr"/>
      <c r="I1902" s="111" t="n"/>
      <c r="J1902" s="217" t="inlineStr"/>
    </row>
    <row r="1903" ht="15.75" customHeight="1" s="305">
      <c r="A1903" s="215" t="n"/>
      <c r="B1903" s="115" t="n"/>
      <c r="C1903" s="67" t="n"/>
      <c r="D1903" s="3" t="n"/>
      <c r="E1903" s="3" t="n"/>
      <c r="F1903" s="217" t="n"/>
      <c r="G1903" t="inlineStr"/>
      <c r="H1903" t="inlineStr"/>
      <c r="I1903" s="111" t="n"/>
      <c r="J1903" s="217" t="inlineStr"/>
    </row>
    <row r="1904" ht="15.75" customHeight="1" s="305">
      <c r="A1904" s="215" t="n"/>
      <c r="B1904" s="115" t="n"/>
      <c r="C1904" s="67" t="n"/>
      <c r="D1904" s="3" t="n"/>
      <c r="E1904" s="3" t="n"/>
      <c r="F1904" s="217" t="n"/>
      <c r="G1904" t="inlineStr"/>
      <c r="H1904" t="inlineStr"/>
      <c r="I1904" s="111" t="n"/>
      <c r="J1904" s="217" t="inlineStr"/>
    </row>
    <row r="1905" ht="15.75" customHeight="1" s="305">
      <c r="A1905" s="215" t="n"/>
      <c r="B1905" s="115" t="n"/>
      <c r="C1905" s="67" t="n"/>
      <c r="D1905" s="3" t="n"/>
      <c r="E1905" s="3" t="n"/>
      <c r="F1905" s="217" t="n"/>
      <c r="G1905" t="inlineStr"/>
      <c r="H1905" t="inlineStr"/>
      <c r="I1905" s="111" t="n"/>
      <c r="J1905" s="217" t="inlineStr"/>
    </row>
    <row r="1906" ht="15.75" customHeight="1" s="305">
      <c r="A1906" s="215" t="n"/>
      <c r="B1906" s="115" t="n"/>
      <c r="C1906" s="67" t="n"/>
      <c r="D1906" s="3" t="n"/>
      <c r="E1906" s="3" t="n"/>
      <c r="F1906" s="217" t="n"/>
      <c r="G1906" t="inlineStr"/>
      <c r="H1906" t="inlineStr"/>
      <c r="I1906" s="111" t="n"/>
      <c r="J1906" s="217" t="inlineStr"/>
    </row>
    <row r="1907" ht="15.75" customHeight="1" s="305">
      <c r="A1907" s="215" t="n"/>
      <c r="B1907" s="115" t="n"/>
      <c r="C1907" s="67" t="n"/>
      <c r="D1907" s="3" t="n"/>
      <c r="E1907" s="3" t="n"/>
      <c r="F1907" s="217" t="n"/>
      <c r="G1907" t="inlineStr"/>
      <c r="H1907" t="inlineStr"/>
      <c r="I1907" s="111" t="n"/>
      <c r="J1907" s="217" t="inlineStr"/>
    </row>
    <row r="1908" ht="15.75" customHeight="1" s="305">
      <c r="A1908" s="215" t="n"/>
      <c r="B1908" s="115" t="n"/>
      <c r="C1908" s="67" t="n"/>
      <c r="D1908" s="3" t="n"/>
      <c r="E1908" s="3" t="n"/>
      <c r="F1908" s="217" t="n"/>
      <c r="G1908" t="inlineStr"/>
      <c r="H1908" t="inlineStr"/>
      <c r="I1908" s="111" t="n"/>
      <c r="J1908" s="217" t="inlineStr"/>
    </row>
    <row r="1909" ht="15.75" customHeight="1" s="305">
      <c r="A1909" s="215" t="n"/>
      <c r="B1909" s="115" t="n"/>
      <c r="C1909" s="67" t="n"/>
      <c r="D1909" s="3" t="n"/>
      <c r="E1909" s="3" t="n"/>
      <c r="F1909" s="217" t="n"/>
      <c r="G1909" t="inlineStr"/>
      <c r="H1909" t="inlineStr"/>
      <c r="I1909" s="111" t="n"/>
      <c r="J1909" s="217" t="inlineStr"/>
    </row>
    <row r="1910" ht="15.75" customHeight="1" s="305">
      <c r="A1910" s="215" t="n"/>
      <c r="B1910" s="115" t="n"/>
      <c r="C1910" s="67" t="n"/>
      <c r="D1910" s="3" t="n"/>
      <c r="E1910" s="3" t="n"/>
      <c r="F1910" s="217" t="n"/>
      <c r="G1910" t="inlineStr"/>
      <c r="H1910" t="inlineStr"/>
      <c r="I1910" s="111" t="n"/>
      <c r="J1910" s="217" t="inlineStr"/>
    </row>
    <row r="1911" ht="15.75" customHeight="1" s="305">
      <c r="A1911" s="215" t="n"/>
      <c r="B1911" s="115" t="n"/>
      <c r="C1911" s="67" t="n"/>
      <c r="D1911" s="3" t="n"/>
      <c r="E1911" s="3" t="n"/>
      <c r="F1911" s="217" t="n"/>
      <c r="G1911" t="inlineStr"/>
      <c r="H1911" t="inlineStr"/>
      <c r="I1911" s="111" t="n"/>
      <c r="J1911" s="217" t="inlineStr"/>
    </row>
    <row r="1912" ht="15.75" customHeight="1" s="305">
      <c r="A1912" s="215" t="n"/>
      <c r="B1912" s="115" t="n"/>
      <c r="C1912" s="67" t="n"/>
      <c r="D1912" s="3" t="n"/>
      <c r="E1912" s="3" t="n"/>
      <c r="F1912" s="217" t="n"/>
      <c r="G1912" t="inlineStr"/>
      <c r="H1912" t="inlineStr"/>
      <c r="I1912" s="111" t="n"/>
      <c r="J1912" s="217" t="inlineStr"/>
    </row>
    <row r="1913" ht="15.75" customHeight="1" s="305">
      <c r="A1913" s="215" t="n"/>
      <c r="B1913" s="115" t="n"/>
      <c r="C1913" s="67" t="n"/>
      <c r="D1913" s="3" t="n"/>
      <c r="E1913" s="3" t="n"/>
      <c r="F1913" s="217" t="n"/>
      <c r="G1913" t="inlineStr"/>
      <c r="H1913" t="inlineStr"/>
      <c r="I1913" s="111" t="n"/>
      <c r="J1913" s="217" t="inlineStr"/>
    </row>
    <row r="1914" ht="15.75" customHeight="1" s="305">
      <c r="A1914" s="215" t="n"/>
      <c r="B1914" s="115" t="n"/>
      <c r="C1914" s="67" t="n"/>
      <c r="D1914" s="3" t="n"/>
      <c r="E1914" s="3" t="n"/>
      <c r="F1914" s="217" t="n"/>
      <c r="G1914" t="inlineStr"/>
      <c r="H1914" t="inlineStr"/>
      <c r="I1914" s="111" t="n"/>
      <c r="J1914" s="217" t="inlineStr"/>
    </row>
    <row r="1915" ht="15.75" customHeight="1" s="305">
      <c r="A1915" s="215" t="n"/>
      <c r="B1915" s="115" t="n"/>
      <c r="C1915" s="67" t="n"/>
      <c r="D1915" s="3" t="n"/>
      <c r="E1915" s="3" t="n"/>
      <c r="F1915" s="217" t="n"/>
      <c r="G1915" t="inlineStr"/>
      <c r="H1915" t="inlineStr"/>
      <c r="I1915" s="111" t="n"/>
      <c r="J1915" s="217" t="inlineStr"/>
    </row>
    <row r="1916" ht="15.75" customHeight="1" s="305">
      <c r="A1916" s="215" t="n"/>
      <c r="B1916" s="115" t="n"/>
      <c r="C1916" s="67" t="n"/>
      <c r="D1916" s="3" t="n"/>
      <c r="E1916" s="3" t="n"/>
      <c r="F1916" s="217" t="n"/>
      <c r="G1916" t="inlineStr"/>
      <c r="H1916" t="inlineStr"/>
      <c r="I1916" s="111" t="n"/>
      <c r="J1916" s="217" t="inlineStr"/>
    </row>
    <row r="1917" ht="15.75" customHeight="1" s="305">
      <c r="A1917" s="215" t="n"/>
      <c r="B1917" s="115" t="n"/>
      <c r="C1917" s="67" t="n"/>
      <c r="D1917" s="3" t="n"/>
      <c r="E1917" s="3" t="n"/>
      <c r="F1917" s="217" t="n"/>
      <c r="G1917" t="inlineStr"/>
      <c r="H1917" t="inlineStr"/>
      <c r="I1917" s="111" t="n"/>
      <c r="J1917" s="217" t="inlineStr"/>
    </row>
    <row r="1918" ht="15.75" customHeight="1" s="305">
      <c r="A1918" s="215" t="n"/>
      <c r="B1918" s="115" t="n"/>
      <c r="C1918" s="67" t="n"/>
      <c r="D1918" s="3" t="n"/>
      <c r="E1918" s="3" t="n"/>
      <c r="F1918" s="217" t="n"/>
      <c r="G1918" t="inlineStr"/>
      <c r="H1918" t="inlineStr"/>
      <c r="I1918" s="111" t="n"/>
      <c r="J1918" s="217" t="inlineStr"/>
    </row>
    <row r="1919" ht="15.75" customHeight="1" s="305">
      <c r="A1919" s="215" t="n"/>
      <c r="B1919" s="115" t="n"/>
      <c r="C1919" s="67" t="n"/>
      <c r="D1919" s="3" t="n"/>
      <c r="E1919" s="3" t="n"/>
      <c r="F1919" s="217" t="n"/>
      <c r="G1919" t="inlineStr"/>
      <c r="H1919" t="inlineStr"/>
      <c r="I1919" s="111" t="n"/>
      <c r="J1919" s="217" t="inlineStr"/>
    </row>
    <row r="1920" ht="15.75" customHeight="1" s="305">
      <c r="A1920" s="215" t="n"/>
      <c r="B1920" s="115" t="n"/>
      <c r="C1920" s="67" t="n"/>
      <c r="D1920" s="3" t="n"/>
      <c r="E1920" s="3" t="n"/>
      <c r="F1920" s="217" t="n"/>
      <c r="G1920" t="inlineStr"/>
      <c r="H1920" t="inlineStr"/>
      <c r="I1920" s="111" t="n"/>
      <c r="J1920" s="217" t="inlineStr"/>
    </row>
    <row r="1921" ht="15.75" customHeight="1" s="305">
      <c r="A1921" s="215" t="n"/>
      <c r="B1921" s="115" t="n"/>
      <c r="C1921" s="67" t="n"/>
      <c r="D1921" s="3" t="n"/>
      <c r="E1921" s="3" t="n"/>
      <c r="F1921" s="217" t="n"/>
      <c r="G1921" t="inlineStr"/>
      <c r="H1921" t="inlineStr"/>
      <c r="I1921" s="111" t="n"/>
      <c r="J1921" s="217" t="inlineStr"/>
    </row>
    <row r="1922" ht="15.75" customHeight="1" s="305">
      <c r="A1922" s="215" t="n"/>
      <c r="B1922" s="115" t="n"/>
      <c r="C1922" s="67" t="n"/>
      <c r="D1922" s="3" t="n"/>
      <c r="E1922" s="3" t="n"/>
      <c r="F1922" s="217" t="n"/>
      <c r="G1922" t="inlineStr"/>
      <c r="H1922" t="inlineStr"/>
      <c r="I1922" s="111" t="n"/>
      <c r="J1922" s="217" t="inlineStr"/>
    </row>
    <row r="1923" ht="15.75" customHeight="1" s="305">
      <c r="A1923" s="215" t="n"/>
      <c r="B1923" s="115" t="n"/>
      <c r="C1923" s="67" t="n"/>
      <c r="D1923" s="3" t="n"/>
      <c r="E1923" s="3" t="n"/>
      <c r="F1923" s="217" t="n"/>
      <c r="G1923" t="inlineStr"/>
      <c r="H1923" t="inlineStr"/>
      <c r="I1923" s="111" t="n"/>
      <c r="J1923" s="217" t="inlineStr"/>
    </row>
    <row r="1924" ht="15.75" customHeight="1" s="305">
      <c r="A1924" s="215" t="n"/>
      <c r="B1924" s="115" t="n"/>
      <c r="C1924" s="67" t="n"/>
      <c r="D1924" s="3" t="n"/>
      <c r="E1924" s="3" t="n"/>
      <c r="F1924" s="217" t="n"/>
      <c r="G1924" t="inlineStr"/>
      <c r="H1924" t="inlineStr"/>
      <c r="I1924" s="111" t="n"/>
      <c r="J1924" s="217" t="inlineStr"/>
    </row>
    <row r="1925" ht="15.75" customHeight="1" s="305">
      <c r="A1925" s="215" t="n"/>
      <c r="B1925" s="115" t="n"/>
      <c r="C1925" s="67" t="n"/>
      <c r="D1925" s="3" t="n"/>
      <c r="E1925" s="3" t="n"/>
      <c r="F1925" s="217" t="n"/>
      <c r="G1925" t="inlineStr"/>
      <c r="H1925" t="inlineStr"/>
      <c r="I1925" s="111" t="n"/>
      <c r="J1925" s="217" t="inlineStr"/>
    </row>
    <row r="1926" ht="15.75" customHeight="1" s="305">
      <c r="A1926" s="215" t="n"/>
      <c r="B1926" s="115" t="n"/>
      <c r="C1926" s="67" t="n"/>
      <c r="D1926" s="3" t="n"/>
      <c r="E1926" s="3" t="n"/>
      <c r="F1926" s="217" t="n"/>
      <c r="G1926" t="inlineStr"/>
      <c r="H1926" t="inlineStr"/>
      <c r="I1926" s="111" t="n"/>
      <c r="J1926" s="217" t="inlineStr"/>
    </row>
    <row r="1927" ht="15.75" customHeight="1" s="305">
      <c r="A1927" s="215" t="n"/>
      <c r="B1927" s="115" t="n"/>
      <c r="C1927" s="67" t="n"/>
      <c r="D1927" s="3" t="n"/>
      <c r="E1927" s="3" t="n"/>
      <c r="F1927" s="217" t="n"/>
      <c r="G1927" t="inlineStr"/>
      <c r="H1927" t="inlineStr"/>
      <c r="I1927" s="111" t="n"/>
      <c r="J1927" s="217" t="inlineStr"/>
    </row>
    <row r="1928" ht="15.75" customHeight="1" s="305">
      <c r="A1928" s="215" t="n"/>
      <c r="B1928" s="115" t="n"/>
      <c r="C1928" s="67" t="n"/>
      <c r="D1928" s="3" t="n"/>
      <c r="E1928" s="3" t="n"/>
      <c r="F1928" s="217" t="n"/>
      <c r="G1928" t="inlineStr"/>
      <c r="H1928" t="inlineStr"/>
      <c r="I1928" s="111" t="n"/>
      <c r="J1928" s="217" t="inlineStr"/>
    </row>
    <row r="1929" ht="15.75" customHeight="1" s="305">
      <c r="A1929" s="215" t="n"/>
      <c r="B1929" s="115" t="n"/>
      <c r="C1929" s="67" t="n"/>
      <c r="D1929" s="3" t="n"/>
      <c r="E1929" s="3" t="n"/>
      <c r="F1929" s="217" t="n"/>
      <c r="G1929" t="inlineStr"/>
      <c r="H1929" t="inlineStr"/>
      <c r="I1929" s="111" t="n"/>
      <c r="J1929" s="217" t="inlineStr"/>
    </row>
    <row r="1930" ht="15.75" customHeight="1" s="305">
      <c r="A1930" s="215" t="n"/>
      <c r="B1930" s="115" t="n"/>
      <c r="C1930" s="67" t="n"/>
      <c r="D1930" s="3" t="n"/>
      <c r="E1930" s="3" t="n"/>
      <c r="F1930" s="217" t="n"/>
      <c r="G1930" t="inlineStr"/>
      <c r="H1930" t="inlineStr"/>
      <c r="I1930" s="111" t="n"/>
      <c r="J1930" s="217" t="inlineStr"/>
    </row>
    <row r="1931" ht="15.75" customHeight="1" s="305">
      <c r="A1931" s="215" t="n"/>
      <c r="B1931" s="115" t="n"/>
      <c r="C1931" s="67" t="n"/>
      <c r="D1931" s="3" t="n"/>
      <c r="E1931" s="3" t="n"/>
      <c r="F1931" s="217" t="n"/>
      <c r="G1931" t="inlineStr"/>
      <c r="H1931" t="inlineStr"/>
      <c r="I1931" s="111" t="n"/>
      <c r="J1931" s="217" t="inlineStr"/>
    </row>
    <row r="1932" ht="15.75" customHeight="1" s="305">
      <c r="A1932" s="215" t="n"/>
      <c r="B1932" s="115" t="n"/>
      <c r="C1932" s="67" t="n"/>
      <c r="D1932" s="3" t="n"/>
      <c r="E1932" s="3" t="n"/>
      <c r="F1932" s="217" t="n"/>
      <c r="G1932" t="inlineStr"/>
      <c r="H1932" t="inlineStr"/>
      <c r="I1932" s="111" t="n"/>
      <c r="J1932" s="217" t="inlineStr"/>
    </row>
    <row r="1933" ht="15.75" customHeight="1" s="305">
      <c r="A1933" s="215" t="n"/>
      <c r="B1933" s="115" t="n"/>
      <c r="C1933" s="67" t="n"/>
      <c r="D1933" s="3" t="n"/>
      <c r="E1933" s="3" t="n"/>
      <c r="F1933" s="217" t="n"/>
      <c r="G1933" t="inlineStr"/>
      <c r="H1933" t="inlineStr"/>
      <c r="I1933" s="111" t="n"/>
      <c r="J1933" s="217" t="inlineStr"/>
    </row>
    <row r="1934" ht="15.75" customHeight="1" s="305">
      <c r="A1934" s="215" t="n"/>
      <c r="B1934" s="115" t="n"/>
      <c r="C1934" s="67" t="n"/>
      <c r="D1934" s="3" t="n"/>
      <c r="E1934" s="3" t="n"/>
      <c r="F1934" s="217" t="n"/>
      <c r="G1934" t="inlineStr"/>
      <c r="H1934" t="inlineStr"/>
      <c r="I1934" s="111" t="n"/>
      <c r="J1934" s="217" t="inlineStr"/>
    </row>
    <row r="1935" ht="15.75" customHeight="1" s="305">
      <c r="A1935" s="215" t="n"/>
      <c r="B1935" s="115" t="n"/>
      <c r="C1935" s="67" t="n"/>
      <c r="D1935" s="3" t="n"/>
      <c r="E1935" s="3" t="n"/>
      <c r="F1935" s="217" t="n"/>
      <c r="G1935" t="inlineStr"/>
      <c r="H1935" t="inlineStr"/>
      <c r="I1935" s="111" t="n"/>
      <c r="J1935" s="217" t="inlineStr"/>
    </row>
    <row r="1936" ht="15.75" customHeight="1" s="305">
      <c r="A1936" s="215" t="n"/>
      <c r="B1936" s="115" t="n"/>
      <c r="C1936" s="67" t="n"/>
      <c r="D1936" s="3" t="n"/>
      <c r="E1936" s="3" t="n"/>
      <c r="F1936" s="217" t="n"/>
      <c r="G1936" t="inlineStr"/>
      <c r="H1936" t="inlineStr"/>
      <c r="I1936" s="111" t="n"/>
      <c r="J1936" s="217" t="inlineStr"/>
    </row>
    <row r="1937" ht="15.75" customHeight="1" s="305">
      <c r="A1937" s="215" t="n"/>
      <c r="B1937" s="115" t="n"/>
      <c r="C1937" s="67" t="n"/>
      <c r="D1937" s="3" t="n"/>
      <c r="E1937" s="3" t="n"/>
      <c r="F1937" s="217" t="n"/>
      <c r="G1937" t="inlineStr"/>
      <c r="H1937" t="inlineStr"/>
      <c r="I1937" s="111" t="n"/>
      <c r="J1937" s="217" t="inlineStr"/>
    </row>
    <row r="1938" ht="15.75" customHeight="1" s="305">
      <c r="A1938" s="215" t="n"/>
      <c r="B1938" s="115" t="n"/>
      <c r="C1938" s="67" t="n"/>
      <c r="D1938" s="3" t="n"/>
      <c r="E1938" s="3" t="n"/>
      <c r="F1938" s="217" t="n"/>
      <c r="G1938" t="inlineStr"/>
      <c r="H1938" t="inlineStr"/>
      <c r="I1938" s="111" t="n"/>
      <c r="J1938" s="217" t="inlineStr"/>
    </row>
    <row r="1939" ht="15.75" customHeight="1" s="305">
      <c r="A1939" s="215" t="n"/>
      <c r="B1939" s="115" t="n"/>
      <c r="C1939" s="67" t="n"/>
      <c r="D1939" s="3" t="n"/>
      <c r="E1939" s="3" t="n"/>
      <c r="F1939" s="217" t="n"/>
      <c r="G1939" t="inlineStr"/>
      <c r="H1939" t="inlineStr"/>
      <c r="I1939" s="111" t="n"/>
      <c r="J1939" s="217" t="inlineStr"/>
    </row>
    <row r="1940" ht="15.75" customHeight="1" s="305">
      <c r="A1940" s="215" t="n"/>
      <c r="B1940" s="115" t="n"/>
      <c r="C1940" s="67" t="n"/>
      <c r="D1940" s="3" t="n"/>
      <c r="E1940" s="3" t="n"/>
      <c r="F1940" s="217" t="n"/>
      <c r="G1940" t="inlineStr"/>
      <c r="H1940" t="inlineStr"/>
      <c r="I1940" s="111" t="n"/>
      <c r="J1940" s="217" t="inlineStr"/>
    </row>
    <row r="1941" ht="15.75" customHeight="1" s="305">
      <c r="A1941" s="215" t="n"/>
      <c r="B1941" s="115" t="n"/>
      <c r="C1941" s="67" t="n"/>
      <c r="D1941" s="3" t="n"/>
      <c r="E1941" s="3" t="n"/>
      <c r="F1941" s="217" t="n"/>
      <c r="G1941" t="inlineStr"/>
      <c r="H1941" t="inlineStr"/>
      <c r="I1941" s="111" t="n"/>
      <c r="J1941" s="217" t="inlineStr"/>
    </row>
    <row r="1942" ht="15.75" customHeight="1" s="305">
      <c r="A1942" s="215" t="n"/>
      <c r="B1942" s="115" t="n"/>
      <c r="C1942" s="67" t="n"/>
      <c r="D1942" s="3" t="n"/>
      <c r="E1942" s="3" t="n"/>
      <c r="F1942" s="217" t="n"/>
      <c r="G1942" t="inlineStr"/>
      <c r="H1942" t="inlineStr"/>
      <c r="I1942" s="111" t="n"/>
      <c r="J1942" s="217" t="inlineStr"/>
    </row>
    <row r="1943" ht="15.75" customHeight="1" s="305">
      <c r="A1943" s="215" t="n"/>
      <c r="B1943" s="115" t="n"/>
      <c r="C1943" s="67" t="n"/>
      <c r="D1943" s="3" t="n"/>
      <c r="E1943" s="3" t="n"/>
      <c r="F1943" s="217" t="n"/>
      <c r="G1943" t="inlineStr"/>
      <c r="H1943" t="inlineStr"/>
      <c r="I1943" s="111" t="n"/>
      <c r="J1943" s="217" t="inlineStr"/>
    </row>
    <row r="1944" ht="15.75" customHeight="1" s="305">
      <c r="A1944" s="215" t="n"/>
      <c r="B1944" s="115" t="n"/>
      <c r="C1944" s="67" t="n"/>
      <c r="D1944" s="3" t="n"/>
      <c r="E1944" s="3" t="n"/>
      <c r="F1944" s="217" t="n"/>
      <c r="G1944" t="inlineStr"/>
      <c r="H1944" t="inlineStr"/>
      <c r="I1944" s="111" t="n"/>
      <c r="J1944" s="217" t="inlineStr"/>
    </row>
    <row r="1945" ht="15.75" customHeight="1" s="305">
      <c r="A1945" s="215" t="n"/>
      <c r="B1945" s="115" t="n"/>
      <c r="C1945" s="67" t="n"/>
      <c r="D1945" s="3" t="n"/>
      <c r="E1945" s="3" t="n"/>
      <c r="F1945" s="217" t="n"/>
      <c r="G1945" t="inlineStr"/>
      <c r="H1945" t="inlineStr"/>
      <c r="I1945" s="111" t="n"/>
      <c r="J1945" s="217" t="inlineStr"/>
    </row>
    <row r="1946" ht="15.75" customHeight="1" s="305">
      <c r="A1946" s="215" t="n"/>
      <c r="B1946" s="115" t="n"/>
      <c r="C1946" s="67" t="n"/>
      <c r="D1946" s="3" t="n"/>
      <c r="E1946" s="3" t="n"/>
      <c r="F1946" s="217" t="n"/>
      <c r="G1946" t="inlineStr"/>
      <c r="H1946" t="inlineStr"/>
      <c r="I1946" s="111" t="n"/>
      <c r="J1946" s="217" t="inlineStr"/>
    </row>
    <row r="1947" ht="15.75" customHeight="1" s="305">
      <c r="A1947" s="215" t="n"/>
      <c r="B1947" s="115" t="n"/>
      <c r="C1947" s="67" t="n"/>
      <c r="D1947" s="3" t="n"/>
      <c r="E1947" s="3" t="n"/>
      <c r="F1947" s="217" t="n"/>
      <c r="G1947" t="inlineStr"/>
      <c r="H1947" t="inlineStr"/>
      <c r="I1947" s="111" t="n"/>
      <c r="J1947" s="217" t="inlineStr"/>
    </row>
    <row r="1948" ht="15.75" customHeight="1" s="305">
      <c r="A1948" s="215" t="n"/>
      <c r="B1948" s="115" t="n"/>
      <c r="C1948" s="67" t="n"/>
      <c r="D1948" s="3" t="n"/>
      <c r="E1948" s="3" t="n"/>
      <c r="F1948" s="217" t="n"/>
      <c r="G1948" t="inlineStr"/>
      <c r="H1948" t="inlineStr"/>
      <c r="I1948" s="111" t="n"/>
      <c r="J1948" s="217" t="inlineStr"/>
    </row>
    <row r="1949" ht="15.75" customHeight="1" s="305">
      <c r="A1949" s="215" t="n"/>
      <c r="B1949" s="115" t="n"/>
      <c r="C1949" s="67" t="n"/>
      <c r="D1949" s="3" t="n"/>
      <c r="E1949" s="3" t="n"/>
      <c r="F1949" s="217" t="n"/>
      <c r="G1949" t="inlineStr"/>
      <c r="H1949" t="inlineStr"/>
      <c r="I1949" s="111" t="n"/>
      <c r="J1949" s="217" t="inlineStr"/>
    </row>
    <row r="1950" ht="15.75" customHeight="1" s="305">
      <c r="A1950" s="215" t="n"/>
      <c r="B1950" s="115" t="n"/>
      <c r="C1950" s="67" t="n"/>
      <c r="D1950" s="3" t="n"/>
      <c r="E1950" s="3" t="n"/>
      <c r="F1950" s="217" t="n"/>
      <c r="G1950" t="inlineStr"/>
      <c r="H1950" t="inlineStr"/>
      <c r="I1950" s="111" t="n"/>
      <c r="J1950" s="217" t="inlineStr"/>
    </row>
    <row r="1951" ht="15.75" customHeight="1" s="305">
      <c r="A1951" s="215" t="n"/>
      <c r="B1951" s="115" t="n"/>
      <c r="C1951" s="67" t="n"/>
      <c r="D1951" s="3" t="n"/>
      <c r="E1951" s="3" t="n"/>
      <c r="F1951" s="217" t="n"/>
      <c r="G1951" t="inlineStr"/>
      <c r="H1951" t="inlineStr"/>
      <c r="I1951" s="111" t="n"/>
      <c r="J1951" s="217" t="inlineStr"/>
    </row>
    <row r="1952" ht="15.75" customHeight="1" s="305">
      <c r="A1952" s="215" t="n"/>
      <c r="B1952" s="115" t="n"/>
      <c r="C1952" s="67" t="n"/>
      <c r="D1952" s="3" t="n"/>
      <c r="E1952" s="3" t="n"/>
      <c r="F1952" s="217" t="n"/>
      <c r="G1952" t="inlineStr"/>
      <c r="H1952" t="inlineStr"/>
      <c r="I1952" s="111" t="n"/>
      <c r="J1952" s="217" t="inlineStr"/>
    </row>
    <row r="1953" ht="15.75" customHeight="1" s="305">
      <c r="A1953" s="215" t="n"/>
      <c r="B1953" s="115" t="n"/>
      <c r="C1953" s="67" t="n"/>
      <c r="D1953" s="3" t="n"/>
      <c r="E1953" s="3" t="n"/>
      <c r="F1953" s="217" t="n"/>
      <c r="G1953" t="inlineStr"/>
      <c r="H1953" t="inlineStr"/>
      <c r="I1953" s="111" t="n"/>
      <c r="J1953" s="217" t="inlineStr"/>
    </row>
    <row r="1954" ht="15.75" customHeight="1" s="305">
      <c r="A1954" s="215" t="n"/>
      <c r="B1954" s="115" t="n"/>
      <c r="C1954" s="67" t="n"/>
      <c r="D1954" s="3" t="n"/>
      <c r="E1954" s="3" t="n"/>
      <c r="F1954" s="217" t="n"/>
      <c r="G1954" t="inlineStr"/>
      <c r="H1954" t="inlineStr"/>
      <c r="I1954" s="111" t="n"/>
      <c r="J1954" s="217" t="inlineStr"/>
    </row>
    <row r="1955" ht="15.75" customHeight="1" s="305">
      <c r="A1955" s="215" t="n"/>
      <c r="B1955" s="115" t="n"/>
      <c r="C1955" s="67" t="n"/>
      <c r="D1955" s="3" t="n"/>
      <c r="E1955" s="3" t="n"/>
      <c r="F1955" s="217" t="n"/>
      <c r="G1955" t="inlineStr"/>
      <c r="H1955" t="inlineStr"/>
      <c r="I1955" s="111" t="n"/>
      <c r="J1955" s="217" t="inlineStr"/>
    </row>
    <row r="1956" ht="15.75" customHeight="1" s="305">
      <c r="A1956" s="215" t="n"/>
      <c r="B1956" s="115" t="n"/>
      <c r="C1956" s="67" t="n"/>
      <c r="D1956" s="3" t="n"/>
      <c r="E1956" s="3" t="n"/>
      <c r="F1956" s="217" t="n"/>
      <c r="G1956" t="inlineStr"/>
      <c r="H1956" t="inlineStr"/>
      <c r="I1956" s="111" t="n"/>
      <c r="J1956" s="217" t="inlineStr"/>
    </row>
    <row r="1957" ht="15.75" customHeight="1" s="305">
      <c r="A1957" s="215" t="n"/>
      <c r="B1957" s="115" t="n"/>
      <c r="C1957" s="67" t="n"/>
      <c r="D1957" s="3" t="n"/>
      <c r="E1957" s="3" t="n"/>
      <c r="F1957" s="217" t="n"/>
      <c r="G1957" t="inlineStr"/>
      <c r="H1957" t="inlineStr"/>
      <c r="I1957" s="111" t="n"/>
      <c r="J1957" s="217" t="inlineStr"/>
    </row>
    <row r="1958" ht="15.75" customHeight="1" s="305">
      <c r="A1958" s="215" t="n"/>
      <c r="B1958" s="115" t="n"/>
      <c r="C1958" s="67" t="n"/>
      <c r="D1958" s="3" t="n"/>
      <c r="E1958" s="3" t="n"/>
      <c r="F1958" s="217" t="n"/>
      <c r="G1958" t="inlineStr"/>
      <c r="H1958" t="inlineStr"/>
      <c r="I1958" s="111" t="n"/>
      <c r="J1958" s="217" t="inlineStr"/>
    </row>
    <row r="1959" ht="15.75" customHeight="1" s="305">
      <c r="A1959" s="215" t="n"/>
      <c r="B1959" s="115" t="n"/>
      <c r="C1959" s="67" t="n"/>
      <c r="D1959" s="3" t="n"/>
      <c r="E1959" s="3" t="n"/>
      <c r="F1959" s="217" t="n"/>
      <c r="G1959" t="inlineStr"/>
      <c r="H1959" t="inlineStr"/>
      <c r="I1959" s="111" t="n"/>
      <c r="J1959" s="217" t="inlineStr"/>
    </row>
    <row r="1960" ht="15.75" customHeight="1" s="305">
      <c r="A1960" s="215" t="n"/>
      <c r="B1960" s="115" t="n"/>
      <c r="C1960" s="67" t="n"/>
      <c r="D1960" s="3" t="n"/>
      <c r="E1960" s="3" t="n"/>
      <c r="F1960" s="217" t="n"/>
      <c r="G1960" t="inlineStr"/>
      <c r="H1960" t="inlineStr"/>
      <c r="I1960" s="111" t="n"/>
      <c r="J1960" s="217" t="inlineStr"/>
    </row>
    <row r="1961" ht="15.75" customHeight="1" s="305">
      <c r="A1961" s="215" t="n"/>
      <c r="B1961" s="115" t="n"/>
      <c r="C1961" s="67" t="n"/>
      <c r="D1961" s="3" t="n"/>
      <c r="E1961" s="3" t="n"/>
      <c r="F1961" s="217" t="n"/>
      <c r="G1961" t="inlineStr"/>
      <c r="H1961" t="inlineStr"/>
      <c r="I1961" s="111" t="n"/>
      <c r="J1961" s="217" t="inlineStr"/>
    </row>
    <row r="1962" ht="15.75" customHeight="1" s="305">
      <c r="A1962" s="215" t="n"/>
      <c r="B1962" s="115" t="n"/>
      <c r="C1962" s="67" t="n"/>
      <c r="D1962" s="3" t="n"/>
      <c r="E1962" s="3" t="n"/>
      <c r="F1962" s="217" t="n"/>
      <c r="G1962" t="inlineStr"/>
      <c r="H1962" t="inlineStr"/>
      <c r="I1962" s="111" t="n"/>
      <c r="J1962" s="217" t="inlineStr"/>
    </row>
    <row r="1963" ht="15.75" customHeight="1" s="305">
      <c r="A1963" s="215" t="n"/>
      <c r="B1963" s="115" t="n"/>
      <c r="C1963" s="67" t="n"/>
      <c r="D1963" s="3" t="n"/>
      <c r="E1963" s="3" t="n"/>
      <c r="F1963" s="217" t="n"/>
      <c r="G1963" t="inlineStr"/>
      <c r="H1963" t="inlineStr"/>
      <c r="I1963" s="111" t="n"/>
      <c r="J1963" s="217" t="inlineStr"/>
    </row>
    <row r="1964" ht="15.75" customHeight="1" s="305">
      <c r="A1964" s="215" t="n"/>
      <c r="B1964" s="115" t="n"/>
      <c r="C1964" s="67" t="n"/>
      <c r="D1964" s="3" t="n"/>
      <c r="E1964" s="3" t="n"/>
      <c r="F1964" s="217" t="n"/>
      <c r="G1964" t="inlineStr"/>
      <c r="H1964" t="inlineStr"/>
      <c r="I1964" s="111" t="n"/>
      <c r="J1964" s="217" t="inlineStr"/>
    </row>
    <row r="1965" ht="15.75" customHeight="1" s="305">
      <c r="A1965" s="215" t="n"/>
      <c r="B1965" s="115" t="n"/>
      <c r="C1965" s="67" t="n"/>
      <c r="D1965" s="3" t="n"/>
      <c r="E1965" s="3" t="n"/>
      <c r="F1965" s="217" t="n"/>
      <c r="G1965" t="inlineStr"/>
      <c r="H1965" t="inlineStr"/>
      <c r="I1965" s="111" t="n"/>
      <c r="J1965" s="217" t="inlineStr"/>
    </row>
    <row r="1966" ht="15.75" customHeight="1" s="305">
      <c r="A1966" s="215" t="n"/>
      <c r="B1966" s="115" t="n"/>
      <c r="C1966" s="67" t="n"/>
      <c r="D1966" s="3" t="n"/>
      <c r="E1966" s="3" t="n"/>
      <c r="F1966" s="217" t="n"/>
      <c r="G1966" t="inlineStr"/>
      <c r="H1966" t="inlineStr"/>
      <c r="I1966" s="111" t="n"/>
      <c r="J1966" s="217" t="inlineStr"/>
    </row>
    <row r="1967" ht="15.75" customHeight="1" s="305">
      <c r="A1967" s="215" t="n"/>
      <c r="B1967" s="115" t="n"/>
      <c r="C1967" s="67" t="n"/>
      <c r="D1967" s="3" t="n"/>
      <c r="E1967" s="3" t="n"/>
      <c r="F1967" s="217" t="n"/>
      <c r="G1967" t="inlineStr"/>
      <c r="H1967" t="inlineStr"/>
      <c r="I1967" s="111" t="n"/>
      <c r="J1967" s="217" t="inlineStr"/>
    </row>
    <row r="1968" ht="15.75" customHeight="1" s="305">
      <c r="A1968" s="215" t="n"/>
      <c r="B1968" s="115" t="n"/>
      <c r="C1968" s="67" t="n"/>
      <c r="D1968" s="3" t="n"/>
      <c r="E1968" s="3" t="n"/>
      <c r="F1968" s="217" t="n"/>
      <c r="G1968" t="inlineStr"/>
      <c r="H1968" t="inlineStr"/>
      <c r="I1968" s="111" t="n"/>
      <c r="J1968" s="217" t="inlineStr"/>
    </row>
    <row r="1969" ht="15.75" customHeight="1" s="305">
      <c r="A1969" s="215" t="n"/>
      <c r="B1969" s="115" t="n"/>
      <c r="C1969" s="67" t="n"/>
      <c r="D1969" s="3" t="n"/>
      <c r="E1969" s="3" t="n"/>
      <c r="F1969" s="217" t="n"/>
      <c r="G1969" t="inlineStr"/>
      <c r="H1969" t="inlineStr"/>
      <c r="I1969" s="111" t="n"/>
      <c r="J1969" s="217" t="inlineStr"/>
    </row>
    <row r="1970" ht="15.75" customHeight="1" s="305">
      <c r="A1970" s="215" t="n"/>
      <c r="B1970" s="115" t="n"/>
      <c r="C1970" s="67" t="n"/>
      <c r="D1970" s="3" t="n"/>
      <c r="E1970" s="3" t="n"/>
      <c r="F1970" s="217" t="n"/>
      <c r="G1970" t="inlineStr"/>
      <c r="H1970" t="inlineStr"/>
      <c r="I1970" s="111" t="n"/>
      <c r="J1970" s="217" t="inlineStr"/>
    </row>
    <row r="1971" ht="15.75" customHeight="1" s="305">
      <c r="A1971" s="215" t="n"/>
      <c r="B1971" s="115" t="n"/>
      <c r="C1971" s="67" t="n"/>
      <c r="D1971" s="3" t="n"/>
      <c r="E1971" s="3" t="n"/>
      <c r="F1971" s="217" t="n"/>
      <c r="G1971" t="inlineStr"/>
      <c r="H1971" t="inlineStr"/>
      <c r="I1971" s="111" t="n"/>
      <c r="J1971" s="217" t="inlineStr"/>
    </row>
    <row r="1972" ht="15.75" customHeight="1" s="305">
      <c r="A1972" s="215" t="n"/>
      <c r="B1972" s="115" t="n"/>
      <c r="C1972" s="67" t="n"/>
      <c r="D1972" s="3" t="n"/>
      <c r="E1972" s="3" t="n"/>
      <c r="F1972" s="217" t="n"/>
      <c r="G1972" t="inlineStr"/>
      <c r="H1972" t="inlineStr"/>
      <c r="I1972" s="111" t="n"/>
      <c r="J1972" s="217" t="inlineStr"/>
    </row>
    <row r="1973" ht="15.75" customHeight="1" s="305">
      <c r="A1973" s="215" t="n"/>
      <c r="B1973" s="115" t="n"/>
      <c r="C1973" s="67" t="n"/>
      <c r="D1973" s="3" t="n"/>
      <c r="E1973" s="3" t="n"/>
      <c r="F1973" s="217" t="n"/>
      <c r="G1973" t="inlineStr"/>
      <c r="H1973" t="inlineStr"/>
      <c r="I1973" s="111" t="n"/>
      <c r="J1973" s="217" t="inlineStr"/>
    </row>
    <row r="1974" ht="15.75" customHeight="1" s="305">
      <c r="A1974" s="215" t="n"/>
      <c r="B1974" s="115" t="n"/>
      <c r="C1974" s="67" t="n"/>
      <c r="D1974" s="3" t="n"/>
      <c r="E1974" s="3" t="n"/>
      <c r="F1974" s="217" t="n"/>
      <c r="G1974" t="inlineStr"/>
      <c r="H1974" t="inlineStr"/>
      <c r="I1974" s="111" t="n"/>
      <c r="J1974" s="217" t="inlineStr"/>
    </row>
    <row r="1975" ht="15.75" customHeight="1" s="305">
      <c r="A1975" s="215" t="n"/>
      <c r="B1975" s="115" t="n"/>
      <c r="C1975" s="67" t="n"/>
      <c r="D1975" s="3" t="n"/>
      <c r="E1975" s="3" t="n"/>
      <c r="F1975" s="217" t="n"/>
      <c r="G1975" t="inlineStr"/>
      <c r="H1975" t="inlineStr"/>
      <c r="I1975" s="111" t="n"/>
      <c r="J1975" s="217" t="inlineStr"/>
    </row>
    <row r="1976" ht="15.75" customHeight="1" s="305">
      <c r="A1976" s="215" t="n"/>
      <c r="B1976" s="115" t="n"/>
      <c r="C1976" s="67" t="n"/>
      <c r="D1976" s="3" t="n"/>
      <c r="E1976" s="3" t="n"/>
      <c r="F1976" s="217" t="n"/>
      <c r="G1976" t="inlineStr"/>
      <c r="H1976" t="inlineStr"/>
      <c r="I1976" s="111" t="n"/>
      <c r="J1976" s="217" t="inlineStr"/>
    </row>
    <row r="1977" ht="15.75" customHeight="1" s="305">
      <c r="A1977" s="215" t="n"/>
      <c r="B1977" s="115" t="n"/>
      <c r="C1977" s="67" t="n"/>
      <c r="D1977" s="3" t="n"/>
      <c r="E1977" s="3" t="n"/>
      <c r="F1977" s="217" t="n"/>
      <c r="G1977" t="inlineStr"/>
      <c r="H1977" t="inlineStr"/>
      <c r="I1977" s="111" t="n"/>
      <c r="J1977" s="217" t="inlineStr"/>
    </row>
    <row r="1978" ht="15.75" customHeight="1" s="305">
      <c r="A1978" s="215" t="n"/>
      <c r="B1978" s="115" t="n"/>
      <c r="C1978" s="67" t="n"/>
      <c r="D1978" s="3" t="n"/>
      <c r="E1978" s="3" t="n"/>
      <c r="F1978" s="217" t="n"/>
      <c r="G1978" t="inlineStr"/>
      <c r="H1978" t="inlineStr"/>
      <c r="I1978" s="111" t="n"/>
      <c r="J1978" s="217" t="inlineStr"/>
    </row>
    <row r="1979" ht="15.75" customHeight="1" s="305">
      <c r="A1979" s="215" t="n"/>
      <c r="B1979" s="115" t="n"/>
      <c r="C1979" s="67" t="n"/>
      <c r="D1979" s="3" t="n"/>
      <c r="E1979" s="3" t="n"/>
      <c r="F1979" s="217" t="n"/>
      <c r="G1979" t="inlineStr"/>
      <c r="H1979" t="inlineStr"/>
      <c r="I1979" s="111" t="n"/>
      <c r="J1979" s="217" t="inlineStr"/>
    </row>
    <row r="1980" ht="15.75" customHeight="1" s="305">
      <c r="A1980" s="215" t="n"/>
      <c r="B1980" s="115" t="n"/>
      <c r="C1980" s="67" t="n"/>
      <c r="D1980" s="3" t="n"/>
      <c r="E1980" s="3" t="n"/>
      <c r="F1980" s="217" t="n"/>
      <c r="G1980" t="inlineStr"/>
      <c r="H1980" t="inlineStr"/>
      <c r="I1980" s="111" t="n"/>
      <c r="J1980" s="217" t="inlineStr"/>
    </row>
    <row r="1981" ht="15.75" customHeight="1" s="305">
      <c r="A1981" s="215" t="n"/>
      <c r="B1981" s="115" t="n"/>
      <c r="C1981" s="67" t="n"/>
      <c r="D1981" s="3" t="n"/>
      <c r="E1981" s="3" t="n"/>
      <c r="F1981" s="217" t="n"/>
      <c r="G1981" t="inlineStr"/>
      <c r="H1981" t="inlineStr"/>
      <c r="I1981" s="111" t="n"/>
      <c r="J1981" s="217" t="inlineStr"/>
    </row>
    <row r="1982" ht="15.75" customHeight="1" s="305">
      <c r="A1982" s="215" t="n"/>
      <c r="B1982" s="115" t="n"/>
      <c r="C1982" s="67" t="n"/>
      <c r="D1982" s="3" t="n"/>
      <c r="E1982" s="3" t="n"/>
      <c r="F1982" s="217" t="n"/>
      <c r="G1982" t="inlineStr"/>
      <c r="H1982" t="inlineStr"/>
      <c r="I1982" s="111" t="n"/>
      <c r="J1982" s="217" t="inlineStr"/>
    </row>
    <row r="1983" ht="15.75" customHeight="1" s="305">
      <c r="A1983" s="215" t="n"/>
      <c r="B1983" s="115" t="n"/>
      <c r="C1983" s="67" t="n"/>
      <c r="D1983" s="3" t="n"/>
      <c r="E1983" s="3" t="n"/>
      <c r="F1983" s="217" t="n"/>
      <c r="G1983" t="inlineStr"/>
      <c r="H1983" t="inlineStr"/>
      <c r="I1983" s="111" t="n"/>
      <c r="J1983" s="217" t="inlineStr"/>
    </row>
    <row r="1984" ht="15.75" customHeight="1" s="305">
      <c r="A1984" s="215" t="n"/>
      <c r="B1984" s="115" t="n"/>
      <c r="C1984" s="67" t="n"/>
      <c r="D1984" s="3" t="n"/>
      <c r="E1984" s="3" t="n"/>
      <c r="F1984" s="217" t="n"/>
      <c r="G1984" t="inlineStr"/>
      <c r="H1984" t="inlineStr"/>
      <c r="I1984" s="111" t="n"/>
      <c r="J1984" s="217" t="inlineStr"/>
    </row>
    <row r="1985" ht="15.75" customHeight="1" s="305">
      <c r="A1985" s="215" t="n"/>
      <c r="B1985" s="115" t="n"/>
      <c r="C1985" s="67" t="n"/>
      <c r="D1985" s="3" t="n"/>
      <c r="E1985" s="3" t="n"/>
      <c r="F1985" s="217" t="n"/>
      <c r="G1985" t="inlineStr"/>
      <c r="H1985" t="inlineStr"/>
      <c r="I1985" s="111" t="n"/>
      <c r="J1985" s="217" t="inlineStr"/>
    </row>
    <row r="1986" ht="15.75" customHeight="1" s="305">
      <c r="A1986" s="215" t="n"/>
      <c r="B1986" s="115" t="n"/>
      <c r="C1986" s="67" t="n"/>
      <c r="D1986" s="3" t="n"/>
      <c r="E1986" s="3" t="n"/>
      <c r="F1986" s="217" t="n"/>
      <c r="G1986" t="inlineStr"/>
      <c r="H1986" t="inlineStr"/>
      <c r="I1986" s="111" t="n"/>
      <c r="J1986" s="217" t="inlineStr"/>
    </row>
    <row r="1987" ht="15.75" customHeight="1" s="305">
      <c r="A1987" s="215" t="n"/>
      <c r="B1987" s="115" t="n"/>
      <c r="C1987" s="67" t="n"/>
      <c r="D1987" s="3" t="n"/>
      <c r="E1987" s="3" t="n"/>
      <c r="F1987" s="217" t="n"/>
      <c r="G1987" t="inlineStr"/>
      <c r="H1987" t="inlineStr"/>
      <c r="I1987" s="111" t="n"/>
      <c r="J1987" s="217" t="inlineStr"/>
    </row>
    <row r="1988" ht="15.75" customHeight="1" s="305">
      <c r="A1988" s="215" t="n"/>
      <c r="B1988" s="115" t="n"/>
      <c r="C1988" s="67" t="n"/>
      <c r="D1988" s="3" t="n"/>
      <c r="E1988" s="3" t="n"/>
      <c r="F1988" s="217" t="n"/>
      <c r="G1988" t="inlineStr"/>
      <c r="H1988" t="inlineStr"/>
      <c r="I1988" s="111" t="n"/>
      <c r="J1988" s="217" t="inlineStr"/>
    </row>
    <row r="1989" ht="15.75" customHeight="1" s="305">
      <c r="A1989" s="215" t="n"/>
      <c r="B1989" s="115" t="n"/>
      <c r="C1989" s="67" t="n"/>
      <c r="D1989" s="3" t="n"/>
      <c r="E1989" s="3" t="n"/>
      <c r="F1989" s="217" t="n"/>
      <c r="G1989" t="inlineStr"/>
      <c r="H1989" t="inlineStr"/>
      <c r="I1989" s="111" t="n"/>
      <c r="J1989" s="217" t="inlineStr"/>
    </row>
    <row r="1990" ht="15.75" customHeight="1" s="305">
      <c r="A1990" s="215" t="n"/>
      <c r="B1990" s="115" t="n"/>
      <c r="C1990" s="67" t="n"/>
      <c r="D1990" s="3" t="n"/>
      <c r="E1990" s="3" t="n"/>
      <c r="F1990" s="217" t="n"/>
      <c r="G1990" t="inlineStr"/>
      <c r="H1990" t="inlineStr"/>
      <c r="I1990" s="111" t="n"/>
      <c r="J1990" s="217" t="inlineStr"/>
    </row>
    <row r="1991" ht="15.75" customHeight="1" s="305">
      <c r="A1991" s="215" t="n"/>
      <c r="B1991" s="115" t="n"/>
      <c r="C1991" s="67" t="n"/>
      <c r="D1991" s="3" t="n"/>
      <c r="E1991" s="3" t="n"/>
      <c r="F1991" s="217" t="n"/>
      <c r="G1991" t="inlineStr"/>
      <c r="H1991" t="inlineStr"/>
      <c r="I1991" s="111" t="n"/>
      <c r="J1991" s="217" t="inlineStr"/>
    </row>
    <row r="1992" ht="15.75" customHeight="1" s="305">
      <c r="A1992" s="215" t="n"/>
      <c r="B1992" s="115" t="n"/>
      <c r="C1992" s="67" t="n"/>
      <c r="D1992" s="3" t="n"/>
      <c r="E1992" s="3" t="n"/>
      <c r="F1992" s="217" t="n"/>
      <c r="G1992" t="inlineStr"/>
      <c r="H1992" t="inlineStr"/>
      <c r="I1992" s="111" t="n"/>
      <c r="J1992" s="217" t="inlineStr"/>
    </row>
    <row r="1993" ht="15.75" customHeight="1" s="305">
      <c r="A1993" s="215" t="n"/>
      <c r="B1993" s="115" t="n"/>
      <c r="C1993" s="67" t="n"/>
      <c r="D1993" s="3" t="n"/>
      <c r="E1993" s="3" t="n"/>
      <c r="F1993" s="217" t="n"/>
      <c r="G1993" t="inlineStr"/>
      <c r="H1993" t="inlineStr"/>
      <c r="I1993" s="111" t="n"/>
      <c r="J1993" s="217" t="inlineStr"/>
    </row>
    <row r="1994" ht="15.75" customHeight="1" s="305">
      <c r="A1994" s="215" t="n"/>
      <c r="B1994" s="115" t="n"/>
      <c r="C1994" s="67" t="n"/>
      <c r="D1994" s="3" t="n"/>
      <c r="E1994" s="3" t="n"/>
      <c r="F1994" s="217" t="n"/>
      <c r="G1994" t="inlineStr"/>
      <c r="H1994" t="inlineStr"/>
      <c r="I1994" s="111" t="n"/>
      <c r="J1994" s="217" t="inlineStr"/>
    </row>
    <row r="1995" ht="15.75" customHeight="1" s="305">
      <c r="A1995" s="215" t="n"/>
      <c r="B1995" s="115" t="n"/>
      <c r="C1995" s="67" t="n"/>
      <c r="D1995" s="3" t="n"/>
      <c r="E1995" s="3" t="n"/>
      <c r="F1995" s="217" t="n"/>
      <c r="G1995" t="inlineStr"/>
      <c r="H1995" t="inlineStr"/>
      <c r="I1995" s="111" t="n"/>
      <c r="J1995" s="217" t="inlineStr"/>
    </row>
    <row r="1996" ht="15.75" customHeight="1" s="305">
      <c r="A1996" s="215" t="n"/>
      <c r="B1996" s="115" t="n"/>
      <c r="C1996" s="67" t="n"/>
      <c r="D1996" s="3" t="n"/>
      <c r="E1996" s="3" t="n"/>
      <c r="F1996" s="217" t="n"/>
      <c r="G1996" t="inlineStr"/>
      <c r="H1996" t="inlineStr"/>
      <c r="I1996" s="111" t="n"/>
      <c r="J1996" s="217" t="inlineStr"/>
    </row>
    <row r="1997" ht="15.75" customHeight="1" s="305">
      <c r="A1997" s="215" t="n"/>
      <c r="B1997" s="115" t="n"/>
      <c r="C1997" s="67" t="n"/>
      <c r="D1997" s="3" t="n"/>
      <c r="E1997" s="3" t="n"/>
      <c r="F1997" s="217" t="n"/>
      <c r="G1997" t="inlineStr"/>
      <c r="H1997" t="inlineStr"/>
      <c r="I1997" s="111" t="n"/>
      <c r="J1997" s="217" t="inlineStr"/>
    </row>
    <row r="1998" ht="15.75" customHeight="1" s="305">
      <c r="A1998" s="215" t="n"/>
      <c r="B1998" s="115" t="n"/>
      <c r="C1998" s="67" t="n"/>
      <c r="D1998" s="3" t="n"/>
      <c r="E1998" s="3" t="n"/>
      <c r="F1998" s="217" t="n"/>
      <c r="G1998" t="inlineStr"/>
      <c r="H1998" t="inlineStr"/>
      <c r="I1998" s="111" t="n"/>
      <c r="J1998" s="217" t="inlineStr"/>
    </row>
    <row r="1999" ht="15.75" customHeight="1" s="305">
      <c r="A1999" s="215" t="n"/>
      <c r="B1999" s="115" t="n"/>
      <c r="C1999" s="67" t="n"/>
      <c r="D1999" s="3" t="n"/>
      <c r="E1999" s="3" t="n"/>
      <c r="F1999" s="217" t="n"/>
      <c r="G1999" t="inlineStr"/>
      <c r="H1999" t="inlineStr"/>
      <c r="I1999" s="111" t="n"/>
      <c r="J1999" s="217" t="inlineStr"/>
    </row>
    <row r="2000" ht="15.75" customHeight="1" s="305">
      <c r="A2000" s="215" t="n"/>
      <c r="B2000" s="115" t="n"/>
      <c r="C2000" s="67" t="n"/>
      <c r="D2000" s="3" t="n"/>
      <c r="E2000" s="3" t="n"/>
      <c r="F2000" s="217" t="n"/>
      <c r="G2000" t="inlineStr"/>
      <c r="H2000" t="inlineStr"/>
      <c r="I2000" s="111" t="n"/>
      <c r="J2000" s="217" t="inlineStr"/>
    </row>
    <row r="2001" ht="15.75" customHeight="1" s="305">
      <c r="A2001" s="215" t="n"/>
      <c r="B2001" s="115" t="n"/>
      <c r="C2001" s="67" t="n"/>
      <c r="D2001" s="3" t="n"/>
      <c r="E2001" s="3" t="n"/>
      <c r="F2001" s="217" t="n"/>
      <c r="G2001" t="inlineStr"/>
      <c r="H2001" t="inlineStr"/>
      <c r="I2001" s="111" t="n"/>
      <c r="J2001" s="217" t="inlineStr"/>
    </row>
    <row r="2002" ht="15.75" customHeight="1" s="305">
      <c r="A2002" s="215" t="n"/>
      <c r="B2002" s="115" t="n"/>
      <c r="C2002" s="67" t="n"/>
      <c r="D2002" s="3" t="n"/>
      <c r="E2002" s="3" t="n"/>
      <c r="F2002" s="217" t="n"/>
      <c r="G2002" t="inlineStr"/>
      <c r="H2002" t="inlineStr"/>
      <c r="I2002" s="111" t="n"/>
      <c r="J2002" s="217" t="inlineStr"/>
    </row>
    <row r="2003" ht="15.75" customHeight="1" s="305">
      <c r="A2003" s="215" t="n"/>
      <c r="B2003" s="115" t="n"/>
      <c r="C2003" s="67" t="n"/>
      <c r="D2003" s="3" t="n"/>
      <c r="E2003" s="3" t="n"/>
      <c r="F2003" s="217" t="n"/>
      <c r="G2003" t="inlineStr"/>
      <c r="H2003" t="inlineStr"/>
      <c r="I2003" s="111" t="n"/>
      <c r="J2003" s="217" t="inlineStr"/>
    </row>
    <row r="2004" ht="15.75" customHeight="1" s="305">
      <c r="A2004" s="215" t="n"/>
      <c r="B2004" s="115" t="n"/>
      <c r="C2004" s="67" t="n"/>
      <c r="D2004" s="3" t="n"/>
      <c r="E2004" s="3" t="n"/>
      <c r="F2004" s="217" t="n"/>
      <c r="G2004" t="inlineStr"/>
      <c r="H2004" t="inlineStr"/>
      <c r="I2004" s="111" t="n"/>
      <c r="J2004" s="217" t="inlineStr"/>
    </row>
    <row r="2005" ht="15.75" customHeight="1" s="305">
      <c r="A2005" s="215" t="n"/>
      <c r="B2005" s="115" t="n"/>
      <c r="C2005" s="67" t="n"/>
      <c r="D2005" s="3" t="n"/>
      <c r="E2005" s="3" t="n"/>
      <c r="F2005" s="217" t="n"/>
      <c r="G2005" t="inlineStr"/>
      <c r="H2005" t="inlineStr"/>
      <c r="I2005" s="111" t="n"/>
      <c r="J2005" s="217" t="inlineStr"/>
    </row>
    <row r="2006" ht="15.75" customHeight="1" s="305">
      <c r="A2006" s="215" t="n"/>
      <c r="B2006" s="115" t="n"/>
      <c r="C2006" s="67" t="n"/>
      <c r="D2006" s="3" t="n"/>
      <c r="E2006" s="3" t="n"/>
      <c r="F2006" s="217" t="n"/>
      <c r="G2006" t="inlineStr"/>
      <c r="H2006" t="inlineStr"/>
      <c r="I2006" s="111" t="n"/>
      <c r="J2006" s="217" t="inlineStr"/>
    </row>
    <row r="2007" ht="15.75" customHeight="1" s="305">
      <c r="A2007" s="215" t="n"/>
      <c r="B2007" s="115" t="n"/>
      <c r="C2007" s="67" t="n"/>
      <c r="D2007" s="3" t="n"/>
      <c r="E2007" s="3" t="n"/>
      <c r="F2007" s="217" t="n"/>
      <c r="G2007" t="inlineStr"/>
      <c r="H2007" t="inlineStr"/>
      <c r="I2007" s="111" t="n"/>
      <c r="J2007" s="217" t="inlineStr"/>
    </row>
    <row r="2008" ht="15.75" customHeight="1" s="305">
      <c r="A2008" s="215" t="n"/>
      <c r="B2008" s="115" t="n"/>
      <c r="C2008" s="67" t="n"/>
      <c r="D2008" s="3" t="n"/>
      <c r="E2008" s="3" t="n"/>
      <c r="F2008" s="217" t="n"/>
      <c r="G2008" t="inlineStr"/>
      <c r="H2008" t="inlineStr"/>
      <c r="I2008" s="111" t="n"/>
      <c r="J2008" s="217" t="inlineStr"/>
    </row>
    <row r="2009" ht="15.75" customHeight="1" s="305">
      <c r="A2009" s="215" t="n"/>
      <c r="B2009" s="115" t="n"/>
      <c r="C2009" s="67" t="n"/>
      <c r="D2009" s="3" t="n"/>
      <c r="E2009" s="3" t="n"/>
      <c r="F2009" s="217" t="n"/>
      <c r="G2009" t="inlineStr"/>
      <c r="H2009" t="inlineStr"/>
      <c r="I2009" s="111" t="n"/>
      <c r="J2009" s="217" t="inlineStr"/>
    </row>
    <row r="2010" ht="15.75" customHeight="1" s="305">
      <c r="A2010" s="215" t="n"/>
      <c r="B2010" s="115" t="n"/>
      <c r="C2010" s="67" t="n"/>
      <c r="D2010" s="3" t="n"/>
      <c r="E2010" s="3" t="n"/>
      <c r="F2010" s="217" t="n"/>
      <c r="G2010" t="inlineStr"/>
      <c r="H2010" t="inlineStr"/>
      <c r="I2010" s="111" t="n"/>
      <c r="J2010" s="217" t="inlineStr"/>
    </row>
    <row r="2011" ht="15.75" customHeight="1" s="305">
      <c r="A2011" s="215" t="n"/>
      <c r="B2011" s="115" t="n"/>
      <c r="C2011" s="67" t="n"/>
      <c r="D2011" s="3" t="n"/>
      <c r="E2011" s="3" t="n"/>
      <c r="F2011" s="217" t="n"/>
      <c r="G2011" t="inlineStr"/>
      <c r="H2011" t="inlineStr"/>
      <c r="I2011" s="111" t="n"/>
      <c r="J2011" s="217" t="inlineStr"/>
    </row>
    <row r="2012" ht="15.75" customHeight="1" s="305">
      <c r="A2012" s="215" t="n"/>
      <c r="B2012" s="115" t="n"/>
      <c r="C2012" s="67" t="n"/>
      <c r="D2012" s="3" t="n"/>
      <c r="E2012" s="3" t="n"/>
      <c r="F2012" s="217" t="n"/>
      <c r="G2012" t="inlineStr"/>
      <c r="H2012" t="inlineStr"/>
      <c r="I2012" s="111" t="n"/>
      <c r="J2012" s="217" t="inlineStr"/>
    </row>
    <row r="2013" ht="15.75" customHeight="1" s="305">
      <c r="A2013" s="215" t="n"/>
      <c r="B2013" s="115" t="n"/>
      <c r="C2013" s="67" t="n"/>
      <c r="D2013" s="3" t="n"/>
      <c r="E2013" s="3" t="n"/>
      <c r="F2013" s="217" t="n"/>
      <c r="G2013" t="inlineStr"/>
      <c r="H2013" t="inlineStr"/>
      <c r="I2013" s="111" t="n"/>
      <c r="J2013" s="217" t="inlineStr"/>
    </row>
    <row r="2014" ht="15.75" customHeight="1" s="305">
      <c r="A2014" s="215" t="n"/>
      <c r="B2014" s="115" t="n"/>
      <c r="C2014" s="67" t="n"/>
      <c r="D2014" s="3" t="n"/>
      <c r="E2014" s="3" t="n"/>
      <c r="F2014" s="217" t="n"/>
      <c r="G2014" t="inlineStr"/>
      <c r="H2014" t="inlineStr"/>
      <c r="I2014" s="111" t="n"/>
      <c r="J2014" s="217" t="inlineStr"/>
    </row>
    <row r="2015" ht="15.75" customHeight="1" s="305">
      <c r="A2015" s="215" t="n"/>
      <c r="B2015" s="115" t="n"/>
      <c r="C2015" s="67" t="n"/>
      <c r="D2015" s="3" t="n"/>
      <c r="E2015" s="3" t="n"/>
      <c r="F2015" s="217" t="n"/>
      <c r="G2015" t="inlineStr"/>
      <c r="H2015" t="inlineStr"/>
      <c r="I2015" s="111" t="n"/>
      <c r="J2015" s="217" t="inlineStr"/>
    </row>
    <row r="2016" ht="15.75" customHeight="1" s="305">
      <c r="A2016" s="215" t="n"/>
      <c r="B2016" s="115" t="n"/>
      <c r="C2016" s="67" t="n"/>
      <c r="D2016" s="3" t="n"/>
      <c r="E2016" s="3" t="n"/>
      <c r="F2016" s="217" t="n"/>
      <c r="G2016" t="inlineStr"/>
      <c r="H2016" t="inlineStr"/>
      <c r="I2016" s="111" t="n"/>
      <c r="J2016" s="217" t="inlineStr"/>
    </row>
    <row r="2017" ht="15.75" customHeight="1" s="305">
      <c r="A2017" s="215" t="n"/>
      <c r="B2017" s="115" t="n"/>
      <c r="C2017" s="67" t="n"/>
      <c r="D2017" s="3" t="n"/>
      <c r="E2017" s="3" t="n"/>
      <c r="F2017" s="217" t="n"/>
      <c r="G2017" t="inlineStr"/>
      <c r="H2017" t="inlineStr"/>
      <c r="I2017" s="111" t="n"/>
      <c r="J2017" s="217" t="inlineStr"/>
    </row>
    <row r="2018" ht="15.75" customHeight="1" s="305">
      <c r="A2018" s="215" t="n"/>
      <c r="B2018" s="115" t="n"/>
      <c r="C2018" s="67" t="n"/>
      <c r="D2018" s="3" t="n"/>
      <c r="E2018" s="3" t="n"/>
      <c r="F2018" s="217" t="n"/>
      <c r="G2018" t="inlineStr"/>
      <c r="H2018" t="inlineStr"/>
      <c r="I2018" s="111" t="n"/>
      <c r="J2018" s="217" t="inlineStr"/>
    </row>
    <row r="2019" ht="15.75" customHeight="1" s="305">
      <c r="A2019" s="215" t="n"/>
      <c r="B2019" s="115" t="n"/>
      <c r="C2019" s="67" t="n"/>
      <c r="D2019" s="3" t="n"/>
      <c r="E2019" s="3" t="n"/>
      <c r="F2019" s="217" t="n"/>
      <c r="G2019" t="inlineStr"/>
      <c r="H2019" t="inlineStr"/>
      <c r="I2019" s="111" t="n"/>
      <c r="J2019" s="217" t="inlineStr"/>
    </row>
    <row r="2020" ht="15.75" customHeight="1" s="305">
      <c r="A2020" s="215" t="n"/>
      <c r="B2020" s="115" t="n"/>
      <c r="C2020" s="67" t="n"/>
      <c r="D2020" s="3" t="n"/>
      <c r="E2020" s="3" t="n"/>
      <c r="F2020" s="217" t="n"/>
      <c r="G2020" t="inlineStr"/>
      <c r="H2020" t="inlineStr"/>
      <c r="I2020" s="111" t="n"/>
      <c r="J2020" s="217" t="inlineStr"/>
    </row>
    <row r="2021" ht="15.75" customHeight="1" s="305">
      <c r="A2021" s="215" t="n"/>
      <c r="B2021" s="115" t="n"/>
      <c r="C2021" s="67" t="n"/>
      <c r="D2021" s="3" t="n"/>
      <c r="E2021" s="3" t="n"/>
      <c r="F2021" s="217" t="n"/>
      <c r="G2021" t="inlineStr"/>
      <c r="H2021" t="inlineStr"/>
      <c r="I2021" s="111" t="n"/>
      <c r="J2021" s="217" t="inlineStr"/>
    </row>
    <row r="2022" ht="15.75" customHeight="1" s="305">
      <c r="A2022" s="215" t="n"/>
      <c r="B2022" s="115" t="n"/>
      <c r="C2022" s="67" t="n"/>
      <c r="D2022" s="3" t="n"/>
      <c r="E2022" s="3" t="n"/>
      <c r="F2022" s="217" t="n"/>
      <c r="G2022" t="inlineStr"/>
      <c r="H2022" t="inlineStr"/>
      <c r="I2022" s="111" t="n"/>
      <c r="J2022" s="217" t="inlineStr"/>
    </row>
    <row r="2023" ht="15.75" customHeight="1" s="305">
      <c r="A2023" s="215" t="n"/>
      <c r="B2023" s="115" t="n"/>
      <c r="C2023" s="67" t="n"/>
      <c r="D2023" s="3" t="n"/>
      <c r="E2023" s="3" t="n"/>
      <c r="F2023" s="217" t="n"/>
      <c r="G2023" t="inlineStr"/>
      <c r="H2023" t="inlineStr"/>
      <c r="I2023" s="111" t="n"/>
      <c r="J2023" s="217" t="inlineStr"/>
    </row>
    <row r="2024" ht="15.75" customHeight="1" s="305">
      <c r="A2024" s="215" t="n"/>
      <c r="B2024" s="115" t="n"/>
      <c r="C2024" s="67" t="n"/>
      <c r="D2024" s="3" t="n"/>
      <c r="E2024" s="3" t="n"/>
      <c r="F2024" s="217" t="n"/>
      <c r="G2024" t="inlineStr"/>
      <c r="H2024" t="inlineStr"/>
      <c r="I2024" s="111" t="n"/>
      <c r="J2024" s="217" t="inlineStr"/>
    </row>
    <row r="2025" ht="15.75" customHeight="1" s="305">
      <c r="A2025" s="215" t="n"/>
      <c r="B2025" s="115" t="n"/>
      <c r="C2025" s="67" t="n"/>
      <c r="D2025" s="3" t="n"/>
      <c r="E2025" s="3" t="n"/>
      <c r="F2025" s="217" t="n"/>
      <c r="G2025" t="inlineStr"/>
      <c r="H2025" t="inlineStr"/>
      <c r="I2025" s="111" t="n"/>
      <c r="J2025" s="217" t="inlineStr"/>
    </row>
    <row r="2026" ht="15.75" customHeight="1" s="305">
      <c r="A2026" s="215" t="n"/>
      <c r="B2026" s="115" t="n"/>
      <c r="C2026" s="67" t="n"/>
      <c r="D2026" s="3" t="n"/>
      <c r="E2026" s="3" t="n"/>
      <c r="F2026" s="217" t="n"/>
      <c r="G2026" t="inlineStr"/>
      <c r="H2026" t="inlineStr"/>
      <c r="I2026" s="111" t="n"/>
      <c r="J2026" s="217" t="inlineStr"/>
    </row>
    <row r="2027" ht="15.75" customHeight="1" s="305">
      <c r="A2027" s="215" t="n"/>
      <c r="B2027" s="115" t="n"/>
      <c r="C2027" s="67" t="n"/>
      <c r="D2027" s="3" t="n"/>
      <c r="E2027" s="3" t="n"/>
      <c r="F2027" s="217" t="n"/>
      <c r="G2027" t="inlineStr"/>
      <c r="H2027" t="inlineStr"/>
      <c r="I2027" s="111" t="n"/>
      <c r="J2027" s="217" t="inlineStr"/>
    </row>
    <row r="2028" ht="15.75" customHeight="1" s="305">
      <c r="A2028" s="215" t="n"/>
      <c r="B2028" s="115" t="n"/>
      <c r="C2028" s="67" t="n"/>
      <c r="D2028" s="3" t="n"/>
      <c r="E2028" s="3" t="n"/>
      <c r="F2028" s="217" t="n"/>
      <c r="G2028" t="inlineStr"/>
      <c r="H2028" t="inlineStr"/>
      <c r="I2028" s="111" t="n"/>
      <c r="J2028" s="217" t="inlineStr"/>
    </row>
    <row r="2029" ht="15.75" customHeight="1" s="305">
      <c r="A2029" s="215" t="n"/>
      <c r="B2029" s="115" t="n"/>
      <c r="C2029" s="67" t="n"/>
      <c r="D2029" s="3" t="n"/>
      <c r="E2029" s="3" t="n"/>
      <c r="F2029" s="217" t="n"/>
      <c r="G2029" t="inlineStr"/>
      <c r="H2029" t="inlineStr"/>
      <c r="I2029" s="111" t="n"/>
      <c r="J2029" s="217" t="inlineStr"/>
    </row>
    <row r="2030" ht="15.75" customHeight="1" s="305">
      <c r="A2030" s="215" t="n"/>
      <c r="B2030" s="115" t="n"/>
      <c r="C2030" s="67" t="n"/>
      <c r="D2030" s="3" t="n"/>
      <c r="E2030" s="3" t="n"/>
      <c r="F2030" s="217" t="n"/>
      <c r="G2030" t="inlineStr"/>
      <c r="H2030" t="inlineStr"/>
      <c r="I2030" s="111" t="n"/>
      <c r="J2030" s="217" t="inlineStr"/>
    </row>
    <row r="2031" ht="15.75" customHeight="1" s="305">
      <c r="A2031" s="215" t="n"/>
      <c r="B2031" s="115" t="n"/>
      <c r="C2031" s="67" t="n"/>
      <c r="D2031" s="3" t="n"/>
      <c r="E2031" s="3" t="n"/>
      <c r="F2031" s="217" t="n"/>
      <c r="G2031" t="inlineStr"/>
      <c r="H2031" t="inlineStr"/>
      <c r="I2031" s="111" t="n"/>
      <c r="J2031" s="217" t="inlineStr"/>
    </row>
    <row r="2032" ht="15.75" customHeight="1" s="305">
      <c r="A2032" s="215" t="n"/>
      <c r="B2032" s="115" t="n"/>
      <c r="C2032" s="67" t="n"/>
      <c r="D2032" s="3" t="n"/>
      <c r="E2032" s="3" t="n"/>
      <c r="F2032" s="217" t="n"/>
      <c r="G2032" t="inlineStr"/>
      <c r="H2032" t="inlineStr"/>
      <c r="I2032" s="111" t="n"/>
      <c r="J2032" s="217" t="inlineStr"/>
    </row>
    <row r="2033" ht="15.75" customHeight="1" s="305">
      <c r="A2033" s="215" t="n"/>
      <c r="B2033" s="115" t="n"/>
      <c r="C2033" s="67" t="n"/>
      <c r="D2033" s="3" t="n"/>
      <c r="E2033" s="3" t="n"/>
      <c r="F2033" s="217" t="n"/>
      <c r="G2033" t="inlineStr"/>
      <c r="H2033" t="inlineStr"/>
      <c r="I2033" s="111" t="n"/>
      <c r="J2033" s="217" t="inlineStr"/>
    </row>
    <row r="2034" ht="15.75" customHeight="1" s="305">
      <c r="A2034" s="215" t="n"/>
      <c r="B2034" s="115" t="n"/>
      <c r="C2034" s="67" t="n"/>
      <c r="D2034" s="3" t="n"/>
      <c r="E2034" s="3" t="n"/>
      <c r="F2034" s="217" t="n"/>
      <c r="G2034" t="inlineStr"/>
      <c r="H2034" t="inlineStr"/>
      <c r="I2034" s="111" t="n"/>
      <c r="J2034" s="217" t="inlineStr"/>
    </row>
    <row r="2035" ht="15.75" customHeight="1" s="305">
      <c r="A2035" s="215" t="n"/>
      <c r="B2035" s="115" t="n"/>
      <c r="C2035" s="67" t="n"/>
      <c r="D2035" s="3" t="n"/>
      <c r="E2035" s="3" t="n"/>
      <c r="F2035" s="217" t="n"/>
      <c r="G2035" t="inlineStr"/>
      <c r="H2035" t="inlineStr"/>
      <c r="I2035" s="111" t="n"/>
      <c r="J2035" s="217" t="inlineStr"/>
    </row>
    <row r="2036" ht="15.75" customHeight="1" s="305">
      <c r="A2036" s="215" t="n"/>
      <c r="B2036" s="115" t="n"/>
      <c r="C2036" s="67" t="n"/>
      <c r="D2036" s="3" t="n"/>
      <c r="E2036" s="3" t="n"/>
      <c r="F2036" s="217" t="n"/>
      <c r="G2036" t="inlineStr"/>
      <c r="H2036" t="inlineStr"/>
      <c r="I2036" s="111" t="n"/>
      <c r="J2036" s="217" t="inlineStr"/>
    </row>
    <row r="2037" ht="15.75" customHeight="1" s="305">
      <c r="A2037" s="215" t="n"/>
      <c r="B2037" s="115" t="n"/>
      <c r="C2037" s="67" t="n"/>
      <c r="D2037" s="3" t="n"/>
      <c r="E2037" s="3" t="n"/>
      <c r="F2037" s="217" t="n"/>
      <c r="G2037" t="inlineStr"/>
      <c r="H2037" t="inlineStr"/>
      <c r="I2037" s="111" t="n"/>
      <c r="J2037" s="217" t="inlineStr"/>
    </row>
    <row r="2038" ht="15.75" customHeight="1" s="305">
      <c r="A2038" s="215" t="n"/>
      <c r="B2038" s="115" t="n"/>
      <c r="C2038" s="67" t="n"/>
      <c r="D2038" s="3" t="n"/>
      <c r="E2038" s="3" t="n"/>
      <c r="F2038" s="217" t="n"/>
      <c r="G2038" t="inlineStr"/>
      <c r="H2038" t="inlineStr"/>
      <c r="I2038" s="111" t="n"/>
      <c r="J2038" s="217" t="inlineStr"/>
    </row>
    <row r="2039" ht="15.75" customHeight="1" s="305">
      <c r="A2039" s="215" t="n"/>
      <c r="B2039" s="115" t="n"/>
      <c r="C2039" s="67" t="n"/>
      <c r="D2039" s="3" t="n"/>
      <c r="E2039" s="3" t="n"/>
      <c r="F2039" s="217" t="n"/>
      <c r="G2039" t="inlineStr"/>
      <c r="H2039" t="inlineStr"/>
      <c r="I2039" s="111" t="n"/>
      <c r="J2039" s="217" t="inlineStr"/>
    </row>
    <row r="2040" ht="15.75" customHeight="1" s="305">
      <c r="A2040" s="215" t="n"/>
      <c r="B2040" s="115" t="n"/>
      <c r="C2040" s="67" t="n"/>
      <c r="D2040" s="3" t="n"/>
      <c r="E2040" s="3" t="n"/>
      <c r="F2040" s="217" t="n"/>
      <c r="G2040" t="inlineStr"/>
      <c r="H2040" t="inlineStr"/>
      <c r="I2040" s="111" t="n"/>
      <c r="J2040" s="217" t="inlineStr"/>
    </row>
    <row r="2041" ht="15.75" customHeight="1" s="305">
      <c r="A2041" s="215" t="n"/>
      <c r="B2041" s="115" t="n"/>
      <c r="C2041" s="67" t="n"/>
      <c r="D2041" s="3" t="n"/>
      <c r="E2041" s="3" t="n"/>
      <c r="F2041" s="217" t="n"/>
      <c r="G2041" t="inlineStr"/>
      <c r="H2041" t="inlineStr"/>
      <c r="I2041" s="111" t="n"/>
      <c r="J2041" s="217" t="inlineStr"/>
    </row>
    <row r="2042" ht="15.75" customHeight="1" s="305">
      <c r="A2042" s="215" t="n"/>
      <c r="B2042" s="115" t="n"/>
      <c r="C2042" s="67" t="n"/>
      <c r="D2042" s="3" t="n"/>
      <c r="E2042" s="3" t="n"/>
      <c r="F2042" s="217" t="n"/>
      <c r="G2042" t="inlineStr"/>
      <c r="H2042" t="inlineStr"/>
      <c r="I2042" s="111" t="n"/>
      <c r="J2042" s="217" t="inlineStr"/>
    </row>
    <row r="2043" ht="15.75" customHeight="1" s="305">
      <c r="A2043" s="215" t="n"/>
      <c r="B2043" s="115" t="n"/>
      <c r="C2043" s="67" t="n"/>
      <c r="D2043" s="3" t="n"/>
      <c r="E2043" s="3" t="n"/>
      <c r="F2043" s="217" t="n"/>
      <c r="G2043" t="inlineStr"/>
      <c r="H2043" t="inlineStr"/>
      <c r="I2043" s="111" t="n"/>
      <c r="J2043" s="217" t="inlineStr"/>
    </row>
    <row r="2044" ht="15.75" customHeight="1" s="305">
      <c r="A2044" s="215" t="n"/>
      <c r="B2044" s="115" t="n"/>
      <c r="C2044" s="67" t="n"/>
      <c r="D2044" s="3" t="n"/>
      <c r="E2044" s="3" t="n"/>
      <c r="F2044" s="217" t="n"/>
      <c r="G2044" t="inlineStr"/>
      <c r="H2044" t="inlineStr"/>
      <c r="I2044" s="111" t="n"/>
      <c r="J2044" s="217" t="inlineStr"/>
    </row>
    <row r="2045" ht="15.75" customHeight="1" s="305">
      <c r="A2045" s="215" t="n"/>
      <c r="B2045" s="115" t="n"/>
      <c r="C2045" s="67" t="n"/>
      <c r="D2045" s="3" t="n"/>
      <c r="E2045" s="3" t="n"/>
      <c r="F2045" s="217" t="n"/>
      <c r="G2045" t="inlineStr"/>
      <c r="H2045" t="inlineStr"/>
      <c r="I2045" s="111" t="n"/>
      <c r="J2045" s="217" t="inlineStr"/>
    </row>
    <row r="2046" ht="15.75" customHeight="1" s="305">
      <c r="A2046" s="215" t="n"/>
      <c r="B2046" s="115" t="n"/>
      <c r="C2046" s="67" t="n"/>
      <c r="D2046" s="3" t="n"/>
      <c r="E2046" s="3" t="n"/>
      <c r="F2046" s="217" t="n"/>
      <c r="G2046" t="inlineStr"/>
      <c r="H2046" t="inlineStr"/>
      <c r="I2046" s="111" t="n"/>
      <c r="J2046" s="217" t="inlineStr"/>
    </row>
    <row r="2047" ht="15.75" customHeight="1" s="305">
      <c r="A2047" s="215" t="n"/>
      <c r="B2047" s="115" t="n"/>
      <c r="C2047" s="67" t="n"/>
      <c r="D2047" s="3" t="n"/>
      <c r="E2047" s="3" t="n"/>
      <c r="F2047" s="217" t="n"/>
      <c r="G2047" t="inlineStr"/>
      <c r="H2047" t="inlineStr"/>
      <c r="I2047" s="111" t="n"/>
      <c r="J2047" s="217" t="inlineStr"/>
    </row>
    <row r="2048" ht="15.75" customHeight="1" s="305">
      <c r="A2048" s="215" t="n"/>
      <c r="B2048" s="115" t="n"/>
      <c r="C2048" s="67" t="n"/>
      <c r="D2048" s="3" t="n"/>
      <c r="E2048" s="3" t="n"/>
      <c r="F2048" s="217" t="n"/>
      <c r="G2048" t="inlineStr"/>
      <c r="H2048" t="inlineStr"/>
      <c r="I2048" s="111" t="n"/>
      <c r="J2048" s="217" t="inlineStr"/>
    </row>
    <row r="2049" ht="15.75" customHeight="1" s="305">
      <c r="A2049" s="215" t="n"/>
      <c r="B2049" s="115" t="n"/>
      <c r="C2049" s="67" t="n"/>
      <c r="D2049" s="3" t="n"/>
      <c r="E2049" s="3" t="n"/>
      <c r="F2049" s="217" t="n"/>
      <c r="G2049" t="inlineStr"/>
      <c r="H2049" t="inlineStr"/>
      <c r="I2049" s="111" t="n"/>
      <c r="J2049" s="217" t="inlineStr"/>
    </row>
    <row r="2050" ht="15.75" customHeight="1" s="305">
      <c r="A2050" s="215" t="n"/>
      <c r="B2050" s="115" t="n"/>
      <c r="C2050" s="67" t="n"/>
      <c r="D2050" s="3" t="n"/>
      <c r="E2050" s="3" t="n"/>
      <c r="F2050" s="217" t="n"/>
      <c r="G2050" t="inlineStr"/>
      <c r="H2050" t="inlineStr"/>
      <c r="I2050" s="111" t="n"/>
      <c r="J2050" s="217" t="inlineStr"/>
    </row>
    <row r="2051" ht="15.75" customHeight="1" s="305">
      <c r="A2051" s="215" t="n"/>
      <c r="B2051" s="115" t="n"/>
      <c r="C2051" s="67" t="n"/>
      <c r="D2051" s="3" t="n"/>
      <c r="E2051" s="3" t="n"/>
      <c r="F2051" s="217" t="n"/>
      <c r="G2051" t="inlineStr"/>
      <c r="H2051" t="inlineStr"/>
      <c r="I2051" s="111" t="n"/>
      <c r="J2051" s="217" t="inlineStr"/>
    </row>
    <row r="2052" ht="15.75" customHeight="1" s="305">
      <c r="A2052" s="215" t="n"/>
      <c r="B2052" s="115" t="n"/>
      <c r="C2052" s="67" t="n"/>
      <c r="D2052" s="3" t="n"/>
      <c r="E2052" s="3" t="n"/>
      <c r="F2052" s="217" t="n"/>
      <c r="G2052" t="inlineStr"/>
      <c r="H2052" t="inlineStr"/>
      <c r="I2052" s="111" t="n"/>
      <c r="J2052" s="217" t="inlineStr"/>
    </row>
    <row r="2053" ht="15.75" customHeight="1" s="305">
      <c r="A2053" s="215" t="n"/>
      <c r="B2053" s="115" t="n"/>
      <c r="C2053" s="67" t="n"/>
      <c r="D2053" s="3" t="n"/>
      <c r="E2053" s="3" t="n"/>
      <c r="F2053" s="217" t="n"/>
      <c r="G2053" t="inlineStr"/>
      <c r="H2053" t="inlineStr"/>
      <c r="I2053" s="111" t="n"/>
      <c r="J2053" s="217" t="inlineStr"/>
    </row>
    <row r="2054" ht="15.75" customHeight="1" s="305">
      <c r="A2054" s="215" t="n"/>
      <c r="B2054" s="115" t="n"/>
      <c r="C2054" s="67" t="n"/>
      <c r="D2054" s="3" t="n"/>
      <c r="E2054" s="3" t="n"/>
      <c r="F2054" s="217" t="n"/>
      <c r="G2054" t="inlineStr"/>
      <c r="H2054" t="inlineStr"/>
      <c r="I2054" s="111" t="n"/>
      <c r="J2054" s="217" t="inlineStr"/>
    </row>
    <row r="2055" ht="15.75" customHeight="1" s="305">
      <c r="A2055" s="215" t="n"/>
      <c r="B2055" s="115" t="n"/>
      <c r="C2055" s="67" t="n"/>
      <c r="D2055" s="3" t="n"/>
      <c r="E2055" s="3" t="n"/>
      <c r="F2055" s="217" t="n"/>
      <c r="G2055" t="inlineStr"/>
      <c r="H2055" t="inlineStr"/>
      <c r="I2055" s="111" t="n"/>
      <c r="J2055" s="217" t="inlineStr"/>
    </row>
    <row r="2056" ht="15.75" customHeight="1" s="305">
      <c r="A2056" s="215" t="n"/>
      <c r="B2056" s="115" t="n"/>
      <c r="C2056" s="67" t="n"/>
      <c r="D2056" s="3" t="n"/>
      <c r="E2056" s="3" t="n"/>
      <c r="F2056" s="217" t="n"/>
      <c r="G2056" t="inlineStr"/>
      <c r="H2056" t="inlineStr"/>
      <c r="I2056" s="111" t="n"/>
      <c r="J2056" s="217" t="inlineStr"/>
    </row>
    <row r="2057" ht="15.75" customHeight="1" s="305">
      <c r="A2057" s="215" t="n"/>
      <c r="B2057" s="115" t="n"/>
      <c r="C2057" s="67" t="n"/>
      <c r="D2057" s="3" t="n"/>
      <c r="E2057" s="3" t="n"/>
      <c r="F2057" s="217" t="n"/>
      <c r="G2057" t="inlineStr"/>
      <c r="H2057" t="inlineStr"/>
      <c r="I2057" s="111" t="n"/>
      <c r="J2057" s="217" t="inlineStr"/>
    </row>
    <row r="2058" ht="15.75" customHeight="1" s="305">
      <c r="A2058" s="215" t="n"/>
      <c r="B2058" s="115" t="n"/>
      <c r="C2058" s="67" t="n"/>
      <c r="D2058" s="3" t="n"/>
      <c r="E2058" s="3" t="n"/>
      <c r="F2058" s="217" t="n"/>
      <c r="G2058" t="inlineStr"/>
      <c r="H2058" t="inlineStr"/>
      <c r="I2058" s="111" t="n"/>
      <c r="J2058" s="217" t="inlineStr"/>
    </row>
    <row r="2059" ht="15.75" customHeight="1" s="305">
      <c r="A2059" s="215" t="n"/>
      <c r="B2059" s="115" t="n"/>
      <c r="C2059" s="67" t="n"/>
      <c r="D2059" s="3" t="n"/>
      <c r="E2059" s="3" t="n"/>
      <c r="F2059" s="217" t="n"/>
      <c r="G2059" t="inlineStr"/>
      <c r="H2059" t="inlineStr"/>
      <c r="I2059" s="111" t="n"/>
      <c r="J2059" s="217" t="inlineStr"/>
    </row>
    <row r="2060" ht="15.75" customHeight="1" s="305">
      <c r="A2060" s="215" t="n"/>
      <c r="B2060" s="115" t="n"/>
      <c r="C2060" s="67" t="n"/>
      <c r="D2060" s="3" t="n"/>
      <c r="E2060" s="3" t="n"/>
      <c r="F2060" s="217" t="n"/>
      <c r="G2060" t="inlineStr"/>
      <c r="H2060" t="inlineStr"/>
      <c r="I2060" s="111" t="n"/>
      <c r="J2060" s="217" t="inlineStr"/>
    </row>
    <row r="2061" ht="15.75" customHeight="1" s="305">
      <c r="A2061" s="215" t="n"/>
      <c r="B2061" s="115" t="n"/>
      <c r="C2061" s="67" t="n"/>
      <c r="D2061" s="3" t="n"/>
      <c r="E2061" s="3" t="n"/>
      <c r="F2061" s="217" t="n"/>
      <c r="G2061" t="inlineStr"/>
      <c r="H2061" t="inlineStr"/>
      <c r="I2061" s="111" t="n"/>
      <c r="J2061" s="217" t="inlineStr"/>
    </row>
    <row r="2062" ht="15.75" customHeight="1" s="305">
      <c r="A2062" s="215" t="n"/>
      <c r="B2062" s="115" t="n"/>
      <c r="C2062" s="67" t="n"/>
      <c r="D2062" s="3" t="n"/>
      <c r="E2062" s="3" t="n"/>
      <c r="F2062" s="217" t="n"/>
      <c r="G2062" t="inlineStr"/>
      <c r="H2062" t="inlineStr"/>
      <c r="I2062" s="111" t="n"/>
      <c r="J2062" s="217" t="inlineStr"/>
    </row>
    <row r="2063" ht="15.75" customHeight="1" s="305">
      <c r="A2063" s="215" t="n"/>
      <c r="B2063" s="115" t="n"/>
      <c r="C2063" s="67" t="n"/>
      <c r="D2063" s="3" t="n"/>
      <c r="E2063" s="3" t="n"/>
      <c r="F2063" s="217" t="n"/>
      <c r="G2063" t="inlineStr"/>
      <c r="H2063" t="inlineStr"/>
      <c r="I2063" s="111" t="n"/>
      <c r="J2063" s="217" t="inlineStr"/>
    </row>
    <row r="2064" ht="15.75" customHeight="1" s="305">
      <c r="A2064" s="215" t="n"/>
      <c r="B2064" s="115" t="n"/>
      <c r="C2064" s="67" t="n"/>
      <c r="D2064" s="3" t="n"/>
      <c r="E2064" s="3" t="n"/>
      <c r="F2064" s="217" t="n"/>
      <c r="G2064" t="inlineStr"/>
      <c r="H2064" t="inlineStr"/>
      <c r="I2064" s="111" t="n"/>
      <c r="J2064" s="217" t="inlineStr"/>
    </row>
    <row r="2065" ht="15.75" customHeight="1" s="305">
      <c r="A2065" s="215" t="n"/>
      <c r="B2065" s="115" t="n"/>
      <c r="C2065" s="67" t="n"/>
      <c r="D2065" s="3" t="n"/>
      <c r="E2065" s="3" t="n"/>
      <c r="F2065" s="217" t="n"/>
      <c r="G2065" t="inlineStr"/>
      <c r="H2065" t="inlineStr"/>
      <c r="I2065" s="111" t="n"/>
      <c r="J2065" s="217" t="inlineStr"/>
    </row>
    <row r="2066" ht="15.75" customHeight="1" s="305">
      <c r="A2066" s="215" t="n"/>
      <c r="B2066" s="115" t="n"/>
      <c r="C2066" s="67" t="n"/>
      <c r="D2066" s="3" t="n"/>
      <c r="E2066" s="3" t="n"/>
      <c r="F2066" s="217" t="n"/>
      <c r="G2066" t="inlineStr"/>
      <c r="H2066" t="inlineStr"/>
      <c r="I2066" s="111" t="n"/>
      <c r="J2066" s="217" t="inlineStr"/>
    </row>
    <row r="2067" ht="15.75" customHeight="1" s="305">
      <c r="A2067" s="215" t="n"/>
      <c r="B2067" s="115" t="n"/>
      <c r="C2067" s="67" t="n"/>
      <c r="D2067" s="3" t="n"/>
      <c r="E2067" s="3" t="n"/>
      <c r="F2067" s="217" t="n"/>
      <c r="G2067" t="inlineStr"/>
      <c r="H2067" t="inlineStr"/>
      <c r="I2067" s="111" t="n"/>
      <c r="J2067" s="217" t="inlineStr"/>
    </row>
    <row r="2068" ht="15.75" customHeight="1" s="305">
      <c r="A2068" s="215" t="n"/>
      <c r="B2068" s="115" t="n"/>
      <c r="C2068" s="67" t="n"/>
      <c r="D2068" s="3" t="n"/>
      <c r="E2068" s="3" t="n"/>
      <c r="F2068" s="217" t="n"/>
      <c r="G2068" t="inlineStr"/>
      <c r="H2068" t="inlineStr"/>
      <c r="I2068" s="111" t="n"/>
      <c r="J2068" s="217" t="inlineStr"/>
    </row>
    <row r="2069" ht="15.75" customHeight="1" s="305">
      <c r="A2069" s="215" t="n"/>
      <c r="B2069" s="115" t="n"/>
      <c r="C2069" s="67" t="n"/>
      <c r="D2069" s="3" t="n"/>
      <c r="E2069" s="3" t="n"/>
      <c r="F2069" s="217" t="n"/>
      <c r="G2069" t="inlineStr"/>
      <c r="H2069" t="inlineStr"/>
      <c r="I2069" s="111" t="n"/>
      <c r="J2069" s="217" t="inlineStr"/>
    </row>
    <row r="2070" ht="15.75" customHeight="1" s="305">
      <c r="A2070" s="215" t="n"/>
      <c r="B2070" s="115" t="n"/>
      <c r="C2070" s="67" t="n"/>
      <c r="D2070" s="3" t="n"/>
      <c r="E2070" s="3" t="n"/>
      <c r="F2070" s="217" t="n"/>
      <c r="G2070" t="inlineStr"/>
      <c r="H2070" t="inlineStr"/>
      <c r="I2070" s="111" t="n"/>
      <c r="J2070" s="217" t="inlineStr"/>
    </row>
    <row r="2071" ht="15.75" customHeight="1" s="305">
      <c r="A2071" s="215" t="n"/>
      <c r="B2071" s="115" t="n"/>
      <c r="C2071" s="67" t="n"/>
      <c r="D2071" s="3" t="n"/>
      <c r="E2071" s="3" t="n"/>
      <c r="F2071" s="217" t="n"/>
      <c r="G2071" t="inlineStr"/>
      <c r="H2071" t="inlineStr"/>
      <c r="I2071" s="111" t="n"/>
      <c r="J2071" s="217" t="inlineStr"/>
    </row>
    <row r="2072" ht="15.75" customHeight="1" s="305">
      <c r="A2072" s="215" t="n"/>
      <c r="B2072" s="115" t="n"/>
      <c r="C2072" s="67" t="n"/>
      <c r="D2072" s="3" t="n"/>
      <c r="E2072" s="3" t="n"/>
      <c r="F2072" s="217" t="n"/>
      <c r="G2072" t="inlineStr"/>
      <c r="H2072" t="inlineStr"/>
      <c r="I2072" s="111" t="n"/>
      <c r="J2072" s="217" t="inlineStr"/>
    </row>
    <row r="2073" ht="15.75" customHeight="1" s="305">
      <c r="A2073" s="215" t="n"/>
      <c r="B2073" s="115" t="n"/>
      <c r="C2073" s="67" t="n"/>
      <c r="D2073" s="3" t="n"/>
      <c r="E2073" s="3" t="n"/>
      <c r="F2073" s="217" t="n"/>
      <c r="G2073" t="inlineStr"/>
      <c r="H2073" t="inlineStr"/>
      <c r="I2073" s="111" t="n"/>
      <c r="J2073" s="217" t="inlineStr"/>
    </row>
    <row r="2074" ht="15.75" customHeight="1" s="305">
      <c r="A2074" s="215" t="n"/>
      <c r="B2074" s="115" t="n"/>
      <c r="C2074" s="67" t="n"/>
      <c r="D2074" s="3" t="n"/>
      <c r="E2074" s="3" t="n"/>
      <c r="F2074" s="217" t="n"/>
      <c r="G2074" t="inlineStr"/>
      <c r="H2074" t="inlineStr"/>
      <c r="I2074" s="111" t="n"/>
      <c r="J2074" s="217" t="inlineStr"/>
    </row>
    <row r="2075" ht="15.75" customHeight="1" s="305">
      <c r="A2075" s="215" t="n"/>
      <c r="B2075" s="115" t="n"/>
      <c r="C2075" s="67" t="n"/>
      <c r="D2075" s="3" t="n"/>
      <c r="E2075" s="3" t="n"/>
      <c r="F2075" s="217" t="n"/>
      <c r="G2075" t="inlineStr"/>
      <c r="H2075" t="inlineStr"/>
      <c r="I2075" s="111" t="n"/>
      <c r="J2075" s="217" t="inlineStr"/>
    </row>
    <row r="2076" ht="15.75" customHeight="1" s="305">
      <c r="A2076" s="215" t="n"/>
      <c r="B2076" s="115" t="n"/>
      <c r="C2076" s="67" t="n"/>
      <c r="D2076" s="3" t="n"/>
      <c r="E2076" s="3" t="n"/>
      <c r="F2076" s="217" t="n"/>
      <c r="G2076" t="inlineStr"/>
      <c r="H2076" t="inlineStr"/>
      <c r="I2076" s="111" t="n"/>
      <c r="J2076" s="217" t="inlineStr"/>
    </row>
    <row r="2077" ht="15.75" customHeight="1" s="305">
      <c r="A2077" s="215" t="n"/>
      <c r="B2077" s="115" t="n"/>
      <c r="C2077" s="67" t="n"/>
      <c r="D2077" s="3" t="n"/>
      <c r="E2077" s="3" t="n"/>
      <c r="F2077" s="217" t="n"/>
      <c r="G2077" t="inlineStr"/>
      <c r="H2077" t="inlineStr"/>
      <c r="I2077" s="111" t="n"/>
      <c r="J2077" s="217" t="inlineStr"/>
    </row>
    <row r="2078" ht="15.75" customHeight="1" s="305">
      <c r="A2078" s="215" t="n"/>
      <c r="B2078" s="115" t="n"/>
      <c r="C2078" s="67" t="n"/>
      <c r="D2078" s="3" t="n"/>
      <c r="E2078" s="3" t="n"/>
      <c r="F2078" s="217" t="n"/>
      <c r="G2078" t="inlineStr"/>
      <c r="H2078" t="inlineStr"/>
      <c r="I2078" s="111" t="n"/>
      <c r="J2078" s="217" t="inlineStr"/>
    </row>
    <row r="2079" ht="15.75" customHeight="1" s="305">
      <c r="A2079" s="215" t="n"/>
      <c r="B2079" s="115" t="n"/>
      <c r="C2079" s="67" t="n"/>
      <c r="D2079" s="3" t="n"/>
      <c r="E2079" s="3" t="n"/>
      <c r="F2079" s="217" t="n"/>
      <c r="G2079" t="inlineStr"/>
      <c r="H2079" t="inlineStr"/>
      <c r="I2079" s="111" t="n"/>
      <c r="J2079" s="217" t="inlineStr"/>
    </row>
    <row r="2080" ht="15.75" customHeight="1" s="305">
      <c r="A2080" s="215" t="n"/>
      <c r="B2080" s="115" t="n"/>
      <c r="C2080" s="67" t="n"/>
      <c r="D2080" s="3" t="n"/>
      <c r="E2080" s="3" t="n"/>
      <c r="F2080" s="217" t="n"/>
      <c r="G2080" t="inlineStr"/>
      <c r="H2080" t="inlineStr"/>
      <c r="I2080" s="111" t="n"/>
      <c r="J2080" s="217" t="inlineStr"/>
    </row>
    <row r="2081" ht="15.75" customHeight="1" s="305">
      <c r="A2081" s="215" t="n"/>
      <c r="B2081" s="115" t="n"/>
      <c r="C2081" s="67" t="n"/>
      <c r="D2081" s="3" t="n"/>
      <c r="E2081" s="3" t="n"/>
      <c r="F2081" s="217" t="n"/>
      <c r="G2081" t="inlineStr"/>
      <c r="H2081" t="inlineStr"/>
      <c r="I2081" s="111" t="n"/>
      <c r="J2081" s="217" t="inlineStr"/>
    </row>
    <row r="2082" ht="15.75" customHeight="1" s="305">
      <c r="A2082" s="215" t="n"/>
      <c r="B2082" s="115" t="n"/>
      <c r="C2082" s="67" t="n"/>
      <c r="D2082" s="3" t="n"/>
      <c r="E2082" s="3" t="n"/>
      <c r="F2082" s="217" t="n"/>
      <c r="G2082" t="inlineStr"/>
      <c r="H2082" t="inlineStr"/>
      <c r="I2082" s="111" t="n"/>
      <c r="J2082" s="217" t="inlineStr"/>
    </row>
    <row r="2083" ht="15.75" customHeight="1" s="305">
      <c r="A2083" s="215" t="n"/>
      <c r="B2083" s="115" t="n"/>
      <c r="C2083" s="67" t="n"/>
      <c r="D2083" s="3" t="n"/>
      <c r="E2083" s="3" t="n"/>
      <c r="F2083" s="217" t="n"/>
      <c r="G2083" t="inlineStr"/>
      <c r="H2083" t="inlineStr"/>
      <c r="I2083" s="111" t="n"/>
      <c r="J2083" s="217" t="inlineStr"/>
    </row>
    <row r="2084" ht="15.75" customHeight="1" s="305">
      <c r="A2084" s="215" t="n"/>
      <c r="B2084" s="115" t="n"/>
      <c r="C2084" s="67" t="n"/>
      <c r="D2084" s="3" t="n"/>
      <c r="E2084" s="3" t="n"/>
      <c r="F2084" s="217" t="n"/>
      <c r="G2084" t="inlineStr"/>
      <c r="H2084" t="inlineStr"/>
      <c r="I2084" s="111" t="n"/>
      <c r="J2084" s="217" t="inlineStr"/>
    </row>
    <row r="2085" ht="15.75" customHeight="1" s="305">
      <c r="A2085" s="215" t="n"/>
      <c r="B2085" s="115" t="n"/>
      <c r="C2085" s="67" t="n"/>
      <c r="D2085" s="3" t="n"/>
      <c r="E2085" s="3" t="n"/>
      <c r="F2085" s="217" t="n"/>
      <c r="G2085" t="inlineStr"/>
      <c r="H2085" t="inlineStr"/>
      <c r="I2085" s="111" t="n"/>
      <c r="J2085" s="217" t="inlineStr"/>
    </row>
    <row r="2086" ht="15.75" customHeight="1" s="305">
      <c r="A2086" s="215" t="n"/>
      <c r="B2086" s="115" t="n"/>
      <c r="C2086" s="67" t="n"/>
      <c r="D2086" s="3" t="n"/>
      <c r="E2086" s="3" t="n"/>
      <c r="F2086" s="217" t="n"/>
      <c r="G2086" t="inlineStr"/>
      <c r="H2086" t="inlineStr"/>
      <c r="I2086" s="111" t="n"/>
      <c r="J2086" s="217" t="inlineStr"/>
    </row>
    <row r="2087" ht="15.75" customHeight="1" s="305">
      <c r="A2087" s="215" t="n"/>
      <c r="B2087" s="115" t="n"/>
      <c r="C2087" s="67" t="n"/>
      <c r="D2087" s="3" t="n"/>
      <c r="E2087" s="3" t="n"/>
      <c r="F2087" s="217" t="n"/>
      <c r="G2087" t="inlineStr"/>
      <c r="H2087" t="inlineStr"/>
      <c r="I2087" s="111" t="n"/>
      <c r="J2087" s="217" t="inlineStr"/>
    </row>
    <row r="2088" ht="15.75" customHeight="1" s="305">
      <c r="A2088" s="215" t="n"/>
      <c r="B2088" s="115" t="n"/>
      <c r="C2088" s="67" t="n"/>
      <c r="D2088" s="3" t="n"/>
      <c r="E2088" s="3" t="n"/>
      <c r="F2088" s="217" t="n"/>
      <c r="G2088" t="inlineStr"/>
      <c r="H2088" t="inlineStr"/>
      <c r="I2088" s="111" t="n"/>
      <c r="J2088" s="217" t="inlineStr"/>
    </row>
    <row r="2089" ht="15.75" customHeight="1" s="305">
      <c r="A2089" s="215" t="n"/>
      <c r="B2089" s="115" t="n"/>
      <c r="C2089" s="67" t="n"/>
      <c r="D2089" s="3" t="n"/>
      <c r="E2089" s="3" t="n"/>
      <c r="F2089" s="217" t="n"/>
      <c r="G2089" t="inlineStr"/>
      <c r="H2089" t="inlineStr"/>
      <c r="I2089" s="111" t="n"/>
      <c r="J2089" s="217" t="inlineStr"/>
    </row>
    <row r="2090" ht="15.75" customHeight="1" s="305">
      <c r="A2090" s="215" t="n"/>
      <c r="B2090" s="115" t="n"/>
      <c r="C2090" s="67" t="n"/>
      <c r="D2090" s="3" t="n"/>
      <c r="E2090" s="3" t="n"/>
      <c r="F2090" s="217" t="n"/>
      <c r="G2090" t="inlineStr"/>
      <c r="H2090" t="inlineStr"/>
      <c r="I2090" s="111" t="n"/>
      <c r="J2090" s="217" t="inlineStr"/>
    </row>
    <row r="2091" ht="15.75" customHeight="1" s="305">
      <c r="A2091" s="215" t="n"/>
      <c r="B2091" s="115" t="n"/>
      <c r="C2091" s="67" t="n"/>
      <c r="D2091" s="3" t="n"/>
      <c r="E2091" s="3" t="n"/>
      <c r="F2091" s="217" t="n"/>
      <c r="G2091" t="inlineStr"/>
      <c r="H2091" t="inlineStr"/>
      <c r="I2091" s="111" t="n"/>
      <c r="J2091" s="217" t="inlineStr"/>
    </row>
    <row r="2092" ht="15.75" customHeight="1" s="305">
      <c r="A2092" s="215" t="n"/>
      <c r="B2092" s="115" t="n"/>
      <c r="C2092" s="67" t="n"/>
      <c r="D2092" s="3" t="n"/>
      <c r="E2092" s="3" t="n"/>
      <c r="F2092" s="217" t="n"/>
      <c r="G2092" t="inlineStr"/>
      <c r="H2092" t="inlineStr"/>
      <c r="I2092" s="111" t="n"/>
      <c r="J2092" s="217" t="inlineStr"/>
    </row>
    <row r="2093" ht="15.75" customHeight="1" s="305">
      <c r="A2093" s="215" t="n"/>
      <c r="B2093" s="115" t="n"/>
      <c r="C2093" s="67" t="n"/>
      <c r="D2093" s="3" t="n"/>
      <c r="E2093" s="3" t="n"/>
      <c r="F2093" s="217" t="n"/>
      <c r="G2093" t="inlineStr"/>
      <c r="H2093" t="inlineStr"/>
      <c r="I2093" s="111" t="n"/>
      <c r="J2093" s="217" t="inlineStr"/>
    </row>
    <row r="2094" ht="15.75" customHeight="1" s="305">
      <c r="A2094" s="215" t="n"/>
      <c r="B2094" s="115" t="n"/>
      <c r="C2094" s="67" t="n"/>
      <c r="D2094" s="3" t="n"/>
      <c r="E2094" s="3" t="n"/>
      <c r="F2094" s="217" t="n"/>
      <c r="G2094" t="inlineStr"/>
      <c r="H2094" t="inlineStr"/>
      <c r="I2094" s="111" t="n"/>
      <c r="J2094" s="217" t="inlineStr"/>
    </row>
    <row r="2095" ht="15.75" customHeight="1" s="305">
      <c r="A2095" s="215" t="n"/>
      <c r="B2095" s="115" t="n"/>
      <c r="C2095" s="67" t="n"/>
      <c r="D2095" s="3" t="n"/>
      <c r="E2095" s="3" t="n"/>
      <c r="F2095" s="217" t="n"/>
      <c r="G2095" t="inlineStr"/>
      <c r="H2095" t="inlineStr"/>
      <c r="I2095" s="111" t="n"/>
      <c r="J2095" s="217" t="inlineStr"/>
    </row>
    <row r="2096" ht="15.75" customHeight="1" s="305">
      <c r="A2096" s="215" t="n"/>
      <c r="B2096" s="115" t="n"/>
      <c r="C2096" s="67" t="n"/>
      <c r="D2096" s="3" t="n"/>
      <c r="E2096" s="3" t="n"/>
      <c r="F2096" s="217" t="n"/>
      <c r="G2096" t="inlineStr"/>
      <c r="H2096" t="inlineStr"/>
      <c r="I2096" s="111" t="n"/>
      <c r="J2096" s="217" t="inlineStr"/>
    </row>
    <row r="2097" ht="15.75" customHeight="1" s="305">
      <c r="A2097" s="215" t="n"/>
      <c r="B2097" s="115" t="n"/>
      <c r="C2097" s="67" t="n"/>
      <c r="D2097" s="3" t="n"/>
      <c r="E2097" s="3" t="n"/>
      <c r="F2097" s="217" t="n"/>
      <c r="G2097" t="inlineStr"/>
      <c r="H2097" t="inlineStr"/>
      <c r="I2097" s="111" t="n"/>
      <c r="J2097" s="217" t="inlineStr"/>
    </row>
    <row r="2098" ht="15.75" customHeight="1" s="305">
      <c r="A2098" s="215" t="n"/>
      <c r="B2098" s="115" t="n"/>
      <c r="C2098" s="67" t="n"/>
      <c r="D2098" s="3" t="n"/>
      <c r="E2098" s="3" t="n"/>
      <c r="F2098" s="217" t="n"/>
      <c r="G2098" t="inlineStr"/>
      <c r="H2098" t="inlineStr"/>
      <c r="I2098" s="111" t="n"/>
      <c r="J2098" s="217" t="inlineStr"/>
    </row>
    <row r="2099" ht="15.75" customHeight="1" s="305">
      <c r="A2099" s="215" t="n"/>
      <c r="B2099" s="115" t="n"/>
      <c r="C2099" s="67" t="n"/>
      <c r="D2099" s="3" t="n"/>
      <c r="E2099" s="3" t="n"/>
      <c r="F2099" s="217" t="n"/>
      <c r="G2099" t="inlineStr"/>
      <c r="H2099" t="inlineStr"/>
      <c r="I2099" s="111" t="n"/>
      <c r="J2099" s="217" t="inlineStr"/>
    </row>
    <row r="2100" ht="15.75" customHeight="1" s="305">
      <c r="A2100" s="215" t="n"/>
      <c r="B2100" s="115" t="n"/>
      <c r="C2100" s="67" t="n"/>
      <c r="D2100" s="3" t="n"/>
      <c r="E2100" s="3" t="n"/>
      <c r="F2100" s="217" t="n"/>
      <c r="G2100" t="inlineStr"/>
      <c r="H2100" t="inlineStr"/>
      <c r="I2100" s="111" t="n"/>
      <c r="J2100" s="217" t="inlineStr"/>
    </row>
    <row r="2101" ht="15.75" customHeight="1" s="305">
      <c r="A2101" s="215" t="n"/>
      <c r="B2101" s="115" t="n"/>
      <c r="C2101" s="67" t="n"/>
      <c r="D2101" s="3" t="n"/>
      <c r="E2101" s="3" t="n"/>
      <c r="F2101" s="217" t="n"/>
      <c r="G2101" t="inlineStr"/>
      <c r="H2101" t="inlineStr"/>
      <c r="I2101" s="111" t="n"/>
      <c r="J2101" s="217" t="inlineStr"/>
    </row>
    <row r="2102" ht="15.75" customHeight="1" s="305">
      <c r="A2102" s="215" t="n"/>
      <c r="B2102" s="115" t="n"/>
      <c r="C2102" s="67" t="n"/>
      <c r="D2102" s="3" t="n"/>
      <c r="E2102" s="3" t="n"/>
      <c r="F2102" s="217" t="n"/>
      <c r="G2102" t="inlineStr"/>
      <c r="H2102" t="inlineStr"/>
      <c r="I2102" s="111" t="n"/>
      <c r="J2102" s="217" t="inlineStr"/>
    </row>
    <row r="2103" ht="15.75" customHeight="1" s="305">
      <c r="A2103" s="215" t="n"/>
      <c r="B2103" s="115" t="n"/>
      <c r="C2103" s="67" t="n"/>
      <c r="D2103" s="3" t="n"/>
      <c r="E2103" s="3" t="n"/>
      <c r="F2103" s="217" t="n"/>
      <c r="G2103" t="inlineStr"/>
      <c r="H2103" t="inlineStr"/>
      <c r="I2103" s="111" t="n"/>
      <c r="J2103" s="217" t="inlineStr"/>
    </row>
    <row r="2104" ht="15.75" customHeight="1" s="305">
      <c r="A2104" s="215" t="n"/>
      <c r="B2104" s="115" t="n"/>
      <c r="C2104" s="67" t="n"/>
      <c r="D2104" s="3" t="n"/>
      <c r="E2104" s="3" t="n"/>
      <c r="F2104" s="217" t="n"/>
      <c r="G2104" t="inlineStr"/>
      <c r="H2104" t="inlineStr"/>
      <c r="I2104" s="111" t="n"/>
      <c r="J2104" s="217" t="inlineStr"/>
    </row>
    <row r="2105" ht="15.75" customHeight="1" s="305">
      <c r="A2105" s="215" t="n"/>
      <c r="B2105" s="115" t="n"/>
      <c r="C2105" s="67" t="n"/>
      <c r="D2105" s="3" t="n"/>
      <c r="E2105" s="3" t="n"/>
      <c r="F2105" s="217" t="n"/>
      <c r="G2105" t="inlineStr"/>
      <c r="H2105" t="inlineStr"/>
      <c r="I2105" s="111" t="n"/>
      <c r="J2105" s="217" t="inlineStr"/>
    </row>
    <row r="2106" ht="15.75" customHeight="1" s="305">
      <c r="A2106" s="215" t="n"/>
      <c r="B2106" s="115" t="n"/>
      <c r="C2106" s="67" t="n"/>
      <c r="D2106" s="3" t="n"/>
      <c r="E2106" s="3" t="n"/>
      <c r="F2106" s="217" t="n"/>
      <c r="G2106" t="inlineStr"/>
      <c r="H2106" t="inlineStr"/>
      <c r="I2106" s="111" t="n"/>
      <c r="J2106" s="217" t="inlineStr"/>
    </row>
    <row r="2107" ht="15.75" customHeight="1" s="305">
      <c r="A2107" s="215" t="n"/>
      <c r="B2107" s="115" t="n"/>
      <c r="C2107" s="67" t="n"/>
      <c r="D2107" s="3" t="n"/>
      <c r="E2107" s="3" t="n"/>
      <c r="F2107" s="217" t="n"/>
      <c r="G2107" t="inlineStr"/>
      <c r="H2107" t="inlineStr"/>
      <c r="I2107" s="111" t="n"/>
      <c r="J2107" s="217" t="inlineStr"/>
    </row>
    <row r="2108" ht="15.75" customHeight="1" s="305">
      <c r="A2108" s="215" t="n"/>
      <c r="B2108" s="115" t="n"/>
      <c r="C2108" s="67" t="n"/>
      <c r="D2108" s="3" t="n"/>
      <c r="E2108" s="3" t="n"/>
      <c r="F2108" s="217" t="n"/>
      <c r="G2108" t="inlineStr"/>
      <c r="H2108" t="inlineStr"/>
      <c r="I2108" s="111" t="n"/>
      <c r="J2108" s="217" t="inlineStr"/>
    </row>
    <row r="2109" ht="15.75" customHeight="1" s="305">
      <c r="A2109" s="215" t="n"/>
      <c r="B2109" s="115" t="n"/>
      <c r="C2109" s="67" t="n"/>
      <c r="D2109" s="3" t="n"/>
      <c r="E2109" s="3" t="n"/>
      <c r="F2109" s="217" t="n"/>
      <c r="G2109" t="inlineStr"/>
      <c r="H2109" t="inlineStr"/>
      <c r="I2109" s="111" t="n"/>
      <c r="J2109" s="217" t="inlineStr"/>
    </row>
    <row r="2110" ht="15.75" customHeight="1" s="305">
      <c r="A2110" s="215" t="n"/>
      <c r="B2110" s="115" t="n"/>
      <c r="C2110" s="67" t="n"/>
      <c r="D2110" s="3" t="n"/>
      <c r="E2110" s="3" t="n"/>
      <c r="F2110" s="217" t="n"/>
      <c r="G2110" t="inlineStr"/>
      <c r="H2110" t="inlineStr"/>
      <c r="I2110" s="111" t="n"/>
      <c r="J2110" s="217" t="inlineStr"/>
    </row>
    <row r="2111" ht="15.75" customHeight="1" s="305">
      <c r="A2111" s="215" t="n"/>
      <c r="B2111" s="115" t="n"/>
      <c r="C2111" s="67" t="n"/>
      <c r="D2111" s="3" t="n"/>
      <c r="E2111" s="3" t="n"/>
      <c r="F2111" s="217" t="n"/>
      <c r="G2111" t="inlineStr"/>
      <c r="H2111" t="inlineStr"/>
      <c r="I2111" s="111" t="n"/>
      <c r="J2111" s="217" t="inlineStr"/>
    </row>
    <row r="2112" ht="15.75" customHeight="1" s="305">
      <c r="A2112" s="215" t="n"/>
      <c r="B2112" s="115" t="n"/>
      <c r="C2112" s="67" t="n"/>
      <c r="D2112" s="3" t="n"/>
      <c r="E2112" s="3" t="n"/>
      <c r="F2112" s="217" t="n"/>
      <c r="G2112" t="inlineStr"/>
      <c r="H2112" t="inlineStr"/>
      <c r="I2112" s="111" t="n"/>
      <c r="J2112" s="217" t="inlineStr"/>
    </row>
    <row r="2113" ht="15.75" customHeight="1" s="305">
      <c r="A2113" s="215" t="n"/>
      <c r="B2113" s="115" t="n"/>
      <c r="C2113" s="67" t="n"/>
      <c r="D2113" s="3" t="n"/>
      <c r="E2113" s="3" t="n"/>
      <c r="F2113" s="217" t="n"/>
      <c r="G2113" t="inlineStr"/>
      <c r="H2113" t="inlineStr"/>
      <c r="I2113" s="111" t="n"/>
      <c r="J2113" s="217" t="inlineStr"/>
    </row>
    <row r="2114" ht="15.75" customHeight="1" s="305">
      <c r="A2114" s="215" t="n"/>
      <c r="B2114" s="115" t="n"/>
      <c r="C2114" s="67" t="n"/>
      <c r="D2114" s="3" t="n"/>
      <c r="E2114" s="3" t="n"/>
      <c r="F2114" s="217" t="n"/>
      <c r="G2114" t="inlineStr"/>
      <c r="H2114" t="inlineStr"/>
      <c r="I2114" s="111" t="n"/>
      <c r="J2114" s="217" t="inlineStr"/>
    </row>
    <row r="2115" ht="15.75" customHeight="1" s="305">
      <c r="A2115" s="215" t="n"/>
      <c r="B2115" s="115" t="n"/>
      <c r="C2115" s="67" t="n"/>
      <c r="D2115" s="3" t="n"/>
      <c r="E2115" s="3" t="n"/>
      <c r="F2115" s="217" t="n"/>
      <c r="G2115" t="inlineStr"/>
      <c r="H2115" t="inlineStr"/>
      <c r="I2115" s="111" t="n"/>
      <c r="J2115" s="217" t="inlineStr"/>
    </row>
    <row r="2116" ht="15.75" customHeight="1" s="305">
      <c r="A2116" s="215" t="n"/>
      <c r="B2116" s="115" t="n"/>
      <c r="C2116" s="67" t="n"/>
      <c r="D2116" s="3" t="n"/>
      <c r="E2116" s="3" t="n"/>
      <c r="F2116" s="217" t="n"/>
      <c r="G2116" t="inlineStr"/>
      <c r="H2116" t="inlineStr"/>
      <c r="I2116" s="111" t="n"/>
      <c r="J2116" s="217" t="inlineStr"/>
    </row>
    <row r="2117" ht="15.75" customHeight="1" s="305">
      <c r="A2117" s="215" t="n"/>
      <c r="B2117" s="115" t="n"/>
      <c r="C2117" s="67" t="n"/>
      <c r="D2117" s="3" t="n"/>
      <c r="E2117" s="3" t="n"/>
      <c r="F2117" s="217" t="n"/>
      <c r="G2117" t="inlineStr"/>
      <c r="H2117" t="inlineStr"/>
      <c r="I2117" s="111" t="n"/>
      <c r="J2117" s="217" t="inlineStr"/>
    </row>
    <row r="2118" ht="15.75" customHeight="1" s="305">
      <c r="A2118" s="215" t="n"/>
      <c r="B2118" s="115" t="n"/>
      <c r="C2118" s="67" t="n"/>
      <c r="D2118" s="3" t="n"/>
      <c r="E2118" s="3" t="n"/>
      <c r="F2118" s="217" t="n"/>
      <c r="G2118" t="inlineStr"/>
      <c r="H2118" t="inlineStr"/>
      <c r="I2118" s="111" t="n"/>
      <c r="J2118" s="217" t="inlineStr"/>
    </row>
    <row r="2119" ht="15.75" customHeight="1" s="305">
      <c r="A2119" s="215" t="n"/>
      <c r="B2119" s="115" t="n"/>
      <c r="C2119" s="67" t="n"/>
      <c r="D2119" s="3" t="n"/>
      <c r="E2119" s="3" t="n"/>
      <c r="F2119" s="217" t="n"/>
      <c r="G2119" t="inlineStr"/>
      <c r="H2119" t="inlineStr"/>
      <c r="I2119" s="111" t="n"/>
      <c r="J2119" s="217" t="inlineStr"/>
    </row>
    <row r="2120" ht="15.75" customHeight="1" s="305">
      <c r="A2120" s="215" t="n"/>
      <c r="B2120" s="115" t="n"/>
      <c r="C2120" s="67" t="n"/>
      <c r="D2120" s="3" t="n"/>
      <c r="E2120" s="3" t="n"/>
      <c r="F2120" s="217" t="n"/>
      <c r="G2120" t="inlineStr"/>
      <c r="H2120" t="inlineStr"/>
      <c r="I2120" s="111" t="n"/>
      <c r="J2120" s="217" t="inlineStr"/>
    </row>
    <row r="2121" ht="15.75" customHeight="1" s="305">
      <c r="A2121" s="215" t="n"/>
      <c r="B2121" s="115" t="n"/>
      <c r="C2121" s="67" t="n"/>
      <c r="D2121" s="3" t="n"/>
      <c r="E2121" s="3" t="n"/>
      <c r="F2121" s="217" t="n"/>
      <c r="G2121" t="inlineStr"/>
      <c r="H2121" t="inlineStr"/>
      <c r="I2121" s="111" t="n"/>
      <c r="J2121" s="217" t="inlineStr"/>
    </row>
    <row r="2122" ht="15.75" customHeight="1" s="305">
      <c r="A2122" s="215" t="n"/>
      <c r="B2122" s="115" t="n"/>
      <c r="C2122" s="67" t="n"/>
      <c r="D2122" s="3" t="n"/>
      <c r="E2122" s="3" t="n"/>
      <c r="F2122" s="217" t="n"/>
      <c r="G2122" t="inlineStr"/>
      <c r="H2122" t="inlineStr"/>
      <c r="I2122" s="111" t="n"/>
      <c r="J2122" s="217" t="inlineStr"/>
    </row>
    <row r="2123" ht="15.75" customHeight="1" s="305">
      <c r="A2123" s="215" t="n"/>
      <c r="B2123" s="115" t="n"/>
      <c r="C2123" s="67" t="n"/>
      <c r="D2123" s="3" t="n"/>
      <c r="E2123" s="3" t="n"/>
      <c r="F2123" s="217" t="n"/>
      <c r="G2123" t="inlineStr"/>
      <c r="H2123" t="inlineStr"/>
      <c r="I2123" s="111" t="n"/>
      <c r="J2123" s="217" t="inlineStr"/>
    </row>
    <row r="2124" ht="15.75" customHeight="1" s="305">
      <c r="A2124" s="215" t="n"/>
      <c r="B2124" s="115" t="n"/>
      <c r="C2124" s="67" t="n"/>
      <c r="D2124" s="3" t="n"/>
      <c r="E2124" s="3" t="n"/>
      <c r="F2124" s="217" t="n"/>
      <c r="G2124" t="inlineStr"/>
      <c r="H2124" t="inlineStr"/>
      <c r="I2124" s="111" t="n"/>
      <c r="J2124" s="217" t="inlineStr"/>
    </row>
    <row r="2125" ht="15.75" customHeight="1" s="305">
      <c r="A2125" s="215" t="n"/>
      <c r="B2125" s="115" t="n"/>
      <c r="C2125" s="67" t="n"/>
      <c r="D2125" s="3" t="n"/>
      <c r="E2125" s="3" t="n"/>
      <c r="F2125" s="217" t="n"/>
      <c r="G2125" t="inlineStr"/>
      <c r="H2125" t="inlineStr"/>
      <c r="I2125" s="111" t="n"/>
      <c r="J2125" s="217" t="inlineStr"/>
    </row>
    <row r="2126" ht="15.75" customHeight="1" s="305">
      <c r="A2126" s="215" t="n"/>
      <c r="B2126" s="115" t="n"/>
      <c r="C2126" s="67" t="n"/>
      <c r="D2126" s="3" t="n"/>
      <c r="E2126" s="3" t="n"/>
      <c r="F2126" s="217" t="n"/>
      <c r="G2126" t="inlineStr"/>
      <c r="H2126" t="inlineStr"/>
      <c r="I2126" s="111" t="n"/>
      <c r="J2126" s="217" t="inlineStr"/>
    </row>
    <row r="2127" ht="15.75" customHeight="1" s="305">
      <c r="A2127" s="215" t="n"/>
      <c r="B2127" s="115" t="n"/>
      <c r="C2127" s="67" t="n"/>
      <c r="D2127" s="3" t="n"/>
      <c r="E2127" s="3" t="n"/>
      <c r="F2127" s="217" t="n"/>
      <c r="G2127" t="inlineStr"/>
      <c r="H2127" t="inlineStr"/>
      <c r="I2127" s="111" t="n"/>
      <c r="J2127" s="217" t="inlineStr"/>
    </row>
    <row r="2128" ht="15.75" customHeight="1" s="305">
      <c r="A2128" s="215" t="n"/>
      <c r="B2128" s="115" t="n"/>
      <c r="C2128" s="67" t="n"/>
      <c r="D2128" s="3" t="n"/>
      <c r="E2128" s="3" t="n"/>
      <c r="F2128" s="217" t="n"/>
      <c r="G2128" t="inlineStr"/>
      <c r="H2128" t="inlineStr"/>
      <c r="I2128" s="111" t="n"/>
      <c r="J2128" s="217" t="inlineStr"/>
    </row>
    <row r="2129" ht="15.75" customHeight="1" s="305">
      <c r="A2129" s="215" t="n"/>
      <c r="B2129" s="115" t="n"/>
      <c r="C2129" s="67" t="n"/>
      <c r="D2129" s="3" t="n"/>
      <c r="E2129" s="3" t="n"/>
      <c r="F2129" s="217" t="n"/>
      <c r="G2129" t="inlineStr"/>
      <c r="H2129" t="inlineStr"/>
      <c r="I2129" s="111" t="n"/>
      <c r="J2129" s="217" t="inlineStr"/>
    </row>
    <row r="2130" ht="15.75" customHeight="1" s="305">
      <c r="A2130" s="215" t="n"/>
      <c r="B2130" s="115" t="n"/>
      <c r="C2130" s="67" t="n"/>
      <c r="D2130" s="3" t="n"/>
      <c r="E2130" s="3" t="n"/>
      <c r="F2130" s="217" t="n"/>
      <c r="G2130" t="inlineStr"/>
      <c r="H2130" t="inlineStr"/>
      <c r="I2130" s="111" t="n"/>
      <c r="J2130" s="217" t="inlineStr"/>
    </row>
    <row r="2131" ht="15.75" customHeight="1" s="305">
      <c r="A2131" s="215" t="n"/>
      <c r="B2131" s="115" t="n"/>
      <c r="C2131" s="67" t="n"/>
      <c r="D2131" s="3" t="n"/>
      <c r="E2131" s="3" t="n"/>
      <c r="F2131" s="217" t="n"/>
      <c r="G2131" t="inlineStr"/>
      <c r="H2131" t="inlineStr"/>
      <c r="I2131" s="111" t="n"/>
      <c r="J2131" s="217" t="inlineStr"/>
    </row>
    <row r="2132" ht="15.75" customHeight="1" s="305">
      <c r="A2132" s="215" t="n"/>
      <c r="B2132" s="115" t="n"/>
      <c r="C2132" s="67" t="n"/>
      <c r="D2132" s="3" t="n"/>
      <c r="E2132" s="3" t="n"/>
      <c r="F2132" s="217" t="n"/>
      <c r="G2132" t="inlineStr"/>
      <c r="H2132" t="inlineStr"/>
      <c r="I2132" s="111" t="n"/>
      <c r="J2132" s="217" t="inlineStr"/>
    </row>
    <row r="2133" ht="15.75" customHeight="1" s="305">
      <c r="A2133" s="215" t="n"/>
      <c r="B2133" s="115" t="n"/>
      <c r="C2133" s="67" t="n"/>
      <c r="D2133" s="3" t="n"/>
      <c r="E2133" s="3" t="n"/>
      <c r="F2133" s="217" t="n"/>
      <c r="G2133" t="inlineStr"/>
      <c r="H2133" t="inlineStr"/>
      <c r="I2133" s="111" t="n"/>
      <c r="J2133" s="217" t="inlineStr"/>
    </row>
    <row r="2134" ht="15.75" customHeight="1" s="305">
      <c r="A2134" s="215" t="n"/>
      <c r="B2134" s="115" t="n"/>
      <c r="C2134" s="67" t="n"/>
      <c r="D2134" s="3" t="n"/>
      <c r="E2134" s="3" t="n"/>
      <c r="F2134" s="217" t="n"/>
      <c r="G2134" t="inlineStr"/>
      <c r="H2134" t="inlineStr"/>
      <c r="I2134" s="111" t="n"/>
      <c r="J2134" s="217" t="inlineStr"/>
    </row>
    <row r="2135" ht="15.75" customHeight="1" s="305">
      <c r="A2135" s="215" t="n"/>
      <c r="B2135" s="115" t="n"/>
      <c r="C2135" s="67" t="n"/>
      <c r="D2135" s="3" t="n"/>
      <c r="E2135" s="3" t="n"/>
      <c r="F2135" s="217" t="n"/>
      <c r="G2135" t="inlineStr"/>
      <c r="H2135" t="inlineStr"/>
      <c r="I2135" s="111" t="n"/>
      <c r="J2135" s="217" t="inlineStr"/>
    </row>
    <row r="2136" ht="15.75" customHeight="1" s="305">
      <c r="A2136" s="215" t="n"/>
      <c r="B2136" s="115" t="n"/>
      <c r="C2136" s="67" t="n"/>
      <c r="D2136" s="3" t="n"/>
      <c r="E2136" s="3" t="n"/>
      <c r="F2136" s="217" t="n"/>
      <c r="G2136" t="inlineStr"/>
      <c r="H2136" t="inlineStr"/>
      <c r="I2136" s="111" t="n"/>
      <c r="J2136" s="217" t="inlineStr"/>
    </row>
    <row r="2137" ht="15.75" customHeight="1" s="305">
      <c r="A2137" s="215" t="n"/>
      <c r="B2137" s="115" t="n"/>
      <c r="C2137" s="67" t="n"/>
      <c r="D2137" s="3" t="n"/>
      <c r="E2137" s="3" t="n"/>
      <c r="F2137" s="217" t="n"/>
      <c r="G2137" t="inlineStr"/>
      <c r="H2137" t="inlineStr"/>
      <c r="I2137" s="111" t="n"/>
      <c r="J2137" s="217" t="inlineStr"/>
    </row>
    <row r="2138" ht="15.75" customHeight="1" s="305">
      <c r="A2138" s="215" t="n"/>
      <c r="B2138" s="115" t="n"/>
      <c r="C2138" s="67" t="n"/>
      <c r="D2138" s="3" t="n"/>
      <c r="E2138" s="3" t="n"/>
      <c r="F2138" s="217" t="n"/>
      <c r="G2138" t="inlineStr"/>
      <c r="H2138" t="inlineStr"/>
      <c r="I2138" s="111" t="n"/>
      <c r="J2138" s="217" t="inlineStr"/>
    </row>
    <row r="2139" ht="15.75" customHeight="1" s="305">
      <c r="A2139" s="215" t="n"/>
      <c r="B2139" s="115" t="n"/>
      <c r="C2139" s="67" t="n"/>
      <c r="D2139" s="3" t="n"/>
      <c r="E2139" s="3" t="n"/>
      <c r="F2139" s="217" t="n"/>
      <c r="G2139" t="inlineStr"/>
      <c r="H2139" t="inlineStr"/>
      <c r="I2139" s="111" t="n"/>
      <c r="J2139" s="217" t="inlineStr"/>
    </row>
    <row r="2140" ht="15.75" customHeight="1" s="305">
      <c r="A2140" s="215" t="n"/>
      <c r="B2140" s="115" t="n"/>
      <c r="C2140" s="67" t="n"/>
      <c r="D2140" s="3" t="n"/>
      <c r="E2140" s="3" t="n"/>
      <c r="F2140" s="217" t="n"/>
      <c r="G2140" t="inlineStr"/>
      <c r="H2140" t="inlineStr"/>
      <c r="I2140" s="111" t="n"/>
      <c r="J2140" s="217" t="inlineStr"/>
    </row>
    <row r="2141" ht="15.75" customHeight="1" s="305">
      <c r="A2141" s="215" t="n"/>
      <c r="B2141" s="115" t="n"/>
      <c r="C2141" s="67" t="n"/>
      <c r="D2141" s="3" t="n"/>
      <c r="E2141" s="3" t="n"/>
      <c r="F2141" s="217" t="n"/>
      <c r="G2141" t="inlineStr"/>
      <c r="H2141" t="inlineStr"/>
      <c r="I2141" s="111" t="n"/>
      <c r="J2141" s="217" t="inlineStr"/>
    </row>
    <row r="2142" ht="15.75" customHeight="1" s="305">
      <c r="A2142" s="215" t="n"/>
      <c r="B2142" s="115" t="n"/>
      <c r="C2142" s="67" t="n"/>
      <c r="D2142" s="3" t="n"/>
      <c r="E2142" s="3" t="n"/>
      <c r="F2142" s="217" t="n"/>
      <c r="G2142" t="inlineStr"/>
      <c r="H2142" t="inlineStr"/>
      <c r="I2142" s="111" t="n"/>
      <c r="J2142" s="217" t="inlineStr"/>
    </row>
    <row r="2143" ht="15.75" customHeight="1" s="305">
      <c r="A2143" s="215" t="n"/>
      <c r="B2143" s="115" t="n"/>
      <c r="C2143" s="67" t="n"/>
      <c r="D2143" s="3" t="n"/>
      <c r="E2143" s="3" t="n"/>
      <c r="F2143" s="217" t="n"/>
      <c r="G2143" t="inlineStr"/>
      <c r="H2143" t="inlineStr"/>
      <c r="I2143" s="111" t="n"/>
      <c r="J2143" s="217" t="inlineStr"/>
    </row>
    <row r="2144" ht="15.75" customHeight="1" s="305">
      <c r="A2144" s="215" t="n"/>
      <c r="B2144" s="115" t="n"/>
      <c r="C2144" s="67" t="n"/>
      <c r="D2144" s="3" t="n"/>
      <c r="E2144" s="3" t="n"/>
      <c r="F2144" s="217" t="n"/>
      <c r="G2144" t="inlineStr"/>
      <c r="H2144" t="inlineStr"/>
      <c r="I2144" s="111" t="n"/>
      <c r="J2144" s="217" t="inlineStr"/>
    </row>
    <row r="2145" ht="15.75" customHeight="1" s="305">
      <c r="A2145" s="215" t="n"/>
      <c r="B2145" s="115" t="n"/>
      <c r="C2145" s="67" t="n"/>
      <c r="D2145" s="3" t="n"/>
      <c r="E2145" s="3" t="n"/>
      <c r="F2145" s="217" t="n"/>
      <c r="G2145" t="inlineStr"/>
      <c r="H2145" t="inlineStr"/>
      <c r="I2145" s="111" t="n"/>
      <c r="J2145" s="217" t="inlineStr"/>
    </row>
    <row r="2146" ht="15.75" customHeight="1" s="305">
      <c r="A2146" s="215" t="n"/>
      <c r="B2146" s="115" t="n"/>
      <c r="C2146" s="67" t="n"/>
      <c r="D2146" s="3" t="n"/>
      <c r="E2146" s="3" t="n"/>
      <c r="F2146" s="217" t="n"/>
      <c r="G2146" t="inlineStr"/>
      <c r="H2146" t="inlineStr"/>
      <c r="I2146" s="111" t="n"/>
      <c r="J2146" s="217" t="inlineStr"/>
    </row>
    <row r="2147" ht="15.75" customHeight="1" s="305">
      <c r="A2147" s="215" t="n"/>
      <c r="B2147" s="115" t="n"/>
      <c r="C2147" s="67" t="n"/>
      <c r="D2147" s="3" t="n"/>
      <c r="E2147" s="3" t="n"/>
      <c r="F2147" s="217" t="n"/>
      <c r="G2147" t="inlineStr"/>
      <c r="H2147" t="inlineStr"/>
      <c r="I2147" s="111" t="n"/>
      <c r="J2147" s="217" t="inlineStr"/>
    </row>
    <row r="2148" ht="15.75" customHeight="1" s="305">
      <c r="A2148" s="215" t="n"/>
      <c r="B2148" s="115" t="n"/>
      <c r="C2148" s="67" t="n"/>
      <c r="D2148" s="3" t="n"/>
      <c r="E2148" s="3" t="n"/>
      <c r="F2148" s="217" t="n"/>
      <c r="G2148" t="inlineStr"/>
      <c r="H2148" t="inlineStr"/>
      <c r="I2148" s="111" t="n"/>
      <c r="J2148" s="217" t="inlineStr"/>
    </row>
    <row r="2149" ht="15.75" customHeight="1" s="305">
      <c r="A2149" s="215" t="n"/>
      <c r="B2149" s="115" t="n"/>
      <c r="C2149" s="67" t="n"/>
      <c r="D2149" s="3" t="n"/>
      <c r="E2149" s="3" t="n"/>
      <c r="F2149" s="217" t="n"/>
      <c r="G2149" t="inlineStr"/>
      <c r="H2149" t="inlineStr"/>
      <c r="I2149" s="111" t="n"/>
      <c r="J2149" s="217" t="inlineStr"/>
    </row>
    <row r="2150" ht="15.75" customHeight="1" s="305">
      <c r="A2150" s="215" t="n"/>
      <c r="B2150" s="115" t="n"/>
      <c r="C2150" s="67" t="n"/>
      <c r="D2150" s="3" t="n"/>
      <c r="E2150" s="3" t="n"/>
      <c r="F2150" s="217" t="n"/>
      <c r="G2150" t="inlineStr"/>
      <c r="H2150" t="inlineStr"/>
      <c r="I2150" s="111" t="n"/>
      <c r="J2150" s="217" t="inlineStr"/>
    </row>
    <row r="2151" ht="15.75" customHeight="1" s="305">
      <c r="A2151" s="215" t="n"/>
      <c r="B2151" s="115" t="n"/>
      <c r="C2151" s="67" t="n"/>
      <c r="D2151" s="3" t="n"/>
      <c r="E2151" s="3" t="n"/>
      <c r="F2151" s="217" t="n"/>
      <c r="G2151" t="inlineStr"/>
      <c r="H2151" t="inlineStr"/>
      <c r="I2151" s="111" t="n"/>
      <c r="J2151" s="217" t="inlineStr"/>
    </row>
    <row r="2152" ht="15.75" customHeight="1" s="305">
      <c r="A2152" s="215" t="n"/>
      <c r="B2152" s="115" t="n"/>
      <c r="C2152" s="67" t="n"/>
      <c r="D2152" s="3" t="n"/>
      <c r="E2152" s="3" t="n"/>
      <c r="F2152" s="217" t="n"/>
      <c r="G2152" t="inlineStr"/>
      <c r="H2152" t="inlineStr"/>
      <c r="I2152" s="111" t="n"/>
      <c r="J2152" s="217" t="inlineStr"/>
    </row>
    <row r="2153" ht="15.75" customHeight="1" s="305">
      <c r="A2153" s="215" t="n"/>
      <c r="B2153" s="115" t="n"/>
      <c r="C2153" s="67" t="n"/>
      <c r="D2153" s="3" t="n"/>
      <c r="E2153" s="3" t="n"/>
      <c r="F2153" s="217" t="n"/>
      <c r="G2153" t="inlineStr"/>
      <c r="H2153" t="inlineStr"/>
      <c r="I2153" s="111" t="n"/>
      <c r="J2153" s="217" t="inlineStr"/>
    </row>
    <row r="2154" ht="15.75" customHeight="1" s="305">
      <c r="A2154" s="215" t="n"/>
      <c r="B2154" s="115" t="n"/>
      <c r="C2154" s="67" t="n"/>
      <c r="D2154" s="3" t="n"/>
      <c r="E2154" s="3" t="n"/>
      <c r="F2154" s="217" t="n"/>
      <c r="G2154" t="inlineStr"/>
      <c r="H2154" t="inlineStr"/>
      <c r="I2154" s="111" t="n"/>
      <c r="J2154" s="217" t="inlineStr"/>
    </row>
    <row r="2155" ht="15.75" customHeight="1" s="305">
      <c r="A2155" s="215" t="n"/>
      <c r="B2155" s="115" t="n"/>
      <c r="C2155" s="67" t="n"/>
      <c r="D2155" s="3" t="n"/>
      <c r="E2155" s="3" t="n"/>
      <c r="F2155" s="217" t="n"/>
      <c r="G2155" t="inlineStr"/>
      <c r="H2155" t="inlineStr"/>
      <c r="I2155" s="111" t="n"/>
      <c r="J2155" s="217" t="inlineStr"/>
    </row>
    <row r="2156" ht="15.75" customHeight="1" s="305">
      <c r="A2156" s="215" t="n"/>
      <c r="B2156" s="115" t="n"/>
      <c r="C2156" s="67" t="n"/>
      <c r="D2156" s="3" t="n"/>
      <c r="E2156" s="3" t="n"/>
      <c r="F2156" s="217" t="n"/>
      <c r="G2156" t="inlineStr"/>
      <c r="H2156" t="inlineStr"/>
      <c r="I2156" s="111" t="n"/>
      <c r="J2156" s="217" t="inlineStr"/>
    </row>
    <row r="2157" ht="15.75" customHeight="1" s="305">
      <c r="A2157" s="215" t="n"/>
      <c r="B2157" s="115" t="n"/>
      <c r="C2157" s="67" t="n"/>
      <c r="D2157" s="3" t="n"/>
      <c r="E2157" s="3" t="n"/>
      <c r="F2157" s="217" t="n"/>
      <c r="G2157" t="inlineStr"/>
      <c r="H2157" t="inlineStr"/>
      <c r="I2157" s="111" t="n"/>
      <c r="J2157" s="217" t="inlineStr"/>
    </row>
    <row r="2158" ht="15.75" customHeight="1" s="305">
      <c r="A2158" s="215" t="n"/>
      <c r="B2158" s="115" t="n"/>
      <c r="C2158" s="67" t="n"/>
      <c r="D2158" s="3" t="n"/>
      <c r="E2158" s="3" t="n"/>
      <c r="F2158" s="217" t="n"/>
      <c r="G2158" t="inlineStr"/>
      <c r="H2158" t="inlineStr"/>
      <c r="I2158" s="111" t="n"/>
      <c r="J2158" s="217" t="inlineStr"/>
    </row>
    <row r="2159" ht="15.75" customHeight="1" s="305">
      <c r="A2159" s="215" t="n"/>
      <c r="B2159" s="115" t="n"/>
      <c r="C2159" s="67" t="n"/>
      <c r="D2159" s="3" t="n"/>
      <c r="E2159" s="3" t="n"/>
      <c r="F2159" s="217" t="n"/>
      <c r="G2159" t="inlineStr"/>
      <c r="H2159" t="inlineStr"/>
      <c r="I2159" s="111" t="n"/>
      <c r="J2159" s="217" t="inlineStr"/>
    </row>
    <row r="2160" ht="15.75" customHeight="1" s="305">
      <c r="A2160" s="215" t="n"/>
      <c r="B2160" s="115" t="n"/>
      <c r="C2160" s="67" t="n"/>
      <c r="D2160" s="3" t="n"/>
      <c r="E2160" s="3" t="n"/>
      <c r="F2160" s="217" t="n"/>
      <c r="G2160" t="inlineStr"/>
      <c r="H2160" t="inlineStr"/>
      <c r="I2160" s="111" t="n"/>
      <c r="J2160" s="217" t="inlineStr"/>
    </row>
    <row r="2161" ht="15.75" customHeight="1" s="305">
      <c r="A2161" s="215" t="n"/>
      <c r="B2161" s="115" t="n"/>
      <c r="C2161" s="67" t="n"/>
      <c r="D2161" s="3" t="n"/>
      <c r="E2161" s="3" t="n"/>
      <c r="F2161" s="217" t="n"/>
      <c r="G2161" t="inlineStr"/>
      <c r="H2161" t="inlineStr"/>
      <c r="I2161" s="111" t="n"/>
      <c r="J2161" s="217" t="inlineStr"/>
    </row>
    <row r="2162" ht="15.75" customHeight="1" s="305">
      <c r="A2162" s="215" t="n"/>
      <c r="B2162" s="115" t="n"/>
      <c r="C2162" s="67" t="n"/>
      <c r="D2162" s="3" t="n"/>
      <c r="E2162" s="3" t="n"/>
      <c r="F2162" s="217" t="n"/>
      <c r="G2162" t="inlineStr"/>
      <c r="H2162" t="inlineStr"/>
      <c r="I2162" s="111" t="n"/>
      <c r="J2162" s="217" t="inlineStr"/>
    </row>
    <row r="2163" ht="15.75" customHeight="1" s="305">
      <c r="A2163" s="215" t="n"/>
      <c r="B2163" s="115" t="n"/>
      <c r="C2163" s="67" t="n"/>
      <c r="D2163" s="3" t="n"/>
      <c r="E2163" s="3" t="n"/>
      <c r="F2163" s="217" t="n"/>
      <c r="G2163" t="inlineStr"/>
      <c r="H2163" t="inlineStr"/>
      <c r="I2163" s="111" t="n"/>
      <c r="J2163" s="217" t="inlineStr"/>
    </row>
    <row r="2164" ht="15.75" customHeight="1" s="305">
      <c r="A2164" s="215" t="n"/>
      <c r="B2164" s="115" t="n"/>
      <c r="C2164" s="67" t="n"/>
      <c r="D2164" s="3" t="n"/>
      <c r="E2164" s="3" t="n"/>
      <c r="F2164" s="217" t="n"/>
      <c r="G2164" t="inlineStr"/>
      <c r="H2164" t="inlineStr"/>
      <c r="I2164" s="111" t="n"/>
      <c r="J2164" s="217" t="inlineStr"/>
    </row>
    <row r="2165" ht="15.75" customHeight="1" s="305">
      <c r="A2165" s="215" t="n"/>
      <c r="B2165" s="115" t="n"/>
      <c r="C2165" s="67" t="n"/>
      <c r="D2165" s="3" t="n"/>
      <c r="E2165" s="3" t="n"/>
      <c r="F2165" s="217" t="n"/>
      <c r="G2165" t="inlineStr"/>
      <c r="H2165" t="inlineStr"/>
      <c r="I2165" s="111" t="n"/>
      <c r="J2165" s="217" t="inlineStr"/>
    </row>
    <row r="2166" ht="15.75" customHeight="1" s="305">
      <c r="A2166" s="215" t="n"/>
      <c r="B2166" s="115" t="n"/>
      <c r="C2166" s="67" t="n"/>
      <c r="D2166" s="3" t="n"/>
      <c r="E2166" s="3" t="n"/>
      <c r="F2166" s="217" t="n"/>
      <c r="G2166" t="inlineStr"/>
      <c r="H2166" t="inlineStr"/>
      <c r="I2166" s="111" t="n"/>
      <c r="J2166" s="217" t="inlineStr"/>
    </row>
    <row r="2167" ht="15.75" customHeight="1" s="305">
      <c r="A2167" s="215" t="n"/>
      <c r="B2167" s="115" t="n"/>
      <c r="C2167" s="67" t="n"/>
      <c r="D2167" s="3" t="n"/>
      <c r="E2167" s="3" t="n"/>
      <c r="F2167" s="217" t="n"/>
      <c r="G2167" t="inlineStr"/>
      <c r="H2167" t="inlineStr"/>
      <c r="I2167" s="111" t="n"/>
      <c r="J2167" s="217" t="inlineStr"/>
    </row>
    <row r="2168" ht="15.75" customHeight="1" s="305">
      <c r="A2168" s="215" t="n"/>
      <c r="B2168" s="115" t="n"/>
      <c r="C2168" s="67" t="n"/>
      <c r="D2168" s="3" t="n"/>
      <c r="E2168" s="3" t="n"/>
      <c r="F2168" s="217" t="n"/>
      <c r="G2168" t="inlineStr"/>
      <c r="H2168" t="inlineStr"/>
      <c r="I2168" s="111" t="n"/>
      <c r="J2168" s="217" t="inlineStr"/>
    </row>
    <row r="2169" ht="15.75" customHeight="1" s="305">
      <c r="A2169" s="215" t="n"/>
      <c r="B2169" s="115" t="n"/>
      <c r="C2169" s="67" t="n"/>
      <c r="D2169" s="3" t="n"/>
      <c r="E2169" s="3" t="n"/>
      <c r="F2169" s="217" t="n"/>
      <c r="G2169" t="inlineStr"/>
      <c r="H2169" t="inlineStr"/>
      <c r="I2169" s="111" t="n"/>
      <c r="J2169" s="217" t="inlineStr"/>
    </row>
    <row r="2170" ht="15.75" customHeight="1" s="305">
      <c r="A2170" s="215" t="n"/>
      <c r="B2170" s="115" t="n"/>
      <c r="C2170" s="67" t="n"/>
      <c r="D2170" s="3" t="n"/>
      <c r="E2170" s="3" t="n"/>
      <c r="F2170" s="217" t="n"/>
      <c r="G2170" t="inlineStr"/>
      <c r="H2170" t="inlineStr"/>
      <c r="I2170" s="111" t="n"/>
      <c r="J2170" s="217" t="inlineStr"/>
    </row>
    <row r="2171" ht="15.75" customHeight="1" s="305">
      <c r="A2171" s="215" t="n"/>
      <c r="B2171" s="115" t="n"/>
      <c r="C2171" s="67" t="n"/>
      <c r="D2171" s="3" t="n"/>
      <c r="E2171" s="3" t="n"/>
      <c r="F2171" s="217" t="n"/>
      <c r="G2171" t="inlineStr"/>
      <c r="H2171" t="inlineStr"/>
      <c r="I2171" s="111" t="n"/>
      <c r="J2171" s="217" t="inlineStr"/>
    </row>
    <row r="2172" ht="15.75" customHeight="1" s="305">
      <c r="A2172" s="215" t="n"/>
      <c r="B2172" s="115" t="n"/>
      <c r="C2172" s="67" t="n"/>
      <c r="D2172" s="3" t="n"/>
      <c r="E2172" s="3" t="n"/>
      <c r="F2172" s="217" t="n"/>
      <c r="G2172" t="inlineStr"/>
      <c r="H2172" t="inlineStr"/>
      <c r="I2172" s="111" t="n"/>
      <c r="J2172" s="217" t="inlineStr"/>
    </row>
    <row r="2173" ht="15.75" customHeight="1" s="305">
      <c r="A2173" s="215" t="n"/>
      <c r="B2173" s="115" t="n"/>
      <c r="C2173" s="67" t="n"/>
      <c r="D2173" s="3" t="n"/>
      <c r="E2173" s="3" t="n"/>
      <c r="F2173" s="217" t="n"/>
      <c r="G2173" t="inlineStr"/>
      <c r="H2173" t="inlineStr"/>
      <c r="I2173" s="111" t="n"/>
      <c r="J2173" s="217" t="inlineStr"/>
    </row>
    <row r="2174" ht="15.75" customHeight="1" s="305">
      <c r="A2174" s="215" t="n"/>
      <c r="B2174" s="115" t="n"/>
      <c r="C2174" s="67" t="n"/>
      <c r="D2174" s="3" t="n"/>
      <c r="E2174" s="3" t="n"/>
      <c r="F2174" s="217" t="n"/>
      <c r="G2174" t="inlineStr"/>
      <c r="H2174" t="inlineStr"/>
      <c r="I2174" s="111" t="n"/>
      <c r="J2174" s="217" t="inlineStr"/>
    </row>
    <row r="2175" ht="15.75" customHeight="1" s="305">
      <c r="A2175" s="215" t="n"/>
      <c r="B2175" s="115" t="n"/>
      <c r="C2175" s="67" t="n"/>
      <c r="D2175" s="3" t="n"/>
      <c r="E2175" s="3" t="n"/>
      <c r="F2175" s="217" t="n"/>
      <c r="G2175" t="inlineStr"/>
      <c r="H2175" t="inlineStr"/>
      <c r="I2175" s="111" t="n"/>
      <c r="J2175" s="217" t="inlineStr"/>
    </row>
    <row r="2176" ht="15.75" customHeight="1" s="305">
      <c r="A2176" s="215" t="n"/>
      <c r="B2176" s="115" t="n"/>
      <c r="C2176" s="67" t="n"/>
      <c r="D2176" s="3" t="n"/>
      <c r="E2176" s="3" t="n"/>
      <c r="F2176" s="217" t="n"/>
      <c r="G2176" t="inlineStr"/>
      <c r="H2176" t="inlineStr"/>
      <c r="I2176" s="111" t="n"/>
      <c r="J2176" s="217" t="inlineStr"/>
    </row>
    <row r="2177" ht="15.75" customHeight="1" s="305">
      <c r="A2177" s="215" t="n"/>
      <c r="B2177" s="115" t="n"/>
      <c r="C2177" s="67" t="n"/>
      <c r="D2177" s="3" t="n"/>
      <c r="E2177" s="3" t="n"/>
      <c r="F2177" s="217" t="n"/>
      <c r="G2177" t="inlineStr"/>
      <c r="H2177" t="inlineStr"/>
      <c r="I2177" s="111" t="n"/>
      <c r="J2177" s="217" t="inlineStr"/>
    </row>
    <row r="2178" ht="15.75" customHeight="1" s="305">
      <c r="A2178" s="215" t="n"/>
      <c r="B2178" s="115" t="n"/>
      <c r="C2178" s="67" t="n"/>
      <c r="D2178" s="3" t="n"/>
      <c r="E2178" s="3" t="n"/>
      <c r="F2178" s="217" t="n"/>
      <c r="G2178" t="inlineStr"/>
      <c r="H2178" t="inlineStr"/>
      <c r="I2178" s="111" t="n"/>
      <c r="J2178" s="217" t="inlineStr"/>
    </row>
    <row r="2179" ht="15.75" customHeight="1" s="305">
      <c r="A2179" s="215" t="n"/>
      <c r="B2179" s="115" t="n"/>
      <c r="C2179" s="67" t="n"/>
      <c r="D2179" s="3" t="n"/>
      <c r="E2179" s="3" t="n"/>
      <c r="F2179" s="217" t="n"/>
      <c r="G2179" t="inlineStr"/>
      <c r="H2179" t="inlineStr"/>
      <c r="I2179" s="111" t="n"/>
      <c r="J2179" s="217" t="inlineStr"/>
    </row>
    <row r="2180" ht="15.75" customHeight="1" s="305">
      <c r="A2180" s="215" t="n"/>
      <c r="B2180" s="115" t="n"/>
      <c r="C2180" s="67" t="n"/>
      <c r="D2180" s="3" t="n"/>
      <c r="E2180" s="3" t="n"/>
      <c r="F2180" s="217" t="n"/>
      <c r="G2180" t="inlineStr"/>
      <c r="H2180" t="inlineStr"/>
      <c r="I2180" s="111" t="n"/>
      <c r="J2180" s="217" t="inlineStr"/>
    </row>
    <row r="2181" ht="15.75" customHeight="1" s="305">
      <c r="A2181" s="215" t="n"/>
      <c r="B2181" s="115" t="n"/>
      <c r="C2181" s="67" t="n"/>
      <c r="D2181" s="3" t="n"/>
      <c r="E2181" s="3" t="n"/>
      <c r="F2181" s="217" t="n"/>
      <c r="G2181" t="inlineStr"/>
      <c r="H2181" t="inlineStr"/>
      <c r="I2181" s="111" t="n"/>
      <c r="J2181" s="217" t="inlineStr"/>
    </row>
    <row r="2182" ht="15.75" customHeight="1" s="305">
      <c r="A2182" s="215" t="n"/>
      <c r="B2182" s="115" t="n"/>
      <c r="C2182" s="67" t="n"/>
      <c r="D2182" s="3" t="n"/>
      <c r="E2182" s="3" t="n"/>
      <c r="F2182" s="217" t="n"/>
      <c r="G2182" t="inlineStr"/>
      <c r="H2182" t="inlineStr"/>
      <c r="I2182" s="111" t="n"/>
      <c r="J2182" s="217" t="inlineStr"/>
    </row>
    <row r="2183" ht="15.75" customHeight="1" s="305">
      <c r="A2183" s="215" t="n"/>
      <c r="B2183" s="115" t="n"/>
      <c r="C2183" s="67" t="n"/>
      <c r="D2183" s="3" t="n"/>
      <c r="E2183" s="3" t="n"/>
      <c r="F2183" s="217" t="n"/>
      <c r="G2183" t="inlineStr"/>
      <c r="H2183" t="inlineStr"/>
      <c r="I2183" s="111" t="n"/>
      <c r="J2183" s="217" t="inlineStr"/>
    </row>
    <row r="2184" ht="15.75" customHeight="1" s="305">
      <c r="A2184" s="215" t="n"/>
      <c r="B2184" s="115" t="n"/>
      <c r="C2184" s="67" t="n"/>
      <c r="D2184" s="3" t="n"/>
      <c r="E2184" s="3" t="n"/>
      <c r="F2184" s="217" t="n"/>
      <c r="G2184" t="inlineStr"/>
      <c r="H2184" t="inlineStr"/>
      <c r="I2184" s="111" t="n"/>
      <c r="J2184" s="217" t="inlineStr"/>
    </row>
    <row r="2185" ht="15.75" customHeight="1" s="305">
      <c r="A2185" s="215" t="n"/>
      <c r="B2185" s="115" t="n"/>
      <c r="C2185" s="67" t="n"/>
      <c r="D2185" s="3" t="n"/>
      <c r="E2185" s="3" t="n"/>
      <c r="F2185" s="217" t="n"/>
      <c r="G2185" t="inlineStr"/>
      <c r="H2185" t="inlineStr"/>
      <c r="I2185" s="111" t="n"/>
      <c r="J2185" s="217" t="inlineStr"/>
    </row>
    <row r="2186" ht="15.75" customHeight="1" s="305">
      <c r="A2186" s="215" t="n"/>
      <c r="B2186" s="115" t="n"/>
      <c r="C2186" s="67" t="n"/>
      <c r="D2186" s="3" t="n"/>
      <c r="E2186" s="3" t="n"/>
      <c r="F2186" s="217" t="n"/>
      <c r="G2186" t="inlineStr"/>
      <c r="H2186" t="inlineStr"/>
      <c r="I2186" s="111" t="n"/>
      <c r="J2186" s="217" t="inlineStr"/>
    </row>
    <row r="2187" ht="15.75" customHeight="1" s="305">
      <c r="A2187" s="215" t="n"/>
      <c r="B2187" s="115" t="n"/>
      <c r="C2187" s="67" t="n"/>
      <c r="D2187" s="3" t="n"/>
      <c r="E2187" s="3" t="n"/>
      <c r="F2187" s="217" t="n"/>
      <c r="G2187" t="inlineStr"/>
      <c r="H2187" t="inlineStr"/>
      <c r="I2187" s="111" t="n"/>
      <c r="J2187" s="217" t="inlineStr"/>
    </row>
    <row r="2188" ht="15.75" customHeight="1" s="305">
      <c r="A2188" s="215" t="n"/>
      <c r="B2188" s="115" t="n"/>
      <c r="C2188" s="67" t="n"/>
      <c r="D2188" s="3" t="n"/>
      <c r="E2188" s="3" t="n"/>
      <c r="F2188" s="217" t="n"/>
      <c r="G2188" t="inlineStr"/>
      <c r="H2188" t="inlineStr"/>
      <c r="I2188" s="111" t="n"/>
      <c r="J2188" s="217" t="inlineStr"/>
    </row>
    <row r="2189" ht="15.75" customHeight="1" s="305">
      <c r="A2189" s="215" t="n"/>
      <c r="B2189" s="115" t="n"/>
      <c r="C2189" s="67" t="n"/>
      <c r="D2189" s="3" t="n"/>
      <c r="E2189" s="3" t="n"/>
      <c r="F2189" s="217" t="n"/>
      <c r="G2189" t="inlineStr"/>
      <c r="H2189" t="inlineStr"/>
      <c r="I2189" s="111" t="n"/>
      <c r="J2189" s="217" t="inlineStr"/>
    </row>
    <row r="2190" ht="15.75" customHeight="1" s="305">
      <c r="A2190" s="215" t="n"/>
      <c r="B2190" s="115" t="n"/>
      <c r="C2190" s="67" t="n"/>
      <c r="D2190" s="3" t="n"/>
      <c r="E2190" s="3" t="n"/>
      <c r="F2190" s="217" t="n"/>
      <c r="G2190" t="inlineStr"/>
      <c r="H2190" t="inlineStr"/>
      <c r="I2190" s="111" t="n"/>
      <c r="J2190" s="217" t="inlineStr"/>
    </row>
    <row r="2191" ht="15.75" customHeight="1" s="305">
      <c r="A2191" s="215" t="n"/>
      <c r="B2191" s="115" t="n"/>
      <c r="C2191" s="67" t="n"/>
      <c r="D2191" s="3" t="n"/>
      <c r="E2191" s="3" t="n"/>
      <c r="F2191" s="217" t="n"/>
      <c r="G2191" t="inlineStr"/>
      <c r="H2191" t="inlineStr"/>
      <c r="I2191" s="111" t="n"/>
      <c r="J2191" s="217" t="inlineStr"/>
    </row>
    <row r="2192" ht="15.75" customHeight="1" s="305">
      <c r="A2192" s="215" t="n"/>
      <c r="B2192" s="115" t="n"/>
      <c r="C2192" s="67" t="n"/>
      <c r="D2192" s="3" t="n"/>
      <c r="E2192" s="3" t="n"/>
      <c r="F2192" s="217" t="n"/>
      <c r="G2192" t="inlineStr"/>
      <c r="H2192" t="inlineStr"/>
      <c r="I2192" s="111" t="n"/>
      <c r="J2192" s="217" t="inlineStr"/>
    </row>
    <row r="2193" ht="15.75" customHeight="1" s="305">
      <c r="A2193" s="215" t="n"/>
      <c r="B2193" s="115" t="n"/>
      <c r="C2193" s="67" t="n"/>
      <c r="D2193" s="3" t="n"/>
      <c r="E2193" s="3" t="n"/>
      <c r="F2193" s="217" t="n"/>
      <c r="G2193" t="inlineStr"/>
      <c r="H2193" t="inlineStr"/>
      <c r="I2193" s="111" t="n"/>
      <c r="J2193" s="217" t="inlineStr"/>
    </row>
    <row r="2194" ht="15.75" customHeight="1" s="305">
      <c r="A2194" s="215" t="n"/>
      <c r="B2194" s="115" t="n"/>
      <c r="C2194" s="67" t="n"/>
      <c r="D2194" s="3" t="n"/>
      <c r="E2194" s="3" t="n"/>
      <c r="F2194" s="217" t="n"/>
      <c r="G2194" t="inlineStr"/>
      <c r="H2194" t="inlineStr"/>
      <c r="I2194" s="111" t="n"/>
      <c r="J2194" s="217" t="inlineStr"/>
    </row>
    <row r="2195" ht="15.75" customHeight="1" s="305">
      <c r="A2195" s="215" t="n"/>
      <c r="B2195" s="115" t="n"/>
      <c r="C2195" s="67" t="n"/>
      <c r="D2195" s="3" t="n"/>
      <c r="E2195" s="3" t="n"/>
      <c r="F2195" s="217" t="n"/>
      <c r="G2195" t="inlineStr"/>
      <c r="H2195" t="inlineStr"/>
      <c r="I2195" s="111" t="n"/>
      <c r="J2195" s="217" t="inlineStr"/>
    </row>
    <row r="2196" ht="15.75" customHeight="1" s="305">
      <c r="A2196" s="215" t="n"/>
      <c r="B2196" s="115" t="n"/>
      <c r="C2196" s="67" t="n"/>
      <c r="D2196" s="3" t="n"/>
      <c r="E2196" s="3" t="n"/>
      <c r="F2196" s="217" t="n"/>
      <c r="G2196" t="inlineStr"/>
      <c r="H2196" t="inlineStr"/>
      <c r="I2196" s="111" t="n"/>
      <c r="J2196" s="217" t="inlineStr"/>
    </row>
    <row r="2197" ht="15.75" customHeight="1" s="305">
      <c r="A2197" s="215" t="n"/>
      <c r="B2197" s="115" t="n"/>
      <c r="C2197" s="67" t="n"/>
      <c r="D2197" s="3" t="n"/>
      <c r="E2197" s="3" t="n"/>
      <c r="F2197" s="217" t="n"/>
      <c r="G2197" t="inlineStr"/>
      <c r="H2197" t="inlineStr"/>
      <c r="I2197" s="111" t="n"/>
      <c r="J2197" s="217" t="inlineStr"/>
    </row>
    <row r="2198" ht="15.75" customHeight="1" s="305">
      <c r="A2198" s="215" t="n"/>
      <c r="B2198" s="115" t="n"/>
      <c r="C2198" s="67" t="n"/>
      <c r="D2198" s="3" t="n"/>
      <c r="E2198" s="3" t="n"/>
      <c r="F2198" s="217" t="n"/>
      <c r="G2198" t="inlineStr"/>
      <c r="H2198" t="inlineStr"/>
      <c r="I2198" s="111" t="n"/>
      <c r="J2198" s="217" t="inlineStr"/>
    </row>
    <row r="2199" ht="15.75" customHeight="1" s="305">
      <c r="A2199" s="215" t="n"/>
      <c r="B2199" s="115" t="n"/>
      <c r="C2199" s="67" t="n"/>
      <c r="D2199" s="3" t="n"/>
      <c r="E2199" s="3" t="n"/>
      <c r="F2199" s="217" t="n"/>
      <c r="G2199" t="inlineStr"/>
      <c r="H2199" t="inlineStr"/>
      <c r="I2199" s="111" t="n"/>
      <c r="J2199" s="217" t="inlineStr"/>
    </row>
    <row r="2200" ht="15.75" customHeight="1" s="305">
      <c r="A2200" s="215" t="n"/>
      <c r="B2200" s="115" t="n"/>
      <c r="C2200" s="67" t="n"/>
      <c r="D2200" s="3" t="n"/>
      <c r="E2200" s="3" t="n"/>
      <c r="F2200" s="217" t="n"/>
      <c r="G2200" t="inlineStr"/>
      <c r="H2200" t="inlineStr"/>
      <c r="I2200" s="111" t="n"/>
      <c r="J2200" s="217" t="inlineStr"/>
    </row>
    <row r="2201" ht="15.75" customHeight="1" s="305">
      <c r="A2201" s="215" t="n"/>
      <c r="B2201" s="115" t="n"/>
      <c r="C2201" s="67" t="n"/>
      <c r="D2201" s="3" t="n"/>
      <c r="E2201" s="3" t="n"/>
      <c r="F2201" s="217" t="n"/>
      <c r="G2201" t="inlineStr"/>
      <c r="H2201" t="inlineStr"/>
      <c r="I2201" s="111" t="n"/>
      <c r="J2201" s="217" t="inlineStr"/>
    </row>
    <row r="2202" ht="15.75" customHeight="1" s="305">
      <c r="A2202" s="215" t="n"/>
      <c r="B2202" s="115" t="n"/>
      <c r="C2202" s="67" t="n"/>
      <c r="D2202" s="3" t="n"/>
      <c r="E2202" s="3" t="n"/>
      <c r="F2202" s="217" t="n"/>
      <c r="G2202" t="inlineStr"/>
      <c r="H2202" t="inlineStr"/>
      <c r="I2202" s="111" t="n"/>
      <c r="J2202" s="217" t="inlineStr"/>
    </row>
    <row r="2203" ht="15.75" customHeight="1" s="305">
      <c r="A2203" s="215" t="n"/>
      <c r="B2203" s="115" t="n"/>
      <c r="C2203" s="67" t="n"/>
      <c r="D2203" s="3" t="n"/>
      <c r="E2203" s="3" t="n"/>
      <c r="F2203" s="217" t="n"/>
      <c r="G2203" t="inlineStr"/>
      <c r="H2203" t="inlineStr"/>
      <c r="I2203" s="111" t="n"/>
      <c r="J2203" s="217" t="inlineStr"/>
    </row>
    <row r="2204" ht="15.75" customHeight="1" s="305">
      <c r="A2204" s="215" t="n"/>
      <c r="B2204" s="115" t="n"/>
      <c r="C2204" s="67" t="n"/>
      <c r="D2204" s="3" t="n"/>
      <c r="E2204" s="3" t="n"/>
      <c r="F2204" s="217" t="n"/>
      <c r="G2204" t="inlineStr"/>
      <c r="H2204" t="inlineStr"/>
      <c r="I2204" s="111" t="n"/>
      <c r="J2204" s="217" t="inlineStr"/>
    </row>
    <row r="2205" ht="15.75" customHeight="1" s="305">
      <c r="A2205" s="215" t="n"/>
      <c r="B2205" s="115" t="n"/>
      <c r="C2205" s="67" t="n"/>
      <c r="D2205" s="3" t="n"/>
      <c r="E2205" s="3" t="n"/>
      <c r="F2205" s="217" t="n"/>
      <c r="G2205" t="inlineStr"/>
      <c r="H2205" t="inlineStr"/>
      <c r="I2205" s="111" t="n"/>
      <c r="J2205" s="217" t="inlineStr"/>
    </row>
    <row r="2206" ht="15.75" customHeight="1" s="305">
      <c r="A2206" s="215" t="n"/>
      <c r="B2206" s="115" t="n"/>
      <c r="C2206" s="67" t="n"/>
      <c r="D2206" s="3" t="n"/>
      <c r="E2206" s="3" t="n"/>
      <c r="F2206" s="217" t="n"/>
      <c r="G2206" t="inlineStr"/>
      <c r="H2206" t="inlineStr"/>
      <c r="I2206" s="111" t="n"/>
      <c r="J2206" s="217" t="inlineStr"/>
    </row>
    <row r="2207" ht="15.75" customHeight="1" s="305">
      <c r="A2207" s="215" t="n"/>
      <c r="B2207" s="115" t="n"/>
      <c r="C2207" s="67" t="n"/>
      <c r="D2207" s="3" t="n"/>
      <c r="E2207" s="3" t="n"/>
      <c r="F2207" s="217" t="n"/>
      <c r="G2207" t="inlineStr"/>
      <c r="H2207" t="inlineStr"/>
      <c r="I2207" s="111" t="n"/>
      <c r="J2207" s="217" t="inlineStr"/>
    </row>
    <row r="2208" ht="15.75" customHeight="1" s="305">
      <c r="A2208" s="215" t="n"/>
      <c r="B2208" s="115" t="n"/>
      <c r="C2208" s="67" t="n"/>
      <c r="D2208" s="3" t="n"/>
      <c r="E2208" s="3" t="n"/>
      <c r="F2208" s="217" t="n"/>
      <c r="G2208" t="inlineStr"/>
      <c r="H2208" t="inlineStr"/>
      <c r="I2208" s="111" t="n"/>
      <c r="J2208" s="217" t="inlineStr"/>
    </row>
    <row r="2209" ht="15.75" customHeight="1" s="305">
      <c r="A2209" s="215" t="n"/>
      <c r="B2209" s="115" t="n"/>
      <c r="C2209" s="67" t="n"/>
      <c r="D2209" s="3" t="n"/>
      <c r="E2209" s="3" t="n"/>
      <c r="F2209" s="217" t="n"/>
      <c r="G2209" t="inlineStr"/>
      <c r="H2209" t="inlineStr"/>
      <c r="I2209" s="111" t="n"/>
      <c r="J2209" s="217" t="inlineStr"/>
    </row>
    <row r="2210" ht="15.75" customHeight="1" s="305">
      <c r="A2210" s="215" t="n"/>
      <c r="B2210" s="115" t="n"/>
      <c r="C2210" s="67" t="n"/>
      <c r="D2210" s="3" t="n"/>
      <c r="E2210" s="3" t="n"/>
      <c r="F2210" s="217" t="n"/>
      <c r="G2210" t="inlineStr"/>
      <c r="H2210" t="inlineStr"/>
      <c r="I2210" s="111" t="n"/>
      <c r="J2210" s="217" t="inlineStr"/>
    </row>
    <row r="2211" ht="15.75" customHeight="1" s="305">
      <c r="A2211" s="215" t="n"/>
      <c r="B2211" s="115" t="n"/>
      <c r="C2211" s="67" t="n"/>
      <c r="D2211" s="3" t="n"/>
      <c r="E2211" s="3" t="n"/>
      <c r="F2211" s="217" t="n"/>
      <c r="G2211" t="inlineStr"/>
      <c r="H2211" t="inlineStr"/>
      <c r="I2211" s="111" t="n"/>
      <c r="J2211" s="217" t="inlineStr"/>
    </row>
    <row r="2212" ht="15.75" customHeight="1" s="305">
      <c r="A2212" s="215" t="n"/>
      <c r="B2212" s="115" t="n"/>
      <c r="C2212" s="67" t="n"/>
      <c r="D2212" s="3" t="n"/>
      <c r="E2212" s="3" t="n"/>
      <c r="F2212" s="217" t="n"/>
      <c r="G2212" t="inlineStr"/>
      <c r="H2212" t="inlineStr"/>
      <c r="I2212" s="111" t="n"/>
      <c r="J2212" s="217" t="inlineStr"/>
    </row>
    <row r="2213" ht="15.75" customHeight="1" s="305">
      <c r="A2213" s="215" t="n"/>
      <c r="B2213" s="115" t="n"/>
      <c r="C2213" s="67" t="n"/>
      <c r="D2213" s="3" t="n"/>
      <c r="E2213" s="3" t="n"/>
      <c r="F2213" s="217" t="n"/>
      <c r="G2213" t="inlineStr"/>
      <c r="H2213" t="inlineStr"/>
      <c r="I2213" s="111" t="n"/>
      <c r="J2213" s="217" t="inlineStr"/>
    </row>
    <row r="2214" ht="15.75" customHeight="1" s="305">
      <c r="A2214" s="215" t="n"/>
      <c r="B2214" s="115" t="n"/>
      <c r="C2214" s="67" t="n"/>
      <c r="D2214" s="3" t="n"/>
      <c r="E2214" s="3" t="n"/>
      <c r="F2214" s="217" t="n"/>
      <c r="G2214" t="inlineStr"/>
      <c r="H2214" t="inlineStr"/>
      <c r="I2214" s="111" t="n"/>
      <c r="J2214" s="217" t="inlineStr"/>
    </row>
    <row r="2215" ht="15.75" customHeight="1" s="305">
      <c r="A2215" s="215" t="n"/>
      <c r="B2215" s="115" t="n"/>
      <c r="C2215" s="67" t="n"/>
      <c r="D2215" s="3" t="n"/>
      <c r="E2215" s="3" t="n"/>
      <c r="F2215" s="217" t="n"/>
      <c r="G2215" t="inlineStr"/>
      <c r="H2215" t="inlineStr"/>
      <c r="I2215" s="111" t="n"/>
      <c r="J2215" s="217" t="inlineStr"/>
    </row>
    <row r="2216" ht="15.75" customHeight="1" s="305">
      <c r="A2216" s="215" t="n"/>
      <c r="B2216" s="115" t="n"/>
      <c r="C2216" s="67" t="n"/>
      <c r="D2216" s="3" t="n"/>
      <c r="E2216" s="3" t="n"/>
      <c r="F2216" s="217" t="n"/>
      <c r="G2216" t="inlineStr"/>
      <c r="H2216" t="inlineStr"/>
      <c r="I2216" s="111" t="n"/>
      <c r="J2216" s="217" t="inlineStr"/>
    </row>
    <row r="2217" ht="15.75" customHeight="1" s="305">
      <c r="A2217" s="215" t="n"/>
      <c r="B2217" s="115" t="n"/>
      <c r="C2217" s="67" t="n"/>
      <c r="D2217" s="3" t="n"/>
      <c r="E2217" s="3" t="n"/>
      <c r="F2217" s="217" t="n"/>
      <c r="G2217" t="inlineStr"/>
      <c r="H2217" t="inlineStr"/>
      <c r="I2217" s="111" t="n"/>
      <c r="J2217" s="217" t="inlineStr"/>
    </row>
    <row r="2218" ht="15.75" customHeight="1" s="305">
      <c r="A2218" s="215" t="n"/>
      <c r="B2218" s="115" t="n"/>
      <c r="C2218" s="67" t="n"/>
      <c r="D2218" s="3" t="n"/>
      <c r="E2218" s="3" t="n"/>
      <c r="F2218" s="217" t="n"/>
      <c r="G2218" t="inlineStr"/>
      <c r="H2218" t="inlineStr"/>
      <c r="I2218" s="111" t="n"/>
      <c r="J2218" s="217" t="inlineStr"/>
    </row>
    <row r="2219" ht="15.75" customHeight="1" s="305">
      <c r="A2219" s="215" t="n"/>
      <c r="B2219" s="115" t="n"/>
      <c r="C2219" s="67" t="n"/>
      <c r="D2219" s="3" t="n"/>
      <c r="E2219" s="3" t="n"/>
      <c r="F2219" s="217" t="n"/>
      <c r="G2219" t="inlineStr"/>
      <c r="H2219" t="inlineStr"/>
      <c r="I2219" s="111" t="n"/>
      <c r="J2219" s="217" t="inlineStr"/>
    </row>
    <row r="2220" ht="15.75" customHeight="1" s="305">
      <c r="A2220" s="215" t="n"/>
      <c r="B2220" s="115" t="n"/>
      <c r="C2220" s="67" t="n"/>
      <c r="D2220" s="3" t="n"/>
      <c r="E2220" s="3" t="n"/>
      <c r="F2220" s="217" t="n"/>
      <c r="G2220" t="inlineStr"/>
      <c r="H2220" t="inlineStr"/>
      <c r="I2220" s="111" t="n"/>
      <c r="J2220" s="217" t="inlineStr"/>
    </row>
    <row r="2221" ht="15.75" customHeight="1" s="305">
      <c r="A2221" s="215" t="n"/>
      <c r="B2221" s="115" t="n"/>
      <c r="C2221" s="67" t="n"/>
      <c r="D2221" s="3" t="n"/>
      <c r="E2221" s="3" t="n"/>
      <c r="F2221" s="217" t="n"/>
      <c r="G2221" t="inlineStr"/>
      <c r="H2221" t="inlineStr"/>
      <c r="I2221" s="111" t="n"/>
      <c r="J2221" s="217" t="inlineStr"/>
    </row>
    <row r="2222" ht="15.75" customHeight="1" s="305">
      <c r="A2222" s="215" t="n"/>
      <c r="B2222" s="115" t="n"/>
      <c r="C2222" s="67" t="n"/>
      <c r="D2222" s="3" t="n"/>
      <c r="E2222" s="3" t="n"/>
      <c r="F2222" s="217" t="n"/>
      <c r="G2222" t="inlineStr"/>
      <c r="H2222" t="inlineStr"/>
      <c r="I2222" s="111" t="n"/>
      <c r="J2222" s="217" t="inlineStr"/>
    </row>
    <row r="2223" ht="15.75" customHeight="1" s="305">
      <c r="A2223" s="215" t="n"/>
      <c r="B2223" s="115" t="n"/>
      <c r="C2223" s="67" t="n"/>
      <c r="D2223" s="3" t="n"/>
      <c r="E2223" s="3" t="n"/>
      <c r="F2223" s="217" t="n"/>
      <c r="G2223" t="inlineStr"/>
      <c r="H2223" t="inlineStr"/>
      <c r="I2223" s="111" t="n"/>
      <c r="J2223" s="217" t="inlineStr"/>
    </row>
    <row r="2224" ht="15.75" customHeight="1" s="305">
      <c r="A2224" s="215" t="n"/>
      <c r="B2224" s="115" t="n"/>
      <c r="C2224" s="67" t="n"/>
      <c r="D2224" s="3" t="n"/>
      <c r="E2224" s="3" t="n"/>
      <c r="F2224" s="217" t="n"/>
      <c r="G2224" t="inlineStr"/>
      <c r="H2224" t="inlineStr"/>
      <c r="I2224" s="111" t="n"/>
      <c r="J2224" s="217" t="inlineStr"/>
    </row>
    <row r="2225" ht="15.75" customHeight="1" s="305">
      <c r="A2225" s="215" t="n"/>
      <c r="B2225" s="115" t="n"/>
      <c r="C2225" s="67" t="n"/>
      <c r="D2225" s="3" t="n"/>
      <c r="E2225" s="3" t="n"/>
      <c r="F2225" s="217" t="n"/>
      <c r="G2225" t="inlineStr"/>
      <c r="H2225" t="inlineStr"/>
      <c r="I2225" s="111" t="n"/>
      <c r="J2225" s="217" t="inlineStr"/>
    </row>
    <row r="2226" ht="15.75" customHeight="1" s="305">
      <c r="A2226" s="215" t="n"/>
      <c r="B2226" s="115" t="n"/>
      <c r="C2226" s="67" t="n"/>
      <c r="D2226" s="3" t="n"/>
      <c r="E2226" s="3" t="n"/>
      <c r="F2226" s="217" t="n"/>
      <c r="G2226" t="inlineStr"/>
      <c r="H2226" t="inlineStr"/>
      <c r="I2226" s="111" t="n"/>
      <c r="J2226" s="217" t="inlineStr"/>
    </row>
    <row r="2227" ht="15.75" customHeight="1" s="305">
      <c r="A2227" s="215" t="n"/>
      <c r="B2227" s="115" t="n"/>
      <c r="C2227" s="67" t="n"/>
      <c r="D2227" s="3" t="n"/>
      <c r="E2227" s="3" t="n"/>
      <c r="F2227" s="217" t="n"/>
      <c r="G2227" t="inlineStr"/>
      <c r="H2227" t="inlineStr"/>
      <c r="I2227" s="111" t="n"/>
      <c r="J2227" s="217" t="inlineStr"/>
    </row>
    <row r="2228" ht="15.75" customHeight="1" s="305">
      <c r="A2228" s="215" t="n"/>
      <c r="B2228" s="115" t="n"/>
      <c r="C2228" s="67" t="n"/>
      <c r="D2228" s="3" t="n"/>
      <c r="E2228" s="3" t="n"/>
      <c r="F2228" s="217" t="n"/>
      <c r="G2228" t="inlineStr"/>
      <c r="H2228" t="inlineStr"/>
      <c r="I2228" s="111" t="n"/>
      <c r="J2228" s="217" t="inlineStr"/>
    </row>
    <row r="2229" ht="15.75" customHeight="1" s="305">
      <c r="A2229" s="215" t="n"/>
      <c r="B2229" s="115" t="n"/>
      <c r="C2229" s="67" t="n"/>
      <c r="D2229" s="3" t="n"/>
      <c r="E2229" s="3" t="n"/>
      <c r="F2229" s="217" t="n"/>
      <c r="G2229" t="inlineStr"/>
      <c r="H2229" t="inlineStr"/>
      <c r="I2229" s="111" t="n"/>
      <c r="J2229" s="217" t="inlineStr"/>
    </row>
    <row r="2230" ht="15.75" customHeight="1" s="305">
      <c r="A2230" s="215" t="n"/>
      <c r="B2230" s="115" t="n"/>
      <c r="C2230" s="67" t="n"/>
      <c r="D2230" s="3" t="n"/>
      <c r="E2230" s="3" t="n"/>
      <c r="F2230" s="217" t="n"/>
      <c r="G2230" t="inlineStr"/>
      <c r="H2230" t="inlineStr"/>
      <c r="I2230" s="111" t="n"/>
      <c r="J2230" s="217" t="inlineStr"/>
    </row>
    <row r="2231" ht="15.75" customHeight="1" s="305">
      <c r="A2231" s="215" t="n"/>
      <c r="B2231" s="115" t="n"/>
      <c r="C2231" s="67" t="n"/>
      <c r="D2231" s="3" t="n"/>
      <c r="E2231" s="3" t="n"/>
      <c r="F2231" s="217" t="n"/>
      <c r="G2231" t="inlineStr"/>
      <c r="H2231" t="inlineStr"/>
      <c r="I2231" s="111" t="n"/>
      <c r="J2231" s="217" t="inlineStr"/>
    </row>
    <row r="2232" ht="15.75" customHeight="1" s="305">
      <c r="A2232" s="215" t="n"/>
      <c r="B2232" s="115" t="n"/>
      <c r="C2232" s="67" t="n"/>
      <c r="D2232" s="3" t="n"/>
      <c r="E2232" s="3" t="n"/>
      <c r="F2232" s="217" t="n"/>
      <c r="G2232" t="inlineStr"/>
      <c r="H2232" t="inlineStr"/>
      <c r="I2232" s="111" t="n"/>
      <c r="J2232" s="217" t="inlineStr"/>
    </row>
    <row r="2233" ht="15.75" customHeight="1" s="305">
      <c r="A2233" s="215" t="n"/>
      <c r="B2233" s="115" t="n"/>
      <c r="C2233" s="67" t="n"/>
      <c r="D2233" s="3" t="n"/>
      <c r="E2233" s="3" t="n"/>
      <c r="F2233" s="217" t="n"/>
      <c r="G2233" t="inlineStr"/>
      <c r="H2233" t="inlineStr"/>
      <c r="I2233" s="111" t="n"/>
      <c r="J2233" s="217" t="inlineStr"/>
    </row>
    <row r="2234" ht="15.75" customHeight="1" s="305">
      <c r="A2234" s="215" t="n"/>
      <c r="B2234" s="115" t="n"/>
      <c r="C2234" s="67" t="n"/>
      <c r="D2234" s="3" t="n"/>
      <c r="E2234" s="3" t="n"/>
      <c r="F2234" s="217" t="n"/>
      <c r="G2234" t="inlineStr"/>
      <c r="H2234" t="inlineStr"/>
      <c r="I2234" s="111" t="n"/>
      <c r="J2234" s="217" t="inlineStr"/>
    </row>
    <row r="2235" ht="15.75" customHeight="1" s="305">
      <c r="A2235" s="215" t="n"/>
      <c r="B2235" s="115" t="n"/>
      <c r="C2235" s="67" t="n"/>
      <c r="D2235" s="3" t="n"/>
      <c r="E2235" s="3" t="n"/>
      <c r="F2235" s="217" t="n"/>
      <c r="G2235" t="inlineStr"/>
      <c r="H2235" t="inlineStr"/>
      <c r="I2235" s="111" t="n"/>
      <c r="J2235" s="217" t="inlineStr"/>
    </row>
    <row r="2236" ht="15.75" customHeight="1" s="305">
      <c r="A2236" s="215" t="n"/>
      <c r="B2236" s="115" t="n"/>
      <c r="C2236" s="67" t="n"/>
      <c r="D2236" s="3" t="n"/>
      <c r="E2236" s="3" t="n"/>
      <c r="F2236" s="217" t="n"/>
      <c r="G2236" t="inlineStr"/>
      <c r="H2236" t="inlineStr"/>
      <c r="I2236" s="111" t="n"/>
      <c r="J2236" s="217" t="inlineStr"/>
    </row>
    <row r="2237" ht="15.75" customHeight="1" s="305">
      <c r="A2237" s="215" t="n"/>
      <c r="B2237" s="115" t="n"/>
      <c r="C2237" s="67" t="n"/>
      <c r="D2237" s="3" t="n"/>
      <c r="E2237" s="3" t="n"/>
      <c r="F2237" s="217" t="n"/>
      <c r="G2237" t="inlineStr"/>
      <c r="H2237" t="inlineStr"/>
      <c r="I2237" s="111" t="n"/>
      <c r="J2237" s="217" t="inlineStr"/>
    </row>
    <row r="2238" ht="15.75" customHeight="1" s="305">
      <c r="A2238" s="215" t="n"/>
      <c r="B2238" s="115" t="n"/>
      <c r="C2238" s="67" t="n"/>
      <c r="D2238" s="3" t="n"/>
      <c r="E2238" s="3" t="n"/>
      <c r="F2238" s="217" t="n"/>
      <c r="G2238" t="inlineStr"/>
      <c r="H2238" t="inlineStr"/>
      <c r="I2238" s="111" t="n"/>
      <c r="J2238" s="217" t="inlineStr"/>
    </row>
    <row r="2239" ht="15.75" customHeight="1" s="305">
      <c r="A2239" s="215" t="n"/>
      <c r="B2239" s="115" t="n"/>
      <c r="C2239" s="67" t="n"/>
      <c r="D2239" s="3" t="n"/>
      <c r="E2239" s="3" t="n"/>
      <c r="F2239" s="217" t="n"/>
      <c r="G2239" t="inlineStr"/>
      <c r="H2239" t="inlineStr"/>
      <c r="I2239" s="111" t="n"/>
      <c r="J2239" s="217" t="inlineStr"/>
    </row>
    <row r="2240" ht="15.75" customHeight="1" s="305">
      <c r="A2240" s="215" t="n"/>
      <c r="B2240" s="115" t="n"/>
      <c r="C2240" s="67" t="n"/>
      <c r="D2240" s="3" t="n"/>
      <c r="E2240" s="3" t="n"/>
      <c r="F2240" s="217" t="n"/>
      <c r="G2240" t="inlineStr"/>
      <c r="H2240" t="inlineStr"/>
      <c r="I2240" s="111" t="n"/>
      <c r="J2240" s="217" t="inlineStr"/>
    </row>
    <row r="2241" ht="15.75" customHeight="1" s="305">
      <c r="A2241" s="215" t="n"/>
      <c r="B2241" s="115" t="n"/>
      <c r="C2241" s="67" t="n"/>
      <c r="D2241" s="3" t="n"/>
      <c r="E2241" s="3" t="n"/>
      <c r="F2241" s="217" t="n"/>
      <c r="G2241" t="inlineStr"/>
      <c r="H2241" t="inlineStr"/>
      <c r="I2241" s="111" t="n"/>
      <c r="J2241" s="217" t="inlineStr"/>
    </row>
    <row r="2242" ht="15.75" customHeight="1" s="305">
      <c r="A2242" s="215" t="n"/>
      <c r="B2242" s="115" t="n"/>
      <c r="C2242" s="67" t="n"/>
      <c r="D2242" s="3" t="n"/>
      <c r="E2242" s="3" t="n"/>
      <c r="F2242" s="217" t="n"/>
      <c r="G2242" t="inlineStr"/>
      <c r="H2242" t="inlineStr"/>
      <c r="I2242" s="111" t="n"/>
      <c r="J2242" s="217" t="inlineStr"/>
    </row>
    <row r="2243" ht="15.75" customHeight="1" s="305">
      <c r="A2243" s="215" t="n"/>
      <c r="B2243" s="115" t="n"/>
      <c r="C2243" s="67" t="n"/>
      <c r="D2243" s="3" t="n"/>
      <c r="E2243" s="3" t="n"/>
      <c r="F2243" s="217" t="n"/>
      <c r="G2243" t="inlineStr"/>
      <c r="H2243" t="inlineStr"/>
      <c r="I2243" s="111" t="n"/>
      <c r="J2243" s="217" t="inlineStr"/>
    </row>
    <row r="2244" ht="15.75" customHeight="1" s="305">
      <c r="A2244" s="215" t="n"/>
      <c r="B2244" s="115" t="n"/>
      <c r="C2244" s="67" t="n"/>
      <c r="D2244" s="3" t="n"/>
      <c r="E2244" s="3" t="n"/>
      <c r="F2244" s="217" t="n"/>
      <c r="G2244" t="inlineStr"/>
      <c r="H2244" t="inlineStr"/>
      <c r="I2244" s="111" t="n"/>
      <c r="J2244" s="217" t="inlineStr"/>
    </row>
    <row r="2245" ht="15.75" customHeight="1" s="305">
      <c r="A2245" s="215" t="n"/>
      <c r="B2245" s="115" t="n"/>
      <c r="C2245" s="67" t="n"/>
      <c r="D2245" s="3" t="n"/>
      <c r="E2245" s="3" t="n"/>
      <c r="F2245" s="217" t="n"/>
      <c r="G2245" t="inlineStr"/>
      <c r="H2245" t="inlineStr"/>
      <c r="I2245" s="111" t="n"/>
      <c r="J2245" s="217" t="inlineStr"/>
    </row>
    <row r="2246" ht="15.75" customHeight="1" s="305">
      <c r="A2246" s="215" t="n"/>
      <c r="B2246" s="115" t="n"/>
      <c r="C2246" s="67" t="n"/>
      <c r="D2246" s="3" t="n"/>
      <c r="E2246" s="3" t="n"/>
      <c r="F2246" s="217" t="n"/>
      <c r="G2246" t="inlineStr"/>
      <c r="H2246" t="inlineStr"/>
      <c r="I2246" s="111" t="n"/>
      <c r="J2246" s="217" t="inlineStr"/>
    </row>
    <row r="2247" ht="15.75" customHeight="1" s="305">
      <c r="A2247" s="215" t="n"/>
      <c r="B2247" s="115" t="n"/>
      <c r="C2247" s="67" t="n"/>
      <c r="D2247" s="3" t="n"/>
      <c r="E2247" s="3" t="n"/>
      <c r="F2247" s="217" t="n"/>
      <c r="G2247" t="inlineStr"/>
      <c r="H2247" t="inlineStr"/>
      <c r="I2247" s="111" t="n"/>
      <c r="J2247" s="217" t="inlineStr"/>
    </row>
    <row r="2248" ht="15.75" customHeight="1" s="305">
      <c r="A2248" s="215" t="n"/>
      <c r="B2248" s="115" t="n"/>
      <c r="C2248" s="67" t="n"/>
      <c r="D2248" s="3" t="n"/>
      <c r="E2248" s="3" t="n"/>
      <c r="F2248" s="217" t="n"/>
      <c r="G2248" t="inlineStr"/>
      <c r="H2248" t="inlineStr"/>
      <c r="I2248" s="111" t="n"/>
      <c r="J2248" s="217" t="inlineStr"/>
    </row>
    <row r="2249" ht="15.75" customHeight="1" s="305">
      <c r="A2249" s="215" t="n"/>
      <c r="B2249" s="115" t="n"/>
      <c r="C2249" s="67" t="n"/>
      <c r="D2249" s="3" t="n"/>
      <c r="E2249" s="3" t="n"/>
      <c r="F2249" s="217" t="n"/>
      <c r="G2249" t="inlineStr"/>
      <c r="H2249" t="inlineStr"/>
      <c r="I2249" s="111" t="n"/>
      <c r="J2249" s="217" t="inlineStr"/>
    </row>
    <row r="2250" ht="15.75" customHeight="1" s="305">
      <c r="A2250" s="215" t="n"/>
      <c r="B2250" s="115" t="n"/>
      <c r="C2250" s="67" t="n"/>
      <c r="D2250" s="3" t="n"/>
      <c r="E2250" s="3" t="n"/>
      <c r="F2250" s="217" t="n"/>
      <c r="G2250" t="inlineStr"/>
      <c r="H2250" t="inlineStr"/>
      <c r="I2250" s="111" t="n"/>
      <c r="J2250" s="217" t="inlineStr"/>
    </row>
    <row r="2251" ht="15.75" customHeight="1" s="305">
      <c r="A2251" s="215" t="n"/>
      <c r="B2251" s="115" t="n"/>
      <c r="C2251" s="67" t="n"/>
      <c r="D2251" s="3" t="n"/>
      <c r="E2251" s="3" t="n"/>
      <c r="F2251" s="217" t="n"/>
      <c r="G2251" t="inlineStr"/>
      <c r="H2251" t="inlineStr"/>
      <c r="I2251" s="111" t="n"/>
      <c r="J2251" s="217" t="inlineStr"/>
    </row>
    <row r="2252" ht="15.75" customHeight="1" s="305">
      <c r="A2252" s="215" t="n"/>
      <c r="B2252" s="115" t="n"/>
      <c r="C2252" s="67" t="n"/>
      <c r="D2252" s="3" t="n"/>
      <c r="E2252" s="3" t="n"/>
      <c r="F2252" s="217" t="n"/>
      <c r="G2252" t="inlineStr"/>
      <c r="H2252" t="inlineStr"/>
      <c r="I2252" s="111" t="n"/>
      <c r="J2252" s="217" t="inlineStr"/>
    </row>
    <row r="2253" ht="15.75" customHeight="1" s="305">
      <c r="A2253" s="215" t="n"/>
      <c r="B2253" s="115" t="n"/>
      <c r="C2253" s="67" t="n"/>
      <c r="D2253" s="3" t="n"/>
      <c r="E2253" s="3" t="n"/>
      <c r="F2253" s="217" t="n"/>
      <c r="G2253" t="inlineStr"/>
      <c r="H2253" t="inlineStr"/>
      <c r="I2253" s="111" t="n"/>
      <c r="J2253" s="217" t="inlineStr"/>
    </row>
    <row r="2254" ht="15.75" customHeight="1" s="305">
      <c r="A2254" s="215" t="n"/>
      <c r="B2254" s="115" t="n"/>
      <c r="C2254" s="67" t="n"/>
      <c r="D2254" s="3" t="n"/>
      <c r="E2254" s="3" t="n"/>
      <c r="F2254" s="217" t="n"/>
      <c r="G2254" t="inlineStr"/>
      <c r="H2254" t="inlineStr"/>
      <c r="I2254" s="111" t="n"/>
      <c r="J2254" s="217" t="inlineStr"/>
    </row>
    <row r="2255" ht="15.75" customHeight="1" s="305">
      <c r="A2255" s="215" t="n"/>
      <c r="B2255" s="115" t="n"/>
      <c r="C2255" s="67" t="n"/>
      <c r="D2255" s="3" t="n"/>
      <c r="E2255" s="3" t="n"/>
      <c r="F2255" s="217" t="n"/>
      <c r="G2255" t="inlineStr"/>
      <c r="H2255" t="inlineStr"/>
      <c r="I2255" s="111" t="n"/>
      <c r="J2255" s="217" t="inlineStr"/>
    </row>
    <row r="2256" ht="15.75" customHeight="1" s="305">
      <c r="A2256" s="215" t="n"/>
      <c r="B2256" s="115" t="n"/>
      <c r="C2256" s="67" t="n"/>
      <c r="D2256" s="3" t="n"/>
      <c r="E2256" s="3" t="n"/>
      <c r="F2256" s="217" t="n"/>
      <c r="G2256" t="inlineStr"/>
      <c r="H2256" t="inlineStr"/>
      <c r="I2256" s="111" t="n"/>
      <c r="J2256" s="217" t="inlineStr"/>
    </row>
    <row r="2257" ht="15.75" customHeight="1" s="305">
      <c r="A2257" s="215" t="n"/>
      <c r="B2257" s="115" t="n"/>
      <c r="C2257" s="67" t="n"/>
      <c r="D2257" s="3" t="n"/>
      <c r="E2257" s="3" t="n"/>
      <c r="F2257" s="217" t="n"/>
      <c r="G2257" t="inlineStr"/>
      <c r="H2257" t="inlineStr"/>
      <c r="I2257" s="111" t="n"/>
      <c r="J2257" s="217" t="inlineStr"/>
    </row>
    <row r="2258" ht="15.75" customHeight="1" s="305">
      <c r="A2258" s="215" t="n"/>
      <c r="B2258" s="115" t="n"/>
      <c r="C2258" s="67" t="n"/>
      <c r="D2258" s="3" t="n"/>
      <c r="E2258" s="3" t="n"/>
      <c r="F2258" s="217" t="n"/>
      <c r="G2258" t="inlineStr"/>
      <c r="H2258" t="inlineStr"/>
      <c r="I2258" s="111" t="n"/>
      <c r="J2258" s="217" t="inlineStr"/>
    </row>
    <row r="2259" ht="15.75" customHeight="1" s="305">
      <c r="A2259" s="215" t="n"/>
      <c r="B2259" s="115" t="n"/>
      <c r="C2259" s="67" t="n"/>
      <c r="D2259" s="3" t="n"/>
      <c r="E2259" s="3" t="n"/>
      <c r="F2259" s="217" t="n"/>
      <c r="G2259" t="inlineStr"/>
      <c r="H2259" t="inlineStr"/>
      <c r="I2259" s="111" t="n"/>
      <c r="J2259" s="217" t="inlineStr"/>
    </row>
    <row r="2260" ht="15.75" customHeight="1" s="305">
      <c r="A2260" s="215" t="n"/>
      <c r="B2260" s="115" t="n"/>
      <c r="C2260" s="67" t="n"/>
      <c r="D2260" s="3" t="n"/>
      <c r="E2260" s="3" t="n"/>
      <c r="F2260" s="217" t="n"/>
      <c r="G2260" t="inlineStr"/>
      <c r="H2260" t="inlineStr"/>
      <c r="I2260" s="111" t="n"/>
      <c r="J2260" s="217" t="inlineStr"/>
    </row>
    <row r="2261" ht="15.75" customHeight="1" s="305">
      <c r="A2261" s="215" t="n"/>
      <c r="B2261" s="115" t="n"/>
      <c r="C2261" s="67" t="n"/>
      <c r="D2261" s="3" t="n"/>
      <c r="E2261" s="3" t="n"/>
      <c r="F2261" s="217" t="n"/>
      <c r="G2261" t="inlineStr"/>
      <c r="H2261" t="inlineStr"/>
      <c r="I2261" s="111" t="n"/>
      <c r="J2261" s="217" t="inlineStr"/>
    </row>
    <row r="2262" ht="15.75" customHeight="1" s="305">
      <c r="A2262" s="215" t="n"/>
      <c r="B2262" s="115" t="n"/>
      <c r="C2262" s="67" t="n"/>
      <c r="D2262" s="3" t="n"/>
      <c r="E2262" s="3" t="n"/>
      <c r="F2262" s="217" t="n"/>
      <c r="G2262" t="inlineStr"/>
      <c r="H2262" t="inlineStr"/>
      <c r="I2262" s="111" t="n"/>
      <c r="J2262" s="217" t="inlineStr"/>
    </row>
    <row r="2263" ht="15.75" customHeight="1" s="305">
      <c r="A2263" s="215" t="n"/>
      <c r="B2263" s="115" t="n"/>
      <c r="C2263" s="67" t="n"/>
      <c r="D2263" s="3" t="n"/>
      <c r="E2263" s="3" t="n"/>
      <c r="F2263" s="217" t="n"/>
      <c r="G2263" t="inlineStr"/>
      <c r="H2263" t="inlineStr"/>
      <c r="I2263" s="111" t="n"/>
      <c r="J2263" s="217" t="inlineStr"/>
    </row>
    <row r="2264" ht="15.75" customHeight="1" s="305">
      <c r="A2264" s="215" t="n"/>
      <c r="B2264" s="115" t="n"/>
      <c r="C2264" s="67" t="n"/>
      <c r="D2264" s="3" t="n"/>
      <c r="E2264" s="3" t="n"/>
      <c r="F2264" s="217" t="n"/>
      <c r="G2264" t="inlineStr"/>
      <c r="H2264" t="inlineStr"/>
      <c r="I2264" s="111" t="n"/>
      <c r="J2264" s="217" t="inlineStr"/>
    </row>
    <row r="2265" ht="15.75" customHeight="1" s="305">
      <c r="A2265" s="215" t="n"/>
      <c r="B2265" s="115" t="n"/>
      <c r="C2265" s="67" t="n"/>
      <c r="D2265" s="3" t="n"/>
      <c r="E2265" s="3" t="n"/>
      <c r="F2265" s="217" t="n"/>
      <c r="G2265" t="inlineStr"/>
      <c r="H2265" t="inlineStr"/>
      <c r="I2265" s="111" t="n"/>
      <c r="J2265" s="217" t="inlineStr"/>
    </row>
    <row r="2266" ht="15.75" customHeight="1" s="305">
      <c r="A2266" s="215" t="n"/>
      <c r="B2266" s="115" t="n"/>
      <c r="C2266" s="67" t="n"/>
      <c r="D2266" s="3" t="n"/>
      <c r="E2266" s="3" t="n"/>
      <c r="F2266" s="217" t="n"/>
      <c r="G2266" t="inlineStr"/>
      <c r="H2266" t="inlineStr"/>
      <c r="I2266" s="111" t="n"/>
      <c r="J2266" s="217" t="inlineStr"/>
    </row>
    <row r="2267" ht="15.75" customHeight="1" s="305">
      <c r="A2267" s="215" t="n"/>
      <c r="B2267" s="115" t="n"/>
      <c r="C2267" s="67" t="n"/>
      <c r="D2267" s="3" t="n"/>
      <c r="E2267" s="3" t="n"/>
      <c r="F2267" s="217" t="n"/>
      <c r="G2267" t="inlineStr"/>
      <c r="H2267" t="inlineStr"/>
      <c r="I2267" s="111" t="n"/>
      <c r="J2267" s="217" t="inlineStr"/>
    </row>
    <row r="2268" ht="15.75" customHeight="1" s="305">
      <c r="A2268" s="215" t="n"/>
      <c r="B2268" s="115" t="n"/>
      <c r="C2268" s="67" t="n"/>
      <c r="D2268" s="3" t="n"/>
      <c r="E2268" s="3" t="n"/>
      <c r="F2268" s="217" t="n"/>
      <c r="G2268" t="inlineStr"/>
      <c r="H2268" t="inlineStr"/>
      <c r="I2268" s="111" t="n"/>
      <c r="J2268" s="217" t="inlineStr"/>
    </row>
    <row r="2269" ht="15.75" customHeight="1" s="305">
      <c r="A2269" s="215" t="n"/>
      <c r="B2269" s="115" t="n"/>
      <c r="C2269" s="67" t="n"/>
      <c r="D2269" s="3" t="n"/>
      <c r="E2269" s="3" t="n"/>
      <c r="F2269" s="217" t="n"/>
      <c r="G2269" t="inlineStr"/>
      <c r="H2269" t="inlineStr"/>
      <c r="I2269" s="111" t="n"/>
      <c r="J2269" s="217" t="inlineStr"/>
    </row>
    <row r="2270" ht="15.75" customHeight="1" s="305">
      <c r="A2270" s="215" t="n"/>
      <c r="B2270" s="115" t="n"/>
      <c r="C2270" s="67" t="n"/>
      <c r="D2270" s="3" t="n"/>
      <c r="E2270" s="3" t="n"/>
      <c r="F2270" s="217" t="n"/>
      <c r="G2270" t="inlineStr"/>
      <c r="H2270" t="inlineStr"/>
      <c r="I2270" s="111" t="n"/>
      <c r="J2270" s="217" t="inlineStr"/>
    </row>
    <row r="2271" ht="15.75" customHeight="1" s="305">
      <c r="A2271" s="215" t="n"/>
      <c r="B2271" s="115" t="n"/>
      <c r="C2271" s="67" t="n"/>
      <c r="D2271" s="3" t="n"/>
      <c r="E2271" s="3" t="n"/>
      <c r="F2271" s="217" t="n"/>
      <c r="G2271" t="inlineStr"/>
      <c r="H2271" t="inlineStr"/>
      <c r="I2271" s="111" t="n"/>
      <c r="J2271" s="217" t="inlineStr"/>
    </row>
    <row r="2272" ht="15.75" customHeight="1" s="305">
      <c r="A2272" s="215" t="n"/>
      <c r="B2272" s="115" t="n"/>
      <c r="C2272" s="67" t="n"/>
      <c r="D2272" s="3" t="n"/>
      <c r="E2272" s="3" t="n"/>
      <c r="F2272" s="217" t="n"/>
      <c r="G2272" t="inlineStr"/>
      <c r="H2272" t="inlineStr"/>
      <c r="I2272" s="111" t="n"/>
      <c r="J2272" s="217" t="inlineStr"/>
    </row>
    <row r="2273" ht="15.75" customHeight="1" s="305">
      <c r="A2273" s="215" t="n"/>
      <c r="B2273" s="115" t="n"/>
      <c r="C2273" s="67" t="n"/>
      <c r="D2273" s="3" t="n"/>
      <c r="E2273" s="3" t="n"/>
      <c r="F2273" s="217" t="n"/>
      <c r="G2273" t="inlineStr"/>
      <c r="H2273" t="inlineStr"/>
      <c r="I2273" s="111" t="n"/>
      <c r="J2273" s="217" t="inlineStr"/>
    </row>
    <row r="2274" ht="15.75" customHeight="1" s="305">
      <c r="A2274" s="215" t="n"/>
      <c r="B2274" s="115" t="n"/>
      <c r="C2274" s="67" t="n"/>
      <c r="D2274" s="3" t="n"/>
      <c r="E2274" s="3" t="n"/>
      <c r="F2274" s="217" t="n"/>
      <c r="G2274" t="inlineStr"/>
      <c r="H2274" t="inlineStr"/>
      <c r="I2274" s="111" t="n"/>
      <c r="J2274" s="217" t="inlineStr"/>
    </row>
    <row r="2275" ht="15.75" customHeight="1" s="305">
      <c r="A2275" s="215" t="n"/>
      <c r="B2275" s="115" t="n"/>
      <c r="C2275" s="67" t="n"/>
      <c r="D2275" s="3" t="n"/>
      <c r="E2275" s="3" t="n"/>
      <c r="F2275" s="217" t="n"/>
      <c r="G2275" t="inlineStr"/>
      <c r="H2275" t="inlineStr"/>
      <c r="I2275" s="111" t="n"/>
      <c r="J2275" s="217" t="inlineStr"/>
    </row>
    <row r="2276" ht="15.75" customHeight="1" s="305">
      <c r="A2276" s="215" t="n"/>
      <c r="B2276" s="115" t="n"/>
      <c r="C2276" s="67" t="n"/>
      <c r="D2276" s="3" t="n"/>
      <c r="E2276" s="3" t="n"/>
      <c r="F2276" s="217" t="n"/>
      <c r="G2276" t="inlineStr"/>
      <c r="H2276" t="inlineStr"/>
      <c r="I2276" s="111" t="n"/>
      <c r="J2276" s="217" t="inlineStr"/>
    </row>
    <row r="2277" ht="15.75" customHeight="1" s="305">
      <c r="A2277" s="215" t="n"/>
      <c r="B2277" s="115" t="n"/>
      <c r="C2277" s="67" t="n"/>
      <c r="D2277" s="3" t="n"/>
      <c r="E2277" s="3" t="n"/>
      <c r="F2277" s="217" t="n"/>
      <c r="G2277" t="inlineStr"/>
      <c r="H2277" t="inlineStr"/>
      <c r="I2277" s="111" t="n"/>
      <c r="J2277" s="217" t="inlineStr"/>
    </row>
    <row r="2278" ht="15.75" customHeight="1" s="305">
      <c r="A2278" s="215" t="n"/>
      <c r="B2278" s="115" t="n"/>
      <c r="C2278" s="67" t="n"/>
      <c r="D2278" s="3" t="n"/>
      <c r="E2278" s="3" t="n"/>
      <c r="F2278" s="217" t="n"/>
      <c r="G2278" t="inlineStr"/>
      <c r="H2278" t="inlineStr"/>
      <c r="I2278" s="111" t="n"/>
      <c r="J2278" s="217" t="inlineStr"/>
    </row>
    <row r="2279" ht="15.75" customHeight="1" s="305">
      <c r="A2279" s="215" t="n"/>
      <c r="B2279" s="115" t="n"/>
      <c r="C2279" s="67" t="n"/>
      <c r="D2279" s="3" t="n"/>
      <c r="E2279" s="3" t="n"/>
      <c r="F2279" s="217" t="n"/>
      <c r="G2279" t="inlineStr"/>
      <c r="H2279" t="inlineStr"/>
      <c r="I2279" s="111" t="n"/>
      <c r="J2279" s="217" t="inlineStr"/>
    </row>
    <row r="2280" ht="15.75" customHeight="1" s="305">
      <c r="A2280" s="215" t="n"/>
      <c r="B2280" s="115" t="n"/>
      <c r="C2280" s="67" t="n"/>
      <c r="D2280" s="3" t="n"/>
      <c r="E2280" s="3" t="n"/>
      <c r="F2280" s="217" t="n"/>
      <c r="G2280" t="inlineStr"/>
      <c r="H2280" t="inlineStr"/>
      <c r="I2280" s="111" t="n"/>
      <c r="J2280" s="217" t="inlineStr"/>
    </row>
    <row r="2281" ht="15.75" customHeight="1" s="305">
      <c r="A2281" s="215" t="n"/>
      <c r="B2281" s="115" t="n"/>
      <c r="C2281" s="67" t="n"/>
      <c r="D2281" s="3" t="n"/>
      <c r="E2281" s="3" t="n"/>
      <c r="F2281" s="217" t="n"/>
      <c r="G2281" t="inlineStr"/>
      <c r="H2281" t="inlineStr"/>
      <c r="I2281" s="111" t="n"/>
      <c r="J2281" s="217" t="inlineStr"/>
    </row>
    <row r="2282" ht="15.75" customHeight="1" s="305">
      <c r="A2282" s="215" t="n"/>
      <c r="B2282" s="115" t="n"/>
      <c r="C2282" s="67" t="n"/>
      <c r="D2282" s="3" t="n"/>
      <c r="E2282" s="3" t="n"/>
      <c r="F2282" s="217" t="n"/>
      <c r="G2282" t="inlineStr"/>
      <c r="H2282" t="inlineStr"/>
      <c r="I2282" s="111" t="n"/>
      <c r="J2282" s="217" t="inlineStr"/>
    </row>
    <row r="2283" ht="15.75" customHeight="1" s="305">
      <c r="A2283" s="215" t="n"/>
      <c r="B2283" s="115" t="n"/>
      <c r="C2283" s="67" t="n"/>
      <c r="D2283" s="3" t="n"/>
      <c r="E2283" s="3" t="n"/>
      <c r="F2283" s="217" t="n"/>
      <c r="G2283" t="inlineStr"/>
      <c r="H2283" t="inlineStr"/>
      <c r="I2283" s="111" t="n"/>
      <c r="J2283" s="217" t="inlineStr"/>
    </row>
    <row r="2284" ht="15.75" customHeight="1" s="305">
      <c r="A2284" s="215" t="n"/>
      <c r="B2284" s="115" t="n"/>
      <c r="C2284" s="67" t="n"/>
      <c r="D2284" s="3" t="n"/>
      <c r="E2284" s="3" t="n"/>
      <c r="F2284" s="217" t="n"/>
      <c r="G2284" t="inlineStr"/>
      <c r="H2284" t="inlineStr"/>
      <c r="I2284" s="111" t="n"/>
      <c r="J2284" s="217" t="inlineStr"/>
    </row>
    <row r="2285" ht="15.75" customHeight="1" s="305">
      <c r="A2285" s="215" t="n"/>
      <c r="B2285" s="115" t="n"/>
      <c r="C2285" s="67" t="n"/>
      <c r="D2285" s="3" t="n"/>
      <c r="E2285" s="3" t="n"/>
      <c r="F2285" s="217" t="n"/>
      <c r="G2285" t="inlineStr"/>
      <c r="H2285" t="inlineStr"/>
      <c r="I2285" s="111" t="n"/>
      <c r="J2285" s="217" t="inlineStr"/>
    </row>
    <row r="2286" ht="15.75" customHeight="1" s="305">
      <c r="A2286" s="215" t="n"/>
      <c r="B2286" s="115" t="n"/>
      <c r="C2286" s="67" t="n"/>
      <c r="D2286" s="3" t="n"/>
      <c r="E2286" s="3" t="n"/>
      <c r="F2286" s="217" t="n"/>
      <c r="G2286" t="inlineStr"/>
      <c r="H2286" t="inlineStr"/>
      <c r="I2286" s="111" t="n"/>
      <c r="J2286" s="217" t="inlineStr"/>
    </row>
    <row r="2287" ht="15.75" customHeight="1" s="305">
      <c r="A2287" s="215" t="n"/>
      <c r="B2287" s="115" t="n"/>
      <c r="C2287" s="67" t="n"/>
      <c r="D2287" s="3" t="n"/>
      <c r="E2287" s="3" t="n"/>
      <c r="F2287" s="217" t="n"/>
      <c r="G2287" t="inlineStr"/>
      <c r="H2287" t="inlineStr"/>
      <c r="I2287" s="111" t="n"/>
      <c r="J2287" s="217" t="inlineStr"/>
    </row>
    <row r="2288" ht="15.75" customHeight="1" s="305">
      <c r="A2288" s="215" t="n"/>
      <c r="B2288" s="115" t="n"/>
      <c r="C2288" s="67" t="n"/>
      <c r="D2288" s="3" t="n"/>
      <c r="E2288" s="3" t="n"/>
      <c r="F2288" s="217" t="n"/>
      <c r="G2288" t="inlineStr"/>
      <c r="H2288" t="inlineStr"/>
      <c r="I2288" s="111" t="n"/>
      <c r="J2288" s="217" t="inlineStr"/>
    </row>
    <row r="2289" ht="15.75" customHeight="1" s="305">
      <c r="A2289" s="215" t="n"/>
      <c r="B2289" s="115" t="n"/>
      <c r="C2289" s="67" t="n"/>
      <c r="D2289" s="3" t="n"/>
      <c r="E2289" s="3" t="n"/>
      <c r="F2289" s="217" t="n"/>
      <c r="G2289" t="inlineStr"/>
      <c r="H2289" t="inlineStr"/>
      <c r="I2289" s="111" t="n"/>
      <c r="J2289" s="217" t="inlineStr"/>
    </row>
    <row r="2290" ht="15.75" customHeight="1" s="305">
      <c r="A2290" s="215" t="n"/>
      <c r="B2290" s="115" t="n"/>
      <c r="C2290" s="67" t="n"/>
      <c r="D2290" s="3" t="n"/>
      <c r="E2290" s="3" t="n"/>
      <c r="F2290" s="217" t="n"/>
      <c r="G2290" t="inlineStr"/>
      <c r="H2290" t="inlineStr"/>
      <c r="I2290" s="111" t="n"/>
      <c r="J2290" s="217" t="inlineStr"/>
    </row>
    <row r="2291" ht="15.75" customHeight="1" s="305">
      <c r="A2291" s="215" t="n"/>
      <c r="B2291" s="115" t="n"/>
      <c r="C2291" s="67" t="n"/>
      <c r="D2291" s="3" t="n"/>
      <c r="E2291" s="3" t="n"/>
      <c r="F2291" s="217" t="n"/>
      <c r="G2291" t="inlineStr"/>
      <c r="H2291" t="inlineStr"/>
      <c r="I2291" s="111" t="n"/>
      <c r="J2291" s="217" t="inlineStr"/>
    </row>
    <row r="2292" ht="15.75" customHeight="1" s="305">
      <c r="A2292" s="215" t="n"/>
      <c r="B2292" s="115" t="n"/>
      <c r="C2292" s="67" t="n"/>
      <c r="D2292" s="3" t="n"/>
      <c r="E2292" s="3" t="n"/>
      <c r="F2292" s="217" t="n"/>
      <c r="G2292" t="inlineStr"/>
      <c r="H2292" t="inlineStr"/>
      <c r="I2292" s="111" t="n"/>
      <c r="J2292" s="217" t="inlineStr"/>
    </row>
    <row r="2293" ht="15.75" customHeight="1" s="305">
      <c r="A2293" s="215" t="n"/>
      <c r="B2293" s="115" t="n"/>
      <c r="C2293" s="67" t="n"/>
      <c r="D2293" s="3" t="n"/>
      <c r="E2293" s="3" t="n"/>
      <c r="F2293" s="217" t="n"/>
      <c r="G2293" t="inlineStr"/>
      <c r="H2293" t="inlineStr"/>
      <c r="I2293" s="111" t="n"/>
      <c r="J2293" s="217" t="inlineStr"/>
    </row>
    <row r="2294" ht="15.75" customHeight="1" s="305">
      <c r="A2294" s="215" t="n"/>
      <c r="B2294" s="115" t="n"/>
      <c r="C2294" s="67" t="n"/>
      <c r="D2294" s="3" t="n"/>
      <c r="E2294" s="3" t="n"/>
      <c r="F2294" s="217" t="n"/>
      <c r="G2294" t="inlineStr"/>
      <c r="H2294" t="inlineStr"/>
      <c r="I2294" s="111" t="n"/>
      <c r="J2294" s="217" t="inlineStr"/>
    </row>
    <row r="2295" ht="15.75" customHeight="1" s="305">
      <c r="A2295" s="215" t="n"/>
      <c r="B2295" s="115" t="n"/>
      <c r="C2295" s="67" t="n"/>
      <c r="D2295" s="3" t="n"/>
      <c r="E2295" s="3" t="n"/>
      <c r="F2295" s="217" t="n"/>
      <c r="G2295" t="inlineStr"/>
      <c r="H2295" t="inlineStr"/>
      <c r="I2295" s="111" t="n"/>
      <c r="J2295" s="217" t="inlineStr"/>
    </row>
    <row r="2296" ht="15.75" customHeight="1" s="305">
      <c r="A2296" s="215" t="n"/>
      <c r="B2296" s="115" t="n"/>
      <c r="C2296" s="67" t="n"/>
      <c r="D2296" s="3" t="n"/>
      <c r="E2296" s="3" t="n"/>
      <c r="F2296" s="217" t="n"/>
      <c r="G2296" t="inlineStr"/>
      <c r="H2296" t="inlineStr"/>
      <c r="I2296" s="111" t="n"/>
      <c r="J2296" s="217" t="inlineStr"/>
    </row>
    <row r="2297" ht="15.75" customHeight="1" s="305">
      <c r="A2297" s="215" t="n"/>
      <c r="B2297" s="115" t="n"/>
      <c r="C2297" s="67" t="n"/>
      <c r="D2297" s="3" t="n"/>
      <c r="E2297" s="3" t="n"/>
      <c r="F2297" s="217" t="n"/>
      <c r="G2297" t="inlineStr"/>
      <c r="H2297" t="inlineStr"/>
      <c r="I2297" s="111" t="n"/>
      <c r="J2297" s="217" t="inlineStr"/>
    </row>
    <row r="2298" ht="15.75" customHeight="1" s="305">
      <c r="A2298" s="215" t="n"/>
      <c r="B2298" s="115" t="n"/>
      <c r="C2298" s="67" t="n"/>
      <c r="D2298" s="3" t="n"/>
      <c r="E2298" s="3" t="n"/>
      <c r="F2298" s="217" t="n"/>
      <c r="G2298" t="inlineStr"/>
      <c r="H2298" t="inlineStr"/>
      <c r="I2298" s="111" t="n"/>
      <c r="J2298" s="217" t="inlineStr"/>
    </row>
    <row r="2299" ht="15.75" customHeight="1" s="305">
      <c r="A2299" s="215" t="n"/>
      <c r="B2299" s="115" t="n"/>
      <c r="C2299" s="67" t="n"/>
      <c r="D2299" s="3" t="n"/>
      <c r="E2299" s="3" t="n"/>
      <c r="F2299" s="217" t="n"/>
      <c r="G2299" t="inlineStr"/>
      <c r="H2299" t="inlineStr"/>
      <c r="I2299" s="111" t="n"/>
      <c r="J2299" s="217" t="inlineStr"/>
    </row>
    <row r="2300" ht="15.75" customHeight="1" s="305">
      <c r="A2300" s="215" t="n"/>
      <c r="B2300" s="115" t="n"/>
      <c r="C2300" s="67" t="n"/>
      <c r="D2300" s="3" t="n"/>
      <c r="E2300" s="3" t="n"/>
      <c r="F2300" s="217" t="n"/>
      <c r="G2300" t="inlineStr"/>
      <c r="H2300" t="inlineStr"/>
      <c r="I2300" s="111" t="n"/>
      <c r="J2300" s="217" t="inlineStr"/>
    </row>
    <row r="2301" ht="15.75" customHeight="1" s="305">
      <c r="A2301" s="215" t="n"/>
      <c r="B2301" s="115" t="n"/>
      <c r="C2301" s="67" t="n"/>
      <c r="D2301" s="3" t="n"/>
      <c r="E2301" s="3" t="n"/>
      <c r="F2301" s="217" t="n"/>
      <c r="G2301" t="inlineStr"/>
      <c r="H2301" t="inlineStr"/>
      <c r="I2301" s="111" t="n"/>
      <c r="J2301" s="217" t="inlineStr"/>
    </row>
    <row r="2302" ht="15.75" customHeight="1" s="305">
      <c r="A2302" s="215" t="n"/>
      <c r="B2302" s="115" t="n"/>
      <c r="C2302" s="67" t="n"/>
      <c r="D2302" s="3" t="n"/>
      <c r="E2302" s="3" t="n"/>
      <c r="F2302" s="217" t="n"/>
      <c r="G2302" t="inlineStr"/>
      <c r="H2302" t="inlineStr"/>
      <c r="I2302" s="111" t="n"/>
      <c r="J2302" s="217" t="inlineStr"/>
    </row>
    <row r="2303" ht="15.75" customHeight="1" s="305">
      <c r="A2303" s="215" t="n"/>
      <c r="B2303" s="115" t="n"/>
      <c r="C2303" s="67" t="n"/>
      <c r="D2303" s="3" t="n"/>
      <c r="E2303" s="3" t="n"/>
      <c r="F2303" s="217" t="n"/>
      <c r="G2303" t="inlineStr"/>
      <c r="H2303" t="inlineStr"/>
      <c r="I2303" s="111" t="n"/>
      <c r="J2303" s="217" t="inlineStr"/>
    </row>
    <row r="2304" ht="15.75" customHeight="1" s="305">
      <c r="A2304" s="215" t="n"/>
      <c r="B2304" s="115" t="n"/>
      <c r="C2304" s="67" t="n"/>
      <c r="D2304" s="3" t="n"/>
      <c r="E2304" s="3" t="n"/>
      <c r="F2304" s="217" t="n"/>
      <c r="G2304" t="inlineStr"/>
      <c r="H2304" t="inlineStr"/>
      <c r="I2304" s="111" t="n"/>
      <c r="J2304" s="217" t="inlineStr"/>
    </row>
    <row r="2305" ht="15.75" customHeight="1" s="305">
      <c r="A2305" s="215" t="n"/>
      <c r="B2305" s="115" t="n"/>
      <c r="C2305" s="67" t="n"/>
      <c r="D2305" s="3" t="n"/>
      <c r="E2305" s="3" t="n"/>
      <c r="F2305" s="217" t="n"/>
      <c r="G2305" t="inlineStr"/>
      <c r="H2305" t="inlineStr"/>
      <c r="I2305" s="111" t="n"/>
      <c r="J2305" s="217" t="inlineStr"/>
    </row>
    <row r="2306" ht="15.75" customHeight="1" s="305">
      <c r="A2306" s="215" t="n"/>
      <c r="B2306" s="115" t="n"/>
      <c r="C2306" s="67" t="n"/>
      <c r="D2306" s="3" t="n"/>
      <c r="E2306" s="3" t="n"/>
      <c r="F2306" s="217" t="n"/>
      <c r="G2306" t="inlineStr"/>
      <c r="H2306" t="inlineStr"/>
      <c r="I2306" s="111" t="n"/>
      <c r="J2306" s="217" t="inlineStr"/>
    </row>
    <row r="2307" ht="15.75" customHeight="1" s="305">
      <c r="A2307" s="215" t="n"/>
      <c r="B2307" s="115" t="n"/>
      <c r="C2307" s="67" t="n"/>
      <c r="D2307" s="3" t="n"/>
      <c r="E2307" s="3" t="n"/>
      <c r="F2307" s="217" t="n"/>
      <c r="G2307" t="inlineStr"/>
      <c r="H2307" t="inlineStr"/>
      <c r="I2307" s="111" t="n"/>
      <c r="J2307" s="217" t="inlineStr"/>
    </row>
    <row r="2308" ht="15.75" customHeight="1" s="305">
      <c r="A2308" s="215" t="n"/>
      <c r="B2308" s="115" t="n"/>
      <c r="C2308" s="67" t="n"/>
      <c r="D2308" s="3" t="n"/>
      <c r="E2308" s="3" t="n"/>
      <c r="F2308" s="217" t="n"/>
      <c r="G2308" t="inlineStr"/>
      <c r="H2308" t="inlineStr"/>
      <c r="I2308" s="111" t="n"/>
      <c r="J2308" s="217" t="inlineStr"/>
    </row>
    <row r="2309" ht="15.75" customHeight="1" s="305">
      <c r="A2309" s="215" t="n"/>
      <c r="B2309" s="115" t="n"/>
      <c r="C2309" s="67" t="n"/>
      <c r="D2309" s="3" t="n"/>
      <c r="E2309" s="3" t="n"/>
      <c r="F2309" s="217" t="n"/>
      <c r="G2309" t="inlineStr"/>
      <c r="H2309" t="inlineStr"/>
      <c r="I2309" s="111" t="n"/>
      <c r="J2309" s="217" t="inlineStr"/>
    </row>
    <row r="2310" ht="15.75" customHeight="1" s="305">
      <c r="A2310" s="215" t="n"/>
      <c r="B2310" s="115" t="n"/>
      <c r="C2310" s="67" t="n"/>
      <c r="D2310" s="3" t="n"/>
      <c r="E2310" s="3" t="n"/>
      <c r="F2310" s="217" t="n"/>
      <c r="G2310" t="inlineStr"/>
      <c r="H2310" t="inlineStr"/>
      <c r="I2310" s="111" t="n"/>
      <c r="J2310" s="217" t="inlineStr"/>
    </row>
    <row r="2311" ht="15.75" customHeight="1" s="305">
      <c r="A2311" s="215" t="n"/>
      <c r="B2311" s="115" t="n"/>
      <c r="C2311" s="67" t="n"/>
      <c r="D2311" s="3" t="n"/>
      <c r="E2311" s="3" t="n"/>
      <c r="F2311" s="217" t="n"/>
      <c r="G2311" t="inlineStr"/>
      <c r="H2311" t="inlineStr"/>
      <c r="I2311" s="111" t="n"/>
      <c r="J2311" s="217" t="inlineStr"/>
    </row>
    <row r="2312" ht="15.75" customHeight="1" s="305">
      <c r="A2312" s="215" t="n"/>
      <c r="B2312" s="115" t="n"/>
      <c r="C2312" s="67" t="n"/>
      <c r="D2312" s="3" t="n"/>
      <c r="E2312" s="3" t="n"/>
      <c r="F2312" s="217" t="n"/>
      <c r="G2312" t="inlineStr"/>
      <c r="H2312" t="inlineStr"/>
      <c r="I2312" s="111" t="n"/>
      <c r="J2312" s="217" t="inlineStr"/>
    </row>
    <row r="2313" ht="15.75" customHeight="1" s="305">
      <c r="A2313" s="215" t="n"/>
      <c r="B2313" s="115" t="n"/>
      <c r="C2313" s="67" t="n"/>
      <c r="D2313" s="3" t="n"/>
      <c r="E2313" s="3" t="n"/>
      <c r="F2313" s="217" t="n"/>
      <c r="G2313" t="inlineStr"/>
      <c r="H2313" t="inlineStr"/>
      <c r="I2313" s="111" t="n"/>
      <c r="J2313" s="217" t="inlineStr"/>
    </row>
    <row r="2314" ht="15.75" customHeight="1" s="305">
      <c r="A2314" s="215" t="n"/>
      <c r="B2314" s="115" t="n"/>
      <c r="C2314" s="67" t="n"/>
      <c r="D2314" s="3" t="n"/>
      <c r="E2314" s="3" t="n"/>
      <c r="F2314" s="217" t="n"/>
      <c r="G2314" t="inlineStr"/>
      <c r="H2314" t="inlineStr"/>
      <c r="I2314" s="111" t="n"/>
      <c r="J2314" s="217" t="inlineStr"/>
    </row>
    <row r="2315" ht="15.75" customHeight="1" s="305">
      <c r="A2315" s="215" t="n"/>
      <c r="B2315" s="115" t="n"/>
      <c r="C2315" s="67" t="n"/>
      <c r="D2315" s="3" t="n"/>
      <c r="E2315" s="3" t="n"/>
      <c r="F2315" s="217" t="n"/>
      <c r="G2315" t="inlineStr"/>
      <c r="H2315" t="inlineStr"/>
      <c r="I2315" s="111" t="n"/>
      <c r="J2315" s="217" t="inlineStr"/>
    </row>
    <row r="2316" ht="15.75" customHeight="1" s="305">
      <c r="A2316" s="215" t="n"/>
      <c r="B2316" s="115" t="n"/>
      <c r="C2316" s="67" t="n"/>
      <c r="D2316" s="3" t="n"/>
      <c r="E2316" s="3" t="n"/>
      <c r="F2316" s="217" t="n"/>
      <c r="G2316" t="inlineStr"/>
      <c r="H2316" t="inlineStr"/>
      <c r="I2316" s="111" t="n"/>
      <c r="J2316" s="217" t="inlineStr"/>
    </row>
    <row r="2317" ht="15.75" customHeight="1" s="305">
      <c r="A2317" s="215" t="n"/>
      <c r="B2317" s="115" t="n"/>
      <c r="C2317" s="67" t="n"/>
      <c r="D2317" s="3" t="n"/>
      <c r="E2317" s="3" t="n"/>
      <c r="F2317" s="217" t="n"/>
      <c r="G2317" t="inlineStr"/>
      <c r="H2317" t="inlineStr"/>
      <c r="I2317" s="111" t="n"/>
      <c r="J2317" s="217" t="inlineStr"/>
    </row>
    <row r="2318" ht="15.75" customHeight="1" s="305">
      <c r="A2318" s="215" t="n"/>
      <c r="B2318" s="115" t="n"/>
      <c r="C2318" s="67" t="n"/>
      <c r="D2318" s="3" t="n"/>
      <c r="E2318" s="3" t="n"/>
      <c r="F2318" s="217" t="n"/>
      <c r="G2318" t="inlineStr"/>
      <c r="H2318" t="inlineStr"/>
      <c r="I2318" s="111" t="n"/>
      <c r="J2318" s="217" t="inlineStr"/>
    </row>
    <row r="2319" ht="15.75" customHeight="1" s="305">
      <c r="A2319" s="215" t="n"/>
      <c r="B2319" s="115" t="n"/>
      <c r="C2319" s="67" t="n"/>
      <c r="D2319" s="3" t="n"/>
      <c r="E2319" s="3" t="n"/>
      <c r="F2319" s="217" t="n"/>
      <c r="G2319" t="inlineStr"/>
      <c r="H2319" t="inlineStr"/>
      <c r="I2319" s="111" t="n"/>
      <c r="J2319" s="217" t="inlineStr"/>
    </row>
    <row r="2320" ht="15.75" customHeight="1" s="305">
      <c r="A2320" s="215" t="n"/>
      <c r="B2320" s="115" t="n"/>
      <c r="C2320" s="67" t="n"/>
      <c r="D2320" s="3" t="n"/>
      <c r="E2320" s="3" t="n"/>
      <c r="F2320" s="217" t="n"/>
      <c r="G2320" t="inlineStr"/>
      <c r="H2320" t="inlineStr"/>
      <c r="I2320" s="111" t="n"/>
      <c r="J2320" s="217" t="inlineStr"/>
    </row>
    <row r="2321" ht="15.75" customHeight="1" s="305">
      <c r="A2321" s="215" t="n"/>
      <c r="B2321" s="115" t="n"/>
      <c r="C2321" s="67" t="n"/>
      <c r="D2321" s="3" t="n"/>
      <c r="E2321" s="3" t="n"/>
      <c r="F2321" s="217" t="n"/>
      <c r="G2321" t="inlineStr"/>
      <c r="H2321" t="inlineStr"/>
      <c r="I2321" s="111" t="n"/>
      <c r="J2321" s="217" t="inlineStr"/>
    </row>
    <row r="2322" ht="15.75" customHeight="1" s="305">
      <c r="A2322" s="215" t="n"/>
      <c r="B2322" s="115" t="n"/>
      <c r="C2322" s="67" t="n"/>
      <c r="D2322" s="3" t="n"/>
      <c r="E2322" s="3" t="n"/>
      <c r="F2322" s="217" t="n"/>
      <c r="G2322" t="inlineStr"/>
      <c r="H2322" t="inlineStr"/>
      <c r="I2322" s="111" t="n"/>
      <c r="J2322" s="217" t="inlineStr"/>
    </row>
    <row r="2323" ht="15.75" customHeight="1" s="305">
      <c r="A2323" s="215" t="n"/>
      <c r="B2323" s="115" t="n"/>
      <c r="C2323" s="67" t="n"/>
      <c r="D2323" s="3" t="n"/>
      <c r="E2323" s="3" t="n"/>
      <c r="F2323" s="217" t="n"/>
      <c r="G2323" t="inlineStr"/>
      <c r="H2323" t="inlineStr"/>
      <c r="I2323" s="111" t="n"/>
      <c r="J2323" s="217" t="inlineStr"/>
    </row>
    <row r="2324" ht="15.75" customHeight="1" s="305">
      <c r="A2324" s="215" t="n"/>
      <c r="B2324" s="115" t="n"/>
      <c r="C2324" s="67" t="n"/>
      <c r="D2324" s="3" t="n"/>
      <c r="E2324" s="3" t="n"/>
      <c r="F2324" s="217" t="n"/>
      <c r="G2324" t="inlineStr"/>
      <c r="H2324" t="inlineStr"/>
      <c r="I2324" s="111" t="n"/>
      <c r="J2324" s="217" t="inlineStr"/>
    </row>
    <row r="2325" ht="15.75" customHeight="1" s="305">
      <c r="A2325" s="215" t="n"/>
      <c r="B2325" s="115" t="n"/>
      <c r="C2325" s="67" t="n"/>
      <c r="D2325" s="3" t="n"/>
      <c r="E2325" s="3" t="n"/>
      <c r="F2325" s="217" t="n"/>
      <c r="G2325" t="inlineStr"/>
      <c r="H2325" t="inlineStr"/>
      <c r="I2325" s="111" t="n"/>
      <c r="J2325" s="217" t="inlineStr"/>
    </row>
    <row r="2326" ht="15.75" customHeight="1" s="305">
      <c r="A2326" s="215" t="n"/>
      <c r="B2326" s="115" t="n"/>
      <c r="C2326" s="67" t="n"/>
      <c r="D2326" s="3" t="n"/>
      <c r="E2326" s="3" t="n"/>
      <c r="F2326" s="217" t="n"/>
      <c r="G2326" t="inlineStr"/>
      <c r="H2326" t="inlineStr"/>
      <c r="I2326" s="111" t="n"/>
      <c r="J2326" s="217" t="inlineStr"/>
    </row>
    <row r="2327" ht="15.75" customHeight="1" s="305">
      <c r="A2327" s="215" t="n"/>
      <c r="B2327" s="115" t="n"/>
      <c r="C2327" s="67" t="n"/>
      <c r="D2327" s="3" t="n"/>
      <c r="E2327" s="3" t="n"/>
      <c r="F2327" s="217" t="n"/>
      <c r="G2327" t="inlineStr"/>
      <c r="H2327" t="inlineStr"/>
      <c r="I2327" s="111" t="n"/>
      <c r="J2327" s="217" t="inlineStr"/>
    </row>
    <row r="2328" ht="15.75" customHeight="1" s="305">
      <c r="A2328" s="215" t="n"/>
      <c r="B2328" s="115" t="n"/>
      <c r="C2328" s="67" t="n"/>
      <c r="D2328" s="3" t="n"/>
      <c r="E2328" s="3" t="n"/>
      <c r="F2328" s="217" t="n"/>
      <c r="G2328" t="inlineStr"/>
      <c r="H2328" t="inlineStr"/>
      <c r="I2328" s="111" t="n"/>
      <c r="J2328" s="217" t="inlineStr"/>
    </row>
    <row r="2329" ht="15.75" customHeight="1" s="305">
      <c r="A2329" s="215" t="n"/>
      <c r="B2329" s="115" t="n"/>
      <c r="C2329" s="67" t="n"/>
      <c r="D2329" s="3" t="n"/>
      <c r="E2329" s="3" t="n"/>
      <c r="F2329" s="217" t="n"/>
      <c r="G2329" t="inlineStr"/>
      <c r="H2329" t="inlineStr"/>
      <c r="I2329" s="111" t="n"/>
      <c r="J2329" s="217" t="inlineStr"/>
    </row>
    <row r="2330" ht="15.75" customHeight="1" s="305">
      <c r="A2330" s="215" t="n"/>
      <c r="B2330" s="115" t="n"/>
      <c r="C2330" s="67" t="n"/>
      <c r="D2330" s="3" t="n"/>
      <c r="E2330" s="3" t="n"/>
      <c r="F2330" s="217" t="n"/>
      <c r="G2330" t="inlineStr"/>
      <c r="H2330" t="inlineStr"/>
      <c r="I2330" s="111" t="n"/>
      <c r="J2330" s="217" t="inlineStr"/>
    </row>
    <row r="2331" ht="15.75" customHeight="1" s="305">
      <c r="A2331" s="215" t="n"/>
      <c r="B2331" s="115" t="n"/>
      <c r="C2331" s="67" t="n"/>
      <c r="D2331" s="3" t="n"/>
      <c r="E2331" s="3" t="n"/>
      <c r="F2331" s="217" t="n"/>
      <c r="G2331" t="inlineStr"/>
      <c r="H2331" t="inlineStr"/>
      <c r="I2331" s="111" t="n"/>
      <c r="J2331" s="217" t="inlineStr"/>
    </row>
    <row r="2332" ht="15.75" customHeight="1" s="305">
      <c r="A2332" s="215" t="n"/>
      <c r="B2332" s="115" t="n"/>
      <c r="C2332" s="67" t="n"/>
      <c r="D2332" s="3" t="n"/>
      <c r="E2332" s="3" t="n"/>
      <c r="F2332" s="217" t="n"/>
      <c r="G2332" t="inlineStr"/>
      <c r="H2332" t="inlineStr"/>
      <c r="I2332" s="111" t="n"/>
      <c r="J2332" s="217" t="inlineStr"/>
    </row>
    <row r="2333" ht="15.75" customHeight="1" s="305">
      <c r="A2333" s="215" t="n"/>
      <c r="B2333" s="115" t="n"/>
      <c r="C2333" s="67" t="n"/>
      <c r="D2333" s="3" t="n"/>
      <c r="E2333" s="3" t="n"/>
      <c r="F2333" s="217" t="n"/>
      <c r="G2333" t="inlineStr"/>
      <c r="H2333" t="inlineStr"/>
      <c r="I2333" s="111" t="n"/>
      <c r="J2333" s="217" t="inlineStr"/>
    </row>
    <row r="2334" ht="15.75" customHeight="1" s="305">
      <c r="A2334" s="215" t="n"/>
      <c r="B2334" s="115" t="n"/>
      <c r="C2334" s="67" t="n"/>
      <c r="D2334" s="3" t="n"/>
      <c r="E2334" s="3" t="n"/>
      <c r="F2334" s="217" t="n"/>
      <c r="G2334" t="inlineStr"/>
      <c r="H2334" t="inlineStr"/>
      <c r="I2334" s="111" t="n"/>
      <c r="J2334" s="217" t="inlineStr"/>
    </row>
    <row r="2335" ht="15.75" customHeight="1" s="305">
      <c r="A2335" s="215" t="n"/>
      <c r="B2335" s="115" t="n"/>
      <c r="C2335" s="67" t="n"/>
      <c r="D2335" s="3" t="n"/>
      <c r="E2335" s="3" t="n"/>
      <c r="F2335" s="217" t="n"/>
      <c r="G2335" t="inlineStr"/>
      <c r="H2335" t="inlineStr"/>
      <c r="I2335" s="111" t="n"/>
      <c r="J2335" s="217" t="inlineStr"/>
    </row>
    <row r="2336" ht="15.75" customHeight="1" s="305">
      <c r="A2336" s="215" t="n"/>
      <c r="B2336" s="115" t="n"/>
      <c r="C2336" s="67" t="n"/>
      <c r="D2336" s="3" t="n"/>
      <c r="E2336" s="3" t="n"/>
      <c r="F2336" s="217" t="n"/>
      <c r="G2336" t="inlineStr"/>
      <c r="H2336" t="inlineStr"/>
      <c r="I2336" s="111" t="n"/>
      <c r="J2336" s="217" t="inlineStr"/>
    </row>
    <row r="2337" ht="15.75" customHeight="1" s="305">
      <c r="A2337" s="215" t="n"/>
      <c r="B2337" s="115" t="n"/>
      <c r="C2337" s="67" t="n"/>
      <c r="D2337" s="3" t="n"/>
      <c r="E2337" s="3" t="n"/>
      <c r="F2337" s="217" t="n"/>
      <c r="G2337" t="inlineStr"/>
      <c r="H2337" t="inlineStr"/>
      <c r="I2337" s="111" t="n"/>
      <c r="J2337" s="217" t="inlineStr"/>
    </row>
    <row r="2338" ht="15.75" customHeight="1" s="305">
      <c r="A2338" s="215" t="n"/>
      <c r="B2338" s="115" t="n"/>
      <c r="C2338" s="67" t="n"/>
      <c r="D2338" s="3" t="n"/>
      <c r="E2338" s="3" t="n"/>
      <c r="F2338" s="217" t="n"/>
      <c r="G2338" t="inlineStr"/>
      <c r="H2338" t="inlineStr"/>
      <c r="I2338" s="111" t="n"/>
      <c r="J2338" s="217" t="inlineStr"/>
    </row>
    <row r="2339" ht="15.75" customHeight="1" s="305">
      <c r="A2339" s="215" t="n"/>
      <c r="B2339" s="115" t="n"/>
      <c r="C2339" s="67" t="n"/>
      <c r="D2339" s="3" t="n"/>
      <c r="E2339" s="3" t="n"/>
      <c r="F2339" s="217" t="n"/>
      <c r="G2339" t="inlineStr"/>
      <c r="H2339" t="inlineStr"/>
      <c r="I2339" s="111" t="n"/>
      <c r="J2339" s="217" t="inlineStr"/>
    </row>
    <row r="2340" ht="15.75" customHeight="1" s="305">
      <c r="A2340" s="215" t="n"/>
      <c r="B2340" s="115" t="n"/>
      <c r="C2340" s="67" t="n"/>
      <c r="D2340" s="3" t="n"/>
      <c r="E2340" s="3" t="n"/>
      <c r="F2340" s="217" t="n"/>
      <c r="G2340" t="inlineStr"/>
      <c r="H2340" t="inlineStr"/>
      <c r="I2340" s="111" t="n"/>
      <c r="J2340" s="217" t="inlineStr"/>
    </row>
    <row r="2341" ht="15.75" customHeight="1" s="305">
      <c r="A2341" s="215" t="n"/>
      <c r="B2341" s="115" t="n"/>
      <c r="C2341" s="67" t="n"/>
      <c r="D2341" s="3" t="n"/>
      <c r="E2341" s="3" t="n"/>
      <c r="F2341" s="217" t="n"/>
      <c r="G2341" t="inlineStr"/>
      <c r="H2341" t="inlineStr"/>
      <c r="I2341" s="111" t="n"/>
      <c r="J2341" s="217" t="inlineStr"/>
    </row>
    <row r="2342" ht="15.75" customHeight="1" s="305">
      <c r="A2342" s="215" t="n"/>
      <c r="B2342" s="115" t="n"/>
      <c r="C2342" s="67" t="n"/>
      <c r="D2342" s="3" t="n"/>
      <c r="E2342" s="3" t="n"/>
      <c r="F2342" s="217" t="n"/>
      <c r="G2342" t="inlineStr"/>
      <c r="H2342" t="inlineStr"/>
      <c r="I2342" s="111" t="n"/>
      <c r="J2342" s="217" t="inlineStr"/>
    </row>
    <row r="2343" ht="15.75" customHeight="1" s="305">
      <c r="A2343" s="215" t="n"/>
      <c r="B2343" s="115" t="n"/>
      <c r="C2343" s="67" t="n"/>
      <c r="D2343" s="3" t="n"/>
      <c r="E2343" s="3" t="n"/>
      <c r="F2343" s="217" t="n"/>
      <c r="G2343" t="inlineStr"/>
      <c r="H2343" t="inlineStr"/>
      <c r="I2343" s="111" t="n"/>
      <c r="J2343" s="217" t="inlineStr"/>
    </row>
    <row r="2344" ht="15.75" customHeight="1" s="305">
      <c r="A2344" s="215" t="n"/>
      <c r="B2344" s="115" t="n"/>
      <c r="C2344" s="67" t="n"/>
      <c r="D2344" s="3" t="n"/>
      <c r="E2344" s="3" t="n"/>
      <c r="F2344" s="217" t="n"/>
      <c r="G2344" t="inlineStr"/>
      <c r="H2344" t="inlineStr"/>
      <c r="I2344" s="111" t="n"/>
      <c r="J2344" s="217" t="inlineStr"/>
    </row>
    <row r="2345" ht="15.75" customHeight="1" s="305">
      <c r="A2345" s="215" t="n"/>
      <c r="B2345" s="115" t="n"/>
      <c r="C2345" s="67" t="n"/>
      <c r="D2345" s="3" t="n"/>
      <c r="E2345" s="3" t="n"/>
      <c r="F2345" s="217" t="n"/>
      <c r="G2345" t="inlineStr"/>
      <c r="H2345" t="inlineStr"/>
      <c r="I2345" s="111" t="n"/>
      <c r="J2345" s="217" t="inlineStr"/>
    </row>
    <row r="2346" ht="15.75" customHeight="1" s="305">
      <c r="A2346" s="215" t="n"/>
      <c r="B2346" s="115" t="n"/>
      <c r="C2346" s="67" t="n"/>
      <c r="D2346" s="3" t="n"/>
      <c r="E2346" s="3" t="n"/>
      <c r="F2346" s="217" t="n"/>
      <c r="G2346" t="inlineStr"/>
      <c r="H2346" t="inlineStr"/>
      <c r="I2346" s="111" t="n"/>
      <c r="J2346" s="217" t="inlineStr"/>
    </row>
    <row r="2347" ht="15.75" customHeight="1" s="305">
      <c r="A2347" s="215" t="n"/>
      <c r="B2347" s="115" t="n"/>
      <c r="C2347" s="67" t="n"/>
      <c r="D2347" s="3" t="n"/>
      <c r="E2347" s="3" t="n"/>
      <c r="F2347" s="217" t="n"/>
      <c r="G2347" t="inlineStr"/>
      <c r="H2347" t="inlineStr"/>
      <c r="I2347" s="111" t="n"/>
      <c r="J2347" s="217" t="inlineStr"/>
    </row>
    <row r="2348" ht="15.75" customHeight="1" s="305">
      <c r="A2348" s="215" t="n"/>
      <c r="B2348" s="115" t="n"/>
      <c r="C2348" s="67" t="n"/>
      <c r="D2348" s="3" t="n"/>
      <c r="E2348" s="3" t="n"/>
      <c r="F2348" s="217" t="n"/>
      <c r="G2348" t="inlineStr"/>
      <c r="H2348" t="inlineStr"/>
      <c r="I2348" s="111" t="n"/>
      <c r="J2348" s="217" t="inlineStr"/>
    </row>
    <row r="2349" ht="15.75" customHeight="1" s="305">
      <c r="A2349" s="215" t="n"/>
      <c r="B2349" s="115" t="n"/>
      <c r="C2349" s="67" t="n"/>
      <c r="D2349" s="3" t="n"/>
      <c r="E2349" s="3" t="n"/>
      <c r="F2349" s="217" t="n"/>
      <c r="G2349" t="inlineStr"/>
      <c r="H2349" t="inlineStr"/>
      <c r="I2349" s="111" t="n"/>
      <c r="J2349" s="217" t="inlineStr"/>
    </row>
    <row r="2350" ht="15.75" customHeight="1" s="305">
      <c r="A2350" s="215" t="n"/>
      <c r="B2350" s="115" t="n"/>
      <c r="C2350" s="67" t="n"/>
      <c r="D2350" s="3" t="n"/>
      <c r="E2350" s="3" t="n"/>
      <c r="F2350" s="217" t="n"/>
      <c r="G2350" t="inlineStr"/>
      <c r="H2350" t="inlineStr"/>
      <c r="I2350" s="111" t="n"/>
      <c r="J2350" s="217" t="inlineStr"/>
    </row>
    <row r="2351" ht="15.75" customHeight="1" s="305">
      <c r="A2351" s="215" t="n"/>
      <c r="B2351" s="115" t="n"/>
      <c r="C2351" s="67" t="n"/>
      <c r="D2351" s="3" t="n"/>
      <c r="E2351" s="3" t="n"/>
      <c r="F2351" s="217" t="n"/>
      <c r="G2351" t="inlineStr"/>
      <c r="H2351" t="inlineStr"/>
      <c r="I2351" s="111" t="n"/>
      <c r="J2351" s="217" t="inlineStr"/>
    </row>
    <row r="2352" ht="15.75" customHeight="1" s="305">
      <c r="A2352" s="215" t="n"/>
      <c r="B2352" s="115" t="n"/>
      <c r="C2352" s="67" t="n"/>
      <c r="D2352" s="3" t="n"/>
      <c r="E2352" s="3" t="n"/>
      <c r="F2352" s="217" t="n"/>
      <c r="G2352" t="inlineStr"/>
      <c r="H2352" t="inlineStr"/>
      <c r="I2352" s="111" t="n"/>
      <c r="J2352" s="217" t="inlineStr"/>
    </row>
    <row r="2353" ht="15.75" customHeight="1" s="305">
      <c r="A2353" s="215" t="n"/>
      <c r="B2353" s="115" t="n"/>
      <c r="C2353" s="67" t="n"/>
      <c r="D2353" s="3" t="n"/>
      <c r="E2353" s="3" t="n"/>
      <c r="F2353" s="217" t="n"/>
      <c r="G2353" t="inlineStr"/>
      <c r="H2353" t="inlineStr"/>
      <c r="I2353" s="111" t="n"/>
      <c r="J2353" s="217" t="inlineStr"/>
    </row>
    <row r="2354" ht="15.75" customHeight="1" s="305">
      <c r="A2354" s="215" t="n"/>
      <c r="B2354" s="115" t="n"/>
      <c r="C2354" s="67" t="n"/>
      <c r="D2354" s="3" t="n"/>
      <c r="E2354" s="3" t="n"/>
      <c r="F2354" s="217" t="n"/>
      <c r="G2354" t="inlineStr"/>
      <c r="H2354" t="inlineStr"/>
      <c r="I2354" s="111" t="n"/>
      <c r="J2354" s="217" t="inlineStr"/>
    </row>
    <row r="2355" ht="15.75" customHeight="1" s="305">
      <c r="A2355" s="215" t="n"/>
      <c r="B2355" s="115" t="n"/>
      <c r="C2355" s="67" t="n"/>
      <c r="D2355" s="3" t="n"/>
      <c r="E2355" s="3" t="n"/>
      <c r="F2355" s="217" t="n"/>
      <c r="G2355" t="inlineStr"/>
      <c r="H2355" t="inlineStr"/>
      <c r="I2355" s="111" t="n"/>
      <c r="J2355" s="217" t="inlineStr"/>
    </row>
    <row r="2356" ht="15.75" customHeight="1" s="305">
      <c r="A2356" s="215" t="n"/>
      <c r="B2356" s="115" t="n"/>
      <c r="C2356" s="67" t="n"/>
      <c r="D2356" s="3" t="n"/>
      <c r="E2356" s="3" t="n"/>
      <c r="F2356" s="217" t="n"/>
      <c r="G2356" t="inlineStr"/>
      <c r="H2356" t="inlineStr"/>
      <c r="I2356" s="111" t="n"/>
      <c r="J2356" s="217" t="inlineStr"/>
    </row>
    <row r="2357" ht="15.75" customHeight="1" s="305">
      <c r="A2357" s="215" t="n"/>
      <c r="B2357" s="115" t="n"/>
      <c r="C2357" s="67" t="n"/>
      <c r="D2357" s="3" t="n"/>
      <c r="E2357" s="3" t="n"/>
      <c r="F2357" s="217" t="n"/>
      <c r="G2357" t="inlineStr"/>
      <c r="H2357" t="inlineStr"/>
      <c r="I2357" s="111" t="n"/>
      <c r="J2357" s="217" t="inlineStr"/>
    </row>
    <row r="2358" ht="15.75" customHeight="1" s="305">
      <c r="A2358" s="215" t="n"/>
      <c r="B2358" s="115" t="n"/>
      <c r="C2358" s="67" t="n"/>
      <c r="D2358" s="3" t="n"/>
      <c r="E2358" s="3" t="n"/>
      <c r="F2358" s="217" t="n"/>
      <c r="G2358" t="inlineStr"/>
      <c r="H2358" t="inlineStr"/>
      <c r="I2358" s="111" t="n"/>
      <c r="J2358" s="217" t="inlineStr"/>
    </row>
    <row r="2359" ht="15.75" customHeight="1" s="305">
      <c r="A2359" s="215" t="n"/>
      <c r="B2359" s="115" t="n"/>
      <c r="C2359" s="67" t="n"/>
      <c r="D2359" s="3" t="n"/>
      <c r="E2359" s="3" t="n"/>
      <c r="F2359" s="217" t="n"/>
      <c r="G2359" t="inlineStr"/>
      <c r="H2359" t="inlineStr"/>
      <c r="I2359" s="111" t="n"/>
      <c r="J2359" s="217" t="inlineStr"/>
    </row>
    <row r="2360" ht="15.75" customHeight="1" s="305">
      <c r="A2360" s="215" t="n"/>
      <c r="B2360" s="115" t="n"/>
      <c r="C2360" s="67" t="n"/>
      <c r="D2360" s="3" t="n"/>
      <c r="E2360" s="3" t="n"/>
      <c r="F2360" s="217" t="n"/>
      <c r="G2360" t="inlineStr"/>
      <c r="H2360" t="inlineStr"/>
      <c r="I2360" s="111" t="n"/>
      <c r="J2360" s="217" t="inlineStr"/>
    </row>
    <row r="2361" ht="15.75" customHeight="1" s="305">
      <c r="A2361" s="215" t="n"/>
      <c r="B2361" s="115" t="n"/>
      <c r="C2361" s="67" t="n"/>
      <c r="D2361" s="3" t="n"/>
      <c r="E2361" s="3" t="n"/>
      <c r="F2361" s="217" t="n"/>
      <c r="G2361" t="inlineStr"/>
      <c r="H2361" t="inlineStr"/>
      <c r="I2361" s="111" t="n"/>
      <c r="J2361" s="217" t="inlineStr"/>
    </row>
    <row r="2362" ht="15.75" customHeight="1" s="305">
      <c r="A2362" s="215" t="n"/>
      <c r="B2362" s="115" t="n"/>
      <c r="C2362" s="67" t="n"/>
      <c r="D2362" s="3" t="n"/>
      <c r="E2362" s="3" t="n"/>
      <c r="F2362" s="217" t="n"/>
      <c r="G2362" t="inlineStr"/>
      <c r="H2362" t="inlineStr"/>
      <c r="I2362" s="111" t="n"/>
      <c r="J2362" s="217" t="inlineStr"/>
    </row>
    <row r="2363" ht="15.75" customHeight="1" s="305">
      <c r="A2363" s="215" t="n"/>
      <c r="B2363" s="115" t="n"/>
      <c r="C2363" s="67" t="n"/>
      <c r="D2363" s="3" t="n"/>
      <c r="E2363" s="3" t="n"/>
      <c r="F2363" s="217" t="n"/>
      <c r="G2363" t="inlineStr"/>
      <c r="H2363" t="inlineStr"/>
      <c r="I2363" s="111" t="n"/>
      <c r="J2363" s="217" t="inlineStr"/>
    </row>
    <row r="2364" ht="15.75" customHeight="1" s="305">
      <c r="A2364" s="215" t="n"/>
      <c r="B2364" s="115" t="n"/>
      <c r="C2364" s="67" t="n"/>
      <c r="D2364" s="3" t="n"/>
      <c r="E2364" s="3" t="n"/>
      <c r="F2364" s="217" t="n"/>
      <c r="G2364" t="inlineStr"/>
      <c r="H2364" t="inlineStr"/>
      <c r="I2364" s="111" t="n"/>
      <c r="J2364" s="217" t="inlineStr"/>
    </row>
    <row r="2365" ht="15.75" customHeight="1" s="305">
      <c r="A2365" s="215" t="n"/>
      <c r="B2365" s="115" t="n"/>
      <c r="C2365" s="67" t="n"/>
      <c r="D2365" s="3" t="n"/>
      <c r="E2365" s="3" t="n"/>
      <c r="F2365" s="217" t="n"/>
      <c r="G2365" t="inlineStr"/>
      <c r="H2365" t="inlineStr"/>
      <c r="I2365" s="111" t="n"/>
      <c r="J2365" s="217" t="inlineStr"/>
    </row>
    <row r="2366" ht="15.75" customHeight="1" s="305">
      <c r="A2366" s="215" t="n"/>
      <c r="B2366" s="115" t="n"/>
      <c r="C2366" s="67" t="n"/>
      <c r="D2366" s="3" t="n"/>
      <c r="E2366" s="3" t="n"/>
      <c r="F2366" s="217" t="n"/>
      <c r="G2366" t="inlineStr"/>
      <c r="H2366" t="inlineStr"/>
      <c r="I2366" s="111" t="n"/>
      <c r="J2366" s="217" t="inlineStr"/>
    </row>
    <row r="2367" ht="15.75" customHeight="1" s="305">
      <c r="A2367" s="215" t="n"/>
      <c r="B2367" s="115" t="n"/>
      <c r="C2367" s="67" t="n"/>
      <c r="D2367" s="3" t="n"/>
      <c r="E2367" s="3" t="n"/>
      <c r="F2367" s="217" t="n"/>
      <c r="G2367" t="inlineStr"/>
      <c r="H2367" t="inlineStr"/>
      <c r="I2367" s="111" t="n"/>
      <c r="J2367" s="217" t="inlineStr"/>
    </row>
    <row r="2368" ht="15.75" customHeight="1" s="305">
      <c r="A2368" s="215" t="n"/>
      <c r="B2368" s="115" t="n"/>
      <c r="C2368" s="67" t="n"/>
      <c r="D2368" s="3" t="n"/>
      <c r="E2368" s="3" t="n"/>
      <c r="F2368" s="217" t="n"/>
      <c r="G2368" t="inlineStr"/>
      <c r="H2368" t="inlineStr"/>
      <c r="I2368" s="111" t="n"/>
      <c r="J2368" s="217" t="inlineStr"/>
    </row>
    <row r="2369" ht="15.75" customHeight="1" s="305">
      <c r="A2369" s="215" t="n"/>
      <c r="B2369" s="115" t="n"/>
      <c r="C2369" s="67" t="n"/>
      <c r="D2369" s="3" t="n"/>
      <c r="E2369" s="3" t="n"/>
      <c r="F2369" s="217" t="n"/>
      <c r="G2369" t="inlineStr"/>
      <c r="H2369" t="inlineStr"/>
      <c r="I2369" s="111" t="n"/>
      <c r="J2369" s="217" t="inlineStr"/>
    </row>
    <row r="2370" ht="15.75" customHeight="1" s="305">
      <c r="A2370" s="215" t="n"/>
      <c r="B2370" s="115" t="n"/>
      <c r="C2370" s="67" t="n"/>
      <c r="D2370" s="3" t="n"/>
      <c r="E2370" s="3" t="n"/>
      <c r="F2370" s="217" t="n"/>
      <c r="G2370" t="inlineStr"/>
      <c r="H2370" t="inlineStr"/>
      <c r="I2370" s="111" t="n"/>
      <c r="J2370" s="217" t="inlineStr"/>
    </row>
    <row r="2371" ht="15.75" customHeight="1" s="305">
      <c r="A2371" s="215" t="n"/>
      <c r="B2371" s="115" t="n"/>
      <c r="C2371" s="67" t="n"/>
      <c r="D2371" s="3" t="n"/>
      <c r="E2371" s="3" t="n"/>
      <c r="F2371" s="217" t="n"/>
      <c r="G2371" t="inlineStr"/>
      <c r="H2371" t="inlineStr"/>
      <c r="I2371" s="111" t="n"/>
      <c r="J2371" s="217" t="inlineStr"/>
    </row>
    <row r="2372" ht="15.75" customHeight="1" s="305">
      <c r="A2372" s="215" t="n"/>
      <c r="B2372" s="115" t="n"/>
      <c r="C2372" s="67" t="n"/>
      <c r="D2372" s="3" t="n"/>
      <c r="E2372" s="3" t="n"/>
      <c r="F2372" s="217" t="n"/>
      <c r="G2372" t="inlineStr"/>
      <c r="H2372" t="inlineStr"/>
      <c r="I2372" s="111" t="n"/>
      <c r="J2372" s="217" t="inlineStr"/>
    </row>
    <row r="2373" ht="15.75" customHeight="1" s="305">
      <c r="A2373" s="215" t="n"/>
      <c r="B2373" s="115" t="n"/>
      <c r="C2373" s="67" t="n"/>
      <c r="D2373" s="3" t="n"/>
      <c r="E2373" s="3" t="n"/>
      <c r="F2373" s="217" t="n"/>
      <c r="G2373" t="inlineStr"/>
      <c r="H2373" t="inlineStr"/>
      <c r="I2373" s="111" t="n"/>
      <c r="J2373" s="217" t="inlineStr"/>
    </row>
    <row r="2374" ht="15.75" customHeight="1" s="305">
      <c r="A2374" s="215" t="n"/>
      <c r="B2374" s="115" t="n"/>
      <c r="C2374" s="67" t="n"/>
      <c r="D2374" s="3" t="n"/>
      <c r="E2374" s="3" t="n"/>
      <c r="F2374" s="217" t="n"/>
      <c r="G2374" t="inlineStr"/>
      <c r="H2374" t="inlineStr"/>
      <c r="I2374" s="111" t="n"/>
      <c r="J2374" s="217" t="inlineStr"/>
    </row>
    <row r="2375" ht="15.75" customHeight="1" s="305">
      <c r="A2375" s="215" t="n"/>
      <c r="B2375" s="115" t="n"/>
      <c r="C2375" s="67" t="n"/>
      <c r="D2375" s="3" t="n"/>
      <c r="E2375" s="3" t="n"/>
      <c r="F2375" s="217" t="n"/>
      <c r="G2375" t="inlineStr"/>
      <c r="H2375" t="inlineStr"/>
      <c r="I2375" s="111" t="n"/>
      <c r="J2375" s="217" t="inlineStr"/>
    </row>
    <row r="2376" ht="15.75" customHeight="1" s="305">
      <c r="A2376" s="215" t="n"/>
      <c r="B2376" s="115" t="n"/>
      <c r="C2376" s="67" t="n"/>
      <c r="D2376" s="3" t="n"/>
      <c r="E2376" s="3" t="n"/>
      <c r="F2376" s="217" t="n"/>
      <c r="G2376" t="inlineStr"/>
      <c r="H2376" t="inlineStr"/>
      <c r="I2376" s="111" t="n"/>
      <c r="J2376" s="217" t="inlineStr"/>
    </row>
    <row r="2377" ht="15.75" customHeight="1" s="305">
      <c r="A2377" s="215" t="n"/>
      <c r="B2377" s="115" t="n"/>
      <c r="C2377" s="67" t="n"/>
      <c r="D2377" s="3" t="n"/>
      <c r="E2377" s="3" t="n"/>
      <c r="F2377" s="217" t="n"/>
      <c r="G2377" t="inlineStr"/>
      <c r="H2377" t="inlineStr"/>
      <c r="I2377" s="111" t="n"/>
      <c r="J2377" s="217" t="inlineStr"/>
    </row>
    <row r="2378" ht="15.75" customHeight="1" s="305">
      <c r="A2378" s="215" t="n"/>
      <c r="B2378" s="115" t="n"/>
      <c r="C2378" s="67" t="n"/>
      <c r="D2378" s="3" t="n"/>
      <c r="E2378" s="3" t="n"/>
      <c r="F2378" s="217" t="n"/>
      <c r="G2378" t="inlineStr"/>
      <c r="H2378" t="inlineStr"/>
      <c r="I2378" s="111" t="n"/>
      <c r="J2378" s="217" t="inlineStr"/>
    </row>
    <row r="2379" ht="15.75" customHeight="1" s="305">
      <c r="A2379" s="215" t="n"/>
      <c r="B2379" s="115" t="n"/>
      <c r="C2379" s="67" t="n"/>
      <c r="D2379" s="3" t="n"/>
      <c r="E2379" s="3" t="n"/>
      <c r="F2379" s="217" t="n"/>
      <c r="G2379" t="inlineStr"/>
      <c r="H2379" t="inlineStr"/>
      <c r="I2379" s="111" t="n"/>
      <c r="J2379" s="217" t="inlineStr"/>
    </row>
    <row r="2380" ht="15.75" customHeight="1" s="305">
      <c r="A2380" s="215" t="n"/>
      <c r="B2380" s="115" t="n"/>
      <c r="C2380" s="67" t="n"/>
      <c r="D2380" s="3" t="n"/>
      <c r="E2380" s="3" t="n"/>
      <c r="F2380" s="217" t="n"/>
      <c r="G2380" t="inlineStr"/>
      <c r="H2380" t="inlineStr"/>
      <c r="I2380" s="111" t="n"/>
      <c r="J2380" s="217" t="inlineStr"/>
    </row>
    <row r="2381" ht="15.75" customHeight="1" s="305">
      <c r="A2381" s="215" t="n"/>
      <c r="B2381" s="115" t="n"/>
      <c r="C2381" s="67" t="n"/>
      <c r="D2381" s="3" t="n"/>
      <c r="E2381" s="3" t="n"/>
      <c r="F2381" s="217" t="n"/>
      <c r="G2381" t="inlineStr"/>
      <c r="H2381" t="inlineStr"/>
      <c r="I2381" s="111" t="n"/>
      <c r="J2381" s="217" t="inlineStr"/>
    </row>
    <row r="2382" ht="15.75" customHeight="1" s="305">
      <c r="A2382" s="215" t="n"/>
      <c r="B2382" s="115" t="n"/>
      <c r="C2382" s="67" t="n"/>
      <c r="D2382" s="3" t="n"/>
      <c r="E2382" s="3" t="n"/>
      <c r="F2382" s="217" t="n"/>
      <c r="G2382" t="inlineStr"/>
      <c r="H2382" t="inlineStr"/>
      <c r="I2382" s="111" t="n"/>
      <c r="J2382" s="217" t="inlineStr"/>
    </row>
    <row r="2383" ht="15.75" customHeight="1" s="305">
      <c r="A2383" s="215" t="n"/>
      <c r="B2383" s="115" t="n"/>
      <c r="C2383" s="67" t="n"/>
      <c r="D2383" s="3" t="n"/>
      <c r="E2383" s="3" t="n"/>
      <c r="F2383" s="217" t="n"/>
      <c r="G2383" t="inlineStr"/>
      <c r="H2383" t="inlineStr"/>
      <c r="I2383" s="111" t="n"/>
      <c r="J2383" s="217" t="inlineStr"/>
    </row>
    <row r="2384" ht="15.75" customHeight="1" s="305">
      <c r="A2384" s="215" t="n"/>
      <c r="B2384" s="115" t="n"/>
      <c r="C2384" s="67" t="n"/>
      <c r="D2384" s="3" t="n"/>
      <c r="E2384" s="3" t="n"/>
      <c r="F2384" s="217" t="n"/>
      <c r="G2384" t="inlineStr"/>
      <c r="H2384" t="inlineStr"/>
      <c r="I2384" s="111" t="n"/>
      <c r="J2384" s="217" t="inlineStr"/>
    </row>
    <row r="2385" ht="15.75" customHeight="1" s="305">
      <c r="A2385" s="215" t="n"/>
      <c r="B2385" s="115" t="n"/>
      <c r="C2385" s="67" t="n"/>
      <c r="D2385" s="3" t="n"/>
      <c r="E2385" s="3" t="n"/>
      <c r="F2385" s="217" t="n"/>
      <c r="G2385" t="inlineStr"/>
      <c r="H2385" t="inlineStr"/>
      <c r="I2385" s="111" t="n"/>
      <c r="J2385" s="217" t="inlineStr"/>
    </row>
    <row r="2386" ht="15.75" customHeight="1" s="305">
      <c r="A2386" s="215" t="n"/>
      <c r="B2386" s="115" t="n"/>
      <c r="C2386" s="67" t="n"/>
      <c r="D2386" s="3" t="n"/>
      <c r="E2386" s="3" t="n"/>
      <c r="F2386" s="217" t="n"/>
      <c r="G2386" t="inlineStr"/>
      <c r="H2386" t="inlineStr"/>
      <c r="I2386" s="111" t="n"/>
      <c r="J2386" s="217" t="inlineStr"/>
    </row>
    <row r="2387" ht="15.75" customHeight="1" s="305">
      <c r="A2387" s="215" t="n"/>
      <c r="B2387" s="115" t="n"/>
      <c r="C2387" s="67" t="n"/>
      <c r="D2387" s="3" t="n"/>
      <c r="E2387" s="3" t="n"/>
      <c r="F2387" s="217" t="n"/>
      <c r="G2387" t="inlineStr"/>
      <c r="H2387" t="inlineStr"/>
      <c r="I2387" s="111" t="n"/>
      <c r="J2387" s="217" t="inlineStr"/>
    </row>
    <row r="2388" ht="15.75" customHeight="1" s="305">
      <c r="A2388" s="215" t="n"/>
      <c r="B2388" s="115" t="n"/>
      <c r="C2388" s="67" t="n"/>
      <c r="D2388" s="3" t="n"/>
      <c r="E2388" s="3" t="n"/>
      <c r="F2388" s="217" t="n"/>
      <c r="G2388" t="inlineStr"/>
      <c r="H2388" t="inlineStr"/>
      <c r="I2388" s="111" t="n"/>
      <c r="J2388" s="217" t="inlineStr"/>
    </row>
    <row r="2389" ht="15.75" customHeight="1" s="305">
      <c r="A2389" s="215" t="n"/>
      <c r="B2389" s="115" t="n"/>
      <c r="C2389" s="67" t="n"/>
      <c r="D2389" s="3" t="n"/>
      <c r="E2389" s="3" t="n"/>
      <c r="F2389" s="217" t="n"/>
      <c r="G2389" t="inlineStr"/>
      <c r="H2389" t="inlineStr"/>
      <c r="I2389" s="111" t="n"/>
      <c r="J2389" s="217" t="inlineStr"/>
    </row>
    <row r="2390" ht="15.75" customHeight="1" s="305">
      <c r="A2390" s="215" t="n"/>
      <c r="B2390" s="115" t="n"/>
      <c r="C2390" s="67" t="n"/>
      <c r="D2390" s="3" t="n"/>
      <c r="E2390" s="3" t="n"/>
      <c r="F2390" s="217" t="n"/>
      <c r="G2390" t="inlineStr"/>
      <c r="H2390" t="inlineStr"/>
      <c r="I2390" s="111" t="n"/>
      <c r="J2390" s="217" t="inlineStr"/>
    </row>
    <row r="2391" ht="15.75" customHeight="1" s="305">
      <c r="A2391" s="215" t="n"/>
      <c r="B2391" s="115" t="n"/>
      <c r="C2391" s="67" t="n"/>
      <c r="D2391" s="3" t="n"/>
      <c r="E2391" s="3" t="n"/>
      <c r="F2391" s="217" t="n"/>
      <c r="G2391" t="inlineStr"/>
      <c r="H2391" t="inlineStr"/>
      <c r="I2391" s="111" t="n"/>
      <c r="J2391" s="217" t="inlineStr"/>
    </row>
    <row r="2392" ht="15.75" customHeight="1" s="305">
      <c r="A2392" s="215" t="n"/>
      <c r="B2392" s="115" t="n"/>
      <c r="C2392" s="67" t="n"/>
      <c r="D2392" s="3" t="n"/>
      <c r="E2392" s="3" t="n"/>
      <c r="F2392" s="217" t="n"/>
      <c r="G2392" t="inlineStr"/>
      <c r="H2392" t="inlineStr"/>
      <c r="I2392" s="111" t="n"/>
      <c r="J2392" s="217" t="inlineStr"/>
    </row>
    <row r="2393" ht="15.75" customHeight="1" s="305">
      <c r="A2393" s="215" t="n"/>
      <c r="B2393" s="115" t="n"/>
      <c r="C2393" s="67" t="n"/>
      <c r="D2393" s="3" t="n"/>
      <c r="E2393" s="3" t="n"/>
      <c r="F2393" s="217" t="n"/>
      <c r="G2393" t="inlineStr"/>
      <c r="H2393" t="inlineStr"/>
      <c r="I2393" s="111" t="n"/>
      <c r="J2393" s="217" t="inlineStr"/>
    </row>
    <row r="2394" ht="15.75" customHeight="1" s="305">
      <c r="A2394" s="215" t="n"/>
      <c r="B2394" s="115" t="n"/>
      <c r="C2394" s="67" t="n"/>
      <c r="D2394" s="3" t="n"/>
      <c r="E2394" s="3" t="n"/>
      <c r="F2394" s="217" t="n"/>
      <c r="G2394" t="inlineStr"/>
      <c r="H2394" t="inlineStr"/>
      <c r="I2394" s="111" t="n"/>
      <c r="J2394" s="217" t="inlineStr"/>
    </row>
    <row r="2395" ht="15.75" customHeight="1" s="305">
      <c r="A2395" s="215" t="n"/>
      <c r="B2395" s="115" t="n"/>
      <c r="C2395" s="67" t="n"/>
      <c r="D2395" s="3" t="n"/>
      <c r="E2395" s="3" t="n"/>
      <c r="F2395" s="217" t="n"/>
      <c r="G2395" t="inlineStr"/>
      <c r="H2395" t="inlineStr"/>
      <c r="I2395" s="111" t="n"/>
      <c r="J2395" s="217" t="inlineStr"/>
    </row>
    <row r="2396" ht="15.75" customHeight="1" s="305">
      <c r="A2396" s="215" t="n"/>
      <c r="B2396" s="115" t="n"/>
      <c r="C2396" s="67" t="n"/>
      <c r="D2396" s="3" t="n"/>
      <c r="E2396" s="3" t="n"/>
      <c r="F2396" s="217" t="n"/>
      <c r="G2396" t="inlineStr"/>
      <c r="H2396" t="inlineStr"/>
      <c r="I2396" s="111" t="n"/>
      <c r="J2396" s="217" t="inlineStr"/>
    </row>
    <row r="2397" ht="15.75" customHeight="1" s="305">
      <c r="A2397" s="215" t="n"/>
      <c r="B2397" s="115" t="n"/>
      <c r="C2397" s="67" t="n"/>
      <c r="D2397" s="3" t="n"/>
      <c r="E2397" s="3" t="n"/>
      <c r="F2397" s="217" t="n"/>
      <c r="G2397" t="inlineStr"/>
      <c r="H2397" t="inlineStr"/>
      <c r="I2397" s="111" t="n"/>
      <c r="J2397" s="217" t="inlineStr"/>
    </row>
    <row r="2398" ht="15.75" customHeight="1" s="305">
      <c r="A2398" s="215" t="n"/>
      <c r="B2398" s="115" t="n"/>
      <c r="C2398" s="67" t="n"/>
      <c r="D2398" s="3" t="n"/>
      <c r="E2398" s="3" t="n"/>
      <c r="F2398" s="217" t="n"/>
      <c r="G2398" t="inlineStr"/>
      <c r="H2398" t="inlineStr"/>
      <c r="I2398" s="111" t="n"/>
      <c r="J2398" s="217" t="inlineStr"/>
    </row>
    <row r="2399" ht="15.75" customHeight="1" s="305">
      <c r="A2399" s="215" t="n"/>
      <c r="B2399" s="115" t="n"/>
      <c r="C2399" s="67" t="n"/>
      <c r="D2399" s="3" t="n"/>
      <c r="E2399" s="3" t="n"/>
      <c r="F2399" s="217" t="n"/>
      <c r="G2399" t="inlineStr"/>
      <c r="H2399" t="inlineStr"/>
      <c r="I2399" s="111" t="n"/>
      <c r="J2399" s="217" t="inlineStr"/>
    </row>
    <row r="2400" ht="15.75" customHeight="1" s="305">
      <c r="A2400" s="215" t="n"/>
      <c r="B2400" s="115" t="n"/>
      <c r="C2400" s="67" t="n"/>
      <c r="D2400" s="3" t="n"/>
      <c r="E2400" s="3" t="n"/>
      <c r="F2400" s="217" t="n"/>
      <c r="G2400" t="inlineStr"/>
      <c r="H2400" t="inlineStr"/>
      <c r="I2400" s="111" t="n"/>
      <c r="J2400" s="217" t="inlineStr"/>
    </row>
    <row r="2401" ht="15.75" customHeight="1" s="305">
      <c r="A2401" s="215" t="n"/>
      <c r="B2401" s="115" t="n"/>
      <c r="C2401" s="67" t="n"/>
      <c r="D2401" s="3" t="n"/>
      <c r="E2401" s="3" t="n"/>
      <c r="F2401" s="217" t="n"/>
      <c r="G2401" t="inlineStr"/>
      <c r="H2401" t="inlineStr"/>
      <c r="I2401" s="111" t="n"/>
      <c r="J2401" s="217" t="inlineStr"/>
    </row>
    <row r="2402" ht="15.75" customHeight="1" s="305">
      <c r="A2402" s="215" t="n"/>
      <c r="B2402" s="115" t="n"/>
      <c r="C2402" s="67" t="n"/>
      <c r="D2402" s="3" t="n"/>
      <c r="E2402" s="3" t="n"/>
      <c r="F2402" s="217" t="n"/>
      <c r="G2402" t="inlineStr"/>
      <c r="H2402" t="inlineStr"/>
      <c r="I2402" s="111" t="n"/>
      <c r="J2402" s="217" t="inlineStr"/>
    </row>
    <row r="2403" ht="15.75" customHeight="1" s="305">
      <c r="A2403" s="215" t="n"/>
      <c r="B2403" s="115" t="n"/>
      <c r="C2403" s="67" t="n"/>
      <c r="D2403" s="3" t="n"/>
      <c r="E2403" s="3" t="n"/>
      <c r="F2403" s="217" t="n"/>
      <c r="G2403" t="inlineStr"/>
      <c r="H2403" t="inlineStr"/>
      <c r="I2403" s="111" t="n"/>
      <c r="J2403" s="217" t="inlineStr"/>
    </row>
    <row r="2404" ht="15.75" customHeight="1" s="305">
      <c r="A2404" s="215" t="n"/>
      <c r="B2404" s="115" t="n"/>
      <c r="C2404" s="67" t="n"/>
      <c r="D2404" s="3" t="n"/>
      <c r="E2404" s="3" t="n"/>
      <c r="F2404" s="217" t="n"/>
      <c r="G2404" t="inlineStr"/>
      <c r="H2404" t="inlineStr"/>
      <c r="I2404" s="111" t="n"/>
      <c r="J2404" s="217" t="inlineStr"/>
    </row>
    <row r="2405" ht="15.75" customHeight="1" s="305">
      <c r="A2405" s="215" t="n"/>
      <c r="B2405" s="115" t="n"/>
      <c r="C2405" s="67" t="n"/>
      <c r="D2405" s="3" t="n"/>
      <c r="E2405" s="3" t="n"/>
      <c r="F2405" s="217" t="n"/>
      <c r="G2405" t="inlineStr"/>
      <c r="H2405" t="inlineStr"/>
      <c r="I2405" s="111" t="n"/>
      <c r="J2405" s="217" t="inlineStr"/>
    </row>
    <row r="2406" ht="15.75" customHeight="1" s="305">
      <c r="A2406" s="215" t="n"/>
      <c r="B2406" s="115" t="n"/>
      <c r="C2406" s="67" t="n"/>
      <c r="D2406" s="3" t="n"/>
      <c r="E2406" s="3" t="n"/>
      <c r="F2406" s="217" t="n"/>
      <c r="G2406" t="inlineStr"/>
      <c r="H2406" t="inlineStr"/>
      <c r="I2406" s="111" t="n"/>
      <c r="J2406" s="217" t="inlineStr"/>
    </row>
    <row r="2407" ht="15.75" customHeight="1" s="305">
      <c r="A2407" s="215" t="n"/>
      <c r="B2407" s="115" t="n"/>
      <c r="C2407" s="67" t="n"/>
      <c r="D2407" s="3" t="n"/>
      <c r="E2407" s="3" t="n"/>
      <c r="F2407" s="217" t="n"/>
      <c r="G2407" t="inlineStr"/>
      <c r="H2407" t="inlineStr"/>
      <c r="I2407" s="111" t="n"/>
      <c r="J2407" s="217" t="inlineStr"/>
    </row>
    <row r="2408" ht="15.75" customHeight="1" s="305">
      <c r="A2408" s="215" t="n"/>
      <c r="B2408" s="115" t="n"/>
      <c r="C2408" s="67" t="n"/>
      <c r="D2408" s="3" t="n"/>
      <c r="E2408" s="3" t="n"/>
      <c r="F2408" s="217" t="n"/>
      <c r="G2408" t="inlineStr"/>
      <c r="H2408" t="inlineStr"/>
      <c r="I2408" s="111" t="n"/>
      <c r="J2408" s="217" t="inlineStr"/>
    </row>
    <row r="2409" ht="15.75" customHeight="1" s="305">
      <c r="A2409" s="215" t="n"/>
      <c r="B2409" s="115" t="n"/>
      <c r="C2409" s="67" t="n"/>
      <c r="D2409" s="3" t="n"/>
      <c r="E2409" s="3" t="n"/>
      <c r="F2409" s="217" t="n"/>
      <c r="G2409" t="inlineStr"/>
      <c r="H2409" t="inlineStr"/>
      <c r="I2409" s="111" t="n"/>
      <c r="J2409" s="217" t="inlineStr"/>
    </row>
    <row r="2410" ht="15.75" customHeight="1" s="305">
      <c r="A2410" s="215" t="n"/>
      <c r="B2410" s="115" t="n"/>
      <c r="C2410" s="67" t="n"/>
      <c r="D2410" s="3" t="n"/>
      <c r="E2410" s="3" t="n"/>
      <c r="F2410" s="217" t="n"/>
      <c r="G2410" t="inlineStr"/>
      <c r="H2410" t="inlineStr"/>
      <c r="I2410" s="111" t="n"/>
      <c r="J2410" s="217" t="inlineStr"/>
    </row>
    <row r="2411" ht="15.75" customHeight="1" s="305">
      <c r="A2411" s="215" t="n"/>
      <c r="B2411" s="115" t="n"/>
      <c r="C2411" s="67" t="n"/>
      <c r="D2411" s="3" t="n"/>
      <c r="E2411" s="3" t="n"/>
      <c r="F2411" s="217" t="n"/>
      <c r="G2411" t="inlineStr"/>
      <c r="H2411" t="inlineStr"/>
      <c r="I2411" s="111" t="n"/>
      <c r="J2411" s="217" t="inlineStr"/>
    </row>
    <row r="2412" ht="15.75" customHeight="1" s="305">
      <c r="A2412" s="215" t="n"/>
      <c r="B2412" s="115" t="n"/>
      <c r="C2412" s="67" t="n"/>
      <c r="D2412" s="3" t="n"/>
      <c r="E2412" s="3" t="n"/>
      <c r="F2412" s="217" t="n"/>
      <c r="G2412" t="inlineStr"/>
      <c r="H2412" t="inlineStr"/>
      <c r="I2412" s="111" t="n"/>
      <c r="J2412" s="217" t="inlineStr"/>
    </row>
    <row r="2413" ht="15.75" customHeight="1" s="305">
      <c r="A2413" s="215" t="n"/>
      <c r="B2413" s="115" t="n"/>
      <c r="C2413" s="67" t="n"/>
      <c r="D2413" s="3" t="n"/>
      <c r="E2413" s="3" t="n"/>
      <c r="F2413" s="217" t="n"/>
      <c r="G2413" t="inlineStr"/>
      <c r="H2413" t="inlineStr"/>
      <c r="I2413" s="111" t="n"/>
      <c r="J2413" s="217" t="inlineStr"/>
    </row>
    <row r="2414" ht="15.75" customHeight="1" s="305">
      <c r="A2414" s="215" t="n"/>
      <c r="B2414" s="115" t="n"/>
      <c r="C2414" s="67" t="n"/>
      <c r="D2414" s="3" t="n"/>
      <c r="E2414" s="3" t="n"/>
      <c r="F2414" s="217" t="n"/>
      <c r="G2414" t="inlineStr"/>
      <c r="H2414" t="inlineStr"/>
      <c r="I2414" s="111" t="n"/>
      <c r="J2414" s="217" t="inlineStr"/>
    </row>
    <row r="2415" ht="15.75" customHeight="1" s="305">
      <c r="A2415" s="215" t="n"/>
      <c r="B2415" s="115" t="n"/>
      <c r="C2415" s="67" t="n"/>
      <c r="D2415" s="3" t="n"/>
      <c r="E2415" s="3" t="n"/>
      <c r="F2415" s="217" t="n"/>
      <c r="G2415" t="inlineStr"/>
      <c r="H2415" t="inlineStr"/>
      <c r="I2415" s="111" t="n"/>
      <c r="J2415" s="217" t="inlineStr"/>
    </row>
    <row r="2416" ht="15.75" customHeight="1" s="305">
      <c r="A2416" s="215" t="n"/>
      <c r="B2416" s="115" t="n"/>
      <c r="C2416" s="67" t="n"/>
      <c r="D2416" s="3" t="n"/>
      <c r="E2416" s="3" t="n"/>
      <c r="F2416" s="217" t="n"/>
      <c r="G2416" t="inlineStr"/>
      <c r="H2416" t="inlineStr"/>
      <c r="I2416" s="111" t="n"/>
      <c r="J2416" s="217" t="inlineStr"/>
    </row>
    <row r="2417" ht="15.75" customHeight="1" s="305">
      <c r="A2417" s="215" t="n"/>
      <c r="B2417" s="115" t="n"/>
      <c r="C2417" s="67" t="n"/>
      <c r="D2417" s="3" t="n"/>
      <c r="E2417" s="3" t="n"/>
      <c r="F2417" s="217" t="n"/>
      <c r="G2417" t="inlineStr"/>
      <c r="H2417" t="inlineStr"/>
      <c r="I2417" s="111" t="n"/>
      <c r="J2417" s="217" t="inlineStr"/>
    </row>
    <row r="2418" ht="15.75" customHeight="1" s="305">
      <c r="A2418" s="215" t="n"/>
      <c r="B2418" s="115" t="n"/>
      <c r="C2418" s="67" t="n"/>
      <c r="D2418" s="3" t="n"/>
      <c r="E2418" s="3" t="n"/>
      <c r="F2418" s="217" t="n"/>
      <c r="G2418" t="inlineStr"/>
      <c r="H2418" t="inlineStr"/>
      <c r="I2418" s="111" t="n"/>
      <c r="J2418" s="217" t="inlineStr"/>
    </row>
    <row r="2419" ht="15.75" customHeight="1" s="305">
      <c r="A2419" s="215" t="n"/>
      <c r="B2419" s="115" t="n"/>
      <c r="C2419" s="67" t="n"/>
      <c r="D2419" s="3" t="n"/>
      <c r="E2419" s="3" t="n"/>
      <c r="F2419" s="217" t="n"/>
      <c r="G2419" t="inlineStr"/>
      <c r="H2419" t="inlineStr"/>
      <c r="I2419" s="111" t="n"/>
      <c r="J2419" s="217" t="inlineStr"/>
    </row>
    <row r="2420" ht="15.75" customHeight="1" s="305">
      <c r="A2420" s="215" t="n"/>
      <c r="B2420" s="115" t="n"/>
      <c r="C2420" s="67" t="n"/>
      <c r="D2420" s="3" t="n"/>
      <c r="E2420" s="3" t="n"/>
      <c r="F2420" s="217" t="n"/>
      <c r="G2420" t="inlineStr"/>
      <c r="H2420" t="inlineStr"/>
      <c r="I2420" s="111" t="n"/>
      <c r="J2420" s="217" t="inlineStr"/>
    </row>
    <row r="2421" ht="15.75" customHeight="1" s="305">
      <c r="A2421" s="215" t="n"/>
      <c r="B2421" s="115" t="n"/>
      <c r="C2421" s="67" t="n"/>
      <c r="D2421" s="3" t="n"/>
      <c r="E2421" s="3" t="n"/>
      <c r="F2421" s="217" t="n"/>
      <c r="G2421" t="inlineStr"/>
      <c r="H2421" t="inlineStr"/>
      <c r="I2421" s="111" t="n"/>
      <c r="J2421" s="217" t="inlineStr"/>
    </row>
    <row r="2422" ht="15.75" customHeight="1" s="305">
      <c r="A2422" s="215" t="n"/>
      <c r="B2422" s="115" t="n"/>
      <c r="C2422" s="67" t="n"/>
      <c r="D2422" s="3" t="n"/>
      <c r="E2422" s="3" t="n"/>
      <c r="F2422" s="217" t="n"/>
      <c r="G2422" t="inlineStr"/>
      <c r="H2422" t="inlineStr"/>
      <c r="I2422" s="111" t="n"/>
      <c r="J2422" s="217" t="inlineStr"/>
    </row>
    <row r="2423" ht="15.75" customHeight="1" s="305">
      <c r="A2423" s="215" t="n"/>
      <c r="B2423" s="115" t="n"/>
      <c r="C2423" s="67" t="n"/>
      <c r="D2423" s="3" t="n"/>
      <c r="E2423" s="3" t="n"/>
      <c r="F2423" s="217" t="n"/>
      <c r="G2423" t="inlineStr"/>
      <c r="H2423" t="inlineStr"/>
      <c r="I2423" s="111" t="n"/>
      <c r="J2423" s="217" t="inlineStr"/>
    </row>
    <row r="2424" ht="15.75" customHeight="1" s="305">
      <c r="A2424" s="215" t="n"/>
      <c r="B2424" s="115" t="n"/>
      <c r="C2424" s="67" t="n"/>
      <c r="D2424" s="3" t="n"/>
      <c r="E2424" s="3" t="n"/>
      <c r="F2424" s="217" t="n"/>
      <c r="G2424" t="inlineStr"/>
      <c r="H2424" t="inlineStr"/>
      <c r="I2424" s="111" t="n"/>
      <c r="J2424" s="217" t="inlineStr"/>
    </row>
    <row r="2425" ht="15.75" customHeight="1" s="305">
      <c r="A2425" s="215" t="n"/>
      <c r="B2425" s="115" t="n"/>
      <c r="C2425" s="67" t="n"/>
      <c r="D2425" s="3" t="n"/>
      <c r="E2425" s="3" t="n"/>
      <c r="F2425" s="217" t="n"/>
      <c r="G2425" t="inlineStr"/>
      <c r="H2425" t="inlineStr"/>
      <c r="I2425" s="111" t="n"/>
      <c r="J2425" s="217" t="inlineStr"/>
    </row>
    <row r="2426" ht="15.75" customHeight="1" s="305">
      <c r="A2426" s="215" t="n"/>
      <c r="B2426" s="115" t="n"/>
      <c r="C2426" s="67" t="n"/>
      <c r="D2426" s="3" t="n"/>
      <c r="E2426" s="3" t="n"/>
      <c r="F2426" s="217" t="n"/>
      <c r="G2426" t="inlineStr"/>
      <c r="H2426" t="inlineStr"/>
      <c r="I2426" s="111" t="n"/>
      <c r="J2426" s="217" t="inlineStr"/>
    </row>
    <row r="2427" ht="15.75" customHeight="1" s="305">
      <c r="A2427" s="215" t="n"/>
      <c r="B2427" s="115" t="n"/>
      <c r="C2427" s="67" t="n"/>
      <c r="D2427" s="3" t="n"/>
      <c r="E2427" s="3" t="n"/>
      <c r="F2427" s="217" t="n"/>
      <c r="G2427" t="inlineStr"/>
      <c r="H2427" t="inlineStr"/>
      <c r="I2427" s="111" t="n"/>
      <c r="J2427" s="217" t="inlineStr"/>
    </row>
    <row r="2428" ht="15.75" customHeight="1" s="305">
      <c r="A2428" s="215" t="n"/>
      <c r="B2428" s="115" t="n"/>
      <c r="C2428" s="67" t="n"/>
      <c r="D2428" s="3" t="n"/>
      <c r="E2428" s="3" t="n"/>
      <c r="F2428" s="217" t="n"/>
      <c r="G2428" t="inlineStr"/>
      <c r="H2428" t="inlineStr"/>
      <c r="I2428" s="111" t="n"/>
      <c r="J2428" s="217" t="inlineStr"/>
    </row>
    <row r="2429" ht="15.75" customHeight="1" s="305">
      <c r="A2429" s="215" t="n"/>
      <c r="B2429" s="115" t="n"/>
      <c r="C2429" s="67" t="n"/>
      <c r="D2429" s="3" t="n"/>
      <c r="E2429" s="3" t="n"/>
      <c r="F2429" s="217" t="n"/>
      <c r="G2429" t="inlineStr"/>
      <c r="H2429" t="inlineStr"/>
      <c r="I2429" s="111" t="n"/>
      <c r="J2429" s="217" t="inlineStr"/>
    </row>
    <row r="2430" ht="15.75" customHeight="1" s="305">
      <c r="A2430" s="215" t="n"/>
      <c r="B2430" s="115" t="n"/>
      <c r="C2430" s="67" t="n"/>
      <c r="D2430" s="3" t="n"/>
      <c r="E2430" s="3" t="n"/>
      <c r="F2430" s="217" t="n"/>
      <c r="G2430" t="inlineStr"/>
      <c r="H2430" t="inlineStr"/>
      <c r="I2430" s="111" t="n"/>
      <c r="J2430" s="217" t="inlineStr"/>
    </row>
    <row r="2431" ht="15.75" customHeight="1" s="305">
      <c r="A2431" s="215" t="n"/>
      <c r="B2431" s="115" t="n"/>
      <c r="C2431" s="67" t="n"/>
      <c r="D2431" s="3" t="n"/>
      <c r="E2431" s="3" t="n"/>
      <c r="F2431" s="217" t="n"/>
      <c r="G2431" t="inlineStr"/>
      <c r="H2431" t="inlineStr"/>
      <c r="I2431" s="111" t="n"/>
      <c r="J2431" s="217" t="inlineStr"/>
    </row>
    <row r="2432" ht="15.75" customHeight="1" s="305">
      <c r="A2432" s="215" t="n"/>
      <c r="B2432" s="115" t="n"/>
      <c r="C2432" s="67" t="n"/>
      <c r="D2432" s="3" t="n"/>
      <c r="E2432" s="3" t="n"/>
      <c r="F2432" s="217" t="n"/>
      <c r="G2432" t="inlineStr"/>
      <c r="H2432" t="inlineStr"/>
      <c r="I2432" s="111" t="n"/>
      <c r="J2432" s="217" t="inlineStr"/>
    </row>
    <row r="2433" ht="15.75" customHeight="1" s="305">
      <c r="A2433" s="215" t="n"/>
      <c r="B2433" s="115" t="n"/>
      <c r="C2433" s="67" t="n"/>
      <c r="D2433" s="3" t="n"/>
      <c r="E2433" s="3" t="n"/>
      <c r="F2433" s="217" t="n"/>
      <c r="G2433" t="inlineStr"/>
      <c r="H2433" t="inlineStr"/>
      <c r="I2433" s="111" t="n"/>
      <c r="J2433" s="217" t="inlineStr"/>
    </row>
    <row r="2434" ht="15.75" customHeight="1" s="305">
      <c r="A2434" s="215" t="n"/>
      <c r="B2434" s="115" t="n"/>
      <c r="C2434" s="67" t="n"/>
      <c r="D2434" s="3" t="n"/>
      <c r="E2434" s="3" t="n"/>
      <c r="F2434" s="217" t="n"/>
      <c r="G2434" t="inlineStr"/>
      <c r="H2434" t="inlineStr"/>
      <c r="I2434" s="111" t="n"/>
      <c r="J2434" s="217" t="inlineStr"/>
    </row>
    <row r="2435" ht="15.75" customHeight="1" s="305">
      <c r="A2435" s="215" t="n"/>
      <c r="B2435" s="115" t="n"/>
      <c r="C2435" s="67" t="n"/>
      <c r="D2435" s="3" t="n"/>
      <c r="E2435" s="3" t="n"/>
      <c r="F2435" s="217" t="n"/>
      <c r="G2435" t="inlineStr"/>
      <c r="H2435" t="inlineStr"/>
      <c r="I2435" s="111" t="n"/>
      <c r="J2435" s="217" t="inlineStr"/>
    </row>
    <row r="2436" ht="15.75" customHeight="1" s="305">
      <c r="A2436" s="215" t="n"/>
      <c r="B2436" s="115" t="n"/>
      <c r="C2436" s="67" t="n"/>
      <c r="D2436" s="3" t="n"/>
      <c r="E2436" s="3" t="n"/>
      <c r="F2436" s="217" t="n"/>
      <c r="G2436" t="inlineStr"/>
      <c r="H2436" t="inlineStr"/>
      <c r="I2436" s="111" t="n"/>
      <c r="J2436" s="217" t="inlineStr"/>
    </row>
    <row r="2437" ht="15.75" customHeight="1" s="305">
      <c r="A2437" s="215" t="n"/>
      <c r="B2437" s="115" t="n"/>
      <c r="C2437" s="67" t="n"/>
      <c r="D2437" s="3" t="n"/>
      <c r="E2437" s="3" t="n"/>
      <c r="F2437" s="217" t="n"/>
      <c r="G2437" t="inlineStr"/>
      <c r="H2437" t="inlineStr"/>
      <c r="I2437" s="111" t="n"/>
      <c r="J2437" s="217" t="inlineStr"/>
    </row>
    <row r="2438" ht="15.75" customHeight="1" s="305">
      <c r="A2438" s="215" t="n"/>
      <c r="B2438" s="115" t="n"/>
      <c r="C2438" s="67" t="n"/>
      <c r="D2438" s="3" t="n"/>
      <c r="E2438" s="3" t="n"/>
      <c r="F2438" s="217" t="n"/>
      <c r="G2438" t="inlineStr"/>
      <c r="H2438" t="inlineStr"/>
      <c r="I2438" s="111" t="n"/>
      <c r="J2438" s="217" t="inlineStr"/>
    </row>
    <row r="2439" ht="15.75" customHeight="1" s="305">
      <c r="A2439" s="215" t="n"/>
      <c r="B2439" s="115" t="n"/>
      <c r="C2439" s="67" t="n"/>
      <c r="D2439" s="3" t="n"/>
      <c r="E2439" s="3" t="n"/>
      <c r="F2439" s="217" t="n"/>
      <c r="G2439" t="inlineStr"/>
      <c r="H2439" t="inlineStr"/>
      <c r="I2439" s="111" t="n"/>
      <c r="J2439" s="217" t="inlineStr"/>
    </row>
    <row r="2440" ht="15.75" customHeight="1" s="305">
      <c r="A2440" s="215" t="n"/>
      <c r="B2440" s="115" t="n"/>
      <c r="C2440" s="67" t="n"/>
      <c r="D2440" s="3" t="n"/>
      <c r="E2440" s="3" t="n"/>
      <c r="F2440" s="217" t="n"/>
      <c r="G2440" t="inlineStr"/>
      <c r="H2440" t="inlineStr"/>
      <c r="I2440" s="111" t="n"/>
      <c r="J2440" s="217" t="inlineStr"/>
    </row>
    <row r="2441" ht="15.75" customHeight="1" s="305">
      <c r="A2441" s="215" t="n"/>
      <c r="B2441" s="115" t="n"/>
      <c r="C2441" s="67" t="n"/>
      <c r="D2441" s="3" t="n"/>
      <c r="E2441" s="3" t="n"/>
      <c r="F2441" s="217" t="n"/>
      <c r="G2441" t="inlineStr"/>
      <c r="H2441" t="inlineStr"/>
      <c r="I2441" s="111" t="n"/>
      <c r="J2441" s="217" t="inlineStr"/>
    </row>
    <row r="2442" ht="15.75" customHeight="1" s="305">
      <c r="A2442" s="215" t="n"/>
      <c r="B2442" s="115" t="n"/>
      <c r="C2442" s="67" t="n"/>
      <c r="D2442" s="3" t="n"/>
      <c r="E2442" s="3" t="n"/>
      <c r="F2442" s="217" t="n"/>
      <c r="G2442" t="inlineStr"/>
      <c r="H2442" t="inlineStr"/>
      <c r="I2442" s="111" t="n"/>
      <c r="J2442" s="217" t="inlineStr"/>
    </row>
    <row r="2443" ht="15.75" customHeight="1" s="305">
      <c r="A2443" s="215" t="n"/>
      <c r="B2443" s="115" t="n"/>
      <c r="C2443" s="67" t="n"/>
      <c r="D2443" s="3" t="n"/>
      <c r="E2443" s="3" t="n"/>
      <c r="F2443" s="217" t="n"/>
      <c r="G2443" t="inlineStr"/>
      <c r="H2443" t="inlineStr"/>
      <c r="I2443" s="111" t="n"/>
      <c r="J2443" s="217" t="inlineStr"/>
    </row>
    <row r="2444" ht="15.75" customHeight="1" s="305">
      <c r="A2444" s="215" t="n"/>
      <c r="B2444" s="115" t="n"/>
      <c r="C2444" s="67" t="n"/>
      <c r="D2444" s="3" t="n"/>
      <c r="E2444" s="3" t="n"/>
      <c r="F2444" s="217" t="n"/>
      <c r="G2444" t="inlineStr"/>
      <c r="H2444" t="inlineStr"/>
      <c r="I2444" s="111" t="n"/>
      <c r="J2444" s="217" t="inlineStr"/>
    </row>
    <row r="2445" ht="15.75" customHeight="1" s="305">
      <c r="A2445" s="215" t="n"/>
      <c r="B2445" s="115" t="n"/>
      <c r="C2445" s="67" t="n"/>
      <c r="D2445" s="3" t="n"/>
      <c r="E2445" s="3" t="n"/>
      <c r="F2445" s="217" t="n"/>
      <c r="G2445" t="inlineStr"/>
      <c r="H2445" t="inlineStr"/>
      <c r="I2445" s="111" t="n"/>
      <c r="J2445" s="217" t="inlineStr"/>
    </row>
    <row r="2446" ht="15.75" customHeight="1" s="305">
      <c r="A2446" s="215" t="n"/>
      <c r="B2446" s="115" t="n"/>
      <c r="C2446" s="67" t="n"/>
      <c r="D2446" s="3" t="n"/>
      <c r="E2446" s="3" t="n"/>
      <c r="F2446" s="217" t="n"/>
      <c r="G2446" t="inlineStr"/>
      <c r="H2446" t="inlineStr"/>
      <c r="I2446" s="111" t="n"/>
      <c r="J2446" s="217" t="inlineStr"/>
    </row>
    <row r="2447" ht="15.75" customHeight="1" s="305">
      <c r="A2447" s="215" t="n"/>
      <c r="B2447" s="115" t="n"/>
      <c r="C2447" s="67" t="n"/>
      <c r="D2447" s="3" t="n"/>
      <c r="E2447" s="3" t="n"/>
      <c r="F2447" s="217" t="n"/>
      <c r="G2447" t="inlineStr"/>
      <c r="H2447" t="inlineStr"/>
      <c r="I2447" s="111" t="n"/>
      <c r="J2447" s="217" t="inlineStr"/>
    </row>
    <row r="2448" ht="15.75" customHeight="1" s="305">
      <c r="A2448" s="215" t="n"/>
      <c r="B2448" s="115" t="n"/>
      <c r="C2448" s="67" t="n"/>
      <c r="D2448" s="3" t="n"/>
      <c r="E2448" s="3" t="n"/>
      <c r="F2448" s="217" t="n"/>
      <c r="G2448" t="inlineStr"/>
      <c r="H2448" t="inlineStr"/>
      <c r="I2448" s="111" t="n"/>
      <c r="J2448" s="217" t="inlineStr"/>
    </row>
    <row r="2449" ht="15.75" customHeight="1" s="305">
      <c r="A2449" s="215" t="n"/>
      <c r="B2449" s="115" t="n"/>
      <c r="C2449" s="67" t="n"/>
      <c r="D2449" s="3" t="n"/>
      <c r="E2449" s="3" t="n"/>
      <c r="F2449" s="217" t="n"/>
      <c r="G2449" t="inlineStr"/>
      <c r="H2449" t="inlineStr"/>
      <c r="I2449" s="111" t="n"/>
      <c r="J2449" s="217" t="inlineStr"/>
    </row>
    <row r="2450" ht="15.75" customHeight="1" s="305">
      <c r="A2450" s="215" t="n"/>
      <c r="B2450" s="115" t="n"/>
      <c r="C2450" s="67" t="n"/>
      <c r="D2450" s="3" t="n"/>
      <c r="E2450" s="3" t="n"/>
      <c r="F2450" s="217" t="n"/>
      <c r="G2450" t="inlineStr"/>
      <c r="H2450" t="inlineStr"/>
      <c r="I2450" s="111" t="n"/>
      <c r="J2450" s="217" t="inlineStr"/>
    </row>
    <row r="2451" ht="15.75" customHeight="1" s="305">
      <c r="A2451" s="215" t="n"/>
      <c r="B2451" s="115" t="n"/>
      <c r="C2451" s="67" t="n"/>
      <c r="D2451" s="3" t="n"/>
      <c r="E2451" s="3" t="n"/>
      <c r="F2451" s="217" t="n"/>
      <c r="G2451" t="inlineStr"/>
      <c r="H2451" t="inlineStr"/>
      <c r="I2451" s="111" t="n"/>
      <c r="J2451" s="217" t="inlineStr"/>
    </row>
    <row r="2452" ht="15.75" customHeight="1" s="305">
      <c r="A2452" s="215" t="n"/>
      <c r="B2452" s="115" t="n"/>
      <c r="C2452" s="67" t="n"/>
      <c r="D2452" s="3" t="n"/>
      <c r="E2452" s="3" t="n"/>
      <c r="F2452" s="217" t="n"/>
      <c r="G2452" t="inlineStr"/>
      <c r="H2452" t="inlineStr"/>
      <c r="I2452" s="111" t="n"/>
      <c r="J2452" s="217" t="inlineStr"/>
    </row>
    <row r="2453" ht="15.75" customHeight="1" s="305">
      <c r="A2453" s="215" t="n"/>
      <c r="B2453" s="115" t="n"/>
      <c r="C2453" s="67" t="n"/>
      <c r="D2453" s="3" t="n"/>
      <c r="E2453" s="3" t="n"/>
      <c r="F2453" s="217" t="n"/>
      <c r="G2453" t="inlineStr"/>
      <c r="H2453" t="inlineStr"/>
      <c r="I2453" s="111" t="n"/>
      <c r="J2453" s="217" t="inlineStr"/>
    </row>
    <row r="2454" ht="15.75" customHeight="1" s="305">
      <c r="A2454" s="215" t="n"/>
      <c r="B2454" s="115" t="n"/>
      <c r="C2454" s="67" t="n"/>
      <c r="D2454" s="3" t="n"/>
      <c r="E2454" s="3" t="n"/>
      <c r="F2454" s="217" t="n"/>
      <c r="G2454" t="inlineStr"/>
      <c r="H2454" t="inlineStr"/>
      <c r="I2454" s="111" t="n"/>
      <c r="J2454" s="217" t="inlineStr"/>
    </row>
    <row r="2455" ht="15.75" customHeight="1" s="305">
      <c r="A2455" s="215" t="n"/>
      <c r="B2455" s="115" t="n"/>
      <c r="C2455" s="67" t="n"/>
      <c r="D2455" s="3" t="n"/>
      <c r="E2455" s="3" t="n"/>
      <c r="F2455" s="217" t="n"/>
      <c r="G2455" t="inlineStr"/>
      <c r="H2455" t="inlineStr"/>
      <c r="I2455" s="111" t="n"/>
      <c r="J2455" s="217" t="inlineStr"/>
    </row>
    <row r="2456" ht="15.75" customHeight="1" s="305">
      <c r="A2456" s="215" t="n"/>
      <c r="B2456" s="115" t="n"/>
      <c r="C2456" s="67" t="n"/>
      <c r="D2456" s="3" t="n"/>
      <c r="E2456" s="3" t="n"/>
      <c r="F2456" s="217" t="n"/>
      <c r="G2456" t="inlineStr"/>
      <c r="H2456" t="inlineStr"/>
      <c r="I2456" s="111" t="n"/>
      <c r="J2456" s="217" t="inlineStr"/>
    </row>
    <row r="2457" ht="15.75" customHeight="1" s="305">
      <c r="A2457" s="215" t="n"/>
      <c r="B2457" s="115" t="n"/>
      <c r="C2457" s="67" t="n"/>
      <c r="D2457" s="3" t="n"/>
      <c r="E2457" s="3" t="n"/>
      <c r="F2457" s="217" t="n"/>
      <c r="G2457" t="inlineStr"/>
      <c r="H2457" t="inlineStr"/>
      <c r="I2457" s="111" t="n"/>
      <c r="J2457" s="217" t="inlineStr"/>
    </row>
    <row r="2458" ht="15.75" customHeight="1" s="305">
      <c r="A2458" s="215" t="n"/>
      <c r="B2458" s="115" t="n"/>
      <c r="C2458" s="67" t="n"/>
      <c r="D2458" s="3" t="n"/>
      <c r="E2458" s="3" t="n"/>
      <c r="F2458" s="217" t="n"/>
      <c r="G2458" t="inlineStr"/>
      <c r="H2458" t="inlineStr"/>
      <c r="I2458" s="111" t="n"/>
      <c r="J2458" s="217" t="inlineStr"/>
    </row>
    <row r="2459" ht="15.75" customHeight="1" s="305">
      <c r="A2459" s="215" t="n"/>
      <c r="B2459" s="115" t="n"/>
      <c r="C2459" s="67" t="n"/>
      <c r="D2459" s="3" t="n"/>
      <c r="E2459" s="3" t="n"/>
      <c r="F2459" s="217" t="n"/>
      <c r="G2459" t="inlineStr"/>
      <c r="H2459" t="inlineStr"/>
      <c r="I2459" s="111" t="n"/>
      <c r="J2459" s="217" t="inlineStr"/>
    </row>
    <row r="2460" ht="15.75" customHeight="1" s="305">
      <c r="A2460" s="215" t="n"/>
      <c r="B2460" s="115" t="n"/>
      <c r="C2460" s="67" t="n"/>
      <c r="D2460" s="3" t="n"/>
      <c r="E2460" s="3" t="n"/>
      <c r="F2460" s="217" t="n"/>
      <c r="G2460" t="inlineStr"/>
      <c r="H2460" t="inlineStr"/>
      <c r="I2460" s="111" t="n"/>
      <c r="J2460" s="217" t="inlineStr"/>
    </row>
    <row r="2461" ht="15.75" customHeight="1" s="305">
      <c r="A2461" s="215" t="n"/>
      <c r="B2461" s="115" t="n"/>
      <c r="C2461" s="67" t="n"/>
      <c r="D2461" s="3" t="n"/>
      <c r="E2461" s="3" t="n"/>
      <c r="F2461" s="217" t="n"/>
      <c r="G2461" t="inlineStr"/>
      <c r="H2461" t="inlineStr"/>
      <c r="I2461" s="111" t="n"/>
      <c r="J2461" s="217" t="inlineStr"/>
    </row>
    <row r="2462" ht="15.75" customHeight="1" s="305">
      <c r="A2462" s="215" t="n"/>
      <c r="B2462" s="115" t="n"/>
      <c r="C2462" s="67" t="n"/>
      <c r="D2462" s="3" t="n"/>
      <c r="E2462" s="3" t="n"/>
      <c r="F2462" s="217" t="n"/>
      <c r="G2462" t="inlineStr"/>
      <c r="H2462" t="inlineStr"/>
      <c r="I2462" s="111" t="n"/>
      <c r="J2462" s="217" t="inlineStr"/>
    </row>
    <row r="2463" ht="15.75" customHeight="1" s="305">
      <c r="A2463" s="215" t="n"/>
      <c r="B2463" s="115" t="n"/>
      <c r="C2463" s="67" t="n"/>
      <c r="D2463" s="3" t="n"/>
      <c r="E2463" s="3" t="n"/>
      <c r="F2463" s="217" t="n"/>
      <c r="G2463" t="inlineStr"/>
      <c r="H2463" t="inlineStr"/>
      <c r="I2463" s="111" t="n"/>
      <c r="J2463" s="217" t="inlineStr"/>
    </row>
    <row r="2464" ht="15.75" customHeight="1" s="305">
      <c r="A2464" s="215" t="n"/>
      <c r="B2464" s="115" t="n"/>
      <c r="C2464" s="67" t="n"/>
      <c r="D2464" s="3" t="n"/>
      <c r="E2464" s="3" t="n"/>
      <c r="F2464" s="217" t="n"/>
      <c r="G2464" t="inlineStr"/>
      <c r="H2464" t="inlineStr"/>
      <c r="I2464" s="111" t="n"/>
      <c r="J2464" s="217" t="inlineStr"/>
    </row>
    <row r="2465" ht="15.75" customHeight="1" s="305">
      <c r="A2465" s="215" t="n"/>
      <c r="B2465" s="115" t="n"/>
      <c r="C2465" s="67" t="n"/>
      <c r="D2465" s="3" t="n"/>
      <c r="E2465" s="3" t="n"/>
      <c r="F2465" s="217" t="n"/>
      <c r="G2465" t="inlineStr"/>
      <c r="H2465" t="inlineStr"/>
      <c r="I2465" s="111" t="n"/>
      <c r="J2465" s="217" t="inlineStr"/>
    </row>
    <row r="2466" ht="15.75" customHeight="1" s="305">
      <c r="A2466" s="215" t="n"/>
      <c r="B2466" s="115" t="n"/>
      <c r="C2466" s="67" t="n"/>
      <c r="D2466" s="3" t="n"/>
      <c r="E2466" s="3" t="n"/>
      <c r="F2466" s="217" t="n"/>
      <c r="G2466" t="inlineStr"/>
      <c r="H2466" t="inlineStr"/>
      <c r="I2466" s="111" t="n"/>
      <c r="J2466" s="217" t="inlineStr"/>
    </row>
    <row r="2467" ht="15.75" customHeight="1" s="305">
      <c r="A2467" s="215" t="n"/>
      <c r="B2467" s="115" t="n"/>
      <c r="C2467" s="67" t="n"/>
      <c r="D2467" s="3" t="n"/>
      <c r="E2467" s="3" t="n"/>
      <c r="F2467" s="217" t="n"/>
      <c r="G2467" t="inlineStr"/>
      <c r="H2467" t="inlineStr"/>
      <c r="I2467" s="111" t="n"/>
      <c r="J2467" s="217" t="inlineStr"/>
    </row>
    <row r="2468" ht="15.75" customHeight="1" s="305">
      <c r="A2468" s="215" t="n"/>
      <c r="B2468" s="115" t="n"/>
      <c r="C2468" s="67" t="n"/>
      <c r="D2468" s="3" t="n"/>
      <c r="E2468" s="3" t="n"/>
      <c r="F2468" s="217" t="n"/>
      <c r="G2468" t="inlineStr"/>
      <c r="H2468" t="inlineStr"/>
      <c r="I2468" s="111" t="n"/>
      <c r="J2468" s="217" t="inlineStr"/>
    </row>
    <row r="2469" ht="15.75" customHeight="1" s="305">
      <c r="A2469" s="215" t="n"/>
      <c r="B2469" s="115" t="n"/>
      <c r="C2469" s="67" t="n"/>
      <c r="D2469" s="3" t="n"/>
      <c r="E2469" s="3" t="n"/>
      <c r="F2469" s="217" t="n"/>
      <c r="G2469" t="inlineStr"/>
      <c r="H2469" t="inlineStr"/>
      <c r="I2469" s="111" t="n"/>
      <c r="J2469" s="217" t="inlineStr"/>
    </row>
    <row r="2470" ht="15.75" customHeight="1" s="305">
      <c r="A2470" s="215" t="n"/>
      <c r="B2470" s="115" t="n"/>
      <c r="C2470" s="67" t="n"/>
      <c r="D2470" s="3" t="n"/>
      <c r="E2470" s="3" t="n"/>
      <c r="F2470" s="217" t="n"/>
      <c r="G2470" t="inlineStr"/>
      <c r="H2470" t="inlineStr"/>
      <c r="I2470" s="111" t="n"/>
      <c r="J2470" s="217" t="inlineStr"/>
    </row>
    <row r="2471" ht="15.75" customHeight="1" s="305">
      <c r="A2471" s="215" t="n"/>
      <c r="B2471" s="115" t="n"/>
      <c r="C2471" s="67" t="n"/>
      <c r="D2471" s="3" t="n"/>
      <c r="E2471" s="3" t="n"/>
      <c r="F2471" s="217" t="n"/>
      <c r="G2471" t="inlineStr"/>
      <c r="H2471" t="inlineStr"/>
      <c r="I2471" s="111" t="n"/>
      <c r="J2471" s="217" t="inlineStr"/>
    </row>
    <row r="2472" ht="15.75" customHeight="1" s="305">
      <c r="A2472" s="215" t="n"/>
      <c r="B2472" s="115" t="n"/>
      <c r="C2472" s="67" t="n"/>
      <c r="D2472" s="3" t="n"/>
      <c r="E2472" s="3" t="n"/>
      <c r="F2472" s="217" t="n"/>
      <c r="G2472" t="inlineStr"/>
      <c r="H2472" t="inlineStr"/>
      <c r="I2472" s="111" t="n"/>
      <c r="J2472" s="217" t="inlineStr"/>
    </row>
    <row r="2473" ht="15.75" customHeight="1" s="305">
      <c r="A2473" s="215" t="n"/>
      <c r="B2473" s="115" t="n"/>
      <c r="C2473" s="67" t="n"/>
      <c r="D2473" s="3" t="n"/>
      <c r="E2473" s="3" t="n"/>
      <c r="F2473" s="217" t="n"/>
      <c r="G2473" t="inlineStr"/>
      <c r="H2473" t="inlineStr"/>
      <c r="I2473" s="111" t="n"/>
      <c r="J2473" s="217" t="inlineStr"/>
    </row>
    <row r="2474" ht="15.75" customHeight="1" s="305">
      <c r="A2474" s="215" t="n"/>
      <c r="B2474" s="115" t="n"/>
      <c r="C2474" s="67" t="n"/>
      <c r="D2474" s="3" t="n"/>
      <c r="E2474" s="3" t="n"/>
      <c r="F2474" s="217" t="n"/>
      <c r="G2474" t="inlineStr"/>
      <c r="H2474" t="inlineStr"/>
      <c r="I2474" s="111" t="n"/>
      <c r="J2474" s="217" t="inlineStr"/>
    </row>
    <row r="2475" ht="15.75" customHeight="1" s="305">
      <c r="A2475" s="215" t="n"/>
      <c r="B2475" s="115" t="n"/>
      <c r="C2475" s="67" t="n"/>
      <c r="D2475" s="3" t="n"/>
      <c r="E2475" s="3" t="n"/>
      <c r="F2475" s="217" t="n"/>
      <c r="G2475" t="inlineStr"/>
      <c r="H2475" t="inlineStr"/>
      <c r="I2475" s="111" t="n"/>
      <c r="J2475" s="217" t="inlineStr"/>
    </row>
    <row r="2476" ht="15.75" customHeight="1" s="305">
      <c r="A2476" s="215" t="n"/>
      <c r="B2476" s="115" t="n"/>
      <c r="C2476" s="67" t="n"/>
      <c r="D2476" s="3" t="n"/>
      <c r="E2476" s="3" t="n"/>
      <c r="F2476" s="217" t="n"/>
      <c r="G2476" t="inlineStr"/>
      <c r="H2476" t="inlineStr"/>
      <c r="I2476" s="111" t="n"/>
      <c r="J2476" s="217" t="inlineStr"/>
    </row>
    <row r="2477" ht="15.75" customHeight="1" s="305">
      <c r="A2477" s="215" t="n"/>
      <c r="B2477" s="115" t="n"/>
      <c r="C2477" s="67" t="n"/>
      <c r="D2477" s="3" t="n"/>
      <c r="E2477" s="3" t="n"/>
      <c r="F2477" s="217" t="n"/>
      <c r="G2477" t="inlineStr"/>
      <c r="H2477" t="inlineStr"/>
      <c r="I2477" s="111" t="n"/>
      <c r="J2477" s="217" t="inlineStr"/>
    </row>
    <row r="2478" ht="15.75" customHeight="1" s="305">
      <c r="A2478" s="215" t="n"/>
      <c r="B2478" s="115" t="n"/>
      <c r="C2478" s="67" t="n"/>
      <c r="D2478" s="3" t="n"/>
      <c r="E2478" s="3" t="n"/>
      <c r="F2478" s="217" t="n"/>
      <c r="G2478" t="inlineStr"/>
      <c r="H2478" t="inlineStr"/>
      <c r="I2478" s="111" t="n"/>
      <c r="J2478" s="217" t="inlineStr"/>
    </row>
    <row r="2479" ht="15.75" customHeight="1" s="305">
      <c r="A2479" s="215" t="n"/>
      <c r="B2479" s="115" t="n"/>
      <c r="C2479" s="67" t="n"/>
      <c r="D2479" s="3" t="n"/>
      <c r="E2479" s="3" t="n"/>
      <c r="F2479" s="217" t="n"/>
      <c r="G2479" t="inlineStr"/>
      <c r="H2479" t="inlineStr"/>
      <c r="I2479" s="111" t="n"/>
      <c r="J2479" s="217" t="inlineStr"/>
    </row>
    <row r="2480" ht="15.75" customHeight="1" s="305">
      <c r="A2480" s="215" t="n"/>
      <c r="B2480" s="115" t="n"/>
      <c r="C2480" s="67" t="n"/>
      <c r="D2480" s="3" t="n"/>
      <c r="E2480" s="3" t="n"/>
      <c r="F2480" s="217" t="n"/>
      <c r="G2480" t="inlineStr"/>
      <c r="H2480" t="inlineStr"/>
      <c r="I2480" s="111" t="n"/>
      <c r="J2480" s="217" t="inlineStr"/>
    </row>
    <row r="2481" ht="15.75" customHeight="1" s="305">
      <c r="A2481" s="215" t="n"/>
      <c r="B2481" s="115" t="n"/>
      <c r="C2481" s="67" t="n"/>
      <c r="D2481" s="3" t="n"/>
      <c r="E2481" s="3" t="n"/>
      <c r="F2481" s="217" t="n"/>
      <c r="G2481" t="inlineStr"/>
      <c r="H2481" t="inlineStr"/>
      <c r="I2481" s="111" t="n"/>
      <c r="J2481" s="217" t="inlineStr"/>
    </row>
    <row r="2482" ht="15.75" customHeight="1" s="305">
      <c r="A2482" s="215" t="n"/>
      <c r="B2482" s="115" t="n"/>
      <c r="C2482" s="67" t="n"/>
      <c r="D2482" s="3" t="n"/>
      <c r="E2482" s="3" t="n"/>
      <c r="F2482" s="217" t="n"/>
      <c r="G2482" t="inlineStr"/>
      <c r="H2482" t="inlineStr"/>
      <c r="I2482" s="111" t="n"/>
      <c r="J2482" s="217" t="inlineStr"/>
    </row>
    <row r="2483" ht="15.75" customHeight="1" s="305">
      <c r="A2483" s="215" t="n"/>
      <c r="B2483" s="115" t="n"/>
      <c r="C2483" s="67" t="n"/>
      <c r="D2483" s="3" t="n"/>
      <c r="E2483" s="3" t="n"/>
      <c r="F2483" s="217" t="n"/>
      <c r="G2483" t="inlineStr"/>
      <c r="H2483" t="inlineStr"/>
      <c r="I2483" s="111" t="n"/>
      <c r="J2483" s="217" t="inlineStr"/>
    </row>
    <row r="2484" ht="15.75" customHeight="1" s="305">
      <c r="A2484" s="215" t="n"/>
      <c r="B2484" s="115" t="n"/>
      <c r="C2484" s="67" t="n"/>
      <c r="D2484" s="3" t="n"/>
      <c r="E2484" s="3" t="n"/>
      <c r="F2484" s="217" t="n"/>
      <c r="G2484" t="inlineStr"/>
      <c r="H2484" t="inlineStr"/>
      <c r="I2484" s="111" t="n"/>
      <c r="J2484" s="217" t="inlineStr"/>
    </row>
    <row r="2485" ht="15.75" customHeight="1" s="305">
      <c r="A2485" s="215" t="n"/>
      <c r="B2485" s="115" t="n"/>
      <c r="C2485" s="67" t="n"/>
      <c r="D2485" s="3" t="n"/>
      <c r="E2485" s="3" t="n"/>
      <c r="F2485" s="217" t="n"/>
      <c r="G2485" t="inlineStr"/>
      <c r="H2485" t="inlineStr"/>
      <c r="I2485" s="111" t="n"/>
      <c r="J2485" s="217" t="inlineStr"/>
    </row>
    <row r="2486" ht="15.75" customHeight="1" s="305">
      <c r="A2486" s="215" t="n"/>
      <c r="B2486" s="115" t="n"/>
      <c r="C2486" s="67" t="n"/>
      <c r="D2486" s="3" t="n"/>
      <c r="E2486" s="3" t="n"/>
      <c r="F2486" s="217" t="n"/>
      <c r="G2486" t="inlineStr"/>
      <c r="H2486" t="inlineStr"/>
      <c r="I2486" s="111" t="n"/>
      <c r="J2486" s="217" t="inlineStr"/>
    </row>
    <row r="2487" ht="15.75" customHeight="1" s="305">
      <c r="A2487" s="215" t="n"/>
      <c r="B2487" s="115" t="n"/>
      <c r="C2487" s="67" t="n"/>
      <c r="D2487" s="3" t="n"/>
      <c r="E2487" s="3" t="n"/>
      <c r="F2487" s="217" t="n"/>
      <c r="G2487" t="inlineStr"/>
      <c r="H2487" t="inlineStr"/>
      <c r="I2487" s="111" t="n"/>
      <c r="J2487" s="217" t="inlineStr"/>
    </row>
    <row r="2488" ht="15.75" customHeight="1" s="305">
      <c r="A2488" s="215" t="n"/>
      <c r="B2488" s="115" t="n"/>
      <c r="C2488" s="67" t="n"/>
      <c r="D2488" s="3" t="n"/>
      <c r="E2488" s="3" t="n"/>
      <c r="F2488" s="217" t="n"/>
      <c r="G2488" t="inlineStr"/>
      <c r="H2488" t="inlineStr"/>
      <c r="I2488" s="111" t="n"/>
      <c r="J2488" s="217" t="inlineStr"/>
    </row>
    <row r="2489" ht="15.75" customHeight="1" s="305">
      <c r="A2489" s="215" t="n"/>
      <c r="B2489" s="115" t="n"/>
      <c r="C2489" s="67" t="n"/>
      <c r="D2489" s="3" t="n"/>
      <c r="E2489" s="3" t="n"/>
      <c r="F2489" s="217" t="n"/>
      <c r="G2489" t="inlineStr"/>
      <c r="H2489" t="inlineStr"/>
      <c r="I2489" s="111" t="n"/>
      <c r="J2489" s="217" t="inlineStr"/>
    </row>
    <row r="2490" ht="15.75" customHeight="1" s="305">
      <c r="A2490" s="215" t="n"/>
      <c r="B2490" s="115" t="n"/>
      <c r="C2490" s="67" t="n"/>
      <c r="D2490" s="3" t="n"/>
      <c r="E2490" s="3" t="n"/>
      <c r="F2490" s="217" t="n"/>
      <c r="G2490" t="inlineStr"/>
      <c r="H2490" t="inlineStr"/>
      <c r="I2490" s="111" t="n"/>
      <c r="J2490" s="217" t="inlineStr"/>
    </row>
    <row r="2491" ht="15.75" customHeight="1" s="305">
      <c r="A2491" s="215" t="n"/>
      <c r="B2491" s="115" t="n"/>
      <c r="C2491" s="67" t="n"/>
      <c r="D2491" s="3" t="n"/>
      <c r="E2491" s="3" t="n"/>
      <c r="F2491" s="217" t="n"/>
      <c r="G2491" t="inlineStr"/>
      <c r="H2491" t="inlineStr"/>
      <c r="I2491" s="111" t="n"/>
      <c r="J2491" s="217" t="inlineStr"/>
    </row>
    <row r="2492" ht="15.75" customHeight="1" s="305">
      <c r="A2492" s="215" t="n"/>
      <c r="B2492" s="115" t="n"/>
      <c r="C2492" s="67" t="n"/>
      <c r="D2492" s="3" t="n"/>
      <c r="E2492" s="3" t="n"/>
      <c r="F2492" s="217" t="n"/>
      <c r="G2492" t="inlineStr"/>
      <c r="H2492" t="inlineStr"/>
      <c r="I2492" s="111" t="n"/>
      <c r="J2492" s="217" t="inlineStr"/>
    </row>
    <row r="2493" ht="15.75" customHeight="1" s="305">
      <c r="A2493" s="215" t="n"/>
      <c r="B2493" s="115" t="n"/>
      <c r="C2493" s="67" t="n"/>
      <c r="D2493" s="3" t="n"/>
      <c r="E2493" s="3" t="n"/>
      <c r="F2493" s="217" t="n"/>
      <c r="G2493" t="inlineStr"/>
      <c r="H2493" t="inlineStr"/>
      <c r="I2493" s="111" t="n"/>
      <c r="J2493" s="217" t="inlineStr"/>
    </row>
    <row r="2494" ht="15.75" customHeight="1" s="305">
      <c r="A2494" s="215" t="n"/>
      <c r="B2494" s="115" t="n"/>
      <c r="C2494" s="67" t="n"/>
      <c r="D2494" s="3" t="n"/>
      <c r="E2494" s="3" t="n"/>
      <c r="F2494" s="217" t="n"/>
      <c r="G2494" t="inlineStr"/>
      <c r="H2494" t="inlineStr"/>
      <c r="I2494" s="111" t="n"/>
      <c r="J2494" s="217" t="inlineStr"/>
    </row>
    <row r="2495" ht="15.75" customHeight="1" s="305">
      <c r="A2495" s="215" t="n"/>
      <c r="B2495" s="115" t="n"/>
      <c r="C2495" s="67" t="n"/>
      <c r="D2495" s="3" t="n"/>
      <c r="E2495" s="3" t="n"/>
      <c r="F2495" s="217" t="n"/>
      <c r="G2495" t="inlineStr"/>
      <c r="H2495" t="inlineStr"/>
      <c r="I2495" s="111" t="n"/>
      <c r="J2495" s="217" t="inlineStr"/>
    </row>
    <row r="2496" ht="15.75" customHeight="1" s="305">
      <c r="A2496" s="215" t="n"/>
      <c r="B2496" s="115" t="n"/>
      <c r="C2496" s="67" t="n"/>
      <c r="D2496" s="3" t="n"/>
      <c r="E2496" s="3" t="n"/>
      <c r="F2496" s="217" t="n"/>
      <c r="G2496" t="inlineStr"/>
      <c r="H2496" t="inlineStr"/>
      <c r="I2496" s="111" t="n"/>
      <c r="J2496" s="217" t="inlineStr"/>
    </row>
    <row r="2497" ht="15.75" customHeight="1" s="305">
      <c r="A2497" s="215" t="n"/>
      <c r="B2497" s="115" t="n"/>
      <c r="C2497" s="67" t="n"/>
      <c r="D2497" s="3" t="n"/>
      <c r="E2497" s="3" t="n"/>
      <c r="F2497" s="217" t="n"/>
      <c r="G2497" t="inlineStr"/>
      <c r="H2497" t="inlineStr"/>
      <c r="I2497" s="111" t="n"/>
      <c r="J2497" s="217" t="inlineStr"/>
    </row>
    <row r="2498" ht="15.75" customHeight="1" s="305">
      <c r="A2498" s="215" t="n"/>
      <c r="B2498" s="115" t="n"/>
      <c r="C2498" s="67" t="n"/>
      <c r="D2498" s="3" t="n"/>
      <c r="E2498" s="3" t="n"/>
      <c r="F2498" s="217" t="n"/>
      <c r="G2498" t="inlineStr"/>
      <c r="H2498" t="inlineStr"/>
      <c r="I2498" s="111" t="n"/>
      <c r="J2498" s="217" t="inlineStr"/>
    </row>
    <row r="2499" ht="15.75" customHeight="1" s="305">
      <c r="A2499" s="215" t="n"/>
      <c r="B2499" s="115" t="n"/>
      <c r="C2499" s="67" t="n"/>
      <c r="D2499" s="3" t="n"/>
      <c r="E2499" s="3" t="n"/>
      <c r="F2499" s="217" t="n"/>
      <c r="G2499" t="inlineStr"/>
      <c r="H2499" t="inlineStr"/>
      <c r="I2499" s="111" t="n"/>
      <c r="J2499" s="217" t="inlineStr"/>
    </row>
    <row r="2500" ht="15.75" customHeight="1" s="305">
      <c r="A2500" s="215" t="n"/>
      <c r="B2500" s="115" t="n"/>
      <c r="C2500" s="67" t="n"/>
      <c r="D2500" s="3" t="n"/>
      <c r="E2500" s="3" t="n"/>
      <c r="F2500" s="217" t="n"/>
      <c r="G2500" t="inlineStr"/>
      <c r="H2500" t="inlineStr"/>
      <c r="I2500" s="111" t="n"/>
      <c r="J2500" s="217" t="inlineStr"/>
    </row>
    <row r="2501" ht="15.75" customHeight="1" s="305">
      <c r="A2501" s="215" t="n"/>
      <c r="B2501" s="115" t="n"/>
      <c r="C2501" s="67" t="n"/>
      <c r="D2501" s="3" t="n"/>
      <c r="E2501" s="3" t="n"/>
      <c r="F2501" s="217" t="n"/>
      <c r="G2501" t="inlineStr"/>
      <c r="H2501" t="inlineStr"/>
      <c r="I2501" s="111" t="n"/>
      <c r="J2501" s="217" t="inlineStr"/>
    </row>
    <row r="2502" ht="15.75" customHeight="1" s="305">
      <c r="A2502" s="215" t="n"/>
      <c r="B2502" s="115" t="n"/>
      <c r="C2502" s="67" t="n"/>
      <c r="D2502" s="3" t="n"/>
      <c r="E2502" s="3" t="n"/>
      <c r="F2502" s="217" t="n"/>
      <c r="G2502" t="inlineStr"/>
      <c r="H2502" t="inlineStr"/>
      <c r="I2502" s="111" t="n"/>
      <c r="J2502" s="217" t="inlineStr"/>
    </row>
    <row r="2503" ht="15.75" customHeight="1" s="305">
      <c r="A2503" s="215" t="n"/>
      <c r="B2503" s="115" t="n"/>
      <c r="C2503" s="67" t="n"/>
      <c r="D2503" s="3" t="n"/>
      <c r="E2503" s="3" t="n"/>
      <c r="F2503" s="217" t="n"/>
      <c r="G2503" t="inlineStr"/>
      <c r="H2503" t="inlineStr"/>
      <c r="I2503" s="111" t="n"/>
      <c r="J2503" s="217" t="inlineStr"/>
    </row>
    <row r="2504" ht="15.75" customHeight="1" s="305">
      <c r="A2504" s="215" t="n"/>
      <c r="B2504" s="115" t="n"/>
      <c r="C2504" s="67" t="n"/>
      <c r="D2504" s="3" t="n"/>
      <c r="E2504" s="3" t="n"/>
      <c r="F2504" s="217" t="n"/>
      <c r="G2504" t="inlineStr"/>
      <c r="H2504" t="inlineStr"/>
      <c r="I2504" s="111" t="n"/>
      <c r="J2504" s="217" t="inlineStr"/>
    </row>
    <row r="2505" ht="15.75" customHeight="1" s="305">
      <c r="A2505" s="215" t="n"/>
      <c r="B2505" s="115" t="n"/>
      <c r="C2505" s="67" t="n"/>
      <c r="D2505" s="3" t="n"/>
      <c r="E2505" s="3" t="n"/>
      <c r="F2505" s="217" t="n"/>
      <c r="G2505" t="inlineStr"/>
      <c r="H2505" t="inlineStr"/>
      <c r="I2505" s="111" t="n"/>
      <c r="J2505" s="217" t="inlineStr"/>
    </row>
    <row r="2506" ht="15.75" customHeight="1" s="305">
      <c r="A2506" s="215" t="n"/>
      <c r="B2506" s="115" t="n"/>
      <c r="C2506" s="67" t="n"/>
      <c r="D2506" s="3" t="n"/>
      <c r="E2506" s="3" t="n"/>
      <c r="F2506" s="217" t="n"/>
      <c r="G2506" t="inlineStr"/>
      <c r="H2506" t="inlineStr"/>
      <c r="I2506" s="111" t="n"/>
      <c r="J2506" s="217" t="inlineStr"/>
    </row>
    <row r="2507" ht="15.75" customHeight="1" s="305">
      <c r="A2507" s="215" t="n"/>
      <c r="B2507" s="115" t="n"/>
      <c r="C2507" s="67" t="n"/>
      <c r="D2507" s="3" t="n"/>
      <c r="E2507" s="3" t="n"/>
      <c r="F2507" s="217" t="n"/>
      <c r="G2507" t="inlineStr"/>
      <c r="H2507" t="inlineStr"/>
      <c r="I2507" s="111" t="n"/>
      <c r="J2507" s="217" t="inlineStr"/>
    </row>
    <row r="2508" ht="15.75" customHeight="1" s="305">
      <c r="A2508" s="215" t="n"/>
      <c r="B2508" s="115" t="n"/>
      <c r="C2508" s="67" t="n"/>
      <c r="D2508" s="3" t="n"/>
      <c r="E2508" s="3" t="n"/>
      <c r="F2508" s="217" t="n"/>
      <c r="G2508" t="inlineStr"/>
      <c r="H2508" t="inlineStr"/>
      <c r="I2508" s="111" t="n"/>
      <c r="J2508" s="217" t="inlineStr"/>
    </row>
    <row r="2509" ht="15.75" customHeight="1" s="305">
      <c r="A2509" s="215" t="n"/>
      <c r="B2509" s="115" t="n"/>
      <c r="C2509" s="67" t="n"/>
      <c r="D2509" s="3" t="n"/>
      <c r="E2509" s="3" t="n"/>
      <c r="F2509" s="217" t="n"/>
      <c r="G2509" t="inlineStr"/>
      <c r="H2509" t="inlineStr"/>
      <c r="I2509" s="111" t="n"/>
      <c r="J2509" s="217" t="inlineStr"/>
    </row>
    <row r="2510" ht="15.75" customHeight="1" s="305">
      <c r="A2510" s="215" t="n"/>
      <c r="B2510" s="115" t="n"/>
      <c r="C2510" s="67" t="n"/>
      <c r="D2510" s="3" t="n"/>
      <c r="E2510" s="3" t="n"/>
      <c r="F2510" s="217" t="n"/>
      <c r="G2510" t="inlineStr"/>
      <c r="H2510" t="inlineStr"/>
      <c r="I2510" s="111" t="n"/>
      <c r="J2510" s="217" t="inlineStr"/>
    </row>
    <row r="2511" ht="15.75" customHeight="1" s="305">
      <c r="A2511" s="215" t="n"/>
      <c r="B2511" s="115" t="n"/>
      <c r="C2511" s="67" t="n"/>
      <c r="D2511" s="3" t="n"/>
      <c r="E2511" s="3" t="n"/>
      <c r="F2511" s="217" t="n"/>
      <c r="G2511" t="inlineStr"/>
      <c r="H2511" t="inlineStr"/>
      <c r="I2511" s="111" t="n"/>
      <c r="J2511" s="217" t="inlineStr"/>
    </row>
    <row r="2512" ht="15.75" customHeight="1" s="305">
      <c r="A2512" s="215" t="n"/>
      <c r="B2512" s="115" t="n"/>
      <c r="C2512" s="67" t="n"/>
      <c r="D2512" s="3" t="n"/>
      <c r="E2512" s="3" t="n"/>
      <c r="F2512" s="217" t="n"/>
      <c r="G2512" t="inlineStr"/>
      <c r="H2512" t="inlineStr"/>
      <c r="I2512" s="111" t="n"/>
      <c r="J2512" s="217" t="inlineStr"/>
    </row>
    <row r="2513" ht="15.75" customHeight="1" s="305">
      <c r="A2513" s="215" t="n"/>
      <c r="B2513" s="115" t="n"/>
      <c r="C2513" s="67" t="n"/>
      <c r="D2513" s="3" t="n"/>
      <c r="E2513" s="3" t="n"/>
      <c r="F2513" s="217" t="n"/>
      <c r="G2513" t="inlineStr"/>
      <c r="H2513" t="inlineStr"/>
      <c r="I2513" s="111" t="n"/>
      <c r="J2513" s="217" t="inlineStr"/>
    </row>
    <row r="2514" ht="15.75" customHeight="1" s="305">
      <c r="A2514" s="215" t="n"/>
      <c r="B2514" s="115" t="n"/>
      <c r="C2514" s="67" t="n"/>
      <c r="D2514" s="3" t="n"/>
      <c r="E2514" s="3" t="n"/>
      <c r="F2514" s="217" t="n"/>
      <c r="G2514" t="inlineStr"/>
      <c r="H2514" t="inlineStr"/>
      <c r="I2514" s="111" t="n"/>
      <c r="J2514" s="217" t="inlineStr"/>
    </row>
    <row r="2515" ht="15.75" customHeight="1" s="305">
      <c r="A2515" s="215" t="n"/>
      <c r="B2515" s="115" t="n"/>
      <c r="C2515" s="67" t="n"/>
      <c r="D2515" s="3" t="n"/>
      <c r="E2515" s="3" t="n"/>
      <c r="F2515" s="217" t="n"/>
      <c r="G2515" t="inlineStr"/>
      <c r="H2515" t="inlineStr"/>
      <c r="I2515" s="111" t="n"/>
      <c r="J2515" s="217" t="inlineStr"/>
    </row>
    <row r="2516" ht="15.75" customHeight="1" s="305">
      <c r="A2516" s="215" t="n"/>
      <c r="B2516" s="115" t="n"/>
      <c r="C2516" s="67" t="n"/>
      <c r="D2516" s="3" t="n"/>
      <c r="E2516" s="3" t="n"/>
      <c r="F2516" s="217" t="n"/>
      <c r="G2516" t="inlineStr"/>
      <c r="H2516" t="inlineStr"/>
      <c r="I2516" s="111" t="n"/>
      <c r="J2516" s="217" t="inlineStr"/>
    </row>
    <row r="2517" ht="15.75" customHeight="1" s="305">
      <c r="A2517" s="215" t="n"/>
      <c r="B2517" s="115" t="n"/>
      <c r="C2517" s="67" t="n"/>
      <c r="D2517" s="3" t="n"/>
      <c r="E2517" s="3" t="n"/>
      <c r="F2517" s="217" t="n"/>
      <c r="G2517" t="inlineStr"/>
      <c r="H2517" t="inlineStr"/>
      <c r="I2517" s="111" t="n"/>
      <c r="J2517" s="217" t="inlineStr"/>
    </row>
    <row r="2518" ht="15.75" customHeight="1" s="305">
      <c r="A2518" s="215" t="n"/>
      <c r="B2518" s="115" t="n"/>
      <c r="C2518" s="67" t="n"/>
      <c r="D2518" s="3" t="n"/>
      <c r="E2518" s="3" t="n"/>
      <c r="F2518" s="217" t="n"/>
      <c r="G2518" t="inlineStr"/>
      <c r="H2518" t="inlineStr"/>
      <c r="I2518" s="111" t="n"/>
      <c r="J2518" s="217" t="inlineStr"/>
    </row>
    <row r="2519" ht="15.75" customHeight="1" s="305">
      <c r="A2519" s="215" t="n"/>
      <c r="B2519" s="115" t="n"/>
      <c r="C2519" s="67" t="n"/>
      <c r="D2519" s="3" t="n"/>
      <c r="E2519" s="3" t="n"/>
      <c r="F2519" s="217" t="n"/>
      <c r="G2519" t="inlineStr"/>
      <c r="H2519" t="inlineStr"/>
      <c r="I2519" s="111" t="n"/>
      <c r="J2519" s="217" t="inlineStr"/>
    </row>
    <row r="2520" ht="15.75" customHeight="1" s="305">
      <c r="A2520" s="215" t="n"/>
      <c r="B2520" s="115" t="n"/>
      <c r="C2520" s="67" t="n"/>
      <c r="D2520" s="3" t="n"/>
      <c r="E2520" s="3" t="n"/>
      <c r="F2520" s="217" t="n"/>
      <c r="G2520" t="inlineStr"/>
      <c r="H2520" t="inlineStr"/>
      <c r="I2520" s="111" t="n"/>
      <c r="J2520" s="217" t="inlineStr"/>
    </row>
    <row r="2521" ht="15.75" customHeight="1" s="305">
      <c r="A2521" s="215" t="n"/>
      <c r="B2521" s="115" t="n"/>
      <c r="C2521" s="67" t="n"/>
      <c r="D2521" s="3" t="n"/>
      <c r="E2521" s="3" t="n"/>
      <c r="F2521" s="217" t="n"/>
      <c r="G2521" t="inlineStr"/>
      <c r="H2521" t="inlineStr"/>
      <c r="I2521" s="111" t="n"/>
      <c r="J2521" s="217" t="inlineStr"/>
    </row>
    <row r="2522" ht="15.75" customHeight="1" s="305">
      <c r="A2522" s="215" t="n"/>
      <c r="B2522" s="115" t="n"/>
      <c r="C2522" s="67" t="n"/>
      <c r="D2522" s="3" t="n"/>
      <c r="E2522" s="3" t="n"/>
      <c r="F2522" s="217" t="n"/>
      <c r="G2522" t="inlineStr"/>
      <c r="H2522" t="inlineStr"/>
      <c r="I2522" s="111" t="n"/>
      <c r="J2522" s="217" t="inlineStr"/>
    </row>
    <row r="2523" ht="15.75" customHeight="1" s="305">
      <c r="A2523" s="215" t="n"/>
      <c r="B2523" s="115" t="n"/>
      <c r="C2523" s="67" t="n"/>
      <c r="D2523" s="3" t="n"/>
      <c r="E2523" s="3" t="n"/>
      <c r="F2523" s="217" t="n"/>
      <c r="G2523" t="inlineStr"/>
      <c r="H2523" t="inlineStr"/>
      <c r="I2523" s="111" t="n"/>
      <c r="J2523" s="217" t="inlineStr"/>
    </row>
    <row r="2524" ht="15.75" customHeight="1" s="305">
      <c r="A2524" s="215" t="n"/>
      <c r="B2524" s="115" t="n"/>
      <c r="C2524" s="67" t="n"/>
      <c r="D2524" s="3" t="n"/>
      <c r="E2524" s="3" t="n"/>
      <c r="F2524" s="217" t="n"/>
      <c r="G2524" t="inlineStr"/>
      <c r="H2524" t="inlineStr"/>
      <c r="I2524" s="111" t="n"/>
      <c r="J2524" s="217" t="inlineStr"/>
    </row>
    <row r="2525" ht="15.75" customHeight="1" s="305">
      <c r="A2525" s="215" t="n"/>
      <c r="B2525" s="115" t="n"/>
      <c r="C2525" s="67" t="n"/>
      <c r="D2525" s="3" t="n"/>
      <c r="E2525" s="3" t="n"/>
      <c r="F2525" s="217" t="n"/>
      <c r="G2525" t="inlineStr"/>
      <c r="H2525" t="inlineStr"/>
      <c r="I2525" s="111" t="n"/>
      <c r="J2525" s="217" t="inlineStr"/>
    </row>
    <row r="2526" ht="15.75" customHeight="1" s="305">
      <c r="A2526" s="215" t="n"/>
      <c r="B2526" s="115" t="n"/>
      <c r="C2526" s="67" t="n"/>
      <c r="D2526" s="3" t="n"/>
      <c r="E2526" s="3" t="n"/>
      <c r="F2526" s="217" t="n"/>
      <c r="G2526" t="inlineStr"/>
      <c r="H2526" t="inlineStr"/>
      <c r="I2526" s="111" t="n"/>
      <c r="J2526" s="217" t="inlineStr"/>
    </row>
    <row r="2527" ht="15.75" customHeight="1" s="305">
      <c r="A2527" s="215" t="n"/>
      <c r="B2527" s="115" t="n"/>
      <c r="C2527" s="67" t="n"/>
      <c r="D2527" s="3" t="n"/>
      <c r="E2527" s="3" t="n"/>
      <c r="F2527" s="217" t="n"/>
      <c r="G2527" t="inlineStr"/>
      <c r="H2527" t="inlineStr"/>
      <c r="I2527" s="111" t="n"/>
      <c r="J2527" s="217" t="inlineStr"/>
    </row>
    <row r="2528" ht="15.75" customHeight="1" s="305">
      <c r="A2528" s="215" t="n"/>
      <c r="B2528" s="115" t="n"/>
      <c r="C2528" s="67" t="n"/>
      <c r="D2528" s="3" t="n"/>
      <c r="E2528" s="3" t="n"/>
      <c r="F2528" s="217" t="n"/>
      <c r="G2528" t="inlineStr"/>
      <c r="H2528" t="inlineStr"/>
      <c r="I2528" s="111" t="n"/>
      <c r="J2528" s="217" t="inlineStr"/>
    </row>
    <row r="2529" ht="15.75" customHeight="1" s="305">
      <c r="A2529" s="215" t="n"/>
      <c r="B2529" s="115" t="n"/>
      <c r="C2529" s="67" t="n"/>
      <c r="D2529" s="3" t="n"/>
      <c r="E2529" s="3" t="n"/>
      <c r="F2529" s="217" t="n"/>
      <c r="G2529" t="inlineStr"/>
      <c r="H2529" t="inlineStr"/>
      <c r="I2529" s="111" t="n"/>
      <c r="J2529" s="217" t="inlineStr"/>
    </row>
    <row r="2530" ht="15.75" customHeight="1" s="305">
      <c r="A2530" s="215" t="n"/>
      <c r="B2530" s="115" t="n"/>
      <c r="C2530" s="67" t="n"/>
      <c r="D2530" s="3" t="n"/>
      <c r="E2530" s="3" t="n"/>
      <c r="F2530" s="217" t="n"/>
      <c r="G2530" t="inlineStr"/>
      <c r="H2530" t="inlineStr"/>
      <c r="I2530" s="111" t="n"/>
      <c r="J2530" s="217" t="inlineStr"/>
    </row>
    <row r="2531" ht="15.75" customHeight="1" s="305">
      <c r="A2531" s="215" t="n"/>
      <c r="B2531" s="115" t="n"/>
      <c r="C2531" s="67" t="n"/>
      <c r="D2531" s="3" t="n"/>
      <c r="E2531" s="3" t="n"/>
      <c r="F2531" s="217" t="n"/>
      <c r="G2531" t="inlineStr"/>
      <c r="H2531" t="inlineStr"/>
      <c r="I2531" s="111" t="n"/>
      <c r="J2531" s="217" t="inlineStr"/>
    </row>
    <row r="2532" ht="15.75" customHeight="1" s="305">
      <c r="A2532" s="215" t="n"/>
      <c r="B2532" s="115" t="n"/>
      <c r="C2532" s="67" t="n"/>
      <c r="D2532" s="3" t="n"/>
      <c r="E2532" s="3" t="n"/>
      <c r="F2532" s="217" t="n"/>
      <c r="G2532" t="inlineStr"/>
      <c r="H2532" t="inlineStr"/>
      <c r="I2532" s="111" t="n"/>
      <c r="J2532" s="217" t="inlineStr"/>
    </row>
    <row r="2533" ht="15.75" customHeight="1" s="305">
      <c r="A2533" s="215" t="n"/>
      <c r="B2533" s="115" t="n"/>
      <c r="C2533" s="67" t="n"/>
      <c r="D2533" s="3" t="n"/>
      <c r="E2533" s="3" t="n"/>
      <c r="F2533" s="217" t="n"/>
      <c r="G2533" t="inlineStr"/>
      <c r="H2533" t="inlineStr"/>
      <c r="I2533" s="111" t="n"/>
      <c r="J2533" s="217" t="inlineStr"/>
    </row>
    <row r="2534" ht="15.75" customHeight="1" s="305">
      <c r="A2534" s="215" t="n"/>
      <c r="B2534" s="115" t="n"/>
      <c r="C2534" s="67" t="n"/>
      <c r="D2534" s="3" t="n"/>
      <c r="E2534" s="3" t="n"/>
      <c r="F2534" s="217" t="n"/>
      <c r="G2534" t="inlineStr"/>
      <c r="H2534" t="inlineStr"/>
      <c r="I2534" s="111" t="n"/>
      <c r="J2534" s="217" t="inlineStr"/>
    </row>
    <row r="2535" ht="15.75" customHeight="1" s="305">
      <c r="A2535" s="215" t="n"/>
      <c r="B2535" s="115" t="n"/>
      <c r="C2535" s="67" t="n"/>
      <c r="D2535" s="3" t="n"/>
      <c r="E2535" s="3" t="n"/>
      <c r="F2535" s="217" t="n"/>
      <c r="G2535" t="inlineStr"/>
      <c r="H2535" t="inlineStr"/>
      <c r="I2535" s="111" t="n"/>
      <c r="J2535" s="217" t="inlineStr"/>
    </row>
    <row r="2536" ht="15.75" customHeight="1" s="305">
      <c r="A2536" s="215" t="n"/>
      <c r="B2536" s="115" t="n"/>
      <c r="C2536" s="67" t="n"/>
      <c r="D2536" s="3" t="n"/>
      <c r="E2536" s="3" t="n"/>
      <c r="F2536" s="217" t="n"/>
      <c r="G2536" t="inlineStr"/>
      <c r="H2536" t="inlineStr"/>
      <c r="I2536" s="111" t="n"/>
      <c r="J2536" s="217" t="inlineStr"/>
    </row>
    <row r="2537" ht="15.75" customHeight="1" s="305">
      <c r="A2537" s="215" t="n"/>
      <c r="B2537" s="115" t="n"/>
      <c r="C2537" s="67" t="n"/>
      <c r="D2537" s="3" t="n"/>
      <c r="E2537" s="3" t="n"/>
      <c r="F2537" s="217" t="n"/>
      <c r="G2537" t="inlineStr"/>
      <c r="H2537" t="inlineStr"/>
      <c r="I2537" s="111" t="n"/>
      <c r="J2537" s="217" t="inlineStr"/>
    </row>
    <row r="2538" ht="15.75" customHeight="1" s="305">
      <c r="A2538" s="215" t="n"/>
      <c r="B2538" s="115" t="n"/>
      <c r="C2538" s="67" t="n"/>
      <c r="D2538" s="3" t="n"/>
      <c r="E2538" s="3" t="n"/>
      <c r="F2538" s="217" t="n"/>
      <c r="G2538" t="inlineStr"/>
      <c r="H2538" t="inlineStr"/>
      <c r="I2538" s="111" t="n"/>
      <c r="J2538" s="217" t="inlineStr"/>
    </row>
    <row r="2539" ht="15.75" customHeight="1" s="305">
      <c r="A2539" s="215" t="n"/>
      <c r="B2539" s="115" t="n"/>
      <c r="C2539" s="67" t="n"/>
      <c r="D2539" s="3" t="n"/>
      <c r="E2539" s="3" t="n"/>
      <c r="F2539" s="217" t="n"/>
      <c r="G2539" t="inlineStr"/>
      <c r="H2539" t="inlineStr"/>
      <c r="I2539" s="111" t="n"/>
      <c r="J2539" s="217" t="inlineStr"/>
    </row>
    <row r="2540" ht="15.75" customHeight="1" s="305">
      <c r="A2540" s="215" t="n"/>
      <c r="B2540" s="115" t="n"/>
      <c r="C2540" s="67" t="n"/>
      <c r="D2540" s="3" t="n"/>
      <c r="E2540" s="3" t="n"/>
      <c r="F2540" s="217" t="n"/>
      <c r="G2540" t="inlineStr"/>
      <c r="H2540" t="inlineStr"/>
      <c r="I2540" s="111" t="n"/>
      <c r="J2540" s="217" t="inlineStr"/>
    </row>
    <row r="2541" ht="15.75" customHeight="1" s="305">
      <c r="A2541" s="215" t="n"/>
      <c r="B2541" s="115" t="n"/>
      <c r="C2541" s="67" t="n"/>
      <c r="D2541" s="3" t="n"/>
      <c r="E2541" s="3" t="n"/>
      <c r="F2541" s="217" t="n"/>
      <c r="G2541" t="inlineStr"/>
      <c r="H2541" t="inlineStr"/>
      <c r="I2541" s="111" t="n"/>
      <c r="J2541" s="217" t="inlineStr"/>
    </row>
    <row r="2542" ht="15.75" customHeight="1" s="305">
      <c r="A2542" s="215" t="n"/>
      <c r="B2542" s="115" t="n"/>
      <c r="C2542" s="67" t="n"/>
      <c r="D2542" s="3" t="n"/>
      <c r="E2542" s="3" t="n"/>
      <c r="F2542" s="217" t="n"/>
      <c r="G2542" t="inlineStr"/>
      <c r="H2542" t="inlineStr"/>
      <c r="I2542" s="111" t="n"/>
      <c r="J2542" s="217" t="inlineStr"/>
    </row>
    <row r="2543" ht="15.75" customHeight="1" s="305">
      <c r="A2543" s="215" t="n"/>
      <c r="B2543" s="115" t="n"/>
      <c r="C2543" s="67" t="n"/>
      <c r="D2543" s="3" t="n"/>
      <c r="E2543" s="3" t="n"/>
      <c r="F2543" s="217" t="n"/>
      <c r="G2543" t="inlineStr"/>
      <c r="H2543" t="inlineStr"/>
      <c r="I2543" s="111" t="n"/>
      <c r="J2543" s="217" t="inlineStr"/>
    </row>
    <row r="2544" ht="15.75" customHeight="1" s="305">
      <c r="A2544" s="215" t="n"/>
      <c r="B2544" s="115" t="n"/>
      <c r="C2544" s="67" t="n"/>
      <c r="D2544" s="3" t="n"/>
      <c r="E2544" s="3" t="n"/>
      <c r="F2544" s="217" t="n"/>
      <c r="G2544" t="inlineStr"/>
      <c r="H2544" t="inlineStr"/>
      <c r="I2544" s="111" t="n"/>
      <c r="J2544" s="217" t="inlineStr"/>
    </row>
    <row r="2545" ht="15.75" customHeight="1" s="305">
      <c r="A2545" s="215" t="n"/>
      <c r="B2545" s="115" t="n"/>
      <c r="C2545" s="67" t="n"/>
      <c r="D2545" s="3" t="n"/>
      <c r="E2545" s="3" t="n"/>
      <c r="F2545" s="217" t="n"/>
      <c r="G2545" t="inlineStr"/>
      <c r="H2545" t="inlineStr"/>
      <c r="I2545" s="111" t="n"/>
      <c r="J2545" s="217" t="inlineStr"/>
    </row>
    <row r="2546" ht="15.75" customHeight="1" s="305">
      <c r="A2546" s="215" t="n"/>
      <c r="B2546" s="115" t="n"/>
      <c r="C2546" s="67" t="n"/>
      <c r="D2546" s="3" t="n"/>
      <c r="E2546" s="3" t="n"/>
      <c r="F2546" s="217" t="n"/>
      <c r="G2546" t="inlineStr"/>
      <c r="H2546" t="inlineStr"/>
      <c r="I2546" s="111" t="n"/>
      <c r="J2546" s="217" t="inlineStr"/>
    </row>
    <row r="2547" ht="15.75" customHeight="1" s="305">
      <c r="A2547" s="215" t="n"/>
      <c r="B2547" s="115" t="n"/>
      <c r="C2547" s="67" t="n"/>
      <c r="D2547" s="3" t="n"/>
      <c r="E2547" s="3" t="n"/>
      <c r="F2547" s="217" t="n"/>
      <c r="G2547" t="inlineStr"/>
      <c r="H2547" t="inlineStr"/>
      <c r="I2547" s="111" t="n"/>
      <c r="J2547" s="217" t="inlineStr"/>
    </row>
    <row r="2548" ht="15.75" customHeight="1" s="305">
      <c r="A2548" s="215" t="n"/>
      <c r="B2548" s="115" t="n"/>
      <c r="C2548" s="67" t="n"/>
      <c r="D2548" s="3" t="n"/>
      <c r="E2548" s="3" t="n"/>
      <c r="F2548" s="217" t="n"/>
      <c r="G2548" t="inlineStr"/>
      <c r="H2548" t="inlineStr"/>
      <c r="I2548" s="111" t="n"/>
      <c r="J2548" s="217" t="inlineStr"/>
    </row>
    <row r="2549" ht="15.75" customHeight="1" s="305">
      <c r="A2549" s="215" t="n"/>
      <c r="B2549" s="115" t="n"/>
      <c r="C2549" s="67" t="n"/>
      <c r="D2549" s="3" t="n"/>
      <c r="E2549" s="3" t="n"/>
      <c r="F2549" s="217" t="n"/>
      <c r="G2549" t="inlineStr"/>
      <c r="H2549" t="inlineStr"/>
      <c r="I2549" s="111" t="n"/>
      <c r="J2549" s="217" t="inlineStr"/>
    </row>
    <row r="2550" ht="15.75" customHeight="1" s="305">
      <c r="A2550" s="215" t="n"/>
      <c r="B2550" s="115" t="n"/>
      <c r="C2550" s="67" t="n"/>
      <c r="D2550" s="3" t="n"/>
      <c r="E2550" s="3" t="n"/>
      <c r="F2550" s="217" t="n"/>
      <c r="G2550" t="inlineStr"/>
      <c r="H2550" t="inlineStr"/>
      <c r="I2550" s="111" t="n"/>
      <c r="J2550" s="217" t="inlineStr"/>
    </row>
    <row r="2551" ht="15.75" customHeight="1" s="305">
      <c r="A2551" s="215" t="n"/>
      <c r="B2551" s="115" t="n"/>
      <c r="C2551" s="67" t="n"/>
      <c r="D2551" s="3" t="n"/>
      <c r="E2551" s="3" t="n"/>
      <c r="F2551" s="217" t="n"/>
      <c r="G2551" t="inlineStr"/>
      <c r="H2551" t="inlineStr"/>
      <c r="I2551" s="111" t="n"/>
      <c r="J2551" s="217" t="inlineStr"/>
    </row>
    <row r="2552" ht="15.75" customHeight="1" s="305">
      <c r="A2552" s="215" t="n"/>
      <c r="B2552" s="115" t="n"/>
      <c r="C2552" s="67" t="n"/>
      <c r="D2552" s="3" t="n"/>
      <c r="E2552" s="3" t="n"/>
      <c r="F2552" s="217" t="n"/>
      <c r="G2552" t="inlineStr"/>
      <c r="H2552" t="inlineStr"/>
      <c r="I2552" s="111" t="n"/>
      <c r="J2552" s="217" t="inlineStr"/>
    </row>
    <row r="2553" ht="15.75" customHeight="1" s="305">
      <c r="A2553" s="215" t="n"/>
      <c r="B2553" s="115" t="n"/>
      <c r="C2553" s="67" t="n"/>
      <c r="D2553" s="3" t="n"/>
      <c r="E2553" s="3" t="n"/>
      <c r="F2553" s="217" t="n"/>
      <c r="G2553" t="inlineStr"/>
      <c r="H2553" t="inlineStr"/>
      <c r="I2553" s="111" t="n"/>
      <c r="J2553" s="217" t="inlineStr"/>
    </row>
    <row r="2554" ht="15.75" customHeight="1" s="305">
      <c r="A2554" s="215" t="n"/>
      <c r="B2554" s="115" t="n"/>
      <c r="C2554" s="67" t="n"/>
      <c r="D2554" s="3" t="n"/>
      <c r="E2554" s="3" t="n"/>
      <c r="F2554" s="217" t="n"/>
      <c r="G2554" t="inlineStr"/>
      <c r="H2554" t="inlineStr"/>
      <c r="I2554" s="111" t="n"/>
      <c r="J2554" s="217" t="inlineStr"/>
    </row>
    <row r="2555" ht="15.75" customHeight="1" s="305">
      <c r="A2555" s="215" t="n"/>
      <c r="B2555" s="115" t="n"/>
      <c r="C2555" s="67" t="n"/>
      <c r="D2555" s="3" t="n"/>
      <c r="E2555" s="3" t="n"/>
      <c r="F2555" s="217" t="n"/>
      <c r="G2555" t="inlineStr"/>
      <c r="H2555" t="inlineStr"/>
      <c r="I2555" s="111" t="n"/>
      <c r="J2555" s="217" t="inlineStr"/>
    </row>
    <row r="2556" ht="15.75" customHeight="1" s="305">
      <c r="A2556" s="215" t="n"/>
      <c r="B2556" s="115" t="n"/>
      <c r="C2556" s="67" t="n"/>
      <c r="D2556" s="3" t="n"/>
      <c r="E2556" s="3" t="n"/>
      <c r="F2556" s="217" t="n"/>
      <c r="G2556" t="inlineStr"/>
      <c r="H2556" t="inlineStr"/>
      <c r="I2556" s="111" t="n"/>
      <c r="J2556" s="217" t="inlineStr"/>
    </row>
    <row r="2557" ht="15.75" customHeight="1" s="305">
      <c r="A2557" s="215" t="n"/>
      <c r="B2557" s="115" t="n"/>
      <c r="C2557" s="67" t="n"/>
      <c r="D2557" s="3" t="n"/>
      <c r="E2557" s="3" t="n"/>
      <c r="F2557" s="217" t="n"/>
      <c r="G2557" t="inlineStr"/>
      <c r="H2557" t="inlineStr"/>
      <c r="I2557" s="111" t="n"/>
      <c r="J2557" s="217" t="inlineStr"/>
    </row>
    <row r="2558" ht="15.75" customHeight="1" s="305">
      <c r="A2558" s="215" t="n"/>
      <c r="B2558" s="115" t="n"/>
      <c r="C2558" s="67" t="n"/>
      <c r="D2558" s="3" t="n"/>
      <c r="E2558" s="3" t="n"/>
      <c r="F2558" s="217" t="n"/>
      <c r="G2558" t="inlineStr"/>
      <c r="H2558" t="inlineStr"/>
      <c r="I2558" s="111" t="n"/>
      <c r="J2558" s="217" t="inlineStr"/>
    </row>
    <row r="2559" ht="15.75" customHeight="1" s="305">
      <c r="A2559" s="215" t="n"/>
      <c r="B2559" s="115" t="n"/>
      <c r="C2559" s="67" t="n"/>
      <c r="D2559" s="3" t="n"/>
      <c r="E2559" s="3" t="n"/>
      <c r="F2559" s="217" t="n"/>
      <c r="G2559" t="inlineStr"/>
      <c r="H2559" t="inlineStr"/>
      <c r="I2559" s="111" t="n"/>
      <c r="J2559" s="217" t="inlineStr"/>
    </row>
    <row r="2560" ht="15.75" customHeight="1" s="305">
      <c r="A2560" s="215" t="n"/>
      <c r="B2560" s="115" t="n"/>
      <c r="C2560" s="67" t="n"/>
      <c r="D2560" s="3" t="n"/>
      <c r="E2560" s="3" t="n"/>
      <c r="F2560" s="217" t="n"/>
      <c r="G2560" t="inlineStr"/>
      <c r="H2560" t="inlineStr"/>
      <c r="I2560" s="111" t="n"/>
      <c r="J2560" s="217" t="inlineStr"/>
    </row>
    <row r="2561" ht="15.75" customHeight="1" s="305">
      <c r="A2561" s="215" t="n"/>
      <c r="B2561" s="115" t="n"/>
      <c r="C2561" s="67" t="n"/>
      <c r="D2561" s="3" t="n"/>
      <c r="E2561" s="3" t="n"/>
      <c r="F2561" s="217" t="n"/>
      <c r="G2561" t="inlineStr"/>
      <c r="H2561" t="inlineStr"/>
      <c r="I2561" s="111" t="n"/>
      <c r="J2561" s="217" t="inlineStr"/>
    </row>
    <row r="2562" ht="15.75" customHeight="1" s="305">
      <c r="A2562" s="215" t="n"/>
      <c r="B2562" s="115" t="n"/>
      <c r="C2562" s="67" t="n"/>
      <c r="D2562" s="3" t="n"/>
      <c r="E2562" s="3" t="n"/>
      <c r="F2562" s="217" t="n"/>
      <c r="G2562" t="inlineStr"/>
      <c r="H2562" t="inlineStr"/>
      <c r="I2562" s="111" t="n"/>
      <c r="J2562" s="217" t="inlineStr"/>
    </row>
    <row r="2563" ht="15.75" customHeight="1" s="305">
      <c r="A2563" s="215" t="n"/>
      <c r="B2563" s="115" t="n"/>
      <c r="C2563" s="67" t="n"/>
      <c r="D2563" s="3" t="n"/>
      <c r="E2563" s="3" t="n"/>
      <c r="F2563" s="217" t="n"/>
      <c r="G2563" t="inlineStr"/>
      <c r="H2563" t="inlineStr"/>
      <c r="I2563" s="111" t="n"/>
      <c r="J2563" s="217" t="inlineStr"/>
    </row>
    <row r="2564" ht="15.75" customHeight="1" s="305">
      <c r="A2564" s="215" t="n"/>
      <c r="B2564" s="115" t="n"/>
      <c r="C2564" s="67" t="n"/>
      <c r="D2564" s="3" t="n"/>
      <c r="E2564" s="3" t="n"/>
      <c r="F2564" s="217" t="n"/>
      <c r="G2564" t="inlineStr"/>
      <c r="H2564" t="inlineStr"/>
      <c r="I2564" s="111" t="n"/>
      <c r="J2564" s="217" t="inlineStr"/>
    </row>
    <row r="2565" ht="15.75" customHeight="1" s="305">
      <c r="A2565" s="215" t="n"/>
      <c r="B2565" s="115" t="n"/>
      <c r="C2565" s="67" t="n"/>
      <c r="D2565" s="3" t="n"/>
      <c r="E2565" s="3" t="n"/>
      <c r="F2565" s="217" t="n"/>
      <c r="G2565" t="inlineStr"/>
      <c r="H2565" t="inlineStr"/>
      <c r="I2565" s="111" t="n"/>
      <c r="J2565" s="217" t="inlineStr"/>
    </row>
    <row r="2566" ht="15.75" customHeight="1" s="305">
      <c r="A2566" s="215" t="n"/>
      <c r="B2566" s="115" t="n"/>
      <c r="C2566" s="67" t="n"/>
      <c r="D2566" s="3" t="n"/>
      <c r="E2566" s="3" t="n"/>
      <c r="F2566" s="217" t="n"/>
      <c r="G2566" t="inlineStr"/>
      <c r="H2566" t="inlineStr"/>
      <c r="I2566" s="111" t="n"/>
      <c r="J2566" s="217" t="inlineStr"/>
    </row>
    <row r="2567" ht="15.75" customHeight="1" s="305">
      <c r="A2567" s="215" t="n"/>
      <c r="B2567" s="115" t="n"/>
      <c r="C2567" s="67" t="n"/>
      <c r="D2567" s="3" t="n"/>
      <c r="E2567" s="3" t="n"/>
      <c r="F2567" s="217" t="n"/>
      <c r="G2567" t="inlineStr"/>
      <c r="H2567" t="inlineStr"/>
      <c r="I2567" s="111" t="n"/>
      <c r="J2567" s="217" t="inlineStr"/>
    </row>
    <row r="2568" ht="15.75" customHeight="1" s="305">
      <c r="A2568" s="215" t="n"/>
      <c r="B2568" s="115" t="n"/>
      <c r="C2568" s="67" t="n"/>
      <c r="D2568" s="3" t="n"/>
      <c r="E2568" s="3" t="n"/>
      <c r="F2568" s="217" t="n"/>
      <c r="G2568" t="inlineStr"/>
      <c r="H2568" t="inlineStr"/>
      <c r="I2568" s="111" t="n"/>
      <c r="J2568" s="217" t="inlineStr"/>
    </row>
    <row r="2569" ht="15.75" customHeight="1" s="305">
      <c r="A2569" s="215" t="n"/>
      <c r="B2569" s="115" t="n"/>
      <c r="C2569" s="67" t="n"/>
      <c r="D2569" s="3" t="n"/>
      <c r="E2569" s="3" t="n"/>
      <c r="F2569" s="217" t="n"/>
      <c r="G2569" t="inlineStr"/>
      <c r="H2569" t="inlineStr"/>
      <c r="I2569" s="111" t="n"/>
      <c r="J2569" s="217" t="inlineStr"/>
    </row>
    <row r="2570" ht="15.75" customHeight="1" s="305">
      <c r="A2570" s="215" t="n"/>
      <c r="B2570" s="115" t="n"/>
      <c r="C2570" s="67" t="n"/>
      <c r="D2570" s="3" t="n"/>
      <c r="E2570" s="3" t="n"/>
      <c r="F2570" s="217" t="n"/>
      <c r="G2570" t="inlineStr"/>
      <c r="H2570" t="inlineStr"/>
      <c r="I2570" s="111" t="n"/>
      <c r="J2570" s="217" t="inlineStr"/>
    </row>
    <row r="2571" ht="15.75" customHeight="1" s="305">
      <c r="A2571" s="215" t="n"/>
      <c r="B2571" s="115" t="n"/>
      <c r="C2571" s="67" t="n"/>
      <c r="D2571" s="3" t="n"/>
      <c r="E2571" s="3" t="n"/>
      <c r="F2571" s="217" t="n"/>
      <c r="G2571" t="inlineStr"/>
      <c r="H2571" t="inlineStr"/>
      <c r="I2571" s="111" t="n"/>
      <c r="J2571" s="217" t="inlineStr"/>
    </row>
    <row r="2572" ht="15.75" customHeight="1" s="305">
      <c r="A2572" s="215" t="n"/>
      <c r="B2572" s="115" t="n"/>
      <c r="C2572" s="67" t="n"/>
      <c r="D2572" s="3" t="n"/>
      <c r="E2572" s="3" t="n"/>
      <c r="F2572" s="217" t="n"/>
      <c r="G2572" t="inlineStr"/>
      <c r="H2572" t="inlineStr"/>
      <c r="I2572" s="111" t="n"/>
      <c r="J2572" s="217" t="inlineStr"/>
    </row>
    <row r="2573" ht="15.75" customHeight="1" s="305">
      <c r="A2573" s="215" t="n"/>
      <c r="B2573" s="115" t="n"/>
      <c r="C2573" s="67" t="n"/>
      <c r="D2573" s="3" t="n"/>
      <c r="E2573" s="3" t="n"/>
      <c r="F2573" s="217" t="n"/>
      <c r="G2573" t="inlineStr"/>
      <c r="H2573" t="inlineStr"/>
      <c r="I2573" s="111" t="n"/>
      <c r="J2573" s="217" t="inlineStr"/>
    </row>
    <row r="2574" ht="15.75" customHeight="1" s="305">
      <c r="A2574" s="215" t="n"/>
      <c r="B2574" s="115" t="n"/>
      <c r="C2574" s="67" t="n"/>
      <c r="D2574" s="3" t="n"/>
      <c r="E2574" s="3" t="n"/>
      <c r="F2574" s="217" t="n"/>
      <c r="G2574" t="inlineStr"/>
      <c r="H2574" t="inlineStr"/>
      <c r="I2574" s="111" t="n"/>
      <c r="J2574" s="217" t="inlineStr"/>
    </row>
    <row r="2575" ht="15.75" customHeight="1" s="305">
      <c r="A2575" s="215" t="n"/>
      <c r="B2575" s="115" t="n"/>
      <c r="C2575" s="67" t="n"/>
      <c r="D2575" s="3" t="n"/>
      <c r="E2575" s="3" t="n"/>
      <c r="F2575" s="217" t="n"/>
      <c r="G2575" t="inlineStr"/>
      <c r="H2575" t="inlineStr"/>
      <c r="I2575" s="111" t="n"/>
      <c r="J2575" s="217" t="inlineStr"/>
    </row>
    <row r="2576" ht="15.75" customHeight="1" s="305">
      <c r="A2576" s="215" t="n"/>
      <c r="B2576" s="115" t="n"/>
      <c r="C2576" s="67" t="n"/>
      <c r="D2576" s="3" t="n"/>
      <c r="E2576" s="3" t="n"/>
      <c r="F2576" s="217" t="n"/>
      <c r="G2576" t="inlineStr"/>
      <c r="H2576" t="inlineStr"/>
      <c r="I2576" s="111" t="n"/>
      <c r="J2576" s="217" t="inlineStr"/>
    </row>
    <row r="2577" ht="15.75" customHeight="1" s="305">
      <c r="A2577" s="215" t="n"/>
      <c r="B2577" s="115" t="n"/>
      <c r="C2577" s="67" t="n"/>
      <c r="D2577" s="3" t="n"/>
      <c r="E2577" s="3" t="n"/>
      <c r="F2577" s="217" t="n"/>
      <c r="G2577" t="inlineStr"/>
      <c r="H2577" t="inlineStr"/>
      <c r="I2577" s="111" t="n"/>
      <c r="J2577" s="217" t="inlineStr"/>
    </row>
    <row r="2578" ht="15.75" customHeight="1" s="305">
      <c r="A2578" s="215" t="n"/>
      <c r="B2578" s="115" t="n"/>
      <c r="C2578" s="67" t="n"/>
      <c r="D2578" s="3" t="n"/>
      <c r="E2578" s="3" t="n"/>
      <c r="F2578" s="217" t="n"/>
      <c r="G2578" t="inlineStr"/>
      <c r="H2578" t="inlineStr"/>
      <c r="I2578" s="111" t="n"/>
      <c r="J2578" s="217" t="inlineStr"/>
    </row>
    <row r="2579" ht="15.75" customHeight="1" s="305">
      <c r="A2579" s="215" t="n"/>
      <c r="B2579" s="115" t="n"/>
      <c r="C2579" s="67" t="n"/>
      <c r="D2579" s="3" t="n"/>
      <c r="E2579" s="3" t="n"/>
      <c r="F2579" s="217" t="n"/>
      <c r="G2579" t="inlineStr"/>
      <c r="H2579" t="inlineStr"/>
      <c r="I2579" s="111" t="n"/>
      <c r="J2579" s="217" t="inlineStr"/>
    </row>
    <row r="2580" ht="15.75" customHeight="1" s="305">
      <c r="A2580" s="215" t="n"/>
      <c r="B2580" s="115" t="n"/>
      <c r="C2580" s="67" t="n"/>
      <c r="D2580" s="3" t="n"/>
      <c r="E2580" s="3" t="n"/>
      <c r="F2580" s="217" t="n"/>
      <c r="G2580" t="inlineStr"/>
      <c r="H2580" t="inlineStr"/>
      <c r="I2580" s="111" t="n"/>
      <c r="J2580" s="217" t="inlineStr"/>
    </row>
    <row r="2581" ht="15.75" customHeight="1" s="305">
      <c r="A2581" s="215" t="n"/>
      <c r="B2581" s="115" t="n"/>
      <c r="C2581" s="67" t="n"/>
      <c r="D2581" s="3" t="n"/>
      <c r="E2581" s="3" t="n"/>
      <c r="F2581" s="217" t="n"/>
      <c r="G2581" t="inlineStr"/>
      <c r="H2581" t="inlineStr"/>
      <c r="I2581" s="111" t="n"/>
      <c r="J2581" s="217" t="inlineStr"/>
    </row>
    <row r="2582" ht="15.75" customHeight="1" s="305">
      <c r="A2582" s="215" t="n"/>
      <c r="B2582" s="115" t="n"/>
      <c r="C2582" s="67" t="n"/>
      <c r="D2582" s="3" t="n"/>
      <c r="E2582" s="3" t="n"/>
      <c r="F2582" s="217" t="n"/>
      <c r="G2582" t="inlineStr"/>
      <c r="H2582" t="inlineStr"/>
      <c r="I2582" s="111" t="n"/>
      <c r="J2582" s="217" t="inlineStr"/>
    </row>
    <row r="2583" ht="15.75" customHeight="1" s="305">
      <c r="A2583" s="215" t="n"/>
      <c r="B2583" s="115" t="n"/>
      <c r="C2583" s="67" t="n"/>
      <c r="D2583" s="3" t="n"/>
      <c r="E2583" s="3" t="n"/>
      <c r="F2583" s="217" t="n"/>
      <c r="G2583" t="inlineStr"/>
      <c r="H2583" t="inlineStr"/>
      <c r="I2583" s="111" t="n"/>
      <c r="J2583" s="217" t="inlineStr"/>
    </row>
    <row r="2584" ht="15.75" customHeight="1" s="305">
      <c r="A2584" s="215" t="n"/>
      <c r="B2584" s="115" t="n"/>
      <c r="C2584" s="67" t="n"/>
      <c r="D2584" s="3" t="n"/>
      <c r="E2584" s="3" t="n"/>
      <c r="F2584" s="217" t="n"/>
      <c r="G2584" t="inlineStr"/>
      <c r="H2584" t="inlineStr"/>
      <c r="I2584" s="111" t="n"/>
      <c r="J2584" s="217" t="inlineStr"/>
    </row>
    <row r="2585" ht="15.75" customHeight="1" s="305">
      <c r="A2585" s="215" t="n"/>
      <c r="B2585" s="115" t="n"/>
      <c r="C2585" s="67" t="n"/>
      <c r="D2585" s="3" t="n"/>
      <c r="E2585" s="3" t="n"/>
      <c r="F2585" s="217" t="n"/>
      <c r="G2585" t="inlineStr"/>
      <c r="H2585" t="inlineStr"/>
      <c r="I2585" s="111" t="n"/>
      <c r="J2585" s="217" t="inlineStr"/>
    </row>
    <row r="2586" ht="15.75" customHeight="1" s="305">
      <c r="A2586" s="215" t="n"/>
      <c r="B2586" s="115" t="n"/>
      <c r="C2586" s="67" t="n"/>
      <c r="D2586" s="3" t="n"/>
      <c r="E2586" s="3" t="n"/>
      <c r="F2586" s="217" t="n"/>
      <c r="G2586" t="inlineStr"/>
      <c r="H2586" t="inlineStr"/>
      <c r="I2586" s="111" t="n"/>
      <c r="J2586" s="217" t="inlineStr"/>
    </row>
    <row r="2587" ht="15.75" customHeight="1" s="305">
      <c r="A2587" s="215" t="n"/>
      <c r="B2587" s="115" t="n"/>
      <c r="C2587" s="67" t="n"/>
      <c r="D2587" s="3" t="n"/>
      <c r="E2587" s="3" t="n"/>
      <c r="F2587" s="217" t="n"/>
      <c r="G2587" t="inlineStr"/>
      <c r="H2587" t="inlineStr"/>
      <c r="I2587" s="111" t="n"/>
      <c r="J2587" s="217" t="inlineStr"/>
    </row>
    <row r="2588" ht="15.75" customHeight="1" s="305">
      <c r="A2588" s="215" t="n"/>
      <c r="B2588" s="115" t="n"/>
      <c r="C2588" s="67" t="n"/>
      <c r="D2588" s="3" t="n"/>
      <c r="E2588" s="3" t="n"/>
      <c r="F2588" s="217" t="n"/>
      <c r="G2588" t="inlineStr"/>
      <c r="H2588" t="inlineStr"/>
      <c r="I2588" s="111" t="n"/>
      <c r="J2588" s="217" t="inlineStr"/>
    </row>
    <row r="2589" ht="15.75" customHeight="1" s="305">
      <c r="A2589" s="215" t="n"/>
      <c r="B2589" s="115" t="n"/>
      <c r="C2589" s="67" t="n"/>
      <c r="D2589" s="3" t="n"/>
      <c r="E2589" s="3" t="n"/>
      <c r="F2589" s="217" t="n"/>
      <c r="G2589" t="inlineStr"/>
      <c r="H2589" t="inlineStr"/>
      <c r="I2589" s="111" t="n"/>
      <c r="J2589" s="217" t="inlineStr"/>
    </row>
    <row r="2590" ht="15.75" customHeight="1" s="305">
      <c r="A2590" s="215" t="n"/>
      <c r="B2590" s="115" t="n"/>
      <c r="C2590" s="67" t="n"/>
      <c r="D2590" s="3" t="n"/>
      <c r="E2590" s="3" t="n"/>
      <c r="F2590" s="217" t="n"/>
      <c r="G2590" t="inlineStr"/>
      <c r="H2590" t="inlineStr"/>
      <c r="I2590" s="111" t="n"/>
      <c r="J2590" s="217" t="inlineStr"/>
    </row>
    <row r="2591" ht="15.75" customHeight="1" s="305">
      <c r="A2591" s="215" t="n"/>
      <c r="B2591" s="115" t="n"/>
      <c r="C2591" s="67" t="n"/>
      <c r="D2591" s="3" t="n"/>
      <c r="E2591" s="3" t="n"/>
      <c r="F2591" s="217" t="n"/>
      <c r="G2591" t="inlineStr"/>
      <c r="H2591" t="inlineStr"/>
      <c r="I2591" s="111" t="n"/>
      <c r="J2591" s="217" t="inlineStr"/>
    </row>
    <row r="2592" ht="15.75" customHeight="1" s="305">
      <c r="A2592" s="215" t="n"/>
      <c r="B2592" s="115" t="n"/>
      <c r="C2592" s="67" t="n"/>
      <c r="D2592" s="3" t="n"/>
      <c r="E2592" s="3" t="n"/>
      <c r="F2592" s="217" t="n"/>
      <c r="G2592" t="inlineStr"/>
      <c r="H2592" t="inlineStr"/>
      <c r="I2592" s="111" t="n"/>
      <c r="J2592" s="217" t="inlineStr"/>
    </row>
    <row r="2593" ht="15.75" customHeight="1" s="305">
      <c r="A2593" s="215" t="n"/>
      <c r="B2593" s="115" t="n"/>
      <c r="C2593" s="67" t="n"/>
      <c r="D2593" s="3" t="n"/>
      <c r="E2593" s="3" t="n"/>
      <c r="F2593" s="217" t="n"/>
      <c r="G2593" t="inlineStr"/>
      <c r="H2593" t="inlineStr"/>
      <c r="I2593" s="111" t="n"/>
      <c r="J2593" s="217" t="inlineStr"/>
    </row>
    <row r="2594" ht="15.75" customHeight="1" s="305">
      <c r="A2594" s="215" t="n"/>
      <c r="B2594" s="115" t="n"/>
      <c r="C2594" s="67" t="n"/>
      <c r="D2594" s="3" t="n"/>
      <c r="E2594" s="3" t="n"/>
      <c r="F2594" s="217" t="n"/>
      <c r="G2594" t="inlineStr"/>
      <c r="H2594" t="inlineStr"/>
      <c r="I2594" s="111" t="n"/>
      <c r="J2594" s="217" t="inlineStr"/>
    </row>
    <row r="2595" ht="15.75" customHeight="1" s="305">
      <c r="A2595" s="215" t="n"/>
      <c r="B2595" s="115" t="n"/>
      <c r="C2595" s="67" t="n"/>
      <c r="D2595" s="3" t="n"/>
      <c r="E2595" s="3" t="n"/>
      <c r="F2595" s="217" t="n"/>
      <c r="G2595" t="inlineStr"/>
      <c r="H2595" t="inlineStr"/>
      <c r="I2595" s="111" t="n"/>
      <c r="J2595" s="217" t="inlineStr"/>
    </row>
    <row r="2596" ht="15.75" customHeight="1" s="305">
      <c r="A2596" s="215" t="n"/>
      <c r="B2596" s="115" t="n"/>
      <c r="C2596" s="67" t="n"/>
      <c r="D2596" s="3" t="n"/>
      <c r="E2596" s="3" t="n"/>
      <c r="F2596" s="217" t="n"/>
      <c r="G2596" t="inlineStr"/>
      <c r="H2596" t="inlineStr"/>
      <c r="I2596" s="111" t="n"/>
      <c r="J2596" s="217" t="inlineStr"/>
    </row>
    <row r="2597" ht="15.75" customHeight="1" s="305">
      <c r="A2597" s="215" t="n"/>
      <c r="B2597" s="115" t="n"/>
      <c r="C2597" s="67" t="n"/>
      <c r="D2597" s="3" t="n"/>
      <c r="E2597" s="3" t="n"/>
      <c r="F2597" s="217" t="n"/>
      <c r="G2597" t="inlineStr"/>
      <c r="H2597" t="inlineStr"/>
      <c r="I2597" s="111" t="n"/>
      <c r="J2597" s="217" t="inlineStr"/>
    </row>
    <row r="2598" ht="15.75" customHeight="1" s="305">
      <c r="A2598" s="215" t="n"/>
      <c r="B2598" s="115" t="n"/>
      <c r="C2598" s="67" t="n"/>
      <c r="D2598" s="3" t="n"/>
      <c r="E2598" s="3" t="n"/>
      <c r="F2598" s="217" t="n"/>
      <c r="G2598" t="inlineStr"/>
      <c r="H2598" t="inlineStr"/>
      <c r="I2598" s="111" t="n"/>
      <c r="J2598" s="217" t="inlineStr"/>
    </row>
    <row r="2599" ht="15.75" customHeight="1" s="305">
      <c r="A2599" s="215" t="n"/>
      <c r="B2599" s="115" t="n"/>
      <c r="C2599" s="67" t="n"/>
      <c r="D2599" s="3" t="n"/>
      <c r="E2599" s="3" t="n"/>
      <c r="F2599" s="217" t="n"/>
      <c r="G2599" t="inlineStr"/>
      <c r="H2599" t="inlineStr"/>
      <c r="I2599" s="111" t="n"/>
      <c r="J2599" s="217" t="inlineStr"/>
    </row>
    <row r="2600" ht="15.75" customHeight="1" s="305">
      <c r="A2600" s="215" t="n"/>
      <c r="B2600" s="115" t="n"/>
      <c r="C2600" s="67" t="n"/>
      <c r="D2600" s="3" t="n"/>
      <c r="E2600" s="3" t="n"/>
      <c r="F2600" s="217" t="n"/>
      <c r="G2600" t="inlineStr"/>
      <c r="H2600" t="inlineStr"/>
      <c r="I2600" s="111" t="n"/>
      <c r="J2600" s="217" t="inlineStr"/>
    </row>
    <row r="2601" ht="15.75" customHeight="1" s="305">
      <c r="A2601" s="215" t="n"/>
      <c r="B2601" s="115" t="n"/>
      <c r="C2601" s="67" t="n"/>
      <c r="D2601" s="3" t="n"/>
      <c r="E2601" s="3" t="n"/>
      <c r="F2601" s="217" t="n"/>
      <c r="G2601" t="inlineStr"/>
      <c r="H2601" t="inlineStr"/>
      <c r="I2601" s="111" t="n"/>
      <c r="J2601" s="217" t="inlineStr"/>
    </row>
    <row r="2602" ht="15.75" customHeight="1" s="305">
      <c r="A2602" s="215" t="n"/>
      <c r="B2602" s="115" t="n"/>
      <c r="C2602" s="67" t="n"/>
      <c r="D2602" s="3" t="n"/>
      <c r="E2602" s="3" t="n"/>
      <c r="F2602" s="217" t="n"/>
      <c r="G2602" t="inlineStr"/>
      <c r="H2602" t="inlineStr"/>
      <c r="I2602" s="111" t="n"/>
      <c r="J2602" s="217" t="inlineStr"/>
    </row>
    <row r="2603" ht="15.75" customHeight="1" s="305">
      <c r="A2603" s="215" t="n"/>
      <c r="B2603" s="115" t="n"/>
      <c r="C2603" s="67" t="n"/>
      <c r="D2603" s="3" t="n"/>
      <c r="E2603" s="3" t="n"/>
      <c r="F2603" s="217" t="n"/>
      <c r="G2603" t="inlineStr"/>
      <c r="H2603" t="inlineStr"/>
      <c r="I2603" s="111" t="n"/>
      <c r="J2603" s="217" t="inlineStr"/>
    </row>
    <row r="2604" ht="15.75" customHeight="1" s="305">
      <c r="A2604" s="215" t="n"/>
      <c r="B2604" s="115" t="n"/>
      <c r="C2604" s="67" t="n"/>
      <c r="D2604" s="3" t="n"/>
      <c r="E2604" s="3" t="n"/>
      <c r="F2604" s="217" t="n"/>
      <c r="G2604" t="inlineStr"/>
      <c r="H2604" t="inlineStr"/>
      <c r="I2604" s="111" t="n"/>
      <c r="J2604" s="217" t="inlineStr"/>
    </row>
    <row r="2605" ht="15.75" customHeight="1" s="305">
      <c r="A2605" s="215" t="n"/>
      <c r="B2605" s="115" t="n"/>
      <c r="C2605" s="67" t="n"/>
      <c r="D2605" s="3" t="n"/>
      <c r="E2605" s="3" t="n"/>
      <c r="F2605" s="217" t="n"/>
      <c r="G2605" t="inlineStr"/>
      <c r="H2605" t="inlineStr"/>
      <c r="I2605" s="111" t="n"/>
      <c r="J2605" s="217" t="inlineStr"/>
    </row>
    <row r="2606" ht="15.75" customHeight="1" s="305">
      <c r="A2606" s="215" t="n"/>
      <c r="B2606" s="115" t="n"/>
      <c r="C2606" s="67" t="n"/>
      <c r="D2606" s="3" t="n"/>
      <c r="E2606" s="3" t="n"/>
      <c r="F2606" s="217" t="n"/>
      <c r="G2606" t="inlineStr"/>
      <c r="H2606" t="inlineStr"/>
      <c r="I2606" s="111" t="n"/>
      <c r="J2606" s="217" t="inlineStr"/>
    </row>
    <row r="2607" ht="15.75" customHeight="1" s="305">
      <c r="A2607" s="215" t="n"/>
      <c r="B2607" s="115" t="n"/>
      <c r="C2607" s="67" t="n"/>
      <c r="D2607" s="3" t="n"/>
      <c r="E2607" s="3" t="n"/>
      <c r="F2607" s="217" t="n"/>
      <c r="G2607" t="inlineStr"/>
      <c r="H2607" t="inlineStr"/>
      <c r="I2607" s="111" t="n"/>
      <c r="J2607" s="217" t="inlineStr"/>
    </row>
    <row r="2608" ht="15.75" customHeight="1" s="305">
      <c r="A2608" s="215" t="n"/>
      <c r="B2608" s="115" t="n"/>
      <c r="C2608" s="67" t="n"/>
      <c r="D2608" s="3" t="n"/>
      <c r="E2608" s="3" t="n"/>
      <c r="F2608" s="217" t="n"/>
      <c r="G2608" t="inlineStr"/>
      <c r="H2608" t="inlineStr"/>
      <c r="I2608" s="111" t="n"/>
      <c r="J2608" s="217" t="inlineStr"/>
    </row>
    <row r="2609" ht="15.75" customHeight="1" s="305">
      <c r="A2609" s="215" t="n"/>
      <c r="B2609" s="115" t="n"/>
      <c r="C2609" s="67" t="n"/>
      <c r="D2609" s="3" t="n"/>
      <c r="E2609" s="3" t="n"/>
      <c r="F2609" s="217" t="n"/>
      <c r="G2609" t="inlineStr"/>
      <c r="H2609" t="inlineStr"/>
      <c r="I2609" s="111" t="n"/>
      <c r="J2609" s="217" t="inlineStr"/>
    </row>
    <row r="2610" ht="15.75" customHeight="1" s="305">
      <c r="A2610" s="215" t="n"/>
      <c r="B2610" s="115" t="n"/>
      <c r="C2610" s="67" t="n"/>
      <c r="D2610" s="3" t="n"/>
      <c r="E2610" s="3" t="n"/>
      <c r="F2610" s="217" t="n"/>
      <c r="G2610" t="inlineStr"/>
      <c r="H2610" t="inlineStr"/>
      <c r="I2610" s="111" t="n"/>
      <c r="J2610" s="217" t="inlineStr"/>
    </row>
  </sheetData>
  <autoFilter ref="$B$1:$B$2610"/>
  <pageMargins left="0.7" right="0.7" top="0.75" bottom="0.75" header="0" footer="0"/>
  <pageSetup orientation="landscape"/>
</worksheet>
</file>

<file path=xl/worksheets/sheet6.xml><?xml version="1.0" encoding="utf-8"?>
<worksheet xmlns="http://schemas.openxmlformats.org/spreadsheetml/2006/main">
  <sheetPr>
    <outlinePr summaryBelow="0" summaryRight="0"/>
    <pageSetUpPr/>
  </sheetPr>
  <dimension ref="A1:AC825"/>
  <sheetViews>
    <sheetView workbookViewId="0">
      <selection activeCell="A1" sqref="A1"/>
    </sheetView>
  </sheetViews>
  <sheetFormatPr baseColWidth="8" defaultColWidth="14.43" defaultRowHeight="15" customHeight="1"/>
  <cols>
    <col width="39.29" customWidth="1" style="305" min="1" max="1"/>
    <col width="36.29" customWidth="1" style="305" min="2" max="2"/>
    <col width="30" customWidth="1" style="305" min="3" max="3"/>
    <col width="44" customWidth="1" style="305" min="4" max="4"/>
    <col width="51.29" customWidth="1" style="305" min="5" max="5"/>
    <col width="49" customWidth="1" style="305" min="6" max="7"/>
    <col width="43.14" customWidth="1" style="305" min="8" max="8"/>
  </cols>
  <sheetData>
    <row r="1">
      <c r="A1" s="139" t="inlineStr">
        <is>
          <t>keys</t>
        </is>
      </c>
      <c r="B1" s="139" t="inlineStr">
        <is>
          <t>vi</t>
        </is>
      </c>
      <c r="C1" s="139" t="inlineStr">
        <is>
          <t>en</t>
        </is>
      </c>
      <c r="D1" s="139" t="inlineStr">
        <is>
          <t>cam</t>
        </is>
      </c>
      <c r="E1" s="139" t="inlineStr">
        <is>
          <t>cam-Nita</t>
        </is>
      </c>
      <c r="F1" s="139" t="inlineStr">
        <is>
          <t>Cam-anh Nang</t>
        </is>
      </c>
      <c r="G1" s="139" t="inlineStr">
        <is>
          <t>cam-final</t>
        </is>
      </c>
      <c r="H1" s="139" t="inlineStr">
        <is>
          <t>chinese</t>
        </is>
      </c>
      <c r="I1" s="139" t="inlineStr">
        <is>
          <t>NOTE</t>
        </is>
      </c>
      <c r="J1" s="310" t="inlineStr">
        <is>
          <t>cam Thean</t>
        </is>
      </c>
      <c r="K1" s="139" t="n"/>
      <c r="L1" s="139" t="n"/>
      <c r="M1" s="139" t="n"/>
      <c r="N1" s="139" t="n"/>
      <c r="O1" s="139" t="n"/>
      <c r="P1" s="139" t="n"/>
      <c r="Q1" s="139" t="n"/>
      <c r="R1" s="139" t="n"/>
      <c r="S1" s="139" t="n"/>
      <c r="T1" s="139" t="n"/>
      <c r="U1" s="139" t="n"/>
      <c r="V1" s="139" t="n"/>
      <c r="W1" s="139" t="n"/>
      <c r="X1" s="139" t="n"/>
      <c r="Y1" s="139" t="n"/>
      <c r="Z1" s="139" t="n"/>
      <c r="AA1" s="139" t="n"/>
      <c r="AB1" s="139" t="n"/>
      <c r="AC1" s="139" t="n"/>
    </row>
    <row r="2">
      <c r="A2" s="217" t="inlineStr">
        <is>
          <t>common.search</t>
        </is>
      </c>
      <c r="B2" s="217" t="inlineStr">
        <is>
          <t>Tìm kiếm</t>
        </is>
      </c>
      <c r="C2" s="217" t="inlineStr">
        <is>
          <t>Search</t>
        </is>
      </c>
      <c r="D2" s="217" t="inlineStr">
        <is>
          <t>ស្វែងរក</t>
        </is>
      </c>
      <c r="E2" s="217" t="inlineStr">
        <is>
          <t>ស្វែងរក</t>
        </is>
      </c>
      <c r="F2" s="217" t="inlineStr">
        <is>
          <t>ស្វែងរក</t>
        </is>
      </c>
      <c r="G2" s="217" t="inlineStr">
        <is>
          <t>ស្វែងរក</t>
        </is>
      </c>
      <c r="H2" s="217" t="inlineStr">
        <is>
          <t>搜索</t>
        </is>
      </c>
      <c r="J2" t="inlineStr">
        <is>
          <t>ស្វែងរក</t>
        </is>
      </c>
    </row>
    <row r="3">
      <c r="A3" s="217" t="inlineStr">
        <is>
          <t>common.page</t>
        </is>
      </c>
      <c r="B3" s="217" t="inlineStr">
        <is>
          <t>Trang</t>
        </is>
      </c>
      <c r="C3" s="217" t="inlineStr">
        <is>
          <t>page</t>
        </is>
      </c>
      <c r="D3" s="217" t="inlineStr">
        <is>
          <t>-</t>
        </is>
      </c>
      <c r="E3" s="217" t="inlineStr">
        <is>
          <t>ទំព័រ</t>
        </is>
      </c>
      <c r="F3" s="217" t="inlineStr">
        <is>
          <t>ទំព័រ</t>
        </is>
      </c>
      <c r="G3" s="217" t="inlineStr">
        <is>
          <t>ទំព័រ</t>
        </is>
      </c>
      <c r="H3" s="217" t="inlineStr">
        <is>
          <t>页面</t>
        </is>
      </c>
      <c r="J3" t="inlineStr">
        <is>
          <t>ទំព័រ</t>
        </is>
      </c>
    </row>
    <row r="4">
      <c r="A4" s="217" t="inlineStr">
        <is>
          <t>common.create</t>
        </is>
      </c>
      <c r="B4" s="217" t="inlineStr">
        <is>
          <t>Thêm mới</t>
        </is>
      </c>
      <c r="C4" s="217" t="inlineStr">
        <is>
          <t>Add</t>
        </is>
      </c>
      <c r="D4" s="217" t="inlineStr">
        <is>
          <t>បន្ថែម</t>
        </is>
      </c>
      <c r="E4" s="217" t="inlineStr">
        <is>
          <t>បន្ថែមថ្មី</t>
        </is>
      </c>
      <c r="F4" s="217" t="inlineStr">
        <is>
          <t>បន្ថែមថ្មី</t>
        </is>
      </c>
      <c r="G4" s="217" t="inlineStr">
        <is>
          <t>បន្ថែមថ្មី</t>
        </is>
      </c>
      <c r="H4" s="217" t="inlineStr">
        <is>
          <t>新增</t>
        </is>
      </c>
      <c r="J4" t="inlineStr">
        <is>
          <t>បន្ថែមថ្មី</t>
        </is>
      </c>
    </row>
    <row r="5">
      <c r="A5" s="217" t="inlineStr">
        <is>
          <t>common.titleSearch</t>
        </is>
      </c>
      <c r="B5" s="217" t="inlineStr">
        <is>
          <t>Nhập từ khóa tìm kiếm</t>
        </is>
      </c>
      <c r="C5" s="217" t="inlineStr">
        <is>
          <t>Enter keyword</t>
        </is>
      </c>
      <c r="D5" s="217" t="inlineStr">
        <is>
          <t>បញ្ចូលពាក្យគន្លឹះ</t>
        </is>
      </c>
      <c r="E5" s="217" t="inlineStr">
        <is>
          <t>បញ្ចូលពាក្យគន្លឹះដើម្បីស្វែងរក</t>
        </is>
      </c>
      <c r="F5" s="217" t="inlineStr">
        <is>
          <t>បញ្ចូលពាក្យគន្លឹះស្វែងរក</t>
        </is>
      </c>
      <c r="G5" s="217" t="inlineStr">
        <is>
          <t>បញ្ចូលពាក្យគន្លឹះស្វែងរក</t>
        </is>
      </c>
      <c r="H5" s="217" t="inlineStr">
        <is>
          <t>输入关键词</t>
        </is>
      </c>
      <c r="J5" t="inlineStr">
        <is>
          <t>បញ្ចូលពាក្យគន្លឹះស្វែងរក</t>
        </is>
      </c>
    </row>
    <row r="6">
      <c r="A6" s="217" t="inlineStr">
        <is>
          <t>common.stt</t>
        </is>
      </c>
      <c r="B6" s="217" t="inlineStr">
        <is>
          <t>STT</t>
        </is>
      </c>
      <c r="C6" s="217" t="inlineStr">
        <is>
          <t>No.</t>
        </is>
      </c>
      <c r="D6" s="217" t="inlineStr">
        <is>
          <t>ល.</t>
        </is>
      </c>
      <c r="E6" s="217" t="inlineStr">
        <is>
          <t>ល.រ</t>
        </is>
      </c>
      <c r="F6" s="217" t="inlineStr">
        <is>
          <t>ល.រ</t>
        </is>
      </c>
      <c r="G6" s="217" t="inlineStr">
        <is>
          <t>ល.រ</t>
        </is>
      </c>
      <c r="H6" s="217" t="inlineStr">
        <is>
          <t>序号</t>
        </is>
      </c>
      <c r="J6" t="inlineStr">
        <is>
          <t>ល.រ</t>
        </is>
      </c>
    </row>
    <row r="7">
      <c r="A7" s="217" t="inlineStr">
        <is>
          <t>common.fullname</t>
        </is>
      </c>
      <c r="B7" s="217" t="inlineStr">
        <is>
          <t>Họ và tên</t>
        </is>
      </c>
      <c r="C7" s="217" t="inlineStr">
        <is>
          <t>Full name</t>
        </is>
      </c>
      <c r="D7" s="217" t="inlineStr">
        <is>
          <t>ឈ្មោះពេញ</t>
        </is>
      </c>
      <c r="E7" s="217" t="inlineStr">
        <is>
          <t>គោត្តនាម និងនាម</t>
        </is>
      </c>
      <c r="F7" s="217" t="inlineStr">
        <is>
          <t>ឈ្មោះនិងនាមត្រកូល</t>
        </is>
      </c>
      <c r="G7" s="217" t="inlineStr">
        <is>
          <t>ឈ្មោះពេញ</t>
        </is>
      </c>
      <c r="H7" s="217" t="inlineStr">
        <is>
          <t>姓名</t>
        </is>
      </c>
      <c r="J7" t="inlineStr">
        <is>
          <t>ឈ្មោះពេញ</t>
        </is>
      </c>
    </row>
    <row r="8">
      <c r="A8" s="217" t="inlineStr">
        <is>
          <t>common.address</t>
        </is>
      </c>
      <c r="B8" s="217" t="inlineStr">
        <is>
          <t>Địa chỉ</t>
        </is>
      </c>
      <c r="C8" s="217" t="inlineStr">
        <is>
          <t>Address</t>
        </is>
      </c>
      <c r="D8" s="217" t="inlineStr">
        <is>
          <t>អាសយដ្ឋាន</t>
        </is>
      </c>
      <c r="E8" s="217" t="inlineStr">
        <is>
          <t>អាស័យដ្ឋាន</t>
        </is>
      </c>
      <c r="F8" s="217" t="inlineStr">
        <is>
          <t>អាសយដ្ឋាន</t>
        </is>
      </c>
      <c r="G8" s="217" t="inlineStr">
        <is>
          <t>អាសយដ្ឋាន</t>
        </is>
      </c>
      <c r="H8" s="217" t="inlineStr">
        <is>
          <t>地址</t>
        </is>
      </c>
      <c r="J8" t="inlineStr">
        <is>
          <t>អាសយដ្ឋាន</t>
        </is>
      </c>
    </row>
    <row r="9">
      <c r="A9" s="217" t="inlineStr">
        <is>
          <t>common.email</t>
        </is>
      </c>
      <c r="B9" s="217" t="inlineStr">
        <is>
          <t>Email</t>
        </is>
      </c>
      <c r="C9" s="217" t="inlineStr">
        <is>
          <t>Email</t>
        </is>
      </c>
      <c r="D9" s="217" t="inlineStr">
        <is>
          <t>អ៊ីមែល</t>
        </is>
      </c>
      <c r="E9" s="217" t="inlineStr">
        <is>
          <t>អ៊ីម៉ែល</t>
        </is>
      </c>
      <c r="F9" s="217" t="inlineStr">
        <is>
          <t>អ៊ីមែល</t>
        </is>
      </c>
      <c r="G9" s="217" t="inlineStr">
        <is>
          <t>អ៊ីមែល</t>
        </is>
      </c>
      <c r="H9" s="217" t="inlineStr">
        <is>
          <t>电子邮件</t>
        </is>
      </c>
      <c r="J9" t="inlineStr">
        <is>
          <t>អ៊ីមែល</t>
        </is>
      </c>
    </row>
    <row r="10">
      <c r="A10" s="217" t="inlineStr">
        <is>
          <t>common.phone</t>
        </is>
      </c>
      <c r="B10" s="217" t="inlineStr">
        <is>
          <t>Số điện thoại</t>
        </is>
      </c>
      <c r="C10" s="217" t="inlineStr">
        <is>
          <t>Phone number</t>
        </is>
      </c>
      <c r="D10" s="217" t="inlineStr">
        <is>
          <t>លេខទូរស័ព្ទ</t>
        </is>
      </c>
      <c r="E10" s="217" t="inlineStr">
        <is>
          <t>លេខទូរស័ព្ទ</t>
        </is>
      </c>
      <c r="F10" s="217" t="inlineStr">
        <is>
          <t>លេខទូរស័ព្ទ</t>
        </is>
      </c>
      <c r="G10" s="217" t="inlineStr">
        <is>
          <t>លេខទូរស័ព្ទ</t>
        </is>
      </c>
      <c r="H10" s="217" t="inlineStr">
        <is>
          <t>手机号码</t>
        </is>
      </c>
      <c r="J10" t="inlineStr">
        <is>
          <t>លេខទូរស័ព្ទ</t>
        </is>
      </c>
    </row>
    <row r="11">
      <c r="A11" s="217" t="inlineStr">
        <is>
          <t>common.tool</t>
        </is>
      </c>
      <c r="B11" s="217" t="inlineStr">
        <is>
          <t>Công cụ</t>
        </is>
      </c>
      <c r="C11" s="217" t="inlineStr">
        <is>
          <t>Tool</t>
        </is>
      </c>
      <c r="D11" s="217" t="inlineStr">
        <is>
          <t>ឧបករណ៍</t>
        </is>
      </c>
      <c r="E11" s="217" t="inlineStr">
        <is>
          <t>ឧបករណ៍</t>
        </is>
      </c>
      <c r="F11" s="217" t="inlineStr">
        <is>
          <t>ឧបករណ៍</t>
        </is>
      </c>
      <c r="G11" s="217" t="inlineStr">
        <is>
          <t>ឧបករណ៍</t>
        </is>
      </c>
      <c r="H11" s="217" t="inlineStr">
        <is>
          <t>工具</t>
        </is>
      </c>
      <c r="J11" t="inlineStr">
        <is>
          <t>ឧបករណ៍</t>
        </is>
      </c>
    </row>
    <row r="12">
      <c r="A12" s="217" t="inlineStr">
        <is>
          <t>common.handle</t>
        </is>
      </c>
      <c r="B12" s="217" t="inlineStr">
        <is>
          <t>Thao tác</t>
        </is>
      </c>
      <c r="C12" s="217" t="inlineStr">
        <is>
          <t>Action</t>
        </is>
      </c>
      <c r="D12" s="217" t="inlineStr">
        <is>
          <t>សកម្មភាព</t>
        </is>
      </c>
      <c r="E12" s="217" t="inlineStr">
        <is>
          <t>សកម្មភាព</t>
        </is>
      </c>
      <c r="F12" s="217" t="inlineStr">
        <is>
          <t>សកម្មភាព</t>
        </is>
      </c>
      <c r="G12" s="217" t="inlineStr">
        <is>
          <t>ប្រតិបត្តិការ</t>
        </is>
      </c>
      <c r="H12" s="217" t="inlineStr">
        <is>
          <t>操作</t>
        </is>
      </c>
      <c r="J12" t="inlineStr">
        <is>
          <t>ប្រតិបត្តិការ</t>
        </is>
      </c>
    </row>
    <row r="13">
      <c r="A13" s="217" t="inlineStr">
        <is>
          <t>common.confirm</t>
        </is>
      </c>
      <c r="B13" s="217" t="inlineStr">
        <is>
          <t>Xác nhận</t>
        </is>
      </c>
      <c r="C13" s="217" t="inlineStr">
        <is>
          <t>Confirm</t>
        </is>
      </c>
      <c r="D13" s="217" t="inlineStr">
        <is>
          <t>បញ្ជាក់</t>
        </is>
      </c>
      <c r="E13" s="217" t="inlineStr">
        <is>
          <t>បញ្ជាក់</t>
        </is>
      </c>
      <c r="F13" s="217" t="inlineStr">
        <is>
          <t>ការបញ្ជាក់</t>
        </is>
      </c>
      <c r="G13" s="217" t="inlineStr">
        <is>
          <t>បញ្ជាក់</t>
        </is>
      </c>
      <c r="H13" s="217" t="inlineStr">
        <is>
          <t>确认</t>
        </is>
      </c>
      <c r="J13" t="inlineStr">
        <is>
          <t>បញ្ជាក់</t>
        </is>
      </c>
    </row>
    <row r="14">
      <c r="A14" s="217" t="inlineStr">
        <is>
          <t>common.selectPostOffice</t>
        </is>
      </c>
      <c r="B14" s="217" t="inlineStr">
        <is>
          <t>Bưu cục</t>
        </is>
      </c>
      <c r="C14" s="217" t="inlineStr">
        <is>
          <t>Post office</t>
        </is>
      </c>
      <c r="D14" s="217" t="inlineStr">
        <is>
          <t>ប៉ុស្តិ៍</t>
        </is>
      </c>
      <c r="E14" s="217" t="inlineStr">
        <is>
          <t>ការិយាល័យប្រៃសណីយ៍</t>
        </is>
      </c>
      <c r="F14" s="217" t="inlineStr">
        <is>
          <t>ការិយាល័យប្រៃសណីយ៍</t>
        </is>
      </c>
      <c r="G14" s="217" t="inlineStr">
        <is>
          <t>ការិយាល័យប្រៃសណីយ៍</t>
        </is>
      </c>
      <c r="H14" s="217" t="inlineStr">
        <is>
          <t>邮政网点</t>
        </is>
      </c>
      <c r="J14" t="inlineStr">
        <is>
          <t>ការិយាល័យប្រៃសណីយ៍</t>
        </is>
      </c>
    </row>
    <row r="15">
      <c r="A15" s="217" t="inlineStr">
        <is>
          <t>common.notification</t>
        </is>
      </c>
      <c r="B15" s="217" t="inlineStr">
        <is>
          <t>Thông báo</t>
        </is>
      </c>
      <c r="C15" s="217" t="inlineStr">
        <is>
          <t>Notification</t>
        </is>
      </c>
      <c r="D15" s="217" t="inlineStr">
        <is>
          <t>ការជូនដំណឹង</t>
        </is>
      </c>
      <c r="E15" s="217" t="inlineStr">
        <is>
          <t>ការជូនដំណឹង</t>
        </is>
      </c>
      <c r="F15" s="217" t="inlineStr">
        <is>
          <t>ការជូនដំណឹង</t>
        </is>
      </c>
      <c r="G15" s="217" t="inlineStr">
        <is>
          <t>ការជូនដំណឹង</t>
        </is>
      </c>
      <c r="H15" s="217" t="inlineStr">
        <is>
          <t>通知</t>
        </is>
      </c>
      <c r="J15" t="inlineStr">
        <is>
          <t>ការជូនដំណឹង</t>
        </is>
      </c>
    </row>
    <row r="16">
      <c r="A16" s="217" t="inlineStr">
        <is>
          <t>common.update</t>
        </is>
      </c>
      <c r="B16" s="217" t="inlineStr">
        <is>
          <t>Cập nhật</t>
        </is>
      </c>
      <c r="C16" s="217" t="inlineStr">
        <is>
          <t>Update</t>
        </is>
      </c>
      <c r="D16" s="217" t="inlineStr">
        <is>
          <t>ធ្វើបច្ចុប្បន្នភាព</t>
        </is>
      </c>
      <c r="E16" s="217" t="inlineStr">
        <is>
          <t>អាប់ដេត</t>
        </is>
      </c>
      <c r="F16" s="217" t="inlineStr">
        <is>
          <t>ធ្វើបច្ចុប្បន្នភាព</t>
        </is>
      </c>
      <c r="G16" s="217" t="inlineStr">
        <is>
          <t>ធ្វើបច្ចុប្បន្នភាព</t>
        </is>
      </c>
      <c r="H16" s="217" t="inlineStr">
        <is>
          <t>更新</t>
        </is>
      </c>
      <c r="J16" t="inlineStr">
        <is>
          <t>ធ្វើបច្ចុប្បន្នភាព</t>
        </is>
      </c>
    </row>
    <row r="17">
      <c r="A17" s="217" t="inlineStr">
        <is>
          <t>common.createSuccess</t>
        </is>
      </c>
      <c r="B17" s="217" t="inlineStr">
        <is>
          <t>Thêm mới thành công</t>
        </is>
      </c>
      <c r="C17" s="217" t="inlineStr">
        <is>
          <t>Create and submit order approval successfully</t>
        </is>
      </c>
      <c r="D17" s="217" t="inlineStr">
        <is>
          <t>បង្កើត និងដាក់ស្នើការអនុម័តការបញ្ជាទិញដោយជោគជ័យ</t>
        </is>
      </c>
      <c r="E17" s="217" t="inlineStr">
        <is>
          <t>បន្ថែ្ថមថ្មីបានជោគជ័យ</t>
        </is>
      </c>
      <c r="F17" s="217" t="inlineStr">
        <is>
          <t>បន្ថែមថ្មីដោយជោគជ័យ</t>
        </is>
      </c>
      <c r="G17" s="217" t="inlineStr">
        <is>
          <t>បង្កើត និងដាក់ស្នើអនុម័តការបញ្ជាទិញជោគជ័យ</t>
        </is>
      </c>
      <c r="H17" s="217" t="inlineStr">
        <is>
          <t>创建并提交订单审核成功</t>
        </is>
      </c>
      <c r="J17" t="inlineStr">
        <is>
          <t>បង្កើត និងដាក់ស្នើអនុម័តការបញ្ជាទិញជោគជ័យ</t>
        </is>
      </c>
    </row>
    <row r="18">
      <c r="A18" s="217" t="inlineStr">
        <is>
          <t>common.updateSuccess</t>
        </is>
      </c>
      <c r="B18" s="217" t="inlineStr">
        <is>
          <t>Cập nhật thành công</t>
        </is>
      </c>
      <c r="C18" s="217" t="inlineStr">
        <is>
          <t>Update successful</t>
        </is>
      </c>
      <c r="D18" s="217" t="inlineStr">
        <is>
          <t>ធ្វើបច្ចុប្បន្នភាពបានជោគជ័យ</t>
        </is>
      </c>
      <c r="E18" s="217" t="inlineStr">
        <is>
          <t>អាប់ដេតបានជោគជ័យ</t>
        </is>
      </c>
      <c r="F18" s="217" t="inlineStr">
        <is>
          <t>ធ្វើបច្ចុប្បន្នភាពដោយជោគជ័យ</t>
        </is>
      </c>
      <c r="G18" s="217" t="inlineStr">
        <is>
          <t>ធ្វើបច្ចុប្បន្នភាពជោគជ័យ</t>
        </is>
      </c>
      <c r="H18" s="217" t="inlineStr">
        <is>
          <t>更新成功</t>
        </is>
      </c>
      <c r="J18" t="inlineStr">
        <is>
          <t>ធ្វើបច្ចុប្បន្នភាពជោគជ័យ</t>
        </is>
      </c>
    </row>
    <row r="19">
      <c r="A19" s="217" t="inlineStr">
        <is>
          <t>common.createFail</t>
        </is>
      </c>
      <c r="B19" s="217" t="inlineStr">
        <is>
          <t>Thêm mới thất bại</t>
        </is>
      </c>
      <c r="C19" s="217" t="inlineStr">
        <is>
          <t>Add new failed</t>
        </is>
      </c>
      <c r="D19" s="217" t="inlineStr">
        <is>
          <t>បន្ថែមថ្មីបរាជ័យ</t>
        </is>
      </c>
      <c r="E19" s="217" t="inlineStr">
        <is>
          <t>បន្ថែមថ្មីបរាជ័យ</t>
        </is>
      </c>
      <c r="F19" s="217" t="inlineStr">
        <is>
          <t>បន្ថែមថ្មីបរាជ័យ</t>
        </is>
      </c>
      <c r="G19" s="217" t="inlineStr">
        <is>
          <t>បន្ថែមថ្មីបរាជ័យ</t>
        </is>
      </c>
      <c r="H19" s="217" t="inlineStr">
        <is>
          <t>新增失败</t>
        </is>
      </c>
      <c r="J19" t="inlineStr">
        <is>
          <t>បន្ថែមថ្មីបរាជ័យ</t>
        </is>
      </c>
    </row>
    <row r="20">
      <c r="A20" s="217" t="inlineStr">
        <is>
          <t>common.updateFail</t>
        </is>
      </c>
      <c r="B20" s="217" t="inlineStr">
        <is>
          <t>Cập nhật thất bại</t>
        </is>
      </c>
      <c r="C20" s="217" t="inlineStr">
        <is>
          <t>Update failed</t>
        </is>
      </c>
      <c r="D20" s="217" t="inlineStr">
        <is>
          <t>ធ្វើបច្ចុប្បន្នភាពបរាជ័យ</t>
        </is>
      </c>
      <c r="E20" s="217" t="inlineStr">
        <is>
          <t>អាប់ដេតបរាជ័យ</t>
        </is>
      </c>
      <c r="F20" s="217" t="inlineStr">
        <is>
          <t>ធ្វើបច្ចុប្បន្នភាពបរាជ័យ</t>
        </is>
      </c>
      <c r="G20" s="217" t="inlineStr">
        <is>
          <t>ធ្វើបច្ចុប្បន្នភាពបរាជ័យ</t>
        </is>
      </c>
      <c r="H20" s="217" t="inlineStr">
        <is>
          <t>更新失败</t>
        </is>
      </c>
      <c r="J20" t="inlineStr">
        <is>
          <t>ធ្វើបច្ចុប្បន្នភាពបរាជ័យ</t>
        </is>
      </c>
    </row>
    <row r="21">
      <c r="A21" s="217" t="inlineStr">
        <is>
          <t>common.fail</t>
        </is>
      </c>
      <c r="B21" s="217" t="inlineStr">
        <is>
          <t>Thất bại</t>
        </is>
      </c>
      <c r="C21" s="217" t="inlineStr">
        <is>
          <t>Failed</t>
        </is>
      </c>
      <c r="D21" s="217" t="inlineStr">
        <is>
          <t>បរាជ័យ</t>
        </is>
      </c>
      <c r="E21" s="217" t="inlineStr">
        <is>
          <t>បរាជ័យ</t>
        </is>
      </c>
      <c r="F21" s="217" t="inlineStr">
        <is>
          <t>បរាជ័យ</t>
        </is>
      </c>
      <c r="G21" s="217" t="inlineStr">
        <is>
          <t>បរាជ័យ</t>
        </is>
      </c>
      <c r="H21" s="217" t="inlineStr">
        <is>
          <t>失败</t>
        </is>
      </c>
      <c r="J21" t="inlineStr">
        <is>
          <t>បរាជ័យ</t>
        </is>
      </c>
    </row>
    <row r="22">
      <c r="A22" s="217" t="inlineStr">
        <is>
          <t>common.systemError</t>
        </is>
      </c>
      <c r="B22" s="217" t="inlineStr">
        <is>
          <t>Lỗi hệ thống!</t>
        </is>
      </c>
      <c r="C22" s="217" t="inlineStr">
        <is>
          <t>System error!</t>
        </is>
      </c>
      <c r="D22" s="217" t="inlineStr">
        <is>
          <t>មានកំហុសប្រព័ន្ធ!</t>
        </is>
      </c>
      <c r="E22" s="217" t="inlineStr">
        <is>
          <t>ប្រព័ន្ធមានបញ្ហា</t>
        </is>
      </c>
      <c r="F22" s="217" t="inlineStr">
        <is>
          <t>ប្រព័ន្ធមានបញ្ហា</t>
        </is>
      </c>
      <c r="G22" s="217" t="inlineStr">
        <is>
          <t>កំហុសប្រព័ន្ធ!</t>
        </is>
      </c>
      <c r="H22" s="217" t="inlineStr">
        <is>
          <t>系统错误！</t>
        </is>
      </c>
      <c r="J22" t="inlineStr">
        <is>
          <t>កំហុសប្រព័ន្ធ!</t>
        </is>
      </c>
    </row>
    <row r="23">
      <c r="A23" s="217" t="inlineStr">
        <is>
          <t>common.cancel</t>
        </is>
      </c>
      <c r="B23" s="217" t="inlineStr">
        <is>
          <t>Hủy</t>
        </is>
      </c>
      <c r="C23" s="217" t="inlineStr">
        <is>
          <t>Cancel</t>
        </is>
      </c>
      <c r="D23" s="217" t="inlineStr">
        <is>
          <t>បោះបង់</t>
        </is>
      </c>
      <c r="E23" s="217" t="inlineStr">
        <is>
          <t>លុបចោល</t>
        </is>
      </c>
      <c r="F23" s="217" t="inlineStr">
        <is>
          <t>បោះបង់ចោល</t>
        </is>
      </c>
      <c r="G23" s="217" t="inlineStr">
        <is>
          <t>លុបចោល</t>
        </is>
      </c>
      <c r="H23" s="217" t="inlineStr">
        <is>
          <t>取消</t>
        </is>
      </c>
      <c r="J23" t="inlineStr">
        <is>
          <t>លុបចោល</t>
        </is>
      </c>
    </row>
    <row r="24">
      <c r="A24" s="217" t="inlineStr">
        <is>
          <t>common.save</t>
        </is>
      </c>
      <c r="B24" s="217" t="inlineStr">
        <is>
          <t>Lưu lại</t>
        </is>
      </c>
      <c r="C24" s="217" t="inlineStr">
        <is>
          <t>Save</t>
        </is>
      </c>
      <c r="D24" s="217" t="inlineStr">
        <is>
          <t>រក្សាទុក</t>
        </is>
      </c>
      <c r="E24" s="217" t="inlineStr">
        <is>
          <t>រក្សាទុក</t>
        </is>
      </c>
      <c r="F24" s="217" t="inlineStr">
        <is>
          <t>រក្សាទុក</t>
        </is>
      </c>
      <c r="G24" s="217" t="inlineStr">
        <is>
          <t>រក្សាទុក</t>
        </is>
      </c>
      <c r="H24" s="217" t="inlineStr">
        <is>
          <t>保存</t>
        </is>
      </c>
      <c r="J24" t="inlineStr">
        <is>
          <t>រក្សាទុក</t>
        </is>
      </c>
    </row>
    <row r="25">
      <c r="A25" s="217" t="inlineStr">
        <is>
          <t>common.noneEmpty</t>
        </is>
      </c>
      <c r="B25" s="217" t="inlineStr">
        <is>
          <t>không được để trống</t>
        </is>
      </c>
      <c r="C25" s="217" t="inlineStr">
        <is>
          <t>Cannot be empty</t>
        </is>
      </c>
      <c r="D25" s="217" t="inlineStr">
        <is>
          <t>មិនអាចទទេបាន</t>
        </is>
      </c>
      <c r="E25" s="217" t="inlineStr">
        <is>
          <t>មិនអាចទុកចន្លោះបាន</t>
        </is>
      </c>
      <c r="F25" s="217" t="inlineStr">
        <is>
          <t>មិនអាចទុកទទេបានទេ</t>
        </is>
      </c>
      <c r="G25" s="217" t="inlineStr">
        <is>
          <t>មិនអាចទុកនៅទទេបានទេ</t>
        </is>
      </c>
      <c r="H25" s="217" t="inlineStr">
        <is>
          <t>此项不能为空</t>
        </is>
      </c>
      <c r="J25" t="inlineStr">
        <is>
          <t>មិនអាចទុកនៅទទេបានទេ</t>
        </is>
      </c>
    </row>
    <row r="26">
      <c r="A26" s="217" t="inlineStr">
        <is>
          <t>common.empty</t>
        </is>
      </c>
      <c r="B26" s="217" t="inlineStr">
        <is>
          <t>Không thấy dữ liệu phù hợp</t>
        </is>
      </c>
      <c r="C26" s="217" t="inlineStr">
        <is>
          <t>Incorrect format</t>
        </is>
      </c>
      <c r="D26" s="217" t="inlineStr">
        <is>
          <t>ទ្រង់ទ្រាយមិនត្រឹមត្រូវ</t>
        </is>
      </c>
      <c r="E26" s="217" t="inlineStr">
        <is>
          <t>មិនឃើញមានទិន្នន័យដែលសមស្រប</t>
        </is>
      </c>
      <c r="F26" s="217" t="inlineStr">
        <is>
          <t>រកមិនឃើញទិន្នន័យដែលត្រូវគ្នាទេ</t>
        </is>
      </c>
      <c r="G26" s="217" t="inlineStr">
        <is>
          <t>ទម្រង់មិនត្រឹមត្រូវទេ</t>
        </is>
      </c>
      <c r="H26" s="217" t="inlineStr">
        <is>
          <t>格式不正确</t>
        </is>
      </c>
      <c r="J26" t="inlineStr">
        <is>
          <t>ទម្រង់មិនត្រឹមត្រូវទេ</t>
        </is>
      </c>
    </row>
    <row r="27">
      <c r="A27" s="217" t="inlineStr">
        <is>
          <t>common.ok</t>
        </is>
      </c>
      <c r="B27" s="217" t="inlineStr">
        <is>
          <t>Ok</t>
        </is>
      </c>
      <c r="C27" s="217" t="inlineStr">
        <is>
          <t>Ok</t>
        </is>
      </c>
      <c r="D27" s="217" t="inlineStr">
        <is>
          <t>យល់ព្រម</t>
        </is>
      </c>
      <c r="E27" s="217" t="inlineStr">
        <is>
          <t>យល់ព្រម</t>
        </is>
      </c>
      <c r="F27" s="217" t="inlineStr">
        <is>
          <t>យល់ព្រម</t>
        </is>
      </c>
      <c r="G27" s="217" t="inlineStr">
        <is>
          <t>យល់ព្រម</t>
        </is>
      </c>
      <c r="H27" s="217" t="inlineStr">
        <is>
          <t>确定</t>
        </is>
      </c>
      <c r="J27" t="inlineStr">
        <is>
          <t>យល់ព្រម</t>
        </is>
      </c>
    </row>
    <row r="28">
      <c r="A28" s="217" t="inlineStr">
        <is>
          <t>common.record</t>
        </is>
      </c>
      <c r="B28" s="217" t="inlineStr">
        <is>
          <t>Bản ghi</t>
        </is>
      </c>
      <c r="C28" s="217" t="inlineStr">
        <is>
          <t>Record</t>
        </is>
      </c>
      <c r="D28" s="217" t="inlineStr">
        <is>
          <t>កត់ត្រា</t>
        </is>
      </c>
      <c r="E28" s="217" t="inlineStr">
        <is>
          <t>កត់ត្រា</t>
        </is>
      </c>
      <c r="F28" s="217" t="inlineStr">
        <is>
          <t>កត់ត្រា</t>
        </is>
      </c>
      <c r="G28" s="217" t="inlineStr">
        <is>
          <t>កំណត់ត្រា</t>
        </is>
      </c>
      <c r="H28" s="217" t="inlineStr">
        <is>
          <t>记录</t>
        </is>
      </c>
      <c r="J28" t="inlineStr">
        <is>
          <t>កំណត់ត្រា</t>
        </is>
      </c>
    </row>
    <row r="29">
      <c r="A29" s="217" t="inlineStr">
        <is>
          <t>common.close</t>
        </is>
      </c>
      <c r="B29" s="217" t="inlineStr">
        <is>
          <t>Đóng</t>
        </is>
      </c>
      <c r="C29" s="217" t="inlineStr">
        <is>
          <t>Close</t>
        </is>
      </c>
      <c r="D29" s="217" t="inlineStr">
        <is>
          <t>បិទ</t>
        </is>
      </c>
      <c r="E29" s="217" t="inlineStr">
        <is>
          <t>បិទ</t>
        </is>
      </c>
      <c r="F29" s="217" t="inlineStr">
        <is>
          <t>បិទ</t>
        </is>
      </c>
      <c r="G29" s="217" t="inlineStr">
        <is>
          <t>បិទ</t>
        </is>
      </c>
      <c r="H29" s="217" t="inlineStr">
        <is>
          <t>关闭</t>
        </is>
      </c>
      <c r="J29" t="inlineStr">
        <is>
          <t>បិទ</t>
        </is>
      </c>
    </row>
    <row r="30">
      <c r="A30" s="217" t="inlineStr">
        <is>
          <t>common.validateEmail</t>
        </is>
      </c>
      <c r="B30" s="217" t="inlineStr">
        <is>
          <t>Vui lòng điền đúng định dạng email</t>
        </is>
      </c>
      <c r="C30" s="217" t="inlineStr">
        <is>
          <t>Please enter a valid email format</t>
        </is>
      </c>
      <c r="D30" s="217" t="inlineStr">
        <is>
          <t>សូមបញ្ចូលអ៊ីមែលទ្រង់ទ្រាយត្រឹមត្រូវ</t>
        </is>
      </c>
      <c r="E30" s="217" t="inlineStr">
        <is>
          <t>សូមបញ្ចូលឲ្យត្រូវតាមទម្រង់អ៊ីម៉ែល</t>
        </is>
      </c>
      <c r="F30" s="217" t="inlineStr">
        <is>
          <t>សូមបំពេញទម្រង់អ៊ីមែលត្រឹមត្រូវ</t>
        </is>
      </c>
      <c r="G30" s="217" t="inlineStr">
        <is>
          <t>សូមបញ្ចូលទម្រង់អ៊ីមែលឲ្យបានត្រឹមត្រូវ</t>
        </is>
      </c>
      <c r="H30" s="217" t="inlineStr">
        <is>
          <t>请输入有效的邮箱格式</t>
        </is>
      </c>
      <c r="J30" t="inlineStr">
        <is>
          <t>សូមបញ្ចូលទម្រង់អ៊ីមែលឲ្យបានត្រឹមត្រូវ</t>
        </is>
      </c>
    </row>
    <row r="31">
      <c r="A31" s="217" t="inlineStr">
        <is>
          <t>common.all</t>
        </is>
      </c>
      <c r="B31" s="217" t="inlineStr">
        <is>
          <t>Tất cả</t>
        </is>
      </c>
      <c r="C31" s="217" t="inlineStr">
        <is>
          <t>All</t>
        </is>
      </c>
      <c r="D31" s="217" t="inlineStr">
        <is>
          <t>ទាំងអស់</t>
        </is>
      </c>
      <c r="E31" s="217" t="inlineStr">
        <is>
          <t>ទាំងអស់</t>
        </is>
      </c>
      <c r="F31" s="217" t="inlineStr">
        <is>
          <t>ទាំងអស់</t>
        </is>
      </c>
      <c r="G31" s="217" t="inlineStr">
        <is>
          <t>ទាំងអស់</t>
        </is>
      </c>
      <c r="H31" s="217" t="inlineStr">
        <is>
          <t>全部</t>
        </is>
      </c>
      <c r="J31" t="inlineStr">
        <is>
          <t>ទាំងអស់</t>
        </is>
      </c>
    </row>
    <row r="32">
      <c r="A32" s="217" t="inlineStr">
        <is>
          <t>common.total</t>
        </is>
      </c>
      <c r="B32" s="217" t="inlineStr">
        <is>
          <t>Tổng</t>
        </is>
      </c>
      <c r="C32" s="217" t="inlineStr">
        <is>
          <t>Total</t>
        </is>
      </c>
      <c r="D32" s="217" t="inlineStr">
        <is>
          <t>សរុប</t>
        </is>
      </c>
      <c r="E32" s="217" t="inlineStr">
        <is>
          <t>សរុប</t>
        </is>
      </c>
      <c r="F32" s="217" t="inlineStr">
        <is>
          <t>សរុប</t>
        </is>
      </c>
      <c r="G32" s="217" t="inlineStr">
        <is>
          <t>សរុប</t>
        </is>
      </c>
      <c r="H32" s="217" t="inlineStr">
        <is>
          <t>总计</t>
        </is>
      </c>
      <c r="J32" t="inlineStr">
        <is>
          <t>សរុប</t>
        </is>
      </c>
    </row>
    <row r="33">
      <c r="A33" s="217" t="inlineStr">
        <is>
          <t>common.hello</t>
        </is>
      </c>
      <c r="B33" s="217" t="inlineStr">
        <is>
          <t>Xin chào</t>
        </is>
      </c>
      <c r="C33" s="217" t="inlineStr">
        <is>
          <t>Hello</t>
        </is>
      </c>
      <c r="D33" s="217" t="inlineStr">
        <is>
          <t>សួស្ដី</t>
        </is>
      </c>
      <c r="E33" s="217" t="inlineStr">
        <is>
          <t>សួស្តី</t>
        </is>
      </c>
      <c r="F33" s="217" t="inlineStr">
        <is>
          <t>សួស្តី</t>
        </is>
      </c>
      <c r="G33" s="217" t="inlineStr">
        <is>
          <t>សួស្តី</t>
        </is>
      </c>
      <c r="H33" s="217" t="inlineStr">
        <is>
          <t>您好</t>
        </is>
      </c>
      <c r="J33" t="inlineStr">
        <is>
          <t>សួស្តី</t>
        </is>
      </c>
    </row>
    <row r="34">
      <c r="A34" s="217" t="inlineStr">
        <is>
          <t>common.lookUpOrders</t>
        </is>
      </c>
      <c r="B34" s="217" t="inlineStr">
        <is>
          <t>Nhập mã vận đơn, sđt</t>
        </is>
      </c>
      <c r="C34" s="217" t="inlineStr">
        <is>
          <t>Enter tracking number, phone number</t>
        </is>
      </c>
      <c r="D34" s="217" t="inlineStr">
        <is>
          <t>បញ្ចូលលេខកូដដឹកជញ្ជូន ឬ លេខទូរស័ព្ទ</t>
        </is>
      </c>
      <c r="E34" s="217" t="inlineStr">
        <is>
          <t>បញ្ចូលលេខកូដដឹកជញ្ជូន លេខទូរស័ព្ទ</t>
        </is>
      </c>
      <c r="F34" s="217" t="inlineStr">
        <is>
          <t>បញ្ចូលលេខកូដប៉ុងបញ្ញើ លេខទូរស័ព្ទ</t>
        </is>
      </c>
      <c r="G34" s="217" t="inlineStr">
        <is>
          <t>បញ្ចូលលេខកូដបញ្ញើ ឬលេខទូរស័ព្ទ</t>
        </is>
      </c>
      <c r="H34" s="217" t="inlineStr">
        <is>
          <t>请输入运单号、手机号</t>
        </is>
      </c>
      <c r="J34" t="inlineStr">
        <is>
          <t>បញ្ចូលលេខកូដបញ្ញើ ឬលេខទូរស័ព្ទ</t>
        </is>
      </c>
    </row>
    <row r="35">
      <c r="A35" s="217" t="inlineStr">
        <is>
          <t>common.lookUpOrdersHeader</t>
        </is>
      </c>
      <c r="B35" s="217" t="inlineStr">
        <is>
          <t>Tra cứu đơn hàng</t>
        </is>
      </c>
      <c r="C35" s="217" t="inlineStr">
        <is>
          <t>Track orders</t>
        </is>
      </c>
      <c r="D35" s="217" t="inlineStr">
        <is>
          <t>ស្វែងរកការបញ្ជាទិញ</t>
        </is>
      </c>
      <c r="E35" s="217" t="inlineStr">
        <is>
          <t>ស្វែងរកបុងបញ្ញើ</t>
        </is>
      </c>
      <c r="F35" s="217" t="inlineStr">
        <is>
          <t>ស្វែងរកប៉ុងបញ្ញើ</t>
        </is>
      </c>
      <c r="G35" s="217" t="inlineStr">
        <is>
          <t>តាមដានបញ្ញើ</t>
        </is>
      </c>
      <c r="H35" s="217" t="inlineStr">
        <is>
          <t>订单追踪</t>
        </is>
      </c>
      <c r="J35" t="inlineStr">
        <is>
          <t>តាមដានបញ្ញើ</t>
        </is>
      </c>
    </row>
    <row r="36">
      <c r="A36" s="217" t="inlineStr">
        <is>
          <t>common.home</t>
        </is>
      </c>
      <c r="B36" s="217" t="inlineStr">
        <is>
          <t>Trang chủ</t>
        </is>
      </c>
      <c r="C36" s="217" t="inlineStr">
        <is>
          <t>Home</t>
        </is>
      </c>
      <c r="D36" s="217" t="inlineStr">
        <is>
          <t>ទំព័រដើម</t>
        </is>
      </c>
      <c r="E36" s="217" t="inlineStr">
        <is>
          <t>ទំព័រដើម</t>
        </is>
      </c>
      <c r="F36" s="217" t="inlineStr">
        <is>
          <t>ទំព័រដើម</t>
        </is>
      </c>
      <c r="G36" s="217" t="inlineStr">
        <is>
          <t>ទំព័រដើម</t>
        </is>
      </c>
      <c r="H36" s="217" t="inlineStr">
        <is>
          <t>首页</t>
        </is>
      </c>
      <c r="J36" t="inlineStr">
        <is>
          <t>ទំព័រដើម</t>
        </is>
      </c>
    </row>
    <row r="37">
      <c r="A37" s="217" t="inlineStr">
        <is>
          <t>common.createOrder</t>
        </is>
      </c>
      <c r="B37" s="217" t="inlineStr">
        <is>
          <t>Tạo đơn</t>
        </is>
      </c>
      <c r="C37" s="217" t="inlineStr">
        <is>
          <t>Create order</t>
        </is>
      </c>
      <c r="D37" s="217" t="inlineStr">
        <is>
          <t>បង្កើតបញ្ជាទិញ</t>
        </is>
      </c>
      <c r="E37" s="217" t="inlineStr">
        <is>
          <t>បង្កើតបុងបញ្ញើ</t>
        </is>
      </c>
      <c r="F37" s="217" t="inlineStr">
        <is>
          <t>បង្កើតប៉ុងបញ្ញើ</t>
        </is>
      </c>
      <c r="G37" s="217" t="inlineStr">
        <is>
          <t>បង្កើតការបញ្ជាទិញ</t>
        </is>
      </c>
      <c r="H37" s="217" t="inlineStr">
        <is>
          <t>创建订单</t>
        </is>
      </c>
      <c r="J37" t="inlineStr">
        <is>
          <t>បង្កើតការបញ្ជាទិញ</t>
        </is>
      </c>
    </row>
    <row r="38">
      <c r="A38" s="217" t="inlineStr">
        <is>
          <t>common.management</t>
        </is>
      </c>
      <c r="B38" s="217" t="inlineStr">
        <is>
          <t>Quản lý</t>
        </is>
      </c>
      <c r="C38" s="217" t="inlineStr">
        <is>
          <t>Management</t>
        </is>
      </c>
      <c r="D38" s="217" t="inlineStr">
        <is>
          <t>ការគ្រប់គ្រង</t>
        </is>
      </c>
      <c r="E38" s="217" t="inlineStr">
        <is>
          <t>គ្រប់គ្រង</t>
        </is>
      </c>
      <c r="F38" s="217" t="inlineStr">
        <is>
          <t>គ្រប់គ្រង</t>
        </is>
      </c>
      <c r="G38" s="217" t="inlineStr">
        <is>
          <t>ការគ្រប់គ្រង</t>
        </is>
      </c>
      <c r="H38" s="217" t="inlineStr">
        <is>
          <t>管理</t>
        </is>
      </c>
      <c r="J38" t="inlineStr">
        <is>
          <t>ការគ្រប់គ្រង</t>
        </is>
      </c>
    </row>
    <row r="39">
      <c r="A39" s="217" t="inlineStr">
        <is>
          <t>common.managementOrders</t>
        </is>
      </c>
      <c r="B39" s="217" t="inlineStr">
        <is>
          <t>Quản lý vận đơn</t>
        </is>
      </c>
      <c r="C39" s="217" t="inlineStr">
        <is>
          <t>Order management</t>
        </is>
      </c>
      <c r="D39" s="217" t="inlineStr">
        <is>
          <t>គ្រប់គ្រងការដឹកជញ្ជូន</t>
        </is>
      </c>
      <c r="E39" s="217" t="inlineStr">
        <is>
          <t>គ្រប់គ្រងការដឹកជញ្ជូន</t>
        </is>
      </c>
      <c r="F39" s="217" t="inlineStr">
        <is>
          <t>គ្រប់គ្រងការដឹកជញ្ជូន</t>
        </is>
      </c>
      <c r="G39" s="217" t="inlineStr">
        <is>
          <t>គ្រប់គ្រងការបញ្ជាទិញ</t>
        </is>
      </c>
      <c r="H39" s="217" t="inlineStr">
        <is>
          <t>订单管理</t>
        </is>
      </c>
      <c r="J39" t="inlineStr">
        <is>
          <t>គ្រប់គ្រងការបញ្ជាទិញ</t>
        </is>
      </c>
    </row>
    <row r="40">
      <c r="A40" s="217" t="inlineStr">
        <is>
          <t>common.cashFlowStatistics</t>
        </is>
      </c>
      <c r="B40" s="217" t="inlineStr">
        <is>
          <t>Thống kê tiền hàng</t>
        </is>
      </c>
      <c r="C40" s="217" t="inlineStr">
        <is>
          <t>Cash flow statistics</t>
        </is>
      </c>
      <c r="D40" s="217" t="inlineStr">
        <is>
          <t>ស្ថិតិលំហូរប្រាក់</t>
        </is>
      </c>
      <c r="E40" s="217" t="inlineStr">
        <is>
          <t>ស្ថិតិប្រាក់អីវ៉ាន់</t>
        </is>
      </c>
      <c r="F40" s="217" t="inlineStr">
        <is>
          <t>ស្ថិតិចំនួនទឹកប្រាក់ឥវ៉ាន់</t>
        </is>
      </c>
      <c r="G40" s="217" t="inlineStr">
        <is>
          <t>ស្ថិតិលំហូរសាច់ប្រាក់</t>
        </is>
      </c>
      <c r="H40" s="217" t="inlineStr">
        <is>
          <t>资金流水统计</t>
        </is>
      </c>
      <c r="J40" t="inlineStr">
        <is>
          <t>ស្ថិតិលំហូរសាច់ប្រាក់</t>
        </is>
      </c>
    </row>
    <row r="41">
      <c r="A41" s="217" t="inlineStr">
        <is>
          <t>common.invoiceManagement</t>
        </is>
      </c>
      <c r="B41" s="217" t="inlineStr">
        <is>
          <t>Quản lý xuất hoá đơn</t>
        </is>
      </c>
      <c r="C41" s="217" t="inlineStr">
        <is>
          <t>Invoice Issurance Management</t>
        </is>
      </c>
      <c r="D41" s="217" t="inlineStr">
        <is>
          <t>-</t>
        </is>
      </c>
      <c r="E41" s="217" t="inlineStr">
        <is>
          <t>គ្រប់គ្រងការចេញបុងបញ្ញើ</t>
        </is>
      </c>
      <c r="F41" s="217" t="inlineStr">
        <is>
          <t>គ្រប់គ្រងការចេញវិក្កយបត្រ</t>
        </is>
      </c>
      <c r="G41" s="217" t="inlineStr">
        <is>
          <t>គ្រប់គ្រងការចេញវិក្កយបត្រ</t>
        </is>
      </c>
      <c r="H41" s="217" t="inlineStr">
        <is>
          <t>发票开具管理</t>
        </is>
      </c>
      <c r="J41" t="inlineStr">
        <is>
          <t>គ្រប់គ្រងការចេញវិក្កយបត្រ</t>
        </is>
      </c>
    </row>
    <row r="42">
      <c r="A42" s="217" t="inlineStr">
        <is>
          <t>common.expireToken</t>
        </is>
      </c>
      <c r="B42" s="217" t="inlineStr">
        <is>
          <t>Phiên đăng nhập hết hạn, vui lòng đăng nhập lại</t>
        </is>
      </c>
      <c r="C42" s="217" t="inlineStr">
        <is>
          <t>Session expired, please log in again</t>
        </is>
      </c>
      <c r="D42" s="217" t="inlineStr">
        <is>
          <t>សម័យចូលបានផុតកំណត់ សូមចូលឡើងវិញ</t>
        </is>
      </c>
      <c r="E42" s="217" t="inlineStr">
        <is>
          <t>ការចូលរបស់អ្នកផុតកំណត់ហើយ សូមចូលម្តងទៀត</t>
        </is>
      </c>
      <c r="F42" s="217" t="inlineStr">
        <is>
          <t>វគ្គចូលផុតកំណត់ សូមចូលម្តងទៀត</t>
        </is>
      </c>
      <c r="G42" s="217" t="inlineStr">
        <is>
          <t>សម័យការចូលប្រើប្រាស់បានផុតកំណត់ សូមចូលប្រព័ន្ធម្តងទៀត</t>
        </is>
      </c>
      <c r="H42" s="217" t="inlineStr">
        <is>
          <t>对话已过期，请重新登录</t>
        </is>
      </c>
      <c r="J42" t="inlineStr">
        <is>
          <t>សម័យការចូលប្រើប្រាស់បានផុតកំណត់ សូមចូលប្រព័ន្ធម្តងទៀត</t>
        </is>
      </c>
    </row>
    <row r="43">
      <c r="A43" s="217" t="inlineStr">
        <is>
          <t>common.disconnectServer</t>
        </is>
      </c>
      <c r="B43" s="217" t="inlineStr">
        <is>
          <t>Mất kết nối đến máy chủ. Vui lòng thử lại</t>
        </is>
      </c>
      <c r="C43" s="217" t="inlineStr">
        <is>
          <t>Lost connection to server. Please try again</t>
        </is>
      </c>
      <c r="D43" s="217" t="inlineStr">
        <is>
          <t>បាត់ការភ្ជាប់ទៅម៉ាស៊ីនបម្រើ។ សូមព្យាយាមម្តងទៀត</t>
        </is>
      </c>
      <c r="E43" s="217" t="inlineStr">
        <is>
          <t>បាត់បង់ការភ្ជាប់ទៅកាន់ម៉ាសុីនមេ សូមសាកល្បងម្តងទៀត</t>
        </is>
      </c>
      <c r="F43" s="217" t="inlineStr">
        <is>
          <t>បាត់ការភ្ជាប់ទៅម៉ាស៊ីនបម្រើ។ សូមព្យាយាមម្តងទៀត</t>
        </is>
      </c>
      <c r="G43" s="217" t="inlineStr">
        <is>
          <t>ដាច់ការតភ្ជាប់ទៅកាន់ម៉ាស៊ីនបម្រើ សូមព្យាយាមម្តងទៀត</t>
        </is>
      </c>
      <c r="H43" s="217" t="inlineStr">
        <is>
          <t>服务器连接失败，请重试</t>
        </is>
      </c>
      <c r="J43" t="inlineStr">
        <is>
          <t>ដាច់ការតភ្ជាប់ទៅកាន់ម៉ាស៊ីនបម្រើ សូមព្យាយាមម្តងទៀត</t>
        </is>
      </c>
    </row>
    <row r="44">
      <c r="A44" s="217" t="inlineStr">
        <is>
          <t>common.noData</t>
        </is>
      </c>
      <c r="B44" s="217" t="inlineStr">
        <is>
          <t>Không có dữ liệu</t>
        </is>
      </c>
      <c r="C44" s="217" t="inlineStr">
        <is>
          <t>No data</t>
        </is>
      </c>
      <c r="D44" s="217" t="inlineStr">
        <is>
          <t>គ្មានទិន្នន័យ</t>
        </is>
      </c>
      <c r="E44" s="217" t="inlineStr">
        <is>
          <t>មិនមានទិន្នន័យ</t>
        </is>
      </c>
      <c r="F44" s="217" t="inlineStr">
        <is>
          <t>គ្មានទិន្នន័យ</t>
        </is>
      </c>
      <c r="G44" s="217" t="inlineStr">
        <is>
          <t>មិនមានទិន្នន័យទេ</t>
        </is>
      </c>
      <c r="H44" s="217" t="inlineStr">
        <is>
          <t>暂无数据</t>
        </is>
      </c>
      <c r="J44" t="inlineStr">
        <is>
          <t>មិនមានទិន្នន័យទេ</t>
        </is>
      </c>
    </row>
    <row r="45">
      <c r="A45" s="217" t="inlineStr">
        <is>
          <t>common.pleaseSelectBill</t>
        </is>
      </c>
      <c r="B45" s="217" t="inlineStr">
        <is>
          <t>Vui lòng chọn đơn hàng</t>
        </is>
      </c>
      <c r="C45" s="217" t="inlineStr">
        <is>
          <t>Please select an order</t>
        </is>
      </c>
      <c r="D45" s="217" t="inlineStr">
        <is>
          <t>សូមជ្រើសរើសការបញ្ជាទិញ</t>
        </is>
      </c>
      <c r="E45" s="217" t="inlineStr">
        <is>
          <t>សូមជ្រើសរើសបុងបញ្ញើ</t>
        </is>
      </c>
      <c r="F45" s="217" t="inlineStr">
        <is>
          <t>សូមជ្រើសរើសការបញ្ញើ</t>
        </is>
      </c>
      <c r="G45" s="217" t="inlineStr">
        <is>
          <t>សូមជ្រើសរើសបញ្ញើមួយ</t>
        </is>
      </c>
      <c r="H45" s="217" t="inlineStr">
        <is>
          <t>请选择一个订单</t>
        </is>
      </c>
      <c r="J45" t="inlineStr">
        <is>
          <t>សូមជ្រើសរើសបញ្ញើមួយ</t>
        </is>
      </c>
    </row>
    <row r="46">
      <c r="A46" s="217" t="inlineStr">
        <is>
          <t>common.createOrderExcel</t>
        </is>
      </c>
      <c r="B46" s="217" t="inlineStr">
        <is>
          <t>Tạo đơn excel</t>
        </is>
      </c>
      <c r="C46" s="217" t="inlineStr">
        <is>
          <t>Create order by Excel</t>
        </is>
      </c>
      <c r="D46" s="217" t="inlineStr">
        <is>
          <t>បង្កើតបញ្ជាទិញ Excel</t>
        </is>
      </c>
      <c r="E46" s="217" t="inlineStr">
        <is>
          <t>បង្កើតបុងបញ្ញើ excel</t>
        </is>
      </c>
      <c r="F46" s="217" t="inlineStr">
        <is>
          <t>បង្កើតប៉ុងបញ្ញើ Excel</t>
        </is>
      </c>
      <c r="G46" s="217" t="inlineStr">
        <is>
          <t>បង្កើតបញ្ញើតាមរយៈ Excel</t>
        </is>
      </c>
      <c r="H46" s="217" t="inlineStr">
        <is>
          <t>通过Excel创建订单</t>
        </is>
      </c>
      <c r="J46" t="inlineStr">
        <is>
          <t>បង្កើតបញ្ញើតាមរយៈ Excel</t>
        </is>
      </c>
    </row>
    <row r="47">
      <c r="A47" s="217" t="inlineStr">
        <is>
          <t>common.seeDetail</t>
        </is>
      </c>
      <c r="B47" s="217" t="inlineStr">
        <is>
          <t>Xem chi tiết</t>
        </is>
      </c>
      <c r="C47" s="217" t="inlineStr">
        <is>
          <t>See details</t>
        </is>
      </c>
      <c r="D47" s="217" t="inlineStr">
        <is>
          <t>មើលព័ត៌មានលម្អិត</t>
        </is>
      </c>
      <c r="E47" s="217" t="inlineStr">
        <is>
          <t>មើលលម្អិត</t>
        </is>
      </c>
      <c r="F47" s="217" t="inlineStr">
        <is>
          <t>មើលព័ត៌មានលម្អិត</t>
        </is>
      </c>
      <c r="G47" s="217" t="inlineStr">
        <is>
          <t>មើលព័ត៌មានលម្អិត</t>
        </is>
      </c>
      <c r="H47" s="217" t="inlineStr">
        <is>
          <t>查看详情</t>
        </is>
      </c>
      <c r="J47" t="inlineStr">
        <is>
          <t>មើលព័ត៌មានលម្អិត</t>
        </is>
      </c>
    </row>
    <row r="48">
      <c r="A48" s="217" t="inlineStr">
        <is>
          <t>common.pleaseReloadPage</t>
        </is>
      </c>
      <c r="B48" s="217" t="inlineStr">
        <is>
          <t>Vui lòng tải lại trang!</t>
        </is>
      </c>
      <c r="C48" s="217" t="inlineStr">
        <is>
          <t>Please reload the page!</t>
        </is>
      </c>
      <c r="D48" s="217" t="inlineStr">
        <is>
          <t>សូមផ្ទុកទំព័រឡើងវិញ!</t>
        </is>
      </c>
      <c r="E48" s="217" t="inlineStr">
        <is>
          <t>សូមទាញយកទំព័រម្តងទៀត!</t>
        </is>
      </c>
      <c r="F48" s="217" t="inlineStr">
        <is>
          <t xml:space="preserve">សូមផ្ទុកទំព័រឡើងវិញ! </t>
        </is>
      </c>
      <c r="G48" s="217" t="inlineStr">
        <is>
          <t>សូមដំណើរការទំព័រឡើងវិញ!</t>
        </is>
      </c>
      <c r="H48" s="217" t="inlineStr">
        <is>
          <t>请刷新页面</t>
        </is>
      </c>
      <c r="J48" t="inlineStr">
        <is>
          <t>សូមដំណើរការទំព័រឡើងវិញ!</t>
        </is>
      </c>
    </row>
    <row r="49">
      <c r="A49" s="217" t="inlineStr">
        <is>
          <t>common.reload</t>
        </is>
      </c>
      <c r="B49" s="217" t="inlineStr">
        <is>
          <t>Tải lại</t>
        </is>
      </c>
      <c r="C49" s="217" t="inlineStr">
        <is>
          <t>Reload</t>
        </is>
      </c>
      <c r="D49" s="217" t="inlineStr">
        <is>
          <t>ផ្ទុកឡើងវិញ</t>
        </is>
      </c>
      <c r="E49" s="217" t="inlineStr">
        <is>
          <t>ទាញយកម្តងទៀត</t>
        </is>
      </c>
      <c r="F49" s="217" t="inlineStr">
        <is>
          <t>ផ្ទុកឡើងវិញ</t>
        </is>
      </c>
      <c r="G49" s="217" t="inlineStr">
        <is>
          <t>ដំណើរការឡើងវិញ</t>
        </is>
      </c>
      <c r="H49" s="217" t="inlineStr">
        <is>
          <t>刷新</t>
        </is>
      </c>
      <c r="J49" t="inlineStr">
        <is>
          <t>ដំណើរការឡើងវិញ</t>
        </is>
      </c>
    </row>
    <row r="50">
      <c r="A50" s="217" t="inlineStr">
        <is>
          <t>common.logout</t>
        </is>
      </c>
      <c r="B50" s="217" t="inlineStr">
        <is>
          <t>Đăng xuất</t>
        </is>
      </c>
      <c r="C50" s="217" t="inlineStr">
        <is>
          <t>Log out</t>
        </is>
      </c>
      <c r="D50" s="217" t="inlineStr">
        <is>
          <t>ចាកចេញ</t>
        </is>
      </c>
      <c r="E50" s="217" t="inlineStr">
        <is>
          <t>ចាកចេញ</t>
        </is>
      </c>
      <c r="F50" s="217" t="inlineStr">
        <is>
          <t>ចាកចេញ</t>
        </is>
      </c>
      <c r="G50" s="217" t="inlineStr">
        <is>
          <t>ចាកចេញពីប្រព័ន្ធ</t>
        </is>
      </c>
      <c r="H50" s="217" t="inlineStr">
        <is>
          <t>退出登录</t>
        </is>
      </c>
      <c r="J50" t="inlineStr">
        <is>
          <t>ចាកចេញពីប្រព័ន្ធ</t>
        </is>
      </c>
    </row>
    <row r="51">
      <c r="A51" s="217" t="inlineStr">
        <is>
          <t>common.systemErrorDescription</t>
        </is>
      </c>
      <c r="B51" s="217" t="inlineStr">
        <is>
          <t>Không thể chuyển hướng về ứng dụng vì hệ thống xảy ra lỗi, vui lòng liên hệ bộ phận CNTT để giải quyết.</t>
        </is>
      </c>
      <c r="C51" s="217" t="inlineStr">
        <is>
          <t>Unable to redirect to the application due to a system error, please contact IT department for assistance.</t>
        </is>
      </c>
      <c r="D51" s="3" t="inlineStr">
        <is>
          <t>មិនអាចបញ្ជូនអ្នកទៅកម្មវិធីបាន ដោយសារមានកំហុសប្រព័ន្ធ សូមទាក់ទងបញ្ជាអាយធី</t>
        </is>
      </c>
      <c r="E51" s="90" t="inlineStr">
        <is>
          <t>យើងមិនអាចបញ្ជូនទៅកម្មវិធីបានដោយសារប្រព័ន្ធមានបញ្ហា។ សូមទាក់ទងផ្នែក IT ដើម្បីជួយដោះស្រាយ។</t>
        </is>
      </c>
      <c r="F51" s="217" t="inlineStr">
        <is>
          <t>មិនអាចប្តូរទិសទៅកម្មវិធីបានទេដោយសារប្រព័ន្ធកំពុងមានបញ្ហា។ សូមទាក់ទងផ្នែកព័ត៌មានវិទ្យាសម្រាប់ជំនួយ។</t>
        </is>
      </c>
      <c r="G51" s="217" t="inlineStr">
        <is>
          <t>មិនអាចបញ្ជូនទៅកាន់កម្មវិធីបានទេដោយសារបញ្ហាប្រព័ន្ធ សូមទាក់ទងផ្នែក IT ដើម្បីទទួលបានជំនួយ។</t>
        </is>
      </c>
      <c r="H51" s="217" t="inlineStr">
        <is>
          <t>因系统错误无法跳转至应用，请联系IT部门寻求协助。</t>
        </is>
      </c>
      <c r="J51" t="inlineStr">
        <is>
          <t>មិនអាចបញ្ជូនទៅកាន់កម្មវិធីបានទេដោយសារបញ្ហាប្រព័ន្ធ សូមទាក់ទងផ្នែក IT ដើម្បីទទួលបានជំនួយ។</t>
        </is>
      </c>
    </row>
    <row r="52">
      <c r="A52" s="217" t="inlineStr">
        <is>
          <t>common.backHome</t>
        </is>
      </c>
      <c r="B52" s="217" t="inlineStr">
        <is>
          <t>Về trang chủ !</t>
        </is>
      </c>
      <c r="C52" s="217" t="inlineStr">
        <is>
          <t>Back to home!</t>
        </is>
      </c>
      <c r="D52" s="3" t="inlineStr">
        <is>
          <t>ត្រឡប់ទៅទំព័រដើម!</t>
        </is>
      </c>
      <c r="E52" s="217" t="inlineStr">
        <is>
          <t>ត្រលប់ទៅទំព័រដើម</t>
        </is>
      </c>
      <c r="F52" s="217" t="inlineStr">
        <is>
          <t>ត្រឡប់ទៅទំព័រដើម!</t>
        </is>
      </c>
      <c r="G52" s="217" t="inlineStr">
        <is>
          <t>ត្រឡប់ទៅទំព័រដើម!</t>
        </is>
      </c>
      <c r="H52" s="217" t="inlineStr">
        <is>
          <t>返回首页！</t>
        </is>
      </c>
      <c r="J52" t="inlineStr">
        <is>
          <t>ត្រឡប់ទៅទំព័រដើម!</t>
        </is>
      </c>
    </row>
    <row r="53">
      <c r="A53" s="217" t="inlineStr">
        <is>
          <t>common.date</t>
        </is>
      </c>
      <c r="B53" s="217" t="inlineStr">
        <is>
          <t>Ngày</t>
        </is>
      </c>
      <c r="C53" s="217" t="inlineStr">
        <is>
          <t>Date</t>
        </is>
      </c>
      <c r="D53" s="3" t="inlineStr">
        <is>
          <t>កាលបរិច្ឆេទ</t>
        </is>
      </c>
      <c r="E53" s="217" t="inlineStr">
        <is>
          <t>ថ្ងៃ</t>
        </is>
      </c>
      <c r="F53" s="217" t="inlineStr">
        <is>
          <t>កាលបរិច្ឆេទ</t>
        </is>
      </c>
      <c r="G53" s="217" t="inlineStr">
        <is>
          <t>កាលបរិច្ឆេទ</t>
        </is>
      </c>
      <c r="H53" s="217" t="inlineStr">
        <is>
          <t>日期</t>
        </is>
      </c>
      <c r="J53" t="inlineStr">
        <is>
          <t>កាលបរិច្ឆេទ</t>
        </is>
      </c>
    </row>
    <row r="54">
      <c r="A54" s="217" t="inlineStr">
        <is>
          <t>common.notiFeatureNotWorking</t>
        </is>
      </c>
      <c r="B54" s="217" t="inlineStr">
        <is>
          <t>Chức năng không khả dụng khi bạn thực hiện thao tác copy đường dẫn. Vui lòng quay lại trang trước !</t>
        </is>
      </c>
      <c r="C54" s="217" t="inlineStr">
        <is>
          <t>Feature not available when copying the link. Please go back to the previous page!</t>
        </is>
      </c>
      <c r="D54" s="3" t="inlineStr">
        <is>
          <t>មុខងារមិនអាចប្រើបាន បើអ្នកធ្វើការ copy ដែលមាន đường dẫn។ សូមត្រឡប់ក្រោយ!</t>
        </is>
      </c>
      <c r="E54" s="217" t="inlineStr">
        <is>
          <t>មុខងារនេះមិនអាចប្រើបាននៅពេលអ្នកចម្លងលីង។ សូមត្រឡប់ទៅទំព័រមុន!</t>
        </is>
      </c>
      <c r="F54" s="217" t="inlineStr">
        <is>
          <t>មុខងារនេះមិនអាចប្រើបានទេនៅពេលអ្នកចម្លង Link ។ សូមត្រឡប់ទៅទំព័រមុន!</t>
        </is>
      </c>
      <c r="G54" s="217" t="inlineStr">
        <is>
          <t>មុខងារនេះមិនអាចប្រើបានទេនៅពេលអ្នកចម្លង Link ។ សូមត្រឡប់ទៅទំព័រមុន!</t>
        </is>
      </c>
      <c r="H54" s="217" t="inlineStr">
        <is>
          <t>复制链接时该功能不可用。请返回上一页面！</t>
        </is>
      </c>
      <c r="J54" t="inlineStr">
        <is>
          <t>មុខងារនេះមិនអាចប្រើបានទេនៅពេលអ្នកចម្លង Link ។ សូមត្រឡប់ទៅទំព័រមុន!</t>
        </is>
      </c>
    </row>
    <row r="55">
      <c r="A55" s="217" t="inlineStr">
        <is>
          <t>common.goBack</t>
        </is>
      </c>
      <c r="B55" s="217" t="inlineStr">
        <is>
          <t>Quay lại !</t>
        </is>
      </c>
      <c r="C55" s="217" t="inlineStr">
        <is>
          <t>Go back!</t>
        </is>
      </c>
      <c r="D55" s="217" t="inlineStr">
        <is>
          <t>ត្រឡប់ក្រោយ!</t>
        </is>
      </c>
      <c r="E55" s="217" t="inlineStr">
        <is>
          <t>ត្រឡប់ក្រោយ!</t>
        </is>
      </c>
      <c r="F55" s="217" t="inlineStr">
        <is>
          <t>ថយក្រោយ!</t>
        </is>
      </c>
      <c r="G55" s="217" t="inlineStr">
        <is>
          <t>ថយក្រោយ!</t>
        </is>
      </c>
      <c r="H55" s="217" t="inlineStr">
        <is>
          <t>返回！</t>
        </is>
      </c>
      <c r="J55" t="inlineStr">
        <is>
          <t>ថយក្រោយ!</t>
        </is>
      </c>
    </row>
    <row r="56">
      <c r="A56" s="217" t="inlineStr">
        <is>
          <t>common.copySuccess</t>
        </is>
      </c>
      <c r="B56" s="217" t="inlineStr">
        <is>
          <t>Sao chép thành công !</t>
        </is>
      </c>
      <c r="C56" s="217" t="inlineStr">
        <is>
          <t>Copy successful!</t>
        </is>
      </c>
      <c r="D56" s="217" t="inlineStr">
        <is>
          <t>ចម្លងបានជោគជ័យ!</t>
        </is>
      </c>
      <c r="E56" s="217" t="inlineStr">
        <is>
          <t>ចម្លងបានជោគជ័យ!</t>
        </is>
      </c>
      <c r="F56" s="217" t="inlineStr">
        <is>
          <t>ចម្លងបានជោគជ័យ!</t>
        </is>
      </c>
      <c r="G56" s="217" t="inlineStr">
        <is>
          <t>ចម្លងបានជោគជ័យ!</t>
        </is>
      </c>
      <c r="H56" s="217" t="inlineStr">
        <is>
          <t>复制成功！</t>
        </is>
      </c>
      <c r="J56" t="inlineStr">
        <is>
          <t>ចម្លងបានជោគជ័យ!</t>
        </is>
      </c>
    </row>
    <row r="57">
      <c r="A57" s="217" t="inlineStr">
        <is>
          <t>common.copyError</t>
        </is>
      </c>
      <c r="B57" s="217" t="inlineStr">
        <is>
          <t>Có lỗi xảy ra khi sao chép: {{error}}</t>
        </is>
      </c>
      <c r="C57" s="217" t="inlineStr">
        <is>
          <t>An error occurred while copying: {{error}}</t>
        </is>
      </c>
      <c r="D57" s="217" t="inlineStr">
        <is>
          <t>មានកំហុសកើតឡើងពេលចម្លង: {{error}}</t>
        </is>
      </c>
      <c r="E57" s="217" t="inlineStr">
        <is>
          <t>មានបញ្ហាបានកើតឡើងពេលចម្លង៖{{error}}</t>
        </is>
      </c>
      <c r="F57" s="217" t="inlineStr">
        <is>
          <t>ពេលកំពុងចម្លងមានមានបញ្ហាកើតឡើង៖ {{error}}</t>
        </is>
      </c>
      <c r="G57" s="217" t="inlineStr">
        <is>
          <t>ពេលកំពុងចម្លងមានមានបញ្ហាកើតឡើង៖ {{error}}</t>
        </is>
      </c>
      <c r="H57" s="217" t="inlineStr">
        <is>
          <t>复制出错：{{error}}</t>
        </is>
      </c>
      <c r="J57" t="inlineStr">
        <is>
          <t>ពេលកំពុងចម្លងមានមានបញ្ហាកើតឡើង៖ {{error}}</t>
        </is>
      </c>
    </row>
    <row r="58">
      <c r="A58" s="217" t="inlineStr">
        <is>
          <t>common.goods</t>
        </is>
      </c>
      <c r="B58" s="217" t="inlineStr">
        <is>
          <t>Hàng hóa</t>
        </is>
      </c>
      <c r="C58" s="217" t="inlineStr">
        <is>
          <t>Goods</t>
        </is>
      </c>
      <c r="D58" s="217" t="inlineStr">
        <is>
          <t>ទំនិញ</t>
        </is>
      </c>
      <c r="E58" s="217" t="inlineStr">
        <is>
          <t>អីវ៉ាន់</t>
        </is>
      </c>
      <c r="F58" s="217" t="inlineStr">
        <is>
          <t>ឥវ៉ាន់</t>
        </is>
      </c>
      <c r="G58" s="217" t="inlineStr">
        <is>
          <t>ទំនិញ</t>
        </is>
      </c>
      <c r="H58" s="217" t="inlineStr">
        <is>
          <t>货物</t>
        </is>
      </c>
      <c r="J58" t="inlineStr">
        <is>
          <t>ទំនិញ</t>
        </is>
      </c>
    </row>
    <row r="59">
      <c r="A59" s="217" t="inlineStr">
        <is>
          <t>common.doc</t>
        </is>
      </c>
      <c r="B59" s="217" t="inlineStr">
        <is>
          <t>Tài liệu</t>
        </is>
      </c>
      <c r="C59" s="217" t="inlineStr">
        <is>
          <t>Document</t>
        </is>
      </c>
      <c r="D59" s="217" t="inlineStr">
        <is>
          <t>ឯកសារ</t>
        </is>
      </c>
      <c r="E59" s="217" t="inlineStr">
        <is>
          <t>ឯកសារ</t>
        </is>
      </c>
      <c r="F59" s="217" t="inlineStr">
        <is>
          <t>ឯកសារ</t>
        </is>
      </c>
      <c r="G59" s="217" t="inlineStr">
        <is>
          <t>ឯកសារ</t>
        </is>
      </c>
      <c r="H59" s="217" t="inlineStr">
        <is>
          <t>文件</t>
        </is>
      </c>
      <c r="J59" t="inlineStr">
        <is>
          <t>ឯកសារ</t>
        </is>
      </c>
    </row>
    <row r="60">
      <c r="A60" s="217" t="inlineStr">
        <is>
          <t>common.pack</t>
        </is>
      </c>
      <c r="B60" s="217" t="inlineStr">
        <is>
          <t>Kiện</t>
        </is>
      </c>
      <c r="C60" s="217" t="inlineStr">
        <is>
          <t>Package</t>
        </is>
      </c>
      <c r="D60" s="217" t="inlineStr">
        <is>
          <t>កញ្ចប់</t>
        </is>
      </c>
      <c r="E60" s="217" t="inlineStr">
        <is>
          <t>កញ្ចប់អីវ៉ាន់</t>
        </is>
      </c>
      <c r="F60" s="217" t="inlineStr">
        <is>
          <t>កញ្ចប់ឥវ៉ាន់</t>
        </is>
      </c>
      <c r="G60" s="217" t="inlineStr">
        <is>
          <t>កញ្ចប់ទំនិញ</t>
        </is>
      </c>
      <c r="H60" s="217" t="inlineStr">
        <is>
          <t>包裹</t>
        </is>
      </c>
      <c r="J60" t="inlineStr">
        <is>
          <t>កញ្ចប់ទំនិញ</t>
        </is>
      </c>
    </row>
    <row r="61">
      <c r="A61" s="217" t="inlineStr">
        <is>
          <t>common.validateError</t>
        </is>
      </c>
      <c r="B61" s="217" t="inlineStr">
        <is>
          <t>Vui lòng điền đủ và đúng thông tin</t>
        </is>
      </c>
      <c r="C61" s="217" t="inlineStr">
        <is>
          <t>Please fill in the information correctly and completely</t>
        </is>
      </c>
      <c r="D61" s="217" t="inlineStr">
        <is>
          <t>សូមបំពេញព័ត៌មានឲ្យគ្រប់ និងត្រឹមត្រូវ</t>
        </is>
      </c>
      <c r="E61" s="217" t="inlineStr">
        <is>
          <t>សូមបំពេញព័ត៌មានឲ្យបានពេញលេញនិងត្រឹមត្រូវ</t>
        </is>
      </c>
      <c r="F61" s="217" t="inlineStr">
        <is>
          <t>សូមបំពេញព័ត៌មានទាំងអស់ឱ្យបានត្រឹមត្រូវ</t>
        </is>
      </c>
      <c r="G61" s="217" t="inlineStr">
        <is>
          <t>សូមបំពេញព័ត៌មានទាំងអស់ឱ្យបានត្រឹមត្រូវ</t>
        </is>
      </c>
      <c r="H61" s="217" t="inlineStr">
        <is>
          <t>请正确并完整地填写信息</t>
        </is>
      </c>
      <c r="J61" t="inlineStr">
        <is>
          <t>សូមបំពេញព័ត៌មានទាំងអស់ឱ្យបានត្រឹមត្រូវ</t>
        </is>
      </c>
    </row>
    <row r="62">
      <c r="A62" s="217" t="inlineStr">
        <is>
          <t>common.featureIncoming</t>
        </is>
      </c>
      <c r="B62" s="217" t="inlineStr">
        <is>
          <t>Chức năng đang trong quá trình phát triển !</t>
        </is>
      </c>
      <c r="C62" s="217" t="inlineStr">
        <is>
          <t>Feature is under development!</t>
        </is>
      </c>
      <c r="D62" s="217" t="inlineStr">
        <is>
          <t>មុខងារកំពុងក្នុងដំណើរការអភិវឌ្ឍន៍!</t>
        </is>
      </c>
      <c r="E62" s="217" t="inlineStr">
        <is>
          <t>មុខងារកំពុងស្ថិតក្នុងការអភិវឌ្ឍន៍!</t>
        </is>
      </c>
      <c r="F62" s="217" t="inlineStr">
        <is>
          <t>មុខងារនេះកំពុងស្ថិតក្នុងការអភិវឌ្ឍន៍!</t>
        </is>
      </c>
      <c r="G62" s="217" t="inlineStr">
        <is>
          <t>មុខងារនេះកំពុងស្ថិតក្នុងការអភិវឌ្ឍន៍!</t>
        </is>
      </c>
      <c r="H62" s="217" t="inlineStr">
        <is>
          <t>功能开发中！</t>
        </is>
      </c>
      <c r="J62" t="inlineStr">
        <is>
          <t>មុខងារនេះកំពុងស្ថិតក្នុងការអភិវឌ្ឍន៍!</t>
        </is>
      </c>
    </row>
    <row r="63">
      <c r="A63" s="217" t="inlineStr">
        <is>
          <t>common.somethingWrong</t>
        </is>
      </c>
      <c r="B63" s="217" t="inlineStr">
        <is>
          <t>Đã xảy ra sự cố !</t>
        </is>
      </c>
      <c r="C63" s="217" t="inlineStr">
        <is>
          <t>Something went wrong!</t>
        </is>
      </c>
      <c r="D63" s="217" t="inlineStr">
        <is>
          <t>មានបញ្ហាកើតឡើង!</t>
        </is>
      </c>
      <c r="E63" s="217" t="inlineStr">
        <is>
          <t>កំពុងមានបញ្ហាកើតឡើង!</t>
        </is>
      </c>
      <c r="F63" s="217" t="inlineStr">
        <is>
          <t>មានបញ្ហាកើតឡើង!</t>
        </is>
      </c>
      <c r="G63" s="217" t="inlineStr">
        <is>
          <t>មានបញ្ហាកើតឡើង!</t>
        </is>
      </c>
      <c r="H63" s="217" t="inlineStr">
        <is>
          <t>出错了！</t>
        </is>
      </c>
      <c r="J63" t="inlineStr">
        <is>
          <t>មានបញ្ហាកើតឡើង!</t>
        </is>
      </c>
    </row>
    <row r="64">
      <c r="A64" s="217" t="inlineStr">
        <is>
          <t>common.error</t>
        </is>
      </c>
      <c r="B64" s="217" t="inlineStr">
        <is>
          <t>Lỗi</t>
        </is>
      </c>
      <c r="C64" s="217" t="inlineStr">
        <is>
          <t>Error</t>
        </is>
      </c>
      <c r="D64" s="217" t="inlineStr">
        <is>
          <t>កំហុស</t>
        </is>
      </c>
      <c r="E64" s="217" t="inlineStr">
        <is>
          <t>បញ្ហា</t>
        </is>
      </c>
      <c r="F64" s="217" t="inlineStr">
        <is>
          <t>មានបញ្ហា</t>
        </is>
      </c>
      <c r="G64" s="217" t="inlineStr">
        <is>
          <t>មានបញ្ហា</t>
        </is>
      </c>
      <c r="H64" s="217" t="inlineStr">
        <is>
          <t>错误</t>
        </is>
      </c>
      <c r="J64" t="inlineStr">
        <is>
          <t>មានបញ្ហា</t>
        </is>
      </c>
    </row>
    <row r="65">
      <c r="A65" s="217" t="inlineStr">
        <is>
          <t>common.areYouSureLogOut</t>
        </is>
      </c>
      <c r="B65" s="217" t="inlineStr">
        <is>
          <t>Bạn có chắc muốn đăng xuất ?</t>
        </is>
      </c>
      <c r="C65" s="217" t="inlineStr">
        <is>
          <t>Are you sure you want to log out?</t>
        </is>
      </c>
      <c r="D65" s="217" t="inlineStr">
        <is>
          <t>តើអ្នកប្រាកដចង់ចាកចេញមែន?</t>
        </is>
      </c>
      <c r="E65" s="217" t="inlineStr">
        <is>
          <t>តើអ្នកពិតជាចង់ចាកចេញទេ?</t>
        </is>
      </c>
      <c r="F65" s="217" t="inlineStr">
        <is>
          <t>តើអ្នកចង់ចាកចេញទេ?</t>
        </is>
      </c>
      <c r="G65" s="217" t="inlineStr">
        <is>
          <t>តើអ្នកចង់ចាកចេញទេ?</t>
        </is>
      </c>
      <c r="H65" s="217" t="inlineStr">
        <is>
          <t>确认退出登录？</t>
        </is>
      </c>
      <c r="J65" t="inlineStr">
        <is>
          <t>តើអ្នកចង់ចាកចេញទេ?</t>
        </is>
      </c>
    </row>
    <row r="66">
      <c r="A66" s="217" t="inlineStr">
        <is>
          <t>common.other</t>
        </is>
      </c>
      <c r="B66" s="217" t="inlineStr">
        <is>
          <t>Khác</t>
        </is>
      </c>
      <c r="C66" s="217" t="inlineStr">
        <is>
          <t>Other</t>
        </is>
      </c>
      <c r="D66" s="217" t="inlineStr">
        <is>
          <t>ផ្សេងទៀត</t>
        </is>
      </c>
      <c r="E66" s="217" t="inlineStr">
        <is>
          <t>ផ្សេងៗ</t>
        </is>
      </c>
      <c r="F66" s="217" t="inlineStr">
        <is>
          <t>ផ្សេង</t>
        </is>
      </c>
      <c r="G66" s="217" t="inlineStr">
        <is>
          <t>ផ្សេងៗ</t>
        </is>
      </c>
      <c r="H66" s="217" t="inlineStr">
        <is>
          <t>其他</t>
        </is>
      </c>
      <c r="J66" t="inlineStr">
        <is>
          <t>ផ្សេងៗ</t>
        </is>
      </c>
    </row>
    <row r="67">
      <c r="A67" s="217" t="inlineStr">
        <is>
          <t>common.exit</t>
        </is>
      </c>
      <c r="B67" s="217" t="inlineStr">
        <is>
          <t>Thoát</t>
        </is>
      </c>
      <c r="C67" s="217" t="inlineStr">
        <is>
          <t>Exit</t>
        </is>
      </c>
      <c r="D67" s="217" t="inlineStr">
        <is>
          <t>ចេញ</t>
        </is>
      </c>
      <c r="E67" s="217" t="inlineStr">
        <is>
          <t>ចាកចេញ</t>
        </is>
      </c>
      <c r="F67" s="217" t="inlineStr">
        <is>
          <t>ចាកចេញ</t>
        </is>
      </c>
      <c r="G67" s="217" t="inlineStr">
        <is>
          <t>ចាកចេញ</t>
        </is>
      </c>
      <c r="H67" s="217" t="inlineStr">
        <is>
          <t>退出</t>
        </is>
      </c>
      <c r="J67" t="inlineStr">
        <is>
          <t>ចាកចេញ</t>
        </is>
      </c>
    </row>
    <row r="68">
      <c r="A68" s="217" t="inlineStr">
        <is>
          <t>common.skip</t>
        </is>
      </c>
      <c r="B68" s="217" t="inlineStr">
        <is>
          <t>Bỏ qua</t>
        </is>
      </c>
      <c r="C68" s="217" t="inlineStr">
        <is>
          <t>Skip</t>
        </is>
      </c>
      <c r="D68" s="217" t="inlineStr">
        <is>
          <t>រំលង</t>
        </is>
      </c>
      <c r="E68" s="217" t="inlineStr">
        <is>
          <t>រំលង</t>
        </is>
      </c>
      <c r="F68" s="217" t="inlineStr">
        <is>
          <t>រំលង</t>
        </is>
      </c>
      <c r="G68" s="217" t="inlineStr">
        <is>
          <t>រំលង</t>
        </is>
      </c>
      <c r="H68" s="217" t="inlineStr">
        <is>
          <t>跳过</t>
        </is>
      </c>
      <c r="J68" t="inlineStr">
        <is>
          <t>រំលង</t>
        </is>
      </c>
    </row>
    <row r="69">
      <c r="A69" s="217" t="inlineStr">
        <is>
          <t>common.lookup</t>
        </is>
      </c>
      <c r="B69" s="217" t="inlineStr">
        <is>
          <t>Tra cứu</t>
        </is>
      </c>
      <c r="C69" s="217" t="inlineStr">
        <is>
          <t>Lookup</t>
        </is>
      </c>
      <c r="D69" s="217" t="inlineStr">
        <is>
          <t>ស្វែងរក</t>
        </is>
      </c>
      <c r="E69" s="217" t="inlineStr">
        <is>
          <t>ស្វែងរក</t>
        </is>
      </c>
      <c r="F69" s="217" t="inlineStr">
        <is>
          <t>ស្វែងរក</t>
        </is>
      </c>
      <c r="G69" s="217" t="inlineStr">
        <is>
          <t>ស្វែងរក</t>
        </is>
      </c>
      <c r="H69" s="217" t="inlineStr">
        <is>
          <t>查询</t>
        </is>
      </c>
      <c r="J69" t="inlineStr">
        <is>
          <t>ស្វែងរក</t>
        </is>
      </c>
    </row>
    <row r="70">
      <c r="A70" s="217" t="inlineStr">
        <is>
          <t>common.feeLookup</t>
        </is>
      </c>
      <c r="B70" s="217" t="inlineStr">
        <is>
          <t>Tra cứu cước phí</t>
        </is>
      </c>
      <c r="C70" s="217" t="inlineStr">
        <is>
          <t>Fee Lookup</t>
        </is>
      </c>
      <c r="D70" s="217" t="inlineStr">
        <is>
          <t>ស្វែងរកថ្លៃដឹកជញ្ជូន</t>
        </is>
      </c>
      <c r="E70" s="217" t="inlineStr">
        <is>
          <t>ពិនិត្យមើលថ្លៃសេវា</t>
        </is>
      </c>
      <c r="F70" s="217" t="inlineStr">
        <is>
          <t>ស្វែងរកថ្លៃសេវា</t>
        </is>
      </c>
      <c r="G70" s="217" t="inlineStr">
        <is>
          <t>ស្វែងរកថ្លៃសេវា</t>
        </is>
      </c>
      <c r="H70" s="217" t="inlineStr">
        <is>
          <t>运费查询</t>
        </is>
      </c>
      <c r="J70" t="inlineStr">
        <is>
          <t>ស្វែងរកថ្លៃសេវា</t>
        </is>
      </c>
    </row>
    <row r="71">
      <c r="A71" s="217" t="inlineStr">
        <is>
          <t>common.success</t>
        </is>
      </c>
      <c r="B71" s="217" t="inlineStr">
        <is>
          <t>Thành công</t>
        </is>
      </c>
      <c r="C71" s="217" t="inlineStr">
        <is>
          <t>Success</t>
        </is>
      </c>
      <c r="D71" s="217" t="inlineStr">
        <is>
          <t>ជោគជ័យ</t>
        </is>
      </c>
      <c r="E71" s="217" t="inlineStr">
        <is>
          <t>បានជោគជ័យ</t>
        </is>
      </c>
      <c r="F71" s="217" t="inlineStr">
        <is>
          <t>ជោគជ័យ</t>
        </is>
      </c>
      <c r="G71" s="217" t="inlineStr">
        <is>
          <t>ជោគជ័យ</t>
        </is>
      </c>
      <c r="H71" s="217" t="inlineStr">
        <is>
          <t>成功</t>
        </is>
      </c>
      <c r="J71" t="inlineStr">
        <is>
          <t>ជោគជ័យ</t>
        </is>
      </c>
    </row>
    <row r="72">
      <c r="A72" s="217" t="inlineStr">
        <is>
          <t>common.failed</t>
        </is>
      </c>
      <c r="B72" s="217" t="inlineStr">
        <is>
          <t>Thất bại</t>
        </is>
      </c>
      <c r="C72" s="217" t="inlineStr">
        <is>
          <t>Failed</t>
        </is>
      </c>
      <c r="D72" s="217" t="inlineStr">
        <is>
          <t>បរាជ័យ</t>
        </is>
      </c>
      <c r="E72" s="217" t="inlineStr">
        <is>
          <t>បរាជ័យ</t>
        </is>
      </c>
      <c r="F72" s="217" t="inlineStr">
        <is>
          <t>បរាជ័យ</t>
        </is>
      </c>
      <c r="G72" s="217" t="inlineStr">
        <is>
          <t>បរាជ័យ</t>
        </is>
      </c>
      <c r="H72" s="217" t="inlineStr">
        <is>
          <t>失败</t>
        </is>
      </c>
      <c r="J72" t="inlineStr">
        <is>
          <t>បរាជ័យ</t>
        </is>
      </c>
    </row>
    <row r="73">
      <c r="A73" s="217" t="inlineStr">
        <is>
          <t>common.inProgress</t>
        </is>
      </c>
      <c r="B73" s="217" t="inlineStr">
        <is>
          <t>Đang thực hiện</t>
        </is>
      </c>
      <c r="C73" s="217" t="inlineStr">
        <is>
          <t>In Progress</t>
        </is>
      </c>
      <c r="D73" s="217" t="inlineStr">
        <is>
          <t>កំពុងដំណើរការ</t>
        </is>
      </c>
      <c r="E73" s="217" t="inlineStr">
        <is>
          <t>កំពុុងដំណើរការ</t>
        </is>
      </c>
      <c r="F73" s="217" t="inlineStr">
        <is>
          <t>កំពុងដំណើរការ</t>
        </is>
      </c>
      <c r="G73" s="217" t="inlineStr">
        <is>
          <t>កំពុងដំណើរការ</t>
        </is>
      </c>
      <c r="H73" s="217" t="inlineStr">
        <is>
          <t>进行中</t>
        </is>
      </c>
      <c r="J73" t="inlineStr">
        <is>
          <t>កំពុងដំណើរការ</t>
        </is>
      </c>
    </row>
    <row r="74">
      <c r="A74" s="217" t="inlineStr">
        <is>
          <t>common.notPermission</t>
        </is>
      </c>
      <c r="B74" s="217" t="inlineStr">
        <is>
          <t>Bạn không có quyền sử dụng chức năng này</t>
        </is>
      </c>
      <c r="C74" s="217">
        <f>IFERROR(__xludf.DUMMYFUNCTION("GOOGLETRANSLATE(B74,""vi"",""en"")"),"You do not have permission to use this function.")</f>
        <v/>
      </c>
      <c r="D74" s="217" t="inlineStr">
        <is>
          <t>-</t>
        </is>
      </c>
      <c r="E74" s="217" t="inlineStr">
        <is>
          <t>អ្នកមិនមានសិទ្ធិប្រើប្រាស់មុខងារនេះទេ</t>
        </is>
      </c>
      <c r="F74" s="217" t="inlineStr">
        <is>
          <t>អ្នកមិនមានការអនុញ្ញាតឱ្យប្រើប្រាស់មុខងារនេះទេ</t>
        </is>
      </c>
      <c r="G74" s="217" t="inlineStr">
        <is>
          <t>អ្នកមិនមានការអនុញ្ញាតឱ្យប្រើប្រាស់មុខងារនេះទេ</t>
        </is>
      </c>
      <c r="H74" s="217" t="inlineStr">
        <is>
          <t>-</t>
        </is>
      </c>
      <c r="J74" t="inlineStr">
        <is>
          <t>អ្នកមិនមានការអនុញ្ញាតឱ្យប្រើប្រាស់មុខងារនេះទេ</t>
        </is>
      </c>
    </row>
    <row r="75">
      <c r="A75" s="217" t="inlineStr">
        <is>
          <t>slice.createOrder</t>
        </is>
      </c>
      <c r="B75" s="217" t="inlineStr">
        <is>
          <t>Tạo đơn</t>
        </is>
      </c>
      <c r="C75" s="217" t="inlineStr">
        <is>
          <t>Create order</t>
        </is>
      </c>
      <c r="D75" s="217" t="inlineStr">
        <is>
          <t>បង្កើតបញ្ជាទិញ</t>
        </is>
      </c>
      <c r="E75" s="217" t="inlineStr">
        <is>
          <t>បង្កើតបុងបញ្ញើ</t>
        </is>
      </c>
      <c r="F75" s="217" t="inlineStr">
        <is>
          <t>បង្កើតប៉ុងបញ្ញើ</t>
        </is>
      </c>
      <c r="G75" s="217" t="inlineStr">
        <is>
          <t>បង្កើតការបញ្ជាទិញ</t>
        </is>
      </c>
      <c r="H75" s="217" t="inlineStr">
        <is>
          <t>创建订单</t>
        </is>
      </c>
      <c r="J75" t="inlineStr">
        <is>
          <t>បង្កើតការបញ្ជាទិញ</t>
        </is>
      </c>
    </row>
    <row r="76">
      <c r="A76" s="217" t="inlineStr">
        <is>
          <t>slice.singleOrder</t>
        </is>
      </c>
      <c r="B76" s="217" t="inlineStr">
        <is>
          <t>Tạo đơn lẻ</t>
        </is>
      </c>
      <c r="C76" s="217" t="inlineStr">
        <is>
          <t>Create single order</t>
        </is>
      </c>
      <c r="D76" s="217" t="inlineStr">
        <is>
          <t>បង្កើតបញ្ជាទិញតែមួយ</t>
        </is>
      </c>
      <c r="E76" s="217" t="inlineStr">
        <is>
          <t>បង្កើតបុងបញ្ញើរាយ</t>
        </is>
      </c>
      <c r="F76" s="217" t="inlineStr">
        <is>
          <t>បង្កើតប៉ុងបញ្ញើរាយ</t>
        </is>
      </c>
      <c r="G76" s="217" t="inlineStr">
        <is>
          <t>បង្កើតប៉ុងបញ្ញើរាយ</t>
        </is>
      </c>
      <c r="H76" s="217" t="inlineStr">
        <is>
          <t>创建单个订单</t>
        </is>
      </c>
      <c r="J76" t="inlineStr">
        <is>
          <t>បង្កើតប៉ុងបញ្ញើរាយ</t>
        </is>
      </c>
    </row>
    <row r="77">
      <c r="A77" s="217" t="inlineStr">
        <is>
          <t>slice.excelOrder</t>
        </is>
      </c>
      <c r="B77" s="217" t="inlineStr">
        <is>
          <t>Tạo đơn Excel</t>
        </is>
      </c>
      <c r="C77" s="217" t="inlineStr">
        <is>
          <t>Create order by Excel</t>
        </is>
      </c>
      <c r="D77" s="217" t="inlineStr">
        <is>
          <t>បង្កើតបញ្ជាទិញ Excel</t>
        </is>
      </c>
      <c r="E77" s="217" t="inlineStr">
        <is>
          <t>បង្កើតបុងបញ្ញើ excel</t>
        </is>
      </c>
      <c r="F77" s="217" t="inlineStr">
        <is>
          <t>បង្កើតប៉ុងបញ្ញើ Excel</t>
        </is>
      </c>
      <c r="G77" s="217" t="inlineStr">
        <is>
          <t>បង្កើតបញ្ញើតាមរយៈ Excel</t>
        </is>
      </c>
      <c r="H77" s="217" t="inlineStr">
        <is>
          <t>通过Excel创建订单</t>
        </is>
      </c>
      <c r="J77" t="inlineStr">
        <is>
          <t>បង្កើតបញ្ញើតាមរយៈ Excel</t>
        </is>
      </c>
    </row>
    <row r="78">
      <c r="A78" s="217" t="inlineStr">
        <is>
          <t>slice.settingUser</t>
        </is>
      </c>
      <c r="B78" s="217" t="inlineStr">
        <is>
          <t>Cài đặt tài khoản</t>
        </is>
      </c>
      <c r="C78" s="217" t="inlineStr">
        <is>
          <t>Account settings</t>
        </is>
      </c>
      <c r="D78" s="217" t="inlineStr">
        <is>
          <t>ការកំណត់គណនី</t>
        </is>
      </c>
      <c r="E78" s="217" t="inlineStr">
        <is>
          <t>ការកំណត់គណនី</t>
        </is>
      </c>
      <c r="F78" s="217" t="inlineStr">
        <is>
          <t>ការកំណត់គណនី</t>
        </is>
      </c>
      <c r="G78" s="217" t="inlineStr">
        <is>
          <t>ការកំណត់គណនី</t>
        </is>
      </c>
      <c r="H78" s="217" t="inlineStr">
        <is>
          <t>账户设置</t>
        </is>
      </c>
      <c r="J78" t="inlineStr">
        <is>
          <t>ការកំណត់គណនី</t>
        </is>
      </c>
    </row>
    <row r="79">
      <c r="A79" s="217" t="inlineStr">
        <is>
          <t>validate.maxLength</t>
        </is>
      </c>
      <c r="B79" s="217" t="inlineStr">
        <is>
          <t>{{field}} tối đa {{length}} ký tự</t>
        </is>
      </c>
      <c r="C79" s="217" t="inlineStr">
        <is>
          <t>{{field}} can be a maximum of {{length}} characters</t>
        </is>
      </c>
      <c r="D79" s="217" t="inlineStr">
        <is>
          <t>{{field}} អតិបរមា {{length}} តួអក្សរ</t>
        </is>
      </c>
      <c r="E79" s="217" t="inlineStr">
        <is>
          <t>{{field}} អតិបរមា {{length}} តួអក្សរលេខ</t>
        </is>
      </c>
      <c r="F79" s="217" t="inlineStr">
        <is>
          <t>{{field}} អតិបរមា {{length}} តួអក្សរលេខ</t>
        </is>
      </c>
      <c r="G79" s="217" t="inlineStr">
        <is>
          <t>{{field}} អតិបរមា {{length}} តួអក្សរលេខ</t>
        </is>
      </c>
      <c r="H79" s="217" t="inlineStr">
        <is>
          <t>{{field}} 最多可输入 {{length}} 个字符</t>
        </is>
      </c>
      <c r="J79" t="inlineStr">
        <is>
          <t>{{field}} អតិបរមា {{length}} តួអក្សរលេខ</t>
        </is>
      </c>
    </row>
    <row r="80">
      <c r="A80" s="217" t="inlineStr">
        <is>
          <t>validate.minLength</t>
        </is>
      </c>
      <c r="B80" s="217" t="inlineStr">
        <is>
          <t>{{field}} ít nhất {{length}} ký tự</t>
        </is>
      </c>
      <c r="C80" s="217" t="inlineStr">
        <is>
          <t>{{field}} must be at least {{length}} characters</t>
        </is>
      </c>
      <c r="D80" s="217" t="inlineStr">
        <is>
          <t>-</t>
        </is>
      </c>
      <c r="E80" s="217" t="inlineStr">
        <is>
          <t>{{field}} អប្បបរមា {{length}} តួអក្សរលេខ</t>
        </is>
      </c>
      <c r="F80" s="217" t="inlineStr">
        <is>
          <t>{{field}} អប្បបរមា {{length}} តួអក្សរលេខ</t>
        </is>
      </c>
      <c r="G80" s="217" t="inlineStr">
        <is>
          <t>{{field}} អប្បបរមា {{length}} តួអក្សរលេខ</t>
        </is>
      </c>
      <c r="H80" s="217" t="inlineStr">
        <is>
          <t>{{field}} 至少需要 {{length}} 个字符</t>
        </is>
      </c>
      <c r="J80" t="inlineStr">
        <is>
          <t>{{field}} អប្បបរមា {{length}} តួអក្សរលេខ</t>
        </is>
      </c>
    </row>
    <row r="81">
      <c r="A81" s="217" t="inlineStr">
        <is>
          <t>validate.max100</t>
        </is>
      </c>
      <c r="B81" s="217" t="inlineStr">
        <is>
          <t>Nhập tối đa 100 ký tự</t>
        </is>
      </c>
      <c r="C81" s="217" t="inlineStr">
        <is>
          <t>Enter a maximum of 100 characters</t>
        </is>
      </c>
      <c r="D81" s="217" t="inlineStr">
        <is>
          <t>បញ្ចូលអតិបរមា 100 តួអក្សរ</t>
        </is>
      </c>
      <c r="E81" s="217" t="inlineStr">
        <is>
          <t>បញ្ចូលជាអតិបរមា 100 តួអក្សរលេខ</t>
        </is>
      </c>
      <c r="F81" s="217" t="inlineStr">
        <is>
          <t>បញ្ចូលជាអតិបរមា 100 តួអក្សរលេខ</t>
        </is>
      </c>
      <c r="G81" s="217" t="inlineStr">
        <is>
          <t>បញ្ចូលជាអតិបរមា 100 តួអក្សរលេខ</t>
        </is>
      </c>
      <c r="H81" s="217" t="inlineStr">
        <is>
          <t>最多输入100个字符</t>
        </is>
      </c>
      <c r="J81" t="inlineStr">
        <is>
          <t>បញ្ចូលជាអតិបរមា 100 តួអក្សរលេខ</t>
        </is>
      </c>
    </row>
    <row r="82">
      <c r="A82" s="217" t="inlineStr">
        <is>
          <t>validate.startWithSpace</t>
        </is>
      </c>
      <c r="B82" s="217" t="inlineStr">
        <is>
          <t>{{field}} không được bắt đầu bằng dấu cách</t>
        </is>
      </c>
      <c r="C82" s="217" t="inlineStr">
        <is>
          <t>{{field}} cannot start with a space</t>
        </is>
      </c>
      <c r="D82" s="217" t="inlineStr">
        <is>
          <t>{{field}} មិនអាចចាប់ផ្តើមដោយចន្លោះបាន</t>
        </is>
      </c>
      <c r="E82" s="217" t="inlineStr">
        <is>
          <t>{{field}} មិនអាចចាប់ផ្តើមបានដោយសញ្ញាបានទេ</t>
        </is>
      </c>
      <c r="F82" s="217" t="inlineStr">
        <is>
          <t>{{field}} មិនអាចចាប់ផ្តើមដោយចន្លោះបានទេ</t>
        </is>
      </c>
      <c r="G82" s="217" t="inlineStr">
        <is>
          <t>{{field}} មិនអាចចាប់ផ្តើមដោយចន្លោះបានទេ</t>
        </is>
      </c>
      <c r="H82" s="217" t="inlineStr">
        <is>
          <t>{{field}} 不能以空格开头</t>
        </is>
      </c>
      <c r="J82" t="inlineStr">
        <is>
          <t>{{field}} មិនអាចចាប់ផ្តើមដោយចន្លោះបានទេ</t>
        </is>
      </c>
    </row>
    <row r="83">
      <c r="A83" s="217" t="inlineStr">
        <is>
          <t>validate.validateEmail</t>
        </is>
      </c>
      <c r="B83" s="217" t="inlineStr">
        <is>
          <t>Vui lòng điền đúng định dạng email</t>
        </is>
      </c>
      <c r="C83" s="217" t="inlineStr">
        <is>
          <t>Please enter a valid email format</t>
        </is>
      </c>
      <c r="D83" s="217" t="inlineStr">
        <is>
          <t>សូមបញ្ចូលអ៊ីមែលទ្រង់ទ្រាយត្រឹមត្រូវ</t>
        </is>
      </c>
      <c r="E83" s="217" t="inlineStr">
        <is>
          <t>សូមបំពេញឲ្យបានត្រឹមត្រូវតាមទម្រង់អ៊ីម៉ែល</t>
        </is>
      </c>
      <c r="F83" s="217" t="inlineStr">
        <is>
          <t>សូមបញ្ចូលទម្រង់អ៊ីមែលអោយបានត្រឹមត្រូវ</t>
        </is>
      </c>
      <c r="G83" s="217" t="inlineStr">
        <is>
          <t>សូមបញ្ចូលទម្រង់អ៊ីមែលឲ្យបានត្រឹមត្រូវ</t>
        </is>
      </c>
      <c r="H83" s="217" t="inlineStr">
        <is>
          <t>请输入有效的邮箱格式</t>
        </is>
      </c>
      <c r="J83" t="inlineStr">
        <is>
          <t>សូមបញ្ចូលទម្រង់អ៊ីមែលឲ្យបានត្រឹមត្រូវ</t>
        </is>
      </c>
    </row>
    <row r="84">
      <c r="A84" s="217" t="inlineStr">
        <is>
          <t>validate.empty</t>
        </is>
      </c>
      <c r="B84" s="217" t="inlineStr">
        <is>
          <t>Nhập sai định dạng</t>
        </is>
      </c>
      <c r="C84" s="217" t="inlineStr">
        <is>
          <t>Invalid format</t>
        </is>
      </c>
      <c r="D84" s="217" t="inlineStr">
        <is>
          <t>ទ្រង់ទ្រាយមិនត្រឹមត្រូវ</t>
        </is>
      </c>
      <c r="E84" s="217" t="inlineStr">
        <is>
          <t>បញ្ចូលខុសទម្រង់</t>
        </is>
      </c>
      <c r="F84" s="217" t="inlineStr">
        <is>
          <t>ការបញ្ចូលទម្រង់មិនត្រូវ</t>
        </is>
      </c>
      <c r="G84" s="217" t="inlineStr">
        <is>
          <t>ការបញ្ចូលទម្រង់មិនត្រូវ</t>
        </is>
      </c>
      <c r="H84" s="217" t="inlineStr">
        <is>
          <t>格式无效</t>
        </is>
      </c>
      <c r="J84" t="inlineStr">
        <is>
          <t>ការបញ្ចូលទម្រង់មិនត្រូវ</t>
        </is>
      </c>
    </row>
    <row r="85">
      <c r="A85" s="217" t="inlineStr">
        <is>
          <t>validate.acceptOnlyNumber</t>
        </is>
      </c>
      <c r="B85" s="217" t="inlineStr">
        <is>
          <t>Vui lòng chỉ nhập số</t>
        </is>
      </c>
      <c r="C85" s="217" t="inlineStr">
        <is>
          <t>Please enter numbers only</t>
        </is>
      </c>
      <c r="D85" s="217" t="inlineStr">
        <is>
          <t>សូមបញ្ចូលតែលេខ</t>
        </is>
      </c>
      <c r="E85" s="217" t="inlineStr">
        <is>
          <t>សូមបញ្ចូ្ចលតែចំនួនលេខ</t>
        </is>
      </c>
      <c r="F85" s="217" t="inlineStr">
        <is>
          <t>សូមបញ្ចូលតែលេខប៉ុណ្ណោះ</t>
        </is>
      </c>
      <c r="G85" s="217" t="inlineStr">
        <is>
          <t>សូមបញ្ចូលតែលេខប៉ុណ្ណោះ</t>
        </is>
      </c>
      <c r="H85" s="217" t="inlineStr">
        <is>
          <t>请输入数字</t>
        </is>
      </c>
      <c r="J85" t="inlineStr">
        <is>
          <t>សូមបញ្ចូលតែលេខប៉ុណ្ណោះ</t>
        </is>
      </c>
    </row>
    <row r="86">
      <c r="A86" s="217" t="inlineStr">
        <is>
          <t>validate.pleaseSelectService</t>
        </is>
      </c>
      <c r="B86" s="217" t="inlineStr">
        <is>
          <t>Vui lòng chọn dịch vụ !</t>
        </is>
      </c>
      <c r="C86" s="217" t="inlineStr">
        <is>
          <t>Please select service !</t>
        </is>
      </c>
      <c r="D86" s="217" t="inlineStr">
        <is>
          <t>សូមជ្រើសរើសសេវាកម្ម!</t>
        </is>
      </c>
      <c r="E86" s="217" t="inlineStr">
        <is>
          <t>សូមជ្រើសរើសសេវាកម្ម!</t>
        </is>
      </c>
      <c r="F86" s="217" t="inlineStr">
        <is>
          <t>សូមជ្រើសរើសសេវាកម្ម!</t>
        </is>
      </c>
      <c r="G86" s="217" t="inlineStr">
        <is>
          <t>សូមជ្រើសរើសសេវាកម្ម!</t>
        </is>
      </c>
      <c r="H86" s="217" t="inlineStr">
        <is>
          <t>请选择服务！</t>
        </is>
      </c>
      <c r="J86" t="inlineStr">
        <is>
          <t>សូមជ្រើសរើសសេវាកម្ម!</t>
        </is>
      </c>
    </row>
    <row r="87">
      <c r="A87" s="217" t="inlineStr">
        <is>
          <t>auth.login</t>
        </is>
      </c>
      <c r="B87" s="217" t="inlineStr">
        <is>
          <t>Đăng nhập</t>
        </is>
      </c>
      <c r="C87" s="217" t="inlineStr">
        <is>
          <t>Login</t>
        </is>
      </c>
      <c r="D87" s="217" t="inlineStr">
        <is>
          <t>ចូលប្រព័ន្ធ</t>
        </is>
      </c>
      <c r="E87" s="217" t="inlineStr">
        <is>
          <t>ចូល</t>
        </is>
      </c>
      <c r="F87" s="217" t="inlineStr">
        <is>
          <t>ចូលប្រព័ន្ធ</t>
        </is>
      </c>
      <c r="G87" s="217" t="inlineStr">
        <is>
          <t>ចូលប្រព័ន្ធ</t>
        </is>
      </c>
      <c r="H87" s="217" t="inlineStr">
        <is>
          <t>登录</t>
        </is>
      </c>
      <c r="J87" t="inlineStr">
        <is>
          <t>ចូលប្រព័ន្ធ</t>
        </is>
      </c>
    </row>
    <row r="88">
      <c r="A88" s="217" t="inlineStr">
        <is>
          <t>auth.account</t>
        </is>
      </c>
      <c r="B88" s="217" t="inlineStr">
        <is>
          <t>SĐT</t>
        </is>
      </c>
      <c r="C88" s="217" t="inlineStr">
        <is>
          <t>Phone number</t>
        </is>
      </c>
      <c r="D88" s="217" t="inlineStr">
        <is>
          <t>លេខទូរស័ព្ទ</t>
        </is>
      </c>
      <c r="E88" s="217" t="inlineStr">
        <is>
          <t>លេខទូរស័ព្ទ</t>
        </is>
      </c>
      <c r="F88" s="217" t="inlineStr">
        <is>
          <t>លេខទូរស័ព្ទ</t>
        </is>
      </c>
      <c r="G88" s="217" t="inlineStr">
        <is>
          <t>លេខទូរស័ព្ទ</t>
        </is>
      </c>
      <c r="H88" s="217" t="inlineStr">
        <is>
          <t>手机号码</t>
        </is>
      </c>
      <c r="J88" t="inlineStr">
        <is>
          <t>លេខទូរស័ព្ទ</t>
        </is>
      </c>
    </row>
    <row r="89">
      <c r="A89" s="217" t="inlineStr">
        <is>
          <t>auth.accountOrEmail</t>
        </is>
      </c>
      <c r="B89" s="217" t="inlineStr">
        <is>
          <t>SĐT/Email</t>
        </is>
      </c>
      <c r="C89" s="217" t="inlineStr">
        <is>
          <t>Phone number/Email</t>
        </is>
      </c>
      <c r="D89" s="217" t="inlineStr">
        <is>
          <t>លេខទូរស័ព្ទ/អ៊ីមែល</t>
        </is>
      </c>
      <c r="E89" s="217" t="inlineStr">
        <is>
          <t>លេខទូរស័ព្ទ/អ៊ីមែល</t>
        </is>
      </c>
      <c r="F89" s="217" t="inlineStr">
        <is>
          <t>លេខទូរស័ព្ទ/អ៊ីមែល</t>
        </is>
      </c>
      <c r="G89" s="217" t="inlineStr">
        <is>
          <t>លេខទូរស័ព្ទ/អ៊ីមែល</t>
        </is>
      </c>
      <c r="H89" s="217" t="inlineStr">
        <is>
          <t>手机号/邮箱</t>
        </is>
      </c>
      <c r="J89" t="inlineStr">
        <is>
          <t>លេខទូរស័ព្ទ/អ៊ីមែល</t>
        </is>
      </c>
    </row>
    <row r="90">
      <c r="A90" s="217" t="inlineStr">
        <is>
          <t>auth.placeholderAccount</t>
        </is>
      </c>
      <c r="B90" s="217" t="inlineStr">
        <is>
          <t>Nhập số điện thoại</t>
        </is>
      </c>
      <c r="C90" s="217" t="inlineStr">
        <is>
          <t>Enter phone number</t>
        </is>
      </c>
      <c r="D90" s="217" t="inlineStr">
        <is>
          <t>បញ្ចូលលេខទូរស័ព្ទ</t>
        </is>
      </c>
      <c r="E90" s="217" t="inlineStr">
        <is>
          <t>បញ្ចូលលេខទូរស័ព្ទ</t>
        </is>
      </c>
      <c r="F90" s="217" t="inlineStr">
        <is>
          <t>បញ្ចូលលេខទូរស័ព្ទ</t>
        </is>
      </c>
      <c r="G90" s="217" t="inlineStr">
        <is>
          <t>បញ្ចូលលេខទូរស័ព្ទ</t>
        </is>
      </c>
      <c r="H90" s="217" t="inlineStr">
        <is>
          <t>请输入手机号码</t>
        </is>
      </c>
      <c r="J90" t="inlineStr">
        <is>
          <t>បញ្ចូលលេខទូរស័ព្ទ</t>
        </is>
      </c>
    </row>
    <row r="91">
      <c r="A91" s="217" t="inlineStr">
        <is>
          <t>auth.placeholderAccountOrEmail</t>
        </is>
      </c>
      <c r="B91" s="217" t="inlineStr">
        <is>
          <t>Nhập SĐT/Email</t>
        </is>
      </c>
      <c r="C91" s="217" t="inlineStr">
        <is>
          <t>Enter phone number/Email</t>
        </is>
      </c>
      <c r="D91" s="217" t="inlineStr">
        <is>
          <t>បញ្ចូលលេខទូរស័ព្ទ/អ៊ីមែល</t>
        </is>
      </c>
      <c r="E91" s="217" t="inlineStr">
        <is>
          <t>បញ្ចូលលេខទូរស័ព្ទ/អ៊ីមែល</t>
        </is>
      </c>
      <c r="F91" s="217" t="inlineStr">
        <is>
          <t>បញ្ចូលលេខទូរស័ព្ទ/អ៊ីមែល</t>
        </is>
      </c>
      <c r="G91" s="217" t="inlineStr">
        <is>
          <t>បញ្ចូលលេខទូរស័ព្ទ/អ៊ីមែល</t>
        </is>
      </c>
      <c r="H91" s="217" t="inlineStr">
        <is>
          <t>请输入手机号或邮箱</t>
        </is>
      </c>
      <c r="J91" t="inlineStr">
        <is>
          <t>បញ្ចូលលេខទូរស័ព្ទ/អ៊ីមែល</t>
        </is>
      </c>
    </row>
    <row r="92">
      <c r="A92" s="217" t="inlineStr">
        <is>
          <t>auth.password</t>
        </is>
      </c>
      <c r="B92" s="217" t="inlineStr">
        <is>
          <t>Mật khẩu</t>
        </is>
      </c>
      <c r="C92" s="217" t="inlineStr">
        <is>
          <t>Password</t>
        </is>
      </c>
      <c r="D92" s="217" t="inlineStr">
        <is>
          <t>ពាក្យសម្ងាត់</t>
        </is>
      </c>
      <c r="E92" s="217" t="inlineStr">
        <is>
          <t>ពាក្យសម្ងាត់</t>
        </is>
      </c>
      <c r="F92" s="217" t="inlineStr">
        <is>
          <t>ពាក្យសម្ងាត់</t>
        </is>
      </c>
      <c r="G92" s="217" t="inlineStr">
        <is>
          <t>ពាក្យសម្ងាត់</t>
        </is>
      </c>
      <c r="H92" s="217" t="inlineStr">
        <is>
          <t>密码</t>
        </is>
      </c>
      <c r="J92" t="inlineStr">
        <is>
          <t>ពាក្យសម្ងាត់</t>
        </is>
      </c>
    </row>
    <row r="93">
      <c r="A93" s="217" t="inlineStr">
        <is>
          <t>auth.placeholderPassword</t>
        </is>
      </c>
      <c r="B93" s="217" t="inlineStr">
        <is>
          <t>Nhập mật khẩu</t>
        </is>
      </c>
      <c r="C93" s="217" t="inlineStr">
        <is>
          <t>Enter password</t>
        </is>
      </c>
      <c r="D93" s="217" t="inlineStr">
        <is>
          <t>បញ្ចូលពាក្យសម្ងាត់</t>
        </is>
      </c>
      <c r="E93" s="217" t="inlineStr">
        <is>
          <t>បញ្ចូលពាក្យសម្ងាត់</t>
        </is>
      </c>
      <c r="F93" s="217" t="inlineStr">
        <is>
          <t>បញ្ចូលពាក្យសម្ងាត់</t>
        </is>
      </c>
      <c r="G93" s="217" t="inlineStr">
        <is>
          <t>បញ្ចូលពាក្យសម្ងាត់</t>
        </is>
      </c>
      <c r="H93" s="217" t="inlineStr">
        <is>
          <t>请输入密码</t>
        </is>
      </c>
      <c r="J93" t="inlineStr">
        <is>
          <t>បញ្ចូលពាក្យសម្ងាត់</t>
        </is>
      </c>
    </row>
    <row r="94">
      <c r="A94" s="217" t="inlineStr">
        <is>
          <t>auth.requiredAccount</t>
        </is>
      </c>
      <c r="B94" s="217" t="inlineStr">
        <is>
          <t>SĐT không được để trống</t>
        </is>
      </c>
      <c r="C94" s="217" t="inlineStr">
        <is>
          <t>Phone number cannot be empty</t>
        </is>
      </c>
      <c r="D94" s="217" t="inlineStr">
        <is>
          <t>លេខទូរស័ព្ទមិនអាចទទេ</t>
        </is>
      </c>
      <c r="E94" s="217" t="inlineStr">
        <is>
          <t>លេខទូរស័ព្ទមិនអាចទុកចន្លោះបានទេ</t>
        </is>
      </c>
      <c r="F94" s="217" t="inlineStr">
        <is>
          <t>លេខទូរស័ព្ទមិនអាចទុកចន្លោះបានទេ</t>
        </is>
      </c>
      <c r="G94" s="217" t="inlineStr">
        <is>
          <t>លេខទូរស័ព្ទមិនអាចទុកចន្លោះបានទេ</t>
        </is>
      </c>
      <c r="H94" s="217" t="inlineStr">
        <is>
          <t>请输入手机号码</t>
        </is>
      </c>
      <c r="J94" t="inlineStr">
        <is>
          <t>លេខទូរស័ព្ទមិនអាចទុកចន្លោះបានទេ</t>
        </is>
      </c>
    </row>
    <row r="95">
      <c r="A95" s="217" t="inlineStr">
        <is>
          <t>auth.requiredAccountOrEmail</t>
        </is>
      </c>
      <c r="B95" s="217" t="inlineStr">
        <is>
          <t>SĐT/Email không được để trống</t>
        </is>
      </c>
      <c r="C95" s="217" t="inlineStr">
        <is>
          <t>Phone number/Email cannot be empty</t>
        </is>
      </c>
      <c r="D95" s="217" t="inlineStr">
        <is>
          <t>លេខទូរស័ព្ទ/អ៊ីមែលមិនអាចទទេ</t>
        </is>
      </c>
      <c r="E95" s="217" t="inlineStr">
        <is>
          <t>លេខទូរស័ព្ទ/អ៊ីមែលមិនអាចទុកចន្លោះបានទេ</t>
        </is>
      </c>
      <c r="F95" s="217" t="inlineStr">
        <is>
          <t>លេខទូរស័ព្ទ/អ៊ីមែលមិនអាចទុកចន្លោះបានទេ</t>
        </is>
      </c>
      <c r="G95" s="217" t="inlineStr">
        <is>
          <t>លេខទូរស័ព្ទ/អ៊ីមែលមិនអាចទុកចន្លោះបានទេ</t>
        </is>
      </c>
      <c r="H95" s="217" t="inlineStr">
        <is>
          <t>手机号/邮箱不能为空</t>
        </is>
      </c>
      <c r="J95" t="inlineStr">
        <is>
          <t>លេខទូរស័ព្ទ/អ៊ីមែលមិនអាចទុកចន្លោះបានទេ</t>
        </is>
      </c>
    </row>
    <row r="96">
      <c r="A96" s="217" t="inlineStr">
        <is>
          <t>auth.requiredPassword</t>
        </is>
      </c>
      <c r="B96" s="217" t="inlineStr">
        <is>
          <t>Mật khẩu không được để trống</t>
        </is>
      </c>
      <c r="C96" s="217" t="inlineStr">
        <is>
          <t>Password cannot be empty</t>
        </is>
      </c>
      <c r="D96" s="217" t="inlineStr">
        <is>
          <t>ពាក្យសម្ងាត់មិនអាចទទេ</t>
        </is>
      </c>
      <c r="E96" s="217" t="inlineStr">
        <is>
          <t>ពាក្យសម្ងាត់មិនអាចទុកចន្លោះបានទេ</t>
        </is>
      </c>
      <c r="F96" s="217" t="inlineStr">
        <is>
          <t>ពាក្យសម្ងាត់មិនអាចទុកឲ្យចន្លោះបានទេ</t>
        </is>
      </c>
      <c r="G96" s="217" t="inlineStr">
        <is>
          <t>ពាក្យសម្ងាត់មិនអាចទុកឲ្យចន្លោះបានទេ</t>
        </is>
      </c>
      <c r="H96" s="217" t="inlineStr">
        <is>
          <t>请输入密码</t>
        </is>
      </c>
      <c r="J96" t="inlineStr">
        <is>
          <t>ពាក្យសម្ងាត់មិនអាចទុកឲ្យចន្លោះបានទេ</t>
        </is>
      </c>
    </row>
    <row r="97">
      <c r="A97" s="217" t="inlineStr">
        <is>
          <t>auth.requiredRePassword</t>
        </is>
      </c>
      <c r="B97" s="217" t="inlineStr">
        <is>
          <t>Nhập lại mật khẩu không được để trống</t>
        </is>
      </c>
      <c r="C97" s="217" t="inlineStr">
        <is>
          <t>Confirm password cannot be empty</t>
        </is>
      </c>
      <c r="D97" s="217" t="inlineStr">
        <is>
          <t>ការបញ្ចូលពាក្យសម្ងាត់មិនអាចទទេ</t>
        </is>
      </c>
      <c r="E97" s="217" t="inlineStr">
        <is>
          <t>ការបញ្ចូលពាក្យសម្ងាត់មិនអាចទទេ</t>
        </is>
      </c>
      <c r="F97" s="217" t="inlineStr">
        <is>
          <t>បញ្ចូលពាក្យសម្ងាត់ឡើងវិញមិនអាចទុកចន្លោះបានទេ</t>
        </is>
      </c>
      <c r="G97" s="217" t="inlineStr">
        <is>
          <t>បញ្ចូលពាក្យសម្ងាត់ឡើងវិញមិនអាចទុកចន្លោះបានទេ</t>
        </is>
      </c>
      <c r="H97" s="217" t="inlineStr">
        <is>
          <t>确认密码不能为空</t>
        </is>
      </c>
      <c r="J97" t="inlineStr">
        <is>
          <t>បញ្ចូលពាក្យសម្ងាត់ឡើងវិញមិនអាចទុកចន្លោះបានទេ</t>
        </is>
      </c>
    </row>
    <row r="98">
      <c r="A98" s="217" t="inlineStr">
        <is>
          <t>auth.forgotPassword</t>
        </is>
      </c>
      <c r="B98" s="217" t="inlineStr">
        <is>
          <t>Quên mật khẩu</t>
        </is>
      </c>
      <c r="C98" s="217" t="inlineStr">
        <is>
          <t>Forgot password</t>
        </is>
      </c>
      <c r="D98" s="217" t="inlineStr">
        <is>
          <t>ភ្លេចពាក្យសម្ងាត់</t>
        </is>
      </c>
      <c r="E98" s="217" t="inlineStr">
        <is>
          <t>ភ្លេចពាក្យសម្ងាត់</t>
        </is>
      </c>
      <c r="F98" s="217" t="inlineStr">
        <is>
          <t>ភ្លេចពាក្យសម្ងាត់</t>
        </is>
      </c>
      <c r="G98" s="217" t="inlineStr">
        <is>
          <t>ភ្លេចពាក្យសម្ងាត់</t>
        </is>
      </c>
      <c r="H98" s="217" t="inlineStr">
        <is>
          <t>忘记密码？</t>
        </is>
      </c>
      <c r="J98" t="inlineStr">
        <is>
          <t>ភ្លេចពាក្យសម្ងាត់</t>
        </is>
      </c>
    </row>
    <row r="99">
      <c r="A99" s="217" t="inlineStr">
        <is>
          <t>auth.loginWithQr</t>
        </is>
      </c>
      <c r="B99" s="217" t="inlineStr">
        <is>
          <t>Đăng nhập bằng QR Code</t>
        </is>
      </c>
      <c r="C99" s="217" t="inlineStr">
        <is>
          <t>Login with QR Code</t>
        </is>
      </c>
      <c r="D99" s="217" t="inlineStr">
        <is>
          <t>ចូលដោយ QR Code</t>
        </is>
      </c>
      <c r="E99" s="217" t="inlineStr">
        <is>
          <t>ចូលដោយ QR Code</t>
        </is>
      </c>
      <c r="F99" s="217" t="inlineStr">
        <is>
          <t>ចូលដោយប្រើ QR កូដ</t>
        </is>
      </c>
      <c r="G99" s="217" t="inlineStr">
        <is>
          <t>ចូលដោយប្រើ QR កូដ</t>
        </is>
      </c>
      <c r="H99" s="217" t="inlineStr">
        <is>
          <t>扫码登录</t>
        </is>
      </c>
      <c r="J99" t="inlineStr">
        <is>
          <t>ចូលដោយប្រើ QR កូដ</t>
        </is>
      </c>
    </row>
    <row r="100">
      <c r="A100" s="217" t="inlineStr">
        <is>
          <t>auth.notAnAccount</t>
        </is>
      </c>
      <c r="B100" s="217" t="inlineStr">
        <is>
          <t>Quý khách chưa đăng ký tài khoản?</t>
        </is>
      </c>
      <c r="C100" s="217" t="inlineStr">
        <is>
          <t>Don't have an account?</t>
        </is>
      </c>
      <c r="D100" s="217" t="inlineStr">
        <is>
          <t>អ្នកមិនទាន់ចុះឈ្មោះទេ?</t>
        </is>
      </c>
      <c r="E100" s="217" t="inlineStr">
        <is>
          <t>តើអ្នកមិនទាន់បានចុះឈ្មោះចូលគណនីទេមែនទេ?</t>
        </is>
      </c>
      <c r="F100" s="217" t="inlineStr">
        <is>
          <t>អ្នកមិនទាន់បានចុះឈ្មោះគណនីទេមែនទេ?</t>
        </is>
      </c>
      <c r="G100" s="217" t="inlineStr">
        <is>
          <t>អ្នកមិនទាន់បានចុះឈ្មោះគណនីទេមែនទេ?</t>
        </is>
      </c>
      <c r="H100" s="217" t="inlineStr">
        <is>
          <t>没有账户？</t>
        </is>
      </c>
      <c r="J100" t="inlineStr">
        <is>
          <t>អ្នកមិនទាន់បានចុះឈ្មោះគណនីទេមែនទេ?</t>
        </is>
      </c>
    </row>
    <row r="101">
      <c r="A101" s="217" t="inlineStr">
        <is>
          <t>auth.registerNow</t>
        </is>
      </c>
      <c r="B101" s="217" t="inlineStr">
        <is>
          <t>Đăng ký ngay</t>
        </is>
      </c>
      <c r="C101" s="217" t="inlineStr">
        <is>
          <t>Register now</t>
        </is>
      </c>
      <c r="D101" s="217" t="inlineStr">
        <is>
          <t>ចុះឈ្មោះឥឡូវនេះ</t>
        </is>
      </c>
      <c r="E101" s="217" t="inlineStr">
        <is>
          <t>ចុះឈ្មោះអីឡូវនេះ</t>
        </is>
      </c>
      <c r="F101" s="217" t="inlineStr">
        <is>
          <t>ចុះឈ្មោះឥឡូវនេះ</t>
        </is>
      </c>
      <c r="G101" s="217" t="inlineStr">
        <is>
          <t>ចុះឈ្មោះឥឡូវនេះ</t>
        </is>
      </c>
      <c r="H101" s="217" t="inlineStr">
        <is>
          <t>立即注册</t>
        </is>
      </c>
      <c r="J101" t="inlineStr">
        <is>
          <t>ចុះឈ្មោះឥឡូវនេះ</t>
        </is>
      </c>
    </row>
    <row r="102">
      <c r="A102" s="217" t="inlineStr">
        <is>
          <t>auth.invalidPhoneNumber</t>
        </is>
      </c>
      <c r="B102" s="217" t="inlineStr">
        <is>
          <t>Số điện thoại không hợp lệ</t>
        </is>
      </c>
      <c r="C102" s="217" t="inlineStr">
        <is>
          <t>Invalid phone number</t>
        </is>
      </c>
      <c r="D102" s="217" t="inlineStr">
        <is>
          <t>លេខទូរស័ព្ទមិនត្រឹមត្រូវ</t>
        </is>
      </c>
      <c r="E102" s="217" t="inlineStr">
        <is>
          <t>លេខទូរស័ព្ទមិនសមស្រប</t>
        </is>
      </c>
      <c r="F102" s="217" t="inlineStr">
        <is>
          <t>លេខទូរស័ព្ទមិនត្រឹមត្រូវ</t>
        </is>
      </c>
      <c r="G102" s="217" t="inlineStr">
        <is>
          <t>លេខទូរស័ព្ទមិនត្រឹមត្រូវ</t>
        </is>
      </c>
      <c r="H102" s="217" t="inlineStr">
        <is>
          <t>手机号码格式错误</t>
        </is>
      </c>
      <c r="J102" t="inlineStr">
        <is>
          <t>លេខទូរស័ព្ទមិនត្រឹមត្រូវ</t>
        </is>
      </c>
    </row>
    <row r="103">
      <c r="A103" s="217" t="inlineStr">
        <is>
          <t>auth.descriptionForgotPass</t>
        </is>
      </c>
      <c r="B103" s="217" t="inlineStr">
        <is>
          <t>Để khôi phục mật khẩu, bạn vui lòng nhập \n SĐT đã dùng để đăng ký trên hệ thống</t>
        </is>
      </c>
      <c r="C103" s="217" t="inlineStr">
        <is>
          <t>To recover your password, please enter the phone number used to register on the system</t>
        </is>
      </c>
      <c r="D103" s="217" t="inlineStr">
        <is>
          <t>ដើម្បីកែសម្រួលពាក្យសម្ងាត់ សូមបញ្ចូលលេខទូរស័ព្ទដែលបានចុះឈ្មោះ</t>
        </is>
      </c>
      <c r="E103" s="3" t="inlineStr">
        <is>
          <t>ដើម្បីស្តារពាក្យសម្ងាត់ឡើងមកវិញ សូមបញ្ចូលលេខទូរស័ព្ទដែលបានប្រើដើម្បីចុះឈ្មោះក្នុងប្រព័ន្ធ</t>
        </is>
      </c>
      <c r="F103" s="3" t="inlineStr">
        <is>
          <t>ដើម្បីស្តារពាក្យសម្ងាត់ឡើងវិញ សូមបញ្ចូលលេខទូរស័ព្ទដែលចុះឈ្មោះក្នុងប្រព័ន្ធ</t>
        </is>
      </c>
      <c r="G103" s="3" t="inlineStr">
        <is>
          <t>ដើម្បីស្តារពាក្យសម្ងាត់ឡើងវិញ សូមបញ្ចូលលេខទូរស័ព្ទដែលចុះឈ្មោះក្នុងប្រព័ន្ធ</t>
        </is>
      </c>
      <c r="H103" s="217" t="inlineStr">
        <is>
          <t>请输入您注册时使用的手机号以找回密码</t>
        </is>
      </c>
      <c r="J103" t="inlineStr">
        <is>
          <t>ដើម្បីស្តារពាក្យសម្ងាត់ឡើងវិញ សូមបញ្ចូលលេខទូរស័ព្ទដែលចុះឈ្មោះក្នុងប្រព័ន្ធ</t>
        </is>
      </c>
    </row>
    <row r="104">
      <c r="A104" s="217" t="inlineStr">
        <is>
          <t>auth.restore</t>
        </is>
      </c>
      <c r="B104" s="217" t="inlineStr">
        <is>
          <t>Khôi phục</t>
        </is>
      </c>
      <c r="C104" s="217" t="inlineStr">
        <is>
          <t>Recover</t>
        </is>
      </c>
      <c r="D104" s="217" t="inlineStr">
        <is>
          <t>ស្ដារឡើងវិញ</t>
        </is>
      </c>
      <c r="E104" s="217" t="inlineStr">
        <is>
          <t>ស្តារឡើងមកវិញ</t>
        </is>
      </c>
      <c r="F104" s="217" t="inlineStr">
        <is>
          <t>ស្ដារឡើងវិញ</t>
        </is>
      </c>
      <c r="G104" s="217" t="inlineStr">
        <is>
          <t>ស្ដារឡើងវិញ</t>
        </is>
      </c>
      <c r="H104" s="217" t="inlineStr">
        <is>
          <t>找回</t>
        </is>
      </c>
      <c r="J104" t="inlineStr">
        <is>
          <t>ស្ដារឡើងវិញ</t>
        </is>
      </c>
    </row>
    <row r="105">
      <c r="A105" s="217" t="inlineStr">
        <is>
          <t>auth.pleaseEnterOtp</t>
        </is>
      </c>
      <c r="B105" s="217" t="inlineStr">
        <is>
          <t>Vui lòng nhập OTP !</t>
        </is>
      </c>
      <c r="C105" s="217" t="inlineStr">
        <is>
          <t>Please enter OTP!</t>
        </is>
      </c>
      <c r="D105" s="217" t="inlineStr">
        <is>
          <t>សូមបញ្ចូល OTP!</t>
        </is>
      </c>
      <c r="E105" s="217" t="inlineStr">
        <is>
          <t>ត្រឡប់ក្រោយ!</t>
        </is>
      </c>
      <c r="F105" s="217" t="inlineStr">
        <is>
          <t>សូមបញ្ចូល OTP!</t>
        </is>
      </c>
      <c r="G105" s="217" t="inlineStr">
        <is>
          <t>សូមបញ្ចូល OTP!</t>
        </is>
      </c>
      <c r="H105" s="217" t="inlineStr">
        <is>
          <t>请输入验证码</t>
        </is>
      </c>
      <c r="J105" t="inlineStr">
        <is>
          <t>សូមបញ្ចូល OTP!</t>
        </is>
      </c>
    </row>
    <row r="106">
      <c r="A106" s="217" t="inlineStr">
        <is>
          <t>auth.goBack</t>
        </is>
      </c>
      <c r="B106" s="217" t="inlineStr">
        <is>
          <t>Quay lại</t>
        </is>
      </c>
      <c r="C106" s="217" t="inlineStr">
        <is>
          <t>Go back</t>
        </is>
      </c>
      <c r="D106" s="217" t="inlineStr">
        <is>
          <t>ត្រឡប់ក្រោយ</t>
        </is>
      </c>
      <c r="E106" s="217" t="inlineStr">
        <is>
          <t>បញ្ជាក់ OTP</t>
        </is>
      </c>
      <c r="F106" s="217" t="inlineStr">
        <is>
          <t>ត្រឡប់ក្រោយ</t>
        </is>
      </c>
      <c r="G106" s="217" t="inlineStr">
        <is>
          <t>ថយក្រោយ</t>
        </is>
      </c>
      <c r="H106" s="217" t="inlineStr">
        <is>
          <t>返回</t>
        </is>
      </c>
      <c r="J106" t="inlineStr">
        <is>
          <t>ថយក្រោយ</t>
        </is>
      </c>
    </row>
    <row r="107">
      <c r="A107" s="217" t="inlineStr">
        <is>
          <t>auth.confirmOtp</t>
        </is>
      </c>
      <c r="B107" s="217" t="inlineStr">
        <is>
          <t>Xác nhận OTP</t>
        </is>
      </c>
      <c r="C107" s="217" t="inlineStr">
        <is>
          <t>Confirm OTP</t>
        </is>
      </c>
      <c r="D107" s="217" t="inlineStr">
        <is>
          <t>ផ្ទៀងផ្ទាត់ OTP</t>
        </is>
      </c>
      <c r="E107" s="217" t="inlineStr">
        <is>
          <t>ផ្ទៀងផ្ទាត់ OTP</t>
        </is>
      </c>
      <c r="F107" s="217" t="inlineStr">
        <is>
          <t>បញ្ជាក់ OTP</t>
        </is>
      </c>
      <c r="G107" s="217" t="inlineStr">
        <is>
          <t>បញ្ជាក់ OTP</t>
        </is>
      </c>
      <c r="H107" s="217" t="inlineStr">
        <is>
          <t>验证验证码</t>
        </is>
      </c>
      <c r="J107" t="inlineStr">
        <is>
          <t>បញ្ជាក់ OTP</t>
        </is>
      </c>
    </row>
    <row r="108">
      <c r="A108" s="217" t="inlineStr">
        <is>
          <t>auth.notiEnterOtp</t>
        </is>
      </c>
      <c r="B108" s="217" t="inlineStr">
        <is>
          <t>Nhập OTP vừa được gửi về số điện thoại</t>
        </is>
      </c>
      <c r="C108" s="217" t="inlineStr">
        <is>
          <t>Enter the OTP sent to the phone number</t>
        </is>
      </c>
      <c r="D108" s="217" t="inlineStr">
        <is>
          <t>សូមបញ្ចូល OTP ដែលបានផ្ញើតាម Telegram ទៅលេខ {{sdt}}</t>
        </is>
      </c>
      <c r="E108" s="217" t="inlineStr">
        <is>
          <t>បញ្ចូល OTP ដែលទើបតែផ្ញើទៅកាន់លេខទូរស័ព្ទ</t>
        </is>
      </c>
      <c r="F108" s="217" t="inlineStr">
        <is>
          <t>បញ្ចូល OTP ដែលបានផ្ញើទៅកាន់លេខទូរស័ព្ទរបស់អ្នក</t>
        </is>
      </c>
      <c r="G108" s="217" t="inlineStr">
        <is>
          <t>បញ្ចូល OTP ដែលបានផ្ញើទៅកាន់លេខទូរស័ព្ទរបស់អ្នក</t>
        </is>
      </c>
      <c r="H108" s="217" t="inlineStr">
        <is>
          <t>请输入刚通过手机号 {{sdt}} 发送至Telegram的验证码</t>
        </is>
      </c>
      <c r="J108" t="inlineStr">
        <is>
          <t>បញ្ចូល OTP ដែលបានផ្ញើទៅកាន់លេខទូរស័ព្ទរបស់អ្នក</t>
        </is>
      </c>
    </row>
    <row r="109">
      <c r="A109" s="217" t="inlineStr">
        <is>
          <t>auth.notiEnterOtpTele</t>
        </is>
      </c>
      <c r="B109" s="217" t="inlineStr">
        <is>
          <t>Nhập OTP vừa được gửi về telegram số điện thoại</t>
        </is>
      </c>
      <c r="C109" s="217">
        <f>IFERROR(__xludf.DUMMYFUNCTION("GOOGLETRANSLATE(B109,""vi"",""en"")"),"Enter the OTP that was just sent to your phone number on Telegram.")</f>
        <v/>
      </c>
      <c r="D109" s="217" t="inlineStr">
        <is>
          <t>-</t>
        </is>
      </c>
      <c r="E109" s="217" t="inlineStr">
        <is>
          <t>បញ្ចូល OTP ដែលទើបតែផ្ញើទៅកាន់តេឡេក្រាម</t>
        </is>
      </c>
      <c r="F109" s="217" t="inlineStr">
        <is>
          <t>បញ្ចូល OTP ដែលបានផ្ញើទៅកាន់លេខ Telegram របស់អ្នក</t>
        </is>
      </c>
      <c r="G109" s="217" t="inlineStr">
        <is>
          <t>បញ្ចូល OTP ដែលបានផ្ញើទៅកាន់លេខ Telegram របស់អ្នក</t>
        </is>
      </c>
      <c r="H109" s="217" t="inlineStr">
        <is>
          <t>-</t>
        </is>
      </c>
      <c r="J109" t="inlineStr">
        <is>
          <t>បញ្ចូល OTP ដែលបានផ្ញើទៅកាន់លេខ Telegram របស់អ្នក</t>
        </is>
      </c>
    </row>
    <row r="110">
      <c r="A110" s="217" t="inlineStr">
        <is>
          <t>auth.notiEnterOtp1</t>
        </is>
      </c>
      <c r="B110" s="217" t="inlineStr">
        <is>
          <t>Nhập OTP vừa được gửi về</t>
        </is>
      </c>
      <c r="C110" s="217" t="inlineStr">
        <is>
          <t>Please operate on</t>
        </is>
      </c>
      <c r="D110" s="217" t="inlineStr">
        <is>
          <t>សូមធ្វើការប្រតិបត្តិលើ</t>
        </is>
      </c>
      <c r="E110" s="217" t="inlineStr">
        <is>
          <t>បញ្ចូល OTP ដែលទើបតែផ្ញើទៅកាន់អ្នក</t>
        </is>
      </c>
      <c r="F110" s="217" t="inlineStr">
        <is>
          <t>បញ្ចូល OTP ដែលបានផ្ញើទៅ</t>
        </is>
      </c>
      <c r="G110" s="217" t="inlineStr">
        <is>
          <t>បញ្ចូល OTP ដែលបានផ្ញើទៅ</t>
        </is>
      </c>
      <c r="H110" s="217" t="inlineStr">
        <is>
          <t>请在您的设备上操作</t>
        </is>
      </c>
      <c r="J110" t="inlineStr">
        <is>
          <t>បញ្ចូល OTP ដែលបានផ្ញើទៅ</t>
        </is>
      </c>
    </row>
    <row r="111">
      <c r="A111" s="217" t="inlineStr">
        <is>
          <t>auth.notiEnterOtp2</t>
        </is>
      </c>
      <c r="B111" s="217" t="inlineStr">
        <is>
          <t>để nhận OTP</t>
        </is>
      </c>
      <c r="C111" s="217" t="inlineStr">
        <is>
          <t>to receive OTP</t>
        </is>
      </c>
      <c r="D111" s="217" t="inlineStr">
        <is>
          <t>ដើម្បីទទួល OTP</t>
        </is>
      </c>
      <c r="E111" s="217" t="inlineStr">
        <is>
          <t>ដើម្បីទទួលបាន OTP?</t>
        </is>
      </c>
      <c r="F111" s="217" t="inlineStr">
        <is>
          <t>ដើម្បីទទួល OTP</t>
        </is>
      </c>
      <c r="G111" s="217" t="inlineStr">
        <is>
          <t>ដើម្បីទទួល OTP</t>
        </is>
      </c>
      <c r="H111" s="217" t="inlineStr">
        <is>
          <t>以接收验证码</t>
        </is>
      </c>
      <c r="J111" t="inlineStr">
        <is>
          <t>ដើម្បីទទួល OTP</t>
        </is>
      </c>
    </row>
    <row r="112">
      <c r="A112" s="217" t="inlineStr">
        <is>
          <t>auth.questionOtp</t>
        </is>
      </c>
      <c r="B112" s="217" t="inlineStr">
        <is>
          <t>Bạn chưa nhận được OTP?</t>
        </is>
      </c>
      <c r="C112" s="217" t="inlineStr">
        <is>
          <t>Didn't receive the OTP?</t>
        </is>
      </c>
      <c r="D112" s="217" t="inlineStr">
        <is>
          <t>មិនទាន់ទទួល OTP?</t>
        </is>
      </c>
      <c r="E112" s="217" t="inlineStr">
        <is>
          <t>អ្នកមិនទាន់បានទទួល OTP ទេមែនទេ?</t>
        </is>
      </c>
      <c r="F112" s="217" t="inlineStr">
        <is>
          <t>អ្នកមិនទាន់បានទទួល OTP ទេមែនទេ?</t>
        </is>
      </c>
      <c r="G112" s="217" t="inlineStr">
        <is>
          <t>អ្នកមិនទាន់បានទទួល OTP ទេមែនទេ?</t>
        </is>
      </c>
      <c r="H112" s="217" t="inlineStr">
        <is>
          <t>未收到验证码？</t>
        </is>
      </c>
      <c r="J112" t="inlineStr">
        <is>
          <t>អ្នកមិនទាន់បានទទួល OTP ទេមែនទេ?</t>
        </is>
      </c>
    </row>
    <row r="113">
      <c r="A113" s="217" t="inlineStr">
        <is>
          <t>auth.resend</t>
        </is>
      </c>
      <c r="B113" s="217" t="inlineStr">
        <is>
          <t>Gửi lại</t>
        </is>
      </c>
      <c r="C113" s="217" t="inlineStr">
        <is>
          <t>Resend</t>
        </is>
      </c>
      <c r="D113" s="217" t="inlineStr">
        <is>
          <t>ផ្ញើឡើងវិញ</t>
        </is>
      </c>
      <c r="E113" s="217" t="inlineStr">
        <is>
          <t>ផ្ញើម្តងទៀត</t>
        </is>
      </c>
      <c r="F113" s="217" t="inlineStr">
        <is>
          <t>ផ្ញើម្តងទៀត</t>
        </is>
      </c>
      <c r="G113" s="217" t="inlineStr">
        <is>
          <t>ផ្ញើម្តងទៀត</t>
        </is>
      </c>
      <c r="H113" s="217" t="inlineStr">
        <is>
          <t>重新发送</t>
        </is>
      </c>
      <c r="J113" t="inlineStr">
        <is>
          <t>ផ្ញើម្តងទៀត</t>
        </is>
      </c>
    </row>
    <row r="114">
      <c r="A114" s="217" t="inlineStr">
        <is>
          <t>auth.resendIn</t>
        </is>
      </c>
      <c r="B114" s="217" t="inlineStr">
        <is>
          <t>Gửi lại sau ({{time}}s)</t>
        </is>
      </c>
      <c r="C114" s="217" t="inlineStr">
        <is>
          <t>Resend in ({{time}}s)</t>
        </is>
      </c>
      <c r="D114" s="217" t="inlineStr">
        <is>
          <t>ផ្ញើឡើងវិញក្នុង ({{time}}s)</t>
        </is>
      </c>
      <c r="E114" s="217" t="inlineStr">
        <is>
          <t>ផ្ញើម្តងទៀតពេលក្រោយ ({{time}}s)</t>
        </is>
      </c>
      <c r="F114" s="217" t="inlineStr">
        <is>
          <t>ផ្ញើម្តងទៀតពេលក្រោយ ({{time}}s)</t>
        </is>
      </c>
      <c r="G114" s="217" t="inlineStr">
        <is>
          <t>ផ្ញើម្តងទៀតពេលក្រោយ ({{time}}s)</t>
        </is>
      </c>
      <c r="H114" s="217" t="inlineStr">
        <is>
          <t>({{time}}秒后)重新发送</t>
        </is>
      </c>
      <c r="J114" t="inlineStr">
        <is>
          <t>ផ្ញើម្តងទៀតពេលក្រោយ ({{time}}s)</t>
        </is>
      </c>
    </row>
    <row r="115">
      <c r="A115" s="217" t="inlineStr">
        <is>
          <t>auth.register</t>
        </is>
      </c>
      <c r="B115" s="217" t="inlineStr">
        <is>
          <t>Đăng ký</t>
        </is>
      </c>
      <c r="C115" s="217" t="inlineStr">
        <is>
          <t>Register</t>
        </is>
      </c>
      <c r="D115" s="217" t="inlineStr">
        <is>
          <t>ចុះឈ្មោះ</t>
        </is>
      </c>
      <c r="E115" s="217" t="inlineStr">
        <is>
          <t>ចុះឈ្មោះ</t>
        </is>
      </c>
      <c r="F115" s="217" t="inlineStr">
        <is>
          <t>ចុះឈ្មោះ</t>
        </is>
      </c>
      <c r="G115" s="217" t="inlineStr">
        <is>
          <t>ចុះឈ្មោះ</t>
        </is>
      </c>
      <c r="H115" s="217" t="inlineStr">
        <is>
          <t>注册</t>
        </is>
      </c>
      <c r="J115" t="inlineStr">
        <is>
          <t>ចុះឈ្មោះ</t>
        </is>
      </c>
    </row>
    <row r="116">
      <c r="A116" s="217" t="inlineStr">
        <is>
          <t>auth.fullName</t>
        </is>
      </c>
      <c r="B116" s="217" t="inlineStr">
        <is>
          <t>Họ tên</t>
        </is>
      </c>
      <c r="C116" s="217" t="inlineStr">
        <is>
          <t>Full name</t>
        </is>
      </c>
      <c r="D116" s="217" t="inlineStr">
        <is>
          <t>ឈ្មោះពេញ</t>
        </is>
      </c>
      <c r="E116" s="217" t="inlineStr">
        <is>
          <t>គោត្តនាម និងនាម</t>
        </is>
      </c>
      <c r="F116" s="217" t="inlineStr">
        <is>
          <t>ឈ្មោះនិងនាមត្រកូល</t>
        </is>
      </c>
      <c r="G116" s="217" t="inlineStr">
        <is>
          <t>ឈ្មោះពេញ</t>
        </is>
      </c>
      <c r="H116" s="217" t="inlineStr">
        <is>
          <t>姓名</t>
        </is>
      </c>
      <c r="J116" t="inlineStr">
        <is>
          <t>ឈ្មោះពេញ</t>
        </is>
      </c>
    </row>
    <row r="117">
      <c r="A117" s="217" t="inlineStr">
        <is>
          <t>auth.phoneNumber</t>
        </is>
      </c>
      <c r="B117" s="217" t="inlineStr">
        <is>
          <t>SĐT</t>
        </is>
      </c>
      <c r="C117" s="217" t="inlineStr">
        <is>
          <t>Phone number</t>
        </is>
      </c>
      <c r="D117" s="217" t="inlineStr">
        <is>
          <t>លេខទូរស័ព្ទ</t>
        </is>
      </c>
      <c r="E117" s="217" t="inlineStr">
        <is>
          <t>លេខទូរស័ព្ទ</t>
        </is>
      </c>
      <c r="F117" s="217" t="inlineStr">
        <is>
          <t>លេខទូរស័ព្ទ</t>
        </is>
      </c>
      <c r="G117" s="217" t="inlineStr">
        <is>
          <t>លេខទូរស័ព្ទ</t>
        </is>
      </c>
      <c r="H117" s="217" t="inlineStr">
        <is>
          <t>手机号码</t>
        </is>
      </c>
      <c r="J117" t="inlineStr">
        <is>
          <t>លេខទូរស័ព្ទ</t>
        </is>
      </c>
    </row>
    <row r="118">
      <c r="A118" s="217" t="inlineStr">
        <is>
          <t>auth.confirmPassword</t>
        </is>
      </c>
      <c r="B118" s="217" t="inlineStr">
        <is>
          <t>Nhập lại mật khẩu</t>
        </is>
      </c>
      <c r="C118" s="217" t="inlineStr">
        <is>
          <t>Confirm password</t>
        </is>
      </c>
      <c r="D118" s="217" t="inlineStr">
        <is>
          <t>បញ្ជាក់ពាក្យសម្ងាត់</t>
        </is>
      </c>
      <c r="E118" s="217" t="inlineStr">
        <is>
          <t>បញ្ចូលលេខសម្ងាត់ម្តងទៀត</t>
        </is>
      </c>
      <c r="F118" s="217" t="inlineStr">
        <is>
          <t>បញ្ចូលពាក្យសម្ងាត់ម្តងទៀត</t>
        </is>
      </c>
      <c r="G118" s="217" t="inlineStr">
        <is>
          <t>បញ្ចូលពាក្យសម្ងាត់ម្តងទៀត</t>
        </is>
      </c>
      <c r="H118" s="217" t="inlineStr">
        <is>
          <t>确认密码</t>
        </is>
      </c>
      <c r="J118" t="inlineStr">
        <is>
          <t>បញ្ចូលពាក្យសម្ងាត់ម្តងទៀត</t>
        </is>
      </c>
    </row>
    <row r="119">
      <c r="A119" s="217" t="inlineStr">
        <is>
          <t>auth.placeholderFullName</t>
        </is>
      </c>
      <c r="B119" s="217" t="inlineStr">
        <is>
          <t>Nhập họ tên</t>
        </is>
      </c>
      <c r="C119" s="217" t="inlineStr">
        <is>
          <t>Enter full name</t>
        </is>
      </c>
      <c r="D119" s="217" t="inlineStr">
        <is>
          <t>បញ្ចូលឈ្មោះពេញ</t>
        </is>
      </c>
      <c r="E119" s="217" t="inlineStr">
        <is>
          <t>បញ្ចូលគោត្តនាម និងនាម</t>
        </is>
      </c>
      <c r="F119" s="217" t="inlineStr">
        <is>
          <t>បញ្ចូលឈ្មោះនិងនាមត្រកូល</t>
        </is>
      </c>
      <c r="G119" s="217" t="inlineStr">
        <is>
          <t>បញ្ចូលឈ្មោះនិងនាមត្រកូល</t>
        </is>
      </c>
      <c r="H119" s="217" t="inlineStr">
        <is>
          <t>请输入姓名</t>
        </is>
      </c>
      <c r="J119" t="inlineStr">
        <is>
          <t>បញ្ចូលឈ្មោះនិងនាមត្រកូល</t>
        </is>
      </c>
    </row>
    <row r="120">
      <c r="A120" s="217" t="inlineStr">
        <is>
          <t>auth.placeholderPhoneNumber</t>
        </is>
      </c>
      <c r="B120" s="217" t="inlineStr">
        <is>
          <t>Nhập SĐT</t>
        </is>
      </c>
      <c r="C120" s="217" t="inlineStr">
        <is>
          <t>Enter phone number</t>
        </is>
      </c>
      <c r="D120" s="217" t="inlineStr">
        <is>
          <t>បញ្ចូលលេខទូរស័ព្ទ</t>
        </is>
      </c>
      <c r="E120" s="217" t="inlineStr">
        <is>
          <t>បញ្ចូលលេខទូរស័ព្ទ</t>
        </is>
      </c>
      <c r="F120" s="217" t="inlineStr">
        <is>
          <t>បញ្ចូលលេខទូរស័ព្ទ</t>
        </is>
      </c>
      <c r="G120" s="217" t="inlineStr">
        <is>
          <t>បញ្ចូលលេខទូរស័ព្ទ</t>
        </is>
      </c>
      <c r="H120" s="217" t="inlineStr">
        <is>
          <t>请输入手机号码</t>
        </is>
      </c>
      <c r="J120" t="inlineStr">
        <is>
          <t>បញ្ចូលលេខទូរស័ព្ទ</t>
        </is>
      </c>
    </row>
    <row r="121">
      <c r="A121" s="217" t="inlineStr">
        <is>
          <t>auth.placeholderConfirmPassword</t>
        </is>
      </c>
      <c r="B121" s="217" t="inlineStr">
        <is>
          <t>Nhập lại mật khẩu</t>
        </is>
      </c>
      <c r="C121" s="217" t="inlineStr">
        <is>
          <t>Re-enter password</t>
        </is>
      </c>
      <c r="D121" s="217" t="inlineStr">
        <is>
          <t>បញ្ចូលពាក្យសម្ងាត់ម្ដងទៀត</t>
        </is>
      </c>
      <c r="E121" s="217" t="inlineStr">
        <is>
          <t>បញ្ចូលលេខសម្ងាត់ម្តងទៀត</t>
        </is>
      </c>
      <c r="F121" s="217" t="inlineStr">
        <is>
          <t>បញ្ចូលពាក្យសម្ងាត់ម្តងទៀត</t>
        </is>
      </c>
      <c r="G121" s="217" t="inlineStr">
        <is>
          <t>បញ្ចូលពាក្យសម្ងាត់ម្តងទៀត</t>
        </is>
      </c>
      <c r="H121" s="217" t="inlineStr">
        <is>
          <t>确认密码</t>
        </is>
      </c>
      <c r="J121" t="inlineStr">
        <is>
          <t>បញ្ចូលពាក្យសម្ងាត់ម្តងទៀត</t>
        </is>
      </c>
    </row>
    <row r="122">
      <c r="A122" s="217" t="inlineStr">
        <is>
          <t>auth.passwordMismatch</t>
        </is>
      </c>
      <c r="B122" s="217" t="inlineStr">
        <is>
          <t>Nhập lại mật khẩu không trùng khớp</t>
        </is>
      </c>
      <c r="C122" s="217" t="inlineStr">
        <is>
          <t>Re-enter password does not match</t>
        </is>
      </c>
      <c r="D122" s="217" t="inlineStr">
        <is>
          <t>ការបញ្ចូលពាក្យសម្ងាត់មិនដូចគ្នា</t>
        </is>
      </c>
      <c r="E122" s="217" t="inlineStr">
        <is>
          <t>បញ្ចូលលេខសម្ងាត់ម្តងទៀតដែលមិនដូចគ្នា</t>
        </is>
      </c>
      <c r="F122" s="217" t="inlineStr">
        <is>
          <t>ពាក្យសម្ងាត់មិនដូចគ្នាទេ</t>
        </is>
      </c>
      <c r="G122" s="217" t="inlineStr">
        <is>
          <t>ពាក្យសម្ងាត់មិនដូចគ្នាទេ</t>
        </is>
      </c>
      <c r="H122" s="217" t="inlineStr">
        <is>
          <t>两次输入的密码不一致</t>
        </is>
      </c>
      <c r="J122" t="inlineStr">
        <is>
          <t>ពាក្យសម្ងាត់មិនដូចគ្នាទេ</t>
        </is>
      </c>
    </row>
    <row r="123">
      <c r="A123" s="217" t="inlineStr">
        <is>
          <t>auth.passwordAlphaNumeric</t>
        </is>
      </c>
      <c r="B123" s="217" t="inlineStr">
        <is>
          <t>Mật khẩu có độ dài từ 6-20 ký tự bao gồm chữ cái và số</t>
        </is>
      </c>
      <c r="C123" s="217" t="inlineStr">
        <is>
          <t>Password must be 6-20 characters, including letters and numbers</t>
        </is>
      </c>
      <c r="D123" s="217" t="inlineStr">
        <is>
          <t>ពាក្យសម្ងាត់ត្រូវមាន 6-20 តួអក្សររួម មានតួអក្សរ និងលេខ</t>
        </is>
      </c>
      <c r="E123" s="217" t="inlineStr">
        <is>
          <t>លេខសម្ងាត់មានប្រវែងពី 6-20 តួអក្សរលេខ រួមបញ្ចូលទាំងលេខនិងអក្សរ</t>
        </is>
      </c>
      <c r="F123" s="217" t="inlineStr">
        <is>
          <t>ពាក្យសម្ងាត់ត្រូវតែមានប្រវែងពី 6-20 តួអក្សរលេខ និងរួមបញ្ចូលអក្សរ និងលេខ</t>
        </is>
      </c>
      <c r="G123" s="217" t="inlineStr">
        <is>
          <t>ពាក្យសម្ងាត់ត្រូវតែមានប្រវែងពី 6-20 តួអក្សរលេខ និងរួមបញ្ចូលអក្សរ និងលេខ</t>
        </is>
      </c>
      <c r="H123" s="217" t="inlineStr">
        <is>
          <t>密码长度为6-20位，需包含字母和数字</t>
        </is>
      </c>
      <c r="J123" t="inlineStr">
        <is>
          <t>ពាក្យសម្ងាត់ត្រូវតែមានប្រវែងពី 6-20 តួអក្សរលេខ និងរួមបញ្ចូលអក្សរ និងលេខ</t>
        </is>
      </c>
    </row>
    <row r="124">
      <c r="A124" s="217" t="inlineStr">
        <is>
          <t>auth.requiredFullName</t>
        </is>
      </c>
      <c r="B124" s="217" t="inlineStr">
        <is>
          <t>Họ tên không được để trống</t>
        </is>
      </c>
      <c r="C124" s="217" t="inlineStr">
        <is>
          <t>Full name cannot be empty</t>
        </is>
      </c>
      <c r="D124" s="217" t="inlineStr">
        <is>
          <t>ឈ្មោះពេញមិនអាចទទេ</t>
        </is>
      </c>
      <c r="E124" s="217" t="inlineStr">
        <is>
          <t>គោត្តនាម និងនាមមិនអាចទុកចន្លោះបានទេ</t>
        </is>
      </c>
      <c r="F124" s="217" t="inlineStr">
        <is>
          <t>ឈ្មោះនិងនាមត្រកូលមិនអាចទុកចោលទទេបានទេ</t>
        </is>
      </c>
      <c r="G124" s="217" t="inlineStr">
        <is>
          <t>ឈ្មោះនិងនាមត្រកូលមិនអាចទុកចោលទទេបានទេ</t>
        </is>
      </c>
      <c r="H124" s="217" t="inlineStr">
        <is>
          <t>请输入姓名</t>
        </is>
      </c>
      <c r="J124" t="inlineStr">
        <is>
          <t>ឈ្មោះនិងនាមត្រកូលមិនអាចទុកចោលទទេបានទេ</t>
        </is>
      </c>
    </row>
    <row r="125">
      <c r="A125" s="217" t="inlineStr">
        <is>
          <t>auth.requiredPhoneNumber</t>
        </is>
      </c>
      <c r="B125" s="217" t="inlineStr">
        <is>
          <t>SĐT không được để trống</t>
        </is>
      </c>
      <c r="C125" s="217" t="inlineStr">
        <is>
          <t>Phone number cannot be empty</t>
        </is>
      </c>
      <c r="D125" s="217" t="inlineStr">
        <is>
          <t>លេខទូរស័ព្ទមិនអាចទទេ</t>
        </is>
      </c>
      <c r="E125" s="217" t="inlineStr">
        <is>
          <t>លេខទូរស័ព្ទមិនអាចទុុកចន្លោះបានទេ</t>
        </is>
      </c>
      <c r="F125" s="217" t="inlineStr">
        <is>
          <t>លេខទូរស័ព្ទមិនអាចទុកចោលទទេបានទេ</t>
        </is>
      </c>
      <c r="G125" s="217" t="inlineStr">
        <is>
          <t>លេខទូរស័ព្ទមិនអាចទុកចោលទទេបានទេ</t>
        </is>
      </c>
      <c r="H125" s="217" t="inlineStr">
        <is>
          <t>请输入手机号码</t>
        </is>
      </c>
      <c r="J125" t="inlineStr">
        <is>
          <t>លេខទូរស័ព្ទមិនអាចទុកចោលទទេបានទេ</t>
        </is>
      </c>
    </row>
    <row r="126">
      <c r="A126" s="217" t="inlineStr">
        <is>
          <t>auth.alreadyHaveAnAccount</t>
        </is>
      </c>
      <c r="B126" s="217" t="inlineStr">
        <is>
          <t>Quý khách đã có tài khoản?</t>
        </is>
      </c>
      <c r="C126" s="217" t="inlineStr">
        <is>
          <t>Already have an account?</t>
        </is>
      </c>
      <c r="D126" s="217" t="inlineStr">
        <is>
          <t>អ្នកមានគណនីរួចហើយ?</t>
        </is>
      </c>
      <c r="E126" s="217" t="inlineStr">
        <is>
          <t>តើអតិថិជនមានគណនីហើយឬនៅ?</t>
        </is>
      </c>
      <c r="F126" s="217" t="inlineStr">
        <is>
          <t>តើអតិថិជនមានគណនីហើយឬនៅ?</t>
        </is>
      </c>
      <c r="G126" s="217" t="inlineStr">
        <is>
          <t>តើអតិថិជនមានគណនីហើយឬនៅ?</t>
        </is>
      </c>
      <c r="H126" s="217" t="inlineStr">
        <is>
          <t>已有账户？</t>
        </is>
      </c>
      <c r="J126" t="inlineStr">
        <is>
          <t>តើអតិថិជនមានគណនីហើយឬនៅ?</t>
        </is>
      </c>
    </row>
    <row r="127">
      <c r="A127" s="217" t="inlineStr">
        <is>
          <t>auth.loginNow</t>
        </is>
      </c>
      <c r="B127" s="217" t="inlineStr">
        <is>
          <t>Đăng nhập ngay</t>
        </is>
      </c>
      <c r="C127" s="217" t="inlineStr">
        <is>
          <t>Login now</t>
        </is>
      </c>
      <c r="D127" s="217" t="inlineStr">
        <is>
          <t>ចូលឥឡូវនេះ</t>
        </is>
      </c>
      <c r="E127" s="217" t="inlineStr">
        <is>
          <t>ចូលអីឡូវនេះ</t>
        </is>
      </c>
      <c r="F127" s="217" t="inlineStr">
        <is>
          <t>ចូលឥឡូវនេះ</t>
        </is>
      </c>
      <c r="G127" s="217" t="inlineStr">
        <is>
          <t>ចូលឥឡូវនេះ</t>
        </is>
      </c>
      <c r="H127" s="217" t="inlineStr">
        <is>
          <t>立即登录</t>
        </is>
      </c>
      <c r="J127" t="inlineStr">
        <is>
          <t>ចូលឥឡូវនេះ</t>
        </is>
      </c>
    </row>
    <row r="128">
      <c r="A128" s="217" t="inlineStr">
        <is>
          <t>auth.createAccSuccess</t>
        </is>
      </c>
      <c r="B128" s="217" t="inlineStr">
        <is>
          <t>Tạo tài khoản thành công</t>
        </is>
      </c>
      <c r="C128" s="217" t="inlineStr">
        <is>
          <t>Account created successfully</t>
        </is>
      </c>
      <c r="D128" s="217" t="inlineStr">
        <is>
          <t>បង្កើតគណនីបានជោគជ័យ</t>
        </is>
      </c>
      <c r="E128" s="217" t="inlineStr">
        <is>
          <t>បង្កើតគណនីបានជោគជ័យ</t>
        </is>
      </c>
      <c r="F128" s="217" t="inlineStr">
        <is>
          <t>បង្កើតគណនីបានជោគជ័យ</t>
        </is>
      </c>
      <c r="G128" s="217" t="inlineStr">
        <is>
          <t>បង្កើតគណនីបានជោគជ័យ</t>
        </is>
      </c>
      <c r="H128" s="217" t="inlineStr">
        <is>
          <t>账户创建成功</t>
        </is>
      </c>
      <c r="J128" t="inlineStr">
        <is>
          <t>បង្កើតគណនីបានជោគជ័យ</t>
        </is>
      </c>
    </row>
    <row r="129">
      <c r="A129" s="217" t="inlineStr">
        <is>
          <t>auth.loginWithOtp</t>
        </is>
      </c>
      <c r="B129" s="217" t="inlineStr">
        <is>
          <t>Đăng nhập bằng OTP</t>
        </is>
      </c>
      <c r="C129" s="217" t="inlineStr">
        <is>
          <t>Login with OTP</t>
        </is>
      </c>
      <c r="D129" s="217" t="inlineStr">
        <is>
          <t>ចូលដោយ OTP</t>
        </is>
      </c>
      <c r="E129" s="217" t="inlineStr">
        <is>
          <t>ចូលតាមរយៈ OTP</t>
        </is>
      </c>
      <c r="F129" s="217" t="inlineStr">
        <is>
          <t>ចូលដោយប្រើ OTP</t>
        </is>
      </c>
      <c r="G129" s="217" t="inlineStr">
        <is>
          <t>ចូលដោយប្រើ OTP</t>
        </is>
      </c>
      <c r="H129" s="217" t="inlineStr">
        <is>
          <t>使用验证码登录</t>
        </is>
      </c>
      <c r="J129" t="inlineStr">
        <is>
          <t>ចូលដោយប្រើ OTP</t>
        </is>
      </c>
    </row>
    <row r="130">
      <c r="A130" s="217" t="inlineStr">
        <is>
          <t>auth.loginSuccess</t>
        </is>
      </c>
      <c r="B130" s="217" t="inlineStr">
        <is>
          <t>Đăng nhập thành công</t>
        </is>
      </c>
      <c r="C130" s="217" t="inlineStr">
        <is>
          <t>Login successful</t>
        </is>
      </c>
      <c r="D130" s="217" t="inlineStr">
        <is>
          <t>ចូលបានជោគជ័យ</t>
        </is>
      </c>
      <c r="E130" s="217" t="inlineStr">
        <is>
          <t>ចូលបានជោគជ័យ</t>
        </is>
      </c>
      <c r="F130" s="217" t="inlineStr">
        <is>
          <t>ចូលបានជោគជ័យ</t>
        </is>
      </c>
      <c r="G130" s="217" t="inlineStr">
        <is>
          <t>ចូលបានជោគជ័យ</t>
        </is>
      </c>
      <c r="H130" s="217" t="inlineStr">
        <is>
          <t>登录成功</t>
        </is>
      </c>
      <c r="J130" t="inlineStr">
        <is>
          <t>ចូលបានជោគជ័យ</t>
        </is>
      </c>
    </row>
    <row r="131">
      <c r="A131" s="217" t="inlineStr">
        <is>
          <t>auth.registerSuccess</t>
        </is>
      </c>
      <c r="B131" s="217" t="inlineStr">
        <is>
          <t>Đăng ký thành công</t>
        </is>
      </c>
      <c r="C131" s="217" t="inlineStr">
        <is>
          <t>Registration successful</t>
        </is>
      </c>
      <c r="D131" s="217" t="inlineStr">
        <is>
          <t>ចុះឈ្មោះបានជោគជ័យ</t>
        </is>
      </c>
      <c r="E131" s="217" t="inlineStr">
        <is>
          <t>ចុះឈ្មោះបានជោគជ័យ</t>
        </is>
      </c>
      <c r="F131" s="217" t="inlineStr">
        <is>
          <t>ការចុះឈ្មោះបានជោគជ័យ</t>
        </is>
      </c>
      <c r="G131" s="217" t="inlineStr">
        <is>
          <t>ការចុះឈ្មោះបានជោគជ័យ</t>
        </is>
      </c>
      <c r="H131" s="217" t="inlineStr">
        <is>
          <t>注册成功</t>
        </is>
      </c>
      <c r="J131" t="inlineStr">
        <is>
          <t>ការចុះឈ្មោះបានជោគជ័យ</t>
        </is>
      </c>
    </row>
    <row r="132">
      <c r="A132" s="217" t="inlineStr">
        <is>
          <t>auth.regexLengthAlphaNumeric</t>
        </is>
      </c>
      <c r="B132" s="217" t="inlineStr">
        <is>
          <t>Mật khẩu phải có độ dài từ 8 – 20 ký tự gồm chữ cái và số</t>
        </is>
      </c>
      <c r="C132" s="217" t="inlineStr">
        <is>
          <t>Password must be 8-20 characters, including letters and numbers</t>
        </is>
      </c>
      <c r="D132" s="217" t="inlineStr">
        <is>
          <t>ពាក្យសម្ងាត់ត្រូវមានអក្សរ 8–20 និងលេខ</t>
        </is>
      </c>
      <c r="E132" s="217" t="inlineStr">
        <is>
          <t>លេខសម្ងាត់ត្រូវមានប្រវែងពី 8-20 តួអក្សរលេខរួមបញ្ចូលទាំងអក្សរនិងលេខ</t>
        </is>
      </c>
      <c r="F132" s="217" t="inlineStr">
        <is>
          <t>ពាក្យសម្ងាត់ត្រូវតែមានប្រវែងពី 8-20 តួអក្សរលេខ និងរួមបញ្ចូលអក្សរ និងលេខ</t>
        </is>
      </c>
      <c r="G132" s="217" t="inlineStr">
        <is>
          <t>ពាក្យសម្ងាត់ត្រូវតែមានប្រវែងពី 8-20 តួអក្សរលេខ និងរួមបញ្ចូលអក្សរ និងលេខ</t>
        </is>
      </c>
      <c r="H132" s="217" t="inlineStr">
        <is>
          <t>密码长度为8-20位，需包含字母和数字</t>
        </is>
      </c>
      <c r="J132" t="inlineStr">
        <is>
          <t>ពាក្យសម្ងាត់ត្រូវតែមានប្រវែងពី 8-20 តួអក្សរលេខ និងរួមបញ្ចូលអក្សរ និងលេខ</t>
        </is>
      </c>
    </row>
    <row r="133">
      <c r="A133" s="217" t="inlineStr">
        <is>
          <t>auth.regexUpperLowerCase</t>
        </is>
      </c>
      <c r="B133" s="217" t="inlineStr">
        <is>
          <t>Mật khẩu phải gồm ký tự viết hoa (A-Z) và viết thường (a-z)</t>
        </is>
      </c>
      <c r="C133" s="217" t="inlineStr">
        <is>
          <t>Password must include uppercase (A-Z) and lowercase (a-z) letters</t>
        </is>
      </c>
      <c r="D133" s="217" t="inlineStr">
        <is>
          <t>ពាក្យសម្ងាត់ត្រូវមានខ្ពស់និងទាប (A-Z និង a-z)</t>
        </is>
      </c>
      <c r="E133" s="217" t="inlineStr">
        <is>
          <t>លេខសម្ងាត់ត្រូវបញ្ចូលជាមួយតួអក្សរធំ (A-Z) និងសរសេរធម្មតា(a-z)</t>
        </is>
      </c>
      <c r="F133" s="217" t="inlineStr">
        <is>
          <t>ពាក្យសម្ងាត់បញ្ចូលត្រូវមានតួអក្សរធំ (A-Z) និងអក្សរតូច (a-z)</t>
        </is>
      </c>
      <c r="G133" s="217" t="inlineStr">
        <is>
          <t>ពាក្យសម្ងាត់បញ្ចូលត្រូវមានតួអក្សរធំ (A-Z) និងអក្សរតូច (a-z)</t>
        </is>
      </c>
      <c r="H133" s="217" t="inlineStr">
        <is>
          <t>需同时包含大写字母(A-Z)和小写字母(a-z)</t>
        </is>
      </c>
      <c r="J133" t="inlineStr">
        <is>
          <t>ពាក្យសម្ងាត់បញ្ចូលត្រូវមានតួអក្សរធំ (A-Z) និងអក្សរតូច (a-z)</t>
        </is>
      </c>
    </row>
    <row r="134">
      <c r="A134" s="217" t="inlineStr">
        <is>
          <t>auth.regexNoWhitespaceNoAccents</t>
        </is>
      </c>
      <c r="B134" s="217" t="inlineStr">
        <is>
          <t>Không gồm khoảng trắng và ký tự có dấu</t>
        </is>
      </c>
      <c r="C134" s="217" t="inlineStr">
        <is>
          <t>No whitespace or accented characters</t>
        </is>
      </c>
      <c r="D134" s="217" t="inlineStr">
        <is>
          <t>មិនមានចន្លោះ និងអក្សរមានសញ្ញា</t>
        </is>
      </c>
      <c r="E134" s="217" t="inlineStr">
        <is>
          <t>មិនរាប់បញ្ចូលចន្លោះនិងសញ្ញា</t>
        </is>
      </c>
      <c r="F134" s="217" t="inlineStr">
        <is>
          <t>មិនរាប់បញ្ចូលចន្លោះនិងសញ្ញា</t>
        </is>
      </c>
      <c r="G134" s="217" t="inlineStr">
        <is>
          <t>មិនរាប់បញ្ចូលចន្លោះនិងសញ្ញា</t>
        </is>
      </c>
      <c r="H134" s="217" t="inlineStr">
        <is>
          <t>不能包含空格或带音调符号的字母</t>
        </is>
      </c>
      <c r="J134" t="inlineStr">
        <is>
          <t>មិនរាប់បញ្ចូលចន្លោះនិងសញ្ញា</t>
        </is>
      </c>
    </row>
    <row r="135">
      <c r="A135" s="217" t="inlineStr">
        <is>
          <t>auth.phoneExist</t>
        </is>
      </c>
      <c r="B135" s="217" t="inlineStr">
        <is>
          <t>SĐT đã được sử dụng, vui lòng tiến hành Đăng nhập.</t>
        </is>
      </c>
      <c r="C135" s="217" t="inlineStr">
        <is>
          <t>Phone number is already in use, please log in.</t>
        </is>
      </c>
      <c r="D135" s="217" t="inlineStr">
        <is>
          <t>លេខទូរស័ព្ទបានប្រើរួច សូមចូលប្រព័ន្ធ</t>
        </is>
      </c>
      <c r="E135" s="217" t="inlineStr">
        <is>
          <t>លេខទូរស័ព្ទបានប្រើប្រាស់ សូមបន្តចុចចូល</t>
        </is>
      </c>
      <c r="F135" s="217" t="inlineStr">
        <is>
          <t>លេខទូរស័ព្ទបានប្រើរួចហើយ សូមបន្តចូល។</t>
        </is>
      </c>
      <c r="G135" s="217" t="inlineStr">
        <is>
          <t>លេខទូរស័ព្ទបានប្រើរួចហើយ សូមបន្តចូល។</t>
        </is>
      </c>
      <c r="H135" s="217" t="inlineStr">
        <is>
          <t>手机号已被注册，请直接登录</t>
        </is>
      </c>
      <c r="J135" t="inlineStr">
        <is>
          <t>លេខទូរស័ព្ទបានប្រើរួចហើយ សូមបន្តចូល។</t>
        </is>
      </c>
    </row>
    <row r="136">
      <c r="A136" s="217" t="inlineStr">
        <is>
          <t>auth.otpIncorrect</t>
        </is>
      </c>
      <c r="B136" s="217" t="inlineStr">
        <is>
          <t>Mã OTP không chính xác. Vui lòng thử lại</t>
        </is>
      </c>
      <c r="C136" s="217" t="inlineStr">
        <is>
          <t>Incorrect OTP. Please try again</t>
        </is>
      </c>
      <c r="D136" s="217" t="inlineStr">
        <is>
          <t>OTP មិនត្រឹមត្រូវ។ សូមព្យាយាមម្តងទៀត</t>
        </is>
      </c>
      <c r="E136" s="217" t="inlineStr">
        <is>
          <t>លេខកូដ OTP មិនត្រឹមត្រូវ សូមព្យាយាមម្តងទៀត</t>
        </is>
      </c>
      <c r="F136" s="217" t="inlineStr">
        <is>
          <t>លេខកូដ OTP មិនត្រឹមត្រូវ។ សូមព្យាយាមម្តងទៀត</t>
        </is>
      </c>
      <c r="G136" s="217" t="inlineStr">
        <is>
          <t>លេខកូដ OTP មិនត្រឹមត្រូវ។ សូមព្យាយាមម្តងទៀត</t>
        </is>
      </c>
      <c r="H136" s="217" t="inlineStr">
        <is>
          <t>验证码错误，请重新输入</t>
        </is>
      </c>
      <c r="J136" t="inlineStr">
        <is>
          <t>លេខកូដ OTP មិនត្រឹមត្រូវ។ សូមព្យាយាមម្តងទៀត</t>
        </is>
      </c>
    </row>
    <row r="137">
      <c r="A137" s="217" t="inlineStr">
        <is>
          <t>auth.accountNotExist</t>
        </is>
      </c>
      <c r="B137" s="217" t="inlineStr">
        <is>
          <t>Chưa có tài khoản!</t>
        </is>
      </c>
      <c r="C137" s="217" t="inlineStr">
        <is>
          <t>Account does not exist</t>
        </is>
      </c>
      <c r="D137" s="217" t="inlineStr">
        <is>
          <t>គណនីមិនមាន!</t>
        </is>
      </c>
      <c r="E137" s="217" t="inlineStr">
        <is>
          <t>មិនទាន់មានគណនី</t>
        </is>
      </c>
      <c r="F137" s="217" t="inlineStr">
        <is>
          <t>មិនទាន់មានគណនីនៅឡើយទេ!</t>
        </is>
      </c>
      <c r="G137" s="217" t="inlineStr">
        <is>
          <t>មិនទាន់មានគណនីនៅឡើយទេ!</t>
        </is>
      </c>
      <c r="H137" s="217" t="inlineStr">
        <is>
          <t>账户不存在</t>
        </is>
      </c>
      <c r="J137" t="inlineStr">
        <is>
          <t>មិនទាន់មានគណនីនៅឡើយទេ!</t>
        </is>
      </c>
    </row>
    <row r="138">
      <c r="A138" s="217" t="inlineStr">
        <is>
          <t>auth.accountNotExistContent1</t>
        </is>
      </c>
      <c r="B138" s="217" t="inlineStr">
        <is>
          <t>Số điện thoại</t>
        </is>
      </c>
      <c r="C138" s="217" t="inlineStr">
        <is>
          <t>Phone number</t>
        </is>
      </c>
      <c r="D138" s="217" t="inlineStr">
        <is>
          <t>លេខទូរស័ព្ទ</t>
        </is>
      </c>
      <c r="E138" s="217" t="inlineStr">
        <is>
          <t>លេខទូរស័ព្ទ</t>
        </is>
      </c>
      <c r="F138" s="217" t="inlineStr">
        <is>
          <t>លេខទូរស័ព្ទ</t>
        </is>
      </c>
      <c r="G138" s="217" t="inlineStr">
        <is>
          <t>លេខទូរស័ព្ទ</t>
        </is>
      </c>
      <c r="H138" s="217" t="inlineStr">
        <is>
          <t>手机号码</t>
        </is>
      </c>
      <c r="J138" t="inlineStr">
        <is>
          <t>លេខទូរស័ព្ទ</t>
        </is>
      </c>
    </row>
    <row r="139">
      <c r="A139" s="217" t="inlineStr">
        <is>
          <t>auth.accountNotExistContent3</t>
        </is>
      </c>
      <c r="B139" s="217" t="inlineStr">
        <is>
          <t>chưa tồn tại trên hệ thống.</t>
        </is>
      </c>
      <c r="C139" s="217" t="inlineStr">
        <is>
          <t>does not exist in the system.</t>
        </is>
      </c>
      <c r="D139" s="217" t="inlineStr">
        <is>
          <t>មិនមាននៅលើប្រព័ន្ធ។</t>
        </is>
      </c>
      <c r="E139" s="217" t="inlineStr">
        <is>
          <t>មិនទាន់មានលើប្រព័ន្ធ</t>
        </is>
      </c>
      <c r="F139" s="217" t="inlineStr">
        <is>
          <t>មិនទាន់មាននៅក្នុងប្រព័ន្ធទេ។</t>
        </is>
      </c>
      <c r="G139" s="217" t="inlineStr">
        <is>
          <t>មិនទាន់មាននៅក្នុងប្រព័ន្ធទេ។</t>
        </is>
      </c>
      <c r="H139" s="217" t="inlineStr">
        <is>
          <t>在系统中不存在。</t>
        </is>
      </c>
      <c r="J139" t="inlineStr">
        <is>
          <t>មិនទាន់មាននៅក្នុងប្រព័ន្ធទេ។</t>
        </is>
      </c>
    </row>
    <row r="140">
      <c r="A140" s="217" t="inlineStr">
        <is>
          <t>auth.accountNotExistContent2</t>
        </is>
      </c>
      <c r="B140" s="217" t="inlineStr">
        <is>
          <t>Bạn có muốn tạo tài khoản mới với số điện thoại này không?</t>
        </is>
      </c>
      <c r="C140" s="217" t="inlineStr">
        <is>
          <t>Would you like to create a new account with this phone number?</t>
        </is>
      </c>
      <c r="D140" s="217" t="inlineStr">
        <is>
          <t>តើអ្នកចង់បង្កើតគណនីថ្មីជាមួយលេខទូរស័ព្ទនេះឬទេ?</t>
        </is>
      </c>
      <c r="E140" s="217" t="inlineStr">
        <is>
          <t>តើអ្នកចង់បង្កើតគណនីថ្មីជាមួយលេខទូរស័ព្ទនេះឬទេ?</t>
        </is>
      </c>
      <c r="F140" s="217" t="inlineStr">
        <is>
          <t>តើអ្នកចង់បង្កើតគណនីថ្មីជាមួយលេខទូរស័ព្ទនេះទេ?</t>
        </is>
      </c>
      <c r="G140" s="217" t="inlineStr">
        <is>
          <t>តើអ្នកចង់បង្កើតគណនីថ្មីជាមួយលេខទូរស័ព្ទនេះទេ?</t>
        </is>
      </c>
      <c r="H140" s="217" t="inlineStr">
        <is>
          <t>是否使用此手机号创建新账户？</t>
        </is>
      </c>
      <c r="J140" t="inlineStr">
        <is>
          <t>តើអ្នកចង់បង្កើតគណនីថ្មីជាមួយលេខទូរស័ព្ទនេះទេ?</t>
        </is>
      </c>
    </row>
    <row r="141">
      <c r="A141" s="217" t="inlineStr">
        <is>
          <t>auth.continueLoginOtp</t>
        </is>
      </c>
      <c r="B141" s="217" t="inlineStr">
        <is>
          <t>Tiếp tục đăng nhập với OTP</t>
        </is>
      </c>
      <c r="C141" s="217" t="inlineStr">
        <is>
          <t>Continue logging in with OTP</t>
        </is>
      </c>
      <c r="D141" s="217" t="inlineStr">
        <is>
          <t>បន្តចូលដោយ OTP</t>
        </is>
      </c>
      <c r="E141" s="217" t="inlineStr">
        <is>
          <t xml:space="preserve">បន្តការចូលជាមួយ OTP </t>
        </is>
      </c>
      <c r="F141" s="217" t="inlineStr">
        <is>
          <t>បន្តចូលដោយ OTP</t>
        </is>
      </c>
      <c r="G141" s="217" t="inlineStr">
        <is>
          <t>បន្តចូលដោយ OTP</t>
        </is>
      </c>
      <c r="H141" s="217" t="inlineStr">
        <is>
          <t>继续使用验证码登录</t>
        </is>
      </c>
      <c r="J141" t="inlineStr">
        <is>
          <t>បន្តចូលដោយ OTP</t>
        </is>
      </c>
    </row>
    <row r="142">
      <c r="A142" s="217" t="inlineStr">
        <is>
          <t>auth.createAccount</t>
        </is>
      </c>
      <c r="B142" s="217" t="inlineStr">
        <is>
          <t>Tạo tài khoản</t>
        </is>
      </c>
      <c r="C142" s="217" t="inlineStr">
        <is>
          <t>Create account</t>
        </is>
      </c>
      <c r="D142" s="217" t="inlineStr">
        <is>
          <t>បង្កើតគណនី</t>
        </is>
      </c>
      <c r="E142" s="217" t="inlineStr">
        <is>
          <t>បង្កើតគណនី</t>
        </is>
      </c>
      <c r="F142" s="217" t="inlineStr">
        <is>
          <t>បង្កើតគណនី</t>
        </is>
      </c>
      <c r="G142" s="217" t="inlineStr">
        <is>
          <t>បង្កើតគណនី</t>
        </is>
      </c>
      <c r="H142" s="217" t="inlineStr">
        <is>
          <t>注册新账户</t>
        </is>
      </c>
      <c r="J142" t="inlineStr">
        <is>
          <t>បង្កើតគណនី</t>
        </is>
      </c>
    </row>
    <row r="143">
      <c r="A143" s="217" t="inlineStr">
        <is>
          <t>auth.infoIncorrect</t>
        </is>
      </c>
      <c r="B143" s="217" t="inlineStr">
        <is>
          <t>Mật khẩu không chính xác</t>
        </is>
      </c>
      <c r="C143" s="217" t="inlineStr">
        <is>
          <t>Incorrect password</t>
        </is>
      </c>
      <c r="D143" s="217" t="inlineStr">
        <is>
          <t>ពាក្យសម្ងាត់មិនត្រឹមត្រូវ</t>
        </is>
      </c>
      <c r="E143" s="217" t="inlineStr">
        <is>
          <t>លេខសម្ងាត់មិនត្រឹមត្រូវ</t>
        </is>
      </c>
      <c r="F143" s="217" t="inlineStr">
        <is>
          <t>ពាក្យសម្ងាត់មិនត្រឹមត្រូវ</t>
        </is>
      </c>
      <c r="G143" s="217" t="inlineStr">
        <is>
          <t>ពាក្យសម្ងាត់មិនត្រឹមត្រូវ</t>
        </is>
      </c>
      <c r="H143" s="217" t="inlineStr">
        <is>
          <t>密码错误</t>
        </is>
      </c>
      <c r="J143" t="inlineStr">
        <is>
          <t>ពាក្យសម្ងាត់មិនត្រឹមត្រូវ</t>
        </is>
      </c>
    </row>
    <row r="144">
      <c r="A144" s="217" t="inlineStr">
        <is>
          <t>auth.phoneNotExist</t>
        </is>
      </c>
      <c r="B144" s="217" t="inlineStr">
        <is>
          <t>Số điện thoại chưa tồn tại trên hệ thống</t>
        </is>
      </c>
      <c r="C144" s="217" t="inlineStr">
        <is>
          <t>Phone number does not exist in the system</t>
        </is>
      </c>
      <c r="D144" s="217" t="inlineStr">
        <is>
          <t>លេខទូរស័ព្ទមិនមានក្នុងប្រព័ន្ធ</t>
        </is>
      </c>
      <c r="E144" s="217" t="inlineStr">
        <is>
          <t>លេខទូរស័ព្ទមិនមានលើប្រព័ន្ធ</t>
        </is>
      </c>
      <c r="F144" s="217" t="inlineStr">
        <is>
          <t>លេខទូរស័ព្ទមិនទាន់មាននៅក្នុងប្រព័ន្ធទេ</t>
        </is>
      </c>
      <c r="G144" s="217" t="inlineStr">
        <is>
          <t>លេខទូរស័ព្ទមិនទាន់មាននៅក្នុងប្រព័ន្ធទេ</t>
        </is>
      </c>
      <c r="H144" s="217" t="inlineStr">
        <is>
          <t>该手机号未注册</t>
        </is>
      </c>
      <c r="J144" t="inlineStr">
        <is>
          <t>លេខទូរស័ព្ទមិនទាន់មាននៅក្នុងប្រព័ន្ធទេ</t>
        </is>
      </c>
    </row>
    <row r="145">
      <c r="A145" s="217" t="inlineStr">
        <is>
          <t>auth.enterSdt</t>
        </is>
      </c>
      <c r="B145" s="217" t="inlineStr">
        <is>
          <t>Nhập SĐT</t>
        </is>
      </c>
      <c r="C145" s="217" t="inlineStr">
        <is>
          <t>Enter phone number</t>
        </is>
      </c>
      <c r="D145" s="217" t="inlineStr">
        <is>
          <t>បញ្ចូលលេខទូរស័ព្ទ</t>
        </is>
      </c>
      <c r="E145" s="217" t="inlineStr">
        <is>
          <t>បញ្ចូលលេខទូរស័ព្ទ</t>
        </is>
      </c>
      <c r="F145" s="217" t="inlineStr">
        <is>
          <t>បញ្ចូលលេខទូរស័ព្ទ</t>
        </is>
      </c>
      <c r="G145" s="217" t="inlineStr">
        <is>
          <t>បញ្ចូលលេខទូរស័ព្ទ</t>
        </is>
      </c>
      <c r="H145" s="217" t="inlineStr">
        <is>
          <t>请输入手机号码</t>
        </is>
      </c>
      <c r="J145" t="inlineStr">
        <is>
          <t>បញ្ចូលលេខទូរស័ព្ទ</t>
        </is>
      </c>
    </row>
    <row r="146">
      <c r="A146" s="217" t="inlineStr">
        <is>
          <t>auth.accessReject</t>
        </is>
      </c>
      <c r="B146" s="217" t="inlineStr">
        <is>
          <t>Truy cập không hợp lệ</t>
        </is>
      </c>
      <c r="C146" s="217" t="inlineStr">
        <is>
          <t>Unauthorized access</t>
        </is>
      </c>
      <c r="D146" s="217" t="inlineStr">
        <is>
          <t>ការចូលប្រើមិនត្រឹមត្រូវ</t>
        </is>
      </c>
      <c r="E146" s="217" t="inlineStr">
        <is>
          <t>ការចុចចូលមិនត្រឹមត្រូវ</t>
        </is>
      </c>
      <c r="F146" s="217" t="inlineStr">
        <is>
          <t>ការចូលប្រើមិនត្រឹមត្រូវ</t>
        </is>
      </c>
      <c r="G146" s="217" t="inlineStr">
        <is>
          <t>ការចូលប្រើមិនត្រឹមត្រូវ</t>
        </is>
      </c>
      <c r="H146" s="217" t="inlineStr">
        <is>
          <t>未经授权的访问</t>
        </is>
      </c>
      <c r="J146" t="inlineStr">
        <is>
          <t>ការចូលប្រើមិនត្រឹមត្រូវ</t>
        </is>
      </c>
    </row>
    <row r="147">
      <c r="A147" s="217" t="inlineStr">
        <is>
          <t>auth.fullNameMustBeAtLeast5Characters</t>
        </is>
      </c>
      <c r="B147" s="217" t="inlineStr">
        <is>
          <t>Họ tên phải có tối thiểu 5 ký tự</t>
        </is>
      </c>
      <c r="C147" s="217" t="inlineStr">
        <is>
          <t>Full name must be at least 5 characters</t>
        </is>
      </c>
      <c r="D147" s="217" t="inlineStr">
        <is>
          <t>ឈ្មោះត្រូវមានយ៉ាងហោចណាស់ 5 តួអក្សរ</t>
        </is>
      </c>
      <c r="E147" s="217" t="inlineStr">
        <is>
          <t>គោត្តនាម និងនាមមានយ៉ាងតិច 5 តួអក្សរ</t>
        </is>
      </c>
      <c r="F147" s="217" t="inlineStr">
        <is>
          <t>ឈ្មោះនិងនាមត្រកូលត្រូវតែមានយ៉ាងហោចណាស់ ៥ តួអក្សរ</t>
        </is>
      </c>
      <c r="G147" s="217" t="inlineStr">
        <is>
          <t>ឈ្មោះនិងនាមត្រកូលត្រូវតែមានយ៉ាងហោចណាស់ ៥ តួអក្សរ</t>
        </is>
      </c>
      <c r="H147" s="217" t="inlineStr">
        <is>
          <t>姓名长度至少5个字符</t>
        </is>
      </c>
      <c r="J147" t="inlineStr">
        <is>
          <t>ឈ្មោះនិងនាមត្រកូលត្រូវតែមានយ៉ាងហោចណាស់ ៥ តួអក្សរ</t>
        </is>
      </c>
    </row>
    <row r="148">
      <c r="A148" s="217" t="inlineStr">
        <is>
          <t>auth.fullNameCannotContainAllSpaces</t>
        </is>
      </c>
      <c r="B148" s="217" t="inlineStr">
        <is>
          <t>Họ tên không được chứa toàn khoảng trắng</t>
        </is>
      </c>
      <c r="C148" s="217" t="inlineStr">
        <is>
          <t>Full name cannot contain only spaces</t>
        </is>
      </c>
      <c r="D148" s="217" t="inlineStr">
        <is>
          <t>ឈ្មោះមិនអាចមានតែចន្លោះទេ</t>
        </is>
      </c>
      <c r="E148" s="217" t="inlineStr">
        <is>
          <t>គោត្តនាម និងនាមមិនអាចទុុកចន្លោះបានទេ</t>
        </is>
      </c>
      <c r="F148" s="217" t="inlineStr">
        <is>
          <t>ឈ្មោះនិងនាមត្រកូលមិនត្រូវមានចន្លោះទេ</t>
        </is>
      </c>
      <c r="G148" s="217" t="inlineStr">
        <is>
          <t>ឈ្មោះនិងនាមត្រកូលមិនត្រូវមានចន្លោះទេ</t>
        </is>
      </c>
      <c r="H148" s="217" t="inlineStr">
        <is>
          <t>姓名不能仅为空格</t>
        </is>
      </c>
      <c r="J148" t="inlineStr">
        <is>
          <t>ឈ្មោះនិងនាមត្រកូលមិនត្រូវមានចន្លោះទេ</t>
        </is>
      </c>
    </row>
    <row r="149">
      <c r="A149" s="217" t="inlineStr">
        <is>
          <t>auth.otpReceive</t>
        </is>
      </c>
      <c r="B149" s="217" t="inlineStr">
        <is>
          <t>Nhận OTP</t>
        </is>
      </c>
      <c r="C149" s="217" t="inlineStr">
        <is>
          <t>Receive OTP</t>
        </is>
      </c>
      <c r="D149" s="217" t="inlineStr">
        <is>
          <t>ទទួល OTP</t>
        </is>
      </c>
      <c r="E149" s="217" t="inlineStr">
        <is>
          <t>ទទួល OTP</t>
        </is>
      </c>
      <c r="F149" s="217" t="inlineStr">
        <is>
          <t>ទទួល OTP</t>
        </is>
      </c>
      <c r="G149" s="217" t="inlineStr">
        <is>
          <t>ទទួល OTP</t>
        </is>
      </c>
      <c r="H149" s="217" t="inlineStr">
        <is>
          <t>接受验证码</t>
        </is>
      </c>
      <c r="J149" t="inlineStr">
        <is>
          <t>ទទួល OTP</t>
        </is>
      </c>
    </row>
    <row r="150">
      <c r="A150" s="217" t="inlineStr">
        <is>
          <t>auth.otpMethodSelection</t>
        </is>
      </c>
      <c r="B150" s="217" t="inlineStr">
        <is>
          <t>Vui lòng chọn phương thức nhận OTP</t>
        </is>
      </c>
      <c r="C150" s="217" t="inlineStr">
        <is>
          <t>Please select OTP delivery method</t>
        </is>
      </c>
      <c r="D150" s="217" t="inlineStr">
        <is>
          <t>សូមជ្រើសរើសវិធីទទួល OTP</t>
        </is>
      </c>
      <c r="E150" s="217" t="inlineStr">
        <is>
          <t>សូមជ្រើសរើសវិធីទទួល OTP</t>
        </is>
      </c>
      <c r="F150" s="217" t="inlineStr">
        <is>
          <t>សូមជ្រើសរើសវិធីសាស្ត្រដើម្បីទទួល OTP</t>
        </is>
      </c>
      <c r="G150" s="217" t="inlineStr">
        <is>
          <t>សូមជ្រើសរើសវិធីសាស្ត្រដើម្បីទទួល OTP</t>
        </is>
      </c>
      <c r="H150" s="217" t="inlineStr">
        <is>
          <t>选择验证码接收方式</t>
        </is>
      </c>
      <c r="J150" t="inlineStr">
        <is>
          <t>សូមជ្រើសរើសវិធីសាស្ត្រដើម្បីទទួល OTP</t>
        </is>
      </c>
    </row>
    <row r="151">
      <c r="A151" s="217" t="inlineStr">
        <is>
          <t>auth.otpRegistration</t>
        </is>
      </c>
      <c r="B151" s="217" t="inlineStr">
        <is>
          <t>Đăng ký nhận OTP</t>
        </is>
      </c>
      <c r="C151" s="217" t="inlineStr">
        <is>
          <t>Register for OTP</t>
        </is>
      </c>
      <c r="D151" s="217" t="inlineStr">
        <is>
          <t>ចុះឈ្មោះទទួល OTP</t>
        </is>
      </c>
      <c r="E151" s="217" t="inlineStr">
        <is>
          <t>ចុះឈ្មោះអីឡូវនេះ</t>
        </is>
      </c>
      <c r="F151" s="217" t="inlineStr">
        <is>
          <t>ចុះឈ្មោះដើម្បីទទួល OTP</t>
        </is>
      </c>
      <c r="G151" s="217" t="inlineStr">
        <is>
          <t>ចុះឈ្មោះដើម្បីទទួល OTP</t>
        </is>
      </c>
      <c r="H151" s="217" t="inlineStr">
        <is>
          <t>注册验证码接收功能</t>
        </is>
      </c>
      <c r="J151" t="inlineStr">
        <is>
          <t>ចុះឈ្មោះដើម្បីទទួល OTP</t>
        </is>
      </c>
    </row>
    <row r="152">
      <c r="A152" s="217" t="inlineStr">
        <is>
          <t>auth.continue</t>
        </is>
      </c>
      <c r="B152" s="217" t="inlineStr">
        <is>
          <t>Tiếp tục</t>
        </is>
      </c>
      <c r="C152" s="217" t="inlineStr">
        <is>
          <t>Continue</t>
        </is>
      </c>
      <c r="D152" s="217" t="inlineStr">
        <is>
          <t>បន្ត</t>
        </is>
      </c>
      <c r="E152" s="217" t="inlineStr">
        <is>
          <t>បន្ត</t>
        </is>
      </c>
      <c r="F152" s="217" t="inlineStr">
        <is>
          <t>បន្ត</t>
        </is>
      </c>
      <c r="G152" s="217" t="inlineStr">
        <is>
          <t>បន្ត</t>
        </is>
      </c>
      <c r="H152" s="217" t="inlineStr">
        <is>
          <t>继续</t>
        </is>
      </c>
      <c r="J152" t="inlineStr">
        <is>
          <t>បន្ត</t>
        </is>
      </c>
    </row>
    <row r="153">
      <c r="A153" s="217" t="inlineStr">
        <is>
          <t>auth.pleaseAccess</t>
        </is>
      </c>
      <c r="B153" s="217" t="inlineStr">
        <is>
          <t>Quý khách vui lòng truy cập</t>
        </is>
      </c>
      <c r="C153" s="217" t="inlineStr">
        <is>
          <t>Please access</t>
        </is>
      </c>
      <c r="D153" s="217" t="inlineStr">
        <is>
          <t>សូមប្រើ</t>
        </is>
      </c>
      <c r="E153" s="217" t="inlineStr">
        <is>
          <t>សូូមអតិថិជនចុចចូល</t>
        </is>
      </c>
      <c r="F153" s="217" t="inlineStr">
        <is>
          <t>សូមអតិថិជនចូលដើម្បីប្រើប្រាក់</t>
        </is>
      </c>
      <c r="G153" s="217" t="inlineStr">
        <is>
          <t>សូមអតិថិជនចូលដើម្បីប្រើប្រាក់</t>
        </is>
      </c>
      <c r="H153" s="217" t="inlineStr">
        <is>
          <t>请打开</t>
        </is>
      </c>
      <c r="J153" t="inlineStr">
        <is>
          <t>សូមអតិថិជនចូលដើម្បីប្រើប្រាក់</t>
        </is>
      </c>
    </row>
    <row r="154">
      <c r="A154" s="217" t="inlineStr">
        <is>
          <t>auth.orScanQR</t>
        </is>
      </c>
      <c r="B154" s="217" t="inlineStr">
        <is>
          <t>hoặc quét mã QR trên ứng dụng</t>
        </is>
      </c>
      <c r="C154" s="217" t="inlineStr">
        <is>
          <t>or scan the QR code in the app</t>
        </is>
      </c>
      <c r="D154" s="217" t="inlineStr">
        <is>
          <t>ឬស្កេន QR នៅលើកម្មវិធី</t>
        </is>
      </c>
      <c r="E154" s="217" t="inlineStr">
        <is>
          <t>ឬស្កេនលេខកូដ QR លើកម្មវិធី</t>
        </is>
      </c>
      <c r="F154" s="217" t="inlineStr">
        <is>
          <t>ឬស្កេនលេខកូដ QR នៅលើកម្មវិធី</t>
        </is>
      </c>
      <c r="G154" s="217" t="inlineStr">
        <is>
          <t>ឬស្កេនលេខកូដ QR នៅលើកម្មវិធី</t>
        </is>
      </c>
      <c r="H154" s="217" t="inlineStr">
        <is>
          <t>或扫描App内的二维码</t>
        </is>
      </c>
      <c r="J154" t="inlineStr">
        <is>
          <t>ឬស្កេនលេខកូដ QR នៅលើកម្មវិធី</t>
        </is>
      </c>
    </row>
    <row r="155">
      <c r="A155" s="217" t="inlineStr">
        <is>
          <t>auth.withAccount</t>
        </is>
      </c>
      <c r="B155" s="217" t="inlineStr">
        <is>
          <t>bằng tài khoản</t>
        </is>
      </c>
      <c r="C155" s="217" t="inlineStr">
        <is>
          <t>with the account</t>
        </is>
      </c>
      <c r="D155" s="217" t="inlineStr">
        <is>
          <t>ជាពីគណនី</t>
        </is>
      </c>
      <c r="E155" s="217" t="inlineStr">
        <is>
          <t>តាមគណនី</t>
        </is>
      </c>
      <c r="F155" s="217" t="inlineStr">
        <is>
          <t>ដោយប្រើគណនីរបស់អ្នក</t>
        </is>
      </c>
      <c r="G155" s="217" t="inlineStr">
        <is>
          <t>ដោយប្រើគណនីរបស់អ្នក</t>
        </is>
      </c>
      <c r="H155" s="217" t="inlineStr">
        <is>
          <t>使用账户</t>
        </is>
      </c>
      <c r="J155" t="inlineStr">
        <is>
          <t>ដោយប្រើគណនីរបស់អ្នក</t>
        </is>
      </c>
    </row>
    <row r="156">
      <c r="A156" s="217" t="inlineStr">
        <is>
          <t>auth.registerOtp</t>
        </is>
      </c>
      <c r="B156" s="217" t="inlineStr">
        <is>
          <t>để đăng ký nhận OTP</t>
        </is>
      </c>
      <c r="C156" s="217" t="inlineStr">
        <is>
          <t>to register for OTP</t>
        </is>
      </c>
      <c r="D156" s="217" t="inlineStr">
        <is>
          <t>ដើម្បីចុះឈ្មោះទទួល OTP</t>
        </is>
      </c>
      <c r="E156" s="217" t="inlineStr">
        <is>
          <t>ដើម្បីចុះឈ្មោះទទួល OTP</t>
        </is>
      </c>
      <c r="F156" s="217" t="inlineStr">
        <is>
          <t>ដើម្បីចុះឈ្មោះទួល OTP</t>
        </is>
      </c>
      <c r="G156" s="217" t="inlineStr">
        <is>
          <t>ដើម្បីចុះឈ្មោះទួល OTP</t>
        </is>
      </c>
      <c r="H156" s="217" t="inlineStr">
        <is>
          <t>以开通验证码接收功能</t>
        </is>
      </c>
      <c r="J156" t="inlineStr">
        <is>
          <t>ដើម្បីចុះឈ្មោះទួល OTP</t>
        </is>
      </c>
    </row>
    <row r="157">
      <c r="A157" s="217" t="inlineStr">
        <is>
          <t>auth.accountNotPass</t>
        </is>
      </c>
      <c r="B157" s="217" t="inlineStr">
        <is>
          <t>Tài khoản này chưa có mật khẩu, vui lòng đăng nhập qua OTP</t>
        </is>
      </c>
      <c r="C157" s="217" t="inlineStr">
        <is>
          <t>This account does not have a password, please log in via OTP</t>
        </is>
      </c>
      <c r="D157" s="217" t="inlineStr">
        <is>
          <t>គណនីនេះមិនមានពាក្យសម្ងាត់ សូមចូលដោយ OTP</t>
        </is>
      </c>
      <c r="E157" s="217" t="inlineStr">
        <is>
          <t>គណនីនេះមិនទាន់មានលេខសម្ងាត់ សូមចុចចូលតាម OTP</t>
        </is>
      </c>
      <c r="F157" s="217" t="inlineStr">
        <is>
          <t>គណនីនេះមិនមានពាក្យសម្ងាត់ទេ សូមចូលតាមរយៈ OTP</t>
        </is>
      </c>
      <c r="G157" s="217" t="inlineStr">
        <is>
          <t>គណនីនេះមិនមានពាក្យសម្ងាត់ទេ សូមចូលតាមរយៈ OTP</t>
        </is>
      </c>
      <c r="H157" s="217" t="inlineStr">
        <is>
          <t>此账户未设置密码，请通过验证码登录</t>
        </is>
      </c>
      <c r="J157" t="inlineStr">
        <is>
          <t>គណនីនេះមិនមានពាក្យសម្ងាត់ទេ សូមចូលតាមរយៈ OTP</t>
        </is>
      </c>
    </row>
    <row r="158">
      <c r="A158" s="217" t="inlineStr">
        <is>
          <t>auth.userManual</t>
        </is>
      </c>
      <c r="B158" s="217" t="inlineStr">
        <is>
          <t>Hướng dẫn nhận OTP trên Telegram</t>
        </is>
      </c>
      <c r="C158" s="217" t="inlineStr">
        <is>
          <t>Guide to Receiving OTP on Telegram</t>
        </is>
      </c>
      <c r="D158" s="217" t="inlineStr">
        <is>
          <t>ការណែនាំទទួល OTP នៅលើ Telegram</t>
        </is>
      </c>
      <c r="E158" s="217" t="inlineStr">
        <is>
          <t>ណែនាំទទួល OTP លើតេឡេក្រាម</t>
        </is>
      </c>
      <c r="F158" s="217" t="inlineStr">
        <is>
          <t>ការណែនាំសម្រាប់ការទទួល OTP នៅលើ Telegram</t>
        </is>
      </c>
      <c r="G158" s="217" t="inlineStr">
        <is>
          <t>ការណែនាំសម្រាប់ការទទួល OTP នៅលើ Telegram</t>
        </is>
      </c>
      <c r="H158" s="217" t="inlineStr">
        <is>
          <t>Telegram 验证码接收指南</t>
        </is>
      </c>
      <c r="J158" t="inlineStr">
        <is>
          <t>ការណែនាំសម្រាប់ការទទួល OTP នៅលើ Telegram</t>
        </is>
      </c>
    </row>
    <row r="159">
      <c r="A159" s="217" t="inlineStr">
        <is>
          <t>auth.instructionstTitle</t>
        </is>
      </c>
      <c r="B159" s="217" t="inlineStr">
        <is>
          <t>Hướng dẫn đăng ký nhận OTP trên Telegram</t>
        </is>
      </c>
      <c r="C159" s="217" t="inlineStr">
        <is>
          <t>Instructions for Registering to Receive OTP on Telegram</t>
        </is>
      </c>
      <c r="D159" s="217" t="inlineStr">
        <is>
          <t>ណែនាំចុះឈ្មោះទទួល OTP នៅលើ Telegram</t>
        </is>
      </c>
      <c r="E159" s="217" t="inlineStr">
        <is>
          <t>ណែនាំចុះឈ្មោះទទួល OTP លើតេឡេក្រាម</t>
        </is>
      </c>
      <c r="F159" s="217" t="inlineStr">
        <is>
          <t>ការណែនាំសម្រាប់ចុះឈ្មោះដើម្បីទទួល OTP នៅលើ Telegram</t>
        </is>
      </c>
      <c r="G159" s="217" t="inlineStr">
        <is>
          <t>ការណែនាំសម្រាប់ចុះឈ្មោះដើម្បីទទួល OTP នៅលើ Telegram</t>
        </is>
      </c>
      <c r="H159" s="217" t="inlineStr">
        <is>
          <t>Telegram 验证码接收注册指南</t>
        </is>
      </c>
      <c r="J159" t="inlineStr">
        <is>
          <t>ការណែនាំសម្រាប់ចុះឈ្មោះដើម្បីទទួល OTP នៅលើ Telegram</t>
        </is>
      </c>
    </row>
    <row r="160">
      <c r="A160" s="217" t="inlineStr">
        <is>
          <t>auth.pleaseOperateOn</t>
        </is>
      </c>
      <c r="B160" s="217" t="inlineStr">
        <is>
          <t>Quý khách vui lòng thao tác trên</t>
        </is>
      </c>
      <c r="C160" s="217" t="inlineStr">
        <is>
          <t>Please operate on</t>
        </is>
      </c>
      <c r="D160" s="217" t="inlineStr">
        <is>
          <t>សូមដំណើរការលើ</t>
        </is>
      </c>
      <c r="E160" s="217" t="inlineStr">
        <is>
          <t>អតិថិជនសូមដំណើរការលើ</t>
        </is>
      </c>
      <c r="F160" s="217" t="inlineStr">
        <is>
          <t>សូមអតិថិជនអនុវត្តតាមជំហានខាងលើ</t>
        </is>
      </c>
      <c r="G160" s="217" t="inlineStr">
        <is>
          <t>សូមអតិថិជនអនុវត្តតាមជំហានខាងលើ</t>
        </is>
      </c>
      <c r="H160" s="217" t="inlineStr">
        <is>
          <t>请在您的{{设备}}上操作</t>
        </is>
      </c>
      <c r="J160" t="inlineStr">
        <is>
          <t>សូមអតិថិជនអនុវត្តតាមជំហានខាងលើ</t>
        </is>
      </c>
    </row>
    <row r="161">
      <c r="A161" s="217" t="inlineStr">
        <is>
          <t>auth.toGetOtp</t>
        </is>
      </c>
      <c r="B161" s="217" t="inlineStr">
        <is>
          <t>để nhận OTP</t>
        </is>
      </c>
      <c r="C161" s="217" t="inlineStr">
        <is>
          <t>to receive OTP</t>
        </is>
      </c>
      <c r="D161" s="217" t="inlineStr">
        <is>
          <t>ដើម្បីទទួល OTP</t>
        </is>
      </c>
      <c r="E161" s="217" t="inlineStr">
        <is>
          <t>ដើម្បីទទួល OTP</t>
        </is>
      </c>
      <c r="F161" s="217" t="inlineStr">
        <is>
          <t>ដើម្បីទទួល OTP</t>
        </is>
      </c>
      <c r="G161" s="217" t="inlineStr">
        <is>
          <t>ដើម្បីទទួល OTP</t>
        </is>
      </c>
      <c r="H161" s="217" t="inlineStr">
        <is>
          <t>以接收验证码</t>
        </is>
      </c>
      <c r="J161" t="inlineStr">
        <is>
          <t>ដើម្បីទទួល OTP</t>
        </is>
      </c>
    </row>
    <row r="162">
      <c r="A162" s="217" t="inlineStr">
        <is>
          <t>auth.noteOtp1</t>
        </is>
      </c>
      <c r="B162" s="217" t="inlineStr">
        <is>
          <t>Lưu ý: Hãy chắc chắn quý khách đăng ký nhận OTP trên</t>
        </is>
      </c>
      <c r="C162" s="217" t="inlineStr">
        <is>
          <t>Note: Please ensure you register to receive OTP on</t>
        </is>
      </c>
      <c r="D162" s="217" t="inlineStr">
        <is>
          <t>ចំណាំ: សូមប្រាកដថាអ្នកបានចុះឈ្មោះទទួល OTP នៅលើ</t>
        </is>
      </c>
      <c r="E162" s="100" t="inlineStr">
        <is>
          <t>សូមចំណាំ៖ សូមប្រាកដថាអ្នកបានចុះឈ្មោះដើម្បីទទួល OTP នៅលើនេះ</t>
        </is>
      </c>
      <c r="F162" s="217" t="inlineStr">
        <is>
          <t>ចំណាំ៖ សូមប្រាកដថាអ្នកចុះឈ្មោះដើម្បីទទួលបាន OTP នៅលើ</t>
        </is>
      </c>
      <c r="G162" s="217" t="inlineStr">
        <is>
          <t>ចំណាំ៖ សូមប្រាកដថាអ្នកចុះឈ្មោះដើម្បីទទួលបាន OTP នៅលើ</t>
        </is>
      </c>
      <c r="H162" s="217" t="inlineStr">
        <is>
          <t>注意：请确保您已使用手机号在</t>
        </is>
      </c>
      <c r="J162" t="inlineStr">
        <is>
          <t>ចំណាំ៖ សូមប្រាកដថាអ្នកចុះឈ្មោះដើម្បីទទួលបាន OTP នៅលើ</t>
        </is>
      </c>
    </row>
    <row r="163">
      <c r="A163" s="217" t="inlineStr">
        <is>
          <t>auth.noteOtp2</t>
        </is>
      </c>
      <c r="B163" s="217" t="inlineStr">
        <is>
          <t>bằng số điện thoại</t>
        </is>
      </c>
      <c r="C163" s="217" t="inlineStr">
        <is>
          <t>using your phone number</t>
        </is>
      </c>
      <c r="D163" s="217" t="inlineStr">
        <is>
          <t>ដោយប្រើលេខទូរស័ព្ទនេះ</t>
        </is>
      </c>
      <c r="E163" s="217" t="inlineStr">
        <is>
          <t>តាមលេខទូរស័ព្ទ</t>
        </is>
      </c>
      <c r="F163" s="217" t="inlineStr">
        <is>
          <t>តាមលេខទូរស័ព្ទ</t>
        </is>
      </c>
      <c r="G163" s="217" t="inlineStr">
        <is>
          <t>តាមលេខទូរស័ព្ទ</t>
        </is>
      </c>
      <c r="H163" s="217" t="inlineStr">
        <is>
          <t>通过您的手机号</t>
        </is>
      </c>
      <c r="J163" t="inlineStr">
        <is>
          <t>តាមលេខទូរស័ព្ទ</t>
        </is>
      </c>
    </row>
    <row r="164">
      <c r="A164" s="217" t="inlineStr">
        <is>
          <t>auth.description1</t>
        </is>
      </c>
      <c r="B164" s="217" t="inlineStr">
        <is>
          <t>Tôi đồng ý với</t>
        </is>
      </c>
      <c r="C164" s="217" t="inlineStr">
        <is>
          <t>I agree with</t>
        </is>
      </c>
      <c r="D164" s="217" t="inlineStr">
        <is>
          <t>ខ្ញុំយល់ព្រមជាមួយ</t>
        </is>
      </c>
      <c r="E164" s="217" t="inlineStr">
        <is>
          <t>ខ្ញុំបានយល់ព្រមជាមួយ</t>
        </is>
      </c>
      <c r="F164" s="217" t="inlineStr">
        <is>
          <t>ខ្ញុំយល់ព្រមជាមួយ</t>
        </is>
      </c>
      <c r="G164" s="217" t="inlineStr">
        <is>
          <t>ខ្ញុំយល់ព្រមជាមួយ</t>
        </is>
      </c>
      <c r="H164" s="217" t="inlineStr">
        <is>
          <t>我已阅读并同意</t>
        </is>
      </c>
      <c r="J164" t="inlineStr">
        <is>
          <t>ខ្ញុំយល់ព្រមជាមួយ</t>
        </is>
      </c>
    </row>
    <row r="165">
      <c r="A165" s="217" t="inlineStr">
        <is>
          <t>auth.description2</t>
        </is>
      </c>
      <c r="B165" s="217" t="inlineStr">
        <is>
          <t>Điều khoản &amp; quy định của VTP Cambodia</t>
        </is>
      </c>
      <c r="C165" s="217" t="inlineStr">
        <is>
          <t>VTP Cambodia's Terms &amp; Conditions</t>
        </is>
      </c>
      <c r="D165" s="217" t="inlineStr">
        <is>
          <t>លក្ខខណ្ឌ និងបញ្ជីរ VTP Cambodia</t>
        </is>
      </c>
      <c r="E165" s="217" t="inlineStr">
        <is>
          <t>លក្ខខណ្ឌ និងបទប្បញ្ញត្តិ VTP Cambodia</t>
        </is>
      </c>
      <c r="F165" s="217" t="inlineStr">
        <is>
          <t>លក្ខខណ្ឌ និងបទប្បញ្ញត្តិរបស់ VTP កម្ពុជា</t>
        </is>
      </c>
      <c r="G165" s="217" t="inlineStr">
        <is>
          <t>លក្ខខណ្ឌ និងបទប្បញ្ញត្តិរបស់ VTP កម្ពុជា</t>
        </is>
      </c>
      <c r="H165" s="217" t="inlineStr">
        <is>
          <t>《VTP柬埔寨用户协议》</t>
        </is>
      </c>
      <c r="J165" t="inlineStr">
        <is>
          <t>លក្ខខណ្ឌ និងបទប្បញ្ញត្តិរបស់ VTP កម្ពុជា</t>
        </is>
      </c>
    </row>
    <row r="166">
      <c r="A166" s="217" t="inlineStr">
        <is>
          <t>auth.youMustAgreeToTheTerms</t>
        </is>
      </c>
      <c r="B166" s="217" t="inlineStr">
        <is>
          <t>Quý khách cần đồng ý điều khoản</t>
        </is>
      </c>
      <c r="C166" s="217" t="inlineStr">
        <is>
          <t>You must agree to the terms</t>
        </is>
      </c>
      <c r="D166" s="217" t="inlineStr">
        <is>
          <t>អ្នកត្រូវយល់ព្រមលក្ខខណ្ឌ</t>
        </is>
      </c>
      <c r="E166" s="217" t="inlineStr">
        <is>
          <t>អតិថិជនត្រូវតែយល់ព្រមលក្ខខណ្ឌ</t>
        </is>
      </c>
      <c r="F166" s="217" t="inlineStr">
        <is>
          <t>អ្នកត្រូវតែយល់ព្រមតាមលក្ខខណ្ឌ</t>
        </is>
      </c>
      <c r="G166" s="217" t="inlineStr">
        <is>
          <t>អ្នកត្រូវតែយល់ព្រមតាមលក្ខខណ្ឌ</t>
        </is>
      </c>
      <c r="H166" s="217" t="inlineStr">
        <is>
          <t>请阅读并同意相关协议</t>
        </is>
      </c>
      <c r="J166" t="inlineStr">
        <is>
          <t>អ្នកត្រូវតែយល់ព្រមតាមលក្ខខណ្ឌ</t>
        </is>
      </c>
    </row>
    <row r="167">
      <c r="A167" s="217" t="inlineStr">
        <is>
          <t>auth.startButton</t>
        </is>
      </c>
      <c r="B167" s="217" t="inlineStr">
        <is>
          <t>Nhấn nút Start để kích hoạt kênh chatbot</t>
        </is>
      </c>
      <c r="C167" s="217" t="inlineStr">
        <is>
          <t>Press the Start button to activate the chatbot channel</t>
        </is>
      </c>
      <c r="D167" s="217" t="inlineStr">
        <is>
          <t>ចុចប៊ូតុង Start ដើម្បីបើកឆានែល chatbot</t>
        </is>
      </c>
      <c r="E167" s="217" t="inlineStr">
        <is>
          <t>ចុចប៊ូតុង ចាប់ផ្តើម ដើម្បីដំណើរការ chatbot</t>
        </is>
      </c>
      <c r="F167" s="217" t="inlineStr">
        <is>
          <t>ចុចប៊ូតុងចាប់ផ្តើមដើម្បីធ្វើឱ្យឆានែល chatbot ដំណើការ</t>
        </is>
      </c>
      <c r="G167" s="217" t="inlineStr">
        <is>
          <t>ចុចប៊ូតុងចាប់ផ្តើមដើម្បីធ្វើឱ្យឆានែល chatbot ដំណើការ</t>
        </is>
      </c>
      <c r="H167" s="217" t="inlineStr">
        <is>
          <t>请按下‘Start’按钮以启用聊天机器人频道</t>
        </is>
      </c>
      <c r="J167" t="inlineStr">
        <is>
          <t>ចុចប៊ូតុងចាប់ផ្តើមដើម្បីធ្វើឱ្យឆានែល chatbot ដំណើការ</t>
        </is>
      </c>
    </row>
    <row r="168">
      <c r="A168" s="217" t="inlineStr">
        <is>
          <t>auth.functionKey</t>
        </is>
      </c>
      <c r="B168" s="217" t="inlineStr">
        <is>
          <t>Nhấn phím chức năng</t>
        </is>
      </c>
      <c r="C168" s="217" t="inlineStr">
        <is>
          <t>Press the function key</t>
        </is>
      </c>
      <c r="D168" s="217" t="inlineStr">
        <is>
          <t>ចុចក្តារចុចមុខងារ</t>
        </is>
      </c>
      <c r="E168" s="217" t="inlineStr">
        <is>
          <t>ចុុចក្តារមុខងារ</t>
        </is>
      </c>
      <c r="F168" s="217" t="inlineStr">
        <is>
          <t>ចុចក្តាតមុខងារ</t>
        </is>
      </c>
      <c r="G168" s="217" t="inlineStr">
        <is>
          <t>ចុចក្តាតមុខងារ</t>
        </is>
      </c>
      <c r="H168" s="217" t="inlineStr">
        <is>
          <t>请按功能键</t>
        </is>
      </c>
      <c r="J168" t="inlineStr">
        <is>
          <t>ចុចក្តាតមុខងារ</t>
        </is>
      </c>
    </row>
    <row r="169">
      <c r="A169" s="217" t="inlineStr">
        <is>
          <t>auth.shareContactHint1</t>
        </is>
      </c>
      <c r="B169" s="217" t="inlineStr">
        <is>
          <t>và chọn phím “Share contact” ở vị trí bàn phím</t>
        </is>
      </c>
      <c r="C169" s="217" t="inlineStr">
        <is>
          <t>and select the 'Share contact' key on the keyboard</t>
        </is>
      </c>
      <c r="D169" s="217" t="inlineStr">
        <is>
          <t>ហើយជ្រើស 'Share contact' នៅចន្លោះនៃក្តារចុច</t>
        </is>
      </c>
      <c r="E169" s="217" t="inlineStr">
        <is>
          <t>និង ជ្រើសរើសក្តារ "Share Contact" នៅទីតាំងក្តារចុច</t>
        </is>
      </c>
      <c r="F169" s="217" t="inlineStr">
        <is>
          <t>និង ជ្រើសរើសក្តារ "Share Contact" នៅទីតាំងក្តារចុច</t>
        </is>
      </c>
      <c r="G169" s="217" t="inlineStr">
        <is>
          <t>និង ជ្រើសរើសក្តារ "Share Contact" នៅទីតាំងក្តារចុច</t>
        </is>
      </c>
      <c r="H169" s="217" t="inlineStr">
        <is>
          <t>并在键盘上选择'Share contact' 键</t>
        </is>
      </c>
      <c r="J169" t="inlineStr">
        <is>
          <t>និង ជ្រើសរើសក្តារ "Share Contact" នៅទីតាំងក្តារចុច</t>
        </is>
      </c>
    </row>
    <row r="170">
      <c r="A170" s="217" t="inlineStr">
        <is>
          <t>auth.shareContactHint2</t>
        </is>
      </c>
      <c r="B170" s="217" t="inlineStr">
        <is>
          <t>Chọn “Share contact”</t>
        </is>
      </c>
      <c r="C170" s="217" t="inlineStr">
        <is>
          <t>Select 'Share contact'</t>
        </is>
      </c>
      <c r="D170" s="217" t="inlineStr">
        <is>
          <t>ជ្រើស 'Share contact'</t>
        </is>
      </c>
      <c r="E170" s="217" t="inlineStr">
        <is>
          <t>ជ្រើសរើស "Share contact"</t>
        </is>
      </c>
      <c r="F170" s="217" t="inlineStr">
        <is>
          <t>ជ្រើសរើស "Share contact"</t>
        </is>
      </c>
      <c r="G170" s="217" t="inlineStr">
        <is>
          <t>ជ្រើសរើស "Share contact"</t>
        </is>
      </c>
      <c r="H170" s="217" t="inlineStr">
        <is>
          <t>选择'Share contact'</t>
        </is>
      </c>
      <c r="J170" t="inlineStr">
        <is>
          <t>ជ្រើសរើស "Share contact"</t>
        </is>
      </c>
    </row>
    <row r="171">
      <c r="A171" s="217" t="inlineStr">
        <is>
          <t>auth.telegramOtpSuccess</t>
        </is>
      </c>
      <c r="B171" s="3" t="inlineStr">
        <is>
          <t>Quý khách đăng ký nhận OTP qua Telegram thành công và hệ thống gửi OTP đăng ký ngay sau tin nhắn xác nhận.</t>
        </is>
      </c>
      <c r="C171" s="217" t="inlineStr">
        <is>
          <t>You have successfully registered to receive OTP via Telegram, and the system will send the registration OTP immediately after the confirmation message.</t>
        </is>
      </c>
      <c r="D171" s="217" t="inlineStr">
        <is>
          <t>អ្នកបានចុះឈ្មោះទទួល OTP តាម Telegram បានជោគជ័យ និងប្រព័ន្ធនឹងផ្ញើ OTP</t>
        </is>
      </c>
      <c r="E171" s="217" t="inlineStr">
        <is>
          <t>អតិថិជនចុះឈ្មោះទទួល OTP តាមតេឡេក្រាមបានជោគជ័យនិងប្រព័ន្ធផ្ញើOTPចុះឈ្មោះភ្លាមក្រោយពេលសារបានបញ្ជាក់</t>
        </is>
      </c>
      <c r="F171" s="217" t="inlineStr">
        <is>
          <t>អតិថិជនចុះឈ្មោះទទួល OTP តាមតេឡេក្រាមបានជោគជ័យនិងប្រព័ន្ធផ្ញើ OTP ចុះឈ្មោះភ្លាមក្រោយពេលសារបានបញ្ជាក់</t>
        </is>
      </c>
      <c r="G171" s="217" t="inlineStr">
        <is>
          <t>អតិថិជនចុះឈ្មោះទទួល OTP តាមតេឡេក្រាមបានជោគជ័យនិងប្រព័ន្ធផ្ញើ OTP ចុះឈ្មោះភ្លាមក្រោយពេលសារបានបញ្ជាក់</t>
        </is>
      </c>
      <c r="H171" s="217" t="inlineStr">
        <is>
          <t>您已成功注册通过Telegram接收验证码，系统将在确认后立即发送验证码。</t>
        </is>
      </c>
      <c r="J171" t="inlineStr">
        <is>
          <t>អតិថិជនចុះឈ្មោះទទួល OTP តាមតេឡេក្រាមបានជោគជ័យនិងប្រព័ន្ធផ្ញើ OTP ចុះឈ្មោះភ្លាមក្រោយពេលសារបានបញ្ជាក់</t>
        </is>
      </c>
    </row>
    <row r="172">
      <c r="A172" s="217" t="inlineStr">
        <is>
          <t>auth.limitOtp</t>
        </is>
      </c>
      <c r="B172" s="217" t="inlineStr">
        <is>
          <t>Quý khách đã nhận quá 5 SMS, xin vui lòng thử lại sau</t>
        </is>
      </c>
      <c r="C172" s="217" t="inlineStr">
        <is>
          <t>You have received more than 5 SMS, please try again later</t>
        </is>
      </c>
      <c r="D172" s="217" t="inlineStr">
        <is>
          <t>-</t>
        </is>
      </c>
      <c r="E172" s="217" t="inlineStr">
        <is>
          <t>អតិថិជនបានទទួលលើសពី 5 SMS សូមព្យាយាមម្តងទៀត</t>
        </is>
      </c>
      <c r="F172" s="217" t="inlineStr">
        <is>
          <t>អ្នកបានទទួលសារ SMS ច្រើនជាង 5 ដង​ សូមព្យាយាមម្តងទៀតនៅពេលក្រោយ</t>
        </is>
      </c>
      <c r="G172" s="217" t="inlineStr">
        <is>
          <t>អ្នកបានទទួលសារ SMS ច្រើនជាង 5 ដង សូមព្យាយាមម្តងទៀតនៅពេលក្រោយ</t>
        </is>
      </c>
      <c r="H172" s="217" t="inlineStr">
        <is>
          <t>您收到的短信已超过5条，请稍后再试。</t>
        </is>
      </c>
      <c r="J172" t="inlineStr">
        <is>
          <t>អ្នកបានទទួលសារ SMS ច្រើនជាង 5 ដង សូមព្យាយាមម្តងទៀតនៅពេលក្រោយ</t>
        </is>
      </c>
    </row>
    <row r="173">
      <c r="A173" s="217" t="inlineStr">
        <is>
          <t>auth.termsAndConditions</t>
        </is>
      </c>
      <c r="B173" s="217" t="inlineStr">
        <is>
          <t>Điều khoản và quy định</t>
        </is>
      </c>
      <c r="C173" s="217" t="inlineStr">
        <is>
          <t>Terms and Conditions</t>
        </is>
      </c>
      <c r="D173" s="217" t="inlineStr">
        <is>
          <t>-</t>
        </is>
      </c>
      <c r="E173" s="100" t="inlineStr">
        <is>
          <t>លក្ខខណ្ឌ និងបទបញ្ជា</t>
        </is>
      </c>
      <c r="F173" s="217" t="inlineStr">
        <is>
          <t>លក្ខខណ្ឌ និងបទប្បញ្ញត្តិ</t>
        </is>
      </c>
      <c r="G173" s="217" t="inlineStr">
        <is>
          <t>លក្ខខណ្ឌ និងបទប្បញ្ញត្តិ</t>
        </is>
      </c>
      <c r="H173" s="217" t="inlineStr">
        <is>
          <t>服务条款和条件</t>
        </is>
      </c>
      <c r="J173" t="inlineStr">
        <is>
          <t>លក្ខខណ្ឌ និងបទប្បញ្ញត្តិ</t>
        </is>
      </c>
    </row>
    <row r="174">
      <c r="A174" s="217" t="inlineStr">
        <is>
          <t>auth.changePass</t>
        </is>
      </c>
      <c r="B174" s="217" t="inlineStr">
        <is>
          <t>Đặt lại mật khẩu</t>
        </is>
      </c>
      <c r="C174" s="217">
        <f>IFERROR(__xludf.DUMMYFUNCTION("GOOGLETRANSLATE(B174,""vi"",""en"")"),"Reset password")</f>
        <v/>
      </c>
      <c r="D174" s="217" t="inlineStr">
        <is>
          <t>-</t>
        </is>
      </c>
      <c r="E174" s="217" t="inlineStr">
        <is>
          <t>បង្កើតលេខសម្ងាត់ម្តងទៀត</t>
        </is>
      </c>
      <c r="F174" s="217" t="inlineStr">
        <is>
          <t>បង្កើតពាក្យសម្ងាត់ឡើងវិញ</t>
        </is>
      </c>
      <c r="G174" s="217" t="inlineStr">
        <is>
          <t>បង្កើតពាក្យសម្ងាត់ឡើងវិញ</t>
        </is>
      </c>
      <c r="H174" s="217" t="inlineStr">
        <is>
          <t>-</t>
        </is>
      </c>
      <c r="J174" t="inlineStr">
        <is>
          <t>បង្កើតពាក្យសម្ងាត់ឡើងវិញ</t>
        </is>
      </c>
    </row>
    <row r="175">
      <c r="A175" s="217" t="inlineStr">
        <is>
          <t>auth.rulePass</t>
        </is>
      </c>
      <c r="B175" s="3" t="inlineStr">
        <is>
          <t>Nhập mật khẩu mới! Mật khẩu có độ dài từ 8-20 ký tự bao gồm chữ cái và số</t>
        </is>
      </c>
      <c r="C175" s="217">
        <f>IFERROR(__xludf.DUMMYFUNCTION("GOOGLETRANSLATE(B175,""vi"",""en"")"),"Enter your new password! The password must be between 8 and 20 characters long and include letters and numbers.")</f>
        <v/>
      </c>
      <c r="D175" s="217" t="inlineStr">
        <is>
          <t>-</t>
        </is>
      </c>
      <c r="E175" s="217" t="inlineStr">
        <is>
          <t>បញ្ចូលលេខសម្ងាត់ថ្មី!លេខសម្ងាត់មានប្រវែងពី 8-20តួអក្សរលេខគិតបញ្ចូលទាំងអក្សរនិងលេខ</t>
        </is>
      </c>
      <c r="F175" s="217" t="inlineStr">
        <is>
          <t>បញ្ចូលពាក្យសម្ងាត់ថ្មី! ពាក្យសម្ងាត់ត្រូវតែមានប្រវែង 8-20 តួអក្សរលេខ និងរួមបញ្ចូលអក្សរ និងលេខ</t>
        </is>
      </c>
      <c r="G175" s="217" t="inlineStr">
        <is>
          <t>បញ្ចូលពាក្យសម្ងាត់ថ្មី! ពាក្យសម្ងាត់ត្រូវតែមានប្រវែង 8-20 តួអក្សរលេខ និងរួមបញ្ចូលអក្សរ និងលេខ</t>
        </is>
      </c>
      <c r="H175" s="217" t="inlineStr">
        <is>
          <t>-</t>
        </is>
      </c>
      <c r="J175" t="inlineStr">
        <is>
          <t>បញ្ចូលពាក្យសម្ងាត់ថ្មី! ពាក្យសម្ងាត់ត្រូវតែមានប្រវែង 8-20 តួអក្សរលេខ និងរួមបញ្ចូលអក្សរ និងលេខ</t>
        </is>
      </c>
    </row>
    <row r="176">
      <c r="A176" s="217" t="inlineStr">
        <is>
          <t>auth.updatePassSuccess</t>
        </is>
      </c>
      <c r="B176" s="217" t="inlineStr">
        <is>
          <t>Đặt lại mật khẩu thành công! Bạn vui lòng đăng nhập lại</t>
        </is>
      </c>
      <c r="C176" s="217">
        <f>IFERROR(__xludf.DUMMYFUNCTION("GOOGLETRANSLATE(B176,""vi"",""en"")"),"Password reset successful! Please log in again.")</f>
        <v/>
      </c>
      <c r="D176" s="217" t="inlineStr">
        <is>
          <t>-</t>
        </is>
      </c>
      <c r="E176" s="217" t="inlineStr">
        <is>
          <t>បង្កើតលេខសម្ងាត់ថ្មីបានជោគជ័យ!សូមអ្នកបញ្ចូលម្តងទៀត</t>
        </is>
      </c>
      <c r="F176" s="217" t="inlineStr">
        <is>
          <t>បង្កើតពាក្យសម្ងាត់ឡើងវិញដោយជោគជ័យ! សូមចូលម្តងទៀត</t>
        </is>
      </c>
      <c r="G176" s="217" t="inlineStr">
        <is>
          <t>បង្កើតពាក្យសម្ងាត់ឡើងវិញដោយជោគជ័យ! សូមចូលម្តងទៀត</t>
        </is>
      </c>
      <c r="H176" s="217" t="inlineStr">
        <is>
          <t>-</t>
        </is>
      </c>
      <c r="J176" t="inlineStr">
        <is>
          <t>បង្កើតពាក្យសម្ងាត់ឡើងវិញដោយជោគជ័យ! សូមចូលម្តងទៀត</t>
        </is>
      </c>
    </row>
    <row r="177">
      <c r="A177" s="217" t="inlineStr">
        <is>
          <t>auth.updatePassFail</t>
        </is>
      </c>
      <c r="B177" s="217" t="inlineStr">
        <is>
          <t>Đặt lại mật khẩu thất bại</t>
        </is>
      </c>
      <c r="C177" s="217">
        <f>IFERROR(__xludf.DUMMYFUNCTION("GOOGLETRANSLATE(B177,""vi"",""en"")"),"Password reset failed")</f>
        <v/>
      </c>
      <c r="D177" s="217" t="inlineStr">
        <is>
          <t>-</t>
        </is>
      </c>
      <c r="E177" s="217" t="inlineStr">
        <is>
          <t>បង្កើតលេខសម្ងាត់ម្តងទៀតបរាជ័យ</t>
        </is>
      </c>
      <c r="F177" s="217" t="inlineStr">
        <is>
          <t>បង្កើតពាក្យសម្ងាត់ឡើងវិញបរាជ័យ</t>
        </is>
      </c>
      <c r="G177" s="217" t="inlineStr">
        <is>
          <t>បង្កើតពាក្យសម្ងាត់ឡើងវិញបរាជ័យ</t>
        </is>
      </c>
      <c r="H177" s="217" t="inlineStr">
        <is>
          <t>-</t>
        </is>
      </c>
      <c r="J177" t="inlineStr">
        <is>
          <t>បង្កើតពាក្យសម្ងាត់ឡើងវិញបរាជ័យ</t>
        </is>
      </c>
    </row>
    <row r="178">
      <c r="A178" s="217" t="inlineStr">
        <is>
          <t>auth.noteOtp</t>
        </is>
      </c>
      <c r="B178" s="217" t="inlineStr">
        <is>
          <t>Lưu ý: Bạn chỉ có thể nhận tối đa 5 SMS/giờ</t>
        </is>
      </c>
      <c r="C178" s="217" t="inlineStr">
        <is>
          <t>Note: You can only receive up to 5 SMS per hour</t>
        </is>
      </c>
      <c r="D178" s="217" t="inlineStr">
        <is>
          <t>-</t>
        </is>
      </c>
      <c r="E178" s="100" t="inlineStr">
        <is>
          <t>សូមចំណាំ៖ អ្នកអាចទទួល SMS ច្រើនបំផុត 5 សារ SMS ក្នុងមួយម៉ោង</t>
        </is>
      </c>
      <c r="F178" s="217" t="inlineStr">
        <is>
          <t>ចំណាំ៖ អ្នកអាចទទួលបានសារ SMS អតិបរមា 5 ដងប៉ុណ្ណោះ/ម៉ោង</t>
        </is>
      </c>
      <c r="G178" s="217" t="inlineStr">
        <is>
          <t>ចំណាំ៖ អ្នកអាចទទួលបានសារ SMS អតិបរមា 5 ដងប៉ុណ្ណោះ/ម៉ោង</t>
        </is>
      </c>
      <c r="H178" s="217" t="inlineStr">
        <is>
          <t>注意：每小时最多接收5条短信</t>
        </is>
      </c>
      <c r="J178" t="inlineStr">
        <is>
          <t>ចំណាំ៖ អ្នកអាចទទួលបានសារ SMS អតិបរមា 5 ដងប៉ុណ្ណោះ/ម៉ោង</t>
        </is>
      </c>
    </row>
    <row r="179">
      <c r="A179" s="217" t="inlineStr">
        <is>
          <t>auth.sendOtpPhone</t>
        </is>
      </c>
      <c r="B179" s="217" t="inlineStr">
        <is>
          <t>Nhập OTP vừa được gửi về số điện thoại</t>
        </is>
      </c>
      <c r="C179" s="217">
        <f>IFERROR(__xludf.DUMMYFUNCTION("GOOGLETRANSLATE(B179,""vi"",""en"")"),"Enter the OTP that was just sent to your phone number.")</f>
        <v/>
      </c>
      <c r="D179" s="217" t="inlineStr">
        <is>
          <t>-</t>
        </is>
      </c>
      <c r="E179" s="217" t="inlineStr">
        <is>
          <t>បញ្ចូលOTPដែលទើបតែបានផ្ញើទៅកាន់លេខទូរស័ព្ទ</t>
        </is>
      </c>
      <c r="F179" s="217" t="inlineStr">
        <is>
          <t>បញ្ចូល OTP ដែលទើបតែបានផ្ញើទៅកាន់លេខទូរស័ព្ទរបស់អ្នក</t>
        </is>
      </c>
      <c r="G179" s="217" t="inlineStr">
        <is>
          <t>បញ្ចូល OTP ដែលទើបតែបានផ្ញើទៅកាន់លេខទូរស័ព្ទរបស់អ្នក</t>
        </is>
      </c>
      <c r="H179" s="217" t="inlineStr">
        <is>
          <t>-</t>
        </is>
      </c>
      <c r="J179" t="inlineStr">
        <is>
          <t>បញ្ចូល OTP ដែលទើបតែបានផ្ញើទៅកាន់លេខទូរស័ព្ទរបស់អ្នក</t>
        </is>
      </c>
    </row>
    <row r="180">
      <c r="A180" s="217" t="inlineStr">
        <is>
          <t>manageOrders.notiMaxlengthExcel</t>
        </is>
      </c>
      <c r="B180" s="217" t="inlineStr">
        <is>
          <t>Số lượng đơn được chọn không quá 2000 đơn</t>
        </is>
      </c>
      <c r="C180" s="217" t="inlineStr">
        <is>
          <t>The number of selected applications is no more than 2000.</t>
        </is>
      </c>
      <c r="D180" s="217" t="inlineStr">
        <is>
          <t>ចំនួនបញ្ជាទិញដែលជ្រើសរើសមិនលើស 200 ដូច្នេះសូមពិនិត្យម្ដងទៀត</t>
        </is>
      </c>
      <c r="E180" s="217" t="inlineStr">
        <is>
          <t>ចំនួនបុងបញ្ញើត្រូវបានជ្រើសរើសមិនអាចលើសពី 2000 បុងបញ្ញើ</t>
        </is>
      </c>
      <c r="F180" s="217" t="inlineStr">
        <is>
          <t>ចំនួនការប៉ុងបញ្ញើដែលបានជ្រើសរើសមិនអាចលើសពី 2000​ ប៉ុង</t>
        </is>
      </c>
      <c r="G180" s="217" t="inlineStr">
        <is>
          <t>ចំនួនការប៉ុងបញ្ញើដែលបានជ្រើសរើសមិនអាចលើសពី 2000 ប៉ុង</t>
        </is>
      </c>
      <c r="H180" s="217" t="inlineStr">
        <is>
          <t>已选订单数量不能超过2000笔。</t>
        </is>
      </c>
      <c r="J180" t="inlineStr">
        <is>
          <t>ចំនួនការប៉ុងបញ្ញើដែលបានជ្រើសរើសមិនអាចលើសពី 2000 ប៉ុង</t>
        </is>
      </c>
    </row>
    <row r="181">
      <c r="A181" s="217" t="inlineStr">
        <is>
          <t>manageOrders.orderCancelSuccess</t>
        </is>
      </c>
      <c r="B181" s="217" t="inlineStr">
        <is>
          <t>Đơn huỷ thành công:</t>
        </is>
      </c>
      <c r="C181" s="217" t="inlineStr">
        <is>
          <t>Order cancellation successful:</t>
        </is>
      </c>
      <c r="D181" s="217" t="inlineStr">
        <is>
          <t>បញ្ជាទិញបានលុបដោយជោគជ័យ:</t>
        </is>
      </c>
      <c r="E181" s="217" t="inlineStr">
        <is>
          <t>បុងបញ្ញើបានលុបចោលជោគជ័យ៖</t>
        </is>
      </c>
      <c r="F181" s="217" t="inlineStr">
        <is>
          <t>ប៉ុងបញ្ញើត្រូវបានលុបចោលដោយជោគជ័យ៖</t>
        </is>
      </c>
      <c r="G181" s="217" t="inlineStr">
        <is>
          <t>ប៉ុងបញ្ញើត្រូវបានលុបចោលដោយជោគជ័យ៖</t>
        </is>
      </c>
      <c r="H181" s="217" t="inlineStr">
        <is>
          <t>取消订单成功：</t>
        </is>
      </c>
      <c r="J181" t="inlineStr">
        <is>
          <t>ប៉ុងបញ្ញើត្រូវបានលុបចោលដោយជោគជ័យ៖</t>
        </is>
      </c>
    </row>
    <row r="182">
      <c r="A182" s="217" t="inlineStr">
        <is>
          <t>manageOrders.orderCancelFailed</t>
        </is>
      </c>
      <c r="B182" s="217" t="inlineStr">
        <is>
          <t>Đơn huỷ thất bại:</t>
        </is>
      </c>
      <c r="C182" s="217" t="inlineStr">
        <is>
          <t>Order cancellation failed:</t>
        </is>
      </c>
      <c r="D182" s="217" t="inlineStr">
        <is>
          <t>លុបបញ្ជាទិញបរាជ័យ:</t>
        </is>
      </c>
      <c r="E182" s="217" t="inlineStr">
        <is>
          <t>បុងបញ្ញើលុបចោលមិនបានជោគជ័យ៖</t>
        </is>
      </c>
      <c r="F182" s="217" t="inlineStr">
        <is>
          <t>ប៉ុងបញ្ញើត្រូវបានលុបចោលដោយបរាជ័យ៖</t>
        </is>
      </c>
      <c r="G182" s="217" t="inlineStr">
        <is>
          <t>ប៉ុងបញ្ញើត្រូវបានលុបចោលដោយបរាជ័យ៖</t>
        </is>
      </c>
      <c r="H182" s="217" t="inlineStr">
        <is>
          <t>订单取消失败：</t>
        </is>
      </c>
      <c r="J182" t="inlineStr">
        <is>
          <t>ប៉ុងបញ្ញើត្រូវបានលុបចោលដោយបរាជ័យ៖</t>
        </is>
      </c>
    </row>
    <row r="183">
      <c r="A183" s="217" t="inlineStr">
        <is>
          <t>manageOrders.orderCancelStatus</t>
        </is>
      </c>
      <c r="B183" s="217" t="inlineStr">
        <is>
          <t>Tình trạng huỷ</t>
        </is>
      </c>
      <c r="C183" s="217" t="inlineStr">
        <is>
          <t>Cancellation status</t>
        </is>
      </c>
      <c r="D183" s="217" t="inlineStr">
        <is>
          <t>ស្ថានភាពលុប</t>
        </is>
      </c>
      <c r="E183" s="217" t="inlineStr">
        <is>
          <t>ស្ថានភាពលុបចោល</t>
        </is>
      </c>
      <c r="F183" s="217" t="inlineStr">
        <is>
          <t>ស្ថានភាពលុបចោល</t>
        </is>
      </c>
      <c r="G183" s="217" t="inlineStr">
        <is>
          <t>ស្ថានភាពលុបចោល</t>
        </is>
      </c>
      <c r="H183" s="217" t="inlineStr">
        <is>
          <t>取消状态</t>
        </is>
      </c>
      <c r="J183" t="inlineStr">
        <is>
          <t>ស្ថានភាពលុបចោល</t>
        </is>
      </c>
    </row>
    <row r="184">
      <c r="A184" s="217" t="inlineStr">
        <is>
          <t>manageOrders.orderCancelContinue</t>
        </is>
      </c>
      <c r="B184" s="217" t="inlineStr">
        <is>
          <t>Tiếp tục huỷ</t>
        </is>
      </c>
      <c r="C184" s="217" t="inlineStr">
        <is>
          <t>Continue cancellation</t>
        </is>
      </c>
      <c r="D184" s="217" t="inlineStr">
        <is>
          <t>បន្តលុប</t>
        </is>
      </c>
      <c r="E184" s="217" t="inlineStr">
        <is>
          <t>បន្តការលុបចោល</t>
        </is>
      </c>
      <c r="F184" s="217" t="inlineStr">
        <is>
          <t>បន្តលុបចោល</t>
        </is>
      </c>
      <c r="G184" s="217" t="inlineStr">
        <is>
          <t>បន្តលុបចោល</t>
        </is>
      </c>
      <c r="H184" s="217" t="inlineStr">
        <is>
          <t>继续取消</t>
        </is>
      </c>
      <c r="J184" t="inlineStr">
        <is>
          <t>បន្តលុបចោល</t>
        </is>
      </c>
    </row>
    <row r="185">
      <c r="A185" s="217" t="inlineStr">
        <is>
          <t>manageOrders.totalOrders</t>
        </is>
      </c>
      <c r="B185" s="217" t="inlineStr">
        <is>
          <t>Tổng số đơn ({{total}} đơn)</t>
        </is>
      </c>
      <c r="C185" s="217" t="inlineStr">
        <is>
          <t>Total orders ({{total}} orders)</t>
        </is>
      </c>
      <c r="D185" s="217" t="inlineStr">
        <is>
          <t>សរុបបញ្ជាទិញ ({{total}})</t>
        </is>
      </c>
      <c r="E185" s="217" t="inlineStr">
        <is>
          <t>សរុបបុងបញ្ញើ({{total}} បុងបញ្ញើ)</t>
        </is>
      </c>
      <c r="F185" s="217" t="inlineStr">
        <is>
          <t>សរុបប៉ុងបញ្ញើ ({{total}} ប៉ុងបញ្ញើ)</t>
        </is>
      </c>
      <c r="G185" s="217" t="inlineStr">
        <is>
          <t>សរុបប៉ុងបញ្ញើ ({{total}} ប៉ុងបញ្ញើ)</t>
        </is>
      </c>
      <c r="H185" s="217" t="inlineStr">
        <is>
          <t>总订单数 ({{total}} 笔)</t>
        </is>
      </c>
      <c r="J185" t="inlineStr">
        <is>
          <t>សរុបប៉ុងបញ្ញើ ({{total}} ប៉ុងបញ្ញើ)</t>
        </is>
      </c>
    </row>
    <row r="186">
      <c r="A186" s="217" t="inlineStr">
        <is>
          <t>manageOrders.successTab</t>
        </is>
      </c>
      <c r="B186" s="217" t="inlineStr">
        <is>
          <t>Lấy thành công ({{total}} đơn)</t>
        </is>
      </c>
      <c r="C186" s="217" t="inlineStr">
        <is>
          <t>Successfully picked up ({{total}} orders)</t>
        </is>
      </c>
      <c r="D186" s="217" t="inlineStr">
        <is>
          <t>បានយកដោយជោគជ័យ ({{total}})</t>
        </is>
      </c>
      <c r="E186" s="217" t="inlineStr">
        <is>
          <t>យកបានជោគជ័យ ({{total}} បុងបញ្ញើ)</t>
        </is>
      </c>
      <c r="F186" s="217" t="inlineStr">
        <is>
          <t>បានទយកដោយជោគជ័យ ({{total}} ប៉ុងបញ្ញើ)</t>
        </is>
      </c>
      <c r="G186" s="217" t="inlineStr">
        <is>
          <t>បានទយកដោយជោគជ័យ ({{total}} ប៉ុងបញ្ញើ)</t>
        </is>
      </c>
      <c r="H186" s="217" t="inlineStr">
        <is>
          <t>({{total}} 取件成功</t>
        </is>
      </c>
      <c r="J186" t="inlineStr">
        <is>
          <t>បានទយកដោយជោគជ័យ ({{total}} ប៉ុងបញ្ញើ)</t>
        </is>
      </c>
    </row>
    <row r="187">
      <c r="A187" s="217" t="inlineStr">
        <is>
          <t>manageOrders.waitTab</t>
        </is>
      </c>
      <c r="B187" s="217" t="inlineStr">
        <is>
          <t>Chờ lấy ({{total}} đơn)</t>
        </is>
      </c>
      <c r="C187" s="217" t="inlineStr">
        <is>
          <t>Waiting for pickup ({{total}} orders)</t>
        </is>
      </c>
      <c r="D187" s="217" t="inlineStr">
        <is>
          <t>រង់ចាំយក ({{total}})</t>
        </is>
      </c>
      <c r="E187" s="217" t="inlineStr">
        <is>
          <t>រង់ចាំយក ({{total}} បុងបញ្ញើ)</t>
        </is>
      </c>
      <c r="F187" s="217" t="inlineStr">
        <is>
          <t>រង់ចាំការយក ({{total}} ប៉ុងបញ្ញើ)</t>
        </is>
      </c>
      <c r="G187" s="217" t="inlineStr">
        <is>
          <t>រង់ចាំការយក ({{total}} ប៉ុងបញ្ញើ)</t>
        </is>
      </c>
      <c r="H187" s="217" t="inlineStr">
        <is>
          <t>({{total}} 笔待取件</t>
        </is>
      </c>
      <c r="J187" t="inlineStr">
        <is>
          <t>រង់ចាំការយក ({{total}} ប៉ុងបញ្ញើ)</t>
        </is>
      </c>
    </row>
    <row r="188">
      <c r="A188" s="217" t="inlineStr">
        <is>
          <t>manageOrders.cancelTab</t>
        </is>
      </c>
      <c r="B188" s="217" t="inlineStr">
        <is>
          <t>Huỷ lấy ({{total}} đơn)</t>
        </is>
      </c>
      <c r="C188" s="217" t="inlineStr">
        <is>
          <t>Pickup cancelled ({{total}} orders)</t>
        </is>
      </c>
      <c r="D188" s="217" t="inlineStr">
        <is>
          <t>បានលុប ({{total}})</t>
        </is>
      </c>
      <c r="E188" s="217" t="inlineStr">
        <is>
          <t>លុបចោលការយក ({{total}} បុងបញ្ញើ)</t>
        </is>
      </c>
      <c r="F188" s="217" t="inlineStr">
        <is>
          <t>បោះបង់ការទទួលយក ({{total}} ប៉ុងបញ្ញើ)</t>
        </is>
      </c>
      <c r="G188" s="217" t="inlineStr">
        <is>
          <t>បោះបង់ការទទួលយក ({{total}} ប៉ុងបញ្ញើ)</t>
        </is>
      </c>
      <c r="H188" s="217" t="inlineStr">
        <is>
          <t>取件取消 ({{total}} 笔订单)</t>
        </is>
      </c>
      <c r="J188" t="inlineStr">
        <is>
          <t>បោះបង់ការទទួលយក ({{total}} ប៉ុងបញ្ញើ)</t>
        </is>
      </c>
    </row>
    <row r="189">
      <c r="A189" s="217" t="inlineStr">
        <is>
          <t>manageOrders.draftTab</t>
        </is>
      </c>
      <c r="B189" s="217" t="inlineStr">
        <is>
          <t>Đơn nháp ({{total}} đơn)</t>
        </is>
      </c>
      <c r="C189" s="217" t="inlineStr">
        <is>
          <t>Draft orders ({{total}} orders)</t>
        </is>
      </c>
      <c r="D189" s="217" t="inlineStr">
        <is>
          <t>បញ្ជាទិញខេម ({{total}})</t>
        </is>
      </c>
      <c r="E189" s="217" t="inlineStr">
        <is>
          <t>បុងព្រៀង  ({{total}} បុងបញ្ញើ)</t>
        </is>
      </c>
      <c r="F189" s="217" t="inlineStr">
        <is>
          <t>ប៉ុងបញ្ញើព្រាង ({{total}} ប៉ុងបញ្ញើ)</t>
        </is>
      </c>
      <c r="G189" s="217" t="inlineStr">
        <is>
          <t>ប៉ុងបញ្ញើព្រាង ({{total}} ប៉ុងបញ្ញើ)</t>
        </is>
      </c>
      <c r="H189" s="217" t="inlineStr">
        <is>
          <t>订单草稿 ({{total}} 笔)</t>
        </is>
      </c>
      <c r="J189" t="inlineStr">
        <is>
          <t>ប៉ុងបញ្ញើព្រាង ({{total}} ប៉ុងបញ្ញើ)</t>
        </is>
      </c>
    </row>
    <row r="190">
      <c r="A190" s="217" t="inlineStr">
        <is>
          <t>manageOrders.all</t>
        </is>
      </c>
      <c r="B190" s="217" t="inlineStr">
        <is>
          <t>Tất cả ({{total}})</t>
        </is>
      </c>
      <c r="C190" s="217" t="inlineStr">
        <is>
          <t>All ({{total}})</t>
        </is>
      </c>
      <c r="D190" s="217" t="inlineStr">
        <is>
          <t>ទាំងអស់ ({{total}})</t>
        </is>
      </c>
      <c r="E190" s="217" t="inlineStr">
        <is>
          <t>ទាំងអស់  ({{total}})</t>
        </is>
      </c>
      <c r="F190" s="217" t="inlineStr">
        <is>
          <t>ទាំងអស់ ({{total}})</t>
        </is>
      </c>
      <c r="G190" s="217" t="inlineStr">
        <is>
          <t>ទាំងអស់ ({{total}})</t>
        </is>
      </c>
      <c r="H190" s="217" t="inlineStr">
        <is>
          <t>全部 ({{total}})</t>
        </is>
      </c>
      <c r="J190" t="inlineStr">
        <is>
          <t>ទាំងអស់ ({{total}})</t>
        </is>
      </c>
    </row>
    <row r="191">
      <c r="A191" s="217" t="inlineStr">
        <is>
          <t>manageOrders.receiving</t>
        </is>
      </c>
      <c r="B191" s="217" t="inlineStr">
        <is>
          <t>Đang lấy hàng ({{total}})</t>
        </is>
      </c>
      <c r="C191" s="217" t="inlineStr">
        <is>
          <t>Picking up ({{total}})</t>
        </is>
      </c>
      <c r="D191" s="217" t="inlineStr">
        <is>
          <t>កំពុងយកសារ ({{total}})</t>
        </is>
      </c>
      <c r="E191" s="217" t="inlineStr">
        <is>
          <t>កំពុងយកអីវ៉ាន់  ({{total}})</t>
        </is>
      </c>
      <c r="F191" s="217" t="inlineStr">
        <is>
          <t>កំពុងយកអីវ៉ាន់  ({{total}})</t>
        </is>
      </c>
      <c r="G191" s="217" t="inlineStr">
        <is>
          <t>កំពុងយកអីវ៉ាន់ ({{total}})</t>
        </is>
      </c>
      <c r="H191" s="217" t="inlineStr">
        <is>
          <t>揽收中 ({{total}})</t>
        </is>
      </c>
      <c r="J191" t="inlineStr">
        <is>
          <t>កំពុងយកអីវ៉ាន់ ({{total}})</t>
        </is>
      </c>
    </row>
    <row r="192">
      <c r="A192" s="217" t="inlineStr">
        <is>
          <t>manageOrders.received</t>
        </is>
      </c>
      <c r="B192" s="217" t="inlineStr">
        <is>
          <t>Đã lấy hàng ({{total}})</t>
        </is>
      </c>
      <c r="C192" s="217" t="inlineStr">
        <is>
          <t>Picked up ({{total}})</t>
        </is>
      </c>
      <c r="D192" s="217" t="inlineStr">
        <is>
          <t>បានយក ({{total}})</t>
        </is>
      </c>
      <c r="E192" s="217" t="inlineStr">
        <is>
          <t>បានយកអីវ៉ាន់  ({{total}})</t>
        </is>
      </c>
      <c r="F192" s="217" t="inlineStr">
        <is>
          <t>បានយកអីវ៉ាន់  ({{total}})</t>
        </is>
      </c>
      <c r="G192" s="217" t="inlineStr">
        <is>
          <t>បានយកអីវ៉ាន់ ({{total}})</t>
        </is>
      </c>
      <c r="H192" s="217" t="inlineStr">
        <is>
          <t>({{total}})已揽收</t>
        </is>
      </c>
      <c r="J192" t="inlineStr">
        <is>
          <t>បានយកអីវ៉ាន់ ({{total}})</t>
        </is>
      </c>
    </row>
    <row r="193">
      <c r="A193" s="217" t="inlineStr">
        <is>
          <t>manageOrders.transiting</t>
        </is>
      </c>
      <c r="B193" s="217" t="inlineStr">
        <is>
          <t>Đang vận chuyển giao ({{total}})</t>
        </is>
      </c>
      <c r="C193" s="217" t="inlineStr">
        <is>
          <t>In transit for delivery ({{total}})</t>
        </is>
      </c>
      <c r="D193" s="217" t="inlineStr">
        <is>
          <t>កំពុងដឹកជញ្ជូន ({{total}})</t>
        </is>
      </c>
      <c r="E193" s="217" t="inlineStr">
        <is>
          <t>កំពុុងដឹកជញ្ជូន  ({{total}})</t>
        </is>
      </c>
      <c r="F193" s="217" t="inlineStr">
        <is>
          <t>កំពុងដឹកទៅប្រគល់អីវ៉ាន់  ({{total}})</t>
        </is>
      </c>
      <c r="G193" s="217" t="inlineStr">
        <is>
          <t>កំពុងដឹកទៅប្រគល់អីវ៉ាន់ ({{total}})</t>
        </is>
      </c>
      <c r="H193" s="217" t="inlineStr">
        <is>
          <t>({{total}})派送途中</t>
        </is>
      </c>
      <c r="J193" t="inlineStr">
        <is>
          <t>កំពុងដឹកទៅប្រគល់អីវ៉ាន់ ({{total}})</t>
        </is>
      </c>
    </row>
    <row r="194">
      <c r="A194" s="217" t="inlineStr">
        <is>
          <t>manageOrders.shipping</t>
        </is>
      </c>
      <c r="B194" s="217" t="inlineStr">
        <is>
          <t>Đang giao hàng ({{total}})</t>
        </is>
      </c>
      <c r="C194" s="217" t="inlineStr">
        <is>
          <t>Shipping ({{total}})</t>
        </is>
      </c>
      <c r="D194" s="217" t="inlineStr">
        <is>
          <t>កំពុងផ្ញើ ({{total}})</t>
        </is>
      </c>
      <c r="E194" s="217" t="inlineStr">
        <is>
          <t>កំពុងប្រគល់អីវ៉ាន់  ({{total}})</t>
        </is>
      </c>
      <c r="F194" s="217" t="inlineStr">
        <is>
          <t>កំពុងប្រគល់អីវ៉ាន់  ({{total}})</t>
        </is>
      </c>
      <c r="G194" s="217" t="inlineStr">
        <is>
          <t>កំពុងប្រគល់អីវ៉ាន់ ({{total}})</t>
        </is>
      </c>
      <c r="H194" s="217" t="inlineStr">
        <is>
          <t>({{total}})运输中</t>
        </is>
      </c>
      <c r="J194" t="inlineStr">
        <is>
          <t>កំពុងប្រគល់អីវ៉ាន់ ({{total}})</t>
        </is>
      </c>
    </row>
    <row r="195">
      <c r="A195" s="217" t="inlineStr">
        <is>
          <t>manageOrders.shipped</t>
        </is>
      </c>
      <c r="B195" s="217" t="inlineStr">
        <is>
          <t>Giao thành công ({{total}})</t>
        </is>
      </c>
      <c r="C195" s="217" t="inlineStr">
        <is>
          <t>Delivered successfully ({{total}})</t>
        </is>
      </c>
      <c r="D195" s="217" t="inlineStr">
        <is>
          <t>ផ្ញើដោយជោគជ័យ ({{total}})</t>
        </is>
      </c>
      <c r="E195" s="217" t="inlineStr">
        <is>
          <t>ប្រគល់បានជោគជ័យ  ({{total}})</t>
        </is>
      </c>
      <c r="F195" s="217" t="inlineStr">
        <is>
          <t>ប្រគល់បានជោគជ័យ  ({{total}})</t>
        </is>
      </c>
      <c r="G195" s="217" t="inlineStr">
        <is>
          <t>ប្រគល់បានជោគជ័យ ({{total}})</t>
        </is>
      </c>
      <c r="H195" s="217" t="inlineStr">
        <is>
          <t>({{total}})派送成功</t>
        </is>
      </c>
      <c r="J195" t="inlineStr">
        <is>
          <t>ប្រគល់បានជោគជ័យ ({{total}})</t>
        </is>
      </c>
    </row>
    <row r="196">
      <c r="A196" s="217" t="inlineStr">
        <is>
          <t>manageOrders.returnRequest</t>
        </is>
      </c>
      <c r="B196" s="217" t="inlineStr">
        <is>
          <t>Thông báo chuyển hoàn ({{total}})</t>
        </is>
      </c>
      <c r="C196" s="217" t="inlineStr">
        <is>
          <t>Return request ({{total}})</t>
        </is>
      </c>
      <c r="D196" s="217" t="inlineStr">
        <is>
          <t>សំណើត្រលប់ ({{total}})</t>
        </is>
      </c>
      <c r="E196" s="217" t="inlineStr">
        <is>
          <t>របាយការណ៍ពីការប្រគល់ត្រឡប់  ({{total}})</t>
        </is>
      </c>
      <c r="F196" s="217" t="inlineStr">
        <is>
          <t>ការជូនដំណឹងអំពីការប្រគល់ត្រលប់មកវិញ ({{total}})</t>
        </is>
      </c>
      <c r="G196" s="217" t="inlineStr">
        <is>
          <t>ការជូនដំណឹងអំពីការប្រគល់ត្រលប់មកវិញ ({{total}})</t>
        </is>
      </c>
      <c r="H196" s="217" t="inlineStr">
        <is>
          <t>({{total}})退货请求</t>
        </is>
      </c>
      <c r="J196" t="inlineStr">
        <is>
          <t>ការជូនដំណឹងអំពីការប្រគល់ត្រលប់មកវិញ ({{total}})</t>
        </is>
      </c>
    </row>
    <row r="197">
      <c r="A197" s="217" t="inlineStr">
        <is>
          <t>manageOrders.new</t>
        </is>
      </c>
      <c r="B197" s="217" t="inlineStr">
        <is>
          <t>Tạo mới ({{total}})</t>
        </is>
      </c>
      <c r="C197" s="217" t="inlineStr">
        <is>
          <t>New ({{total}})</t>
        </is>
      </c>
      <c r="D197" s="217" t="inlineStr">
        <is>
          <t>បង្កើតថ្មី ({{total}})</t>
        </is>
      </c>
      <c r="E197" s="217" t="inlineStr">
        <is>
          <t>បង្កើតថ្មី</t>
        </is>
      </c>
      <c r="F197" s="217" t="inlineStr">
        <is>
          <t>បង្កើតថ្មី ({{total}})</t>
        </is>
      </c>
      <c r="G197" s="217" t="inlineStr">
        <is>
          <t>បង្កើតថ្មី ({{total}})</t>
        </is>
      </c>
      <c r="H197" s="217" t="inlineStr">
        <is>
          <t>新订单 ({{total}})</t>
        </is>
      </c>
      <c r="J197" t="inlineStr">
        <is>
          <t>បង្កើតថ្មី ({{total}})</t>
        </is>
      </c>
    </row>
    <row r="198">
      <c r="A198" s="217" t="inlineStr">
        <is>
          <t>manageOrders.confirmed</t>
        </is>
      </c>
      <c r="B198" s="217" t="inlineStr">
        <is>
          <t>Chưa tiếp nhận ({{total}})</t>
        </is>
      </c>
      <c r="C198" s="217" t="inlineStr">
        <is>
          <t>Not received ({{total}})</t>
        </is>
      </c>
      <c r="D198" s="217" t="inlineStr">
        <is>
          <t>មិនទាន់ទទួល ({{total}})</t>
        </is>
      </c>
      <c r="E198" s="217" t="inlineStr">
        <is>
          <t>មិនទាន់បានទទួល</t>
        </is>
      </c>
      <c r="F198" s="217" t="inlineStr">
        <is>
          <t>មិនទាន់បានទទួល ({{total}})</t>
        </is>
      </c>
      <c r="G198" s="217" t="inlineStr">
        <is>
          <t>មិនទាន់បានទទួល ({{total}})</t>
        </is>
      </c>
      <c r="H198" s="217" t="inlineStr">
        <is>
          <t>({{total}}订单未收到货</t>
        </is>
      </c>
      <c r="J198" t="inlineStr">
        <is>
          <t>មិនទាន់បានទទួល ({{total}})</t>
        </is>
      </c>
    </row>
    <row r="199">
      <c r="A199" s="217" t="inlineStr">
        <is>
          <t>manageOrders.waitingToReceive</t>
        </is>
      </c>
      <c r="B199" s="217" t="inlineStr">
        <is>
          <t>Đã tiếp nhận ({{total}})</t>
        </is>
      </c>
      <c r="C199" s="217" t="inlineStr">
        <is>
          <t>Received ({{total}})</t>
        </is>
      </c>
      <c r="D199" s="217" t="inlineStr">
        <is>
          <t>បានទទួល ({{total}})</t>
        </is>
      </c>
      <c r="E199" s="217" t="inlineStr">
        <is>
          <t>បានទទួល ({{total}})</t>
        </is>
      </c>
      <c r="F199" s="217" t="inlineStr">
        <is>
          <t>បានទទួល ({{total}})</t>
        </is>
      </c>
      <c r="G199" s="217" t="inlineStr">
        <is>
          <t>បានទទួល ({{total}})</t>
        </is>
      </c>
      <c r="H199" s="217" t="inlineStr">
        <is>
          <t>({{total}})已收货</t>
        </is>
      </c>
      <c r="J199" t="inlineStr">
        <is>
          <t>បានទទួល ({{total}})</t>
        </is>
      </c>
    </row>
    <row r="200">
      <c r="A200" s="217" t="inlineStr">
        <is>
          <t>manageOrders.cancelled</t>
        </is>
      </c>
      <c r="B200" s="217" t="inlineStr">
        <is>
          <t>Huỷ lấy ({{total}})</t>
        </is>
      </c>
      <c r="C200" s="217" t="inlineStr">
        <is>
          <t>Pickup cancelled ({{total}})</t>
        </is>
      </c>
      <c r="D200" s="217" t="inlineStr">
        <is>
          <t>បានលុប ({{total}})</t>
        </is>
      </c>
      <c r="E200" s="217" t="inlineStr">
        <is>
          <t>លុបចោលការយកអីវ៉ាន់  ({{total}})</t>
        </is>
      </c>
      <c r="F200" s="217" t="inlineStr">
        <is>
          <t>បោះបង់ចោល ({{total}})</t>
        </is>
      </c>
      <c r="G200" s="217" t="inlineStr">
        <is>
          <t>បោះបង់ចោល ({{total}})</t>
        </is>
      </c>
      <c r="H200" s="217" t="inlineStr">
        <is>
          <t>取件取消 ({{total}})</t>
        </is>
      </c>
      <c r="J200" t="inlineStr">
        <is>
          <t>បោះបង់ចោល ({{total}})</t>
        </is>
      </c>
    </row>
    <row r="201">
      <c r="A201" s="217" t="inlineStr">
        <is>
          <t>manageOrders.receiveAgain</t>
        </is>
      </c>
      <c r="B201" s="217" t="inlineStr">
        <is>
          <t>Hẹn lấy lại ({{total}})</t>
        </is>
      </c>
      <c r="C201" s="217" t="inlineStr">
        <is>
          <t>Re-pickup scheduled ({{total}})</t>
        </is>
      </c>
      <c r="D201" s="217" t="inlineStr">
        <is>
          <t>កំណត់យកម្តងទៀត ({{total}})</t>
        </is>
      </c>
      <c r="E201" s="217" t="inlineStr">
        <is>
          <t>ណាត់យកម្តងទៀត</t>
        </is>
      </c>
      <c r="F201" s="217" t="inlineStr">
        <is>
          <t>ណាត់យកម្តងទៀត ({{total}})</t>
        </is>
      </c>
      <c r="G201" s="217" t="inlineStr">
        <is>
          <t>ណាត់យកម្តងទៀត ({{total}})</t>
        </is>
      </c>
      <c r="H201" s="217" t="inlineStr">
        <is>
          <t>已安排重新取件 ({{total}})</t>
        </is>
      </c>
      <c r="J201" t="inlineStr">
        <is>
          <t>ណាត់យកម្តងទៀត ({{total}})</t>
        </is>
      </c>
    </row>
    <row r="202">
      <c r="A202" s="217" t="inlineStr">
        <is>
          <t>manageOrders.receiveFailed</t>
        </is>
      </c>
      <c r="B202" s="217" t="inlineStr">
        <is>
          <t>Không lấy được hàng ({{total}})</t>
        </is>
      </c>
      <c r="C202" s="217" t="inlineStr">
        <is>
          <t>Pickup failed ({{total}})</t>
        </is>
      </c>
      <c r="D202" s="217" t="inlineStr">
        <is>
          <t>យកមិនបាន ({{total}})</t>
        </is>
      </c>
      <c r="E202" s="217" t="inlineStr">
        <is>
          <t>មិនអាចទទួលយកអីវ៉ាន់បាន ({{total}})</t>
        </is>
      </c>
      <c r="F202" s="217" t="inlineStr">
        <is>
          <t>យកឥវ៉ាន់មិនបាន ({{total}})</t>
        </is>
      </c>
      <c r="G202" s="217" t="inlineStr">
        <is>
          <t>យកឥវ៉ាន់មិនបាន ({{total}})</t>
        </is>
      </c>
      <c r="H202" s="217" t="inlineStr">
        <is>
          <t>({{total}})取件失败</t>
        </is>
      </c>
      <c r="J202" t="inlineStr">
        <is>
          <t>យកឥវ៉ាន់មិនបាន ({{total}})</t>
        </is>
      </c>
    </row>
    <row r="203">
      <c r="A203" s="217" t="inlineStr">
        <is>
          <t>manageOrders.shipAgain</t>
        </is>
      </c>
      <c r="B203" s="217" t="inlineStr">
        <is>
          <t>Hẹn giao lại ({{total}})</t>
        </is>
      </c>
      <c r="C203" s="217" t="inlineStr">
        <is>
          <t>Re-delivery scheduled ({{total}})</t>
        </is>
      </c>
      <c r="D203" s="217" t="inlineStr">
        <is>
          <t>កំណត់ផ្ញើម្តងទៀត ({{total}})</t>
        </is>
      </c>
      <c r="E203" s="217" t="inlineStr">
        <is>
          <t>ណាត់ប្រគល់ម្តងទៀត  ({{total}})</t>
        </is>
      </c>
      <c r="F203" s="217" t="inlineStr">
        <is>
          <t>ណាត់ប្រគល់ម្តងទៀត  ({{total}})</t>
        </is>
      </c>
      <c r="G203" s="217" t="inlineStr">
        <is>
          <t>ណាត់ប្រគល់ម្តងទៀត ({{total}})</t>
        </is>
      </c>
      <c r="H203" s="217" t="inlineStr">
        <is>
          <t>({{total}})已安排再次派送</t>
        </is>
      </c>
      <c r="J203" t="inlineStr">
        <is>
          <t>ណាត់ប្រគល់ម្តងទៀត ({{total}})</t>
        </is>
      </c>
    </row>
    <row r="204">
      <c r="A204" s="217" t="inlineStr">
        <is>
          <t>manageOrders.shipFailed</t>
        </is>
      </c>
      <c r="B204" s="217" t="inlineStr">
        <is>
          <t>Không giao được hàng ({{total}})</t>
        </is>
      </c>
      <c r="C204" s="217" t="inlineStr">
        <is>
          <t>Delivery failed ({{total}})</t>
        </is>
      </c>
      <c r="D204" s="217" t="inlineStr">
        <is>
          <t>ផ្ញើមិនបាន ({{total}})</t>
        </is>
      </c>
      <c r="E204" s="217" t="inlineStr">
        <is>
          <t>មិនអាចប្រគល់អីវ៉ាន់បាន  ({{total}})</t>
        </is>
      </c>
      <c r="F204" s="217" t="inlineStr">
        <is>
          <t>ប្រគល់អីវ៉ាន់មិនបាន  ({{total}})</t>
        </is>
      </c>
      <c r="G204" s="217" t="inlineStr">
        <is>
          <t>ប្រគល់អីវ៉ាន់មិនបាន ({{total}})</t>
        </is>
      </c>
      <c r="H204" s="217" t="inlineStr">
        <is>
          <t>({{total}})派送失败</t>
        </is>
      </c>
      <c r="J204" t="inlineStr">
        <is>
          <t>ប្រគល់អីវ៉ាន់មិនបាន ({{total}})</t>
        </is>
      </c>
    </row>
    <row r="205">
      <c r="A205" s="217" t="inlineStr">
        <is>
          <t>manageOrders.partialShipRequest</t>
        </is>
      </c>
      <c r="B205" s="217" t="inlineStr">
        <is>
          <t>Yêu cầu giao 1 phần ({{total}})</t>
        </is>
      </c>
      <c r="C205" s="217" t="inlineStr">
        <is>
          <t>Partial delivery request ({{total}})</t>
        </is>
      </c>
      <c r="D205" s="217" t="inlineStr">
        <is>
          <t>សំណើផ្ញើភាគច្រើន ({{total}})</t>
        </is>
      </c>
      <c r="E205" s="217" t="inlineStr">
        <is>
          <t>ស្នើសុំប្រគល់១ផ្នែក  ({{total}})</t>
        </is>
      </c>
      <c r="F205" s="217" t="inlineStr">
        <is>
          <t>ស្នើសុំប្រគល់១ផ្នែក  ({{total}})</t>
        </is>
      </c>
      <c r="G205" s="217" t="inlineStr">
        <is>
          <t>ស្នើសុំប្រគល់១ផ្នែក ({{total}})</t>
        </is>
      </c>
      <c r="H205" s="217" t="inlineStr">
        <is>
          <t>部分派送请求 ({{total}})</t>
        </is>
      </c>
      <c r="J205" t="inlineStr">
        <is>
          <t>ស្នើសុំប្រគល់១ផ្នែក ({{total}})</t>
        </is>
      </c>
    </row>
    <row r="206">
      <c r="A206" s="217" t="inlineStr">
        <is>
          <t>manageOrders.partiallyShipped</t>
        </is>
      </c>
      <c r="B206" s="217" t="inlineStr">
        <is>
          <t>Giao thành công 1 phần ({{total}})</t>
        </is>
      </c>
      <c r="C206" s="217" t="inlineStr">
        <is>
          <t>Partially delivered successfully ({{total}})</t>
        </is>
      </c>
      <c r="D206" s="217" t="inlineStr">
        <is>
          <t>បានផ្ញែកផ្នែក ({{total}})</t>
        </is>
      </c>
      <c r="E206" s="217" t="inlineStr">
        <is>
          <t>ប្រគល់បានជោគជ័យ១ផ្នែក  ({{total}})</t>
        </is>
      </c>
      <c r="F206" s="217" t="inlineStr">
        <is>
          <t>ប្រគល់បានជោគជ័យ១ផ្នែក  ({{total}})</t>
        </is>
      </c>
      <c r="G206" s="217" t="inlineStr">
        <is>
          <t>ប្រគល់បានជោគជ័យ១ផ្នែក ({{total}})</t>
        </is>
      </c>
      <c r="H206" s="217" t="inlineStr">
        <is>
          <t>部分派送成功 ({{total}})</t>
        </is>
      </c>
      <c r="J206" t="inlineStr">
        <is>
          <t>ប្រគល់បានជោគជ័យ១ផ្នែក ({{total}})</t>
        </is>
      </c>
    </row>
    <row r="207">
      <c r="A207" s="217" t="inlineStr">
        <is>
          <t>manageOrders.disposal</t>
        </is>
      </c>
      <c r="B207" s="217" t="inlineStr">
        <is>
          <t>Đã tiêu huỷ ({{total}})</t>
        </is>
      </c>
      <c r="C207" s="217" t="inlineStr">
        <is>
          <t>Disposed ({{total}})</t>
        </is>
      </c>
      <c r="D207" s="217" t="inlineStr">
        <is>
          <t>បានបំផ្លាញ ({{total}})</t>
        </is>
      </c>
      <c r="E207" s="217" t="inlineStr">
        <is>
          <t>បានបំផ្លាញ  ({{total}})</t>
        </is>
      </c>
      <c r="F207" s="217" t="inlineStr">
        <is>
          <t>បានកម្ទិចចោល ({{total}})</t>
        </is>
      </c>
      <c r="G207" s="217" t="inlineStr">
        <is>
          <t>បានកម្ទិចចោល ({{total}})</t>
        </is>
      </c>
      <c r="H207" s="217" t="inlineStr">
        <is>
          <t>已处置 ({{total}})</t>
        </is>
      </c>
      <c r="J207" t="inlineStr">
        <is>
          <t>បានកម្ទិចចោល ({{total}})</t>
        </is>
      </c>
    </row>
    <row r="208">
      <c r="A208" s="217" t="inlineStr">
        <is>
          <t>manageOrders.returnConfirmed</t>
        </is>
      </c>
      <c r="B208" s="217" t="inlineStr">
        <is>
          <t>Đã duyệt hoàn ({{total}})</t>
        </is>
      </c>
      <c r="C208" s="217" t="inlineStr">
        <is>
          <t>Return approved ({{total}})</t>
        </is>
      </c>
      <c r="D208" s="217" t="inlineStr">
        <is>
          <t>បានអនុម័តការបង្ហួត ({{total}})</t>
        </is>
      </c>
      <c r="E208" s="217" t="inlineStr">
        <is>
          <t>បានអនុម័ត  ({{total}})</t>
        </is>
      </c>
      <c r="F208" s="217" t="inlineStr">
        <is>
          <t>បានយល់ព្រមការសងត្រលប់វិញ ({{total}})</t>
        </is>
      </c>
      <c r="G208" s="217" t="inlineStr">
        <is>
          <t>បានយល់ព្រមការសងត្រលប់វិញ ({{total}})</t>
        </is>
      </c>
      <c r="H208" s="217" t="inlineStr">
        <is>
          <t>({{total}})退货已批准</t>
        </is>
      </c>
      <c r="J208" t="inlineStr">
        <is>
          <t>បានយល់ព្រមការសងត្រលប់វិញ ({{total}})</t>
        </is>
      </c>
    </row>
    <row r="209">
      <c r="A209" s="217" t="inlineStr">
        <is>
          <t>manageOrders.returnAgain</t>
        </is>
      </c>
      <c r="B209" s="217" t="inlineStr">
        <is>
          <t>Hoãn trả hàng ({{total}})</t>
        </is>
      </c>
      <c r="C209" s="217" t="inlineStr">
        <is>
          <t>Return rescheduled ({{total}})</t>
        </is>
      </c>
      <c r="D209" s="217" t="inlineStr">
        <is>
          <t>ពន្យារត្រលប់ ({{total}})</t>
        </is>
      </c>
      <c r="E209" s="217" t="inlineStr">
        <is>
          <t>ពន្យាពេលត្រឡប់អីវ៉ាន់  ({{total}})</t>
        </is>
      </c>
      <c r="F209" s="217" t="inlineStr">
        <is>
          <t>ផ្អាក់ការសងឥវ៉ាន់ត្រលប់មកវិញ ({{total}})</t>
        </is>
      </c>
      <c r="G209" s="217" t="inlineStr">
        <is>
          <t>ផ្អាក់ការសងឥវ៉ាន់ត្រលប់មកវិញ ({{total}})</t>
        </is>
      </c>
      <c r="H209" s="217" t="inlineStr">
        <is>
          <t>({{total}})已重新安排退回</t>
        </is>
      </c>
      <c r="J209" t="inlineStr">
        <is>
          <t>ផ្អាក់ការសងឥវ៉ាន់ត្រលប់មកវិញ ({{total}})</t>
        </is>
      </c>
    </row>
    <row r="210">
      <c r="A210" s="217" t="inlineStr">
        <is>
          <t>manageOrders.returnSuccessful</t>
        </is>
      </c>
      <c r="B210" s="217" t="inlineStr">
        <is>
          <t>Đã trả hàng ({{total}})</t>
        </is>
      </c>
      <c r="C210" s="217" t="inlineStr">
        <is>
          <t>Returned successfully ({{total}})</t>
        </is>
      </c>
      <c r="D210" s="217" t="inlineStr">
        <is>
          <t>បានត្រលប់ដោយជោគជ័យ ({{total}})</t>
        </is>
      </c>
      <c r="E210" s="217" t="inlineStr">
        <is>
          <t>បានត្រឡប់អីវ៉ាន់ ({{total}})</t>
        </is>
      </c>
      <c r="F210" s="217" t="inlineStr">
        <is>
          <t>បានសងឥវ៉ាន់ត្រលប់មកវិញ ({{total}})</t>
        </is>
      </c>
      <c r="G210" s="217" t="inlineStr">
        <is>
          <t>បានសងឥវ៉ាន់ត្រលប់មកវិញ ({{total}})</t>
        </is>
      </c>
      <c r="H210" s="217" t="inlineStr">
        <is>
          <t>({{total}})退回成功</t>
        </is>
      </c>
      <c r="J210" t="inlineStr">
        <is>
          <t>បានសងឥវ៉ាន់ត្រលប់មកវិញ ({{total}})</t>
        </is>
      </c>
    </row>
    <row r="211">
      <c r="A211" s="217" t="inlineStr">
        <is>
          <t>manageOrders.returning</t>
        </is>
      </c>
      <c r="B211" s="217" t="inlineStr">
        <is>
          <t>Đang giao hoàn ({{total}})</t>
        </is>
      </c>
      <c r="C211" s="217" t="inlineStr">
        <is>
          <t>In return transit ({{total}})</t>
        </is>
      </c>
      <c r="D211" s="217" t="inlineStr">
        <is>
          <t>កំពុងផ្ញើត្រលប់ ({{total}})</t>
        </is>
      </c>
      <c r="E211" s="217" t="inlineStr">
        <is>
          <t>កំពុងប្រគល់ត្រឡប់ ({{total}})</t>
        </is>
      </c>
      <c r="F211" s="217" t="inlineStr">
        <is>
          <t>កំពុងប្រគល់ត្រលប់មកវិញ ({{total}})</t>
        </is>
      </c>
      <c r="G211" s="217" t="inlineStr">
        <is>
          <t>កំពុងប្រគល់ត្រលប់មកវិញ ({{total}})</t>
        </is>
      </c>
      <c r="H211" s="217" t="inlineStr">
        <is>
          <t>({{total}})退回运输中</t>
        </is>
      </c>
      <c r="J211" t="inlineStr">
        <is>
          <t>កំពុងប្រគល់ត្រលប់មកវិញ ({{total}})</t>
        </is>
      </c>
    </row>
    <row r="212">
      <c r="A212" s="217" t="inlineStr">
        <is>
          <t>manageOrders.shipperReturn</t>
        </is>
      </c>
      <c r="B212" s="217" t="inlineStr">
        <is>
          <t>Đang vận chuyển hoàn ({{total}})</t>
        </is>
      </c>
      <c r="C212" s="217" t="inlineStr">
        <is>
          <t>Being returned ({{total}})</t>
        </is>
      </c>
      <c r="D212" s="217" t="inlineStr">
        <is>
          <t>កំពុងដឹកត្រលប់ ({{total}})</t>
        </is>
      </c>
      <c r="E212" s="217" t="inlineStr">
        <is>
          <t>កំពុងដឹកជញ្ជូនត្រឡប់ ({{total}})</t>
        </is>
      </c>
      <c r="F212" s="217" t="inlineStr">
        <is>
          <t>កំពុងដឹកជញ្ជូនពីការប្រគល់ត្រលប់មកវិញ ({{total}})</t>
        </is>
      </c>
      <c r="G212" s="217" t="inlineStr">
        <is>
          <t>កំពុងដឹកជញ្ជូនពីការប្រគល់ត្រលប់មកវិញ ({{total}})</t>
        </is>
      </c>
      <c r="H212" s="217" t="inlineStr">
        <is>
          <t>({{total}})正在退回</t>
        </is>
      </c>
      <c r="J212" t="inlineStr">
        <is>
          <t>កំពុងដឹកជញ្ជូនពីការប្រគល់ត្រលប់មកវិញ ({{total}})</t>
        </is>
      </c>
    </row>
    <row r="213">
      <c r="A213" s="217" t="inlineStr">
        <is>
          <t>manageOrders.changeAddress</t>
        </is>
      </c>
      <c r="B213" s="217" t="inlineStr">
        <is>
          <t>Chuyển giao địa chỉ mới ({{total}})</t>
        </is>
      </c>
      <c r="C213" s="217" t="inlineStr">
        <is>
          <t>Address change ({{total}})</t>
        </is>
      </c>
      <c r="D213" s="217" t="inlineStr">
        <is>
          <t>ផ្លាស់ទីអាសយដ្ឋាន ({{total}})</t>
        </is>
      </c>
      <c r="E213" s="217" t="inlineStr">
        <is>
          <t>ផ្លាស់ប្តូរអាស័យដ្ឋានថ្មី ({{total}})</t>
        </is>
      </c>
      <c r="F213" s="217" t="inlineStr">
        <is>
          <t>ដឹកបញ្ជូនតាមអាសយដ្ឋានថ្មី ({{total}})</t>
        </is>
      </c>
      <c r="G213" s="217" t="inlineStr">
        <is>
          <t>ដឹកបញ្ជូនតាមអាសយដ្ឋានថ្មី ({{total}})</t>
        </is>
      </c>
      <c r="H213" s="217" t="inlineStr">
        <is>
          <t>地址变更 ({{total}})</t>
        </is>
      </c>
      <c r="J213" t="inlineStr">
        <is>
          <t>ដឹកបញ្ជូនតាមអាសយដ្ឋានថ្មី ({{total}})</t>
        </is>
      </c>
    </row>
    <row r="214">
      <c r="A214" s="217" t="inlineStr">
        <is>
          <t>manageOrders.codeBill</t>
        </is>
      </c>
      <c r="B214" s="217" t="inlineStr">
        <is>
          <t>Mã vận đơn</t>
        </is>
      </c>
      <c r="C214" s="217" t="inlineStr">
        <is>
          <t>Bill of lading code</t>
        </is>
      </c>
      <c r="D214" s="217" t="inlineStr">
        <is>
          <t>លេខដឹកជញ្ជូន</t>
        </is>
      </c>
      <c r="E214" s="217" t="inlineStr">
        <is>
          <t>លេខកូដដឹកជញ្ជូន</t>
        </is>
      </c>
      <c r="F214" s="217" t="inlineStr">
        <is>
          <t>លេខកូដបុងដឹកជញ្ជូន</t>
        </is>
      </c>
      <c r="G214" s="217" t="inlineStr">
        <is>
          <t>លេខកូដបុងបញ្ញើ</t>
        </is>
      </c>
      <c r="H214" s="217" t="inlineStr">
        <is>
          <t>运单号</t>
        </is>
      </c>
      <c r="J214" t="inlineStr">
        <is>
          <t>លេខកូដបុងបញ្ញើ</t>
        </is>
      </c>
    </row>
    <row r="215">
      <c r="A215" s="217" t="inlineStr">
        <is>
          <t>manageOrders.codeOrder</t>
        </is>
      </c>
      <c r="B215" s="217" t="inlineStr">
        <is>
          <t>Mã đơn hàng</t>
        </is>
      </c>
      <c r="C215" s="217" t="inlineStr">
        <is>
          <t>Order code</t>
        </is>
      </c>
      <c r="D215" s="217" t="inlineStr">
        <is>
          <t>លេខបញ្ជាទិញ</t>
        </is>
      </c>
      <c r="E215" s="217" t="inlineStr">
        <is>
          <t>លេខកូូដបុងបញ្ញើ</t>
        </is>
      </c>
      <c r="F215" s="217" t="inlineStr">
        <is>
          <t>លេខកូដបុងបញ្ញើ</t>
        </is>
      </c>
      <c r="G215" s="217" t="inlineStr">
        <is>
          <t>លេខកូដបុងបញ្ញើ</t>
        </is>
      </c>
      <c r="H215" s="217" t="inlineStr">
        <is>
          <t>订单编号</t>
        </is>
      </c>
      <c r="J215" t="inlineStr">
        <is>
          <t>លេខកូដបុងបញ្ញើ</t>
        </is>
      </c>
    </row>
    <row r="216">
      <c r="A216" s="217" t="inlineStr">
        <is>
          <t>manageOrders.sender</t>
        </is>
      </c>
      <c r="B216" s="217" t="inlineStr">
        <is>
          <t>Người gửi</t>
        </is>
      </c>
      <c r="C216" s="217" t="inlineStr">
        <is>
          <t>Sender</t>
        </is>
      </c>
      <c r="D216" s="217" t="inlineStr">
        <is>
          <t>អ្នកផ្ញើ</t>
        </is>
      </c>
      <c r="E216" s="217" t="inlineStr">
        <is>
          <t>អ្នកផ្ញើ</t>
        </is>
      </c>
      <c r="F216" s="217" t="inlineStr">
        <is>
          <t>អ្នកផ្ញើ</t>
        </is>
      </c>
      <c r="G216" s="217" t="inlineStr">
        <is>
          <t>អ្នកផ្ញើ</t>
        </is>
      </c>
      <c r="H216" s="217" t="inlineStr">
        <is>
          <t>寄件人</t>
        </is>
      </c>
      <c r="J216" t="inlineStr">
        <is>
          <t>អ្នកផ្ញើ</t>
        </is>
      </c>
    </row>
    <row r="217">
      <c r="A217" s="217" t="inlineStr">
        <is>
          <t>manageOrders.receiver</t>
        </is>
      </c>
      <c r="B217" s="217" t="inlineStr">
        <is>
          <t>Người nhận</t>
        </is>
      </c>
      <c r="C217" s="217" t="inlineStr">
        <is>
          <t>Receiver</t>
        </is>
      </c>
      <c r="D217" s="217" t="inlineStr">
        <is>
          <t>អ្នកទទួល</t>
        </is>
      </c>
      <c r="E217" s="217" t="inlineStr">
        <is>
          <t>អ្នកទទួល</t>
        </is>
      </c>
      <c r="F217" s="217" t="inlineStr">
        <is>
          <t>អ្នកទទួល</t>
        </is>
      </c>
      <c r="G217" s="217" t="inlineStr">
        <is>
          <t>អ្នកទទួល</t>
        </is>
      </c>
      <c r="H217" s="217" t="inlineStr">
        <is>
          <t>收件人</t>
        </is>
      </c>
      <c r="J217" t="inlineStr">
        <is>
          <t>អ្នកទទួល</t>
        </is>
      </c>
    </row>
    <row r="218">
      <c r="A218" s="217" t="inlineStr">
        <is>
          <t>manageOrders.goods</t>
        </is>
      </c>
      <c r="B218" s="217" t="inlineStr">
        <is>
          <t>Hàng hoá</t>
        </is>
      </c>
      <c r="C218" s="217" t="inlineStr">
        <is>
          <t>Goods</t>
        </is>
      </c>
      <c r="D218" s="217" t="inlineStr">
        <is>
          <t>ទំនិញ</t>
        </is>
      </c>
      <c r="E218" s="217" t="inlineStr">
        <is>
          <t>អីវ៉ាន់</t>
        </is>
      </c>
      <c r="F218" s="217" t="inlineStr">
        <is>
          <t>ទំនិញ</t>
        </is>
      </c>
      <c r="G218" s="217" t="inlineStr">
        <is>
          <t>ទំនិញ</t>
        </is>
      </c>
      <c r="H218" s="217" t="inlineStr">
        <is>
          <t>货物</t>
        </is>
      </c>
      <c r="J218" t="inlineStr">
        <is>
          <t>ទំនិញ</t>
        </is>
      </c>
    </row>
    <row r="219">
      <c r="A219" s="217" t="inlineStr">
        <is>
          <t>manageOrders.status</t>
        </is>
      </c>
      <c r="B219" s="217" t="inlineStr">
        <is>
          <t>Trạng thái</t>
        </is>
      </c>
      <c r="C219" s="217" t="inlineStr">
        <is>
          <t>Status</t>
        </is>
      </c>
      <c r="D219" s="217" t="inlineStr">
        <is>
          <t>ស្ថានភាព</t>
        </is>
      </c>
      <c r="E219" s="217" t="inlineStr">
        <is>
          <t>ស្ថានភាព</t>
        </is>
      </c>
      <c r="F219" s="217" t="inlineStr">
        <is>
          <t>ស្ថានភាព</t>
        </is>
      </c>
      <c r="G219" s="217" t="inlineStr">
        <is>
          <t>ស្ថានភាព</t>
        </is>
      </c>
      <c r="H219" s="217" t="inlineStr">
        <is>
          <t>状态</t>
        </is>
      </c>
      <c r="J219" t="inlineStr">
        <is>
          <t>ស្ថានភាព</t>
        </is>
      </c>
    </row>
    <row r="220">
      <c r="A220" s="217" t="inlineStr">
        <is>
          <t>manageOrders.dateOfEstablishment</t>
        </is>
      </c>
      <c r="B220" s="217" t="inlineStr">
        <is>
          <t>Ngày lập</t>
        </is>
      </c>
      <c r="C220" s="217" t="inlineStr">
        <is>
          <t>Creation date</t>
        </is>
      </c>
      <c r="D220" s="217" t="inlineStr">
        <is>
          <t>ថ្ងៃបង្កើត</t>
        </is>
      </c>
      <c r="E220" s="217" t="inlineStr">
        <is>
          <t>ថ្ងៃបង្កើត</t>
        </is>
      </c>
      <c r="F220" s="217" t="inlineStr">
        <is>
          <t>ថ្ងៃបង្កើត</t>
        </is>
      </c>
      <c r="G220" s="217" t="inlineStr">
        <is>
          <t>ថ្ងៃបង្កើត</t>
        </is>
      </c>
      <c r="H220" s="217" t="inlineStr">
        <is>
          <t>创建日期</t>
        </is>
      </c>
      <c r="J220" t="inlineStr">
        <is>
          <t>ថ្ងៃបង្កើត</t>
        </is>
      </c>
    </row>
    <row r="221">
      <c r="A221" s="217" t="inlineStr">
        <is>
          <t>manageOrders.collect</t>
        </is>
      </c>
      <c r="B221" s="217" t="inlineStr">
        <is>
          <t>Thu hộ ({{CURRENCY}})</t>
        </is>
      </c>
      <c r="C221" s="217" t="inlineStr">
        <is>
          <t>Collection ({{CURRENCY}})</t>
        </is>
      </c>
      <c r="D221" s="217" t="inlineStr">
        <is>
          <t>បូក ({{CURRENCY}})</t>
        </is>
      </c>
      <c r="E221" s="217" t="inlineStr">
        <is>
          <t>ប្រមូលជំនួស</t>
        </is>
      </c>
      <c r="F221" s="217" t="inlineStr">
        <is>
          <t>ការប្រមូលជំនួស​ ({{CURRENCY}})</t>
        </is>
      </c>
      <c r="G221" s="217" t="inlineStr">
        <is>
          <t>ការប្រមូលជំនួស ({{CURRENCY}})</t>
        </is>
      </c>
      <c r="H221" s="217" t="inlineStr">
        <is>
          <t>代收金额 ({{CURRENCY}})</t>
        </is>
      </c>
      <c r="J221" t="inlineStr">
        <is>
          <t>ការប្រមូលជំនួស ({{CURRENCY}})</t>
        </is>
      </c>
    </row>
    <row r="222">
      <c r="A222" s="217" t="inlineStr">
        <is>
          <t>manageOrders.totalFare</t>
        </is>
      </c>
      <c r="B222" s="217" t="inlineStr">
        <is>
          <t>Tổng cước ({{CURRENCY}})</t>
        </is>
      </c>
      <c r="C222" s="217" t="inlineStr">
        <is>
          <t>Total fee ({{CURRENCY}})</t>
        </is>
      </c>
      <c r="D222" s="217" t="inlineStr">
        <is>
          <t>សរុបគិតតម្លៃ ({{CURRENCY}})</t>
        </is>
      </c>
      <c r="E222" s="217" t="inlineStr">
        <is>
          <t>សរុបថ្លៃសេវា</t>
        </is>
      </c>
      <c r="F222" s="217" t="inlineStr">
        <is>
          <t>សរុបថ្លៃសេវា ({{CURRENCY}})</t>
        </is>
      </c>
      <c r="G222" s="217" t="inlineStr">
        <is>
          <t>សរុបថ្លៃសេវា ({{CURRENCY}})</t>
        </is>
      </c>
      <c r="H222" s="217" t="inlineStr">
        <is>
          <t>总费用 ({{CURRENCY}})</t>
        </is>
      </c>
      <c r="J222" t="inlineStr">
        <is>
          <t>សរុបថ្លៃសេវា ({{CURRENCY}})</t>
        </is>
      </c>
    </row>
    <row r="223">
      <c r="A223" s="217" t="inlineStr">
        <is>
          <t>manageOrders.printornot</t>
        </is>
      </c>
      <c r="B223" s="217" t="inlineStr">
        <is>
          <t>In/Chưa in</t>
        </is>
      </c>
      <c r="C223" s="217" t="inlineStr">
        <is>
          <t>Printed/Not printed</t>
        </is>
      </c>
      <c r="D223" s="217" t="inlineStr">
        <is>
          <t>បានបោះពុម្ព/មិនបាន</t>
        </is>
      </c>
      <c r="E223" s="217" t="inlineStr">
        <is>
          <t>ព្រីន/មិនទាន់ព្រីន</t>
        </is>
      </c>
      <c r="F223" s="217" t="inlineStr">
        <is>
          <t>ព្រីន/មិនទាន់ព្រីន</t>
        </is>
      </c>
      <c r="G223" s="217" t="inlineStr">
        <is>
          <t>ព្រីន/មិនទាន់ព្រីន</t>
        </is>
      </c>
      <c r="H223" s="217" t="inlineStr">
        <is>
          <t>已打印/未打印</t>
        </is>
      </c>
      <c r="J223" t="inlineStr">
        <is>
          <t>ព្រីន/មិនទាន់ព្រីន</t>
        </is>
      </c>
    </row>
    <row r="224">
      <c r="A224" s="217" t="inlineStr">
        <is>
          <t>manageOrders.chatWithCskh</t>
        </is>
      </c>
      <c r="B224" s="217" t="inlineStr">
        <is>
          <t>Chat với CSKH</t>
        </is>
      </c>
      <c r="C224" s="217" t="inlineStr">
        <is>
          <t>Chat with customer service</t>
        </is>
      </c>
      <c r="D224" s="217" t="inlineStr">
        <is>
          <t>ជជែកជាមួយមជ្ឈមណ្ឌលគាំទ្រ</t>
        </is>
      </c>
      <c r="E224" s="217" t="inlineStr">
        <is>
          <t>ផ្ញើសារជាមួយបុគ្គលិកថែទាំអតិថិជន</t>
        </is>
      </c>
      <c r="F224" s="217" t="inlineStr">
        <is>
          <t>ជជែកជាមួយបុគ្គលិកផ្នែកថែទាំអតិថិជន</t>
        </is>
      </c>
      <c r="G224" s="217" t="inlineStr">
        <is>
          <t>ជជែកជាមួយបុគ្គលិកផ្នែកថែទាំអតិថិជន</t>
        </is>
      </c>
      <c r="H224" s="217" t="inlineStr">
        <is>
          <t>联系客服</t>
        </is>
      </c>
      <c r="J224" t="inlineStr">
        <is>
          <t>ជជែកជាមួយបុគ្គលិកផ្នែកថែទាំអតិថិជន</t>
        </is>
      </c>
    </row>
    <row r="225">
      <c r="A225" s="217" t="inlineStr">
        <is>
          <t>manageOrders.cancelOrder</t>
        </is>
      </c>
      <c r="B225" s="217" t="inlineStr">
        <is>
          <t>Huỷ đơn</t>
        </is>
      </c>
      <c r="C225" s="217" t="inlineStr">
        <is>
          <t>Cancel order</t>
        </is>
      </c>
      <c r="D225" s="217" t="inlineStr">
        <is>
          <t>លុបបញ្ជាទិញ</t>
        </is>
      </c>
      <c r="E225" s="217" t="inlineStr">
        <is>
          <t>លុបបុងបញ្ញើ</t>
        </is>
      </c>
      <c r="F225" s="217" t="inlineStr">
        <is>
          <t>លុបបុងបញ្ញើ</t>
        </is>
      </c>
      <c r="G225" s="217" t="inlineStr">
        <is>
          <t>លុបបុងបញ្ញើ</t>
        </is>
      </c>
      <c r="H225" s="217" t="inlineStr">
        <is>
          <t>取消订单</t>
        </is>
      </c>
      <c r="J225" t="inlineStr">
        <is>
          <t>លុបបុងបញ្ញើ</t>
        </is>
      </c>
    </row>
    <row r="226">
      <c r="A226" s="217" t="inlineStr">
        <is>
          <t>manageOrders.changeStatus</t>
        </is>
      </c>
      <c r="B226" s="217" t="inlineStr">
        <is>
          <t>Chuyển trạng thái in</t>
        </is>
      </c>
      <c r="C226" s="217" t="inlineStr">
        <is>
          <t>Change print status</t>
        </is>
      </c>
      <c r="D226" s="217" t="inlineStr">
        <is>
          <t>ផ្លាស់ស្ថានភាពបោះពុម្ព</t>
        </is>
      </c>
      <c r="E226" s="217" t="inlineStr">
        <is>
          <t>ផ្លាស់ប្តូរស្ថានភាពព្រីន</t>
        </is>
      </c>
      <c r="F226" s="217" t="inlineStr">
        <is>
          <t>ផ្លាស់ប្តូរស្ថានភាពព្រីន</t>
        </is>
      </c>
      <c r="G226" s="217" t="inlineStr">
        <is>
          <t>ផ្លាស់ប្តូរស្ថានភាពព្រីន</t>
        </is>
      </c>
      <c r="H226" s="217" t="inlineStr">
        <is>
          <t>更改打印状态</t>
        </is>
      </c>
      <c r="J226" t="inlineStr">
        <is>
          <t>ផ្លាស់ប្តូរស្ថានភាពព្រីន</t>
        </is>
      </c>
    </row>
    <row r="227">
      <c r="A227" s="217" t="inlineStr">
        <is>
          <t>manageOrders.printOrder</t>
        </is>
      </c>
      <c r="B227" s="217" t="inlineStr">
        <is>
          <t>In đơn</t>
        </is>
      </c>
      <c r="C227" s="217" t="inlineStr">
        <is>
          <t>Print order</t>
        </is>
      </c>
      <c r="D227" s="217" t="inlineStr">
        <is>
          <t>បោះពុម្ពបញ្ជាទិញ</t>
        </is>
      </c>
      <c r="E227" s="217" t="inlineStr">
        <is>
          <t>ព្រីនបុងបញ្ញើ</t>
        </is>
      </c>
      <c r="F227" s="217" t="inlineStr">
        <is>
          <t>ព្រីនបុងបញ្ញើ</t>
        </is>
      </c>
      <c r="G227" s="217" t="inlineStr">
        <is>
          <t>ព្រីនបុងបញ្ញើ</t>
        </is>
      </c>
      <c r="H227" s="217" t="inlineStr">
        <is>
          <t>打印订单</t>
        </is>
      </c>
      <c r="J227" t="inlineStr">
        <is>
          <t>ព្រីនបុងបញ្ញើ</t>
        </is>
      </c>
    </row>
    <row r="228">
      <c r="A228" s="217" t="inlineStr">
        <is>
          <t>manageOrders.infoPostman</t>
        </is>
      </c>
      <c r="B228" s="217" t="inlineStr">
        <is>
          <t>Thông tin bưu tá</t>
        </is>
      </c>
      <c r="C228" s="217" t="inlineStr">
        <is>
          <t>Postman information</t>
        </is>
      </c>
      <c r="D228" s="217" t="inlineStr">
        <is>
          <t>ព័ត៌មានបុរសដឹក</t>
        </is>
      </c>
      <c r="E228" s="217" t="inlineStr">
        <is>
          <t>ព័ត៌មានអ្នកដឹកជញ្ជូន</t>
        </is>
      </c>
      <c r="F228" s="217" t="inlineStr">
        <is>
          <t>ព័ត៌មានបុគ្គលិកដឹកជញ្ជូន</t>
        </is>
      </c>
      <c r="G228" s="217" t="inlineStr">
        <is>
          <t>ព័ត៌មានបុគ្គលិកដឹកជញ្ជូន</t>
        </is>
      </c>
      <c r="H228" s="217" t="inlineStr">
        <is>
          <t>快递员信息</t>
        </is>
      </c>
      <c r="J228" t="inlineStr">
        <is>
          <t>ព័ត៌មានបុគ្គលិកដឹកជញ្ជូន</t>
        </is>
      </c>
    </row>
    <row r="229">
      <c r="A229" s="217" t="inlineStr">
        <is>
          <t>manageOrders.saveTemplate</t>
        </is>
      </c>
      <c r="B229" s="217" t="inlineStr">
        <is>
          <t>Lưu mẫu</t>
        </is>
      </c>
      <c r="C229" s="217" t="inlineStr">
        <is>
          <t>Save template</t>
        </is>
      </c>
      <c r="D229" s="217" t="inlineStr">
        <is>
          <t>រក្សាទុកគំរូ</t>
        </is>
      </c>
      <c r="E229" s="217" t="inlineStr">
        <is>
          <t>រក្សាទុកគម្រូ</t>
        </is>
      </c>
      <c r="F229" s="217" t="inlineStr">
        <is>
          <t>រក្សាទុកគំរូ</t>
        </is>
      </c>
      <c r="G229" s="217" t="inlineStr">
        <is>
          <t>រក្សាទុកគំរូ</t>
        </is>
      </c>
      <c r="H229" s="217" t="inlineStr">
        <is>
          <t>保存模板</t>
        </is>
      </c>
      <c r="J229" t="inlineStr">
        <is>
          <t>រក្សាទុកគំរូ</t>
        </is>
      </c>
    </row>
    <row r="230">
      <c r="A230" s="217" t="inlineStr">
        <is>
          <t>manageOrders.copyBill</t>
        </is>
      </c>
      <c r="B230" s="217" t="inlineStr">
        <is>
          <t>Copy đơn</t>
        </is>
      </c>
      <c r="C230" s="217" t="inlineStr">
        <is>
          <t>Copy order</t>
        </is>
      </c>
      <c r="D230" s="217" t="inlineStr">
        <is>
          <t>ចម្លងបញ្ជា</t>
        </is>
      </c>
      <c r="E230" s="217" t="inlineStr">
        <is>
          <t>copy បុងបញ្ញើ</t>
        </is>
      </c>
      <c r="F230" s="217" t="inlineStr">
        <is>
          <t>ចម្លងបុងបញ្ញើ</t>
        </is>
      </c>
      <c r="G230" s="217" t="inlineStr">
        <is>
          <t>ចម្លងបុងបញ្ញើ</t>
        </is>
      </c>
      <c r="H230" s="217" t="inlineStr">
        <is>
          <t>复制订单</t>
        </is>
      </c>
      <c r="J230" t="inlineStr">
        <is>
          <t>ចម្លងបុងបញ្ញើ</t>
        </is>
      </c>
    </row>
    <row r="231">
      <c r="A231" s="217" t="inlineStr">
        <is>
          <t>manageOrders.partDelivery</t>
        </is>
      </c>
      <c r="B231" s="217" t="inlineStr">
        <is>
          <t>Giao 1 phần</t>
        </is>
      </c>
      <c r="C231" s="217" t="inlineStr">
        <is>
          <t>Partial delivery</t>
        </is>
      </c>
      <c r="D231" s="217" t="inlineStr">
        <is>
          <t>ផ្ញើមួយផ្នែក</t>
        </is>
      </c>
      <c r="E231" s="217" t="inlineStr">
        <is>
          <t>ប្រគល់១ផ្នែក</t>
        </is>
      </c>
      <c r="F231" s="217" t="inlineStr">
        <is>
          <t>ប្រគល់១ផ្នែក</t>
        </is>
      </c>
      <c r="G231" s="217" t="inlineStr">
        <is>
          <t>ប្រគល់១ផ្នែក</t>
        </is>
      </c>
      <c r="H231" s="217" t="inlineStr">
        <is>
          <t>部分派送</t>
        </is>
      </c>
      <c r="J231" t="inlineStr">
        <is>
          <t>ប្រគល់១ផ្នែក</t>
        </is>
      </c>
    </row>
    <row r="232">
      <c r="A232" s="217" t="inlineStr">
        <is>
          <t>manageOrders.storage</t>
        </is>
      </c>
      <c r="B232" s="217" t="inlineStr">
        <is>
          <t>Lưu kho</t>
        </is>
      </c>
      <c r="C232" s="217" t="inlineStr">
        <is>
          <t>In storage</t>
        </is>
      </c>
      <c r="D232" s="217" t="inlineStr">
        <is>
          <t>ផ្ទុកក្នុងឃ្លាំង</t>
        </is>
      </c>
      <c r="E232" s="217" t="inlineStr">
        <is>
          <t>រក្សាទុុកក្នុងឃ្លាំង</t>
        </is>
      </c>
      <c r="F232" s="217" t="inlineStr">
        <is>
          <t>រក្សាទុកក្នុងឃ្លាំង</t>
        </is>
      </c>
      <c r="G232" s="217" t="inlineStr">
        <is>
          <t>រក្សាទុកក្នុងឃ្លាំង</t>
        </is>
      </c>
      <c r="H232" s="217" t="inlineStr">
        <is>
          <t>已入库</t>
        </is>
      </c>
      <c r="J232" t="inlineStr">
        <is>
          <t>រក្សាទុកក្នុងឃ្លាំង</t>
        </is>
      </c>
    </row>
    <row r="233">
      <c r="A233" s="217" t="inlineStr">
        <is>
          <t>manageOrders.RECEIVING</t>
        </is>
      </c>
      <c r="B233" s="217" t="inlineStr">
        <is>
          <t>Đang lấy hàng</t>
        </is>
      </c>
      <c r="C233" s="217" t="inlineStr">
        <is>
          <t>Picking up</t>
        </is>
      </c>
      <c r="D233" s="217" t="inlineStr">
        <is>
          <t>កំពុងយកសារ</t>
        </is>
      </c>
      <c r="E233" s="217" t="inlineStr">
        <is>
          <t>កំពុងយកអីវ៉ាន់</t>
        </is>
      </c>
      <c r="F233" s="217" t="inlineStr">
        <is>
          <t>កំពុងយកឥវ៉ាន់</t>
        </is>
      </c>
      <c r="G233" s="217" t="inlineStr">
        <is>
          <t>កំពុងទៅយកអីវ៉ាន់</t>
        </is>
      </c>
      <c r="H233" s="217" t="inlineStr">
        <is>
          <t>揽收中</t>
        </is>
      </c>
      <c r="J233" t="inlineStr">
        <is>
          <t>កំពុងទៅយកអីវ៉ាន់</t>
        </is>
      </c>
    </row>
    <row r="234">
      <c r="A234" s="217" t="inlineStr">
        <is>
          <t>manageOrders.RECEIVED</t>
        </is>
      </c>
      <c r="B234" s="217" t="inlineStr">
        <is>
          <t>Đã lấy hàng</t>
        </is>
      </c>
      <c r="C234" s="217" t="inlineStr">
        <is>
          <t>Picked up</t>
        </is>
      </c>
      <c r="D234" s="217" t="inlineStr">
        <is>
          <t>បានយក</t>
        </is>
      </c>
      <c r="E234" s="217" t="inlineStr">
        <is>
          <t>បានយកអីវ៉ាន់</t>
        </is>
      </c>
      <c r="F234" s="217" t="inlineStr">
        <is>
          <t>កំពុងយកឥវ៉ាន់</t>
        </is>
      </c>
      <c r="G234" s="217" t="inlineStr">
        <is>
          <t>បានយកអីវ៉ាន់រួចរាល់</t>
        </is>
      </c>
      <c r="H234" s="217" t="inlineStr">
        <is>
          <t>已揽收</t>
        </is>
      </c>
      <c r="J234" t="inlineStr">
        <is>
          <t>បានយកអីវ៉ាន់រួចរាល់</t>
        </is>
      </c>
    </row>
    <row r="235">
      <c r="A235" s="217" t="inlineStr">
        <is>
          <t>manageOrders.TRANSITING</t>
        </is>
      </c>
      <c r="B235" s="217" t="inlineStr">
        <is>
          <t>Đang vận chuyển giao</t>
        </is>
      </c>
      <c r="C235" s="217" t="inlineStr">
        <is>
          <t>In transit for delivery</t>
        </is>
      </c>
      <c r="D235" s="217" t="inlineStr">
        <is>
          <t>កំពុងដឹកជញ្ជូន</t>
        </is>
      </c>
      <c r="E235" s="217" t="inlineStr">
        <is>
          <t>កំពុុងដឹកជញ្ជូនប្រគល់អីវ៉ាន់</t>
        </is>
      </c>
      <c r="F235" s="217" t="inlineStr">
        <is>
          <t>កំពុងដឹកជញ្ជូនប្រគល់អីវ៉ាន់</t>
        </is>
      </c>
      <c r="G235" s="217" t="inlineStr">
        <is>
          <t>កំពុងដឹកជញ្ជូនចែកចាយ</t>
        </is>
      </c>
      <c r="H235" s="217" t="inlineStr">
        <is>
          <t>派送途中</t>
        </is>
      </c>
      <c r="J235" t="inlineStr">
        <is>
          <t>កំពុងដឹកជញ្ជូនចែកចាយ</t>
        </is>
      </c>
    </row>
    <row r="236">
      <c r="A236" s="217" t="inlineStr">
        <is>
          <t>manageOrders.SHIPPING</t>
        </is>
      </c>
      <c r="B236" s="217" t="inlineStr">
        <is>
          <t>Đang giao hàng</t>
        </is>
      </c>
      <c r="C236" s="217" t="inlineStr">
        <is>
          <t>Shipping</t>
        </is>
      </c>
      <c r="D236" s="217" t="inlineStr">
        <is>
          <t>កំពុងផ្ញើ</t>
        </is>
      </c>
      <c r="E236" s="217" t="inlineStr">
        <is>
          <t>កំពុងប្រគល់អីវ៉ាន់</t>
        </is>
      </c>
      <c r="F236" s="217" t="inlineStr">
        <is>
          <t>កំពុងប្រគល់ឥវ៉ាន់</t>
        </is>
      </c>
      <c r="G236" s="217" t="inlineStr">
        <is>
          <t>កំពុងដឹកចែកអីវ៉ាន់</t>
        </is>
      </c>
      <c r="H236" s="217" t="inlineStr">
        <is>
          <t>运输中</t>
        </is>
      </c>
      <c r="J236" t="inlineStr">
        <is>
          <t>កំពុងដឹកចែកអីវ៉ាន់</t>
        </is>
      </c>
    </row>
    <row r="237">
      <c r="A237" s="217" t="inlineStr">
        <is>
          <t>manageOrders.SHIPPED</t>
        </is>
      </c>
      <c r="B237" s="217" t="inlineStr">
        <is>
          <t>Giao thành công</t>
        </is>
      </c>
      <c r="C237" s="217" t="inlineStr">
        <is>
          <t>Delivered successfully</t>
        </is>
      </c>
      <c r="D237" s="217" t="inlineStr">
        <is>
          <t>ផ្ញើដោយជោគជ័យ</t>
        </is>
      </c>
      <c r="E237" s="217" t="inlineStr">
        <is>
          <t>ប្រគល់បានជោគជ័យ</t>
        </is>
      </c>
      <c r="F237" s="217" t="inlineStr">
        <is>
          <t>ប្រគល់បានជោគជ័យ</t>
        </is>
      </c>
      <c r="G237" s="217" t="inlineStr">
        <is>
          <t>ដឹកជញ្ជូនជោគជ័យ</t>
        </is>
      </c>
      <c r="H237" s="217" t="inlineStr">
        <is>
          <t>派送成功</t>
        </is>
      </c>
      <c r="J237" t="inlineStr">
        <is>
          <t>ដឹកជញ្ជូនជោគជ័យ</t>
        </is>
      </c>
    </row>
    <row r="238">
      <c r="A238" s="217" t="inlineStr">
        <is>
          <t>manageOrders.RETURN_REQUEST</t>
        </is>
      </c>
      <c r="B238" s="217" t="inlineStr">
        <is>
          <t>Thông báo chuyển hoàn</t>
        </is>
      </c>
      <c r="C238" s="217" t="inlineStr">
        <is>
          <t>Return request</t>
        </is>
      </c>
      <c r="D238" s="217" t="inlineStr">
        <is>
          <t>សំណើត្រលប់</t>
        </is>
      </c>
      <c r="E238" s="217" t="inlineStr">
        <is>
          <t>ការជូនដំណឹងពីការត្រឡប់</t>
        </is>
      </c>
      <c r="F238" s="217" t="inlineStr">
        <is>
          <t>ការជូនដំណឹងពីការសងត្រលប់មកវិញ</t>
        </is>
      </c>
      <c r="G238" s="217" t="inlineStr">
        <is>
          <t>ជូនដំណឹងអំពីការប្រគល់ត្រឡប់</t>
        </is>
      </c>
      <c r="H238" s="217" t="inlineStr">
        <is>
          <t>退货请求</t>
        </is>
      </c>
      <c r="J238" t="inlineStr">
        <is>
          <t>ជូនដំណឹងអំពីការប្រគល់ត្រឡប់</t>
        </is>
      </c>
    </row>
    <row r="239">
      <c r="A239" s="217" t="inlineStr">
        <is>
          <t>manageOrders.NEW</t>
        </is>
      </c>
      <c r="B239" s="217" t="inlineStr">
        <is>
          <t>Tạo mới</t>
        </is>
      </c>
      <c r="C239" s="217" t="inlineStr">
        <is>
          <t>New</t>
        </is>
      </c>
      <c r="D239" s="217" t="inlineStr">
        <is>
          <t>បង្កើតថ្មី</t>
        </is>
      </c>
      <c r="E239" s="217" t="inlineStr">
        <is>
          <t>បង្កើតថ្មី</t>
        </is>
      </c>
      <c r="F239" s="217" t="inlineStr">
        <is>
          <t>បង្កើតថ្មី</t>
        </is>
      </c>
      <c r="G239" s="217" t="inlineStr">
        <is>
          <t>បង្កើតថ្មី</t>
        </is>
      </c>
      <c r="H239" s="217" t="inlineStr">
        <is>
          <t>新订单</t>
        </is>
      </c>
      <c r="J239" t="inlineStr">
        <is>
          <t>បង្កើតថ្មី</t>
        </is>
      </c>
    </row>
    <row r="240">
      <c r="A240" s="217" t="inlineStr">
        <is>
          <t>manageOrders.CONFIRMED</t>
        </is>
      </c>
      <c r="B240" s="217" t="inlineStr">
        <is>
          <t>Chưa tiếp nhận</t>
        </is>
      </c>
      <c r="C240" s="217" t="inlineStr">
        <is>
          <t>Not received</t>
        </is>
      </c>
      <c r="D240" s="217" t="inlineStr">
        <is>
          <t>មិនទាន់ទទួល</t>
        </is>
      </c>
      <c r="E240" s="217" t="inlineStr">
        <is>
          <t>មិនទាន់បានទទួល</t>
        </is>
      </c>
      <c r="F240" s="217" t="inlineStr">
        <is>
          <t>មិនទាន់បានទទួល</t>
        </is>
      </c>
      <c r="G240" s="217" t="inlineStr">
        <is>
          <t>មិនទាន់ទទួល</t>
        </is>
      </c>
      <c r="H240" s="217" t="inlineStr">
        <is>
          <t>未收到货</t>
        </is>
      </c>
      <c r="J240" t="inlineStr">
        <is>
          <t>មិនទាន់ទទួល</t>
        </is>
      </c>
    </row>
    <row r="241">
      <c r="A241" s="217" t="inlineStr">
        <is>
          <t>manageOrders.WAITING_TO_RECEIVE</t>
        </is>
      </c>
      <c r="B241" s="217" t="inlineStr">
        <is>
          <t>Đã tiếp nhận</t>
        </is>
      </c>
      <c r="C241" s="217" t="inlineStr">
        <is>
          <t>Received</t>
        </is>
      </c>
      <c r="D241" s="217" t="inlineStr">
        <is>
          <t>បានទទួល</t>
        </is>
      </c>
      <c r="E241" s="217" t="inlineStr">
        <is>
          <t>បានទទួល</t>
        </is>
      </c>
      <c r="F241" s="217" t="inlineStr">
        <is>
          <t>បានទទួល</t>
        </is>
      </c>
      <c r="G241" s="217" t="inlineStr">
        <is>
          <t>បានទទួល</t>
        </is>
      </c>
      <c r="H241" s="217" t="inlineStr">
        <is>
          <t>已收货</t>
        </is>
      </c>
      <c r="J241" t="inlineStr">
        <is>
          <t>បានទទួល</t>
        </is>
      </c>
    </row>
    <row r="242">
      <c r="A242" s="217" t="inlineStr">
        <is>
          <t>manageOrders.CANCELLED</t>
        </is>
      </c>
      <c r="B242" s="217" t="inlineStr">
        <is>
          <t>Hủy lấy</t>
        </is>
      </c>
      <c r="C242" s="217" t="inlineStr">
        <is>
          <t>Pickup cancelled</t>
        </is>
      </c>
      <c r="D242" s="217" t="inlineStr">
        <is>
          <t>បានលុប</t>
        </is>
      </c>
      <c r="E242" s="217" t="inlineStr">
        <is>
          <t>បោះបង់ការយកអីវ៉ាន់</t>
        </is>
      </c>
      <c r="F242" s="217" t="inlineStr">
        <is>
          <t>បោះបង់ការទទួលយកឥវ៉ាន់</t>
        </is>
      </c>
      <c r="G242" s="217" t="inlineStr">
        <is>
          <t>បោះបង់ការទទួលយកឥវ៉ាន់</t>
        </is>
      </c>
      <c r="H242" s="217" t="inlineStr">
        <is>
          <t>取件已取消</t>
        </is>
      </c>
      <c r="J242" t="inlineStr">
        <is>
          <t>បោះបង់ការទទួលយកឥវ៉ាន់</t>
        </is>
      </c>
    </row>
    <row r="243">
      <c r="A243" s="217" t="inlineStr">
        <is>
          <t>manageOrders.RECEIVE_AGAIN</t>
        </is>
      </c>
      <c r="B243" s="217" t="inlineStr">
        <is>
          <t>Hẹn lấy lại</t>
        </is>
      </c>
      <c r="C243" s="217" t="inlineStr">
        <is>
          <t>Re-pickup scheduled</t>
        </is>
      </c>
      <c r="D243" s="217" t="inlineStr">
        <is>
          <t>កំណត់យកម្តងទៀត</t>
        </is>
      </c>
      <c r="E243" s="217" t="inlineStr">
        <is>
          <t>ណាត់យកម្តងទៀត</t>
        </is>
      </c>
      <c r="F243" s="217" t="inlineStr">
        <is>
          <t>ណាត់យកម្តងទៀត</t>
        </is>
      </c>
      <c r="G243" s="217" t="inlineStr">
        <is>
          <t>ណាត់ពេលទៅយកម្តងទៀត</t>
        </is>
      </c>
      <c r="H243" s="217" t="inlineStr">
        <is>
          <t>已安排重新取件</t>
        </is>
      </c>
      <c r="J243" t="inlineStr">
        <is>
          <t>ណាត់ពេលទៅយកម្តងទៀត</t>
        </is>
      </c>
    </row>
    <row r="244">
      <c r="A244" s="217" t="inlineStr">
        <is>
          <t>manageOrders.RECEIVE_FAILED</t>
        </is>
      </c>
      <c r="B244" s="217" t="inlineStr">
        <is>
          <t>Không lấy được hàng</t>
        </is>
      </c>
      <c r="C244" s="217" t="inlineStr">
        <is>
          <t>Pickup failed</t>
        </is>
      </c>
      <c r="D244" s="217" t="inlineStr">
        <is>
          <t>យកមិនបាន</t>
        </is>
      </c>
      <c r="E244" s="217" t="inlineStr">
        <is>
          <t>មិនអាចយកអីវ៉ាន់បាន</t>
        </is>
      </c>
      <c r="F244" s="217" t="inlineStr">
        <is>
          <t>យកមិនបានឥវ៉ាន់</t>
        </is>
      </c>
      <c r="G244" s="217" t="inlineStr">
        <is>
          <t>យកអីវ៉ាន់មិនបានសម្រេច</t>
        </is>
      </c>
      <c r="H244" s="217" t="inlineStr">
        <is>
          <t>取件失败</t>
        </is>
      </c>
      <c r="J244" t="inlineStr">
        <is>
          <t>យកអីវ៉ាន់មិនបានសម្រេច</t>
        </is>
      </c>
    </row>
    <row r="245">
      <c r="A245" s="217" t="inlineStr">
        <is>
          <t>manageOrders.SHIP_AGAIN</t>
        </is>
      </c>
      <c r="B245" s="217" t="inlineStr">
        <is>
          <t>Hẹn giao lại</t>
        </is>
      </c>
      <c r="C245" s="217" t="inlineStr">
        <is>
          <t>Re-delivery scheduled</t>
        </is>
      </c>
      <c r="D245" s="217" t="inlineStr">
        <is>
          <t>កំណត់ផ្ញើម្តងទៀត</t>
        </is>
      </c>
      <c r="E245" s="217" t="inlineStr">
        <is>
          <t>ណាត់ប្រគល់ម្តងទៀត</t>
        </is>
      </c>
      <c r="F245" s="217" t="inlineStr">
        <is>
          <t>ណាត់ប្រគល់ម្តងទៀត</t>
        </is>
      </c>
      <c r="G245" s="217" t="inlineStr">
        <is>
          <t>ណាត់ពេលដឹកជញ្ជូនម្តងទៀត</t>
        </is>
      </c>
      <c r="H245" s="217" t="inlineStr">
        <is>
          <t>已安排再次派送</t>
        </is>
      </c>
      <c r="J245" t="inlineStr">
        <is>
          <t>ណាត់ពេលដឹកជញ្ជូនម្តងទៀត</t>
        </is>
      </c>
    </row>
    <row r="246">
      <c r="A246" s="217" t="inlineStr">
        <is>
          <t>manageOrders.SHIP_FAILED</t>
        </is>
      </c>
      <c r="B246" s="217" t="inlineStr">
        <is>
          <t>Không giao được hàng</t>
        </is>
      </c>
      <c r="C246" s="217" t="inlineStr">
        <is>
          <t>Delivery failed</t>
        </is>
      </c>
      <c r="D246" s="217" t="inlineStr">
        <is>
          <t>ផ្ញើមិនបាន</t>
        </is>
      </c>
      <c r="E246" s="217" t="inlineStr">
        <is>
          <t>មិនអាចប្រគល់អីវ៉ាន់បាន</t>
        </is>
      </c>
      <c r="F246" s="217" t="inlineStr">
        <is>
          <t>មិនអាចប្រគល់ឥវ៉ាន់បានទេ</t>
        </is>
      </c>
      <c r="G246" s="217" t="inlineStr">
        <is>
          <t>ដឹកជញ្ជូនមិនបានសម្រេច</t>
        </is>
      </c>
      <c r="H246" s="217" t="inlineStr">
        <is>
          <t>派送失败</t>
        </is>
      </c>
      <c r="J246" t="inlineStr">
        <is>
          <t>ដឹកជញ្ជូនមិនបានសម្រេច</t>
        </is>
      </c>
    </row>
    <row r="247">
      <c r="A247" s="217" t="inlineStr">
        <is>
          <t>manageOrders.PARTIAL_SHIP_REQUEST</t>
        </is>
      </c>
      <c r="B247" s="217" t="inlineStr">
        <is>
          <t>Yêu cầu giao 1 phần</t>
        </is>
      </c>
      <c r="C247" s="217" t="inlineStr">
        <is>
          <t>Partial delivery request</t>
        </is>
      </c>
      <c r="D247" s="217" t="inlineStr">
        <is>
          <t>សំណើផ្ញើភាគច្រើន</t>
        </is>
      </c>
      <c r="E247" s="217" t="inlineStr">
        <is>
          <t>ស្នើសុំប្រគល់១ផ្នែក</t>
        </is>
      </c>
      <c r="F247" s="217" t="inlineStr">
        <is>
          <t>ស្នើសុំប្រគល់១ផ្នែក</t>
        </is>
      </c>
      <c r="G247" s="217" t="inlineStr">
        <is>
          <t>ស្នើសុំដឹកជញ្ជូនមួយផ្នែក</t>
        </is>
      </c>
      <c r="H247" s="217" t="inlineStr">
        <is>
          <t>请求部分派送</t>
        </is>
      </c>
      <c r="J247" t="inlineStr">
        <is>
          <t>ស្នើសុំដឹកជញ្ជូនមួយផ្នែក</t>
        </is>
      </c>
    </row>
    <row r="248">
      <c r="A248" s="217" t="inlineStr">
        <is>
          <t>manageOrders.PARTIALLY_SHIPPED</t>
        </is>
      </c>
      <c r="B248" s="217" t="inlineStr">
        <is>
          <t>Giao thành công 1 phần</t>
        </is>
      </c>
      <c r="C248" s="217" t="inlineStr">
        <is>
          <t>Partially delivered successfully</t>
        </is>
      </c>
      <c r="D248" s="217" t="inlineStr">
        <is>
          <t>បានផ្ញែកផ្នែក</t>
        </is>
      </c>
      <c r="E248" s="217" t="inlineStr">
        <is>
          <t>ប្រគល់១ផ្នែកបានជោគជ័យ</t>
        </is>
      </c>
      <c r="F248" s="217" t="inlineStr">
        <is>
          <t>ប្រគល់១ផ្នែកបានជោគជ័យ</t>
        </is>
      </c>
      <c r="G248" s="217" t="inlineStr">
        <is>
          <t>ដឹកជញ្ជូនជោគជ័យមួយផ្នែក</t>
        </is>
      </c>
      <c r="H248" s="217" t="inlineStr">
        <is>
          <t>部分派送成功</t>
        </is>
      </c>
      <c r="J248" t="inlineStr">
        <is>
          <t>ដឹកជញ្ជូនជោគជ័យមួយផ្នែក</t>
        </is>
      </c>
    </row>
    <row r="249">
      <c r="A249" s="217" t="inlineStr">
        <is>
          <t>manageOrders.CHANGE_ADDRESS</t>
        </is>
      </c>
      <c r="B249" s="217" t="inlineStr">
        <is>
          <t>Chuyển giao địa chỉ mới</t>
        </is>
      </c>
      <c r="C249" s="217" t="inlineStr">
        <is>
          <t>Address change</t>
        </is>
      </c>
      <c r="D249" s="217" t="inlineStr">
        <is>
          <t>ផ្លាស់ទីអាសយដ្ឋាន</t>
        </is>
      </c>
      <c r="E249" s="217" t="inlineStr">
        <is>
          <t>ផ្លាស់ប្តូ្តរទីតាំងប្រគល់ថ្មី</t>
        </is>
      </c>
      <c r="F249" s="217" t="inlineStr">
        <is>
          <t>ប្រគល់ឥវ៉ាន់តាមអាសយដ្ឋានថ្មី</t>
        </is>
      </c>
      <c r="G249" s="217" t="inlineStr">
        <is>
          <t>ដឹកជញ្ជូនទៅកាន់អាសយដ្ឋានថ្មី</t>
        </is>
      </c>
      <c r="H249" s="217" t="inlineStr">
        <is>
          <t>地址已变更</t>
        </is>
      </c>
      <c r="J249" t="inlineStr">
        <is>
          <t>ដឹកជញ្ជូនទៅកាន់អាសយដ្ឋានថ្មី</t>
        </is>
      </c>
    </row>
    <row r="250">
      <c r="A250" s="217" t="inlineStr">
        <is>
          <t>manageOrders.SHIPPER_RETURN</t>
        </is>
      </c>
      <c r="B250" s="217" t="inlineStr">
        <is>
          <t>Đang vận chuyển hoàn</t>
        </is>
      </c>
      <c r="C250" s="217" t="inlineStr">
        <is>
          <t>Being returned</t>
        </is>
      </c>
      <c r="D250" s="217" t="inlineStr">
        <is>
          <t>កំពុងដឹកត្រលប់</t>
        </is>
      </c>
      <c r="E250" s="217" t="inlineStr">
        <is>
          <t>កំពុងដឹកជញ្ជូនត្រឡប់</t>
        </is>
      </c>
      <c r="F250" s="217" t="inlineStr">
        <is>
          <t xml:space="preserve">កំពុងដឹកជញ្ជូនពីការប្រគល់ត្រលប់មកវិញ </t>
        </is>
      </c>
      <c r="G250" s="217" t="inlineStr">
        <is>
          <t>កំពុងដឹកជញ្ជូនត្រឡប់</t>
        </is>
      </c>
      <c r="H250" s="217" t="inlineStr">
        <is>
          <t>正在退回</t>
        </is>
      </c>
      <c r="J250" t="inlineStr">
        <is>
          <t>កំពុងដឹកជញ្ជូនត្រឡប់</t>
        </is>
      </c>
    </row>
    <row r="251">
      <c r="A251" s="217" t="inlineStr">
        <is>
          <t>manageOrders.RETURNING</t>
        </is>
      </c>
      <c r="B251" s="217" t="inlineStr">
        <is>
          <t>Đang giao hoàn</t>
        </is>
      </c>
      <c r="C251" s="217" t="inlineStr">
        <is>
          <t>In return transit</t>
        </is>
      </c>
      <c r="D251" s="217" t="inlineStr">
        <is>
          <t>កំពុងផ្ញើត្រលប់</t>
        </is>
      </c>
      <c r="E251" s="217" t="inlineStr">
        <is>
          <t>កំពុងប្រគល់ត្រឡប់</t>
        </is>
      </c>
      <c r="F251" s="217" t="inlineStr">
        <is>
          <t>កំពុងប្រគល់ត្រលប់មកវិញ</t>
        </is>
      </c>
      <c r="G251" s="217" t="inlineStr">
        <is>
          <t>កំពុងប្រគល់ត្រឡប់</t>
        </is>
      </c>
      <c r="H251" s="217" t="inlineStr">
        <is>
          <t>退回运输中</t>
        </is>
      </c>
      <c r="J251" t="inlineStr">
        <is>
          <t>កំពុងប្រគល់ត្រឡប់</t>
        </is>
      </c>
    </row>
    <row r="252">
      <c r="A252" s="217" t="inlineStr">
        <is>
          <t>manageOrders.RETURN_SUCCESSFUL</t>
        </is>
      </c>
      <c r="B252" s="217" t="inlineStr">
        <is>
          <t>Đã trả hàng</t>
        </is>
      </c>
      <c r="C252" s="217" t="inlineStr">
        <is>
          <t>Returned successfully</t>
        </is>
      </c>
      <c r="D252" s="217" t="inlineStr">
        <is>
          <t>បានត្រលប់ដោយជោគជ័យ</t>
        </is>
      </c>
      <c r="E252" s="217" t="inlineStr">
        <is>
          <t>បានត្រឡប់អីវ៉ាន់</t>
        </is>
      </c>
      <c r="F252" s="217" t="inlineStr">
        <is>
          <t>បានសងត្រលប់មកវិញ</t>
        </is>
      </c>
      <c r="G252" s="217" t="inlineStr">
        <is>
          <t>បានប្រគល់ត្រឡប់</t>
        </is>
      </c>
      <c r="H252" s="217" t="inlineStr">
        <is>
          <t>退回成功</t>
        </is>
      </c>
      <c r="J252" t="inlineStr">
        <is>
          <t>បានប្រគល់ត្រឡប់</t>
        </is>
      </c>
    </row>
    <row r="253">
      <c r="A253" s="217" t="inlineStr">
        <is>
          <t>manageOrders.RETURN_AGAIN</t>
        </is>
      </c>
      <c r="B253" s="217" t="inlineStr">
        <is>
          <t>Hoãn trả hàng</t>
        </is>
      </c>
      <c r="C253" s="217" t="inlineStr">
        <is>
          <t>Return rescheduled</t>
        </is>
      </c>
      <c r="D253" s="217" t="inlineStr">
        <is>
          <t>ពន្យារត្រលប់</t>
        </is>
      </c>
      <c r="E253" s="217" t="inlineStr">
        <is>
          <t>ពន្យាការត្រឡប់អីវ៉ាន់</t>
        </is>
      </c>
      <c r="F253" s="217" t="inlineStr">
        <is>
          <t>ផ្អាក់ការសងឥវ៉ាន់ត្រលប់មកវិញ</t>
        </is>
      </c>
      <c r="G253" s="217" t="inlineStr">
        <is>
          <t>ផ្អាក់ការសងឥវ៉ាន់ត្រលប់មកវិញ</t>
        </is>
      </c>
      <c r="H253" s="217" t="inlineStr">
        <is>
          <t>已重新安排退回</t>
        </is>
      </c>
      <c r="J253" t="inlineStr">
        <is>
          <t>ផ្អាក់ការសងឥវ៉ាន់ត្រលប់មកវិញ</t>
        </is>
      </c>
    </row>
    <row r="254">
      <c r="A254" s="217" t="inlineStr">
        <is>
          <t>manageOrders.DISPOSAL</t>
        </is>
      </c>
      <c r="B254" s="217" t="inlineStr">
        <is>
          <t>Đã tiêu hủy</t>
        </is>
      </c>
      <c r="C254" s="217" t="inlineStr">
        <is>
          <t>Disposed</t>
        </is>
      </c>
      <c r="D254" s="217" t="inlineStr">
        <is>
          <t>បានបំផ្លាញ</t>
        </is>
      </c>
      <c r="E254" s="217" t="inlineStr">
        <is>
          <t>បានបំផ្លាញ</t>
        </is>
      </c>
      <c r="F254" s="217" t="inlineStr">
        <is>
          <t xml:space="preserve">បានកម្ទិចចោល </t>
        </is>
      </c>
      <c r="G254" s="217" t="inlineStr">
        <is>
          <t>បានកម្ទេចចោល</t>
        </is>
      </c>
      <c r="H254" s="217" t="inlineStr">
        <is>
          <t>已处置</t>
        </is>
      </c>
      <c r="J254" t="inlineStr">
        <is>
          <t>បានកម្ទេចចោល</t>
        </is>
      </c>
    </row>
    <row r="255">
      <c r="A255" s="217" t="inlineStr">
        <is>
          <t>manageOrders.RETURN_CONFIRMED</t>
        </is>
      </c>
      <c r="B255" s="217" t="inlineStr">
        <is>
          <t>Đã duyệt hoàn</t>
        </is>
      </c>
      <c r="C255" s="217" t="inlineStr">
        <is>
          <t>Return approved</t>
        </is>
      </c>
      <c r="D255" s="217" t="inlineStr">
        <is>
          <t>បានអនុម័តការត្រលប់</t>
        </is>
      </c>
      <c r="E255" s="217" t="inlineStr">
        <is>
          <t>បានអនុម័តការត្រឡប់</t>
        </is>
      </c>
      <c r="F255" s="217" t="inlineStr">
        <is>
          <t xml:space="preserve">បានយល់ព្រមការសងត្រលប់វិញ </t>
        </is>
      </c>
      <c r="G255" s="217" t="inlineStr">
        <is>
          <t>បានអនុម័តការប្រគល់ត្រឡប់</t>
        </is>
      </c>
      <c r="H255" s="217" t="inlineStr">
        <is>
          <t>退货已批准</t>
        </is>
      </c>
      <c r="J255" t="inlineStr">
        <is>
          <t>បានអនុម័តការប្រគល់ត្រឡប់</t>
        </is>
      </c>
    </row>
    <row r="256">
      <c r="A256" s="217" t="inlineStr">
        <is>
          <t>manageOrders.printed</t>
        </is>
      </c>
      <c r="B256" s="217" t="inlineStr">
        <is>
          <t>Đã in</t>
        </is>
      </c>
      <c r="C256" s="217" t="inlineStr">
        <is>
          <t>Printed</t>
        </is>
      </c>
      <c r="D256" s="217" t="inlineStr">
        <is>
          <t>បានបោះពុម្ព</t>
        </is>
      </c>
      <c r="E256" s="217" t="inlineStr">
        <is>
          <t>បានព្រីន</t>
        </is>
      </c>
      <c r="F256" s="217" t="inlineStr">
        <is>
          <t>បានព្រីន</t>
        </is>
      </c>
      <c r="G256" s="217" t="inlineStr">
        <is>
          <t>បានព្រីន</t>
        </is>
      </c>
      <c r="H256" s="217" t="inlineStr">
        <is>
          <t>已打印</t>
        </is>
      </c>
      <c r="J256" t="inlineStr">
        <is>
          <t>បានព្រីន</t>
        </is>
      </c>
    </row>
    <row r="257">
      <c r="A257" s="217" t="inlineStr">
        <is>
          <t>manageOrders.notPrinted</t>
        </is>
      </c>
      <c r="B257" s="217" t="inlineStr">
        <is>
          <t>Chưa in</t>
        </is>
      </c>
      <c r="C257" s="217" t="inlineStr">
        <is>
          <t>Not printed</t>
        </is>
      </c>
      <c r="D257" s="217" t="inlineStr">
        <is>
          <t>មិនបានបោះពុម្ព</t>
        </is>
      </c>
      <c r="E257" s="217" t="inlineStr">
        <is>
          <t>មិនទាន់ព្រីន</t>
        </is>
      </c>
      <c r="F257" s="217" t="inlineStr">
        <is>
          <t>មិនទាន់ព្រីន</t>
        </is>
      </c>
      <c r="G257" s="217" t="inlineStr">
        <is>
          <t>មិនទាន់ព្រីន</t>
        </is>
      </c>
      <c r="H257" s="217" t="inlineStr">
        <is>
          <t>未打印</t>
        </is>
      </c>
      <c r="J257" t="inlineStr">
        <is>
          <t>មិនទាន់ព្រីន</t>
        </is>
      </c>
    </row>
    <row r="258">
      <c r="A258" s="217" t="inlineStr">
        <is>
          <t>manageOrders.selectOnePage</t>
        </is>
      </c>
      <c r="B258" s="217" t="inlineStr">
        <is>
          <t>Chọn 1 trang</t>
        </is>
      </c>
      <c r="C258" s="217" t="inlineStr">
        <is>
          <t>Select one page</t>
        </is>
      </c>
      <c r="D258" s="217" t="inlineStr">
        <is>
          <t>ជ្រើសកំពង់ទំព័រ</t>
        </is>
      </c>
      <c r="E258" s="217" t="inlineStr">
        <is>
          <t>ជ្រើសរើសទំព័រ១</t>
        </is>
      </c>
      <c r="F258" s="217" t="inlineStr">
        <is>
          <t>ជ្រើសរើសទំព័រ១</t>
        </is>
      </c>
      <c r="G258" s="217" t="inlineStr">
        <is>
          <t>ជ្រើសរើសទំព័រ១</t>
        </is>
      </c>
      <c r="H258" s="217" t="inlineStr">
        <is>
          <t>选择单页</t>
        </is>
      </c>
      <c r="J258" t="inlineStr">
        <is>
          <t>ជ្រើសរើសទំព័រ១</t>
        </is>
      </c>
    </row>
    <row r="259">
      <c r="A259" s="217" t="inlineStr">
        <is>
          <t>manageOrders.importExcel</t>
        </is>
      </c>
      <c r="B259" s="217" t="inlineStr">
        <is>
          <t>Nhập excel</t>
        </is>
      </c>
      <c r="C259" s="217" t="inlineStr">
        <is>
          <t>Import Excel</t>
        </is>
      </c>
      <c r="D259" s="217" t="inlineStr">
        <is>
          <t>នាំចូល Excel</t>
        </is>
      </c>
      <c r="E259" s="217" t="inlineStr">
        <is>
          <t>បញ្ចូលក្នុង excel</t>
        </is>
      </c>
      <c r="F259" s="217" t="inlineStr">
        <is>
          <t>បញ្ចូលក្នុង excel</t>
        </is>
      </c>
      <c r="G259" s="217" t="inlineStr">
        <is>
          <t>បញ្ចូលក្នុង excel</t>
        </is>
      </c>
      <c r="H259" s="217" t="inlineStr">
        <is>
          <t>导入Excel</t>
        </is>
      </c>
      <c r="J259" t="inlineStr">
        <is>
          <t>បញ្ចូលក្នុង excel</t>
        </is>
      </c>
    </row>
    <row r="260">
      <c r="A260" s="217" t="inlineStr">
        <is>
          <t>manageOrders.exportExcel</t>
        </is>
      </c>
      <c r="B260" s="217" t="inlineStr">
        <is>
          <t>Xuất excel</t>
        </is>
      </c>
      <c r="C260" s="217" t="inlineStr">
        <is>
          <t>Export Excel</t>
        </is>
      </c>
      <c r="D260" s="217" t="inlineStr">
        <is>
          <t>នាំចេញ Excel</t>
        </is>
      </c>
      <c r="E260" s="217" t="inlineStr">
        <is>
          <t>ចេញពី excel</t>
        </is>
      </c>
      <c r="F260" s="217" t="inlineStr">
        <is>
          <t>ចេញ excel</t>
        </is>
      </c>
      <c r="G260" s="217" t="inlineStr">
        <is>
          <t>ចេញ excel</t>
        </is>
      </c>
      <c r="H260" s="217" t="inlineStr">
        <is>
          <t>导出Excel</t>
        </is>
      </c>
      <c r="J260" t="inlineStr">
        <is>
          <t>ចេញ excel</t>
        </is>
      </c>
    </row>
    <row r="261">
      <c r="A261" s="217" t="inlineStr">
        <is>
          <t>manageOrders.printBill</t>
        </is>
      </c>
      <c r="B261" s="217" t="inlineStr">
        <is>
          <t>In đơn</t>
        </is>
      </c>
      <c r="C261" s="217" t="inlineStr">
        <is>
          <t>Print order</t>
        </is>
      </c>
      <c r="D261" s="217" t="inlineStr">
        <is>
          <t>បោះពុម្ពលិខិត</t>
        </is>
      </c>
      <c r="E261" s="217" t="inlineStr">
        <is>
          <t>ព្រីនបុុងបញ្ញើ</t>
        </is>
      </c>
      <c r="F261" s="217" t="inlineStr">
        <is>
          <t>ព្រីនបុងបញ្ញើ</t>
        </is>
      </c>
      <c r="G261" s="217" t="inlineStr">
        <is>
          <t>ព្រីនបុងបញ្ញើ</t>
        </is>
      </c>
      <c r="H261" s="217" t="inlineStr">
        <is>
          <t>打印订单</t>
        </is>
      </c>
      <c r="J261" t="inlineStr">
        <is>
          <t>ព្រីនបុងបញ្ញើ</t>
        </is>
      </c>
    </row>
    <row r="262">
      <c r="A262" s="217" t="inlineStr">
        <is>
          <t>manageOrders.printNote</t>
        </is>
      </c>
      <c r="B262" s="217" t="inlineStr">
        <is>
          <t>Bạn đã chọn {{totalSelect}} đơn trong tổng số {{total}} đơn</t>
        </is>
      </c>
      <c r="C262" s="217" t="inlineStr">
        <is>
          <t>You have selected {{totalSelect}} out of {{total}} orders</t>
        </is>
      </c>
      <c r="D262" s="217" t="inlineStr">
        <is>
          <t>អ្នកបានជ្រើស {{totalSelect}} ដោយសរុប {{total}}</t>
        </is>
      </c>
      <c r="E262" s="217" t="inlineStr">
        <is>
          <t>អ្នកបានជ្រើសរើស {{totalSelect}} បុងបញ្ញើក្នុងលេខសរុប {{total}} បុងបញ្ញើ</t>
        </is>
      </c>
      <c r="F262" s="217" t="inlineStr">
        <is>
          <t>អ្នកបានជ្រើសរើស {{totalSelect}} ប៉ុងបញ្ញើក្នុងចំនួនសរុប {{total}} បុងបញ្ញើ</t>
        </is>
      </c>
      <c r="G262" s="217" t="inlineStr">
        <is>
          <t>អ្នកបានជ្រើសរើស {{totalSelect}} ប៉ុងបញ្ញើក្នុងចំនួនសរុប {{total}} បុងបញ្ញើ</t>
        </is>
      </c>
      <c r="H262" s="217" t="inlineStr">
        <is>
          <t>已选 {{totalSelect}} / {{total}} 笔订单</t>
        </is>
      </c>
      <c r="J262" t="inlineStr">
        <is>
          <t>អ្នកបានជ្រើសរើស {{totalSelect}} ប៉ុងបញ្ញើក្នុងចំនួនសរុប {{total}} បុងបញ្ញើ</t>
        </is>
      </c>
    </row>
    <row r="263">
      <c r="A263" s="217" t="inlineStr">
        <is>
          <t>manageOrders.printNote1</t>
        </is>
      </c>
      <c r="B263" s="217" t="inlineStr">
        <is>
          <t>Hình thức sắp xếp</t>
        </is>
      </c>
      <c r="C263" s="217" t="inlineStr">
        <is>
          <t>Sorting method</t>
        </is>
      </c>
      <c r="D263" s="217" t="inlineStr">
        <is>
          <t>របៀបរៀបចំ</t>
        </is>
      </c>
      <c r="E263" s="217" t="inlineStr">
        <is>
          <t>របៀបរៀបចំ</t>
        </is>
      </c>
      <c r="F263" s="217" t="inlineStr">
        <is>
          <t>របៀបរៀបចំ</t>
        </is>
      </c>
      <c r="G263" s="217" t="inlineStr">
        <is>
          <t>របៀបរៀបចំ</t>
        </is>
      </c>
      <c r="H263" s="217" t="inlineStr">
        <is>
          <t>排序方式</t>
        </is>
      </c>
      <c r="J263" t="inlineStr">
        <is>
          <t>របៀបរៀបចំ</t>
        </is>
      </c>
    </row>
    <row r="264">
      <c r="A264" s="217" t="inlineStr">
        <is>
          <t>manageOrders.confirmChangeStatusPrint</t>
        </is>
      </c>
      <c r="B264" s="217" t="inlineStr">
        <is>
          <t>Xác nhận chuyển trạng thái in</t>
        </is>
      </c>
      <c r="C264" s="217" t="inlineStr">
        <is>
          <t>Confirm change of print status</t>
        </is>
      </c>
      <c r="D264" s="217" t="inlineStr">
        <is>
          <t>បញ្ជាក់ផ្លាស់ស្ថានភាពបោះពុម្ព</t>
        </is>
      </c>
      <c r="E264" s="217" t="inlineStr">
        <is>
          <t>បញ្ជាក់ការផ្លាស់ប្តូរស្ថានភាពព្រីន</t>
        </is>
      </c>
      <c r="F264" s="217" t="inlineStr">
        <is>
          <t>បញ្ជាក់ការផ្លាស់ប្តូរស្ថានភាពព្រីន</t>
        </is>
      </c>
      <c r="G264" s="217" t="inlineStr">
        <is>
          <t>បញ្ជាក់ការផ្លាស់ប្តូរស្ថានភាពព្រីន</t>
        </is>
      </c>
      <c r="H264" s="217" t="inlineStr">
        <is>
          <t>确认更改打印状态</t>
        </is>
      </c>
      <c r="J264" t="inlineStr">
        <is>
          <t>បញ្ជាក់ការផ្លាស់ប្តូរស្ថានភាពព្រីន</t>
        </is>
      </c>
    </row>
    <row r="265">
      <c r="A265" s="217" t="inlineStr">
        <is>
          <t>manageOrders.radio1</t>
        </is>
      </c>
      <c r="B265" s="217" t="inlineStr">
        <is>
          <t>1 Liên</t>
        </is>
      </c>
      <c r="C265" s="217" t="inlineStr">
        <is>
          <t>1 copy</t>
        </is>
      </c>
      <c r="D265" s="217" t="inlineStr">
        <is>
          <t>1 ច្បាប់</t>
        </is>
      </c>
      <c r="E265" s="217" t="inlineStr">
        <is>
          <t>១ច្បាប់</t>
        </is>
      </c>
      <c r="F265" s="217" t="inlineStr">
        <is>
          <t>១ច្បាប់</t>
        </is>
      </c>
      <c r="G265" s="217" t="inlineStr">
        <is>
          <t>១ច្បាប់</t>
        </is>
      </c>
      <c r="H265" s="217" t="inlineStr">
        <is>
          <t>1 份</t>
        </is>
      </c>
      <c r="J265" t="inlineStr">
        <is>
          <t>១ច្បាប់</t>
        </is>
      </c>
    </row>
    <row r="266">
      <c r="A266" s="217" t="inlineStr">
        <is>
          <t>manageOrders.radio2</t>
        </is>
      </c>
      <c r="B266" s="217" t="inlineStr">
        <is>
          <t>2 Liên</t>
        </is>
      </c>
      <c r="C266" s="217" t="inlineStr">
        <is>
          <t>2 copies</t>
        </is>
      </c>
      <c r="D266" s="217" t="inlineStr">
        <is>
          <t>2 ច្បាប់</t>
        </is>
      </c>
      <c r="E266" s="217" t="inlineStr">
        <is>
          <t>២ច្បាប់</t>
        </is>
      </c>
      <c r="F266" s="217" t="inlineStr">
        <is>
          <t>២ច្បាប់</t>
        </is>
      </c>
      <c r="G266" s="217" t="inlineStr">
        <is>
          <t>២ច្បាប់</t>
        </is>
      </c>
      <c r="H266" s="217" t="inlineStr">
        <is>
          <t>2 份</t>
        </is>
      </c>
      <c r="J266" t="inlineStr">
        <is>
          <t>២ច្បាប់</t>
        </is>
      </c>
    </row>
    <row r="267">
      <c r="A267" s="217" t="inlineStr">
        <is>
          <t>manageOrders.labelRadio</t>
        </is>
      </c>
      <c r="B267" s="217" t="inlineStr">
        <is>
          <t>Số liên cần in trên một đơn</t>
        </is>
      </c>
      <c r="C267" s="217" t="inlineStr">
        <is>
          <t>Number of copies to print per order</t>
        </is>
      </c>
      <c r="D267" s="217" t="inlineStr">
        <is>
          <t>ចំនួនច្បាប់ត្រូវបោះពុម្ពក្នុងមួយបញ្ជា</t>
        </is>
      </c>
      <c r="E267" s="217" t="inlineStr">
        <is>
          <t>ចំនួនច្បាប់ដែលត្រូវព្រីនលើបុងបញ្ញើមួយ</t>
        </is>
      </c>
      <c r="F267" s="217" t="inlineStr">
        <is>
          <t>ចំនួនច្បាប់ដែលត្រូវព្រីនលើប៉ុងបញ្ញើតែមួយ</t>
        </is>
      </c>
      <c r="G267" s="217" t="inlineStr">
        <is>
          <t>ចំនួនច្បាប់ដែលត្រូវព្រីនលើប៉ុងបញ្ញើតែមួយ</t>
        </is>
      </c>
      <c r="H267" s="217" t="inlineStr">
        <is>
          <t>每单打印份数</t>
        </is>
      </c>
      <c r="J267" t="inlineStr">
        <is>
          <t>ចំនួនច្បាប់ដែលត្រូវព្រីនលើប៉ុងបញ្ញើតែមួយ</t>
        </is>
      </c>
    </row>
    <row r="268">
      <c r="A268" s="217" t="inlineStr">
        <is>
          <t>manageOrders.selectSizePrint</t>
        </is>
      </c>
      <c r="B268" s="217" t="inlineStr">
        <is>
          <t>Chọn kích thước in</t>
        </is>
      </c>
      <c r="C268" s="217" t="inlineStr">
        <is>
          <t>Select print size</t>
        </is>
      </c>
      <c r="D268" s="217" t="inlineStr">
        <is>
          <t>ជ្រើសទំហំបោះពុម្ព</t>
        </is>
      </c>
      <c r="E268" s="217" t="inlineStr">
        <is>
          <t>ជ្រើសរើសទំហំព្រីន</t>
        </is>
      </c>
      <c r="F268" s="217" t="inlineStr">
        <is>
          <t>ជ្រើសរើសទំហំព្រីន</t>
        </is>
      </c>
      <c r="G268" s="217" t="inlineStr">
        <is>
          <t>ជ្រើសរើសទំហំព្រីន</t>
        </is>
      </c>
      <c r="H268" s="217" t="inlineStr">
        <is>
          <t>选择打印尺寸</t>
        </is>
      </c>
      <c r="J268" t="inlineStr">
        <is>
          <t>ជ្រើសរើសទំហំព្រីន</t>
        </is>
      </c>
    </row>
    <row r="269">
      <c r="A269" s="217" t="inlineStr">
        <is>
          <t>manageOrders.printA5</t>
        </is>
      </c>
      <c r="B269" s="217" t="inlineStr">
        <is>
          <t>In A5</t>
        </is>
      </c>
      <c r="C269" s="217" t="inlineStr">
        <is>
          <t>Print A5</t>
        </is>
      </c>
      <c r="D269" s="217" t="inlineStr">
        <is>
          <t>បោះពុម្ព A5</t>
        </is>
      </c>
      <c r="E269" s="217" t="inlineStr">
        <is>
          <t>ព្រីន A5</t>
        </is>
      </c>
      <c r="F269" s="217" t="inlineStr">
        <is>
          <t>ព្រីនព A5</t>
        </is>
      </c>
      <c r="G269" s="217" t="inlineStr">
        <is>
          <t>ព្រីនព A5</t>
        </is>
      </c>
      <c r="H269" s="217" t="inlineStr">
        <is>
          <t>打印 A5</t>
        </is>
      </c>
      <c r="J269" t="inlineStr">
        <is>
          <t>ព្រីនព A5</t>
        </is>
      </c>
    </row>
    <row r="270">
      <c r="A270" s="217" t="inlineStr">
        <is>
          <t>manageOrders.printA6</t>
        </is>
      </c>
      <c r="B270" s="217" t="inlineStr">
        <is>
          <t>In A6</t>
        </is>
      </c>
      <c r="C270" s="217" t="inlineStr">
        <is>
          <t>Print A6</t>
        </is>
      </c>
      <c r="D270" s="217" t="inlineStr">
        <is>
          <t>បោះពុម្ព A6</t>
        </is>
      </c>
      <c r="E270" s="217" t="inlineStr">
        <is>
          <t>ព្រីន A6</t>
        </is>
      </c>
      <c r="F270" s="217" t="inlineStr">
        <is>
          <t>ព្រីន A6</t>
        </is>
      </c>
      <c r="G270" s="217" t="inlineStr">
        <is>
          <t>ព្រីន A6</t>
        </is>
      </c>
      <c r="H270" s="217" t="inlineStr">
        <is>
          <t>打印 A6</t>
        </is>
      </c>
      <c r="J270" t="inlineStr">
        <is>
          <t>ព្រីន A6</t>
        </is>
      </c>
    </row>
    <row r="271">
      <c r="A271" s="217" t="inlineStr">
        <is>
          <t>manageOrders.printA7</t>
        </is>
      </c>
      <c r="B271" s="217" t="inlineStr">
        <is>
          <t>In A7</t>
        </is>
      </c>
      <c r="C271" s="217" t="inlineStr">
        <is>
          <t>Print A7</t>
        </is>
      </c>
      <c r="D271" s="217" t="inlineStr">
        <is>
          <t>បោះពុម្ព A7</t>
        </is>
      </c>
      <c r="E271" s="217" t="inlineStr">
        <is>
          <t>ព្រីន A7</t>
        </is>
      </c>
      <c r="F271" s="217" t="inlineStr">
        <is>
          <t>ព្រីន A7</t>
        </is>
      </c>
      <c r="G271" s="217" t="inlineStr">
        <is>
          <t>ព្រីន A7</t>
        </is>
      </c>
      <c r="H271" s="217" t="inlineStr">
        <is>
          <t>打印 A7</t>
        </is>
      </c>
      <c r="J271" t="inlineStr">
        <is>
          <t>ព្រីន A7</t>
        </is>
      </c>
    </row>
    <row r="272">
      <c r="A272" s="217" t="inlineStr">
        <is>
          <t>manageOrders.recipientMoney</t>
        </is>
      </c>
      <c r="B272" s="217" t="inlineStr">
        <is>
          <t>Tiền thu người nhận</t>
        </is>
      </c>
      <c r="C272" s="217" t="inlineStr">
        <is>
          <t>Amount collected from recipient</t>
        </is>
      </c>
      <c r="D272" s="217" t="inlineStr">
        <is>
          <t>ទុនអ្នកទទួល</t>
        </is>
      </c>
      <c r="E272" s="217" t="inlineStr">
        <is>
          <t>ប្រមូូលប្រាក់ពីអ្នកទទួល</t>
        </is>
      </c>
      <c r="F272" s="217" t="inlineStr">
        <is>
          <t>យកប្រាក់ពីអ្នកទទួល</t>
        </is>
      </c>
      <c r="G272" s="217" t="inlineStr">
        <is>
          <t>យកប្រាក់ពីអ្នកទទួល</t>
        </is>
      </c>
      <c r="H272" s="217" t="inlineStr">
        <is>
          <t>向收件人收取的金额</t>
        </is>
      </c>
      <c r="J272" t="inlineStr">
        <is>
          <t>យកប្រាក់ពីអ្នកទទួល</t>
        </is>
      </c>
    </row>
    <row r="273">
      <c r="A273" s="217" t="inlineStr">
        <is>
          <t>manageOrders.ascendingOrder</t>
        </is>
      </c>
      <c r="B273" s="217" t="inlineStr">
        <is>
          <t>Thứ tự tăng dần</t>
        </is>
      </c>
      <c r="C273" s="217" t="inlineStr">
        <is>
          <t>Ascending order</t>
        </is>
      </c>
      <c r="D273" s="217" t="inlineStr">
        <is>
          <t>តម្រៀបឡើង</t>
        </is>
      </c>
      <c r="E273" s="217" t="inlineStr">
        <is>
          <t>តម្រៀបឡើងជាលំដាប់</t>
        </is>
      </c>
      <c r="F273" s="217" t="inlineStr">
        <is>
          <t>លំដាប់ឡើង</t>
        </is>
      </c>
      <c r="G273" s="217" t="inlineStr">
        <is>
          <t>លំដាប់ឡើង</t>
        </is>
      </c>
      <c r="H273" s="217" t="inlineStr">
        <is>
          <t>升序</t>
        </is>
      </c>
      <c r="J273" t="inlineStr">
        <is>
          <t>លំដាប់ឡើង</t>
        </is>
      </c>
    </row>
    <row r="274">
      <c r="A274" s="217" t="inlineStr">
        <is>
          <t>manageOrders.descendingOrder</t>
        </is>
      </c>
      <c r="B274" s="217" t="inlineStr">
        <is>
          <t>Thứ tự giảm dần</t>
        </is>
      </c>
      <c r="C274" s="217" t="inlineStr">
        <is>
          <t>Descending order</t>
        </is>
      </c>
      <c r="D274" s="217" t="inlineStr">
        <is>
          <t>តម្រៀបចុះ</t>
        </is>
      </c>
      <c r="E274" s="217" t="inlineStr">
        <is>
          <t>តម្រៀបចុះតាមលំដាប់</t>
        </is>
      </c>
      <c r="F274" s="217" t="inlineStr">
        <is>
          <t>លំដាប់ចុះ</t>
        </is>
      </c>
      <c r="G274" s="217" t="inlineStr">
        <is>
          <t>លំដាប់ចុះ</t>
        </is>
      </c>
      <c r="H274" s="217" t="inlineStr">
        <is>
          <t>降序</t>
        </is>
      </c>
      <c r="J274" t="inlineStr">
        <is>
          <t>លំដាប់ចុះ</t>
        </is>
      </c>
    </row>
    <row r="275">
      <c r="A275" s="217" t="inlineStr">
        <is>
          <t>manageOrders.updateListTime</t>
        </is>
      </c>
      <c r="B275" s="217" t="inlineStr">
        <is>
          <t>Cập nhật danh sách lần cuối lúc {{time}}</t>
        </is>
      </c>
      <c r="C275" s="217" t="inlineStr">
        <is>
          <t>Last list update at {{time}}</t>
        </is>
      </c>
      <c r="D275" s="217" t="inlineStr">
        <is>
          <t>បញ្ជីបានបច្ចុប្បន្នភាពចុងក្រោយនៅ {{time}}</t>
        </is>
      </c>
      <c r="E275" s="217" t="inlineStr">
        <is>
          <t>អាប់ដេតបញ្ជីពេលចុងក្រោយបង្អស់នៅម៉ោង {{time}}</t>
        </is>
      </c>
      <c r="F275" s="217" t="inlineStr">
        <is>
          <t>ធ្វើបច្ចុប្បន្នភាពបញ្ជីលើកចុងក្រោយនៅពេលវេលា{{time}}</t>
        </is>
      </c>
      <c r="G275" s="217" t="inlineStr">
        <is>
          <t>ធ្វើបច្ចុប្បន្នភាពបញ្ជីលើកចុងក្រោយនៅពេលវេលា{{time}}</t>
        </is>
      </c>
      <c r="H275" s="217" t="inlineStr">
        <is>
          <t>列表最后更新于 {{time}}</t>
        </is>
      </c>
      <c r="J275" t="inlineStr">
        <is>
          <t>ធ្វើបច្ចុប្បន្នភាពបញ្ជីលើកចុងក្រោយនៅពេលវេលា{{time}}</t>
        </is>
      </c>
    </row>
    <row r="276">
      <c r="A276" s="217" t="inlineStr">
        <is>
          <t>manageOrders.orderSent</t>
        </is>
      </c>
      <c r="B276" s="217" t="inlineStr">
        <is>
          <t>Đơn hàng gửi</t>
        </is>
      </c>
      <c r="C276" s="217" t="inlineStr">
        <is>
          <t>Sent orders</t>
        </is>
      </c>
      <c r="D276" s="217" t="inlineStr">
        <is>
          <t>បានផ្ញើ</t>
        </is>
      </c>
      <c r="E276" s="217" t="inlineStr">
        <is>
          <t>បុងបញ្ញផ្ញើអីវ៉ាន់</t>
        </is>
      </c>
      <c r="F276" s="217" t="inlineStr">
        <is>
          <t>ប៉ុងបញ្ញើផ្ញើឥវ៉ាន់ទៅ</t>
        </is>
      </c>
      <c r="G276" s="217" t="inlineStr">
        <is>
          <t>ប៉ុងបញ្ញើផ្ញើឥវ៉ាន់ទៅ</t>
        </is>
      </c>
      <c r="H276" s="217" t="inlineStr">
        <is>
          <t>已发出订单</t>
        </is>
      </c>
      <c r="J276" t="inlineStr">
        <is>
          <t>ប៉ុងបញ្ញើផ្ញើឥវ៉ាន់ទៅ</t>
        </is>
      </c>
    </row>
    <row r="277">
      <c r="A277" s="217" t="inlineStr">
        <is>
          <t>manageOrders.orderReceived</t>
        </is>
      </c>
      <c r="B277" s="217" t="inlineStr">
        <is>
          <t>Đơn hàng nhận</t>
        </is>
      </c>
      <c r="C277" s="217" t="inlineStr">
        <is>
          <t>Received orders</t>
        </is>
      </c>
      <c r="D277" s="217" t="inlineStr">
        <is>
          <t>បានទទួល</t>
        </is>
      </c>
      <c r="E277" s="217" t="inlineStr">
        <is>
          <t>បុុងបញ្ញើទទួលអីវ៉ាន់</t>
        </is>
      </c>
      <c r="F277" s="217" t="inlineStr">
        <is>
          <t>ប៉ុងបញ្ញើទទួលឥវ៉ាន់</t>
        </is>
      </c>
      <c r="G277" s="217" t="inlineStr">
        <is>
          <t>ប៉ុងបញ្ញើទទួលឥវ៉ាន់</t>
        </is>
      </c>
      <c r="H277" s="217" t="inlineStr">
        <is>
          <t>已接收订单</t>
        </is>
      </c>
      <c r="J277" t="inlineStr">
        <is>
          <t>ប៉ុងបញ្ញើទទួលឥវ៉ាន់</t>
        </is>
      </c>
    </row>
    <row r="278">
      <c r="A278" s="217" t="inlineStr">
        <is>
          <t>manageOrders.warehouse</t>
        </is>
      </c>
      <c r="B278" s="217" t="inlineStr">
        <is>
          <t>Kho hàng</t>
        </is>
      </c>
      <c r="C278" s="217" t="inlineStr">
        <is>
          <t>Warehouse</t>
        </is>
      </c>
      <c r="D278" s="217" t="inlineStr">
        <is>
          <t>ឃ្លាំង</t>
        </is>
      </c>
      <c r="E278" s="217" t="inlineStr">
        <is>
          <t>ឃ្លាំងអីវ៉ាន់</t>
        </is>
      </c>
      <c r="F278" s="217" t="inlineStr">
        <is>
          <t>ឃ្លាំងឥវ៉ាន់</t>
        </is>
      </c>
      <c r="G278" s="217" t="inlineStr">
        <is>
          <t>ឃ្លាំងឥវ៉ាន់</t>
        </is>
      </c>
      <c r="H278" s="217" t="inlineStr">
        <is>
          <t>仓库</t>
        </is>
      </c>
      <c r="J278" t="inlineStr">
        <is>
          <t>ឃ្លាំងឥវ៉ាន់</t>
        </is>
      </c>
    </row>
    <row r="279">
      <c r="A279" s="217" t="inlineStr">
        <is>
          <t>manageOrders.allWarehouse</t>
        </is>
      </c>
      <c r="B279" s="217" t="inlineStr">
        <is>
          <t>Tất cả kho hàng</t>
        </is>
      </c>
      <c r="C279" s="217" t="inlineStr">
        <is>
          <t>All warehouses</t>
        </is>
      </c>
      <c r="D279" s="217" t="inlineStr">
        <is>
          <t>គ្រប់ឃ្លាំង</t>
        </is>
      </c>
      <c r="E279" s="217" t="inlineStr">
        <is>
          <t>ឃ្លាំងអីវ៉ាន់ទាំងអស់</t>
        </is>
      </c>
      <c r="F279" s="217" t="inlineStr">
        <is>
          <t>ឃ្លាំងឥវ៉ាន់ទាំងអស់</t>
        </is>
      </c>
      <c r="G279" s="217" t="inlineStr">
        <is>
          <t>ឃ្លាំងឥវ៉ាន់ទាំងអស់</t>
        </is>
      </c>
      <c r="H279" s="217" t="inlineStr">
        <is>
          <t>所有仓库</t>
        </is>
      </c>
      <c r="J279" t="inlineStr">
        <is>
          <t>ឃ្លាំងឥវ៉ាន់ទាំងអស់</t>
        </is>
      </c>
    </row>
    <row r="280">
      <c r="A280" s="217" t="inlineStr">
        <is>
          <t>manageOrders.payer</t>
        </is>
      </c>
      <c r="B280" s="217" t="inlineStr">
        <is>
          <t>Người trả cước</t>
        </is>
      </c>
      <c r="C280" s="217" t="inlineStr">
        <is>
          <t>Payer</t>
        </is>
      </c>
      <c r="D280" s="217" t="inlineStr">
        <is>
          <t>អ្នកបង់</t>
        </is>
      </c>
      <c r="E280" s="217" t="inlineStr">
        <is>
          <t>អ្នកចេញថ្លៃសេវា</t>
        </is>
      </c>
      <c r="F280" s="217" t="inlineStr">
        <is>
          <t>អ្នកបង់ថ្លៃសេវា</t>
        </is>
      </c>
      <c r="G280" s="217" t="inlineStr">
        <is>
          <t>អ្នកបង់ថ្លៃសេវា</t>
        </is>
      </c>
      <c r="H280" s="217" t="inlineStr">
        <is>
          <t>付款方</t>
        </is>
      </c>
      <c r="J280" t="inlineStr">
        <is>
          <t>អ្នកបង់ថ្លៃសេវា</t>
        </is>
      </c>
    </row>
    <row r="281">
      <c r="A281" s="217" t="inlineStr">
        <is>
          <t>manageOrders.selectByService</t>
        </is>
      </c>
      <c r="B281" s="217" t="inlineStr">
        <is>
          <t>Chọn theo dịch vụ</t>
        </is>
      </c>
      <c r="C281" s="217" t="inlineStr">
        <is>
          <t>Select by service</t>
        </is>
      </c>
      <c r="D281" s="217" t="inlineStr">
        <is>
          <t>ជ្រើសតាមសេវាកម្ម</t>
        </is>
      </c>
      <c r="E281" s="217" t="inlineStr">
        <is>
          <t>ជ្រើសរើសតាមសេវាកម្ម</t>
        </is>
      </c>
      <c r="F281" s="217" t="inlineStr">
        <is>
          <t>ជ្រើសរើសតាមសេវាកម្ម</t>
        </is>
      </c>
      <c r="G281" s="217" t="inlineStr">
        <is>
          <t>ជ្រើសរើសតាមសេវាកម្ម</t>
        </is>
      </c>
      <c r="H281" s="217" t="inlineStr">
        <is>
          <t>按服务筛选</t>
        </is>
      </c>
      <c r="J281" t="inlineStr">
        <is>
          <t>ជ្រើសរើសតាមសេវាកម្ម</t>
        </is>
      </c>
    </row>
    <row r="282">
      <c r="A282" s="217" t="inlineStr">
        <is>
          <t>manageOrders.select</t>
        </is>
      </c>
      <c r="B282" s="217" t="inlineStr">
        <is>
          <t>Chọn</t>
        </is>
      </c>
      <c r="C282" s="217" t="inlineStr">
        <is>
          <t>Select</t>
        </is>
      </c>
      <c r="D282" s="217" t="inlineStr">
        <is>
          <t>ជ្រើស</t>
        </is>
      </c>
      <c r="E282" s="217" t="inlineStr">
        <is>
          <t>ជ្រើសរើស</t>
        </is>
      </c>
      <c r="F282" s="217" t="inlineStr">
        <is>
          <t>ជ្រើសរើស</t>
        </is>
      </c>
      <c r="G282" s="217" t="inlineStr">
        <is>
          <t>ជ្រើសរើស</t>
        </is>
      </c>
      <c r="H282" s="217" t="inlineStr">
        <is>
          <t>选择</t>
        </is>
      </c>
      <c r="J282" t="inlineStr">
        <is>
          <t>ជ្រើសរើស</t>
        </is>
      </c>
    </row>
    <row r="283">
      <c r="A283" s="217" t="inlineStr">
        <is>
          <t>manageOrders.listOrders</t>
        </is>
      </c>
      <c r="B283" s="217" t="inlineStr">
        <is>
          <t>Danh sách đơn hàng</t>
        </is>
      </c>
      <c r="C283" s="217" t="inlineStr">
        <is>
          <t>Order list</t>
        </is>
      </c>
      <c r="D283" s="217" t="inlineStr">
        <is>
          <t>បញ្ជីបញ្ជាទិញ</t>
        </is>
      </c>
      <c r="E283" s="217" t="inlineStr">
        <is>
          <t>បញ្ជីបុងបញ្ញើ</t>
        </is>
      </c>
      <c r="F283" s="217" t="inlineStr">
        <is>
          <t>បញ្ជីប៉ុងបញ្ញើ</t>
        </is>
      </c>
      <c r="G283" s="217" t="inlineStr">
        <is>
          <t>បញ្ជីប៉ុងបញ្ញើ</t>
        </is>
      </c>
      <c r="H283" s="217" t="inlineStr">
        <is>
          <t>订单列表</t>
        </is>
      </c>
      <c r="J283" t="inlineStr">
        <is>
          <t>បញ្ជីប៉ុងបញ្ញើ</t>
        </is>
      </c>
    </row>
    <row r="284">
      <c r="A284" s="217" t="inlineStr">
        <is>
          <t>manageOrders.operation</t>
        </is>
      </c>
      <c r="B284" s="217" t="inlineStr">
        <is>
          <t>Thao tác</t>
        </is>
      </c>
      <c r="C284" s="217" t="inlineStr">
        <is>
          <t>Actions</t>
        </is>
      </c>
      <c r="D284" s="217" t="inlineStr">
        <is>
          <t>ប្រតិបត្តិការ</t>
        </is>
      </c>
      <c r="E284" s="217" t="inlineStr">
        <is>
          <t>ប្រតិបត្តិការ</t>
        </is>
      </c>
      <c r="F284" s="217" t="inlineStr">
        <is>
          <t>ប្រតិបត្តិការ</t>
        </is>
      </c>
      <c r="G284" s="217" t="inlineStr">
        <is>
          <t>ប្រតិបត្តិការ</t>
        </is>
      </c>
      <c r="H284" s="217" t="inlineStr">
        <is>
          <t>操作</t>
        </is>
      </c>
      <c r="J284" t="inlineStr">
        <is>
          <t>ប្រតិបត្តិការ</t>
        </is>
      </c>
    </row>
    <row r="285">
      <c r="A285" s="217" t="inlineStr">
        <is>
          <t>manageOrders.confirmCancelOrder</t>
        </is>
      </c>
      <c r="B285" s="217" t="inlineStr">
        <is>
          <t>Xác nhận huỷ đơn</t>
        </is>
      </c>
      <c r="C285" s="217" t="inlineStr">
        <is>
          <t>Confirm order cancellation</t>
        </is>
      </c>
      <c r="D285" s="217" t="inlineStr">
        <is>
          <t>បញ្ជាក់ទ្វាក់លុបបញ្ជាទិញ</t>
        </is>
      </c>
      <c r="E285" s="217" t="inlineStr">
        <is>
          <t>បញ្ជាក់លុបបុងបញ្ញើចោល</t>
        </is>
      </c>
      <c r="F285" s="217" t="inlineStr">
        <is>
          <t>បញ្ជាក់ការលុបប៉ុងបញ្ញើចោល</t>
        </is>
      </c>
      <c r="G285" s="217" t="inlineStr">
        <is>
          <t>បញ្ជាក់ការលុបប៉ុងបញ្ញើចោល</t>
        </is>
      </c>
      <c r="H285" s="217" t="inlineStr">
        <is>
          <t>确认取消订单</t>
        </is>
      </c>
      <c r="J285" t="inlineStr">
        <is>
          <t>បញ្ជាក់ការលុបប៉ុងបញ្ញើចោល</t>
        </is>
      </c>
    </row>
    <row r="286">
      <c r="A286" s="217" t="inlineStr">
        <is>
          <t>manageOrders.pleaseSelectReason</t>
        </is>
      </c>
      <c r="B286" s="217" t="inlineStr">
        <is>
          <t>Vui lòng chọn lý do huỷ đơn</t>
        </is>
      </c>
      <c r="C286" s="217" t="inlineStr">
        <is>
          <t>Please select a reason for cancellation</t>
        </is>
      </c>
      <c r="D286" s="217" t="inlineStr">
        <is>
          <t>សូមជ្រើសមូលហេតុលុប</t>
        </is>
      </c>
      <c r="E286" s="217" t="inlineStr">
        <is>
          <t>សូមជ្រើសមូលហេតុលុប</t>
        </is>
      </c>
      <c r="F286" s="217" t="inlineStr">
        <is>
          <t>សូមជ្រើសមូលហេតុលុបប៉ុងបញ្ញើ</t>
        </is>
      </c>
      <c r="G286" s="217" t="inlineStr">
        <is>
          <t>សូមជ្រើសមូលហេតុលុបប៉ុងបញ្ញើ</t>
        </is>
      </c>
      <c r="H286" s="217" t="inlineStr">
        <is>
          <t>请选择取消原因</t>
        </is>
      </c>
      <c r="J286" t="inlineStr">
        <is>
          <t>សូមជ្រើសមូលហេតុលុបប៉ុងបញ្ញើ</t>
        </is>
      </c>
    </row>
    <row r="287">
      <c r="A287" s="217" t="inlineStr">
        <is>
          <t>manageOrders.pleaseSelectReasonMuti</t>
        </is>
      </c>
      <c r="B287" s="217" t="inlineStr">
        <is>
          <t>Vui lòng chọn lý do huỷ các đơn đã chọn</t>
        </is>
      </c>
      <c r="C287" s="217" t="inlineStr">
        <is>
          <t>Please select reason for canceling selected orders</t>
        </is>
      </c>
      <c r="D287" s="217" t="inlineStr">
        <is>
          <t>សូមជ្រើសមូលហេតុសម្រាប់បញ្ជាទិញជាច្រើន</t>
        </is>
      </c>
      <c r="E287" s="217" t="inlineStr">
        <is>
          <t>សូូមជ្រើសរើសហេតុផលដែលចង់លុបចោលបុងបញ្ញើដែលបានជ្រើសរើស</t>
        </is>
      </c>
      <c r="F287" s="217" t="inlineStr">
        <is>
          <t>សូមជ្រើសរើសហេតុផលនៃការចង់លុបប៉ុងចោលដែលបានជ្រើសរើស</t>
        </is>
      </c>
      <c r="G287" s="217" t="inlineStr">
        <is>
          <t>សូមជ្រើសរើសហេតុផលនៃការចង់លុបប៉ុងចោលដែលបានជ្រើសរើស</t>
        </is>
      </c>
      <c r="H287" s="217" t="inlineStr">
        <is>
          <t>请选择取消这些订单的原因</t>
        </is>
      </c>
      <c r="J287" t="inlineStr">
        <is>
          <t>សូមជ្រើសរើសហេតុផលនៃការចង់លុបប៉ុងចោលដែលបានជ្រើសរើស</t>
        </is>
      </c>
    </row>
    <row r="288">
      <c r="A288" s="217" t="inlineStr">
        <is>
          <t>manageOrders.pleaseEnterReasonOther</t>
        </is>
      </c>
      <c r="B288" s="217" t="inlineStr">
        <is>
          <t>Vui lòng nhập lý do khác</t>
        </is>
      </c>
      <c r="C288" s="217" t="inlineStr">
        <is>
          <t>Please enter another reason</t>
        </is>
      </c>
      <c r="D288" s="217" t="inlineStr">
        <is>
          <t>សូមបញ្ចូលមូលហេតុផ្សេង</t>
        </is>
      </c>
      <c r="E288" s="217" t="inlineStr">
        <is>
          <t>សូមបញ្ចូលហេតុផលផ្សេង</t>
        </is>
      </c>
      <c r="F288" s="217" t="inlineStr">
        <is>
          <t>សូមបញ្ចូលហេតុផលផ្សេងទៀត</t>
        </is>
      </c>
      <c r="G288" s="217" t="inlineStr">
        <is>
          <t>សូមបញ្ចូលហេតុផលផ្សេងទៀត</t>
        </is>
      </c>
      <c r="H288" s="217" t="inlineStr">
        <is>
          <t>请输入其他原因</t>
        </is>
      </c>
      <c r="J288" t="inlineStr">
        <is>
          <t>សូមបញ្ចូលហេតុផលផ្សេងទៀត</t>
        </is>
      </c>
    </row>
    <row r="289">
      <c r="A289" s="217" t="inlineStr">
        <is>
          <t>manageOrders.duplicateOrder</t>
        </is>
      </c>
      <c r="B289" s="217" t="inlineStr">
        <is>
          <t>Trùng đơn</t>
        </is>
      </c>
      <c r="C289" s="217" t="inlineStr">
        <is>
          <t>Duplicate order</t>
        </is>
      </c>
      <c r="D289" s="217" t="inlineStr">
        <is>
          <t>បញ្ជាទិញថេរ</t>
        </is>
      </c>
      <c r="E289" s="217" t="inlineStr">
        <is>
          <t>ជាន់បុងបញ្ញើ</t>
        </is>
      </c>
      <c r="F289" s="217" t="inlineStr">
        <is>
          <t>ការបញ្ជាទិញស្ទួន</t>
        </is>
      </c>
      <c r="G289" s="217" t="inlineStr">
        <is>
          <t>ការបញ្ជាទិញស្ទួន</t>
        </is>
      </c>
      <c r="H289" s="217" t="inlineStr">
        <is>
          <t>重复订单</t>
        </is>
      </c>
      <c r="J289" t="inlineStr">
        <is>
          <t>ការបញ្ជាទិញស្ទួន</t>
        </is>
      </c>
    </row>
    <row r="290">
      <c r="A290" s="217" t="inlineStr">
        <is>
          <t>manageOrders.reasonOther</t>
        </is>
      </c>
      <c r="B290" s="217" t="inlineStr">
        <is>
          <t>Lý do khác</t>
        </is>
      </c>
      <c r="C290" s="217" t="inlineStr">
        <is>
          <t>Other reason</t>
        </is>
      </c>
      <c r="D290" s="217" t="inlineStr">
        <is>
          <t>មូលហេតុផ្សេង</t>
        </is>
      </c>
      <c r="E290" s="217" t="inlineStr">
        <is>
          <t>ហេតុផលផ្សេង</t>
        </is>
      </c>
      <c r="F290" s="217" t="inlineStr">
        <is>
          <t>ហេតុផលផ្សេងទៀត</t>
        </is>
      </c>
      <c r="G290" s="217" t="inlineStr">
        <is>
          <t>ហេតុផលផ្សេងទៀត</t>
        </is>
      </c>
      <c r="H290" s="217" t="inlineStr">
        <is>
          <t>其他原因</t>
        </is>
      </c>
      <c r="J290" t="inlineStr">
        <is>
          <t>ហេតុផលផ្សេងទៀត</t>
        </is>
      </c>
    </row>
    <row r="291">
      <c r="A291" s="217" t="inlineStr">
        <is>
          <t>manageOrders.pickupTimeTooLong</t>
        </is>
      </c>
      <c r="B291" s="217" t="inlineStr">
        <is>
          <t>Lấy hàng quá lâu</t>
        </is>
      </c>
      <c r="C291" s="217" t="inlineStr">
        <is>
          <t>Pickup took too long</t>
        </is>
      </c>
      <c r="D291" s="217" t="inlineStr">
        <is>
          <t>ពេលយកទៅយ៉ាងយូរ</t>
        </is>
      </c>
      <c r="E291" s="217" t="inlineStr">
        <is>
          <t>យកអីវ៉ាន់យូរពេក</t>
        </is>
      </c>
      <c r="F291" s="217" t="inlineStr">
        <is>
          <t>យកឥវ៉ាន់យូរពេក</t>
        </is>
      </c>
      <c r="G291" s="217" t="inlineStr">
        <is>
          <t>យកឥវ៉ាន់យូរពេក</t>
        </is>
      </c>
      <c r="H291" s="217" t="inlineStr">
        <is>
          <t>取件耗时过长</t>
        </is>
      </c>
      <c r="J291" t="inlineStr">
        <is>
          <t>យកឥវ៉ាន់យូរពេក</t>
        </is>
      </c>
    </row>
    <row r="292">
      <c r="A292" s="217" t="inlineStr">
        <is>
          <t>manageOrders.wrongInfo</t>
        </is>
      </c>
      <c r="B292" s="217" t="inlineStr">
        <is>
          <t>Ghi nhầm thông tin sản phẩm</t>
        </is>
      </c>
      <c r="C292" s="217" t="inlineStr">
        <is>
          <t>Incorrect product information</t>
        </is>
      </c>
      <c r="D292" s="217" t="inlineStr">
        <is>
          <t>ព័ត៌មានចូលច្រឡំ</t>
        </is>
      </c>
      <c r="E292" s="217" t="inlineStr">
        <is>
          <t>សរសេរខុសព័ត៌មានអីវ៉ាន់</t>
        </is>
      </c>
      <c r="F292" s="217" t="inlineStr">
        <is>
          <t>សរសេរខុសព័ត៌មានឥវ៉ាន់</t>
        </is>
      </c>
      <c r="G292" s="217" t="inlineStr">
        <is>
          <t>សរសេរខុសព័ត៌មានឥវ៉ាន់</t>
        </is>
      </c>
      <c r="H292" s="217" t="inlineStr">
        <is>
          <t>商品信息有误</t>
        </is>
      </c>
      <c r="J292" t="inlineStr">
        <is>
          <t>សរសេរខុសព័ត៌មានឥវ៉ាន់</t>
        </is>
      </c>
    </row>
    <row r="293">
      <c r="A293" s="217" t="inlineStr">
        <is>
          <t>manageOrders.cancelOrderSuccess</t>
        </is>
      </c>
      <c r="B293" s="217" t="inlineStr">
        <is>
          <t>Huỷ đơn thành công</t>
        </is>
      </c>
      <c r="C293" s="217" t="inlineStr">
        <is>
          <t>Order cancelled successfully</t>
        </is>
      </c>
      <c r="D293" s="217" t="inlineStr">
        <is>
          <t>លុបបញ្ជាទិញបានជោគជ័យ</t>
        </is>
      </c>
      <c r="E293" s="217" t="inlineStr">
        <is>
          <t>លុបចោលបុងបានជោគជ័យ</t>
        </is>
      </c>
      <c r="F293" s="217" t="inlineStr">
        <is>
          <t>លុបចោលប៉ុងបញ្ញើបានជោគជ័យ</t>
        </is>
      </c>
      <c r="G293" s="217" t="inlineStr">
        <is>
          <t>លុបចោលប៉ុងបញ្ញើបានជោគជ័យ</t>
        </is>
      </c>
      <c r="H293" s="217" t="inlineStr">
        <is>
          <t>订单取消成功</t>
        </is>
      </c>
      <c r="J293" t="inlineStr">
        <is>
          <t>លុបចោលប៉ុងបញ្ញើបានជោគជ័យ</t>
        </is>
      </c>
    </row>
    <row r="294">
      <c r="A294" s="217" t="inlineStr">
        <is>
          <t>manageOrders.noImage</t>
        </is>
      </c>
      <c r="B294" s="217" t="inlineStr">
        <is>
          <t>Không có hình ảnh</t>
        </is>
      </c>
      <c r="C294" s="217" t="inlineStr">
        <is>
          <t>No image</t>
        </is>
      </c>
      <c r="D294" s="217" t="inlineStr">
        <is>
          <t>គ្មានរូបភាព</t>
        </is>
      </c>
      <c r="E294" s="217" t="inlineStr">
        <is>
          <t>មិនមានរូបភាព</t>
        </is>
      </c>
      <c r="F294" s="217" t="inlineStr">
        <is>
          <t>គ្មានរូបភាព</t>
        </is>
      </c>
      <c r="G294" s="217" t="inlineStr">
        <is>
          <t>គ្មានរូបភាព</t>
        </is>
      </c>
      <c r="H294" s="217" t="inlineStr">
        <is>
          <t>暂无图片</t>
        </is>
      </c>
      <c r="J294" t="inlineStr">
        <is>
          <t>គ្មានរូបភាព</t>
        </is>
      </c>
    </row>
    <row r="295">
      <c r="A295" s="217" t="inlineStr">
        <is>
          <t>manageOrders.toolTipSearch</t>
        </is>
      </c>
      <c r="B295" s="3" t="inlineStr">
        <is>
          <t>Tìm kiếm thông tin đơn hàng bằng cách nhập mã vận đơn, số điện thoại người nhận, hoặc tìm nhiều đơn hàng, cả mã đơn hàng cách nhau bằng dấu phẩy (tối đa 10 vận đơn/SĐT)</t>
        </is>
      </c>
      <c r="C295" s="217" t="inlineStr">
        <is>
          <t>Search for max 10 orders with order IDs, receiver's phone numbers, separated by commas</t>
        </is>
      </c>
      <c r="D295" s="3" t="inlineStr">
        <is>
          <t>ស្វែងរកបញ្ជី ដោយបញ្ចូលលេខដឹកជញ្ជូន ឬ លេខទូរស័ព្ទ; ឬច្រើនលេខដាក់ដោយ ';' (អតិបរិមាណ 10)</t>
        </is>
      </c>
      <c r="E295" s="142" t="inlineStr">
        <is>
          <t>ស្វែងរកព័ត៌មានបុងបញ្ញើ ដោយបញ្ចូលលេខកូដវិក្កយបត្រ លេខទូរស័ព្ទអ្នកទទួល ឬស្វែងរកបុងបញ្ញើច្រើន ទាំងលេខកូដបុងបញ្ញើនៅក្បែរគ្នាដោយដាក់សញ្ញាក្បៀស (អតិបរមា 10 លេខវិក្កយបត្រ/លេខទូរស័ព្ទ)</t>
        </is>
      </c>
      <c r="F295" s="3" t="inlineStr">
        <is>
          <t>ស្វែងរកព័ត៌មានប៉ុងបញ្ញើដោយបញ្ចូល លេខកូដប៉ុងបញ្ញើ លេខទូរស័ព្ទរបស់អ្នកទទួល ឬស្វែងរកប៉ុងបញ្ញើច្រើន រួមទាំងលេខកូដប៉ុងបញ្ញើដែលដកឃ្លាដោយសញ្ញាក្បៀស (អតិបរមា 10 ប៉ុងបញ្ញើ/លេខទូរស័ព្ទ)</t>
        </is>
      </c>
      <c r="G295" s="217" t="inlineStr">
        <is>
          <t>ស្វែងរកព័ត៌មានប៉ុងបញ្ញើដោយបញ្ចូល លេខកូដប៉ុងបញ្ញើ លេខទូរស័ព្ទរបស់អ្នកទទួល ឬស្វែងរកប៉ុងបញ្ញើច្រើន រួមទាំងលេខកូដប៉ុងបញ្ញើដែលដកឃ្លាដោយសញ្ញាក្បៀស (អតិបរមា 10 ប៉ុងបញ្ញើ/លេខទូរស័ព្ទ)</t>
        </is>
      </c>
      <c r="H295" s="217" t="inlineStr">
        <is>
          <t>最多可搜索10个订单，请输入订单号或收件人手机号，用逗号分隔</t>
        </is>
      </c>
      <c r="J295" t="inlineStr">
        <is>
          <t>ស្វែងរកព័ត៌មានប៉ុងបញ្ញើដោយបញ្ចូល លេខកូដប៉ុងបញ្ញើ លេខទូរស័ព្ទរបស់អ្នកទទួល ឬស្វែងរកប៉ុងបញ្ញើច្រើន រួមទាំងលេខកូដប៉ុងបញ្ញើដែលដកឃ្លាដោយសញ្ញាក្បៀស (អតិបរមា 10 ប៉ុងបញ្ញើ/លេខទូរស័ព្ទ)</t>
        </is>
      </c>
    </row>
    <row r="296">
      <c r="A296" s="217" t="inlineStr">
        <is>
          <t>manageOrders.page</t>
        </is>
      </c>
      <c r="B296" s="217" t="inlineStr">
        <is>
          <t>Trang</t>
        </is>
      </c>
      <c r="C296" s="217" t="inlineStr">
        <is>
          <t>Page</t>
        </is>
      </c>
      <c r="D296" s="217" t="inlineStr">
        <is>
          <t>ទំព័រ</t>
        </is>
      </c>
      <c r="E296" s="217" t="inlineStr">
        <is>
          <t>ទំព័រ</t>
        </is>
      </c>
      <c r="F296" s="217" t="inlineStr">
        <is>
          <t>ទំព័រ</t>
        </is>
      </c>
      <c r="G296" s="217" t="inlineStr">
        <is>
          <t>ទំព័រ</t>
        </is>
      </c>
      <c r="H296" s="217" t="inlineStr">
        <is>
          <t>页码</t>
        </is>
      </c>
      <c r="J296" t="inlineStr">
        <is>
          <t>ទំព័រ</t>
        </is>
      </c>
    </row>
    <row r="297">
      <c r="A297" s="217" t="inlineStr">
        <is>
          <t>manageOrders.unSelect</t>
        </is>
      </c>
      <c r="B297" s="217" t="inlineStr">
        <is>
          <t>Bỏ chọn</t>
        </is>
      </c>
      <c r="C297" s="217" t="inlineStr">
        <is>
          <t>Deselect</t>
        </is>
      </c>
      <c r="D297" s="217" t="inlineStr">
        <is>
          <t>ដកចេញជ្រើស</t>
        </is>
      </c>
      <c r="E297" s="217" t="inlineStr">
        <is>
          <t>លុុបចោលការជ្រើសរើស</t>
        </is>
      </c>
      <c r="F297" s="217" t="inlineStr">
        <is>
          <t>លុបការជ្រើសរើស</t>
        </is>
      </c>
      <c r="G297" s="217" t="inlineStr">
        <is>
          <t>លុបការជ្រើសរើស</t>
        </is>
      </c>
      <c r="H297" s="217" t="inlineStr">
        <is>
          <t>取消选择</t>
        </is>
      </c>
      <c r="J297" t="inlineStr">
        <is>
          <t>លុបការជ្រើសរើស</t>
        </is>
      </c>
    </row>
    <row r="298">
      <c r="A298" s="217" t="inlineStr">
        <is>
          <t>manageOrders.totalOrder</t>
        </is>
      </c>
      <c r="B298" s="217" t="inlineStr">
        <is>
          <t>Tổng đơn hàng:</t>
        </is>
      </c>
      <c r="C298" s="217" t="inlineStr">
        <is>
          <t>Total orders:</t>
        </is>
      </c>
      <c r="D298" s="217" t="inlineStr">
        <is>
          <t>ចំនួនបញ្ជាទិញសរុប:</t>
        </is>
      </c>
      <c r="E298" s="217" t="inlineStr">
        <is>
          <t>សរុបបុងបញ្ញើ៖</t>
        </is>
      </c>
      <c r="F298" s="217" t="inlineStr">
        <is>
          <t>សរុបប៉ុងបញ្ញើ៖</t>
        </is>
      </c>
      <c r="G298" s="217" t="inlineStr">
        <is>
          <t>សរុបប៉ុងបញ្ញើ៖</t>
        </is>
      </c>
      <c r="H298" s="217" t="inlineStr">
        <is>
          <t>订单总数：</t>
        </is>
      </c>
      <c r="J298" t="inlineStr">
        <is>
          <t>សរុបប៉ុងបញ្ញើ៖</t>
        </is>
      </c>
    </row>
    <row r="299">
      <c r="A299" s="217" t="inlineStr">
        <is>
          <t>manageOrders.approveOrder</t>
        </is>
      </c>
      <c r="B299" s="217" t="inlineStr">
        <is>
          <t>Duyệt đơn</t>
        </is>
      </c>
      <c r="C299" s="217" t="inlineStr">
        <is>
          <t>Approve order</t>
        </is>
      </c>
      <c r="D299" s="217" t="inlineStr">
        <is>
          <t>អនុម័តបញ្ជាទិញ</t>
        </is>
      </c>
      <c r="E299" s="217" t="inlineStr">
        <is>
          <t>អនុម័តបុងបញ្ញើ</t>
        </is>
      </c>
      <c r="F299" s="217" t="inlineStr">
        <is>
          <t>អនុម័តប៉ុងបញ្ញើ</t>
        </is>
      </c>
      <c r="G299" s="217" t="inlineStr">
        <is>
          <t>អនុម័តប៉ុងបញ្ញើ</t>
        </is>
      </c>
      <c r="H299" s="217" t="inlineStr">
        <is>
          <t>审核通过订单</t>
        </is>
      </c>
      <c r="J299" t="inlineStr">
        <is>
          <t>អនុម័តប៉ុងបញ្ញើ</t>
        </is>
      </c>
    </row>
    <row r="300">
      <c r="A300" s="217" t="inlineStr">
        <is>
          <t>manageOrders.editOrder</t>
        </is>
      </c>
      <c r="B300" s="217" t="inlineStr">
        <is>
          <t>Sửa đơn</t>
        </is>
      </c>
      <c r="C300" s="217" t="inlineStr">
        <is>
          <t>Edit order</t>
        </is>
      </c>
      <c r="D300" s="217" t="inlineStr">
        <is>
          <t>កែសម្រួលបញ្ជាទិញ</t>
        </is>
      </c>
      <c r="E300" s="217" t="inlineStr">
        <is>
          <t>កែសម្រួលបុងបញ្ញើ</t>
        </is>
      </c>
      <c r="F300" s="217" t="inlineStr">
        <is>
          <t>កែសម្រួលប៉ុងបញ្ញើ</t>
        </is>
      </c>
      <c r="G300" s="217" t="inlineStr">
        <is>
          <t>កែសម្រួលប៉ុងបញ្ញើ</t>
        </is>
      </c>
      <c r="H300" s="217" t="inlineStr">
        <is>
          <t>编辑订单</t>
        </is>
      </c>
      <c r="J300" t="inlineStr">
        <is>
          <t>កែសម្រួលប៉ុងបញ្ញើ</t>
        </is>
      </c>
    </row>
    <row r="301">
      <c r="A301" s="217" t="inlineStr">
        <is>
          <t>manageOrders.accept</t>
        </is>
      </c>
      <c r="B301" s="217" t="inlineStr">
        <is>
          <t>Đồng ý</t>
        </is>
      </c>
      <c r="C301" s="217" t="inlineStr">
        <is>
          <t>Accept</t>
        </is>
      </c>
      <c r="D301" s="217" t="inlineStr">
        <is>
          <t>យល់ព្រម</t>
        </is>
      </c>
      <c r="E301" s="217" t="inlineStr">
        <is>
          <t>យល់ព្រម</t>
        </is>
      </c>
      <c r="F301" s="217" t="inlineStr">
        <is>
          <t>យល់ព្រម</t>
        </is>
      </c>
      <c r="G301" s="217" t="inlineStr">
        <is>
          <t>យល់ព្រម</t>
        </is>
      </c>
      <c r="H301" s="217" t="inlineStr">
        <is>
          <t>接受</t>
        </is>
      </c>
      <c r="J301" t="inlineStr">
        <is>
          <t>យល់ព្រម</t>
        </is>
      </c>
    </row>
    <row r="302">
      <c r="A302" s="217" t="inlineStr">
        <is>
          <t>manageOrders.reject</t>
        </is>
      </c>
      <c r="B302" s="217" t="inlineStr">
        <is>
          <t>Từ chối</t>
        </is>
      </c>
      <c r="C302" s="217" t="inlineStr">
        <is>
          <t>Reject</t>
        </is>
      </c>
      <c r="D302" s="217" t="inlineStr">
        <is>
          <t>បដិសេធ</t>
        </is>
      </c>
      <c r="E302" s="217" t="inlineStr">
        <is>
          <t>បដិសេដ</t>
        </is>
      </c>
      <c r="F302" s="217" t="inlineStr">
        <is>
          <t>បដិសេធ</t>
        </is>
      </c>
      <c r="G302" s="217" t="inlineStr">
        <is>
          <t>បដិសេធ</t>
        </is>
      </c>
      <c r="H302" s="217" t="inlineStr">
        <is>
          <t>拒绝</t>
        </is>
      </c>
      <c r="J302" t="inlineStr">
        <is>
          <t>បដិសេធ</t>
        </is>
      </c>
    </row>
    <row r="303">
      <c r="A303" s="217" t="inlineStr">
        <is>
          <t>manageOrders.returnOrder</t>
        </is>
      </c>
      <c r="B303" s="217" t="inlineStr">
        <is>
          <t>Hoàn đơn</t>
        </is>
      </c>
      <c r="C303" s="217" t="inlineStr">
        <is>
          <t>Return order</t>
        </is>
      </c>
      <c r="D303" s="217" t="inlineStr">
        <is>
          <t>ត្រលប់បញ្ជាទិញ</t>
        </is>
      </c>
      <c r="E303" s="217" t="inlineStr">
        <is>
          <t>ត្រឡប់បុងបញ្ញើ</t>
        </is>
      </c>
      <c r="F303" s="217" t="inlineStr">
        <is>
          <t>សងត្រលប់ប៉ុងបញ្ញើមកវិញ</t>
        </is>
      </c>
      <c r="G303" s="217" t="inlineStr">
        <is>
          <t>សងត្រលប់ប៉ុងបញ្ញើមកវិញ</t>
        </is>
      </c>
      <c r="H303" s="217" t="inlineStr">
        <is>
          <t>退回订单</t>
        </is>
      </c>
      <c r="J303" t="inlineStr">
        <is>
          <t>សងត្រលប់ប៉ុងបញ្ញើមកវិញ</t>
        </is>
      </c>
    </row>
    <row r="304">
      <c r="A304" s="217" t="inlineStr">
        <is>
          <t>manageOrders.continueDelivery</t>
        </is>
      </c>
      <c r="B304" s="217" t="inlineStr">
        <is>
          <t>Phát tiếp</t>
        </is>
      </c>
      <c r="C304" s="217" t="inlineStr">
        <is>
          <t>Redelivery</t>
        </is>
      </c>
      <c r="D304" s="217" t="inlineStr">
        <is>
          <t>ដាក់សំណើផ្ញើម្តងទៀត</t>
        </is>
      </c>
      <c r="E304" s="217" t="inlineStr">
        <is>
          <t>ប្រគល់បន្ត</t>
        </is>
      </c>
      <c r="F304" s="217" t="inlineStr">
        <is>
          <t>ប្រគល់បន្ត</t>
        </is>
      </c>
      <c r="G304" s="217" t="inlineStr">
        <is>
          <t>ដឹកជញ្ជូនបន្ត</t>
        </is>
      </c>
      <c r="H304" s="217" t="inlineStr">
        <is>
          <t>再次派送</t>
        </is>
      </c>
      <c r="J304" t="inlineStr">
        <is>
          <t>ដឹកជញ្ជូនបន្ត</t>
        </is>
      </c>
    </row>
    <row r="305">
      <c r="A305" s="217" t="inlineStr">
        <is>
          <t>manageOrders.storeOrder</t>
        </is>
      </c>
      <c r="B305" s="217" t="inlineStr">
        <is>
          <t>Lưu kho</t>
        </is>
      </c>
      <c r="C305" s="217" t="inlineStr">
        <is>
          <t>Store order</t>
        </is>
      </c>
      <c r="D305" s="217" t="inlineStr">
        <is>
          <t>ផ្ទុកលើឃ្លាំង</t>
        </is>
      </c>
      <c r="E305" s="217" t="inlineStr">
        <is>
          <t>រក្សាទុកក្នុងឃ្លាំង</t>
        </is>
      </c>
      <c r="F305" s="217" t="inlineStr">
        <is>
          <t>រក្សាទុកក្នុងឃ្លាំង</t>
        </is>
      </c>
      <c r="G305" s="217" t="inlineStr">
        <is>
          <t>រក្សាទុកក្នុងឃ្លាំង</t>
        </is>
      </c>
      <c r="H305" s="217" t="inlineStr">
        <is>
          <t>存储订单</t>
        </is>
      </c>
      <c r="J305" t="inlineStr">
        <is>
          <t>រក្សាទុកក្នុងឃ្លាំង</t>
        </is>
      </c>
    </row>
    <row r="306">
      <c r="A306" s="217" t="inlineStr">
        <is>
          <t>manageOrders.infoOrder</t>
        </is>
      </c>
      <c r="B306" s="217" t="inlineStr">
        <is>
          <t>Thông tin đơn hàng</t>
        </is>
      </c>
      <c r="C306" s="217" t="inlineStr">
        <is>
          <t>Order information</t>
        </is>
      </c>
      <c r="D306" s="217" t="inlineStr">
        <is>
          <t>ព័ត៌មានបញ្ជា</t>
        </is>
      </c>
      <c r="E306" s="217" t="inlineStr">
        <is>
          <t>ព័ត៌មានបុងបញ្ញើ</t>
        </is>
      </c>
      <c r="F306" s="217" t="inlineStr">
        <is>
          <t>ព័ត៌មានប៉ុងបញ្ញើឥវ៉ាន់</t>
        </is>
      </c>
      <c r="G306" s="217" t="inlineStr">
        <is>
          <t>ព័ត៌មានប៉ុងបញ្ញើឥវ៉ាន់</t>
        </is>
      </c>
      <c r="H306" s="217" t="inlineStr">
        <is>
          <t>订单信息</t>
        </is>
      </c>
      <c r="J306" t="inlineStr">
        <is>
          <t>ព័ត៌មានប៉ុងបញ្ញើឥវ៉ាន់</t>
        </is>
      </c>
    </row>
    <row r="307">
      <c r="A307" s="217" t="inlineStr">
        <is>
          <t>manageOrders.deliveryNotificationImage</t>
        </is>
      </c>
      <c r="B307" s="217" t="inlineStr">
        <is>
          <t>Ảnh báo phát</t>
        </is>
      </c>
      <c r="C307" s="217" t="inlineStr">
        <is>
          <t>Delivery notification image</t>
        </is>
      </c>
      <c r="D307" s="217" t="inlineStr">
        <is>
          <t>រូបភាពជូនដំណឹងការដឹក</t>
        </is>
      </c>
      <c r="E307" s="217" t="n"/>
      <c r="F307" s="217" t="inlineStr">
        <is>
          <t>រូបថតបញ្ជាក់ពីការប្រគល់ឥវ៉ាន់</t>
        </is>
      </c>
      <c r="G307" s="217" t="inlineStr">
        <is>
          <t>រូបថតបញ្ជាក់ពីការប្រគល់ឥវ៉ាន់</t>
        </is>
      </c>
      <c r="H307" s="217" t="inlineStr">
        <is>
          <t>派送通知凭证</t>
        </is>
      </c>
      <c r="J307" t="inlineStr">
        <is>
          <t>រូបថតបញ្ជាក់ពីការប្រគល់ឥវ៉ាន់</t>
        </is>
      </c>
    </row>
    <row r="308">
      <c r="A308" s="217" t="inlineStr">
        <is>
          <t>manageOrders.shippingImage</t>
        </is>
      </c>
      <c r="B308" s="217" t="inlineStr">
        <is>
          <t>Hình ảnh gửi hàng</t>
        </is>
      </c>
      <c r="C308" s="217" t="inlineStr">
        <is>
          <t>Shipping image</t>
        </is>
      </c>
      <c r="D308" s="217" t="inlineStr">
        <is>
          <t>រូបភាពការផ្ញើ</t>
        </is>
      </c>
      <c r="E308" s="217" t="inlineStr">
        <is>
          <t>រូបភាពផ្ញើអីវ៉ាន់</t>
        </is>
      </c>
      <c r="F308" s="217" t="inlineStr">
        <is>
          <t>រូបថតពីការផ្ញើអីវ៉ាន់</t>
        </is>
      </c>
      <c r="G308" s="217" t="inlineStr">
        <is>
          <t>រូបថតពីការផ្ញើអីវ៉ាន់</t>
        </is>
      </c>
      <c r="H308" s="217" t="inlineStr">
        <is>
          <t>物流凭证照片</t>
        </is>
      </c>
      <c r="J308" t="inlineStr">
        <is>
          <t>រូបថតពីការផ្ញើអីវ៉ាន់</t>
        </is>
      </c>
    </row>
    <row r="309">
      <c r="A309" s="217" t="inlineStr">
        <is>
          <t>manageOrders.areYouSureYouCanReturnTheOrder</t>
        </is>
      </c>
      <c r="B309" s="3" t="inlineStr">
        <is>
          <t>Quý khách có chắc chắc hoàn đơn hàng {{order}} ?</t>
        </is>
      </c>
      <c r="C309" s="217" t="inlineStr">
        <is>
          <t>Are you sure you can return the order {{order}} ?</t>
        </is>
      </c>
      <c r="D309" s="217" t="inlineStr">
        <is>
          <t>តើអ្នកប្រាកដចង់ត្រលប់បញ្ជា {{order}} មែន?</t>
        </is>
      </c>
      <c r="E309" s="217" t="inlineStr">
        <is>
          <t>អតិថិជនពិតជាចង់ត្រឡប់បុងបញ្ញើ {{order}} មែនទេ?</t>
        </is>
      </c>
      <c r="F309" s="217" t="inlineStr">
        <is>
          <t>អតិថិជនពិតជាចង់សងត្រឡប់ប៉ុងបញ្ញើឥវ៉ាន់មកវិញ {{order}} មែនទេ?</t>
        </is>
      </c>
      <c r="G309" s="217" t="inlineStr">
        <is>
          <t>អតិថិជនពិតជាចង់សងត្រឡប់ប៉ុងបញ្ញើឥវ៉ាន់មកវិញ {{order}} មែនទេ?</t>
        </is>
      </c>
      <c r="H309" s="217" t="inlineStr">
        <is>
          <t>确认订单 {{order}} 可以退回了吗？</t>
        </is>
      </c>
      <c r="J309" t="inlineStr">
        <is>
          <t>អតិថិជនពិតជាចង់សងត្រឡប់ប៉ុងបញ្ញើឥវ៉ាន់មកវិញ {{order}} មែនទេ?</t>
        </is>
      </c>
    </row>
    <row r="310">
      <c r="A310" s="217" t="inlineStr">
        <is>
          <t>manageOrders.orderCompletedSuccessfully</t>
        </is>
      </c>
      <c r="B310" s="217" t="inlineStr">
        <is>
          <t>Hoàn đơn thành công !</t>
        </is>
      </c>
      <c r="C310" s="217" t="inlineStr">
        <is>
          <t>Order completed successfully !</t>
        </is>
      </c>
      <c r="D310" s="217" t="inlineStr">
        <is>
          <t>ត្រលប់បានជោគជ័យ!</t>
        </is>
      </c>
      <c r="E310" s="217" t="inlineStr">
        <is>
          <t>ត្រឡប់បុងបានជោគជ័យ!</t>
        </is>
      </c>
      <c r="F310" s="217" t="inlineStr">
        <is>
          <t>សងត្រឡប់ប៉ុងបញ្ញើឥវ៉ាន់ដោយជោគជ័យ</t>
        </is>
      </c>
      <c r="G310" s="217" t="inlineStr">
        <is>
          <t>សងត្រឡប់ប៉ុងបញ្ញើឥវ៉ាន់ដោយជោគជ័យ</t>
        </is>
      </c>
      <c r="H310" s="217" t="inlineStr">
        <is>
          <t>订单已完成！</t>
        </is>
      </c>
      <c r="J310" t="inlineStr">
        <is>
          <t>សងត្រឡប់ប៉ុងបញ្ញើឥវ៉ាន់ដោយជោគជ័យ</t>
        </is>
      </c>
    </row>
    <row r="311">
      <c r="A311" s="217" t="inlineStr">
        <is>
          <t>manageOrders.orderScope</t>
        </is>
      </c>
      <c r="B311" s="217" t="inlineStr">
        <is>
          <t>Loại đơn</t>
        </is>
      </c>
      <c r="C311" s="217" t="inlineStr">
        <is>
          <t>Order Type</t>
        </is>
      </c>
      <c r="D311" s="217" t="inlineStr">
        <is>
          <t>-</t>
        </is>
      </c>
      <c r="E311" s="217" t="inlineStr">
        <is>
          <t>ប្រភេទបុងបញ្ញើ</t>
        </is>
      </c>
      <c r="F311" s="217" t="inlineStr">
        <is>
          <t>ប្រភេទបុងបញ្ញើ</t>
        </is>
      </c>
      <c r="G311" s="217" t="inlineStr">
        <is>
          <t>ប្រភេទបុងបញ្ញើ</t>
        </is>
      </c>
      <c r="H311" s="217" t="inlineStr">
        <is>
          <t>订单类型</t>
        </is>
      </c>
      <c r="J311" t="inlineStr">
        <is>
          <t>ប្រភេទបុងបញ្ញើ</t>
        </is>
      </c>
    </row>
    <row r="312">
      <c r="A312" s="217" t="inlineStr">
        <is>
          <t>manageOrders.DOMESTIC</t>
        </is>
      </c>
      <c r="B312" s="217" t="inlineStr">
        <is>
          <t>Trong nước</t>
        </is>
      </c>
      <c r="C312" s="217" t="inlineStr">
        <is>
          <t>Domestic</t>
        </is>
      </c>
      <c r="D312" s="217" t="inlineStr">
        <is>
          <t>-</t>
        </is>
      </c>
      <c r="E312" s="217" t="inlineStr">
        <is>
          <t>ក្នុងប្រទេស</t>
        </is>
      </c>
      <c r="F312" s="217" t="inlineStr">
        <is>
          <t>ក្នុងប្រទេស</t>
        </is>
      </c>
      <c r="G312" s="217" t="inlineStr">
        <is>
          <t>ក្នុងប្រទេស</t>
        </is>
      </c>
      <c r="H312" s="217" t="inlineStr">
        <is>
          <t>国内</t>
        </is>
      </c>
      <c r="J312" t="inlineStr">
        <is>
          <t>ក្នុងប្រទេស</t>
        </is>
      </c>
    </row>
    <row r="313">
      <c r="A313" s="217" t="inlineStr">
        <is>
          <t>manageOrders.INTERNATIONAL</t>
        </is>
      </c>
      <c r="B313" s="217" t="inlineStr">
        <is>
          <t>Quốc tế</t>
        </is>
      </c>
      <c r="C313" s="217" t="inlineStr">
        <is>
          <t>International</t>
        </is>
      </c>
      <c r="D313" s="217" t="inlineStr">
        <is>
          <t>-</t>
        </is>
      </c>
      <c r="E313" s="217" t="inlineStr">
        <is>
          <t>អន្តរជាតិ</t>
        </is>
      </c>
      <c r="F313" s="217" t="inlineStr">
        <is>
          <t>អន្តរជាតិ</t>
        </is>
      </c>
      <c r="G313" s="217" t="inlineStr">
        <is>
          <t>អន្តរជាតិ</t>
        </is>
      </c>
      <c r="H313" s="217" t="inlineStr">
        <is>
          <t>国际</t>
        </is>
      </c>
      <c r="J313" t="inlineStr">
        <is>
          <t>អន្តរជាតិ</t>
        </is>
      </c>
    </row>
    <row r="314">
      <c r="A314" s="217" t="inlineStr">
        <is>
          <t>manageOrders.confirmForward</t>
        </is>
      </c>
      <c r="B314" s="217" t="inlineStr">
        <is>
          <t>Bạn chắc chắn từ chối hoàn đơn</t>
        </is>
      </c>
      <c r="C314" s="217" t="inlineStr">
        <is>
          <t>Are you sure to redeliver the order</t>
        </is>
      </c>
      <c r="D314" s="217" t="inlineStr">
        <is>
          <t>តើអ្នកប្រាកដចង់ផ្ញើបញ្ជាទិញ</t>
        </is>
      </c>
      <c r="E314" s="217" t="inlineStr">
        <is>
          <t>តើអ្នកពិតជាចង់បដិសេដលុបបុងបញ្ញើចោល</t>
        </is>
      </c>
      <c r="F314" s="3" t="inlineStr">
        <is>
          <t>អតិថិជនពិតជាចង់បដិសេដការសងត្រឡប់ប៉ុងបញ្ញើឥវ៉ាន់មកវិញ {{order}} មែនទេ?</t>
        </is>
      </c>
      <c r="G314" s="217" t="inlineStr">
        <is>
          <t>អតិថិជនពិតជាចង់បដិសេធការសងត្រឡប់ប៉ុងបញ្ញើឥវ៉ាន់មកវិញ {{order}} មែនទេ?</t>
        </is>
      </c>
      <c r="H314" s="217" t="inlineStr">
        <is>
          <t>确认要再次派送此订单吗？</t>
        </is>
      </c>
      <c r="J314" t="inlineStr">
        <is>
          <t>អតិថិជនពិតជាចង់បដិសេធការសងត្រឡប់ប៉ុងបញ្ញើឥវ៉ាន់មកវិញ {{order}} មែនទេ?</t>
        </is>
      </c>
    </row>
    <row r="315">
      <c r="A315" s="217" t="inlineStr">
        <is>
          <t>manageOrders.handleForward</t>
        </is>
      </c>
      <c r="B315" s="217" t="inlineStr">
        <is>
          <t>để phát tiếp?</t>
        </is>
      </c>
      <c r="C315" s="217" t="inlineStr">
        <is>
          <t>?</t>
        </is>
      </c>
      <c r="D315" s="217" t="n"/>
      <c r="E315" s="217" t="inlineStr">
        <is>
          <t>ដើម្បីប្រគល់បន្តមែនទេ?</t>
        </is>
      </c>
      <c r="F315" s="217" t="inlineStr">
        <is>
          <t>ប្រគល់បន្តទៀត</t>
        </is>
      </c>
      <c r="G315" s="217" t="inlineStr">
        <is>
          <t>ប្រគល់បន្តទៀត</t>
        </is>
      </c>
      <c r="H315" s="217" t="inlineStr">
        <is>
          <t>处理转发</t>
        </is>
      </c>
      <c r="J315" t="inlineStr">
        <is>
          <t>ប្រគល់បន្តទៀត</t>
        </is>
      </c>
    </row>
    <row r="316">
      <c r="A316" s="217" t="inlineStr">
        <is>
          <t>manageOrders.continueDeliverySuccess</t>
        </is>
      </c>
      <c r="B316" s="217" t="inlineStr">
        <is>
          <t>Yêu cầu phát tiếp đơn thành công</t>
        </is>
      </c>
      <c r="C316" s="217" t="inlineStr">
        <is>
          <t>Redelivery request sent!</t>
        </is>
      </c>
      <c r="D316" s="217" t="inlineStr">
        <is>
          <t>សំណើផ្ញើបានផ្ញើ!</t>
        </is>
      </c>
      <c r="E316" s="217" t="inlineStr">
        <is>
          <t>ការស្នើសុំប្រគល់អីវ៉ាន់បន្តបានជោគជ័យ</t>
        </is>
      </c>
      <c r="F316" s="217" t="inlineStr">
        <is>
          <t>ស្នើសុំប្រគល់ឥវ៉ាន់បន្តដែលបានបង្កើតប៉ុងបញ្ញើដោយជោគជ័យ</t>
        </is>
      </c>
      <c r="G316" s="217" t="inlineStr">
        <is>
          <t>ស្នើសុំប្រគល់ឥវ៉ាន់បន្តដែលបានបង្កើតប៉ុងបញ្ញើដោយជោគជ័យ</t>
        </is>
      </c>
      <c r="H316" s="217" t="inlineStr">
        <is>
          <t>再次派送请求已发送！</t>
        </is>
      </c>
      <c r="J316" t="inlineStr">
        <is>
          <t>ស្នើសុំប្រគល់ឥវ៉ាន់បន្តដែលបានបង្កើតប៉ុងបញ្ញើដោយជោគជ័យ</t>
        </is>
      </c>
    </row>
    <row r="317">
      <c r="A317" s="217" t="inlineStr">
        <is>
          <t>manageOrders.continueDeliveryReason</t>
        </is>
      </c>
      <c r="B317" s="217" t="inlineStr">
        <is>
          <t>Lý do phát tiếp</t>
        </is>
      </c>
      <c r="C317" s="217" t="inlineStr">
        <is>
          <t>Contents</t>
        </is>
      </c>
      <c r="D317" s="217" t="inlineStr">
        <is>
          <t>មាតិកា</t>
        </is>
      </c>
      <c r="E317" s="217" t="inlineStr">
        <is>
          <t>ហេតុផលដែលត្រូវប្រគល់បន្ត</t>
        </is>
      </c>
      <c r="F317" s="217" t="inlineStr">
        <is>
          <t>ហេតុផលដែលត្រូវប្រគល់បន្ត</t>
        </is>
      </c>
      <c r="G317" s="217" t="inlineStr">
        <is>
          <t>ហេតុផលដែលត្រូវប្រគល់បន្ត</t>
        </is>
      </c>
      <c r="H317" s="217" t="inlineStr">
        <is>
          <t>内件品名</t>
        </is>
      </c>
      <c r="J317" t="inlineStr">
        <is>
          <t>ហេតុផលដែលត្រូវប្រគល់បន្ត</t>
        </is>
      </c>
    </row>
    <row r="318">
      <c r="A318" s="217" t="inlineStr">
        <is>
          <t>manageOrders.continueDeliveryReasonPlaceholder</t>
        </is>
      </c>
      <c r="B318" s="217" t="inlineStr">
        <is>
          <t>Nhập lý do phát tiếp</t>
        </is>
      </c>
      <c r="C318" s="217" t="inlineStr">
        <is>
          <t>Enter contents</t>
        </is>
      </c>
      <c r="D318" s="217" t="inlineStr">
        <is>
          <t>បញ្ចូលមាតិកា</t>
        </is>
      </c>
      <c r="E318" s="217" t="inlineStr">
        <is>
          <t>បញ្ចូលហេតុផលប្រគល់បន្ត</t>
        </is>
      </c>
      <c r="F318" s="217" t="inlineStr">
        <is>
          <t>បញ្ចូលហេតុផលប្រគល់បន្ត</t>
        </is>
      </c>
      <c r="G318" s="217" t="inlineStr">
        <is>
          <t>បញ្ចូលហេតុផលប្រគល់បន្ត</t>
        </is>
      </c>
      <c r="H318" s="217" t="inlineStr">
        <is>
          <t>输入内容</t>
        </is>
      </c>
      <c r="J318" t="inlineStr">
        <is>
          <t>បញ្ចូលហេតុផលប្រគល់បន្ត</t>
        </is>
      </c>
    </row>
    <row r="319">
      <c r="A319" s="217" t="inlineStr">
        <is>
          <t>manageOrders.titleForward</t>
        </is>
      </c>
      <c r="B319" s="217" t="inlineStr">
        <is>
          <t>Xác nhận phát tiếp</t>
        </is>
      </c>
      <c r="C319" s="217" t="inlineStr">
        <is>
          <t>Confirm</t>
        </is>
      </c>
      <c r="D319" s="217" t="inlineStr">
        <is>
          <t>បញ្ជាក់</t>
        </is>
      </c>
      <c r="E319" s="217" t="inlineStr">
        <is>
          <t>បញ្ជាក់ការប្រគល់បន្ត</t>
        </is>
      </c>
      <c r="F319" s="217" t="inlineStr">
        <is>
          <t>បញ្ជាក់ការប្រគល់បន្ត</t>
        </is>
      </c>
      <c r="G319" s="217" t="inlineStr">
        <is>
          <t>បញ្ជាក់ការប្រគល់បន្ត</t>
        </is>
      </c>
      <c r="H319" s="217" t="inlineStr">
        <is>
          <t>确认</t>
        </is>
      </c>
      <c r="J319" t="inlineStr">
        <is>
          <t>បញ្ជាក់ការប្រគល់បន្ត</t>
        </is>
      </c>
    </row>
    <row r="320">
      <c r="A320" s="217" t="inlineStr">
        <is>
          <t>columnExcel.status</t>
        </is>
      </c>
      <c r="B320" s="217" t="inlineStr">
        <is>
          <t>Trạng thái</t>
        </is>
      </c>
      <c r="C320" s="217" t="inlineStr">
        <is>
          <t>Status</t>
        </is>
      </c>
      <c r="D320" s="217" t="inlineStr">
        <is>
          <t>ស្ថានភាព</t>
        </is>
      </c>
      <c r="E320" s="217" t="inlineStr">
        <is>
          <t>ស្ថានភាព</t>
        </is>
      </c>
      <c r="F320" s="217" t="inlineStr">
        <is>
          <t>ស្ថានភាព</t>
        </is>
      </c>
      <c r="G320" s="217" t="inlineStr">
        <is>
          <t>ស្ថានភាព</t>
        </is>
      </c>
      <c r="H320" s="217" t="inlineStr">
        <is>
          <t>订单状态</t>
        </is>
      </c>
      <c r="J320" t="inlineStr">
        <is>
          <t>ស្ថានភាព</t>
        </is>
      </c>
    </row>
    <row r="321">
      <c r="A321" s="217" t="inlineStr">
        <is>
          <t>columnExcel.totalFare</t>
        </is>
      </c>
      <c r="B321" s="217" t="inlineStr">
        <is>
          <t>Tổng cước</t>
        </is>
      </c>
      <c r="C321" s="217" t="inlineStr">
        <is>
          <t>Total fare</t>
        </is>
      </c>
      <c r="D321" s="217" t="inlineStr">
        <is>
          <t>សរុបតម្លៃ</t>
        </is>
      </c>
      <c r="E321" s="217" t="inlineStr">
        <is>
          <t>សរុបថ្លៃសេវា</t>
        </is>
      </c>
      <c r="F321" s="217" t="inlineStr">
        <is>
          <t>សរុបថ្លៃសេវា</t>
        </is>
      </c>
      <c r="G321" s="217" t="inlineStr">
        <is>
          <t>ថ្លៃដឹកជញ្ជូនសរុប</t>
        </is>
      </c>
      <c r="H321" s="217" t="inlineStr">
        <is>
          <t>总运费</t>
        </is>
      </c>
      <c r="J321" t="inlineStr">
        <is>
          <t>ថ្លៃដឹកជញ្ជូនសរុប</t>
        </is>
      </c>
    </row>
    <row r="322">
      <c r="A322" s="217" t="inlineStr">
        <is>
          <t>columnExcel.promoCode</t>
        </is>
      </c>
      <c r="B322" s="217" t="inlineStr">
        <is>
          <t>Mã khuyến mãi</t>
        </is>
      </c>
      <c r="C322" s="217" t="inlineStr">
        <is>
          <t>Promo code</t>
        </is>
      </c>
      <c r="D322" s="217" t="inlineStr">
        <is>
          <t>កូដលើកទឹកចិត្ត</t>
        </is>
      </c>
      <c r="E322" s="217" t="inlineStr">
        <is>
          <t>លេខកូដប្រូម៉ូសិន</t>
        </is>
      </c>
      <c r="F322" s="217" t="inlineStr">
        <is>
          <t>លេខកូដប្រូម៉ូសិន</t>
        </is>
      </c>
      <c r="G322" s="217" t="inlineStr">
        <is>
          <t>លេខកូដប្រូម៉ូសិន</t>
        </is>
      </c>
      <c r="H322" s="217" t="inlineStr">
        <is>
          <t>优惠码</t>
        </is>
      </c>
      <c r="J322" t="inlineStr">
        <is>
          <t>លេខកូដប្រូម៉ូសិន</t>
        </is>
      </c>
    </row>
    <row r="323">
      <c r="A323" s="217" t="inlineStr">
        <is>
          <t>columnExcel.orderCode</t>
        </is>
      </c>
      <c r="B323" s="217" t="inlineStr">
        <is>
          <t>Mã đơn hàng</t>
        </is>
      </c>
      <c r="C323" s="217" t="inlineStr">
        <is>
          <t>Order code</t>
        </is>
      </c>
      <c r="D323" s="217" t="inlineStr">
        <is>
          <t>លេខបញ្ជាទិញ</t>
        </is>
      </c>
      <c r="E323" s="217" t="inlineStr">
        <is>
          <t>លេខកូូដបុងបញ្ញើ</t>
        </is>
      </c>
      <c r="F323" s="217" t="inlineStr">
        <is>
          <t>លេខកូដប៉ុងបញ្ញើ</t>
        </is>
      </c>
      <c r="G323" s="217" t="inlineStr">
        <is>
          <t>លេខកូដបុងបញ្ញើ</t>
        </is>
      </c>
      <c r="H323" s="217" t="inlineStr">
        <is>
          <t>订单编号</t>
        </is>
      </c>
      <c r="J323" t="inlineStr">
        <is>
          <t>លេខកូដបុងបញ្ញើ</t>
        </is>
      </c>
    </row>
    <row r="324">
      <c r="A324" s="217" t="inlineStr">
        <is>
          <t>columnExcel.recipientName</t>
        </is>
      </c>
      <c r="B324" s="217" t="inlineStr">
        <is>
          <t>Tên người nhận</t>
        </is>
      </c>
      <c r="C324" s="217" t="inlineStr">
        <is>
          <t>Recipient's name</t>
        </is>
      </c>
      <c r="D324" s="217" t="inlineStr">
        <is>
          <t>ឈ្មោះអ្នកទទួល</t>
        </is>
      </c>
      <c r="E324" s="217" t="inlineStr">
        <is>
          <t>ឈ្មោះអ្នកទទួល</t>
        </is>
      </c>
      <c r="F324" s="217" t="inlineStr">
        <is>
          <t>ឈ្មោះអ្នកទទួល</t>
        </is>
      </c>
      <c r="G324" s="217" t="inlineStr">
        <is>
          <t>ឈ្មោះអ្នកទទួល</t>
        </is>
      </c>
      <c r="H324" s="217" t="inlineStr">
        <is>
          <t>收件人姓名</t>
        </is>
      </c>
      <c r="J324" t="inlineStr">
        <is>
          <t>ឈ្មោះអ្នកទទួល</t>
        </is>
      </c>
    </row>
    <row r="325">
      <c r="A325" s="217" t="inlineStr">
        <is>
          <t>columnExcel.phone</t>
        </is>
      </c>
      <c r="B325" s="217" t="inlineStr">
        <is>
          <t>Số điện thoại</t>
        </is>
      </c>
      <c r="C325" s="217" t="inlineStr">
        <is>
          <t>Phone number</t>
        </is>
      </c>
      <c r="D325" s="217" t="inlineStr">
        <is>
          <t>លេខទូរស័ព្ទ</t>
        </is>
      </c>
      <c r="E325" s="217" t="inlineStr">
        <is>
          <t>លេខទូរស័ព្ទ</t>
        </is>
      </c>
      <c r="F325" s="217" t="inlineStr">
        <is>
          <t>លេខទូរស័ព្ទ</t>
        </is>
      </c>
      <c r="G325" s="217" t="inlineStr">
        <is>
          <t>លេខទូរស័ព្ទ</t>
        </is>
      </c>
      <c r="H325" s="217" t="inlineStr">
        <is>
          <t>手机号码</t>
        </is>
      </c>
      <c r="J325" t="inlineStr">
        <is>
          <t>លេខទូរស័ព្ទ</t>
        </is>
      </c>
    </row>
    <row r="326">
      <c r="A326" s="217" t="inlineStr">
        <is>
          <t>columnExcel.deliveryAddress</t>
        </is>
      </c>
      <c r="B326" s="217" t="inlineStr">
        <is>
          <t>Địa chỉ nhận</t>
        </is>
      </c>
      <c r="C326" s="217" t="inlineStr">
        <is>
          <t>Delivery address</t>
        </is>
      </c>
      <c r="D326" s="217" t="inlineStr">
        <is>
          <t>អាសយដ្ឋានទទួល</t>
        </is>
      </c>
      <c r="E326" s="217" t="inlineStr">
        <is>
          <t>អាស័យដ្ឋានទទួល</t>
        </is>
      </c>
      <c r="F326" s="217" t="inlineStr">
        <is>
          <t>អាស័យដ្ឋានទទួល</t>
        </is>
      </c>
      <c r="G326" s="217" t="inlineStr">
        <is>
          <t>អាសយដ្ឋានទទួល</t>
        </is>
      </c>
      <c r="H326" s="217" t="inlineStr">
        <is>
          <t>收货地址</t>
        </is>
      </c>
      <c r="J326" t="inlineStr">
        <is>
          <t>អាសយដ្ឋានទទួល</t>
        </is>
      </c>
    </row>
    <row r="327">
      <c r="A327" s="217" t="inlineStr">
        <is>
          <t>columnExcel.productName</t>
        </is>
      </c>
      <c r="B327" s="217" t="inlineStr">
        <is>
          <t>Tên hàng hoá</t>
        </is>
      </c>
      <c r="C327" s="217" t="inlineStr">
        <is>
          <t>Product name</t>
        </is>
      </c>
      <c r="D327" s="217" t="inlineStr">
        <is>
          <t>ឈ្មោះទំនិញ</t>
        </is>
      </c>
      <c r="E327" s="217" t="inlineStr">
        <is>
          <t>ប្រភេទអីវ៉ាន់</t>
        </is>
      </c>
      <c r="F327" s="217" t="inlineStr">
        <is>
          <t>ឈ្មោះឥវ៉ាន់</t>
        </is>
      </c>
      <c r="G327" s="217" t="inlineStr">
        <is>
          <t>ឈ្មោះឥវ៉ាន់</t>
        </is>
      </c>
      <c r="H327" s="217" t="inlineStr">
        <is>
          <t>商品名称</t>
        </is>
      </c>
      <c r="J327" t="inlineStr">
        <is>
          <t>ឈ្មោះឥវ៉ាន់</t>
        </is>
      </c>
    </row>
    <row r="328">
      <c r="A328" s="217" t="inlineStr">
        <is>
          <t>columnExcel.quantity</t>
        </is>
      </c>
      <c r="B328" s="217" t="inlineStr">
        <is>
          <t>Số lượng</t>
        </is>
      </c>
      <c r="C328" s="217" t="inlineStr">
        <is>
          <t>Quantity</t>
        </is>
      </c>
      <c r="D328" s="217" t="inlineStr">
        <is>
          <t>ចំនួន</t>
        </is>
      </c>
      <c r="E328" s="217" t="inlineStr">
        <is>
          <t>ចំនួន</t>
        </is>
      </c>
      <c r="F328" s="217" t="inlineStr">
        <is>
          <t>ចំនួន</t>
        </is>
      </c>
      <c r="G328" s="217" t="inlineStr">
        <is>
          <t>ចំនួន</t>
        </is>
      </c>
      <c r="H328" s="217" t="inlineStr">
        <is>
          <t>数量</t>
        </is>
      </c>
      <c r="J328" t="inlineStr">
        <is>
          <t>ចំនួន</t>
        </is>
      </c>
    </row>
    <row r="329">
      <c r="A329" s="217" t="inlineStr">
        <is>
          <t>columnExcel.weight</t>
        </is>
      </c>
      <c r="B329" s="217" t="inlineStr">
        <is>
          <t>Trọng lượng (g)</t>
        </is>
      </c>
      <c r="C329" s="217" t="inlineStr">
        <is>
          <t>Weight (g)</t>
        </is>
      </c>
      <c r="D329" s="217" t="inlineStr">
        <is>
          <t>ទំងន់ (ក្រាម)</t>
        </is>
      </c>
      <c r="E329" s="217" t="inlineStr">
        <is>
          <t>ទម្ងន់ (ក្រាម)</t>
        </is>
      </c>
      <c r="F329" s="217" t="inlineStr">
        <is>
          <t>ទម្ងន់ (ក្រាម)</t>
        </is>
      </c>
      <c r="G329" s="217" t="inlineStr">
        <is>
          <t>ទម្ងន់ (ក្រាម)</t>
        </is>
      </c>
      <c r="H329" s="217" t="inlineStr">
        <is>
          <t>重量 (克)</t>
        </is>
      </c>
      <c r="J329" t="inlineStr">
        <is>
          <t>ទម្ងន់ (ក្រាម)</t>
        </is>
      </c>
    </row>
    <row r="330">
      <c r="A330" s="217" t="inlineStr">
        <is>
          <t>columnExcel.labelWeight</t>
        </is>
      </c>
      <c r="B330" s="217" t="inlineStr">
        <is>
          <t>Trọng lượng</t>
        </is>
      </c>
      <c r="C330" s="217" t="inlineStr">
        <is>
          <t>Weight</t>
        </is>
      </c>
      <c r="D330" s="217" t="inlineStr">
        <is>
          <t>ទម្ងន់</t>
        </is>
      </c>
      <c r="E330" s="217" t="inlineStr">
        <is>
          <t xml:space="preserve">ទម្ងន់ </t>
        </is>
      </c>
      <c r="F330" s="217" t="inlineStr">
        <is>
          <t>ទម្ងន់</t>
        </is>
      </c>
      <c r="G330" s="217" t="inlineStr">
        <is>
          <t>ទម្ងន់</t>
        </is>
      </c>
      <c r="H330" s="217" t="inlineStr">
        <is>
          <t>重量</t>
        </is>
      </c>
      <c r="J330" t="inlineStr">
        <is>
          <t>ទម្ងន់</t>
        </is>
      </c>
    </row>
    <row r="331">
      <c r="A331" s="217" t="inlineStr">
        <is>
          <t>columnExcel.value</t>
        </is>
      </c>
      <c r="B331" s="217" t="inlineStr">
        <is>
          <t>Giá trị</t>
        </is>
      </c>
      <c r="C331" s="217" t="inlineStr">
        <is>
          <t>Value</t>
        </is>
      </c>
      <c r="D331" s="217" t="inlineStr">
        <is>
          <t>តម្លៃ</t>
        </is>
      </c>
      <c r="E331" s="217" t="inlineStr">
        <is>
          <t>តម្លៃ</t>
        </is>
      </c>
      <c r="F331" s="217" t="inlineStr">
        <is>
          <t>តម្លៃ</t>
        </is>
      </c>
      <c r="G331" s="217" t="inlineStr">
        <is>
          <t>តម្លៃ</t>
        </is>
      </c>
      <c r="H331" s="217" t="inlineStr">
        <is>
          <t>商品声明价值</t>
        </is>
      </c>
      <c r="J331" t="inlineStr">
        <is>
          <t>តម្លៃ</t>
        </is>
      </c>
    </row>
    <row r="332">
      <c r="A332" s="217" t="inlineStr">
        <is>
          <t>columnExcel.codAmount</t>
        </is>
      </c>
      <c r="B332" s="217" t="inlineStr">
        <is>
          <t>Tiền thu hộ</t>
        </is>
      </c>
      <c r="C332" s="217" t="inlineStr">
        <is>
          <t>Cash on delivery (COD) amount</t>
        </is>
      </c>
      <c r="D332" s="217" t="inlineStr">
        <is>
          <t>ទឹកប្រាក់ COD</t>
        </is>
      </c>
      <c r="E332" s="217" t="inlineStr">
        <is>
          <t>ប្រាក់ប្រមូលជំនួស</t>
        </is>
      </c>
      <c r="F332" s="217" t="inlineStr">
        <is>
          <t>ប្រាក់ប្រមូលជំនួស</t>
        </is>
      </c>
      <c r="G332" s="217" t="inlineStr">
        <is>
          <t>ប្រាក់ប្រមូលជំនួស (COD)</t>
        </is>
      </c>
      <c r="H332" s="217" t="inlineStr">
        <is>
          <t>代收货款金额</t>
        </is>
      </c>
      <c r="J332" t="inlineStr">
        <is>
          <t>ប្រាក់ប្រមូលជំនួស (COD)</t>
        </is>
      </c>
    </row>
    <row r="333">
      <c r="A333" s="217" t="inlineStr">
        <is>
          <t>columnExcel.productType</t>
        </is>
      </c>
      <c r="B333" s="217" t="inlineStr">
        <is>
          <t>Loại hàng hoá</t>
        </is>
      </c>
      <c r="C333" s="217" t="inlineStr">
        <is>
          <t>Product type</t>
        </is>
      </c>
      <c r="D333" s="217" t="inlineStr">
        <is>
          <t>ប្រភេទទំនិញ</t>
        </is>
      </c>
      <c r="E333" s="217" t="inlineStr">
        <is>
          <t>ប្រភេទអីវ៉ាន់</t>
        </is>
      </c>
      <c r="F333" s="217" t="inlineStr">
        <is>
          <t>ប្រភេទទំនិញ</t>
        </is>
      </c>
      <c r="G333" s="217" t="inlineStr">
        <is>
          <t>ប្រភេទទំនិញ</t>
        </is>
      </c>
      <c r="H333" s="217" t="inlineStr">
        <is>
          <t>商品类型</t>
        </is>
      </c>
      <c r="J333" t="inlineStr">
        <is>
          <t>ប្រភេទទំនិញ</t>
        </is>
      </c>
    </row>
    <row r="334">
      <c r="A334" s="217" t="inlineStr">
        <is>
          <t>columnExcel.serviceType</t>
        </is>
      </c>
      <c r="B334" s="217" t="inlineStr">
        <is>
          <t>Dịch vụ</t>
        </is>
      </c>
      <c r="C334" s="217" t="inlineStr">
        <is>
          <t>Service type</t>
        </is>
      </c>
      <c r="D334" s="217" t="inlineStr">
        <is>
          <t>ប្រភេទសេវា</t>
        </is>
      </c>
      <c r="E334" s="217" t="inlineStr">
        <is>
          <t>សេវាកម្ម</t>
        </is>
      </c>
      <c r="F334" s="217" t="inlineStr">
        <is>
          <t>សេវាកម្ម</t>
        </is>
      </c>
      <c r="G334" s="217" t="inlineStr">
        <is>
          <t>សេវាកម្ម</t>
        </is>
      </c>
      <c r="H334" s="217" t="inlineStr">
        <is>
          <t>服务类型</t>
        </is>
      </c>
      <c r="J334" t="inlineStr">
        <is>
          <t>សេវាកម្ម</t>
        </is>
      </c>
    </row>
    <row r="335">
      <c r="A335" s="217" t="inlineStr">
        <is>
          <t>columnExcel.additionalService</t>
        </is>
      </c>
      <c r="B335" s="217" t="inlineStr">
        <is>
          <t>Dịch vụ cộng thêm</t>
        </is>
      </c>
      <c r="C335" s="217" t="inlineStr">
        <is>
          <t>Additional service</t>
        </is>
      </c>
      <c r="D335" s="217" t="inlineStr">
        <is>
          <t>សេវាកម្មបន្ថែម</t>
        </is>
      </c>
      <c r="E335" s="217" t="inlineStr">
        <is>
          <t>សេវាកម្មបូកបន្ថែម</t>
        </is>
      </c>
      <c r="F335" s="217" t="inlineStr">
        <is>
          <t>សេវាកម្មបូកបន្ថែម</t>
        </is>
      </c>
      <c r="G335" s="217" t="inlineStr">
        <is>
          <t>សេវាកម្មបន្ថែម</t>
        </is>
      </c>
      <c r="H335" s="217" t="inlineStr">
        <is>
          <t>附加服务</t>
        </is>
      </c>
      <c r="J335" t="inlineStr">
        <is>
          <t>សេវាកម្មបន្ថែម</t>
        </is>
      </c>
    </row>
    <row r="336">
      <c r="A336" s="217" t="inlineStr">
        <is>
          <t>columnExcel.length</t>
        </is>
      </c>
      <c r="B336" s="217" t="inlineStr">
        <is>
          <t>Chiều dài</t>
        </is>
      </c>
      <c r="C336" s="217" t="inlineStr">
        <is>
          <t>Length (cm)</t>
        </is>
      </c>
      <c r="D336" s="217" t="inlineStr">
        <is>
          <t>ប្រវែង</t>
        </is>
      </c>
      <c r="E336" s="217" t="inlineStr">
        <is>
          <t>ប្រវែង</t>
        </is>
      </c>
      <c r="F336" s="217" t="inlineStr">
        <is>
          <t>ប្រវែង</t>
        </is>
      </c>
      <c r="G336" s="217" t="inlineStr">
        <is>
          <t>ប្រវែង</t>
        </is>
      </c>
      <c r="H336" s="217" t="inlineStr">
        <is>
          <t>长 (厘米)</t>
        </is>
      </c>
      <c r="J336" t="inlineStr">
        <is>
          <t>ប្រវែង</t>
        </is>
      </c>
    </row>
    <row r="337">
      <c r="A337" s="217" t="inlineStr">
        <is>
          <t>columnExcel.width</t>
        </is>
      </c>
      <c r="B337" s="217" t="inlineStr">
        <is>
          <t>Chiều rộng</t>
        </is>
      </c>
      <c r="C337" s="217" t="inlineStr">
        <is>
          <t>Width (cm)</t>
        </is>
      </c>
      <c r="D337" s="217" t="inlineStr">
        <is>
          <t>ទទឹង</t>
        </is>
      </c>
      <c r="E337" s="217" t="inlineStr">
        <is>
          <t>ទទឹង</t>
        </is>
      </c>
      <c r="F337" s="217" t="inlineStr">
        <is>
          <t>ទទឹង</t>
        </is>
      </c>
      <c r="G337" s="217" t="inlineStr">
        <is>
          <t>ទទឹង</t>
        </is>
      </c>
      <c r="H337" s="217" t="inlineStr">
        <is>
          <t>宽度 (厘米)</t>
        </is>
      </c>
      <c r="J337" t="inlineStr">
        <is>
          <t>ទទឹង</t>
        </is>
      </c>
    </row>
    <row r="338">
      <c r="A338" s="217" t="inlineStr">
        <is>
          <t>columnExcel.height</t>
        </is>
      </c>
      <c r="B338" s="217" t="inlineStr">
        <is>
          <t>Chiều cao</t>
        </is>
      </c>
      <c r="C338" s="217" t="inlineStr">
        <is>
          <t>Height (cm)</t>
        </is>
      </c>
      <c r="D338" s="217" t="inlineStr">
        <is>
          <t>កំពស់</t>
        </is>
      </c>
      <c r="E338" s="217" t="inlineStr">
        <is>
          <t>កម្ពស់</t>
        </is>
      </c>
      <c r="F338" s="217" t="inlineStr">
        <is>
          <t>កម្ពស់</t>
        </is>
      </c>
      <c r="G338" s="217" t="inlineStr">
        <is>
          <t>កម្ពស់</t>
        </is>
      </c>
      <c r="H338" s="217" t="inlineStr">
        <is>
          <t>高 (厘米)</t>
        </is>
      </c>
      <c r="J338" t="inlineStr">
        <is>
          <t>កម្ពស់</t>
        </is>
      </c>
    </row>
    <row r="339">
      <c r="A339" s="217" t="inlineStr">
        <is>
          <t>columnExcel.feePayer</t>
        </is>
      </c>
      <c r="B339" s="217" t="inlineStr">
        <is>
          <t>Người trả phí</t>
        </is>
      </c>
      <c r="C339" s="217" t="inlineStr">
        <is>
          <t>Fee payer</t>
        </is>
      </c>
      <c r="D339" s="217" t="inlineStr">
        <is>
          <t>អ្នកបង់ថ្លៃ</t>
        </is>
      </c>
      <c r="E339" s="217" t="inlineStr">
        <is>
          <t>អ្នកចេញថ្លៃសេវា</t>
        </is>
      </c>
      <c r="F339" s="217" t="inlineStr">
        <is>
          <t>អ្នកបង់ថ្លៃសេវា</t>
        </is>
      </c>
      <c r="G339" s="217" t="inlineStr">
        <is>
          <t>អ្នកបង់ថ្លៃសេវា</t>
        </is>
      </c>
      <c r="H339" s="217" t="inlineStr">
        <is>
          <t>费用付款方</t>
        </is>
      </c>
      <c r="J339" t="inlineStr">
        <is>
          <t>អ្នកបង់ថ្លៃសេវា</t>
        </is>
      </c>
    </row>
    <row r="340">
      <c r="A340" s="217" t="inlineStr">
        <is>
          <t>columnExcel.scheduledDeliveryTime</t>
        </is>
      </c>
      <c r="B340" s="217" t="inlineStr">
        <is>
          <t>Thời gian hẹn nhận hàng</t>
        </is>
      </c>
      <c r="C340" s="217" t="inlineStr">
        <is>
          <t>Scheduled delivery time</t>
        </is>
      </c>
      <c r="D340" s="217" t="inlineStr">
        <is>
          <t>ពេលវេលាកំណត់ផ្ញើ</t>
        </is>
      </c>
      <c r="E340" s="217" t="inlineStr">
        <is>
          <t>ពេលវេលាណាត់ទទួលអីវ៉ាន់</t>
        </is>
      </c>
      <c r="F340" s="217" t="inlineStr">
        <is>
          <t>ពេលវេលាណាត់ទទួលឥវ៉ាន់</t>
        </is>
      </c>
      <c r="G340" s="217" t="inlineStr">
        <is>
          <t>ពេលវេលាណាត់ទទួលឥវ៉ាន់</t>
        </is>
      </c>
      <c r="H340" s="217" t="inlineStr">
        <is>
          <t>派送时间</t>
        </is>
      </c>
      <c r="J340" t="inlineStr">
        <is>
          <t>ពេលវេលាណាត់ទទួលឥវ៉ាន់</t>
        </is>
      </c>
    </row>
    <row r="341">
      <c r="A341" s="217" t="inlineStr">
        <is>
          <t>columnExcel.notes</t>
        </is>
      </c>
      <c r="B341" s="217" t="inlineStr">
        <is>
          <t>Ghi chú</t>
        </is>
      </c>
      <c r="C341" s="217" t="inlineStr">
        <is>
          <t>Notes</t>
        </is>
      </c>
      <c r="D341" s="217" t="inlineStr">
        <is>
          <t>កំណត់ចំណាំ</t>
        </is>
      </c>
      <c r="E341" s="217" t="inlineStr">
        <is>
          <t>កត់ចំណាំ</t>
        </is>
      </c>
      <c r="F341" s="217" t="inlineStr">
        <is>
          <t>កំណត់ចំណាំ</t>
        </is>
      </c>
      <c r="G341" s="217" t="inlineStr">
        <is>
          <t>ចំណាំ</t>
        </is>
      </c>
      <c r="H341" s="217" t="inlineStr">
        <is>
          <t>备注</t>
        </is>
      </c>
      <c r="J341" t="inlineStr">
        <is>
          <t>ចំណាំ</t>
        </is>
      </c>
    </row>
    <row r="342">
      <c r="A342" s="217" t="inlineStr">
        <is>
          <t>columnExcel.createOrder</t>
        </is>
      </c>
      <c r="B342" s="217" t="inlineStr">
        <is>
          <t>Tạo đơn</t>
        </is>
      </c>
      <c r="C342" s="217" t="inlineStr">
        <is>
          <t>Create order</t>
        </is>
      </c>
      <c r="D342" s="217" t="inlineStr">
        <is>
          <t>បង្កើតបញ្ជាទិញ</t>
        </is>
      </c>
      <c r="E342" s="217" t="inlineStr">
        <is>
          <t>បង្កើតបុងបញ្ញើ</t>
        </is>
      </c>
      <c r="F342" s="217" t="inlineStr">
        <is>
          <t>បង្កើតប៉ុងបញ្ញើ</t>
        </is>
      </c>
      <c r="G342" s="217" t="inlineStr">
        <is>
          <t>បង្កើតការបញ្ជាទិញ</t>
        </is>
      </c>
      <c r="H342" s="217" t="inlineStr">
        <is>
          <t>创建订单</t>
        </is>
      </c>
      <c r="J342" t="inlineStr">
        <is>
          <t>បង្កើតការបញ្ជាទិញ</t>
        </is>
      </c>
    </row>
    <row r="343">
      <c r="A343" s="217" t="inlineStr">
        <is>
          <t>columnExcel.openFile</t>
        </is>
      </c>
      <c r="B343" s="217" t="inlineStr">
        <is>
          <t>Mở file</t>
        </is>
      </c>
      <c r="C343" s="217" t="inlineStr">
        <is>
          <t>Open file</t>
        </is>
      </c>
      <c r="D343" s="217" t="inlineStr">
        <is>
          <t>បើកឯកសារ</t>
        </is>
      </c>
      <c r="E343" s="217" t="inlineStr">
        <is>
          <t>បើក file</t>
        </is>
      </c>
      <c r="F343" s="217" t="inlineStr">
        <is>
          <t>បើក​ហ្វាល</t>
        </is>
      </c>
      <c r="G343" s="217" t="inlineStr">
        <is>
          <t>បើកហ្វាល</t>
        </is>
      </c>
      <c r="H343" s="217" t="inlineStr">
        <is>
          <t>打开文件</t>
        </is>
      </c>
      <c r="J343" t="inlineStr">
        <is>
          <t>បើកហ្វាល</t>
        </is>
      </c>
    </row>
    <row r="344">
      <c r="A344" s="217" t="inlineStr">
        <is>
          <t>columnExcel.draft</t>
        </is>
      </c>
      <c r="B344" s="217" t="inlineStr">
        <is>
          <t>Lưu nháp</t>
        </is>
      </c>
      <c r="C344" s="217" t="inlineStr">
        <is>
          <t>Save draft</t>
        </is>
      </c>
      <c r="D344" s="217" t="inlineStr">
        <is>
          <t>រក្សាទុកជាគំរូ</t>
        </is>
      </c>
      <c r="E344" s="217" t="inlineStr">
        <is>
          <t>រក្សាទុកគម្រូ</t>
        </is>
      </c>
      <c r="F344" s="217" t="inlineStr">
        <is>
          <t>រក្សាទុកជាព្រាង</t>
        </is>
      </c>
      <c r="G344" s="217" t="inlineStr">
        <is>
          <t>រក្សាទុកជាព្រាង</t>
        </is>
      </c>
      <c r="H344" s="217" t="inlineStr">
        <is>
          <t>保存草稿</t>
        </is>
      </c>
      <c r="J344" t="inlineStr">
        <is>
          <t>រក្សាទុកជាព្រាង</t>
        </is>
      </c>
    </row>
    <row r="345">
      <c r="A345" s="217" t="inlineStr">
        <is>
          <t>columnExcel.downloadTemplate</t>
        </is>
      </c>
      <c r="B345" s="217" t="inlineStr">
        <is>
          <t>Tải file mẫu</t>
        </is>
      </c>
      <c r="C345" s="217" t="inlineStr">
        <is>
          <t>Download template file</t>
        </is>
      </c>
      <c r="D345" s="217" t="inlineStr">
        <is>
          <t>ទាញយកតេមផ្លេ</t>
        </is>
      </c>
      <c r="E345" s="217" t="inlineStr">
        <is>
          <t>ទាញយកគម្រូ File</t>
        </is>
      </c>
      <c r="F345" s="217" t="inlineStr">
        <is>
          <t>ទាញយហ្វាលគំរូ</t>
        </is>
      </c>
      <c r="G345" s="217" t="inlineStr">
        <is>
          <t>ទាញយកឯកសារគំរូ</t>
        </is>
      </c>
      <c r="H345" s="217" t="inlineStr">
        <is>
          <t>下载模板文件</t>
        </is>
      </c>
      <c r="J345" t="inlineStr">
        <is>
          <t>ទាញយកឯកសារគំរូ</t>
        </is>
      </c>
    </row>
    <row r="346">
      <c r="A346" s="217" t="inlineStr">
        <is>
          <t>columnExcel.historyDownloadFile</t>
        </is>
      </c>
      <c r="B346" s="217" t="inlineStr">
        <is>
          <t>Lịch sử tải file</t>
        </is>
      </c>
      <c r="C346" s="217" t="inlineStr">
        <is>
          <t>Download file history</t>
        </is>
      </c>
      <c r="D346" s="217" t="inlineStr">
        <is>
          <t>ប្រវត្តិនាំចេញឯកសារ</t>
        </is>
      </c>
      <c r="E346" s="217" t="inlineStr">
        <is>
          <t>ប្រវត្តិទាញយក file</t>
        </is>
      </c>
      <c r="F346" s="217" t="inlineStr">
        <is>
          <t>ប្រវត្តិទាញយកហ្វាល</t>
        </is>
      </c>
      <c r="G346" s="217" t="inlineStr">
        <is>
          <t>ប្រវត្តិទាញយកហ្វាល</t>
        </is>
      </c>
      <c r="H346" s="217" t="inlineStr">
        <is>
          <t>下载历史文件</t>
        </is>
      </c>
      <c r="J346" t="inlineStr">
        <is>
          <t>ប្រវត្តិទាញយកហ្វាល</t>
        </is>
      </c>
    </row>
    <row r="347">
      <c r="A347" s="217" t="inlineStr">
        <is>
          <t>columnExcel.size</t>
        </is>
      </c>
      <c r="B347" s="217" t="inlineStr">
        <is>
          <t>Kích thước (D+R+C)(cm)</t>
        </is>
      </c>
      <c r="C347" s="217" t="inlineStr">
        <is>
          <t>Size (L+W+H) (cm)</t>
        </is>
      </c>
      <c r="D347" s="217" t="inlineStr">
        <is>
          <t>-</t>
        </is>
      </c>
      <c r="E347" s="217" t="inlineStr">
        <is>
          <t>ទំហំ (ប្រវែង+ទទឹង+កម្ពស់)(សង់ទីម៉ែត)</t>
        </is>
      </c>
      <c r="F347" s="217" t="inlineStr">
        <is>
          <t>ទំហំ (ប្រវែង+ទទឹង+កម្ពស់)(សង់ទីម៉ែត)</t>
        </is>
      </c>
      <c r="G347" s="217" t="inlineStr">
        <is>
          <t>ទំហំ (ប្រវែង+ទទឹង+កម្ពស់)(សង់ទីម៉ែត)</t>
        </is>
      </c>
      <c r="H347" s="217" t="inlineStr">
        <is>
          <t>尺寸 (长+宽+高) (厘米)</t>
        </is>
      </c>
      <c r="J347" t="inlineStr">
        <is>
          <t>ទំហំ (ប្រវែង+ទទឹង+កម្ពស់)(សង់ទីម៉ែត)</t>
        </is>
      </c>
    </row>
    <row r="348">
      <c r="A348" s="217" t="inlineStr">
        <is>
          <t>createOrders.titleSuccess</t>
        </is>
      </c>
      <c r="B348" s="217" t="inlineStr">
        <is>
          <t>Tạo đơn thành công!</t>
        </is>
      </c>
      <c r="C348" s="217" t="inlineStr">
        <is>
          <t>Order created successfully!</t>
        </is>
      </c>
      <c r="D348" s="217" t="inlineStr">
        <is>
          <t>បង្កើតបញ្ជាទិញបានជោគជ័យ!</t>
        </is>
      </c>
      <c r="E348" s="217" t="inlineStr">
        <is>
          <t>បង្កើតបុុងបញ្ញើបានជោគជ័យ!</t>
        </is>
      </c>
      <c r="F348" s="217" t="inlineStr">
        <is>
          <t>បង្កើតប៉ុងបញ្ញើបានជោគជ័យ!</t>
        </is>
      </c>
      <c r="G348" s="217" t="inlineStr">
        <is>
          <t>បង្កើតប៉ុងបញ្ញើបានជោគជ័យ!</t>
        </is>
      </c>
      <c r="H348" s="217" t="inlineStr">
        <is>
          <t>订单创建成功！</t>
        </is>
      </c>
      <c r="J348" t="inlineStr">
        <is>
          <t>បង្កើតប៉ុងបញ្ញើបានជោគជ័យ!</t>
        </is>
      </c>
    </row>
    <row r="349">
      <c r="A349" s="217" t="inlineStr">
        <is>
          <t>createOrders.contentSuccess</t>
        </is>
      </c>
      <c r="B349" s="3" t="inlineStr">
        <is>
          <t>{{count}} đơn hàng đã được tạo thành công. Quý khách có thể vào phần quản lý đơn hàng để xem danh sách đơn hàng hoặc tải file excel khác</t>
        </is>
      </c>
      <c r="C349" s="217" t="inlineStr">
        <is>
          <t>{{count}} orders have been created successfully. You can go to the order management section to view the list of orders or upload another excel file.</t>
        </is>
      </c>
      <c r="D349" s="3" t="inlineStr">
        <is>
          <t>{{count}} ករណីបានបង្កើតដោយជោគជ័យ។ អ្នកអាចចូលទៅផ្នែកគ្រប់គ្រងដើម្បីមើលបញ្ជី ឬទាញយក Excel ថ្មី</t>
        </is>
      </c>
      <c r="E349" s="142" t="inlineStr">
        <is>
          <t>{{count}} បានបង្កើតបុងបញ្ញើបានដោយជោគជ័យ។ អ្នកអាចចូលទៅផ្នែកគ្រប់គ្រងបុងបញ្ញើ ដើម្បីមើលបញ្ជីបុងបញ្ញើ ឬទាញយកfile Excel ផ្សេងទៀត។</t>
        </is>
      </c>
      <c r="F349" s="142" t="inlineStr">
        <is>
          <t>{{count}} ការបង្កើតប៉ុងបញ្ញើបានជោគជ័យ។ អ្នកអាចចូលទៅផ្នែកគ្រប់គ្រងប៉ុងបញ្ញើ ដើម្បីមើលបញ្ជីប៉ុងបញ្ញើ ឬទាញយក ហ្វាល Excel ផ្សេងទៀត។</t>
        </is>
      </c>
      <c r="G349" s="142" t="inlineStr">
        <is>
          <t>{{count}} ការបង្កើតប៉ុងបញ្ញើបានជោគជ័យ។ អ្នកអាចចូលទៅផ្នែកគ្រប់គ្រងប៉ុងបញ្ញើ ដើម្បីមើលបញ្ជីប៉ុងបញ្ញើ ឬទាញយក ហ្វាល Excel ផ្សេងទៀត។</t>
        </is>
      </c>
      <c r="H349" s="217" t="inlineStr">
        <is>
          <t>已成功创建 {{count}} 笔订单。您可前往订单管理处查看订单列表，或继续上传另一份Excel文件。</t>
        </is>
      </c>
      <c r="J349" t="inlineStr">
        <is>
          <t>{{count}} ការបង្កើតប៉ុងបញ្ញើបានជោគជ័យ។ អ្នកអាចចូលទៅផ្នែកគ្រប់គ្រងប៉ុងបញ្ញើ ដើម្បីមើលបញ្ជីប៉ុងបញ្ញើ ឬទាញយក ហ្វាល Excel ផ្សេងទៀត។</t>
        </is>
      </c>
    </row>
    <row r="350">
      <c r="A350" s="217" t="inlineStr">
        <is>
          <t>createOrders.typeFileInvalid</t>
        </is>
      </c>
      <c r="B350" s="217" t="inlineStr">
        <is>
          <t>Kiểu file không hợp lệ !</t>
        </is>
      </c>
      <c r="C350" s="217" t="inlineStr">
        <is>
          <t>Invalid file type!</t>
        </is>
      </c>
      <c r="D350" s="217" t="inlineStr">
        <is>
          <t>ប្រភេទឯកសារមិនត្រឹមត្រូវ!</t>
        </is>
      </c>
      <c r="E350" s="217" t="inlineStr">
        <is>
          <t>ប្រភេទ file មិនសមស្រប !</t>
        </is>
      </c>
      <c r="F350" s="217" t="inlineStr">
        <is>
          <t>ប្រភេទហ្វាលមិនសមស្រប!</t>
        </is>
      </c>
      <c r="G350" s="217" t="inlineStr">
        <is>
          <t>ប្រភេទហ្វាលមិនសមស្រប!</t>
        </is>
      </c>
      <c r="H350" s="217" t="inlineStr">
        <is>
          <t>文件类型无效！</t>
        </is>
      </c>
      <c r="J350" t="inlineStr">
        <is>
          <t>ប្រភេទហ្វាលមិនសមស្រប!</t>
        </is>
      </c>
    </row>
    <row r="351">
      <c r="A351" s="217" t="inlineStr">
        <is>
          <t>createOrders.pleaseSelectInfoSender</t>
        </is>
      </c>
      <c r="B351" s="217" t="inlineStr">
        <is>
          <t>Vui lòng chọn thông tin người gửi !</t>
        </is>
      </c>
      <c r="C351" s="217" t="inlineStr">
        <is>
          <t>Please select sender information!</t>
        </is>
      </c>
      <c r="D351" s="217" t="inlineStr">
        <is>
          <t>សូមជ្រើសព័ត៌មានអ្នកផ្ញើ!</t>
        </is>
      </c>
      <c r="E351" s="217" t="inlineStr">
        <is>
          <t>សូមជ្រើសរើសយកព័ត៌មានអ្នកផ្ញើ!</t>
        </is>
      </c>
      <c r="F351" s="217" t="inlineStr">
        <is>
          <t>សូមជ្រើសរើសយកព័ត៌មានអ្នកផ្ញើ!</t>
        </is>
      </c>
      <c r="G351" s="217" t="inlineStr">
        <is>
          <t>សូមជ្រើសរើសយកព័ត៌មានអ្នកផ្ញើ!</t>
        </is>
      </c>
      <c r="H351" s="217" t="inlineStr">
        <is>
          <t>请选择发件人信息！</t>
        </is>
      </c>
      <c r="J351" t="inlineStr">
        <is>
          <t>សូមជ្រើសរើសយកព័ត៌មានអ្នកផ្ញើ!</t>
        </is>
      </c>
    </row>
    <row r="352">
      <c r="A352" s="217" t="inlineStr">
        <is>
          <t>createOrders.importOrdersFromFile</t>
        </is>
      </c>
      <c r="B352" s="217" t="inlineStr">
        <is>
          <t>Nhập đơn hàng từ file</t>
        </is>
      </c>
      <c r="C352" s="217" t="inlineStr">
        <is>
          <t>Import orders from file</t>
        </is>
      </c>
      <c r="D352" s="217" t="inlineStr">
        <is>
          <t>នាំចូលបញ្ជាទិញពីឯកសារ</t>
        </is>
      </c>
      <c r="E352" s="217" t="inlineStr">
        <is>
          <t>បញ្ចូលបុងបញ្ញើពី File</t>
        </is>
      </c>
      <c r="F352" s="217" t="inlineStr">
        <is>
          <t>បញ្ចូលប៉ុងបញ្ញើពីហ្វាល</t>
        </is>
      </c>
      <c r="G352" s="217" t="inlineStr">
        <is>
          <t>បញ្ចូលប៉ុងបញ្ញើពីហ្វាល</t>
        </is>
      </c>
      <c r="H352" s="217" t="inlineStr">
        <is>
          <t>从文件导入订单</t>
        </is>
      </c>
      <c r="J352" t="inlineStr">
        <is>
          <t>បញ្ចូលប៉ុងបញ្ញើពីហ្វាល</t>
        </is>
      </c>
    </row>
    <row r="353">
      <c r="A353" s="217" t="inlineStr">
        <is>
          <t>createOrders.selectInfoSender</t>
        </is>
      </c>
      <c r="B353" s="217" t="inlineStr">
        <is>
          <t>Chọn thông tin người gửi</t>
        </is>
      </c>
      <c r="C353" s="217" t="inlineStr">
        <is>
          <t>Select sender information</t>
        </is>
      </c>
      <c r="D353" s="217" t="inlineStr">
        <is>
          <t>ជ្រើសព័ត៌មានអ្នកផ្ញើ</t>
        </is>
      </c>
      <c r="E353" s="217" t="inlineStr">
        <is>
          <t>ជ្រើសរើសព័ត៌មានអ្នកផ្ញើ</t>
        </is>
      </c>
      <c r="F353" s="217" t="inlineStr">
        <is>
          <t>ជ្រើសរើសព័ត៌មានអ្នកផ្ញើ</t>
        </is>
      </c>
      <c r="G353" s="217" t="inlineStr">
        <is>
          <t>ជ្រើសរើសព័ត៌មានអ្នកផ្ញើ</t>
        </is>
      </c>
      <c r="H353" s="217" t="inlineStr">
        <is>
          <t>选择发件人信息</t>
        </is>
      </c>
      <c r="J353" t="inlineStr">
        <is>
          <t>ជ្រើសរើសព័ត៌មានអ្នកផ្ញើ</t>
        </is>
      </c>
    </row>
    <row r="354">
      <c r="A354" s="217" t="inlineStr">
        <is>
          <t>createOrders.validApplication</t>
        </is>
      </c>
      <c r="B354" s="217" t="inlineStr">
        <is>
          <t>Đơn hợp lệ: {{totalAccept}}/{{total}}</t>
        </is>
      </c>
      <c r="C354" s="217" t="inlineStr">
        <is>
          <t>Valid orders: {{totalAccept}}/{{total}}</t>
        </is>
      </c>
      <c r="D354" s="217" t="inlineStr">
        <is>
          <t>បញ្ជីដែលត្រឹមត្រូវ: {{totalAccept}}/{{total}}</t>
        </is>
      </c>
      <c r="E354" s="217" t="n"/>
      <c r="F354" s="217" t="inlineStr">
        <is>
          <t>ប៉ុងបញ្ញើសមស្រប៖ {{totalAccept}}/{{total}}</t>
        </is>
      </c>
      <c r="G354" s="217" t="inlineStr">
        <is>
          <t>ប៉ុងបញ្ញើសមស្រប៖ {{totalAccept}}/{{total}}</t>
        </is>
      </c>
      <c r="H354" s="217" t="inlineStr">
        <is>
          <t>有效订单：{{totalAccept}}/{{total}}</t>
        </is>
      </c>
      <c r="J354" t="inlineStr">
        <is>
          <t>ប៉ុងបញ្ញើសមស្រប៖ {{totalAccept}}/{{total}}</t>
        </is>
      </c>
    </row>
    <row r="355">
      <c r="A355" s="217" t="inlineStr">
        <is>
          <t>createOrders.errorForm</t>
        </is>
      </c>
      <c r="B355" s="217" t="inlineStr">
        <is>
          <t>Đơn lỗi: {{totalError}}/{{total}}</t>
        </is>
      </c>
      <c r="C355" s="217" t="inlineStr">
        <is>
          <t>Error orders: {{totalError}}/{{total}}</t>
        </is>
      </c>
      <c r="D355" s="217" t="inlineStr">
        <is>
          <t>បញ្ជីមានកំហុស: {{totalError}}/{{total}}</t>
        </is>
      </c>
      <c r="E355" s="217" t="inlineStr">
        <is>
          <t>បុងបញ្ញើមានបញ្ហា{{totalError}}/{{total}}</t>
        </is>
      </c>
      <c r="F355" s="217" t="inlineStr">
        <is>
          <t>ប៉ុងបញ្ញើមានបញ្ហា៖ {{totalError}}/{{total}}</t>
        </is>
      </c>
      <c r="G355" s="217" t="inlineStr">
        <is>
          <t>ប៉ុងបញ្ញើមានបញ្ហា៖ {{totalError}}/{{total}}</t>
        </is>
      </c>
      <c r="H355" s="217" t="inlineStr">
        <is>
          <t>错误订单：{{totalError}}/{{total}}</t>
        </is>
      </c>
      <c r="J355" t="inlineStr">
        <is>
          <t>ប៉ុងបញ្ញើមានបញ្ហា៖ {{totalError}}/{{total}}</t>
        </is>
      </c>
    </row>
    <row r="356">
      <c r="A356" s="217" t="inlineStr">
        <is>
          <t>createOrders.processingOrderCreation</t>
        </is>
      </c>
      <c r="B356" s="217" t="inlineStr">
        <is>
          <t>Đang xử lý tạo đơn</t>
        </is>
      </c>
      <c r="C356" s="217" t="inlineStr">
        <is>
          <t>Processing order creation</t>
        </is>
      </c>
      <c r="D356" s="217" t="inlineStr">
        <is>
          <t>កំពុងដំណើរការបង្កើតបញ្ជា</t>
        </is>
      </c>
      <c r="E356" s="217" t="inlineStr">
        <is>
          <t>កំពុងដោះស្រាយការបង្កើតបុងបញ្ញើ</t>
        </is>
      </c>
      <c r="F356" s="217" t="inlineStr">
        <is>
          <t>កំពុងដំណើរការបង្កើតប៉ុងបញ្ញើ</t>
        </is>
      </c>
      <c r="G356" s="217" t="inlineStr">
        <is>
          <t>កំពុងដំណើរការបង្កើតប៉ុងបញ្ញើ</t>
        </is>
      </c>
      <c r="H356" s="217" t="inlineStr">
        <is>
          <t>正在处理订单创建…</t>
        </is>
      </c>
      <c r="J356" t="inlineStr">
        <is>
          <t>កំពុងដំណើរការបង្កើតប៉ុងបញ្ញើ</t>
        </is>
      </c>
    </row>
    <row r="357">
      <c r="A357" s="217" t="inlineStr">
        <is>
          <t>createOrders.validApplication1</t>
        </is>
      </c>
      <c r="B357" s="217" t="inlineStr">
        <is>
          <t>Đơn hợp lệ:</t>
        </is>
      </c>
      <c r="C357" s="217" t="inlineStr">
        <is>
          <t>Valid orders:</t>
        </is>
      </c>
      <c r="D357" s="217" t="inlineStr">
        <is>
          <t>បញ្ជីត្រឹមត្រូវ:</t>
        </is>
      </c>
      <c r="E357" s="217" t="inlineStr">
        <is>
          <t>បុុងបញ្ញើសមស្រប៖</t>
        </is>
      </c>
      <c r="F357" s="217" t="inlineStr">
        <is>
          <t>ប៉ុងបញ្ញើសមស្រប៖</t>
        </is>
      </c>
      <c r="G357" s="217" t="inlineStr">
        <is>
          <t>ប៉ុងបញ្ញើសមស្រប៖</t>
        </is>
      </c>
      <c r="H357" s="217" t="inlineStr">
        <is>
          <t>有效订单：</t>
        </is>
      </c>
      <c r="J357" t="inlineStr">
        <is>
          <t>ប៉ុងបញ្ញើសមស្រប៖</t>
        </is>
      </c>
    </row>
    <row r="358">
      <c r="A358" s="217" t="inlineStr">
        <is>
          <t>createOrders.errorForm1</t>
        </is>
      </c>
      <c r="B358" s="217" t="inlineStr">
        <is>
          <t>Đơn lỗi:</t>
        </is>
      </c>
      <c r="C358" s="217" t="inlineStr">
        <is>
          <t>Error orders:</t>
        </is>
      </c>
      <c r="D358" s="217" t="inlineStr">
        <is>
          <t>បញ្ជីមានកំហុស:</t>
        </is>
      </c>
      <c r="E358" s="217" t="inlineStr">
        <is>
          <t>បុងបញ្ញើមានបញ្ហា៖</t>
        </is>
      </c>
      <c r="F358" s="217" t="inlineStr">
        <is>
          <t>ប៉ុងបញ្ញើមានបញ្ហា៖</t>
        </is>
      </c>
      <c r="G358" s="217" t="inlineStr">
        <is>
          <t>ប៉ុងបញ្ញើមានបញ្ហា៖</t>
        </is>
      </c>
      <c r="H358" s="217" t="inlineStr">
        <is>
          <t>错误订单：</t>
        </is>
      </c>
      <c r="J358" t="inlineStr">
        <is>
          <t>ប៉ុងបញ្ញើមានបញ្ហា៖</t>
        </is>
      </c>
    </row>
    <row r="359">
      <c r="A359" s="217" t="inlineStr">
        <is>
          <t>createOrders.dowloadFileError</t>
        </is>
      </c>
      <c r="B359" s="217" t="inlineStr">
        <is>
          <t>Tải file lỗi</t>
        </is>
      </c>
      <c r="C359" s="217" t="inlineStr">
        <is>
          <t>Download error file</t>
        </is>
      </c>
      <c r="D359" s="217" t="inlineStr">
        <is>
          <t>ទាញឯកសារបរាជ័យ</t>
        </is>
      </c>
      <c r="E359" s="217" t="inlineStr">
        <is>
          <t>ទាញយក file មានបញ្ហា</t>
        </is>
      </c>
      <c r="F359" s="217" t="inlineStr">
        <is>
          <t>ទាញយកហ្វាលមានបញ្ហា</t>
        </is>
      </c>
      <c r="G359" s="217" t="inlineStr">
        <is>
          <t>ទាញយកហ្វាលមានបញ្ហា</t>
        </is>
      </c>
      <c r="H359" s="217" t="inlineStr">
        <is>
          <t>下载文件错误</t>
        </is>
      </c>
      <c r="J359" t="inlineStr">
        <is>
          <t>ទាញយកហ្វាលមានបញ្ហា</t>
        </is>
      </c>
    </row>
    <row r="360">
      <c r="A360" s="217" t="inlineStr">
        <is>
          <t>createOrders.pleaseUploadFileExcel</t>
        </is>
      </c>
      <c r="B360" s="217" t="inlineStr">
        <is>
          <t>Vui lòng upload file excel</t>
        </is>
      </c>
      <c r="C360" s="217" t="inlineStr">
        <is>
          <t>Please upload an excel file</t>
        </is>
      </c>
      <c r="D360" s="217" t="inlineStr">
        <is>
          <t>សូមផ្ទុកឯកសារ Excel</t>
        </is>
      </c>
      <c r="E360" s="217" t="inlineStr">
        <is>
          <t>សូមផ្ទុក file excel</t>
        </is>
      </c>
      <c r="F360" s="217" t="inlineStr">
        <is>
          <t>សូមផ្ទុកហ្វាល excel</t>
        </is>
      </c>
      <c r="G360" s="217" t="inlineStr">
        <is>
          <t>សូមផ្ទុកហ្វាល excel</t>
        </is>
      </c>
      <c r="H360" s="217" t="inlineStr">
        <is>
          <t>请上传Excel文件</t>
        </is>
      </c>
      <c r="J360" t="inlineStr">
        <is>
          <t>សូមផ្ទុកហ្វាល excel</t>
        </is>
      </c>
    </row>
    <row r="361">
      <c r="A361" s="217" t="inlineStr">
        <is>
          <t>createOrders.line</t>
        </is>
      </c>
      <c r="B361" s="217" t="inlineStr">
        <is>
          <t>Dòng {{id}}</t>
        </is>
      </c>
      <c r="C361" s="217" t="inlineStr">
        <is>
          <t>Line {{id}}</t>
        </is>
      </c>
      <c r="D361" s="217" t="inlineStr">
        <is>
          <t>ជួរ {{id}}</t>
        </is>
      </c>
      <c r="E361" s="217" t="inlineStr">
        <is>
          <t>ជួរ{{id}}</t>
        </is>
      </c>
      <c r="F361" s="217" t="inlineStr">
        <is>
          <t>ជួរ {{id}}</t>
        </is>
      </c>
      <c r="G361" s="217" t="inlineStr">
        <is>
          <t>ជួរ {{id}}</t>
        </is>
      </c>
      <c r="H361" s="217" t="inlineStr">
        <is>
          <t>第 {{id}} 行</t>
        </is>
      </c>
      <c r="J361" t="inlineStr">
        <is>
          <t>ជួរ {{id}}</t>
        </is>
      </c>
    </row>
    <row r="362">
      <c r="A362" s="217" t="inlineStr">
        <is>
          <t>createOrders.missingData</t>
        </is>
      </c>
      <c r="B362" s="217" t="inlineStr">
        <is>
          <t>Thiếu dữ liệu: {{fields}}</t>
        </is>
      </c>
      <c r="C362" s="217" t="inlineStr">
        <is>
          <t>Missing data: {{fields}}</t>
        </is>
      </c>
      <c r="D362" s="217" t="inlineStr">
        <is>
          <t>ខ្វះទិន្នន័យ: {{fields}}</t>
        </is>
      </c>
      <c r="E362" s="217" t="inlineStr">
        <is>
          <t>ខ្វះទិន្នន័យ៖  {{fields}}</t>
        </is>
      </c>
      <c r="F362" s="217" t="inlineStr">
        <is>
          <t>ខ្វះទិន្នន័យ៖  {{fields}}</t>
        </is>
      </c>
      <c r="G362" s="217" t="inlineStr">
        <is>
          <t>ខ្វះទិន្នន័យ៖ {{fields}}</t>
        </is>
      </c>
      <c r="H362" s="217" t="inlineStr">
        <is>
          <t>数据缺失：{{fields}}</t>
        </is>
      </c>
      <c r="J362" t="inlineStr">
        <is>
          <t>ខ្វះទិន្នន័យ៖ {{fields}}</t>
        </is>
      </c>
    </row>
    <row r="363">
      <c r="A363" s="217" t="inlineStr">
        <is>
          <t>createOrders.wrongFormatFile</t>
        </is>
      </c>
      <c r="B363" s="217" t="inlineStr">
        <is>
          <t>Quý khách vừa tải lên file excel không đúng định dạng, mời quý khách tải lại file mới theo định dạng file mẫu</t>
        </is>
      </c>
      <c r="C363" s="217" t="inlineStr">
        <is>
          <t>You have uploaded an excel file in the wrong format. Please re-upload a new file according to the sample file format.</t>
        </is>
      </c>
      <c r="D363" s="217" t="inlineStr">
        <is>
          <t>អ្នកបានផ្ទុកឯកសារ Excel មិនត្រឹមត្រូវ សូមផ្ទុកតាមទម្រង់គំរូ</t>
        </is>
      </c>
      <c r="E363" s="217" t="inlineStr">
        <is>
          <t>អតិថិជនទើបតែទាញយក file excel ខុសទម្រង់ សូមអតិថិជនទាញយក file ថ្មីតាមគម្រូនេះ</t>
        </is>
      </c>
      <c r="F363" s="217" t="inlineStr">
        <is>
          <t>អតិថិជនទើបតែទាញយកហ្វាល excel ខុសទម្រង់ សូមអតិថិជនទាញយកហ្វាល ថ្មីតាមគម្រូនេះ</t>
        </is>
      </c>
      <c r="G363" s="217" t="inlineStr">
        <is>
          <t>អតិថិជនទើបតែទាញយកហ្វាល excel ខុសទម្រង់ សូមអតិថិជនទាញយកហ្វាល ថ្មីតាមគម្រូនេះ</t>
        </is>
      </c>
      <c r="H363" s="217" t="inlineStr">
        <is>
          <t>您上传的Excel文件格式有误，请根据示例文件格式重新上传。</t>
        </is>
      </c>
      <c r="J363" t="inlineStr">
        <is>
          <t>អតិថិជនទើបតែទាញយកហ្វាល excel ខុសទម្រង់ សូមអតិថិជនទាញយកហ្វាល ថ្មីតាមគម្រូនេះ</t>
        </is>
      </c>
    </row>
    <row r="364">
      <c r="A364" s="217" t="inlineStr">
        <is>
          <t>createOrders.maxTotalFile</t>
        </is>
      </c>
      <c r="B364" s="217" t="inlineStr">
        <is>
          <t>Số lượng đơn đã vượt quá 1000 đơn. Vui lòng kiểm tra lại</t>
        </is>
      </c>
      <c r="C364" s="217" t="inlineStr">
        <is>
          <t>The number of orders has exceeded 1000. Please check again.</t>
        </is>
      </c>
      <c r="D364" s="217" t="inlineStr">
        <is>
          <t>ចំនួនបញ្ជាទិញលើស 200 ទេ។ សូមពិនិត្យឡើងវិញ</t>
        </is>
      </c>
      <c r="E364" s="217" t="inlineStr">
        <is>
          <t>ចំនួនបុងបញ្ញើបានលើសពី 1000 បុង។ សូមពិនិត្យមើលម្តងទៀត</t>
        </is>
      </c>
      <c r="F364" s="217" t="inlineStr">
        <is>
          <t>ចំនួនប៉ុងបញ្ញើបានលើសពី 1000 ប៉ុង។ សូមពិនិត្យមើលម្តងទៀត</t>
        </is>
      </c>
      <c r="G364" s="217" t="inlineStr">
        <is>
          <t>ចំនួនប៉ុងបញ្ញើបានលើសពី 1000 ប៉ុង។ សូមពិនិត្យមើលម្តងទៀត</t>
        </is>
      </c>
      <c r="H364" s="217" t="inlineStr">
        <is>
          <t>订单数量已超过200单，请检查。</t>
        </is>
      </c>
      <c r="J364" t="inlineStr">
        <is>
          <t>ចំនួនប៉ុងបញ្ញើបានលើសពី 1000 ប៉ុង។ សូមពិនិត្យមើលម្តងទៀត</t>
        </is>
      </c>
    </row>
    <row r="365">
      <c r="A365" s="217" t="inlineStr">
        <is>
          <t>createOrders.notFoundImport</t>
        </is>
      </c>
      <c r="B365" s="217" t="inlineStr">
        <is>
          <t>Không tìm thấy đơn hàng. Vui lòng nhập đầy đủ thông tin</t>
        </is>
      </c>
      <c r="C365" s="217" t="inlineStr">
        <is>
          <t>No orders found. Please enter complete information.</t>
        </is>
      </c>
      <c r="D365" s="217" t="inlineStr">
        <is>
          <t>មិនមានបញ្ជាទិញត្រូវបានរកឃើញ។ សូមបញ្ចូលពត៌មានឲ្យពេញលេញ</t>
        </is>
      </c>
      <c r="E365" s="217" t="inlineStr">
        <is>
          <t>មិនអាចស្វែងរកឃើញបុងបញ្ញើ។ សូមបញ្ចូលព័ត៌មានឲ្យបានពេញលេញ</t>
        </is>
      </c>
      <c r="F365" s="217" t="inlineStr">
        <is>
          <t>មិនស្វែងរកឃើញប៉ុងបញ្ញើ។ សូមបញ្ចូលព័ត៌មានឲ្យបានពេញលេញ</t>
        </is>
      </c>
      <c r="G365" s="217" t="inlineStr">
        <is>
          <t>មិនស្វែងរកឃើញប៉ុងបញ្ញើ។ សូមបញ្ចូលព័ត៌មានឲ្យបានពេញលេញ</t>
        </is>
      </c>
      <c r="H365" s="217" t="inlineStr">
        <is>
          <t>未找到订单，请输入完整信息。</t>
        </is>
      </c>
      <c r="J365" t="inlineStr">
        <is>
          <t>មិនស្វែងរកឃើញប៉ុងបញ្ញើ។ សូមបញ្ចូលព័ត៌មានឲ្យបានពេញលេញ</t>
        </is>
      </c>
    </row>
    <row r="366">
      <c r="A366" s="217" t="inlineStr">
        <is>
          <t>createSingleOrder.title</t>
        </is>
      </c>
      <c r="B366" s="217" t="inlineStr">
        <is>
          <t>Tạo đơn lẻ</t>
        </is>
      </c>
      <c r="C366" s="217" t="inlineStr">
        <is>
          <t>Create Single Order</t>
        </is>
      </c>
      <c r="D366" s="217" t="inlineStr">
        <is>
          <t>បង្កើតបញ្ជាទិញតែមួយ</t>
        </is>
      </c>
      <c r="E366" s="217" t="inlineStr">
        <is>
          <t>បង្កើតបុងបញ្ញើរាយ</t>
        </is>
      </c>
      <c r="F366" s="217" t="inlineStr">
        <is>
          <t>បង្កើតប៉ុងបញ្ញើរាយ</t>
        </is>
      </c>
      <c r="G366" s="217" t="inlineStr">
        <is>
          <t>បង្កើតប៉ុងបញ្ញើរាយ</t>
        </is>
      </c>
      <c r="H366" s="217" t="inlineStr">
        <is>
          <t>示例备注</t>
        </is>
      </c>
      <c r="J366" t="inlineStr">
        <is>
          <t>បង្កើតប៉ុងបញ្ញើរាយ</t>
        </is>
      </c>
    </row>
    <row r="367">
      <c r="A367" s="217" t="inlineStr">
        <is>
          <t>createSingleOrder.sender</t>
        </is>
      </c>
      <c r="B367" s="217" t="inlineStr">
        <is>
          <t>Người gửi</t>
        </is>
      </c>
      <c r="C367" s="217" t="inlineStr">
        <is>
          <t>Sender</t>
        </is>
      </c>
      <c r="D367" s="217" t="inlineStr">
        <is>
          <t>អ្នកផ្ញើ</t>
        </is>
      </c>
      <c r="E367" s="217" t="inlineStr">
        <is>
          <t>អ្នកផ្ញើ</t>
        </is>
      </c>
      <c r="F367" s="217" t="inlineStr">
        <is>
          <t>អ្នកផ្ញើ</t>
        </is>
      </c>
      <c r="G367" s="217" t="inlineStr">
        <is>
          <t>អ្នកផ្ញើ</t>
        </is>
      </c>
      <c r="H367" s="217" t="inlineStr">
        <is>
          <t>服务</t>
        </is>
      </c>
      <c r="J367" t="inlineStr">
        <is>
          <t>អ្នកផ្ញើ</t>
        </is>
      </c>
    </row>
    <row r="368">
      <c r="A368" s="217" t="inlineStr">
        <is>
          <t>createSingleOrder.sendAtPostOffice</t>
        </is>
      </c>
      <c r="B368" s="217" t="inlineStr">
        <is>
          <t>Gửi tại bưu cục</t>
        </is>
      </c>
      <c r="C368" s="217" t="inlineStr">
        <is>
          <t>Send at post office</t>
        </is>
      </c>
      <c r="D368" s="217" t="inlineStr">
        <is>
          <t>ផ្ញើនៅប៉ុស្តិ៍</t>
        </is>
      </c>
      <c r="E368" s="217" t="inlineStr">
        <is>
          <t>ផ្ញើនៅការិយាល័យប្រៃសណីយ៍</t>
        </is>
      </c>
      <c r="F368" s="217" t="inlineStr">
        <is>
          <t>ផ្ញើនៅការិយាល័យប្រៃសណីយ៍</t>
        </is>
      </c>
      <c r="G368" s="217" t="inlineStr">
        <is>
          <t>ផ្ញើនៅការិយាល័យប្រៃសណីយ៍</t>
        </is>
      </c>
      <c r="H368" s="217" t="inlineStr">
        <is>
          <t>邮局寄件</t>
        </is>
      </c>
      <c r="J368" t="inlineStr">
        <is>
          <t>ផ្ញើនៅការិយាល័យប្រៃសណីយ៍</t>
        </is>
      </c>
    </row>
    <row r="369">
      <c r="A369" s="217" t="inlineStr">
        <is>
          <t>createSingleOrder.addressSender</t>
        </is>
      </c>
      <c r="B369" s="217" t="inlineStr">
        <is>
          <t>Địa chỉ gửi</t>
        </is>
      </c>
      <c r="C369" s="217" t="inlineStr">
        <is>
          <t>Sender's address</t>
        </is>
      </c>
      <c r="D369" s="217" t="inlineStr">
        <is>
          <t>អាសយដ្ឋានអ្នកផ្ញើ</t>
        </is>
      </c>
      <c r="E369" s="217" t="inlineStr">
        <is>
          <t>ទីតាំងផ្ញើ</t>
        </is>
      </c>
      <c r="F369" s="217" t="inlineStr">
        <is>
          <t>អាសយដ្ឋានផ្ញើ</t>
        </is>
      </c>
      <c r="G369" s="217" t="inlineStr">
        <is>
          <t>អាសយដ្ឋានផ្ញើ</t>
        </is>
      </c>
      <c r="H369" s="217" t="inlineStr">
        <is>
          <t>寄件人地址</t>
        </is>
      </c>
      <c r="J369" t="inlineStr">
        <is>
          <t>អាសយដ្ឋានផ្ញើ</t>
        </is>
      </c>
    </row>
    <row r="370">
      <c r="A370" s="217" t="inlineStr">
        <is>
          <t>createSingleOrder.addressSenderPlaceholder</t>
        </is>
      </c>
      <c r="B370" s="217" t="inlineStr">
        <is>
          <t>Chọn địa chỉ người gửi</t>
        </is>
      </c>
      <c r="C370" s="217" t="inlineStr">
        <is>
          <t>Select sender's address</t>
        </is>
      </c>
      <c r="D370" s="217" t="inlineStr">
        <is>
          <t>ជ្រើសអាសយដ្ឋានអ្នកផ្ញើ</t>
        </is>
      </c>
      <c r="E370" s="217" t="inlineStr">
        <is>
          <t>ជ្រើសរើសទីតាំងអ្នកផ្ញើ</t>
        </is>
      </c>
      <c r="F370" s="217" t="inlineStr">
        <is>
          <t>ជ្រើសរើសអាសយដ្ឋានរបស់អ្នកផ្ញើ</t>
        </is>
      </c>
      <c r="G370" s="217" t="inlineStr">
        <is>
          <t>ជ្រើសរើសអាសយដ្ឋានរបស់អ្នកផ្ញើ</t>
        </is>
      </c>
      <c r="H370" s="217" t="inlineStr">
        <is>
          <t>选择寄件人地址</t>
        </is>
      </c>
      <c r="J370" t="inlineStr">
        <is>
          <t>ជ្រើសរើសអាសយដ្ឋានរបស់អ្នកផ្ញើ</t>
        </is>
      </c>
    </row>
    <row r="371">
      <c r="A371" s="217" t="inlineStr">
        <is>
          <t>createSingleOrder.receiver</t>
        </is>
      </c>
      <c r="B371" s="217" t="inlineStr">
        <is>
          <t>Người nhận</t>
        </is>
      </c>
      <c r="C371" s="217" t="inlineStr">
        <is>
          <t>Receiver</t>
        </is>
      </c>
      <c r="D371" s="217" t="inlineStr">
        <is>
          <t>អ្នកទទួល</t>
        </is>
      </c>
      <c r="E371" s="217" t="inlineStr">
        <is>
          <t>អ្នកទទួល</t>
        </is>
      </c>
      <c r="F371" s="217" t="inlineStr">
        <is>
          <t>អ្នកទទួល</t>
        </is>
      </c>
      <c r="G371" s="217" t="inlineStr">
        <is>
          <t>អ្នកទទួល</t>
        </is>
      </c>
      <c r="H371" s="217" t="inlineStr">
        <is>
          <t>收件人</t>
        </is>
      </c>
      <c r="J371" t="inlineStr">
        <is>
          <t>អ្នកទទួល</t>
        </is>
      </c>
    </row>
    <row r="372">
      <c r="A372" s="217" t="inlineStr">
        <is>
          <t>createSingleOrder.phone</t>
        </is>
      </c>
      <c r="B372" s="217" t="inlineStr">
        <is>
          <t>Số điện thoại</t>
        </is>
      </c>
      <c r="C372" s="217" t="inlineStr">
        <is>
          <t>Phone number</t>
        </is>
      </c>
      <c r="D372" s="217" t="inlineStr">
        <is>
          <t>លេខទូរស័ព្ទ</t>
        </is>
      </c>
      <c r="E372" s="217" t="inlineStr">
        <is>
          <t>លេខទូរស័ព្ទ</t>
        </is>
      </c>
      <c r="F372" s="217" t="inlineStr">
        <is>
          <t>លេខទូរស័ព្ទ</t>
        </is>
      </c>
      <c r="G372" s="217" t="inlineStr">
        <is>
          <t>លេខទូរស័ព្ទ</t>
        </is>
      </c>
      <c r="H372" s="217" t="inlineStr">
        <is>
          <t>电话号码</t>
        </is>
      </c>
      <c r="J372" t="inlineStr">
        <is>
          <t>លេខទូរស័ព្ទ</t>
        </is>
      </c>
    </row>
    <row r="373">
      <c r="A373" s="217" t="inlineStr">
        <is>
          <t>createSingleOrder.phonePlaceholder</t>
        </is>
      </c>
      <c r="B373" s="217" t="inlineStr">
        <is>
          <t>Nhập số điện thoại</t>
        </is>
      </c>
      <c r="C373" s="217" t="inlineStr">
        <is>
          <t>Enter phone number</t>
        </is>
      </c>
      <c r="D373" s="217" t="inlineStr">
        <is>
          <t>បញ្ចូលលេខទូរស័ព្ទ</t>
        </is>
      </c>
      <c r="E373" s="217" t="inlineStr">
        <is>
          <t>បញ្ចូលលេខទូរស័ព្ទ</t>
        </is>
      </c>
      <c r="F373" s="217" t="inlineStr">
        <is>
          <t>បញ្ចូលលេខទូរស័ព្ទ</t>
        </is>
      </c>
      <c r="G373" s="217" t="inlineStr">
        <is>
          <t>បញ្ចូលលេខទូរស័ព្ទ</t>
        </is>
      </c>
      <c r="H373" s="217" t="inlineStr">
        <is>
          <t>请输入电话号码</t>
        </is>
      </c>
      <c r="J373" t="inlineStr">
        <is>
          <t>បញ្ចូលលេខទូរស័ព្ទ</t>
        </is>
      </c>
    </row>
    <row r="374">
      <c r="A374" s="217" t="inlineStr">
        <is>
          <t>createSingleOrder.fullName</t>
        </is>
      </c>
      <c r="B374" s="217" t="inlineStr">
        <is>
          <t>Họ tên</t>
        </is>
      </c>
      <c r="C374" s="217" t="inlineStr">
        <is>
          <t>Full name</t>
        </is>
      </c>
      <c r="D374" s="217" t="inlineStr">
        <is>
          <t>ឈ្មោះពេញ</t>
        </is>
      </c>
      <c r="E374" s="217" t="inlineStr">
        <is>
          <t>គោត្តនាម និងនាម</t>
        </is>
      </c>
      <c r="F374" s="217" t="inlineStr">
        <is>
          <t>ឈ្មោះនិងត្រកូល</t>
        </is>
      </c>
      <c r="G374" s="217" t="inlineStr">
        <is>
          <t>ឈ្មោះពេញ</t>
        </is>
      </c>
      <c r="H374" s="217" t="inlineStr">
        <is>
          <t>姓名</t>
        </is>
      </c>
      <c r="J374" t="inlineStr">
        <is>
          <t>ឈ្មោះពេញ</t>
        </is>
      </c>
    </row>
    <row r="375">
      <c r="A375" s="217" t="inlineStr">
        <is>
          <t>createSingleOrder.fullNamePlaceholder</t>
        </is>
      </c>
      <c r="B375" s="217" t="inlineStr">
        <is>
          <t>Nhập họ tên</t>
        </is>
      </c>
      <c r="C375" s="217" t="inlineStr">
        <is>
          <t>Enter full name</t>
        </is>
      </c>
      <c r="D375" s="217" t="inlineStr">
        <is>
          <t>បញ្ចូលឈ្មោះ</t>
        </is>
      </c>
      <c r="E375" s="217" t="inlineStr">
        <is>
          <t>បញ្ចូលគោត្តនាម និងនាម</t>
        </is>
      </c>
      <c r="F375" s="217" t="inlineStr">
        <is>
          <t>បញ្ចូលឈ្មោះពេញ</t>
        </is>
      </c>
      <c r="G375" s="217" t="inlineStr">
        <is>
          <t>បញ្ចូលឈ្មោះពេញ</t>
        </is>
      </c>
      <c r="H375" s="217" t="inlineStr">
        <is>
          <t>请输入姓名</t>
        </is>
      </c>
      <c r="J375" t="inlineStr">
        <is>
          <t>បញ្ចូលឈ្មោះពេញ</t>
        </is>
      </c>
    </row>
    <row r="376">
      <c r="A376" s="217" t="inlineStr">
        <is>
          <t>createSingleOrder.address</t>
        </is>
      </c>
      <c r="B376" s="217" t="inlineStr">
        <is>
          <t>Địa chỉ</t>
        </is>
      </c>
      <c r="C376" s="217" t="inlineStr">
        <is>
          <t>Address</t>
        </is>
      </c>
      <c r="D376" s="217" t="inlineStr">
        <is>
          <t>អាសយដ្ឋាន</t>
        </is>
      </c>
      <c r="E376" s="217" t="inlineStr">
        <is>
          <t>ទីតាំង</t>
        </is>
      </c>
      <c r="F376" s="217" t="inlineStr">
        <is>
          <t>អាសយដ្ឋាន</t>
        </is>
      </c>
      <c r="G376" s="217" t="inlineStr">
        <is>
          <t>អាសយដ្ឋាន</t>
        </is>
      </c>
      <c r="H376" s="217" t="inlineStr">
        <is>
          <t>地址</t>
        </is>
      </c>
      <c r="J376" t="inlineStr">
        <is>
          <t>អាសយដ្ឋាន</t>
        </is>
      </c>
    </row>
    <row r="377">
      <c r="A377" s="217" t="inlineStr">
        <is>
          <t>createSingleOrder.addressPlaceholder</t>
        </is>
      </c>
      <c r="B377" s="217" t="inlineStr">
        <is>
          <t>Nhập địa chỉ</t>
        </is>
      </c>
      <c r="C377" s="217" t="inlineStr">
        <is>
          <t>Enter address</t>
        </is>
      </c>
      <c r="D377" s="217" t="inlineStr">
        <is>
          <t>បញ្ចូលអាសយដ្ឋាន</t>
        </is>
      </c>
      <c r="E377" s="217" t="inlineStr">
        <is>
          <t>បញ្ចូលទីតាំង</t>
        </is>
      </c>
      <c r="F377" s="217" t="inlineStr">
        <is>
          <t>បញ្ចូលអាសយដ្ឋាន</t>
        </is>
      </c>
      <c r="G377" s="217" t="inlineStr">
        <is>
          <t>បញ្ចូលអាសយដ្ឋាន</t>
        </is>
      </c>
      <c r="H377" s="217" t="inlineStr">
        <is>
          <t>请输入地址</t>
        </is>
      </c>
      <c r="J377" t="inlineStr">
        <is>
          <t>បញ្ចូលអាសយដ្ឋាន</t>
        </is>
      </c>
    </row>
    <row r="378">
      <c r="A378" s="217" t="inlineStr">
        <is>
          <t>createSingleOrder.province</t>
        </is>
      </c>
      <c r="B378" s="217" t="inlineStr">
        <is>
          <t>Liên bang/Vùng</t>
        </is>
      </c>
      <c r="C378" s="217" t="inlineStr">
        <is>
          <t>State/Region</t>
        </is>
      </c>
      <c r="D378" s="217" t="inlineStr">
        <is>
          <t>ខេត្ត/តំបន់</t>
        </is>
      </c>
      <c r="E378" s="90" t="inlineStr">
        <is>
          <t>សហព័ន្ធ / តំបន់</t>
        </is>
      </c>
      <c r="F378" s="217" t="inlineStr">
        <is>
          <t>សហព័ន្ធ/តំបន់</t>
        </is>
      </c>
      <c r="G378" s="217" t="inlineStr">
        <is>
          <t>សហព័ន្ធ/តំបន់</t>
        </is>
      </c>
      <c r="H378" s="217" t="inlineStr">
        <is>
          <t>省/州</t>
        </is>
      </c>
      <c r="J378" t="inlineStr">
        <is>
          <t>សហព័ន្ធ/តំបន់</t>
        </is>
      </c>
    </row>
    <row r="379">
      <c r="A379" s="217" t="inlineStr">
        <is>
          <t>createSingleOrder.provincePlaceholder</t>
        </is>
      </c>
      <c r="B379" s="217" t="inlineStr">
        <is>
          <t>Chọn liên bang/Vùng</t>
        </is>
      </c>
      <c r="C379" s="217" t="inlineStr">
        <is>
          <t>Select state/region</t>
        </is>
      </c>
      <c r="D379" s="217" t="inlineStr">
        <is>
          <t>ជ្រើសខេត្ត/តំបន់</t>
        </is>
      </c>
      <c r="E379" s="217" t="inlineStr">
        <is>
          <t>ជ្រើសរើសសហព័ន្ធ / តំបន់</t>
        </is>
      </c>
      <c r="F379" s="217" t="inlineStr">
        <is>
          <t>ជ្រើសរើសសហព័ន្ធ/តំបន់</t>
        </is>
      </c>
      <c r="G379" s="217" t="inlineStr">
        <is>
          <t>ជ្រើសរើសសហព័ន្ធ/តំបន់</t>
        </is>
      </c>
      <c r="H379" s="217" t="inlineStr">
        <is>
          <t>选择省/州</t>
        </is>
      </c>
      <c r="J379" t="inlineStr">
        <is>
          <t>ជ្រើសរើសសហព័ន្ធ/តំបន់</t>
        </is>
      </c>
    </row>
    <row r="380">
      <c r="A380" s="217" t="inlineStr">
        <is>
          <t>createSingleOrder.district</t>
        </is>
      </c>
      <c r="B380" s="217" t="inlineStr">
        <is>
          <t>Mường</t>
        </is>
      </c>
      <c r="C380" s="217" t="inlineStr">
        <is>
          <t>District</t>
        </is>
      </c>
      <c r="D380" s="217" t="inlineStr">
        <is>
          <t>ស្រុក/ខណ្ឌ</t>
        </is>
      </c>
      <c r="E380" s="217" t="inlineStr">
        <is>
          <t>ស្រុក/ខណ្ឌ</t>
        </is>
      </c>
      <c r="F380" s="217" t="inlineStr">
        <is>
          <t>មឿង (ស្រុក/ប្រទេស)</t>
        </is>
      </c>
      <c r="G380" s="217" t="inlineStr">
        <is>
          <t>មឿង (ស្រុក/ប្រទេស)</t>
        </is>
      </c>
      <c r="H380" s="217" t="inlineStr">
        <is>
          <t>区/县</t>
        </is>
      </c>
      <c r="J380" t="inlineStr">
        <is>
          <t>មឿង (ស្រុក/ប្រទេស)</t>
        </is>
      </c>
    </row>
    <row r="381">
      <c r="A381" s="217" t="inlineStr">
        <is>
          <t>createSingleOrder.districtPlaceholder</t>
        </is>
      </c>
      <c r="B381" s="217" t="inlineStr">
        <is>
          <t>Chọn Mường</t>
        </is>
      </c>
      <c r="C381" s="217" t="inlineStr">
        <is>
          <t>Select district</t>
        </is>
      </c>
      <c r="D381" s="217" t="inlineStr">
        <is>
          <t>ជ្រើសស្រុក/ខណ្ឌ</t>
        </is>
      </c>
      <c r="E381" s="217" t="inlineStr">
        <is>
          <t>ជ្រើសរើសស្រុក/ខណ្ឌ</t>
        </is>
      </c>
      <c r="F381" s="217" t="inlineStr">
        <is>
          <t>ជ្រើសរើសមឿង (ស្រុក/ប្រទេស)</t>
        </is>
      </c>
      <c r="G381" s="217" t="inlineStr">
        <is>
          <t>ជ្រើសរើសមឿង (ស្រុក/ប្រទេស)</t>
        </is>
      </c>
      <c r="H381" s="217" t="inlineStr">
        <is>
          <t>选择区/县</t>
        </is>
      </c>
      <c r="J381" t="inlineStr">
        <is>
          <t>ជ្រើសរើសមឿង (ស្រុក/ប្រទេស)</t>
        </is>
      </c>
    </row>
    <row r="382">
      <c r="A382" s="217" t="inlineStr">
        <is>
          <t>createSingleOrder.ward</t>
        </is>
      </c>
      <c r="B382" s="217" t="inlineStr">
        <is>
          <t>Thị trấn</t>
        </is>
      </c>
      <c r="C382" s="217" t="inlineStr">
        <is>
          <t>Town/Neighborhood</t>
        </is>
      </c>
      <c r="D382" s="217" t="inlineStr">
        <is>
          <t>ឃុំ/សង្កាត់</t>
        </is>
      </c>
      <c r="E382" s="217" t="inlineStr">
        <is>
          <t>ឃុំ/សង្កាត់</t>
        </is>
      </c>
      <c r="F382" s="217" t="inlineStr">
        <is>
          <t>ទីក្រុង</t>
        </is>
      </c>
      <c r="G382" s="217" t="inlineStr">
        <is>
          <t>ទីក្រុង</t>
        </is>
      </c>
      <c r="H382" s="217" t="inlineStr">
        <is>
          <t>乡镇/街道</t>
        </is>
      </c>
      <c r="J382" t="inlineStr">
        <is>
          <t>ទីក្រុង</t>
        </is>
      </c>
    </row>
    <row r="383">
      <c r="A383" s="217" t="inlineStr">
        <is>
          <t>createSingleOrder.wardPlaceholder</t>
        </is>
      </c>
      <c r="B383" s="217" t="inlineStr">
        <is>
          <t>Chọn thị trấn</t>
        </is>
      </c>
      <c r="C383" s="217" t="inlineStr">
        <is>
          <t>Select town/neighborhood</t>
        </is>
      </c>
      <c r="D383" s="217" t="inlineStr">
        <is>
          <t>ជ្រើសឃុំ/សង្កាត់</t>
        </is>
      </c>
      <c r="E383" s="217" t="inlineStr">
        <is>
          <t>ជ្រើសរើសឃុំ/សង្កាត់</t>
        </is>
      </c>
      <c r="F383" s="217" t="inlineStr">
        <is>
          <t>ជ្រើសរើសទីក្រុង</t>
        </is>
      </c>
      <c r="G383" s="217" t="inlineStr">
        <is>
          <t>ជ្រើសរើសទីក្រុង</t>
        </is>
      </c>
      <c r="H383" s="217" t="inlineStr">
        <is>
          <t>选择乡镇/街道</t>
        </is>
      </c>
      <c r="J383" t="inlineStr">
        <is>
          <t>ជ្រើសរើសទីក្រុង</t>
        </is>
      </c>
    </row>
    <row r="384">
      <c r="A384" s="217" t="inlineStr">
        <is>
          <t>createSingleOrder.parcelInformation</t>
        </is>
      </c>
      <c r="B384" s="217" t="inlineStr">
        <is>
          <t>Thông tin hàng hóa</t>
        </is>
      </c>
      <c r="C384" s="217" t="inlineStr">
        <is>
          <t>Parcel information</t>
        </is>
      </c>
      <c r="D384" s="217" t="inlineStr">
        <is>
          <t>ព័ត៌មានសម្ភារៈ</t>
        </is>
      </c>
      <c r="E384" s="217" t="inlineStr">
        <is>
          <t>ព័ត៌មានអីវ៉ាន់</t>
        </is>
      </c>
      <c r="F384" s="217" t="inlineStr">
        <is>
          <t>ព័ត៌មានទំនិញ</t>
        </is>
      </c>
      <c r="G384" s="217" t="inlineStr">
        <is>
          <t>ព័ត៌មានទំនិញ</t>
        </is>
      </c>
      <c r="H384" s="217" t="inlineStr">
        <is>
          <t>包裹信息</t>
        </is>
      </c>
      <c r="J384" t="inlineStr">
        <is>
          <t>ព័ត៌មានទំនិញ</t>
        </is>
      </c>
    </row>
    <row r="385">
      <c r="A385" s="217" t="inlineStr">
        <is>
          <t>createSingleOrder.parcelType</t>
        </is>
      </c>
      <c r="B385" s="217" t="inlineStr">
        <is>
          <t>Loại hàng hóa</t>
        </is>
      </c>
      <c r="C385" s="217" t="inlineStr">
        <is>
          <t>Parcel type</t>
        </is>
      </c>
      <c r="D385" s="217" t="inlineStr">
        <is>
          <t>ប្រភេទសារពើភ័ណ្ឌ</t>
        </is>
      </c>
      <c r="E385" s="217" t="inlineStr">
        <is>
          <t>ប្រភេទអីវ៉ាន់</t>
        </is>
      </c>
      <c r="F385" s="217" t="inlineStr">
        <is>
          <t>ប្រភេទទំនិញ</t>
        </is>
      </c>
      <c r="G385" s="217" t="inlineStr">
        <is>
          <t>ប្រភេទមុខទំនិញ</t>
        </is>
      </c>
      <c r="H385" s="217" t="inlineStr">
        <is>
          <t>包裹类型</t>
        </is>
      </c>
      <c r="J385" t="inlineStr">
        <is>
          <t>ប្រភេទមុខទំនិញ</t>
        </is>
      </c>
    </row>
    <row r="386">
      <c r="A386" s="217" t="inlineStr">
        <is>
          <t>createSingleOrder.goods</t>
        </is>
      </c>
      <c r="B386" s="217" t="inlineStr">
        <is>
          <t>Bưu kiện</t>
        </is>
      </c>
      <c r="C386" s="217" t="inlineStr">
        <is>
          <t>Package</t>
        </is>
      </c>
      <c r="D386" s="217" t="inlineStr">
        <is>
          <t>កញ្ចប់</t>
        </is>
      </c>
      <c r="E386" s="217" t="inlineStr">
        <is>
          <t>កញ្ចប់អីវ៉ាន់</t>
        </is>
      </c>
      <c r="F386" s="217" t="inlineStr">
        <is>
          <t>ក្បាលដី</t>
        </is>
      </c>
      <c r="G386" s="217" t="inlineStr">
        <is>
          <t>ក្បាលដី</t>
        </is>
      </c>
      <c r="H386" s="217" t="inlineStr">
        <is>
          <t>包裹</t>
        </is>
      </c>
      <c r="J386" t="inlineStr">
        <is>
          <t>ក្បាលដី</t>
        </is>
      </c>
    </row>
    <row r="387">
      <c r="A387" s="217" t="inlineStr">
        <is>
          <t>createSingleOrder.document</t>
        </is>
      </c>
      <c r="B387" s="217" t="inlineStr">
        <is>
          <t>Tài liệu</t>
        </is>
      </c>
      <c r="C387" s="217" t="inlineStr">
        <is>
          <t>Document</t>
        </is>
      </c>
      <c r="D387" s="217" t="inlineStr">
        <is>
          <t>ឯកសារ</t>
        </is>
      </c>
      <c r="E387" s="217" t="inlineStr">
        <is>
          <t>ឯកសារ</t>
        </is>
      </c>
      <c r="F387" s="217" t="inlineStr">
        <is>
          <t>ឯកសារ</t>
        </is>
      </c>
      <c r="G387" s="217" t="inlineStr">
        <is>
          <t>ឯកសារ</t>
        </is>
      </c>
      <c r="H387" s="217" t="inlineStr">
        <is>
          <t>文件</t>
        </is>
      </c>
      <c r="J387" t="inlineStr">
        <is>
          <t>ឯកសារ</t>
        </is>
      </c>
    </row>
    <row r="388">
      <c r="A388" s="217" t="inlineStr">
        <is>
          <t>createSingleOrder.parcel</t>
        </is>
      </c>
      <c r="B388" s="217" t="inlineStr">
        <is>
          <t>Hàng hóa</t>
        </is>
      </c>
      <c r="C388" s="217" t="inlineStr">
        <is>
          <t>Goods</t>
        </is>
      </c>
      <c r="D388" s="217" t="inlineStr">
        <is>
          <t>ទំនិញ</t>
        </is>
      </c>
      <c r="E388" s="217" t="inlineStr">
        <is>
          <t>អីវ៉ាន់</t>
        </is>
      </c>
      <c r="F388" s="217" t="inlineStr">
        <is>
          <t>ទំនិញ</t>
        </is>
      </c>
      <c r="G388" s="217" t="inlineStr">
        <is>
          <t>ទំនិញ</t>
        </is>
      </c>
      <c r="H388" s="217" t="inlineStr">
        <is>
          <t>货物/商品</t>
        </is>
      </c>
      <c r="J388" t="inlineStr">
        <is>
          <t>ទំនិញ</t>
        </is>
      </c>
    </row>
    <row r="389">
      <c r="A389" s="217" t="inlineStr">
        <is>
          <t>createSingleOrder.parcelName</t>
        </is>
      </c>
      <c r="B389" s="217" t="inlineStr">
        <is>
          <t>Tên hàng hóa</t>
        </is>
      </c>
      <c r="C389" s="217" t="inlineStr">
        <is>
          <t>Parcel name</t>
        </is>
      </c>
      <c r="D389" s="217" t="inlineStr">
        <is>
          <t>ឈ្មោះទំនិញ</t>
        </is>
      </c>
      <c r="E389" s="217" t="inlineStr">
        <is>
          <t>ប្រភេទអីវ៉ាន់</t>
        </is>
      </c>
      <c r="F389" s="217" t="inlineStr">
        <is>
          <t>ឈ្មោះទំនិញ</t>
        </is>
      </c>
      <c r="G389" s="217" t="inlineStr">
        <is>
          <t>ឈ្មោះទំនិញ</t>
        </is>
      </c>
      <c r="H389" s="217" t="inlineStr">
        <is>
          <t>包裹名称</t>
        </is>
      </c>
      <c r="J389" t="inlineStr">
        <is>
          <t>ឈ្មោះទំនិញ</t>
        </is>
      </c>
    </row>
    <row r="390">
      <c r="A390" s="217" t="inlineStr">
        <is>
          <t>createSingleOrder.parcelQuantity</t>
        </is>
      </c>
      <c r="B390" s="217" t="inlineStr">
        <is>
          <t>Số lượng</t>
        </is>
      </c>
      <c r="C390" s="217" t="inlineStr">
        <is>
          <t>Quantity</t>
        </is>
      </c>
      <c r="D390" s="217" t="inlineStr">
        <is>
          <t>ចំនួន</t>
        </is>
      </c>
      <c r="E390" s="217" t="inlineStr">
        <is>
          <t>ចំនួួន</t>
        </is>
      </c>
      <c r="F390" s="217" t="inlineStr">
        <is>
          <t>បរិមាណ</t>
        </is>
      </c>
      <c r="G390" s="217" t="inlineStr">
        <is>
          <t>បរិមាណ</t>
        </is>
      </c>
      <c r="H390" s="217" t="inlineStr">
        <is>
          <t>数量</t>
        </is>
      </c>
      <c r="J390" t="inlineStr">
        <is>
          <t>បរិមាណ</t>
        </is>
      </c>
    </row>
    <row r="391">
      <c r="A391" s="217" t="inlineStr">
        <is>
          <t>createSingleOrder.parcelWeight</t>
        </is>
      </c>
      <c r="B391" s="217" t="inlineStr">
        <is>
          <t>KL(g)</t>
        </is>
      </c>
      <c r="C391" s="217" t="inlineStr">
        <is>
          <t>Weight (g)</t>
        </is>
      </c>
      <c r="D391" s="217" t="inlineStr">
        <is>
          <t>ទំងន់ (ក្រាម)</t>
        </is>
      </c>
      <c r="E391" s="217" t="inlineStr">
        <is>
          <t>ទម្ងន់ (ក្រាម)</t>
        </is>
      </c>
      <c r="F391" s="217" t="inlineStr">
        <is>
          <t>ទម្ងន់ (ក្រាម)</t>
        </is>
      </c>
      <c r="G391" s="217" t="inlineStr">
        <is>
          <t>ទម្ងន់ (ក្រាម)</t>
        </is>
      </c>
      <c r="H391" s="217" t="inlineStr">
        <is>
          <t>重量 (克)</t>
        </is>
      </c>
      <c r="J391" t="inlineStr">
        <is>
          <t>ទម្ងន់ (ក្រាម)</t>
        </is>
      </c>
    </row>
    <row r="392">
      <c r="A392" s="217" t="inlineStr">
        <is>
          <t>createSingleOrder.parcelValue</t>
        </is>
      </c>
      <c r="B392" s="217" t="inlineStr">
        <is>
          <t>Giá trị ({{countryMoney}})</t>
        </is>
      </c>
      <c r="C392" s="217" t="inlineStr">
        <is>
          <t>Value ({{countryMoney}})</t>
        </is>
      </c>
      <c r="D392" s="217" t="inlineStr">
        <is>
          <t>តម្លៃ ({{countryMoney}})</t>
        </is>
      </c>
      <c r="E392" s="217" t="inlineStr">
        <is>
          <t>តម្លៃ ({{countryMoney}})</t>
        </is>
      </c>
      <c r="F392" s="217" t="inlineStr">
        <is>
          <t>តម្លៃ (ប្រទេស/ប្រាក់)</t>
        </is>
      </c>
      <c r="G392" s="217" t="inlineStr">
        <is>
          <t>តម្លៃ (ប្រទេស/ប្រាក់)</t>
        </is>
      </c>
      <c r="H392" s="217" t="inlineStr">
        <is>
          <t>声明价值 ({{countryMoney}})</t>
        </is>
      </c>
      <c r="J392" t="inlineStr">
        <is>
          <t>តម្លៃ (ប្រទេស/ប្រាក់)</t>
        </is>
      </c>
    </row>
    <row r="393">
      <c r="A393" s="217" t="inlineStr">
        <is>
          <t>createSingleOrder.validateParcel</t>
        </is>
      </c>
      <c r="B393" s="217" t="inlineStr">
        <is>
          <t>Thông tin hàng hóa cần được nhập đầy đủ</t>
        </is>
      </c>
      <c r="C393" s="217" t="inlineStr">
        <is>
          <t>Parcel information must be fully entered</t>
        </is>
      </c>
      <c r="D393" s="217" t="inlineStr">
        <is>
          <t>ព័ត៌មានទំនិញត្រូវបានបញ្ចូលទាំងស្រុង</t>
        </is>
      </c>
      <c r="E393" s="217" t="inlineStr">
        <is>
          <t>ព័ត៌មានអីវ៉ាន់ត្រូវបានបញ្ចូលពេញលេញ</t>
        </is>
      </c>
      <c r="F393" s="217" t="inlineStr">
        <is>
          <t>ព័ត៌មានទំនិញត្រូវតែបញ្ចូលឲ្យបានពេញលេញ</t>
        </is>
      </c>
      <c r="G393" s="217" t="inlineStr">
        <is>
          <t>ព័ត៌មានទំនិញត្រូវតែបញ្ចូលឲ្យបានពេញលេញ</t>
        </is>
      </c>
      <c r="H393" s="217" t="inlineStr">
        <is>
          <t>请完整填写包裹信息</t>
        </is>
      </c>
      <c r="J393" t="inlineStr">
        <is>
          <t>ព័ត៌មានទំនិញត្រូវតែបញ្ចូលឲ្យបានពេញលេញ</t>
        </is>
      </c>
    </row>
    <row r="394">
      <c r="A394" s="217" t="inlineStr">
        <is>
          <t>createSingleOrder.totalWeight</t>
        </is>
      </c>
      <c r="B394" s="217" t="inlineStr">
        <is>
          <t>Trọng lượng</t>
        </is>
      </c>
      <c r="C394" s="217" t="inlineStr">
        <is>
          <t>Total weight</t>
        </is>
      </c>
      <c r="D394" s="217" t="inlineStr">
        <is>
          <t>ទម្ងន់សរុប</t>
        </is>
      </c>
      <c r="E394" s="217" t="inlineStr">
        <is>
          <t>ទម្ងន់</t>
        </is>
      </c>
      <c r="F394" s="217" t="inlineStr">
        <is>
          <t>ទម្ងន់</t>
        </is>
      </c>
      <c r="G394" s="217" t="inlineStr">
        <is>
          <t>ទម្ងន់</t>
        </is>
      </c>
      <c r="H394" s="217" t="inlineStr">
        <is>
          <t>总重量</t>
        </is>
      </c>
      <c r="J394" t="inlineStr">
        <is>
          <t>ទម្ងន់</t>
        </is>
      </c>
    </row>
    <row r="395">
      <c r="A395" s="217" t="inlineStr">
        <is>
          <t>createSingleOrder.totalValue</t>
        </is>
      </c>
      <c r="B395" s="217" t="inlineStr">
        <is>
          <t>Tổng giá trị</t>
        </is>
      </c>
      <c r="C395" s="217" t="inlineStr">
        <is>
          <t>Total value</t>
        </is>
      </c>
      <c r="D395" s="217" t="inlineStr">
        <is>
          <t>តម្លៃសរុប</t>
        </is>
      </c>
      <c r="E395" s="217" t="inlineStr">
        <is>
          <t>សរុបតម្លៃ</t>
        </is>
      </c>
      <c r="F395" s="217" t="inlineStr">
        <is>
          <t>តម្លៃសរុប</t>
        </is>
      </c>
      <c r="G395" s="217" t="inlineStr">
        <is>
          <t>តម្លៃសរុប</t>
        </is>
      </c>
      <c r="H395" s="217" t="inlineStr">
        <is>
          <t>总声明价值</t>
        </is>
      </c>
      <c r="J395" t="inlineStr">
        <is>
          <t>តម្លៃសរុប</t>
        </is>
      </c>
    </row>
    <row r="396">
      <c r="A396" s="217" t="inlineStr">
        <is>
          <t>createSingleOrder.size</t>
        </is>
      </c>
      <c r="B396" s="217" t="inlineStr">
        <is>
          <t>Kích thước (D+R+C) (cm)</t>
        </is>
      </c>
      <c r="C396" s="217" t="inlineStr">
        <is>
          <t>Size (L+W+H) (cm)</t>
        </is>
      </c>
      <c r="D396" s="217" t="inlineStr">
        <is>
          <t>ទំហំ</t>
        </is>
      </c>
      <c r="E396" s="217" t="inlineStr">
        <is>
          <t>ទំហំ(ប្រវែង+ទទឹង+កម្ពស់)(សង់ទីម៉ែត)</t>
        </is>
      </c>
      <c r="F396" s="217" t="inlineStr">
        <is>
          <t>ទំហំ(ប្រវែង+ទទឹង+កម្ពស់)(សង់ទីម៉ែត)</t>
        </is>
      </c>
      <c r="G396" s="217" t="inlineStr">
        <is>
          <t>ទំហំ(ប្រវែង+ទទឹង+កម្ពស់)(សង់ទីម៉ែត)</t>
        </is>
      </c>
      <c r="H396" s="217" t="inlineStr">
        <is>
          <t>尺寸</t>
        </is>
      </c>
      <c r="J396" t="inlineStr">
        <is>
          <t>ទំហំ(ប្រវែង+ទទឹង+កម្ពស់)(សង់ទីម៉ែត)</t>
        </is>
      </c>
    </row>
    <row r="397">
      <c r="A397" s="217" t="inlineStr">
        <is>
          <t>createSingleOrder.sizePlaceholder</t>
        </is>
      </c>
      <c r="B397" s="217" t="inlineStr">
        <is>
          <t>Nhập Dài + Rộng + Cao</t>
        </is>
      </c>
      <c r="C397" s="217" t="inlineStr">
        <is>
          <t>Enter Length + Width + Height</t>
        </is>
      </c>
      <c r="D397" s="217" t="inlineStr">
        <is>
          <t>-</t>
        </is>
      </c>
      <c r="E397" s="217" t="inlineStr">
        <is>
          <t>បញ្ចូលប្រវែង+ទទឹង+កម្ពស់</t>
        </is>
      </c>
      <c r="F397" s="217" t="inlineStr">
        <is>
          <t>បញ្ចូលប្រវែង+ទទឹង+កម្ពស់</t>
        </is>
      </c>
      <c r="G397" s="217" t="inlineStr">
        <is>
          <t>បញ្ចូលប្រវែង+ទទឹង+កម្ពស់</t>
        </is>
      </c>
      <c r="H397" s="217" t="inlineStr">
        <is>
          <t>请输入长、宽、高</t>
        </is>
      </c>
      <c r="J397" t="inlineStr">
        <is>
          <t>បញ្ចូលប្រវែង+ទទឹង+កម្ពស់</t>
        </is>
      </c>
    </row>
    <row r="398">
      <c r="A398" s="217" t="inlineStr">
        <is>
          <t>createSingleOrder.length</t>
        </is>
      </c>
      <c r="B398" s="217" t="inlineStr">
        <is>
          <t>Dài (cm)</t>
        </is>
      </c>
      <c r="C398" s="217" t="inlineStr">
        <is>
          <t>Length (cm)</t>
        </is>
      </c>
      <c r="D398" s="217" t="inlineStr">
        <is>
          <t>ប្រវែង (ស.ម)</t>
        </is>
      </c>
      <c r="E398" s="217" t="inlineStr">
        <is>
          <t>ប្រវែង(សង់ទីម៉ែត)</t>
        </is>
      </c>
      <c r="F398" s="217" t="inlineStr">
        <is>
          <t>ប្រវែង(សង់ទីម៉ែត)</t>
        </is>
      </c>
      <c r="G398" s="217" t="inlineStr">
        <is>
          <t>ប្រវែង(សង់ទីម៉ែត)</t>
        </is>
      </c>
      <c r="H398" s="217" t="inlineStr">
        <is>
          <t>长度（厘米）</t>
        </is>
      </c>
      <c r="J398" t="inlineStr">
        <is>
          <t>ប្រវែង(សង់ទីម៉ែត)</t>
        </is>
      </c>
    </row>
    <row r="399">
      <c r="A399" s="217" t="inlineStr">
        <is>
          <t>createSingleOrder.width</t>
        </is>
      </c>
      <c r="B399" s="217" t="inlineStr">
        <is>
          <t>Rộng (cm)</t>
        </is>
      </c>
      <c r="C399" s="217" t="inlineStr">
        <is>
          <t>Width (cm)</t>
        </is>
      </c>
      <c r="D399" s="217" t="inlineStr">
        <is>
          <t>ទទឹង (ស.ម)</t>
        </is>
      </c>
      <c r="E399" s="217" t="inlineStr">
        <is>
          <t>ទទឹង(សង់ទីម៉ែត)</t>
        </is>
      </c>
      <c r="F399" s="217" t="n"/>
      <c r="G399" s="217" t="inlineStr">
        <is>
          <t>ទទឹង(សង់ទីម៉ែត)</t>
        </is>
      </c>
      <c r="H399" s="217" t="inlineStr">
        <is>
          <t>宽度 (厘米)</t>
        </is>
      </c>
      <c r="J399" t="inlineStr">
        <is>
          <t>ទទឹង(សង់ទីម៉ែត)</t>
        </is>
      </c>
    </row>
    <row r="400">
      <c r="A400" s="217" t="inlineStr">
        <is>
          <t>createSingleOrder.height</t>
        </is>
      </c>
      <c r="B400" s="217" t="inlineStr">
        <is>
          <t>Cao (cm)</t>
        </is>
      </c>
      <c r="C400" s="217" t="inlineStr">
        <is>
          <t>Height (cm)</t>
        </is>
      </c>
      <c r="D400" s="217" t="inlineStr">
        <is>
          <t>កម្ពស់ (ស.ម)</t>
        </is>
      </c>
      <c r="E400" s="217" t="inlineStr">
        <is>
          <t>កម្ពស់(សង់ទីម៉ែត)</t>
        </is>
      </c>
      <c r="F400" s="217" t="n"/>
      <c r="G400" s="217" t="inlineStr">
        <is>
          <t>កម្ពស់(សង់ទីម៉ែត)</t>
        </is>
      </c>
      <c r="H400" s="217" t="inlineStr">
        <is>
          <t>高度（厘米）</t>
        </is>
      </c>
      <c r="J400" t="inlineStr">
        <is>
          <t>កម្ពស់(សង់ទីម៉ែត)</t>
        </is>
      </c>
    </row>
    <row r="401">
      <c r="A401" s="217" t="inlineStr">
        <is>
          <t>createSingleOrder.parcelLength</t>
        </is>
      </c>
      <c r="B401" s="217" t="inlineStr">
        <is>
          <t>dài</t>
        </is>
      </c>
      <c r="C401" s="217" t="inlineStr">
        <is>
          <t>length</t>
        </is>
      </c>
      <c r="D401" s="217" t="inlineStr">
        <is>
          <t>-</t>
        </is>
      </c>
      <c r="E401" s="217" t="inlineStr">
        <is>
          <t>ប្រវែង</t>
        </is>
      </c>
      <c r="F401" s="217" t="n"/>
      <c r="G401" s="217" t="inlineStr">
        <is>
          <t>ប្រវែង</t>
        </is>
      </c>
      <c r="H401" s="217" t="inlineStr">
        <is>
          <t>长度</t>
        </is>
      </c>
      <c r="J401" t="inlineStr">
        <is>
          <t>ប្រវែង</t>
        </is>
      </c>
    </row>
    <row r="402">
      <c r="A402" s="217" t="inlineStr">
        <is>
          <t>createSingleOrder.parcelWidth</t>
        </is>
      </c>
      <c r="B402" s="217" t="inlineStr">
        <is>
          <t>rộng</t>
        </is>
      </c>
      <c r="C402" s="217" t="inlineStr">
        <is>
          <t>width</t>
        </is>
      </c>
      <c r="D402" s="217" t="inlineStr">
        <is>
          <t>-</t>
        </is>
      </c>
      <c r="E402" s="217" t="inlineStr">
        <is>
          <t>បណ្តោយ</t>
        </is>
      </c>
      <c r="F402" s="217" t="n"/>
      <c r="G402" s="217" t="inlineStr">
        <is>
          <t>បណ្តោយ</t>
        </is>
      </c>
      <c r="H402" s="217" t="inlineStr">
        <is>
          <t>宽度</t>
        </is>
      </c>
      <c r="J402" t="inlineStr">
        <is>
          <t>បណ្តោយ</t>
        </is>
      </c>
    </row>
    <row r="403">
      <c r="A403" s="217" t="inlineStr">
        <is>
          <t>createSingleOrder.parcelHeight</t>
        </is>
      </c>
      <c r="B403" s="217" t="inlineStr">
        <is>
          <t>cao</t>
        </is>
      </c>
      <c r="C403" s="217" t="inlineStr">
        <is>
          <t>height</t>
        </is>
      </c>
      <c r="D403" s="217" t="inlineStr">
        <is>
          <t>-</t>
        </is>
      </c>
      <c r="E403" s="217" t="inlineStr">
        <is>
          <t>កម្ពស់</t>
        </is>
      </c>
      <c r="F403" s="217" t="n"/>
      <c r="G403" s="217" t="inlineStr">
        <is>
          <t>កម្ពស់</t>
        </is>
      </c>
      <c r="H403" s="217" t="inlineStr">
        <is>
          <t>高度</t>
        </is>
      </c>
      <c r="J403" t="inlineStr">
        <is>
          <t>កម្ពស់</t>
        </is>
      </c>
    </row>
    <row r="404">
      <c r="A404" s="217" t="inlineStr">
        <is>
          <t>createSingleOrder.codInformation</t>
        </is>
      </c>
      <c r="B404" s="217" t="inlineStr">
        <is>
          <t>Thông tin cước phí</t>
        </is>
      </c>
      <c r="C404" s="217" t="inlineStr">
        <is>
          <t>COD information</t>
        </is>
      </c>
      <c r="D404" s="217" t="inlineStr">
        <is>
          <t>ព័ត៌មានកាបូបចំនួន</t>
        </is>
      </c>
      <c r="E404" s="217" t="inlineStr">
        <is>
          <t>ព័ត៌មានថ្លៃសេវា</t>
        </is>
      </c>
      <c r="F404" s="217" t="n"/>
      <c r="G404" s="217" t="inlineStr">
        <is>
          <t>ព័ត៌មានថ្លៃសេវា</t>
        </is>
      </c>
      <c r="H404" s="217" t="inlineStr">
        <is>
          <t>代收货款信息</t>
        </is>
      </c>
      <c r="J404" t="inlineStr">
        <is>
          <t>ព័ត៌មានថ្លៃសេវា</t>
        </is>
      </c>
    </row>
    <row r="405">
      <c r="A405" s="217" t="inlineStr">
        <is>
          <t>createSingleOrder.collectionMoney</t>
        </is>
      </c>
      <c r="B405" s="217" t="inlineStr">
        <is>
          <t>Tiền thu hộ</t>
        </is>
      </c>
      <c r="C405" s="217" t="inlineStr">
        <is>
          <t>Cash on delivery</t>
        </is>
      </c>
      <c r="D405" s="217" t="inlineStr">
        <is>
          <t>ទឹកប្រាក់ដែលប្រមូលបាន</t>
        </is>
      </c>
      <c r="E405" s="217" t="inlineStr">
        <is>
          <t>ប្រាក់ប្រមូលជំនួស(COD)</t>
        </is>
      </c>
      <c r="F405" s="217" t="n"/>
      <c r="G405" s="217" t="inlineStr">
        <is>
          <t>ប្រាក់ប្រមូលជំនួស (COD)</t>
        </is>
      </c>
      <c r="H405" s="217" t="inlineStr">
        <is>
          <t>货到付款</t>
        </is>
      </c>
      <c r="J405" t="inlineStr">
        <is>
          <t>ប្រាក់ប្រមូលជំនួស (COD)</t>
        </is>
      </c>
    </row>
    <row r="406">
      <c r="A406" s="217" t="inlineStr">
        <is>
          <t>createSingleOrder.codLabel</t>
        </is>
      </c>
      <c r="B406" s="217" t="inlineStr">
        <is>
          <t>Thu hộ bằng tiền hàng</t>
        </is>
      </c>
      <c r="C406" s="217" t="inlineStr">
        <is>
          <t>Cash on delivery for goods</t>
        </is>
      </c>
      <c r="D406" s="217" t="inlineStr">
        <is>
          <t>ប្រមូលដោយលុយទំនិញ</t>
        </is>
      </c>
      <c r="E406" s="217" t="inlineStr">
        <is>
          <t>ប្រមូលជំនួសដោយប្រាក់អីវ៉ាន់</t>
        </is>
      </c>
      <c r="F406" s="217" t="n"/>
      <c r="G406" s="217" t="inlineStr">
        <is>
          <t>ប្រមូលជំនួសដោយប្រាក់អីវ៉ាន់</t>
        </is>
      </c>
      <c r="H406" s="217" t="inlineStr">
        <is>
          <t>商品代收款</t>
        </is>
      </c>
      <c r="J406" t="inlineStr">
        <is>
          <t>ប្រមូលជំនួសដោយប្រាក់អីវ៉ាន់</t>
        </is>
      </c>
    </row>
    <row r="407">
      <c r="A407" s="217" t="inlineStr">
        <is>
          <t>createSingleOrder.codLabel2</t>
        </is>
      </c>
      <c r="B407" s="217" t="inlineStr">
        <is>
          <t>Đơn hàng có thu hộ COD</t>
        </is>
      </c>
      <c r="C407" s="217" t="inlineStr">
        <is>
          <t>Order with COD</t>
        </is>
      </c>
      <c r="D407" s="217" t="inlineStr">
        <is>
          <t>បញ្ជាទិញមាន COD</t>
        </is>
      </c>
      <c r="E407" s="217" t="inlineStr">
        <is>
          <t>បុងបញ្ញើមានប្រាក់COD</t>
        </is>
      </c>
      <c r="F407" s="217" t="n"/>
      <c r="G407" s="217" t="inlineStr">
        <is>
          <t>បុងបញ្ញើមានប្រាក់COD</t>
        </is>
      </c>
      <c r="H407" s="217" t="inlineStr">
        <is>
          <t>代收货款订单</t>
        </is>
      </c>
      <c r="J407" t="inlineStr">
        <is>
          <t>បុងបញ្ញើមានប្រាក់COD</t>
        </is>
      </c>
    </row>
    <row r="408">
      <c r="A408" s="217" t="inlineStr">
        <is>
          <t>createSingleOrder.payer</t>
        </is>
      </c>
      <c r="B408" s="217" t="inlineStr">
        <is>
          <t>Người trả cước</t>
        </is>
      </c>
      <c r="C408" s="217" t="inlineStr">
        <is>
          <t>Payer</t>
        </is>
      </c>
      <c r="D408" s="217" t="inlineStr">
        <is>
          <t>អ្នកបង់ថ្លៃ</t>
        </is>
      </c>
      <c r="E408" s="217" t="inlineStr">
        <is>
          <t>អ្នកចេញថ្លៃសេវា</t>
        </is>
      </c>
      <c r="F408" s="217" t="n"/>
      <c r="G408" s="217" t="inlineStr">
        <is>
          <t>អ្នកចេញថ្លៃសេវា</t>
        </is>
      </c>
      <c r="H408" s="217" t="inlineStr">
        <is>
          <t>付款方</t>
        </is>
      </c>
      <c r="J408" t="inlineStr">
        <is>
          <t>អ្នកចេញថ្លៃសេវា</t>
        </is>
      </c>
    </row>
    <row r="409">
      <c r="A409" s="217" t="inlineStr">
        <is>
          <t>createSingleOrder.seller</t>
        </is>
      </c>
      <c r="B409" s="217" t="inlineStr">
        <is>
          <t>Người gửi</t>
        </is>
      </c>
      <c r="C409" s="217" t="inlineStr">
        <is>
          <t>Sender</t>
        </is>
      </c>
      <c r="D409" s="217" t="inlineStr">
        <is>
          <t>អ្នកផ្ញើ</t>
        </is>
      </c>
      <c r="E409" s="217" t="inlineStr">
        <is>
          <t>អ្នកផ្ញើ</t>
        </is>
      </c>
      <c r="F409" s="217" t="n"/>
      <c r="G409" s="217" t="inlineStr">
        <is>
          <t>អ្នកផ្ញើ</t>
        </is>
      </c>
      <c r="H409" s="217" t="inlineStr">
        <is>
          <t>寄件人</t>
        </is>
      </c>
      <c r="J409" t="inlineStr">
        <is>
          <t>អ្នកផ្ញើ</t>
        </is>
      </c>
    </row>
    <row r="410">
      <c r="A410" s="217" t="inlineStr">
        <is>
          <t>createSingleOrder.consignee</t>
        </is>
      </c>
      <c r="B410" s="217" t="inlineStr">
        <is>
          <t>Người nhận</t>
        </is>
      </c>
      <c r="C410" s="217" t="inlineStr">
        <is>
          <t>Receiver</t>
        </is>
      </c>
      <c r="D410" s="217" t="inlineStr">
        <is>
          <t>អ្នកទទួល</t>
        </is>
      </c>
      <c r="E410" s="217" t="inlineStr">
        <is>
          <t>អ្នកទទួួល</t>
        </is>
      </c>
      <c r="F410" s="217" t="n"/>
      <c r="G410" s="217" t="inlineStr">
        <is>
          <t>អ្នកទទួល</t>
        </is>
      </c>
      <c r="H410" s="217" t="inlineStr">
        <is>
          <t>收件人</t>
        </is>
      </c>
      <c r="J410" t="inlineStr">
        <is>
          <t>អ្នកទទួល</t>
        </is>
      </c>
    </row>
    <row r="411">
      <c r="A411" s="217" t="inlineStr">
        <is>
          <t>createSingleOrder.totalMoney</t>
        </is>
      </c>
      <c r="B411" s="217" t="inlineStr">
        <is>
          <t>Tổng cước</t>
        </is>
      </c>
      <c r="C411" s="217" t="inlineStr">
        <is>
          <t>Total fee</t>
        </is>
      </c>
      <c r="D411" s="217" t="inlineStr">
        <is>
          <t>សរុបថ្លៃ</t>
        </is>
      </c>
      <c r="E411" s="217" t="inlineStr">
        <is>
          <t>សរុុបថ្លៃសេវា</t>
        </is>
      </c>
      <c r="F411" s="217" t="n"/>
      <c r="G411" s="217" t="inlineStr">
        <is>
          <t>ថ្លៃដឹកជញ្ជូនសរុប</t>
        </is>
      </c>
      <c r="H411" s="217" t="inlineStr">
        <is>
          <t>费用总计</t>
        </is>
      </c>
      <c r="J411" t="inlineStr">
        <is>
          <t>ថ្លៃដឹកជញ្ជូនសរុប</t>
        </is>
      </c>
    </row>
    <row r="412">
      <c r="A412" s="217" t="inlineStr">
        <is>
          <t>createSingleOrder.service</t>
        </is>
      </c>
      <c r="B412" s="217" t="inlineStr">
        <is>
          <t>Dịch vụ</t>
        </is>
      </c>
      <c r="C412" s="217" t="inlineStr">
        <is>
          <t>Service</t>
        </is>
      </c>
      <c r="D412" s="217" t="inlineStr">
        <is>
          <t>សេវាកម្ម</t>
        </is>
      </c>
      <c r="E412" s="217" t="inlineStr">
        <is>
          <t>សេវាកម្ម</t>
        </is>
      </c>
      <c r="F412" s="217" t="n"/>
      <c r="G412" s="217" t="inlineStr">
        <is>
          <t>សេវាកម្ម</t>
        </is>
      </c>
      <c r="H412" s="217" t="inlineStr">
        <is>
          <t>服务</t>
        </is>
      </c>
      <c r="J412" t="inlineStr">
        <is>
          <t>សេវាកម្ម</t>
        </is>
      </c>
    </row>
    <row r="413">
      <c r="A413" s="217" t="inlineStr">
        <is>
          <t>createSingleOrder.description1</t>
        </is>
      </c>
      <c r="B413" s="217" t="inlineStr">
        <is>
          <t>Tôi đã đọc và đồng ý với</t>
        </is>
      </c>
      <c r="C413" s="217">
        <f>IFERROR(__xludf.DUMMYFUNCTION("GOOGLETRANSLATE(B413,""vi"",""en"")"),"I have read and agree with")</f>
        <v/>
      </c>
      <c r="D413" s="217" t="inlineStr">
        <is>
          <t>ខ្ញុំបានអាន និងយល់ព្រម</t>
        </is>
      </c>
      <c r="E413" s="217" t="inlineStr">
        <is>
          <t>ខ្ញុំបានអាននិងយល់ព្រមជាមួយ</t>
        </is>
      </c>
      <c r="F413" s="217" t="n"/>
      <c r="G413" s="217" t="inlineStr">
        <is>
          <t>ខ្ញុំបានអាននិងយល់ព្រមជាមួយ</t>
        </is>
      </c>
      <c r="H413" s="217" t="inlineStr">
        <is>
          <t>-</t>
        </is>
      </c>
      <c r="J413" t="inlineStr">
        <is>
          <t>ខ្ញុំបានអាននិងយល់ព្រមជាមួយ</t>
        </is>
      </c>
    </row>
    <row r="414">
      <c r="A414" s="217" t="inlineStr">
        <is>
          <t>createSingleOrder.description2</t>
        </is>
      </c>
      <c r="B414" s="217" t="inlineStr">
        <is>
          <t>Điều khoản quy định</t>
        </is>
      </c>
      <c r="C414" s="217">
        <f>IFERROR(__xludf.DUMMYFUNCTION("GOOGLETRANSLATE(B414,""vi"",""en"")"),"Terms and conditions")</f>
        <v/>
      </c>
      <c r="D414" s="217" t="inlineStr">
        <is>
          <t>លក្ខខណ្ឌ និងបទបញ្ជា</t>
        </is>
      </c>
      <c r="E414" s="217" t="inlineStr">
        <is>
          <t>លក្ខខណ្ឌ និងបទបញ្ជា</t>
        </is>
      </c>
      <c r="F414" s="217" t="n"/>
      <c r="G414" s="217" t="inlineStr">
        <is>
          <t>លក្ខខណ្ឌ និងបទបញ្ជា</t>
        </is>
      </c>
      <c r="H414" s="217" t="inlineStr">
        <is>
          <t>-</t>
        </is>
      </c>
      <c r="J414" t="inlineStr">
        <is>
          <t>លក្ខខណ្ឌ និងបទបញ្ជា</t>
        </is>
      </c>
    </row>
    <row r="415">
      <c r="A415" s="217" t="inlineStr">
        <is>
          <t>createSingleOrder.VAT</t>
        </is>
      </c>
      <c r="B415" s="217" t="inlineStr">
        <is>
          <t>VAT</t>
        </is>
      </c>
      <c r="C415" s="217" t="inlineStr">
        <is>
          <t>VAT</t>
        </is>
      </c>
      <c r="D415" s="217" t="inlineStr">
        <is>
          <t>VAT</t>
        </is>
      </c>
      <c r="E415" s="217" t="inlineStr">
        <is>
          <t>VAT</t>
        </is>
      </c>
      <c r="F415" s="217" t="n"/>
      <c r="G415" s="217" t="inlineStr">
        <is>
          <t>VAT</t>
        </is>
      </c>
      <c r="H415" s="217" t="inlineStr">
        <is>
          <t>增值税</t>
        </is>
      </c>
      <c r="J415" t="inlineStr">
        <is>
          <t>VAT</t>
        </is>
      </c>
    </row>
    <row r="416">
      <c r="A416" s="217" t="inlineStr">
        <is>
          <t>createSingleOrder.totalCod</t>
        </is>
      </c>
      <c r="B416" s="217" t="inlineStr">
        <is>
          <t>Tổng cước</t>
        </is>
      </c>
      <c r="C416" s="217" t="inlineStr">
        <is>
          <t>Total COD</t>
        </is>
      </c>
      <c r="D416" s="217" t="inlineStr">
        <is>
          <t>សរុប COD</t>
        </is>
      </c>
      <c r="E416" s="217" t="inlineStr">
        <is>
          <t>សរុបថ្លៃសេវា</t>
        </is>
      </c>
      <c r="F416" s="217" t="n"/>
      <c r="G416" s="217" t="inlineStr">
        <is>
          <t>ថ្លៃដឹកជញ្ជូនសរុប</t>
        </is>
      </c>
      <c r="H416" s="217" t="inlineStr">
        <is>
          <t>代收货款总额</t>
        </is>
      </c>
      <c r="J416" t="inlineStr">
        <is>
          <t>ថ្លៃដឹកជញ្ជូនសរុប</t>
        </is>
      </c>
    </row>
    <row r="417">
      <c r="A417" s="217" t="inlineStr">
        <is>
          <t>createSingleOrder.renew</t>
        </is>
      </c>
      <c r="B417" s="217" t="inlineStr">
        <is>
          <t>Làm mới</t>
        </is>
      </c>
      <c r="C417" s="217" t="inlineStr">
        <is>
          <t>Refresh</t>
        </is>
      </c>
      <c r="D417" s="217" t="inlineStr">
        <is>
          <t>ធ្វើឡើងវិញ</t>
        </is>
      </c>
      <c r="E417" s="217" t="inlineStr">
        <is>
          <t>ធ្វើថ្មី</t>
        </is>
      </c>
      <c r="F417" s="217" t="n"/>
      <c r="G417" s="217" t="inlineStr">
        <is>
          <t>ផ្ទុកឡើងវិញ</t>
        </is>
      </c>
      <c r="H417" s="217" t="inlineStr">
        <is>
          <t>刷新</t>
        </is>
      </c>
      <c r="J417" t="inlineStr">
        <is>
          <t>ផ្ទុកឡើងវិញ</t>
        </is>
      </c>
    </row>
    <row r="418">
      <c r="A418" s="217" t="inlineStr">
        <is>
          <t>createSingleOrder.saveDraft</t>
        </is>
      </c>
      <c r="B418" s="217" t="inlineStr">
        <is>
          <t>Lưu nháp</t>
        </is>
      </c>
      <c r="C418" s="217" t="inlineStr">
        <is>
          <t>Save draft</t>
        </is>
      </c>
      <c r="D418" s="217" t="inlineStr">
        <is>
          <t>រក្សាទុកជាក្រាវ</t>
        </is>
      </c>
      <c r="E418" s="217" t="inlineStr">
        <is>
          <t>រក្សាទុកជាគម្រូ</t>
        </is>
      </c>
      <c r="F418" s="217" t="n"/>
      <c r="G418" s="217" t="inlineStr">
        <is>
          <t>រក្សាទុកជាគម្រូ</t>
        </is>
      </c>
      <c r="H418" s="217" t="inlineStr">
        <is>
          <t>保存草稿</t>
        </is>
      </c>
      <c r="J418" t="inlineStr">
        <is>
          <t>រក្សាទុកជាគម្រូ</t>
        </is>
      </c>
    </row>
    <row r="419">
      <c r="A419" s="217" t="inlineStr">
        <is>
          <t>createSingleOrder.mainService</t>
        </is>
      </c>
      <c r="B419" s="217" t="inlineStr">
        <is>
          <t>Dịch vụ chính</t>
        </is>
      </c>
      <c r="C419" s="217" t="inlineStr">
        <is>
          <t>Main service</t>
        </is>
      </c>
      <c r="D419" s="217" t="inlineStr">
        <is>
          <t>សេវាកម្មសំខាន់</t>
        </is>
      </c>
      <c r="E419" s="217" t="inlineStr">
        <is>
          <t>សេវាកម្មសំខាន់</t>
        </is>
      </c>
      <c r="F419" s="217" t="n"/>
      <c r="G419" s="217" t="inlineStr">
        <is>
          <t>សេវាកម្មសំខាន់</t>
        </is>
      </c>
      <c r="H419" s="217" t="inlineStr">
        <is>
          <t>主要服务</t>
        </is>
      </c>
      <c r="J419" t="inlineStr">
        <is>
          <t>សេវាកម្មសំខាន់</t>
        </is>
      </c>
    </row>
    <row r="420">
      <c r="A420" s="217" t="inlineStr">
        <is>
          <t>createSingleOrder.weightCalculator</t>
        </is>
      </c>
      <c r="B420" s="217" t="inlineStr">
        <is>
          <t>Khối lượng tính cước</t>
        </is>
      </c>
      <c r="C420" s="217" t="inlineStr">
        <is>
          <t>Chargeable weight</t>
        </is>
      </c>
      <c r="D420" s="217" t="inlineStr">
        <is>
          <t>ការគណនាទំងន់</t>
        </is>
      </c>
      <c r="E420" s="217" t="inlineStr">
        <is>
          <t>ទម្ងន់គិតថ្លៃសេវា</t>
        </is>
      </c>
      <c r="F420" s="217" t="n"/>
      <c r="G420" s="217" t="inlineStr">
        <is>
          <t>ទម្ងន់គិតថ្លៃសេវា</t>
        </is>
      </c>
      <c r="H420" s="217" t="inlineStr">
        <is>
          <t>计费重量</t>
        </is>
      </c>
      <c r="J420" t="inlineStr">
        <is>
          <t>ទម្ងន់គិតថ្លៃសេវា</t>
        </is>
      </c>
    </row>
    <row r="421">
      <c r="A421" s="217" t="inlineStr">
        <is>
          <t>createSingleOrder.addService</t>
        </is>
      </c>
      <c r="B421" s="217" t="inlineStr">
        <is>
          <t>Dịch vụ cộng thêm ({{total}})</t>
        </is>
      </c>
      <c r="C421" s="217" t="inlineStr">
        <is>
          <t>Additional service ({{total}})</t>
        </is>
      </c>
      <c r="D421" s="217" t="inlineStr">
        <is>
          <t>សេវាកម្មបន្ថែម ({{total}})</t>
        </is>
      </c>
      <c r="E421" s="217" t="inlineStr">
        <is>
          <t>សេវាកម្មបូកបន្ថែម</t>
        </is>
      </c>
      <c r="F421" s="217" t="n"/>
      <c r="G421" s="217" t="inlineStr">
        <is>
          <t>សេវាកម្មបូកបន្ថែម</t>
        </is>
      </c>
      <c r="H421" s="217" t="inlineStr">
        <is>
          <t>附加服务 ({{total}})</t>
        </is>
      </c>
      <c r="J421" t="inlineStr">
        <is>
          <t>សេវាកម្មបូកបន្ថែម</t>
        </is>
      </c>
    </row>
    <row r="422">
      <c r="A422" s="217" t="inlineStr">
        <is>
          <t>createSingleOrder.titleConfirmReset</t>
        </is>
      </c>
      <c r="B422" s="217" t="inlineStr">
        <is>
          <t>Quý khách có chắc chắn muốn tạo một đơn hàng khác?</t>
        </is>
      </c>
      <c r="C422" s="217" t="inlineStr">
        <is>
          <t>Are you sure you want to create another order?</t>
        </is>
      </c>
      <c r="D422" s="217" t="inlineStr">
        <is>
          <t>តើអ្នកប្រាកដចង់បង្កើតបញ្ជាទិញថ្មី?</t>
        </is>
      </c>
      <c r="E422" s="217" t="inlineStr">
        <is>
          <t>តើអ្នកពិតជាចង់បង្កើតបុងបញ្ញើអីវ៉ាន់មួយផ្សេងទៀតដែរទេ?</t>
        </is>
      </c>
      <c r="F422" s="217" t="n"/>
      <c r="G422" s="217" t="inlineStr">
        <is>
          <t>តើអ្នកពិតជាចង់បង្កើតបុងបញ្ញើអីវ៉ាន់មួយផ្សេងទៀតដែរទេ?</t>
        </is>
      </c>
      <c r="H422" s="217" t="inlineStr">
        <is>
          <t>确认要创建另一个订单吗？</t>
        </is>
      </c>
      <c r="J422" t="inlineStr">
        <is>
          <t>តើអ្នកពិតជាចង់បង្កើតបុងបញ្ញើអីវ៉ាន់មួយផ្សេងទៀតដែរទេ?</t>
        </is>
      </c>
    </row>
    <row r="423">
      <c r="A423" s="217" t="inlineStr">
        <is>
          <t>createSingleOrder.descConfirmReset</t>
        </is>
      </c>
      <c r="B423" s="217" t="inlineStr">
        <is>
          <t>Lưu ý: Mọi dữ liệu hiện tại sẽ bị mất</t>
        </is>
      </c>
      <c r="C423" s="217" t="inlineStr">
        <is>
          <t>Note: All current data will be lost</t>
        </is>
      </c>
      <c r="D423" s="217" t="inlineStr">
        <is>
          <t>ចំណាំ: ព័ត៌មានបច្ចុច្ចិតទាំងអស់នឹងបាត់ខ្លួន</t>
        </is>
      </c>
      <c r="E423" s="217" t="inlineStr">
        <is>
          <t>ចំណាំ៖ រាល់ឯកសារកក្នុងពេលបច្ចុប្បន្នទាំងអស់នឹងត្រូវបានបាត់</t>
        </is>
      </c>
      <c r="F423" s="217" t="n"/>
      <c r="G423" s="217" t="inlineStr">
        <is>
          <t>ចំណាំ៖ រាល់ឯកសារកក្នុងពេលបច្ចុប្បន្នទាំងអស់នឹងត្រូវបានបាត់</t>
        </is>
      </c>
      <c r="H423" s="217" t="inlineStr">
        <is>
          <t>注意：所有当前数据将会丢失</t>
        </is>
      </c>
      <c r="J423" t="inlineStr">
        <is>
          <t>ចំណាំ៖ រាល់ឯកសារកក្នុងពេលបច្ចុប្បន្នទាំងអស់នឹងត្រូវបានបាត់</t>
        </is>
      </c>
    </row>
    <row r="424">
      <c r="A424" s="217" t="inlineStr">
        <is>
          <t>createSingleOrder.titleSaveDraft</t>
        </is>
      </c>
      <c r="B424" s="217" t="inlineStr">
        <is>
          <t>Quý khách có chắc chắn muốn lưu nháp đơn hàng này?</t>
        </is>
      </c>
      <c r="C424" s="217" t="inlineStr">
        <is>
          <t>Are you sure you want to save this order draft?</t>
        </is>
      </c>
      <c r="D424" s="217" t="inlineStr">
        <is>
          <t>តើអ្នកប្រាកដចង់រក្សាទុកជាគំរូ?</t>
        </is>
      </c>
      <c r="E424" s="217" t="inlineStr">
        <is>
          <t>អតិថិជនពិតជាចង់រក្សាទុកក្រដាសព្រៀងបុងបញ្ញើនេះដែរទេ?</t>
        </is>
      </c>
      <c r="F424" s="217" t="n"/>
      <c r="G424" s="217" t="inlineStr">
        <is>
          <t>អតិថិជនពិតជាចង់រក្សាទុកក្រដាសព្រៀងបុងបញ្ញើនេះដែរទេ?</t>
        </is>
      </c>
      <c r="H424" s="217" t="inlineStr">
        <is>
          <t>确认要保存此订单草稿吗？</t>
        </is>
      </c>
      <c r="J424" t="inlineStr">
        <is>
          <t>អតិថិជនពិតជាចង់រក្សាទុកក្រដាសព្រៀងបុងបញ្ញើនេះដែរទេ?</t>
        </is>
      </c>
    </row>
    <row r="425">
      <c r="A425" s="217" t="inlineStr">
        <is>
          <t>createSingleOrder.createOrder</t>
        </is>
      </c>
      <c r="B425" s="217" t="inlineStr">
        <is>
          <t>Quý khách có chắc chắn muốn tạo đơn hàng này?</t>
        </is>
      </c>
      <c r="C425" s="217" t="inlineStr">
        <is>
          <t>Are you sure you want to create this order?</t>
        </is>
      </c>
      <c r="D425" s="217" t="inlineStr">
        <is>
          <t>តើអ្នកប្រាកដចង់បង្កើតបញ្ជាទិញនេះ?</t>
        </is>
      </c>
      <c r="E425" s="217" t="inlineStr">
        <is>
          <t>អតិថិជនពិតជាចង់បង្កើតបុងបញ្ញើអីវ៉ាន់នេះមែនទេ?</t>
        </is>
      </c>
      <c r="F425" s="217" t="n"/>
      <c r="G425" s="217" t="inlineStr">
        <is>
          <t>អតិថិជនពិតជាចង់បង្កើតបុងបញ្ញើអីវ៉ាន់នេះមែនទេ?</t>
        </is>
      </c>
      <c r="H425" s="217" t="inlineStr">
        <is>
          <t>确认要创建此订单吗？</t>
        </is>
      </c>
      <c r="J425" t="inlineStr">
        <is>
          <t>អតិថិជនពិតជាចង់បង្កើតបុងបញ្ញើអីវ៉ាន់នេះមែនទេ?</t>
        </is>
      </c>
    </row>
    <row r="426">
      <c r="A426" s="217" t="inlineStr">
        <is>
          <t>createSingleOrder.createSuccess</t>
        </is>
      </c>
      <c r="B426" s="217" t="inlineStr">
        <is>
          <t>Tạo và gửi duyệt thành công đơn hàng</t>
        </is>
      </c>
      <c r="C426" s="217" t="inlineStr">
        <is>
          <t>Order created and submitted for approval successfully</t>
        </is>
      </c>
      <c r="D426" s="217" t="inlineStr">
        <is>
          <t>បង្កើត និងដាក់ស្នើបានជោគជ័យ</t>
        </is>
      </c>
      <c r="E426" s="217" t="inlineStr">
        <is>
          <t>បានបង្កើតនិងដាក់ស្នើបុងបញ្ញើបានជោគជ័យ</t>
        </is>
      </c>
      <c r="F426" s="217" t="n"/>
      <c r="G426" s="217" t="inlineStr">
        <is>
          <t>បានបង្កើតនិងដាក់ស្នើបុងបញ្ញើបានជោគជ័យ</t>
        </is>
      </c>
      <c r="H426" s="217" t="inlineStr">
        <is>
          <t>订单已创建并提交深刻成功</t>
        </is>
      </c>
      <c r="J426" t="inlineStr">
        <is>
          <t>បានបង្កើតនិងដាក់ស្នើបុងបញ្ញើបានជោគជ័យ</t>
        </is>
      </c>
    </row>
    <row r="427">
      <c r="A427" s="217" t="inlineStr">
        <is>
          <t>createSingleOrder.printDescription</t>
        </is>
      </c>
      <c r="B427" s="217" t="inlineStr">
        <is>
          <t>Số liên cần in trên 1 đơn</t>
        </is>
      </c>
      <c r="C427" s="217" t="inlineStr">
        <is>
          <t>Number of copies to print on one order</t>
        </is>
      </c>
      <c r="D427" s="217" t="inlineStr">
        <is>
          <t>ចំនួនច្បាប់ត្រូវបោះពុម្ពក្នុងមួយបញ្ជា</t>
        </is>
      </c>
      <c r="E427" s="217" t="inlineStr">
        <is>
          <t>ចំនួនច្បាប់ត្រូវព្រីនលើសពី១បុងបញ្ញើ</t>
        </is>
      </c>
      <c r="F427" s="217" t="n"/>
      <c r="G427" s="217" t="inlineStr">
        <is>
          <t>ចំនួនច្បាប់ត្រូវព្រីនលើសពី១បុងបញ្ញើ</t>
        </is>
      </c>
      <c r="H427" s="217" t="inlineStr">
        <is>
          <t>订单打印份数</t>
        </is>
      </c>
      <c r="J427" t="inlineStr">
        <is>
          <t>ចំនួនច្បាប់ត្រូវព្រីនលើសពី១បុងបញ្ញើ</t>
        </is>
      </c>
    </row>
    <row r="428">
      <c r="A428" s="217" t="inlineStr">
        <is>
          <t>createSingleOrder.page</t>
        </is>
      </c>
      <c r="B428" s="217" t="inlineStr">
        <is>
          <t>liên</t>
        </is>
      </c>
      <c r="C428" s="217" t="inlineStr">
        <is>
          <t>copy</t>
        </is>
      </c>
      <c r="D428" s="217" t="inlineStr">
        <is>
          <t>ច្បាប់</t>
        </is>
      </c>
      <c r="E428" s="217" t="inlineStr">
        <is>
          <t>ច្បាប់</t>
        </is>
      </c>
      <c r="F428" s="217" t="n"/>
      <c r="G428" s="217" t="inlineStr">
        <is>
          <t>ច្បាប់</t>
        </is>
      </c>
      <c r="H428" s="217" t="inlineStr">
        <is>
          <t>复制</t>
        </is>
      </c>
      <c r="J428" t="inlineStr">
        <is>
          <t>ច្បាប់</t>
        </is>
      </c>
    </row>
    <row r="429">
      <c r="A429" s="217" t="inlineStr">
        <is>
          <t>createSingleOrder.saveDraftSuccess</t>
        </is>
      </c>
      <c r="B429" s="217" t="inlineStr">
        <is>
          <t>Lưu nháp đơn hàng thành công!</t>
        </is>
      </c>
      <c r="C429" s="217" t="inlineStr">
        <is>
          <t>Order draft saved successfully!</t>
        </is>
      </c>
      <c r="D429" s="217" t="inlineStr">
        <is>
          <t>រក្សាទុកគំរូបានជោគជ័យ!</t>
        </is>
      </c>
      <c r="E429" s="217" t="inlineStr">
        <is>
          <t>រក្សាទុកក្រដាសព្រៀងបុងបញ្ញើបានជោគជ័យ!</t>
        </is>
      </c>
      <c r="F429" s="217" t="n"/>
      <c r="G429" s="217" t="inlineStr">
        <is>
          <t>រក្សាទុកក្រដាសព្រៀងបុងបញ្ញើបានជោគជ័យ!</t>
        </is>
      </c>
      <c r="H429" s="217" t="inlineStr">
        <is>
          <t>订单草稿保存成功！</t>
        </is>
      </c>
      <c r="J429" t="inlineStr">
        <is>
          <t>រក្សាទុកក្រដាសព្រៀងបុងបញ្ញើបានជោគជ័យ!</t>
        </is>
      </c>
    </row>
    <row r="430">
      <c r="A430" s="217" t="inlineStr">
        <is>
          <t>createSingleOrder.validatePhone</t>
        </is>
      </c>
      <c r="B430" s="217" t="inlineStr">
        <is>
          <t>Số điện thoại không hợp lệ!</t>
        </is>
      </c>
      <c r="C430" s="217" t="inlineStr">
        <is>
          <t>Invalid phone number!</t>
        </is>
      </c>
      <c r="D430" s="217" t="inlineStr">
        <is>
          <t>លេខទូរស័ព្ទមិនត្រឹមត្រូវ!</t>
        </is>
      </c>
      <c r="E430" s="217" t="inlineStr">
        <is>
          <t>លេខទូរស័ព្ទមិនសមស្រប!</t>
        </is>
      </c>
      <c r="F430" s="217" t="n"/>
      <c r="G430" s="217" t="inlineStr">
        <is>
          <t>លេខទូរស័ព្ទមិនសមស្រប!</t>
        </is>
      </c>
      <c r="H430" s="217" t="inlineStr">
        <is>
          <t>电话号码无效！</t>
        </is>
      </c>
      <c r="J430" t="inlineStr">
        <is>
          <t>លេខទូរស័ព្ទមិនសមស្រប!</t>
        </is>
      </c>
    </row>
    <row r="431">
      <c r="A431" s="217" t="inlineStr">
        <is>
          <t>createSingleOrder.pickupAppointment</t>
        </is>
      </c>
      <c r="B431" s="217" t="inlineStr">
        <is>
          <t>Thời gian hẹn lấy</t>
        </is>
      </c>
      <c r="C431" s="217" t="inlineStr">
        <is>
          <t>Pickup appointment time</t>
        </is>
      </c>
      <c r="D431" s="217" t="inlineStr">
        <is>
          <t>ពេលកំណត់យក</t>
        </is>
      </c>
      <c r="E431" s="217" t="inlineStr">
        <is>
          <t>ពេលវេលាណាត់យកអីវ៉ាន់</t>
        </is>
      </c>
      <c r="F431" s="217" t="n"/>
      <c r="G431" s="217" t="inlineStr">
        <is>
          <t>ពេលវេលាណាត់យកអីវ៉ាន់</t>
        </is>
      </c>
      <c r="H431" s="217" t="inlineStr">
        <is>
          <t>预约取件时间</t>
        </is>
      </c>
      <c r="J431" t="inlineStr">
        <is>
          <t>ពេលវេលាណាត់យកអីវ៉ាន់</t>
        </is>
      </c>
    </row>
    <row r="432">
      <c r="A432" s="217" t="inlineStr">
        <is>
          <t>createSingleOrder.deliveryAppointment</t>
        </is>
      </c>
      <c r="B432" s="217" t="inlineStr">
        <is>
          <t>Thời gian hẹn giao</t>
        </is>
      </c>
      <c r="C432" s="217" t="inlineStr">
        <is>
          <t>Delivery appointment time</t>
        </is>
      </c>
      <c r="D432" s="217" t="inlineStr">
        <is>
          <t>ពេលកំណត់ផ្ញើ</t>
        </is>
      </c>
      <c r="E432" s="217" t="inlineStr">
        <is>
          <t>ពេលវេលាណាត់ប្រគល់អីវ៉ាន់</t>
        </is>
      </c>
      <c r="F432" s="217" t="n"/>
      <c r="G432" s="217" t="inlineStr">
        <is>
          <t>ពេលវេលាណាត់ប្រគល់អីវ៉ាន់</t>
        </is>
      </c>
      <c r="H432" s="217" t="inlineStr">
        <is>
          <t>预约派送时间</t>
        </is>
      </c>
      <c r="J432" t="inlineStr">
        <is>
          <t>ពេលវេលាណាត់ប្រគល់អីវ៉ាន់</t>
        </is>
      </c>
    </row>
    <row r="433">
      <c r="A433" s="217" t="inlineStr">
        <is>
          <t>createSingleOrder.all_day</t>
        </is>
      </c>
      <c r="B433" s="217" t="inlineStr">
        <is>
          <t>Cả ngày</t>
        </is>
      </c>
      <c r="C433" s="217" t="inlineStr">
        <is>
          <t>All day</t>
        </is>
      </c>
      <c r="D433" s="217" t="inlineStr">
        <is>
          <t>ពេញមួយថ្ងៃ</t>
        </is>
      </c>
      <c r="E433" s="217" t="inlineStr">
        <is>
          <t>ពេញមួយថ្ងៃ</t>
        </is>
      </c>
      <c r="F433" s="217" t="n"/>
      <c r="G433" s="217" t="inlineStr">
        <is>
          <t>ពេញមួយថ្ងៃ</t>
        </is>
      </c>
      <c r="H433" s="217" t="inlineStr">
        <is>
          <t>全天</t>
        </is>
      </c>
      <c r="J433" t="inlineStr">
        <is>
          <t>ពេញមួយថ្ងៃ</t>
        </is>
      </c>
    </row>
    <row r="434">
      <c r="A434" s="217" t="inlineStr">
        <is>
          <t>createSingleOrder.morning</t>
        </is>
      </c>
      <c r="B434" s="217" t="inlineStr">
        <is>
          <t>Sáng (7h00 - 12h00)</t>
        </is>
      </c>
      <c r="C434" s="217" t="inlineStr">
        <is>
          <t>Morning (7:00 AM - 12:00 PM)</t>
        </is>
      </c>
      <c r="D434" s="217" t="inlineStr">
        <is>
          <t>ព្រឹក (7:00 - 12:00)</t>
        </is>
      </c>
      <c r="E434" s="217" t="inlineStr">
        <is>
          <t>ពេលព្រឹក (7:00-12:00)</t>
        </is>
      </c>
      <c r="F434" s="217" t="n"/>
      <c r="G434" s="217" t="inlineStr">
        <is>
          <t>ពេលព្រឹក (7:00-12:00)</t>
        </is>
      </c>
      <c r="H434" s="217" t="inlineStr">
        <is>
          <t>上午 (7:00 - 12:00)</t>
        </is>
      </c>
      <c r="J434" t="inlineStr">
        <is>
          <t>ពេលព្រឹក (7:00-12:00)</t>
        </is>
      </c>
    </row>
    <row r="435">
      <c r="A435" s="217" t="inlineStr">
        <is>
          <t>createSingleOrder.afternoon</t>
        </is>
      </c>
      <c r="B435" s="217" t="inlineStr">
        <is>
          <t>Chiều (13h00 - 18h00)</t>
        </is>
      </c>
      <c r="C435" s="217" t="inlineStr">
        <is>
          <t>Afternoon (1:00 PM - 6:00 PM)</t>
        </is>
      </c>
      <c r="D435" s="217" t="inlineStr">
        <is>
          <t>ល្ងាច (13:00 - 18:00)</t>
        </is>
      </c>
      <c r="E435" s="217" t="inlineStr">
        <is>
          <t>ពេលរសៀល (13:00-18:00)</t>
        </is>
      </c>
      <c r="F435" s="217" t="n"/>
      <c r="G435" s="217" t="inlineStr">
        <is>
          <t>ពេលរសៀល (13:00-18:00)</t>
        </is>
      </c>
      <c r="H435" s="217" t="inlineStr">
        <is>
          <t>下午 (13:00 - 18:00)</t>
        </is>
      </c>
      <c r="J435" t="inlineStr">
        <is>
          <t>ពេលរសៀល (13:00-18:00)</t>
        </is>
      </c>
    </row>
    <row r="436">
      <c r="A436" s="217" t="inlineStr">
        <is>
          <t>createSingleOrder.night</t>
        </is>
      </c>
      <c r="B436" s="217" t="inlineStr">
        <is>
          <t>Tối (18h00 - 21h00)</t>
        </is>
      </c>
      <c r="C436" s="217" t="inlineStr">
        <is>
          <t>Evening (6:00 PM - 9:00 PM)</t>
        </is>
      </c>
      <c r="D436" s="217" t="inlineStr">
        <is>
          <t>យប់ (18:00 - 21:00)</t>
        </is>
      </c>
      <c r="E436" s="217" t="inlineStr">
        <is>
          <t>ពេលយប់ (18:00-21:00)</t>
        </is>
      </c>
      <c r="F436" s="217" t="n"/>
      <c r="G436" s="217" t="inlineStr">
        <is>
          <t>ពេលយប់ (18:00-21:00)</t>
        </is>
      </c>
      <c r="H436" s="217" t="inlineStr">
        <is>
          <t>晚上 (18:00 - 21:00)</t>
        </is>
      </c>
      <c r="J436" t="inlineStr">
        <is>
          <t>ពេលយប់ (18:00-21:00)</t>
        </is>
      </c>
    </row>
    <row r="437">
      <c r="A437" s="217" t="inlineStr">
        <is>
          <t>createSingleOrder.office_hours</t>
        </is>
      </c>
      <c r="B437" s="217" t="inlineStr">
        <is>
          <t>Giờ hành chính (7h00 - 11h00, 13h00 - 18h00)</t>
        </is>
      </c>
      <c r="C437" s="217" t="inlineStr">
        <is>
          <t>Office hours (7:00 AM - 11:00 AM, 1:00 PM - 6:00 PM)</t>
        </is>
      </c>
      <c r="D437" s="217" t="inlineStr">
        <is>
          <t>ម៉ោងធ្វើការ (7:00 - 11:00, 13:00 - 18:00)</t>
        </is>
      </c>
      <c r="E437" s="217" t="inlineStr">
        <is>
          <t>ពេលវេលាធ្វើការ (7:00-11:00, 13:00-18:00)</t>
        </is>
      </c>
      <c r="F437" s="217" t="n"/>
      <c r="G437" s="217" t="inlineStr">
        <is>
          <t>ពេលវេលាធ្វើការ (7:00-11:00, 13:00-18:00)</t>
        </is>
      </c>
      <c r="H437" s="217" t="inlineStr">
        <is>
          <t>办公时间 (7:00-11:00, 13:00-18:00)</t>
        </is>
      </c>
      <c r="J437" t="inlineStr">
        <is>
          <t>ពេលវេលាធ្វើការ (7:00-11:00, 13:00-18:00)</t>
        </is>
      </c>
    </row>
    <row r="438">
      <c r="A438" s="217" t="inlineStr">
        <is>
          <t>createSingleOrder.sunday</t>
        </is>
      </c>
      <c r="B438" s="217" t="inlineStr">
        <is>
          <t>Chủ nhật</t>
        </is>
      </c>
      <c r="C438" s="217" t="inlineStr">
        <is>
          <t>Sunday</t>
        </is>
      </c>
      <c r="D438" s="217" t="inlineStr">
        <is>
          <t>ថ្ងៃអាទិត្យ</t>
        </is>
      </c>
      <c r="E438" s="217" t="inlineStr">
        <is>
          <t>ថ្ងៃអាទិត្យ</t>
        </is>
      </c>
      <c r="F438" s="217" t="n"/>
      <c r="G438" s="217" t="inlineStr">
        <is>
          <t>ថ្ងៃអាទិត្យ</t>
        </is>
      </c>
      <c r="H438" s="217" t="inlineStr">
        <is>
          <t>周日</t>
        </is>
      </c>
      <c r="J438" t="inlineStr">
        <is>
          <t>ថ្ងៃអាទិត្យ</t>
        </is>
      </c>
    </row>
    <row r="439">
      <c r="A439" s="217" t="inlineStr">
        <is>
          <t>createSingleOrder.warehouseManager</t>
        </is>
      </c>
      <c r="B439" s="217" t="inlineStr">
        <is>
          <t>Quản lý kho gửi hàng</t>
        </is>
      </c>
      <c r="C439" s="217" t="inlineStr">
        <is>
          <t>Warehouse manager</t>
        </is>
      </c>
      <c r="D439" s="217" t="inlineStr">
        <is>
          <t>អ្នកគ្រប់គ្រងឃ្លាំង</t>
        </is>
      </c>
      <c r="E439" s="217" t="inlineStr">
        <is>
          <t>គ្រប់គ្រងឃ្លាំងផ្ញើអីវ៉ាន់</t>
        </is>
      </c>
      <c r="F439" s="217" t="n"/>
      <c r="G439" s="217" t="inlineStr">
        <is>
          <t>គ្រប់គ្រងឃ្លាំងផ្ញើអីវ៉ាន់</t>
        </is>
      </c>
      <c r="H439" s="217" t="inlineStr">
        <is>
          <t>仓库管理员</t>
        </is>
      </c>
      <c r="J439" t="inlineStr">
        <is>
          <t>គ្រប់គ្រងឃ្លាំងផ្ញើអីវ៉ាន់</t>
        </is>
      </c>
    </row>
    <row r="440">
      <c r="A440" s="217" t="inlineStr">
        <is>
          <t>createSingleOrder.AddalternativePhones</t>
        </is>
      </c>
      <c r="B440" s="217" t="inlineStr">
        <is>
          <t>Thêm SĐT phụ</t>
        </is>
      </c>
      <c r="C440" s="217" t="inlineStr">
        <is>
          <t>Add alternative phone numbers</t>
        </is>
      </c>
      <c r="D440" s="217" t="inlineStr">
        <is>
          <t>បន្ថែមលេខទូរស័ព្ទជំនួស</t>
        </is>
      </c>
      <c r="E440" s="217" t="inlineStr">
        <is>
          <t>បន្ថែមលេខទូរស័ព្ទជំនួស</t>
        </is>
      </c>
      <c r="F440" s="217" t="n"/>
      <c r="G440" s="217" t="inlineStr">
        <is>
          <t>បន្ថែមលេខទូរស័ព្ទជំនួស</t>
        </is>
      </c>
      <c r="H440" s="217" t="inlineStr">
        <is>
          <t>添加备用电话</t>
        </is>
      </c>
      <c r="J440" t="inlineStr">
        <is>
          <t>បន្ថែមលេខទូរស័ព្ទជំនួស</t>
        </is>
      </c>
    </row>
    <row r="441">
      <c r="A441" s="217" t="inlineStr">
        <is>
          <t>createSingleOrder.titleAlternativePhones</t>
        </is>
      </c>
      <c r="B441" s="217" t="inlineStr">
        <is>
          <t>Thêm số điện thoại phụ</t>
        </is>
      </c>
      <c r="C441" s="217" t="inlineStr">
        <is>
          <t>Add alternative phone number</t>
        </is>
      </c>
      <c r="D441" s="217" t="inlineStr">
        <is>
          <t>បន្ថែមលេខទូរស័ព្ទជំនួស</t>
        </is>
      </c>
      <c r="E441" s="217" t="inlineStr">
        <is>
          <t>បន្ថែមលេខទូរស័ព្ទជំនួស</t>
        </is>
      </c>
      <c r="F441" s="217" t="n"/>
      <c r="G441" s="217" t="inlineStr">
        <is>
          <t>បន្ថែមលេខទូរស័ព្ទជំនួស</t>
        </is>
      </c>
      <c r="H441" s="217" t="inlineStr">
        <is>
          <t>添加备用电话</t>
        </is>
      </c>
      <c r="J441" t="inlineStr">
        <is>
          <t>បន្ថែមលេខទូរស័ព្ទជំនួស</t>
        </is>
      </c>
    </row>
    <row r="442">
      <c r="A442" s="217" t="inlineStr">
        <is>
          <t>createSingleOrder.alternativePhones</t>
        </is>
      </c>
      <c r="B442" s="217" t="inlineStr">
        <is>
          <t>Điện thoại phụ</t>
        </is>
      </c>
      <c r="C442" s="217" t="inlineStr">
        <is>
          <t>Alternative phone numbers</t>
        </is>
      </c>
      <c r="D442" s="217" t="inlineStr">
        <is>
          <t>លេខទូរស័ព្ទជំនួស</t>
        </is>
      </c>
      <c r="E442" s="217" t="inlineStr">
        <is>
          <t>លេខទូរស័ព្ទជំនួស</t>
        </is>
      </c>
      <c r="F442" s="217" t="n"/>
      <c r="G442" s="217" t="inlineStr">
        <is>
          <t>លេខទូរស័ព្ទជំនួស</t>
        </is>
      </c>
      <c r="H442" s="217" t="inlineStr">
        <is>
          <t>备用电话</t>
        </is>
      </c>
      <c r="J442" t="inlineStr">
        <is>
          <t>លេខទូរស័ព្ទជំនួស</t>
        </is>
      </c>
    </row>
    <row r="443">
      <c r="A443" s="217" t="inlineStr">
        <is>
          <t>createSingleOrder.alternativePhonesPlaceholder</t>
        </is>
      </c>
      <c r="B443" s="217" t="inlineStr">
        <is>
          <t>Nhập sđt phụ</t>
        </is>
      </c>
      <c r="C443" s="217" t="inlineStr">
        <is>
          <t>Enter alternative phone number</t>
        </is>
      </c>
      <c r="D443" s="217" t="inlineStr">
        <is>
          <t>បញ្ចូលលេខទូរស័ព្ទជំនួស</t>
        </is>
      </c>
      <c r="E443" s="217" t="inlineStr">
        <is>
          <t>បញ្ចូលលេខទូរស័ព្ទជំនួស</t>
        </is>
      </c>
      <c r="F443" s="217" t="n"/>
      <c r="G443" s="217" t="inlineStr">
        <is>
          <t>បញ្ចូលលេខទូរស័ព្ទជំនួស</t>
        </is>
      </c>
      <c r="H443" s="217" t="inlineStr">
        <is>
          <t>请输入备用电话</t>
        </is>
      </c>
      <c r="J443" t="inlineStr">
        <is>
          <t>បញ្ចូលលេខទូរស័ព្ទជំនួស</t>
        </is>
      </c>
    </row>
    <row r="444">
      <c r="A444" s="217" t="inlineStr">
        <is>
          <t>createSingleOrder.alternativePhonesNote</t>
        </is>
      </c>
      <c r="B444" s="217" t="inlineStr">
        <is>
          <t>*Lưu ý: Số điện thoại phụ sẽ được phân cách bởi dấu phẩy.</t>
        </is>
      </c>
      <c r="C444" s="217" t="inlineStr">
        <is>
          <t>*Note: Alternative phone numbers will be separated by commas.</t>
        </is>
      </c>
      <c r="D444" s="217" t="inlineStr">
        <is>
          <t>*ចំណាំ: លេខទូរស័ព្ទជំនួសត្រូវបំបែកដោយក្បៀសតម្កល់ (comma).</t>
        </is>
      </c>
      <c r="E444" s="217" t="n"/>
      <c r="F444" s="217" t="n"/>
      <c r="G444" s="217" t="inlineStr">
        <is>
          <t>*ចំណាំ: លេខទូរស័ព្ទជំនួសត្រូវបំបែកដោយក្បៀសតម្កល់ (comma).</t>
        </is>
      </c>
      <c r="H444" s="217" t="inlineStr">
        <is>
          <t>注：多个备用电话请用逗号分隔。</t>
        </is>
      </c>
      <c r="J444" t="inlineStr">
        <is>
          <t>*ចំណាំ: លេខទូរស័ព្ទជំនួសត្រូវបំបែកដោយក្បៀសតម្កល់ (comma).</t>
        </is>
      </c>
    </row>
    <row r="445">
      <c r="A445" s="217" t="inlineStr">
        <is>
          <t>createSingleOrder.changeWeight</t>
        </is>
      </c>
      <c r="B445" s="217" t="inlineStr">
        <is>
          <t>Quy đổi</t>
        </is>
      </c>
      <c r="C445" s="217" t="inlineStr">
        <is>
          <t>Convert</t>
        </is>
      </c>
      <c r="D445" s="217" t="inlineStr">
        <is>
          <t>បម្លែងទំងន់</t>
        </is>
      </c>
      <c r="E445" s="217" t="inlineStr">
        <is>
          <t>បម្លែង</t>
        </is>
      </c>
      <c r="F445" s="217" t="n"/>
      <c r="G445" s="217" t="inlineStr">
        <is>
          <t>បម្លែង</t>
        </is>
      </c>
      <c r="H445" s="217" t="inlineStr">
        <is>
          <t>换算</t>
        </is>
      </c>
      <c r="J445" t="inlineStr">
        <is>
          <t>បម្លែង</t>
        </is>
      </c>
    </row>
    <row r="446">
      <c r="A446" s="217" t="inlineStr">
        <is>
          <t>createSingleOrder.changeWeightNote</t>
        </is>
      </c>
      <c r="B446" s="217" t="inlineStr">
        <is>
          <t>Khối lượng quy đổi từ kích thước hàng hóa</t>
        </is>
      </c>
      <c r="C446" s="217" t="inlineStr">
        <is>
          <t>Weight converted from parcel dimensions</t>
        </is>
      </c>
      <c r="D446" s="217" t="inlineStr">
        <is>
          <t>ទំងន់បម្លែងពីទំហំទំនិញ</t>
        </is>
      </c>
      <c r="E446" s="217" t="inlineStr">
        <is>
          <t>ទម្ងន់បានបម្លែងពីទំហំអីវ៉ាន់</t>
        </is>
      </c>
      <c r="F446" s="217" t="n"/>
      <c r="G446" s="217" t="inlineStr">
        <is>
          <t>ទម្ងន់បានបម្លែងពីទំហំអីវ៉ាន់</t>
        </is>
      </c>
      <c r="H446" s="217" t="inlineStr">
        <is>
          <t>根据包裹尺寸换算重量</t>
        </is>
      </c>
      <c r="J446" t="inlineStr">
        <is>
          <t>ទម្ងន់បានបម្លែងពីទំហំអីវ៉ាន់</t>
        </is>
      </c>
    </row>
    <row r="447">
      <c r="A447" s="217" t="inlineStr">
        <is>
          <t>createSingleOrder.reference</t>
        </is>
      </c>
      <c r="B447" s="217" t="inlineStr">
        <is>
          <t>Mã đơn hàng tự quản lý</t>
        </is>
      </c>
      <c r="C447" s="217" t="inlineStr">
        <is>
          <t>Self-managed order code</t>
        </is>
      </c>
      <c r="D447" s="217" t="inlineStr">
        <is>
          <t>លេខបញ្ជា Internal</t>
        </is>
      </c>
      <c r="E447" s="217" t="inlineStr">
        <is>
          <t>លេខកូដបុងបញ្ញើសម្រាប់អតិថិជនជាអ្នកកំណត់ចំណាំ</t>
        </is>
      </c>
      <c r="F447" s="217" t="n"/>
      <c r="G447" s="217" t="inlineStr">
        <is>
          <t>លេខកូដបុងបញ្ញើសម្រាប់អតិថិជនជាអ្នកកំណត់ចំណាំ</t>
        </is>
      </c>
      <c r="H447" s="217" t="inlineStr">
        <is>
          <t>自编订单号</t>
        </is>
      </c>
      <c r="J447" t="inlineStr">
        <is>
          <t>លេខកូដបុងបញ្ញើសម្រាប់អតិថិជនជាអ្នកកំណត់ចំណាំ</t>
        </is>
      </c>
    </row>
    <row r="448">
      <c r="A448" s="217" t="inlineStr">
        <is>
          <t>createSingleOrder.referencePlaceholder</t>
        </is>
      </c>
      <c r="B448" s="217" t="inlineStr">
        <is>
          <t>Nhập mã đơn</t>
        </is>
      </c>
      <c r="C448" s="217" t="inlineStr">
        <is>
          <t>Enter order code</t>
        </is>
      </c>
      <c r="D448" s="217" t="inlineStr">
        <is>
          <t>បញ្ចូលលេខបញ្ជា</t>
        </is>
      </c>
      <c r="E448" s="217" t="inlineStr">
        <is>
          <t>បញ្ចូលលេខកូដបុងបញ្ញើ</t>
        </is>
      </c>
      <c r="F448" s="217" t="n"/>
      <c r="G448" s="217" t="inlineStr">
        <is>
          <t>បញ្ចូលលេខកូដបុងបញ្ញើ</t>
        </is>
      </c>
      <c r="H448" s="217" t="inlineStr">
        <is>
          <t>请输入订单号</t>
        </is>
      </c>
      <c r="J448" t="inlineStr">
        <is>
          <t>បញ្ចូលលេខកូដបុងបញ្ញើ</t>
        </is>
      </c>
    </row>
    <row r="449">
      <c r="A449" s="217" t="inlineStr">
        <is>
          <t>createSingleOrder.parcelDescription</t>
        </is>
      </c>
      <c r="B449" s="217" t="inlineStr">
        <is>
          <t>Ghi chú</t>
        </is>
      </c>
      <c r="C449" s="217" t="inlineStr">
        <is>
          <t>Notes</t>
        </is>
      </c>
      <c r="D449" s="217" t="inlineStr">
        <is>
          <t>កំណត់ចំណាំ</t>
        </is>
      </c>
      <c r="E449" s="217" t="inlineStr">
        <is>
          <t>កត់ចំណាំ</t>
        </is>
      </c>
      <c r="F449" s="217" t="n"/>
      <c r="G449" s="217" t="inlineStr">
        <is>
          <t>ចំណាំ</t>
        </is>
      </c>
      <c r="H449" s="217" t="inlineStr">
        <is>
          <t>备注</t>
        </is>
      </c>
      <c r="J449" t="inlineStr">
        <is>
          <t>ចំណាំ</t>
        </is>
      </c>
    </row>
    <row r="450">
      <c r="A450" s="217" t="inlineStr">
        <is>
          <t>createSingleOrder.parcelDescriptionPlaceholder</t>
        </is>
      </c>
      <c r="B450" s="217" t="inlineStr">
        <is>
          <t>Nhập ghi chú</t>
        </is>
      </c>
      <c r="C450" s="217" t="inlineStr">
        <is>
          <t>Enter notes</t>
        </is>
      </c>
      <c r="D450" s="217" t="inlineStr">
        <is>
          <t>បញ្ចូលកំណត់ចំណាំ</t>
        </is>
      </c>
      <c r="E450" s="217" t="inlineStr">
        <is>
          <t>បញ្ចូលកំណត់ចំណាំ</t>
        </is>
      </c>
      <c r="F450" s="217" t="n"/>
      <c r="G450" s="217" t="inlineStr">
        <is>
          <t>បញ្ចូលកំណត់ចំណាំ</t>
        </is>
      </c>
      <c r="H450" s="217" t="inlineStr">
        <is>
          <t>请输入备注</t>
        </is>
      </c>
      <c r="J450" t="inlineStr">
        <is>
          <t>បញ្ចូលកំណត់ចំណាំ</t>
        </is>
      </c>
    </row>
    <row r="451">
      <c r="A451" s="217" t="inlineStr">
        <is>
          <t>createSingleOrder.templateDescription</t>
        </is>
      </c>
      <c r="B451" s="217" t="inlineStr">
        <is>
          <t>Ghi chú mẫu</t>
        </is>
      </c>
      <c r="C451" s="217" t="inlineStr">
        <is>
          <t>Sample notes</t>
        </is>
      </c>
      <c r="D451" s="217" t="inlineStr">
        <is>
          <t>កំណត់ចំណាំគំរូ</t>
        </is>
      </c>
      <c r="E451" s="217" t="inlineStr">
        <is>
          <t>កត់ចំណាំគម្រូ</t>
        </is>
      </c>
      <c r="F451" s="217" t="n"/>
      <c r="G451" s="217" t="inlineStr">
        <is>
          <t>កត់ចំណាំគម្រូ</t>
        </is>
      </c>
      <c r="H451" s="217" t="inlineStr">
        <is>
          <t>尺寸</t>
        </is>
      </c>
      <c r="J451" t="inlineStr">
        <is>
          <t>កត់ចំណាំគម្រូ</t>
        </is>
      </c>
    </row>
    <row r="452">
      <c r="A452" s="217" t="inlineStr">
        <is>
          <t>createSingleOrder.emptyNameParcel</t>
        </is>
      </c>
      <c r="B452" s="217" t="inlineStr">
        <is>
          <t>Tên hàng hóa không được để trống</t>
        </is>
      </c>
      <c r="C452" s="217" t="inlineStr">
        <is>
          <t>Parcel name cannot be empty</t>
        </is>
      </c>
      <c r="D452" s="217" t="inlineStr">
        <is>
          <t>ឈ្មោះទំនិញមិនអាចទទេ</t>
        </is>
      </c>
      <c r="E452" s="217" t="inlineStr">
        <is>
          <t>ប្រភេទអីវ៉ាន់មិនអាចទុកចន្លោះបានទេ</t>
        </is>
      </c>
      <c r="F452" s="217" t="n"/>
      <c r="G452" s="217" t="inlineStr">
        <is>
          <t>ប្រភេទអីវ៉ាន់មិនអាចទុកចន្លោះបានទេ</t>
        </is>
      </c>
      <c r="H452" s="217" t="inlineStr">
        <is>
          <t>请填写包裹名称</t>
        </is>
      </c>
      <c r="J452" t="inlineStr">
        <is>
          <t>ប្រភេទអីវ៉ាន់មិនអាចទុកចន្លោះបានទេ</t>
        </is>
      </c>
    </row>
    <row r="453">
      <c r="A453" s="217" t="inlineStr">
        <is>
          <t>createSingleOrder.emptyWeightParcel</t>
        </is>
      </c>
      <c r="B453" s="217" t="inlineStr">
        <is>
          <t>Trọng lượng không được để trống</t>
        </is>
      </c>
      <c r="C453" s="217" t="inlineStr">
        <is>
          <t>Weight cannot be empty</t>
        </is>
      </c>
      <c r="D453" s="217" t="inlineStr">
        <is>
          <t>ទំងន់មិនអាចទទេ</t>
        </is>
      </c>
      <c r="E453" s="217" t="inlineStr">
        <is>
          <t>ទម្ងន់មិនអាចទុកចន្លោះបានទេ</t>
        </is>
      </c>
      <c r="F453" s="217" t="n"/>
      <c r="G453" s="217" t="inlineStr">
        <is>
          <t>ទម្ងន់មិនអាចទុកចន្លោះបានទេ</t>
        </is>
      </c>
      <c r="H453" s="217" t="inlineStr">
        <is>
          <t>请填写重量</t>
        </is>
      </c>
      <c r="J453" t="inlineStr">
        <is>
          <t>ទម្ងន់មិនអាចទុកចន្លោះបានទេ</t>
        </is>
      </c>
    </row>
    <row r="454">
      <c r="A454" s="217" t="inlineStr">
        <is>
          <t>createSingleOrder.emptyQuantityParcel</t>
        </is>
      </c>
      <c r="B454" s="217" t="inlineStr">
        <is>
          <t>Số lượng không được để trống</t>
        </is>
      </c>
      <c r="C454" s="217" t="inlineStr">
        <is>
          <t>Quantity cannot be empty</t>
        </is>
      </c>
      <c r="D454" s="217" t="inlineStr">
        <is>
          <t>ចំនួនមិនអាចទទេ</t>
        </is>
      </c>
      <c r="E454" s="217" t="inlineStr">
        <is>
          <t>ចំនួនមិនអាចទុកចន្លោះបានទេ</t>
        </is>
      </c>
      <c r="F454" s="217" t="n"/>
      <c r="G454" s="217" t="inlineStr">
        <is>
          <t>ចំនួនមិនអាចទុកចន្លោះបានទេ</t>
        </is>
      </c>
      <c r="H454" s="217" t="inlineStr">
        <is>
          <t>请填写数量</t>
        </is>
      </c>
      <c r="J454" t="inlineStr">
        <is>
          <t>ចំនួនមិនអាចទុកចន្លោះបានទេ</t>
        </is>
      </c>
    </row>
    <row r="455">
      <c r="A455" s="217" t="inlineStr">
        <is>
          <t>createSingleOrder.invalidAddress</t>
        </is>
      </c>
      <c r="B455" s="217" t="inlineStr">
        <is>
          <t>Địa chỉ không hợp lệ</t>
        </is>
      </c>
      <c r="C455" s="217" t="inlineStr">
        <is>
          <t>Invalid address</t>
        </is>
      </c>
      <c r="D455" s="217" t="inlineStr">
        <is>
          <t>អាសយដ្ឋានមិនត្រឹមត្រូវ</t>
        </is>
      </c>
      <c r="E455" s="217" t="inlineStr">
        <is>
          <t>ទីតាំងមិនសមស្រប</t>
        </is>
      </c>
      <c r="F455" s="217" t="n"/>
      <c r="G455" s="217" t="inlineStr">
        <is>
          <t>ទីតាំងមិនសមស្រប</t>
        </is>
      </c>
      <c r="H455" s="217" t="inlineStr">
        <is>
          <t>地址无效</t>
        </is>
      </c>
      <c r="J455" t="inlineStr">
        <is>
          <t>ទីតាំងមិនសមស្រប</t>
        </is>
      </c>
    </row>
    <row r="456">
      <c r="A456" s="217" t="inlineStr">
        <is>
          <t>createSingleOrder.referenceAddress</t>
        </is>
      </c>
      <c r="B456" s="217" t="inlineStr">
        <is>
          <t>Mã đơn hàng tự quản lý không hợp lệ</t>
        </is>
      </c>
      <c r="C456" s="217" t="inlineStr">
        <is>
          <t>Self-managed order code is invalid</t>
        </is>
      </c>
      <c r="D456" s="217" t="inlineStr">
        <is>
          <t>លេខបញ្ជាទិញ Internal មិនត្រឹមត្រូវ</t>
        </is>
      </c>
      <c r="E456" s="217" t="inlineStr">
        <is>
          <t>លេខកូដបុងបញ្ញើដែលគ្រប់គ្រងដោយខ្លួនឯងមិនសមស្រប</t>
        </is>
      </c>
      <c r="F456" s="217" t="n"/>
      <c r="G456" s="217" t="inlineStr">
        <is>
          <t>លេខកូដបុងបញ្ញើដែលគ្រប់គ្រងដោយខ្លួនឯងមិនសមស្រប</t>
        </is>
      </c>
      <c r="H456" s="217" t="inlineStr">
        <is>
          <t>自编订单号无效</t>
        </is>
      </c>
      <c r="J456" t="inlineStr">
        <is>
          <t>លេខកូដបុងបញ្ញើដែលគ្រប់គ្រងដោយខ្លួនឯងមិនសមស្រប</t>
        </is>
      </c>
    </row>
    <row r="457">
      <c r="A457" s="217" t="inlineStr">
        <is>
          <t>createSingleOrder.quantityGreaterThanZero</t>
        </is>
      </c>
      <c r="B457" s="217" t="inlineStr">
        <is>
          <t>Số lượng phải lớn hơn 0</t>
        </is>
      </c>
      <c r="C457" s="217" t="inlineStr">
        <is>
          <t>Quantity must be greater than 0</t>
        </is>
      </c>
      <c r="D457" s="217" t="inlineStr">
        <is>
          <t>ចំនួនត្រូវតែធំជាង 0</t>
        </is>
      </c>
      <c r="E457" s="217" t="inlineStr">
        <is>
          <t>ចំនួួនត្រូវតែធំជាង 0</t>
        </is>
      </c>
      <c r="F457" s="217" t="n"/>
      <c r="G457" s="217" t="inlineStr">
        <is>
          <t>ចំនួួនត្រូវតែធំជាង 0</t>
        </is>
      </c>
      <c r="H457" s="217" t="inlineStr">
        <is>
          <t>数量必须大于0</t>
        </is>
      </c>
      <c r="J457" t="inlineStr">
        <is>
          <t>ចំនួួនត្រូវតែធំជាង 0</t>
        </is>
      </c>
    </row>
    <row r="458">
      <c r="A458" s="217" t="inlineStr">
        <is>
          <t>createSingleOrder.weightGreaterThanZero</t>
        </is>
      </c>
      <c r="B458" s="217" t="inlineStr">
        <is>
          <t>Khối lượng phải lớn hơn 0</t>
        </is>
      </c>
      <c r="C458" s="217" t="inlineStr">
        <is>
          <t>Weight must be greater than 0</t>
        </is>
      </c>
      <c r="D458" s="217" t="inlineStr">
        <is>
          <t>ទំងន់ត្រូវតែធំជាង 0</t>
        </is>
      </c>
      <c r="E458" s="217" t="inlineStr">
        <is>
          <t>ទម្ងន់ត្រូវតែធំជាង 0</t>
        </is>
      </c>
      <c r="F458" s="217" t="n"/>
      <c r="G458" s="217" t="inlineStr">
        <is>
          <t>ទម្ងន់ត្រូវតែធំជាង 0</t>
        </is>
      </c>
      <c r="H458" s="217" t="inlineStr">
        <is>
          <t>重量必须大于0</t>
        </is>
      </c>
      <c r="J458" t="inlineStr">
        <is>
          <t>ទម្ងន់ត្រូវតែធំជាង 0</t>
        </is>
      </c>
    </row>
    <row r="459">
      <c r="A459" s="217" t="inlineStr">
        <is>
          <t>createSingleOrder.pleaseEnterWidth</t>
        </is>
      </c>
      <c r="B459" s="217" t="inlineStr">
        <is>
          <t>Vui lòng nhập chiều rộng</t>
        </is>
      </c>
      <c r="C459" s="217" t="inlineStr">
        <is>
          <t>Please enter width</t>
        </is>
      </c>
      <c r="D459" s="217" t="inlineStr">
        <is>
          <t>សូមបញ្ចូលទទឹង</t>
        </is>
      </c>
      <c r="E459" s="217" t="inlineStr">
        <is>
          <t>សូមបញ្ចូលទទឹង</t>
        </is>
      </c>
      <c r="F459" s="217" t="n"/>
      <c r="G459" s="217" t="inlineStr">
        <is>
          <t>សូមបញ្ចូលទទឹង</t>
        </is>
      </c>
      <c r="H459" s="217" t="inlineStr">
        <is>
          <t>请输入宽度</t>
        </is>
      </c>
      <c r="J459" t="inlineStr">
        <is>
          <t>សូមបញ្ចូលទទឹង</t>
        </is>
      </c>
    </row>
    <row r="460">
      <c r="A460" s="217" t="inlineStr">
        <is>
          <t>createSingleOrder.pleaseEnterLength</t>
        </is>
      </c>
      <c r="B460" s="217" t="inlineStr">
        <is>
          <t>Vui lòng nhập chiều dài</t>
        </is>
      </c>
      <c r="C460" s="217" t="inlineStr">
        <is>
          <t>Please enter length</t>
        </is>
      </c>
      <c r="D460" s="217" t="inlineStr">
        <is>
          <t>សូមបញ្ចូលប្រវែង</t>
        </is>
      </c>
      <c r="E460" s="217" t="inlineStr">
        <is>
          <t>សូូមបញ្ចូលប្រវែង</t>
        </is>
      </c>
      <c r="F460" s="217" t="n"/>
      <c r="G460" s="217" t="inlineStr">
        <is>
          <t>សូមបញ្ចូលប្រវែង</t>
        </is>
      </c>
      <c r="H460" s="217" t="inlineStr">
        <is>
          <t>请输入长度</t>
        </is>
      </c>
      <c r="J460" t="inlineStr">
        <is>
          <t>សូមបញ្ចូលប្រវែង</t>
        </is>
      </c>
    </row>
    <row r="461">
      <c r="A461" s="217" t="inlineStr">
        <is>
          <t>createSingleOrder.pleaseEnterHeight</t>
        </is>
      </c>
      <c r="B461" s="217" t="inlineStr">
        <is>
          <t>Vui lòng nhập chiều cao</t>
        </is>
      </c>
      <c r="C461" s="217" t="inlineStr">
        <is>
          <t>Please enter height</t>
        </is>
      </c>
      <c r="D461" s="217" t="inlineStr">
        <is>
          <t>សូមបញ្ចូលកម្ពស់</t>
        </is>
      </c>
      <c r="E461" s="217" t="inlineStr">
        <is>
          <t>សូមបញ្ចូលកម្ពស់</t>
        </is>
      </c>
      <c r="F461" s="217" t="n"/>
      <c r="G461" s="217" t="inlineStr">
        <is>
          <t>សូមបញ្ចូលកម្ពស់</t>
        </is>
      </c>
      <c r="H461" s="217" t="inlineStr">
        <is>
          <t>请输入高度</t>
        </is>
      </c>
      <c r="J461" t="inlineStr">
        <is>
          <t>សូមបញ្ចូលកម្ពស់</t>
        </is>
      </c>
    </row>
    <row r="462">
      <c r="A462" s="217" t="inlineStr">
        <is>
          <t>createSingleOrder.enterUpTo9Characters</t>
        </is>
      </c>
      <c r="B462" s="217" t="inlineStr">
        <is>
          <t>Nhập tối đa 9 ký tự</t>
        </is>
      </c>
      <c r="C462" s="217" t="inlineStr">
        <is>
          <t>Enter up to 9 characters</t>
        </is>
      </c>
      <c r="D462" s="217" t="inlineStr">
        <is>
          <t>បញ្ចូលអតិបរមា 9 តួអក្សរ</t>
        </is>
      </c>
      <c r="E462" s="217" t="inlineStr">
        <is>
          <t>បញ្ចូលបានយ៉ាងច្រើន 9 តួអក្សរលេខ</t>
        </is>
      </c>
      <c r="F462" s="217" t="n"/>
      <c r="G462" s="217" t="inlineStr">
        <is>
          <t>បញ្ចូលបានយ៉ាងច្រើន 9 តួអក្សរលេខ</t>
        </is>
      </c>
      <c r="H462" s="217" t="inlineStr">
        <is>
          <t>最多输入9个字符</t>
        </is>
      </c>
      <c r="J462" t="inlineStr">
        <is>
          <t>បញ្ចូលបានយ៉ាងច្រើន 9 តួអក្សរលេខ</t>
        </is>
      </c>
    </row>
    <row r="463">
      <c r="A463" s="217" t="inlineStr">
        <is>
          <t>createSingleOrder.enterUpTo6Characters</t>
        </is>
      </c>
      <c r="B463" s="217" t="inlineStr">
        <is>
          <t>Nhập tối đa 6 ký tự</t>
        </is>
      </c>
      <c r="C463" s="217" t="inlineStr">
        <is>
          <t>Enter up to 6 characters</t>
        </is>
      </c>
      <c r="D463" s="217" t="inlineStr">
        <is>
          <t>បញ្ចូលអតិបរមា 6 តួអក្សរ</t>
        </is>
      </c>
      <c r="E463" s="217" t="inlineStr">
        <is>
          <t>បញ្ចូលបានយ៉ាងច្រើន 6 តួអក្សរលេខ</t>
        </is>
      </c>
      <c r="F463" s="217" t="n"/>
      <c r="G463" s="217" t="inlineStr">
        <is>
          <t>បញ្ចូលបានយ៉ាងច្រើន 6 តួអក្សរលេខ</t>
        </is>
      </c>
      <c r="H463" s="217" t="inlineStr">
        <is>
          <t>最多输入6个字符</t>
        </is>
      </c>
      <c r="J463" t="inlineStr">
        <is>
          <t>បញ្ចូលបានយ៉ាងច្រើន 6 តួអក្សរលេខ</t>
        </is>
      </c>
    </row>
    <row r="464">
      <c r="A464" s="217" t="inlineStr">
        <is>
          <t>createSingleOrder.enterUpTo5Characters</t>
        </is>
      </c>
      <c r="B464" s="217" t="inlineStr">
        <is>
          <t>Nhập tối đa 5 ký tự</t>
        </is>
      </c>
      <c r="C464" s="217" t="inlineStr">
        <is>
          <t>Enter up to 5 characters</t>
        </is>
      </c>
      <c r="D464" s="217" t="inlineStr">
        <is>
          <t>បញ្ចូលអតិបរមា 5 តួអក្សរ</t>
        </is>
      </c>
      <c r="E464" s="217" t="inlineStr">
        <is>
          <t>បញ្ចូលបានយ៉ាងច្រើន 5 តួអក្សរលេខ</t>
        </is>
      </c>
      <c r="F464" s="217" t="n"/>
      <c r="G464" s="217" t="inlineStr">
        <is>
          <t>បញ្ចូលបានយ៉ាងច្រើន 5 តួអក្សរលេខ</t>
        </is>
      </c>
      <c r="H464" s="217" t="inlineStr">
        <is>
          <t>最多输入5个字符</t>
        </is>
      </c>
      <c r="J464" t="inlineStr">
        <is>
          <t>បញ្ចូលបានយ៉ាងច្រើន 5 តួអក្សរលេខ</t>
        </is>
      </c>
    </row>
    <row r="465">
      <c r="A465" s="217" t="inlineStr">
        <is>
          <t>createSingleOrder.enterUpTo11Characters</t>
        </is>
      </c>
      <c r="B465" s="217" t="inlineStr">
        <is>
          <t>Nhập tối đa 11 ký tự</t>
        </is>
      </c>
      <c r="C465" s="217" t="inlineStr">
        <is>
          <t>Enter up to 11 characters</t>
        </is>
      </c>
      <c r="D465" s="217" t="inlineStr">
        <is>
          <t>បញ្ចូលអតិបរមា 11 តួអក្សរ</t>
        </is>
      </c>
      <c r="E465" s="217" t="inlineStr">
        <is>
          <t>បញ្ចូលបានយ៉ាងច្រើន 11 តួអក្សរលេខ</t>
        </is>
      </c>
      <c r="F465" s="217" t="n"/>
      <c r="G465" s="217" t="inlineStr">
        <is>
          <t>បញ្ចូលបានយ៉ាងច្រើន 11 តួអក្សរលេខ</t>
        </is>
      </c>
      <c r="H465" s="217" t="inlineStr">
        <is>
          <t>最多输入11个字符</t>
        </is>
      </c>
      <c r="J465" t="inlineStr">
        <is>
          <t>បញ្ចូលបានយ៉ាងច្រើន 11 តួអក្សរលេខ</t>
        </is>
      </c>
    </row>
    <row r="466">
      <c r="A466" s="217" t="inlineStr">
        <is>
          <t>createSingleOrder.max3phones</t>
        </is>
      </c>
      <c r="B466" s="217" t="inlineStr">
        <is>
          <t>Chỉ được nhập tối đa 3 số điện thoại</t>
        </is>
      </c>
      <c r="C466" s="217" t="inlineStr">
        <is>
          <t>You can only enter a maximum of 3 phone numbers</t>
        </is>
      </c>
      <c r="D466" s="217" t="inlineStr">
        <is>
          <t>អាចបញ្ចូលបានច្រើនជាង 3 លេខទូរស័ព្ទ</t>
        </is>
      </c>
      <c r="E466" s="217" t="inlineStr">
        <is>
          <t>អាចបញ្ចូលបានយ៉ាងច្រើន 3 លេខទូរស័ព្ទ</t>
        </is>
      </c>
      <c r="F466" s="217" t="n"/>
      <c r="G466" s="217" t="inlineStr">
        <is>
          <t>អាចបញ្ចូលបានយ៉ាងច្រើន 3 លេខទូរស័ព្ទ</t>
        </is>
      </c>
      <c r="H466" s="217" t="inlineStr">
        <is>
          <t>最多只能输入3个电话号码</t>
        </is>
      </c>
      <c r="J466" t="inlineStr">
        <is>
          <t>អាចបញ្ចូលបានយ៉ាងច្រើន 3 លេខទូរស័ព្ទ</t>
        </is>
      </c>
    </row>
    <row r="467">
      <c r="A467" s="217" t="inlineStr">
        <is>
          <t>createSingleOrder.max2phones</t>
        </is>
      </c>
      <c r="B467" s="217" t="inlineStr">
        <is>
          <t>Chỉ được nhập tối đa 2 số điện thoại</t>
        </is>
      </c>
      <c r="C467" s="217" t="inlineStr">
        <is>
          <t>You can only enter a maximum of 2 phone numbers</t>
        </is>
      </c>
      <c r="D467" s="217" t="inlineStr">
        <is>
          <t>អាចបញ្ចូលបានច្រើនជាង 2 លេខទូរស័ព្ទ</t>
        </is>
      </c>
      <c r="E467" s="217" t="inlineStr">
        <is>
          <t>អាចបញ្ចូលបានយ៉ាងច្រើន 2 លេខទូរស័ព្ទ</t>
        </is>
      </c>
      <c r="F467" s="217" t="n"/>
      <c r="G467" s="217" t="inlineStr">
        <is>
          <t>អាចបញ្ចូលបានយ៉ាងច្រើន 2 លេខទូរស័ព្ទ</t>
        </is>
      </c>
      <c r="H467" s="217" t="inlineStr">
        <is>
          <t>最多只能输入2个电话号码</t>
        </is>
      </c>
      <c r="J467" t="inlineStr">
        <is>
          <t>អាចបញ្ចូលបានយ៉ាងច្រើន 2 លេខទូរស័ព្ទ</t>
        </is>
      </c>
    </row>
    <row r="468">
      <c r="A468" s="217" t="inlineStr">
        <is>
          <t>createSingleOrder.enterPositiveInteger</t>
        </is>
      </c>
      <c r="B468" s="217" t="inlineStr">
        <is>
          <t>Chỉ được nhập số nguyên dương</t>
        </is>
      </c>
      <c r="C468" s="217" t="inlineStr">
        <is>
          <t>Only positive integers can be entered</t>
        </is>
      </c>
      <c r="D468" s="217" t="inlineStr">
        <is>
          <t>សូមបញ្ចូលគត់ចំនួនឆ្នា</t>
        </is>
      </c>
      <c r="E468" s="217" t="inlineStr">
        <is>
          <t>អាចបញ្ចូលបានតែលេខវិជ្ជមាន</t>
        </is>
      </c>
      <c r="F468" s="217" t="n"/>
      <c r="G468" s="217" t="inlineStr">
        <is>
          <t>អាចបញ្ចូលបានតែលេខវិជ្ជមាន</t>
        </is>
      </c>
      <c r="H468" s="217" t="inlineStr">
        <is>
          <t>只能输入正整数</t>
        </is>
      </c>
      <c r="J468" t="inlineStr">
        <is>
          <t>អាចបញ្ចូលបានតែលេខវិជ្ជមាន</t>
        </is>
      </c>
    </row>
    <row r="469">
      <c r="A469" s="217" t="inlineStr">
        <is>
          <t>createSingleOrder.domestic</t>
        </is>
      </c>
      <c r="B469" s="217" t="inlineStr">
        <is>
          <t>Trong nước</t>
        </is>
      </c>
      <c r="C469" s="217" t="inlineStr">
        <is>
          <t>Domestic</t>
        </is>
      </c>
      <c r="D469" s="217" t="inlineStr">
        <is>
          <t>-</t>
        </is>
      </c>
      <c r="E469" s="217" t="inlineStr">
        <is>
          <t>ក្នុងប្រទេស</t>
        </is>
      </c>
      <c r="F469" s="217" t="n"/>
      <c r="G469" s="217" t="inlineStr">
        <is>
          <t>ក្នុងប្រទេស</t>
        </is>
      </c>
      <c r="H469" s="217" t="inlineStr">
        <is>
          <t>国内</t>
        </is>
      </c>
      <c r="J469" t="inlineStr">
        <is>
          <t>ក្នុងប្រទេស</t>
        </is>
      </c>
    </row>
    <row r="470">
      <c r="A470" s="217" t="inlineStr">
        <is>
          <t>createSingleOrder.international</t>
        </is>
      </c>
      <c r="B470" s="217" t="inlineStr">
        <is>
          <t>Quốc tế</t>
        </is>
      </c>
      <c r="C470" s="217" t="inlineStr">
        <is>
          <t>International</t>
        </is>
      </c>
      <c r="D470" s="217" t="inlineStr">
        <is>
          <t>-</t>
        </is>
      </c>
      <c r="E470" s="217" t="inlineStr">
        <is>
          <t>អន្តរជាតិ</t>
        </is>
      </c>
      <c r="F470" s="217" t="n"/>
      <c r="G470" s="217" t="inlineStr">
        <is>
          <t>អន្តរជាតិ</t>
        </is>
      </c>
      <c r="H470" s="217" t="inlineStr">
        <is>
          <t>国际</t>
        </is>
      </c>
      <c r="J470" t="inlineStr">
        <is>
          <t>អន្តរជាតិ</t>
        </is>
      </c>
    </row>
    <row r="471">
      <c r="A471" s="217" t="inlineStr">
        <is>
          <t>createSingleOrder.sizeOver</t>
        </is>
      </c>
      <c r="B471" s="217" t="inlineStr">
        <is>
          <t>Kích thước 1 chiều của đơn hàng không vượt quá {{value}}cm. Vui lòng mang hàng ra bưu cục gần nhất để được hỗ trợ</t>
        </is>
      </c>
      <c r="C471" s="217" t="inlineStr">
        <is>
          <t>The single - side lenght must not exceed {{value}}cm. Please bring the item to the post office.</t>
        </is>
      </c>
      <c r="D471" s="217" t="inlineStr">
        <is>
          <t>-</t>
        </is>
      </c>
      <c r="E471" s="142" t="inlineStr">
        <is>
          <t>ទំហំមួយជ្រុងនៃកញ្ចប់ទំនិញមិនអាចលើស {{value}} សង់ទីម៉ែត្រ បានទេ។ សូមយកទំនិញមកកាន់ការិយាល័យប្រៃសណីយ៍ដែលនៅជិតបំផុត ដើម្បីទទួលបានជំនួយ។</t>
        </is>
      </c>
      <c r="F471" s="217" t="n"/>
      <c r="G471" s="217" t="inlineStr">
        <is>
          <t>ទំហំមួយជ្រុងនៃកញ្ចប់ទំនិញមិនអាចលើស {{value}} សង់ទីម៉ែត្រ បានទេ។ សូមយកទំនិញមកកាន់ការិយាល័យប្រៃសណីយ៍ដែលនៅជិតបំផុត ដើម្បីទទួលបានជំនួយ។</t>
        </is>
      </c>
      <c r="H471" s="217" t="inlineStr">
        <is>
          <t>包裹单边长度不得超过 {{value}} 厘米，请将此物品带至邮局处理。</t>
        </is>
      </c>
      <c r="J471" t="inlineStr">
        <is>
          <t>ទំហំមួយជ្រុងនៃកញ្ចប់ទំនិញមិនអាចលើស {{value}} សង់ទីម៉ែត្រ បានទេ។ សូមយកទំនិញមកកាន់ការិយាល័យប្រៃសណីយ៍ដែលនៅជិតបំផុត ដើម្បីទទួលបានជំនួយ។</t>
        </is>
      </c>
    </row>
    <row r="472">
      <c r="A472" s="217" t="inlineStr">
        <is>
          <t>createSingleOrder.weightOver</t>
        </is>
      </c>
      <c r="B472" s="3" t="inlineStr">
        <is>
          <t>Khối lượng tính cước của đơn hàng không vượt quá {{value}}g. Vui lòng mang hàng ra bưu cục gần nhất để được hỗ trợ</t>
        </is>
      </c>
      <c r="C472" s="217" t="inlineStr">
        <is>
          <t>The chargeable weight must not exceed {{value}}g. Please bring the item to the post office.</t>
        </is>
      </c>
      <c r="D472" s="217" t="inlineStr">
        <is>
          <t>-</t>
        </is>
      </c>
      <c r="E472" s="3" t="inlineStr">
        <is>
          <t>ទម្ងន់គណនាថ្លៃសេវាបុងបញ្ញើមិនអាចលើសពី {{value}} ក្រាម។ សូមយកចេញក្រៅការិយាល័យប្រៃសណីយ៍ដែលនៅជិតបំផុតដើម្បីទទួលបានជំនួយ</t>
        </is>
      </c>
      <c r="F472" s="217" t="n"/>
      <c r="G472" s="217" t="inlineStr">
        <is>
          <t>ទម្ងន់គណនាថ្លៃសេវាបុងបញ្ញើមិនអាចលើសពី {{value}} ក្រាម។ សូមយកចេញក្រៅការិយាល័យប្រៃសណីយ៍ដែលនៅជិតបំផុតដើម្បីទទួលបានជំនួយ</t>
        </is>
      </c>
      <c r="H472" s="217" t="inlineStr">
        <is>
          <t>计费重量不得超过 {{value}} 克，请将此物品带至邮局处理。</t>
        </is>
      </c>
      <c r="J472" t="inlineStr">
        <is>
          <t>ទម្ងន់គណនាថ្លៃសេវាបុងបញ្ញើមិនអាចលើសពី {{value}} ក្រាម។ សូមយកចេញក្រៅការិយាល័យប្រៃសណីយ៍ដែលនៅជិតបំផុតដើម្បីទទួលបានជំនួយ</t>
        </is>
      </c>
    </row>
    <row r="473">
      <c r="A473" s="217" t="inlineStr">
        <is>
          <t>createSingleOrder.otherInformation</t>
        </is>
      </c>
      <c r="B473" s="217" t="inlineStr">
        <is>
          <t>Thông tin khác</t>
        </is>
      </c>
      <c r="C473" s="217" t="inlineStr">
        <is>
          <t>Other Information</t>
        </is>
      </c>
      <c r="D473" s="217" t="inlineStr">
        <is>
          <t>-</t>
        </is>
      </c>
      <c r="E473" s="217" t="inlineStr">
        <is>
          <t>ព័ត៌មានផ្សេង</t>
        </is>
      </c>
      <c r="F473" s="217" t="n"/>
      <c r="G473" s="217" t="inlineStr">
        <is>
          <t>ព័ត៌មានផ្សេង</t>
        </is>
      </c>
      <c r="H473" s="217" t="inlineStr">
        <is>
          <t>其它信息</t>
        </is>
      </c>
      <c r="J473" t="inlineStr">
        <is>
          <t>ព័ត៌មានផ្សេង</t>
        </is>
      </c>
    </row>
    <row r="474">
      <c r="A474" s="217" t="inlineStr">
        <is>
          <t>createSingleOrder.maxSize</t>
        </is>
      </c>
      <c r="B474" s="217" t="inlineStr">
        <is>
          <t>Nhập kích thước tối đa 5000</t>
        </is>
      </c>
      <c r="C474" s="217" t="inlineStr">
        <is>
          <t>Enter maximum size 5000</t>
        </is>
      </c>
      <c r="D474" s="217" t="inlineStr">
        <is>
          <t>-</t>
        </is>
      </c>
      <c r="E474" s="217" t="inlineStr">
        <is>
          <t>បញ្ចូលទំហំច្រើនបំផុត 5000</t>
        </is>
      </c>
      <c r="F474" s="217" t="n"/>
      <c r="G474" s="217" t="inlineStr">
        <is>
          <t>បញ្ចូលទំហំច្រើនបំផុត 5000</t>
        </is>
      </c>
      <c r="H474" s="217" t="inlineStr">
        <is>
          <t>请输入最大尺寸 5000</t>
        </is>
      </c>
      <c r="J474" t="inlineStr">
        <is>
          <t>បញ្ចូលទំហំច្រើនបំផុត 5000</t>
        </is>
      </c>
    </row>
    <row r="475">
      <c r="A475" s="217" t="inlineStr">
        <is>
          <t>createSingleOrder.calculatorSize</t>
        </is>
      </c>
      <c r="B475" s="217" t="inlineStr">
        <is>
          <t>Tổng kích thước (cm)</t>
        </is>
      </c>
      <c r="C475" s="217" t="inlineStr">
        <is>
          <t>Total size (cm)</t>
        </is>
      </c>
      <c r="D475" s="217" t="inlineStr">
        <is>
          <t>-</t>
        </is>
      </c>
      <c r="E475" s="217" t="inlineStr">
        <is>
          <t>សរុបទំហំ (សង់ទីម៉ែត)</t>
        </is>
      </c>
      <c r="F475" s="217" t="n"/>
      <c r="G475" s="217" t="inlineStr">
        <is>
          <t>សរុបទំហំ (សង់ទីម៉ែត)</t>
        </is>
      </c>
      <c r="H475" s="217" t="inlineStr">
        <is>
          <t>总尺寸（厘米）</t>
        </is>
      </c>
      <c r="J475" t="inlineStr">
        <is>
          <t>សរុបទំហំ (សង់ទីម៉ែត)</t>
        </is>
      </c>
    </row>
    <row r="476">
      <c r="A476" s="217" t="inlineStr">
        <is>
          <t>createSingleOrder.paymentType</t>
        </is>
      </c>
      <c r="B476" s="217" t="inlineStr">
        <is>
          <t>Hình thức thanh toán cước</t>
        </is>
      </c>
      <c r="C476" s="217" t="inlineStr">
        <is>
          <t>Payment method</t>
        </is>
      </c>
      <c r="D476" s="217" t="inlineStr">
        <is>
          <t>-</t>
        </is>
      </c>
      <c r="E476" s="217" t="inlineStr">
        <is>
          <t>វិធីសាស្រ្តទូទាត់ថ្លៃសេវា</t>
        </is>
      </c>
      <c r="F476" s="217" t="n"/>
      <c r="G476" s="217" t="inlineStr">
        <is>
          <t>វិធីសាស្រ្តទូទាត់ថ្លៃសេវា</t>
        </is>
      </c>
      <c r="H476" s="217" t="inlineStr">
        <is>
          <t>支付方式</t>
        </is>
      </c>
      <c r="J476" t="inlineStr">
        <is>
          <t>វិធីសាស្រ្តទូទាត់ថ្លៃសេវា</t>
        </is>
      </c>
    </row>
    <row r="477">
      <c r="A477" s="217" t="inlineStr">
        <is>
          <t>createSingleOrder.discount</t>
        </is>
      </c>
      <c r="B477" s="217" t="inlineStr">
        <is>
          <t>Giảm giá</t>
        </is>
      </c>
      <c r="C477" s="217" t="inlineStr">
        <is>
          <t>Discount</t>
        </is>
      </c>
      <c r="D477" s="217" t="inlineStr">
        <is>
          <t>-</t>
        </is>
      </c>
      <c r="E477" s="217" t="inlineStr">
        <is>
          <t>បញ្ចុះតម្លៃ</t>
        </is>
      </c>
      <c r="F477" s="217" t="n"/>
      <c r="G477" s="217" t="inlineStr">
        <is>
          <t>បញ្ចុះតម្លៃ</t>
        </is>
      </c>
      <c r="H477" s="217" t="inlineStr">
        <is>
          <t>折扣</t>
        </is>
      </c>
      <c r="J477" t="inlineStr">
        <is>
          <t>បញ្ចុះតម្លៃ</t>
        </is>
      </c>
    </row>
    <row r="478">
      <c r="A478" s="217" t="inlineStr">
        <is>
          <t>createSingleOrder.discount_date</t>
        </is>
      </c>
      <c r="B478" s="217" t="inlineStr">
        <is>
          <t>Giảm &lt;b&gt;{{value}}&lt;/b&gt; mọi đơn hàng từ {{from}} - {{to}}</t>
        </is>
      </c>
      <c r="C478" s="217" t="inlineStr">
        <is>
          <t>Discount &lt;b&gt;{{value}}&lt;/b&gt; every order from {{from}} - {{to}}</t>
        </is>
      </c>
      <c r="D478" s="217" t="inlineStr">
        <is>
          <t>-</t>
        </is>
      </c>
      <c r="E478" s="217" t="inlineStr">
        <is>
          <t>បញ្ចុះតម្លៃ &lt;b&gt;{{value}}&lt;/b&gt; គ្រប់បុងបញ្ញើចាប់ពី {{from}} - {{to}}</t>
        </is>
      </c>
      <c r="F478" s="217" t="n"/>
      <c r="G478" s="217" t="inlineStr">
        <is>
          <t>បញ្ចុះតម្លៃ &lt;b&gt;{{value}}&lt;/b&gt; គ្រប់បុងបញ្ញើចាប់ពី {{from}} - {{to}}</t>
        </is>
      </c>
      <c r="H478" s="217" t="inlineStr">
        <is>
          <t>每笔订单立减 &lt;b&gt;{{value}}&lt;/b&gt;（活动时间：{{from}} 至 {{to}}）</t>
        </is>
      </c>
      <c r="J478" t="inlineStr">
        <is>
          <t>បញ្ចុះតម្លៃ &lt;b&gt;{{value}}&lt;/b&gt; គ្រប់បុងបញ្ញើចាប់ពី {{from}} - {{to}}</t>
        </is>
      </c>
    </row>
    <row r="479">
      <c r="A479" s="217" t="inlineStr">
        <is>
          <t>createSingleOrder.estimated_time</t>
        </is>
      </c>
      <c r="B479" s="217" t="inlineStr">
        <is>
          <t>Thời gian dự kiến giao</t>
        </is>
      </c>
      <c r="C479" s="217" t="inlineStr">
        <is>
          <t>Time estimated</t>
        </is>
      </c>
      <c r="D479" s="217" t="inlineStr">
        <is>
          <t>-</t>
        </is>
      </c>
      <c r="E479" s="217" t="inlineStr">
        <is>
          <t>ពេលវេលាកំណត់ប្រគល់អីវ៉ាន់</t>
        </is>
      </c>
      <c r="F479" s="217" t="n"/>
      <c r="G479" s="217" t="inlineStr">
        <is>
          <t>ពេលវេលាកំណត់ប្រគល់អីវ៉ាន់</t>
        </is>
      </c>
      <c r="H479" s="217" t="inlineStr">
        <is>
          <t>预计时效</t>
        </is>
      </c>
      <c r="J479" t="inlineStr">
        <is>
          <t>ពេលវេលាកំណត់ប្រគល់អីវ៉ាន់</t>
        </is>
      </c>
    </row>
    <row r="480">
      <c r="A480" s="217" t="inlineStr">
        <is>
          <t>createSingleOrder.totalPayment</t>
        </is>
      </c>
      <c r="B480" s="217" t="inlineStr">
        <is>
          <t>Tổng thanh toán</t>
        </is>
      </c>
      <c r="C480" s="217" t="inlineStr">
        <is>
          <t>Total payment</t>
        </is>
      </c>
      <c r="D480" s="217" t="inlineStr">
        <is>
          <t>-</t>
        </is>
      </c>
      <c r="E480" s="217" t="inlineStr">
        <is>
          <t>សរុុប</t>
        </is>
      </c>
      <c r="F480" s="217" t="n"/>
      <c r="G480" s="217" t="inlineStr">
        <is>
          <t>សរុុប</t>
        </is>
      </c>
      <c r="H480" s="217" t="inlineStr">
        <is>
          <t>总支付金额</t>
        </is>
      </c>
      <c r="J480" t="inlineStr">
        <is>
          <t>សរុុប</t>
        </is>
      </c>
    </row>
    <row r="481">
      <c r="A481" s="217" t="inlineStr">
        <is>
          <t>createSingleOrder.invoice</t>
        </is>
      </c>
      <c r="B481" s="217" t="inlineStr">
        <is>
          <t>Yêu cầu xuất hóa đơn</t>
        </is>
      </c>
      <c r="C481" s="217" t="inlineStr">
        <is>
          <t>Request Invoice</t>
        </is>
      </c>
      <c r="D481" s="217" t="inlineStr">
        <is>
          <t>-</t>
        </is>
      </c>
      <c r="E481" s="217" t="inlineStr">
        <is>
          <t>ស្នើសុំចេញបុងបញ្ញើ</t>
        </is>
      </c>
      <c r="F481" s="217" t="n"/>
      <c r="G481" s="217" t="inlineStr">
        <is>
          <t>ស្នើសុំចេញបុងបញ្ញើ</t>
        </is>
      </c>
      <c r="H481" s="217" t="inlineStr">
        <is>
          <t>申请发票</t>
        </is>
      </c>
      <c r="J481" t="inlineStr">
        <is>
          <t>ស្នើសុំចេញបុងបញ្ញើ</t>
        </is>
      </c>
    </row>
    <row r="482">
      <c r="A482" s="217" t="inlineStr">
        <is>
          <t>createSingleOrder.invoiceRequest</t>
        </is>
      </c>
      <c r="B482" s="217" t="inlineStr">
        <is>
          <t>Yêu cầu xuất hóa đơn</t>
        </is>
      </c>
      <c r="C482" s="217" t="inlineStr">
        <is>
          <t>Request Invoice</t>
        </is>
      </c>
      <c r="D482" s="217" t="inlineStr">
        <is>
          <t>-</t>
        </is>
      </c>
      <c r="E482" s="217" t="inlineStr">
        <is>
          <t>ស្នើសុំចេញបុងបញ្ញើ</t>
        </is>
      </c>
      <c r="F482" s="217" t="n"/>
      <c r="G482" s="217" t="inlineStr">
        <is>
          <t>ស្នើសុំចេញបុងបញ្ញើ</t>
        </is>
      </c>
      <c r="H482" s="217" t="inlineStr">
        <is>
          <t>申请发票</t>
        </is>
      </c>
      <c r="J482" t="inlineStr">
        <is>
          <t>ស្នើសុំចេញបុងបញ្ញើ</t>
        </is>
      </c>
    </row>
    <row r="483">
      <c r="A483" s="217" t="inlineStr">
        <is>
          <t>createSingleOrder.invoiceBySender</t>
        </is>
      </c>
      <c r="B483" s="217" t="inlineStr">
        <is>
          <t>Xuất hóa đơn theo thông tin người gửi</t>
        </is>
      </c>
      <c r="C483" s="217" t="inlineStr">
        <is>
          <t>Issue invoice based on sender information</t>
        </is>
      </c>
      <c r="D483" s="217" t="inlineStr">
        <is>
          <t>-</t>
        </is>
      </c>
      <c r="E483" s="217" t="inlineStr">
        <is>
          <t>ចេញបុងបញ្ញើតាមព័ត៌មានអ្នកផ្ញើ</t>
        </is>
      </c>
      <c r="F483" s="217" t="n"/>
      <c r="G483" s="217" t="inlineStr">
        <is>
          <t>ចេញបុងបញ្ញើតាមព័ត៌មានអ្នកផ្ញើ</t>
        </is>
      </c>
      <c r="H483" s="217" t="inlineStr">
        <is>
          <t>按寄件方信息开具发票</t>
        </is>
      </c>
      <c r="J483" t="inlineStr">
        <is>
          <t>ចេញបុងបញ្ញើតាមព័ត៌មានអ្នកផ្ញើ</t>
        </is>
      </c>
    </row>
    <row r="484">
      <c r="A484" s="217" t="inlineStr">
        <is>
          <t>createSingleOrder.invoiceByReceiver</t>
        </is>
      </c>
      <c r="B484" s="217" t="inlineStr">
        <is>
          <t>Xuất hóa đơn theo thông tin người nhận</t>
        </is>
      </c>
      <c r="C484" s="217" t="inlineStr">
        <is>
          <t>Issue invoice based on receiver information</t>
        </is>
      </c>
      <c r="D484" s="217" t="inlineStr">
        <is>
          <t>-</t>
        </is>
      </c>
      <c r="E484" s="217" t="inlineStr">
        <is>
          <t>ចេញបុងបញ្ញើតាមព័ត៌មានអ្នកទទួល</t>
        </is>
      </c>
      <c r="F484" s="217" t="n"/>
      <c r="G484" s="217" t="inlineStr">
        <is>
          <t>ចេញបុងបញ្ញើតាមព័ត៌មានអ្នកទទួល</t>
        </is>
      </c>
      <c r="H484" s="217" t="inlineStr">
        <is>
          <t>按收件方信息开具发票</t>
        </is>
      </c>
      <c r="J484" t="inlineStr">
        <is>
          <t>ចេញបុងបញ្ញើតាមព័ត៌មានអ្នកទទួល</t>
        </is>
      </c>
    </row>
    <row r="485">
      <c r="A485" s="217" t="inlineStr">
        <is>
          <t>createSingleOrder.homePickup</t>
        </is>
      </c>
      <c r="B485" s="217" t="inlineStr">
        <is>
          <t>Gửi tại nhà</t>
        </is>
      </c>
      <c r="C485" s="217" t="inlineStr">
        <is>
          <t>Home pickup</t>
        </is>
      </c>
      <c r="D485" s="217" t="inlineStr">
        <is>
          <t>-</t>
        </is>
      </c>
      <c r="E485" s="217" t="inlineStr">
        <is>
          <t>ផ្ញើនៅផ្ទះ</t>
        </is>
      </c>
      <c r="F485" s="217" t="n"/>
      <c r="G485" s="217" t="inlineStr">
        <is>
          <t>ផ្ញើនៅផ្ទះ</t>
        </is>
      </c>
      <c r="H485" s="217" t="inlineStr">
        <is>
          <t>上门取件</t>
        </is>
      </c>
      <c r="J485" t="inlineStr">
        <is>
          <t>ផ្ញើនៅផ្ទះ</t>
        </is>
      </c>
    </row>
    <row r="486">
      <c r="A486" s="217" t="inlineStr">
        <is>
          <t>createSingleOrder.storeDropOff</t>
        </is>
      </c>
      <c r="B486" s="217" t="inlineStr">
        <is>
          <t>Gửi tại cửa hàng</t>
        </is>
      </c>
      <c r="C486" s="217" t="inlineStr">
        <is>
          <t>Store drop-off</t>
        </is>
      </c>
      <c r="D486" s="217" t="inlineStr">
        <is>
          <t>-</t>
        </is>
      </c>
      <c r="E486" s="217" t="inlineStr">
        <is>
          <t>ផ្ញើនៅហាង</t>
        </is>
      </c>
      <c r="F486" s="217" t="n"/>
      <c r="G486" s="217" t="inlineStr">
        <is>
          <t>ផ្ញើនៅហាង</t>
        </is>
      </c>
      <c r="H486" s="217" t="inlineStr">
        <is>
          <t>网点投递</t>
        </is>
      </c>
      <c r="J486" t="inlineStr">
        <is>
          <t>ផ្ញើនៅហាង</t>
        </is>
      </c>
    </row>
    <row r="487">
      <c r="A487" s="217" t="inlineStr">
        <is>
          <t>createSingleOrder.receiverHomeDelivery</t>
        </is>
      </c>
      <c r="B487" s="217" t="inlineStr">
        <is>
          <t>Nhận tại nhà</t>
        </is>
      </c>
      <c r="C487" s="217" t="inlineStr">
        <is>
          <t>Pickup at home</t>
        </is>
      </c>
      <c r="D487" s="217" t="inlineStr">
        <is>
          <t>-</t>
        </is>
      </c>
      <c r="E487" s="217" t="inlineStr">
        <is>
          <t>ទទួលនៅផ្ទះ</t>
        </is>
      </c>
      <c r="F487" s="217" t="n"/>
      <c r="G487" s="217" t="inlineStr">
        <is>
          <t>ទទួលនៅផ្ទះ</t>
        </is>
      </c>
      <c r="H487" s="217" t="inlineStr">
        <is>
          <t>上门取件</t>
        </is>
      </c>
      <c r="J487" t="inlineStr">
        <is>
          <t>ទទួលនៅផ្ទះ</t>
        </is>
      </c>
    </row>
    <row r="488">
      <c r="A488" s="217" t="inlineStr">
        <is>
          <t>createSingleOrder.recommendation</t>
        </is>
      </c>
      <c r="B488" s="217" t="inlineStr">
        <is>
          <t>Đề xuất</t>
        </is>
      </c>
      <c r="C488" s="217" t="inlineStr">
        <is>
          <t>Recommendation</t>
        </is>
      </c>
      <c r="D488" s="217" t="inlineStr">
        <is>
          <t>-</t>
        </is>
      </c>
      <c r="E488" s="217" t="inlineStr">
        <is>
          <t>សំណើរ</t>
        </is>
      </c>
      <c r="F488" s="217" t="n"/>
      <c r="G488" s="217" t="inlineStr">
        <is>
          <t>សំណើរ</t>
        </is>
      </c>
      <c r="H488" s="217" t="inlineStr">
        <is>
          <t>推荐网点</t>
        </is>
      </c>
      <c r="J488" t="inlineStr">
        <is>
          <t>សំណើរ</t>
        </is>
      </c>
    </row>
    <row r="489">
      <c r="A489" s="217" t="inlineStr">
        <is>
          <t>createSingleOrder.searchPostOffice</t>
        </is>
      </c>
      <c r="B489" s="217" t="inlineStr">
        <is>
          <t>Tìm kiếm cửa hàng</t>
        </is>
      </c>
      <c r="C489" s="217" t="inlineStr">
        <is>
          <t>Search store</t>
        </is>
      </c>
      <c r="D489" s="217" t="inlineStr">
        <is>
          <t>-</t>
        </is>
      </c>
      <c r="E489" s="217" t="inlineStr">
        <is>
          <t>ស្វែងរកហាង</t>
        </is>
      </c>
      <c r="F489" s="217" t="n"/>
      <c r="G489" s="217" t="inlineStr">
        <is>
          <t>ស្វែងរកហាង</t>
        </is>
      </c>
      <c r="H489" s="217" t="inlineStr">
        <is>
          <t>搜索网点</t>
        </is>
      </c>
      <c r="J489" t="inlineStr">
        <is>
          <t>ស្វែងរកហាង</t>
        </is>
      </c>
    </row>
    <row r="490">
      <c r="A490" s="217" t="inlineStr">
        <is>
          <t>createSingleOrder.manageSenderInfo</t>
        </is>
      </c>
      <c r="B490" s="217" t="inlineStr">
        <is>
          <t>Quản lý thông tin người gửi</t>
        </is>
      </c>
      <c r="C490" s="217" t="inlineStr">
        <is>
          <t>Manage sender information</t>
        </is>
      </c>
      <c r="D490" s="217" t="inlineStr">
        <is>
          <t>-</t>
        </is>
      </c>
      <c r="E490" s="217" t="inlineStr">
        <is>
          <t>គ្រប់គ្រងព័ត៌មានអ្នកផ្ញើ</t>
        </is>
      </c>
      <c r="F490" s="217" t="n"/>
      <c r="G490" s="217" t="inlineStr">
        <is>
          <t>គ្រប់គ្រងព័ត៌មានអ្នកផ្ញើ</t>
        </is>
      </c>
      <c r="H490" s="217" t="inlineStr">
        <is>
          <t>管理寄件人信息</t>
        </is>
      </c>
      <c r="J490" t="inlineStr">
        <is>
          <t>គ្រប់គ្រងព័ត៌មានអ្នកផ្ញើ</t>
        </is>
      </c>
    </row>
    <row r="491">
      <c r="A491" s="217" t="inlineStr">
        <is>
          <t>createSingleOrder.storeDelivery</t>
        </is>
      </c>
      <c r="B491" s="217" t="inlineStr">
        <is>
          <t>Cửa hàng giao</t>
        </is>
      </c>
      <c r="C491" s="217" t="inlineStr">
        <is>
          <t>Delivery store</t>
        </is>
      </c>
      <c r="D491" s="217" t="inlineStr">
        <is>
          <t>-</t>
        </is>
      </c>
      <c r="E491" s="217" t="inlineStr">
        <is>
          <t>ហាងប្រគល់អីវ៉ាន់</t>
        </is>
      </c>
      <c r="F491" s="217" t="n"/>
      <c r="G491" s="217" t="inlineStr">
        <is>
          <t>ហាងប្រគល់អីវ៉ាន់</t>
        </is>
      </c>
      <c r="H491" s="217" t="inlineStr">
        <is>
          <t>派送网点</t>
        </is>
      </c>
      <c r="J491" t="inlineStr">
        <is>
          <t>ហាងប្រគល់អីវ៉ាន់</t>
        </is>
      </c>
    </row>
    <row r="492">
      <c r="A492" s="217" t="inlineStr">
        <is>
          <t>createSingleOrder.storeDeliveryPlaceholder</t>
        </is>
      </c>
      <c r="B492" s="217" t="inlineStr">
        <is>
          <t>Chọn cửa hàng giao</t>
        </is>
      </c>
      <c r="C492" s="217" t="inlineStr">
        <is>
          <t>Select delivery store</t>
        </is>
      </c>
      <c r="D492" s="217" t="inlineStr">
        <is>
          <t>-</t>
        </is>
      </c>
      <c r="E492" s="217" t="inlineStr">
        <is>
          <t>ជ្រើសរើសហាងប្រគល់អីវ៉ាន់</t>
        </is>
      </c>
      <c r="F492" s="217" t="n"/>
      <c r="G492" s="217" t="inlineStr">
        <is>
          <t>ជ្រើសរើសហាងប្រគល់អីវ៉ាន់</t>
        </is>
      </c>
      <c r="H492" s="217" t="inlineStr">
        <is>
          <t>选择派送网点</t>
        </is>
      </c>
      <c r="J492" t="inlineStr">
        <is>
          <t>ជ្រើសរើសហាងប្រគល់អីវ៉ាន់</t>
        </is>
      </c>
    </row>
    <row r="493">
      <c r="A493" s="217" t="inlineStr">
        <is>
          <t>createSingleOrder.storeDeliveryAddress</t>
        </is>
      </c>
      <c r="B493" s="217" t="inlineStr">
        <is>
          <t>Địa chỉ cửa hàng</t>
        </is>
      </c>
      <c r="C493" s="217" t="inlineStr">
        <is>
          <t>Store address</t>
        </is>
      </c>
      <c r="D493" s="217" t="inlineStr">
        <is>
          <t>-</t>
        </is>
      </c>
      <c r="E493" s="217" t="inlineStr">
        <is>
          <t>ទីតាំងហាង</t>
        </is>
      </c>
      <c r="F493" s="217" t="n"/>
      <c r="G493" s="217" t="inlineStr">
        <is>
          <t>ទីតាំងហាង</t>
        </is>
      </c>
      <c r="H493" s="217" t="inlineStr">
        <is>
          <t>网点地址</t>
        </is>
      </c>
      <c r="J493" t="inlineStr">
        <is>
          <t>ទីតាំងហាង</t>
        </is>
      </c>
    </row>
    <row r="494">
      <c r="A494" s="217" t="inlineStr">
        <is>
          <t>createSingleOrder.addressSend</t>
        </is>
      </c>
      <c r="B494" s="217" t="inlineStr">
        <is>
          <t>Địa chỉ gửi</t>
        </is>
      </c>
      <c r="C494" s="217" t="inlineStr">
        <is>
          <t>Sender address</t>
        </is>
      </c>
      <c r="D494" s="217" t="inlineStr">
        <is>
          <t>-</t>
        </is>
      </c>
      <c r="E494" s="217" t="inlineStr">
        <is>
          <t>ទីតាំងផ្ញើ</t>
        </is>
      </c>
      <c r="F494" s="217" t="n"/>
      <c r="G494" s="217" t="inlineStr">
        <is>
          <t>ទីតាំងផ្ញើ</t>
        </is>
      </c>
      <c r="H494" s="217" t="inlineStr">
        <is>
          <t>寄件人地址</t>
        </is>
      </c>
      <c r="J494" t="inlineStr">
        <is>
          <t>ទីតាំងផ្ញើ</t>
        </is>
      </c>
    </row>
    <row r="495">
      <c r="A495" s="217" t="inlineStr">
        <is>
          <t>editOrder.title</t>
        </is>
      </c>
      <c r="B495" s="217" t="inlineStr">
        <is>
          <t>Sửa đơn</t>
        </is>
      </c>
      <c r="C495" s="217" t="inlineStr">
        <is>
          <t>Edit Order</t>
        </is>
      </c>
      <c r="D495" s="217" t="inlineStr">
        <is>
          <t>កែសម្រួលបញ្ជាទិញ</t>
        </is>
      </c>
      <c r="E495" s="217" t="inlineStr">
        <is>
          <t>កែបុងបញ្ញើ</t>
        </is>
      </c>
      <c r="F495" s="217" t="n"/>
      <c r="G495" s="217" t="inlineStr">
        <is>
          <t>កែបុងបញ្ញើ</t>
        </is>
      </c>
      <c r="H495" s="217" t="inlineStr">
        <is>
          <t>修改订单</t>
        </is>
      </c>
      <c r="J495" t="inlineStr">
        <is>
          <t>កែបុងបញ្ញើ</t>
        </is>
      </c>
    </row>
    <row r="496">
      <c r="A496" s="217" t="inlineStr">
        <is>
          <t>editOrder.cancel</t>
        </is>
      </c>
      <c r="B496" s="217" t="inlineStr">
        <is>
          <t>Hủy</t>
        </is>
      </c>
      <c r="C496" s="217" t="inlineStr">
        <is>
          <t>Cancel</t>
        </is>
      </c>
      <c r="D496" s="217" t="inlineStr">
        <is>
          <t>បោះបង់</t>
        </is>
      </c>
      <c r="E496" s="217" t="inlineStr">
        <is>
          <t>លុបចោល</t>
        </is>
      </c>
      <c r="F496" s="217" t="n"/>
      <c r="G496" s="217" t="inlineStr">
        <is>
          <t>លុបចោល</t>
        </is>
      </c>
      <c r="H496" s="217" t="inlineStr">
        <is>
          <t>取消</t>
        </is>
      </c>
      <c r="J496" t="inlineStr">
        <is>
          <t>លុបចោល</t>
        </is>
      </c>
    </row>
    <row r="497">
      <c r="A497" s="217" t="inlineStr">
        <is>
          <t>editOrder.update</t>
        </is>
      </c>
      <c r="B497" s="217" t="inlineStr">
        <is>
          <t>Cập nhật</t>
        </is>
      </c>
      <c r="C497" s="217" t="inlineStr">
        <is>
          <t>Update</t>
        </is>
      </c>
      <c r="D497" s="217" t="inlineStr">
        <is>
          <t>កែប្រែ</t>
        </is>
      </c>
      <c r="E497" s="217" t="inlineStr">
        <is>
          <t>អាប់ដេត</t>
        </is>
      </c>
      <c r="F497" s="217" t="n"/>
      <c r="G497" s="217" t="inlineStr">
        <is>
          <t>ធ្វើបច្ចុប្បន្នភាព</t>
        </is>
      </c>
      <c r="H497" s="217" t="inlineStr">
        <is>
          <t>更新</t>
        </is>
      </c>
      <c r="J497" t="inlineStr">
        <is>
          <t>ធ្វើបច្ចុប្បន្នភាព</t>
        </is>
      </c>
    </row>
    <row r="498">
      <c r="A498" s="217" t="inlineStr">
        <is>
          <t>editOrder.editOrder</t>
        </is>
      </c>
      <c r="B498" s="217" t="inlineStr">
        <is>
          <t>Quý khách có chắc chắn muốn sửa đơn hàng này?</t>
        </is>
      </c>
      <c r="C498" s="217" t="inlineStr">
        <is>
          <t>Are you sure you want to edit this order?</t>
        </is>
      </c>
      <c r="D498" s="3" t="inlineStr">
        <is>
          <t>តើអ្នកប្រាកដចង់កែសម្រួលបញ្ជាទិញនេះ?</t>
        </is>
      </c>
      <c r="E498" s="217" t="inlineStr">
        <is>
          <t>អតិថិជនពិតជាចង់កែបុងបញ្ញើនេះដែរទេ?</t>
        </is>
      </c>
      <c r="F498" s="217" t="n"/>
      <c r="G498" s="217" t="inlineStr">
        <is>
          <t>អតិថិជនពិតជាចង់កែបុងបញ្ញើនេះដែរទេ?</t>
        </is>
      </c>
      <c r="H498" s="217" t="inlineStr">
        <is>
          <t>确认要修改此订单吗？</t>
        </is>
      </c>
      <c r="J498" t="inlineStr">
        <is>
          <t>អតិថិជនពិតជាចង់កែបុងបញ្ញើនេះដែរទេ?</t>
        </is>
      </c>
    </row>
    <row r="499">
      <c r="A499" s="217" t="inlineStr">
        <is>
          <t>editOrder.editOrderSuccess</t>
        </is>
      </c>
      <c r="B499" s="217" t="inlineStr">
        <is>
          <t>Sửa đơn {{id}} thành công!</t>
        </is>
      </c>
      <c r="C499" s="217" t="inlineStr">
        <is>
          <t>Successfully edited order {{id}}!</t>
        </is>
      </c>
      <c r="D499" s="3" t="inlineStr">
        <is>
          <t>កែសម្រួលបញ្ជាទិញ {{id}} បានជោគជ័យ!</t>
        </is>
      </c>
      <c r="E499" s="217" t="inlineStr">
        <is>
          <t>កែបុុងបញ្ញើ</t>
        </is>
      </c>
      <c r="F499" s="217" t="n"/>
      <c r="G499" s="217" t="inlineStr">
        <is>
          <t>កែបុុងបញ្ញើ</t>
        </is>
      </c>
      <c r="H499" s="217" t="inlineStr">
        <is>
          <t>订单 {{id}} 修改成功！</t>
        </is>
      </c>
      <c r="J499" t="inlineStr">
        <is>
          <t>កែបុុងបញ្ញើ</t>
        </is>
      </c>
    </row>
    <row r="500">
      <c r="A500" s="217" t="inlineStr">
        <is>
          <t>editOrder.validateCod</t>
        </is>
      </c>
      <c r="B500" s="18" t="inlineStr">
        <is>
          <t>Tiền thu hộ mới không được lớn hơn tiền thu hộ trước đó</t>
        </is>
      </c>
      <c r="C500" s="217" t="inlineStr">
        <is>
          <t>The new cash on delivery amount cannot be greater than the previous amount</t>
        </is>
      </c>
      <c r="D500" s="217" t="inlineStr">
        <is>
          <t>ទឹកប្រាក់ COD ថ្មីមិនអាចធំជាងមុន</t>
        </is>
      </c>
      <c r="E500" s="217" t="inlineStr">
        <is>
          <t>câu này em chưa hiểu</t>
        </is>
      </c>
      <c r="F500" s="217" t="n"/>
      <c r="G500" s="217" t="inlineStr">
        <is>
          <t>Tiền thu hộ mới không được lớn hơn tiền thu hộ trước đó</t>
        </is>
      </c>
      <c r="H500" s="217" t="inlineStr">
        <is>
          <t>新的代收货款金额不得高于原金额</t>
        </is>
      </c>
      <c r="J500" t="inlineStr">
        <is>
          <t>Tiền thu hộ mới không được lớn hơn tiền thu hộ trước đó</t>
        </is>
      </c>
    </row>
    <row r="501">
      <c r="A501" s="217" t="inlineStr">
        <is>
          <t>editOrder.continueEdit</t>
        </is>
      </c>
      <c r="B501" s="217" t="inlineStr">
        <is>
          <t>Tiếp tục sửa</t>
        </is>
      </c>
      <c r="C501" s="217" t="inlineStr">
        <is>
          <t>Continue Editing</t>
        </is>
      </c>
      <c r="D501" s="217" t="inlineStr">
        <is>
          <t>បន្តកែប្រែ</t>
        </is>
      </c>
      <c r="E501" s="217" t="inlineStr">
        <is>
          <t>បន្តកែសម្រួល</t>
        </is>
      </c>
      <c r="F501" s="217" t="n"/>
      <c r="G501" s="217" t="inlineStr">
        <is>
          <t>បន្តកែសម្រួល</t>
        </is>
      </c>
      <c r="H501" s="217" t="inlineStr">
        <is>
          <t>继续编辑</t>
        </is>
      </c>
      <c r="J501" t="inlineStr">
        <is>
          <t>បន្តកែសម្រួល</t>
        </is>
      </c>
    </row>
    <row r="502">
      <c r="A502" s="217" t="inlineStr">
        <is>
          <t>editOrder.contentContinueEdit</t>
        </is>
      </c>
      <c r="B502" s="217" t="inlineStr">
        <is>
          <t>Quý khách có chắc chắn muốn thoát màn sửa đơn ?</t>
        </is>
      </c>
      <c r="C502" s="217" t="inlineStr">
        <is>
          <t>Are you sure you want to exit the edit screen?</t>
        </is>
      </c>
      <c r="D502" s="3" t="inlineStr">
        <is>
          <t>តើអ្នកប្រាកដចង់ចាកចេញពីផ្ទាំងកែប្រែដែរឬទេ?</t>
        </is>
      </c>
      <c r="E502" s="217" t="inlineStr">
        <is>
          <t>អតិថិជនពិតជាចង់ចាកចេញពីអេក្រង់កែបុងបញ្ញើមែនទេ?</t>
        </is>
      </c>
      <c r="F502" s="217" t="n"/>
      <c r="G502" s="217" t="inlineStr">
        <is>
          <t>អតិថិជនពិតជាចង់ចាកចេញពីអេក្រង់កែបុងបញ្ញើមែនទេ?</t>
        </is>
      </c>
      <c r="H502" s="217" t="inlineStr">
        <is>
          <t>确认要退出编辑页面吗？</t>
        </is>
      </c>
      <c r="J502" t="inlineStr">
        <is>
          <t>អតិថិជនពិតជាចង់ចាកចេញពីអេក្រង់កែបុងបញ្ញើមែនទេ?</t>
        </is>
      </c>
    </row>
    <row r="503">
      <c r="A503" s="217" t="inlineStr">
        <is>
          <t>editOrder.listTemplateDes1</t>
        </is>
      </c>
      <c r="B503" s="217" t="inlineStr">
        <is>
          <t>Giao hàng một phần, nhận lại sản phẩm từ khách</t>
        </is>
      </c>
      <c r="C503" s="217" t="inlineStr">
        <is>
          <t>Partial delivery, receive returned product from customer</t>
        </is>
      </c>
      <c r="D503" s="3" t="inlineStr">
        <is>
          <t>ផ្ញើមួយផ្នែក, ទទួលផលចេញពីអតិថិជន</t>
        </is>
      </c>
      <c r="E503" s="217" t="inlineStr">
        <is>
          <t>ប្រគល់អីវ៉ាន់ម្តងទៀតមួយផ្នែក ទទួលអីវ៉ាន់ម្តងទៀតពីអតិថិជន។</t>
        </is>
      </c>
      <c r="F503" s="217" t="n"/>
      <c r="G503" s="217" t="inlineStr">
        <is>
          <t>ប្រគល់អីវ៉ាន់ម្តងទៀតមួយផ្នែក ទទួលអីវ៉ាន់ម្តងទៀតពីអតិថិជន។</t>
        </is>
      </c>
      <c r="H503" s="217" t="inlineStr">
        <is>
          <t>部分投递，并向客户取回部分货物</t>
        </is>
      </c>
      <c r="J503" t="inlineStr">
        <is>
          <t>ប្រគល់អីវ៉ាន់ម្តងទៀតមួយផ្នែក ទទួលអីវ៉ាន់ម្តងទៀតពីអតិថិជន។</t>
        </is>
      </c>
    </row>
    <row r="504">
      <c r="A504" s="217" t="inlineStr">
        <is>
          <t>editOrder.listTemplateDes2</t>
        </is>
      </c>
      <c r="B504" s="217" t="inlineStr">
        <is>
          <t>Hàng dễ vỡ, vui lòng nhẹ tay</t>
        </is>
      </c>
      <c r="C504" s="217" t="inlineStr">
        <is>
          <t>Fragile item, please handle with care</t>
        </is>
      </c>
      <c r="D504" s="3" t="inlineStr">
        <is>
          <t>ទំនិញងាយខូច សូមយកយ៉ាងប្រុងប្រយ័ត្ន</t>
        </is>
      </c>
      <c r="E504" s="217" t="inlineStr">
        <is>
          <t>អីវ៉ាន់ងាយបែកបាក់ ទទួលយកអីវ៉ាន់ម្តងទៀតពីអតិថិជន</t>
        </is>
      </c>
      <c r="F504" s="217" t="n"/>
      <c r="G504" s="217" t="inlineStr">
        <is>
          <t>អីវ៉ាន់ងាយបែកបាក់ ទទួលយកអីវ៉ាន់ម្តងទៀតពីអតិថិជន</t>
        </is>
      </c>
      <c r="H504" s="217" t="inlineStr">
        <is>
          <t>易碎品，请小心搬运</t>
        </is>
      </c>
      <c r="J504" t="inlineStr">
        <is>
          <t>អីវ៉ាន់ងាយបែកបាក់ ទទួលយកអីវ៉ាន់ម្តងទៀតពីអតិថិជន</t>
        </is>
      </c>
    </row>
    <row r="505">
      <c r="A505" s="217" t="inlineStr">
        <is>
          <t>editOrder.listTemplateDes3</t>
        </is>
      </c>
      <c r="B505" s="217" t="inlineStr">
        <is>
          <t>Gọi điện cho khách trước khi giao</t>
        </is>
      </c>
      <c r="C505" s="217" t="inlineStr">
        <is>
          <t>Call customer before delivery</t>
        </is>
      </c>
      <c r="D505" s="3" t="inlineStr">
        <is>
          <t>ទូរស័ព្ទទៅអតិថិជនមុនពេលផ្ញើ</t>
        </is>
      </c>
      <c r="E505" s="217" t="inlineStr">
        <is>
          <t>ខលទៅអតិថិជនមុនពេលប្រគល់</t>
        </is>
      </c>
      <c r="F505" s="217" t="n"/>
      <c r="G505" s="217" t="inlineStr">
        <is>
          <t>ខលទៅអតិថិជនមុនពេលប្រគល់</t>
        </is>
      </c>
      <c r="H505" s="217" t="inlineStr">
        <is>
          <t>派送前电话联系客户</t>
        </is>
      </c>
      <c r="J505" t="inlineStr">
        <is>
          <t>ខលទៅអតិថិជនមុនពេលប្រគល់</t>
        </is>
      </c>
    </row>
    <row r="506">
      <c r="A506" s="217" t="inlineStr">
        <is>
          <t>editOrder.listTemplateDes4</t>
        </is>
      </c>
      <c r="B506" s="217" t="inlineStr">
        <is>
          <t>Giao hàng vào giờ hành chính</t>
        </is>
      </c>
      <c r="C506" s="217" t="inlineStr">
        <is>
          <t>Deliver during business hours</t>
        </is>
      </c>
      <c r="D506" s="3" t="inlineStr">
        <is>
          <t>ផ្ញើក្នុងម៉ោងធ្វើការ</t>
        </is>
      </c>
      <c r="E506" s="217" t="inlineStr">
        <is>
          <t>ប្រគល់អីវ៉ាន់ក្នុងម៉ោងធ្វើការ</t>
        </is>
      </c>
      <c r="F506" s="217" t="n"/>
      <c r="G506" s="217" t="inlineStr">
        <is>
          <t>ប្រគល់អីវ៉ាន់ក្នុងម៉ោងធ្វើការ</t>
        </is>
      </c>
      <c r="H506" s="217" t="inlineStr">
        <is>
          <t>请在营业时间内派送</t>
        </is>
      </c>
      <c r="J506" t="inlineStr">
        <is>
          <t>ប្រគល់អីវ៉ាន់ក្នុងម៉ោងធ្វើការ</t>
        </is>
      </c>
    </row>
    <row r="507">
      <c r="A507" s="217" t="inlineStr">
        <is>
          <t>editOrder.listTemplateDes5</t>
        </is>
      </c>
      <c r="B507" s="217" t="inlineStr">
        <is>
          <t>Cho khách xem hàng</t>
        </is>
      </c>
      <c r="C507" s="217" t="inlineStr">
        <is>
          <t>Allow customer to inspect item</t>
        </is>
      </c>
      <c r="D507" s="3" t="inlineStr">
        <is>
          <t>អនុញ្ញាតអតិថិជនមើលទំនិញ</t>
        </is>
      </c>
      <c r="E507" s="217" t="inlineStr">
        <is>
          <t>ឲ្យអតិថិជនបើកមើលអីវ៉ាន់</t>
        </is>
      </c>
      <c r="F507" s="217" t="n"/>
      <c r="G507" s="217" t="inlineStr">
        <is>
          <t>ឲ្យអតិថិជនបើកមើលអីវ៉ាន់</t>
        </is>
      </c>
      <c r="H507" s="217" t="inlineStr">
        <is>
          <t>允许客户开箱验视</t>
        </is>
      </c>
      <c r="J507" t="inlineStr">
        <is>
          <t>ឲ្យអតិថិជនបើកមើលអីវ៉ាន់</t>
        </is>
      </c>
    </row>
    <row r="508">
      <c r="A508" s="217" t="inlineStr">
        <is>
          <t>cashFlowStatistics.statistical</t>
        </is>
      </c>
      <c r="B508" s="217" t="inlineStr">
        <is>
          <t>Thống kê</t>
        </is>
      </c>
      <c r="C508" s="217" t="inlineStr">
        <is>
          <t>Statistics</t>
        </is>
      </c>
      <c r="D508" s="3" t="inlineStr">
        <is>
          <t>ស្ថិតិ</t>
        </is>
      </c>
      <c r="E508" s="217" t="inlineStr">
        <is>
          <t>ស្ថិតិ</t>
        </is>
      </c>
      <c r="F508" s="217" t="n"/>
      <c r="G508" s="217" t="inlineStr">
        <is>
          <t>ស្ថិតិ</t>
        </is>
      </c>
      <c r="H508" s="217" t="inlineStr">
        <is>
          <t>数据统计</t>
        </is>
      </c>
      <c r="J508" t="inlineStr">
        <is>
          <t>ស្ថិតិ</t>
        </is>
      </c>
    </row>
    <row r="509">
      <c r="A509" s="217" t="inlineStr">
        <is>
          <t>cashFlowStatistics.cashFlow</t>
        </is>
      </c>
      <c r="B509" s="217" t="inlineStr">
        <is>
          <t>Dòng tiền</t>
        </is>
      </c>
      <c r="C509" s="217" t="inlineStr">
        <is>
          <t>Cash Flow</t>
        </is>
      </c>
      <c r="D509" s="3" t="inlineStr">
        <is>
          <t>លំហូរប្រាក់</t>
        </is>
      </c>
      <c r="E509" s="217" t="inlineStr">
        <is>
          <t>ចរន្តសាច់ប្រាក់</t>
        </is>
      </c>
      <c r="F509" s="217" t="n"/>
      <c r="G509" s="217" t="inlineStr">
        <is>
          <t>ចរន្តសាច់ប្រាក់</t>
        </is>
      </c>
      <c r="H509" s="217" t="inlineStr">
        <is>
          <t>资金流水</t>
        </is>
      </c>
      <c r="J509" t="inlineStr">
        <is>
          <t>ចរន្តសាច់ប្រាក់</t>
        </is>
      </c>
    </row>
    <row r="510">
      <c r="A510" s="217" t="inlineStr">
        <is>
          <t>settingUser.titlePage</t>
        </is>
      </c>
      <c r="B510" s="217" t="inlineStr">
        <is>
          <t>Cài đặt tài khoản</t>
        </is>
      </c>
      <c r="C510" s="217" t="inlineStr">
        <is>
          <t>Account Settings</t>
        </is>
      </c>
      <c r="D510" s="3" t="inlineStr">
        <is>
          <t>ការកំណត់គណនី</t>
        </is>
      </c>
      <c r="E510" s="217" t="inlineStr">
        <is>
          <t>ការកំណត់គណនី</t>
        </is>
      </c>
      <c r="F510" s="217" t="n"/>
      <c r="G510" s="217" t="inlineStr">
        <is>
          <t>ការកំណត់គណនី</t>
        </is>
      </c>
      <c r="H510" s="217" t="inlineStr">
        <is>
          <t>账户设置</t>
        </is>
      </c>
      <c r="J510" t="inlineStr">
        <is>
          <t>ការកំណត់គណនី</t>
        </is>
      </c>
    </row>
    <row r="511">
      <c r="A511" s="217" t="inlineStr">
        <is>
          <t>settingUser.accountInformation</t>
        </is>
      </c>
      <c r="B511" s="217" t="inlineStr">
        <is>
          <t>Thông tin tài khoản</t>
        </is>
      </c>
      <c r="C511" s="217" t="inlineStr">
        <is>
          <t>Account Information</t>
        </is>
      </c>
      <c r="D511" s="217" t="inlineStr">
        <is>
          <t>ព័ត៌មានគណនី</t>
        </is>
      </c>
      <c r="E511" s="217" t="inlineStr">
        <is>
          <t>ព័ត៌មានគណនី</t>
        </is>
      </c>
      <c r="F511" s="217" t="n"/>
      <c r="G511" s="217" t="inlineStr">
        <is>
          <t>ព័ត៌មានគណនី</t>
        </is>
      </c>
      <c r="H511" s="217" t="inlineStr">
        <is>
          <t>账户信息</t>
        </is>
      </c>
      <c r="J511" t="inlineStr">
        <is>
          <t>ព័ត៌មានគណនី</t>
        </is>
      </c>
    </row>
    <row r="512">
      <c r="A512" s="217" t="inlineStr">
        <is>
          <t>settingUser.warehouseSettings</t>
        </is>
      </c>
      <c r="B512" s="217" t="inlineStr">
        <is>
          <t>Cài đặt kho hàng</t>
        </is>
      </c>
      <c r="C512" s="217" t="inlineStr">
        <is>
          <t>Warehouse Settings</t>
        </is>
      </c>
      <c r="D512" s="217" t="inlineStr">
        <is>
          <t>ការកំណត់ឃ្លាំង</t>
        </is>
      </c>
      <c r="E512" s="217" t="inlineStr">
        <is>
          <t>ការកំណត់ឃ្លាំងអីវ៉ាន់</t>
        </is>
      </c>
      <c r="F512" s="217" t="n"/>
      <c r="G512" s="217" t="inlineStr">
        <is>
          <t>ការកំណត់ឃ្លាំងអីវ៉ាន់</t>
        </is>
      </c>
      <c r="H512" s="217" t="inlineStr">
        <is>
          <t>仓库设置</t>
        </is>
      </c>
      <c r="J512" t="inlineStr">
        <is>
          <t>ការកំណត់ឃ្លាំងអីវ៉ាន់</t>
        </is>
      </c>
    </row>
    <row r="513">
      <c r="A513" s="217" t="inlineStr">
        <is>
          <t>settingUser.tokenManagement</t>
        </is>
      </c>
      <c r="B513" s="217" t="inlineStr">
        <is>
          <t>Quản lý token</t>
        </is>
      </c>
      <c r="C513" s="217" t="inlineStr">
        <is>
          <t>Token Management</t>
        </is>
      </c>
      <c r="D513" s="217" t="inlineStr">
        <is>
          <t>ការគ្រប់គ្រង Token</t>
        </is>
      </c>
      <c r="E513" s="217" t="inlineStr">
        <is>
          <t>គ្រប់គ្រង token</t>
        </is>
      </c>
      <c r="F513" s="217" t="n"/>
      <c r="G513" s="217" t="inlineStr">
        <is>
          <t>គ្រប់គ្រង token</t>
        </is>
      </c>
      <c r="H513" s="217" t="inlineStr">
        <is>
          <t>Token 管理</t>
        </is>
      </c>
      <c r="J513" t="inlineStr">
        <is>
          <t>គ្រប់គ្រង token</t>
        </is>
      </c>
    </row>
    <row r="514">
      <c r="A514" s="217" t="inlineStr">
        <is>
          <t>settingUser.manageWebhooks</t>
        </is>
      </c>
      <c r="B514" s="217" t="inlineStr">
        <is>
          <t>Quản lý webhook</t>
        </is>
      </c>
      <c r="C514" s="217" t="inlineStr">
        <is>
          <t>Manage Webhooks</t>
        </is>
      </c>
      <c r="D514" s="217" t="inlineStr">
        <is>
          <t>គ្រប់គ្រង Webhook</t>
        </is>
      </c>
      <c r="E514" s="217" t="inlineStr">
        <is>
          <t>គ្រប់គ្រង webhook</t>
        </is>
      </c>
      <c r="F514" s="217" t="n"/>
      <c r="G514" s="217" t="inlineStr">
        <is>
          <t>គ្រប់គ្រង webhook</t>
        </is>
      </c>
      <c r="H514" s="217" t="inlineStr">
        <is>
          <t>Webhook管理</t>
        </is>
      </c>
      <c r="J514" t="inlineStr">
        <is>
          <t>គ្រប់គ្រង webhook</t>
        </is>
      </c>
    </row>
    <row r="515">
      <c r="A515" s="217" t="inlineStr">
        <is>
          <t>settingUser.fullName</t>
        </is>
      </c>
      <c r="B515" s="217" t="inlineStr">
        <is>
          <t>Họ và tên</t>
        </is>
      </c>
      <c r="C515" s="217" t="inlineStr">
        <is>
          <t>Full Name</t>
        </is>
      </c>
      <c r="D515" s="217" t="inlineStr">
        <is>
          <t>ឈ្មោះពេញ</t>
        </is>
      </c>
      <c r="E515" s="217" t="inlineStr">
        <is>
          <t>គោត្តនាម និងនាម</t>
        </is>
      </c>
      <c r="F515" s="217" t="n"/>
      <c r="G515" s="217" t="inlineStr">
        <is>
          <t>គោត្តនាម និងនាម</t>
        </is>
      </c>
      <c r="H515" s="217" t="inlineStr">
        <is>
          <t>姓名</t>
        </is>
      </c>
      <c r="J515" t="inlineStr">
        <is>
          <t>គោត្តនាម និងនាម</t>
        </is>
      </c>
    </row>
    <row r="516">
      <c r="A516" s="217" t="inlineStr">
        <is>
          <t>settingUser.fullNamePlaceholder</t>
        </is>
      </c>
      <c r="B516" s="217" t="inlineStr">
        <is>
          <t>Nhập họ tên</t>
        </is>
      </c>
      <c r="C516" s="217" t="inlineStr">
        <is>
          <t>Enter full name</t>
        </is>
      </c>
      <c r="D516" s="217" t="inlineStr">
        <is>
          <t>បញ្ចូលឈ្មោះពេញ</t>
        </is>
      </c>
      <c r="E516" s="217" t="inlineStr">
        <is>
          <t>បញ្ចូលគោត្តនាម និងនាម</t>
        </is>
      </c>
      <c r="F516" s="217" t="n"/>
      <c r="G516" s="217" t="inlineStr">
        <is>
          <t>បញ្ចូលគោត្តនាម និងនាម</t>
        </is>
      </c>
      <c r="H516" s="217" t="inlineStr">
        <is>
          <t>请输入姓名</t>
        </is>
      </c>
      <c r="J516" t="inlineStr">
        <is>
          <t>បញ្ចូលគោត្តនាម និងនាម</t>
        </is>
      </c>
    </row>
    <row r="517">
      <c r="A517" s="217" t="inlineStr">
        <is>
          <t>settingUser.dateOfBirth</t>
        </is>
      </c>
      <c r="B517" s="217" t="inlineStr">
        <is>
          <t>Sinh nhật</t>
        </is>
      </c>
      <c r="C517" s="217" t="inlineStr">
        <is>
          <t>Date of Birth</t>
        </is>
      </c>
      <c r="D517" s="217" t="inlineStr">
        <is>
          <t>ថ្ងៃកំណើត</t>
        </is>
      </c>
      <c r="E517" s="217" t="inlineStr">
        <is>
          <t>ថ្ងៃកំណើត</t>
        </is>
      </c>
      <c r="F517" s="217" t="n"/>
      <c r="G517" s="217" t="inlineStr">
        <is>
          <t>ថ្ងៃកំណើត</t>
        </is>
      </c>
      <c r="H517" s="217" t="inlineStr">
        <is>
          <t>出生日期</t>
        </is>
      </c>
      <c r="J517" t="inlineStr">
        <is>
          <t>ថ្ងៃកំណើត</t>
        </is>
      </c>
    </row>
    <row r="518">
      <c r="A518" s="217" t="inlineStr">
        <is>
          <t>settingUser.dateOfBirthPlaceholder</t>
        </is>
      </c>
      <c r="B518" s="217" t="inlineStr">
        <is>
          <t>Chọn ngày</t>
        </is>
      </c>
      <c r="C518" s="217" t="inlineStr">
        <is>
          <t>Select date</t>
        </is>
      </c>
      <c r="D518" s="217" t="inlineStr">
        <is>
          <t>ជ្រើសថ្ងៃ</t>
        </is>
      </c>
      <c r="E518" s="217" t="inlineStr">
        <is>
          <t>ជ្រើសរើសថ្ងៃ</t>
        </is>
      </c>
      <c r="F518" s="217" t="n"/>
      <c r="G518" s="217" t="inlineStr">
        <is>
          <t>ជ្រើសរើសថ្ងៃ</t>
        </is>
      </c>
      <c r="H518" s="217" t="inlineStr">
        <is>
          <t>选择日期</t>
        </is>
      </c>
      <c r="J518" t="inlineStr">
        <is>
          <t>ជ្រើសរើសថ្ងៃ</t>
        </is>
      </c>
    </row>
    <row r="519">
      <c r="A519" s="217" t="inlineStr">
        <is>
          <t>settingUser.phone</t>
        </is>
      </c>
      <c r="B519" s="217" t="inlineStr">
        <is>
          <t>Số điện thoại</t>
        </is>
      </c>
      <c r="C519" s="217" t="inlineStr">
        <is>
          <t>Phone Number</t>
        </is>
      </c>
      <c r="D519" s="217" t="inlineStr">
        <is>
          <t>លេខទូរស័ព្ទ</t>
        </is>
      </c>
      <c r="E519" s="217" t="inlineStr">
        <is>
          <t>លេខទូរស័ព្ទ</t>
        </is>
      </c>
      <c r="F519" s="217" t="n"/>
      <c r="G519" s="217" t="inlineStr">
        <is>
          <t>លេខទូរស័ព្ទ</t>
        </is>
      </c>
      <c r="H519" s="217" t="inlineStr">
        <is>
          <t>手机号码</t>
        </is>
      </c>
      <c r="J519" t="inlineStr">
        <is>
          <t>លេខទូរស័ព្ទ</t>
        </is>
      </c>
    </row>
    <row r="520">
      <c r="A520" s="217" t="inlineStr">
        <is>
          <t>settingUser.phonePlaceholder</t>
        </is>
      </c>
      <c r="B520" s="217" t="inlineStr">
        <is>
          <t>Nhập số điện thoại</t>
        </is>
      </c>
      <c r="C520" s="217" t="inlineStr">
        <is>
          <t>Enter phone number</t>
        </is>
      </c>
      <c r="D520" s="217" t="inlineStr">
        <is>
          <t>បញ្ចូលលេខទូរស័ព្ទ</t>
        </is>
      </c>
      <c r="E520" s="217" t="inlineStr">
        <is>
          <t>បញ្ចូលលេខទូរស័ព្ទ</t>
        </is>
      </c>
      <c r="F520" s="217" t="n"/>
      <c r="G520" s="217" t="inlineStr">
        <is>
          <t>បញ្ចូលលេខទូរស័ព្ទ</t>
        </is>
      </c>
      <c r="H520" s="217" t="inlineStr">
        <is>
          <t>请输入手机号码</t>
        </is>
      </c>
      <c r="J520" t="inlineStr">
        <is>
          <t>បញ្ចូលលេខទូរស័ព្ទ</t>
        </is>
      </c>
    </row>
    <row r="521">
      <c r="A521" s="217" t="inlineStr">
        <is>
          <t>settingUser.email</t>
        </is>
      </c>
      <c r="B521" s="217" t="inlineStr">
        <is>
          <t>Email</t>
        </is>
      </c>
      <c r="C521" s="217" t="inlineStr">
        <is>
          <t>Email</t>
        </is>
      </c>
      <c r="D521" s="217" t="inlineStr">
        <is>
          <t>អ៊ីមែល</t>
        </is>
      </c>
      <c r="E521" s="217" t="inlineStr">
        <is>
          <t>អ៊ីម៉ែល</t>
        </is>
      </c>
      <c r="F521" s="217" t="n"/>
      <c r="G521" s="217" t="inlineStr">
        <is>
          <t>អ៊ីម៉ែល</t>
        </is>
      </c>
      <c r="H521" s="217" t="inlineStr">
        <is>
          <t>电子邮箱</t>
        </is>
      </c>
      <c r="J521" t="inlineStr">
        <is>
          <t>អ៊ីម៉ែល</t>
        </is>
      </c>
    </row>
    <row r="522">
      <c r="A522" s="217" t="inlineStr">
        <is>
          <t>settingUser.emailPlaceholder</t>
        </is>
      </c>
      <c r="B522" s="217" t="inlineStr">
        <is>
          <t>Nhập email</t>
        </is>
      </c>
      <c r="C522" s="217" t="inlineStr">
        <is>
          <t>Enter email</t>
        </is>
      </c>
      <c r="D522" s="217" t="inlineStr">
        <is>
          <t>បញ្ចូលអ៊ីមែល</t>
        </is>
      </c>
      <c r="E522" s="217" t="inlineStr">
        <is>
          <t>បញ្ចូលអ៊ីម៉ែល</t>
        </is>
      </c>
      <c r="F522" s="217" t="n"/>
      <c r="G522" s="217" t="inlineStr">
        <is>
          <t>បញ្ចូលអ៊ីម៉ែល</t>
        </is>
      </c>
      <c r="H522" s="217" t="inlineStr">
        <is>
          <t>请输入电子邮箱</t>
        </is>
      </c>
      <c r="J522" t="inlineStr">
        <is>
          <t>បញ្ចូលអ៊ីម៉ែល</t>
        </is>
      </c>
    </row>
    <row r="523">
      <c r="A523" s="217" t="inlineStr">
        <is>
          <t>settingUser.address</t>
        </is>
      </c>
      <c r="B523" s="217" t="inlineStr">
        <is>
          <t>Địa chỉ chi tiết</t>
        </is>
      </c>
      <c r="C523" s="217" t="inlineStr">
        <is>
          <t>Detailed Address</t>
        </is>
      </c>
      <c r="D523" s="217" t="inlineStr">
        <is>
          <t>អាសយដ្ឋានលម្អិត</t>
        </is>
      </c>
      <c r="E523" s="217" t="inlineStr">
        <is>
          <t>អាស័យដ្ឋានលម្អិត</t>
        </is>
      </c>
      <c r="F523" s="217" t="n"/>
      <c r="G523" s="217" t="inlineStr">
        <is>
          <t>អាសយដ្ឋានលម្អិត</t>
        </is>
      </c>
      <c r="H523" s="217" t="inlineStr">
        <is>
          <t>详细地址</t>
        </is>
      </c>
      <c r="J523" t="inlineStr">
        <is>
          <t>អាសយដ្ឋានលម្អិត</t>
        </is>
      </c>
    </row>
    <row r="524">
      <c r="A524" s="217" t="inlineStr">
        <is>
          <t>settingUser.change</t>
        </is>
      </c>
      <c r="B524" s="217" t="inlineStr">
        <is>
          <t>Thay đổi</t>
        </is>
      </c>
      <c r="C524" s="217" t="inlineStr">
        <is>
          <t>Change</t>
        </is>
      </c>
      <c r="D524" s="217" t="inlineStr">
        <is>
          <t>ផ្លាស់ប្តូរ</t>
        </is>
      </c>
      <c r="E524" s="217" t="inlineStr">
        <is>
          <t>ផ្លាស់ប្តូរ</t>
        </is>
      </c>
      <c r="F524" s="217" t="n"/>
      <c r="G524" s="217" t="inlineStr">
        <is>
          <t>ផ្លាស់ប្តូរ</t>
        </is>
      </c>
      <c r="H524" s="217" t="inlineStr">
        <is>
          <t>更改</t>
        </is>
      </c>
      <c r="J524" t="inlineStr">
        <is>
          <t>ផ្លាស់ប្តូរ</t>
        </is>
      </c>
    </row>
    <row r="525">
      <c r="A525" s="217" t="inlineStr">
        <is>
          <t>settingUser.idCard</t>
        </is>
      </c>
      <c r="B525" s="217" t="inlineStr">
        <is>
          <t>Căn cước công dân/CMT</t>
        </is>
      </c>
      <c r="C525" s="217" t="inlineStr">
        <is>
          <t>ID Card</t>
        </is>
      </c>
      <c r="D525" s="217" t="inlineStr">
        <is>
          <t>អត្តសញ្ញាណប័ណ្ណ/គ.ប</t>
        </is>
      </c>
      <c r="E525" s="217" t="inlineStr">
        <is>
          <t>អត្តសញ្ញាណប័ណ្ណ/លេខសម្គាល់ក្នុងអត្តសញ្ញាណប័ណ្ណ</t>
        </is>
      </c>
      <c r="F525" s="217" t="n"/>
      <c r="G525" s="217" t="inlineStr">
        <is>
          <t>អត្តសញ្ញាណប័ណ្ណ/លេខសម្គាល់ក្នុងអត្តសញ្ញាណប័ណ្ណ</t>
        </is>
      </c>
      <c r="H525" s="217" t="inlineStr">
        <is>
          <t>身份证</t>
        </is>
      </c>
      <c r="J525" t="inlineStr">
        <is>
          <t>អត្តសញ្ញាណប័ណ្ណ/លេខសម្គាល់ក្នុងអត្តសញ្ញាណប័ណ្ណ</t>
        </is>
      </c>
    </row>
    <row r="526">
      <c r="A526" s="217" t="inlineStr">
        <is>
          <t>settingUser.billingInformation</t>
        </is>
      </c>
      <c r="B526" s="217" t="inlineStr">
        <is>
          <t>Thông tin thanh toán</t>
        </is>
      </c>
      <c r="C526" s="217" t="inlineStr">
        <is>
          <t>Billing Information</t>
        </is>
      </c>
      <c r="D526" s="217" t="inlineStr">
        <is>
          <t>ព័ត៌មានវិក្កយបត្រ</t>
        </is>
      </c>
      <c r="E526" s="217" t="inlineStr">
        <is>
          <t>ព័ត៌មានទូទាត់</t>
        </is>
      </c>
      <c r="F526" s="217" t="n"/>
      <c r="G526" s="217" t="inlineStr">
        <is>
          <t>ព័ត៌មានទូទាត់</t>
        </is>
      </c>
      <c r="H526" s="217" t="inlineStr">
        <is>
          <t>收款信息</t>
        </is>
      </c>
      <c r="J526" t="inlineStr">
        <is>
          <t>ព័ត៌មានទូទាត់</t>
        </is>
      </c>
    </row>
    <row r="527">
      <c r="A527" s="217" t="inlineStr">
        <is>
          <t>settingUser.feePaymentInformation</t>
        </is>
      </c>
      <c r="B527" s="217" t="inlineStr">
        <is>
          <t>Thông tin thanh toán cước</t>
        </is>
      </c>
      <c r="C527" s="217" t="inlineStr">
        <is>
          <t>Fee Payment Information</t>
        </is>
      </c>
      <c r="D527" s="217" t="inlineStr">
        <is>
          <t>ព័ត៌មានចំណាយ</t>
        </is>
      </c>
      <c r="E527" s="217" t="inlineStr">
        <is>
          <t>ព័ត៌មានទូូទាត់ថ្លៃសេវា</t>
        </is>
      </c>
      <c r="F527" s="217" t="n"/>
      <c r="G527" s="217" t="inlineStr">
        <is>
          <t>ព័ត៌មានទូូទាត់ថ្លៃសេវា</t>
        </is>
      </c>
      <c r="H527" s="217" t="inlineStr">
        <is>
          <t>费用支付信息</t>
        </is>
      </c>
      <c r="J527" t="inlineStr">
        <is>
          <t>ព័ត៌មានទូូទាត់ថ្លៃសេវា</t>
        </is>
      </c>
    </row>
    <row r="528">
      <c r="A528" s="217" t="inlineStr">
        <is>
          <t>settingUser.bank</t>
        </is>
      </c>
      <c r="B528" s="217" t="inlineStr">
        <is>
          <t>Ngân hàng</t>
        </is>
      </c>
      <c r="C528" s="217" t="inlineStr">
        <is>
          <t>Bank</t>
        </is>
      </c>
      <c r="D528" s="217" t="inlineStr">
        <is>
          <t>ធនាគារ</t>
        </is>
      </c>
      <c r="E528" s="217" t="inlineStr">
        <is>
          <t>ធនាគារ</t>
        </is>
      </c>
      <c r="F528" s="217" t="n"/>
      <c r="G528" s="217" t="inlineStr">
        <is>
          <t>ធនាគារ</t>
        </is>
      </c>
      <c r="H528" s="217" t="inlineStr">
        <is>
          <t>银行</t>
        </is>
      </c>
      <c r="J528" t="inlineStr">
        <is>
          <t>ធនាគារ</t>
        </is>
      </c>
    </row>
    <row r="529">
      <c r="A529" s="217" t="inlineStr">
        <is>
          <t>settingUser.accountNumber</t>
        </is>
      </c>
      <c r="B529" s="217" t="inlineStr">
        <is>
          <t>Số tài khoản</t>
        </is>
      </c>
      <c r="C529" s="217" t="inlineStr">
        <is>
          <t>Account Number</t>
        </is>
      </c>
      <c r="D529" s="217" t="inlineStr">
        <is>
          <t>លេខគណនី</t>
        </is>
      </c>
      <c r="E529" s="217" t="inlineStr">
        <is>
          <t>លេខគណនី</t>
        </is>
      </c>
      <c r="F529" s="217" t="n"/>
      <c r="G529" s="217" t="inlineStr">
        <is>
          <t>លេខគណនីធនាគារ</t>
        </is>
      </c>
      <c r="H529" s="217" t="inlineStr">
        <is>
          <t>账号</t>
        </is>
      </c>
      <c r="J529" t="inlineStr">
        <is>
          <t>លេខគណនីធនាគារ</t>
        </is>
      </c>
    </row>
    <row r="530">
      <c r="A530" s="217" t="inlineStr">
        <is>
          <t>settingUser.accountOwner</t>
        </is>
      </c>
      <c r="B530" s="217" t="inlineStr">
        <is>
          <t>Chủ tài khoản</t>
        </is>
      </c>
      <c r="C530" s="217" t="inlineStr">
        <is>
          <t>Account Owner</t>
        </is>
      </c>
      <c r="D530" s="217" t="inlineStr">
        <is>
          <t>ម្ចាស់គណនី</t>
        </is>
      </c>
      <c r="E530" s="217" t="inlineStr">
        <is>
          <t>ម្ចាស់គណនី</t>
        </is>
      </c>
      <c r="F530" s="217" t="n"/>
      <c r="G530" s="217" t="inlineStr">
        <is>
          <t>ម្ចាស់គណនី</t>
        </is>
      </c>
      <c r="H530" s="217" t="inlineStr">
        <is>
          <t>账户持有人</t>
        </is>
      </c>
      <c r="J530" t="inlineStr">
        <is>
          <t>ម្ចាស់គណនី</t>
        </is>
      </c>
    </row>
    <row r="531">
      <c r="A531" s="217" t="inlineStr">
        <is>
          <t>settingUser.feePaymentInfo</t>
        </is>
      </c>
      <c r="B531" s="217" t="inlineStr">
        <is>
          <t>Phương thức thanh toán</t>
        </is>
      </c>
      <c r="C531" s="217" t="inlineStr">
        <is>
          <t>Payment Method</t>
        </is>
      </c>
      <c r="D531" s="217" t="inlineStr">
        <is>
          <t>វិធីបង់</t>
        </is>
      </c>
      <c r="E531" s="217" t="inlineStr">
        <is>
          <t>វិធីសាស្រ្តទូទាត់</t>
        </is>
      </c>
      <c r="F531" s="217" t="n"/>
      <c r="G531" s="217" t="inlineStr">
        <is>
          <t>វិធីសាស្រ្តទូទាត់</t>
        </is>
      </c>
      <c r="H531" s="217" t="inlineStr">
        <is>
          <t>支付方式</t>
        </is>
      </c>
      <c r="J531" t="inlineStr">
        <is>
          <t>វិធីសាស្រ្តទូទាត់</t>
        </is>
      </c>
    </row>
    <row r="532">
      <c r="A532" s="217" t="inlineStr">
        <is>
          <t>settingUser.codPaymentInfo</t>
        </is>
      </c>
      <c r="B532" s="217" t="inlineStr">
        <is>
          <t>Hình thức thanh toán</t>
        </is>
      </c>
      <c r="C532" s="217" t="inlineStr">
        <is>
          <t>Payment Type</t>
        </is>
      </c>
      <c r="D532" s="217" t="inlineStr">
        <is>
          <t>វិធីបង់ COD</t>
        </is>
      </c>
      <c r="E532" s="217" t="inlineStr">
        <is>
          <t>របៀបទូទាត់</t>
        </is>
      </c>
      <c r="F532" s="217" t="n"/>
      <c r="G532" s="217" t="inlineStr">
        <is>
          <t>របៀបទូទាត់</t>
        </is>
      </c>
      <c r="H532" s="217" t="inlineStr">
        <is>
          <t>付款类型</t>
        </is>
      </c>
      <c r="J532" t="inlineStr">
        <is>
          <t>របៀបទូទាត់</t>
        </is>
      </c>
    </row>
    <row r="533">
      <c r="A533" s="217" t="inlineStr">
        <is>
          <t>settingUser.codPaymentInformation</t>
        </is>
      </c>
      <c r="B533" s="217" t="inlineStr">
        <is>
          <t>Thông tin thanh toán COD</t>
        </is>
      </c>
      <c r="C533" s="217" t="inlineStr">
        <is>
          <t>COD Payment Information</t>
        </is>
      </c>
      <c r="D533" s="217" t="inlineStr">
        <is>
          <t>ព័ត៌មានទូទាត់ COD</t>
        </is>
      </c>
      <c r="E533" s="217" t="inlineStr">
        <is>
          <t>ព័ត៌មានទូទាត់ COD</t>
        </is>
      </c>
      <c r="F533" s="217" t="n"/>
      <c r="G533" s="217" t="inlineStr">
        <is>
          <t>ព័ត៌មានទូទាត់ COD</t>
        </is>
      </c>
      <c r="H533" s="217" t="inlineStr">
        <is>
          <t>代收货款收款信息</t>
        </is>
      </c>
      <c r="J533" t="inlineStr">
        <is>
          <t>ព័ត៌មានទូទាត់ COD</t>
        </is>
      </c>
    </row>
    <row r="534">
      <c r="A534" s="217" t="inlineStr">
        <is>
          <t>settingUser.MON_WED_FRI</t>
        </is>
      </c>
      <c r="B534" s="217" t="inlineStr">
        <is>
          <t>Thứ 2,4,6 hàng tuần</t>
        </is>
      </c>
      <c r="C534" s="217" t="inlineStr">
        <is>
          <t>Every Monday, Wednesday, Friday</t>
        </is>
      </c>
      <c r="D534" s="217" t="inlineStr">
        <is>
          <t>ច័ន្ទ,ពុធ,សុក្រ</t>
        </is>
      </c>
      <c r="E534" s="217" t="inlineStr">
        <is>
          <t>ថ្ងៃ ច័ន្ទ ពុធ សុក្រ រាល់សប្តាហ៍</t>
        </is>
      </c>
      <c r="F534" s="217" t="n"/>
      <c r="G534" s="217" t="inlineStr">
        <is>
          <t>ថ្ងៃ ច័ន្ទ ពុធ សុក្រ រាល់សប្តាហ៍</t>
        </is>
      </c>
      <c r="H534" s="217" t="inlineStr">
        <is>
          <t>每周一、三、五</t>
        </is>
      </c>
      <c r="J534" t="inlineStr">
        <is>
          <t>ថ្ងៃ ច័ន្ទ ពុធ សុក្រ រាល់សប្តាហ៍</t>
        </is>
      </c>
    </row>
    <row r="535">
      <c r="A535" s="217" t="inlineStr">
        <is>
          <t>settingUser.TUE_THU</t>
        </is>
      </c>
      <c r="B535" s="217" t="inlineStr">
        <is>
          <t>Thứ 3,5 hàng tuần</t>
        </is>
      </c>
      <c r="C535" s="217" t="inlineStr">
        <is>
          <t>Every Tuesday, Thursday</t>
        </is>
      </c>
      <c r="D535" s="217" t="inlineStr">
        <is>
          <t>អង្គារ,ព្រហស្បតិ៍</t>
        </is>
      </c>
      <c r="E535" s="217" t="inlineStr">
        <is>
          <t>ថ្ងៃ អង្គារ ព្រហស្បត្តិ៍ រាល់សប្តាហ៍</t>
        </is>
      </c>
      <c r="F535" s="217" t="n"/>
      <c r="G535" s="217" t="inlineStr">
        <is>
          <t>ថ្ងៃ អង្គារ ព្រហស្បត្តិ៍ រាល់សប្តាហ៍</t>
        </is>
      </c>
      <c r="H535" s="217" t="inlineStr">
        <is>
          <t>每周二、四</t>
        </is>
      </c>
      <c r="J535" t="inlineStr">
        <is>
          <t>ថ្ងៃ អង្គារ ព្រហស្បត្តិ៍ រាល់សប្តាហ៍</t>
        </is>
      </c>
    </row>
    <row r="536">
      <c r="A536" s="217" t="inlineStr">
        <is>
          <t>settingUser.FIXED_DATE</t>
        </is>
      </c>
      <c r="B536" s="217" t="inlineStr">
        <is>
          <t>Ngày trong tháng</t>
        </is>
      </c>
      <c r="C536" s="217" t="inlineStr">
        <is>
          <t>Fixed Dates in the Month</t>
        </is>
      </c>
      <c r="D536" s="217" t="inlineStr">
        <is>
          <t>ថ្ងៃក្នុងខែ</t>
        </is>
      </c>
      <c r="E536" s="217" t="inlineStr">
        <is>
          <t>ថ្ងៃក្នុងខែ</t>
        </is>
      </c>
      <c r="F536" s="217" t="n"/>
      <c r="G536" s="217" t="inlineStr">
        <is>
          <t>ថ្ងៃក្នុងខែ</t>
        </is>
      </c>
      <c r="H536" s="217" t="inlineStr">
        <is>
          <t>每月固定日期</t>
        </is>
      </c>
      <c r="J536" t="inlineStr">
        <is>
          <t>ថ្ងៃក្នុងខែ</t>
        </is>
      </c>
    </row>
    <row r="537">
      <c r="A537" s="217" t="inlineStr">
        <is>
          <t>settingUser.selectDate</t>
        </is>
      </c>
      <c r="B537" s="217" t="inlineStr">
        <is>
          <t>Chọn ngày</t>
        </is>
      </c>
      <c r="C537" s="217" t="inlineStr">
        <is>
          <t>Select Date</t>
        </is>
      </c>
      <c r="D537" s="217" t="inlineStr">
        <is>
          <t>ជ្រើសថ្ងៃ</t>
        </is>
      </c>
      <c r="E537" s="217" t="inlineStr">
        <is>
          <t>ជ្រើសរើសថ្ងៃ</t>
        </is>
      </c>
      <c r="F537" s="217" t="n"/>
      <c r="G537" s="217" t="inlineStr">
        <is>
          <t>ជ្រើសរើសថ្ងៃ</t>
        </is>
      </c>
      <c r="H537" s="217" t="inlineStr">
        <is>
          <t>选择日期</t>
        </is>
      </c>
      <c r="J537" t="inlineStr">
        <is>
          <t>ជ្រើសរើសថ្ងៃ</t>
        </is>
      </c>
    </row>
    <row r="538">
      <c r="A538" s="217" t="inlineStr">
        <is>
          <t>settingUser.descriptionSelectDate</t>
        </is>
      </c>
      <c r="B538" s="217" t="inlineStr">
        <is>
          <t>Quý khách có thể chọn nhiều ngày trong tháng:</t>
        </is>
      </c>
      <c r="C538" s="217" t="inlineStr">
        <is>
          <t>You can select multiple dates in the month:</t>
        </is>
      </c>
      <c r="D538" s="217" t="inlineStr">
        <is>
          <t>អ្នកអាចជ្រើសច្រើនថ្ងៃក្នុងខែ:</t>
        </is>
      </c>
      <c r="E538" s="217" t="inlineStr">
        <is>
          <t>អ្នកអាចជ្រើសរើសច្រើនថ្ងៃក្នុងខែ៖</t>
        </is>
      </c>
      <c r="F538" s="217" t="n"/>
      <c r="G538" s="217" t="inlineStr">
        <is>
          <t>អ្នកអាចជ្រើសរើសច្រើនថ្ងៃក្នុងខែ៖</t>
        </is>
      </c>
      <c r="H538" s="217" t="inlineStr">
        <is>
          <t>您可选择本月的多个日期：</t>
        </is>
      </c>
      <c r="J538" t="inlineStr">
        <is>
          <t>អ្នកអាចជ្រើសរើសច្រើនថ្ងៃក្នុងខែ៖</t>
        </is>
      </c>
    </row>
    <row r="539">
      <c r="A539" s="217" t="inlineStr">
        <is>
          <t>settingUser.selectedAll</t>
        </is>
      </c>
      <c r="B539" s="217" t="inlineStr">
        <is>
          <t>Chọn tất cả</t>
        </is>
      </c>
      <c r="C539" s="217" t="inlineStr">
        <is>
          <t>Select All</t>
        </is>
      </c>
      <c r="D539" s="217" t="inlineStr">
        <is>
          <t>ជ្រើសទាំងអស់</t>
        </is>
      </c>
      <c r="E539" s="217" t="inlineStr">
        <is>
          <t>ជ្រើសរើសទាំងអស់</t>
        </is>
      </c>
      <c r="F539" s="217" t="n"/>
      <c r="G539" s="217" t="inlineStr">
        <is>
          <t>ជ្រើសរើសទាំងអស់</t>
        </is>
      </c>
      <c r="H539" s="217" t="inlineStr">
        <is>
          <t>全选</t>
        </is>
      </c>
      <c r="J539" t="inlineStr">
        <is>
          <t>ជ្រើសរើសទាំងអស់</t>
        </is>
      </c>
    </row>
    <row r="540">
      <c r="A540" s="217" t="inlineStr">
        <is>
          <t>settingUser.selectedAllDay</t>
        </is>
      </c>
      <c r="B540" s="217" t="inlineStr">
        <is>
          <t>Chọn tất cả các ngày trong tháng</t>
        </is>
      </c>
      <c r="C540" s="217" t="inlineStr">
        <is>
          <t>Select All Days in the Month</t>
        </is>
      </c>
      <c r="D540" s="217" t="inlineStr">
        <is>
          <t>ជ្រើសគ្រប់ថ្ងៃក្នុងខែ</t>
        </is>
      </c>
      <c r="E540" s="217" t="inlineStr">
        <is>
          <t>ជ្រើសរើសថ្ងៃទាំងអស់ក្នុងខែ</t>
        </is>
      </c>
      <c r="F540" s="217" t="n"/>
      <c r="G540" s="217" t="inlineStr">
        <is>
          <t>ជ្រើសរើសថ្ងៃទាំងអស់ក្នុងខែ</t>
        </is>
      </c>
      <c r="H540" s="217" t="inlineStr">
        <is>
          <t>选择本月所有日期</t>
        </is>
      </c>
      <c r="J540" t="inlineStr">
        <is>
          <t>ជ្រើសរើសថ្ងៃទាំងអស់ក្នុងខែ</t>
        </is>
      </c>
    </row>
    <row r="541">
      <c r="A541" s="217" t="inlineStr">
        <is>
          <t>settingUser.days</t>
        </is>
      </c>
      <c r="B541" s="217" t="inlineStr">
        <is>
          <t>Các ngày</t>
        </is>
      </c>
      <c r="C541" s="217" t="inlineStr">
        <is>
          <t>Days</t>
        </is>
      </c>
      <c r="D541" s="217" t="inlineStr">
        <is>
          <t>ថ្ងៃ</t>
        </is>
      </c>
      <c r="E541" s="217" t="inlineStr">
        <is>
          <t>ថ្ងៃ</t>
        </is>
      </c>
      <c r="F541" s="217" t="n"/>
      <c r="G541" s="217" t="inlineStr">
        <is>
          <t>ថ្ងៃ</t>
        </is>
      </c>
      <c r="H541" s="217" t="inlineStr">
        <is>
          <t>天</t>
        </is>
      </c>
      <c r="J541" t="inlineStr">
        <is>
          <t>ថ្ងៃ</t>
        </is>
      </c>
    </row>
    <row r="542">
      <c r="A542" s="217" t="inlineStr">
        <is>
          <t>settingUser.monthly</t>
        </is>
      </c>
      <c r="B542" s="217" t="inlineStr">
        <is>
          <t>hàng tháng</t>
        </is>
      </c>
      <c r="C542" s="217" t="inlineStr">
        <is>
          <t>Monthly</t>
        </is>
      </c>
      <c r="D542" s="217" t="inlineStr">
        <is>
          <t>រៀងខែ</t>
        </is>
      </c>
      <c r="E542" s="217" t="inlineStr">
        <is>
          <t>រៀងរាល់ខែ</t>
        </is>
      </c>
      <c r="F542" s="217" t="n"/>
      <c r="G542" s="217" t="inlineStr">
        <is>
          <t>រៀងរាល់ខែ</t>
        </is>
      </c>
      <c r="H542" s="217" t="inlineStr">
        <is>
          <t>每月</t>
        </is>
      </c>
      <c r="J542" t="inlineStr">
        <is>
          <t>រៀងរាល់ខែ</t>
        </is>
      </c>
    </row>
    <row r="543">
      <c r="A543" s="217" t="inlineStr">
        <is>
          <t>settingUser.note</t>
        </is>
      </c>
      <c r="B543" s="217" t="inlineStr">
        <is>
          <t>Lưu ý</t>
        </is>
      </c>
      <c r="C543" s="217" t="inlineStr">
        <is>
          <t>Note</t>
        </is>
      </c>
      <c r="D543" s="217" t="inlineStr">
        <is>
          <t>ចំណាំ</t>
        </is>
      </c>
      <c r="E543" s="217" t="inlineStr">
        <is>
          <t>ចំណាំ</t>
        </is>
      </c>
      <c r="F543" s="217" t="n"/>
      <c r="G543" s="217" t="inlineStr">
        <is>
          <t>ចំណាំ</t>
        </is>
      </c>
      <c r="H543" s="217" t="inlineStr">
        <is>
          <t>备注</t>
        </is>
      </c>
      <c r="J543" t="inlineStr">
        <is>
          <t>ចំណាំ</t>
        </is>
      </c>
    </row>
    <row r="544">
      <c r="A544" s="217" t="inlineStr">
        <is>
          <t>settingUser.noteDate</t>
        </is>
      </c>
      <c r="B544" s="217" t="inlineStr">
        <is>
          <t>Khi quý khách chọn ngày 31, đối với những tháng 28, 29 hoặc 30 ngày, hoá đơn sẽ xuất vào cuối mỗi tháng</t>
        </is>
      </c>
      <c r="C544" s="217" t="inlineStr">
        <is>
          <t>If you select the 31st, for months with 28, 29, or 30 days, the invoice will be generated at the end of each month.</t>
        </is>
      </c>
      <c r="D544" s="3" t="inlineStr">
        <is>
          <t>ប្រសិនបើអ្នកជ្រើស 31 សម្រាប់ខែមិនមាន 31 ថ្ងៃ វិក័យបត្រនឹងចេញនៅចុងខែ</t>
        </is>
      </c>
      <c r="E544" s="217" t="inlineStr">
        <is>
          <t>ពេលអ្នកជ្រើសរើសថ្ងៃទី៣១ ជាមួយនឹងខែដែលមានតែ ២៨ ២៩ ៣០ នោះវិក័យប័ត្រនឹងលោតចូលចុងខែនីមួយៗ។</t>
        </is>
      </c>
      <c r="F544" s="217" t="n"/>
      <c r="G544" s="217" t="inlineStr">
        <is>
          <t>ពេលអ្នកជ្រើសរើសថ្ងៃទី៣១ ជាមួយនឹងខែដែលមានតែ ២៨ ២៩ ៣០ នោះវិក័យប័ត្រនឹងលោតចូលចុងខែនីមួយៗ។</t>
        </is>
      </c>
      <c r="H544" s="217" t="inlineStr">
        <is>
          <t>若选择31日，则在仅有28、29或30天的月份中，系统将在当月最后一天生成账单。</t>
        </is>
      </c>
      <c r="J544" t="inlineStr">
        <is>
          <t>ពេលអ្នកជ្រើសរើសថ្ងៃទី៣១ ជាមួយនឹងខែដែលមានតែ ២៨ ២៩ ៣០ នោះវិក័យប័ត្រនឹងលោតចូលចុងខែនីមួយៗ។</t>
        </is>
      </c>
    </row>
    <row r="545">
      <c r="A545" s="217" t="inlineStr">
        <is>
          <t>settingUser.saveSelect</t>
        </is>
      </c>
      <c r="B545" s="217" t="inlineStr">
        <is>
          <t>Lưu tùy chọn</t>
        </is>
      </c>
      <c r="C545" s="217" t="inlineStr">
        <is>
          <t>Save Options</t>
        </is>
      </c>
      <c r="D545" s="217" t="inlineStr">
        <is>
          <t>រក្សាទុកជ្រើសរើស</t>
        </is>
      </c>
      <c r="E545" s="217" t="inlineStr">
        <is>
          <t>រក្សាទុកការជ្រើសរើស</t>
        </is>
      </c>
      <c r="F545" s="217" t="n"/>
      <c r="G545" s="217" t="inlineStr">
        <is>
          <t>រក្សាទុកការជ្រើសរើស</t>
        </is>
      </c>
      <c r="H545" s="217" t="inlineStr">
        <is>
          <t>保存设置</t>
        </is>
      </c>
      <c r="J545" t="inlineStr">
        <is>
          <t>រក្សាទុកការជ្រើសរើស</t>
        </is>
      </c>
    </row>
    <row r="546">
      <c r="A546" s="217" t="inlineStr">
        <is>
          <t>settingUser.constPayment.DEDUCTED_FROM_COD</t>
        </is>
      </c>
      <c r="B546" s="217" t="inlineStr">
        <is>
          <t>Cấn trừ tiền cước phí dịch vụ với tiền COD</t>
        </is>
      </c>
      <c r="C546" s="217" t="inlineStr">
        <is>
          <t>Deduct service fee from COD amount</t>
        </is>
      </c>
      <c r="D546" s="217" t="inlineStr">
        <is>
          <t>កាត់ពីប្រាក់ COD</t>
        </is>
      </c>
      <c r="E546" s="217" t="inlineStr">
        <is>
          <t>ដកថ្លៃសេវាដឹកជញ្ជូនក្នុងប្រាក់ COD</t>
        </is>
      </c>
      <c r="F546" s="217" t="n"/>
      <c r="G546" s="217" t="inlineStr">
        <is>
          <t>ដកថ្លៃសេវាដឹកជញ្ជូនក្នុងប្រាក់ COD</t>
        </is>
      </c>
      <c r="H546" s="217" t="inlineStr">
        <is>
          <t>从代收金额中扣除手续费</t>
        </is>
      </c>
      <c r="J546" t="inlineStr">
        <is>
          <t>ដកថ្លៃសេវាដឹកជញ្ជូនក្នុងប្រាក់ COD</t>
        </is>
      </c>
    </row>
    <row r="547">
      <c r="A547" s="217" t="inlineStr">
        <is>
          <t>settingUser.constPayment.BANK_TRANSFER</t>
        </is>
      </c>
      <c r="B547" s="217" t="inlineStr">
        <is>
          <t>Chuyển khoản</t>
        </is>
      </c>
      <c r="C547" s="217" t="inlineStr">
        <is>
          <t>Bank Transfer</t>
        </is>
      </c>
      <c r="D547" s="217" t="inlineStr">
        <is>
          <t>ផ្ទេរប្រាក់</t>
        </is>
      </c>
      <c r="E547" s="217" t="inlineStr">
        <is>
          <t>ផ្ទេរប្រាក់</t>
        </is>
      </c>
      <c r="F547" s="217" t="n"/>
      <c r="G547" s="217" t="inlineStr">
        <is>
          <t>ផ្ទេរប្រាក់</t>
        </is>
      </c>
      <c r="H547" s="217" t="inlineStr">
        <is>
          <t>银行转账</t>
        </is>
      </c>
      <c r="J547" t="inlineStr">
        <is>
          <t>ផ្ទេរប្រាក់</t>
        </is>
      </c>
    </row>
    <row r="548">
      <c r="A548" s="217" t="inlineStr">
        <is>
          <t>settingUser.validateBillingCycleDayOfMonth</t>
        </is>
      </c>
      <c r="B548" s="217" t="inlineStr">
        <is>
          <t>Vui lòng chọn ít nhất 1 ngày trong tháng</t>
        </is>
      </c>
      <c r="C548" s="217" t="inlineStr">
        <is>
          <t>Please select at least one day in the month</t>
        </is>
      </c>
      <c r="D548" s="3" t="inlineStr">
        <is>
          <t>សូមជ្រើសយ៉ាងហោចណាស់ 1 ថ្ងៃក្នុងខែ</t>
        </is>
      </c>
      <c r="E548" s="217" t="inlineStr">
        <is>
          <t>សូមជ្រើសរើសយ៉ាងតិចមួយថ្ងៃក្នុងខែ</t>
        </is>
      </c>
      <c r="F548" s="217" t="n"/>
      <c r="G548" s="217" t="inlineStr">
        <is>
          <t>សូមជ្រើសរើសយ៉ាងតិចមួយថ្ងៃក្នុងខែ</t>
        </is>
      </c>
      <c r="H548" s="217" t="inlineStr">
        <is>
          <t>请至少选择月内的一个日期</t>
        </is>
      </c>
      <c r="J548" t="inlineStr">
        <is>
          <t>សូមជ្រើសរើសយ៉ាងតិចមួយថ្ងៃក្នុងខែ</t>
        </is>
      </c>
    </row>
    <row r="549">
      <c r="A549" s="217" t="inlineStr">
        <is>
          <t>settingUser.changePassword</t>
        </is>
      </c>
      <c r="B549" s="217" t="inlineStr">
        <is>
          <t>Đổi mật khẩu</t>
        </is>
      </c>
      <c r="C549" s="217">
        <f>IFERROR(__xludf.DUMMYFUNCTION("GOOGLETRANSLATE(B549,""vi"",""en"")"),"Change password")</f>
        <v/>
      </c>
      <c r="D549" s="217" t="inlineStr">
        <is>
          <t>-</t>
        </is>
      </c>
      <c r="E549" s="217" t="inlineStr">
        <is>
          <t>ប្តូរលេខសម្ងាត់</t>
        </is>
      </c>
      <c r="F549" s="217" t="n"/>
      <c r="G549" s="217" t="inlineStr">
        <is>
          <t>ប្តូរលេខសម្ងាត់</t>
        </is>
      </c>
      <c r="H549" s="217" t="inlineStr">
        <is>
          <t>-</t>
        </is>
      </c>
      <c r="J549" t="inlineStr">
        <is>
          <t>ប្តូរលេខសម្ងាត់</t>
        </is>
      </c>
    </row>
    <row r="550">
      <c r="A550" s="217" t="inlineStr">
        <is>
          <t>settingUser.forgetPassword</t>
        </is>
      </c>
      <c r="B550" s="217" t="inlineStr">
        <is>
          <t>Quên mật khẩu hiện tại</t>
        </is>
      </c>
      <c r="C550" s="217">
        <f>IFERROR(__xludf.DUMMYFUNCTION("GOOGLETRANSLATE(B550,""vi"",""en"")"),"Forgot your current password")</f>
        <v/>
      </c>
      <c r="D550" s="217" t="inlineStr">
        <is>
          <t>-</t>
        </is>
      </c>
      <c r="E550" s="217" t="inlineStr">
        <is>
          <t>ភ្លេចពាក្យ សម្ងាត់បច្ចុប្បន្ន</t>
        </is>
      </c>
      <c r="F550" s="217" t="n"/>
      <c r="G550" s="217" t="inlineStr">
        <is>
          <t>ភ្លេចពាក្យ សម្ងាត់បច្ចុប្បន្ន</t>
        </is>
      </c>
      <c r="H550" s="217" t="inlineStr">
        <is>
          <t>-</t>
        </is>
      </c>
      <c r="J550" t="inlineStr">
        <is>
          <t>ភ្លេចពាក្យ សម្ងាត់បច្ចុប្បន្ន</t>
        </is>
      </c>
    </row>
    <row r="551">
      <c r="A551" s="217" t="inlineStr">
        <is>
          <t>settingUser.currentPassword</t>
        </is>
      </c>
      <c r="B551" s="217" t="inlineStr">
        <is>
          <t>Mật khẩu hiện tại</t>
        </is>
      </c>
      <c r="C551" s="217">
        <f>IFERROR(__xludf.DUMMYFUNCTION("GOOGLETRANSLATE(B551,""vi"",""en"")"),"Current password")</f>
        <v/>
      </c>
      <c r="D551" s="217" t="inlineStr">
        <is>
          <t>-</t>
        </is>
      </c>
      <c r="E551" s="217" t="inlineStr">
        <is>
          <t>ពាក្យសម្ងាត់បច្ចុប្បន្ន</t>
        </is>
      </c>
      <c r="F551" s="217" t="n"/>
      <c r="G551" s="217" t="inlineStr">
        <is>
          <t>ពាក្យសម្ងាត់បច្ចុប្បន្ន</t>
        </is>
      </c>
      <c r="H551" s="217" t="inlineStr">
        <is>
          <t>-</t>
        </is>
      </c>
      <c r="J551" t="inlineStr">
        <is>
          <t>ពាក្យសម្ងាត់បច្ចុប្បន្ន</t>
        </is>
      </c>
    </row>
    <row r="552">
      <c r="A552" s="217" t="inlineStr">
        <is>
          <t>settingUser.currentPasswordPlaceholder</t>
        </is>
      </c>
      <c r="B552" s="217" t="inlineStr">
        <is>
          <t>Nhập mật khẩu hiện tại</t>
        </is>
      </c>
      <c r="C552" s="217">
        <f>IFERROR(__xludf.DUMMYFUNCTION("GOOGLETRANSLATE(B552,""vi"",""en"")"),"Enter your current password")</f>
        <v/>
      </c>
      <c r="D552" s="217" t="inlineStr">
        <is>
          <t>-</t>
        </is>
      </c>
      <c r="E552" s="217" t="inlineStr">
        <is>
          <t>បញ្ចូលពាក្យសម្ងាត់បច្ចុប្បន្ន</t>
        </is>
      </c>
      <c r="F552" s="217" t="n"/>
      <c r="G552" s="217" t="inlineStr">
        <is>
          <t>បញ្ចូលពាក្យសម្ងាត់បច្ចុប្បន្ន</t>
        </is>
      </c>
      <c r="H552" s="217" t="inlineStr">
        <is>
          <t>-</t>
        </is>
      </c>
      <c r="J552" t="inlineStr">
        <is>
          <t>បញ្ចូលពាក្យសម្ងាត់បច្ចុប្បន្ន</t>
        </is>
      </c>
    </row>
    <row r="553">
      <c r="A553" s="217" t="inlineStr">
        <is>
          <t>settingUser.newPassword</t>
        </is>
      </c>
      <c r="B553" s="217" t="inlineStr">
        <is>
          <t>Mật khẩu mới</t>
        </is>
      </c>
      <c r="C553" s="217">
        <f>IFERROR(__xludf.DUMMYFUNCTION("GOOGLETRANSLATE(B553,""vi"",""en"")"),"New password")</f>
        <v/>
      </c>
      <c r="D553" s="217" t="inlineStr">
        <is>
          <t>-</t>
        </is>
      </c>
      <c r="E553" s="217" t="inlineStr">
        <is>
          <t>ពាក្យសម្ងាត់ថ្មី</t>
        </is>
      </c>
      <c r="F553" s="217" t="n"/>
      <c r="G553" s="217" t="inlineStr">
        <is>
          <t>ពាក្យសម្ងាត់ថ្មី</t>
        </is>
      </c>
      <c r="H553" s="217" t="inlineStr">
        <is>
          <t>-</t>
        </is>
      </c>
      <c r="J553" t="inlineStr">
        <is>
          <t>ពាក្យសម្ងាត់ថ្មី</t>
        </is>
      </c>
    </row>
    <row r="554">
      <c r="A554" s="217" t="inlineStr">
        <is>
          <t>settingUser.newPasswordPlaceholder</t>
        </is>
      </c>
      <c r="B554" s="217" t="inlineStr">
        <is>
          <t>Nhập mật khẩu mới</t>
        </is>
      </c>
      <c r="C554" s="217">
        <f>IFERROR(__xludf.DUMMYFUNCTION("GOOGLETRANSLATE(B554,""vi"",""en"")"),"Enter new password")</f>
        <v/>
      </c>
      <c r="D554" s="217" t="inlineStr">
        <is>
          <t>-</t>
        </is>
      </c>
      <c r="E554" s="217" t="inlineStr">
        <is>
          <t>បញ្ចូលពាក្យសម្ងាត់ថ្មី</t>
        </is>
      </c>
      <c r="F554" s="217" t="n"/>
      <c r="G554" s="217" t="inlineStr">
        <is>
          <t>បញ្ចូលពាក្យសម្ងាត់ថ្មី</t>
        </is>
      </c>
      <c r="H554" s="217" t="inlineStr">
        <is>
          <t>-</t>
        </is>
      </c>
      <c r="J554" t="inlineStr">
        <is>
          <t>បញ្ចូលពាក្យសម្ងាត់ថ្មី</t>
        </is>
      </c>
    </row>
    <row r="555">
      <c r="A555" s="217" t="inlineStr">
        <is>
          <t>settingUser.confirmPassword</t>
        </is>
      </c>
      <c r="B555" s="217" t="inlineStr">
        <is>
          <t>Xác nhận mật khẩu</t>
        </is>
      </c>
      <c r="C555" s="217">
        <f>IFERROR(__xludf.DUMMYFUNCTION("GOOGLETRANSLATE(B555,""vi"",""en"")"),"Confirm password")</f>
        <v/>
      </c>
      <c r="D555" s="217" t="inlineStr">
        <is>
          <t>-</t>
        </is>
      </c>
      <c r="E555" s="217" t="inlineStr">
        <is>
          <t>បញ្ជាក់ពាក្យសម្ងាត់</t>
        </is>
      </c>
      <c r="F555" s="217" t="n"/>
      <c r="G555" s="217" t="inlineStr">
        <is>
          <t>បញ្ជាក់ពាក្យសម្ងាត់</t>
        </is>
      </c>
      <c r="H555" s="217" t="inlineStr">
        <is>
          <t>-</t>
        </is>
      </c>
      <c r="J555" t="inlineStr">
        <is>
          <t>បញ្ជាក់ពាក្យសម្ងាត់</t>
        </is>
      </c>
    </row>
    <row r="556">
      <c r="A556" s="217" t="inlineStr">
        <is>
          <t>settingUser.confirmPasswordPlaceholder</t>
        </is>
      </c>
      <c r="B556" s="217" t="inlineStr">
        <is>
          <t>Nhập lại mật khẩu mới</t>
        </is>
      </c>
      <c r="C556" s="217">
        <f>IFERROR(__xludf.DUMMYFUNCTION("GOOGLETRANSLATE(B556,""vi"",""en"")"),"Re-enter your new password.")</f>
        <v/>
      </c>
      <c r="D556" s="217" t="inlineStr">
        <is>
          <t>-</t>
        </is>
      </c>
      <c r="E556" s="217" t="inlineStr">
        <is>
          <t>បញ្ចូលពាក្យសម្ងាត់ថ្មីម្តងទៀត</t>
        </is>
      </c>
      <c r="F556" s="217" t="n"/>
      <c r="G556" s="217" t="inlineStr">
        <is>
          <t>បញ្ចូលពាក្យសម្ងាត់ថ្មីម្តងទៀត</t>
        </is>
      </c>
      <c r="H556" s="217" t="inlineStr">
        <is>
          <t>-</t>
        </is>
      </c>
      <c r="J556" t="inlineStr">
        <is>
          <t>បញ្ចូលពាក្យសម្ងាត់ថ្មីម្តងទៀត</t>
        </is>
      </c>
    </row>
    <row r="557">
      <c r="A557" s="217" t="inlineStr">
        <is>
          <t>settingUser.save</t>
        </is>
      </c>
      <c r="B557" s="217" t="inlineStr">
        <is>
          <t>Lưu thay đổi</t>
        </is>
      </c>
      <c r="C557" s="217">
        <f>IFERROR(__xludf.DUMMYFUNCTION("GOOGLETRANSLATE(B557,""vi"",""en"")"),"Save changes")</f>
        <v/>
      </c>
      <c r="D557" s="217" t="inlineStr">
        <is>
          <t>-</t>
        </is>
      </c>
      <c r="E557" s="217" t="inlineStr">
        <is>
          <t>រក្សាទុកការផ្លាស់ប្តូរ</t>
        </is>
      </c>
      <c r="F557" s="217" t="n"/>
      <c r="G557" s="217" t="inlineStr">
        <is>
          <t>រក្សាទុកការផ្លាស់ប្តូរ</t>
        </is>
      </c>
      <c r="H557" s="217" t="inlineStr">
        <is>
          <t>-</t>
        </is>
      </c>
      <c r="J557" t="inlineStr">
        <is>
          <t>រក្សាទុកការផ្លាស់ប្តូរ</t>
        </is>
      </c>
    </row>
    <row r="558">
      <c r="A558" s="217" t="inlineStr">
        <is>
          <t>settingUser.passwordLength</t>
        </is>
      </c>
      <c r="B558" s="217" t="inlineStr">
        <is>
          <t>Độ dài tối thiếu 8 ký tự và tối đa 20 ký tự</t>
        </is>
      </c>
      <c r="C558" s="217">
        <f>IFERROR(__xludf.DUMMYFUNCTION("GOOGLETRANSLATE(B558,""vi"",""en"")"),"Minimum length is 8 characters and maximum is 20 characters.")</f>
        <v/>
      </c>
      <c r="D558" s="217" t="inlineStr">
        <is>
          <t>-</t>
        </is>
      </c>
      <c r="E558" s="217" t="inlineStr">
        <is>
          <t>ប្រវែងតិចបផុត 8 តួអក្សរលេខ និងច្រើនបំផុត 20 តួអក្សរលេខ</t>
        </is>
      </c>
      <c r="F558" s="217" t="n"/>
      <c r="G558" s="217" t="inlineStr">
        <is>
          <t>ប្រវែងតិចបផុត 8 តួអក្សរលេខ និងច្រើនបំផុត 20 តួអក្សរលេខ</t>
        </is>
      </c>
      <c r="H558" s="217" t="inlineStr">
        <is>
          <t>-</t>
        </is>
      </c>
      <c r="J558" t="inlineStr">
        <is>
          <t>ប្រវែងតិចបផុត 8 តួអក្សរលេខ និងច្រើនបំផុត 20 តួអក្សរលេខ</t>
        </is>
      </c>
    </row>
    <row r="559">
      <c r="A559" s="217" t="inlineStr">
        <is>
          <t>settingUser.passwordAccept</t>
        </is>
      </c>
      <c r="B559" s="217" t="inlineStr">
        <is>
          <t>Gồm ký tự số và chữ</t>
        </is>
      </c>
      <c r="C559" s="217">
        <f>IFERROR(__xludf.DUMMYFUNCTION("GOOGLETRANSLATE(B559,""vi"",""en"")"),"Consists of both numbers and letters.")</f>
        <v/>
      </c>
      <c r="D559" s="217" t="inlineStr">
        <is>
          <t>-</t>
        </is>
      </c>
      <c r="E559" s="217" t="inlineStr">
        <is>
          <t>រួមបញ្ចូលទាំងអក្សរ និងលេខ</t>
        </is>
      </c>
      <c r="F559" s="217" t="n"/>
      <c r="G559" s="217" t="inlineStr">
        <is>
          <t>រួមបញ្ចូលទាំងអក្សរ និងលេខ</t>
        </is>
      </c>
      <c r="H559" s="217" t="inlineStr">
        <is>
          <t>-</t>
        </is>
      </c>
      <c r="J559" t="inlineStr">
        <is>
          <t>រួមបញ្ចូលទាំងអក្សរ និងលេខ</t>
        </is>
      </c>
    </row>
    <row r="560">
      <c r="A560" s="217" t="inlineStr">
        <is>
          <t>settingUser.overlap</t>
        </is>
      </c>
      <c r="B560" s="217" t="inlineStr">
        <is>
          <t>Mật khẩu mới không được trùng với mật khẩu cũ</t>
        </is>
      </c>
      <c r="C560" s="217">
        <f>IFERROR(__xludf.DUMMYFUNCTION("GOOGLETRANSLATE(B560,""vi"",""en"")"),"The new password must not be the same as the old password.")</f>
        <v/>
      </c>
      <c r="D560" s="217" t="inlineStr">
        <is>
          <t>-</t>
        </is>
      </c>
      <c r="E560" s="217" t="inlineStr">
        <is>
          <t>ពាក្យសម្ងាត់ថ្មី្មមិនអាចជាន់គ្នាជាមួយពាក្យសម្ងាត់ចាស់បានទេ</t>
        </is>
      </c>
      <c r="F560" s="217" t="n"/>
      <c r="G560" s="217" t="inlineStr">
        <is>
          <t>ពាក្យសម្ងាត់ថ្មី្មមិនអាចជាន់គ្នាជាមួយពាក្យសម្ងាត់ចាស់បានទេ</t>
        </is>
      </c>
      <c r="H560" s="217" t="inlineStr">
        <is>
          <t>-</t>
        </is>
      </c>
      <c r="J560" t="inlineStr">
        <is>
          <t>ពាក្យសម្ងាត់ថ្មី្មមិនអាចជាន់គ្នាជាមួយពាក្យសម្ងាត់ចាស់បានទេ</t>
        </is>
      </c>
    </row>
    <row r="561">
      <c r="A561" s="217" t="inlineStr">
        <is>
          <t>settingUser.passwordWrong</t>
        </is>
      </c>
      <c r="B561" s="217" t="inlineStr">
        <is>
          <t>Mật khẩu không đúng quy tắc</t>
        </is>
      </c>
      <c r="C561" s="217">
        <f>IFERROR(__xludf.DUMMYFUNCTION("GOOGLETRANSLATE(B561,""vi"",""en"")"),"The password is incorrect.")</f>
        <v/>
      </c>
      <c r="D561" s="217" t="inlineStr">
        <is>
          <t>-</t>
        </is>
      </c>
      <c r="E561" s="217" t="inlineStr">
        <is>
          <t>ពាក្យសម្ងាត់មិនត្រឹមត្រូវតាមលក្ខខណ្ឌ</t>
        </is>
      </c>
      <c r="F561" s="217" t="n"/>
      <c r="G561" s="217" t="inlineStr">
        <is>
          <t>ពាក្យសម្ងាត់មិនត្រឹមត្រូវតាមលក្ខខណ្ឌ</t>
        </is>
      </c>
      <c r="H561" s="217" t="inlineStr">
        <is>
          <t>-</t>
        </is>
      </c>
      <c r="J561" t="inlineStr">
        <is>
          <t>ពាក្យសម្ងាត់មិនត្រឹមត្រូវតាមលក្ខខណ្ឌ</t>
        </is>
      </c>
    </row>
    <row r="562">
      <c r="A562" s="217" t="inlineStr">
        <is>
          <t>settingUser.confirmPasswordWrong</t>
        </is>
      </c>
      <c r="B562" s="217" t="inlineStr">
        <is>
          <t>Xác nhận mật khẩu không chính xác</t>
        </is>
      </c>
      <c r="C562" s="217">
        <f>IFERROR(__xludf.DUMMYFUNCTION("GOOGLETRANSLATE(B562,""vi"",""en"")"),"Password confirmation is incorrect.")</f>
        <v/>
      </c>
      <c r="D562" s="217" t="inlineStr">
        <is>
          <t>-</t>
        </is>
      </c>
      <c r="E562" s="217" t="inlineStr">
        <is>
          <t>បញ្ជាក់ពាក្យសម្ងាត់មិនត្រឹមត្រូវ</t>
        </is>
      </c>
      <c r="F562" s="217" t="n"/>
      <c r="G562" s="217" t="inlineStr">
        <is>
          <t>បញ្ជាក់ពាក្យសម្ងាត់មិនត្រឹមត្រូវ</t>
        </is>
      </c>
      <c r="H562" s="217" t="inlineStr">
        <is>
          <t>-</t>
        </is>
      </c>
      <c r="J562" t="inlineStr">
        <is>
          <t>បញ្ជាក់ពាក្យសម្ងាត់មិនត្រឹមត្រូវ</t>
        </is>
      </c>
    </row>
    <row r="563">
      <c r="A563" s="217" t="inlineStr">
        <is>
          <t>settingUser.passwordInvalid</t>
        </is>
      </c>
      <c r="B563" s="217" t="inlineStr">
        <is>
          <t>Mật khẩu không chính xác</t>
        </is>
      </c>
      <c r="C563" s="217">
        <f>IFERROR(__xludf.DUMMYFUNCTION("GOOGLETRANSLATE(B563,""vi"",""en"")"),"Incorrect password")</f>
        <v/>
      </c>
      <c r="D563" s="217" t="inlineStr">
        <is>
          <t>-</t>
        </is>
      </c>
      <c r="E563" s="217" t="inlineStr">
        <is>
          <t>ពាក្យសម្ងាត់មិនត្រឹមត្រូវ</t>
        </is>
      </c>
      <c r="F563" s="217" t="n"/>
      <c r="G563" s="217" t="inlineStr">
        <is>
          <t>ពាក្យសម្ងាត់មិនត្រឹមត្រូវ</t>
        </is>
      </c>
      <c r="H563" s="217" t="inlineStr">
        <is>
          <t>-</t>
        </is>
      </c>
      <c r="J563" t="inlineStr">
        <is>
          <t>ពាក្យសម្ងាត់មិនត្រឹមត្រូវ</t>
        </is>
      </c>
    </row>
    <row r="564">
      <c r="A564" s="217" t="inlineStr">
        <is>
          <t>settingUser.confirmOtp</t>
        </is>
      </c>
      <c r="B564" s="217" t="inlineStr">
        <is>
          <t>Xác nhận OTP</t>
        </is>
      </c>
      <c r="C564" s="217">
        <f>IFERROR(__xludf.DUMMYFUNCTION("GOOGLETRANSLATE(B564,""vi"",""en"")"),"OTP Confirmation")</f>
        <v/>
      </c>
      <c r="D564" s="217" t="inlineStr">
        <is>
          <t>-</t>
        </is>
      </c>
      <c r="E564" s="217" t="inlineStr">
        <is>
          <t>បញ្ជាក់ OTP</t>
        </is>
      </c>
      <c r="F564" s="217" t="n"/>
      <c r="G564" s="217" t="inlineStr">
        <is>
          <t>បញ្ជាក់ OTP</t>
        </is>
      </c>
      <c r="H564" s="217" t="inlineStr">
        <is>
          <t>-</t>
        </is>
      </c>
      <c r="J564" t="inlineStr">
        <is>
          <t>បញ្ជាក់ OTP</t>
        </is>
      </c>
    </row>
    <row r="565">
      <c r="A565" s="217" t="inlineStr">
        <is>
          <t>settingUser.titleOtp</t>
        </is>
      </c>
      <c r="B565" s="217" t="inlineStr">
        <is>
          <t>Nhập OTP vừa được gửi tới số điện thoại</t>
        </is>
      </c>
      <c r="C565" s="217">
        <f>IFERROR(__xludf.DUMMYFUNCTION("GOOGLETRANSLATE(B565,""vi"",""en"")"),"Enter the OTP that was just sent to your phone number.")</f>
        <v/>
      </c>
      <c r="D565" s="217" t="inlineStr">
        <is>
          <t>-</t>
        </is>
      </c>
      <c r="E565" s="217" t="inlineStr">
        <is>
          <t>បញ្ចូល OTP ដែលទើបតែបានផ្ញើទៅកាន់លេខទូរស័ព្ទ</t>
        </is>
      </c>
      <c r="F565" s="217" t="n"/>
      <c r="G565" s="217" t="inlineStr">
        <is>
          <t>បញ្ចូល OTP ដែលទើបតែបានផ្ញើទៅកាន់លេខទូរស័ព្ទ</t>
        </is>
      </c>
      <c r="H565" s="217" t="inlineStr">
        <is>
          <t>-</t>
        </is>
      </c>
      <c r="J565" t="inlineStr">
        <is>
          <t>បញ្ចូល OTP ដែលទើបតែបានផ្ញើទៅកាន់លេខទូរស័ព្ទ</t>
        </is>
      </c>
    </row>
    <row r="566">
      <c r="A566" s="217" t="inlineStr">
        <is>
          <t>settingUser.changePassSuccess</t>
        </is>
      </c>
      <c r="B566" s="217" t="inlineStr">
        <is>
          <t>Đổi mật khẩu thành công</t>
        </is>
      </c>
      <c r="C566" s="217">
        <f>IFERROR(__xludf.DUMMYFUNCTION("GOOGLETRANSLATE(B566,""vi"",""en"")"),"Password changed successfully.")</f>
        <v/>
      </c>
      <c r="D566" s="217" t="inlineStr">
        <is>
          <t>-</t>
        </is>
      </c>
      <c r="E566" s="217" t="inlineStr">
        <is>
          <t>ប្តូរពាក្យសម្ងាត់បានជោគជ័យ</t>
        </is>
      </c>
      <c r="F566" s="217" t="n"/>
      <c r="G566" s="217" t="inlineStr">
        <is>
          <t>ប្តូរពាក្យសម្ងាត់បានជោគជ័យ</t>
        </is>
      </c>
      <c r="H566" s="217" t="inlineStr">
        <is>
          <t>-</t>
        </is>
      </c>
      <c r="J566" t="inlineStr">
        <is>
          <t>ប្តូរពាក្យសម្ងាត់បានជោគជ័យ</t>
        </is>
      </c>
    </row>
    <row r="567">
      <c r="A567" s="217" t="inlineStr">
        <is>
          <t>settingUser.updatePassSuccess</t>
        </is>
      </c>
      <c r="B567" s="217" t="inlineStr">
        <is>
          <t>Cập nhật mật khẩu thành công</t>
        </is>
      </c>
      <c r="C567" s="217">
        <f>IFERROR(__xludf.DUMMYFUNCTION("GOOGLETRANSLATE(B567,""vi"",""en"")"),"Password updated successfully.")</f>
        <v/>
      </c>
      <c r="D567" s="217" t="inlineStr">
        <is>
          <t>-</t>
        </is>
      </c>
      <c r="E567" s="217" t="inlineStr">
        <is>
          <t>អាប់ដេតពាក្យសម្ងាត់បានជោគជ័យ</t>
        </is>
      </c>
      <c r="F567" s="217" t="n"/>
      <c r="G567" s="217" t="inlineStr">
        <is>
          <t>អាប់ដេតពាក្យសម្ងាត់បានជោគជ័យ</t>
        </is>
      </c>
      <c r="H567" s="217" t="inlineStr">
        <is>
          <t>-</t>
        </is>
      </c>
      <c r="J567" t="inlineStr">
        <is>
          <t>អាប់ដេតពាក្យសម្ងាត់បានជោគជ័យ</t>
        </is>
      </c>
    </row>
    <row r="568">
      <c r="A568" s="217" t="inlineStr">
        <is>
          <t>settingUser.updatePassFail</t>
        </is>
      </c>
      <c r="B568" s="217" t="inlineStr">
        <is>
          <t>Cập nhật mật khẩu thất bại</t>
        </is>
      </c>
      <c r="C568" s="217">
        <f>IFERROR(__xludf.DUMMYFUNCTION("GOOGLETRANSLATE(B568,""vi"",""en"")"),"Password update failed.")</f>
        <v/>
      </c>
      <c r="D568" s="217" t="inlineStr">
        <is>
          <t>-</t>
        </is>
      </c>
      <c r="E568" s="217" t="inlineStr">
        <is>
          <t>អាប់ដេតពាក្យសម្ងាត់មិនបានជោគជ័យ</t>
        </is>
      </c>
      <c r="F568" s="217" t="n"/>
      <c r="G568" s="217" t="inlineStr">
        <is>
          <t>អាប់ដេតពាក្យសម្ងាត់មិនបានជោគជ័យ</t>
        </is>
      </c>
      <c r="H568" s="217" t="inlineStr">
        <is>
          <t>-</t>
        </is>
      </c>
      <c r="J568" t="inlineStr">
        <is>
          <t>អាប់ដេតពាក្យសម្ងាត់មិនបានជោគជ័យ</t>
        </is>
      </c>
    </row>
    <row r="569">
      <c r="A569" s="217" t="inlineStr">
        <is>
          <t>settingUser.otpExpired</t>
        </is>
      </c>
      <c r="B569" s="217" t="inlineStr">
        <is>
          <t>Mã OTP đã hết hạn</t>
        </is>
      </c>
      <c r="C569" s="217">
        <f>IFERROR(__xludf.DUMMYFUNCTION("GOOGLETRANSLATE(B569,""vi"",""en"")"),"The OTP code has expired.")</f>
        <v/>
      </c>
      <c r="D569" s="217" t="inlineStr">
        <is>
          <t>-</t>
        </is>
      </c>
      <c r="E569" s="217" t="inlineStr">
        <is>
          <t>លេខកូដ OTP បានផុតកំណត់</t>
        </is>
      </c>
      <c r="F569" s="217" t="n"/>
      <c r="G569" s="217" t="inlineStr">
        <is>
          <t>លេខកូដ OTP បានផុតកំណត់</t>
        </is>
      </c>
      <c r="H569" s="217" t="inlineStr">
        <is>
          <t>-</t>
        </is>
      </c>
      <c r="J569" t="inlineStr">
        <is>
          <t>លេខកូដ OTP បានផុតកំណត់</t>
        </is>
      </c>
    </row>
    <row r="570">
      <c r="A570" s="217" t="inlineStr">
        <is>
          <t>statistical.today</t>
        </is>
      </c>
      <c r="B570" s="217" t="inlineStr">
        <is>
          <t>Hôm nay</t>
        </is>
      </c>
      <c r="C570" s="217" t="inlineStr">
        <is>
          <t>Today</t>
        </is>
      </c>
      <c r="D570" s="217" t="inlineStr">
        <is>
          <t>ថ្ងៃនេះ</t>
        </is>
      </c>
      <c r="E570" s="217" t="inlineStr">
        <is>
          <t>ថ្ងៃនេះ</t>
        </is>
      </c>
      <c r="F570" s="217" t="n"/>
      <c r="G570" s="217" t="inlineStr">
        <is>
          <t>ថ្ងៃនេះ</t>
        </is>
      </c>
      <c r="H570" s="217" t="inlineStr">
        <is>
          <t>今天</t>
        </is>
      </c>
      <c r="J570" t="inlineStr">
        <is>
          <t>ថ្ងៃនេះ</t>
        </is>
      </c>
    </row>
    <row r="571">
      <c r="A571" s="217" t="inlineStr">
        <is>
          <t>statistical.yesterday</t>
        </is>
      </c>
      <c r="B571" s="217" t="inlineStr">
        <is>
          <t>Hôm qua</t>
        </is>
      </c>
      <c r="C571" s="217" t="inlineStr">
        <is>
          <t>Yesterday</t>
        </is>
      </c>
      <c r="D571" s="217" t="inlineStr">
        <is>
          <t>ម្សិលមិញ</t>
        </is>
      </c>
      <c r="E571" s="217" t="inlineStr">
        <is>
          <t>ម្សិលមិញ</t>
        </is>
      </c>
      <c r="F571" s="217" t="n"/>
      <c r="G571" s="217" t="inlineStr">
        <is>
          <t>ម្សិលមិញ</t>
        </is>
      </c>
      <c r="H571" s="217" t="inlineStr">
        <is>
          <t>昨天</t>
        </is>
      </c>
      <c r="J571" t="inlineStr">
        <is>
          <t>ម្សិលមិញ</t>
        </is>
      </c>
    </row>
    <row r="572">
      <c r="A572" s="217" t="inlineStr">
        <is>
          <t>statistical.last7Days</t>
        </is>
      </c>
      <c r="B572" s="217" t="inlineStr">
        <is>
          <t>7 ngày trước</t>
        </is>
      </c>
      <c r="C572" s="217" t="inlineStr">
        <is>
          <t>Last 7 Days</t>
        </is>
      </c>
      <c r="D572" s="217" t="inlineStr">
        <is>
          <t>7 ថ្ងៃចុងក្រោយ</t>
        </is>
      </c>
      <c r="E572" s="217" t="inlineStr">
        <is>
          <t>7 ថ្ងៃមុន</t>
        </is>
      </c>
      <c r="F572" s="217" t="n"/>
      <c r="G572" s="217" t="inlineStr">
        <is>
          <t>7 ថ្ងៃមុន</t>
        </is>
      </c>
      <c r="H572" s="217" t="inlineStr">
        <is>
          <t>过去7天</t>
        </is>
      </c>
      <c r="J572" t="inlineStr">
        <is>
          <t>7 ថ្ងៃមុន</t>
        </is>
      </c>
    </row>
    <row r="573">
      <c r="A573" s="217" t="inlineStr">
        <is>
          <t>statistical.last14Days</t>
        </is>
      </c>
      <c r="B573" s="217" t="inlineStr">
        <is>
          <t>14 ngày trước</t>
        </is>
      </c>
      <c r="C573" s="217" t="inlineStr">
        <is>
          <t>Last 14 Days</t>
        </is>
      </c>
      <c r="D573" s="217" t="inlineStr">
        <is>
          <t>14 ថ្ងៃចុងក្រោយ</t>
        </is>
      </c>
      <c r="E573" s="217" t="inlineStr">
        <is>
          <t>14 ថ្ងៃមុន</t>
        </is>
      </c>
      <c r="F573" s="217" t="n"/>
      <c r="G573" s="217" t="inlineStr">
        <is>
          <t>14 ថ្ងៃមុន</t>
        </is>
      </c>
      <c r="H573" s="217" t="inlineStr">
        <is>
          <t>过去14天</t>
        </is>
      </c>
      <c r="J573" t="inlineStr">
        <is>
          <t>14 ថ្ងៃមុន</t>
        </is>
      </c>
    </row>
    <row r="574">
      <c r="A574" s="217" t="inlineStr">
        <is>
          <t>statistical.last30Days</t>
        </is>
      </c>
      <c r="B574" s="217" t="inlineStr">
        <is>
          <t>30 ngày trước</t>
        </is>
      </c>
      <c r="C574" s="217" t="inlineStr">
        <is>
          <t>Last 30 Days</t>
        </is>
      </c>
      <c r="D574" s="217" t="inlineStr">
        <is>
          <t>30 ថ្ងៃចុងក្រោយ</t>
        </is>
      </c>
      <c r="E574" s="217" t="inlineStr">
        <is>
          <t>30 ថ្ងៃមុន</t>
        </is>
      </c>
      <c r="F574" s="217" t="n"/>
      <c r="G574" s="217" t="inlineStr">
        <is>
          <t>30 ថ្ងៃមុន</t>
        </is>
      </c>
      <c r="H574" s="217" t="inlineStr">
        <is>
          <t>过去30天</t>
        </is>
      </c>
      <c r="J574" t="inlineStr">
        <is>
          <t>30 ថ្ងៃមុន</t>
        </is>
      </c>
    </row>
    <row r="575">
      <c r="A575" s="217" t="inlineStr">
        <is>
          <t>statistical.thisMonth</t>
        </is>
      </c>
      <c r="B575" s="217" t="inlineStr">
        <is>
          <t>Tháng này</t>
        </is>
      </c>
      <c r="C575" s="217" t="inlineStr">
        <is>
          <t>This Month</t>
        </is>
      </c>
      <c r="D575" s="217" t="inlineStr">
        <is>
          <t>ខែនេះ</t>
        </is>
      </c>
      <c r="E575" s="217" t="inlineStr">
        <is>
          <t>ខែនេះ</t>
        </is>
      </c>
      <c r="F575" s="217" t="n"/>
      <c r="G575" s="217" t="inlineStr">
        <is>
          <t>ខែនេះ</t>
        </is>
      </c>
      <c r="H575" s="217" t="inlineStr">
        <is>
          <t>本月</t>
        </is>
      </c>
      <c r="J575" t="inlineStr">
        <is>
          <t>ខែនេះ</t>
        </is>
      </c>
    </row>
    <row r="576">
      <c r="A576" s="217" t="inlineStr">
        <is>
          <t>statistical.lastWeek</t>
        </is>
      </c>
      <c r="B576" s="217" t="inlineStr">
        <is>
          <t>Tuần trước</t>
        </is>
      </c>
      <c r="C576" s="217" t="inlineStr">
        <is>
          <t>Last Week</t>
        </is>
      </c>
      <c r="D576" s="217" t="inlineStr">
        <is>
          <t>សប្ដាហ៍មុន</t>
        </is>
      </c>
      <c r="E576" s="217" t="inlineStr">
        <is>
          <t>សប្តាហ៍មុន</t>
        </is>
      </c>
      <c r="F576" s="217" t="n"/>
      <c r="G576" s="217" t="inlineStr">
        <is>
          <t>សប្តាហ៍មុន</t>
        </is>
      </c>
      <c r="H576" s="217" t="inlineStr">
        <is>
          <t>上周</t>
        </is>
      </c>
      <c r="J576" t="inlineStr">
        <is>
          <t>សប្តាហ៍មុន</t>
        </is>
      </c>
    </row>
    <row r="577">
      <c r="A577" s="217" t="inlineStr">
        <is>
          <t>statistical.lastMonth</t>
        </is>
      </c>
      <c r="B577" s="217" t="inlineStr">
        <is>
          <t>Tháng trước</t>
        </is>
      </c>
      <c r="C577" s="217" t="inlineStr">
        <is>
          <t>Last Month</t>
        </is>
      </c>
      <c r="D577" s="217" t="inlineStr">
        <is>
          <t>ខែមុន</t>
        </is>
      </c>
      <c r="E577" s="217" t="inlineStr">
        <is>
          <t>ខែមុន</t>
        </is>
      </c>
      <c r="F577" s="217" t="n"/>
      <c r="G577" s="217" t="inlineStr">
        <is>
          <t>ខែមុន</t>
        </is>
      </c>
      <c r="H577" s="217" t="inlineStr">
        <is>
          <t>上月</t>
        </is>
      </c>
      <c r="J577" t="inlineStr">
        <is>
          <t>ខែមុន</t>
        </is>
      </c>
    </row>
    <row r="578">
      <c r="A578" s="217" t="inlineStr">
        <is>
          <t>statistical.orderCountLabel</t>
        </is>
      </c>
      <c r="B578" s="217" t="inlineStr">
        <is>
          <t>Số lượng đơn</t>
        </is>
      </c>
      <c r="C578" s="217" t="inlineStr">
        <is>
          <t>Order Count</t>
        </is>
      </c>
      <c r="D578" s="217" t="inlineStr">
        <is>
          <t>ចំនួនបញ្ជា</t>
        </is>
      </c>
      <c r="E578" s="217" t="inlineStr">
        <is>
          <t>ចំនួនបុងបញ្ញើ</t>
        </is>
      </c>
      <c r="F578" s="217" t="n"/>
      <c r="G578" s="217" t="inlineStr">
        <is>
          <t>ចំនួនបុងបញ្ញើ</t>
        </is>
      </c>
      <c r="H578" s="217" t="inlineStr">
        <is>
          <t>订单笔数</t>
        </is>
      </c>
      <c r="J578" t="inlineStr">
        <is>
          <t>ចំនួនបុងបញ្ញើ</t>
        </is>
      </c>
    </row>
    <row r="579">
      <c r="A579" s="217" t="inlineStr">
        <is>
          <t>statistical.orderCount</t>
        </is>
      </c>
      <c r="B579" s="217" t="inlineStr">
        <is>
          <t>Số đơn</t>
        </is>
      </c>
      <c r="C579" s="217" t="inlineStr">
        <is>
          <t>Number of Orders</t>
        </is>
      </c>
      <c r="D579" s="217" t="inlineStr">
        <is>
          <t>ចំនួនបញ្ជា</t>
        </is>
      </c>
      <c r="E579" s="217" t="inlineStr">
        <is>
          <t>លេខបុងបញ្ញើ</t>
        </is>
      </c>
      <c r="F579" s="217" t="n"/>
      <c r="G579" s="217" t="inlineStr">
        <is>
          <t>លេខបុងបញ្ញើ</t>
        </is>
      </c>
      <c r="H579" s="217" t="inlineStr">
        <is>
          <t>订单数量</t>
        </is>
      </c>
      <c r="J579" t="inlineStr">
        <is>
          <t>លេខបុងបញ្ញើ</t>
        </is>
      </c>
    </row>
    <row r="580">
      <c r="A580" s="217" t="inlineStr">
        <is>
          <t>statistical.codAmount</t>
        </is>
      </c>
      <c r="B580" s="217" t="inlineStr">
        <is>
          <t>Tiền thu hộ ({{current}})</t>
        </is>
      </c>
      <c r="C580" s="217" t="inlineStr">
        <is>
          <t>COD Amount ({{current}})</t>
        </is>
      </c>
      <c r="D580" s="217" t="inlineStr">
        <is>
          <t>ទឹកប្រាក់ COD ({{current}})</t>
        </is>
      </c>
      <c r="E580" s="217" t="inlineStr">
        <is>
          <t>ប្រាក់ COD ({{current}})</t>
        </is>
      </c>
      <c r="F580" s="217" t="n"/>
      <c r="G580" s="217" t="inlineStr">
        <is>
          <t>ប្រាក់ COD ({{current}})</t>
        </is>
      </c>
      <c r="H580" s="217" t="inlineStr">
        <is>
          <t>代收货款金额 ({{current}})</t>
        </is>
      </c>
      <c r="J580" t="inlineStr">
        <is>
          <t>ប្រាក់ COD ({{current}})</t>
        </is>
      </c>
    </row>
    <row r="581">
      <c r="A581" s="217" t="inlineStr">
        <is>
          <t>statistical.shippingFee</t>
        </is>
      </c>
      <c r="B581" s="217" t="inlineStr">
        <is>
          <t>Tiền cước ({{current}})</t>
        </is>
      </c>
      <c r="C581" s="217" t="inlineStr">
        <is>
          <t>Shipping Fee ({{current}})</t>
        </is>
      </c>
      <c r="D581" s="217" t="inlineStr">
        <is>
          <t>ថ្លៃដឹកជញ្ជូន ({{current}})</t>
        </is>
      </c>
      <c r="E581" s="217" t="inlineStr">
        <is>
          <t>ថ្លៃសេវា ({{current}})</t>
        </is>
      </c>
      <c r="F581" s="217" t="n"/>
      <c r="G581" s="217" t="inlineStr">
        <is>
          <t>ថ្លៃសេវា ({{current}})</t>
        </is>
      </c>
      <c r="H581" s="217" t="inlineStr">
        <is>
          <t>运费金额 ({{current}})</t>
        </is>
      </c>
      <c r="J581" t="inlineStr">
        <is>
          <t>ថ្លៃសេវា ({{current}})</t>
        </is>
      </c>
    </row>
    <row r="582">
      <c r="A582" s="217" t="inlineStr">
        <is>
          <t>statistical.otherStatus</t>
        </is>
      </c>
      <c r="B582" s="217" t="inlineStr">
        <is>
          <t>Thống kê các đơn hàng chưa được tiếp nhận thành công</t>
        </is>
      </c>
      <c r="C582" s="217" t="inlineStr">
        <is>
          <t>Statistics of orders that have not been successfully received.</t>
        </is>
      </c>
      <c r="D582" s="3" t="inlineStr">
        <is>
          <t>ស្ថានភាពផ្សេងទៀត: ស្ថានភាពនេះមិនត្រូវបានគូរចូលក្នុងសរុបថ្លៃ និង COD</t>
        </is>
      </c>
      <c r="E582" s="217" t="inlineStr">
        <is>
          <t>ធ្វើស្ថិតិរាល់បុងបញ្ញើដែលមិនទាន់ទទួលបានជោគជ័យ</t>
        </is>
      </c>
      <c r="F582" s="217" t="n"/>
      <c r="G582" s="217" t="inlineStr">
        <is>
          <t>ធ្វើស្ថិតិរាល់បុងបញ្ញើដែលមិនទាន់ទទួលបានជោគជ័យ</t>
        </is>
      </c>
      <c r="H582" s="217" t="inlineStr">
        <is>
          <t>其他状态：此状态下的订单不计入总运费和总代收货款。</t>
        </is>
      </c>
      <c r="J582" t="inlineStr">
        <is>
          <t>ធ្វើស្ថិតិរាល់បុងបញ្ញើដែលមិនទាន់ទទួលបានជោគជ័យ</t>
        </is>
      </c>
    </row>
    <row r="583">
      <c r="A583" s="217" t="inlineStr">
        <is>
          <t>statistical.moneyByStatus</t>
        </is>
      </c>
      <c r="B583" s="217" t="inlineStr">
        <is>
          <t>Tiền hàng theo trạng thái</t>
        </is>
      </c>
      <c r="C583" s="217" t="inlineStr">
        <is>
          <t>Money by Status</t>
        </is>
      </c>
      <c r="D583" s="217" t="inlineStr">
        <is>
          <t>ប្រាក់តាមស្ថានភាព</t>
        </is>
      </c>
      <c r="E583" s="217" t="inlineStr">
        <is>
          <t>ថ្លៃអីវ៉ាន់តាមស្ថានភាព</t>
        </is>
      </c>
      <c r="F583" s="217" t="n"/>
      <c r="G583" s="217" t="inlineStr">
        <is>
          <t>ថ្លៃអីវ៉ាន់តាមស្ថានភាព</t>
        </is>
      </c>
      <c r="H583" s="217" t="inlineStr">
        <is>
          <t>按状态统计金额</t>
        </is>
      </c>
      <c r="J583" t="inlineStr">
        <is>
          <t>ថ្លៃអីវ៉ាន់តាមស្ថានភាព</t>
        </is>
      </c>
    </row>
    <row r="584">
      <c r="A584" s="217" t="inlineStr">
        <is>
          <t>statistical.bySentDate</t>
        </is>
      </c>
      <c r="B584" s="217" t="inlineStr">
        <is>
          <t>Tính theo ngày gửi</t>
        </is>
      </c>
      <c r="C584" s="217" t="inlineStr">
        <is>
          <t>Calculated by Sent Date</t>
        </is>
      </c>
      <c r="D584" s="217" t="inlineStr">
        <is>
          <t>គណនាដោយថ្ងៃផ្ញើ</t>
        </is>
      </c>
      <c r="E584" s="217" t="inlineStr">
        <is>
          <t>គិតតាមថ្ងៃផ្ញើ</t>
        </is>
      </c>
      <c r="F584" s="217" t="n"/>
      <c r="G584" s="217" t="inlineStr">
        <is>
          <t>គិតតាមថ្ងៃផ្ញើ</t>
        </is>
      </c>
      <c r="H584" s="217" t="inlineStr">
        <is>
          <t>按发出日期统计</t>
        </is>
      </c>
      <c r="J584" t="inlineStr">
        <is>
          <t>គិតតាមថ្ងៃផ្ញើ</t>
        </is>
      </c>
    </row>
    <row r="585">
      <c r="A585" s="217" t="inlineStr">
        <is>
          <t>statistical.statusExplanation</t>
        </is>
      </c>
      <c r="B585" s="217" t="inlineStr">
        <is>
          <t>Thống kê các đơn hàng đã được tiếp nhận thành công</t>
        </is>
      </c>
      <c r="C585" s="217" t="inlineStr">
        <is>
          <t>Statistics of orders that have been successfully received.</t>
        </is>
      </c>
      <c r="D585" s="3" t="inlineStr">
        <is>
          <t>ស្ថិតិបញ្ជាទិញដោយស្ថានភាព: {{status}}</t>
        </is>
      </c>
      <c r="E585" s="217" t="inlineStr">
        <is>
          <t>ធ្វើស្ថិ្ថតិរាល់បុងបញ្ញើដែលបានទទួលដោយជោគជ័យ</t>
        </is>
      </c>
      <c r="F585" s="217" t="n"/>
      <c r="G585" s="217" t="inlineStr">
        <is>
          <t>ធ្វើស្ថិ្ថតិរាល់បុងបញ្ញើដែលបានទទួលដោយជោគជ័យ</t>
        </is>
      </c>
      <c r="H585" s="217" t="inlineStr">
        <is>
          <t>以下状态订单统计：{{status}}</t>
        </is>
      </c>
      <c r="J585" t="inlineStr">
        <is>
          <t>ធ្វើស្ថិ្ថតិរាល់បុងបញ្ញើដែលបានទទួលដោយជោគជ័យ</t>
        </is>
      </c>
    </row>
    <row r="586">
      <c r="A586" s="217" t="inlineStr">
        <is>
          <t>statistical.codIncludesShipping</t>
        </is>
      </c>
      <c r="B586" s="217" t="inlineStr">
        <is>
          <t>COD bao gồm tiền cước người nhận trả</t>
        </is>
      </c>
      <c r="C586" s="217" t="inlineStr">
        <is>
          <t>COD includes recipient's shipping fee</t>
        </is>
      </c>
      <c r="D586" s="217" t="inlineStr">
        <is>
          <t>COD រួមបញ្ចូលថ្លៃដឹកជញ្ជូន</t>
        </is>
      </c>
      <c r="E586" s="217" t="inlineStr">
        <is>
          <t>COD រួមបញ្ចូលទាំងថ្លៃសេវាអ្នកទទួលជាអ្នកចេញ</t>
        </is>
      </c>
      <c r="F586" s="217" t="n"/>
      <c r="G586" s="217" t="inlineStr">
        <is>
          <t>COD រួមបញ្ចូលទាំងថ្លៃសេវាអ្នកទទួលជាអ្នកចេញ</t>
        </is>
      </c>
      <c r="H586" s="217" t="inlineStr">
        <is>
          <t>代收金额包含收件人运费</t>
        </is>
      </c>
      <c r="J586" t="inlineStr">
        <is>
          <t>COD រួមបញ្ចូលទាំងថ្លៃសេវាអ្នកទទួលជាអ្នកចេញ</t>
        </is>
      </c>
    </row>
    <row r="587">
      <c r="A587" s="217" t="inlineStr">
        <is>
          <t>statistical.codExcludesShipping</t>
        </is>
      </c>
      <c r="B587" s="217" t="inlineStr">
        <is>
          <t>COD không bao gồm cước người nhận trả</t>
        </is>
      </c>
      <c r="C587" s="217" t="inlineStr">
        <is>
          <t>COD excludes recipient's shipping fee</t>
        </is>
      </c>
      <c r="D587" s="217" t="inlineStr">
        <is>
          <t>COD មិនរួមបញ្ចូលថ្លៃដឹកជញ្ជូន</t>
        </is>
      </c>
      <c r="E587" s="217" t="inlineStr">
        <is>
          <t>COD មិនរួមបញ្ចូលជាមួយថ្លៃសេវាអ្នកទទួលជាអ្នកចេញ</t>
        </is>
      </c>
      <c r="F587" s="217" t="n"/>
      <c r="G587" s="217" t="inlineStr">
        <is>
          <t>COD មិនរួមបញ្ចូលជាមួយថ្លៃសេវាអ្នកទទួលជាអ្នកចេញ</t>
        </is>
      </c>
      <c r="H587" s="217" t="inlineStr">
        <is>
          <t>代收金额不含收件人运费</t>
        </is>
      </c>
      <c r="J587" t="inlineStr">
        <is>
          <t>COD មិនរួមបញ្ចូលជាមួយថ្លៃសេវាអ្នកទទួលជាអ្នកចេញ</t>
        </is>
      </c>
    </row>
    <row r="588">
      <c r="A588" s="217" t="inlineStr">
        <is>
          <t>statistical.totalOrders</t>
        </is>
      </c>
      <c r="B588" s="217" t="inlineStr">
        <is>
          <t>Tổng đơn hàng</t>
        </is>
      </c>
      <c r="C588" s="217" t="inlineStr">
        <is>
          <t>Total Orders</t>
        </is>
      </c>
      <c r="D588" s="217" t="inlineStr">
        <is>
          <t>សរុបបញ្ជាទិញ</t>
        </is>
      </c>
      <c r="E588" s="217" t="inlineStr">
        <is>
          <t>សរុបបុងបញ្ញើ</t>
        </is>
      </c>
      <c r="F588" s="217" t="n"/>
      <c r="G588" s="217" t="inlineStr">
        <is>
          <t>សរុបបុងបញ្ញើ</t>
        </is>
      </c>
      <c r="H588" s="217" t="inlineStr">
        <is>
          <t>订单总数</t>
        </is>
      </c>
      <c r="J588" t="inlineStr">
        <is>
          <t>សរុបបុងបញ្ញើ</t>
        </is>
      </c>
    </row>
    <row r="589">
      <c r="A589" s="217" t="inlineStr">
        <is>
          <t>statistical.successfulDeliveries</t>
        </is>
      </c>
      <c r="B589" s="217" t="inlineStr">
        <is>
          <t>Giao thành công</t>
        </is>
      </c>
      <c r="C589" s="217" t="inlineStr">
        <is>
          <t>Successful Deliveries</t>
        </is>
      </c>
      <c r="D589" s="217" t="inlineStr">
        <is>
          <t>ផ្ញើបានជោគជ័យ</t>
        </is>
      </c>
      <c r="E589" s="217" t="inlineStr">
        <is>
          <t>ប្រគល់បានជោគជ័យ</t>
        </is>
      </c>
      <c r="F589" s="217" t="n"/>
      <c r="G589" s="217" t="inlineStr">
        <is>
          <t>ដឹកជញ្ជូនជោគជ័យ</t>
        </is>
      </c>
      <c r="H589" s="217" t="inlineStr">
        <is>
          <t>成功派送</t>
        </is>
      </c>
      <c r="J589" t="inlineStr">
        <is>
          <t>ដឹកជញ្ជូនជោគជ័យ</t>
        </is>
      </c>
    </row>
    <row r="590">
      <c r="A590" s="217" t="inlineStr">
        <is>
          <t>statistical.successfulReturns</t>
        </is>
      </c>
      <c r="B590" s="217" t="inlineStr">
        <is>
          <t>Hoàn thành công</t>
        </is>
      </c>
      <c r="C590" s="217" t="inlineStr">
        <is>
          <t>Successful Returns</t>
        </is>
      </c>
      <c r="D590" s="217" t="inlineStr">
        <is>
          <t>ត្រលប់បានជោគជ័យ</t>
        </is>
      </c>
      <c r="E590" s="217" t="inlineStr">
        <is>
          <t>ត្រឡប់បានជោគជ័យ</t>
        </is>
      </c>
      <c r="F590" s="217" t="n"/>
      <c r="G590" s="217" t="inlineStr">
        <is>
          <t>ត្រឡប់បានជោគជ័យ</t>
        </is>
      </c>
      <c r="H590" s="217" t="inlineStr">
        <is>
          <t>成功退回</t>
        </is>
      </c>
      <c r="J590" t="inlineStr">
        <is>
          <t>ត្រឡប់បានជោគជ័យ</t>
        </is>
      </c>
    </row>
    <row r="591">
      <c r="A591" s="217" t="inlineStr">
        <is>
          <t>statistical.totalCod</t>
        </is>
      </c>
      <c r="B591" s="217" t="inlineStr">
        <is>
          <t>Tổng tiền thu hộ</t>
        </is>
      </c>
      <c r="C591" s="217" t="inlineStr">
        <is>
          <t>Total COD Amount</t>
        </is>
      </c>
      <c r="D591" s="217" t="inlineStr">
        <is>
          <t>សរុប COD</t>
        </is>
      </c>
      <c r="E591" s="217" t="inlineStr">
        <is>
          <t>សរុុបប្រាក់ប្រមូលជំនួស (COD)</t>
        </is>
      </c>
      <c r="F591" s="217" t="n"/>
      <c r="G591" s="217" t="inlineStr">
        <is>
          <t>សរុុបប្រាក់ប្រមូលជំនួស (COD)</t>
        </is>
      </c>
      <c r="H591" s="217" t="inlineStr">
        <is>
          <t>代收货款总额</t>
        </is>
      </c>
      <c r="J591" t="inlineStr">
        <is>
          <t>សរុុបប្រាក់ប្រមូលជំនួស (COD)</t>
        </is>
      </c>
    </row>
    <row r="592">
      <c r="A592" s="217" t="inlineStr">
        <is>
          <t>statistical.totalShippingFee</t>
        </is>
      </c>
      <c r="B592" s="217" t="inlineStr">
        <is>
          <t>Tổng tiền cước</t>
        </is>
      </c>
      <c r="C592" s="217" t="inlineStr">
        <is>
          <t>Total Shipping Fee</t>
        </is>
      </c>
      <c r="D592" s="217" t="inlineStr">
        <is>
          <t>សរុបថ្លៃដឹកជញ្ជូន</t>
        </is>
      </c>
      <c r="E592" s="217" t="inlineStr">
        <is>
          <t>សរុបថ្លៃសេវា</t>
        </is>
      </c>
      <c r="F592" s="217" t="n"/>
      <c r="G592" s="217" t="inlineStr">
        <is>
          <t>សរុបថ្លៃសេវា</t>
        </is>
      </c>
      <c r="H592" s="217" t="inlineStr">
        <is>
          <t>运费总额</t>
        </is>
      </c>
      <c r="J592" t="inlineStr">
        <is>
          <t>សរុបថ្លៃសេវា</t>
        </is>
      </c>
    </row>
    <row r="593">
      <c r="A593" s="217" t="inlineStr">
        <is>
          <t>statistical.order</t>
        </is>
      </c>
      <c r="B593" s="217" t="inlineStr">
        <is>
          <t>Đơn</t>
        </is>
      </c>
      <c r="C593" s="217" t="inlineStr">
        <is>
          <t>Order</t>
        </is>
      </c>
      <c r="D593" s="217" t="inlineStr">
        <is>
          <t>បញ្ជា</t>
        </is>
      </c>
      <c r="E593" s="217" t="inlineStr">
        <is>
          <t>បុងបញ្ញើ</t>
        </is>
      </c>
      <c r="F593" s="217" t="n"/>
      <c r="G593" s="217" t="inlineStr">
        <is>
          <t>បុងបញ្ញើ</t>
        </is>
      </c>
      <c r="H593" s="217" t="inlineStr">
        <is>
          <t>订单</t>
        </is>
      </c>
      <c r="J593" t="inlineStr">
        <is>
          <t>បុងបញ្ញើ</t>
        </is>
      </c>
    </row>
    <row r="594">
      <c r="A594" s="217" t="inlineStr">
        <is>
          <t>statistical.otherStatusColumn</t>
        </is>
      </c>
      <c r="B594" s="217" t="inlineStr">
        <is>
          <t>Trạng thái khác</t>
        </is>
      </c>
      <c r="C594" s="217" t="inlineStr">
        <is>
          <t>Other Status</t>
        </is>
      </c>
      <c r="D594" s="217" t="inlineStr">
        <is>
          <t>ស្ថានភាពផ្សេងទៀត</t>
        </is>
      </c>
      <c r="E594" s="217" t="inlineStr">
        <is>
          <t>ស្ថានភាពផ្សេង</t>
        </is>
      </c>
      <c r="F594" s="217" t="n"/>
      <c r="G594" s="217" t="inlineStr">
        <is>
          <t>ស្ថានភាពផ្សេង</t>
        </is>
      </c>
      <c r="H594" s="217" t="inlineStr">
        <is>
          <t>其他状态</t>
        </is>
      </c>
      <c r="J594" t="inlineStr">
        <is>
          <t>ស្ថានភាពផ្សេង</t>
        </is>
      </c>
    </row>
    <row r="595">
      <c r="A595" s="217" t="inlineStr">
        <is>
          <t>detailOrder.trackingCodeLabel</t>
        </is>
      </c>
      <c r="B595" s="217" t="inlineStr">
        <is>
          <t>Mã vận đơn:</t>
        </is>
      </c>
      <c r="C595" s="217" t="inlineStr">
        <is>
          <t>Tracking Code:</t>
        </is>
      </c>
      <c r="D595" s="217" t="inlineStr">
        <is>
          <t>លេខតាមដាន:</t>
        </is>
      </c>
      <c r="E595" s="217" t="inlineStr">
        <is>
          <t>លេខកូូដវិក័យប័ត្រដឹកជញ្ជូន៖</t>
        </is>
      </c>
      <c r="F595" s="217" t="n"/>
      <c r="G595" s="217" t="inlineStr">
        <is>
          <t>លេខកូូដវិក័យប័ត្រដឹកជញ្ជូន៖</t>
        </is>
      </c>
      <c r="H595" s="217" t="inlineStr">
        <is>
          <t>运单号：</t>
        </is>
      </c>
      <c r="J595" t="inlineStr">
        <is>
          <t>លេខកូូដវិក័យប័ត្រដឹកជញ្ជូន៖</t>
        </is>
      </c>
    </row>
    <row r="596">
      <c r="A596" s="217" t="inlineStr">
        <is>
          <t>detailOrder.trackingInfo</t>
        </is>
      </c>
      <c r="B596" s="217" t="inlineStr">
        <is>
          <t>Thông tin mã vận đơn</t>
        </is>
      </c>
      <c r="C596" s="217" t="inlineStr">
        <is>
          <t>Tracking Code Information</t>
        </is>
      </c>
      <c r="D596" s="217" t="inlineStr">
        <is>
          <t>ព័ត៌មានតាមដាន</t>
        </is>
      </c>
      <c r="E596" s="217" t="inlineStr">
        <is>
          <t>ព័ត៌មានកូូដវិក័យប័ត្រដឹកជញ្ជូន</t>
        </is>
      </c>
      <c r="F596" s="217" t="n"/>
      <c r="G596" s="217" t="inlineStr">
        <is>
          <t>ព័ត៌មានកូូដវិក័យប័ត្រដឹកជញ្ជូន</t>
        </is>
      </c>
      <c r="H596" s="217" t="inlineStr">
        <is>
          <t>运单信息</t>
        </is>
      </c>
      <c r="J596" t="inlineStr">
        <is>
          <t>ព័ត៌មានកូូដវិក័យប័ត្រដឹកជញ្ជូន</t>
        </is>
      </c>
    </row>
    <row r="597">
      <c r="A597" s="217" t="inlineStr">
        <is>
          <t>detailOrder.orderCodeLabel</t>
        </is>
      </c>
      <c r="B597" s="217" t="inlineStr">
        <is>
          <t>Mã đơn hàng:</t>
        </is>
      </c>
      <c r="C597" s="217" t="inlineStr">
        <is>
          <t>Order Code:</t>
        </is>
      </c>
      <c r="D597" s="217" t="inlineStr">
        <is>
          <t>លេខបញ្ជាទិញ:</t>
        </is>
      </c>
      <c r="E597" s="217" t="inlineStr">
        <is>
          <t>លេខកូដបុងបញ្ញើ៖</t>
        </is>
      </c>
      <c r="F597" s="217" t="n"/>
      <c r="G597" s="217" t="inlineStr">
        <is>
          <t>លេខកូដបុងបញ្ញើ៖</t>
        </is>
      </c>
      <c r="H597" s="217" t="inlineStr">
        <is>
          <t>订单编号:</t>
        </is>
      </c>
      <c r="J597" t="inlineStr">
        <is>
          <t>លេខកូដបុងបញ្ញើ៖</t>
        </is>
      </c>
    </row>
    <row r="598">
      <c r="A598" s="217" t="inlineStr">
        <is>
          <t>detailOrder.creationDate</t>
        </is>
      </c>
      <c r="B598" s="217" t="inlineStr">
        <is>
          <t>Ngày tạo:</t>
        </is>
      </c>
      <c r="C598" s="217" t="inlineStr">
        <is>
          <t>Creation Date:</t>
        </is>
      </c>
      <c r="D598" s="217" t="inlineStr">
        <is>
          <t>ថ្ងៃបង្កើត:</t>
        </is>
      </c>
      <c r="E598" s="217" t="inlineStr">
        <is>
          <t>ថ្ងៃបង្កើត៖</t>
        </is>
      </c>
      <c r="F598" s="217" t="n"/>
      <c r="G598" s="217" t="inlineStr">
        <is>
          <t>ថ្ងៃបង្កើត៖</t>
        </is>
      </c>
      <c r="H598" s="217" t="inlineStr">
        <is>
          <t>创建日期:</t>
        </is>
      </c>
      <c r="J598" t="inlineStr">
        <is>
          <t>ថ្ងៃបង្កើត៖</t>
        </is>
      </c>
    </row>
    <row r="599">
      <c r="A599" s="217" t="inlineStr">
        <is>
          <t>detailOrder.expectedReceiveDate</t>
        </is>
      </c>
      <c r="B599" s="217" t="inlineStr">
        <is>
          <t>Ngày nhận hàng dự kiến:</t>
        </is>
      </c>
      <c r="C599" s="217" t="inlineStr">
        <is>
          <t>Expected Receive Date:</t>
        </is>
      </c>
      <c r="D599" s="217" t="inlineStr">
        <is>
          <t>ថ្ងៃទទួលរំពឹង:</t>
        </is>
      </c>
      <c r="E599" s="217" t="inlineStr">
        <is>
          <t>ថ្ងៃទទួលអីវ៉ាន់តាមការកំណត់៖</t>
        </is>
      </c>
      <c r="F599" s="217" t="n"/>
      <c r="G599" s="217" t="inlineStr">
        <is>
          <t>ថ្ងៃទទួលអីវ៉ាន់តាមការកំណត់៖</t>
        </is>
      </c>
      <c r="H599" s="217" t="inlineStr">
        <is>
          <t>预计揽收日期:</t>
        </is>
      </c>
      <c r="J599" t="inlineStr">
        <is>
          <t>ថ្ងៃទទួលអីវ៉ាន់តាមការកំណត់៖</t>
        </is>
      </c>
    </row>
    <row r="600">
      <c r="A600" s="217" t="inlineStr">
        <is>
          <t>detailOrder.expectedDeliveryDate</t>
        </is>
      </c>
      <c r="B600" s="217" t="inlineStr">
        <is>
          <t>Ngày giao hàng dự kiến:</t>
        </is>
      </c>
      <c r="C600" s="217" t="inlineStr">
        <is>
          <t>Expected Delivery Date:</t>
        </is>
      </c>
      <c r="D600" s="217" t="inlineStr">
        <is>
          <t>ថ្ងៃផ្ញើរំពឹង:</t>
        </is>
      </c>
      <c r="E600" s="217" t="inlineStr">
        <is>
          <t>ថ្ងៃប្រគល់អីវ៉ាន់តាមការកំណត់៖</t>
        </is>
      </c>
      <c r="F600" s="217" t="n"/>
      <c r="G600" s="217" t="inlineStr">
        <is>
          <t>ថ្ងៃប្រគល់អីវ៉ាន់តាមការកំណត់៖</t>
        </is>
      </c>
      <c r="H600" s="217" t="inlineStr">
        <is>
          <t>预计派送日期:</t>
        </is>
      </c>
      <c r="J600" t="inlineStr">
        <is>
          <t>ថ្ងៃប្រគល់អីវ៉ាន់តាមការកំណត់៖</t>
        </is>
      </c>
    </row>
    <row r="601">
      <c r="A601" s="217" t="inlineStr">
        <is>
          <t>detailOrder.shippingService</t>
        </is>
      </c>
      <c r="B601" s="217" t="inlineStr">
        <is>
          <t>Dịch vụ vận chuyển:</t>
        </is>
      </c>
      <c r="C601" s="217" t="inlineStr">
        <is>
          <t>Shipping Service:</t>
        </is>
      </c>
      <c r="D601" s="217" t="inlineStr">
        <is>
          <t>សេវាដឹកជញ្ជូន:</t>
        </is>
      </c>
      <c r="E601" s="217" t="inlineStr">
        <is>
          <t>សេវាកម្មដឹកជញ្ជូន៖</t>
        </is>
      </c>
      <c r="F601" s="217" t="n"/>
      <c r="G601" s="217" t="inlineStr">
        <is>
          <t>សេវាកម្មដឹកជញ្ជូន៖</t>
        </is>
      </c>
      <c r="H601" s="217" t="inlineStr">
        <is>
          <t>运输服务：</t>
        </is>
      </c>
      <c r="J601" t="inlineStr">
        <is>
          <t>សេវាកម្មដឹកជញ្ជូន៖</t>
        </is>
      </c>
    </row>
    <row r="602">
      <c r="A602" s="217" t="inlineStr">
        <is>
          <t>detailOrder.additionalService</t>
        </is>
      </c>
      <c r="B602" s="217" t="inlineStr">
        <is>
          <t>Dịch vụ cộng thêm:</t>
        </is>
      </c>
      <c r="C602" s="217" t="inlineStr">
        <is>
          <t>Additional Service:</t>
        </is>
      </c>
      <c r="D602" s="217" t="inlineStr">
        <is>
          <t>សេវាកម្មបន្ថែម:</t>
        </is>
      </c>
      <c r="E602" s="217" t="inlineStr">
        <is>
          <t>សេវាកម្មបូកបន្ថែម៖</t>
        </is>
      </c>
      <c r="F602" s="217" t="n"/>
      <c r="G602" s="217" t="inlineStr">
        <is>
          <t>សេវាកម្មបូកបន្ថែម៖</t>
        </is>
      </c>
      <c r="H602" s="217" t="inlineStr">
        <is>
          <t>附加服务:</t>
        </is>
      </c>
      <c r="J602" t="inlineStr">
        <is>
          <t>សេវាកម្មបូកបន្ថែម៖</t>
        </is>
      </c>
    </row>
    <row r="603">
      <c r="A603" s="217" t="inlineStr">
        <is>
          <t>detailOrder.senderReceiverInfo</t>
        </is>
      </c>
      <c r="B603" s="217" t="inlineStr">
        <is>
          <t>Thông tin gửi nhận</t>
        </is>
      </c>
      <c r="C603" s="217" t="inlineStr">
        <is>
          <t>Sender and Receiver Information</t>
        </is>
      </c>
      <c r="D603" s="217" t="inlineStr">
        <is>
          <t>ព័ត៌មានផ្ញើ និង ទទួល</t>
        </is>
      </c>
      <c r="E603" s="217" t="inlineStr">
        <is>
          <t>ព័ត៌មានផ្ញើទទួល</t>
        </is>
      </c>
      <c r="F603" s="217" t="n"/>
      <c r="G603" s="217" t="inlineStr">
        <is>
          <t>ព័ត៌មានផ្ញើទទួល</t>
        </is>
      </c>
      <c r="H603" s="217" t="inlineStr">
        <is>
          <t>寄件与收件信息</t>
        </is>
      </c>
      <c r="J603" t="inlineStr">
        <is>
          <t>ព័ត៌មានផ្ញើទទួល</t>
        </is>
      </c>
    </row>
    <row r="604">
      <c r="A604" s="217" t="inlineStr">
        <is>
          <t>detailOrder.allDayPickup</t>
        </is>
      </c>
      <c r="B604" s="217" t="inlineStr">
        <is>
          <t>Nhận hàng cả ngày</t>
        </is>
      </c>
      <c r="C604" s="217" t="inlineStr">
        <is>
          <t>All-day Pickup</t>
        </is>
      </c>
      <c r="D604" s="217" t="inlineStr">
        <is>
          <t>យកទាំងថ្ងៃ</t>
        </is>
      </c>
      <c r="E604" s="217" t="inlineStr">
        <is>
          <t>ទទួលអីវ៉ាន់ពេញមួយថ្ងៃ</t>
        </is>
      </c>
      <c r="F604" s="217" t="n"/>
      <c r="G604" s="217" t="inlineStr">
        <is>
          <t>ទទួលអីវ៉ាន់ពេញមួយថ្ងៃ</t>
        </is>
      </c>
      <c r="H604" s="217" t="inlineStr">
        <is>
          <t>全天取件</t>
        </is>
      </c>
      <c r="J604" t="inlineStr">
        <is>
          <t>ទទួលអីវ៉ាន់ពេញមួយថ្ងៃ</t>
        </is>
      </c>
    </row>
    <row r="605">
      <c r="A605" s="217" t="inlineStr">
        <is>
          <t>detailOrder.feeAndCod</t>
        </is>
      </c>
      <c r="B605" s="217" t="inlineStr">
        <is>
          <t>Cước và tiền thu hộ</t>
        </is>
      </c>
      <c r="C605" s="217" t="inlineStr">
        <is>
          <t>Fees and COD</t>
        </is>
      </c>
      <c r="D605" s="217" t="inlineStr">
        <is>
          <t>ថ្លៃ និង COD</t>
        </is>
      </c>
      <c r="E605" s="217" t="inlineStr">
        <is>
          <t>សេវានិងប្រាក់ប្រមូលជំនួស COD</t>
        </is>
      </c>
      <c r="F605" s="217" t="n"/>
      <c r="G605" s="217" t="inlineStr">
        <is>
          <t>សេវានិងប្រាក់ប្រមូលជំនួស COD</t>
        </is>
      </c>
      <c r="H605" s="217" t="inlineStr">
        <is>
          <t>费用与代收款</t>
        </is>
      </c>
      <c r="J605" t="inlineStr">
        <is>
          <t>សេវានិងប្រាក់ប្រមូលជំនួស COD</t>
        </is>
      </c>
    </row>
    <row r="606">
      <c r="A606" s="217" t="inlineStr">
        <is>
          <t>detailOrder.paymentMethod</t>
        </is>
      </c>
      <c r="B606" s="217" t="inlineStr">
        <is>
          <t>Hình thức:</t>
        </is>
      </c>
      <c r="C606" s="217" t="inlineStr">
        <is>
          <t>Payment Method:</t>
        </is>
      </c>
      <c r="D606" s="217" t="inlineStr">
        <is>
          <t>វិធីទូទាត់:</t>
        </is>
      </c>
      <c r="E606" s="217" t="inlineStr">
        <is>
          <t>វិធីសាស្រ្ត៖</t>
        </is>
      </c>
      <c r="F606" s="217" t="n"/>
      <c r="G606" s="217" t="inlineStr">
        <is>
          <t>វិធីសាស្រ្ត៖</t>
        </is>
      </c>
      <c r="H606" s="217" t="inlineStr">
        <is>
          <t>支付方式：</t>
        </is>
      </c>
      <c r="J606" t="inlineStr">
        <is>
          <t>វិធីសាស្រ្ត៖</t>
        </is>
      </c>
    </row>
    <row r="607">
      <c r="A607" s="217" t="inlineStr">
        <is>
          <t>detailOrder.shippingFee</t>
        </is>
      </c>
      <c r="B607" s="217" t="inlineStr">
        <is>
          <t>Cước vận chuyển (1):</t>
        </is>
      </c>
      <c r="C607" s="217" t="inlineStr">
        <is>
          <t>Shipping Fee (1):</t>
        </is>
      </c>
      <c r="D607" s="217" t="inlineStr">
        <is>
          <t>ថ្លៃដឹកជញ្ជូន (1):</t>
        </is>
      </c>
      <c r="E607" s="217" t="inlineStr">
        <is>
          <t>សេវាដឹកជញ្ជូន(១)៖</t>
        </is>
      </c>
      <c r="F607" s="217" t="n"/>
      <c r="G607" s="217" t="inlineStr">
        <is>
          <t>សេវាដឹកជញ្ជូន(១)៖</t>
        </is>
      </c>
      <c r="H607" s="217" t="inlineStr">
        <is>
          <t>基础运费 (1)：</t>
        </is>
      </c>
      <c r="J607" t="inlineStr">
        <is>
          <t>សេវាដឹកជញ្ជូន(១)៖</t>
        </is>
      </c>
    </row>
    <row r="608">
      <c r="A608" s="217" t="inlineStr">
        <is>
          <t>detailOrder.shippingFeeClone</t>
        </is>
      </c>
      <c r="B608" s="217" t="inlineStr">
        <is>
          <t>Cước vận chuyển</t>
        </is>
      </c>
      <c r="C608" s="217" t="inlineStr">
        <is>
          <t>Shipping Fee</t>
        </is>
      </c>
      <c r="D608" s="217" t="inlineStr">
        <is>
          <t>ថ្លៃដឹកជញ្ជូន</t>
        </is>
      </c>
      <c r="E608" s="217" t="inlineStr">
        <is>
          <t>សេវាដឹកជញ្ជូន</t>
        </is>
      </c>
      <c r="F608" s="217" t="n"/>
      <c r="G608" s="217" t="inlineStr">
        <is>
          <t>សេវាដឹកជញ្ជូន</t>
        </is>
      </c>
      <c r="H608" s="217" t="inlineStr">
        <is>
          <t>运费</t>
        </is>
      </c>
      <c r="J608" t="inlineStr">
        <is>
          <t>សេវាដឹកជញ្ជូន</t>
        </is>
      </c>
    </row>
    <row r="609">
      <c r="A609" s="217" t="inlineStr">
        <is>
          <t>detailOrder.payerInfo</t>
        </is>
      </c>
      <c r="B609" s="217" t="inlineStr">
        <is>
          <t>Người trả cước:</t>
        </is>
      </c>
      <c r="C609" s="217" t="inlineStr">
        <is>
          <t>Payer Info (1):</t>
        </is>
      </c>
      <c r="D609" s="217" t="inlineStr">
        <is>
          <t>ព័ត៌មានអ្នកបង់:</t>
        </is>
      </c>
      <c r="E609" s="217" t="inlineStr">
        <is>
          <t>អ្នកចេញថ្លៃសេវា៖</t>
        </is>
      </c>
      <c r="F609" s="217" t="n"/>
      <c r="G609" s="217" t="inlineStr">
        <is>
          <t>អ្នកចេញថ្លៃសេវា៖</t>
        </is>
      </c>
      <c r="H609" s="217" t="inlineStr">
        <is>
          <t>付款方信息 (1)：</t>
        </is>
      </c>
      <c r="J609" t="inlineStr">
        <is>
          <t>អ្នកចេញថ្លៃសេវា៖</t>
        </is>
      </c>
    </row>
    <row r="610">
      <c r="A610" s="217" t="inlineStr">
        <is>
          <t>detailOrder.additionalFee</t>
        </is>
      </c>
      <c r="B610" s="217" t="inlineStr">
        <is>
          <t>Tổng cước phát sinh (2):</t>
        </is>
      </c>
      <c r="C610" s="217" t="inlineStr">
        <is>
          <t>Total Additional Fees (2):</t>
        </is>
      </c>
      <c r="D610" s="217" t="inlineStr">
        <is>
          <t>ថ្លៃបន្ថែម (2):</t>
        </is>
      </c>
      <c r="E610" s="217" t="inlineStr">
        <is>
          <t>សរុបថ្លៃ</t>
        </is>
      </c>
      <c r="F610" s="217" t="n"/>
      <c r="G610" s="217" t="inlineStr">
        <is>
          <t>សរុបថ្លៃ</t>
        </is>
      </c>
      <c r="H610" s="217" t="inlineStr">
        <is>
          <t>附加费用总计 (2项):</t>
        </is>
      </c>
      <c r="J610" t="inlineStr">
        <is>
          <t>សរុបថ្លៃ</t>
        </is>
      </c>
    </row>
    <row r="611">
      <c r="A611" s="217" t="inlineStr">
        <is>
          <t>detailOrder.totalFee</t>
        </is>
      </c>
      <c r="B611" s="217" t="inlineStr">
        <is>
          <t>Tổng thanh toán (1 + 2 + 3):</t>
        </is>
      </c>
      <c r="C611" s="217" t="inlineStr">
        <is>
          <t>Total Fee (1 + 2):</t>
        </is>
      </c>
      <c r="D611" s="217" t="inlineStr">
        <is>
          <t>សរុបថ្លៃ (1 + 2):</t>
        </is>
      </c>
      <c r="E611" s="217" t="inlineStr">
        <is>
          <t>សរុប(1+2+3)៖</t>
        </is>
      </c>
      <c r="F611" s="217" t="n"/>
      <c r="G611" s="217" t="inlineStr">
        <is>
          <t>សរុប(1+2+3)៖</t>
        </is>
      </c>
      <c r="H611" s="217" t="inlineStr">
        <is>
          <t>总费用 (1 + 2)：</t>
        </is>
      </c>
      <c r="J611" t="inlineStr">
        <is>
          <t>សរុប(1+2+3)៖</t>
        </is>
      </c>
    </row>
    <row r="612">
      <c r="A612" s="217" t="inlineStr">
        <is>
          <t>detailOrder.codAmount</t>
        </is>
      </c>
      <c r="B612" s="217" t="inlineStr">
        <is>
          <t>Tiền thu hộ:</t>
        </is>
      </c>
      <c r="C612" s="217" t="inlineStr">
        <is>
          <t>COD Amount:</t>
        </is>
      </c>
      <c r="D612" s="217" t="inlineStr">
        <is>
          <t>ទឹកប្រាក់ COD:</t>
        </is>
      </c>
      <c r="E612" s="217" t="inlineStr">
        <is>
          <t>ប្រាក់ប្រមូលជំនួស៖</t>
        </is>
      </c>
      <c r="F612" s="217" t="n"/>
      <c r="G612" s="217" t="inlineStr">
        <is>
          <t>ប្រាក់ប្រមូលជំនួស៖</t>
        </is>
      </c>
      <c r="H612" s="217" t="inlineStr">
        <is>
          <t>代收货款金额:</t>
        </is>
      </c>
      <c r="J612" t="inlineStr">
        <is>
          <t>ប្រាក់ប្រមូលជំនួស៖</t>
        </is>
      </c>
    </row>
    <row r="613">
      <c r="A613" s="217" t="inlineStr">
        <is>
          <t>detailOrder.receiverPayment</t>
        </is>
      </c>
      <c r="B613" s="217" t="inlineStr">
        <is>
          <t>Tiền thu người nhận:</t>
        </is>
      </c>
      <c r="C613" s="217" t="inlineStr">
        <is>
          <t>Recipient's Payment:</t>
        </is>
      </c>
      <c r="D613" s="217" t="inlineStr">
        <is>
          <t>ទឹកប្រាក់អ្នកទទួល:</t>
        </is>
      </c>
      <c r="E613" s="217" t="inlineStr">
        <is>
          <t>ប្រមូលប្រាក់ពីអ្នកទទួល៖</t>
        </is>
      </c>
      <c r="F613" s="217" t="n"/>
      <c r="G613" s="217" t="inlineStr">
        <is>
          <t>ប្រមូលប្រាក់ពីអ្នកទទួល៖</t>
        </is>
      </c>
      <c r="H613" s="217" t="inlineStr">
        <is>
          <t>收件人付款：</t>
        </is>
      </c>
      <c r="J613" t="inlineStr">
        <is>
          <t>ប្រមូលប្រាក់ពីអ្នកទទួល៖</t>
        </is>
      </c>
    </row>
    <row r="614">
      <c r="A614" s="217" t="inlineStr">
        <is>
          <t>detailOrder.orderHistory</t>
        </is>
      </c>
      <c r="B614" s="217" t="inlineStr">
        <is>
          <t>Lịch sử chỉnh sửa đơn hàng</t>
        </is>
      </c>
      <c r="C614" s="217" t="inlineStr">
        <is>
          <t>Order Modification History</t>
        </is>
      </c>
      <c r="D614" s="217" t="inlineStr">
        <is>
          <t>ប្រវត្តិកែប្រែបញ្ជា</t>
        </is>
      </c>
      <c r="E614" s="217" t="inlineStr">
        <is>
          <t>ប្រវត្តិកែបុងបញ្ញើ</t>
        </is>
      </c>
      <c r="F614" s="217" t="n"/>
      <c r="G614" s="217" t="inlineStr">
        <is>
          <t>ប្រវត្តិកែបុងបញ្ញើ</t>
        </is>
      </c>
      <c r="H614" s="217" t="inlineStr">
        <is>
          <t>订单修改记录</t>
        </is>
      </c>
      <c r="J614" t="inlineStr">
        <is>
          <t>ប្រវត្តិកែបុងបញ្ញើ</t>
        </is>
      </c>
    </row>
    <row r="615">
      <c r="A615" s="217" t="inlineStr">
        <is>
          <t>detailOrder.goodsInformation</t>
        </is>
      </c>
      <c r="B615" s="217" t="inlineStr">
        <is>
          <t>Thông tin hàng hoá</t>
        </is>
      </c>
      <c r="C615" s="217" t="inlineStr">
        <is>
          <t>Goods Information</t>
        </is>
      </c>
      <c r="D615" s="217" t="inlineStr">
        <is>
          <t>ព័ត៌មានទំនិញ</t>
        </is>
      </c>
      <c r="E615" s="217" t="inlineStr">
        <is>
          <t>ព័ត៌មានអីវ៉ាន់</t>
        </is>
      </c>
      <c r="F615" s="217" t="n"/>
      <c r="G615" s="217" t="inlineStr">
        <is>
          <t>ព័ត៌មានអីវ៉ាន់</t>
        </is>
      </c>
      <c r="H615" s="217" t="inlineStr">
        <is>
          <t>货物信息</t>
        </is>
      </c>
      <c r="J615" t="inlineStr">
        <is>
          <t>ព័ត៌មានអីវ៉ាន់</t>
        </is>
      </c>
    </row>
    <row r="616">
      <c r="A616" s="217" t="inlineStr">
        <is>
          <t>detailOrder.productName</t>
        </is>
      </c>
      <c r="B616" s="217" t="inlineStr">
        <is>
          <t>Tên hàng:</t>
        </is>
      </c>
      <c r="C616" s="217" t="inlineStr">
        <is>
          <t>Product Name:</t>
        </is>
      </c>
      <c r="D616" s="217" t="inlineStr">
        <is>
          <t>ឈ្មោះទំនិញ:</t>
        </is>
      </c>
      <c r="E616" s="217" t="inlineStr">
        <is>
          <t>ប្រភេទអីវ៉ាន់៖</t>
        </is>
      </c>
      <c r="F616" s="217" t="n"/>
      <c r="G616" s="217" t="inlineStr">
        <is>
          <t>ប្រភេទអីវ៉ាន់៖</t>
        </is>
      </c>
      <c r="H616" s="217" t="inlineStr">
        <is>
          <t>商品名称：</t>
        </is>
      </c>
      <c r="J616" t="inlineStr">
        <is>
          <t>ប្រភេទអីវ៉ាន់៖</t>
        </is>
      </c>
    </row>
    <row r="617">
      <c r="A617" s="217" t="inlineStr">
        <is>
          <t>detailOrder.quantity</t>
        </is>
      </c>
      <c r="B617" s="217" t="inlineStr">
        <is>
          <t>Số lượng:</t>
        </is>
      </c>
      <c r="C617" s="217" t="inlineStr">
        <is>
          <t>Quantity:</t>
        </is>
      </c>
      <c r="D617" s="217" t="inlineStr">
        <is>
          <t>ចំនួន:</t>
        </is>
      </c>
      <c r="E617" s="217" t="inlineStr">
        <is>
          <t>ចំនួន៖</t>
        </is>
      </c>
      <c r="F617" s="217" t="n"/>
      <c r="G617" s="217" t="inlineStr">
        <is>
          <t>ចំនួន៖</t>
        </is>
      </c>
      <c r="H617" s="217" t="inlineStr">
        <is>
          <t>数量：</t>
        </is>
      </c>
      <c r="J617" t="inlineStr">
        <is>
          <t>ចំនួន៖</t>
        </is>
      </c>
    </row>
    <row r="618">
      <c r="A618" s="217" t="inlineStr">
        <is>
          <t>detailOrder.weight</t>
        </is>
      </c>
      <c r="B618" s="217" t="inlineStr">
        <is>
          <t>Khối lượng:</t>
        </is>
      </c>
      <c r="C618" s="217" t="inlineStr">
        <is>
          <t>Weight:</t>
        </is>
      </c>
      <c r="D618" s="217" t="inlineStr">
        <is>
          <t>ទំងន់:</t>
        </is>
      </c>
      <c r="E618" s="217" t="inlineStr">
        <is>
          <t>ទម្ងន់៖</t>
        </is>
      </c>
      <c r="F618" s="217" t="n"/>
      <c r="G618" s="217" t="inlineStr">
        <is>
          <t>ទម្ងន់៖</t>
        </is>
      </c>
      <c r="H618" s="217" t="inlineStr">
        <is>
          <t>重量：</t>
        </is>
      </c>
      <c r="J618" t="inlineStr">
        <is>
          <t>ទម្ងន់៖</t>
        </is>
      </c>
    </row>
    <row r="619">
      <c r="A619" s="217" t="inlineStr">
        <is>
          <t>detailOrder.value</t>
        </is>
      </c>
      <c r="B619" s="217" t="inlineStr">
        <is>
          <t>Giá trị:</t>
        </is>
      </c>
      <c r="C619" s="217" t="inlineStr">
        <is>
          <t>Value:</t>
        </is>
      </c>
      <c r="D619" s="217" t="inlineStr">
        <is>
          <t>តម្លៃ:</t>
        </is>
      </c>
      <c r="E619" s="217" t="inlineStr">
        <is>
          <t>តម្លៃ៖</t>
        </is>
      </c>
      <c r="F619" s="217" t="n"/>
      <c r="G619" s="217" t="inlineStr">
        <is>
          <t>តម្លៃ៖</t>
        </is>
      </c>
      <c r="H619" s="217" t="inlineStr">
        <is>
          <t>声明价值：</t>
        </is>
      </c>
      <c r="J619" t="inlineStr">
        <is>
          <t>តម្លៃ៖</t>
        </is>
      </c>
    </row>
    <row r="620">
      <c r="A620" s="217" t="inlineStr">
        <is>
          <t>detailOrder.totalWeight</t>
        </is>
      </c>
      <c r="B620" s="217" t="inlineStr">
        <is>
          <t>Tổng khối lượng:</t>
        </is>
      </c>
      <c r="C620" s="217" t="inlineStr">
        <is>
          <t>Total Weight:</t>
        </is>
      </c>
      <c r="D620" s="217" t="inlineStr">
        <is>
          <t>ទំងន់សរុប:</t>
        </is>
      </c>
      <c r="E620" s="217" t="inlineStr">
        <is>
          <t>សរុបទម្ងន់៖</t>
        </is>
      </c>
      <c r="F620" s="217" t="n"/>
      <c r="G620" s="217" t="inlineStr">
        <is>
          <t>សរុបទម្ងន់៖</t>
        </is>
      </c>
      <c r="H620" s="217" t="inlineStr">
        <is>
          <t>总重量：</t>
        </is>
      </c>
      <c r="J620" t="inlineStr">
        <is>
          <t>សរុបទម្ងន់៖</t>
        </is>
      </c>
    </row>
    <row r="621">
      <c r="A621" s="217" t="inlineStr">
        <is>
          <t>detailOrder.totalChargeableWeight</t>
        </is>
      </c>
      <c r="B621" s="217" t="inlineStr">
        <is>
          <t>Tổng khối lượng tính cước:</t>
        </is>
      </c>
      <c r="C621" s="217" t="inlineStr">
        <is>
          <t>Total Chargeable Weight:</t>
        </is>
      </c>
      <c r="D621" s="217" t="inlineStr">
        <is>
          <t>ទំងន់គិតថ្លៃសរុប:</t>
        </is>
      </c>
      <c r="E621" s="217" t="inlineStr">
        <is>
          <t>សរុុបទម្ងន់គិតថ្លៃសេវា៖</t>
        </is>
      </c>
      <c r="F621" s="217" t="n"/>
      <c r="G621" s="217" t="inlineStr">
        <is>
          <t>សរុុបទម្ងន់គិតថ្លៃសេវា៖</t>
        </is>
      </c>
      <c r="H621" s="217" t="inlineStr">
        <is>
          <t>总计费重量：</t>
        </is>
      </c>
      <c r="J621" t="inlineStr">
        <is>
          <t>សរុុបទម្ងន់គិតថ្លៃសេវា៖</t>
        </is>
      </c>
    </row>
    <row r="622">
      <c r="A622" s="217" t="inlineStr">
        <is>
          <t>detailOrder.totalValue</t>
        </is>
      </c>
      <c r="B622" s="217" t="inlineStr">
        <is>
          <t>Tổng giá trị:</t>
        </is>
      </c>
      <c r="C622" s="217" t="inlineStr">
        <is>
          <t>Total Value:</t>
        </is>
      </c>
      <c r="D622" s="217" t="inlineStr">
        <is>
          <t>តម្លៃសរុប:</t>
        </is>
      </c>
      <c r="E622" s="217" t="inlineStr">
        <is>
          <t>តម្លៃសរុប៖</t>
        </is>
      </c>
      <c r="F622" s="217" t="n"/>
      <c r="G622" s="217" t="inlineStr">
        <is>
          <t>តម្លៃសរុប៖</t>
        </is>
      </c>
      <c r="H622" s="217" t="inlineStr">
        <is>
          <t>总声明价值：</t>
        </is>
      </c>
      <c r="J622" t="inlineStr">
        <is>
          <t>តម្លៃសរុប៖</t>
        </is>
      </c>
    </row>
    <row r="623">
      <c r="A623" s="217" t="inlineStr">
        <is>
          <t>detailOrder.goodsType</t>
        </is>
      </c>
      <c r="B623" s="217" t="inlineStr">
        <is>
          <t>Loại hàng hóa:</t>
        </is>
      </c>
      <c r="C623" s="217" t="inlineStr">
        <is>
          <t>Type of Goods:</t>
        </is>
      </c>
      <c r="D623" s="217" t="inlineStr">
        <is>
          <t>ប្រភេទទំនិញ:</t>
        </is>
      </c>
      <c r="E623" s="217" t="inlineStr">
        <is>
          <t>ប្រភេទអីវ៉ាន់៖</t>
        </is>
      </c>
      <c r="F623" s="217" t="n"/>
      <c r="G623" s="217" t="inlineStr">
        <is>
          <t>ប្រភេទអីវ៉ាន់៖</t>
        </is>
      </c>
      <c r="H623" s="217" t="inlineStr">
        <is>
          <t>货物类型:</t>
        </is>
      </c>
      <c r="J623" t="inlineStr">
        <is>
          <t>ប្រភេទអីវ៉ាន់៖</t>
        </is>
      </c>
    </row>
    <row r="624">
      <c r="A624" s="217" t="inlineStr">
        <is>
          <t>detailOrder.specialGoodsNature</t>
        </is>
      </c>
      <c r="B624" s="217" t="inlineStr">
        <is>
          <t>Tính chất hàng hóa đặc biệt:</t>
        </is>
      </c>
      <c r="C624" s="217" t="inlineStr">
        <is>
          <t>Special Nature of Goods:</t>
        </is>
      </c>
      <c r="D624" s="217" t="inlineStr">
        <is>
          <t>លក្ខណៈពិសេសរបស់ទំនិញ:</t>
        </is>
      </c>
      <c r="E624" s="217" t="inlineStr">
        <is>
          <t>លក្ខណៈពិសេសរបស់ទំនិញ៖</t>
        </is>
      </c>
      <c r="F624" s="217" t="n"/>
      <c r="G624" s="217" t="inlineStr">
        <is>
          <t>លក្ខណៈពិសេសរបស់ទំនិញ៖</t>
        </is>
      </c>
      <c r="H624" s="217" t="inlineStr">
        <is>
          <t>特殊货物性质：</t>
        </is>
      </c>
      <c r="J624" t="inlineStr">
        <is>
          <t>លក្ខណៈពិសេសរបស់ទំនិញ៖</t>
        </is>
      </c>
    </row>
    <row r="625">
      <c r="A625" s="217" t="inlineStr">
        <is>
          <t>detailOrder.dimensions</t>
        </is>
      </c>
      <c r="B625" s="217" t="inlineStr">
        <is>
          <t>Tổng kích thước:</t>
        </is>
      </c>
      <c r="C625" s="217" t="inlineStr">
        <is>
          <t>Total dimensions:</t>
        </is>
      </c>
      <c r="D625" s="217" t="inlineStr">
        <is>
          <t>ទំហំ:</t>
        </is>
      </c>
      <c r="E625" s="217" t="inlineStr">
        <is>
          <t>សរុបទំហំ៖</t>
        </is>
      </c>
      <c r="F625" s="217" t="n"/>
      <c r="G625" s="217" t="inlineStr">
        <is>
          <t>សរុបទំហំ៖</t>
        </is>
      </c>
      <c r="H625" s="217" t="inlineStr">
        <is>
          <t>包裹尺寸:</t>
        </is>
      </c>
      <c r="J625" t="inlineStr">
        <is>
          <t>សរុបទំហំ៖</t>
        </is>
      </c>
    </row>
    <row r="626">
      <c r="A626" s="217" t="inlineStr">
        <is>
          <t>detailOrder.trackingNotes</t>
        </is>
      </c>
      <c r="B626" s="217" t="inlineStr">
        <is>
          <t>Ghi chú vận đơn:</t>
        </is>
      </c>
      <c r="C626" s="217" t="inlineStr">
        <is>
          <t>Tracking Notes:</t>
        </is>
      </c>
      <c r="D626" s="217" t="inlineStr">
        <is>
          <t>កំណត់សម្គាល់តាមដាន:</t>
        </is>
      </c>
      <c r="E626" s="217" t="inlineStr">
        <is>
          <t>កត់ចំណាំវិក័យប័ត្រដឹកជញ្ជូន៖</t>
        </is>
      </c>
      <c r="F626" s="217" t="n"/>
      <c r="G626" s="217" t="inlineStr">
        <is>
          <t>កត់ចំណាំវិក័យប័ត្រដឹកជញ្ជូន៖</t>
        </is>
      </c>
      <c r="H626" s="217" t="inlineStr">
        <is>
          <t>追踪备注：</t>
        </is>
      </c>
      <c r="J626" t="inlineStr">
        <is>
          <t>កត់ចំណាំវិក័យប័ត្រដឹកជញ្ជូន៖</t>
        </is>
      </c>
    </row>
    <row r="627">
      <c r="A627" s="217" t="inlineStr">
        <is>
          <t>detailOrder.pickupRequest</t>
        </is>
      </c>
      <c r="B627" s="217" t="inlineStr">
        <is>
          <t>Yêu cầu lấy hàng:</t>
        </is>
      </c>
      <c r="C627" s="217" t="inlineStr">
        <is>
          <t>Pickup Request:</t>
        </is>
      </c>
      <c r="D627" s="217" t="inlineStr">
        <is>
          <t>សំណើយក:</t>
        </is>
      </c>
      <c r="E627" s="217" t="inlineStr">
        <is>
          <t>ស្នើសុំយកអីវ៉ាន់៖</t>
        </is>
      </c>
      <c r="F627" s="217" t="n"/>
      <c r="G627" s="217" t="inlineStr">
        <is>
          <t>ស្នើសុំយកអីវ៉ាន់៖</t>
        </is>
      </c>
      <c r="H627" s="217" t="inlineStr">
        <is>
          <t>取件要求：</t>
        </is>
      </c>
      <c r="J627" t="inlineStr">
        <is>
          <t>ស្នើសុំយកអីវ៉ាន់៖</t>
        </is>
      </c>
    </row>
    <row r="628">
      <c r="A628" s="217" t="inlineStr">
        <is>
          <t>detailOrder.sendAtPostOffice</t>
        </is>
      </c>
      <c r="B628" s="217" t="inlineStr">
        <is>
          <t>Gửi tại bưu cục</t>
        </is>
      </c>
      <c r="C628" s="217" t="inlineStr">
        <is>
          <t>Send at Post Office</t>
        </is>
      </c>
      <c r="D628" s="217" t="inlineStr">
        <is>
          <t>ផ្ញើនៅប៉ុស្តិ៍</t>
        </is>
      </c>
      <c r="E628" s="217" t="inlineStr">
        <is>
          <t>ផ្ញើនៅការិយាល័យប្រៃសណីយ៍</t>
        </is>
      </c>
      <c r="F628" s="217" t="n"/>
      <c r="G628" s="217" t="inlineStr">
        <is>
          <t>ផ្ញើនៅការិយាល័យប្រៃសណីយ៍</t>
        </is>
      </c>
      <c r="H628" s="217" t="inlineStr">
        <is>
          <t>网点自寄</t>
        </is>
      </c>
      <c r="J628" t="inlineStr">
        <is>
          <t>ផ្ញើនៅការិយាល័យប្រៃសណីយ៍</t>
        </is>
      </c>
    </row>
    <row r="629">
      <c r="A629" s="217" t="inlineStr">
        <is>
          <t>detailOrder.otherRequests</t>
        </is>
      </c>
      <c r="B629" s="217" t="inlineStr">
        <is>
          <t>Yêu cầu khác:</t>
        </is>
      </c>
      <c r="C629" s="217" t="inlineStr">
        <is>
          <t>Other Requests:</t>
        </is>
      </c>
      <c r="D629" s="217" t="inlineStr">
        <is>
          <t>សំណើផ្សេងៗ:</t>
        </is>
      </c>
      <c r="E629" s="217" t="inlineStr">
        <is>
          <t>សំណើរផ្សេងៗ៖</t>
        </is>
      </c>
      <c r="F629" s="217" t="n"/>
      <c r="G629" s="217" t="inlineStr">
        <is>
          <t>សំណើរផ្សេងៗ៖</t>
        </is>
      </c>
      <c r="H629" s="217" t="inlineStr">
        <is>
          <t>其他要求：</t>
        </is>
      </c>
      <c r="J629" t="inlineStr">
        <is>
          <t>សំណើរផ្សេងៗ៖</t>
        </is>
      </c>
    </row>
    <row r="630">
      <c r="A630" s="217" t="inlineStr">
        <is>
          <t>detailOrder.customerVideoInspection</t>
        </is>
      </c>
      <c r="B630" s="217" t="inlineStr">
        <is>
          <t>Cho khách quay video đồng kiểm</t>
        </is>
      </c>
      <c r="C630" s="217" t="inlineStr">
        <is>
          <t>Customer Video Inspection</t>
        </is>
      </c>
      <c r="D630" s="217" t="inlineStr">
        <is>
          <t>អនុញ្ញាតអតិថិជនថតវីដេអូចែកសន្មត់</t>
        </is>
      </c>
      <c r="E630" s="217" t="inlineStr">
        <is>
          <t>អនុញ្ញាត្តិឲ្យអតិថិជនថតវីដេអូពិនិត្យរួមគ្នា</t>
        </is>
      </c>
      <c r="F630" s="217" t="n"/>
      <c r="G630" s="217" t="inlineStr">
        <is>
          <t>អនុញ្ញាត្តិឲ្យអតិថិជនថតវីដេអូពិនិត្យរួមគ្នា</t>
        </is>
      </c>
      <c r="H630" s="217" t="inlineStr">
        <is>
          <t>客户视频验货</t>
        </is>
      </c>
      <c r="J630" t="inlineStr">
        <is>
          <t>អនុញ្ញាត្តិឲ្យអតិថិជនថតវីដេអូពិនិត្យរួមគ្នា</t>
        </is>
      </c>
    </row>
    <row r="631">
      <c r="A631" s="217" t="inlineStr">
        <is>
          <t>detailOrder.courierInfo</t>
        </is>
      </c>
      <c r="B631" s="217" t="inlineStr">
        <is>
          <t>Thông tin bưu tá:</t>
        </is>
      </c>
      <c r="C631" s="217" t="inlineStr">
        <is>
          <t>Courier Information:</t>
        </is>
      </c>
      <c r="D631" s="217" t="inlineStr">
        <is>
          <t>ព័ត៌មានដឹកជញ្ជូន:</t>
        </is>
      </c>
      <c r="E631" s="217" t="inlineStr">
        <is>
          <t>ព័ត៌មានអ្នកដឹកជញ្ជូន៖</t>
        </is>
      </c>
      <c r="F631" s="217" t="n"/>
      <c r="G631" s="217" t="inlineStr">
        <is>
          <t>ព័ត៌មានអ្នកដឹកជញ្ជូន៖</t>
        </is>
      </c>
      <c r="H631" s="217" t="inlineStr">
        <is>
          <t>快递员信息:</t>
        </is>
      </c>
      <c r="J631" t="inlineStr">
        <is>
          <t>ព័ត៌មានអ្នកដឹកជញ្ជូន៖</t>
        </is>
      </c>
    </row>
    <row r="632">
      <c r="A632" s="217" t="inlineStr">
        <is>
          <t>detailOrder.orderJourney</t>
        </is>
      </c>
      <c r="B632" s="217" t="inlineStr">
        <is>
          <t>Hành trình đơn</t>
        </is>
      </c>
      <c r="C632" s="217" t="inlineStr">
        <is>
          <t>Order Journey</t>
        </is>
      </c>
      <c r="D632" s="217" t="inlineStr">
        <is>
          <t>ដំណើរការបញ្ជា</t>
        </is>
      </c>
      <c r="E632" s="217" t="inlineStr">
        <is>
          <t>ដំណើរការដឹកជញ្ជូន</t>
        </is>
      </c>
      <c r="F632" s="217" t="n"/>
      <c r="G632" s="217" t="inlineStr">
        <is>
          <t>ដំណើរការដឹកជញ្ជូន</t>
        </is>
      </c>
      <c r="H632" s="217" t="inlineStr">
        <is>
          <t>订单物流轨迹</t>
        </is>
      </c>
      <c r="J632" t="inlineStr">
        <is>
          <t>ដំណើរការដឹកជញ្ជូន</t>
        </is>
      </c>
    </row>
    <row r="633">
      <c r="A633" s="217" t="inlineStr">
        <is>
          <t>detailOrder.impactHistory</t>
        </is>
      </c>
      <c r="B633" s="217" t="inlineStr">
        <is>
          <t>Lịch sử tác động</t>
        </is>
      </c>
      <c r="C633" s="217" t="inlineStr">
        <is>
          <t>Impact History</t>
        </is>
      </c>
      <c r="D633" s="217" t="inlineStr">
        <is>
          <t>ប្រវត្តិរងផលប៉ះពាល់</t>
        </is>
      </c>
      <c r="E633" s="217" t="inlineStr">
        <is>
          <t>ប្រវត្តិនៃផលប៉ះពាល់</t>
        </is>
      </c>
      <c r="F633" s="217" t="n"/>
      <c r="G633" s="217" t="inlineStr">
        <is>
          <t>ប្រវត្តិនៃផលប៉ះពាល់</t>
        </is>
      </c>
      <c r="H633" s="217" t="inlineStr">
        <is>
          <t>异常记录</t>
        </is>
      </c>
      <c r="J633" t="inlineStr">
        <is>
          <t>ប្រវត្តិនៃផលប៉ះពាល់</t>
        </is>
      </c>
    </row>
    <row r="634">
      <c r="A634" s="217" t="inlineStr">
        <is>
          <t>detailOrder.contactHistory</t>
        </is>
      </c>
      <c r="B634" s="217" t="inlineStr">
        <is>
          <t>Lịch sử liên lạc</t>
        </is>
      </c>
      <c r="C634" s="217" t="inlineStr">
        <is>
          <t>Contact History</t>
        </is>
      </c>
      <c r="D634" s="217" t="inlineStr">
        <is>
          <t>ប្រវត្តិទំនាក់ទំនង</t>
        </is>
      </c>
      <c r="E634" s="217" t="inlineStr">
        <is>
          <t>ប្រវត្តិទំនាក់ទំនង</t>
        </is>
      </c>
      <c r="F634" s="217" t="n"/>
      <c r="G634" s="217" t="inlineStr">
        <is>
          <t>ប្រវត្តិទំនាក់ទំនង</t>
        </is>
      </c>
      <c r="H634" s="217" t="inlineStr">
        <is>
          <t>查看记录</t>
        </is>
      </c>
      <c r="J634" t="inlineStr">
        <is>
          <t>ប្រវត្តិទំនាក់ទំនង</t>
        </is>
      </c>
    </row>
    <row r="635">
      <c r="A635" s="217" t="inlineStr">
        <is>
          <t>detailOrder.surcharge</t>
        </is>
      </c>
      <c r="B635" s="217" t="inlineStr">
        <is>
          <t>Phụ phí</t>
        </is>
      </c>
      <c r="C635" s="217" t="inlineStr">
        <is>
          <t>Surcharge</t>
        </is>
      </c>
      <c r="D635" s="217" t="inlineStr">
        <is>
          <t>អាករ/ការបន្ថែម</t>
        </is>
      </c>
      <c r="E635" s="217" t="inlineStr">
        <is>
          <t>សេវាបន្ថែម</t>
        </is>
      </c>
      <c r="F635" s="217" t="n"/>
      <c r="G635" s="217" t="inlineStr">
        <is>
          <t>ថ្លៃសេវាបន្ថែម</t>
        </is>
      </c>
      <c r="H635" s="217" t="inlineStr">
        <is>
          <t>附加费</t>
        </is>
      </c>
      <c r="J635" t="inlineStr">
        <is>
          <t>ថ្លៃសេវាបន្ថែម</t>
        </is>
      </c>
    </row>
    <row r="636">
      <c r="A636" s="217" t="inlineStr">
        <is>
          <t>detailOrder.orderReturn</t>
        </is>
      </c>
      <c r="B636" s="217" t="inlineStr">
        <is>
          <t>Mã đơn hoàn</t>
        </is>
      </c>
      <c r="C636" s="217">
        <f>IFERROR(__xludf.DUMMYFUNCTION("GOOGLETRANSLATE(B636,""vi"",""en"")"),"Order code")</f>
        <v/>
      </c>
      <c r="D636" s="217" t="inlineStr">
        <is>
          <t>-</t>
        </is>
      </c>
      <c r="E636" s="217" t="inlineStr">
        <is>
          <t>លេខកូដបុងត្រឡប់</t>
        </is>
      </c>
      <c r="F636" s="217" t="n"/>
      <c r="G636" s="217" t="inlineStr">
        <is>
          <t>លេខកូដបុងត្រឡប់</t>
        </is>
      </c>
      <c r="H636" s="217" t="inlineStr">
        <is>
          <t>-</t>
        </is>
      </c>
      <c r="J636" t="inlineStr">
        <is>
          <t>លេខកូដបុងត្រឡប់</t>
        </is>
      </c>
    </row>
    <row r="637">
      <c r="A637" s="217" t="inlineStr">
        <is>
          <t>detailOrder.orderForward</t>
        </is>
      </c>
      <c r="B637" s="217" t="inlineStr">
        <is>
          <t>Mã đơn chuyển tiếp</t>
        </is>
      </c>
      <c r="C637" s="217">
        <f>IFERROR(__xludf.DUMMYFUNCTION("GOOGLETRANSLATE(B637,""vi"",""en"")"),"Forwarding code")</f>
        <v/>
      </c>
      <c r="D637" s="217" t="inlineStr">
        <is>
          <t>-</t>
        </is>
      </c>
      <c r="E637" s="217" t="inlineStr">
        <is>
          <t>លេខកូូដបុងបញ្ជូនបន្ត</t>
        </is>
      </c>
      <c r="F637" s="217" t="n"/>
      <c r="G637" s="217" t="inlineStr">
        <is>
          <t>លេខកូូដបុងបញ្ជូនបន្ត</t>
        </is>
      </c>
      <c r="H637" s="217" t="inlineStr">
        <is>
          <t>-</t>
        </is>
      </c>
      <c r="J637" t="inlineStr">
        <is>
          <t>លេខកូូដបុងបញ្ជូនបន្ត</t>
        </is>
      </c>
    </row>
    <row r="638">
      <c r="A638" s="217" t="inlineStr">
        <is>
          <t>detailOrder.detailForward</t>
        </is>
      </c>
      <c r="B638" s="217" t="inlineStr">
        <is>
          <t>Chi tiết đơn chuyển tiếp</t>
        </is>
      </c>
      <c r="C638" s="217">
        <f>IFERROR(__xludf.DUMMYFUNCTION("GOOGLETRANSLATE(B638,""vi"",""en"")"),"Transfer details")</f>
        <v/>
      </c>
      <c r="D638" s="217" t="inlineStr">
        <is>
          <t>-</t>
        </is>
      </c>
      <c r="E638" s="217" t="inlineStr">
        <is>
          <t>លម្អិតពីបុងបញ្ជូនបន្ត</t>
        </is>
      </c>
      <c r="F638" s="217" t="n"/>
      <c r="G638" s="217" t="inlineStr">
        <is>
          <t>លម្អិតពីបុងបញ្ជូនបន្ត</t>
        </is>
      </c>
      <c r="H638" s="217" t="inlineStr">
        <is>
          <t>-</t>
        </is>
      </c>
      <c r="J638" t="inlineStr">
        <is>
          <t>លម្អិតពីបុងបញ្ជូនបន្ត</t>
        </is>
      </c>
    </row>
    <row r="639">
      <c r="A639" s="217" t="inlineStr">
        <is>
          <t>detailOrder.detailReturn</t>
        </is>
      </c>
      <c r="B639" s="217" t="inlineStr">
        <is>
          <t>Chi tiết đơn hoàn</t>
        </is>
      </c>
      <c r="C639" s="217" t="inlineStr">
        <is>
          <t>Return order details</t>
        </is>
      </c>
      <c r="D639" s="217" t="inlineStr">
        <is>
          <t>-</t>
        </is>
      </c>
      <c r="E639" s="217" t="inlineStr">
        <is>
          <t>លម្អិ្អតពីបុងត្រឡប់</t>
        </is>
      </c>
      <c r="F639" s="217" t="n"/>
      <c r="G639" s="217" t="inlineStr">
        <is>
          <t>លម្អិ្អតពីបុងត្រឡប់</t>
        </is>
      </c>
      <c r="H639" s="217" t="inlineStr">
        <is>
          <t>退货订单详情</t>
        </is>
      </c>
      <c r="J639" t="inlineStr">
        <is>
          <t>លម្អិ្អតពីបុងត្រឡប់</t>
        </is>
      </c>
    </row>
    <row r="640">
      <c r="A640" s="217" t="inlineStr">
        <is>
          <t>detailOrder.storeAddress</t>
        </is>
      </c>
      <c r="B640" s="217" t="inlineStr">
        <is>
          <t>Cửa hàng {{address}}</t>
        </is>
      </c>
      <c r="C640" s="217" t="inlineStr">
        <is>
          <t>Store {{address}}</t>
        </is>
      </c>
      <c r="D640" s="217" t="inlineStr">
        <is>
          <t>-</t>
        </is>
      </c>
      <c r="E640" s="217" t="inlineStr">
        <is>
          <t>ហាង {{address}}</t>
        </is>
      </c>
      <c r="F640" s="217" t="n"/>
      <c r="G640" s="217" t="inlineStr">
        <is>
          <t>ហាង {{address}}</t>
        </is>
      </c>
      <c r="H640" s="217" t="inlineStr">
        <is>
          <t>网点 {{address}}</t>
        </is>
      </c>
      <c r="J640" t="inlineStr">
        <is>
          <t>ហាង {{address}}</t>
        </is>
      </c>
    </row>
    <row r="641">
      <c r="A641" s="217" t="inlineStr">
        <is>
          <t>detailOrder.sendAtStore</t>
        </is>
      </c>
      <c r="B641" s="217" t="inlineStr">
        <is>
          <t>Gửi tại cửa hàng</t>
        </is>
      </c>
      <c r="C641" s="217" t="inlineStr">
        <is>
          <t>Send at store</t>
        </is>
      </c>
      <c r="D641" s="217" t="inlineStr">
        <is>
          <t>-</t>
        </is>
      </c>
      <c r="E641" s="217" t="inlineStr">
        <is>
          <t>ផ្ញើនៅហាង</t>
        </is>
      </c>
      <c r="F641" s="217" t="n"/>
      <c r="G641" s="217" t="inlineStr">
        <is>
          <t>ផ្ញើនៅហាង</t>
        </is>
      </c>
      <c r="H641" s="217" t="inlineStr">
        <is>
          <t>到店寄出</t>
        </is>
      </c>
      <c r="J641" t="inlineStr">
        <is>
          <t>ផ្ញើនៅហាង</t>
        </is>
      </c>
    </row>
    <row r="642">
      <c r="A642" s="217" t="inlineStr">
        <is>
          <t>detailOrder.sendAtHome</t>
        </is>
      </c>
      <c r="B642" s="217" t="inlineStr">
        <is>
          <t>Gửi tại nhà</t>
        </is>
      </c>
      <c r="C642" s="217" t="inlineStr">
        <is>
          <t>Send at home</t>
        </is>
      </c>
      <c r="D642" s="217" t="inlineStr">
        <is>
          <t>-</t>
        </is>
      </c>
      <c r="E642" s="217" t="inlineStr">
        <is>
          <t>ផ្ញើនៅផ្ទះ</t>
        </is>
      </c>
      <c r="F642" s="217" t="n"/>
      <c r="G642" s="217" t="inlineStr">
        <is>
          <t>ផ្ញើនៅផ្ទះ</t>
        </is>
      </c>
      <c r="H642" s="217" t="inlineStr">
        <is>
          <t>上门取件寄出</t>
        </is>
      </c>
      <c r="J642" t="inlineStr">
        <is>
          <t>ផ្ញើនៅផ្ទះ</t>
        </is>
      </c>
    </row>
    <row r="643">
      <c r="A643" s="217" t="inlineStr">
        <is>
          <t>detailOrder.receiveAtStore</t>
        </is>
      </c>
      <c r="B643" s="217" t="inlineStr">
        <is>
          <t>Nhận tại cửa hàng</t>
        </is>
      </c>
      <c r="C643" s="217" t="inlineStr">
        <is>
          <t>Receive at store</t>
        </is>
      </c>
      <c r="D643" s="217" t="inlineStr">
        <is>
          <t>-</t>
        </is>
      </c>
      <c r="E643" s="217" t="inlineStr">
        <is>
          <t>ទទួលនៅហាង</t>
        </is>
      </c>
      <c r="F643" s="217" t="n"/>
      <c r="G643" s="217" t="inlineStr">
        <is>
          <t>ទទួលនៅហាង</t>
        </is>
      </c>
      <c r="H643" s="217" t="inlineStr">
        <is>
          <t>到店取件</t>
        </is>
      </c>
      <c r="J643" t="inlineStr">
        <is>
          <t>ទទួលនៅហាង</t>
        </is>
      </c>
    </row>
    <row r="644">
      <c r="A644" s="217" t="inlineStr">
        <is>
          <t>detailOrder.receiveAtHome</t>
        </is>
      </c>
      <c r="B644" s="217" t="inlineStr">
        <is>
          <t>Nhận tại nhà</t>
        </is>
      </c>
      <c r="C644" s="217" t="inlineStr">
        <is>
          <t>Receive at home</t>
        </is>
      </c>
      <c r="D644" s="217" t="inlineStr">
        <is>
          <t>-</t>
        </is>
      </c>
      <c r="E644" s="217" t="inlineStr">
        <is>
          <t>ទទួលនៅផ្ទះ</t>
        </is>
      </c>
      <c r="F644" s="217" t="n"/>
      <c r="G644" s="217" t="inlineStr">
        <is>
          <t>ទទួលនៅផ្ទះ</t>
        </is>
      </c>
      <c r="H644" s="217" t="inlineStr">
        <is>
          <t>送货上门取件</t>
        </is>
      </c>
      <c r="J644" t="inlineStr">
        <is>
          <t>ទទួលនៅផ្ទះ</t>
        </is>
      </c>
    </row>
    <row r="645">
      <c r="A645" s="217" t="inlineStr">
        <is>
          <t>detailOrder.deliveryRequest</t>
        </is>
      </c>
      <c r="B645" s="217" t="inlineStr">
        <is>
          <t>Yêu cầu nhận hàng:</t>
        </is>
      </c>
      <c r="C645" s="217" t="inlineStr">
        <is>
          <t>Pickup request:</t>
        </is>
      </c>
      <c r="D645" s="217" t="inlineStr">
        <is>
          <t>-</t>
        </is>
      </c>
      <c r="E645" s="217" t="inlineStr">
        <is>
          <t>ស្នើសុំទទួលអីវ៉ាន់</t>
        </is>
      </c>
      <c r="F645" s="217" t="n"/>
      <c r="G645" s="217" t="inlineStr">
        <is>
          <t>ស្នើសុំទទួលអីវ៉ាន់</t>
        </is>
      </c>
      <c r="H645" s="217" t="inlineStr">
        <is>
          <t>取件方式：</t>
        </is>
      </c>
      <c r="J645" t="inlineStr">
        <is>
          <t>ស្នើសុំទទួលអីវ៉ាន់</t>
        </is>
      </c>
    </row>
    <row r="646">
      <c r="A646" s="217" t="inlineStr">
        <is>
          <t>detailOrder.sendAtStoreName</t>
        </is>
      </c>
      <c r="B646" s="217" t="inlineStr">
        <is>
          <t>Gửi tại Cửa hàng {{name}}</t>
        </is>
      </c>
      <c r="C646" s="217" t="inlineStr">
        <is>
          <t>Send at {{name}} store</t>
        </is>
      </c>
      <c r="D646" s="217" t="inlineStr">
        <is>
          <t>-</t>
        </is>
      </c>
      <c r="E646" s="217" t="inlineStr">
        <is>
          <t>ផ្ញើនៅហាង {{name}}</t>
        </is>
      </c>
      <c r="F646" s="217" t="n"/>
      <c r="G646" s="217" t="inlineStr">
        <is>
          <t>ផ្ញើនៅហាង {{name}}</t>
        </is>
      </c>
      <c r="H646" s="217" t="inlineStr">
        <is>
          <t>在 {{name}} 店寄出</t>
        </is>
      </c>
      <c r="J646" t="inlineStr">
        <is>
          <t>ផ្ញើនៅហាង {{name}}</t>
        </is>
      </c>
    </row>
    <row r="647">
      <c r="A647" s="217" t="inlineStr">
        <is>
          <t>detailOrder.receiveAtStoreName</t>
        </is>
      </c>
      <c r="B647" s="217" t="inlineStr">
        <is>
          <t>Nhận tại Cửa hàng {{name}}</t>
        </is>
      </c>
      <c r="C647" s="217" t="inlineStr">
        <is>
          <t>Receive at {{name}} store</t>
        </is>
      </c>
      <c r="D647" s="217" t="inlineStr">
        <is>
          <t>-</t>
        </is>
      </c>
      <c r="E647" s="217" t="inlineStr">
        <is>
          <t>ទទួលនៅហាង {{name}}</t>
        </is>
      </c>
      <c r="F647" s="217" t="n"/>
      <c r="G647" s="217" t="inlineStr">
        <is>
          <t>ទទួលនៅហាង {{name}}</t>
        </is>
      </c>
      <c r="H647" s="217" t="inlineStr">
        <is>
          <t>在 {{name}} 店取件</t>
        </is>
      </c>
      <c r="J647" t="inlineStr">
        <is>
          <t>ទទួលនៅហាង {{name}}</t>
        </is>
      </c>
    </row>
    <row r="648">
      <c r="A648" s="217" t="inlineStr">
        <is>
          <t>warehouseSetting.setDefaultAddressSuccess</t>
        </is>
      </c>
      <c r="B648" s="217" t="inlineStr">
        <is>
          <t>Đặt lại địa chỉ mặc định thành công</t>
        </is>
      </c>
      <c r="C648" s="217" t="inlineStr">
        <is>
          <t>Successfully set default address</t>
        </is>
      </c>
      <c r="D648" s="217" t="inlineStr">
        <is>
          <t>កំណត់អាសយដ្ឋានលំនាំបានជោគជ័យ</t>
        </is>
      </c>
      <c r="E648" s="217" t="inlineStr">
        <is>
          <t>កំណត់អាសយដ្ឋានពេញលេញបានជោគជ័យ</t>
        </is>
      </c>
      <c r="F648" s="217" t="n"/>
      <c r="G648" s="217" t="inlineStr">
        <is>
          <t>កំណត់អាសយដ្ឋានពេញលេញបានជោគជ័យ</t>
        </is>
      </c>
      <c r="H648" s="217" t="inlineStr">
        <is>
          <t>默认地址设置成功</t>
        </is>
      </c>
      <c r="J648" t="inlineStr">
        <is>
          <t>កំណត់អាសយដ្ឋានពេញលេញបានជោគជ័យ</t>
        </is>
      </c>
    </row>
    <row r="649">
      <c r="A649" s="217" t="inlineStr">
        <is>
          <t>warehouseSetting.setAsDefault</t>
        </is>
      </c>
      <c r="B649" s="217" t="inlineStr">
        <is>
          <t>Đặt làm mặc định</t>
        </is>
      </c>
      <c r="C649" s="217" t="inlineStr">
        <is>
          <t>Set as Default</t>
        </is>
      </c>
      <c r="D649" s="217" t="inlineStr">
        <is>
          <t>កំណត់ជាលំនាំ</t>
        </is>
      </c>
      <c r="E649" s="217" t="inlineStr">
        <is>
          <t>កំណត់ឲ្យបានច្បាស់លាស់</t>
        </is>
      </c>
      <c r="F649" s="217" t="n"/>
      <c r="G649" s="217" t="inlineStr">
        <is>
          <t>កំណត់ឲ្យបានច្បាស់លាស់</t>
        </is>
      </c>
      <c r="H649" s="217" t="inlineStr">
        <is>
          <t>设为默认</t>
        </is>
      </c>
      <c r="J649" t="inlineStr">
        <is>
          <t>កំណត់ឲ្យបានច្បាស់លាស់</t>
        </is>
      </c>
    </row>
    <row r="650">
      <c r="A650" s="217" t="inlineStr">
        <is>
          <t>warehouseSetting.stopActivity</t>
        </is>
      </c>
      <c r="B650" s="217" t="inlineStr">
        <is>
          <t>Dừng hoạt động</t>
        </is>
      </c>
      <c r="C650" s="217" t="inlineStr">
        <is>
          <t>Deactivate</t>
        </is>
      </c>
      <c r="D650" s="217" t="inlineStr">
        <is>
          <t>ផ្អាកសកម្មភាព</t>
        </is>
      </c>
      <c r="E650" s="217" t="inlineStr">
        <is>
          <t>បញ្ឈប់សកម្មភាព</t>
        </is>
      </c>
      <c r="F650" s="217" t="n"/>
      <c r="G650" s="217" t="inlineStr">
        <is>
          <t>បញ្ឈប់សកម្មភាព</t>
        </is>
      </c>
      <c r="H650" s="217" t="inlineStr">
        <is>
          <t>停用</t>
        </is>
      </c>
      <c r="J650" t="inlineStr">
        <is>
          <t>បញ្ឈប់សកម្មភាព</t>
        </is>
      </c>
    </row>
    <row r="651">
      <c r="A651" s="217" t="inlineStr">
        <is>
          <t>warehouseSetting.active</t>
        </is>
      </c>
      <c r="B651" s="217" t="inlineStr">
        <is>
          <t>Đang hoạt động</t>
        </is>
      </c>
      <c r="C651" s="217" t="inlineStr">
        <is>
          <t>Active</t>
        </is>
      </c>
      <c r="D651" s="217" t="inlineStr">
        <is>
          <t>សកម្ម</t>
        </is>
      </c>
      <c r="E651" s="217" t="inlineStr">
        <is>
          <t>កំពុងដំណើរការ</t>
        </is>
      </c>
      <c r="F651" s="217" t="n"/>
      <c r="G651" s="217" t="inlineStr">
        <is>
          <t>កំពុងដំណើរការ</t>
        </is>
      </c>
      <c r="H651" s="217" t="inlineStr">
        <is>
          <t>已启用</t>
        </is>
      </c>
      <c r="J651" t="inlineStr">
        <is>
          <t>កំពុងដំណើរការ</t>
        </is>
      </c>
    </row>
    <row r="652">
      <c r="A652" s="217" t="inlineStr">
        <is>
          <t>warehouseSetting.inactive</t>
        </is>
      </c>
      <c r="B652" s="217" t="inlineStr">
        <is>
          <t>Dừng hoạt động</t>
        </is>
      </c>
      <c r="C652" s="217" t="inlineStr">
        <is>
          <t>Inactive</t>
        </is>
      </c>
      <c r="D652" s="217" t="inlineStr">
        <is>
          <t>មិនសកម្ម</t>
        </is>
      </c>
      <c r="E652" s="217" t="inlineStr">
        <is>
          <t>បញ្ឈប់សកម្មភាព</t>
        </is>
      </c>
      <c r="F652" s="217" t="n"/>
      <c r="G652" s="217" t="inlineStr">
        <is>
          <t>បញ្ឈប់សកម្មភាព</t>
        </is>
      </c>
      <c r="H652" s="217" t="inlineStr">
        <is>
          <t>已停用</t>
        </is>
      </c>
      <c r="J652" t="inlineStr">
        <is>
          <t>បញ្ឈប់សកម្មភាព</t>
        </is>
      </c>
    </row>
    <row r="653">
      <c r="A653" s="217" t="inlineStr">
        <is>
          <t>warehouseSetting.searchPlaceholder</t>
        </is>
      </c>
      <c r="B653" s="217" t="inlineStr">
        <is>
          <t>Nhập họ tên, số điện thoại để tìm kiếm</t>
        </is>
      </c>
      <c r="C653" s="217" t="inlineStr">
        <is>
          <t>Enter full name or phone number to search</t>
        </is>
      </c>
      <c r="D653" s="217" t="inlineStr">
        <is>
          <t>បញ្ចូលឈ្មោះ ឬ លេខទូរស័ព្ទដើម្បីស្វែងរក</t>
        </is>
      </c>
      <c r="E653" s="217" t="inlineStr">
        <is>
          <t>បញ្ចូលគោត្តនាម និងនាម លេខទូរស័ព្ទដើម្បីស្វែងរក</t>
        </is>
      </c>
      <c r="F653" s="217" t="n"/>
      <c r="G653" s="217" t="inlineStr">
        <is>
          <t>បញ្ចូលគោត្តនាម និងនាម លេខទូរស័ព្ទដើម្បីស្វែងរក</t>
        </is>
      </c>
      <c r="H653" s="217" t="inlineStr">
        <is>
          <t>请输入姓名或电话号码进行搜索</t>
        </is>
      </c>
      <c r="J653" t="inlineStr">
        <is>
          <t>បញ្ចូលគោត្តនាម និងនាម លេខទូរស័ព្ទដើម្បីស្វែងរក</t>
        </is>
      </c>
    </row>
    <row r="654">
      <c r="A654" s="217" t="inlineStr">
        <is>
          <t>warehouseSetting.uploadExcelFile</t>
        </is>
      </c>
      <c r="B654" s="217" t="inlineStr">
        <is>
          <t>Đẩy file excel</t>
        </is>
      </c>
      <c r="C654" s="217" t="inlineStr">
        <is>
          <t>Upload Excel File</t>
        </is>
      </c>
      <c r="D654" s="217" t="inlineStr">
        <is>
          <t>ផ្ទុកឯកសារ Excel</t>
        </is>
      </c>
      <c r="E654" s="217" t="inlineStr">
        <is>
          <t>ផ្ទុកឯកសារ Excel</t>
        </is>
      </c>
      <c r="F654" s="217" t="n"/>
      <c r="G654" s="217" t="inlineStr">
        <is>
          <t>ផ្ទុកឯកសារ Excel</t>
        </is>
      </c>
      <c r="H654" s="217" t="inlineStr">
        <is>
          <t>上传Excel文件</t>
        </is>
      </c>
      <c r="J654" t="inlineStr">
        <is>
          <t>ផ្ទុកឯកសារ Excel</t>
        </is>
      </c>
    </row>
    <row r="655">
      <c r="A655" s="217" t="inlineStr">
        <is>
          <t>warehouseSetting.downloadSampleFile</t>
        </is>
      </c>
      <c r="B655" s="217" t="inlineStr">
        <is>
          <t>Tải file mẫu</t>
        </is>
      </c>
      <c r="C655" s="217" t="inlineStr">
        <is>
          <t>Download Sample File</t>
        </is>
      </c>
      <c r="D655" s="217" t="inlineStr">
        <is>
          <t>ទាញយកឯកសារគំរូ</t>
        </is>
      </c>
      <c r="E655" s="217" t="inlineStr">
        <is>
          <t>ទាញយកfle គម្រូ</t>
        </is>
      </c>
      <c r="F655" s="217" t="n"/>
      <c r="G655" s="217" t="inlineStr">
        <is>
          <t>ទាញយកឯកសារគំរូ</t>
        </is>
      </c>
      <c r="H655" s="217" t="inlineStr">
        <is>
          <t>下载示例文件</t>
        </is>
      </c>
      <c r="J655" t="inlineStr">
        <is>
          <t>ទាញយកឯកសារគំរូ</t>
        </is>
      </c>
    </row>
    <row r="656">
      <c r="A656" s="217" t="inlineStr">
        <is>
          <t>warehouseSetting.addSender</t>
        </is>
      </c>
      <c r="B656" s="217" t="inlineStr">
        <is>
          <t>Thêm kho hàng</t>
        </is>
      </c>
      <c r="C656" s="217" t="inlineStr">
        <is>
          <t>Add Sender</t>
        </is>
      </c>
      <c r="D656" s="217" t="inlineStr">
        <is>
          <t>បន្ថែមអ្នកផ្ញើ</t>
        </is>
      </c>
      <c r="E656" s="217" t="inlineStr">
        <is>
          <t>បន្ថែមឃ្លាំងអីវ៉ាន់</t>
        </is>
      </c>
      <c r="F656" s="217" t="n"/>
      <c r="G656" s="217" t="inlineStr">
        <is>
          <t>បន្ថែមឃ្លាំងអីវ៉ាន់</t>
        </is>
      </c>
      <c r="H656" s="217" t="inlineStr">
        <is>
          <t>新增寄件人</t>
        </is>
      </c>
      <c r="J656" t="inlineStr">
        <is>
          <t>បន្ថែមឃ្លាំងអីវ៉ាន់</t>
        </is>
      </c>
    </row>
    <row r="657">
      <c r="A657" s="217" t="inlineStr">
        <is>
          <t>warehouseSetting.addressDefault</t>
        </is>
      </c>
      <c r="B657" s="217" t="inlineStr">
        <is>
          <t>Địa chỉ mặc định</t>
        </is>
      </c>
      <c r="C657" s="217" t="inlineStr">
        <is>
          <t>Default Address</t>
        </is>
      </c>
      <c r="D657" s="217" t="inlineStr">
        <is>
          <t>អាសយដ្ឋានលំនាំ</t>
        </is>
      </c>
      <c r="E657" s="217" t="inlineStr">
        <is>
          <t>អាសយដ្ឋានជាក់លាក់</t>
        </is>
      </c>
      <c r="F657" s="217" t="n"/>
      <c r="G657" s="217" t="inlineStr">
        <is>
          <t>អាសយដ្ឋានជាក់លាក់</t>
        </is>
      </c>
      <c r="H657" s="217" t="inlineStr">
        <is>
          <t>默认地址</t>
        </is>
      </c>
      <c r="J657" t="inlineStr">
        <is>
          <t>អាសយដ្ឋានជាក់លាក់</t>
        </is>
      </c>
    </row>
    <row r="658">
      <c r="A658" s="217" t="inlineStr">
        <is>
          <t>warehouseSetting.editSuccess</t>
        </is>
      </c>
      <c r="B658" s="217" t="inlineStr">
        <is>
          <t>Sửa thành công !</t>
        </is>
      </c>
      <c r="C658" s="217" t="inlineStr">
        <is>
          <t>Edit successful!</t>
        </is>
      </c>
      <c r="D658" s="217" t="inlineStr">
        <is>
          <t>កែប្រែបានជោគជ័យ!</t>
        </is>
      </c>
      <c r="E658" s="217" t="inlineStr">
        <is>
          <t>កែប្រែបានជោគជ័យ!</t>
        </is>
      </c>
      <c r="F658" s="217" t="n"/>
      <c r="G658" s="217" t="inlineStr">
        <is>
          <t>កែប្រែបានជោគជ័យ!</t>
        </is>
      </c>
      <c r="H658" s="217" t="inlineStr">
        <is>
          <t>编辑成功！</t>
        </is>
      </c>
      <c r="J658" t="inlineStr">
        <is>
          <t>កែប្រែបានជោគជ័យ!</t>
        </is>
      </c>
    </row>
    <row r="659">
      <c r="A659" s="217" t="inlineStr">
        <is>
          <t>warehouseSetting.addSuccess</t>
        </is>
      </c>
      <c r="B659" s="217" t="inlineStr">
        <is>
          <t>Thêm mới thành công !</t>
        </is>
      </c>
      <c r="C659" s="217" t="inlineStr">
        <is>
          <t>Addition successful!</t>
        </is>
      </c>
      <c r="D659" s="217" t="inlineStr">
        <is>
          <t>បន្ថែមថ្មីបានជោគជ័យ!</t>
        </is>
      </c>
      <c r="E659" s="217" t="inlineStr">
        <is>
          <t>បន្ថែមថ្មីបានជោគជ័យ!</t>
        </is>
      </c>
      <c r="F659" s="217" t="n"/>
      <c r="G659" s="217" t="inlineStr">
        <is>
          <t>បន្ថែមថ្មីបានជោគជ័យ!</t>
        </is>
      </c>
      <c r="H659" s="217" t="inlineStr">
        <is>
          <t>新增成功！</t>
        </is>
      </c>
      <c r="J659" t="inlineStr">
        <is>
          <t>បន្ថែមថ្មីបានជោគជ័យ!</t>
        </is>
      </c>
    </row>
    <row r="660">
      <c r="A660" s="217" t="inlineStr">
        <is>
          <t>warehouseSetting.editWarehouse</t>
        </is>
      </c>
      <c r="B660" s="217" t="inlineStr">
        <is>
          <t>Sửa kho hàng</t>
        </is>
      </c>
      <c r="C660" s="217" t="inlineStr">
        <is>
          <t>Edit Warehouse</t>
        </is>
      </c>
      <c r="D660" s="217" t="inlineStr">
        <is>
          <t>កែសម្រួលឃ្លាំង</t>
        </is>
      </c>
      <c r="E660" s="217" t="inlineStr">
        <is>
          <t>ប្តូរឃ្លាំងអីវ៉ាន់</t>
        </is>
      </c>
      <c r="F660" s="217" t="n"/>
      <c r="G660" s="217" t="inlineStr">
        <is>
          <t>ប្តូរឃ្លាំងអីវ៉ាន់</t>
        </is>
      </c>
      <c r="H660" s="217" t="inlineStr">
        <is>
          <t>编辑仓库</t>
        </is>
      </c>
      <c r="J660" t="inlineStr">
        <is>
          <t>ប្តូរឃ្លាំងអីវ៉ាន់</t>
        </is>
      </c>
    </row>
    <row r="661">
      <c r="A661" s="217" t="inlineStr">
        <is>
          <t>warehouseSetting.addWarehouse</t>
        </is>
      </c>
      <c r="B661" s="217" t="inlineStr">
        <is>
          <t>Thêm kho hàng</t>
        </is>
      </c>
      <c r="C661" s="217" t="inlineStr">
        <is>
          <t>Add Warehouse</t>
        </is>
      </c>
      <c r="D661" s="217" t="inlineStr">
        <is>
          <t>បន្ថែមឃ្លាំង</t>
        </is>
      </c>
      <c r="E661" s="217" t="inlineStr">
        <is>
          <t>បន្ថែ្ថមឃ្លាំងអីវ៉ាន់</t>
        </is>
      </c>
      <c r="F661" s="217" t="n"/>
      <c r="G661" s="217" t="inlineStr">
        <is>
          <t>បន្ថែ្ថមឃ្លាំងអីវ៉ាន់</t>
        </is>
      </c>
      <c r="H661" s="217" t="inlineStr">
        <is>
          <t>新增仓库</t>
        </is>
      </c>
      <c r="J661" t="inlineStr">
        <is>
          <t>បន្ថែ្ថមឃ្លាំងអីវ៉ាន់</t>
        </is>
      </c>
    </row>
    <row r="662">
      <c r="A662" s="144" t="inlineStr">
        <is>
          <t>warehouseSetting.name</t>
        </is>
      </c>
      <c r="B662" s="217" t="inlineStr">
        <is>
          <t>Tên</t>
        </is>
      </c>
      <c r="C662" s="217" t="inlineStr">
        <is>
          <t>Name</t>
        </is>
      </c>
      <c r="D662" s="217" t="inlineStr">
        <is>
          <t>ឈ្មោះ</t>
        </is>
      </c>
      <c r="E662" s="217" t="inlineStr">
        <is>
          <t>ឈ្មោះ</t>
        </is>
      </c>
      <c r="F662" s="217" t="n"/>
      <c r="G662" s="217" t="inlineStr">
        <is>
          <t>ឈ្មោះ</t>
        </is>
      </c>
      <c r="H662" s="217" t="inlineStr">
        <is>
          <t>姓名</t>
        </is>
      </c>
      <c r="J662" t="inlineStr">
        <is>
          <t>ឈ្មោះ</t>
        </is>
      </c>
    </row>
    <row r="663">
      <c r="A663" s="217" t="inlineStr">
        <is>
          <t>warehouseSetting.enterContactOrWarehouseNameRequired</t>
        </is>
      </c>
      <c r="B663" s="217" t="inlineStr">
        <is>
          <t>Nhập tên người liên hệ/kho gửi hàng !</t>
        </is>
      </c>
      <c r="C663" s="217" t="inlineStr">
        <is>
          <t>Please enter the contact name or warehouse name!</t>
        </is>
      </c>
      <c r="D663" s="217" t="inlineStr">
        <is>
          <t>សូមបញ្ចូលឈ្មោះអ្នកទាក់ទង/ឈ្មោះឃ្លាំង!</t>
        </is>
      </c>
      <c r="E663" s="217" t="inlineStr">
        <is>
          <t>បញ្ចូលឈ្មោះអ្នកទាក់ទង/ឃ្លាំងផ្ញើអីវ៉ាន់!</t>
        </is>
      </c>
      <c r="F663" s="217" t="n"/>
      <c r="G663" s="217" t="inlineStr">
        <is>
          <t>បញ្ចូលឈ្មោះអ្នកទាក់ទង/ឃ្លាំងផ្ញើអីវ៉ាន់!</t>
        </is>
      </c>
      <c r="H663" s="217" t="inlineStr">
        <is>
          <t>请输入联系人姓名或仓库名称！</t>
        </is>
      </c>
      <c r="J663" t="inlineStr">
        <is>
          <t>បញ្ចូលឈ្មោះអ្នកទាក់ទង/ឃ្លាំងផ្ញើអីវ៉ាន់!</t>
        </is>
      </c>
    </row>
    <row r="664">
      <c r="A664" s="217" t="inlineStr">
        <is>
          <t>warehouseSetting.enterContactOrWarehouseName</t>
        </is>
      </c>
      <c r="B664" s="217" t="inlineStr">
        <is>
          <t>Nhập tên người liên hệ/kho gửi hàng</t>
        </is>
      </c>
      <c r="C664" s="217" t="inlineStr">
        <is>
          <t>Enter the contact name or warehouse name</t>
        </is>
      </c>
      <c r="D664" s="217" t="inlineStr">
        <is>
          <t>បញ្ចូលឈ្មោះអ្នកទាក់ទង/ឈ្មោះឃ្លាំង</t>
        </is>
      </c>
      <c r="E664" s="217" t="inlineStr">
        <is>
          <t>បញ្ចូលឈ្មោះអ្នកទាក់ទង/ឃ្លាំងផ្ញើអីវ៉ាន់</t>
        </is>
      </c>
      <c r="F664" s="217" t="n"/>
      <c r="G664" s="217" t="inlineStr">
        <is>
          <t>បញ្ចូលឈ្មោះអ្នកទាក់ទង/ឃ្លាំងផ្ញើអីវ៉ាន់</t>
        </is>
      </c>
      <c r="H664" s="217" t="inlineStr">
        <is>
          <t>请输入联系人姓名或仓库名称</t>
        </is>
      </c>
      <c r="J664" t="inlineStr">
        <is>
          <t>បញ្ចូលឈ្មោះអ្នកទាក់ទង/ឃ្លាំងផ្ញើអីវ៉ាន់</t>
        </is>
      </c>
    </row>
    <row r="665">
      <c r="A665" s="217" t="inlineStr">
        <is>
          <t>warehouseSetting.phoneNumber</t>
        </is>
      </c>
      <c r="B665" s="217" t="inlineStr">
        <is>
          <t>Số điện thoại</t>
        </is>
      </c>
      <c r="C665" s="217" t="inlineStr">
        <is>
          <t>Phone Number</t>
        </is>
      </c>
      <c r="D665" s="217" t="inlineStr">
        <is>
          <t>លេខទូរស័ព្ទ</t>
        </is>
      </c>
      <c r="E665" s="217" t="inlineStr">
        <is>
          <t>លេខទូរស័ព្ទ</t>
        </is>
      </c>
      <c r="F665" s="217" t="n"/>
      <c r="G665" s="217" t="inlineStr">
        <is>
          <t>លេខទូរស័ព្ទ</t>
        </is>
      </c>
      <c r="H665" s="217" t="inlineStr">
        <is>
          <t>电话号码</t>
        </is>
      </c>
      <c r="J665" t="inlineStr">
        <is>
          <t>លេខទូរស័ព្ទ</t>
        </is>
      </c>
    </row>
    <row r="666">
      <c r="A666" s="217" t="inlineStr">
        <is>
          <t>warehouseSetting.enterShippingPhoneNumberRequired</t>
        </is>
      </c>
      <c r="B666" s="217" t="inlineStr">
        <is>
          <t>Nhập số điện thoại gửi hàng !</t>
        </is>
      </c>
      <c r="C666" s="217" t="inlineStr">
        <is>
          <t>Please enter the shipping phone number!</t>
        </is>
      </c>
      <c r="D666" s="217" t="inlineStr">
        <is>
          <t>សូមបញ្ចូលលេខទូរស័ព្ទផ្ញើ!</t>
        </is>
      </c>
      <c r="E666" s="217" t="inlineStr">
        <is>
          <t>បញ្ចូលលេខទូរស័ព្ទផ្ញើអីវ៉ាន់!</t>
        </is>
      </c>
      <c r="F666" s="217" t="n"/>
      <c r="G666" s="217" t="inlineStr">
        <is>
          <t>បញ្ចូលលេខទូរស័ព្ទផ្ញើអីវ៉ាន់!</t>
        </is>
      </c>
      <c r="H666" s="217" t="inlineStr">
        <is>
          <t>请输入收货人电话！</t>
        </is>
      </c>
      <c r="J666" t="inlineStr">
        <is>
          <t>បញ្ចូលលេខទូរស័ព្ទផ្ញើអីវ៉ាន់!</t>
        </is>
      </c>
    </row>
    <row r="667">
      <c r="A667" s="217" t="inlineStr">
        <is>
          <t>warehouseSetting.invalidPhoneNumber</t>
        </is>
      </c>
      <c r="B667" s="217" t="inlineStr">
        <is>
          <t>Số điện thoại không hợp lệ !</t>
        </is>
      </c>
      <c r="C667" s="217" t="inlineStr">
        <is>
          <t>Invalid phone number!</t>
        </is>
      </c>
      <c r="D667" s="217" t="inlineStr">
        <is>
          <t>លេខទូរស័ព្ទមិនត្រឹមត្រូវ!</t>
        </is>
      </c>
      <c r="E667" s="217" t="inlineStr">
        <is>
          <t>លេខទូរស័ព្ទមិនសមស្រប!</t>
        </is>
      </c>
      <c r="F667" s="217" t="n"/>
      <c r="G667" s="217" t="inlineStr">
        <is>
          <t>លេខទូរស័ព្ទមិនសមស្រប!</t>
        </is>
      </c>
      <c r="H667" s="217" t="inlineStr">
        <is>
          <t>电话号码无效！</t>
        </is>
      </c>
      <c r="J667" t="inlineStr">
        <is>
          <t>លេខទូរស័ព្ទមិនសមស្រប!</t>
        </is>
      </c>
    </row>
    <row r="668">
      <c r="A668" s="217" t="inlineStr">
        <is>
          <t>warehouseSetting.enterShippingPhoneNumber</t>
        </is>
      </c>
      <c r="B668" s="217" t="inlineStr">
        <is>
          <t>Nhập số điện thoại gửi hàng</t>
        </is>
      </c>
      <c r="C668" s="217" t="inlineStr">
        <is>
          <t>Enter the shipping phone number</t>
        </is>
      </c>
      <c r="D668" s="217" t="inlineStr">
        <is>
          <t>បញ្ចូលលេខទូរស័ព្ទផ្ញើ</t>
        </is>
      </c>
      <c r="E668" s="217" t="inlineStr">
        <is>
          <t>បញ្ចូលលេខទូរស័ព្ទផ្ញើអីវ៉ាន់</t>
        </is>
      </c>
      <c r="F668" s="217" t="n"/>
      <c r="G668" s="217" t="inlineStr">
        <is>
          <t>បញ្ចូលលេខទូរស័ព្ទផ្ញើអីវ៉ាន់</t>
        </is>
      </c>
      <c r="H668" s="217" t="inlineStr">
        <is>
          <t>请输入收货人电话</t>
        </is>
      </c>
      <c r="J668" t="inlineStr">
        <is>
          <t>បញ្ចូលលេខទូរស័ព្ទផ្ញើអីវ៉ាន់</t>
        </is>
      </c>
    </row>
    <row r="669">
      <c r="A669" s="217" t="inlineStr">
        <is>
          <t>warehouseSetting.region</t>
        </is>
      </c>
      <c r="B669" s="217" t="inlineStr">
        <is>
          <t>Liên bang / Vùng</t>
        </is>
      </c>
      <c r="C669" s="217" t="inlineStr">
        <is>
          <t>Region</t>
        </is>
      </c>
      <c r="D669" s="217" t="inlineStr">
        <is>
          <t>តំបន់/ខេត្ត</t>
        </is>
      </c>
      <c r="E669" s="217" t="inlineStr">
        <is>
          <t>សហព័ន្ធ/តំបន់</t>
        </is>
      </c>
      <c r="F669" s="217" t="n"/>
      <c r="G669" s="217" t="inlineStr">
        <is>
          <t>សហព័ន្ធ/តំបន់</t>
        </is>
      </c>
      <c r="H669" s="217" t="inlineStr">
        <is>
          <t>大区</t>
        </is>
      </c>
      <c r="J669" t="inlineStr">
        <is>
          <t>សហព័ន្ធ/តំបន់</t>
        </is>
      </c>
    </row>
    <row r="670">
      <c r="A670" s="217" t="inlineStr">
        <is>
          <t>warehouseSetting.selectRegionRequired</t>
        </is>
      </c>
      <c r="B670" s="217" t="inlineStr">
        <is>
          <t>Vui lòng chọn Liên bang / Vùng !</t>
        </is>
      </c>
      <c r="C670" s="217" t="inlineStr">
        <is>
          <t>Please select a Region!</t>
        </is>
      </c>
      <c r="D670" s="217" t="inlineStr">
        <is>
          <t>សូមជ្រើសតំបន់/ខេត្ត!</t>
        </is>
      </c>
      <c r="E670" s="217" t="inlineStr">
        <is>
          <t>សូមជ្រើសរើសសហព័ន្ធ/តំបន់!</t>
        </is>
      </c>
      <c r="F670" s="217" t="n"/>
      <c r="G670" s="217" t="inlineStr">
        <is>
          <t>សូមជ្រើសរើសសហព័ន្ធ/តំបន់!</t>
        </is>
      </c>
      <c r="H670" s="217" t="inlineStr">
        <is>
          <t>请选择大区！</t>
        </is>
      </c>
      <c r="J670" t="inlineStr">
        <is>
          <t>សូមជ្រើសរើសសហព័ន្ធ/តំបន់!</t>
        </is>
      </c>
    </row>
    <row r="671">
      <c r="A671" s="217" t="inlineStr">
        <is>
          <t>warehouseSetting.selectRegion</t>
        </is>
      </c>
      <c r="B671" s="217" t="inlineStr">
        <is>
          <t>Chọn Liên bang / Vùng</t>
        </is>
      </c>
      <c r="C671" s="217" t="inlineStr">
        <is>
          <t>Select Region</t>
        </is>
      </c>
      <c r="D671" s="217" t="inlineStr">
        <is>
          <t>ជ្រើសតំបន់/ខេត្ត</t>
        </is>
      </c>
      <c r="E671" s="217" t="inlineStr">
        <is>
          <t>ជ្រើសរើសសហព័ន្ធ/តំបន់</t>
        </is>
      </c>
      <c r="F671" s="217" t="n"/>
      <c r="G671" s="217" t="inlineStr">
        <is>
          <t>ជ្រើសរើសសហព័ន្ធ/តំបន់</t>
        </is>
      </c>
      <c r="H671" s="217" t="inlineStr">
        <is>
          <t>选择大区</t>
        </is>
      </c>
      <c r="J671" t="inlineStr">
        <is>
          <t>ជ្រើសរើសសហព័ន្ធ/តំបន់</t>
        </is>
      </c>
    </row>
    <row r="672">
      <c r="A672" s="217" t="inlineStr">
        <is>
          <t>warehouseSetting.province</t>
        </is>
      </c>
      <c r="B672" s="217" t="inlineStr">
        <is>
          <t>Liên bang / Vùng</t>
        </is>
      </c>
      <c r="C672" s="217" t="inlineStr">
        <is>
          <t>Province</t>
        </is>
      </c>
      <c r="D672" s="217" t="inlineStr">
        <is>
          <t>ខេត្ត/តំបន់</t>
        </is>
      </c>
      <c r="E672" s="217" t="inlineStr">
        <is>
          <t>សហព័ន្ធ/តំបន់</t>
        </is>
      </c>
      <c r="F672" s="217" t="n"/>
      <c r="G672" s="217" t="inlineStr">
        <is>
          <t>សហព័ន្ធ/តំបន់</t>
        </is>
      </c>
      <c r="H672" s="217" t="inlineStr">
        <is>
          <t>省</t>
        </is>
      </c>
      <c r="J672" t="inlineStr">
        <is>
          <t>សហព័ន្ធ/តំបន់</t>
        </is>
      </c>
    </row>
    <row r="673">
      <c r="A673" s="217" t="inlineStr">
        <is>
          <t>warehouseSetting.selectProvinceRequired</t>
        </is>
      </c>
      <c r="B673" s="217" t="inlineStr">
        <is>
          <t>Vui lòng chọn Liên bang / Vùng !</t>
        </is>
      </c>
      <c r="C673" s="217" t="inlineStr">
        <is>
          <t>Please select a Province!</t>
        </is>
      </c>
      <c r="D673" s="217" t="inlineStr">
        <is>
          <t>សូមជ្រើសខេត្ត/តំបន់!</t>
        </is>
      </c>
      <c r="E673" s="217" t="inlineStr">
        <is>
          <t>សូមជ្រើសរើសសហព័ន្ធ/តំបន់!</t>
        </is>
      </c>
      <c r="F673" s="217" t="n"/>
      <c r="G673" s="217" t="inlineStr">
        <is>
          <t>សូមជ្រើសរើសសហព័ន្ធ/តំបន់!</t>
        </is>
      </c>
      <c r="H673" s="217" t="inlineStr">
        <is>
          <t>请选择省！</t>
        </is>
      </c>
      <c r="J673" t="inlineStr">
        <is>
          <t>សូមជ្រើសរើសសហព័ន្ធ/តំបន់!</t>
        </is>
      </c>
    </row>
    <row r="674">
      <c r="A674" s="217" t="inlineStr">
        <is>
          <t>warehouseSetting.selectProvince</t>
        </is>
      </c>
      <c r="B674" s="217" t="inlineStr">
        <is>
          <t>Chọn Liên bang / Vùng</t>
        </is>
      </c>
      <c r="C674" s="217" t="inlineStr">
        <is>
          <t>Select Province</t>
        </is>
      </c>
      <c r="D674" s="217" t="inlineStr">
        <is>
          <t>ជ្រើសខេត្ត/តំបន់</t>
        </is>
      </c>
      <c r="E674" s="217" t="inlineStr">
        <is>
          <t>ជ្រើសរើសសហព័ន្ធ/តំបន់</t>
        </is>
      </c>
      <c r="F674" s="217" t="n"/>
      <c r="G674" s="217" t="inlineStr">
        <is>
          <t>ជ្រើសរើសសហព័ន្ធ/តំបន់</t>
        </is>
      </c>
      <c r="H674" s="217" t="inlineStr">
        <is>
          <t>选择省</t>
        </is>
      </c>
      <c r="J674" t="inlineStr">
        <is>
          <t>ជ្រើសរើសសហព័ន្ធ/តំបន់</t>
        </is>
      </c>
    </row>
    <row r="675">
      <c r="A675" s="217" t="inlineStr">
        <is>
          <t>warehouseSetting.district</t>
        </is>
      </c>
      <c r="B675" s="217" t="inlineStr">
        <is>
          <t>Mường</t>
        </is>
      </c>
      <c r="C675" s="217" t="inlineStr">
        <is>
          <t>District</t>
        </is>
      </c>
      <c r="D675" s="217" t="inlineStr">
        <is>
          <t>ស្រុក/ខណ្ឌ</t>
        </is>
      </c>
      <c r="E675" s="217" t="inlineStr">
        <is>
          <t>ស្រុក/ខណ្ឌ</t>
        </is>
      </c>
      <c r="F675" s="217" t="n"/>
      <c r="G675" s="217" t="inlineStr">
        <is>
          <t>ស្រុក/ខណ្ឌ</t>
        </is>
      </c>
      <c r="H675" s="217" t="inlineStr">
        <is>
          <t>区/县</t>
        </is>
      </c>
      <c r="J675" t="inlineStr">
        <is>
          <t>ស្រុក/ខណ្ឌ</t>
        </is>
      </c>
    </row>
    <row r="676">
      <c r="A676" s="217" t="inlineStr">
        <is>
          <t>warehouseSetting.selectDistrictRequired</t>
        </is>
      </c>
      <c r="B676" s="217" t="inlineStr">
        <is>
          <t>Vui lòng chọn Mường !</t>
        </is>
      </c>
      <c r="C676" s="217" t="inlineStr">
        <is>
          <t>Please select a District!</t>
        </is>
      </c>
      <c r="D676" s="217" t="inlineStr">
        <is>
          <t>សូមជ្រើសស្រុក/ខណ្ឌ!</t>
        </is>
      </c>
      <c r="E676" s="217" t="inlineStr">
        <is>
          <t>សូមជ្រើសរើសស្រុក/ខណ្ឌ!</t>
        </is>
      </c>
      <c r="F676" s="217" t="n"/>
      <c r="G676" s="217" t="inlineStr">
        <is>
          <t>សូមជ្រើសរើសស្រុក/ខណ្ឌ!</t>
        </is>
      </c>
      <c r="H676" s="217" t="inlineStr">
        <is>
          <t>请选择区/县！</t>
        </is>
      </c>
      <c r="J676" t="inlineStr">
        <is>
          <t>សូមជ្រើសរើសស្រុក/ខណ្ឌ!</t>
        </is>
      </c>
    </row>
    <row r="677">
      <c r="A677" s="217" t="inlineStr">
        <is>
          <t>warehouseSetting.selectDistrict</t>
        </is>
      </c>
      <c r="B677" s="217" t="inlineStr">
        <is>
          <t>Chọn Mường</t>
        </is>
      </c>
      <c r="C677" s="217" t="inlineStr">
        <is>
          <t>Select District</t>
        </is>
      </c>
      <c r="D677" s="217" t="inlineStr">
        <is>
          <t>ជ្រើសស្រុក/ខណ្ឌ</t>
        </is>
      </c>
      <c r="E677" s="217" t="inlineStr">
        <is>
          <t>ជ្រើសរើសស្រុក/ខណ្ឌ</t>
        </is>
      </c>
      <c r="F677" s="217" t="n"/>
      <c r="G677" s="217" t="inlineStr">
        <is>
          <t>ជ្រើសរើសស្រុក/ខណ្ឌ</t>
        </is>
      </c>
      <c r="H677" s="217" t="inlineStr">
        <is>
          <t>选择区/县</t>
        </is>
      </c>
      <c r="J677" t="inlineStr">
        <is>
          <t>ជ្រើសរើសស្រុក/ខណ្ឌ</t>
        </is>
      </c>
    </row>
    <row r="678">
      <c r="A678" s="217" t="inlineStr">
        <is>
          <t>warehouseSetting.town</t>
        </is>
      </c>
      <c r="B678" s="217" t="inlineStr">
        <is>
          <t>Thị trấn</t>
        </is>
      </c>
      <c r="C678" s="217" t="inlineStr">
        <is>
          <t>Town</t>
        </is>
      </c>
      <c r="D678" s="217" t="inlineStr">
        <is>
          <t>ទីក្រុង/សង្កាត់</t>
        </is>
      </c>
      <c r="E678" s="217" t="inlineStr">
        <is>
          <t>ខេត្ត</t>
        </is>
      </c>
      <c r="F678" s="217" t="n"/>
      <c r="G678" s="217" t="inlineStr">
        <is>
          <t>ខេត្ត</t>
        </is>
      </c>
      <c r="H678" s="217" t="inlineStr">
        <is>
          <t>乡镇</t>
        </is>
      </c>
      <c r="J678" t="inlineStr">
        <is>
          <t>ខេត្ត</t>
        </is>
      </c>
    </row>
    <row r="679">
      <c r="A679" s="217" t="inlineStr">
        <is>
          <t>warehouseSetting.selectTownRequired</t>
        </is>
      </c>
      <c r="B679" s="217" t="inlineStr">
        <is>
          <t>Vui lòng chọn Thị trấn !</t>
        </is>
      </c>
      <c r="C679" s="217" t="inlineStr">
        <is>
          <t>Please select a Town!</t>
        </is>
      </c>
      <c r="D679" s="217" t="inlineStr">
        <is>
          <t>សូមជ្រើសទីក្រុង/សង្កាត់!</t>
        </is>
      </c>
      <c r="E679" s="217" t="inlineStr">
        <is>
          <t>សូមជ្រើសរើសខេត្តជាមុន!</t>
        </is>
      </c>
      <c r="F679" s="217" t="n"/>
      <c r="G679" s="217" t="inlineStr">
        <is>
          <t>សូមជ្រើសរើសខេត្តជាមុន!</t>
        </is>
      </c>
      <c r="H679" s="217" t="inlineStr">
        <is>
          <t>请选择乡镇！</t>
        </is>
      </c>
      <c r="J679" t="inlineStr">
        <is>
          <t>សូមជ្រើសរើសខេត្តជាមុន!</t>
        </is>
      </c>
    </row>
    <row r="680">
      <c r="A680" s="217" t="inlineStr">
        <is>
          <t>warehouseSetting.selectTown</t>
        </is>
      </c>
      <c r="B680" s="217" t="inlineStr">
        <is>
          <t>Chọn Thị trấn</t>
        </is>
      </c>
      <c r="C680" s="217" t="inlineStr">
        <is>
          <t>Select Town</t>
        </is>
      </c>
      <c r="D680" s="217" t="inlineStr">
        <is>
          <t>ជ្រើសទីក្រុង/សង្កាត់</t>
        </is>
      </c>
      <c r="E680" s="217" t="inlineStr">
        <is>
          <t>ជ្រើសរើសខេត្ត</t>
        </is>
      </c>
      <c r="F680" s="217" t="n"/>
      <c r="G680" s="217" t="inlineStr">
        <is>
          <t>ជ្រើសរើសខេត្ត</t>
        </is>
      </c>
      <c r="H680" s="217" t="inlineStr">
        <is>
          <t>选择乡镇</t>
        </is>
      </c>
      <c r="J680" t="inlineStr">
        <is>
          <t>ជ្រើសរើសខេត្ត</t>
        </is>
      </c>
    </row>
    <row r="681">
      <c r="A681" s="217" t="inlineStr">
        <is>
          <t>warehouseSetting.commune</t>
        </is>
      </c>
      <c r="B681" s="217" t="inlineStr">
        <is>
          <t>Thị trấn</t>
        </is>
      </c>
      <c r="C681" s="217" t="inlineStr">
        <is>
          <t>Commune</t>
        </is>
      </c>
      <c r="D681" s="217" t="inlineStr">
        <is>
          <t>ឃុំ/សង្កាត់</t>
        </is>
      </c>
      <c r="E681" s="217" t="inlineStr">
        <is>
          <t>ខេត្ត</t>
        </is>
      </c>
      <c r="F681" s="217" t="n"/>
      <c r="G681" s="217" t="inlineStr">
        <is>
          <t>ខេត្ត</t>
        </is>
      </c>
      <c r="H681" s="217" t="inlineStr">
        <is>
          <t>公社</t>
        </is>
      </c>
      <c r="J681" t="inlineStr">
        <is>
          <t>ខេត្ត</t>
        </is>
      </c>
    </row>
    <row r="682">
      <c r="A682" s="217" t="inlineStr">
        <is>
          <t>warehouseSetting.selectCommuneRequired</t>
        </is>
      </c>
      <c r="B682" s="217" t="inlineStr">
        <is>
          <t>Vui lòng chọn Thị trấn !</t>
        </is>
      </c>
      <c r="C682" s="217" t="inlineStr">
        <is>
          <t>Please select a Commune!</t>
        </is>
      </c>
      <c r="D682" s="217" t="inlineStr">
        <is>
          <t>សូមជ្រើសឃុំ/សង្កាត់!</t>
        </is>
      </c>
      <c r="E682" s="217" t="inlineStr">
        <is>
          <t>សូមជ្រើសរើសខេត្តជាមុុន!</t>
        </is>
      </c>
      <c r="F682" s="217" t="n"/>
      <c r="G682" s="217" t="inlineStr">
        <is>
          <t>សូមជ្រើសរើសខេត្តជាមុុន!</t>
        </is>
      </c>
      <c r="H682" s="217" t="inlineStr">
        <is>
          <t>请选择公社！</t>
        </is>
      </c>
      <c r="J682" t="inlineStr">
        <is>
          <t>សូមជ្រើសរើសខេត្តជាមុុន!</t>
        </is>
      </c>
    </row>
    <row r="683">
      <c r="A683" s="217" t="inlineStr">
        <is>
          <t>warehouseSetting.selectCommune</t>
        </is>
      </c>
      <c r="B683" s="217" t="inlineStr">
        <is>
          <t>Chọn Thị trấn</t>
        </is>
      </c>
      <c r="C683" s="217" t="inlineStr">
        <is>
          <t>Select Commune</t>
        </is>
      </c>
      <c r="D683" s="217" t="inlineStr">
        <is>
          <t>ជ្រើសឃុំ/សង្កាត់</t>
        </is>
      </c>
      <c r="E683" s="217" t="inlineStr">
        <is>
          <t>ជ្រើសរើសខេត្ត</t>
        </is>
      </c>
      <c r="F683" s="217" t="n"/>
      <c r="G683" s="217" t="inlineStr">
        <is>
          <t>ជ្រើសរើសខេត្ត</t>
        </is>
      </c>
      <c r="H683" s="217" t="inlineStr">
        <is>
          <t>选择公社</t>
        </is>
      </c>
      <c r="J683" t="inlineStr">
        <is>
          <t>ជ្រើសរើសខេត្ត</t>
        </is>
      </c>
    </row>
    <row r="684">
      <c r="A684" s="217" t="inlineStr">
        <is>
          <t>warehouseSetting.address</t>
        </is>
      </c>
      <c r="B684" s="217" t="inlineStr">
        <is>
          <t>Địa chỉ</t>
        </is>
      </c>
      <c r="C684" s="217" t="inlineStr">
        <is>
          <t>Address</t>
        </is>
      </c>
      <c r="D684" s="217" t="inlineStr">
        <is>
          <t>អាសយដ្ឋាន</t>
        </is>
      </c>
      <c r="E684" s="217" t="inlineStr">
        <is>
          <t>ទីតាំង</t>
        </is>
      </c>
      <c r="F684" s="217" t="n"/>
      <c r="G684" s="217" t="inlineStr">
        <is>
          <t>អាសយដ្ឋាន</t>
        </is>
      </c>
      <c r="H684" s="217" t="inlineStr">
        <is>
          <t>地址</t>
        </is>
      </c>
      <c r="J684" t="inlineStr">
        <is>
          <t>អាសយដ្ឋាន</t>
        </is>
      </c>
    </row>
    <row r="685">
      <c r="A685" s="217" t="inlineStr">
        <is>
          <t>warehouseSetting.enterShippingAddressRequired</t>
        </is>
      </c>
      <c r="B685" s="217" t="inlineStr">
        <is>
          <t>Nhập địa chỉ gửi hàng !</t>
        </is>
      </c>
      <c r="C685" s="217" t="inlineStr">
        <is>
          <t>Please enter the shipping address!</t>
        </is>
      </c>
      <c r="D685" s="217" t="inlineStr">
        <is>
          <t>សូមបញ្ចូលអាសយដ្ឋានផ្ញើ!</t>
        </is>
      </c>
      <c r="E685" s="217" t="inlineStr">
        <is>
          <t>បញ្ចូលទីតាំងផ្ញើអីវ៉ាន់!</t>
        </is>
      </c>
      <c r="F685" s="217" t="n"/>
      <c r="G685" s="217" t="inlineStr">
        <is>
          <t>បញ្ចូលទីតាំងផ្ញើអីវ៉ាន់!</t>
        </is>
      </c>
      <c r="H685" s="217" t="inlineStr">
        <is>
          <t>请输入收货地址！</t>
        </is>
      </c>
      <c r="J685" t="inlineStr">
        <is>
          <t>បញ្ចូលទីតាំងផ្ញើអីវ៉ាន់!</t>
        </is>
      </c>
    </row>
    <row r="686">
      <c r="A686" s="217" t="inlineStr">
        <is>
          <t>warehouseSetting.enterShippingAddress</t>
        </is>
      </c>
      <c r="B686" s="217" t="inlineStr">
        <is>
          <t>Nhập địa chỉ gửi hàng</t>
        </is>
      </c>
      <c r="C686" s="217" t="inlineStr">
        <is>
          <t>Enter the shipping address</t>
        </is>
      </c>
      <c r="D686" s="217" t="inlineStr">
        <is>
          <t>បញ្ចូលអាសយដ្ឋានផ្ញើ</t>
        </is>
      </c>
      <c r="E686" s="217" t="inlineStr">
        <is>
          <t>បញ្ចូលអាសយដ្ឋានផ្ញើ</t>
        </is>
      </c>
      <c r="F686" s="217" t="n"/>
      <c r="G686" s="217" t="inlineStr">
        <is>
          <t>បញ្ចូលអាសយដ្ឋានផ្ញើ</t>
        </is>
      </c>
      <c r="H686" s="217" t="inlineStr">
        <is>
          <t>请输入收货地址</t>
        </is>
      </c>
      <c r="J686" t="inlineStr">
        <is>
          <t>បញ្ចូលអាសយដ្ឋានផ្ញើ</t>
        </is>
      </c>
    </row>
    <row r="687">
      <c r="A687" s="217" t="inlineStr">
        <is>
          <t>warehouseSetting.addressType</t>
        </is>
      </c>
      <c r="B687" s="217" t="inlineStr">
        <is>
          <t>Loại địa chỉ</t>
        </is>
      </c>
      <c r="C687" s="217" t="inlineStr">
        <is>
          <t>Address Type</t>
        </is>
      </c>
      <c r="D687" s="217" t="inlineStr">
        <is>
          <t>ប្រភេទអាសយដ្ឋាន</t>
        </is>
      </c>
      <c r="E687" s="217" t="inlineStr">
        <is>
          <t>ប្រភេទទីតាំង</t>
        </is>
      </c>
      <c r="F687" s="217" t="n"/>
      <c r="G687" s="217" t="inlineStr">
        <is>
          <t>ប្រភេទទីតាំង</t>
        </is>
      </c>
      <c r="H687" s="217" t="inlineStr">
        <is>
          <t>地址类型</t>
        </is>
      </c>
      <c r="J687" t="inlineStr">
        <is>
          <t>ប្រភេទទីតាំង</t>
        </is>
      </c>
    </row>
    <row r="688">
      <c r="A688" s="217" t="inlineStr">
        <is>
          <t>warehouseSetting.selectAddressTypeRequired</t>
        </is>
      </c>
      <c r="B688" s="217" t="inlineStr">
        <is>
          <t>Vui lòng chọn loại địa chỉ !</t>
        </is>
      </c>
      <c r="C688" s="217" t="inlineStr">
        <is>
          <t>Please select an address type!</t>
        </is>
      </c>
      <c r="D688" s="217" t="inlineStr">
        <is>
          <t>សូមជ្រើសប្រភេទអាសយដ្ឋាន!</t>
        </is>
      </c>
      <c r="E688" s="217" t="inlineStr">
        <is>
          <t>សូមជ្រើសរើសប្រភេទទីតាំង!</t>
        </is>
      </c>
      <c r="F688" s="217" t="n"/>
      <c r="G688" s="217" t="inlineStr">
        <is>
          <t>សូមជ្រើសរើសប្រភេទទីតាំង!</t>
        </is>
      </c>
      <c r="H688" s="217" t="inlineStr">
        <is>
          <t>请选择地址类型！</t>
        </is>
      </c>
      <c r="J688" t="inlineStr">
        <is>
          <t>សូមជ្រើសរើសប្រភេទទីតាំង!</t>
        </is>
      </c>
    </row>
    <row r="689">
      <c r="A689" s="217" t="inlineStr">
        <is>
          <t>warehouseSetting.home</t>
        </is>
      </c>
      <c r="B689" s="217" t="inlineStr">
        <is>
          <t>Nhà</t>
        </is>
      </c>
      <c r="C689" s="217" t="inlineStr">
        <is>
          <t>Home</t>
        </is>
      </c>
      <c r="D689" s="217" t="inlineStr">
        <is>
          <t>ផ្ទះ</t>
        </is>
      </c>
      <c r="E689" s="217" t="inlineStr">
        <is>
          <t>ផ្ទះ</t>
        </is>
      </c>
      <c r="F689" s="217" t="n"/>
      <c r="G689" s="217" t="inlineStr">
        <is>
          <t>ទំព័រដើម</t>
        </is>
      </c>
      <c r="H689" s="217" t="inlineStr">
        <is>
          <t>住宅</t>
        </is>
      </c>
      <c r="J689" t="inlineStr">
        <is>
          <t>ទំព័រដើម</t>
        </is>
      </c>
    </row>
    <row r="690">
      <c r="A690" s="217" t="inlineStr">
        <is>
          <t>warehouseSetting.office</t>
        </is>
      </c>
      <c r="B690" s="217" t="inlineStr">
        <is>
          <t>Văn phòng</t>
        </is>
      </c>
      <c r="C690" s="217" t="inlineStr">
        <is>
          <t>Office</t>
        </is>
      </c>
      <c r="D690" s="217" t="inlineStr">
        <is>
          <t>ការិយាល័យ</t>
        </is>
      </c>
      <c r="E690" s="217" t="inlineStr">
        <is>
          <t>ការិយាល័យ</t>
        </is>
      </c>
      <c r="F690" s="217" t="n"/>
      <c r="G690" s="217" t="inlineStr">
        <is>
          <t>ការិយាល័យ</t>
        </is>
      </c>
      <c r="H690" s="217" t="inlineStr">
        <is>
          <t>公司</t>
        </is>
      </c>
      <c r="J690" t="inlineStr">
        <is>
          <t>ការិយាល័យ</t>
        </is>
      </c>
    </row>
    <row r="691">
      <c r="A691" s="217" t="inlineStr">
        <is>
          <t>warehouseSetting.warehouse</t>
        </is>
      </c>
      <c r="B691" s="217" t="inlineStr">
        <is>
          <t>Kho hàng</t>
        </is>
      </c>
      <c r="C691" s="217" t="inlineStr">
        <is>
          <t>Warehouse</t>
        </is>
      </c>
      <c r="D691" s="217" t="inlineStr">
        <is>
          <t>ឃ្លាំង</t>
        </is>
      </c>
      <c r="E691" s="217" t="inlineStr">
        <is>
          <t>ឃ្លាំង</t>
        </is>
      </c>
      <c r="F691" s="217" t="n"/>
      <c r="G691" s="217" t="inlineStr">
        <is>
          <t>ឃ្លាំង</t>
        </is>
      </c>
      <c r="H691" s="217" t="inlineStr">
        <is>
          <t>仓库</t>
        </is>
      </c>
      <c r="J691" t="inlineStr">
        <is>
          <t>ឃ្លាំង</t>
        </is>
      </c>
    </row>
    <row r="692">
      <c r="A692" s="217" t="inlineStr">
        <is>
          <t>warehouseSetting.postOffice</t>
        </is>
      </c>
      <c r="B692" s="217" t="inlineStr">
        <is>
          <t>Bưu cục</t>
        </is>
      </c>
      <c r="C692" s="217" t="inlineStr">
        <is>
          <t>Post Office</t>
        </is>
      </c>
      <c r="D692" s="217" t="inlineStr">
        <is>
          <t>ប៉ុស្តិ៍</t>
        </is>
      </c>
      <c r="E692" s="217" t="inlineStr">
        <is>
          <t>ការិយាល័យប្រៃសណីយ៍</t>
        </is>
      </c>
      <c r="F692" s="217" t="n"/>
      <c r="G692" s="217" t="inlineStr">
        <is>
          <t>ការិយាល័យប្រៃសណីយ៍</t>
        </is>
      </c>
      <c r="H692" s="217" t="inlineStr">
        <is>
          <t>邮政网点</t>
        </is>
      </c>
      <c r="J692" t="inlineStr">
        <is>
          <t>ការិយាល័យប្រៃសណីយ៍</t>
        </is>
      </c>
    </row>
    <row r="693">
      <c r="A693" s="217" t="inlineStr">
        <is>
          <t>warehouseSetting.save</t>
        </is>
      </c>
      <c r="B693" s="217" t="inlineStr">
        <is>
          <t>Lưu</t>
        </is>
      </c>
      <c r="C693" s="217" t="inlineStr">
        <is>
          <t>Save</t>
        </is>
      </c>
      <c r="D693" s="217" t="inlineStr">
        <is>
          <t>រក្សាទុក</t>
        </is>
      </c>
      <c r="E693" s="217" t="inlineStr">
        <is>
          <t>រក្សាទុក</t>
        </is>
      </c>
      <c r="F693" s="217" t="n"/>
      <c r="G693" s="217" t="inlineStr">
        <is>
          <t>រក្សាទុក</t>
        </is>
      </c>
      <c r="H693" s="217" t="inlineStr">
        <is>
          <t>保存</t>
        </is>
      </c>
      <c r="J693" t="inlineStr">
        <is>
          <t>រក្សាទុក</t>
        </is>
      </c>
    </row>
    <row r="694">
      <c r="A694" s="217" t="inlineStr">
        <is>
          <t>warehouseSetting.deleteWarehouse</t>
        </is>
      </c>
      <c r="B694" s="217" t="inlineStr">
        <is>
          <t>Dừng hoạt động</t>
        </is>
      </c>
      <c r="C694" s="217" t="inlineStr">
        <is>
          <t>Deactivate</t>
        </is>
      </c>
      <c r="D694" s="217" t="inlineStr">
        <is>
          <t>បោះបង់សកម្មភាពឃ្លាំង</t>
        </is>
      </c>
      <c r="E694" s="217" t="inlineStr">
        <is>
          <t>បញ្ឈប់សកម្មភាព</t>
        </is>
      </c>
      <c r="F694" s="217" t="n"/>
      <c r="G694" s="217" t="inlineStr">
        <is>
          <t>បញ្ឈប់សកម្មភាព</t>
        </is>
      </c>
      <c r="H694" s="217" t="inlineStr">
        <is>
          <t>停用</t>
        </is>
      </c>
      <c r="J694" t="inlineStr">
        <is>
          <t>បញ្ឈប់សកម្មភាព</t>
        </is>
      </c>
    </row>
    <row r="695">
      <c r="A695" s="217" t="inlineStr">
        <is>
          <t>warehouseSetting.deleteWarehouseSuccess</t>
        </is>
      </c>
      <c r="B695" s="217" t="inlineStr">
        <is>
          <t>Dừng hoạt động kho thành công</t>
        </is>
      </c>
      <c r="C695" s="217" t="inlineStr">
        <is>
          <t>Deactivate warehouse successfully</t>
        </is>
      </c>
      <c r="D695" s="217" t="inlineStr">
        <is>
          <t>បោះបង់សកម្មភាពឃ្លាំងបានជោគជ័យ</t>
        </is>
      </c>
      <c r="E695" s="217" t="inlineStr">
        <is>
          <t>បញ្ឈប់សកម្មភាពឃ្លាំងបានជោគជ័យ</t>
        </is>
      </c>
      <c r="F695" s="217" t="n"/>
      <c r="G695" s="217" t="inlineStr">
        <is>
          <t>បញ្ឈប់សកម្មភាពឃ្លាំងបានជោគជ័យ</t>
        </is>
      </c>
      <c r="H695" s="217" t="inlineStr">
        <is>
          <t>仓库停用成功</t>
        </is>
      </c>
      <c r="J695" t="inlineStr">
        <is>
          <t>បញ្ឈប់សកម្មភាពឃ្លាំងបានជោគជ័យ</t>
        </is>
      </c>
    </row>
    <row r="696">
      <c r="A696" s="217" t="inlineStr">
        <is>
          <t>warehouseSetting.activate</t>
        </is>
      </c>
      <c r="B696" s="217" t="inlineStr">
        <is>
          <t>Kích hoạt</t>
        </is>
      </c>
      <c r="C696" s="217" t="inlineStr">
        <is>
          <t>Activate</t>
        </is>
      </c>
      <c r="D696" s="217" t="inlineStr">
        <is>
          <t>បើកសកម្ម</t>
        </is>
      </c>
      <c r="E696" s="217" t="inlineStr">
        <is>
          <t>សកម្ម</t>
        </is>
      </c>
      <c r="F696" s="217" t="n"/>
      <c r="G696" s="217" t="inlineStr">
        <is>
          <t>សកម្ម</t>
        </is>
      </c>
      <c r="H696" s="217" t="inlineStr">
        <is>
          <t>启用</t>
        </is>
      </c>
      <c r="J696" t="inlineStr">
        <is>
          <t>សកម្ម</t>
        </is>
      </c>
    </row>
    <row r="697">
      <c r="A697" s="217" t="inlineStr">
        <is>
          <t>warehouseSetting.warehouseDefault</t>
        </is>
      </c>
      <c r="B697" s="217" t="inlineStr">
        <is>
          <t>Kho hàng đang được gán mặc định</t>
        </is>
      </c>
      <c r="C697" s="217" t="inlineStr">
        <is>
          <t>Warehouse currently set as default</t>
        </is>
      </c>
      <c r="D697" s="217" t="inlineStr">
        <is>
          <t>ឃ្លាំងត្រូវបានកំណត់ជាលំនាំ</t>
        </is>
      </c>
      <c r="E697" s="217" t="inlineStr">
        <is>
          <t>ឃ្លាំងអីវ៉ាន់កំពុងបានកំណត់ច្បាស់លាស់</t>
        </is>
      </c>
      <c r="F697" s="217" t="n"/>
      <c r="G697" s="217" t="inlineStr">
        <is>
          <t>ឃ្លាំងអីវ៉ាន់កំពុងបានកំណត់ច្បាស់លាស់</t>
        </is>
      </c>
      <c r="H697" s="217" t="inlineStr">
        <is>
          <t>此仓库当前为默认仓库</t>
        </is>
      </c>
      <c r="J697" t="inlineStr">
        <is>
          <t>ឃ្លាំងអីវ៉ាន់កំពុងបានកំណត់ច្បាស់លាស់</t>
        </is>
      </c>
    </row>
    <row r="698">
      <c r="A698" s="217" t="inlineStr">
        <is>
          <t>warehouseSetting.warehouseSettingDefault1</t>
        </is>
      </c>
      <c r="B698" s="217" t="inlineStr">
        <is>
          <t>Quý khách xác nhận đặt kho</t>
        </is>
      </c>
      <c r="C698" s="217" t="inlineStr">
        <is>
          <t>You confirm the warehouse reservation</t>
        </is>
      </c>
      <c r="D698" s="217" t="inlineStr">
        <is>
          <t>តើអ្នកយល់ព្រមកំណត់ឃ្លាំងនេះ</t>
        </is>
      </c>
      <c r="E698" s="217" t="inlineStr">
        <is>
          <t>អតិថិជនបញ្ជាក់កំណត់ឃ្លាំង</t>
        </is>
      </c>
      <c r="F698" s="217" t="n"/>
      <c r="G698" s="217" t="inlineStr">
        <is>
          <t>អតិថិជនបញ្ជាក់កំណត់ឃ្លាំង</t>
        </is>
      </c>
      <c r="H698" s="217" t="inlineStr">
        <is>
          <t>请确认仓库预约信息</t>
        </is>
      </c>
      <c r="J698" t="inlineStr">
        <is>
          <t>អតិថិជនបញ្ជាក់កំណត់ឃ្លាំង</t>
        </is>
      </c>
    </row>
    <row r="699">
      <c r="A699" s="217" t="inlineStr">
        <is>
          <t>warehouseSetting.warehouseSettingDefault2</t>
        </is>
      </c>
      <c r="B699" s="217" t="inlineStr">
        <is>
          <t>làm kho mặc định ?</t>
        </is>
      </c>
      <c r="C699" s="217" t="inlineStr">
        <is>
          <t>Make the warehouse default?</t>
        </is>
      </c>
      <c r="D699" s="217" t="inlineStr">
        <is>
          <t>ជាឃ្លាំងលំនាំ?</t>
        </is>
      </c>
      <c r="E699" s="217" t="inlineStr">
        <is>
          <t>កំណត់ឃ្លាំងជាលំនាំដើម?</t>
        </is>
      </c>
      <c r="F699" s="217" t="n"/>
      <c r="G699" s="217" t="inlineStr">
        <is>
          <t>កំណត់ឃ្លាំងជាលំនាំដើម?</t>
        </is>
      </c>
      <c r="H699" s="217" t="inlineStr">
        <is>
          <t>是否将此仓库设为默认？</t>
        </is>
      </c>
      <c r="J699" t="inlineStr">
        <is>
          <t>កំណត់ឃ្លាំងជាលំនាំដើម?</t>
        </is>
      </c>
    </row>
    <row r="700">
      <c r="A700" s="217" t="inlineStr">
        <is>
          <t>warehouseSetting.warehouseSettingStop1</t>
        </is>
      </c>
      <c r="B700" s="217" t="inlineStr">
        <is>
          <t>Quý khách muốn dừng hoạt động kho</t>
        </is>
      </c>
      <c r="C700" s="217" t="inlineStr">
        <is>
          <t>You want to stop the warehouse activity</t>
        </is>
      </c>
      <c r="D700" s="217" t="inlineStr">
        <is>
          <t>តើអ្នកចង់ផ្អាកសកម្មភាពឃ្លាំង?</t>
        </is>
      </c>
      <c r="E700" s="217" t="inlineStr">
        <is>
          <t>អ្នកចង់បញ្ឈប់សកម្មភាពឃ្លាំង</t>
        </is>
      </c>
      <c r="F700" s="217" t="n"/>
      <c r="G700" s="217" t="inlineStr">
        <is>
          <t>អ្នកចង់បញ្ឈប់សកម្មភាពឃ្លាំង</t>
        </is>
      </c>
      <c r="H700" s="217" t="inlineStr">
        <is>
          <t>确定要停用此仓库吗？</t>
        </is>
      </c>
      <c r="J700" t="inlineStr">
        <is>
          <t>អ្នកចង់បញ្ឈប់សកម្មភាពឃ្លាំង</t>
        </is>
      </c>
    </row>
    <row r="701">
      <c r="A701" s="217" t="inlineStr">
        <is>
          <t>warehouseSetting.warehouseSettingActive1</t>
        </is>
      </c>
      <c r="B701" s="217" t="inlineStr">
        <is>
          <t>Quý khách muốn kích hoạt kho</t>
        </is>
      </c>
      <c r="C701" s="217" t="inlineStr">
        <is>
          <t>You want to activate the warehouse</t>
        </is>
      </c>
      <c r="D701" s="217" t="inlineStr">
        <is>
          <t>តើអ្នកចង់បើកសកម្មភាពឃ្លាំង?</t>
        </is>
      </c>
      <c r="E701" s="217" t="inlineStr">
        <is>
          <t>អ្នកចង់មានសកម្មភាពឃ្លាំង</t>
        </is>
      </c>
      <c r="F701" s="217" t="n"/>
      <c r="G701" s="217" t="inlineStr">
        <is>
          <t>អ្នកចង់មានសកម្មភាពឃ្លាំង</t>
        </is>
      </c>
      <c r="H701" s="217" t="inlineStr">
        <is>
          <t>确定要启用此仓库吗？</t>
        </is>
      </c>
      <c r="J701" t="inlineStr">
        <is>
          <t>អ្នកចង់មានសកម្មភាពឃ្លាំង</t>
        </is>
      </c>
    </row>
    <row r="702">
      <c r="A702" s="217" t="inlineStr">
        <is>
          <t>warehouseSetting.activeWarehouseSuccess</t>
        </is>
      </c>
      <c r="B702" s="217" t="inlineStr">
        <is>
          <t>Kích hoạt kho thành công</t>
        </is>
      </c>
      <c r="C702" s="217" t="inlineStr">
        <is>
          <t>Activate the warehouse successfully</t>
        </is>
      </c>
      <c r="D702" s="217" t="inlineStr">
        <is>
          <t>បើកសកម្មភាពឃ្លាំងបានជោគជ័យ</t>
        </is>
      </c>
      <c r="E702" s="217" t="inlineStr">
        <is>
          <t>បន្តសកម្មភាពឃ្លាំងបានជោគជ័យ</t>
        </is>
      </c>
      <c r="F702" s="217" t="n"/>
      <c r="G702" s="217" t="inlineStr">
        <is>
          <t>បន្តសកម្មភាពឃ្លាំងបានជោគជ័យ</t>
        </is>
      </c>
      <c r="H702" s="217" t="inlineStr">
        <is>
          <t>仓库启用成功</t>
        </is>
      </c>
      <c r="J702" t="inlineStr">
        <is>
          <t>បន្តសកម្មភាពឃ្លាំងបានជោគជ័យ</t>
        </is>
      </c>
    </row>
    <row r="703">
      <c r="A703" s="217" t="inlineStr">
        <is>
          <t>historyImport.stt</t>
        </is>
      </c>
      <c r="B703" s="217" t="inlineStr">
        <is>
          <t>STT</t>
        </is>
      </c>
      <c r="C703" s="217" t="inlineStr">
        <is>
          <t>No.</t>
        </is>
      </c>
      <c r="D703" s="217" t="inlineStr">
        <is>
          <t>ល.</t>
        </is>
      </c>
      <c r="E703" s="217" t="inlineStr">
        <is>
          <t>ល.រ</t>
        </is>
      </c>
      <c r="F703" s="217" t="n"/>
      <c r="G703" s="217" t="inlineStr">
        <is>
          <t>ល.រ</t>
        </is>
      </c>
      <c r="H703" s="217" t="inlineStr">
        <is>
          <t>序号</t>
        </is>
      </c>
      <c r="J703" t="inlineStr">
        <is>
          <t>ល.រ</t>
        </is>
      </c>
    </row>
    <row r="704">
      <c r="A704" s="217" t="inlineStr">
        <is>
          <t>historyImport.complete</t>
        </is>
      </c>
      <c r="B704" s="217" t="inlineStr">
        <is>
          <t>Hoàn thành</t>
        </is>
      </c>
      <c r="C704" s="217" t="inlineStr">
        <is>
          <t>Completed</t>
        </is>
      </c>
      <c r="D704" s="217" t="inlineStr">
        <is>
          <t>បានបញ្ចប់</t>
        </is>
      </c>
      <c r="E704" s="217" t="inlineStr">
        <is>
          <t>បានបញ្ចប់</t>
        </is>
      </c>
      <c r="F704" s="217" t="n"/>
      <c r="G704" s="217" t="inlineStr">
        <is>
          <t>បានបញ្ចប់</t>
        </is>
      </c>
      <c r="H704" s="217" t="inlineStr">
        <is>
          <t>已完成</t>
        </is>
      </c>
      <c r="J704" t="inlineStr">
        <is>
          <t>បានបញ្ចប់</t>
        </is>
      </c>
    </row>
    <row r="705">
      <c r="A705" s="217" t="inlineStr">
        <is>
          <t>historyImport.processing</t>
        </is>
      </c>
      <c r="B705" s="217" t="inlineStr">
        <is>
          <t>Đang xử lý</t>
        </is>
      </c>
      <c r="C705" s="217" t="inlineStr">
        <is>
          <t>Processing</t>
        </is>
      </c>
      <c r="D705" s="217" t="inlineStr">
        <is>
          <t>កំពុងដំណើរការ</t>
        </is>
      </c>
      <c r="E705" s="217" t="inlineStr">
        <is>
          <t>កំពុងដោះស្រាយ</t>
        </is>
      </c>
      <c r="F705" s="217" t="n"/>
      <c r="G705" s="217" t="inlineStr">
        <is>
          <t>កំពុងដំណើរការ</t>
        </is>
      </c>
      <c r="H705" s="217" t="inlineStr">
        <is>
          <t>处理中</t>
        </is>
      </c>
      <c r="J705" t="inlineStr">
        <is>
          <t>កំពុងដំណើរការ</t>
        </is>
      </c>
    </row>
    <row r="706">
      <c r="A706" s="217" t="inlineStr">
        <is>
          <t>historyImport.createdAt</t>
        </is>
      </c>
      <c r="B706" s="217" t="inlineStr">
        <is>
          <t>Ngày tải lên</t>
        </is>
      </c>
      <c r="C706" s="217" t="inlineStr">
        <is>
          <t>Upload Date</t>
        </is>
      </c>
      <c r="D706" s="217" t="inlineStr">
        <is>
          <t>ថ្ងៃផ្ទុកឡើង</t>
        </is>
      </c>
      <c r="E706" s="217" t="inlineStr">
        <is>
          <t>ថ្ងៃទាញយក</t>
        </is>
      </c>
      <c r="F706" s="217" t="n"/>
      <c r="G706" s="217" t="inlineStr">
        <is>
          <t>ថ្ងៃទាញយក</t>
        </is>
      </c>
      <c r="H706" s="217" t="inlineStr">
        <is>
          <t>上传日期</t>
        </is>
      </c>
      <c r="J706" t="inlineStr">
        <is>
          <t>ថ្ងៃទាញយក</t>
        </is>
      </c>
    </row>
    <row r="707">
      <c r="A707" s="217" t="inlineStr">
        <is>
          <t>historyImport.nameFile</t>
        </is>
      </c>
      <c r="B707" s="217" t="inlineStr">
        <is>
          <t>Tên file</t>
        </is>
      </c>
      <c r="C707" s="217" t="inlineStr">
        <is>
          <t>File Name</t>
        </is>
      </c>
      <c r="D707" s="217" t="inlineStr">
        <is>
          <t>ឈ្មោះឯកសារ</t>
        </is>
      </c>
      <c r="E707" s="217" t="inlineStr">
        <is>
          <t>ឈ្មោះឯកសារ</t>
        </is>
      </c>
      <c r="F707" s="217" t="n"/>
      <c r="G707" s="217" t="inlineStr">
        <is>
          <t>ឈ្មោះឯកសារ</t>
        </is>
      </c>
      <c r="H707" s="217" t="inlineStr">
        <is>
          <t>文件名称</t>
        </is>
      </c>
      <c r="J707" t="inlineStr">
        <is>
          <t>ឈ្មោះឯកសារ</t>
        </is>
      </c>
    </row>
    <row r="708">
      <c r="A708" s="217" t="inlineStr">
        <is>
          <t>historyImport.capacity</t>
        </is>
      </c>
      <c r="B708" s="217" t="inlineStr">
        <is>
          <t>Dung lượng</t>
        </is>
      </c>
      <c r="C708" s="217" t="inlineStr">
        <is>
          <t>Capacity</t>
        </is>
      </c>
      <c r="D708" s="217" t="inlineStr">
        <is>
          <t>ទំហំនៃឯកសារ</t>
        </is>
      </c>
      <c r="E708" s="217" t="inlineStr">
        <is>
          <t>ទំហំ</t>
        </is>
      </c>
      <c r="F708" s="217" t="n"/>
      <c r="G708" s="217" t="inlineStr">
        <is>
          <t>ទំហំ</t>
        </is>
      </c>
      <c r="H708" s="217" t="inlineStr">
        <is>
          <t>承载量/容积</t>
        </is>
      </c>
      <c r="J708" t="inlineStr">
        <is>
          <t>ទំហំ</t>
        </is>
      </c>
    </row>
    <row r="709">
      <c r="A709" s="217" t="inlineStr">
        <is>
          <t>historyImport.warehouse</t>
        </is>
      </c>
      <c r="B709" s="217" t="inlineStr">
        <is>
          <t>Kho</t>
        </is>
      </c>
      <c r="C709" s="217" t="inlineStr">
        <is>
          <t>Warehouse</t>
        </is>
      </c>
      <c r="D709" s="217" t="inlineStr">
        <is>
          <t>ឃ្លាំង</t>
        </is>
      </c>
      <c r="E709" s="217" t="inlineStr">
        <is>
          <t>ឃ្លាំង</t>
        </is>
      </c>
      <c r="F709" s="217" t="n"/>
      <c r="G709" s="217" t="inlineStr">
        <is>
          <t>ឃ្លាំង</t>
        </is>
      </c>
      <c r="H709" s="217" t="inlineStr">
        <is>
          <t>仓库</t>
        </is>
      </c>
      <c r="J709" t="inlineStr">
        <is>
          <t>ឃ្លាំង</t>
        </is>
      </c>
    </row>
    <row r="710">
      <c r="A710" s="217" t="inlineStr">
        <is>
          <t>historyImport.formCreatedSuccessfully</t>
        </is>
      </c>
      <c r="B710" s="217" t="inlineStr">
        <is>
          <t>Đơn tạo thành công</t>
        </is>
      </c>
      <c r="C710" s="217" t="inlineStr">
        <is>
          <t>Order Created Successfully</t>
        </is>
      </c>
      <c r="D710" s="217" t="inlineStr">
        <is>
          <t>បង្កើតទម្រង់បានជោគជ័យ</t>
        </is>
      </c>
      <c r="E710" s="217" t="inlineStr">
        <is>
          <t>បង្កើតបុងបញ្ញើបានជោគជ័យ</t>
        </is>
      </c>
      <c r="F710" s="217" t="n"/>
      <c r="G710" s="217" t="inlineStr">
        <is>
          <t>បង្កើតបុងបញ្ញើបានជោគជ័យ</t>
        </is>
      </c>
      <c r="H710" s="217" t="inlineStr">
        <is>
          <t>订单创建成功</t>
        </is>
      </c>
      <c r="J710" t="inlineStr">
        <is>
          <t>បង្កើតបុងបញ្ញើបានជោគជ័យ</t>
        </is>
      </c>
    </row>
    <row r="711">
      <c r="A711" s="217" t="inlineStr">
        <is>
          <t>locationCommon.regionMM</t>
        </is>
      </c>
      <c r="B711" s="217" t="inlineStr">
        <is>
          <t>Liên bang / Vùng</t>
        </is>
      </c>
      <c r="C711" s="217" t="inlineStr">
        <is>
          <t>Region</t>
        </is>
      </c>
      <c r="D711" s="217" t="inlineStr">
        <is>
          <t>តំបន់/ខេត្ត</t>
        </is>
      </c>
      <c r="E711" s="217" t="inlineStr">
        <is>
          <t>សហព័ន្ធ/តំបន់</t>
        </is>
      </c>
      <c r="F711" s="217" t="n"/>
      <c r="G711" s="217" t="inlineStr">
        <is>
          <t>សហព័ន្ធ/តំបន់</t>
        </is>
      </c>
      <c r="H711" s="217" t="inlineStr">
        <is>
          <t>大区</t>
        </is>
      </c>
      <c r="J711" t="inlineStr">
        <is>
          <t>សហព័ន្ធ/តំបន់</t>
        </is>
      </c>
    </row>
    <row r="712">
      <c r="A712" s="217" t="inlineStr">
        <is>
          <t>locationCommon.districtMM</t>
        </is>
      </c>
      <c r="B712" s="217" t="inlineStr">
        <is>
          <t>Mường</t>
        </is>
      </c>
      <c r="C712" s="217" t="inlineStr">
        <is>
          <t>District</t>
        </is>
      </c>
      <c r="D712" s="217" t="inlineStr">
        <is>
          <t>ស្រុក/ខណ្ឌ</t>
        </is>
      </c>
      <c r="E712" s="217" t="inlineStr">
        <is>
          <t>ស្រុក/ខណ្ឌ</t>
        </is>
      </c>
      <c r="F712" s="217" t="n"/>
      <c r="G712" s="217" t="inlineStr">
        <is>
          <t>ស្រុក/ខណ្ឌ</t>
        </is>
      </c>
      <c r="H712" s="217" t="inlineStr">
        <is>
          <t>区/县</t>
        </is>
      </c>
      <c r="J712" t="inlineStr">
        <is>
          <t>ស្រុក/ខណ្ឌ</t>
        </is>
      </c>
    </row>
    <row r="713">
      <c r="A713" s="217" t="inlineStr">
        <is>
          <t>locationCommon.wardMM</t>
        </is>
      </c>
      <c r="B713" s="217" t="inlineStr">
        <is>
          <t>Thị trấn</t>
        </is>
      </c>
      <c r="C713" s="217" t="inlineStr">
        <is>
          <t>Ward</t>
        </is>
      </c>
      <c r="D713" s="217" t="inlineStr">
        <is>
          <t>ឃុំ/សង្កាត់</t>
        </is>
      </c>
      <c r="E713" s="217" t="inlineStr">
        <is>
          <t>ឃុំ/សង្កាត់</t>
        </is>
      </c>
      <c r="F713" s="217" t="n"/>
      <c r="G713" s="217" t="inlineStr">
        <is>
          <t>ឃុំ/សង្កាត់</t>
        </is>
      </c>
      <c r="H713" s="217" t="inlineStr">
        <is>
          <t>坊</t>
        </is>
      </c>
      <c r="J713" t="inlineStr">
        <is>
          <t>ឃុំ/សង្កាត់</t>
        </is>
      </c>
    </row>
    <row r="714">
      <c r="A714" s="217" t="inlineStr">
        <is>
          <t>locationCommon.provinceCam</t>
        </is>
      </c>
      <c r="B714" s="217" t="inlineStr">
        <is>
          <t>Tỉnh</t>
        </is>
      </c>
      <c r="C714" s="217" t="inlineStr">
        <is>
          <t>Province</t>
        </is>
      </c>
      <c r="D714" s="217" t="inlineStr">
        <is>
          <t>ខេត្ត</t>
        </is>
      </c>
      <c r="E714" s="217" t="inlineStr">
        <is>
          <t>ខេត្ត</t>
        </is>
      </c>
      <c r="F714" s="217" t="n"/>
      <c r="G714" s="217" t="inlineStr">
        <is>
          <t>ខេត្ត</t>
        </is>
      </c>
      <c r="H714" s="217" t="inlineStr">
        <is>
          <t>省</t>
        </is>
      </c>
      <c r="J714" t="inlineStr">
        <is>
          <t>ខេត្ត</t>
        </is>
      </c>
    </row>
    <row r="715">
      <c r="A715" s="217" t="inlineStr">
        <is>
          <t>locationCommon.districtCam</t>
        </is>
      </c>
      <c r="B715" s="217" t="inlineStr">
        <is>
          <t>Huyện</t>
        </is>
      </c>
      <c r="C715" s="217" t="inlineStr">
        <is>
          <t>District</t>
        </is>
      </c>
      <c r="D715" s="217" t="inlineStr">
        <is>
          <t>ស្រុក</t>
        </is>
      </c>
      <c r="E715" s="217" t="inlineStr">
        <is>
          <t>ស្រុក</t>
        </is>
      </c>
      <c r="F715" s="217" t="n"/>
      <c r="G715" s="217" t="inlineStr">
        <is>
          <t>ស្រុក</t>
        </is>
      </c>
      <c r="H715" s="217" t="inlineStr">
        <is>
          <t>区/县</t>
        </is>
      </c>
      <c r="J715" t="inlineStr">
        <is>
          <t>ស្រុក</t>
        </is>
      </c>
    </row>
    <row r="716">
      <c r="A716" s="217" t="inlineStr">
        <is>
          <t>locationCommon.communeCam</t>
        </is>
      </c>
      <c r="B716" s="217" t="inlineStr">
        <is>
          <t>Xã</t>
        </is>
      </c>
      <c r="C716" s="217" t="inlineStr">
        <is>
          <t>Commune</t>
        </is>
      </c>
      <c r="D716" s="217" t="inlineStr">
        <is>
          <t>ឃុំ</t>
        </is>
      </c>
      <c r="E716" s="217" t="inlineStr">
        <is>
          <t>ឃុំ</t>
        </is>
      </c>
      <c r="F716" s="217" t="n"/>
      <c r="G716" s="217" t="inlineStr">
        <is>
          <t>ឃុំ</t>
        </is>
      </c>
      <c r="H716" s="217" t="inlineStr">
        <is>
          <t>公社</t>
        </is>
      </c>
      <c r="J716" t="inlineStr">
        <is>
          <t>ឃុំ</t>
        </is>
      </c>
    </row>
    <row r="717">
      <c r="A717" s="217" t="inlineStr">
        <is>
          <t>locationCommon.provinceLaos</t>
        </is>
      </c>
      <c r="B717" s="217" t="inlineStr">
        <is>
          <t>Tỉnh</t>
        </is>
      </c>
      <c r="C717" s="217" t="inlineStr">
        <is>
          <t>Province</t>
        </is>
      </c>
      <c r="D717" s="217" t="inlineStr">
        <is>
          <t>ខេត្ត</t>
        </is>
      </c>
      <c r="E717" s="217" t="inlineStr">
        <is>
          <t>ខេត្ត</t>
        </is>
      </c>
      <c r="F717" s="217" t="n"/>
      <c r="G717" s="217" t="inlineStr">
        <is>
          <t>ខេត្ត</t>
        </is>
      </c>
      <c r="H717" s="217" t="inlineStr">
        <is>
          <t>省</t>
        </is>
      </c>
      <c r="J717" t="inlineStr">
        <is>
          <t>ខេត្ត</t>
        </is>
      </c>
    </row>
    <row r="718">
      <c r="A718" s="217" t="inlineStr">
        <is>
          <t>locationCommon.districtLaos</t>
        </is>
      </c>
      <c r="B718" s="217" t="inlineStr">
        <is>
          <t>Mường</t>
        </is>
      </c>
      <c r="C718" s="217" t="inlineStr">
        <is>
          <t>District</t>
        </is>
      </c>
      <c r="D718" s="217" t="inlineStr">
        <is>
          <t>ស្រុក</t>
        </is>
      </c>
      <c r="E718" s="217" t="inlineStr">
        <is>
          <t>ស្រុក</t>
        </is>
      </c>
      <c r="F718" s="217" t="n"/>
      <c r="G718" s="217" t="inlineStr">
        <is>
          <t>ស្រុក</t>
        </is>
      </c>
      <c r="H718" s="217" t="inlineStr">
        <is>
          <t>区/县</t>
        </is>
      </c>
      <c r="J718" t="inlineStr">
        <is>
          <t>ស្រុក</t>
        </is>
      </c>
    </row>
    <row r="719">
      <c r="A719" s="217" t="inlineStr">
        <is>
          <t>locationCommon.villageLaos</t>
        </is>
      </c>
      <c r="B719" s="217" t="inlineStr">
        <is>
          <t>Bản</t>
        </is>
      </c>
      <c r="C719" s="217" t="inlineStr">
        <is>
          <t>Village</t>
        </is>
      </c>
      <c r="D719" s="217" t="inlineStr">
        <is>
          <t>ភូមិ</t>
        </is>
      </c>
      <c r="E719" s="217" t="inlineStr">
        <is>
          <t>ភូមិ</t>
        </is>
      </c>
      <c r="F719" s="217" t="n"/>
      <c r="G719" s="217" t="inlineStr">
        <is>
          <t>ភូមិ</t>
        </is>
      </c>
      <c r="H719" s="217" t="inlineStr">
        <is>
          <t>村庄</t>
        </is>
      </c>
      <c r="J719" t="inlineStr">
        <is>
          <t>ភូមិ</t>
        </is>
      </c>
    </row>
    <row r="720">
      <c r="A720" s="217" t="inlineStr">
        <is>
          <t>locationCommon.selectRegionMM</t>
        </is>
      </c>
      <c r="B720" s="217" t="inlineStr">
        <is>
          <t>Liên bang / Vùng</t>
        </is>
      </c>
      <c r="C720" s="217" t="inlineStr">
        <is>
          <t>Select Region</t>
        </is>
      </c>
      <c r="D720" s="217" t="inlineStr">
        <is>
          <t>ជ្រើសតំបន់/ខេត្ត</t>
        </is>
      </c>
      <c r="E720" s="217" t="inlineStr">
        <is>
          <t>ជ្រើសរើសសហព័ន្ធ/តំបន់</t>
        </is>
      </c>
      <c r="F720" s="217" t="n"/>
      <c r="G720" s="217" t="inlineStr">
        <is>
          <t>ជ្រើសរើសសហព័ន្ធ/តំបន់</t>
        </is>
      </c>
      <c r="H720" s="217" t="inlineStr">
        <is>
          <t>选择社区</t>
        </is>
      </c>
      <c r="J720" t="inlineStr">
        <is>
          <t>ជ្រើសរើសសហព័ន្ធ/តំបន់</t>
        </is>
      </c>
    </row>
    <row r="721">
      <c r="A721" s="217" t="inlineStr">
        <is>
          <t>locationCommon.selectDistrictMM</t>
        </is>
      </c>
      <c r="B721" s="217" t="inlineStr">
        <is>
          <t>Mường</t>
        </is>
      </c>
      <c r="C721" s="217" t="inlineStr">
        <is>
          <t>Select District</t>
        </is>
      </c>
      <c r="D721" s="217" t="inlineStr">
        <is>
          <t>ជ្រើសស្រុក/ខណ្ឌ</t>
        </is>
      </c>
      <c r="E721" s="217" t="inlineStr">
        <is>
          <t>ស្រុក/ខណ្ឌ</t>
        </is>
      </c>
      <c r="F721" s="217" t="n"/>
      <c r="G721" s="217" t="inlineStr">
        <is>
          <t>ស្រុក/ខណ្ឌ</t>
        </is>
      </c>
      <c r="H721" s="217" t="inlineStr">
        <is>
          <t>选择区/县</t>
        </is>
      </c>
      <c r="J721" t="inlineStr">
        <is>
          <t>ស្រុក/ខណ្ឌ</t>
        </is>
      </c>
    </row>
    <row r="722">
      <c r="A722" s="217" t="inlineStr">
        <is>
          <t>locationCommon.selectWardMM</t>
        </is>
      </c>
      <c r="B722" s="217" t="inlineStr">
        <is>
          <t>Thị trấn</t>
        </is>
      </c>
      <c r="C722" s="217" t="inlineStr">
        <is>
          <t>Select Ward</t>
        </is>
      </c>
      <c r="D722" s="217" t="inlineStr">
        <is>
          <t>ជ្រើសឃុំ/សង្កាត់</t>
        </is>
      </c>
      <c r="E722" s="217" t="inlineStr">
        <is>
          <t>ឃុំ/សង្កាត់</t>
        </is>
      </c>
      <c r="F722" s="217" t="n"/>
      <c r="G722" s="217" t="inlineStr">
        <is>
          <t>ឃុំ/សង្កាត់</t>
        </is>
      </c>
      <c r="H722" s="217" t="inlineStr">
        <is>
          <t>选择坊</t>
        </is>
      </c>
      <c r="J722" t="inlineStr">
        <is>
          <t>ឃុំ/សង្កាត់</t>
        </is>
      </c>
    </row>
    <row r="723">
      <c r="A723" s="217" t="inlineStr">
        <is>
          <t>locationCommon.selectProvinceCam</t>
        </is>
      </c>
      <c r="B723" s="217" t="inlineStr">
        <is>
          <t>Tỉnh</t>
        </is>
      </c>
      <c r="C723" s="217" t="inlineStr">
        <is>
          <t>Select Province</t>
        </is>
      </c>
      <c r="D723" s="217" t="inlineStr">
        <is>
          <t>ជ្រើសខេត្ត</t>
        </is>
      </c>
      <c r="E723" s="217" t="inlineStr">
        <is>
          <t>ខេត្ត</t>
        </is>
      </c>
      <c r="F723" s="217" t="n"/>
      <c r="G723" s="217" t="inlineStr">
        <is>
          <t>ខេត្ត</t>
        </is>
      </c>
      <c r="H723" s="217" t="inlineStr">
        <is>
          <t>选择省</t>
        </is>
      </c>
      <c r="J723" t="inlineStr">
        <is>
          <t>ខេត្ត</t>
        </is>
      </c>
    </row>
    <row r="724">
      <c r="A724" s="217" t="inlineStr">
        <is>
          <t>locationCommon.selectDistrictCam</t>
        </is>
      </c>
      <c r="B724" s="217" t="inlineStr">
        <is>
          <t>Huyện</t>
        </is>
      </c>
      <c r="C724" s="217" t="inlineStr">
        <is>
          <t>Select District</t>
        </is>
      </c>
      <c r="D724" s="217" t="inlineStr">
        <is>
          <t>ជ្រើសស្រុក</t>
        </is>
      </c>
      <c r="E724" s="217" t="inlineStr">
        <is>
          <t>ស្រុក</t>
        </is>
      </c>
      <c r="F724" s="217" t="n"/>
      <c r="G724" s="217" t="inlineStr">
        <is>
          <t>ស្រុក</t>
        </is>
      </c>
      <c r="H724" s="217" t="inlineStr">
        <is>
          <t>选择区/县</t>
        </is>
      </c>
      <c r="J724" t="inlineStr">
        <is>
          <t>ស្រុក</t>
        </is>
      </c>
    </row>
    <row r="725">
      <c r="A725" s="217" t="inlineStr">
        <is>
          <t>locationCommon.selectCommuneCam</t>
        </is>
      </c>
      <c r="B725" s="217" t="inlineStr">
        <is>
          <t>Xã</t>
        </is>
      </c>
      <c r="C725" s="217" t="inlineStr">
        <is>
          <t>Select Commune</t>
        </is>
      </c>
      <c r="D725" s="217" t="inlineStr">
        <is>
          <t>ជ្រើសឃុំ</t>
        </is>
      </c>
      <c r="E725" s="217" t="inlineStr">
        <is>
          <t>ឃុំ</t>
        </is>
      </c>
      <c r="F725" s="217" t="n"/>
      <c r="G725" s="217" t="inlineStr">
        <is>
          <t>ឃុំ</t>
        </is>
      </c>
      <c r="H725" s="217" t="inlineStr">
        <is>
          <t>选择公社</t>
        </is>
      </c>
      <c r="J725" t="inlineStr">
        <is>
          <t>ឃុំ</t>
        </is>
      </c>
    </row>
    <row r="726">
      <c r="A726" s="217" t="inlineStr">
        <is>
          <t>locationCommon.selectProvinceLaos</t>
        </is>
      </c>
      <c r="B726" s="217" t="inlineStr">
        <is>
          <t>Tỉnh</t>
        </is>
      </c>
      <c r="C726" s="217" t="inlineStr">
        <is>
          <t>Select Province</t>
        </is>
      </c>
      <c r="D726" s="217" t="inlineStr">
        <is>
          <t>ជ្រើសខេត្ត</t>
        </is>
      </c>
      <c r="E726" s="217" t="inlineStr">
        <is>
          <t>ខេត្ត</t>
        </is>
      </c>
      <c r="F726" s="217" t="n"/>
      <c r="G726" s="217" t="inlineStr">
        <is>
          <t>ខេត្ត</t>
        </is>
      </c>
      <c r="H726" s="217" t="inlineStr">
        <is>
          <t>选择省</t>
        </is>
      </c>
      <c r="J726" t="inlineStr">
        <is>
          <t>ខេត្ត</t>
        </is>
      </c>
    </row>
    <row r="727">
      <c r="A727" s="217" t="inlineStr">
        <is>
          <t>locationCommon.selectDistrictLaos</t>
        </is>
      </c>
      <c r="B727" s="217" t="inlineStr">
        <is>
          <t>Mường</t>
        </is>
      </c>
      <c r="C727" s="217" t="inlineStr">
        <is>
          <t>Select District</t>
        </is>
      </c>
      <c r="D727" s="217" t="inlineStr">
        <is>
          <t>ជ្រើសស្រុក</t>
        </is>
      </c>
      <c r="E727" s="217" t="inlineStr">
        <is>
          <t>ស្រុក</t>
        </is>
      </c>
      <c r="F727" s="217" t="n"/>
      <c r="G727" s="217" t="inlineStr">
        <is>
          <t>ស្រុក</t>
        </is>
      </c>
      <c r="H727" s="217" t="inlineStr">
        <is>
          <t>选择区/县</t>
        </is>
      </c>
      <c r="J727" t="inlineStr">
        <is>
          <t>ស្រុក</t>
        </is>
      </c>
    </row>
    <row r="728">
      <c r="A728" s="217" t="inlineStr">
        <is>
          <t>locationCommon.selectVillageLaos</t>
        </is>
      </c>
      <c r="B728" s="217" t="inlineStr">
        <is>
          <t>Bản</t>
        </is>
      </c>
      <c r="C728" s="217" t="inlineStr">
        <is>
          <t>Select Village</t>
        </is>
      </c>
      <c r="D728" s="217" t="inlineStr">
        <is>
          <t>ជ្រើសភូមិ</t>
        </is>
      </c>
      <c r="E728" s="217" t="inlineStr">
        <is>
          <t>ភូូមិ</t>
        </is>
      </c>
      <c r="F728" s="217" t="n"/>
      <c r="G728" s="217" t="inlineStr">
        <is>
          <t>ភូូមិ</t>
        </is>
      </c>
      <c r="H728" s="217" t="inlineStr">
        <is>
          <t>选择村庄</t>
        </is>
      </c>
      <c r="J728" t="inlineStr">
        <is>
          <t>ភូូមិ</t>
        </is>
      </c>
    </row>
    <row r="729">
      <c r="A729" s="217" t="inlineStr">
        <is>
          <t>feeLookup.shippingRoute</t>
        </is>
      </c>
      <c r="B729" s="217" t="inlineStr">
        <is>
          <t>Tuyến đường vận chuyển</t>
        </is>
      </c>
      <c r="C729" s="217" t="inlineStr">
        <is>
          <t>Shipping Route</t>
        </is>
      </c>
      <c r="D729" s="217" t="inlineStr">
        <is>
          <t>ទិសដៅដឹកជញ្ជូន</t>
        </is>
      </c>
      <c r="E729" s="217" t="inlineStr">
        <is>
          <t>ផ្លូវដឹកជញ្ជូន</t>
        </is>
      </c>
      <c r="F729" s="217" t="n"/>
      <c r="G729" s="217" t="inlineStr">
        <is>
          <t>ផ្លូវដឹកជញ្ជូន</t>
        </is>
      </c>
      <c r="H729" s="217" t="inlineStr">
        <is>
          <t>运输路线</t>
        </is>
      </c>
      <c r="J729" t="inlineStr">
        <is>
          <t>ផ្លូវដឹកជញ្ជូន</t>
        </is>
      </c>
    </row>
    <row r="730">
      <c r="A730" s="217" t="inlineStr">
        <is>
          <t>feeLookup.domestic</t>
        </is>
      </c>
      <c r="B730" s="217" t="inlineStr">
        <is>
          <t>Trong nước</t>
        </is>
      </c>
      <c r="C730" s="217" t="inlineStr">
        <is>
          <t>Domestic</t>
        </is>
      </c>
      <c r="D730" s="217" t="inlineStr">
        <is>
          <t>ក្នុងស្រុក</t>
        </is>
      </c>
      <c r="E730" s="217" t="inlineStr">
        <is>
          <t>ក្នុងប្រទេស</t>
        </is>
      </c>
      <c r="F730" s="217" t="n"/>
      <c r="G730" s="217" t="inlineStr">
        <is>
          <t>ក្នុងប្រទេស</t>
        </is>
      </c>
      <c r="H730" s="217" t="inlineStr">
        <is>
          <t>国内</t>
        </is>
      </c>
      <c r="J730" t="inlineStr">
        <is>
          <t>ក្នុងប្រទេស</t>
        </is>
      </c>
    </row>
    <row r="731">
      <c r="A731" s="217" t="inlineStr">
        <is>
          <t>feeLookup.sentFrom</t>
        </is>
      </c>
      <c r="B731" s="217" t="inlineStr">
        <is>
          <t>Gửi từ</t>
        </is>
      </c>
      <c r="C731" s="217" t="inlineStr">
        <is>
          <t>Sent from</t>
        </is>
      </c>
      <c r="D731" s="217" t="inlineStr">
        <is>
          <t>ផ្ញើពី</t>
        </is>
      </c>
      <c r="E731" s="217" t="inlineStr">
        <is>
          <t>ផ្ញើពី</t>
        </is>
      </c>
      <c r="F731" s="217" t="n"/>
      <c r="G731" s="217" t="inlineStr">
        <is>
          <t>ផ្ញើពី</t>
        </is>
      </c>
      <c r="H731" s="217" t="inlineStr">
        <is>
          <t>寄自</t>
        </is>
      </c>
      <c r="J731" t="inlineStr">
        <is>
          <t>ផ្ញើពី</t>
        </is>
      </c>
    </row>
    <row r="732">
      <c r="A732" s="217" t="inlineStr">
        <is>
          <t>feeLookup.comeFrom</t>
        </is>
      </c>
      <c r="B732" s="217" t="inlineStr">
        <is>
          <t>Gửi đến</t>
        </is>
      </c>
      <c r="C732" s="217" t="inlineStr">
        <is>
          <t>Come from</t>
        </is>
      </c>
      <c r="D732" s="217" t="inlineStr">
        <is>
          <t>ទៅកាន់</t>
        </is>
      </c>
      <c r="E732" s="217" t="inlineStr">
        <is>
          <t>ទៅកាន់</t>
        </is>
      </c>
      <c r="F732" s="217" t="n"/>
      <c r="G732" s="217" t="inlineStr">
        <is>
          <t>ទៅកាន់</t>
        </is>
      </c>
      <c r="H732" s="217" t="inlineStr">
        <is>
          <t>来源</t>
        </is>
      </c>
      <c r="J732" t="inlineStr">
        <is>
          <t>ទៅកាន់</t>
        </is>
      </c>
    </row>
    <row r="733">
      <c r="A733" s="217" t="inlineStr">
        <is>
          <t>feeLookup.productSize</t>
        </is>
      </c>
      <c r="B733" s="217" t="inlineStr">
        <is>
          <t>Kích thước (D+R+C) (cm)</t>
        </is>
      </c>
      <c r="C733" s="217" t="inlineStr">
        <is>
          <t>Size (L+W+H) (cm)</t>
        </is>
      </c>
      <c r="D733" s="217" t="inlineStr">
        <is>
          <t>ទំហំទំនិញ</t>
        </is>
      </c>
      <c r="E733" s="217" t="inlineStr">
        <is>
          <t>ទំហំទំនិញ(ប្រវែង+ទទឹង+កម្ពស់)(សង់ទីម៉ែត)</t>
        </is>
      </c>
      <c r="F733" s="217" t="n"/>
      <c r="G733" s="217" t="inlineStr">
        <is>
          <t>ទំហំទំនិញ(ប្រវែង+ទទឹង+កម្ពស់)(សង់ទីម៉ែត)</t>
        </is>
      </c>
      <c r="H733" s="217" t="inlineStr">
        <is>
          <t>包裹尺寸</t>
        </is>
      </c>
      <c r="J733" t="inlineStr">
        <is>
          <t>ទំហំទំនិញ(ប្រវែង+ទទឹង+កម្ពស់)(សង់ទីម៉ែត)</t>
        </is>
      </c>
    </row>
    <row r="734">
      <c r="A734" s="217" t="inlineStr">
        <is>
          <t>feeLookup.checkFees</t>
        </is>
      </c>
      <c r="B734" s="217" t="inlineStr">
        <is>
          <t>Tra cứu cước</t>
        </is>
      </c>
      <c r="C734" s="217" t="inlineStr">
        <is>
          <t>Check fees</t>
        </is>
      </c>
      <c r="D734" s="217" t="inlineStr">
        <is>
          <t>ត្រួតពិនិត្យថ្លៃ</t>
        </is>
      </c>
      <c r="E734" s="217" t="inlineStr">
        <is>
          <t>ត្រួតពិនិត្យថ្លៃសេវា</t>
        </is>
      </c>
      <c r="F734" s="217" t="n"/>
      <c r="G734" s="217" t="inlineStr">
        <is>
          <t>ត្រួតពិនិត្យថ្លៃសេវា</t>
        </is>
      </c>
      <c r="H734" s="217" t="inlineStr">
        <is>
          <t>查询运费</t>
        </is>
      </c>
      <c r="J734" t="inlineStr">
        <is>
          <t>ត្រួតពិនិត្យថ្លៃសេវា</t>
        </is>
      </c>
    </row>
    <row r="735">
      <c r="A735" s="217" t="inlineStr">
        <is>
          <t>feeLookup.resultLookup</t>
        </is>
      </c>
      <c r="B735" s="217" t="inlineStr">
        <is>
          <t>Kết quả tra cứu</t>
        </is>
      </c>
      <c r="C735" s="217" t="inlineStr">
        <is>
          <t>Research results</t>
        </is>
      </c>
      <c r="D735" s="217" t="inlineStr">
        <is>
          <t>លទ្ធផលស្វែងរក</t>
        </is>
      </c>
      <c r="E735" s="217" t="inlineStr">
        <is>
          <t>លទ្ធផលស្វែងរក</t>
        </is>
      </c>
      <c r="F735" s="217" t="n"/>
      <c r="G735" s="217" t="inlineStr">
        <is>
          <t>លទ្ធផលស្វែងរក</t>
        </is>
      </c>
      <c r="H735" s="217" t="inlineStr">
        <is>
          <t>查询结果</t>
        </is>
      </c>
      <c r="J735" t="inlineStr">
        <is>
          <t>លទ្ធផលស្វែងរក</t>
        </is>
      </c>
    </row>
    <row r="736">
      <c r="A736" s="217" t="inlineStr">
        <is>
          <t>feeLookup.contact_nearest_location</t>
        </is>
      </c>
      <c r="B736" s="217" t="inlineStr">
        <is>
          <t>Liên hệ điểm giao dịch gần nhất để nhận giá tốt hơn</t>
        </is>
      </c>
      <c r="C736" s="217" t="inlineStr">
        <is>
          <t>Contact the nearest location for better rates</t>
        </is>
      </c>
      <c r="D736" s="217" t="inlineStr">
        <is>
          <t>ត្រូវទាក់ទងចំណុចផ្ញើជិតបំផុតដើម្បីទទួលតម្លៃល្អបំផុត</t>
        </is>
      </c>
      <c r="E736" s="217" t="inlineStr">
        <is>
          <t>ត្រូវរកទីតាំងផ្ញើជិតបំផុតដើម្បីទទួលតម្លៃល្អបំផុត</t>
        </is>
      </c>
      <c r="F736" s="217" t="n"/>
      <c r="G736" s="217" t="inlineStr">
        <is>
          <t>ត្រូវរកទីតាំងផ្ញើជិតបំផុតដើម្បីទទួលតម្លៃល្អបំផុត</t>
        </is>
      </c>
      <c r="H736" s="217" t="inlineStr">
        <is>
          <t>联系最近网点获取优惠价格</t>
        </is>
      </c>
      <c r="J736" t="inlineStr">
        <is>
          <t>ត្រូវរកទីតាំងផ្ញើជិតបំផុតដើម្បីទទួលតម្លៃល្អបំផុត</t>
        </is>
      </c>
    </row>
    <row r="737">
      <c r="A737" s="217" t="inlineStr">
        <is>
          <t>feeLookup.find_nearest_post_office</t>
        </is>
      </c>
      <c r="B737" s="217" t="inlineStr">
        <is>
          <t>Tra bưu cục gần nhất</t>
        </is>
      </c>
      <c r="C737" s="217" t="inlineStr">
        <is>
          <t>Find the nearest post office</t>
        </is>
      </c>
      <c r="D737" s="217" t="inlineStr">
        <is>
          <t>ស្វែងរកប៉ុស្តិ៍ជិត</t>
        </is>
      </c>
      <c r="E737" s="217" t="inlineStr">
        <is>
          <t>ស្វែងរកការិយាល័យប្រៃសណីយ៍ដែលជិតបំផុត</t>
        </is>
      </c>
      <c r="F737" s="217" t="n"/>
      <c r="G737" s="217" t="inlineStr">
        <is>
          <t>ស្វែងរកការិយាល័យប្រៃសណីយ៍ដែលជិតបំផុត</t>
        </is>
      </c>
      <c r="H737" s="217" t="inlineStr">
        <is>
          <t>查找最近网点</t>
        </is>
      </c>
      <c r="J737" t="inlineStr">
        <is>
          <t>ស្វែងរកការិយាល័យប្រៃសណីយ៍ដែលជិតបំផុត</t>
        </is>
      </c>
    </row>
    <row r="738">
      <c r="A738" s="217" t="inlineStr">
        <is>
          <t>feeLookup.suitableService</t>
        </is>
      </c>
      <c r="B738" s="217" t="inlineStr">
        <is>
          <t>Dịch vụ phù hợp</t>
        </is>
      </c>
      <c r="C738" s="217" t="inlineStr">
        <is>
          <t>Suitable service</t>
        </is>
      </c>
      <c r="D738" s="217" t="inlineStr">
        <is>
          <t>សេវាដែលសមស្រប</t>
        </is>
      </c>
      <c r="E738" s="217" t="inlineStr">
        <is>
          <t>សេវាដែលសមស្រប</t>
        </is>
      </c>
      <c r="F738" s="217" t="n"/>
      <c r="G738" s="217" t="inlineStr">
        <is>
          <t>សេវាដែលសមស្រប</t>
        </is>
      </c>
      <c r="H738" s="217" t="inlineStr">
        <is>
          <t>推荐服务</t>
        </is>
      </c>
      <c r="J738" t="inlineStr">
        <is>
          <t>សេវាដែលសមស្រប</t>
        </is>
      </c>
    </row>
    <row r="739">
      <c r="A739" s="217" t="inlineStr">
        <is>
          <t>feeLookup.send</t>
        </is>
      </c>
      <c r="B739" s="217" t="inlineStr">
        <is>
          <t>Gửi</t>
        </is>
      </c>
      <c r="C739" s="217" t="inlineStr">
        <is>
          <t>Send</t>
        </is>
      </c>
      <c r="D739" s="217" t="inlineStr">
        <is>
          <t>ផ្ញើ</t>
        </is>
      </c>
      <c r="E739" s="217" t="inlineStr">
        <is>
          <t>ផ្ញើ</t>
        </is>
      </c>
      <c r="F739" s="217" t="n"/>
      <c r="G739" s="217" t="inlineStr">
        <is>
          <t>ផ្ញើ</t>
        </is>
      </c>
      <c r="H739" s="217" t="inlineStr">
        <is>
          <t>发送</t>
        </is>
      </c>
      <c r="J739" t="inlineStr">
        <is>
          <t>ផ្ញើ</t>
        </is>
      </c>
    </row>
    <row r="740">
      <c r="A740" s="217" t="inlineStr">
        <is>
          <t>feeLookup.chargeableWeight</t>
        </is>
      </c>
      <c r="B740" s="217" t="inlineStr">
        <is>
          <t>Trọng lượng tính cước</t>
        </is>
      </c>
      <c r="C740" s="217" t="inlineStr">
        <is>
          <t>Chargeable weight</t>
        </is>
      </c>
      <c r="D740" s="217" t="inlineStr">
        <is>
          <t>ទម្ងន់គិតថ្លៃ</t>
        </is>
      </c>
      <c r="E740" s="217" t="inlineStr">
        <is>
          <t>ទម្ងន់គិតថ្លៃសេវា</t>
        </is>
      </c>
      <c r="F740" s="217" t="n"/>
      <c r="G740" s="217" t="inlineStr">
        <is>
          <t>ទម្ងន់គិតថ្លៃសេវា</t>
        </is>
      </c>
      <c r="H740" s="217" t="inlineStr">
        <is>
          <t>计费重量</t>
        </is>
      </c>
      <c r="J740" t="inlineStr">
        <is>
          <t>ទម្ងន់គិតថ្លៃសេវា</t>
        </is>
      </c>
    </row>
    <row r="741">
      <c r="A741" s="217" t="inlineStr">
        <is>
          <t>feeLookup.pleaseEnterCollectionMoney</t>
        </is>
      </c>
      <c r="B741" s="217" t="inlineStr">
        <is>
          <t>Vui lòng nhập tiền thu hộ !</t>
        </is>
      </c>
      <c r="C741" s="217" t="inlineStr">
        <is>
          <t>Please enter collection money !</t>
        </is>
      </c>
      <c r="D741" s="217" t="inlineStr">
        <is>
          <t>សូមបញ្ចូលទឹកប្រាក់ប្រមូល!</t>
        </is>
      </c>
      <c r="E741" s="217" t="inlineStr">
        <is>
          <t>សូមបញ្ចូលទឹកប្រាក់ប្រមូលជំនួស!</t>
        </is>
      </c>
      <c r="F741" s="217" t="n"/>
      <c r="G741" s="217" t="inlineStr">
        <is>
          <t>សូមបញ្ចូលទឹកប្រាក់ប្រមូលជំនួស!</t>
        </is>
      </c>
      <c r="H741" s="217" t="inlineStr">
        <is>
          <t>请输入代收金额！</t>
        </is>
      </c>
      <c r="J741" t="inlineStr">
        <is>
          <t>សូមបញ្ចូលទឹកប្រាក់ប្រមូលជំនួស!</t>
        </is>
      </c>
    </row>
    <row r="742">
      <c r="A742" s="217" t="inlineStr">
        <is>
          <t>feeLookup.collectionAmountMustBeGreaterThanZero</t>
        </is>
      </c>
      <c r="B742" s="217" t="inlineStr">
        <is>
          <t>Tiền thu hộ phải lớn hơn 0 !</t>
        </is>
      </c>
      <c r="C742" s="217" t="inlineStr">
        <is>
          <t>The collection amount must be greater than zero !</t>
        </is>
      </c>
      <c r="D742" s="217" t="inlineStr">
        <is>
          <t>ទឹកប្រាក់ទទួលត្រូវធំជាង 0!</t>
        </is>
      </c>
      <c r="E742" s="217" t="inlineStr">
        <is>
          <t>ទឹកប្រាក់ទទួលជំនួសត្រូវធំជាង 0!</t>
        </is>
      </c>
      <c r="F742" s="217" t="n"/>
      <c r="G742" s="217" t="inlineStr">
        <is>
          <t>ទឹកប្រាក់ទទួលជំនួសត្រូវធំជាង 0!</t>
        </is>
      </c>
      <c r="H742" s="217" t="inlineStr">
        <is>
          <t>代收金额必须大于零！</t>
        </is>
      </c>
      <c r="J742" t="inlineStr">
        <is>
          <t>ទឹកប្រាក់ទទួលជំនួសត្រូវធំជាង 0!</t>
        </is>
      </c>
    </row>
    <row r="743">
      <c r="A743" s="217" t="inlineStr">
        <is>
          <t>feeLookup.estimatedDeliveryDays</t>
        </is>
      </c>
      <c r="B743" s="217" t="inlineStr">
        <is>
          <t>Thời gian dự kiến giao: {{count}} ngày</t>
        </is>
      </c>
      <c r="C743" s="217" t="inlineStr">
        <is>
          <t>Estimated delivery time: {{count}} day</t>
        </is>
      </c>
      <c r="D743" s="217" t="inlineStr">
        <is>
          <t>រយៈពេលដឹកជញ្ជូនប៉ាន់ស្មាន៖ {{count}} ថ្ងៃ</t>
        </is>
      </c>
      <c r="E743" s="217" t="inlineStr">
        <is>
          <t>រយៈពេលដឹកជញ្ជូនតាមការកំណត់៖ {{count}} ថ្ងៃ</t>
        </is>
      </c>
      <c r="F743" s="217" t="n"/>
      <c r="G743" s="217" t="inlineStr">
        <is>
          <t>រយៈពេលដឹកជញ្ជូនតាមការកំណត់៖ {{count}} ថ្ងៃ</t>
        </is>
      </c>
      <c r="H743" s="217" t="inlineStr">
        <is>
          <t>预计送达时间：{{count}} 天</t>
        </is>
      </c>
      <c r="J743" t="inlineStr">
        <is>
          <t>រយៈពេលដឹកជញ្ជូនតាមការកំណត់៖ {{count}} ថ្ងៃ</t>
        </is>
      </c>
    </row>
    <row r="744">
      <c r="A744" s="217" t="inlineStr">
        <is>
          <t>postOfficeLookup.title</t>
        </is>
      </c>
      <c r="B744" s="217" t="inlineStr">
        <is>
          <t>Tra cứu bưu cục</t>
        </is>
      </c>
      <c r="C744" s="217" t="inlineStr">
        <is>
          <t>Post Office Lookup</t>
        </is>
      </c>
      <c r="D744" s="217" t="inlineStr">
        <is>
          <t>ស្វែងរកប៉ុស្តិ៍</t>
        </is>
      </c>
      <c r="E744" s="217" t="inlineStr">
        <is>
          <t>ស្វែងរកការិយាល័យប្រៃសណីយ៍</t>
        </is>
      </c>
      <c r="F744" s="217" t="n"/>
      <c r="G744" s="217" t="inlineStr">
        <is>
          <t>ស្វែងរកការិយាល័យប្រៃសណីយ៍</t>
        </is>
      </c>
      <c r="H744" s="217" t="inlineStr">
        <is>
          <t>查找网点</t>
        </is>
      </c>
      <c r="J744" t="inlineStr">
        <is>
          <t>ស្វែងរកការិយាល័យប្រៃសណីយ៍</t>
        </is>
      </c>
    </row>
    <row r="745">
      <c r="A745" s="217" t="inlineStr">
        <is>
          <t>postOfficeLookup.networkOfPostOffices</t>
        </is>
      </c>
      <c r="B745" s="217" t="inlineStr">
        <is>
          <t>Mạng lưới bưu cục</t>
        </is>
      </c>
      <c r="C745" s="217" t="inlineStr">
        <is>
          <t>Network of Post Offices</t>
        </is>
      </c>
      <c r="D745" s="217" t="inlineStr">
        <is>
          <t>បណ្តាញប៉ុស្តិ៍</t>
        </is>
      </c>
      <c r="E745" s="217" t="inlineStr">
        <is>
          <t>បណ្តាយការិយាល័យប្រៃសណីយ៍</t>
        </is>
      </c>
      <c r="F745" s="217" t="n"/>
      <c r="G745" s="217" t="inlineStr">
        <is>
          <t>បណ្តាយការិយាល័យប្រៃសណីយ៍</t>
        </is>
      </c>
      <c r="H745" s="217" t="inlineStr">
        <is>
          <t>邮政网点网络</t>
        </is>
      </c>
      <c r="J745" t="inlineStr">
        <is>
          <t>បណ្តាយការិយាល័យប្រៃសណីយ៍</t>
        </is>
      </c>
    </row>
    <row r="746">
      <c r="A746" s="217" t="inlineStr">
        <is>
          <t>postOfficeLookup.suggestedPostOffices</t>
        </is>
      </c>
      <c r="B746" s="217" t="inlineStr">
        <is>
          <t>Bưu cục gợi ý</t>
        </is>
      </c>
      <c r="C746" s="217" t="inlineStr">
        <is>
          <t>Suggested Post Offices</t>
        </is>
      </c>
      <c r="D746" s="217" t="inlineStr">
        <is>
          <t>ប៉ុស្តិ៍ដែលណែនាំ</t>
        </is>
      </c>
      <c r="E746" s="217" t="inlineStr">
        <is>
          <t>ណែនាំជូនការិយាល័យប្រៃសណីយ៍</t>
        </is>
      </c>
      <c r="F746" s="217" t="n"/>
      <c r="G746" s="217" t="inlineStr">
        <is>
          <t>ណែនាំជូនការិយាល័យប្រៃសណីយ៍</t>
        </is>
      </c>
      <c r="H746" s="217" t="inlineStr">
        <is>
          <t>推荐网点</t>
        </is>
      </c>
      <c r="J746" t="inlineStr">
        <is>
          <t>ណែនាំជូនការិយាល័យប្រៃសណីយ៍</t>
        </is>
      </c>
    </row>
    <row r="747">
      <c r="A747" s="217" t="inlineStr">
        <is>
          <t>postOfficeLookup.directions</t>
        </is>
      </c>
      <c r="B747" s="217" t="inlineStr">
        <is>
          <t>Chỉ đường</t>
        </is>
      </c>
      <c r="C747" s="217" t="inlineStr">
        <is>
          <t>Directions</t>
        </is>
      </c>
      <c r="D747" s="217" t="inlineStr">
        <is>
          <t>ទិសដៅ</t>
        </is>
      </c>
      <c r="E747" s="217" t="inlineStr">
        <is>
          <t>នាំផ្លូវ</t>
        </is>
      </c>
      <c r="F747" s="217" t="n"/>
      <c r="G747" s="217" t="inlineStr">
        <is>
          <t>នាំផ្លូវ</t>
        </is>
      </c>
      <c r="H747" s="217" t="inlineStr">
        <is>
          <t>导航</t>
        </is>
      </c>
      <c r="J747" t="inlineStr">
        <is>
          <t>នាំផ្លូវ</t>
        </is>
      </c>
    </row>
    <row r="748">
      <c r="A748" s="217" t="inlineStr">
        <is>
          <t>postOfficeLookup.postOfficeManager</t>
        </is>
      </c>
      <c r="B748" s="217" t="inlineStr">
        <is>
          <t>Trưởng bưu cục</t>
        </is>
      </c>
      <c r="C748" s="217" t="inlineStr">
        <is>
          <t>Post Office Manager</t>
        </is>
      </c>
      <c r="D748" s="217" t="inlineStr">
        <is>
          <t>អ្នកគ្រប់គ្រងប៉ុស្តិ៍</t>
        </is>
      </c>
      <c r="E748" s="217" t="inlineStr">
        <is>
          <t>អ្នកគ្រប់គ្រងការិយាល័យប្រៃសណីយ៍</t>
        </is>
      </c>
      <c r="F748" s="217" t="n"/>
      <c r="G748" s="217" t="inlineStr">
        <is>
          <t>អ្នកគ្រប់គ្រងការិយាល័យប្រៃសណីយ៍</t>
        </is>
      </c>
      <c r="H748" s="217" t="inlineStr">
        <is>
          <t>邮政网点负责人</t>
        </is>
      </c>
      <c r="J748" t="inlineStr">
        <is>
          <t>អ្នកគ្រប់គ្រងការិយាល័យប្រៃសណីយ៍</t>
        </is>
      </c>
    </row>
    <row r="749">
      <c r="A749" s="217" t="inlineStr">
        <is>
          <t>postOfficeLookup.postOfficeList</t>
        </is>
      </c>
      <c r="B749" s="217" t="inlineStr">
        <is>
          <t>Danh sách bưu cục</t>
        </is>
      </c>
      <c r="C749" s="217" t="inlineStr">
        <is>
          <t>List of Post Offices</t>
        </is>
      </c>
      <c r="D749" s="217" t="inlineStr">
        <is>
          <t>បញ្ជីប៉ុស្តិ៍</t>
        </is>
      </c>
      <c r="E749" s="217" t="inlineStr">
        <is>
          <t>បញ្ជីការិយាល័យប្រៃសណីយ៍</t>
        </is>
      </c>
      <c r="F749" s="217" t="n"/>
      <c r="G749" s="217" t="inlineStr">
        <is>
          <t>បញ្ជីការិយាល័យប្រៃសណីយ៍</t>
        </is>
      </c>
      <c r="H749" s="217" t="inlineStr">
        <is>
          <t>邮政网点列表</t>
        </is>
      </c>
      <c r="J749" t="inlineStr">
        <is>
          <t>បញ្ជីការិយាល័យប្រៃសណីយ៍</t>
        </is>
      </c>
    </row>
    <row r="750">
      <c r="A750" s="217" t="inlineStr">
        <is>
          <t>listOfProhibitedItems.rule1</t>
        </is>
      </c>
      <c r="B750" s="217" t="inlineStr">
        <is>
          <t>1. Động vật sống, bộ phận cơ thể hoặc sản phẩm của động vật sống.</t>
        </is>
      </c>
      <c r="C750" s="217" t="inlineStr">
        <is>
          <t>1. Live animals, body parts or products of live animals.</t>
        </is>
      </c>
      <c r="D750" s="217" t="inlineStr">
        <is>
          <t>បញ្ជីប៉ុស្តិ៍</t>
        </is>
      </c>
      <c r="E750" s="3" t="inlineStr">
        <is>
          <t>1. សត្វរស់, ផ្នែករាងកាយ ឬផលិតផលរបស់សត្វមានជីវិត</t>
        </is>
      </c>
      <c r="F750" s="217" t="n"/>
      <c r="G750" s="217" t="inlineStr">
        <is>
          <t>1. សត្វរស់, ផ្នែករាងកាយ ឬផលិតផលរបស់សត្វមានជីវិត</t>
        </is>
      </c>
      <c r="H750" s="217" t="inlineStr">
        <is>
          <t>1. 活体动物、动物身体部位或其制品。</t>
        </is>
      </c>
      <c r="J750" t="inlineStr">
        <is>
          <t>1. សត្វរស់, ផ្នែករាងកាយ ឬផលិតផលរបស់សត្វមានជីវិត</t>
        </is>
      </c>
    </row>
    <row r="751">
      <c r="A751" s="217" t="inlineStr">
        <is>
          <t>listOfProhibitedItems.rule2</t>
        </is>
      </c>
      <c r="B751" s="217" t="inlineStr">
        <is>
          <t>2. Vũ khí, đạn dược, chất nổ, trang thiết bị quân sự.</t>
        </is>
      </c>
      <c r="C751" s="217" t="inlineStr">
        <is>
          <t>2. Weapons, ammunition, explosives, military equipment.</t>
        </is>
      </c>
      <c r="D751" s="3" t="inlineStr">
        <is>
          <t>2. អាវុធ គ្រាប់រំសេវ គ្រឿងផ្ទុះ សម្ភារៈយោធា</t>
        </is>
      </c>
      <c r="E751" s="3" t="inlineStr">
        <is>
          <t>2. អាវុធ គ្រាប់រំសេវ គ្រឿងផ្ទុះ សម្ភារៈយោធា</t>
        </is>
      </c>
      <c r="F751" s="217" t="n"/>
      <c r="G751" s="217" t="inlineStr">
        <is>
          <t>2. អាវុធ គ្រាប់រំសេវ គ្រឿងផ្ទុះ សម្ភារៈយោធា</t>
        </is>
      </c>
      <c r="H751" s="217" t="inlineStr">
        <is>
          <t>2. 武器、弹药、爆炸物及军事装备。</t>
        </is>
      </c>
      <c r="J751" t="inlineStr">
        <is>
          <t>2. អាវុធ គ្រាប់រំសេវ គ្រឿងផ្ទុះ សម្ភារៈយោធា</t>
        </is>
      </c>
    </row>
    <row r="752">
      <c r="A752" s="217" t="inlineStr">
        <is>
          <t>listOfProhibitedItems.rule3</t>
        </is>
      </c>
      <c r="B752" s="217" t="inlineStr">
        <is>
          <t>3. Vật hoặc chất dễ nổ, dễ cháy và các chất gây nguy hiểm mất vệ sinh, gây ô nhiễm môi trường.</t>
        </is>
      </c>
      <c r="C752" s="217" t="inlineStr">
        <is>
          <t>3. Explosive, flammable objects or substances and substances that are dangerous, unsanitary, or pollutants.</t>
        </is>
      </c>
      <c r="D752" s="3" t="inlineStr">
        <is>
          <t>3. ពុល ឬផ្ទុះ ងាយឆេះ និងគ្រោះថ្នាក់ គ្មានអនាម័យ និងបំពុល</t>
        </is>
      </c>
      <c r="E752" s="3" t="inlineStr">
        <is>
          <t>3. ពុល ឬផ្ទុះ ងាយឆេះ និងគ្រោះថ្នាក់ គ្មានអនាម័យ និងបំពុល</t>
        </is>
      </c>
      <c r="F752" s="217" t="n"/>
      <c r="G752" s="217" t="inlineStr">
        <is>
          <t>3. ពុល ឬផ្ទុះ ងាយឆេះ និងគ្រោះថ្នាក់ គ្មានអនាម័យ និងបំពុល</t>
        </is>
      </c>
      <c r="H752" s="217" t="inlineStr">
        <is>
          <t>3. 易燃易爆物品、危险品、污秽物及环境污染物。</t>
        </is>
      </c>
      <c r="J752" t="inlineStr">
        <is>
          <t>3. ពុល ឬផ្ទុះ ងាយឆេះ និងគ្រោះថ្នាក់ គ្មានអនាម័យ និងបំពុល</t>
        </is>
      </c>
    </row>
    <row r="753">
      <c r="A753" s="217" t="inlineStr">
        <is>
          <t>listOfProhibitedItems.rule4</t>
        </is>
      </c>
      <c r="B753" s="217" t="inlineStr">
        <is>
          <t>4. Tiền Campuchia, tiền nước ngoài và các giấy tờ có giá trị như tiền.</t>
        </is>
      </c>
      <c r="C753" s="217" t="inlineStr">
        <is>
          <t>4. Cambodian money, foreign money and treasury notes with the same value as money.</t>
        </is>
      </c>
      <c r="D753" s="3" t="inlineStr">
        <is>
          <t>4. លុយខ្មែរ រូបិយប័ណ្ណបរទេស និងឯកសារទាំងអស់មានតម្លៃដូចគ្នាទៅនឹងលុយ។</t>
        </is>
      </c>
      <c r="E753" s="3" t="inlineStr">
        <is>
          <t>4. លុយខ្មែរ រូបិយប័ណ្ណបរទេស និងឯកសារទាំងអស់មានតម្លៃដូចគ្នាទៅនឹងលុយ។</t>
        </is>
      </c>
      <c r="F753" s="217" t="n"/>
      <c r="G753" s="217" t="inlineStr">
        <is>
          <t>4. លុយខ្មែរ រូបិយប័ណ្ណបរទេស និងឯកសារទាំងអស់មានតម្លៃដូចគ្នាទៅនឹងលុយ។</t>
        </is>
      </c>
      <c r="H753" s="217" t="inlineStr">
        <is>
          <t>4. 柬埔寨货币、外币及具有货币价值的票据。</t>
        </is>
      </c>
      <c r="J753" t="inlineStr">
        <is>
          <t>4. លុយខ្មែរ រូបិយប័ណ្ណបរទេស និងឯកសារទាំងអស់មានតម្លៃដូចគ្នាទៅនឹងលុយ។</t>
        </is>
      </c>
    </row>
    <row r="754">
      <c r="A754" s="217" t="inlineStr">
        <is>
          <t>listOfProhibitedItems.rule5</t>
        </is>
      </c>
      <c r="B754" s="217" t="inlineStr">
        <is>
          <t>5. Các loại kim khí quý (vàng, bạc, bạch kim,....), các loại đá quý hay các sản phẩm khác chế tạo từ kim khí quý, đá quý (xin gửi kể cả trong bưu phẩm gửi khai giá).</t>
        </is>
      </c>
      <c r="C754" s="217" t="inlineStr">
        <is>
          <t>5. Precious metals (gold, silver, platinum, etc.), precious stones or other products made from precious metals or precious stones (please send them in the declared value parcel).</t>
        </is>
      </c>
      <c r="D754" s="3" t="inlineStr">
        <is>
          <t>5. លោហធាតុមានតម្លៃ (មាស ប្រាក់ ប្លាទីន...), ត្បូង ឬផលិតផលផ្សេងទៀតធ្វើពីលោហធាតុ ឬត្បូងមានតម្លៃ (មិនត្រូវបានផ្ញើតាមប្រៃសណីយ៍ជាមួយនឹងតម្លៃដែលបានរាយបញ្ជី)</t>
        </is>
      </c>
      <c r="E754" s="3" t="inlineStr">
        <is>
          <t>5. លោហធាតុមានតម្លៃ (មាស ប្រាក់ ប្លាទីន...), ត្បូង ឬផលិតផលផ្សេងទៀតធ្វើពីលោហធាតុ ឬត្បូងមានតម្លៃ (មិនត្រូវបានផ្ញើតាមប្រៃសណីយ៍ជាមួយនឹងតម្លៃដែលបានរាយបញ្ជី)</t>
        </is>
      </c>
      <c r="F754" s="217" t="n"/>
      <c r="G754" s="217" t="inlineStr">
        <is>
          <t>5. លោហធាតុមានតម្លៃ (មាស ប្រាក់ ប្លាទីន...), ត្បូង ឬផលិតផលផ្សេងទៀតធ្វើពីលោហធាតុ ឬត្បូងមានតម្លៃ (មិនត្រូវបានផ្ញើតាមប្រៃសណីយ៍ជាមួយនឹងតម្លៃដែលបានរាយបញ្ជី)</t>
        </is>
      </c>
      <c r="H754" s="217" t="inlineStr">
        <is>
          <t>5. 贵金属（金、银、铂金等）、宝石及其制品（含在保价邮件内）。</t>
        </is>
      </c>
      <c r="J754" t="inlineStr">
        <is>
          <t>5. លោហធាតុមានតម្លៃ (មាស ប្រាក់ ប្លាទីន...), ត្បូង ឬផលិតផលផ្សេងទៀតធ្វើពីលោហធាតុ ឬត្បូងមានតម្លៃ (មិនត្រូវបានផ្ញើតាមប្រៃសណីយ៍ជាមួយនឹងតម្លៃដែលបានរាយបញ្ជី)</t>
        </is>
      </c>
    </row>
    <row r="755">
      <c r="A755" s="217" t="inlineStr">
        <is>
          <t>listOfProhibitedItems.rule6</t>
        </is>
      </c>
      <c r="B755" s="217" t="inlineStr">
        <is>
          <t>6. Thuốc phiện, các chất hợp chất thuốc phiện, các chất ma túy, chất kích thích thần kinh.</t>
        </is>
      </c>
      <c r="C755" s="217" t="inlineStr">
        <is>
          <t>6. Opium, opium compounds, narcotics, psychotropic substances.</t>
        </is>
      </c>
      <c r="D755" s="3" t="inlineStr">
        <is>
          <t>6. អាភៀន, សមាសធាតុពីអាភៀន, សារធាតុហាមឃាត់, សារធាតុរំញោចសរសៃប្រសាទ</t>
        </is>
      </c>
      <c r="E755" s="3" t="inlineStr">
        <is>
          <t>6. អាភៀន, សមាសធាតុពីអាភៀន, សារធាតុហាមឃាត់, សារធាតុរំញោចសរសៃប្រសាទ</t>
        </is>
      </c>
      <c r="F755" s="217" t="n"/>
      <c r="G755" s="217" t="inlineStr">
        <is>
          <t>6. អាភៀន, សមាសធាតុពីអាភៀន, សារធាតុហាមឃាត់, សារធាតុរំញោចសរសៃប្រសាទ</t>
        </is>
      </c>
      <c r="H755" s="217" t="inlineStr">
        <is>
          <t>6. 鸦片、鸦片制剂、毒品及精神类药品。</t>
        </is>
      </c>
      <c r="J755" t="inlineStr">
        <is>
          <t>6. អាភៀន, សមាសធាតុពីអាភៀន, សារធាតុហាមឃាត់, សារធាតុរំញោចសរសៃប្រសាទ</t>
        </is>
      </c>
    </row>
    <row r="756">
      <c r="A756" s="217" t="inlineStr">
        <is>
          <t>listOfProhibitedItems.rule7</t>
        </is>
      </c>
      <c r="B756" s="217" t="inlineStr">
        <is>
          <t>7. Di vật, cổ vật, bảo vật quốc gia thuộc sở hữu Nhà nước, sở hữu của tổ chức chính trị, tổ chức chính trị xã hội. Di vật, cổ vật không thuộc sở hữu nhà nước, sở hữu của tổ chức chính trị, tổ chức chính trị - xã hội.</t>
        </is>
      </c>
      <c r="C756" s="217" t="inlineStr">
        <is>
          <t>7. Relics, antiques, national treasures owned by the State, owned by political organizations, socio-political organizations. Relics, antiques not owned by the State, owned by political organizations, socio-political organizations.</t>
        </is>
      </c>
      <c r="D756" s="3" t="inlineStr">
        <is>
          <t>7. វត្ថុបុរាណ វត្ថុបុរាណ និងសម្បត្តិជាតិ ជាកម្មសិទ្ធិរបស់រដ្ឋ អង្គការនយោបាយ និងអង្គការនយោបាយសង្គម។ វត្ថុបុរាណ និងវត្ថុតាងមិនមែនជាកម្មសិទ្ធិរបស់រដ្ឋ អង្គការនយោបាយ ឬសង្គមនយោបាយទេ។</t>
        </is>
      </c>
      <c r="E756" s="3" t="inlineStr">
        <is>
          <t>7. វត្ថុបុរាណ វត្ថុបុរាណ និងសម្បត្តិជាតិ ជាកម្មសិទ្ធិរបស់រដ្ឋ អង្គការនយោបាយ និងអង្គការនយោបាយសង្គម។ វត្ថុបុរាណ និងវត្ថុតាងមិនមែនជាកម្មសិទ្ធិរបស់រដ្ឋ អង្គការនយោបាយ ឬសង្គមនយោបាយទេ។</t>
        </is>
      </c>
      <c r="F756" s="217" t="n"/>
      <c r="G756" s="217" t="inlineStr">
        <is>
          <t>7. វត្ថុបុរាណ វត្ថុបុរាណ និងសម្បត្តិជាតិ ជាកម្មសិទ្ធិរបស់រដ្ឋ អង្គការនយោបាយ និងអង្គការនយោបាយសង្គម។ វត្ថុបុរាណ និងវត្ថុតាងមិនមែនជាកម្មសិទ្ធិរបស់រដ្ឋ អង្គការនយោបាយ ឬសង្គមនយោបាយទេ។</t>
        </is>
      </c>
      <c r="H756" s="217" t="inlineStr">
        <is>
          <t>7. 属于国家、政治组织、政治-社会组织所有的文物、古物、国宝；以及不属于上述机构所有的文物、古物。</t>
        </is>
      </c>
      <c r="J756" t="inlineStr">
        <is>
          <t>7. វត្ថុបុរាណ វត្ថុបុរាណ និងសម្បត្តិជាតិ ជាកម្មសិទ្ធិរបស់រដ្ឋ អង្គការនយោបាយ និងអង្គការនយោបាយសង្គម។ វត្ថុបុរាណ និងវត្ថុតាងមិនមែនជាកម្មសិទ្ធិរបស់រដ្ឋ អង្គការនយោបាយ ឬសង្គមនយោបាយទេ។</t>
        </is>
      </c>
    </row>
    <row r="757">
      <c r="A757" s="217" t="inlineStr">
        <is>
          <t>listOfProhibitedItems.rule8</t>
        </is>
      </c>
      <c r="B757" s="217" t="inlineStr">
        <is>
          <t>8. Bưu gửi chứa nhiều thư gửi, gửi đi nhiều địa chỉ nhận khác nhau.</t>
        </is>
      </c>
      <c r="C757" s="217" t="inlineStr">
        <is>
          <t>8. Postal items containing multiple letters sent to multiple recipient addresses.</t>
        </is>
      </c>
      <c r="D757" s="3" t="inlineStr">
        <is>
          <t>8. ទំនិញប្រៃសណីយ៍រួមមានទំនិញជាច្រើនដែលត្រូវបានផ្ញើទៅកាន់អាសយដ្ឋានអ្នកទទួលផ្សេងៗគ្នាជាច្រើន។</t>
        </is>
      </c>
      <c r="E757" s="3" t="inlineStr">
        <is>
          <t>8. ទំនិញប្រៃសណីយ៍រួមមានទំនិញជាច្រើនដែលត្រូវបានផ្ញើទៅកាន់អាសយដ្ឋានអ្នកទទួលផ្សេងៗគ្នាជាច្រើន។</t>
        </is>
      </c>
      <c r="F757" s="217" t="n"/>
      <c r="G757" s="217" t="inlineStr">
        <is>
          <t>8. ទំនិញប្រៃសណីយ៍រួមមានទំនិញជាច្រើនដែលត្រូវបានផ្ញើទៅកាន់អាសយដ្ឋានអ្នកទទួលផ្សេងៗគ្នាជាច្រើន។</t>
        </is>
      </c>
      <c r="H757" s="217" t="inlineStr">
        <is>
          <t>8. 一个邮件内包含多封信件且寄往多个不同收件地址的。</t>
        </is>
      </c>
      <c r="J757" t="inlineStr">
        <is>
          <t>8. ទំនិញប្រៃសណីយ៍រួមមានទំនិញជាច្រើនដែលត្រូវបានផ្ញើទៅកាន់អាសយដ្ឋានអ្នកទទួលផ្សេងៗគ្នាជាច្រើន។</t>
        </is>
      </c>
    </row>
    <row r="758">
      <c r="A758" s="217" t="inlineStr">
        <is>
          <t>listOfProhibitedItems.rule9</t>
        </is>
      </c>
      <c r="B758" s="217" t="inlineStr">
        <is>
          <t>9. Các loại văn hóa sản phẩm đồi trụy, phản động, ấn sản phẩm, tài liệu nhằm phá hoại an ninh trật tự công cộng, chống lại Hoàng gia, Nhà nước.</t>
        </is>
      </c>
      <c r="C758" s="217" t="inlineStr">
        <is>
          <t>9. All kinds of obscene and reactionary cultural products, printed products and documents that disrupt public order and oppose the Royal Family and the State.</t>
        </is>
      </c>
      <c r="D758" s="3" t="inlineStr">
        <is>
          <t>9. ខ្លឹមសារអាសអាភាស ប្រឆាំងរដ្ឋ សម្ភារៈនេះមានគោលបំណងធ្វើឱ្យខូចសណ្តាប់ធ្នាប់សាធារណៈប្រឆាំងនឹងតុលាការ និងរដ្ឋ។</t>
        </is>
      </c>
      <c r="E758" s="3" t="inlineStr">
        <is>
          <t>9. ខ្លឹមសារអាសអាភាស ប្រឆាំងរដ្ឋ សម្ភារៈនេះមានគោលបំណងធ្វើឱ្យខូចសណ្តាប់ធ្នាប់សាធារណៈប្រឆាំងនឹងតុលាការ និងរដ្ឋ។</t>
        </is>
      </c>
      <c r="F758" s="217" t="n"/>
      <c r="G758" s="217" t="inlineStr">
        <is>
          <t>9. ខ្លឹមសារអាសអាភាស ប្រឆាំងរដ្ឋ សម្ភារៈនេះមានគោលបំណងធ្វើឱ្យខូចសណ្តាប់ធ្នាប់សាធារណៈប្រឆាំងនឹងតុលាការ និងរដ្ឋ។</t>
        </is>
      </c>
      <c r="H758" s="217" t="inlineStr">
        <is>
          <t>9. 淫秽、反动的文化产品，以及旨在破坏公共安全秩序、反对王室、国家的印刷品和资料。</t>
        </is>
      </c>
      <c r="J758" t="inlineStr">
        <is>
          <t>9. ខ្លឹមសារអាសអាភាស ប្រឆាំងរដ្ឋ សម្ភារៈនេះមានគោលបំណងធ្វើឱ្យខូចសណ្តាប់ធ្នាប់សាធារណៈប្រឆាំងនឹងតុលាការ និងរដ្ឋ។</t>
        </is>
      </c>
    </row>
    <row r="759">
      <c r="A759" s="217" t="inlineStr">
        <is>
          <t>listOfProhibitedItems.rule10</t>
        </is>
      </c>
      <c r="B759" s="217" t="inlineStr">
        <is>
          <t>10. Các loại vật phẩm, hàng hóa Nhà nước cấm lưu thông, cấm kinh doanh, cấm xuất khẩu, nhập khẩu.</t>
        </is>
      </c>
      <c r="C759" s="217" t="inlineStr">
        <is>
          <t>10. Types of products and goods that the State prohibits from circulation, trading, exporting and importing.</t>
        </is>
      </c>
      <c r="D759" s="3" t="inlineStr">
        <is>
          <t>10. ប្រភេទ​ទំនិញ និង​ទំនិញ​ដែល​រដ្ឋ​ហាមប្រាម​មិន​ឱ្យ​ចរាចរ ធ្វើ​អាជីវកម្ម ការ​នាំ​ចេញ និង​នាំ​ចូល</t>
        </is>
      </c>
      <c r="E759" s="3" t="inlineStr">
        <is>
          <t>10. ប្រភេទ​ទំនិញ និង​ទំនិញ​ដែល​រដ្ឋ​ហាមប្រាម​មិន​ឱ្យ​ចរាចរ ធ្វើ​អាជីវកម្ម ការ​នាំ​ចេញ និង​នាំ​ចូល</t>
        </is>
      </c>
      <c r="F759" s="217" t="n"/>
      <c r="G759" s="217" t="inlineStr">
        <is>
          <t>10. ប្រភេទទំនិញ និងទំនិញដែលរដ្ឋហាមប្រាមមិនឱ្យចរាចរ ធ្វើអាជីវកម្ម ការនាំចេញ និងនាំចូល</t>
        </is>
      </c>
      <c r="H759" s="217" t="inlineStr">
        <is>
          <t>10. 国家禁止流通、禁止经营、禁止进出口的物品和商品。</t>
        </is>
      </c>
      <c r="J759" t="inlineStr">
        <is>
          <t>10. ប្រភេទទំនិញ និងទំនិញដែលរដ្ឋហាមប្រាមមិនឱ្យចរាចរ ធ្វើអាជីវកម្ម ការនាំចេញ និងនាំចូល</t>
        </is>
      </c>
    </row>
    <row r="760">
      <c r="A760" s="217" t="inlineStr">
        <is>
          <t>listOfProhibitedItems.rule11</t>
        </is>
      </c>
      <c r="B760" s="217" t="inlineStr">
        <is>
          <t>11. Vật phẩm, ấn phẩm, hàng hóa hóa cấm nhập vào nước nhận theo thông báo của Liên minh Bưu chính thế giới (UPU).</t>
        </is>
      </c>
      <c r="C760" s="217" t="inlineStr">
        <is>
          <t>11. Products, items, publications, and goods prohibited from being imported into the receiving country according to the notice of the Universal Postal Union (UPU).</t>
        </is>
      </c>
      <c r="D760" s="3" t="inlineStr">
        <is>
          <t>11. អត្ថបទ ការបោះពុម្ពផ្សាយ និងទំនិញដែលត្រូវបានហាមឃាត់ពីប្រទេសម្ចាស់ផ្ទះ នេះបើយោងតាមសហភាពប្រៃសណីយ៍សកល (UPU)</t>
        </is>
      </c>
      <c r="E760" s="3" t="inlineStr">
        <is>
          <t>11. អត្ថបទ ការបោះពុម្ពផ្សាយ និងទំនិញដែលត្រូវបានហាមឃាត់ពីប្រទេសម្ចាស់ផ្ទះ នេះបើយោងតាមសហភាពប្រៃសណីយ៍សកល (UPU)</t>
        </is>
      </c>
      <c r="F760" s="217" t="n"/>
      <c r="G760" s="217" t="inlineStr">
        <is>
          <t>11. អត្ថបទ ការព្រីនផ្សាយ និងទំនិញដែលត្រូវបានហាមឃាត់ពីប្រទេសម្ចាស់ផ្ទះ នេះបើយោងតាមសហភាពប្រៃសណីយ៍សកល (UPU)</t>
        </is>
      </c>
      <c r="H760" s="217" t="inlineStr">
        <is>
          <t>11. 根据万国邮政联盟(UPU)通知，禁止寄往目的地国家的物品、出版物和商品。</t>
        </is>
      </c>
      <c r="J760" t="inlineStr">
        <is>
          <t>11. អត្ថបទ ការព្រីនផ្សាយ និងទំនិញដែលត្រូវបានហាមឃាត់ពីប្រទេសម្ចាស់ផ្ទះ នេះបើយោងតាមសហភាពប្រៃសណីយ៍សកល (UPU)</t>
        </is>
      </c>
    </row>
    <row r="761">
      <c r="A761" s="217" t="inlineStr">
        <is>
          <t>listOfProhibitedItems.labelMenu</t>
        </is>
      </c>
      <c r="B761" s="217" t="inlineStr">
        <is>
          <t>Danh mục hàng cấm gửi</t>
        </is>
      </c>
      <c r="C761" s="217" t="inlineStr">
        <is>
          <t>List of prohibited items</t>
        </is>
      </c>
      <c r="D761" s="3" t="inlineStr">
        <is>
          <t>ចំណាត់ថ្នាក់ទំនិញហាមឃាត់</t>
        </is>
      </c>
      <c r="E761" s="217" t="inlineStr">
        <is>
          <t>បញ្ជីមុខទំនិញហាមឃាត់</t>
        </is>
      </c>
      <c r="F761" s="217" t="n"/>
      <c r="G761" s="217" t="inlineStr">
        <is>
          <t>បញ្ជីមុខទំនិញហាមឃាត់</t>
        </is>
      </c>
      <c r="H761" s="217" t="inlineStr">
        <is>
          <t>禁运物品列表</t>
        </is>
      </c>
      <c r="J761" t="inlineStr">
        <is>
          <t>បញ្ជីមុខទំនិញហាមឃាត់</t>
        </is>
      </c>
    </row>
    <row r="762">
      <c r="A762" s="217" t="inlineStr">
        <is>
          <t>invoiceManagement.codeBill</t>
        </is>
      </c>
      <c r="B762" s="217" t="inlineStr">
        <is>
          <t>Mã vận đơn</t>
        </is>
      </c>
      <c r="C762" s="217" t="inlineStr">
        <is>
          <t>Order ID</t>
        </is>
      </c>
      <c r="D762" s="217" t="inlineStr">
        <is>
          <t>-</t>
        </is>
      </c>
      <c r="E762" s="217" t="inlineStr">
        <is>
          <t>កូដបុងដឹកជញ្ជូន</t>
        </is>
      </c>
      <c r="F762" s="217" t="n"/>
      <c r="G762" s="217" t="inlineStr">
        <is>
          <t>លេខកូដបុងបញ្ញើ</t>
        </is>
      </c>
      <c r="H762" s="217" t="inlineStr">
        <is>
          <t>订单号）</t>
        </is>
      </c>
      <c r="J762" t="inlineStr">
        <is>
          <t>លេខកូដបុងបញ្ញើ</t>
        </is>
      </c>
    </row>
    <row r="763">
      <c r="A763" s="217" t="inlineStr">
        <is>
          <t>invoiceManagement.codeBillPlaceholder</t>
        </is>
      </c>
      <c r="B763" s="217" t="inlineStr">
        <is>
          <t>Nhập mã vận đơn</t>
        </is>
      </c>
      <c r="C763" s="217" t="inlineStr">
        <is>
          <t>Enter invoice ID</t>
        </is>
      </c>
      <c r="D763" s="217" t="inlineStr">
        <is>
          <t>-</t>
        </is>
      </c>
      <c r="E763" s="217" t="inlineStr">
        <is>
          <t>បញ្ចូលកូដបុងដឹកជញ្ជូន</t>
        </is>
      </c>
      <c r="F763" s="217" t="n"/>
      <c r="G763" s="217" t="inlineStr">
        <is>
          <t>បញ្ចូលកូដបុងដឹកជញ្ជូន</t>
        </is>
      </c>
      <c r="H763" s="217" t="inlineStr">
        <is>
          <t>输入发票号</t>
        </is>
      </c>
      <c r="J763" t="inlineStr">
        <is>
          <t>បញ្ចូលកូដបុងដឹកជញ្ជូន</t>
        </is>
      </c>
    </row>
    <row r="764">
      <c r="A764" s="217" t="inlineStr">
        <is>
          <t>invoiceManagement.createdAt</t>
        </is>
      </c>
      <c r="B764" s="217" t="inlineStr">
        <is>
          <t>Ngày yêu cầu</t>
        </is>
      </c>
      <c r="C764" s="217" t="inlineStr">
        <is>
          <t>Request Date</t>
        </is>
      </c>
      <c r="D764" s="217" t="inlineStr">
        <is>
          <t>-</t>
        </is>
      </c>
      <c r="E764" s="217" t="inlineStr">
        <is>
          <t>ថ្ងៃស្នើសុំ</t>
        </is>
      </c>
      <c r="F764" s="217" t="n"/>
      <c r="G764" s="217" t="inlineStr">
        <is>
          <t>ថ្ងៃស្នើសុំ</t>
        </is>
      </c>
      <c r="H764" s="217" t="inlineStr">
        <is>
          <t>申请日期</t>
        </is>
      </c>
      <c r="J764" t="inlineStr">
        <is>
          <t>ថ្ងៃស្នើសុំ</t>
        </is>
      </c>
    </row>
    <row r="765">
      <c r="A765" s="217" t="inlineStr">
        <is>
          <t>invoiceManagement.status</t>
        </is>
      </c>
      <c r="B765" s="217" t="inlineStr">
        <is>
          <t>Trạng thái</t>
        </is>
      </c>
      <c r="C765" s="217" t="inlineStr">
        <is>
          <t>Status</t>
        </is>
      </c>
      <c r="D765" s="217" t="inlineStr">
        <is>
          <t>-</t>
        </is>
      </c>
      <c r="E765" s="217" t="inlineStr">
        <is>
          <t>ស្ថានភាព</t>
        </is>
      </c>
      <c r="F765" s="217" t="n"/>
      <c r="G765" s="217" t="inlineStr">
        <is>
          <t>ស្ថានភាព</t>
        </is>
      </c>
      <c r="H765" s="217" t="inlineStr">
        <is>
          <t>状态</t>
        </is>
      </c>
      <c r="J765" t="inlineStr">
        <is>
          <t>ស្ថានភាព</t>
        </is>
      </c>
    </row>
    <row r="766">
      <c r="A766" s="217" t="inlineStr">
        <is>
          <t>invoiceManagement.time</t>
        </is>
      </c>
      <c r="B766" s="217" t="inlineStr">
        <is>
          <t>Thời gian</t>
        </is>
      </c>
      <c r="C766" s="217" t="inlineStr">
        <is>
          <t>Time</t>
        </is>
      </c>
      <c r="D766" s="217" t="inlineStr">
        <is>
          <t>-</t>
        </is>
      </c>
      <c r="E766" s="217" t="inlineStr">
        <is>
          <t>ពេលវេលា</t>
        </is>
      </c>
      <c r="F766" s="217" t="n"/>
      <c r="G766" s="217" t="inlineStr">
        <is>
          <t>ពេលវេលា</t>
        </is>
      </c>
      <c r="H766" s="217" t="inlineStr">
        <is>
          <t>时间</t>
        </is>
      </c>
      <c r="J766" t="inlineStr">
        <is>
          <t>ពេលវេលា</t>
        </is>
      </c>
    </row>
    <row r="767">
      <c r="A767" s="217" t="inlineStr">
        <is>
          <t>invoiceManagement.exportDate</t>
        </is>
      </c>
      <c r="B767" s="217" t="inlineStr">
        <is>
          <t>Ngày xuất hoá đơn</t>
        </is>
      </c>
      <c r="C767" s="217" t="inlineStr">
        <is>
          <t>Invoice date</t>
        </is>
      </c>
      <c r="D767" s="217" t="inlineStr">
        <is>
          <t>-</t>
        </is>
      </c>
      <c r="E767" s="217" t="inlineStr">
        <is>
          <t>ថ្ងៃចេញបុងបញ្ញើ</t>
        </is>
      </c>
      <c r="F767" s="217" t="n"/>
      <c r="G767" s="217" t="inlineStr">
        <is>
          <t>ថ្ងៃចេញបុងបញ្ញើ</t>
        </is>
      </c>
      <c r="H767" s="217" t="inlineStr">
        <is>
          <t>开票日期</t>
        </is>
      </c>
      <c r="J767" t="inlineStr">
        <is>
          <t>ថ្ងៃចេញបុងបញ្ញើ</t>
        </is>
      </c>
    </row>
    <row r="768">
      <c r="A768" s="217" t="inlineStr">
        <is>
          <t>invoiceManagement.preTaxMoney</t>
        </is>
      </c>
      <c r="B768" s="217" t="inlineStr">
        <is>
          <t>Tiền trước thuế ({{CURRENCY}})</t>
        </is>
      </c>
      <c r="C768" s="217" t="inlineStr">
        <is>
          <t>Service charge before tax ({{CURRENCY}})</t>
        </is>
      </c>
      <c r="D768" s="217" t="inlineStr">
        <is>
          <t>-</t>
        </is>
      </c>
      <c r="E768" s="217" t="inlineStr">
        <is>
          <t>ប្រាក់មិនទាន់គិតពន្ធ({{CURRENCY}})</t>
        </is>
      </c>
      <c r="F768" s="217" t="n"/>
      <c r="G768" s="217" t="inlineStr">
        <is>
          <t>ប្រាក់មិនទាន់គិតពន្ធ({{CURRENCY}})</t>
        </is>
      </c>
      <c r="H768" s="217" t="inlineStr">
        <is>
          <t>税前服务费 ({{CURRENCY}})</t>
        </is>
      </c>
      <c r="J768" t="inlineStr">
        <is>
          <t>ប្រាក់មិនទាន់គិតពន្ធ({{CURRENCY}})</t>
        </is>
      </c>
    </row>
    <row r="769">
      <c r="A769" s="217" t="inlineStr">
        <is>
          <t>invoiceManagement.invoiceFile</t>
        </is>
      </c>
      <c r="B769" s="217" t="inlineStr">
        <is>
          <t>File hoá đơn</t>
        </is>
      </c>
      <c r="C769" s="217" t="inlineStr">
        <is>
          <t>File details</t>
        </is>
      </c>
      <c r="D769" s="217" t="inlineStr">
        <is>
          <t>-</t>
        </is>
      </c>
      <c r="E769" s="217" t="inlineStr">
        <is>
          <t>File បុងបញ្ញើ</t>
        </is>
      </c>
      <c r="F769" s="217" t="n"/>
      <c r="G769" s="217" t="inlineStr">
        <is>
          <t>File បុងបញ្ញើ</t>
        </is>
      </c>
      <c r="H769" s="217" t="inlineStr">
        <is>
          <t>文件详情</t>
        </is>
      </c>
      <c r="J769" t="inlineStr">
        <is>
          <t>File បុងបញ្ញើ</t>
        </is>
      </c>
    </row>
    <row r="770">
      <c r="A770" s="217" t="inlineStr">
        <is>
          <t>invoiceManagement.afterTaxMoney</t>
        </is>
      </c>
      <c r="B770" s="217" t="inlineStr">
        <is>
          <t>Tiền sau thuế ({{CURRENCY}})</t>
        </is>
      </c>
      <c r="C770" s="217" t="inlineStr">
        <is>
          <t>Service charge after tax ({{CURRENCY}})</t>
        </is>
      </c>
      <c r="D770" s="217" t="inlineStr">
        <is>
          <t>-</t>
        </is>
      </c>
      <c r="E770" s="217" t="inlineStr">
        <is>
          <t>ប្រាក់ក្រោយពេលគិតពន្ធ({{CURRENCY}})</t>
        </is>
      </c>
      <c r="F770" s="217" t="n"/>
      <c r="G770" s="217" t="inlineStr">
        <is>
          <t>ប្រាក់ក្រោយពេលគិតពន្ធ({{CURRENCY}})</t>
        </is>
      </c>
      <c r="H770" s="217" t="inlineStr">
        <is>
          <t>含税服务费 ({{CURRENCY}})</t>
        </is>
      </c>
      <c r="J770" t="inlineStr">
        <is>
          <t>ប្រាក់ក្រោយពេលគិតពន្ធ({{CURRENCY}})</t>
        </is>
      </c>
    </row>
    <row r="771">
      <c r="A771" s="217" t="inlineStr">
        <is>
          <t>invoiceManagement.vat</t>
        </is>
      </c>
      <c r="B771" s="217" t="inlineStr">
        <is>
          <t>VAT ({{CURRENCY}})</t>
        </is>
      </c>
      <c r="C771" s="217" t="inlineStr">
        <is>
          <t>VAT ({{CURRENCY}})</t>
        </is>
      </c>
      <c r="D771" s="217" t="inlineStr">
        <is>
          <t>-</t>
        </is>
      </c>
      <c r="E771" s="217" t="inlineStr">
        <is>
          <t>ពន្ធ ({{CURRENCY}})</t>
        </is>
      </c>
      <c r="F771" s="217" t="n"/>
      <c r="G771" s="217" t="inlineStr">
        <is>
          <t>ពន្ធ ({{CURRENCY}})</t>
        </is>
      </c>
      <c r="H771" s="217" t="inlineStr">
        <is>
          <t>增值税 ({{CURRENCY}})</t>
        </is>
      </c>
      <c r="J771" t="inlineStr">
        <is>
          <t>ពន្ធ ({{CURRENCY}})</t>
        </is>
      </c>
    </row>
    <row r="772">
      <c r="A772" s="217" t="inlineStr">
        <is>
          <t>invoiceManagement.print</t>
        </is>
      </c>
      <c r="B772" s="217" t="inlineStr">
        <is>
          <t>In</t>
        </is>
      </c>
      <c r="C772" s="217" t="inlineStr">
        <is>
          <t>Print</t>
        </is>
      </c>
      <c r="D772" s="217" t="inlineStr">
        <is>
          <t>-</t>
        </is>
      </c>
      <c r="E772" s="217" t="inlineStr">
        <is>
          <t>ព្រីន</t>
        </is>
      </c>
      <c r="F772" s="217" t="n"/>
      <c r="G772" s="217" t="inlineStr">
        <is>
          <t>ព្រីន</t>
        </is>
      </c>
      <c r="H772" s="217" t="inlineStr">
        <is>
          <t>打印</t>
        </is>
      </c>
      <c r="J772" t="inlineStr">
        <is>
          <t>ព្រីន</t>
        </is>
      </c>
    </row>
    <row r="773">
      <c r="A773" s="217" t="inlineStr">
        <is>
          <t>invoiceManagement.INVOICE_RECORD_SYNCING</t>
        </is>
      </c>
      <c r="B773" s="217" t="inlineStr">
        <is>
          <t>Đang xuất hoá đơn</t>
        </is>
      </c>
      <c r="C773" s="217" t="inlineStr">
        <is>
          <t>Issuing Invoice</t>
        </is>
      </c>
      <c r="D773" s="217" t="inlineStr">
        <is>
          <t>-</t>
        </is>
      </c>
      <c r="E773" s="217" t="inlineStr">
        <is>
          <t>កំពុុងចេញបុងបញ្ញើ</t>
        </is>
      </c>
      <c r="F773" s="217" t="n"/>
      <c r="G773" s="217" t="inlineStr">
        <is>
          <t>កំពុុងចេញបុងបញ្ញើ</t>
        </is>
      </c>
      <c r="H773" s="217" t="inlineStr">
        <is>
          <t>正在开具发票</t>
        </is>
      </c>
      <c r="J773" t="inlineStr">
        <is>
          <t>កំពុុងចេញបុងបញ្ញើ</t>
        </is>
      </c>
    </row>
    <row r="774">
      <c r="A774" s="217" t="inlineStr">
        <is>
          <t>invoiceManagement.INVOICE_RECORD_SUCCESS</t>
        </is>
      </c>
      <c r="B774" s="217" t="inlineStr">
        <is>
          <t>Xuất hoá đơn thành công</t>
        </is>
      </c>
      <c r="C774" s="217" t="inlineStr">
        <is>
          <t>Invoice issued successfully</t>
        </is>
      </c>
      <c r="D774" s="217" t="inlineStr">
        <is>
          <t>-</t>
        </is>
      </c>
      <c r="E774" s="217" t="inlineStr">
        <is>
          <t>ចេញបុងបញ្ញើបានជោគជ័យ</t>
        </is>
      </c>
      <c r="F774" s="217" t="n"/>
      <c r="G774" s="217" t="inlineStr">
        <is>
          <t>ចេញបុងបញ្ញើបានជោគជ័យ</t>
        </is>
      </c>
      <c r="H774" s="217" t="inlineStr">
        <is>
          <t>发票开具成功</t>
        </is>
      </c>
      <c r="J774" t="inlineStr">
        <is>
          <t>ចេញបុងបញ្ញើបានជោគជ័យ</t>
        </is>
      </c>
    </row>
    <row r="775">
      <c r="A775" s="217" t="inlineStr">
        <is>
          <t>invoiceManagement.day</t>
        </is>
      </c>
      <c r="B775" s="217" t="inlineStr">
        <is>
          <t>Chọn ngày</t>
        </is>
      </c>
      <c r="C775" s="217" t="inlineStr">
        <is>
          <t>Select date</t>
        </is>
      </c>
      <c r="D775" s="217" t="inlineStr">
        <is>
          <t>-</t>
        </is>
      </c>
      <c r="E775" s="217" t="inlineStr">
        <is>
          <t>ជ្រើសរើសថ្ងៃ</t>
        </is>
      </c>
      <c r="F775" s="217" t="n"/>
      <c r="G775" s="217" t="inlineStr">
        <is>
          <t>ជ្រើសរើសថ្ងៃ</t>
        </is>
      </c>
      <c r="H775" s="217" t="inlineStr">
        <is>
          <t>选择日期</t>
        </is>
      </c>
      <c r="J775" t="inlineStr">
        <is>
          <t>ជ្រើសរើសថ្ងៃ</t>
        </is>
      </c>
    </row>
    <row r="776">
      <c r="A776" s="217" t="inlineStr">
        <is>
          <t>invoiceManagement.week</t>
        </is>
      </c>
      <c r="B776" s="217" t="inlineStr">
        <is>
          <t>Tuần này</t>
        </is>
      </c>
      <c r="C776" s="217" t="inlineStr">
        <is>
          <t>This week</t>
        </is>
      </c>
      <c r="D776" s="217" t="inlineStr">
        <is>
          <t>-</t>
        </is>
      </c>
      <c r="E776" s="217" t="inlineStr">
        <is>
          <t>សប្តាហ៍នេះ</t>
        </is>
      </c>
      <c r="F776" s="217" t="n"/>
      <c r="G776" s="217" t="inlineStr">
        <is>
          <t>សប្តាហ៍នេះ</t>
        </is>
      </c>
      <c r="H776" s="217" t="inlineStr">
        <is>
          <t>本周</t>
        </is>
      </c>
      <c r="J776" t="inlineStr">
        <is>
          <t>សប្តាហ៍នេះ</t>
        </is>
      </c>
    </row>
    <row r="777">
      <c r="A777" s="217" t="inlineStr">
        <is>
          <t>invoiceManagement.month</t>
        </is>
      </c>
      <c r="B777" s="217" t="inlineStr">
        <is>
          <t>Tháng này</t>
        </is>
      </c>
      <c r="C777" s="217" t="inlineStr">
        <is>
          <t>This month</t>
        </is>
      </c>
      <c r="D777" s="217" t="inlineStr">
        <is>
          <t>-</t>
        </is>
      </c>
      <c r="E777" s="217" t="inlineStr">
        <is>
          <t>ខែនេះ</t>
        </is>
      </c>
      <c r="F777" s="217" t="n"/>
      <c r="G777" s="217" t="inlineStr">
        <is>
          <t>ខែនេះ</t>
        </is>
      </c>
      <c r="H777" s="217" t="inlineStr">
        <is>
          <t>本月</t>
        </is>
      </c>
      <c r="J777" t="inlineStr">
        <is>
          <t>ខែនេះ</t>
        </is>
      </c>
    </row>
    <row r="778">
      <c r="A778" s="217" t="inlineStr">
        <is>
          <t>invoiceManagement.accumulated</t>
        </is>
      </c>
      <c r="B778" s="217" t="inlineStr">
        <is>
          <t>Luỹ kế tháng</t>
        </is>
      </c>
      <c r="C778" s="217" t="inlineStr">
        <is>
          <t>Month-to-date total</t>
        </is>
      </c>
      <c r="D778" s="217" t="inlineStr">
        <is>
          <t>-</t>
        </is>
      </c>
      <c r="E778" s="217" t="inlineStr">
        <is>
          <t>កំណើនប្រាក់តាមខែ</t>
        </is>
      </c>
      <c r="F778" s="217" t="n"/>
      <c r="G778" s="217" t="inlineStr">
        <is>
          <t>កំណើនប្រាក់តាមខែ</t>
        </is>
      </c>
      <c r="H778" s="217" t="inlineStr">
        <is>
          <t>本月累计总额</t>
        </is>
      </c>
      <c r="J778" t="inlineStr">
        <is>
          <t>កំណើនប្រាក់តាមខែ</t>
        </is>
      </c>
    </row>
    <row r="779">
      <c r="A779" s="217" t="inlineStr">
        <is>
          <t>invoiceManagement.apply</t>
        </is>
      </c>
      <c r="B779" s="217" t="inlineStr">
        <is>
          <t>Áp dụng</t>
        </is>
      </c>
      <c r="C779" s="217" t="inlineStr">
        <is>
          <t>Apply</t>
        </is>
      </c>
      <c r="D779" s="217" t="inlineStr">
        <is>
          <t>-</t>
        </is>
      </c>
      <c r="E779" s="217" t="inlineStr">
        <is>
          <t>អនុវត្តន៍</t>
        </is>
      </c>
      <c r="F779" s="217" t="n"/>
      <c r="G779" s="217" t="inlineStr">
        <is>
          <t>អនុវត្ត</t>
        </is>
      </c>
      <c r="H779" s="217" t="inlineStr">
        <is>
          <t>确定</t>
        </is>
      </c>
      <c r="J779" t="inlineStr">
        <is>
          <t>អនុវត្ត</t>
        </is>
      </c>
    </row>
    <row r="780">
      <c r="A780" s="217" t="inlineStr">
        <is>
          <t>invoiceManagement.invoiceEmpty</t>
        </is>
      </c>
      <c r="B780" s="217" t="inlineStr">
        <is>
          <t>Chưa có hoá đơn để in!</t>
        </is>
      </c>
      <c r="C780" s="217" t="inlineStr">
        <is>
          <t>No invoices available to print!</t>
        </is>
      </c>
      <c r="D780" s="217" t="inlineStr">
        <is>
          <t>-</t>
        </is>
      </c>
      <c r="E780" s="217" t="inlineStr">
        <is>
          <t>មិនទាន់មានបុងបញ្ញើដើម្បីព្រីន</t>
        </is>
      </c>
      <c r="F780" s="217" t="n"/>
      <c r="G780" s="217" t="inlineStr">
        <is>
          <t>មិនទាន់មានបុងបញ្ញើដើម្បីព្រីន</t>
        </is>
      </c>
      <c r="H780" s="217" t="inlineStr">
        <is>
          <t>无可打印的发票！</t>
        </is>
      </c>
      <c r="J780" t="inlineStr">
        <is>
          <t>មិនទាន់មានបុងបញ្ញើដើម្បីព្រីន</t>
        </is>
      </c>
    </row>
    <row r="781">
      <c r="A781" s="217" t="inlineStr">
        <is>
          <t>invoiceManagement.title</t>
        </is>
      </c>
      <c r="B781" s="217" t="inlineStr">
        <is>
          <t>Quản lý xuất hóa đơn</t>
        </is>
      </c>
      <c r="C781" s="217" t="inlineStr">
        <is>
          <t>Invoice Issurance Management</t>
        </is>
      </c>
      <c r="D781" s="217" t="inlineStr">
        <is>
          <t>-</t>
        </is>
      </c>
      <c r="E781" s="217" t="inlineStr">
        <is>
          <t>គ្រប់គ្រងការចេញបុងបញ្ញើ</t>
        </is>
      </c>
      <c r="F781" s="217" t="n"/>
      <c r="G781" s="217" t="inlineStr">
        <is>
          <t>គ្រប់គ្រងការចេញបុងបញ្ញើ</t>
        </is>
      </c>
      <c r="H781" s="217" t="inlineStr">
        <is>
          <t>发票开具管理</t>
        </is>
      </c>
      <c r="J781" t="inlineStr">
        <is>
          <t>គ្រប់គ្រងការចេញបុងបញ្ញើ</t>
        </is>
      </c>
    </row>
    <row r="782">
      <c r="A782" s="217" t="inlineStr">
        <is>
          <t>invoiceManagement.updateListTime</t>
        </is>
      </c>
      <c r="B782" s="217" t="inlineStr">
        <is>
          <t>Cập nhật danh sách lần cuối lúc {{time}}</t>
        </is>
      </c>
      <c r="C782" s="217" t="inlineStr">
        <is>
          <t>Last updated at {{time}}</t>
        </is>
      </c>
      <c r="D782" s="217" t="inlineStr">
        <is>
          <t>-</t>
        </is>
      </c>
      <c r="E782" s="217" t="inlineStr">
        <is>
          <t>អាប់ដេតបញ្ជីពេលចុងក្រោយនៅម៉ោង {{time}}</t>
        </is>
      </c>
      <c r="F782" s="217" t="n"/>
      <c r="G782" s="217" t="inlineStr">
        <is>
          <t>អាប់ដេតបញ្ជីពេលចុងក្រោយនៅម៉ោង {{time}}</t>
        </is>
      </c>
      <c r="H782" s="217" t="inlineStr">
        <is>
          <t>最后更新于 {{time}}</t>
        </is>
      </c>
      <c r="J782" t="inlineStr">
        <is>
          <t>អាប់ដេតបញ្ជីពេលចុងក្រោយនៅម៉ោង {{time}}</t>
        </is>
      </c>
    </row>
    <row r="783">
      <c r="A783" s="217" t="inlineStr">
        <is>
          <t>invoiceManagement.record</t>
        </is>
      </c>
      <c r="B783" s="217" t="inlineStr">
        <is>
          <t>Tổng số hoá đơn</t>
        </is>
      </c>
      <c r="C783" s="217" t="inlineStr">
        <is>
          <t>Total Invoices</t>
        </is>
      </c>
      <c r="D783" s="217" t="inlineStr">
        <is>
          <t>-</t>
        </is>
      </c>
      <c r="E783" s="217" t="inlineStr">
        <is>
          <t>សរុបបុងបញ្ញើ</t>
        </is>
      </c>
      <c r="F783" s="217" t="n"/>
      <c r="G783" s="217" t="inlineStr">
        <is>
          <t>សរុបបុងបញ្ញើ</t>
        </is>
      </c>
      <c r="H783" s="217" t="inlineStr">
        <is>
          <t>发票总数</t>
        </is>
      </c>
      <c r="J783" t="inlineStr">
        <is>
          <t>សរុបបុងបញ្ញើ</t>
        </is>
      </c>
    </row>
    <row r="784">
      <c r="A784" s="217" t="inlineStr">
        <is>
          <t>auth.attentionOTP</t>
        </is>
      </c>
      <c r="B784" s="217" t="inlineStr">
        <is>
          <t>Lưu ý: Quý khách chỉ có thể nhận tối đa {{maxSms}} SMS/giờ</t>
        </is>
      </c>
      <c r="C784" s="217" t="inlineStr">
        <is>
          <t>Note: You can only receive up to {{maxSms}} SMS/hour</t>
        </is>
      </c>
      <c r="E784" s="217" t="inlineStr">
        <is>
          <t>ចំណាំ៖ អតិថិជនអាចបានតែទទួលបានជាអតិបរមា {{maxSms}} SMS/ម៉ោង</t>
        </is>
      </c>
      <c r="G784" t="inlineStr">
        <is>
          <t>ចំណាំ៖ អតិថិជនអាចបានតែទទួលបានជាអតិបរមា {{maxSms}} SMS/ម៉ោង</t>
        </is>
      </c>
      <c r="J784" t="inlineStr">
        <is>
          <t>ចំណាំ៖ អតិថិជនអាចបានតែទទួលបានជាអតិបរមា {{maxSms}} SMS/ម៉ោង</t>
        </is>
      </c>
    </row>
    <row r="785">
      <c r="A785" s="145" t="inlineStr">
        <is>
          <t>"title": "Thống kê chi COD",</t>
        </is>
      </c>
      <c r="B785" s="146" t="inlineStr">
        <is>
          <t>"Thống kê chi COD",</t>
        </is>
      </c>
      <c r="C785" s="147" t="inlineStr">
        <is>
          <t>COD Payment Statistics</t>
        </is>
      </c>
      <c r="G785" t="inlineStr">
        <is>
          <t>"ស្ថិតិ chi COD",</t>
        </is>
      </c>
      <c r="J785" t="inlineStr">
        <is>
          <t>"ស្ថិតិ chi COD",</t>
        </is>
      </c>
    </row>
    <row r="786">
      <c r="A786" s="145" t="inlineStr">
        <is>
          <t>"tabUncreated": "COD chưa lập phiếu chi",</t>
        </is>
      </c>
      <c r="B786" s="146" t="inlineStr">
        <is>
          <t>"COD chưa lập phiếu chi",</t>
        </is>
      </c>
      <c r="C786" s="147" t="inlineStr">
        <is>
          <t>COD Without Payment Voucher</t>
        </is>
      </c>
      <c r="G786" t="inlineStr">
        <is>
          <t>"COD chưa lập phiếu chi",</t>
        </is>
      </c>
      <c r="J786" t="inlineStr">
        <is>
          <t>"COD chưa lập phiếu chi",</t>
        </is>
      </c>
    </row>
    <row r="787">
      <c r="A787" s="145" t="inlineStr">
        <is>
          <t>"tabCreated": "COD đã lập phiếu chi",</t>
        </is>
      </c>
      <c r="B787" s="146" t="inlineStr">
        <is>
          <t>"COD đã lập phiếu chi",</t>
        </is>
      </c>
      <c r="C787" s="147" t="inlineStr">
        <is>
          <t>COD With Payment Voucher</t>
        </is>
      </c>
      <c r="G787" t="inlineStr">
        <is>
          <t>"COD đã lập phiếu chi",</t>
        </is>
      </c>
      <c r="J787" t="inlineStr">
        <is>
          <t>"COD đã lập phiếu chi",</t>
        </is>
      </c>
    </row>
    <row r="788">
      <c r="A788" s="145" t="inlineStr">
        <is>
          <t>"search": "Tìm kiếm",</t>
        </is>
      </c>
      <c r="B788" s="146" t="inlineStr">
        <is>
          <t>"Tìm kiếm",</t>
        </is>
      </c>
      <c r="C788" s="147" t="inlineStr">
        <is>
          <t>Search</t>
        </is>
      </c>
      <c r="G788" t="inlineStr">
        <is>
          <t>"ស្វែងរក",</t>
        </is>
      </c>
      <c r="J788" t="inlineStr">
        <is>
          <t>"ស្វែងរក",</t>
        </is>
      </c>
    </row>
    <row r="789">
      <c r="A789" s="145" t="inlineStr">
        <is>
          <t>"searchPlaceholder": "Nhập mã đơn/SĐT người nhận",</t>
        </is>
      </c>
      <c r="B789" s="146" t="inlineStr">
        <is>
          <t>"Nhập mã đơn/SĐT người nhận",</t>
        </is>
      </c>
      <c r="C789" s="147" t="inlineStr">
        <is>
          <t>Enter Order Code / Recipient Phone Number</t>
        </is>
      </c>
      <c r="G789" t="inlineStr">
        <is>
          <t>"Nhập លេខកូដ បញ្ញើ/SĐT người ទទួល",</t>
        </is>
      </c>
      <c r="J789" t="inlineStr">
        <is>
          <t>"Nhập លេខកូដ បញ្ញើ/SĐT người ទទួល",</t>
        </is>
      </c>
    </row>
    <row r="790">
      <c r="A790" s="145" t="inlineStr">
        <is>
          <t>"searchCreatedPlaceholder": "Nhập mã phiếu chi, đơn hàng",</t>
        </is>
      </c>
      <c r="B790" s="146" t="inlineStr">
        <is>
          <t>"Nhập mã phiếu chi, đơn hàng",</t>
        </is>
      </c>
      <c r="C790" s="147" t="inlineStr">
        <is>
          <t>Enter Payment Voucher Code or Order Code</t>
        </is>
      </c>
      <c r="G790" t="inlineStr">
        <is>
          <t>"Nhập លេខកូដ phiếu chi, បញ្ញើ ទំនិញ",</t>
        </is>
      </c>
      <c r="J790" t="inlineStr">
        <is>
          <t>"Nhập លេខកូដ phiếu chi, បញ្ញើ ទំនិញ",</t>
        </is>
      </c>
    </row>
    <row r="791">
      <c r="A791" s="145" t="inlineStr">
        <is>
          <t>"deliveredDate": "Ngày phát thành công",</t>
        </is>
      </c>
      <c r="B791" s="146" t="inlineStr">
        <is>
          <t>"Ngày phát thành công",</t>
        </is>
      </c>
      <c r="C791" s="147" t="inlineStr">
        <is>
          <t>Successful Delivery Date</t>
        </is>
      </c>
      <c r="G791" t="inlineStr">
        <is>
          <t>"កាលបរិច្ឆេទ ដឹកចែក ជោគជ័យ",</t>
        </is>
      </c>
      <c r="J791" t="inlineStr">
        <is>
          <t>"កាលបរិច្ឆេទ ដឹកចែក ជោគជ័យ",</t>
        </is>
      </c>
    </row>
    <row r="792">
      <c r="A792" s="145" t="inlineStr">
        <is>
          <t>"deliveredDatePlaceholder": "Chọn ngày phát",</t>
        </is>
      </c>
      <c r="B792" s="146" t="inlineStr">
        <is>
          <t>"Chọn ngày phát",</t>
        </is>
      </c>
      <c r="C792" s="147" t="inlineStr">
        <is>
          <t>Select Delivery Date</t>
        </is>
      </c>
      <c r="G792" t="inlineStr">
        <is>
          <t>"Chọn កាលបរិច្ឆេទ ដឹកចែក",</t>
        </is>
      </c>
      <c r="J792" t="inlineStr">
        <is>
          <t>"Chọn កាលបរិច្ឆេទ ដឹកចែក",</t>
        </is>
      </c>
    </row>
    <row r="793">
      <c r="A793" s="145" t="inlineStr">
        <is>
          <t>"date": "Ngày",</t>
        </is>
      </c>
      <c r="B793" s="146" t="inlineStr">
        <is>
          <t>"Ngày",</t>
        </is>
      </c>
      <c r="C793" s="147" t="inlineStr">
        <is>
          <t>Date</t>
        </is>
      </c>
      <c r="G793" t="inlineStr">
        <is>
          <t>"កាលបរិច្ឆេទ",</t>
        </is>
      </c>
      <c r="J793" t="inlineStr">
        <is>
          <t>"កាលបរិច្ឆេទ",</t>
        </is>
      </c>
    </row>
    <row r="794">
      <c r="A794" s="145" t="inlineStr">
        <is>
          <t>"status": "Trạng thái",</t>
        </is>
      </c>
      <c r="B794" s="146" t="inlineStr">
        <is>
          <t>"Trạng thái",</t>
        </is>
      </c>
      <c r="C794" s="147" t="inlineStr">
        <is>
          <t>Status</t>
        </is>
      </c>
      <c r="G794" t="inlineStr">
        <is>
          <t>"ស្ថានភាព",</t>
        </is>
      </c>
      <c r="J794" t="inlineStr">
        <is>
          <t>"ស្ថានភាព",</t>
        </is>
      </c>
    </row>
    <row r="795">
      <c r="A795" s="145" t="inlineStr">
        <is>
          <t>"exportExcel": "Xuất Excel",</t>
        </is>
      </c>
      <c r="B795" s="146" t="inlineStr">
        <is>
          <t>"Xuất Excel",</t>
        </is>
      </c>
      <c r="C795" s="147" t="inlineStr">
        <is>
          <t>Excel</t>
        </is>
      </c>
      <c r="G795" t="inlineStr">
        <is>
          <t>"ទាញយក Excel",</t>
        </is>
      </c>
      <c r="J795" t="inlineStr">
        <is>
          <t>"ទាញយក Excel",</t>
        </is>
      </c>
    </row>
    <row r="796">
      <c r="A796" s="145" t="inlineStr">
        <is>
          <t>"exportDetail": "Xuất chi tiết",</t>
        </is>
      </c>
      <c r="B796" s="146" t="inlineStr">
        <is>
          <t>"Xuất chi tiết",</t>
        </is>
      </c>
      <c r="C796" s="147" t="inlineStr">
        <is>
          <t>Export Details</t>
        </is>
      </c>
      <c r="G796" t="inlineStr">
        <is>
          <t>"Xuất ព័ត៌មានលម្អិត",</t>
        </is>
      </c>
      <c r="J796" t="inlineStr">
        <is>
          <t>"Xuất ព័ត៌មានលម្អិត",</t>
        </is>
      </c>
    </row>
    <row r="797">
      <c r="A797" s="145" t="inlineStr">
        <is>
          <t>"stt": "STT",</t>
        </is>
      </c>
      <c r="B797" s="146" t="inlineStr">
        <is>
          <t>"STT",</t>
        </is>
      </c>
      <c r="C797" s="147" t="inlineStr">
        <is>
          <t>No.</t>
        </is>
      </c>
      <c r="G797" t="inlineStr">
        <is>
          <t>"STT",</t>
        </is>
      </c>
      <c r="J797" t="inlineStr">
        <is>
          <t>"STT",</t>
        </is>
      </c>
    </row>
    <row r="798">
      <c r="A798" s="145" t="inlineStr">
        <is>
          <t>"orderCode": "Mã đơn hàng",</t>
        </is>
      </c>
      <c r="B798" s="146" t="inlineStr">
        <is>
          <t>"Mã đơn hàng",</t>
        </is>
      </c>
      <c r="C798" s="147" t="inlineStr">
        <is>
          <t>Order Code</t>
        </is>
      </c>
      <c r="G798" t="inlineStr">
        <is>
          <t>"លេខកូដបញ្ជាទិញ",</t>
        </is>
      </c>
      <c r="J798" t="inlineStr">
        <is>
          <t>"លេខកូដបញ្ជាទិញ",</t>
        </is>
      </c>
    </row>
    <row r="799">
      <c r="A799" s="145" t="inlineStr">
        <is>
          <t>"codAmount": "Tiền COD (LAK)",</t>
        </is>
      </c>
      <c r="B799" s="146" t="inlineStr">
        <is>
          <t>"Tiền COD (LAK)",</t>
        </is>
      </c>
      <c r="C799" s="147" t="inlineStr">
        <is>
          <t>COD Amount (LAK)</t>
        </is>
      </c>
      <c r="G799" t="inlineStr">
        <is>
          <t>"ប្រាក់ COD (LAK)",</t>
        </is>
      </c>
      <c r="J799" t="inlineStr">
        <is>
          <t>"ប្រាក់ COD (LAK)",</t>
        </is>
      </c>
    </row>
    <row r="800">
      <c r="A800" s="145" t="inlineStr">
        <is>
          <t>"deliveredAt": "Ngày phát thành công",</t>
        </is>
      </c>
      <c r="B800" s="146" t="inlineStr">
        <is>
          <t>"Ngày phát thành công",</t>
        </is>
      </c>
      <c r="C800" s="147" t="inlineStr">
        <is>
          <t>Successful Delivery Date</t>
        </is>
      </c>
      <c r="G800" t="inlineStr">
        <is>
          <t>"កាលបរិច្ឆេទ ដឹកចែក ជោគជ័យ",</t>
        </is>
      </c>
      <c r="J800" t="inlineStr">
        <is>
          <t>"កាលបរិច្ឆេទ ដឹកចែក ជោគជ័យ",</t>
        </is>
      </c>
    </row>
    <row r="801">
      <c r="A801" s="145" t="inlineStr">
        <is>
          <t>"service": "Dịch vụ",</t>
        </is>
      </c>
      <c r="B801" s="146" t="inlineStr">
        <is>
          <t>"Dịch vụ",</t>
        </is>
      </c>
      <c r="C801" s="147" t="inlineStr">
        <is>
          <t>Service</t>
        </is>
      </c>
      <c r="G801" t="inlineStr">
        <is>
          <t>"Dịch vụ",</t>
        </is>
      </c>
      <c r="J801" t="inlineStr">
        <is>
          <t>"Dịch vụ",</t>
        </is>
      </c>
    </row>
    <row r="802">
      <c r="A802" s="145" t="inlineStr">
        <is>
          <t>"totalRecord": "Tổng số bản ghi: &lt;span class='text-primary'&gt;{{count}}&lt;/span&gt;",</t>
        </is>
      </c>
      <c r="B802" s="146" t="inlineStr">
        <is>
          <t>"Tổng số bản ghi:</t>
        </is>
      </c>
      <c r="C802" s="147" t="inlineStr">
        <is>
          <t>Total Records:</t>
        </is>
      </c>
      <c r="G802" t="inlineStr">
        <is>
          <t>"ចំនួនសរុប bản ghi:</t>
        </is>
      </c>
      <c r="J802" t="inlineStr">
        <is>
          <t>"ចំនួនសរុប bản ghi:</t>
        </is>
      </c>
    </row>
    <row r="803">
      <c r="A803" s="145" t="inlineStr">
        <is>
          <t>"totalAmount": "Tổng tiền:: &lt;span class='text-primary'&gt;{{amount}} LAK&lt;/span&gt;",</t>
        </is>
      </c>
      <c r="B803" s="146" t="inlineStr">
        <is>
          <t>"Tổng tiền::</t>
        </is>
      </c>
      <c r="C803" s="147" t="inlineStr">
        <is>
          <t>Total Amount:</t>
        </is>
      </c>
      <c r="G803" t="inlineStr">
        <is>
          <t>"ចំនួនទឹកប្រាក់សរុប::</t>
        </is>
      </c>
      <c r="J803" t="inlineStr">
        <is>
          <t>"ចំនួនទឹកប្រាក់សរុប::</t>
        </is>
      </c>
    </row>
    <row r="804">
      <c r="A804" s="145" t="inlineStr">
        <is>
          <t>"payoutCode": "Mã phiếu chi",</t>
        </is>
      </c>
      <c r="B804" s="146" t="inlineStr">
        <is>
          <t>"Mã phiếu chi",</t>
        </is>
      </c>
      <c r="C804" s="147" t="inlineStr">
        <is>
          <t>Payment Voucher Code</t>
        </is>
      </c>
      <c r="G804" t="inlineStr">
        <is>
          <t>"លេខកូដ phiếu chi",</t>
        </is>
      </c>
      <c r="J804" t="inlineStr">
        <is>
          <t>"លេខកូដ phiếu chi",</t>
        </is>
      </c>
    </row>
    <row r="805">
      <c r="A805" s="145" t="inlineStr">
        <is>
          <t>"createdDate": "Ngày tạo",</t>
        </is>
      </c>
      <c r="B805" s="146" t="inlineStr">
        <is>
          <t>"Ngày tạo",</t>
        </is>
      </c>
      <c r="C805" s="147" t="inlineStr">
        <is>
          <t>Created Date</t>
        </is>
      </c>
      <c r="G805" t="inlineStr">
        <is>
          <t>"កាលបរិច្ឆេទបង្កើត",</t>
        </is>
      </c>
      <c r="J805" t="inlineStr">
        <is>
          <t>"កាលបរិច្ឆេទបង្កើត",</t>
        </is>
      </c>
    </row>
    <row r="806">
      <c r="A806" s="145" t="inlineStr">
        <is>
          <t>"updatedDate": "Ngày cập nhật",</t>
        </is>
      </c>
      <c r="B806" s="146" t="inlineStr">
        <is>
          <t>"Ngày cập nhật",</t>
        </is>
      </c>
      <c r="C806" s="147" t="inlineStr">
        <is>
          <t>Updated Date</t>
        </is>
      </c>
      <c r="G806" t="inlineStr">
        <is>
          <t>"កាលបរិច្ឆេទ ធ្វើបច្ចុប្បន្នភាព",</t>
        </is>
      </c>
      <c r="J806" t="inlineStr">
        <is>
          <t>"កាលបរិច្ឆេទ ធ្វើបច្ចុប្បន្នភាព",</t>
        </is>
      </c>
    </row>
    <row r="807">
      <c r="A807" s="145" t="inlineStr">
        <is>
          <t>"bankName": "Ngân hàng",</t>
        </is>
      </c>
      <c r="B807" s="146" t="inlineStr">
        <is>
          <t>"Ngân hàng",</t>
        </is>
      </c>
      <c r="C807" s="147" t="inlineStr">
        <is>
          <t>Bank</t>
        </is>
      </c>
      <c r="G807" t="inlineStr">
        <is>
          <t>"Ngân ទំនិញ",</t>
        </is>
      </c>
      <c r="J807" t="inlineStr">
        <is>
          <t>"Ngân ទំនិញ",</t>
        </is>
      </c>
    </row>
    <row r="808">
      <c r="A808" s="145" t="inlineStr">
        <is>
          <t>"createdBy": "Người tạo",</t>
        </is>
      </c>
      <c r="B808" s="146" t="inlineStr">
        <is>
          <t>"Người tạo",</t>
        </is>
      </c>
      <c r="C808" s="147" t="inlineStr">
        <is>
          <t>Created By</t>
        </is>
      </c>
      <c r="G808" t="inlineStr">
        <is>
          <t>"Người tạo",</t>
        </is>
      </c>
      <c r="J808" t="inlineStr">
        <is>
          <t>"Người tạo",</t>
        </is>
      </c>
    </row>
    <row r="809">
      <c r="A809" s="145" t="inlineStr">
        <is>
          <t>"accountNumber": "STK",</t>
        </is>
      </c>
      <c r="B809" s="146" t="inlineStr">
        <is>
          <t>"STK",</t>
        </is>
      </c>
      <c r="C809" s="147" t="inlineStr">
        <is>
          <t>Bank Account Number</t>
        </is>
      </c>
      <c r="G809" t="inlineStr">
        <is>
          <t>"STK",</t>
        </is>
      </c>
      <c r="J809" t="inlineStr">
        <is>
          <t>"STK",</t>
        </is>
      </c>
    </row>
    <row r="810">
      <c r="A810" s="145" t="inlineStr">
        <is>
          <t>"feeAmount": "Tiền cước (LAK)",</t>
        </is>
      </c>
      <c r="B810" s="146" t="inlineStr">
        <is>
          <t>"Tiền cước (LAK)",</t>
        </is>
      </c>
      <c r="C810" s="147" t="inlineStr">
        <is>
          <t>Shipping Fee (LAK)</t>
        </is>
      </c>
      <c r="G810" t="inlineStr">
        <is>
          <t>"ថ្លៃដឹកជញ្ជូន (LAK)",</t>
        </is>
      </c>
      <c r="J810" t="inlineStr">
        <is>
          <t>"ថ្លៃដឹកជញ្ជូន (LAK)",</t>
        </is>
      </c>
    </row>
    <row r="811">
      <c r="A811" s="145" t="inlineStr">
        <is>
          <t>"amountToPay": "Tiền phải trả (LAK)",</t>
        </is>
      </c>
      <c r="B811" s="146" t="inlineStr">
        <is>
          <t>"Tiền phải trả (LAK)",</t>
        </is>
      </c>
      <c r="C811" s="147" t="inlineStr">
        <is>
          <t>Amount Payable (LAK)</t>
        </is>
      </c>
      <c r="G811" t="inlineStr">
        <is>
          <t>"Tiền phải trả (LAK)",</t>
        </is>
      </c>
      <c r="J811" t="inlineStr">
        <is>
          <t>"Tiền phải trả (LAK)",</t>
        </is>
      </c>
    </row>
    <row r="812">
      <c r="A812" s="145" t="inlineStr">
        <is>
          <t>"statusSuccess": "Chi thành công",</t>
        </is>
      </c>
      <c r="B812" s="146" t="inlineStr">
        <is>
          <t>"Chi thành công",</t>
        </is>
      </c>
      <c r="C812" s="147" t="inlineStr">
        <is>
          <t>Payment Successful</t>
        </is>
      </c>
      <c r="G812" t="inlineStr">
        <is>
          <t>"Chi ជោគជ័យ",</t>
        </is>
      </c>
      <c r="J812" t="inlineStr">
        <is>
          <t>"Chi ជោគជ័យ",</t>
        </is>
      </c>
    </row>
    <row r="813">
      <c r="A813" s="145" t="inlineStr">
        <is>
          <t>"statusFailed": "Chi thất bại",</t>
        </is>
      </c>
      <c r="B813" s="146" t="inlineStr">
        <is>
          <t>"Chi thất bại",</t>
        </is>
      </c>
      <c r="C813" s="147" t="inlineStr">
        <is>
          <t>Payment Failed</t>
        </is>
      </c>
      <c r="G813" t="inlineStr">
        <is>
          <t>"Chi បរាជ័យ",</t>
        </is>
      </c>
      <c r="J813" t="inlineStr">
        <is>
          <t>"Chi បរាជ័យ",</t>
        </is>
      </c>
    </row>
    <row r="814">
      <c r="A814" s="145" t="inlineStr">
        <is>
          <t>"detailTitle": "Chi tiết phiếu chi",</t>
        </is>
      </c>
      <c r="B814" s="146" t="inlineStr">
        <is>
          <t>"Chi tiết phiếu chi",</t>
        </is>
      </c>
      <c r="C814" s="147" t="inlineStr">
        <is>
          <t>Payment Voucher Details</t>
        </is>
      </c>
      <c r="G814" t="inlineStr">
        <is>
          <t>"ព័ត៌មានលម្អិត phiếu chi",</t>
        </is>
      </c>
      <c r="J814" t="inlineStr">
        <is>
          <t>"ព័ត៌មានលម្អិត phiếu chi",</t>
        </is>
      </c>
    </row>
    <row r="815">
      <c r="A815" s="145" t="inlineStr">
        <is>
          <t>"codPayoutList": "Danh sách đơn chi COD",</t>
        </is>
      </c>
      <c r="B815" s="146" t="inlineStr">
        <is>
          <t>"Danh sách đơn chi COD",</t>
        </is>
      </c>
      <c r="C815" s="147" t="inlineStr">
        <is>
          <t>COD Payment Order List</t>
        </is>
      </c>
      <c r="G815" t="inlineStr">
        <is>
          <t>"បញ្ជី បញ្ញើ chi COD",</t>
        </is>
      </c>
      <c r="J815" t="inlineStr">
        <is>
          <t>"បញ្ជី បញ្ញើ chi COD",</t>
        </is>
      </c>
    </row>
    <row r="816">
      <c r="A816" s="145" t="inlineStr">
        <is>
          <t>"feeCollectionList": "Danh sách đơn thu cước",</t>
        </is>
      </c>
      <c r="B816" s="146" t="inlineStr">
        <is>
          <t>"Danh sách đơn thu cước",</t>
        </is>
      </c>
      <c r="C816" s="147" t="inlineStr">
        <is>
          <t>Shipping Fee Collection Order List</t>
        </is>
      </c>
      <c r="G816" t="inlineStr">
        <is>
          <t>"បញ្ជី បញ្ញើ thu cước",</t>
        </is>
      </c>
      <c r="J816" t="inlineStr">
        <is>
          <t>"បញ្ជី បញ្ញើ thu cước",</t>
        </is>
      </c>
    </row>
    <row r="817">
      <c r="A817" s="145" t="inlineStr">
        <is>
          <t>"trackingCode": "Mã vận đơn",</t>
        </is>
      </c>
      <c r="B817" s="146" t="inlineStr">
        <is>
          <t>"Mã vận đơn",</t>
        </is>
      </c>
      <c r="C817" s="147" t="inlineStr">
        <is>
          <t>Order Code</t>
        </is>
      </c>
      <c r="G817" t="inlineStr">
        <is>
          <t>"លេខកូដបញ្ញើ",</t>
        </is>
      </c>
      <c r="J817" t="inlineStr">
        <is>
          <t>"លេខកូដបញ្ញើ",</t>
        </is>
      </c>
    </row>
    <row r="818">
      <c r="A818" s="145" t="inlineStr">
        <is>
          <t>"datePtc": "Ngày PTC",</t>
        </is>
      </c>
      <c r="B818" s="146" t="inlineStr">
        <is>
          <t>"Ngày PTC",</t>
        </is>
      </c>
      <c r="C818" s="147" t="inlineStr">
        <is>
          <t>Successful Delivery Date</t>
        </is>
      </c>
      <c r="G818" t="inlineStr">
        <is>
          <t>"កាលបរិច្ឆេទ PTC",</t>
        </is>
      </c>
      <c r="J818" t="inlineStr">
        <is>
          <t>"កាលបរិច្ឆេទ PTC",</t>
        </is>
      </c>
    </row>
    <row r="819">
      <c r="A819" s="145" t="inlineStr">
        <is>
          <t>"entryDate": "Ngày nhập máy",</t>
        </is>
      </c>
      <c r="B819" s="146" t="inlineStr">
        <is>
          <t>"Ngày nhập máy",</t>
        </is>
      </c>
      <c r="C819" s="147" t="inlineStr">
        <is>
          <t>System Entry Date</t>
        </is>
      </c>
      <c r="G819" t="inlineStr">
        <is>
          <t>"កាលបរិច្ឆេទ nhập máy",</t>
        </is>
      </c>
      <c r="J819" t="inlineStr">
        <is>
          <t>"កាលបរិច្ឆេទ nhập máy",</t>
        </is>
      </c>
    </row>
    <row r="820">
      <c r="A820" s="145" t="inlineStr">
        <is>
          <t>"feeAmountLao": "Tiền cước (LAK)",</t>
        </is>
      </c>
      <c r="B820" s="146" t="inlineStr">
        <is>
          <t>"Tiền cước (LAK)",</t>
        </is>
      </c>
      <c r="C820" s="147" t="inlineStr">
        <is>
          <t>Shipping Fee (LAK)</t>
        </is>
      </c>
      <c r="G820" t="inlineStr">
        <is>
          <t>"ថ្លៃដឹកជញ្ជូន (LAK)",</t>
        </is>
      </c>
      <c r="J820" t="inlineStr">
        <is>
          <t>"ថ្លៃដឹកជញ្ជូន (LAK)",</t>
        </is>
      </c>
    </row>
    <row r="821">
      <c r="A821" s="145" t="inlineStr">
        <is>
          <t>"startDate": "Từ ngày",</t>
        </is>
      </c>
      <c r="B821" s="146" t="inlineStr">
        <is>
          <t>"Từ ngày",</t>
        </is>
      </c>
      <c r="C821" s="147" t="inlineStr">
        <is>
          <t>From Date</t>
        </is>
      </c>
      <c r="G821" t="inlineStr">
        <is>
          <t>"ចាប់ពីថ្ងៃ",</t>
        </is>
      </c>
      <c r="J821" t="inlineStr">
        <is>
          <t>"ចាប់ពីថ្ងៃ",</t>
        </is>
      </c>
    </row>
    <row r="822">
      <c r="A822" s="145" t="inlineStr">
        <is>
          <t>"endDate": "Đến ngày",</t>
        </is>
      </c>
      <c r="B822" s="146" t="inlineStr">
        <is>
          <t>"Đến ngày",</t>
        </is>
      </c>
      <c r="C822" s="147" t="inlineStr">
        <is>
          <t>To Date</t>
        </is>
      </c>
      <c r="G822" t="inlineStr">
        <is>
          <t>"រហូតដល់ថ្ងៃ",</t>
        </is>
      </c>
      <c r="J822" t="inlineStr">
        <is>
          <t>"រហូតដល់ថ្ងៃ",</t>
        </is>
      </c>
    </row>
    <row r="823">
      <c r="A823" s="145" t="inlineStr">
        <is>
          <t>"customerCode": "Mã khách hàng",</t>
        </is>
      </c>
      <c r="B823" s="146" t="inlineStr">
        <is>
          <t>"Mã khách hàng",</t>
        </is>
      </c>
      <c r="C823" s="147" t="inlineStr">
        <is>
          <t>Customer Code</t>
        </is>
      </c>
      <c r="G823" t="inlineStr">
        <is>
          <t>"លេខកូដអតិថិជន",</t>
        </is>
      </c>
      <c r="J823" t="inlineStr">
        <is>
          <t>"លេខកូដអតិថិជន",</t>
        </is>
      </c>
    </row>
    <row r="824">
      <c r="A824" s="145" t="inlineStr">
        <is>
          <t>"customer": "Khách hàng"</t>
        </is>
      </c>
      <c r="B824" s="146" t="inlineStr">
        <is>
          <t>"Khách hàng"</t>
        </is>
      </c>
      <c r="C824" s="147" t="inlineStr">
        <is>
          <t>Customer</t>
        </is>
      </c>
      <c r="G824" t="inlineStr">
        <is>
          <t>"អតិថិជន"</t>
        </is>
      </c>
      <c r="J824" t="inlineStr">
        <is>
          <t>"អតិថិជន"</t>
        </is>
      </c>
    </row>
    <row r="825">
      <c r="B825" s="217" t="inlineStr">
        <is>
          <t>"Mã tham chiếu"</t>
        </is>
      </c>
      <c r="C825" s="217" t="inlineStr">
        <is>
          <t xml:space="preserve">Merchant Order number  
</t>
        </is>
      </c>
      <c r="G825" t="inlineStr">
        <is>
          <t>"លេខកូដ tham chiếu"</t>
        </is>
      </c>
      <c r="J825" t="inlineStr">
        <is>
          <t>"លេខកូដ tham chiếu"</t>
        </is>
      </c>
    </row>
  </sheetData>
  <hyperlinks>
    <hyperlink xmlns:r="http://schemas.openxmlformats.org/officeDocument/2006/relationships" ref="A662" r:id="rId1"/>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P2561"/>
  <sheetViews>
    <sheetView workbookViewId="0">
      <pane ySplit="1" topLeftCell="A2" activePane="bottomLeft" state="frozen"/>
      <selection pane="bottomLeft" activeCell="B3" sqref="B3"/>
    </sheetView>
  </sheetViews>
  <sheetFormatPr baseColWidth="8" defaultColWidth="14.43" defaultRowHeight="15" customHeight="1"/>
  <cols>
    <col width="58.14" customWidth="1" style="305" min="1" max="1"/>
    <col width="46.86" customWidth="1" style="305" min="2" max="2"/>
    <col width="33.29" customWidth="1" style="305" min="3" max="3"/>
    <col width="12.14" customWidth="1" style="305" min="4" max="4"/>
    <col width="21" customWidth="1" style="305" min="5" max="5"/>
    <col width="15.29" customWidth="1" style="305" min="6" max="6"/>
    <col width="36.71" customWidth="1" style="305" min="7" max="7"/>
    <col width="29.29" customWidth="1" style="305" min="8" max="8"/>
    <col width="59.57" customWidth="1" style="305" min="9" max="9"/>
    <col width="8.859999999999999" customWidth="1" style="305" min="10" max="13"/>
    <col width="63.43" customWidth="1" style="305" min="14" max="14"/>
    <col width="24.29" customWidth="1" style="305" min="15" max="15"/>
    <col width="20.71" customWidth="1" style="305" min="16" max="16"/>
    <col width="8.859999999999999" customWidth="1" style="305" min="17" max="26"/>
  </cols>
  <sheetData>
    <row r="1">
      <c r="A1" s="193" t="inlineStr">
        <is>
          <t>key</t>
        </is>
      </c>
      <c r="B1" s="193" t="inlineStr">
        <is>
          <t>vi</t>
        </is>
      </c>
      <c r="C1" s="193" t="inlineStr">
        <is>
          <t>en</t>
        </is>
      </c>
      <c r="D1" s="150" t="inlineStr">
        <is>
          <t>GG Dịch</t>
        </is>
      </c>
      <c r="E1" s="3" t="inlineStr">
        <is>
          <t>cam - Sonita</t>
        </is>
      </c>
      <c r="F1" s="3" t="inlineStr">
        <is>
          <t>cam - review</t>
        </is>
      </c>
      <c r="G1" s="3" t="inlineStr">
        <is>
          <t>cam - final</t>
        </is>
      </c>
      <c r="H1" s="308" t="inlineStr">
        <is>
          <t>cam Thean</t>
        </is>
      </c>
      <c r="N1" s="150" t="inlineStr">
        <is>
          <t>cam</t>
        </is>
      </c>
      <c r="P1" s="217" t="inlineStr">
        <is>
          <t>Locked key</t>
        </is>
      </c>
    </row>
    <row r="2">
      <c r="A2" s="3" t="inlineStr">
        <is>
          <t>DongTai.taiThu</t>
        </is>
      </c>
      <c r="B2" s="3" t="inlineStr">
        <is>
          <t xml:space="preserve"> Tải thư </t>
        </is>
      </c>
      <c r="C2" s="3" t="inlineStr">
        <is>
          <t>Mail sack</t>
        </is>
      </c>
      <c r="D2" s="3">
        <f>IFERROR(__xludf.DUMMYFUNCTION("GOOGLETRANSLATE(B2,""vi"",""km"")"),"ទាញយកសំបុត្រ")</f>
        <v/>
      </c>
      <c r="E2" s="159" t="inlineStr">
        <is>
          <t>ទាញយកសំបុត្រ</t>
        </is>
      </c>
      <c r="F2" s="3" t="inlineStr">
        <is>
          <t>x</t>
        </is>
      </c>
      <c r="G2" s="3" t="inlineStr">
        <is>
          <t>បាវបញ្ញើ</t>
        </is>
      </c>
      <c r="H2" t="inlineStr">
        <is>
          <t>បាវបញ្ញើ</t>
        </is>
      </c>
      <c r="I2" s="217" t="inlineStr">
        <is>
          <t>"DongTai.taiThu": "បាវបញ្ញើ",</t>
        </is>
      </c>
      <c r="N2" s="3" t="inlineStr">
        <is>
          <t>ត្រួតពិនិត្យសំបុត្រ</t>
        </is>
      </c>
    </row>
    <row r="3">
      <c r="A3" s="3" t="inlineStr">
        <is>
          <t>taoDon.errorCod</t>
        </is>
      </c>
      <c r="B3" s="3" t="inlineStr">
        <is>
          <t xml:space="preserve"> Vui lòng nhập cước phí</t>
        </is>
      </c>
      <c r="C3" s="3" t="inlineStr">
        <is>
          <t>Please enter fees</t>
        </is>
      </c>
      <c r="D3" s="3">
        <f>IFERROR(__xludf.DUMMYFUNCTION("GOOGLETRANSLATE(B3,""vi"",""km"")"),"សូមបញ្ចូលថ្លៃសេវា។")</f>
        <v/>
      </c>
      <c r="E3" s="3" t="inlineStr">
        <is>
          <t>សូូមបញ្ចូលថ្លៃសេវា</t>
        </is>
      </c>
      <c r="F3" s="3" t="n"/>
      <c r="G3" s="3" t="inlineStr">
        <is>
          <t>សូមបញ្ចូលថ្លៃសេវា</t>
        </is>
      </c>
      <c r="H3" t="inlineStr">
        <is>
          <t>សូមបញ្ចូលថ្លៃសេវា</t>
        </is>
      </c>
      <c r="I3" s="217" t="inlineStr">
        <is>
          <t>"taoDon.errorCod": "សូមបញ្ចូលថ្លៃសេវា",</t>
        </is>
      </c>
      <c r="N3" s="3" t="inlineStr">
        <is>
          <t>សូមបញ្ចូលតម្លៃ COD</t>
        </is>
      </c>
    </row>
    <row r="4">
      <c r="A4" s="3" t="inlineStr">
        <is>
          <t>taoDon.errorSurcharge</t>
        </is>
      </c>
      <c r="B4" s="3" t="inlineStr">
        <is>
          <t xml:space="preserve"> Vui lòng nhập phụ phí</t>
        </is>
      </c>
      <c r="C4" s="3" t="inlineStr">
        <is>
          <t>Please enter surcharge</t>
        </is>
      </c>
      <c r="D4" s="3">
        <f>IFERROR(__xludf.DUMMYFUNCTION("GOOGLETRANSLATE(B4,""vi"",""km"")"),"សូមបញ្ចូលថ្លៃសេវាបន្ថែម។")</f>
        <v/>
      </c>
      <c r="E4" s="3" t="inlineStr">
        <is>
          <t>សូមបញ្ចូលថ្លៃសេវាបន្ថែម</t>
        </is>
      </c>
      <c r="F4" s="3" t="n"/>
      <c r="G4" s="3" t="inlineStr">
        <is>
          <t>សូមបញ្ចូលថ្លៃសេវាបន្ថែម</t>
        </is>
      </c>
      <c r="H4" t="inlineStr">
        <is>
          <t>សូមបញ្ចូលថ្លៃសេវាបន្ថែម</t>
        </is>
      </c>
      <c r="I4" s="217" t="inlineStr">
        <is>
          <t>"taoDon.errorSurcharge": "សូមបញ្ចូលថ្លៃសេវាបន្ថែម",</t>
        </is>
      </c>
      <c r="N4" s="3" t="inlineStr">
        <is>
          <t>សូមបញ្ចូលថ្លៃបន្ថែម</t>
        </is>
      </c>
    </row>
    <row r="5">
      <c r="A5" s="3" t="inlineStr">
        <is>
          <t>dieuHanh.endWarningPrint</t>
        </is>
      </c>
      <c r="B5" s="3" t="inlineStr">
        <is>
          <t>-Lưu ý: In phiếu gửi ở cả {{count}} trang in để đảm bảo đủ số lượng phiếu giử</t>
        </is>
      </c>
      <c r="C5" s="3" t="inlineStr">
        <is>
          <t>Reminder: Print the bill on all {{count}} pages to ensure sufficient bills.</t>
        </is>
      </c>
      <c r="D5" s="3">
        <f>IFERROR(__xludf.DUMMYFUNCTION("GOOGLETRANSLATE(B5,""vi"",""km"")"),"-ចំណាំ៖ សូមបោះពុម្ពបង្កាន់ដៃដឹកជញ្ជូននៅលើទំព័រទាំង {{count}} ដើម្បីធានាបាននូវចំនួនបង្កាន់ដៃដឹកជញ្ជូនត្រឹមត្រូវ។")</f>
        <v/>
      </c>
      <c r="E5" s="3" t="inlineStr">
        <is>
          <t>-ចំណាំ៖ព្រីនបុងបញ្ញើទាំងសងខាង {{count}} ទំព័រ ព្រីនដើម្បី ធានាបានគ្រប់ចំនួនបុងរក្សាទុក</t>
        </is>
      </c>
      <c r="F5" s="3" t="n"/>
      <c r="G5" s="3" t="inlineStr">
        <is>
          <t>-ចំណាំ៖ព្រីនបុងបញ្ញើទាំងសងខាង {{count}} ទំព័រ ព្រីនដើម្បី ធានាបានគ្រប់ចំនួនបុងរក្សាទុក</t>
        </is>
      </c>
      <c r="H5" t="inlineStr">
        <is>
          <t>-ចំណាំ៖ព្រីនបុងបញ្ញើទាំងសងខាង {{count}} ទំព័រ ព្រីនដើម្បី ធានាបានគ្រប់ចំនួនបុងរក្សាទុក</t>
        </is>
      </c>
      <c r="I5" s="217" t="inlineStr">
        <is>
          <t>"dieuHanh.endWarningPrint": "-ចំណាំ៖ព្រីនបុងបញ្ញើទាំងសងខាង {{count}} ទំព័រ ព្រីនដើម្បី ធានាបានគ្រប់ចំនួនបុងរក្សាទុក",</t>
        </is>
      </c>
      <c r="N5" s="3" t="inlineStr">
        <is>
          <t>-សំណើ: សូមបោះពុម្ពទំព័រទាំង{{count}}ទំព័រដើម្បីធានាថានឹងពេញលេញការបោះពុម្ព</t>
        </is>
      </c>
    </row>
    <row r="6">
      <c r="A6" s="3" t="inlineStr">
        <is>
          <t>change_password.warningBlockAccout3</t>
        </is>
      </c>
      <c r="B6" s="3" t="inlineStr">
        <is>
          <t>, tài khoản của bạn đã bị khoá. Vui lòng liên hệ vận hành để được cấp lại mật khẩu !</t>
        </is>
      </c>
      <c r="C6" s="3" t="inlineStr">
        <is>
          <t>, your account has been locked. Please contact Operations to have your password reset!</t>
        </is>
      </c>
      <c r="D6" s="3">
        <f>IFERROR(__xludf.DUMMYFUNCTION("GOOGLETRANSLATE(B6,""vi"",""km"")"),"គណនីរបស់អ្នកត្រូវបានចាក់សោ។ សូមទាក់ទងផ្នែកប្រតិបត្តិការ ដើម្បីកំណត់ពាក្យសម្ងាត់របស់អ្នកឡើងវិញ!")</f>
        <v/>
      </c>
      <c r="E6" s="3" t="inlineStr">
        <is>
          <t>គណនីរបស់អ្នកត្រូវបានបិទ។សូមទាក់ទងបុគ្គលិកដើម្បីបានលេខសម្ងាត់ថ្មី!</t>
        </is>
      </c>
      <c r="F6" s="3" t="n"/>
      <c r="G6" s="3" t="inlineStr">
        <is>
          <t>គណនីរបស់អ្នកត្រូវបានបិទ។សូមទាក់ទងបុគ្គលិកដើម្បីទទួលបានពាក្យសម្ងាត់ថ្មី!</t>
        </is>
      </c>
      <c r="H6" t="inlineStr">
        <is>
          <t>គណនីរបស់អ្នកត្រូវបានបិទ។សូមទាក់ទងបុគ្គលិកដើម្បីទទួលបានពាក្យសម្ងាត់ថ្មី!</t>
        </is>
      </c>
      <c r="I6" s="217" t="inlineStr">
        <is>
          <t>"change_password.warningBlockAccout3": "គណនីរបស់អ្នកត្រូវបានបិទ។សូមទាក់ទងបុគ្គលិកដើម្បីទទួលបានពាក្យសម្ងាត់ថ្មី!",</t>
        </is>
      </c>
      <c r="N6" s="3" t="inlineStr">
        <is>
          <t>, គណនី​របស់​អ្នក​ត្រូវ​បានបិទ។ សូម​ទាក់ទង​ផ្នែក​ប្រតិបត្តិការ ដើម្បីកំណត់ពាក្យសម្ងាត់ឡើងវិញ!</t>
        </is>
      </c>
    </row>
    <row r="7">
      <c r="A7" s="3" t="inlineStr">
        <is>
          <t>setting.warningBlockAccout3</t>
        </is>
      </c>
      <c r="B7" s="3" t="inlineStr">
        <is>
          <t>, tài khoản của bạn đã bị khoá. Vui lòng liên hệ vận hành để được hỗ trợ cấp lại mật khẩu !</t>
        </is>
      </c>
      <c r="C7" s="3" t="inlineStr">
        <is>
          <t>Your account has been locked. Please contact to your administrator to verify.</t>
        </is>
      </c>
      <c r="D7" s="3">
        <f>IFERROR(__xludf.DUMMYFUNCTION("GOOGLETRANSLATE(B7,""vi"",""km"")"),"គណនីរបស់អ្នកត្រូវបានចាក់សោ។ សូមទាក់ទងផ្នែកប្រតិបត្តិការសម្រាប់ជំនួយក្នុងការកំណត់ពាក្យសម្ងាត់របស់អ្នកឡើងវិញ!")</f>
        <v/>
      </c>
      <c r="E7" s="3" t="inlineStr">
        <is>
          <t>គណនីរបស់អ្នកត្រូវបានបិទ។សូមទាក់ទងបុគ្គលិកដើម្បីបានលេខសម្ងាត់ថ្មី!</t>
        </is>
      </c>
      <c r="F7" s="3" t="n"/>
      <c r="G7" s="3" t="inlineStr">
        <is>
          <t>គណនីរបស់អ្នកត្រូវបានបិទ។សូមទាក់ទងបុគ្គលិកដើម្បីបានពាក្យសម្ងាត់ថ្មី!</t>
        </is>
      </c>
      <c r="H7" t="inlineStr">
        <is>
          <t>គណនីរបស់អ្នកត្រូវបានបិទ។សូមទាក់ទងបុគ្គលិកដើម្បីបានពាក្យសម្ងាត់ថ្មី!</t>
        </is>
      </c>
      <c r="I7" s="217" t="inlineStr">
        <is>
          <t>"setting.warningBlockAccout3": "គណនីរបស់អ្នកត្រូវបានបិទ។សូមទាក់ទងបុគ្គលិកដើម្បីបានពាក្យសម្ងាត់ថ្មី!",</t>
        </is>
      </c>
      <c r="N7" s="3" t="inlineStr">
        <is>
          <t>,your account has been locked. Please contact operations for support in reissuing your password!</t>
        </is>
      </c>
    </row>
    <row r="8">
      <c r="A8" s="3" t="inlineStr">
        <is>
          <t>taoDon.compareWeight</t>
        </is>
      </c>
      <c r="B8" s="3" t="inlineStr">
        <is>
          <t>{{name}} sẽ dựa vào khối lượng thực tế và tổng kích thước để xác định mức tính cước.</t>
        </is>
      </c>
      <c r="C8" s="3" t="inlineStr">
        <is>
          <t>{{name}} will determine the shipping rate based on actual weight and total dimensions.</t>
        </is>
      </c>
      <c r="D8" s="3">
        <f>IFERROR(__xludf.DUMMYFUNCTION("GOOGLETRANSLATE(B8,""vi"",""km"")"),"{{name}} នឹងកំណត់ថ្លៃដឹកជញ្ជូនដោយផ្អែកលើទម្ងន់ជាក់ស្តែង និងវិមាត្រសរុប។")</f>
        <v/>
      </c>
      <c r="E8" s="3" t="inlineStr">
        <is>
          <t>{{name}} យោងតាមចំនួន ទម្ងន់ជាក់ស្តែង និងទំហំសរុបដើម្បីកំណត់ការទូទាត់ថ្លៃសេវា</t>
        </is>
      </c>
      <c r="F8" s="3" t="n"/>
      <c r="G8" s="3" t="inlineStr">
        <is>
          <t>{{name}} យោងតាមចំនួន ទម្ងន់ជាក់ស្តែង និងទំហំសរុបដើម្បីកំណត់ការទូទាត់ថ្លៃសេវា</t>
        </is>
      </c>
      <c r="H8" t="inlineStr">
        <is>
          <t>{{name}} យោងតាមចំនួន ទម្ងន់ជាក់ស្តែង និងទំហំសរុបដើម្បីកំណត់ការទូទាត់ថ្លៃសេវា</t>
        </is>
      </c>
      <c r="I8" s="217" t="inlineStr">
        <is>
          <t>"taoDon.compareWeight": "{{name}} យោងតាមចំនួន ទម្ងន់ជាក់ស្តែង និងទំហំសរុបដើម្បីកំណត់ការទូទាត់ថ្លៃសេវា",</t>
        </is>
      </c>
      <c r="N8" s="3" t="inlineStr">
        <is>
          <t>{{name}} នឹងប្រៀបធៀបទំងន់ពិតជាមួយទំងន់កំណត់ដើម្បីកំណត់ថ្លៃ។ បើទំងន់ពិតលើសទំងន់កំណត់ នឹងគិតតាមប្រភេទប្រអប់នោះ។</t>
        </is>
      </c>
    </row>
    <row r="9">
      <c r="A9" s="3" t="inlineStr">
        <is>
          <t>nhanHang.errorImage</t>
        </is>
      </c>
      <c r="B9" s="3" t="inlineStr">
        <is>
          <t>*Đồng chí không thể thêm ảnh hàng hóa được nữa</t>
        </is>
      </c>
      <c r="C9" s="3" t="inlineStr">
        <is>
          <t>You cannot add image</t>
        </is>
      </c>
      <c r="D9" s="3">
        <f>IFERROR(__xludf.DUMMYFUNCTION("GOOGLETRANSLATE(B9,""vi"",""km"")"),"*អ្នកមិនអាចបន្ថែមរូបថតផលិតផលបន្ថែមទៀតបានទេ។")</f>
        <v/>
      </c>
      <c r="E9" s="3" t="inlineStr">
        <is>
          <t>*អ្នកមិនអាចបន្ថែមរូបភាពអីវ៉ាន់បានទេ</t>
        </is>
      </c>
      <c r="F9" s="3" t="n"/>
      <c r="G9" s="3" t="inlineStr">
        <is>
          <t>*អ្នកមិនអាចបន្ថែមរូបភាពអីវ៉ាន់បានទេ</t>
        </is>
      </c>
      <c r="H9" t="inlineStr">
        <is>
          <t>*អ្នកមិនអាចបន្ថែមរូបភាពអីវ៉ាន់បានទេ</t>
        </is>
      </c>
      <c r="I9" s="217" t="inlineStr">
        <is>
          <t>"nhanHang.errorImage": "*អ្នកមិនអាចបន្ថែមរូបភាពអីវ៉ាន់បានទេ",</t>
        </is>
      </c>
      <c r="N9" s="3" t="inlineStr">
        <is>
          <t>*មិនអាចបន្ថែមរូបភាពទៀតបានទេ</t>
        </is>
      </c>
    </row>
    <row r="10">
      <c r="A10" s="3" t="inlineStr">
        <is>
          <t>nhanHang.warning</t>
        </is>
      </c>
      <c r="B10" s="3" t="inlineStr">
        <is>
          <t>*Lưu ý: đồng chí chỉ có thể chụp tối đa 5 ảnh</t>
        </is>
      </c>
      <c r="C10" s="3" t="inlineStr">
        <is>
          <t>Please notice that you can capture up to 5 images</t>
        </is>
      </c>
      <c r="D10" s="3">
        <f>IFERROR(__xludf.DUMMYFUNCTION("GOOGLETRANSLATE(B10,""vi"",""km"")"),"*ចំណាំ៖ អ្នកអាចថតរូបបានត្រឹមតែ ៥ សន្លឹកប៉ុណ្ណោះ។")</f>
        <v/>
      </c>
      <c r="E10" s="3" t="inlineStr">
        <is>
          <t>*ចំណាំ៖ អ្នកគ្រាន់តែអាចថតបានយ៉ាងច្រើន5រូបភាព</t>
        </is>
      </c>
      <c r="F10" s="3" t="n"/>
      <c r="G10" s="3" t="inlineStr">
        <is>
          <t>*ចំណាំ៖ អ្នកគ្រាន់តែអាចថតបានយ៉ាងច្រើន5រូបភាព</t>
        </is>
      </c>
      <c r="H10" t="inlineStr">
        <is>
          <t>*ចំណាំ៖ អ្នកគ្រាន់តែអាចថតបានយ៉ាងច្រើន5រូបភាព</t>
        </is>
      </c>
      <c r="I10" s="217" t="inlineStr">
        <is>
          <t>"nhanHang.warning": "*ចំណាំ៖ អ្នកគ្រាន់តែអាចថតបានយ៉ាងច្រើន5រូបភាព",</t>
        </is>
      </c>
      <c r="N10" s="3" t="inlineStr">
        <is>
          <t>*សម្គាល់៖ អ្នកអាចថតបានច្រើនបំផុត 5 រូប</t>
        </is>
      </c>
    </row>
    <row r="11">
      <c r="A11" s="3" t="inlineStr">
        <is>
          <t>dieuHanh.warningOrder</t>
        </is>
      </c>
      <c r="B11" s="3" t="inlineStr">
        <is>
          <t>*Lưu ý: Hệ thống chỉ gán đơn ở trạng thái hợp lệ</t>
        </is>
      </c>
      <c r="C11" s="3" t="inlineStr">
        <is>
          <t>Important: Only valid orders will be assigned.</t>
        </is>
      </c>
      <c r="D11" s="3">
        <f>IFERROR(__xludf.DUMMYFUNCTION("GOOGLETRANSLATE(B11,""vi"",""km"")"),"*ចំណាំ៖ ប្រព័ន្ធនឹងចាត់តាំងការបញ្ជាទិញតែនៅពេលដែលពួកវាស្ថិតក្នុងស្ថានភាពត្រឹមត្រូវ។")</f>
        <v/>
      </c>
      <c r="E11" s="3" t="inlineStr">
        <is>
          <t>*ចំណាំ៖ ប្រព័ន្ធគ្រាន់តែភ្ជាប់បុងនៅស្ថានភាពសមស្រប</t>
        </is>
      </c>
      <c r="F11" s="3" t="n"/>
      <c r="G11" s="3" t="inlineStr">
        <is>
          <t>*ចំណាំ៖ ប្រព័ន្ធគ្រាន់តែភ្ជាប់បុងនៅស្ថានភាពសមស្រប</t>
        </is>
      </c>
      <c r="H11" t="inlineStr">
        <is>
          <t>*ចំណាំ៖ ប្រព័ន្ធគ្រាន់តែភ្ជាប់បុងនៅស្ថានភាពសមស្រប</t>
        </is>
      </c>
      <c r="I11" s="217" t="inlineStr">
        <is>
          <t>"dieuHanh.warningOrder": "*ចំណាំ៖ ប្រព័ន្ធគ្រាន់តែភ្ជាប់បុងនៅស្ថានភាពសមស្រប",</t>
        </is>
      </c>
      <c r="N11" s="3" t="inlineStr">
        <is>
          <t>*សំណើ: ប្រព័ន្ធតែអនុញ្ញាតកំណត់បញ្ជាទិញក្នុងស្ថានភាពត្រឹមត្រូវ</t>
        </is>
      </c>
    </row>
    <row r="12">
      <c r="A12" s="3" t="inlineStr">
        <is>
          <t>setting.warningBlockAccout2</t>
        </is>
      </c>
      <c r="B12" s="3" t="inlineStr">
        <is>
          <t>5 lần</t>
        </is>
      </c>
      <c r="C12" s="3" t="inlineStr">
        <is>
          <t>5 times</t>
        </is>
      </c>
      <c r="D12" s="3">
        <f>IFERROR(__xludf.DUMMYFUNCTION("GOOGLETRANSLATE(B12,""vi"",""km"")"),"៥ ដង")</f>
        <v/>
      </c>
      <c r="E12" s="3" t="inlineStr">
        <is>
          <t>5 ដង</t>
        </is>
      </c>
      <c r="F12" s="3" t="n"/>
      <c r="G12" s="3" t="inlineStr">
        <is>
          <t>5 ដង</t>
        </is>
      </c>
      <c r="H12" t="inlineStr">
        <is>
          <t>5 ដង</t>
        </is>
      </c>
      <c r="I12" s="217" t="inlineStr">
        <is>
          <t>"setting.warningBlockAccout2": "5 ដង",</t>
        </is>
      </c>
      <c r="N12" s="3" t="inlineStr">
        <is>
          <t>5 times</t>
        </is>
      </c>
    </row>
    <row r="13">
      <c r="A13" s="3" t="inlineStr">
        <is>
          <t>change_password.warningBlockAccout2</t>
        </is>
      </c>
      <c r="B13" s="3" t="inlineStr">
        <is>
          <t>5 lần</t>
        </is>
      </c>
      <c r="C13" s="3" t="inlineStr">
        <is>
          <t>5 times</t>
        </is>
      </c>
      <c r="D13" s="3">
        <f>IFERROR(__xludf.DUMMYFUNCTION("GOOGLETRANSLATE(B13,""vi"",""km"")"),"៥ ដង")</f>
        <v/>
      </c>
      <c r="E13" s="3" t="inlineStr">
        <is>
          <t>5ដង</t>
        </is>
      </c>
      <c r="F13" s="3" t="n"/>
      <c r="G13" s="3" t="inlineStr">
        <is>
          <t>5ដង</t>
        </is>
      </c>
      <c r="H13" t="inlineStr">
        <is>
          <t>5ដង</t>
        </is>
      </c>
      <c r="I13" s="217" t="inlineStr">
        <is>
          <t>"change_password.warningBlockAccout2": "5ដង",</t>
        </is>
      </c>
      <c r="N13" s="3" t="inlineStr">
        <is>
          <t>5 ដង</t>
        </is>
      </c>
    </row>
    <row r="14">
      <c r="A14" s="3" t="inlineStr">
        <is>
          <t>traCuu.anhGiaoHang</t>
        </is>
      </c>
      <c r="B14" s="3" t="inlineStr">
        <is>
          <t>Ảnh giao hàng</t>
        </is>
      </c>
      <c r="C14" s="3" t="inlineStr">
        <is>
          <t>Delivery image</t>
        </is>
      </c>
      <c r="D14" s="3">
        <f>IFERROR(__xludf.DUMMYFUNCTION("GOOGLETRANSLATE(B14,""vi"",""km"")"),"រូបថតដឹកជញ្ជូន")</f>
        <v/>
      </c>
      <c r="E14" s="3" t="inlineStr">
        <is>
          <t>រូបថតប្រគល់អីវ៉ាន់</t>
        </is>
      </c>
      <c r="F14" s="3" t="n"/>
      <c r="G14" s="3" t="inlineStr">
        <is>
          <t>រូបថតប្រគល់អីវ៉ាន់</t>
        </is>
      </c>
      <c r="H14" t="inlineStr">
        <is>
          <t>រូបថតប្រគល់អីវ៉ាន់</t>
        </is>
      </c>
      <c r="I14" s="217" t="inlineStr">
        <is>
          <t>"traCuu.anhGiaoHang": "រូបថតប្រគល់អីវ៉ាន់",</t>
        </is>
      </c>
      <c r="N14" s="3" t="inlineStr">
        <is>
          <t>រូបភាពប្រគល់ទំនេញ</t>
        </is>
      </c>
    </row>
    <row r="15">
      <c r="A15" s="3" t="inlineStr">
        <is>
          <t>taoDon.image</t>
        </is>
      </c>
      <c r="B15" s="3" t="inlineStr">
        <is>
          <t>Ảnh gói hàng</t>
        </is>
      </c>
      <c r="C15" s="3" t="inlineStr">
        <is>
          <t>Freight image</t>
        </is>
      </c>
      <c r="D15" s="3">
        <f>IFERROR(__xludf.DUMMYFUNCTION("GOOGLETRANSLATE(B15,""vi"",""km"")"),"រូបថតកញ្ចប់")</f>
        <v/>
      </c>
      <c r="E15" s="3" t="inlineStr">
        <is>
          <t>រូបថតកញ្ចប់ អីវ៉ាន់</t>
        </is>
      </c>
      <c r="F15" s="3" t="n"/>
      <c r="G15" s="3" t="inlineStr">
        <is>
          <t>រូបថតកញ្ចប់ អីវ៉ាន់</t>
        </is>
      </c>
      <c r="H15" t="inlineStr">
        <is>
          <t>រូបថតកញ្ចប់ អីវ៉ាន់</t>
        </is>
      </c>
      <c r="I15" s="217" t="inlineStr">
        <is>
          <t>"taoDon.image": "រូបថតកញ្ចប់ អីវ៉ាន់",</t>
        </is>
      </c>
      <c r="N15" s="3" t="inlineStr">
        <is>
          <t>រូបភាពកញ្ចប់</t>
        </is>
      </c>
    </row>
    <row r="16">
      <c r="A16" s="3" t="inlineStr">
        <is>
          <t>nhanHang.imageGoods</t>
        </is>
      </c>
      <c r="B16" s="3" t="inlineStr">
        <is>
          <t>Ảnh hàng hoá</t>
        </is>
      </c>
      <c r="C16" s="3" t="inlineStr">
        <is>
          <t>Freight image</t>
        </is>
      </c>
      <c r="D16" s="3">
        <f>IFERROR(__xludf.DUMMYFUNCTION("GOOGLETRANSLATE(B16,""vi"",""km"")"),"រូបថតផលិតផល")</f>
        <v/>
      </c>
      <c r="E16" s="3" t="inlineStr">
        <is>
          <t>រូបថតអីវ៉ាន់</t>
        </is>
      </c>
      <c r="F16" s="3" t="n"/>
      <c r="G16" s="3" t="inlineStr">
        <is>
          <t>រូបថតអីវ៉ាន់</t>
        </is>
      </c>
      <c r="H16" t="inlineStr">
        <is>
          <t>រូបថតអីវ៉ាន់</t>
        </is>
      </c>
      <c r="I16" s="217" t="inlineStr">
        <is>
          <t>"nhanHang.imageGoods": "រូបថតអីវ៉ាន់",</t>
        </is>
      </c>
      <c r="N16" s="3" t="inlineStr">
        <is>
          <t>រូបភាពទំនិញ</t>
        </is>
      </c>
    </row>
    <row r="17">
      <c r="A17" s="3" t="inlineStr">
        <is>
          <t>traCuu.anhHH</t>
        </is>
      </c>
      <c r="B17" s="3" t="inlineStr">
        <is>
          <t>Ảnh hàng hóa</t>
        </is>
      </c>
      <c r="C17" s="3" t="inlineStr">
        <is>
          <t>Image</t>
        </is>
      </c>
      <c r="D17" s="3">
        <f>IFERROR(__xludf.DUMMYFUNCTION("GOOGLETRANSLATE(B17,""vi"",""km"")"),"រូបថតផលិតផល")</f>
        <v/>
      </c>
      <c r="E17" s="3" t="inlineStr">
        <is>
          <t>រូបថតអីវ៉ាន់</t>
        </is>
      </c>
      <c r="F17" s="3" t="n"/>
      <c r="G17" s="3" t="inlineStr">
        <is>
          <t>រូបថតអីវ៉ាន់</t>
        </is>
      </c>
      <c r="H17" t="inlineStr">
        <is>
          <t>រូបថតអីវ៉ាន់</t>
        </is>
      </c>
      <c r="I17" s="217" t="inlineStr">
        <is>
          <t>"traCuu.anhHH": "រូបថតអីវ៉ាន់",</t>
        </is>
      </c>
      <c r="N17" s="3" t="inlineStr">
        <is>
          <t>រូបភាពផលិតផល</t>
        </is>
      </c>
    </row>
    <row r="18">
      <c r="A18" s="3" t="inlineStr">
        <is>
          <t>traCuu.anhKH</t>
        </is>
      </c>
      <c r="B18" s="3" t="inlineStr">
        <is>
          <t>Ảnh KH chụp</t>
        </is>
      </c>
      <c r="C18" s="3" t="inlineStr">
        <is>
          <t xml:space="preserve">Customer's image </t>
        </is>
      </c>
      <c r="D18" s="3">
        <f>IFERROR(__xludf.DUMMYFUNCTION("GOOGLETRANSLATE(B18,""vi"",""km"")"),"រូបថតដោយ KH")</f>
        <v/>
      </c>
      <c r="E18" s="3" t="inlineStr">
        <is>
          <t>រូបថតអតិថិជនបានថត</t>
        </is>
      </c>
      <c r="F18" s="3" t="n"/>
      <c r="G18" s="3" t="inlineStr">
        <is>
          <t>រូបថតអតិថិជនបានថត</t>
        </is>
      </c>
      <c r="H18" t="inlineStr">
        <is>
          <t>រូបថតអតិថិជនបានថត</t>
        </is>
      </c>
      <c r="I18" s="217" t="inlineStr">
        <is>
          <t>"traCuu.anhKH": "រូបថតអតិថិជនបានថត",</t>
        </is>
      </c>
      <c r="N18" s="3" t="inlineStr">
        <is>
          <t>រូបភាពថតដោយអតិថិជន</t>
        </is>
      </c>
    </row>
    <row r="19">
      <c r="A19" s="3" t="inlineStr">
        <is>
          <t>traCuu.anhNhanHang</t>
        </is>
      </c>
      <c r="B19" s="3" t="inlineStr">
        <is>
          <t>Ảnh nhận hàng</t>
        </is>
      </c>
      <c r="C19" s="3" t="inlineStr">
        <is>
          <t>Pickup image</t>
        </is>
      </c>
      <c r="D19" s="3">
        <f>IFERROR(__xludf.DUMMYFUNCTION("GOOGLETRANSLATE(B19,""vi"",""km"")"),"រូបថតដឹកជញ្ជូន")</f>
        <v/>
      </c>
      <c r="E19" s="3" t="inlineStr">
        <is>
          <t>រូបថតទទួលអីវ៉ាន់</t>
        </is>
      </c>
      <c r="F19" s="3" t="n"/>
      <c r="G19" s="3" t="inlineStr">
        <is>
          <t>រូបថតទទួលអីវ៉ាន់</t>
        </is>
      </c>
      <c r="H19" t="inlineStr">
        <is>
          <t>រូបថតទទួលអីវ៉ាន់</t>
        </is>
      </c>
      <c r="I19" s="217" t="inlineStr">
        <is>
          <t>"traCuu.anhNhanHang": "រូបថតទទួលអីវ៉ាន់",</t>
        </is>
      </c>
      <c r="N19" s="3" t="inlineStr">
        <is>
          <t>រូបភាពទទួលទំនេញ</t>
        </is>
      </c>
    </row>
    <row r="20">
      <c r="A20" s="3" t="inlineStr">
        <is>
          <t>common.titleApplyFilter</t>
        </is>
      </c>
      <c r="B20" s="3" t="inlineStr">
        <is>
          <t>Áp dụng</t>
        </is>
      </c>
      <c r="C20" s="3" t="inlineStr">
        <is>
          <t>Apply filter</t>
        </is>
      </c>
      <c r="D20" s="3">
        <f>IFERROR(__xludf.DUMMYFUNCTION("GOOGLETRANSLATE(B20,""vi"",""km"")"),"ដាក់ពាក្យ")</f>
        <v/>
      </c>
      <c r="E20" s="3" t="inlineStr">
        <is>
          <t>អនុវត្ត</t>
        </is>
      </c>
      <c r="F20" s="3" t="n"/>
      <c r="G20" s="3" t="inlineStr">
        <is>
          <t>អនុវត្ត</t>
        </is>
      </c>
      <c r="H20" t="inlineStr">
        <is>
          <t>អនុវត្ត</t>
        </is>
      </c>
      <c r="I20" s="217" t="inlineStr">
        <is>
          <t>"common.titleApplyFilter": "អនុវត្ត",</t>
        </is>
      </c>
      <c r="N20" s="3" t="inlineStr">
        <is>
          <t>អនុវត្តតម្រង</t>
        </is>
      </c>
    </row>
    <row r="21" ht="15.75" customHeight="1" s="305">
      <c r="A21" s="3" t="inlineStr">
        <is>
          <t>banGiao.apply</t>
        </is>
      </c>
      <c r="B21" s="3" t="inlineStr">
        <is>
          <t>Áp dụng</t>
        </is>
      </c>
      <c r="C21" s="3" t="inlineStr">
        <is>
          <t>Apply</t>
        </is>
      </c>
      <c r="D21" s="3">
        <f>IFERROR(__xludf.DUMMYFUNCTION("GOOGLETRANSLATE(B21,""vi"",""km"")"),"ដាក់ពាក្យ")</f>
        <v/>
      </c>
      <c r="E21" s="3" t="inlineStr">
        <is>
          <t>អនុវត្ត</t>
        </is>
      </c>
      <c r="F21" s="3" t="n"/>
      <c r="G21" s="3" t="inlineStr">
        <is>
          <t>អនុវត្ត</t>
        </is>
      </c>
      <c r="H21" t="inlineStr">
        <is>
          <t>អនុវត្ត</t>
        </is>
      </c>
      <c r="I21" s="217" t="inlineStr">
        <is>
          <t>"banGiao.apply": "អនុវត្ត",</t>
        </is>
      </c>
      <c r="N21" s="3" t="inlineStr">
        <is>
          <t>អនុវត្ត</t>
        </is>
      </c>
    </row>
    <row r="22" ht="15.75" customHeight="1" s="305">
      <c r="A22" s="3" t="inlineStr">
        <is>
          <t>PhanCong.titleApplyFilter</t>
        </is>
      </c>
      <c r="B22" s="3" t="inlineStr">
        <is>
          <t>Áp dụng</t>
        </is>
      </c>
      <c r="C22" s="3" t="inlineStr">
        <is>
          <t>Apply</t>
        </is>
      </c>
      <c r="D22" s="3">
        <f>IFERROR(__xludf.DUMMYFUNCTION("GOOGLETRANSLATE(B22,""vi"",""km"")"),"ដាក់ពាក្យ")</f>
        <v/>
      </c>
      <c r="E22" s="3" t="inlineStr">
        <is>
          <t>អនុវត្ត</t>
        </is>
      </c>
      <c r="F22" s="3" t="n"/>
      <c r="G22" s="3" t="inlineStr">
        <is>
          <t>អនុវត្ត</t>
        </is>
      </c>
      <c r="H22" t="inlineStr">
        <is>
          <t>អនុវត្ត</t>
        </is>
      </c>
      <c r="I22" s="217" t="inlineStr">
        <is>
          <t>"PhanCong.titleApplyFilter": "អនុវត្ត",</t>
        </is>
      </c>
      <c r="N22" s="3" t="inlineStr">
        <is>
          <t>អនុវត្តតម្រង</t>
        </is>
      </c>
    </row>
    <row r="23" ht="15.75" customHeight="1" s="305">
      <c r="A23" s="3" t="inlineStr">
        <is>
          <t>setting.infoApp</t>
        </is>
      </c>
      <c r="B23" s="3" t="inlineStr">
        <is>
          <t>App dành cho khách hàng.</t>
        </is>
      </c>
      <c r="C23" s="3" t="inlineStr">
        <is>
          <t>Customer app.</t>
        </is>
      </c>
      <c r="D23" s="3">
        <f>IFERROR(__xludf.DUMMYFUNCTION("GOOGLETRANSLATE(B23,""vi"",""km"")"),"កម្មវិធីសម្រាប់អតិថិជន។")</f>
        <v/>
      </c>
      <c r="E23" s="3" t="inlineStr">
        <is>
          <t>អនុវត្តសម្រាប់អតិថិជន</t>
        </is>
      </c>
      <c r="F23" s="3" t="n"/>
      <c r="G23" s="3" t="inlineStr">
        <is>
          <t>អនុវត្តសម្រាប់អតិថិជន</t>
        </is>
      </c>
      <c r="H23" t="inlineStr">
        <is>
          <t>អនុវត្តសម្រាប់អតិថិជន</t>
        </is>
      </c>
      <c r="I23" s="217" t="inlineStr">
        <is>
          <t>"setting.infoApp": "អនុវត្តសម្រាប់អតិថិជន",</t>
        </is>
      </c>
      <c r="N23" s="163" t="inlineStr">
        <is>
          <t>កម្មវិធីអតិថិជន។</t>
        </is>
      </c>
    </row>
    <row r="24" ht="15.75" customHeight="1" s="305">
      <c r="A24" s="3" t="inlineStr">
        <is>
          <t>taoDon.accessContacts</t>
        </is>
      </c>
      <c r="B24" s="3" t="inlineStr">
        <is>
          <t>App Uniman muốn truy cập Danh bạ của bạn</t>
        </is>
      </c>
      <c r="C24" s="3" t="inlineStr">
        <is>
          <t>UniMan App wants to access your Contacts</t>
        </is>
      </c>
      <c r="D24" s="3">
        <f>IFERROR(__xludf.DUMMYFUNCTION("GOOGLETRANSLATE(B24,""vi"",""km"")"),"កម្មវិធី Uniman ចង់ចូលប្រើទំនាក់ទំនងរបស់អ្នក។")</f>
        <v/>
      </c>
      <c r="E24" s="3" t="inlineStr">
        <is>
          <t>App Unimanចង់ចូលមើលតារាងលេខទូរស័ព្ទរបស់អ្នក</t>
        </is>
      </c>
      <c r="F24" s="3" t="n"/>
      <c r="G24" s="3" t="inlineStr">
        <is>
          <t>App Unimanចង់ចូលមើលតារាងលេខទូរស័ព្ទរបស់អ្នក</t>
        </is>
      </c>
      <c r="H24" t="inlineStr">
        <is>
          <t>App Unimanចង់ចូលមើលតារាងលេខទូរស័ព្ទរបស់អ្នក</t>
        </is>
      </c>
      <c r="I24" s="217" t="inlineStr">
        <is>
          <t>"taoDon.accessContacts": "App Unimanចង់ចូលមើលតារាងលេខទូរស័ព្ទរបស់អ្នក",</t>
        </is>
      </c>
      <c r="N24" s="3" t="inlineStr">
        <is>
          <t>កម្មវិធី TMS ចង់ចូលប្រើទំនាក់ទំនងរបស់អ្នក</t>
        </is>
      </c>
    </row>
    <row r="25" ht="15.75" customHeight="1" s="305">
      <c r="A25" s="3" t="inlineStr">
        <is>
          <t>common.village</t>
        </is>
      </c>
      <c r="B25" s="3" t="inlineStr">
        <is>
          <t>Bản</t>
        </is>
      </c>
      <c r="C25" s="3" t="inlineStr">
        <is>
          <t>Village</t>
        </is>
      </c>
      <c r="D25" s="3">
        <f>IFERROR(__xludf.DUMMYFUNCTION("GOOGLETRANSLATE(B25,""vi"",""km"")"),"ចម្លង")</f>
        <v/>
      </c>
      <c r="E25" s="3" t="inlineStr">
        <is>
          <t>សន្លឹក</t>
        </is>
      </c>
      <c r="F25" s="3" t="n"/>
      <c r="G25" s="3" t="inlineStr">
        <is>
          <t>សន្លឹក</t>
        </is>
      </c>
      <c r="H25" t="inlineStr">
        <is>
          <t>សន្លឹក</t>
        </is>
      </c>
      <c r="I25" s="217" t="inlineStr">
        <is>
          <t>"common.village": "សន្លឹក",</t>
        </is>
      </c>
      <c r="N25" s="3" t="inlineStr">
        <is>
          <t>Village</t>
        </is>
      </c>
    </row>
    <row r="26" ht="15.75" customHeight="1" s="305">
      <c r="A26" s="3" t="inlineStr">
        <is>
          <t>tms.needStartTrip</t>
        </is>
      </c>
      <c r="B26" s="3" t="inlineStr">
        <is>
          <t>Bạn cần khởi hành 1 chuyến xe mới có thể nhận bàn giao.</t>
        </is>
      </c>
      <c r="C26" s="3" t="inlineStr">
        <is>
          <t>You need to start a trip before receiving handovers.</t>
        </is>
      </c>
      <c r="D26" s="3">
        <f>IFERROR(__xludf.DUMMYFUNCTION("GOOGLETRANSLATE(B26,""vi"",""km"")"),"អ្នកត្រូវចាប់ផ្តើមដំណើរកម្សាន្តថ្មី មុនពេលអ្នកអាចទទួលយកការដឹកជញ្ជូនបាន។")</f>
        <v/>
      </c>
      <c r="E26" s="3" t="inlineStr">
        <is>
          <t>អ្នកត្រូវធ្វើដំណើរជើងថ្មីមួយទើប អ្នកអាចទទួលបានការប្រគល់</t>
        </is>
      </c>
      <c r="F26" s="3" t="n"/>
      <c r="G26" s="3" t="inlineStr">
        <is>
          <t>អ្នកត្រូវធ្វើដំណើរជើងថ្មីមួយទើប អ្នកអាចទទួលបានការប្រគល់</t>
        </is>
      </c>
      <c r="H26" t="inlineStr">
        <is>
          <t>អ្នកត្រូវធ្វើដំណើរជើងថ្មីមួយទើប អ្នកអាចទទួលបានការប្រគល់</t>
        </is>
      </c>
      <c r="I26" s="217" t="inlineStr">
        <is>
          <t>"tms.needStartTrip": "អ្នកត្រូវធ្វើដំណើរជើងថ្មីមួយទើប អ្នកអាចទទួលបានការប្រគល់",</t>
        </is>
      </c>
      <c r="N26" s="3" t="inlineStr"/>
    </row>
    <row r="27" ht="15.75" customHeight="1" s="305">
      <c r="A27" s="3" t="inlineStr">
        <is>
          <t>tms.takeOdoMessage</t>
        </is>
      </c>
      <c r="B27" s="3" t="inlineStr">
        <is>
          <t>Bạn cần phải chụp ảnh công tơ mét của xe để xác minh quãng đường di chuyển thực tế!</t>
        </is>
      </c>
      <c r="C27" s="3" t="inlineStr">
        <is>
          <t>You need to take a photo of the odometer to verify the actual traveled distance!</t>
        </is>
      </c>
      <c r="D27" s="3">
        <f>IFERROR(__xludf.DUMMYFUNCTION("GOOGLETRANSLATE(B27,""vi"",""km"")"),"អ្នកត្រូវថតរូបអូដូម៉ែត្ររបស់រថយន្តអ្នក ដើម្បីផ្ទៀងផ្ទាត់ចម្ងាយពិតប្រាកដដែលបានធ្វើដំណើរ!")</f>
        <v/>
      </c>
      <c r="E27" s="3" t="inlineStr">
        <is>
          <t>អ្នកត្រូវតែថតរូបកុងតឺរយានយន្តដើម្បីបញ្ជាក់ផ្លូវដំណើរជាក់ស្តែង!</t>
        </is>
      </c>
      <c r="F27" s="3" t="n"/>
      <c r="G27" s="3" t="inlineStr">
        <is>
          <t>អ្នកត្រូវតែថតរូបកុងតឺរយានយន្តដើម្បីបញ្ជាក់ផ្លូវដំណើរជាក់ស្តែង!</t>
        </is>
      </c>
      <c r="H27" t="inlineStr">
        <is>
          <t>អ្នកត្រូវតែថតរូបកុងតឺរយានយន្តដើម្បីបញ្ជាក់ផ្លូវដំណើរជាក់ស្តែង!</t>
        </is>
      </c>
      <c r="I27" s="217" t="inlineStr">
        <is>
          <t>"tms.takeOdoMessage": "អ្នកត្រូវតែថតរូបកុងតឺរយានយន្តដើម្បីបញ្ជាក់ផ្លូវដំណើរជាក់ស្តែង!",</t>
        </is>
      </c>
      <c r="N27" s="3" t="inlineStr"/>
    </row>
    <row r="28" ht="15.75" customHeight="1" s="305">
      <c r="A28" s="3" t="inlineStr">
        <is>
          <t>thanhtoan.youUseBank</t>
        </is>
      </c>
      <c r="B28" s="3" t="inlineStr">
        <is>
          <t>Bạn cần sử dụng App ngân hàng bất kỳ để chuyển khoản chính xác nội dung bên dưới.</t>
        </is>
      </c>
      <c r="C28" s="3" t="inlineStr">
        <is>
          <t>Please use any banking app to transfer with the exact reference shown below.</t>
        </is>
      </c>
      <c r="D28" s="3">
        <f>IFERROR(__xludf.DUMMYFUNCTION("GOOGLETRANSLATE(B28,""vi"",""km"")"),"អ្នកត្រូវប្រើកម្មវិធីធនាគារណាមួយដើម្បីផ្ទេរចំនួនទឹកប្រាក់ពិតប្រាកដដែលបានរាយខាងក្រោម។")</f>
        <v/>
      </c>
      <c r="E28" s="3" t="inlineStr">
        <is>
          <t>អ្នកត្រូវថតរូបឧបករណ៍វាស់ចម្ងាយរបស់យានយន្ត ដើម្បីផ្ទៀងផ្ទាត់ចម្ងាយពិតប្រាកដដែលបានធ្វើដំណើរ!</t>
        </is>
      </c>
      <c r="F28" s="3" t="n"/>
      <c r="G28" s="3" t="inlineStr">
        <is>
          <t>អ្នកត្រូវថតរូបឧបករណ៍វាស់ចម្ងាយរបស់យានយន្ត ដើម្បីផ្ទៀងផ្ទាត់ចម្ងាយពិតប្រាកដដែលបានធ្វើដំណើរ!</t>
        </is>
      </c>
      <c r="H28" t="inlineStr">
        <is>
          <t>អ្នកត្រូវថតរូបឧបករណ៍វាស់ចម្ងាយរបស់យានយន្ត ដើម្បីផ្ទៀងផ្ទាត់ចម្ងាយពិតប្រាកដដែលបានធ្វើដំណើរ!</t>
        </is>
      </c>
      <c r="I28" s="217" t="inlineStr">
        <is>
          <t>"thanhtoan.youUseBank": "អ្នកត្រូវថតរូបឧបករណ៍វាស់ចម្ងាយរបស់យានយន្ត ដើម្បីផ្ទៀងផ្ទាត់ចម្ងាយពិតប្រាកដដែលបានធ្វើដំណើរ!",</t>
        </is>
      </c>
      <c r="N28" s="3" t="inlineStr"/>
    </row>
    <row r="29" ht="15.75" customHeight="1" s="305">
      <c r="A29" s="3" t="inlineStr">
        <is>
          <t>DongTai.titleScan</t>
        </is>
      </c>
      <c r="B29" s="3" t="inlineStr">
        <is>
          <t>Bạn chưa có đơn hàng nào.\nVui lòng đưa mã bưu phẩm vào camera để quét</t>
        </is>
      </c>
      <c r="C29" s="3" t="inlineStr">
        <is>
          <t>You don't have any orders yet.\nPlease use the scanner to add an order</t>
        </is>
      </c>
      <c r="D29" s="3">
        <f>IFERROR(__xludf.DUMMYFUNCTION("GOOGLETRANSLATE(B29,""vi"",""km"")"),"អ្នកមិនទាន់មានការបញ្ជាទិញនៅឡើយទេ។ សូមចង្អុលលេខតាមដានទៅកាមេរ៉ាដើម្បីស្កេន។")</f>
        <v/>
      </c>
      <c r="E29" s="3" t="inlineStr">
        <is>
          <t>អ្នកមិនទាន់មានបុងបញ្ញើណាទេ។ សូមយកកូដអីវ៉ាន់ចូលក្នុងកាមេរ៉ាដើម្បីស្កេន</t>
        </is>
      </c>
      <c r="F29" s="3" t="n"/>
      <c r="G29" s="3" t="inlineStr">
        <is>
          <t>អ្នកមិនទាន់មានបុងបញ្ញើណាទេ។ សូមយកកូដអីវ៉ាន់ចូលក្នុងកាមេរ៉ាដើម្បីស្កេន</t>
        </is>
      </c>
      <c r="H29" t="inlineStr">
        <is>
          <t>អ្នកមិនទាន់មានបុងបញ្ញើណាទេ។ សូមយកកូដអីវ៉ាន់ចូលក្នុងកាមេរ៉ាដើម្បីស្កេន</t>
        </is>
      </c>
      <c r="I29" s="217" t="inlineStr">
        <is>
          <t>"DongTai.titleScan": "អ្នកមិនទាន់មានបុងបញ្ញើណាទេ។ សូមយកកូដអីវ៉ាន់ចូលក្នុងកាមេរ៉ាដើម្បីស្កេន",</t>
        </is>
      </c>
      <c r="N29" s="3" t="inlineStr">
        <is>
          <t>អ្នកមិនមានបញ្ជីទេ។
សូមដាក់លេខកូដសំបុត្រ/កញ្ចប់ចូលក្នុងកាមេរ៉ាសម្រាប់ស្កេន</t>
        </is>
      </c>
    </row>
    <row r="30" ht="15.75" customHeight="1" s="305">
      <c r="A30" s="3" t="inlineStr">
        <is>
          <t>GiaoHangNew.noOrdersYet</t>
        </is>
      </c>
      <c r="B30" s="3" t="inlineStr">
        <is>
          <t>Bạn chưa có đơn nào</t>
        </is>
      </c>
      <c r="C30" s="3" t="inlineStr">
        <is>
          <t>You don't have any orders yet</t>
        </is>
      </c>
      <c r="D30" s="3">
        <f>IFERROR(__xludf.DUMMYFUNCTION("GOOGLETRANSLATE(B30,""vi"",""km"")"),"អ្នកមិនទាន់មានការបញ្ជាទិញនៅឡើយទេ។")</f>
        <v/>
      </c>
      <c r="E30" s="3" t="inlineStr">
        <is>
          <t>អ្នកមិនទាន់មានបុងបញ្ញើណាទេ</t>
        </is>
      </c>
      <c r="F30" s="3" t="n"/>
      <c r="G30" s="3" t="inlineStr">
        <is>
          <t>អ្នកមិនទាន់មានបុងបញ្ញើណាទេ</t>
        </is>
      </c>
      <c r="H30" t="inlineStr">
        <is>
          <t>អ្នកមិនទាន់មានបុងបញ្ញើណាទេ</t>
        </is>
      </c>
      <c r="I30" s="217" t="inlineStr">
        <is>
          <t>"GiaoHangNew.noOrdersYet": "អ្នកមិនទាន់មានបុងបញ្ញើណាទេ",</t>
        </is>
      </c>
      <c r="N30" s="3" t="inlineStr"/>
    </row>
    <row r="31" ht="15.75" customHeight="1" s="305">
      <c r="A31" s="3" t="inlineStr">
        <is>
          <t>banGiao.titleScan</t>
        </is>
      </c>
      <c r="B31" s="3" t="inlineStr">
        <is>
          <t>Bạn chưa có mã tải/kiện nào.\nVui lòng đưa mã tải/kiện vào camera để quét</t>
        </is>
      </c>
      <c r="C31" s="3" t="inlineStr">
        <is>
          <t>You do not have any load codes.\nPlease point the load code to the camera to scan</t>
        </is>
      </c>
      <c r="D31" s="3">
        <f>IFERROR(__xludf.DUMMYFUNCTION("GOOGLETRANSLATE(B31,""vi"",""km"")"),"អ្នកមិនទាន់មានលេខកូដទាញយក/កញ្ចប់នៅឡើយទេ។ សូមចង្អុលលេខកូដទាញយក/កញ្ចប់ទៅកាមេរ៉ាដើម្បីស្កេន។")</f>
        <v/>
      </c>
      <c r="E31" s="3" t="inlineStr">
        <is>
          <t>អ្នកមិនទាន់មានកូដជើងដឹក/អីវ៉ាន់ណាទេ។ សូមបញ្ចូលកូដជើងដឹក/អីវ៉ាន់ចូលកាមេរ៉ាដើម្បីស្កេន</t>
        </is>
      </c>
      <c r="F31" s="3" t="n"/>
      <c r="G31" s="3" t="inlineStr">
        <is>
          <t>អ្នកមិនទាន់មានកូដកញ្ចប់ទំនិញ/អីវ៉ាន់ណាទេ។ សូមបញ្ចូលកូដកញ្ចប់ទំនិញ/អីវ៉ាន់ចូលកាមេរ៉ាដើម្បីស្កេន</t>
        </is>
      </c>
      <c r="H31" t="inlineStr">
        <is>
          <t>អ្នកមិនទាន់មានកូដកញ្ចប់ទំនិញ/អីវ៉ាន់ណាទេ។ សូមបញ្ចូលកូដកញ្ចប់ទំនិញ/អីវ៉ាន់ចូលកាមេរ៉ាដើម្បីស្កេន</t>
        </is>
      </c>
      <c r="I31" s="217" t="inlineStr">
        <is>
          <t>"banGiao.titleScan": "អ្នកមិនទាន់មានកូដកញ្ចប់ទំនិញ/អីវ៉ាន់ណាទេ។ សូមបញ្ចូលកូដកញ្ចប់ទំនិញ/អីវ៉ាន់ចូលកាមេរ៉ាដើម្បីស្កេន",</t>
        </is>
      </c>
      <c r="N31" s="3" t="inlineStr">
        <is>
          <t>អ្នកមិនមានកូដទំនិញទេ។
សូមបង្ហាញកូដទំនិញទៅកាមេរ៉ាដើម្បីស្កេន</t>
        </is>
      </c>
    </row>
    <row r="32" ht="15.75" customHeight="1" s="305">
      <c r="A32" s="3" t="inlineStr">
        <is>
          <t>GiaoHangNew.scanReceiveTaiContent</t>
        </is>
      </c>
      <c r="B32" s="3" t="inlineStr">
        <is>
          <t>Bạn chưa có tải nào\nVui lòng sử dụng đầu quét để thêm tải.</t>
        </is>
      </c>
      <c r="C32" s="3" t="inlineStr">
        <is>
          <t>You don't have any loads yet\nPlease use the scanner to add loads.</t>
        </is>
      </c>
      <c r="D32" s="3">
        <f>IFERROR(__xludf.DUMMYFUNCTION("GOOGLETRANSLATE(B32,""vi"",""km"")"),"អ្នកមិនទាន់មានទំនិញណាមួយនៅឡើយទេ។ សូមប្រើម៉ាស៊ីនស្កេនដើម្បីបន្ថែមទំនិញ។")</f>
        <v/>
      </c>
      <c r="E32" s="3" t="inlineStr">
        <is>
          <t>អ្នកមិនទាន់មានជើងដឹកណាទេ\nសូមប្រើប្រាស់ក្បាលស្កេនដើម្បីបន្ថែមជើងដឹក។</t>
        </is>
      </c>
      <c r="F32" s="3" t="n"/>
      <c r="G32" s="3" t="inlineStr">
        <is>
          <t>អ្នកមិនទាន់មានជើងដឹកណាទេ\nសូមប្រើប្រាស់ក្បាលស្កេនដើម្បីបន្ថែមជើងដឹក។</t>
        </is>
      </c>
      <c r="H32" t="inlineStr">
        <is>
          <t>អ្នកមិនទាន់មានជើងដឹកណាទេ\nសូមប្រើប្រាស់ក្បាលស្កេនដើម្បីបន្ថែមជើងដឹក។</t>
        </is>
      </c>
      <c r="I32" s="217" t="inlineStr">
        <is>
          <t>"GiaoHangNew.scanReceiveTaiContent": "អ្នកមិនទាន់មានជើងដឹកណាទេ\nសូមប្រើប្រាស់ក្បាលស្កេនដើម្បីបន្ថែមជើងដឹក។",</t>
        </is>
      </c>
      <c r="N32" s="3" t="inlineStr"/>
    </row>
    <row r="33" ht="15.75" customHeight="1" s="305">
      <c r="A33" s="3" t="inlineStr">
        <is>
          <t>tms.chuaCoTaiKien</t>
        </is>
      </c>
      <c r="B33" s="3" t="inlineStr">
        <is>
          <t>Bạn chưa có tải/kiện nào. Vui lòng sử dụng đầu quét để thêm tải/kiện.</t>
        </is>
      </c>
      <c r="C33" s="3" t="inlineStr">
        <is>
          <t>You have no sack/package yet. Please use the scanner to add sack/package.</t>
        </is>
      </c>
      <c r="D33" s="3">
        <f>IFERROR(__xludf.DUMMYFUNCTION("GOOGLETRANSLATE(B33,""vi"",""km"")"),"អ្នកមិនទាន់មានបន្ទុក/កញ្ចប់នៅឡើយទេ។ សូមប្រើម៉ាស៊ីនស្កេនដើម្បីបន្ថែមបន្ទុក/កញ្ចប់។")</f>
        <v/>
      </c>
      <c r="E33" s="3" t="inlineStr">
        <is>
          <t>អ្នកមិនទាន់មានជើងដឹកណាទេ\nសូមប្រើប្រាស់ក្បាលស្កេនដើម្បីបន្ថែមជើងដឹក។</t>
        </is>
      </c>
      <c r="F33" s="3" t="n"/>
      <c r="G33" s="3" t="inlineStr">
        <is>
          <t>អ្នកមិនទាន់មានជើងដឹកណាទេ\nសូមប្រើប្រាស់ក្បាលស្កេនដើម្បីបន្ថែមជើងដឹក។</t>
        </is>
      </c>
      <c r="H33" t="inlineStr">
        <is>
          <t>អ្នកមិនទាន់មានជើងដឹកណាទេ\nសូមប្រើប្រាស់ក្បាលស្កេនដើម្បីបន្ថែមជើងដឹក។</t>
        </is>
      </c>
      <c r="I33" s="217" t="inlineStr">
        <is>
          <t>"tms.chuaCoTaiKien": "អ្នកមិនទាន់មានជើងដឹកណាទេ\nសូមប្រើប្រាស់ក្បាលស្កេនដើម្បីបន្ថែមជើងដឹក។",</t>
        </is>
      </c>
      <c r="N33" s="3" t="inlineStr"/>
    </row>
    <row r="34" ht="15.75" customHeight="1" s="305">
      <c r="A34" s="3" t="inlineStr">
        <is>
          <t>taoKien.banChuaNhapDuThongTin</t>
        </is>
      </c>
      <c r="B34" s="3" t="inlineStr">
        <is>
          <t>Bạn chưa nhập đủ thông tin</t>
        </is>
      </c>
      <c r="C34" s="3" t="inlineStr">
        <is>
          <t>Please fill in all required fields</t>
        </is>
      </c>
      <c r="D34" s="3">
        <f>IFERROR(__xludf.DUMMYFUNCTION("GOOGLETRANSLATE(B34,""vi"",""km"")"),"អ្នកមិនទាន់បានបញ្ចូលព័ត៌មានគ្រប់គ្រាន់ទេ។")</f>
        <v/>
      </c>
      <c r="E34" s="3" t="inlineStr">
        <is>
          <t>អ្នកមិនទាន់បញ្ចូលព័ត៌មានបានគ្រប់គ្រាន់ទេ</t>
        </is>
      </c>
      <c r="F34" s="3" t="n"/>
      <c r="G34" s="3" t="inlineStr">
        <is>
          <t>អ្នកមិនទាន់បញ្ចូលព័ត៌មានបានគ្រប់គ្រាន់ទេ</t>
        </is>
      </c>
      <c r="H34" t="inlineStr">
        <is>
          <t>អ្នកមិនទាន់បញ្ចូលព័ត៌មានបានគ្រប់គ្រាន់ទេ</t>
        </is>
      </c>
      <c r="I34" s="217" t="inlineStr">
        <is>
          <t>"taoKien.banChuaNhapDuThongTin": "អ្នកមិនទាន់បញ្ចូលព័ត៌មានបានគ្រប់គ្រាន់ទេ",</t>
        </is>
      </c>
      <c r="N34" s="3" t="inlineStr"/>
    </row>
    <row r="35" ht="15.75" customHeight="1" s="305">
      <c r="A35" s="3" t="inlineStr">
        <is>
          <t>GiaoHang.descConfirmSuccess</t>
        </is>
      </c>
      <c r="B35" s="3" t="inlineStr">
        <is>
          <t>Bạn có chắc chắn đã giao thành công và thu tiền mặt</t>
        </is>
      </c>
      <c r="C35" s="3" t="inlineStr">
        <is>
          <t>Are you sure having delivered and got the COD from recipient?</t>
        </is>
      </c>
      <c r="D35" s="3">
        <f>IFERROR(__xludf.DUMMYFUNCTION("GOOGLETRANSLATE(B35,""vi"",""km"")"),"តើអ្នកប្រាកដទេថាអ្នកបានដឹកជញ្ជូនការបញ្ជាទិញ និងទទួលប្រាក់ដោយជោគជ័យ?")</f>
        <v/>
      </c>
      <c r="E35" s="3" t="inlineStr">
        <is>
          <t>តើអ្នកពិតជាបានប្រគល់ជោគជ័យនិងប្រមូលប្រាក់បានជោគជ័យ</t>
        </is>
      </c>
      <c r="F35" s="3" t="n"/>
      <c r="G35" s="3" t="inlineStr">
        <is>
          <t>តើអ្នកពិតជាបានប្រគល់ជោគជ័យនិងប្រមូលប្រាក់បានជោគជ័យ</t>
        </is>
      </c>
      <c r="H35" t="inlineStr">
        <is>
          <t>តើអ្នកពិតជាបានប្រគល់ជោគជ័យនិងប្រមូលប្រាក់បានជោគជ័យ</t>
        </is>
      </c>
      <c r="I35" s="217" t="inlineStr">
        <is>
          <t>"GiaoHang.descConfirmSuccess": "តើអ្នកពិតជាបានប្រគល់ជោគជ័យនិងប្រមូលប្រាក់បានជោគជ័យ",</t>
        </is>
      </c>
      <c r="N35" s="3" t="inlineStr">
        <is>
          <t>តើអ្នកប្រាកដថាអ្នកបានបញ្ជូន និងប្រមូលសាច់ប្រាក់ដោយជោគជ័យទេ?</t>
        </is>
      </c>
    </row>
    <row r="36" ht="15.75" customHeight="1" s="305">
      <c r="A36" s="3" t="inlineStr">
        <is>
          <t>GiaoHang.descConfirmSuccessNoCod</t>
        </is>
      </c>
      <c r="B36" s="3" t="inlineStr">
        <is>
          <t>Bạn có chắc chắn đã giao thành công?</t>
        </is>
      </c>
      <c r="C36" s="3" t="inlineStr">
        <is>
          <t>Are you sure you have delivered successfully?</t>
        </is>
      </c>
      <c r="D36" s="3">
        <f>IFERROR(__xludf.DUMMYFUNCTION("GOOGLETRANSLATE(B36,""vi"",""km"")"),"តើអ្នកប្រាកដថាការដឹកជញ្ជូនបានជោគជ័យទេ?")</f>
        <v/>
      </c>
      <c r="E36" s="3" t="inlineStr">
        <is>
          <t>តើអ្នកពិតជាប្រគល់អីវ៉ាន់បានជោគជ័យហើយមែនទេ?</t>
        </is>
      </c>
      <c r="F36" s="3" t="n"/>
      <c r="G36" s="3" t="inlineStr">
        <is>
          <t>តើអ្នកពិតជាប្រគល់អីវ៉ាន់បានជោគជ័យហើយមែនទេ?</t>
        </is>
      </c>
      <c r="H36" t="inlineStr">
        <is>
          <t>តើអ្នកពិតជាប្រគល់អីវ៉ាន់បានជោគជ័យហើយមែនទេ?</t>
        </is>
      </c>
      <c r="I36" s="217" t="inlineStr">
        <is>
          <t>"GiaoHang.descConfirmSuccessNoCod": "តើអ្នកពិតជាប្រគល់អីវ៉ាន់បានជោគជ័យហើយមែនទេ?",</t>
        </is>
      </c>
      <c r="N36" s="3" t="inlineStr">
        <is>
          <t>តើអ្នកប្រាកដថាអ្នកបានបញ្ជូនបានជោគជ័យទេ?</t>
        </is>
      </c>
    </row>
    <row r="37" ht="15.75" customHeight="1" s="305">
      <c r="A37" s="3" t="inlineStr">
        <is>
          <t>taoKien.messageConfirmHuyBanGiao</t>
        </is>
      </c>
      <c r="B37" s="3" t="inlineStr">
        <is>
          <t>Bạn có chắc chắn muốn hủy bàn giao {{code}}?</t>
        </is>
      </c>
      <c r="C37" s="143" t="inlineStr">
        <is>
          <t>Are you sure to cancel {{code}} handovers?</t>
        </is>
      </c>
      <c r="D37" s="3">
        <f>IFERROR(__xludf.DUMMYFUNCTION("GOOGLETRANSLATE(B37,""vi"",""km"")"),"តើអ្នកពិតជាចង់លុបចោលការប្រគល់ {{code}} មែនទេ?")</f>
        <v/>
      </c>
      <c r="E37" s="3" t="inlineStr">
        <is>
          <t>តើអ្នកពិតជាចង់លុបការប្រគល់ឬទេ {{code}}?</t>
        </is>
      </c>
      <c r="F37" s="3" t="n"/>
      <c r="G37" s="3" t="inlineStr">
        <is>
          <t>តើអ្នកពិតជាចង់លុបការប្រគល់ឬទេ {{code}}?</t>
        </is>
      </c>
      <c r="H37" t="inlineStr">
        <is>
          <t>តើអ្នកពិតជាចង់លុបការប្រគល់ឬទេ {{code}}?</t>
        </is>
      </c>
      <c r="I37" s="217" t="inlineStr">
        <is>
          <t>"taoKien.messageConfirmHuyBanGiao": "តើអ្នកពិតជាចង់លុបការប្រគល់ឬទេ {{code}}?",</t>
        </is>
      </c>
      <c r="N37" s="3" t="inlineStr"/>
    </row>
    <row r="38" ht="15.75" customHeight="1" s="305">
      <c r="A38" s="3" t="inlineStr">
        <is>
          <t>taoKien.messageConfirmNhanBanGiao</t>
        </is>
      </c>
      <c r="B38" s="3" t="inlineStr">
        <is>
          <t>Bạn có chắc chắn muốn nhận bàn giao {{code}}?</t>
        </is>
      </c>
      <c r="C38" s="143" t="inlineStr">
        <is>
          <t>Are you sure to accept {{code}} handovers?</t>
        </is>
      </c>
      <c r="D38" s="3">
        <f>IFERROR(__xludf.DUMMYFUNCTION("GOOGLETRANSLATE(B38,""vi"",""km"")"),"តើអ្នកពិតជាចង់ទទួល {{code}} មែនទេ?")</f>
        <v/>
      </c>
      <c r="E38" s="3" t="inlineStr">
        <is>
          <t>តើអ្នកពិតជាចង់ទទួលពីការប្រគល់មែនទេ{{code}}?</t>
        </is>
      </c>
      <c r="F38" s="3" t="n"/>
      <c r="G38" s="3" t="inlineStr">
        <is>
          <t>តើអ្នកពិតជាចង់ទទួលពីការប្រគល់មែនទេ{{code}}?</t>
        </is>
      </c>
      <c r="H38" t="inlineStr">
        <is>
          <t>តើអ្នកពិតជាចង់ទទួលពីការប្រគល់មែនទេ{{code}}?</t>
        </is>
      </c>
      <c r="I38" s="217" t="inlineStr">
        <is>
          <t>"taoKien.messageConfirmNhanBanGiao": "តើអ្នកពិតជាចង់ទទួលពីការប្រគល់មែនទេ{{code}}?",</t>
        </is>
      </c>
      <c r="N38" s="3" t="inlineStr"/>
    </row>
    <row r="39" ht="15.75" customHeight="1" s="305">
      <c r="A39" s="3" t="inlineStr">
        <is>
          <t>debit.confirm_submit</t>
        </is>
      </c>
      <c r="B39" s="3" t="inlineStr">
        <is>
          <t>Bạn có chắc chắn muốn nộp &lt;b&gt;{{val}}&lt;/b&gt; bảng kê này?</t>
        </is>
      </c>
      <c r="C39" s="3" t="inlineStr">
        <is>
          <t>Are you sure to submit the payment for this statement?</t>
        </is>
      </c>
      <c r="D39" s="3">
        <f>IFERROR(__xludf.DUMMYFUNCTION("GOOGLETRANSLATE(B39,""vi"",""km"")"),"តើអ្នកពិតជាចង់ដាក់ស្នើសេចក្តីថ្លែងការណ៍នេះមែនទេ?")</f>
        <v/>
      </c>
      <c r="E39" s="3" t="inlineStr">
        <is>
          <t>តើអ្នកពិតជាចង់បញ្ជូន &lt;b&gt;{{val}}&lt;/b&gt; តារាងនេះឬទេ?</t>
        </is>
      </c>
      <c r="F39" s="3" t="n"/>
      <c r="G39" s="3" t="inlineStr">
        <is>
          <t>តើអ្នកពិតជាចង់បញ្ចូល &lt;b&gt;{{val}}&lt;/b&gt; តារាងនេះឬទេ?</t>
        </is>
      </c>
      <c r="H39" t="inlineStr">
        <is>
          <t>តើអ្នកពិតជាចង់បញ្ចូល &lt;b&gt;{{val}}&lt;/b&gt; តារាងនេះឬទេ?</t>
        </is>
      </c>
      <c r="I39" s="217" t="inlineStr">
        <is>
          <t>"debit.confirm_submit": "តើអ្នកពិតជាចង់បញ្ចូល &lt;b&gt;{{val}}&lt;/b&gt; តារាងនេះឬទេ?",</t>
        </is>
      </c>
      <c r="N39" s="3" t="inlineStr">
        <is>
          <t>តើអ្នកប្រាកដជាចង់ដាក់ស្នើតារាងប្រមូលប្រាក់នេះ?</t>
        </is>
      </c>
    </row>
    <row r="40" ht="15.75" customHeight="1" s="305">
      <c r="A40" s="3" t="inlineStr">
        <is>
          <t>taoKien.messageConfirmTuChoiTai</t>
        </is>
      </c>
      <c r="B40" s="3" t="inlineStr">
        <is>
          <t>Bạn có chắc chắn muốn từ chối {{code}}?</t>
        </is>
      </c>
      <c r="C40" s="143" t="inlineStr">
        <is>
          <t>Are you sure to reject {{code}} handovers?</t>
        </is>
      </c>
      <c r="D40" s="3">
        <f>IFERROR(__xludf.DUMMYFUNCTION("GOOGLETRANSLATE(B40,""vi"",""km"")"),"តើអ្នកពិតជាចង់បដិសេធ {{code}} មែនទេ?")</f>
        <v/>
      </c>
      <c r="E40" s="3" t="inlineStr">
        <is>
          <t>តើអ្នកប្រាកដថាអ្នកចង់បដិសេដ {{code}} ដែរឬទេ?</t>
        </is>
      </c>
      <c r="F40" s="3" t="n"/>
      <c r="G40" s="3" t="inlineStr">
        <is>
          <t>តើអ្នកពិតជាចង់បដិសេធ {{code}} មែនទេ?</t>
        </is>
      </c>
      <c r="H40" t="inlineStr">
        <is>
          <t>តើអ្នកពិតជាចង់បដិសេធ {{code}} មែនទេ?</t>
        </is>
      </c>
      <c r="I40" s="217" t="inlineStr">
        <is>
          <t>"taoKien.messageConfirmTuChoiTai": "តើអ្នកពិតជាចង់បដិសេធ {{code}} មែនទេ?",</t>
        </is>
      </c>
      <c r="N40" s="3" t="inlineStr"/>
    </row>
    <row r="41" ht="15.75" customHeight="1" s="305">
      <c r="A41" s="3" t="inlineStr">
        <is>
          <t>taoKien.messageConfirmTuChoiCountTai</t>
        </is>
      </c>
      <c r="B41" s="3" t="inlineStr">
        <is>
          <t>Bạn có chắc chắn muốn từ chối {{count}} tải?</t>
        </is>
      </c>
      <c r="C41" s="143" t="inlineStr">
        <is>
          <t>Are you sure to reject {{code}} packages?</t>
        </is>
      </c>
      <c r="D41" s="3">
        <f>IFERROR(__xludf.DUMMYFUNCTION("GOOGLETRANSLATE(B41,""vi"",""km"")"),"តើអ្នកពិតជាចង់បដិសេធការទាញយក {{count}} មែនទេ?")</f>
        <v/>
      </c>
      <c r="E41" s="3" t="inlineStr">
        <is>
          <t>តើអ្នកប្រាកដថាអ្នកចង់បដិសេដ {{count}} ជើងដឹកដែរឬទេ?</t>
        </is>
      </c>
      <c r="F41" s="3" t="n"/>
      <c r="G41" s="3" t="inlineStr">
        <is>
          <t>តើអ្នកពិតជាចង់បដិសេធ {{code}} កញ្ចប់អីវ៉ាន់មែនទេ?</t>
        </is>
      </c>
      <c r="H41" t="inlineStr">
        <is>
          <t>តើអ្នកពិតជាចង់បដិសេធ {{code}} កញ្ចប់អីវ៉ាន់មែនទេ?</t>
        </is>
      </c>
      <c r="I41" s="217" t="inlineStr">
        <is>
          <t>"taoKien.messageConfirmTuChoiCountTai": "តើអ្នកពិតជាចង់បដិសេធ {{code}} កញ្ចប់អីវ៉ាន់មែនទេ?",</t>
        </is>
      </c>
      <c r="N41" s="3" t="inlineStr"/>
    </row>
    <row r="42" ht="15.75" customHeight="1" s="305">
      <c r="A42" s="3" t="inlineStr">
        <is>
          <t>setting.confirmDeleteAccount</t>
        </is>
      </c>
      <c r="B42" s="3" t="inlineStr">
        <is>
          <t>Bạn có chắc chắn muốn xoá tài khoản?</t>
        </is>
      </c>
      <c r="C42" s="3" t="inlineStr">
        <is>
          <t>Are you sure you want to delete your account?</t>
        </is>
      </c>
      <c r="D42" s="3">
        <f>IFERROR(__xludf.DUMMYFUNCTION("GOOGLETRANSLATE(B42,""vi"",""km"")"),"តើអ្នកពិតជាចង់លុបគណនីរបស់អ្នកមែនទេ?")</f>
        <v/>
      </c>
      <c r="E42" s="3" t="inlineStr">
        <is>
          <t>តើអ្នកពិតជាចង់លុុបចោលគណនីមែនទេ?</t>
        </is>
      </c>
      <c r="F42" s="3" t="n"/>
      <c r="G42" s="3" t="inlineStr">
        <is>
          <t>តើអ្នកពិតជាចង់លុុបចោលគណនីមែនទេ?</t>
        </is>
      </c>
      <c r="H42" t="inlineStr">
        <is>
          <t>តើអ្នកពិតជាចង់លុុបចោលគណនីមែនទេ?</t>
        </is>
      </c>
      <c r="I42" s="217" t="inlineStr">
        <is>
          <t>"setting.confirmDeleteAccount": "តើអ្នកពិតជាចង់លុុបចោលគណនីមែនទេ?",</t>
        </is>
      </c>
      <c r="N42" s="3" t="inlineStr"/>
    </row>
    <row r="43" ht="15.75" customHeight="1" s="305">
      <c r="A43" s="3" t="inlineStr">
        <is>
          <t>taoKien.confirmXoaKien</t>
        </is>
      </c>
      <c r="B43" s="3" t="inlineStr">
        <is>
          <t>Bạn có chắc chắn xóa kiện</t>
        </is>
      </c>
      <c r="C43" s="3" t="inlineStr">
        <is>
          <t>Are you sure to cancel this package?</t>
        </is>
      </c>
      <c r="D43" s="3">
        <f>IFERROR(__xludf.DUMMYFUNCTION("GOOGLETRANSLATE(B43,""vi"",""km"")"),"តើអ្នកប្រាកដថាចង់លុបកញ្ចប់នេះមែនទេ?")</f>
        <v/>
      </c>
      <c r="E43" s="3" t="inlineStr">
        <is>
          <t>អ្នកពិតជា</t>
        </is>
      </c>
      <c r="F43" s="3" t="n"/>
      <c r="G43" s="3" t="inlineStr">
        <is>
          <t>តើអ្នកពិតជាចង់លុបកញ្ចប់អីវ៉ាន់មែនទេ</t>
        </is>
      </c>
      <c r="H43" t="inlineStr">
        <is>
          <t>តើអ្នកពិតជាចង់លុបកញ្ចប់អីវ៉ាន់មែនទេ</t>
        </is>
      </c>
      <c r="I43" s="217" t="inlineStr">
        <is>
          <t>"taoKien.confirmXoaKien": "តើអ្នកពិតជាចង់លុបកញ្ចប់អីវ៉ាន់មែនទេ",</t>
        </is>
      </c>
      <c r="N43" s="3" t="inlineStr"/>
    </row>
    <row r="44" ht="15.75" customHeight="1" s="305">
      <c r="A44" s="3" t="inlineStr">
        <is>
          <t>debit.remove_bill_request</t>
        </is>
      </c>
      <c r="B44" s="3" t="inlineStr">
        <is>
          <t>Bạn có chắc muốn loại bỏ vận đơn ?</t>
        </is>
      </c>
      <c r="C44" s="3" t="inlineStr">
        <is>
          <t>Do you want to delete bill selecled ?</t>
        </is>
      </c>
      <c r="D44" s="3">
        <f>IFERROR(__xludf.DUMMYFUNCTION("GOOGLETRANSLATE(B44,""vi"",""km"")"),"តើអ្នកពិតជាចង់លុបវិក្កយបត្រដឹកជញ្ជូនមែនទេ?")</f>
        <v/>
      </c>
      <c r="E44" s="3" t="inlineStr">
        <is>
          <t>តើអ្នកប្រាកដថាអ្នកចង់ដាក់ស្នើបញ្ជីនេះដែរឬទេ?</t>
        </is>
      </c>
      <c r="F44" s="3" t="n"/>
      <c r="G44" s="3" t="inlineStr">
        <is>
          <t>តើអ្នកពិតជាចង់លុបចោលបុងដឹកជញ្ជូនមែនទេ?</t>
        </is>
      </c>
      <c r="H44" t="inlineStr">
        <is>
          <t>តើអ្នកពិតជាចង់លុបចោលបុងដឹកជញ្ជូនមែនទេ?</t>
        </is>
      </c>
      <c r="I44" s="217" t="inlineStr">
        <is>
          <t>"debit.remove_bill_request": "តើអ្នកពិតជាចង់លុបចោលបុងដឹកជញ្ជូនមែនទេ?",</t>
        </is>
      </c>
      <c r="N44" s="3" t="inlineStr">
        <is>
          <t>តើ​អ្នក​ប្រាកដ​ជា​ចង់​ដក​វិក្កយបត្រ​ចេញ​ឬ?</t>
        </is>
      </c>
    </row>
    <row r="45" ht="15.75" customHeight="1" s="305">
      <c r="A45" s="3" t="inlineStr">
        <is>
          <t>debit.payment_clear_request</t>
        </is>
      </c>
      <c r="B45" s="3" t="inlineStr">
        <is>
          <t>Bạn có chắc muốn nộp bảng kê ?</t>
        </is>
      </c>
      <c r="C45" s="3" t="inlineStr">
        <is>
          <t>Do you want to payment clear ?</t>
        </is>
      </c>
      <c r="D45" s="3">
        <f>IFERROR(__xludf.DUMMYFUNCTION("GOOGLETRANSLATE(B45,""vi"",""km"")"),"តើអ្នកពិតជាចង់ដាក់ស្នើសេចក្តីថ្លែងការណ៍មែនទេ?")</f>
        <v/>
      </c>
      <c r="E45" s="3" t="inlineStr">
        <is>
          <t>តើអ្នកពិតជាចង់ជូនតារាងមែនទេ?</t>
        </is>
      </c>
      <c r="F45" s="3" t="n"/>
      <c r="G45" s="3" t="inlineStr">
        <is>
          <t>តើអ្នកពិតជាចង់ជូនតារាងមែនទេ?</t>
        </is>
      </c>
      <c r="H45" t="inlineStr">
        <is>
          <t>តើអ្នកពិតជាចង់ជូនតារាងមែនទេ?</t>
        </is>
      </c>
      <c r="I45" s="217" t="inlineStr">
        <is>
          <t>"debit.payment_clear_request": "តើអ្នកពិតជាចង់ជូនតារាងមែនទេ?",</t>
        </is>
      </c>
      <c r="N45" s="3" t="inlineStr">
        <is>
          <t>តើ​អ្នក​ប្រាកដ​ជា​ចង់​ដាក់​ស្នើតារាងបញ្ញើ​ឬទេ?</t>
        </is>
      </c>
    </row>
    <row r="46" ht="15.75" customHeight="1" s="305">
      <c r="A46" s="3" t="inlineStr">
        <is>
          <t>debit.create_clear_request</t>
        </is>
      </c>
      <c r="B46" s="3" t="inlineStr">
        <is>
          <t>Bạn có chắc muốn tạo bảng kê ?</t>
        </is>
      </c>
      <c r="C46" s="3" t="inlineStr">
        <is>
          <t>Do you want to create statement ?</t>
        </is>
      </c>
      <c r="D46" s="3">
        <f>IFERROR(__xludf.DUMMYFUNCTION("GOOGLETRANSLATE(B46,""vi"",""km"")"),"តើអ្នកពិតជាចង់បង្កើតសេចក្តីថ្លែងការណ៍មែនទេ?")</f>
        <v/>
      </c>
      <c r="E46" s="3" t="inlineStr">
        <is>
          <t>តើអ្នកពិតជាចង់បង្កើតតារាងមែនទេ?</t>
        </is>
      </c>
      <c r="F46" s="3" t="n"/>
      <c r="G46" s="3" t="inlineStr">
        <is>
          <t>តើអ្នកពិតជាចង់បង្កើតតារាងមែនទេ?</t>
        </is>
      </c>
      <c r="H46" t="inlineStr">
        <is>
          <t>តើអ្នកពិតជាចង់បង្កើតតារាងមែនទេ?</t>
        </is>
      </c>
      <c r="I46" s="217" t="inlineStr">
        <is>
          <t>"debit.create_clear_request": "តើអ្នកពិតជាចង់បង្កើតតារាងមែនទេ?",</t>
        </is>
      </c>
      <c r="N46" s="3" t="inlineStr">
        <is>
          <t>តើ​អ្នក​ប្រាកដ​ជា​ចង់​បង្កើត​តារាងបញ្ញើឬទេ?</t>
        </is>
      </c>
    </row>
    <row r="47" ht="15.75" customHeight="1" s="305">
      <c r="A47" s="3" t="inlineStr">
        <is>
          <t>debit.add_bill_request</t>
        </is>
      </c>
      <c r="B47" s="3" t="inlineStr">
        <is>
          <t>Bạn có chắc muốn thêm vận đơn ?</t>
        </is>
      </c>
      <c r="C47" s="3" t="inlineStr">
        <is>
          <t>Do you want to add bill selecled ?</t>
        </is>
      </c>
      <c r="D47" s="3">
        <f>IFERROR(__xludf.DUMMYFUNCTION("GOOGLETRANSLATE(B47,""vi"",""km"")"),"តើអ្នកពិតជាចង់បន្ថែមវិក្កយបត្រដឹកជញ្ជូនមែនទេ?")</f>
        <v/>
      </c>
      <c r="E47" s="3" t="inlineStr">
        <is>
          <t>តើអ្នកពិតជាចង់បន្ថែមបុងបញ្ញើមែនទេ?</t>
        </is>
      </c>
      <c r="F47" s="3" t="n"/>
      <c r="G47" s="3" t="inlineStr">
        <is>
          <t>តើអ្នកពិតជាចង់បន្ថែមបុងបញ្ញើមែនទេ?</t>
        </is>
      </c>
      <c r="H47" t="inlineStr">
        <is>
          <t>តើអ្នកពិតជាចង់បន្ថែមបុងបញ្ញើមែនទេ?</t>
        </is>
      </c>
      <c r="I47" s="217" t="inlineStr">
        <is>
          <t>"debit.add_bill_request": "តើអ្នកពិតជាចង់បន្ថែមបុងបញ្ញើមែនទេ?",</t>
        </is>
      </c>
      <c r="N47" s="3" t="inlineStr">
        <is>
          <t>តើ​អ្នក​ប្រាកដ​ជា​ចង់​បន្ថែម​វិក្កយបត្រ?</t>
        </is>
      </c>
    </row>
    <row r="48" ht="15.75" customHeight="1" s="305">
      <c r="A48" s="3" t="inlineStr">
        <is>
          <t>error.installWhatsapp</t>
        </is>
      </c>
      <c r="B48" s="3" t="inlineStr">
        <is>
          <t>Bạn có muốn cài đặt WhatsApp không?</t>
        </is>
      </c>
      <c r="C48" s="3" t="inlineStr">
        <is>
          <t>Do you want to install WhatsApp?</t>
        </is>
      </c>
      <c r="D48" s="3">
        <f>IFERROR(__xludf.DUMMYFUNCTION("GOOGLETRANSLATE(B48,""vi"",""km"")"),"តើអ្នកចង់ដំឡើង WhatsApp ដែរឬទេ?")</f>
        <v/>
      </c>
      <c r="E48" s="3" t="inlineStr">
        <is>
          <t>តើអ្នកចង់ដំឡើងWhatsApp ដែរទេ?</t>
        </is>
      </c>
      <c r="F48" s="3" t="n"/>
      <c r="G48" s="3" t="inlineStr">
        <is>
          <t>តើអ្នកចង់ដំឡើងWhatsApp ដែរទេ?</t>
        </is>
      </c>
      <c r="H48" t="inlineStr">
        <is>
          <t>តើអ្នកចង់ដំឡើងWhatsApp ដែរទេ?</t>
        </is>
      </c>
      <c r="I48" s="217" t="inlineStr">
        <is>
          <t>"error.installWhatsapp": "តើអ្នកចង់ដំឡើងWhatsApp ដែរទេ?",</t>
        </is>
      </c>
      <c r="N48" s="3" t="inlineStr">
        <is>
          <t>តើអ្នកចង់ដំឡើង WhatsApp ទេ?</t>
        </is>
      </c>
    </row>
    <row r="49" ht="15.75" customHeight="1" s="305">
      <c r="A49" s="3" t="inlineStr">
        <is>
          <t>debit.confirm_chot_thu</t>
        </is>
      </c>
      <c r="B49" s="3" t="inlineStr">
        <is>
          <t>Bạn có muốn chốt &lt;b&gt;{{val}}&lt;/b&gt; bảng kê không?</t>
        </is>
      </c>
      <c r="C49" s="143" t="inlineStr">
        <is>
          <t>Are you sure you want to lock the &lt;b&gt;{{val}}&lt;/b&gt; list?</t>
        </is>
      </c>
      <c r="D49" s="3">
        <f>IFERROR(__xludf.DUMMYFUNCTION("GOOGLETRANSLATE(B49,""vi"",""km"")"),"តើអ្នកចង់បញ្ចប់សេចក្តីថ្លែងការណ៍ទេ?")</f>
        <v/>
      </c>
      <c r="E49" s="3" t="inlineStr">
        <is>
          <t>តើអ្នកចង់បិទបញ្ចប់ &lt;b&gt;{{val}}&lt;/b&gt;តារាងទេ?</t>
        </is>
      </c>
      <c r="F49" s="3" t="n"/>
      <c r="G49" s="3" t="inlineStr">
        <is>
          <t>តើអ្នកចង់បិទបញ្ចប់ &lt;b&gt;{{val}}&lt;/b&gt;តារាងទេ?</t>
        </is>
      </c>
      <c r="H49" t="inlineStr">
        <is>
          <t>តើអ្នកចង់បិទបញ្ចប់ &lt;b&gt;{{val}}&lt;/b&gt;តារាងទេ?</t>
        </is>
      </c>
      <c r="I49" s="217" t="inlineStr">
        <is>
          <t>"debit.confirm_chot_thu": "តើអ្នកចង់បិទបញ្ចប់ &lt;b&gt;{{val}}&lt;/b&gt;តារាងទេ?",</t>
        </is>
      </c>
      <c r="N49" s="3" t="inlineStr"/>
    </row>
    <row r="50" ht="15.75" customHeight="1" s="305">
      <c r="A50" s="3" t="inlineStr">
        <is>
          <t>tms.xoaTaiKienConfirm</t>
        </is>
      </c>
      <c r="B50" s="3" t="inlineStr">
        <is>
          <t>Bạn có muốn loại bỏ tải/kiện {{parcelCode}} này ra khỏi lượt bàn giao không?</t>
        </is>
      </c>
      <c r="C50" s="3" t="inlineStr">
        <is>
          <t>Do you want to remove sack/package {{parcelCode}} from this handover?</t>
        </is>
      </c>
      <c r="D50" s="3">
        <f>IFERROR(__xludf.DUMMYFUNCTION("GOOGLETRANSLATE(B50,""vi"",""km"")"),"តើអ្នកចង់លុបបន្ទុក/កញ្ចប់ {{parcelCode}} នេះចេញពីការប្រគល់ដែរឬទេ?")</f>
        <v/>
      </c>
      <c r="E50" s="3" t="inlineStr">
        <is>
          <t>តើអ្នកចង់លុបចោលជើងដឹក/អីវ៉ាន់{{parcelCode}} នេះចេញពីលើកប្រគល់នេះមែនទេ?</t>
        </is>
      </c>
      <c r="F50" s="3" t="n"/>
      <c r="G50" s="3" t="inlineStr">
        <is>
          <t>តើអ្នកចង់លុបចោលកញ្ចប់ទំនិញ/អីវ៉ាន់{{parcelCode}} នេះចេញពីលើកប្រគល់នេះមែនទេ?</t>
        </is>
      </c>
      <c r="H50" t="inlineStr">
        <is>
          <t>តើអ្នកចង់លុបចោលកញ្ចប់ទំនិញ/អីវ៉ាន់{{parcelCode}} នេះចេញពីលើកប្រគល់នេះមែនទេ?</t>
        </is>
      </c>
      <c r="I50" s="217" t="inlineStr">
        <is>
          <t>"tms.xoaTaiKienConfirm": "តើអ្នកចង់លុបចោលកញ្ចប់ទំនិញ/អីវ៉ាន់{{parcelCode}} នេះចេញពីលើកប្រគល់នេះមែនទេ?",</t>
        </is>
      </c>
      <c r="N50" s="3" t="inlineStr"/>
    </row>
    <row r="51" ht="15.75" customHeight="1" s="305">
      <c r="A51" s="3" t="inlineStr">
        <is>
          <t>tms.nhanBanGiaoConfirm</t>
        </is>
      </c>
      <c r="B51" s="3" t="inlineStr">
        <is>
          <t>Bạn có muốn tiếp tục phiên bàn giao trước đó không? Hệ thống sẽ rà soát các tải/kiện đã quét nhưng chưa hoàn thành bàn giao</t>
        </is>
      </c>
      <c r="C51" s="3" t="inlineStr">
        <is>
          <t>Do you want to continue the previous handover session? The system will check the scanned sack/package not yet handed over</t>
        </is>
      </c>
      <c r="D51" s="3">
        <f>IFERROR(__xludf.DUMMYFUNCTION("GOOGLETRANSLATE(B51,""vi"",""km"")"),"តើអ្នកចង់បន្តវគ្គប្រគល់មុនទេ? ប្រព័ន្ធនឹងពិនិត្យមើលបន្ទុក/កញ្ចប់ដែលបានស្កេនដែលមិនទាន់ត្រូវបានប្រគល់ឱ្យពេញលេញនៅឡើយទេ។")</f>
        <v/>
      </c>
      <c r="E51" s="3" t="inlineStr">
        <is>
          <t>អ្នកចង់បន្តការប្រគល់មុននោះទេ? ប្រព័ន្ធនឹងផ្ទៀងផ្ទាត់បណ្តារជើងដឹក/អីវ៉ាន់ ដែលបានស្កេនប៉ុន្តែមិនទាន់បានបញ្ចប់ការប្រគល់</t>
        </is>
      </c>
      <c r="F51" s="3" t="n"/>
      <c r="G51" s="3" t="inlineStr">
        <is>
          <t>អ្នកចង់បន្តការប្រគល់មុននោះទេ? ប្រព័ន្ធនឹងផ្ទៀងផ្ទាត់រាល់កញ្ចប់ទំនិញ/អីវ៉ាន់ ដែលបានស្កេនប៉ុន្តែមិនទាន់បានបញ្ចប់ការប្រគល់</t>
        </is>
      </c>
      <c r="H51" t="inlineStr">
        <is>
          <t>អ្នកចង់បន្តការប្រគល់មុននោះទេ? ប្រព័ន្ធនឹងផ្ទៀងផ្ទាត់រាល់កញ្ចប់ទំនិញ/អីវ៉ាន់ ដែលបានស្កេនប៉ុន្តែមិនទាន់បានបញ្ចប់ការប្រគល់</t>
        </is>
      </c>
      <c r="I51" s="217" t="inlineStr">
        <is>
          <t>"tms.nhanBanGiaoConfirm": "អ្នកចង់បន្តការប្រគល់មុននោះទេ? ប្រព័ន្ធនឹងផ្ទៀងផ្ទាត់រាល់កញ្ចប់ទំនិញ/អីវ៉ាន់ ដែលបានស្កេនប៉ុន្តែមិនទាន់បានបញ្ចប់ការប្រគល់",</t>
        </is>
      </c>
      <c r="N51" s="3" t="inlineStr"/>
    </row>
    <row r="52" ht="15.75" customHeight="1" s="305">
      <c r="A52" s="3" t="inlineStr">
        <is>
          <t>tms.rejectTripMessage</t>
        </is>
      </c>
      <c r="B52" s="3" t="inlineStr">
        <is>
          <t>Bạn có muốn từ chối nhận chuyến xe {{name}} không?</t>
        </is>
      </c>
      <c r="C52" s="3" t="inlineStr">
        <is>
          <t>Do you want to reject trip {{name}}?</t>
        </is>
      </c>
      <c r="D52" s="3">
        <f>IFERROR(__xludf.DUMMYFUNCTION("GOOGLETRANSLATE(B52,""vi"",""km"")"),"តើអ្នកចង់បដិសេធការជិះសម្រាប់ {{name}} ដែរឬទេ?")</f>
        <v/>
      </c>
      <c r="E52" s="3" t="inlineStr">
        <is>
          <t>តើអ្នកចង់បិដិសេដពីការទទួលជើងដឹកនេះ {{name}}ឬទេ?</t>
        </is>
      </c>
      <c r="F52" s="3" t="n"/>
      <c r="G52" s="3" t="inlineStr">
        <is>
          <t>តើអ្នកចង់បិដិសេដពីការទទួលកញ្ចប់ទំនិញនេះ {{name}}ឬទេ?</t>
        </is>
      </c>
      <c r="H52" t="inlineStr">
        <is>
          <t>តើអ្នកចង់បិដិសេដពីការទទួលកញ្ចប់ទំនិញនេះ {{name}}ឬទេ?</t>
        </is>
      </c>
      <c r="I52" s="217" t="inlineStr">
        <is>
          <t>"tms.rejectTripMessage": "តើអ្នកចង់បិដិសេដពីការទទួលកញ្ចប់ទំនិញនេះ {{name}}ឬទេ?",</t>
        </is>
      </c>
      <c r="N52" s="3" t="inlineStr"/>
    </row>
    <row r="53" ht="15.75" customHeight="1" s="305">
      <c r="A53" s="3" t="inlineStr">
        <is>
          <t>banGiao.continueExistingSession</t>
        </is>
      </c>
      <c r="B53" s="3" t="inlineStr">
        <is>
          <t>Bạn có phiên nhập chưa hoàn thành. Bạn có muốn tiếp tục phiên này không?</t>
        </is>
      </c>
      <c r="C53" s="3" t="inlineStr">
        <is>
          <t>You have an incomplete session. Do you want to continue this session?</t>
        </is>
      </c>
      <c r="D53" s="3">
        <f>IFERROR(__xludf.DUMMYFUNCTION("GOOGLETRANSLATE(B53,""vi"",""km"")"),"អ្នកមានវគ្គនាំចូលមិនទាន់ចប់។ តើអ្នកចង់បន្តវគ្គនេះទេ?")</f>
        <v/>
      </c>
      <c r="E53" s="3" t="inlineStr">
        <is>
          <t>អ្នកមានការបញ្ចូលមិនទាន់បានជោគជ័យ។ តើអ្នកចង់បន្តការបញ្ចូលនេះទៀតទេ?</t>
        </is>
      </c>
      <c r="F53" s="3" t="n"/>
      <c r="G53" s="3" t="inlineStr">
        <is>
          <t>អ្នកមានការបញ្ចូលមិនទាន់បានជោគជ័យ។ តើអ្នកចង់បន្តការបញ្ចូលនេះទៀតទេ?</t>
        </is>
      </c>
      <c r="H53" t="inlineStr">
        <is>
          <t>អ្នកមានការបញ្ចូលមិនទាន់បានជោគជ័យ។ តើអ្នកចង់បន្តការបញ្ចូលនេះទៀតទេ?</t>
        </is>
      </c>
      <c r="I53" s="217" t="inlineStr">
        <is>
          <t>"banGiao.continueExistingSession": "អ្នកមានការបញ្ចូលមិនទាន់បានជោគជ័យ។ តើអ្នកចង់បន្តការបញ្ចូលនេះទៀតទេ?",</t>
        </is>
      </c>
      <c r="N53" s="3" t="inlineStr"/>
    </row>
    <row r="54" ht="15.75" customHeight="1" s="305">
      <c r="A54" s="3" t="inlineStr">
        <is>
          <t>home.titleSearch</t>
        </is>
      </c>
      <c r="B54" s="3" t="inlineStr">
        <is>
          <t>Bạn có thể tìm kiếm</t>
        </is>
      </c>
      <c r="C54" s="3" t="inlineStr">
        <is>
          <t>Search</t>
        </is>
      </c>
      <c r="D54" s="3">
        <f>IFERROR(__xludf.DUMMYFUNCTION("GOOGLETRANSLATE(B54,""vi"",""km"")"),"អ្នកអាចស្វែងរក")</f>
        <v/>
      </c>
      <c r="E54" s="3" t="inlineStr">
        <is>
          <t>អ្នកអាចស្វែងរក</t>
        </is>
      </c>
      <c r="F54" s="3" t="n"/>
      <c r="G54" s="3" t="inlineStr">
        <is>
          <t>អ្នកអាចស្វែងរក</t>
        </is>
      </c>
      <c r="H54" t="inlineStr">
        <is>
          <t>អ្នកអាចស្វែងរក</t>
        </is>
      </c>
      <c r="I54" s="217" t="inlineStr">
        <is>
          <t>"home.titleSearch": "អ្នកអាចស្វែងរក",</t>
        </is>
      </c>
      <c r="N54" s="3" t="inlineStr">
        <is>
          <t>អ្នកអាចស្វែងរក</t>
        </is>
      </c>
    </row>
    <row r="55" ht="15.75" customHeight="1" s="305">
      <c r="A55" s="3" t="inlineStr">
        <is>
          <t>taoKien.messageChuyenPhanCongSuccess</t>
        </is>
      </c>
      <c r="B55" s="3" t="inlineStr">
        <is>
          <t>Bạn đã chuyển phân công thành công</t>
        </is>
      </c>
      <c r="C55" s="143" t="inlineStr">
        <is>
          <t>You have successfully forwarded assignments</t>
        </is>
      </c>
      <c r="D55" s="3">
        <f>IFERROR(__xludf.DUMMYFUNCTION("GOOGLETRANSLATE(B55,""vi"",""km"")"),"អ្នកបានផ្ទេរកិច្ចការដោយជោគជ័យហើយ។")</f>
        <v/>
      </c>
      <c r="E55" s="3" t="inlineStr">
        <is>
          <t>អ្នកបានផ្ទេរការបែងចែកការងារបានជោគជ័យ</t>
        </is>
      </c>
      <c r="F55" s="3" t="n"/>
      <c r="G55" s="3" t="inlineStr">
        <is>
          <t>អ្នកបានផ្ទេរការបែងចែកការងារបានជោគជ័យ</t>
        </is>
      </c>
      <c r="H55" t="inlineStr">
        <is>
          <t>អ្នកបានផ្ទេរការបែងចែកការងារបានជោគជ័យ</t>
        </is>
      </c>
      <c r="I55" s="217" t="inlineStr">
        <is>
          <t>"taoKien.messageChuyenPhanCongSuccess": "អ្នកបានផ្ទេរការបែងចែកការងារបានជោគជ័យ",</t>
        </is>
      </c>
      <c r="N55" s="3" t="inlineStr"/>
    </row>
    <row r="56" ht="15.75" customHeight="1" s="305">
      <c r="A56" s="3" t="inlineStr">
        <is>
          <t>setting.changePasswordSuccess</t>
        </is>
      </c>
      <c r="B56" s="3" t="inlineStr">
        <is>
          <t>Bạn đã đổi mật khẩu thành công</t>
        </is>
      </c>
      <c r="C56" s="3" t="inlineStr">
        <is>
          <t>Your password has been changed successfully</t>
        </is>
      </c>
      <c r="D56" s="3">
        <f>IFERROR(__xludf.DUMMYFUNCTION("GOOGLETRANSLATE(B56,""vi"",""km"")"),"អ្នកបានផ្លាស់ប្តូរពាក្យសម្ងាត់របស់អ្នកដោយជោគជ័យ។")</f>
        <v/>
      </c>
      <c r="E56" s="3" t="inlineStr">
        <is>
          <t>អ្នកបានប្តូរលេខសម្ងាត់បានជោគជ័យ</t>
        </is>
      </c>
      <c r="F56" s="3" t="n"/>
      <c r="G56" s="3" t="inlineStr">
        <is>
          <t>អ្នកបានប្តូរពាក្យសម្ងាត់បានជោគជ័យ</t>
        </is>
      </c>
      <c r="H56" t="inlineStr">
        <is>
          <t>អ្នកបានប្តូរពាក្យសម្ងាត់បានជោគជ័យ</t>
        </is>
      </c>
      <c r="I56" s="217" t="inlineStr">
        <is>
          <t>"setting.changePasswordSuccess": "អ្នកបានប្តូរពាក្យសម្ងាត់បានជោគជ័យ",</t>
        </is>
      </c>
      <c r="N56" s="3" t="inlineStr">
        <is>
          <t>You have successfully changed your password</t>
        </is>
      </c>
    </row>
    <row r="57" ht="15.75" customHeight="1" s="305">
      <c r="A57" s="3" t="inlineStr">
        <is>
          <t>khaiThacDen.youHaveSuccessfullyReceivedTheSubmissionSlip</t>
        </is>
      </c>
      <c r="B57" s="3" t="inlineStr">
        <is>
          <t>Bạn đã nhận được phiếu gửi {{countSameLocation}} thành công</t>
        </is>
      </c>
      <c r="C57" s="3" t="inlineStr">
        <is>
          <t xml:space="preserve">Take over the {{countSameLocation}} postal slip successfully. </t>
        </is>
      </c>
      <c r="D57" s="3">
        <f>IFERROR(__xludf.DUMMYFUNCTION("GOOGLETRANSLATE(B57,""vi"",""km"")"),"អ្នកបានទទួលបង្កាន់ដៃដឹកជញ្ជូន {{countSameLocation}} របស់អ្នកដោយជោគជ័យហើយ។")</f>
        <v/>
      </c>
      <c r="E57" s="3" t="inlineStr">
        <is>
          <t>អ្នកបានទទួលបុងបញ្ញើ{{countSameLocation}} បានជោគជ័យ</t>
        </is>
      </c>
      <c r="F57" s="3" t="n"/>
      <c r="G57" s="3" t="inlineStr">
        <is>
          <t>អ្នកបានទទួលបុងបញ្ញើ{{countSameLocation}} បានជោគជ័យ</t>
        </is>
      </c>
      <c r="H57" t="inlineStr">
        <is>
          <t>អ្នកបានទទួលបុងបញ្ញើ{{countSameLocation}} បានជោគជ័យ</t>
        </is>
      </c>
      <c r="I57" s="217" t="inlineStr">
        <is>
          <t>"khaiThacDen.youHaveSuccessfullyReceivedTheSubmissionSlip": "អ្នកបានទទួលបុងបញ្ញើ{{countSameLocation}} បានជោគជ័យ",</t>
        </is>
      </c>
      <c r="N57" s="3" t="inlineStr">
        <is>
          <t>អ្នកបានទទួលដោយជោគជ័យ {{countSameLocation}} បណ្ឌបញ្ញើ</t>
        </is>
      </c>
    </row>
    <row r="58" ht="15.75" customHeight="1" s="305">
      <c r="A58" s="3" t="inlineStr">
        <is>
          <t>debit.confirm_success</t>
        </is>
      </c>
      <c r="B58" s="3" t="inlineStr">
        <is>
          <t>Bạn đã nộp bảng kê thành công</t>
        </is>
      </c>
      <c r="C58" s="3" t="inlineStr">
        <is>
          <t>Collection statement has been submitted successfully</t>
        </is>
      </c>
      <c r="D58" s="3">
        <f>IFERROR(__xludf.DUMMYFUNCTION("GOOGLETRANSLATE(B58,""vi"",""km"")"),"អ្នកបានដាក់ស្នើសេចក្តីថ្លែងការណ៍ដោយជោគជ័យ។")</f>
        <v/>
      </c>
      <c r="E58" s="3" t="inlineStr">
        <is>
          <t>អ្នកបានជូនតារាងបានជោគជ័យ</t>
        </is>
      </c>
      <c r="F58" s="3" t="n"/>
      <c r="G58" s="3" t="inlineStr">
        <is>
          <t>អ្នកបានជូនតារាងបានជោគជ័យ</t>
        </is>
      </c>
      <c r="H58" t="inlineStr">
        <is>
          <t>អ្នកបានជូនតារាងបានជោគជ័យ</t>
        </is>
      </c>
      <c r="I58" s="217" t="inlineStr">
        <is>
          <t>"debit.confirm_success": "អ្នកបានជូនតារាងបានជោគជ័យ",</t>
        </is>
      </c>
      <c r="N58" s="3" t="inlineStr">
        <is>
          <t>អ្នកបានដាក់ស្នើតារាងប្រមូលប្រាក់ដោយជោគជ័យ</t>
        </is>
      </c>
    </row>
    <row r="59" ht="15.75" customHeight="1" s="305">
      <c r="A59" s="3" t="inlineStr">
        <is>
          <t>thongbao.payStatementSuccessOrder</t>
        </is>
      </c>
      <c r="B59" s="3" t="inlineStr">
        <is>
          <t>Bạn đã thanh toán thành công bảng kê {{order}}</t>
        </is>
      </c>
      <c r="C59" s="3" t="inlineStr">
        <is>
          <t>Statement Paid Successfully {{order}}</t>
        </is>
      </c>
      <c r="D59" s="3">
        <f>IFERROR(__xludf.DUMMYFUNCTION("GOOGLETRANSLATE(B59,""vi"",""km"")"),"អ្នកបានបង់ប្រាក់សម្រាប់ការបញ្ជាទិញដោយជោគជ័យហើយ។")</f>
        <v/>
      </c>
      <c r="E59" s="3" t="inlineStr">
        <is>
          <t>អ្នកបានទូទាត់បានជោគជ័យក្នុងតារាង{{order}}</t>
        </is>
      </c>
      <c r="F59" s="3" t="n"/>
      <c r="G59" s="3" t="inlineStr">
        <is>
          <t>អ្នកបានទូទាត់បានជោគជ័យក្នុងតារាង{{order}}</t>
        </is>
      </c>
      <c r="H59" t="inlineStr">
        <is>
          <t>អ្នកបានទូទាត់បានជោគជ័យក្នុងតារាង{{order}}</t>
        </is>
      </c>
      <c r="I59" s="217" t="inlineStr">
        <is>
          <t>"thongbao.payStatementSuccessOrder": "អ្នកបានទូទាត់បានជោគជ័យក្នុងតារាង{{order}}",</t>
        </is>
      </c>
      <c r="N59" s="3" t="inlineStr"/>
    </row>
    <row r="60" ht="15.75" customHeight="1" s="305">
      <c r="A60" s="3" t="inlineStr">
        <is>
          <t>thongbao.paySuccessOrder</t>
        </is>
      </c>
      <c r="B60" s="3" t="inlineStr">
        <is>
          <t>Bạn đã thanh toán thành công đơn hàng {{order}}</t>
        </is>
      </c>
      <c r="C60" s="3" t="inlineStr">
        <is>
          <t>You have successfully paid for order {{order}}</t>
        </is>
      </c>
      <c r="D60" s="3">
        <f>IFERROR(__xludf.DUMMYFUNCTION("GOOGLETRANSLATE(B60,""vi"",""km"")"),"អ្នកបានបង់ប្រាក់សម្រាប់ការបញ្ជាទិញ {{order}} ដោយជោគជ័យ")</f>
        <v/>
      </c>
      <c r="E60" s="3" t="inlineStr">
        <is>
          <t>អ្នកបានទូទាត់កញ្ចប់អីវ៉ាន់បានជោគជ័យ{{order}}</t>
        </is>
      </c>
      <c r="F60" s="3" t="n"/>
      <c r="G60" s="3" t="inlineStr">
        <is>
          <t>អ្នកបានទូទាត់កញ្ចប់អីវ៉ាន់បានជោគជ័យ{{order}}</t>
        </is>
      </c>
      <c r="H60" t="inlineStr">
        <is>
          <t>អ្នកបានទូទាត់កញ្ចប់អីវ៉ាន់បានជោគជ័យ{{order}}</t>
        </is>
      </c>
      <c r="I60" s="217" t="inlineStr">
        <is>
          <t>"thongbao.paySuccessOrder": "អ្នកបានទូទាត់កញ្ចប់អីវ៉ាន់បានជោគជ័យ{{order}}",</t>
        </is>
      </c>
      <c r="N60" s="3" t="inlineStr"/>
    </row>
    <row r="61" ht="15.75" customHeight="1" s="305">
      <c r="A61" s="3" t="inlineStr">
        <is>
          <t>home.bangiao</t>
        </is>
      </c>
      <c r="B61" s="3" t="inlineStr">
        <is>
          <t>Bàn giao</t>
        </is>
      </c>
      <c r="C61" s="3" t="inlineStr">
        <is>
          <t>Handover</t>
        </is>
      </c>
      <c r="D61" s="3">
        <f>IFERROR(__xludf.DUMMYFUNCTION("GOOGLETRANSLATE(B61,""vi"",""km"")"),"ប្រគល់")</f>
        <v/>
      </c>
      <c r="E61" s="3" t="inlineStr">
        <is>
          <t>ប្រគល់</t>
        </is>
      </c>
      <c r="F61" s="3" t="n"/>
      <c r="G61" s="3" t="inlineStr">
        <is>
          <t>ប្រគល់</t>
        </is>
      </c>
      <c r="H61" t="inlineStr">
        <is>
          <t>ប្រគល់</t>
        </is>
      </c>
      <c r="I61" s="217" t="inlineStr">
        <is>
          <t>"home.bangiao": "ប្រគល់",</t>
        </is>
      </c>
      <c r="N61" s="3" t="inlineStr">
        <is>
          <t>ប្រគល់</t>
        </is>
      </c>
    </row>
    <row r="62" ht="15.75" customHeight="1" s="305">
      <c r="A62" s="3" t="inlineStr">
        <is>
          <t>banGiao.title</t>
        </is>
      </c>
      <c r="B62" s="3" t="inlineStr">
        <is>
          <t>Bàn giao</t>
        </is>
      </c>
      <c r="C62" s="3" t="inlineStr">
        <is>
          <t>Handover</t>
        </is>
      </c>
      <c r="D62" s="3">
        <f>IFERROR(__xludf.DUMMYFUNCTION("GOOGLETRANSLATE(B62,""vi"",""km"")"),"ប្រគល់")</f>
        <v/>
      </c>
      <c r="E62" s="3" t="inlineStr">
        <is>
          <t>ប្រគល់</t>
        </is>
      </c>
      <c r="F62" s="3" t="n"/>
      <c r="G62" s="3" t="inlineStr">
        <is>
          <t>ប្រគល់</t>
        </is>
      </c>
      <c r="H62" t="inlineStr">
        <is>
          <t>ប្រគល់</t>
        </is>
      </c>
      <c r="I62" s="217" t="inlineStr">
        <is>
          <t>"banGiao.title": "ប្រគល់",</t>
        </is>
      </c>
      <c r="N62" s="3" t="inlineStr">
        <is>
          <t>ចំណាំ</t>
        </is>
      </c>
    </row>
    <row r="63" ht="15.75" customHeight="1" s="305">
      <c r="A63" s="3" t="inlineStr">
        <is>
          <t>banGiao.titleModalCreateHandover</t>
        </is>
      </c>
      <c r="B63" s="3" t="inlineStr">
        <is>
          <t>Bàn giao hàng hóa</t>
        </is>
      </c>
      <c r="C63" s="3" t="inlineStr">
        <is>
          <t>Handover</t>
        </is>
      </c>
      <c r="D63" s="3">
        <f>IFERROR(__xludf.DUMMYFUNCTION("GOOGLETRANSLATE(B63,""vi"",""km"")"),"ការប្រគល់ទំនិញ")</f>
        <v/>
      </c>
      <c r="E63" s="3" t="inlineStr">
        <is>
          <t>ប្រគល់អីវ៉ាន់</t>
        </is>
      </c>
      <c r="F63" s="3" t="n"/>
      <c r="G63" s="3" t="inlineStr">
        <is>
          <t>ប្រគល់អីវ៉ាន់</t>
        </is>
      </c>
      <c r="H63" t="inlineStr">
        <is>
          <t>ប្រគល់អីវ៉ាន់</t>
        </is>
      </c>
      <c r="I63" s="217" t="inlineStr">
        <is>
          <t>"banGiao.titleModalCreateHandover": "ប្រគល់អីវ៉ាន់",</t>
        </is>
      </c>
      <c r="N63" s="3" t="inlineStr">
        <is>
          <t>ការផ្ញើ</t>
        </is>
      </c>
    </row>
    <row r="64" ht="15.75" customHeight="1" s="305">
      <c r="A64" s="3" t="inlineStr">
        <is>
          <t>taoKien.banGiaoKienHang</t>
        </is>
      </c>
      <c r="B64" s="3" t="inlineStr">
        <is>
          <t>Bàn giao kiện hàng</t>
        </is>
      </c>
      <c r="C64" s="3" t="inlineStr">
        <is>
          <t>Package handover</t>
        </is>
      </c>
      <c r="D64" s="3">
        <f>IFERROR(__xludf.DUMMYFUNCTION("GOOGLETRANSLATE(B64,""vi"",""km"")"),"កំពុងប្រគល់កញ្ចប់")</f>
        <v/>
      </c>
      <c r="E64" s="3" t="inlineStr">
        <is>
          <t>ប្រគល់កញ្ចប់អីវ៉ាន់</t>
        </is>
      </c>
      <c r="F64" s="3" t="n"/>
      <c r="G64" s="3" t="inlineStr">
        <is>
          <t>ប្រគល់កញ្ចប់អីវ៉ាន់</t>
        </is>
      </c>
      <c r="H64" t="inlineStr">
        <is>
          <t>ប្រគល់កញ្ចប់អីវ៉ាន់</t>
        </is>
      </c>
      <c r="I64" s="217" t="inlineStr">
        <is>
          <t>"taoKien.banGiaoKienHang": "ប្រគល់កញ្ចប់អីវ៉ាន់",</t>
        </is>
      </c>
      <c r="N64" s="3" t="inlineStr"/>
    </row>
    <row r="65" ht="15.75" customHeight="1" s="305">
      <c r="A65" s="3" t="inlineStr">
        <is>
          <t>taoKien.messageBanGiaoSuccess</t>
        </is>
      </c>
      <c r="B65" s="3" t="inlineStr">
        <is>
          <t>Bàn giao tải/kiện thành công</t>
        </is>
      </c>
      <c r="C65" s="143" t="inlineStr">
        <is>
          <t>Handover successful!</t>
        </is>
      </c>
      <c r="D65" s="3">
        <f>IFERROR(__xludf.DUMMYFUNCTION("GOOGLETRANSLATE(B65,""vi"",""km"")"),"ការផ្ទុក/ការប្រគល់កញ្ចប់បានជោគជ័យ")</f>
        <v/>
      </c>
      <c r="E65" s="3" t="inlineStr">
        <is>
          <t>ប្រគល់ជើងដឹក/អីវ៉ាន់បានជោគជ័យ</t>
        </is>
      </c>
      <c r="F65" s="3" t="n"/>
      <c r="G65" s="3" t="inlineStr">
        <is>
          <t>ប្រគល់កញ្ចប់ទំនិញ/អីវ៉ាន់បានជោគជ័យ</t>
        </is>
      </c>
      <c r="H65" t="inlineStr">
        <is>
          <t>ប្រគល់កញ្ចប់ទំនិញ/អីវ៉ាន់បានជោគជ័យ</t>
        </is>
      </c>
      <c r="I65" s="217" t="inlineStr">
        <is>
          <t>"taoKien.messageBanGiaoSuccess": "ប្រគល់កញ្ចប់ទំនិញ/អីវ៉ាន់បានជោគជ័យ",</t>
        </is>
      </c>
      <c r="N65" s="3" t="inlineStr"/>
    </row>
    <row r="66" ht="15.75" customHeight="1" s="305">
      <c r="A66" s="3" t="inlineStr">
        <is>
          <t>banGiao.titleUnfinished</t>
        </is>
      </c>
      <c r="B66" s="3" t="inlineStr">
        <is>
          <t>Bản nháp</t>
        </is>
      </c>
      <c r="C66" s="3" t="inlineStr">
        <is>
          <t>Draft</t>
        </is>
      </c>
      <c r="D66" s="3">
        <f>IFERROR(__xludf.DUMMYFUNCTION("GOOGLETRANSLATE(B66,""vi"",""km"")"),"សេចក្តីព្រាង")</f>
        <v/>
      </c>
      <c r="E66" s="3" t="inlineStr">
        <is>
          <t>ក្រដាសព្រៀង</t>
        </is>
      </c>
      <c r="F66" s="3" t="n"/>
      <c r="G66" s="3" t="inlineStr">
        <is>
          <t>ក្រដាសព្រៀង</t>
        </is>
      </c>
      <c r="H66" t="inlineStr">
        <is>
          <t>ក្រដាសព្រៀង</t>
        </is>
      </c>
      <c r="I66" s="217" t="inlineStr">
        <is>
          <t>"banGiao.titleUnfinished": "ក្រដាសព្រៀង",</t>
        </is>
      </c>
      <c r="N66" s="3" t="inlineStr">
        <is>
          <t>សេចក្តីព្រាង</t>
        </is>
      </c>
    </row>
    <row r="67" ht="15.75" customHeight="1" s="305">
      <c r="A67" s="3" t="inlineStr">
        <is>
          <t>banGiao.DRAFT</t>
        </is>
      </c>
      <c r="B67" s="3" t="inlineStr">
        <is>
          <t>Bản nháp</t>
        </is>
      </c>
      <c r="C67" s="3" t="inlineStr">
        <is>
          <t>Draft</t>
        </is>
      </c>
      <c r="D67" s="3">
        <f>IFERROR(__xludf.DUMMYFUNCTION("GOOGLETRANSLATE(B67,""vi"",""km"")"),"សេចក្តីព្រាង")</f>
        <v/>
      </c>
      <c r="E67" s="3" t="inlineStr">
        <is>
          <t>ក្រដាសព្រៀង</t>
        </is>
      </c>
      <c r="F67" s="3" t="n"/>
      <c r="G67" s="3" t="inlineStr">
        <is>
          <t>ក្រដាសព្រៀង</t>
        </is>
      </c>
      <c r="H67" t="inlineStr">
        <is>
          <t>ក្រដាសព្រៀង</t>
        </is>
      </c>
      <c r="I67" s="217" t="inlineStr">
        <is>
          <t>"banGiao.DRAFT": "ក្រដាសព្រៀង",</t>
        </is>
      </c>
      <c r="N67" s="3" t="inlineStr">
        <is>
          <t>សេចក្តីព្រាង</t>
        </is>
      </c>
    </row>
    <row r="68" ht="15.75" customHeight="1" s="305">
      <c r="A68" s="3" t="inlineStr">
        <is>
          <t>debit.bk</t>
        </is>
      </c>
      <c r="B68" s="3" t="inlineStr">
        <is>
          <t>bảng kê</t>
        </is>
      </c>
      <c r="C68" s="3" t="inlineStr">
        <is>
          <t>statement</t>
        </is>
      </c>
      <c r="D68" s="3">
        <f>IFERROR(__xludf.DUMMYFUNCTION("GOOGLETRANSLATE(B68,""vi"",""km"")"),"សេចក្តីថ្លែងការណ៍")</f>
        <v/>
      </c>
      <c r="E68" s="3" t="inlineStr">
        <is>
          <t>តារាង</t>
        </is>
      </c>
      <c r="F68" s="3" t="n"/>
      <c r="G68" s="3" t="inlineStr">
        <is>
          <t>តារាង</t>
        </is>
      </c>
      <c r="H68" t="inlineStr">
        <is>
          <t>តារាង</t>
        </is>
      </c>
      <c r="I68" s="217" t="inlineStr">
        <is>
          <t>"debit.bk": "តារាង",</t>
        </is>
      </c>
      <c r="N68" s="163" t="inlineStr">
        <is>
          <t>សេចក្តីថ្លែងការណ៍</t>
        </is>
      </c>
    </row>
    <row r="69" ht="15.75" customHeight="1" s="305">
      <c r="A69" s="3" t="inlineStr">
        <is>
          <t>banGiao.collection</t>
        </is>
      </c>
      <c r="B69" s="3" t="inlineStr">
        <is>
          <t>Bảng kê</t>
        </is>
      </c>
      <c r="C69" s="143" t="inlineStr">
        <is>
          <t>Statement</t>
        </is>
      </c>
      <c r="D69" s="3">
        <f>IFERROR(__xludf.DUMMYFUNCTION("GOOGLETRANSLATE(B69,""vi"",""km"")"),"សេចក្តីថ្លែងការណ៍")</f>
        <v/>
      </c>
      <c r="E69" s="3" t="inlineStr">
        <is>
          <t>តារាង</t>
        </is>
      </c>
      <c r="F69" s="3" t="n"/>
      <c r="G69" s="3" t="inlineStr">
        <is>
          <t>តារាង</t>
        </is>
      </c>
      <c r="H69" t="inlineStr">
        <is>
          <t>តារាង</t>
        </is>
      </c>
      <c r="I69" s="217" t="inlineStr">
        <is>
          <t>"banGiao.collection": "តារាង",</t>
        </is>
      </c>
      <c r="N69" s="3" t="inlineStr"/>
    </row>
    <row r="70" ht="15.75" customHeight="1" s="305">
      <c r="A70" s="3" t="inlineStr">
        <is>
          <t>debit.debit_created</t>
        </is>
      </c>
      <c r="B70" s="3" t="inlineStr">
        <is>
          <t>Bảng kê đã được tạo:</t>
        </is>
      </c>
      <c r="C70" s="3" t="inlineStr">
        <is>
          <t>Collection statement has been created:</t>
        </is>
      </c>
      <c r="D70" s="3">
        <f>IFERROR(__xludf.DUMMYFUNCTION("GOOGLETRANSLATE(B70,""vi"",""km"")"),"សេចក្តីថ្លែងការណ៍ត្រូវបានបង្កើតឡើង៖")</f>
        <v/>
      </c>
      <c r="E70" s="3" t="inlineStr">
        <is>
          <t>តារាងដែលបានបង្កើត</t>
        </is>
      </c>
      <c r="F70" s="3" t="n"/>
      <c r="G70" s="3" t="inlineStr">
        <is>
          <t>តារាងដែលបានបង្កើត</t>
        </is>
      </c>
      <c r="H70" t="inlineStr">
        <is>
          <t>តារាងដែលបានបង្កើត</t>
        </is>
      </c>
      <c r="I70" s="217" t="inlineStr">
        <is>
          <t>"debit.debit_created": "តារាងដែលបានបង្កើត",</t>
        </is>
      </c>
      <c r="N70" s="3" t="inlineStr">
        <is>
          <t>បានបង្កើតតារាងប្រមូលប្រាក់</t>
        </is>
      </c>
    </row>
    <row r="71" ht="15.75" customHeight="1" s="305">
      <c r="A71" s="3" t="inlineStr">
        <is>
          <t>debit.success_create_clear_cpn_1</t>
        </is>
      </c>
      <c r="B71" s="3" t="inlineStr">
        <is>
          <t>Bảng kê thu cước khách hàng</t>
        </is>
      </c>
      <c r="C71" s="3" t="inlineStr">
        <is>
          <t>Clear customer</t>
        </is>
      </c>
      <c r="D71" s="3">
        <f>IFERROR(__xludf.DUMMYFUNCTION("GOOGLETRANSLATE(B71,""vi"",""km"")"),"របាយការណ៍វិក្កយបត្ររបស់អតិថិជន")</f>
        <v/>
      </c>
      <c r="E71" s="3" t="inlineStr">
        <is>
          <t>តារាងប្រមូលសេវាពីអតិថិជន</t>
        </is>
      </c>
      <c r="F71" s="3" t="n"/>
      <c r="G71" s="3" t="inlineStr">
        <is>
          <t>តារាងប្រមូលសេវាពីអតិថិជន</t>
        </is>
      </c>
      <c r="H71" t="inlineStr">
        <is>
          <t>តារាងប្រមូលសេវាពីអតិថិជន</t>
        </is>
      </c>
      <c r="I71" s="217" t="inlineStr">
        <is>
          <t>"debit.success_create_clear_cpn_1": "តារាងប្រមូលសេវាពីអតិថិជន",</t>
        </is>
      </c>
      <c r="N71" s="3" t="inlineStr">
        <is>
          <t>បញ្ជីប្រមូលថ្លៃសេវាអតិថិជន</t>
        </is>
      </c>
    </row>
    <row r="72" ht="15.75" customHeight="1" s="305">
      <c r="A72" s="3" t="inlineStr">
        <is>
          <t>setting.report</t>
        </is>
      </c>
      <c r="B72" s="3" t="inlineStr">
        <is>
          <t>Báo cáo</t>
        </is>
      </c>
      <c r="C72" s="3" t="inlineStr">
        <is>
          <t>Report</t>
        </is>
      </c>
      <c r="D72" s="3">
        <f>IFERROR(__xludf.DUMMYFUNCTION("GOOGLETRANSLATE(B72,""vi"",""km"")"),"រាយការណ៍")</f>
        <v/>
      </c>
      <c r="E72" s="3" t="inlineStr">
        <is>
          <t>របាយការណ៍</t>
        </is>
      </c>
      <c r="F72" s="3" t="n"/>
      <c r="G72" s="3" t="inlineStr">
        <is>
          <t>របាយការណ៍</t>
        </is>
      </c>
      <c r="H72" t="inlineStr">
        <is>
          <t>របាយការណ៍</t>
        </is>
      </c>
      <c r="I72" s="217" t="inlineStr">
        <is>
          <t>"setting.report": "របាយការណ៍",</t>
        </is>
      </c>
      <c r="N72" s="3" t="inlineStr">
        <is>
          <t>របាយការណ៏</t>
        </is>
      </c>
    </row>
    <row r="73" ht="15.75" customHeight="1" s="305">
      <c r="A73" s="3" t="inlineStr">
        <is>
          <t>taoDon.insuranceAndValuation</t>
        </is>
      </c>
      <c r="B73" s="3" t="inlineStr">
        <is>
          <t>Bảo hiểm và khai giá</t>
        </is>
      </c>
      <c r="C73" s="3" t="inlineStr">
        <is>
          <t>Insurance and valuation</t>
        </is>
      </c>
      <c r="D73" s="3">
        <f>IFERROR(__xludf.DUMMYFUNCTION("GOOGLETRANSLATE(B73,""vi"",""km"")"),"ការធានារ៉ាប់រង និងតម្លៃដែលបានប្រកាស")</f>
        <v/>
      </c>
      <c r="E73" s="3" t="inlineStr">
        <is>
          <t>ធានារ៉ាប់រង និងការប្រកាសតម្លៃ</t>
        </is>
      </c>
      <c r="F73" s="3" t="n"/>
      <c r="G73" s="3" t="inlineStr">
        <is>
          <t>ធានារ៉ាប់រង និងការប្រកាសតម្លៃ</t>
        </is>
      </c>
      <c r="H73" t="inlineStr">
        <is>
          <t>ធានារ៉ាប់រង និងការប្រកាសតម្លៃ</t>
        </is>
      </c>
      <c r="I73" s="217" t="inlineStr">
        <is>
          <t>"taoDon.insuranceAndValuation": "ធានារ៉ាប់រង និងការប្រកាសតម្លៃ",</t>
        </is>
      </c>
      <c r="N73" s="3" t="inlineStr">
        <is>
          <t>ធានា និងវាយតម្លៃ</t>
        </is>
      </c>
    </row>
    <row r="74" ht="15.75" customHeight="1" s="305">
      <c r="A74" s="3" t="inlineStr">
        <is>
          <t>taoDon.insuranceAndValuationService</t>
        </is>
      </c>
      <c r="B74" s="3" t="inlineStr">
        <is>
          <t>Bảo hiểm và khai giá</t>
        </is>
      </c>
      <c r="C74" s="3" t="inlineStr">
        <is>
          <t>Insurance and valuation</t>
        </is>
      </c>
      <c r="D74" s="3">
        <f>IFERROR(__xludf.DUMMYFUNCTION("GOOGLETRANSLATE(B74,""vi"",""km"")"),"ការធានារ៉ាប់រង និងតម្លៃដែលបានប្រកាស")</f>
        <v/>
      </c>
      <c r="E74" s="3" t="inlineStr">
        <is>
          <t>ធានារ៉ាប់រង និងការប្រកាសតម្លៃ</t>
        </is>
      </c>
      <c r="F74" s="3" t="n"/>
      <c r="G74" s="3" t="inlineStr">
        <is>
          <t>ធានារ៉ាប់រង និងការប្រកាសតម្លៃ</t>
        </is>
      </c>
      <c r="H74" t="inlineStr">
        <is>
          <t>ធានារ៉ាប់រង និងការប្រកាសតម្លៃ</t>
        </is>
      </c>
      <c r="I74" s="217" t="inlineStr">
        <is>
          <t>"taoDon.insuranceAndValuationService": "ធានារ៉ាប់រង និងការប្រកាសតម្លៃ",</t>
        </is>
      </c>
      <c r="N74" s="3" t="inlineStr">
        <is>
          <t>ធានា និងវាយតម្លៃ</t>
        </is>
      </c>
    </row>
    <row r="75" ht="15.75" customHeight="1" s="305">
      <c r="A75" s="3" t="inlineStr">
        <is>
          <t>setting.accountSecurity</t>
        </is>
      </c>
      <c r="B75" s="3" t="inlineStr">
        <is>
          <t>Bảo mật</t>
        </is>
      </c>
      <c r="C75" s="3" t="inlineStr">
        <is>
          <t>Security</t>
        </is>
      </c>
      <c r="D75" s="3">
        <f>IFERROR(__xludf.DUMMYFUNCTION("GOOGLETRANSLATE(B75,""vi"",""km"")"),"សន្តិសុខ")</f>
        <v/>
      </c>
      <c r="E75" s="3" t="inlineStr">
        <is>
          <t>ពាក្យសម្ងាត់</t>
        </is>
      </c>
      <c r="F75" s="3" t="n"/>
      <c r="G75" s="3" t="inlineStr">
        <is>
          <t>ពាក្យសម្ងាត់</t>
        </is>
      </c>
      <c r="H75" t="inlineStr">
        <is>
          <t>ពាក្យសម្ងាត់</t>
        </is>
      </c>
      <c r="I75" s="217" t="inlineStr">
        <is>
          <t>"setting.accountSecurity": "ពាក្យសម្ងាត់",</t>
        </is>
      </c>
      <c r="N75" s="3" t="inlineStr">
        <is>
          <t>Account security</t>
        </is>
      </c>
    </row>
    <row r="76" ht="15.75" customHeight="1" s="305">
      <c r="A76" s="3" t="inlineStr">
        <is>
          <t>setting.titleSecurity</t>
        </is>
      </c>
      <c r="B76" s="3" t="inlineStr">
        <is>
          <t>Bảo mật</t>
        </is>
      </c>
      <c r="C76" s="3" t="inlineStr">
        <is>
          <t>Security</t>
        </is>
      </c>
      <c r="D76" s="3">
        <f>IFERROR(__xludf.DUMMYFUNCTION("GOOGLETRANSLATE(B76,""vi"",""km"")"),"សន្តិសុខ")</f>
        <v/>
      </c>
      <c r="E76" s="3" t="inlineStr">
        <is>
          <t>ពាក្យសម្ងាត់</t>
        </is>
      </c>
      <c r="F76" s="3" t="n"/>
      <c r="G76" s="3" t="inlineStr">
        <is>
          <t>ពាក្យសម្ងាត់</t>
        </is>
      </c>
      <c r="H76" t="inlineStr">
        <is>
          <t>ពាក្យសម្ងាត់</t>
        </is>
      </c>
      <c r="I76" s="217" t="inlineStr">
        <is>
          <t>"setting.titleSecurity": "ពាក្យសម្ងាត់",</t>
        </is>
      </c>
      <c r="N76" s="3" t="inlineStr">
        <is>
          <t>Security</t>
        </is>
      </c>
    </row>
    <row r="77" ht="15.75" customHeight="1" s="305">
      <c r="A77" s="3" t="inlineStr">
        <is>
          <t>khaiThacDen.report</t>
        </is>
      </c>
      <c r="B77" s="3" t="inlineStr">
        <is>
          <t>Báo thiếu</t>
        </is>
      </c>
      <c r="C77" s="3" t="inlineStr">
        <is>
          <t>Report missing</t>
        </is>
      </c>
      <c r="D77" s="3">
        <f>IFERROR(__xludf.DUMMYFUNCTION("GOOGLETRANSLATE(B77,""vi"",""km"")"),"របាយការណ៍បាត់")</f>
        <v/>
      </c>
      <c r="E77" s="159" t="inlineStr">
        <is>
          <t>ខ្វះ</t>
        </is>
      </c>
      <c r="F77" s="3" t="inlineStr">
        <is>
          <t>x</t>
        </is>
      </c>
      <c r="G77" s="3" t="inlineStr">
        <is>
          <t>ខ្វះ</t>
        </is>
      </c>
      <c r="H77" t="inlineStr">
        <is>
          <t>ខ្វះ</t>
        </is>
      </c>
      <c r="I77" s="217" t="inlineStr">
        <is>
          <t>"khaiThacDen.report": "ខ្វះ",</t>
        </is>
      </c>
      <c r="N77" s="3" t="inlineStr">
        <is>
          <t>របាយការណ៍ខ្វះ</t>
        </is>
      </c>
    </row>
    <row r="78" ht="15.75" customHeight="1" s="305">
      <c r="A78" s="3" t="inlineStr">
        <is>
          <t>khaiThacDen.reportSuccess</t>
        </is>
      </c>
      <c r="B78" s="3" t="inlineStr">
        <is>
          <t>Báo thiếu thành công</t>
        </is>
      </c>
      <c r="C78" s="3" t="inlineStr">
        <is>
          <t>Report missing successfully</t>
        </is>
      </c>
      <c r="D78" s="3">
        <f>IFERROR(__xludf.DUMMYFUNCTION("GOOGLETRANSLATE(B78,""vi"",""km"")"),"របាយការណ៍នោះមិនបានជោគជ័យទេ។")</f>
        <v/>
      </c>
      <c r="E78" s="159" t="inlineStr">
        <is>
          <t>ខ្វះអីវ៉ាន់បានជោគជ័យ</t>
        </is>
      </c>
      <c r="F78" s="3" t="inlineStr">
        <is>
          <t>x</t>
        </is>
      </c>
      <c r="G78" s="3" t="inlineStr">
        <is>
          <t>ខ្វះអីវ៉ាន់បានជោគជ័យ</t>
        </is>
      </c>
      <c r="H78" t="inlineStr">
        <is>
          <t>ខ្វះអីវ៉ាន់បានជោគជ័យ</t>
        </is>
      </c>
      <c r="I78" s="217" t="inlineStr">
        <is>
          <t>"khaiThacDen.reportSuccess": "ខ្វះអីវ៉ាន់បានជោគជ័យ",</t>
        </is>
      </c>
      <c r="N78" s="3" t="inlineStr">
        <is>
          <t>រាយការណ៍ខ្វះដោយជោគជ័យ</t>
        </is>
      </c>
    </row>
    <row r="79" ht="15.75" customHeight="1" s="305">
      <c r="A79" s="3" t="inlineStr">
        <is>
          <t>khaiThacDen.successfullyReportedMissingSentTickets</t>
        </is>
      </c>
      <c r="B79" s="3" t="inlineStr">
        <is>
          <t>Báo thiếu thành công phiếu gửi</t>
        </is>
      </c>
      <c r="C79" s="3" t="inlineStr">
        <is>
          <t>Report missing postal slip successfully</t>
        </is>
      </c>
      <c r="D79" s="3">
        <f>IFERROR(__xludf.DUMMYFUNCTION("GOOGLETRANSLATE(B79,""vi"",""km"")"),"របាយការណ៍​អំពី​ការ​ផ្ញើ​សំបុត្រ​មិន​បាន​សម្រេច")</f>
        <v/>
      </c>
      <c r="E79" s="3" t="inlineStr">
        <is>
          <t>របាយការណ៍ខ្វះបុងបញ្ញើបានជោគជ័យ</t>
        </is>
      </c>
      <c r="F79" s="3" t="n"/>
      <c r="G79" s="3" t="inlineStr">
        <is>
          <t>របាយការណ៍ខ្វះបុងបញ្ញើបានជោគជ័យ</t>
        </is>
      </c>
      <c r="H79" t="inlineStr">
        <is>
          <t>របាយការណ៍ខ្វះបុងបញ្ញើបានជោគជ័យ</t>
        </is>
      </c>
      <c r="I79" s="217" t="inlineStr">
        <is>
          <t>"khaiThacDen.successfullyReportedMissingSentTickets": "របាយការណ៍ខ្វះបុងបញ្ញើបានជោគជ័យ",</t>
        </is>
      </c>
      <c r="N79" s="3" t="inlineStr">
        <is>
          <t>បានជូនដំណឹងដោយជោគជ័យនៃការខ្វះបណ្ឌបញ្ញើ</t>
        </is>
      </c>
    </row>
    <row r="80" ht="15.75" customHeight="1" s="305">
      <c r="A80" s="3" t="inlineStr">
        <is>
          <t>khaiThacDen.reportFail</t>
        </is>
      </c>
      <c r="B80" s="3" t="inlineStr">
        <is>
          <t>Báo thiếu thất bại</t>
        </is>
      </c>
      <c r="C80" s="3" t="inlineStr">
        <is>
          <t>Fail to report missing</t>
        </is>
      </c>
      <c r="D80" s="3">
        <f>IFERROR(__xludf.DUMMYFUNCTION("GOOGLETRANSLATE(B80,""vi"",""km"")"),"រាយការណ៍ពីការបរាជ័យ។")</f>
        <v/>
      </c>
      <c r="E80" s="3" t="inlineStr">
        <is>
          <t>របាយការណ៍ខ្វះបុងបញ្ញើបរាជ័យ</t>
        </is>
      </c>
      <c r="F80" s="3" t="n"/>
      <c r="G80" s="3" t="inlineStr">
        <is>
          <t>របាយការណ៍ខ្វះបុងបញ្ញើបរាជ័យ</t>
        </is>
      </c>
      <c r="H80" t="inlineStr">
        <is>
          <t>របាយការណ៍ខ្វះបុងបញ្ញើបរាជ័យ</t>
        </is>
      </c>
      <c r="I80" s="217" t="inlineStr">
        <is>
          <t>"khaiThacDen.reportFail": "របាយការណ៍ខ្វះបុងបញ្ញើបរាជ័យ",</t>
        </is>
      </c>
      <c r="N80" s="3" t="inlineStr">
        <is>
          <t>រាយការណ៍ខ្វះដោយបរាជ័យ</t>
        </is>
      </c>
    </row>
    <row r="81" ht="15.75" customHeight="1" s="305">
      <c r="A81" s="3" t="inlineStr">
        <is>
          <t>tms.batDauLoTrinh</t>
        </is>
      </c>
      <c r="B81" s="3" t="inlineStr">
        <is>
          <t>Bắt đầu lộ trình</t>
        </is>
      </c>
      <c r="C81" s="3" t="inlineStr">
        <is>
          <t>Start route</t>
        </is>
      </c>
      <c r="D81" s="3">
        <f>IFERROR(__xludf.DUMMYFUNCTION("GOOGLETRANSLATE(B81,""vi"",""km"")"),"ចាប់ផ្តើមដំណើរ")</f>
        <v/>
      </c>
      <c r="E81" s="3" t="inlineStr">
        <is>
          <t>ចាប់ផ្តើមចេញដំណើរការ</t>
        </is>
      </c>
      <c r="F81" s="3" t="n"/>
      <c r="G81" s="3" t="inlineStr">
        <is>
          <t>ចាប់ផ្តើមចេញដំណើរការ</t>
        </is>
      </c>
      <c r="H81" t="inlineStr">
        <is>
          <t>ចាប់ផ្តើមចេញដំណើរការ</t>
        </is>
      </c>
      <c r="I81" s="217" t="inlineStr">
        <is>
          <t>"tms.batDauLoTrinh": "ចាប់ផ្តើមចេញដំណើរការ",</t>
        </is>
      </c>
      <c r="N81" s="3" t="inlineStr"/>
    </row>
    <row r="82" ht="15.75" customHeight="1" s="305">
      <c r="A82" s="3" t="inlineStr">
        <is>
          <t>khaiThacDen.toAddress</t>
        </is>
      </c>
      <c r="B82" s="3" t="inlineStr">
        <is>
          <t>BC đến:</t>
        </is>
      </c>
      <c r="C82" s="3" t="inlineStr">
        <is>
          <t>Receiving P/O:</t>
        </is>
      </c>
      <c r="D82" s="3">
        <f>IFERROR(__xludf.DUMMYFUNCTION("GOOGLETRANSLATE(B82,""vi"",""km"")"),"BC មកដល់៖")</f>
        <v/>
      </c>
      <c r="E82" s="3" t="inlineStr">
        <is>
          <t>របាយការណ៍មកដល់</t>
        </is>
      </c>
      <c r="F82" s="3" t="n"/>
      <c r="G82" s="3" t="inlineStr">
        <is>
          <t>របាយការណ៍មកដល់</t>
        </is>
      </c>
      <c r="H82" t="inlineStr">
        <is>
          <t>របាយការណ៍មកដល់</t>
        </is>
      </c>
      <c r="I82" s="217" t="inlineStr">
        <is>
          <t>"khaiThacDen.toAddress": "របាយការណ៍មកដល់",</t>
        </is>
      </c>
      <c r="N82" s="3" t="inlineStr">
        <is>
          <t>អាស័យដ្ឋានដល់:</t>
        </is>
      </c>
    </row>
    <row r="83" ht="15.75" customHeight="1" s="305">
      <c r="A83" s="3" t="inlineStr">
        <is>
          <t>khaiThacDen.fromAddress</t>
        </is>
      </c>
      <c r="B83" s="3" t="inlineStr">
        <is>
          <t>BC đi:</t>
        </is>
      </c>
      <c r="C83" s="3" t="inlineStr">
        <is>
          <t>From P/O:</t>
        </is>
      </c>
      <c r="D83" s="3">
        <f>IFERROR(__xludf.DUMMYFUNCTION("GOOGLETRANSLATE(B83,""vi"",""km"")"),"BC និយាយថា៖")</f>
        <v/>
      </c>
      <c r="E83" s="3" t="inlineStr">
        <is>
          <t>របាយការណ៍ចេញទៅ</t>
        </is>
      </c>
      <c r="F83" s="3" t="n"/>
      <c r="G83" s="3" t="inlineStr">
        <is>
          <t>របាយការណ៍ចេញទៅ</t>
        </is>
      </c>
      <c r="H83" t="inlineStr">
        <is>
          <t>របាយការណ៍ចេញទៅ</t>
        </is>
      </c>
      <c r="I83" s="217" t="inlineStr">
        <is>
          <t>"khaiThacDen.fromAddress": "របាយការណ៍ចេញទៅ",</t>
        </is>
      </c>
      <c r="N83" s="3" t="inlineStr">
        <is>
          <t>អាស័យដ្ឋានផ្ញើ:</t>
        </is>
      </c>
    </row>
    <row r="84" ht="15.75" customHeight="1" s="305">
      <c r="A84" s="3" t="inlineStr">
        <is>
          <t>khaiThacDen.toAddressClosed</t>
        </is>
      </c>
      <c r="B84" s="3" t="inlineStr">
        <is>
          <t>BC đóng đến:</t>
        </is>
      </c>
      <c r="C84" s="3" t="inlineStr">
        <is>
          <t>Completed sack to P/O:</t>
        </is>
      </c>
      <c r="D84" s="3">
        <f>IFERROR(__xludf.DUMMYFUNCTION("GOOGLETRANSLATE(B84,""vi"",""km"")"),"BC បិទទៅ៖")</f>
        <v/>
      </c>
      <c r="E84" s="3" t="inlineStr">
        <is>
          <t>របាយការណ៍ដល់ថ្ងៃបិទ</t>
        </is>
      </c>
      <c r="F84" s="3" t="n"/>
      <c r="G84" s="3" t="inlineStr">
        <is>
          <t>របាយការណ៍ដល់ថ្ងៃបិទ</t>
        </is>
      </c>
      <c r="H84" t="inlineStr">
        <is>
          <t>របាយការណ៍ដល់ថ្ងៃបិទ</t>
        </is>
      </c>
      <c r="I84" s="217" t="inlineStr">
        <is>
          <t>"khaiThacDen.toAddressClosed": "របាយការណ៍ដល់ថ្ងៃបិទ",</t>
        </is>
      </c>
      <c r="N84" s="3" t="inlineStr">
        <is>
          <t>អាស័យដ្ឋានបិទដល់:</t>
        </is>
      </c>
    </row>
    <row r="85" ht="15.75" customHeight="1" s="305">
      <c r="A85" s="3" t="inlineStr">
        <is>
          <t>khaiThacDen.fromAddressPostal</t>
        </is>
      </c>
      <c r="B85" s="3" t="inlineStr">
        <is>
          <t>BC gốc:</t>
        </is>
      </c>
      <c r="C85" s="3" t="inlineStr">
        <is>
          <t>Original P/O:</t>
        </is>
      </c>
      <c r="D85" s="3">
        <f>IFERROR(__xludf.DUMMYFUNCTION("GOOGLETRANSLATE(B85,""vi"",""km"")"),"មុនគ.ស. ដើម៖")</f>
        <v/>
      </c>
      <c r="E85" s="3" t="inlineStr">
        <is>
          <t>របាយការណ៍ដើម</t>
        </is>
      </c>
      <c r="F85" s="3" t="n"/>
      <c r="G85" s="3" t="inlineStr">
        <is>
          <t>របាយការណ៍ដើម</t>
        </is>
      </c>
      <c r="H85" t="inlineStr">
        <is>
          <t>របាយការណ៍ដើម</t>
        </is>
      </c>
      <c r="I85" s="217" t="inlineStr">
        <is>
          <t>"khaiThacDen.fromAddressPostal": "របាយការណ៍ដើម",</t>
        </is>
      </c>
      <c r="N85" s="3" t="inlineStr">
        <is>
          <t>អាស័យដ្ឋានដើម:</t>
        </is>
      </c>
    </row>
    <row r="86" ht="15.75" customHeight="1" s="305">
      <c r="A86" s="3" t="inlineStr">
        <is>
          <t>taoKien.bcGui</t>
        </is>
      </c>
      <c r="B86" s="3" t="inlineStr">
        <is>
          <t>BC gửi</t>
        </is>
      </c>
      <c r="C86" s="3" t="inlineStr">
        <is>
          <t>Original post office</t>
        </is>
      </c>
      <c r="D86" s="3">
        <f>IFERROR(__xludf.DUMMYFUNCTION("GOOGLETRANSLATE(B86,""vi"",""km"")"),"បានផ្ញើ BC")</f>
        <v/>
      </c>
      <c r="E86" s="3" t="inlineStr">
        <is>
          <t>របាយការណ៍ផ្ញើទៅ</t>
        </is>
      </c>
      <c r="F86" s="3" t="n"/>
      <c r="G86" s="3" t="inlineStr">
        <is>
          <t>របាយការណ៍ផ្ញើទៅ</t>
        </is>
      </c>
      <c r="H86" t="inlineStr">
        <is>
          <t>របាយការណ៍ផ្ញើទៅ</t>
        </is>
      </c>
      <c r="I86" s="217" t="inlineStr">
        <is>
          <t>"taoKien.bcGui": "របាយការណ៍ផ្ញើទៅ",</t>
        </is>
      </c>
      <c r="N86" s="3" t="inlineStr"/>
    </row>
    <row r="87" ht="15.75" customHeight="1" s="305">
      <c r="A87" s="3" t="inlineStr">
        <is>
          <t>taoKien.bcPhat</t>
        </is>
      </c>
      <c r="B87" s="3" t="inlineStr">
        <is>
          <t>BC phát</t>
        </is>
      </c>
      <c r="C87" s="3" t="inlineStr">
        <is>
          <t>Delivery post office</t>
        </is>
      </c>
      <c r="D87" s="3">
        <f>IFERROR(__xludf.DUMMYFUNCTION("GOOGLETRANSLATE(B87,""vi"",""km"")"),"ការផ្សាយមុនគ.ស.")</f>
        <v/>
      </c>
      <c r="E87" s="3" t="inlineStr">
        <is>
          <t>របាយការណ៍ប្រគល់</t>
        </is>
      </c>
      <c r="F87" s="3" t="n"/>
      <c r="G87" s="3" t="inlineStr">
        <is>
          <t>របាយការណ៍ប្រគល់</t>
        </is>
      </c>
      <c r="H87" t="inlineStr">
        <is>
          <t>របាយការណ៍ប្រគល់</t>
        </is>
      </c>
      <c r="I87" s="217" t="inlineStr">
        <is>
          <t>"taoKien.bcPhat": "របាយការណ៍ប្រគល់",</t>
        </is>
      </c>
      <c r="N87" s="3" t="inlineStr"/>
    </row>
    <row r="88" ht="15.75" customHeight="1" s="305">
      <c r="A88" s="3" t="inlineStr">
        <is>
          <t>khaiThacDen.toAddressPostal</t>
        </is>
      </c>
      <c r="B88" s="3" t="inlineStr">
        <is>
          <t>BC phát:</t>
        </is>
      </c>
      <c r="C88" s="3" t="inlineStr">
        <is>
          <t>Delivery P/O:</t>
        </is>
      </c>
      <c r="D88" s="3">
        <f>IFERROR(__xludf.DUMMYFUNCTION("GOOGLETRANSLATE(B88,""vi"",""km"")"),"ការផ្សាយរបស់ BC៖")</f>
        <v/>
      </c>
      <c r="E88" s="3" t="inlineStr">
        <is>
          <t>របាយការណ៍ប្រគល់៖</t>
        </is>
      </c>
      <c r="F88" s="3" t="n"/>
      <c r="G88" s="3" t="inlineStr">
        <is>
          <t>របាយការណ៍ប្រគល់៖</t>
        </is>
      </c>
      <c r="H88" t="inlineStr">
        <is>
          <t>របាយការណ៍ប្រគល់៖</t>
        </is>
      </c>
      <c r="I88" s="217" t="inlineStr">
        <is>
          <t>"khaiThacDen.toAddressPostal": "របាយការណ៍ប្រគល់៖",</t>
        </is>
      </c>
      <c r="N88" s="3" t="inlineStr">
        <is>
          <t>អាស័យដ្ឋានប្រគល់:</t>
        </is>
      </c>
    </row>
    <row r="89" ht="15.75" customHeight="1" s="305">
      <c r="A89" s="3" t="inlineStr">
        <is>
          <t>banGiao.LOST</t>
        </is>
      </c>
      <c r="B89" s="3" t="inlineStr">
        <is>
          <t>Bị thất bại</t>
        </is>
      </c>
      <c r="C89" s="3" t="inlineStr">
        <is>
          <t>Failed</t>
        </is>
      </c>
      <c r="D89" s="3">
        <f>IFERROR(__xludf.DUMMYFUNCTION("GOOGLETRANSLATE(B89,""vi"",""km"")"),"បរាជ័យ")</f>
        <v/>
      </c>
      <c r="E89" s="3" t="inlineStr">
        <is>
          <t>បរាជ័យ</t>
        </is>
      </c>
      <c r="F89" s="3" t="n"/>
      <c r="G89" s="3" t="inlineStr">
        <is>
          <t>បរាជ័យ</t>
        </is>
      </c>
      <c r="H89" t="inlineStr">
        <is>
          <t>បរាជ័យ</t>
        </is>
      </c>
      <c r="I89" s="217" t="inlineStr">
        <is>
          <t>"banGiao.LOST": "បរាជ័យ",</t>
        </is>
      </c>
      <c r="N89" s="3" t="inlineStr">
        <is>
          <t>បរាជ័យ</t>
        </is>
      </c>
    </row>
    <row r="90" ht="15.75" customHeight="1" s="305">
      <c r="A90" s="3" t="inlineStr">
        <is>
          <t>banGiao.bienSoXe</t>
        </is>
      </c>
      <c r="B90" s="3" t="inlineStr">
        <is>
          <t>Biển số xe</t>
        </is>
      </c>
      <c r="C90" s="3" t="inlineStr">
        <is>
          <t>Vehicle plate number</t>
        </is>
      </c>
      <c r="D90" s="3">
        <f>IFERROR(__xludf.DUMMYFUNCTION("GOOGLETRANSLATE(B90,""vi"",""km"")"),"ផ្លាកលេខយានយន្ត")</f>
        <v/>
      </c>
      <c r="E90" s="3" t="inlineStr">
        <is>
          <t>ផ្លាកលេខយានយន្ត</t>
        </is>
      </c>
      <c r="F90" s="3" t="n"/>
      <c r="G90" s="3" t="inlineStr">
        <is>
          <t>ស្លាកលេខរថយន្ត</t>
        </is>
      </c>
      <c r="H90" t="inlineStr">
        <is>
          <t>ស្លាកលេខរថយន្ត</t>
        </is>
      </c>
      <c r="I90" s="217" t="inlineStr">
        <is>
          <t>"banGiao.bienSoXe": "ស្លាកលេខរថយន្ត",</t>
        </is>
      </c>
      <c r="N90" s="3" t="inlineStr"/>
    </row>
    <row r="91" ht="15.75" customHeight="1" s="305">
      <c r="A91" s="3" t="inlineStr">
        <is>
          <t>tms.bienSoXe</t>
        </is>
      </c>
      <c r="B91" s="3" t="inlineStr">
        <is>
          <t>Biển số xe</t>
        </is>
      </c>
      <c r="C91" s="3" t="inlineStr">
        <is>
          <t>License plate</t>
        </is>
      </c>
      <c r="D91" s="3">
        <f>IFERROR(__xludf.DUMMYFUNCTION("GOOGLETRANSLATE(B91,""vi"",""km"")"),"ផ្លាកលេខយានយន្ត")</f>
        <v/>
      </c>
      <c r="E91" s="3" t="inlineStr">
        <is>
          <t>ផ្លាកលេខយានយន្ត</t>
        </is>
      </c>
      <c r="F91" s="3" t="n"/>
      <c r="G91" s="3" t="inlineStr">
        <is>
          <t>ស្លាកលេខរថយន្ត</t>
        </is>
      </c>
      <c r="H91" t="inlineStr">
        <is>
          <t>ស្លាកលេខរថយន្ត</t>
        </is>
      </c>
      <c r="I91" s="217" t="inlineStr">
        <is>
          <t>"tms.bienSoXe": "ស្លាកលេខរថយន្ត",</t>
        </is>
      </c>
      <c r="N91" s="3" t="inlineStr"/>
    </row>
    <row r="92" ht="15.75" customHeight="1" s="305">
      <c r="A92" s="3" t="inlineStr">
        <is>
          <t>PhanCong.toastExistBill</t>
        </is>
      </c>
      <c r="B92" s="3" t="inlineStr">
        <is>
          <t>Bill đã tồn tại trong danh sách</t>
        </is>
      </c>
      <c r="C92" s="3" t="inlineStr">
        <is>
          <t>This bill has already been added</t>
        </is>
      </c>
      <c r="D92" s="3">
        <f>IFERROR(__xludf.DUMMYFUNCTION("GOOGLETRANSLATE(B92,""vi"",""km"")"),"ប៊ីល​មាន​ឈ្មោះ​ក្នុង​បញ្ជី​រួច​ហើយ។")</f>
        <v/>
      </c>
      <c r="E92" s="3" t="inlineStr">
        <is>
          <t>បុងបញ្ញើដែលបានមានក្នុងបញ្ជី</t>
        </is>
      </c>
      <c r="F92" s="3" t="n"/>
      <c r="G92" s="3" t="inlineStr">
        <is>
          <t>បុងបញ្ញើដែលបានមានក្នុងបញ្ជី</t>
        </is>
      </c>
      <c r="H92" t="inlineStr">
        <is>
          <t>បុងបញ្ញើដែលបានមានក្នុងបញ្ជី</t>
        </is>
      </c>
      <c r="I92" s="217" t="inlineStr">
        <is>
          <t>"PhanCong.toastExistBill": "បុងបញ្ញើដែលបានមានក្នុងបញ្ជី",</t>
        </is>
      </c>
      <c r="N92" s="3" t="inlineStr">
        <is>
          <t>លេខបញ្ជីនេះមានរួចហើយក្នុងបញ្ជី</t>
        </is>
      </c>
    </row>
    <row r="93" ht="15.75" customHeight="1" s="305">
      <c r="A93" s="3" t="inlineStr">
        <is>
          <t>taoDon.clearSelect</t>
        </is>
      </c>
      <c r="B93" s="3" t="inlineStr">
        <is>
          <t>Bỏ chọn</t>
        </is>
      </c>
      <c r="C93" s="3" t="inlineStr">
        <is>
          <t>Clear select</t>
        </is>
      </c>
      <c r="D93" s="3">
        <f>IFERROR(__xludf.DUMMYFUNCTION("GOOGLETRANSLATE(B93,""vi"",""km"")"),"ដោះ​ការ​ជ្រើសរើស")</f>
        <v/>
      </c>
      <c r="E93" s="3" t="inlineStr">
        <is>
          <t>លុបការជ្រើសរើស</t>
        </is>
      </c>
      <c r="F93" s="3" t="n"/>
      <c r="G93" s="3" t="inlineStr">
        <is>
          <t>លុបការជ្រើសរើស</t>
        </is>
      </c>
      <c r="H93" t="inlineStr">
        <is>
          <t>លុបការជ្រើសរើស</t>
        </is>
      </c>
      <c r="I93" s="217" t="inlineStr">
        <is>
          <t>"taoDon.clearSelect": "លុបការជ្រើសរើស",</t>
        </is>
      </c>
      <c r="N93" s="3" t="inlineStr">
        <is>
          <t>លុបជ្រើសរើស</t>
        </is>
      </c>
    </row>
    <row r="94" ht="15.75" customHeight="1" s="305">
      <c r="A94" s="3" t="inlineStr">
        <is>
          <t>nhanLai.filter</t>
        </is>
      </c>
      <c r="B94" s="3" t="inlineStr">
        <is>
          <t>Bộ lọc</t>
        </is>
      </c>
      <c r="C94" s="3" t="inlineStr">
        <is>
          <t>Filter</t>
        </is>
      </c>
      <c r="D94" s="3">
        <f>IFERROR(__xludf.DUMMYFUNCTION("GOOGLETRANSLATE(B94,""vi"",""km"")"),"តម្រង")</f>
        <v/>
      </c>
      <c r="E94" s="3" t="inlineStr">
        <is>
          <t>ចម្រាញ់</t>
        </is>
      </c>
      <c r="F94" s="3" t="n"/>
      <c r="G94" s="3" t="inlineStr">
        <is>
          <t>ចម្រាញ់</t>
        </is>
      </c>
      <c r="H94" t="inlineStr">
        <is>
          <t>ចម្រាញ់</t>
        </is>
      </c>
      <c r="I94" s="217" t="inlineStr">
        <is>
          <t>"nhanLai.filter": "ចម្រាញ់",</t>
        </is>
      </c>
      <c r="N94" s="163" t="inlineStr">
        <is>
          <t>តម្រង</t>
        </is>
      </c>
    </row>
    <row r="95" ht="15.75" customHeight="1" s="305">
      <c r="A95" s="3" t="inlineStr">
        <is>
          <t>banGiao.titleFilterTaiDon</t>
        </is>
      </c>
      <c r="B95" s="3" t="inlineStr">
        <is>
          <t>Bộ lọc</t>
        </is>
      </c>
      <c r="C95" s="3" t="inlineStr">
        <is>
          <t>Filter</t>
        </is>
      </c>
      <c r="D95" s="3">
        <f>IFERROR(__xludf.DUMMYFUNCTION("GOOGLETRANSLATE(B95,""vi"",""km"")"),"តម្រង")</f>
        <v/>
      </c>
      <c r="E95" s="3" t="inlineStr">
        <is>
          <t>ចម្រាញ់</t>
        </is>
      </c>
      <c r="F95" s="3" t="n"/>
      <c r="G95" s="3" t="inlineStr">
        <is>
          <t>ចម្រាញ់</t>
        </is>
      </c>
      <c r="H95" t="inlineStr">
        <is>
          <t>ចម្រាញ់</t>
        </is>
      </c>
      <c r="I95" s="217" t="inlineStr">
        <is>
          <t>"banGiao.titleFilterTaiDon": "ចម្រាញ់",</t>
        </is>
      </c>
      <c r="N95" s="3" t="inlineStr"/>
    </row>
    <row r="96" ht="15.75" customHeight="1" s="305">
      <c r="A96" s="3" t="inlineStr">
        <is>
          <t>GiaoHang.filterTitle</t>
        </is>
      </c>
      <c r="B96" s="3" t="inlineStr">
        <is>
          <t>Bộ lọc</t>
        </is>
      </c>
      <c r="C96" s="3" t="inlineStr">
        <is>
          <t>Filter</t>
        </is>
      </c>
      <c r="D96" s="3">
        <f>IFERROR(__xludf.DUMMYFUNCTION("GOOGLETRANSLATE(B96,""vi"",""km"")"),"តម្រង")</f>
        <v/>
      </c>
      <c r="E96" s="3" t="inlineStr">
        <is>
          <t>ចម្រាញ់</t>
        </is>
      </c>
      <c r="F96" s="3" t="n"/>
      <c r="G96" s="3" t="inlineStr">
        <is>
          <t>ចម្រាញ់</t>
        </is>
      </c>
      <c r="H96" t="inlineStr">
        <is>
          <t>ចម្រាញ់</t>
        </is>
      </c>
      <c r="I96" s="217" t="inlineStr">
        <is>
          <t>"GiaoHang.filterTitle": "ចម្រាញ់",</t>
        </is>
      </c>
      <c r="N96" s="3" t="inlineStr"/>
    </row>
    <row r="97" ht="15.75" customHeight="1" s="305">
      <c r="A97" s="3" t="inlineStr">
        <is>
          <t>khaiThacDen.filterTitle</t>
        </is>
      </c>
      <c r="B97" s="3" t="inlineStr">
        <is>
          <t>Bộ lọc</t>
        </is>
      </c>
      <c r="C97" s="3" t="inlineStr">
        <is>
          <t>Filter</t>
        </is>
      </c>
      <c r="D97" s="3">
        <f>IFERROR(__xludf.DUMMYFUNCTION("GOOGLETRANSLATE(B97,""vi"",""km"")"),"តម្រង")</f>
        <v/>
      </c>
      <c r="E97" s="3" t="inlineStr">
        <is>
          <t>ចម្រាញ់</t>
        </is>
      </c>
      <c r="F97" s="3" t="n"/>
      <c r="G97" s="3" t="inlineStr">
        <is>
          <t>ចម្រាញ់</t>
        </is>
      </c>
      <c r="H97" t="inlineStr">
        <is>
          <t>ចម្រាញ់</t>
        </is>
      </c>
      <c r="I97" s="217" t="inlineStr">
        <is>
          <t>"khaiThacDen.filterTitle": "ចម្រាញ់",</t>
        </is>
      </c>
      <c r="N97" s="3" t="inlineStr"/>
    </row>
    <row r="98" ht="15.75" customHeight="1" s="305">
      <c r="A98" s="3" t="inlineStr">
        <is>
          <t>common.skip</t>
        </is>
      </c>
      <c r="B98" s="3" t="inlineStr">
        <is>
          <t>Bỏ qua</t>
        </is>
      </c>
      <c r="C98" s="3" t="inlineStr">
        <is>
          <t>Skip</t>
        </is>
      </c>
      <c r="D98" s="3">
        <f>IFERROR(__xludf.DUMMYFUNCTION("GOOGLETRANSLATE(B98,""vi"",""km"")"),"រំលង")</f>
        <v/>
      </c>
      <c r="E98" s="3" t="inlineStr">
        <is>
          <t>រំលង</t>
        </is>
      </c>
      <c r="F98" s="3" t="n"/>
      <c r="G98" s="3" t="inlineStr">
        <is>
          <t>រំលង</t>
        </is>
      </c>
      <c r="H98" t="inlineStr">
        <is>
          <t>រំលង</t>
        </is>
      </c>
      <c r="I98" s="217" t="inlineStr">
        <is>
          <t>"common.skip": "រំលង",</t>
        </is>
      </c>
      <c r="N98" s="3" t="inlineStr">
        <is>
          <t>រំលង</t>
        </is>
      </c>
    </row>
    <row r="99" ht="15.75" customHeight="1" s="305">
      <c r="A99" s="3" t="inlineStr">
        <is>
          <t>login.skip</t>
        </is>
      </c>
      <c r="B99" s="3" t="inlineStr">
        <is>
          <t>Bỏ qua</t>
        </is>
      </c>
      <c r="C99" s="3" t="inlineStr">
        <is>
          <t>Skip</t>
        </is>
      </c>
      <c r="D99" s="3">
        <f>IFERROR(__xludf.DUMMYFUNCTION("GOOGLETRANSLATE(B99,""vi"",""km"")"),"រំលង")</f>
        <v/>
      </c>
      <c r="E99" s="3" t="inlineStr">
        <is>
          <t>រំលង</t>
        </is>
      </c>
      <c r="F99" s="3" t="n"/>
      <c r="G99" s="3" t="inlineStr">
        <is>
          <t>រំលង</t>
        </is>
      </c>
      <c r="H99" t="inlineStr">
        <is>
          <t>រំលង</t>
        </is>
      </c>
      <c r="I99" s="217" t="inlineStr">
        <is>
          <t>"login.skip": "រំលង",</t>
        </is>
      </c>
      <c r="N99" s="3" t="inlineStr">
        <is>
          <t>រំលង</t>
        </is>
      </c>
    </row>
    <row r="100" ht="15.75" customHeight="1" s="305">
      <c r="A100" s="3" t="inlineStr">
        <is>
          <t>home.bosung</t>
        </is>
      </c>
      <c r="B100" s="3" t="inlineStr">
        <is>
          <t>Bổ sung</t>
        </is>
      </c>
      <c r="C100" s="3" t="inlineStr">
        <is>
          <t>Add</t>
        </is>
      </c>
      <c r="D100" s="3">
        <f>IFERROR(__xludf.DUMMYFUNCTION("GOOGLETRANSLATE(B100,""vi"",""km"")"),"បន្ថែម")</f>
        <v/>
      </c>
      <c r="E100" s="3" t="inlineStr">
        <is>
          <t>បន្ថែម</t>
        </is>
      </c>
      <c r="F100" s="3" t="n"/>
      <c r="G100" s="3" t="inlineStr">
        <is>
          <t>បន្ថែម</t>
        </is>
      </c>
      <c r="H100" t="inlineStr">
        <is>
          <t>បន្ថែម</t>
        </is>
      </c>
      <c r="I100" s="217" t="inlineStr">
        <is>
          <t>"home.bosung": "បន្ថែម",</t>
        </is>
      </c>
      <c r="N100" s="3" t="inlineStr">
        <is>
          <t>បន្ថែម</t>
        </is>
      </c>
    </row>
    <row r="101" ht="15.75" customHeight="1" s="305">
      <c r="A101" s="3" t="inlineStr">
        <is>
          <t>dieuHanh.postOffice1</t>
        </is>
      </c>
      <c r="B101" s="3" t="inlineStr">
        <is>
          <t>Bưu cục</t>
        </is>
      </c>
      <c r="C101" s="3" t="inlineStr">
        <is>
          <t>Post office</t>
        </is>
      </c>
      <c r="D101" s="3">
        <f>IFERROR(__xludf.DUMMYFUNCTION("GOOGLETRANSLATE(B101,""vi"",""km"")"),"ការិយាល័យប្រៃសណីយ៍")</f>
        <v/>
      </c>
      <c r="E101" s="3" t="inlineStr">
        <is>
          <t>ការិយាល័យប្រៃសណីយ៍</t>
        </is>
      </c>
      <c r="F101" s="3" t="n"/>
      <c r="G101" s="3" t="inlineStr">
        <is>
          <t>ការិយាល័យប្រៃសណីយ៍</t>
        </is>
      </c>
      <c r="H101" t="inlineStr">
        <is>
          <t>ការិយាល័យប្រៃសណីយ៍</t>
        </is>
      </c>
      <c r="I101" s="217" t="inlineStr">
        <is>
          <t>"dieuHanh.postOffice1": "ការិយាល័យប្រៃសណីយ៍",</t>
        </is>
      </c>
      <c r="N101" s="3" t="inlineStr">
        <is>
          <t>ប៊ូតិច</t>
        </is>
      </c>
    </row>
    <row r="102" ht="15.75" customHeight="1" s="305">
      <c r="A102" s="3" t="inlineStr">
        <is>
          <t>DongTai.titleBCDen</t>
        </is>
      </c>
      <c r="B102" s="3" t="inlineStr">
        <is>
          <t>Bưu cục đến</t>
        </is>
      </c>
      <c r="C102" s="3" t="inlineStr">
        <is>
          <t>Receiving post office</t>
        </is>
      </c>
      <c r="D102" s="3">
        <f>IFERROR(__xludf.DUMMYFUNCTION("GOOGLETRANSLATE(B102,""vi"",""km"")"),"ការិយាល័យប្រៃសណីយ៍")</f>
        <v/>
      </c>
      <c r="E102" s="3" t="inlineStr">
        <is>
          <t xml:space="preserve"> ការិយាល័យប្រៃសណីយ៍មកដល់</t>
        </is>
      </c>
      <c r="F102" s="3" t="n"/>
      <c r="G102" s="3" t="inlineStr">
        <is>
          <t>ការិយាល័យប្រៃសណីយ៍គោលដៅ</t>
        </is>
      </c>
      <c r="H102" t="inlineStr">
        <is>
          <t>ការិយាល័យប្រៃសណីយ៍គោលដៅ</t>
        </is>
      </c>
      <c r="I102" s="217" t="inlineStr">
        <is>
          <t>"DongTai.titleBCDen": "ការិយាល័យប្រៃសណីយ៍គោលដៅ",</t>
        </is>
      </c>
      <c r="N102" s="3" t="inlineStr">
        <is>
          <t>សាខាទទួល</t>
        </is>
      </c>
    </row>
    <row r="103" ht="15.75" customHeight="1" s="305">
      <c r="A103" s="3" t="inlineStr">
        <is>
          <t>dieuHanh.postOffice</t>
        </is>
      </c>
      <c r="B103" s="3" t="inlineStr">
        <is>
          <t>Bưu cục nhận</t>
        </is>
      </c>
      <c r="C103" s="3" t="inlineStr">
        <is>
          <t>Receiving Post Office</t>
        </is>
      </c>
      <c r="D103" s="3">
        <f>IFERROR(__xludf.DUMMYFUNCTION("GOOGLETRANSLATE(B103,""vi"",""km"")"),"ការិយាល័យប្រៃសណីយ៍ទទួល")</f>
        <v/>
      </c>
      <c r="E103" s="3" t="inlineStr">
        <is>
          <t>ការិយាល័យប្រៃសណីយ៍ទទួល</t>
        </is>
      </c>
      <c r="F103" s="3" t="n"/>
      <c r="G103" s="3" t="inlineStr">
        <is>
          <t>ការិយាល័យប្រៃសណីយ៍ទទួល</t>
        </is>
      </c>
      <c r="H103" t="inlineStr">
        <is>
          <t>ការិយាល័យប្រៃសណីយ៍ទទួល</t>
        </is>
      </c>
      <c r="I103" s="217" t="inlineStr">
        <is>
          <t>"dieuHanh.postOffice": "ការិយាល័យប្រៃសណីយ៍ទទួល",</t>
        </is>
      </c>
      <c r="N103" s="3" t="inlineStr">
        <is>
          <t>ប៊ូតិចទទួល</t>
        </is>
      </c>
    </row>
    <row r="104" ht="15.75" customHeight="1" s="305">
      <c r="A104" s="3" t="inlineStr">
        <is>
          <t>GiaoHang.titleParcel</t>
        </is>
      </c>
      <c r="B104" s="3" t="inlineStr">
        <is>
          <t>Bưu gửi</t>
        </is>
      </c>
      <c r="C104" s="3" t="inlineStr">
        <is>
          <t>Parcel</t>
        </is>
      </c>
      <c r="D104" s="3">
        <f>IFERROR(__xludf.DUMMYFUNCTION("GOOGLETRANSLATE(B104,""vi"",""km"")"),"វត្ថុប្រៃសណីយ៍")</f>
        <v/>
      </c>
      <c r="E104" s="3" t="inlineStr">
        <is>
          <t>អីវ៉ាន់បញ្ញើ</t>
        </is>
      </c>
      <c r="F104" s="3" t="n"/>
      <c r="G104" s="3" t="inlineStr">
        <is>
          <t>អីវ៉ាន់បញ្ញើ</t>
        </is>
      </c>
      <c r="H104" t="inlineStr">
        <is>
          <t>អីវ៉ាន់បញ្ញើ</t>
        </is>
      </c>
      <c r="I104" s="217" t="inlineStr">
        <is>
          <t>"GiaoHang.titleParcel": "អីវ៉ាន់បញ្ញើ",</t>
        </is>
      </c>
      <c r="N104" s="3" t="inlineStr">
        <is>
          <t>បញ្ញើរ</t>
        </is>
      </c>
    </row>
    <row r="105" ht="15.75" customHeight="1" s="305">
      <c r="A105" s="3" t="inlineStr">
        <is>
          <t>taoKien.messageConfirmChuyenPhanCongSoLuongKien</t>
        </is>
      </c>
      <c r="B105" s="3" t="inlineStr">
        <is>
          <t>Bưu gửi {{code_kien}} gồm {{count}} kiện con, bạn có muốn chuyển phân công phát cả {{count}} kiện cho bưu tá không?</t>
        </is>
      </c>
      <c r="C105" s="143" t="inlineStr">
        <is>
          <t>Shipment {{code_kien}} consists of {{count}} sub-packages. Do you want to reassign all {{count}} packages to a postman for delivery?</t>
        </is>
      </c>
      <c r="D105" s="3">
        <f>IFERROR(__xludf.DUMMYFUNCTION("GOOGLETRANSLATE(B105,""vi"",""km"")"),"ការដឹកជញ្ជូន {{code_kien}} មានកញ្ចប់តូចៗចំនួន {{count}}។ តើអ្នកចង់ចាត់តាំងការដឹកជញ្ជូនកញ្ចប់ {{count}} ទាំងអស់ទៅឱ្យបុគ្គលិកប្រៃសណីយ៍ដែរឬទេ?")</f>
        <v/>
      </c>
      <c r="E105" s="3" t="inlineStr">
        <is>
          <t>អីវ៉ាន់បញ្ញើ {{code_kien}} មាន{{count}}អីវ៉ាន់តូច។ តើអ្នកចង់ប្រគល់អីវ៉ាន់ {{count}} ទាំងអស់ទៅឱ្យអ្នកដឹកទេ?</t>
        </is>
      </c>
      <c r="F105" s="3" t="n"/>
      <c r="G105" s="3" t="inlineStr">
        <is>
          <t>អីវ៉ាន់បញ្ញើ {{code_kien}} មាន{{count}}អីវ៉ាន់តូច។ តើអ្នកចង់ប្រគល់អីវ៉ាន់ {{count}} ទាំងអស់ទៅឱ្យអ្នកដឹកទេ?</t>
        </is>
      </c>
      <c r="H105" t="inlineStr">
        <is>
          <t>អីវ៉ាន់បញ្ញើ {{code_kien}} មាន{{count}}អីវ៉ាន់តូច។ តើអ្នកចង់ប្រគល់អីវ៉ាន់ {{count}} ទាំងអស់ទៅឱ្យអ្នកដឹកទេ?</t>
        </is>
      </c>
      <c r="I105" s="217" t="inlineStr">
        <is>
          <t>"taoKien.messageConfirmChuyenPhanCongSoLuongKien": "អីវ៉ាន់បញ្ញើ {{code_kien}} មាន{{count}}អីវ៉ាន់តូច។ តើអ្នកចង់ប្រគល់អីវ៉ាន់ {{count}} ទាំងអស់ទៅឱ្យអ្នកដឹកទេ?",</t>
        </is>
      </c>
      <c r="N105" s="3" t="inlineStr"/>
    </row>
    <row r="106" ht="15.75" customHeight="1" s="305">
      <c r="A106" s="3" t="inlineStr">
        <is>
          <t>taoKien.messageConfirmPhanCongSoLuongKien</t>
        </is>
      </c>
      <c r="B106" s="3" t="inlineStr">
        <is>
          <t>Bưu gửi {{code_kien}} gồm {{count}} kiện con, bạn có muốn phân công phát cả {{count}} kiện cho bưu tá không?</t>
        </is>
      </c>
      <c r="C106" s="143" t="inlineStr">
        <is>
          <t>Shipment {{code_kien}} consists of {{count}} sub-packages. Do you want to assign all {{count}} packages to a postman for delivery?</t>
        </is>
      </c>
      <c r="D106" s="3">
        <f>IFERROR(__xludf.DUMMYFUNCTION("GOOGLETRANSLATE(B106,""vi"",""km"")"),"ការដឹកជញ្ជូន {{code_kien}} មានកញ្ចប់តូចៗចំនួន {{count}}។ តើអ្នកចង់ចាត់តាំងការដឹកជញ្ជូនកញ្ចប់ {{count}} ទាំងអស់ទៅឱ្យបុគ្គលិកប្រៃសណីយ៍ដែរឬទេ?")</f>
        <v/>
      </c>
      <c r="E106" s="3" t="inlineStr">
        <is>
          <t>កញ្ចប់ {{code_kien}} មានកញ្ចប់រង {{count}}។ តើអ្នកចង់ចាត់តាំងការដឹកជញ្ជូនកញ្ចប់ {{count}} ទាំងមូលទៅឱ្យបុគ្គលិកប្រៃសណីយ៍ទេ?</t>
        </is>
      </c>
      <c r="F106" s="3" t="n"/>
      <c r="G106" s="3" t="inlineStr">
        <is>
          <t>កញ្ចប់ {{code_kien}} មានកញ្ចប់រង {{count}}។ តើអ្នកចង់ចាត់តាំងការដឹកជញ្ជូនកញ្ចប់ {{count}} ទាំងមូលទៅឱ្យបុគ្គលិកប្រៃសណីយ៍ទេ?</t>
        </is>
      </c>
      <c r="H106" t="inlineStr">
        <is>
          <t>កញ្ចប់ {{code_kien}} មានកញ្ចប់រង {{count}}។ តើអ្នកចង់ចាត់តាំងការដឹកជញ្ជូនកញ្ចប់ {{count}} ទាំងមូលទៅឱ្យបុគ្គលិកប្រៃសណីយ៍ទេ?</t>
        </is>
      </c>
      <c r="I106" s="217" t="inlineStr">
        <is>
          <t>"taoKien.messageConfirmPhanCongSoLuongKien": "កញ្ចប់ {{code_kien}} មានកញ្ចប់រង {{count}}។ តើអ្នកចង់ចាត់តាំងការដឹកជញ្ជូនកញ្ចប់ {{count}} ទាំងមូលទៅឱ្យបុគ្គលិកប្រៃសណីយ៍ទេ?",</t>
        </is>
      </c>
      <c r="N106" s="3" t="inlineStr"/>
    </row>
    <row r="107" ht="15.75" customHeight="1" s="305">
      <c r="A107" s="3" t="inlineStr">
        <is>
          <t>taoKien.messageConfirmTuChoiSoLuongKien</t>
        </is>
      </c>
      <c r="B107" s="3" t="inlineStr">
        <is>
          <t>Bưu gửi {{code_kien}} gồm {{count}} kiện con, bạn có muốn từ chối cả {{count}} kiện không?</t>
        </is>
      </c>
      <c r="C107" s="143" t="inlineStr">
        <is>
          <t>Shipment {{code_kien}} consists of {{count}} sub-packages. Do you want to reject all {{count}} packages?</t>
        </is>
      </c>
      <c r="D107" s="3">
        <f>IFERROR(__xludf.DUMMYFUNCTION("GOOGLETRANSLATE(B107,""vi"",""km"")"),"ការដឹកជញ្ជូន {{code_kien}} មានកញ្ចប់រង {{count}}។ តើអ្នកចង់បដិសេធកញ្ចប់ {{count}} ទាំងអស់ទេ?")</f>
        <v/>
      </c>
      <c r="E107" s="3" t="inlineStr">
        <is>
          <t>អីវ៉ាន់ {{code_kien}} មានអីវ៉ាន់តូច {{count}}។ តើអ្នកចង់បដិសេធប្រគល់កញ្ចប់អីវ៉ាន់ {{count}} ទាំងអស់ទេ?</t>
        </is>
      </c>
      <c r="F107" s="3" t="n"/>
      <c r="G107" s="3" t="inlineStr">
        <is>
          <t>អីវ៉ាន់ {{code_kien}} មានអីវ៉ាន់តូច {{count}}។ តើអ្នកចង់បដិសេធប្រគល់កញ្ចប់អីវ៉ាន់ {{count}} ទាំងអស់ទេ?</t>
        </is>
      </c>
      <c r="H107" t="inlineStr">
        <is>
          <t>អីវ៉ាន់ {{code_kien}} មានអីវ៉ាន់តូច {{count}}។ តើអ្នកចង់បដិសេធប្រគល់កញ្ចប់អីវ៉ាន់ {{count}} ទាំងអស់ទេ?</t>
        </is>
      </c>
      <c r="I107" s="217" t="inlineStr">
        <is>
          <t>"taoKien.messageConfirmTuChoiSoLuongKien": "អីវ៉ាន់ {{code_kien}} មានអីវ៉ាន់តូច {{count}}។ តើអ្នកចង់បដិសេធប្រគល់កញ្ចប់អីវ៉ាន់ {{count}} ទាំងអស់ទេ?",</t>
        </is>
      </c>
      <c r="N107" s="3" t="inlineStr"/>
    </row>
    <row r="108" ht="15.75" customHeight="1" s="305">
      <c r="A108" s="3" t="inlineStr">
        <is>
          <t>taoKien.messageConfirmReasonForKien</t>
        </is>
      </c>
      <c r="B108" s="3" t="inlineStr">
        <is>
          <t>Bưu gửi {{code_kien}} gồm {{count}} kiện con, bạn có muốn xác nhận {{reason}} cho {{count}} kiện không?</t>
        </is>
      </c>
      <c r="C108" s="143" t="inlineStr">
        <is>
          <t>Shipment {{code_kien}} consists of {{count}} sub-packages. Do you want to confirm all {{reason}} for all {{count}} packages?</t>
        </is>
      </c>
      <c r="D108" s="3">
        <f>IFERROR(__xludf.DUMMYFUNCTION("GOOGLETRANSLATE(B108,""vi"",""km"")"),"ការដឹកជញ្ជូន {{code_kien}} មានកញ្ចប់រង {{count}}។ តើអ្នកចង់បញ្ជាក់ {{reason}} សម្រាប់ {{count}} នៃកញ្ចប់ដែរឬទេ?")</f>
        <v/>
      </c>
      <c r="E108" s="3" t="inlineStr">
        <is>
          <t>អីវ៉ាន់បញ្ញើ{{code_kien}} មានអីវ៉ាន់តូច{{count}}។ តើអ្នកចង់បញ្ជាក់ {{reason}} ឲ្យកញ្ចប់អីវ៉ាន់ {{count}} ទេ?</t>
        </is>
      </c>
      <c r="F108" s="3" t="n"/>
      <c r="G108" s="3" t="inlineStr">
        <is>
          <t>អីវ៉ាន់បញ្ញើ{{code_kien}} មានអីវ៉ាន់តូច{{count}}។ តើអ្នកចង់បញ្ជាក់ {{reason}} ឲ្យកញ្ចប់អីវ៉ាន់ {{count}} ទេ?</t>
        </is>
      </c>
      <c r="H108" t="inlineStr">
        <is>
          <t>អីវ៉ាន់បញ្ញើ{{code_kien}} មានអីវ៉ាន់តូច{{count}}។ តើអ្នកចង់បញ្ជាក់ {{reason}} ឲ្យកញ្ចប់អីវ៉ាន់ {{count}} ទេ?</t>
        </is>
      </c>
      <c r="I108" s="217" t="inlineStr">
        <is>
          <t>"taoKien.messageConfirmReasonForKien": "អីវ៉ាន់បញ្ញើ{{code_kien}} មានអីវ៉ាន់តូច{{count}}។ តើអ្នកចង់បញ្ជាក់ {{reason}} ឲ្យកញ្ចប់អីវ៉ាន់ {{count}} ទេ?",</t>
        </is>
      </c>
      <c r="N108" s="3" t="inlineStr"/>
    </row>
    <row r="109" ht="15.75" customHeight="1" s="305">
      <c r="A109" s="3" t="inlineStr">
        <is>
          <t>taoKien.messageConfirmNhanSoLuongKien</t>
        </is>
      </c>
      <c r="B109" s="3" t="inlineStr">
        <is>
          <t>Bưu gửi {{code_kien}} gồm {{count}} kiện con, bạn có muốn xác nhận bàn giao cả {{count}} kiện không?</t>
        </is>
      </c>
      <c r="C109" s="143" t="inlineStr">
        <is>
          <t>Shipment {{code_kien}} contains {{count}} sub-packages. Do you want to confirm the handover of all {{count}} packages?</t>
        </is>
      </c>
      <c r="D109" s="3">
        <f>IFERROR(__xludf.DUMMYFUNCTION("GOOGLETRANSLATE(B109,""vi"",""km"")"),"ការដឹកជញ្ជូន {{code_kien}} មានកញ្ចប់តូចៗចំនួន {{count}}។ តើអ្នកចង់បញ្ជាក់ការប្រគល់កញ្ចប់ {{count}} ទាំងអស់ដែរឬទេ?")</f>
        <v/>
      </c>
      <c r="E109" s="3" t="inlineStr">
        <is>
          <t>អីវ៉ាន់បញ្ញើ {{code_kien}} មានអីវ៉ាន់តូច{{count}}។ តើអ្នកចង់បញ្ជាក់ការប្រគល់អីវ៉ាន់ {{count}} ទាំងអស់ឬទេ?</t>
        </is>
      </c>
      <c r="F109" s="3" t="n"/>
      <c r="G109" s="3" t="inlineStr">
        <is>
          <t>អីវ៉ាន់បញ្ញើ {{code_kien}} មានអីវ៉ាន់តូច{{count}}។ តើអ្នកចង់បញ្ជាក់ការប្រគល់អីវ៉ាន់ {{count}} ទាំងអស់ឬទេ?</t>
        </is>
      </c>
      <c r="H109" t="inlineStr">
        <is>
          <t>អីវ៉ាន់បញ្ញើ {{code_kien}} មានអីវ៉ាន់តូច{{count}}។ តើអ្នកចង់បញ្ជាក់ការប្រគល់អីវ៉ាន់ {{count}} ទាំងអស់ឬទេ?</t>
        </is>
      </c>
      <c r="I109" s="217" t="inlineStr">
        <is>
          <t>"taoKien.messageConfirmNhanSoLuongKien": "អីវ៉ាន់បញ្ញើ {{code_kien}} មានអីវ៉ាន់តូច{{count}}។ តើអ្នកចង់បញ្ជាក់ការប្រគល់អីវ៉ាន់ {{count}} ទាំងអស់ឬទេ?",</t>
        </is>
      </c>
      <c r="N109" s="3" t="inlineStr"/>
    </row>
    <row r="110" ht="15.75" customHeight="1" s="305">
      <c r="A110" s="3" t="inlineStr">
        <is>
          <t>taoDon.parcel</t>
        </is>
      </c>
      <c r="B110" s="3" t="inlineStr">
        <is>
          <t>Bưu kiện</t>
        </is>
      </c>
      <c r="C110" s="3" t="inlineStr">
        <is>
          <t>Parcel</t>
        </is>
      </c>
      <c r="D110" s="3">
        <f>IFERROR(__xludf.DUMMYFUNCTION("GOOGLETRANSLATE(B110,""vi"",""km"")"),"កញ្ចប់")</f>
        <v/>
      </c>
      <c r="E110" s="3" t="inlineStr">
        <is>
          <t>កញ្ចប់អីវ៉ាន់</t>
        </is>
      </c>
      <c r="F110" s="3" t="n"/>
      <c r="G110" s="3" t="inlineStr">
        <is>
          <t>កញ្ចប់អីវ៉ាន់</t>
        </is>
      </c>
      <c r="H110" t="inlineStr">
        <is>
          <t>កញ្ចប់អីវ៉ាន់</t>
        </is>
      </c>
      <c r="I110" s="217" t="inlineStr">
        <is>
          <t>"taoDon.parcel": "កញ្ចប់អីវ៉ាន់",</t>
        </is>
      </c>
      <c r="N110" s="3" t="inlineStr">
        <is>
          <t>បញ្ជី</t>
        </is>
      </c>
    </row>
    <row r="111" ht="15.75" customHeight="1" s="305">
      <c r="A111" s="3" t="inlineStr">
        <is>
          <t>nhanHang.buupham</t>
        </is>
      </c>
      <c r="B111" s="3" t="inlineStr">
        <is>
          <t>Bưu phẩm</t>
        </is>
      </c>
      <c r="C111" s="3" t="inlineStr">
        <is>
          <t>Parcel</t>
        </is>
      </c>
      <c r="D111" s="3">
        <f>IFERROR(__xludf.DUMMYFUNCTION("GOOGLETRANSLATE(B111,""vi"",""km"")"),"វត្ថុប្រៃសណីយ៍")</f>
        <v/>
      </c>
      <c r="E111" s="3" t="inlineStr">
        <is>
          <t>កញ្ចប់ឯកសារ</t>
        </is>
      </c>
      <c r="F111" s="3" t="n"/>
      <c r="G111" s="3" t="inlineStr">
        <is>
          <t>កញ្ចប់</t>
        </is>
      </c>
      <c r="H111" t="inlineStr">
        <is>
          <t>កញ្ចប់</t>
        </is>
      </c>
      <c r="I111" s="217" t="inlineStr">
        <is>
          <t>"nhanHang.buupham": "កញ្ចប់",</t>
        </is>
      </c>
      <c r="N111" s="3" t="inlineStr">
        <is>
          <t>សំបុត្រ/កញ្ចប់</t>
        </is>
      </c>
    </row>
    <row r="112" ht="15.75" customHeight="1" s="305">
      <c r="A112" s="3" t="inlineStr">
        <is>
          <t>banGiao.parcel</t>
        </is>
      </c>
      <c r="B112" s="3" t="inlineStr">
        <is>
          <t>bưu phẩm</t>
        </is>
      </c>
      <c r="C112" s="3" t="inlineStr">
        <is>
          <t>parcel</t>
        </is>
      </c>
      <c r="D112" s="3">
        <f>IFERROR(__xludf.DUMMYFUNCTION("GOOGLETRANSLATE(B112,""vi"",""km"")"),"កញ្ចប់ប្រៃសណីយ៍")</f>
        <v/>
      </c>
      <c r="E112" s="3" t="inlineStr">
        <is>
          <t>កញ្ចប់ឯកសារ</t>
        </is>
      </c>
      <c r="F112" s="3" t="n"/>
      <c r="G112" s="3" t="inlineStr">
        <is>
          <t>កញ្ចប់</t>
        </is>
      </c>
      <c r="H112" t="inlineStr">
        <is>
          <t>កញ្ចប់</t>
        </is>
      </c>
      <c r="I112" s="217" t="inlineStr">
        <is>
          <t>"banGiao.parcel": "កញ្ចប់",</t>
        </is>
      </c>
      <c r="N112" s="3" t="inlineStr">
        <is>
          <t>បញ្ជូន</t>
        </is>
      </c>
    </row>
    <row r="113" ht="15.75" customHeight="1" s="305">
      <c r="A113" s="3" t="inlineStr">
        <is>
          <t>DongTai.parcel</t>
        </is>
      </c>
      <c r="B113" s="3" t="inlineStr">
        <is>
          <t>bưu phẩm</t>
        </is>
      </c>
      <c r="C113" s="3" t="inlineStr">
        <is>
          <t>parcel</t>
        </is>
      </c>
      <c r="D113" s="3">
        <f>IFERROR(__xludf.DUMMYFUNCTION("GOOGLETRANSLATE(B113,""vi"",""km"")"),"កញ្ចប់ប្រៃសណីយ៍")</f>
        <v/>
      </c>
      <c r="E113" s="3" t="inlineStr">
        <is>
          <t>កញ្ចប់ឯកសារ</t>
        </is>
      </c>
      <c r="F113" s="3" t="n"/>
      <c r="G113" s="3" t="inlineStr">
        <is>
          <t>កញ្ចប់</t>
        </is>
      </c>
      <c r="H113" t="inlineStr">
        <is>
          <t>កញ្ចប់</t>
        </is>
      </c>
      <c r="I113" s="217" t="inlineStr">
        <is>
          <t>"DongTai.parcel": "កញ្ចប់",</t>
        </is>
      </c>
      <c r="N113" s="3" t="inlineStr">
        <is>
          <t>សំបុត្រ/កញ្ចប់</t>
        </is>
      </c>
    </row>
    <row r="114" ht="15.75" customHeight="1" s="305">
      <c r="A114" s="3" t="inlineStr">
        <is>
          <t>KiemKe.indentorySuccessDetail</t>
        </is>
      </c>
      <c r="B114" s="3" t="inlineStr">
        <is>
          <t>bưu phẩm của tuyến</t>
        </is>
      </c>
      <c r="C114" s="3" t="inlineStr">
        <is>
          <t>parcel in route</t>
        </is>
      </c>
      <c r="D114" s="3">
        <f>IFERROR(__xludf.DUMMYFUNCTION("GOOGLETRANSLATE(B114,""vi"",""km"")"),"សំបុត្រនៃបន្ទាត់")</f>
        <v/>
      </c>
      <c r="E114" s="3" t="inlineStr">
        <is>
          <t>កញ្ចប់អីវ៉ាន់របស់ផ្លូវដឹក</t>
        </is>
      </c>
      <c r="F114" s="3" t="n"/>
      <c r="G114" s="3" t="inlineStr">
        <is>
          <t>កញ្ចប់អីវ៉ាន់របស់ផ្លូវដឹក</t>
        </is>
      </c>
      <c r="H114" t="inlineStr">
        <is>
          <t>កញ្ចប់អីវ៉ាន់របស់ផ្លូវដឹក</t>
        </is>
      </c>
      <c r="I114" s="217" t="inlineStr">
        <is>
          <t>"KiemKe.indentorySuccessDetail": "កញ្ចប់អីវ៉ាន់របស់ផ្លូវដឹក",</t>
        </is>
      </c>
      <c r="N114" s="163" t="inlineStr">
        <is>
          <t>កញ្ចប់នៅក្នុងផ្លូវ</t>
        </is>
      </c>
    </row>
    <row r="115" ht="15.75" customHeight="1" s="305">
      <c r="A115" s="3" t="inlineStr">
        <is>
          <t>dieuHanh.postman1</t>
        </is>
      </c>
      <c r="B115" s="3" t="inlineStr">
        <is>
          <t>Bưu tá</t>
        </is>
      </c>
      <c r="C115" s="3" t="inlineStr">
        <is>
          <t>Postman</t>
        </is>
      </c>
      <c r="D115" s="3">
        <f>IFERROR(__xludf.DUMMYFUNCTION("GOOGLETRANSLATE(B115,""vi"",""km"")"),"អ្នករត់សំបុត្រ")</f>
        <v/>
      </c>
      <c r="E115" s="3" t="inlineStr">
        <is>
          <t>អ្នកដឹកជញ្ជូន</t>
        </is>
      </c>
      <c r="F115" s="3" t="n"/>
      <c r="G115" s="3" t="inlineStr">
        <is>
          <t>បុគ្គលិកដឹកជញ្ជូន</t>
        </is>
      </c>
      <c r="H115" t="inlineStr">
        <is>
          <t>បុគ្គលិកដឹកជញ្ជូន</t>
        </is>
      </c>
      <c r="I115" s="217" t="inlineStr">
        <is>
          <t>"dieuHanh.postman1": "បុគ្គលិកដឹកជញ្ជូន",</t>
        </is>
      </c>
      <c r="N115" s="3" t="inlineStr">
        <is>
          <t>ប៊ូតា</t>
        </is>
      </c>
    </row>
    <row r="116" ht="15.75" customHeight="1" s="305">
      <c r="A116" s="3" t="inlineStr">
        <is>
          <t>nhanHang.postmanHasNotHadTimePickItUpYet</t>
        </is>
      </c>
      <c r="B116" s="3" t="inlineStr">
        <is>
          <t>Bưu tá chưa kịp lấy</t>
        </is>
      </c>
      <c r="C116" s="3" t="inlineStr">
        <is>
          <t>Postman has not picked it up yet</t>
        </is>
      </c>
      <c r="D116" s="3">
        <f>IFERROR(__xludf.DUMMYFUNCTION("GOOGLETRANSLATE(B116,""vi"",""km"")"),"អ្នកប្រៃសណីយ៍មិនទាន់មានពេលទៅយកវានៅឡើយទេ។")</f>
        <v/>
      </c>
      <c r="E116" s="3" t="inlineStr">
        <is>
          <t>អ្នកដឹកជញ្ជូនមិនទាន់បានយក</t>
        </is>
      </c>
      <c r="F116" s="3" t="n"/>
      <c r="G116" s="3" t="inlineStr">
        <is>
          <t>អ្នកដឹកជញ្ជូនមិនទាន់បានយក</t>
        </is>
      </c>
      <c r="H116" t="inlineStr">
        <is>
          <t>អ្នកដឹកជញ្ជូនមិនទាន់បានយក</t>
        </is>
      </c>
      <c r="I116" s="217" t="inlineStr">
        <is>
          <t>"nhanHang.postmanHasNotHadTimePickItUpYet": "អ្នកដឹកជញ្ជូនមិនទាន់បានយក",</t>
        </is>
      </c>
      <c r="N116" s="3" t="inlineStr">
        <is>
          <t>អ្នកដឹកមិនទាន់ទទួលបានទេ</t>
        </is>
      </c>
    </row>
    <row r="117" ht="15.75" customHeight="1" s="305">
      <c r="A117" s="3" t="inlineStr">
        <is>
          <t>dieuHanh.postman</t>
        </is>
      </c>
      <c r="B117" s="3" t="inlineStr">
        <is>
          <t>Bưu tá:</t>
        </is>
      </c>
      <c r="C117" s="3" t="inlineStr">
        <is>
          <t>Postman:</t>
        </is>
      </c>
      <c r="D117" s="3">
        <f>IFERROR(__xludf.DUMMYFUNCTION("GOOGLETRANSLATE(B117,""vi"",""km"")"),"អ្នករត់សំបុត្រ៖")</f>
        <v/>
      </c>
      <c r="E117" s="3" t="inlineStr">
        <is>
          <t>អ្នកដឹកជញ្ជូន៖</t>
        </is>
      </c>
      <c r="F117" s="3" t="n"/>
      <c r="G117" s="3" t="inlineStr">
        <is>
          <t>អ្នកដឹកជញ្ជូន៖</t>
        </is>
      </c>
      <c r="H117" t="inlineStr">
        <is>
          <t>អ្នកដឹកជញ្ជូន៖</t>
        </is>
      </c>
      <c r="I117" s="217" t="inlineStr">
        <is>
          <t>"dieuHanh.postman": "អ្នកដឹកជញ្ជូន៖",</t>
        </is>
      </c>
      <c r="N117" s="3" t="inlineStr">
        <is>
          <t>ប៊ូតា:</t>
        </is>
      </c>
    </row>
    <row r="118" ht="15.75" customHeight="1" s="305">
      <c r="A118" s="3" t="inlineStr">
        <is>
          <t>taoDon.allDay</t>
        </is>
      </c>
      <c r="B118" s="3" t="inlineStr">
        <is>
          <t>Cả ngày</t>
        </is>
      </c>
      <c r="C118" s="3" t="inlineStr">
        <is>
          <t>All day</t>
        </is>
      </c>
      <c r="D118" s="3">
        <f>IFERROR(__xludf.DUMMYFUNCTION("GOOGLETRANSLATE(B118,""vi"",""km"")"),"ពេញមួយថ្ងៃ")</f>
        <v/>
      </c>
      <c r="E118" s="3" t="inlineStr">
        <is>
          <t>ពេញមួយថ្ងៃ</t>
        </is>
      </c>
      <c r="F118" s="3" t="n"/>
      <c r="G118" s="3" t="inlineStr">
        <is>
          <t>ពេញមួយថ្ងៃ</t>
        </is>
      </c>
      <c r="H118" t="inlineStr">
        <is>
          <t>ពេញមួយថ្ងៃ</t>
        </is>
      </c>
      <c r="I118" s="217" t="inlineStr">
        <is>
          <t>"taoDon.allDay": "ពេញមួយថ្ងៃ",</t>
        </is>
      </c>
      <c r="N118" s="3" t="inlineStr">
        <is>
          <t>ពេញមួយថ្ងៃ</t>
        </is>
      </c>
    </row>
    <row r="119" ht="15.75" customHeight="1" s="305">
      <c r="A119" s="3" t="inlineStr">
        <is>
          <t>banGiao.titleUser</t>
        </is>
      </c>
      <c r="B119" s="3" t="inlineStr">
        <is>
          <t>Cá nhân</t>
        </is>
      </c>
      <c r="C119" s="3" t="inlineStr">
        <is>
          <t>Individual</t>
        </is>
      </c>
      <c r="D119" s="3">
        <f>IFERROR(__xludf.DUMMYFUNCTION("GOOGLETRANSLATE(B119,""vi"",""km"")"),"បុគ្គល")</f>
        <v/>
      </c>
      <c r="E119" s="3" t="inlineStr">
        <is>
          <t>បុគ្គល</t>
        </is>
      </c>
      <c r="F119" s="3" t="n"/>
      <c r="G119" s="3" t="inlineStr">
        <is>
          <t>បុគ្គល</t>
        </is>
      </c>
      <c r="H119" t="inlineStr">
        <is>
          <t>បុគ្គល</t>
        </is>
      </c>
      <c r="I119" s="217" t="inlineStr">
        <is>
          <t>"banGiao.titleUser": "បុគ្គល",</t>
        </is>
      </c>
      <c r="N119" s="3" t="inlineStr">
        <is>
          <t>អ្នកប្រើប្រាស់</t>
        </is>
      </c>
    </row>
    <row r="120" ht="15.75" customHeight="1" s="305">
      <c r="A120" s="3" t="inlineStr">
        <is>
          <t>banGiao.titleIndividualUnit</t>
        </is>
      </c>
      <c r="B120" s="3" t="inlineStr">
        <is>
          <t>Cá nhân/Đơn vị</t>
        </is>
      </c>
      <c r="C120" s="3" t="inlineStr">
        <is>
          <t>Individual/Unit</t>
        </is>
      </c>
      <c r="D120" s="3">
        <f>IFERROR(__xludf.DUMMYFUNCTION("GOOGLETRANSLATE(B120,""vi"",""km"")"),"បុគ្គល/អង្គការ")</f>
        <v/>
      </c>
      <c r="E120" s="3" t="inlineStr">
        <is>
          <t>បុគ្គល/អង្គភាព</t>
        </is>
      </c>
      <c r="F120" s="3" t="n"/>
      <c r="G120" s="3" t="inlineStr">
        <is>
          <t>បុគ្គល/អង្គភាព</t>
        </is>
      </c>
      <c r="H120" t="inlineStr">
        <is>
          <t>បុគ្គល/អង្គភាព</t>
        </is>
      </c>
      <c r="I120" s="217" t="inlineStr">
        <is>
          <t>"banGiao.titleIndividualUnit": "បុគ្គល/អង្គភាព",</t>
        </is>
      </c>
      <c r="N120" s="3" t="inlineStr"/>
    </row>
    <row r="121" ht="15.75" customHeight="1" s="305">
      <c r="A121" s="3" t="inlineStr">
        <is>
          <t>login.forceUpdateVersionPrefix</t>
        </is>
      </c>
      <c r="B121" s="3" t="inlineStr">
        <is>
          <t xml:space="preserve">Các phiên bản hỗ trợ: </t>
        </is>
      </c>
      <c r="C121" s="3" t="inlineStr">
        <is>
          <t xml:space="preserve">Supported versions: </t>
        </is>
      </c>
      <c r="D121" s="3">
        <f>IFERROR(__xludf.DUMMYFUNCTION("GOOGLETRANSLATE(B121,""vi"",""km"")"),"កំណែដែលគាំទ្រ៖")</f>
        <v/>
      </c>
      <c r="E121" s="3" t="inlineStr">
        <is>
          <t>ទម្រង់ជំនួយ៖</t>
        </is>
      </c>
      <c r="F121" s="3" t="n"/>
      <c r="G121" s="3" t="inlineStr">
        <is>
          <t>ទម្រង់ជំនួយ៖</t>
        </is>
      </c>
      <c r="H121" t="inlineStr">
        <is>
          <t>ទម្រង់ជំនួយ៖</t>
        </is>
      </c>
      <c r="I121" s="217" t="inlineStr">
        <is>
          <t>"login.forceUpdateVersionPrefix": "ទម្រង់ជំនួយ៖",</t>
        </is>
      </c>
      <c r="N121" s="3" t="inlineStr">
        <is>
          <t xml:space="preserve">កំណែដែលគាំទ្រ: </t>
        </is>
      </c>
    </row>
    <row r="122" ht="15.75" customHeight="1" s="305">
      <c r="A122" s="3" t="inlineStr">
        <is>
          <t>setting.setting</t>
        </is>
      </c>
      <c r="B122" s="3" t="inlineStr">
        <is>
          <t>Cài đặt</t>
        </is>
      </c>
      <c r="C122" s="3" t="inlineStr">
        <is>
          <t>Settings</t>
        </is>
      </c>
      <c r="D122" s="3">
        <f>IFERROR(__xludf.DUMMYFUNCTION("GOOGLETRANSLATE(B122,""vi"",""km"")"),"ការកំណត់")</f>
        <v/>
      </c>
      <c r="E122" s="3" t="inlineStr">
        <is>
          <t>ការកំណត់</t>
        </is>
      </c>
      <c r="F122" s="3" t="n"/>
      <c r="G122" s="3" t="inlineStr">
        <is>
          <t>ការកំណត់</t>
        </is>
      </c>
      <c r="H122" t="inlineStr">
        <is>
          <t>ការកំណត់</t>
        </is>
      </c>
      <c r="I122" s="217" t="inlineStr">
        <is>
          <t>"setting.setting": "ការកំណត់",</t>
        </is>
      </c>
      <c r="N122" s="3" t="inlineStr">
        <is>
          <t>ការកំណត់</t>
        </is>
      </c>
    </row>
    <row r="123" ht="15.75" customHeight="1" s="305">
      <c r="A123" s="3" t="inlineStr">
        <is>
          <t>setting.settingCall</t>
        </is>
      </c>
      <c r="B123" s="3" t="inlineStr">
        <is>
          <t>Cài đặt cuộc gọi</t>
        </is>
      </c>
      <c r="C123" s="3" t="inlineStr">
        <is>
          <t>Calls settings</t>
        </is>
      </c>
      <c r="D123" s="3">
        <f>IFERROR(__xludf.DUMMYFUNCTION("GOOGLETRANSLATE(B123,""vi"",""km"")"),"រៀបចំការហៅទូរសព្ទ")</f>
        <v/>
      </c>
      <c r="E123" s="3" t="inlineStr">
        <is>
          <t>ការកំណត់ការហៅទូរស័ព្ទ</t>
        </is>
      </c>
      <c r="F123" s="3" t="n"/>
      <c r="G123" s="3" t="inlineStr">
        <is>
          <t>ការកំណត់ការហៅទូរស័ព្ទ</t>
        </is>
      </c>
      <c r="H123" t="inlineStr">
        <is>
          <t>ការកំណត់ការហៅទូរស័ព្ទ</t>
        </is>
      </c>
      <c r="I123" s="217" t="inlineStr">
        <is>
          <t>"setting.settingCall": "ការកំណត់ការហៅទូរស័ព្ទ",</t>
        </is>
      </c>
      <c r="N123" s="3" t="inlineStr">
        <is>
          <t>ការកំណត់ការហៅទូរសព្ទ</t>
        </is>
      </c>
    </row>
    <row r="124" ht="15.75" customHeight="1" s="305">
      <c r="A124" s="3" t="inlineStr">
        <is>
          <t>GiaoHang.titleSetUpPrinter</t>
        </is>
      </c>
      <c r="B124" s="3" t="inlineStr">
        <is>
          <t>Cài đặt máy in</t>
        </is>
      </c>
      <c r="C124" s="3" t="inlineStr">
        <is>
          <t>Printer settings</t>
        </is>
      </c>
      <c r="D124" s="3">
        <f>IFERROR(__xludf.DUMMYFUNCTION("GOOGLETRANSLATE(B124,""vi"",""km"")"),"ដំឡើងម៉ាស៊ីនបោះពុម្ព។")</f>
        <v/>
      </c>
      <c r="E124" s="3" t="inlineStr">
        <is>
          <t>ការកំណត់ម៉ាស៊ីនព្រីន</t>
        </is>
      </c>
      <c r="F124" s="3" t="n"/>
      <c r="G124" s="3" t="inlineStr">
        <is>
          <t>ការកំណត់ម៉ាស៊ីនព្រីន</t>
        </is>
      </c>
      <c r="H124" t="inlineStr">
        <is>
          <t>ការកំណត់ម៉ាស៊ីនព្រីន</t>
        </is>
      </c>
      <c r="I124" s="217" t="inlineStr">
        <is>
          <t>"GiaoHang.titleSetUpPrinter": "ការកំណត់ម៉ាស៊ីនព្រីន",</t>
        </is>
      </c>
      <c r="N124" s="3" t="inlineStr">
        <is>
          <t>ការកំណត់ម៉ាស៊ីនបោះពុម្ព</t>
        </is>
      </c>
    </row>
    <row r="125" ht="15.75" customHeight="1" s="305">
      <c r="A125" s="3" t="inlineStr">
        <is>
          <t>GiaoHangNew.daNhanDon</t>
        </is>
      </c>
      <c r="B125" s="3" t="inlineStr">
        <is>
          <t>Cần giao</t>
        </is>
      </c>
      <c r="C125" s="3" t="inlineStr">
        <is>
          <t>Received orders</t>
        </is>
      </c>
      <c r="D125" s="3">
        <f>IFERROR(__xludf.DUMMYFUNCTION("GOOGLETRANSLATE(B125,""vi"",""km"")"),"ត្រូវការការដឹកជញ្ជូន")</f>
        <v/>
      </c>
      <c r="E125" s="3" t="inlineStr">
        <is>
          <t>ត្រូវការប្រគល់</t>
        </is>
      </c>
      <c r="F125" s="3" t="n"/>
      <c r="G125" s="3" t="inlineStr">
        <is>
          <t>ត្រូវការប្រគល់</t>
        </is>
      </c>
      <c r="H125" t="inlineStr">
        <is>
          <t>ត្រូវការប្រគល់</t>
        </is>
      </c>
      <c r="I125" s="217" t="inlineStr">
        <is>
          <t>"GiaoHangNew.daNhanDon": "ត្រូវការប្រគល់",</t>
        </is>
      </c>
      <c r="N125" s="3" t="inlineStr"/>
    </row>
    <row r="126" ht="15.75" customHeight="1" s="305">
      <c r="A126" s="3" t="inlineStr">
        <is>
          <t>nhanLai.titleTabCanXuLy</t>
        </is>
      </c>
      <c r="B126" s="3" t="inlineStr">
        <is>
          <t>Cần xử lý ({{total}})</t>
        </is>
      </c>
      <c r="C126" s="3" t="inlineStr">
        <is>
          <t>Process pending  ({{total}})</t>
        </is>
      </c>
      <c r="D126" s="3">
        <f>IFERROR(__xludf.DUMMYFUNCTION("GOOGLETRANSLATE(B126,""vi"",""km"")"),"ត្រូវការដំណើរការ ({{total}})")</f>
        <v/>
      </c>
      <c r="E126" s="3" t="inlineStr">
        <is>
          <t>ត្រូវការដោះស្រាយ</t>
        </is>
      </c>
      <c r="F126" s="3" t="n"/>
      <c r="G126" s="3" t="inlineStr">
        <is>
          <t>ត្រូវការដោះស្រាយ</t>
        </is>
      </c>
      <c r="H126" t="inlineStr">
        <is>
          <t>ត្រូវការដោះស្រាយ</t>
        </is>
      </c>
      <c r="I126" s="217" t="inlineStr">
        <is>
          <t>"nhanLai.titleTabCanXuLy": "ត្រូវការដោះស្រាយ",</t>
        </is>
      </c>
      <c r="N126" s="163" t="inlineStr">
        <is>
          <t>ដំណើរការកំពុងរង់ចាំ ({{សរុប}})</t>
        </is>
      </c>
    </row>
    <row r="127" ht="15.75" customHeight="1" s="305">
      <c r="A127" s="3" t="inlineStr">
        <is>
          <t>taoDon.height</t>
        </is>
      </c>
      <c r="B127" s="3" t="inlineStr">
        <is>
          <t>Cao</t>
        </is>
      </c>
      <c r="C127" s="3" t="inlineStr">
        <is>
          <t>Height</t>
        </is>
      </c>
      <c r="D127" s="3">
        <f>IFERROR(__xludf.DUMMYFUNCTION("GOOGLETRANSLATE(B127,""vi"",""km"")"),"ខ្ពស់")</f>
        <v/>
      </c>
      <c r="E127" s="3" t="inlineStr">
        <is>
          <t xml:space="preserve">កម្ពស់ </t>
        </is>
      </c>
      <c r="F127" s="3" t="n"/>
      <c r="G127" s="3" t="inlineStr">
        <is>
          <t>កម្ពស់</t>
        </is>
      </c>
      <c r="H127" t="inlineStr">
        <is>
          <t>កម្ពស់</t>
        </is>
      </c>
      <c r="I127" s="217" t="inlineStr">
        <is>
          <t>"taoDon.height": "កម្ពស់",</t>
        </is>
      </c>
      <c r="N127" s="3" t="inlineStr">
        <is>
          <t>កម្ពស់</t>
        </is>
      </c>
    </row>
    <row r="128" ht="15.75" customHeight="1" s="305">
      <c r="A128" s="3" t="inlineStr">
        <is>
          <t>traCuoc.placeholderHeight</t>
        </is>
      </c>
      <c r="B128" s="3" t="inlineStr">
        <is>
          <t>Cao (cm)</t>
        </is>
      </c>
      <c r="C128" s="3" t="inlineStr">
        <is>
          <t>Height (cm)</t>
        </is>
      </c>
      <c r="D128" s="3">
        <f>IFERROR(__xludf.DUMMYFUNCTION("GOOGLETRANSLATE(B128,""vi"",""km"")"),"កម្ពស់ (សង់ទីម៉ែត្រ)")</f>
        <v/>
      </c>
      <c r="E128" s="3" t="inlineStr">
        <is>
          <t>កម្ពស់ (សង់ទីម៉ែត្រ)</t>
        </is>
      </c>
      <c r="F128" s="3" t="n"/>
      <c r="G128" s="3" t="inlineStr">
        <is>
          <t>កម្ពស់ (សង់ទីម៉ែត្រ)</t>
        </is>
      </c>
      <c r="H128" t="inlineStr">
        <is>
          <t>កម្ពស់ (សង់ទីម៉ែត្រ)</t>
        </is>
      </c>
      <c r="I128" s="217" t="inlineStr">
        <is>
          <t>"traCuoc.placeholderHeight": "កម្ពស់ (សង់ទីម៉ែត្រ)",</t>
        </is>
      </c>
      <c r="N128" s="3" t="inlineStr">
        <is>
          <t>កម្ពស់ (សង់ទីម៉ែត្រ)</t>
        </is>
      </c>
    </row>
    <row r="129" ht="15.75" customHeight="1" s="305">
      <c r="A129" s="3" t="inlineStr">
        <is>
          <t>common.update</t>
        </is>
      </c>
      <c r="B129" s="3" t="inlineStr">
        <is>
          <t>Cập nhật</t>
        </is>
      </c>
      <c r="C129" s="3" t="inlineStr">
        <is>
          <t>Update</t>
        </is>
      </c>
      <c r="D129" s="3">
        <f>IFERROR(__xludf.DUMMYFUNCTION("GOOGLETRANSLATE(B129,""vi"",""km"")"),"ធ្វើបច្ចុប្បន្នភាព")</f>
        <v/>
      </c>
      <c r="E129" s="3" t="inlineStr">
        <is>
          <t>អាប់ដេត</t>
        </is>
      </c>
      <c r="F129" s="3" t="n"/>
      <c r="G129" s="3" t="inlineStr">
        <is>
          <t>ធ្វើបច្ចុប្បន្នភាព</t>
        </is>
      </c>
      <c r="H129" t="inlineStr">
        <is>
          <t>ធ្វើបច្ចុប្បន្នភាព</t>
        </is>
      </c>
      <c r="I129" s="217" t="inlineStr">
        <is>
          <t>"common.update": "ធ្វើបច្ចុប្បន្នភាព",</t>
        </is>
      </c>
      <c r="N129" s="3" t="inlineStr">
        <is>
          <t>ធ្វើបច្ចុប្បន្នភាព</t>
        </is>
      </c>
    </row>
    <row r="130" ht="15.75" customHeight="1" s="305">
      <c r="A130" s="3" t="inlineStr">
        <is>
          <t>GiaoHang.titleUpdateAddress</t>
        </is>
      </c>
      <c r="B130" s="3" t="inlineStr">
        <is>
          <t>Cập nhật địa chỉ</t>
        </is>
      </c>
      <c r="C130" s="3" t="inlineStr">
        <is>
          <t>Address update</t>
        </is>
      </c>
      <c r="D130" s="3">
        <f>IFERROR(__xludf.DUMMYFUNCTION("GOOGLETRANSLATE(B130,""vi"",""km"")"),"ធ្វើបច្ចុប្បន្នភាពអាសយដ្ឋាន")</f>
        <v/>
      </c>
      <c r="E130" s="3" t="inlineStr">
        <is>
          <t>អាប់ដេត</t>
        </is>
      </c>
      <c r="F130" s="3" t="n"/>
      <c r="G130" s="3" t="inlineStr">
        <is>
          <t>អាប់ដេត</t>
        </is>
      </c>
      <c r="H130" t="inlineStr">
        <is>
          <t>អាប់ដេត</t>
        </is>
      </c>
      <c r="I130" s="217" t="inlineStr">
        <is>
          <t>"GiaoHang.titleUpdateAddress": "អាប់ដេត",</t>
        </is>
      </c>
      <c r="N130" s="3" t="inlineStr">
        <is>
          <t>ធ្វើបច្ចុប្បន្នភាពអាសយដ្ឋាន</t>
        </is>
      </c>
    </row>
    <row r="131" ht="15.75" customHeight="1" s="305">
      <c r="A131" s="3" t="inlineStr">
        <is>
          <t>khaiThacDen.updateAddress</t>
        </is>
      </c>
      <c r="B131" s="3" t="inlineStr">
        <is>
          <t>Cập nhật địa chỉ</t>
        </is>
      </c>
      <c r="C131" s="3" t="inlineStr">
        <is>
          <t>Update address</t>
        </is>
      </c>
      <c r="D131" s="3">
        <f>IFERROR(__xludf.DUMMYFUNCTION("GOOGLETRANSLATE(B131,""vi"",""km"")"),"ធ្វើបច្ចុប្បន្នភាពអាសយដ្ឋាន")</f>
        <v/>
      </c>
      <c r="E131" s="3" t="inlineStr">
        <is>
          <t>អាប់ដេតអាស័យដ្ឋាន</t>
        </is>
      </c>
      <c r="F131" s="3" t="n"/>
      <c r="G131" s="3" t="inlineStr">
        <is>
          <t>អាប់ដេតអាសយដ្ឋាន</t>
        </is>
      </c>
      <c r="H131" t="inlineStr">
        <is>
          <t>អាប់ដេតអាសយដ្ឋាន</t>
        </is>
      </c>
      <c r="I131" s="217" t="inlineStr">
        <is>
          <t>"khaiThacDen.updateAddress": "អាប់ដេតអាសយដ្ឋាន",</t>
        </is>
      </c>
      <c r="N131" s="3" t="inlineStr">
        <is>
          <t>ធ្វើបច្ចុប្បន្នភាពអាសយដ្ឋាន</t>
        </is>
      </c>
    </row>
    <row r="132" ht="15.75" customHeight="1" s="305">
      <c r="A132" s="3" t="inlineStr">
        <is>
          <t>khaiThacDen.updateAddressSuccess</t>
        </is>
      </c>
      <c r="B132" s="3" t="inlineStr">
        <is>
          <t>Cập nhật địa chỉ thành công</t>
        </is>
      </c>
      <c r="C132" s="3" t="inlineStr">
        <is>
          <t>Update address successfully!</t>
        </is>
      </c>
      <c r="D132" s="3">
        <f>IFERROR(__xludf.DUMMYFUNCTION("GOOGLETRANSLATE(B132,""vi"",""km"")"),"អាសយដ្ឋានត្រូវបានធ្វើបច្ចុប្បន្នភាពដោយជោគជ័យ។")</f>
        <v/>
      </c>
      <c r="E132" s="3" t="inlineStr">
        <is>
          <t>អាប់ដេតអាសយដ្ឋានបានជោគជ័យ</t>
        </is>
      </c>
      <c r="F132" s="3" t="n"/>
      <c r="G132" s="3" t="inlineStr">
        <is>
          <t>អាប់ដេតអាសយដ្ឋានបានជោគជ័យ</t>
        </is>
      </c>
      <c r="H132" t="inlineStr">
        <is>
          <t>អាប់ដេតអាសយដ្ឋានបានជោគជ័យ</t>
        </is>
      </c>
      <c r="I132" s="217" t="inlineStr">
        <is>
          <t>"khaiThacDen.updateAddressSuccess": "អាប់ដេតអាសយដ្ឋានបានជោគជ័យ",</t>
        </is>
      </c>
      <c r="N132" s="3" t="inlineStr">
        <is>
          <t>ធ្វើបច្ចុប្បន្នភាពអាសយដ្ឋានដោយជោគជ័យ</t>
        </is>
      </c>
    </row>
    <row r="133" ht="15.75" customHeight="1" s="305">
      <c r="A133" s="3" t="inlineStr">
        <is>
          <t>khaiThacDen.updateAddressFail</t>
        </is>
      </c>
      <c r="B133" s="3" t="inlineStr">
        <is>
          <t>Cập nhật địa chỉ thất bại</t>
        </is>
      </c>
      <c r="C133" s="3" t="inlineStr">
        <is>
          <t>Fail to update address</t>
        </is>
      </c>
      <c r="D133" s="3">
        <f>IFERROR(__xludf.DUMMYFUNCTION("GOOGLETRANSLATE(B133,""vi"",""km"")"),"ការអាប់ដេតអាសយដ្ឋានបានបរាជ័យ។")</f>
        <v/>
      </c>
      <c r="E133" s="3" t="inlineStr">
        <is>
          <t>អាប់ដេតអាសយដ្ឋានបរាជ័យ</t>
        </is>
      </c>
      <c r="F133" s="3" t="n"/>
      <c r="G133" s="3" t="inlineStr">
        <is>
          <t>អាប់ដេតអាសយដ្ឋានបរាជ័យ</t>
        </is>
      </c>
      <c r="H133" t="inlineStr">
        <is>
          <t>អាប់ដេតអាសយដ្ឋានបរាជ័យ</t>
        </is>
      </c>
      <c r="I133" s="217" t="inlineStr">
        <is>
          <t>"khaiThacDen.updateAddressFail": "អាប់ដេតអាសយដ្ឋានបរាជ័យ",</t>
        </is>
      </c>
      <c r="N133" s="3" t="inlineStr">
        <is>
          <t>ធ្វើបច្ចុប្បន្នភាពអាសយដ្ឋានមិនជោគជ័យ</t>
        </is>
      </c>
    </row>
    <row r="134" ht="15.75" customHeight="1" s="305">
      <c r="A134" s="3" t="inlineStr">
        <is>
          <t>change_password.password_updated_successfully</t>
        </is>
      </c>
      <c r="B134" s="3" t="inlineStr">
        <is>
          <t>Cập nhật mật khẩu mới thành công!</t>
        </is>
      </c>
      <c r="C134" s="3" t="inlineStr">
        <is>
          <t>Password updated successfully!</t>
        </is>
      </c>
      <c r="D134" s="3">
        <f>IFERROR(__xludf.DUMMYFUNCTION("GOOGLETRANSLATE(B134,""vi"",""km"")"),"ការអាប់ដេតពាក្យសម្ងាត់បានជោគជ័យហើយ!")</f>
        <v/>
      </c>
      <c r="E134" s="3" t="inlineStr">
        <is>
          <t xml:space="preserve">អាប់ដេតពាក្យសម្ងាត់ថ្មីបានជោគជ័យ! </t>
        </is>
      </c>
      <c r="F134" s="3" t="n"/>
      <c r="G134" s="3" t="inlineStr">
        <is>
          <t>អាប់ដេតពាក្យសម្ងាត់ថ្មីបានជោគជ័យ!</t>
        </is>
      </c>
      <c r="H134" t="inlineStr">
        <is>
          <t>អាប់ដេតពាក្យសម្ងាត់ថ្មីបានជោគជ័យ!</t>
        </is>
      </c>
      <c r="I134" s="217" t="inlineStr">
        <is>
          <t>"change_password.password_updated_successfully": "អាប់ដេតពាក្យសម្ងាត់ថ្មីបានជោគជ័យ!",</t>
        </is>
      </c>
      <c r="N134" s="3" t="inlineStr">
        <is>
          <t>បានធ្វើបច្ចុប្បន្នភាពពាក្យសម្ងាត់ដោយជោគជ័យ!</t>
        </is>
      </c>
    </row>
    <row r="135" ht="15.75" customHeight="1" s="305">
      <c r="A135" s="3" t="inlineStr">
        <is>
          <t>login.forceUpdateButtonText</t>
        </is>
      </c>
      <c r="B135" s="3" t="inlineStr">
        <is>
          <t>Cập nhật ngay</t>
        </is>
      </c>
      <c r="C135" s="3" t="inlineStr">
        <is>
          <t>Update Now</t>
        </is>
      </c>
      <c r="D135" s="3">
        <f>IFERROR(__xludf.DUMMYFUNCTION("GOOGLETRANSLATE(B135,""vi"",""km"")"),"ធ្វើបច្ចុប្បន្នភាពឥឡូវនេះ")</f>
        <v/>
      </c>
      <c r="E135" s="3" t="inlineStr">
        <is>
          <t>អាប់ដេត អីឡូវនេះ</t>
        </is>
      </c>
      <c r="F135" s="3" t="n"/>
      <c r="G135" s="3" t="inlineStr">
        <is>
          <t>អាប់ដេត អីឡូវនេះ</t>
        </is>
      </c>
      <c r="H135" t="inlineStr">
        <is>
          <t>អាប់ដេត អីឡូវនេះ</t>
        </is>
      </c>
      <c r="I135" s="217" t="inlineStr">
        <is>
          <t>"login.forceUpdateButtonText": "អាប់ដេត អីឡូវនេះ",</t>
        </is>
      </c>
      <c r="N135" s="3" t="inlineStr">
        <is>
          <t>ធ្វើបច្ចុប្បន្នភាពឥឡូវ</t>
        </is>
      </c>
    </row>
    <row r="136" ht="15.75" customHeight="1" s="305">
      <c r="A136" s="3" t="inlineStr">
        <is>
          <t>suaDon.update</t>
        </is>
      </c>
      <c r="B136" s="3" t="inlineStr">
        <is>
          <t>Cập nhật sửa đổi</t>
        </is>
      </c>
      <c r="C136" s="3" t="inlineStr">
        <is>
          <t>Update modification</t>
        </is>
      </c>
      <c r="D136" s="3">
        <f>IFERROR(__xludf.DUMMYFUNCTION("GOOGLETRANSLATE(B136,""vi"",""km"")"),"ធ្វើបច្ចុប្បន្នភាពកំណែ")</f>
        <v/>
      </c>
      <c r="E136" s="3" t="inlineStr">
        <is>
          <t>អាប់ដេតការកែសម្រួល</t>
        </is>
      </c>
      <c r="F136" s="3" t="n"/>
      <c r="G136" s="3" t="inlineStr">
        <is>
          <t>អាប់ដេតការកែសម្រួល</t>
        </is>
      </c>
      <c r="H136" t="inlineStr">
        <is>
          <t>អាប់ដេតការកែសម្រួល</t>
        </is>
      </c>
      <c r="I136" s="217" t="inlineStr">
        <is>
          <t>"suaDon.update": "អាប់ដេតការកែសម្រួល",</t>
        </is>
      </c>
      <c r="N136" s="3" t="inlineStr">
        <is>
          <t>ធ្វើបច្ចុប្បន្នភាពការកែប្រែ</t>
        </is>
      </c>
    </row>
    <row r="137" ht="15.75" customHeight="1" s="305">
      <c r="A137" s="3" t="inlineStr">
        <is>
          <t>tongGiao.capNhatTrangThai</t>
        </is>
      </c>
      <c r="B137" s="3" t="inlineStr">
        <is>
          <t>Cập nhật trạng thái</t>
        </is>
      </c>
      <c r="C137" s="3" t="inlineStr">
        <is>
          <t>Update status</t>
        </is>
      </c>
      <c r="D137" s="3">
        <f>IFERROR(__xludf.DUMMYFUNCTION("GOOGLETRANSLATE(B137,""vi"",""km"")"),"ធ្វើបច្ចុប្បន្នភាពស្ថានភាព")</f>
        <v/>
      </c>
      <c r="E137" s="3" t="inlineStr">
        <is>
          <t>អាប់ដេតស្ថានភាព</t>
        </is>
      </c>
      <c r="F137" s="3" t="inlineStr">
        <is>
          <t>ដល់ត្រឹមនេះ</t>
        </is>
      </c>
      <c r="G137" s="3" t="inlineStr">
        <is>
          <t>អាប់ដេតស្ថានភាព</t>
        </is>
      </c>
      <c r="H137" t="inlineStr">
        <is>
          <t>អាប់ដេតស្ថានភាព</t>
        </is>
      </c>
      <c r="I137" s="217" t="inlineStr">
        <is>
          <t>"tongGiao.capNhatTrangThai": "អាប់ដេតស្ថានភាព",</t>
        </is>
      </c>
      <c r="N137" s="3" t="inlineStr"/>
    </row>
    <row r="138" ht="15.75" customHeight="1" s="305">
      <c r="A138" s="3" t="inlineStr">
        <is>
          <t>banGiao.config</t>
        </is>
      </c>
      <c r="B138" s="3" t="inlineStr">
        <is>
          <t>Cấu hình</t>
        </is>
      </c>
      <c r="C138" s="143" t="inlineStr">
        <is>
          <t>Configuration</t>
        </is>
      </c>
      <c r="D138" s="3">
        <f>IFERROR(__xludf.DUMMYFUNCTION("GOOGLETRANSLATE(B138,""vi"",""km"")"),"ការកំណត់រចនាសម្ព័ន្ធ")</f>
        <v/>
      </c>
      <c r="E138" s="3" t="inlineStr">
        <is>
          <t>ទម្រង់</t>
        </is>
      </c>
      <c r="F138" s="3" t="n"/>
      <c r="G138" s="3" t="inlineStr">
        <is>
          <t>ទម្រង់</t>
        </is>
      </c>
      <c r="H138" t="inlineStr">
        <is>
          <t>ទម្រង់</t>
        </is>
      </c>
      <c r="I138" s="217" t="inlineStr">
        <is>
          <t>"banGiao.config": "ទម្រង់",</t>
        </is>
      </c>
      <c r="N138" s="3" t="inlineStr"/>
    </row>
    <row r="139" ht="15.75" customHeight="1" s="305">
      <c r="A139" s="3" t="inlineStr">
        <is>
          <t>DongTai.line</t>
        </is>
      </c>
      <c r="B139" s="3" t="inlineStr">
        <is>
          <t>Cấu hình</t>
        </is>
      </c>
      <c r="C139" s="3" t="inlineStr">
        <is>
          <t>Follow the route</t>
        </is>
      </c>
      <c r="D139" s="3">
        <f>IFERROR(__xludf.DUMMYFUNCTION("GOOGLETRANSLATE(B139,""vi"",""km"")"),"ការកំណត់រចនាសម្ព័ន្ធ")</f>
        <v/>
      </c>
      <c r="E139" s="3" t="inlineStr">
        <is>
          <t>ទម្រង់</t>
        </is>
      </c>
      <c r="F139" s="3" t="n"/>
      <c r="G139" s="3" t="inlineStr">
        <is>
          <t>ទម្រង់</t>
        </is>
      </c>
      <c r="H139" t="inlineStr">
        <is>
          <t>ទម្រង់</t>
        </is>
      </c>
      <c r="I139" s="217" t="inlineStr">
        <is>
          <t>"DongTai.line": "ទម្រង់",</t>
        </is>
      </c>
      <c r="N139" s="3" t="inlineStr"/>
    </row>
    <row r="140" ht="15.75" customHeight="1" s="305">
      <c r="A140" s="3" t="inlineStr">
        <is>
          <t>GiaoHang.configPrint</t>
        </is>
      </c>
      <c r="B140" s="3" t="inlineStr">
        <is>
          <t>Cấu hình mẫu in</t>
        </is>
      </c>
      <c r="C140" s="3" t="inlineStr">
        <is>
          <t>Print config</t>
        </is>
      </c>
      <c r="D140" s="3">
        <f>IFERROR(__xludf.DUMMYFUNCTION("GOOGLETRANSLATE(B140,""vi"",""km"")"),"ការកំណត់រចនាសម្ព័ន្ធគំរូបោះពុម្ព")</f>
        <v/>
      </c>
      <c r="E140" s="3" t="inlineStr">
        <is>
          <t>ទម្រង់គម្រូព្រីន</t>
        </is>
      </c>
      <c r="F140" s="3" t="n"/>
      <c r="G140" s="3" t="inlineStr">
        <is>
          <t>ទម្រង់គម្រូព្រីន</t>
        </is>
      </c>
      <c r="H140" t="inlineStr">
        <is>
          <t>ទម្រង់គម្រូព្រីន</t>
        </is>
      </c>
      <c r="I140" s="217" t="inlineStr">
        <is>
          <t>"GiaoHang.configPrint": "ទម្រង់គម្រូព្រីន",</t>
        </is>
      </c>
      <c r="N140" s="3" t="inlineStr">
        <is>
          <t>កំណត់រចនាសម្ព័ន្ធពុម្ពបោះពុម្ព</t>
        </is>
      </c>
    </row>
    <row r="141" ht="15.75" customHeight="1" s="305">
      <c r="A141" s="3" t="inlineStr">
        <is>
          <t>DongTai.delayOrderBy</t>
        </is>
      </c>
      <c r="B141" s="3" t="inlineStr">
        <is>
          <t>Chậm đóng đi {{days}} ngày, {{hours}} giờ, {{minutes}} phút</t>
        </is>
      </c>
      <c r="C141" s="3" t="inlineStr">
        <is>
          <t>Delayed for {{days}} days, {{hours}} hrs, {{minutes}} mins</t>
        </is>
      </c>
      <c r="D141" s="3">
        <f>IFERROR(__xludf.DUMMYFUNCTION("GOOGLETRANSLATE(B141,""vi"",""km"")"),"ការបិទត្រូវបានពន្យារពេល {{days}} ថ្ងៃ, {{hours}} ម៉ោង, {{minutes}} នាទី")</f>
        <v/>
      </c>
      <c r="E141" s="3" t="inlineStr">
        <is>
          <t>ការវេចខ្ចប់យឺតយ៉ាវ {{days}} ថ្ងៃ, {{hours}} ម៉ោង, {{minutes}} នាទី</t>
        </is>
      </c>
      <c r="F141" s="3" t="n"/>
      <c r="G141" s="3" t="inlineStr">
        <is>
          <t>ការវេចខ្ចប់យឺតយ៉ាវ {{days}} ថ្ងៃ, {{hours}} ម៉ោង, {{minutes}} នាទី</t>
        </is>
      </c>
      <c r="H141" t="inlineStr">
        <is>
          <t>ការវេចខ្ចប់យឺតយ៉ាវ {{days}} ថ្ងៃ, {{hours}} ម៉ោង, {{minutes}} នាទី</t>
        </is>
      </c>
      <c r="I141" s="217" t="inlineStr">
        <is>
          <t>"DongTai.delayOrderBy": "ការវេចខ្ចប់យឺតយ៉ាវ {{days}} ថ្ងៃ, {{hours}} ម៉ោង, {{minutes}} នាទី",</t>
        </is>
      </c>
      <c r="N141" s="3" t="inlineStr">
        <is>
          <t>យឺតបិទ{{days}} ថ្ងៃ, {{hours}} ម៉ោង, {{minutes}} នាទី</t>
        </is>
      </c>
    </row>
    <row r="142" ht="15.75" customHeight="1" s="305">
      <c r="A142" s="3" t="inlineStr">
        <is>
          <t>login.title</t>
        </is>
      </c>
      <c r="B142" s="3" t="inlineStr">
        <is>
          <t>Chào mừng bạn đến với Metfone Express</t>
        </is>
      </c>
      <c r="C142" s="3" t="inlineStr">
        <is>
          <t>Welcome to Metfone Express</t>
        </is>
      </c>
      <c r="D142" s="3">
        <f>IFERROR(__xludf.DUMMYFUNCTION("GOOGLETRANSLATE(B142,""vi"",""km"")"),"សូមស្វាគមន៍មកកាន់ Metfone Express")</f>
        <v/>
      </c>
      <c r="E142" s="3" t="inlineStr">
        <is>
          <t>សូមស្វាគមន៍មកកាន់ Metfone Express</t>
        </is>
      </c>
      <c r="F142" s="3" t="n"/>
      <c r="G142" s="3" t="inlineStr">
        <is>
          <t>សូមស្វាគមន៍មកកាន់ Metfone Express</t>
        </is>
      </c>
      <c r="H142" t="inlineStr">
        <is>
          <t>សូមស្វាគមន៍មកកាន់ Metfone Express</t>
        </is>
      </c>
      <c r="I142" s="217" t="inlineStr">
        <is>
          <t>"login.title": "សូមស្វាគមន៍មកកាន់ Metfone Express",</t>
        </is>
      </c>
      <c r="N142" s="3" t="inlineStr">
        <is>
          <t>ខ្ចប់</t>
        </is>
      </c>
    </row>
    <row r="143" ht="15.75" customHeight="1" s="305">
      <c r="A143" s="3" t="inlineStr">
        <is>
          <t>taoDon.liquid</t>
        </is>
      </c>
      <c r="B143" s="3" t="inlineStr">
        <is>
          <t>Chất lỏng</t>
        </is>
      </c>
      <c r="C143" s="3" t="inlineStr">
        <is>
          <t>Liquid</t>
        </is>
      </c>
      <c r="D143" s="3">
        <f>IFERROR(__xludf.DUMMYFUNCTION("GOOGLETRANSLATE(B143,""vi"",""km"")"),"រាវ")</f>
        <v/>
      </c>
      <c r="E143" s="3" t="inlineStr">
        <is>
          <t>ធាតុរាវ</t>
        </is>
      </c>
      <c r="F143" s="3" t="n"/>
      <c r="G143" s="3" t="inlineStr">
        <is>
          <t>ធាតុរាវ</t>
        </is>
      </c>
      <c r="H143" t="inlineStr">
        <is>
          <t>ធាតុរាវ</t>
        </is>
      </c>
      <c r="I143" s="217" t="inlineStr">
        <is>
          <t>"taoDon.liquid": "ធាតុរាវ",</t>
        </is>
      </c>
      <c r="N143" s="3" t="inlineStr">
        <is>
          <t>រាវ</t>
        </is>
      </c>
    </row>
    <row r="144" ht="15.75" customHeight="1" s="305">
      <c r="A144" s="3" t="inlineStr">
        <is>
          <t>GiaoHang.descReasonRejectQuality</t>
        </is>
      </c>
      <c r="B144" s="3" t="inlineStr">
        <is>
          <t>Chất lượng kém</t>
        </is>
      </c>
      <c r="C144" s="3" t="inlineStr">
        <is>
          <t>Low-qualitied</t>
        </is>
      </c>
      <c r="D144" s="3">
        <f>IFERROR(__xludf.DUMMYFUNCTION("GOOGLETRANSLATE(B144,""vi"",""km"")"),"គុណភាពអន់")</f>
        <v/>
      </c>
      <c r="E144" s="3" t="inlineStr">
        <is>
          <t>គុណភាពអន់</t>
        </is>
      </c>
      <c r="F144" s="3" t="n"/>
      <c r="G144" s="3" t="inlineStr">
        <is>
          <t>គុណភាពអន់</t>
        </is>
      </c>
      <c r="H144" t="inlineStr">
        <is>
          <t>គុណភាពអន់</t>
        </is>
      </c>
      <c r="I144" s="217" t="inlineStr">
        <is>
          <t>"GiaoHang.descReasonRejectQuality": "គុណភាពអន់",</t>
        </is>
      </c>
      <c r="N144" s="3" t="inlineStr">
        <is>
          <t>គុណភាព​អន់</t>
        </is>
      </c>
    </row>
    <row r="145" ht="15.75" customHeight="1" s="305">
      <c r="A145" s="3" t="inlineStr">
        <is>
          <t>tms.checkin</t>
        </is>
      </c>
      <c r="B145" s="3" t="inlineStr">
        <is>
          <t>Check in</t>
        </is>
      </c>
      <c r="C145" s="3" t="inlineStr">
        <is>
          <t>Check in</t>
        </is>
      </c>
      <c r="D145" s="3">
        <f>IFERROR(__xludf.DUMMYFUNCTION("GOOGLETRANSLATE(B145,""vi"",""km"")"),"ចុះឈ្មោះចូល")</f>
        <v/>
      </c>
      <c r="E145" s="3" t="inlineStr">
        <is>
          <t>Check in</t>
        </is>
      </c>
      <c r="F145" s="3" t="n"/>
      <c r="G145" s="3" t="inlineStr">
        <is>
          <t>Check in</t>
        </is>
      </c>
      <c r="H145" t="inlineStr">
        <is>
          <t>Check in</t>
        </is>
      </c>
      <c r="I145" s="217" t="inlineStr">
        <is>
          <t>"tms.checkin": "Check in",</t>
        </is>
      </c>
      <c r="N145" s="3" t="inlineStr"/>
    </row>
    <row r="146" ht="15.75" customHeight="1" s="305">
      <c r="A146" s="3" t="inlineStr">
        <is>
          <t>tms.checkout</t>
        </is>
      </c>
      <c r="B146" s="3" t="inlineStr">
        <is>
          <t>Check out</t>
        </is>
      </c>
      <c r="C146" s="3" t="inlineStr">
        <is>
          <t>Check out</t>
        </is>
      </c>
      <c r="D146" s="3">
        <f>IFERROR(__xludf.DUMMYFUNCTION("GOOGLETRANSLATE(B146,""vi"",""km"")"),"ពិនិត្យចេញ")</f>
        <v/>
      </c>
      <c r="E146" s="3" t="inlineStr">
        <is>
          <t>Check out</t>
        </is>
      </c>
      <c r="F146" s="3" t="n"/>
      <c r="G146" s="3" t="inlineStr">
        <is>
          <t>Check out</t>
        </is>
      </c>
      <c r="H146" t="inlineStr">
        <is>
          <t>Check out</t>
        </is>
      </c>
      <c r="I146" s="217" t="inlineStr">
        <is>
          <t>"tms.checkout": "Check out",</t>
        </is>
      </c>
      <c r="N146" s="3" t="inlineStr"/>
    </row>
    <row r="147" ht="15.75" customHeight="1" s="305">
      <c r="A147" s="3" t="inlineStr">
        <is>
          <t>tms.checkoutLocationSuccess</t>
        </is>
      </c>
      <c r="B147" s="3" t="inlineStr">
        <is>
          <t>Check out thành công</t>
        </is>
      </c>
      <c r="C147" s="3" t="inlineStr">
        <is>
          <t>Checked out successfully</t>
        </is>
      </c>
      <c r="D147" s="3">
        <f>IFERROR(__xludf.DUMMYFUNCTION("GOOGLETRANSLATE(B147,""vi"",""km"")"),"ការទូទាត់ប្រាក់បានជោគជ័យ")</f>
        <v/>
      </c>
      <c r="E147" s="3" t="inlineStr">
        <is>
          <t>Check outបានជោគជ័យ</t>
        </is>
      </c>
      <c r="F147" s="3" t="n"/>
      <c r="G147" s="3" t="inlineStr">
        <is>
          <t>Check outបានជោគជ័យ</t>
        </is>
      </c>
      <c r="H147" t="inlineStr">
        <is>
          <t>Check outបានជោគជ័យ</t>
        </is>
      </c>
      <c r="I147" s="217" t="inlineStr">
        <is>
          <t>"tms.checkoutLocationSuccess": "Check outបានជោគជ័យ",</t>
        </is>
      </c>
      <c r="N147" s="3" t="inlineStr"/>
    </row>
    <row r="148" ht="15.75" customHeight="1" s="305">
      <c r="A148" s="3" t="inlineStr">
        <is>
          <t>taoDon.errorMaxLength</t>
        </is>
      </c>
      <c r="B148" s="3" t="inlineStr">
        <is>
          <t>Chỉ được nhập tối đa {{maxLength}} ký tự</t>
        </is>
      </c>
      <c r="C148" s="3" t="inlineStr">
        <is>
          <t>Maximum input length is {{maxLength}} characters.</t>
        </is>
      </c>
      <c r="D148" s="3">
        <f>IFERROR(__xludf.DUMMYFUNCTION("GOOGLETRANSLATE(B148,""vi"",""km"")"),"អ្នកអាចបញ្ចូលតួអក្សរបានត្រឹមតែអតិបរមា {{maxLength}} ប៉ុណ្ណោះ។")</f>
        <v/>
      </c>
      <c r="E148" s="3" t="inlineStr">
        <is>
          <t>អាចបញ្ចូលបានយ៉ាងច្រើន {{maxLength}} តួអក្សរលេខ</t>
        </is>
      </c>
      <c r="F148" s="3" t="n"/>
      <c r="G148" s="3" t="inlineStr">
        <is>
          <t>អាចបញ្ចូលបានយ៉ាងច្រើន {{maxLength}} តួអក្សរលេខ</t>
        </is>
      </c>
      <c r="H148" t="inlineStr">
        <is>
          <t>អាចបញ្ចូលបានយ៉ាងច្រើន {{maxLength}} តួអក្សរលេខ</t>
        </is>
      </c>
      <c r="I148" s="217" t="inlineStr">
        <is>
          <t>"taoDon.errorMaxLength": "អាចបញ្ចូលបានយ៉ាងច្រើន {{maxLength}} តួអក្សរលេខ",</t>
        </is>
      </c>
      <c r="N148" s="3" t="inlineStr">
        <is>
          <t>អាចបញ្ចូលបានច្រើនបំផុត {{maxLength}} តួអក្សរ</t>
        </is>
      </c>
    </row>
    <row r="149" ht="15.75" customHeight="1" s="305">
      <c r="A149" s="3" t="inlineStr">
        <is>
          <t>nhanHang.chitiet</t>
        </is>
      </c>
      <c r="B149" s="3" t="inlineStr">
        <is>
          <t>Chi tiết</t>
        </is>
      </c>
      <c r="C149" s="3" t="inlineStr">
        <is>
          <t>Details</t>
        </is>
      </c>
      <c r="D149" s="3">
        <f>IFERROR(__xludf.DUMMYFUNCTION("GOOGLETRANSLATE(B149,""vi"",""km"")"),"ព័ត៌មានលម្អិត")</f>
        <v/>
      </c>
      <c r="E149" s="3" t="inlineStr">
        <is>
          <t>លម្អិត</t>
        </is>
      </c>
      <c r="F149" s="3" t="n"/>
      <c r="G149" s="3" t="inlineStr">
        <is>
          <t>ព័ត៌មានលម្អិត</t>
        </is>
      </c>
      <c r="H149" t="inlineStr">
        <is>
          <t>ព័ត៌មានលម្អិត</t>
        </is>
      </c>
      <c r="I149" s="217" t="inlineStr">
        <is>
          <t>"nhanHang.chitiet": "ព័ត៌មានលម្អិត",</t>
        </is>
      </c>
      <c r="N149" s="3" t="inlineStr">
        <is>
          <t>ព័ត៌មានលម្អិត</t>
        </is>
      </c>
    </row>
    <row r="150" ht="15.75" customHeight="1" s="305">
      <c r="A150" s="3" t="inlineStr">
        <is>
          <t>dieuHanh.detail</t>
        </is>
      </c>
      <c r="B150" s="3" t="inlineStr">
        <is>
          <t>Chi tiết</t>
        </is>
      </c>
      <c r="C150" s="3" t="inlineStr">
        <is>
          <t>Details</t>
        </is>
      </c>
      <c r="D150" s="3">
        <f>IFERROR(__xludf.DUMMYFUNCTION("GOOGLETRANSLATE(B150,""vi"",""km"")"),"ព័ត៌មានលម្អិត")</f>
        <v/>
      </c>
      <c r="E150" s="3" t="inlineStr">
        <is>
          <t>លម្អិត</t>
        </is>
      </c>
      <c r="F150" s="3" t="n"/>
      <c r="G150" s="3" t="inlineStr">
        <is>
          <t>ព័ត៌មានលម្អិត</t>
        </is>
      </c>
      <c r="H150" t="inlineStr">
        <is>
          <t>ព័ត៌មានលម្អិត</t>
        </is>
      </c>
      <c r="I150" s="217" t="inlineStr">
        <is>
          <t>"dieuHanh.detail": "ព័ត៌មានលម្អិត",</t>
        </is>
      </c>
      <c r="N150" s="3" t="inlineStr">
        <is>
          <t>ព័ត៌មានលម្អិត</t>
        </is>
      </c>
    </row>
    <row r="151" ht="15.75" customHeight="1" s="305">
      <c r="A151" s="3" t="inlineStr">
        <is>
          <t>PhanCong.titleDetailAssignFw</t>
        </is>
      </c>
      <c r="B151" s="3" t="inlineStr">
        <is>
          <t>Chi tiết chuyển phân công</t>
        </is>
      </c>
      <c r="C151" s="3" t="inlineStr">
        <is>
          <t>Forwarded-assignment details</t>
        </is>
      </c>
      <c r="D151" s="3">
        <f>IFERROR(__xludf.DUMMYFUNCTION("GOOGLETRANSLATE(B151,""vi"",""km"")"),"ព័ត៌មានលម្អិតនៃការផ្ទេរភារកិច្ច")</f>
        <v/>
      </c>
      <c r="E151" s="3" t="inlineStr">
        <is>
          <t>លម្អិតពីការផ្ទេរការបែងចែក</t>
        </is>
      </c>
      <c r="F151" s="3" t="n"/>
      <c r="G151" s="3" t="inlineStr">
        <is>
          <t>លម្អិតពីការផ្ទេរការបែងចែក</t>
        </is>
      </c>
      <c r="H151" t="inlineStr">
        <is>
          <t>លម្អិតពីការផ្ទេរការបែងចែក</t>
        </is>
      </c>
      <c r="I151" s="217" t="inlineStr">
        <is>
          <t>"PhanCong.titleDetailAssignFw": "លម្អិតពីការផ្ទេរការបែងចែក",</t>
        </is>
      </c>
      <c r="N151" s="3" t="inlineStr">
        <is>
          <t>ព័ត៌មានលម្អិតផ្ទេរការចែកចាយ</t>
        </is>
      </c>
    </row>
    <row r="152" ht="15.75" customHeight="1" s="305">
      <c r="A152" s="3" t="inlineStr">
        <is>
          <t>khaiThacDen.billDetail</t>
        </is>
      </c>
      <c r="B152" s="3" t="inlineStr">
        <is>
          <t>Chi tiết đơn</t>
        </is>
      </c>
      <c r="C152" s="3" t="inlineStr">
        <is>
          <t>Details</t>
        </is>
      </c>
      <c r="D152" s="3">
        <f>IFERROR(__xludf.DUMMYFUNCTION("GOOGLETRANSLATE(B152,""vi"",""km"")"),"ព័ត៌មានលម្អិតអំពីការបញ្ជាទិញ")</f>
        <v/>
      </c>
      <c r="E152" s="3" t="inlineStr">
        <is>
          <t>លម្អិតពីបុងបញ្ញើ</t>
        </is>
      </c>
      <c r="F152" s="3" t="n"/>
      <c r="G152" s="3" t="inlineStr">
        <is>
          <t>លម្អិតពីបុងបញ្ញើ</t>
        </is>
      </c>
      <c r="H152" t="inlineStr">
        <is>
          <t>លម្អិតពីបុងបញ្ញើ</t>
        </is>
      </c>
      <c r="I152" s="217" t="inlineStr">
        <is>
          <t>"khaiThacDen.billDetail": "លម្អិតពីបុងបញ្ញើ",</t>
        </is>
      </c>
      <c r="N152" s="3" t="inlineStr">
        <is>
          <t>ព័ត៌មានលម្អិតកញ្ចប់បញ្ញើ</t>
        </is>
      </c>
    </row>
    <row r="153" ht="15.75" customHeight="1" s="305">
      <c r="A153" s="3" t="inlineStr">
        <is>
          <t>taoDon.orderDetails</t>
        </is>
      </c>
      <c r="B153" s="3" t="inlineStr">
        <is>
          <t>Chi tiết đơn hàng</t>
        </is>
      </c>
      <c r="C153" s="3" t="inlineStr">
        <is>
          <t>Order details</t>
        </is>
      </c>
      <c r="D153" s="3">
        <f>IFERROR(__xludf.DUMMYFUNCTION("GOOGLETRANSLATE(B153,""vi"",""km"")"),"ព័ត៌មានលម្អិតអំពីការបញ្ជាទិញ")</f>
        <v/>
      </c>
      <c r="E153" s="3" t="inlineStr">
        <is>
          <t>លម្អិតបុងអីវ៉ាន់</t>
        </is>
      </c>
      <c r="F153" s="3" t="n"/>
      <c r="G153" s="3" t="inlineStr">
        <is>
          <t>លម្អិតបុងអីវ៉ាន់</t>
        </is>
      </c>
      <c r="H153" t="inlineStr">
        <is>
          <t>លម្អិតបុងអីវ៉ាន់</t>
        </is>
      </c>
      <c r="I153" s="217" t="inlineStr">
        <is>
          <t>"taoDon.orderDetails": "លម្អិតបុងអីវ៉ាន់",</t>
        </is>
      </c>
      <c r="N153" s="3" t="inlineStr">
        <is>
          <t>ព័ត៌មានលម្អិតបញ្ជី</t>
        </is>
      </c>
    </row>
    <row r="154" ht="15.75" customHeight="1" s="305">
      <c r="A154" s="3" t="inlineStr">
        <is>
          <t>PhanCong.titleDetailAssign</t>
        </is>
      </c>
      <c r="B154" s="3" t="inlineStr">
        <is>
          <t>Chi tiết phân công</t>
        </is>
      </c>
      <c r="C154" s="3" t="inlineStr">
        <is>
          <t>Assignment details</t>
        </is>
      </c>
      <c r="D154" s="3">
        <f>IFERROR(__xludf.DUMMYFUNCTION("GOOGLETRANSLATE(B154,""vi"",""km"")"),"ព័ត៌មានលម្អិតអំពីកិច្ចការ")</f>
        <v/>
      </c>
      <c r="E154" s="3" t="inlineStr">
        <is>
          <t>លម្អិតពីការបែងចែក</t>
        </is>
      </c>
      <c r="F154" s="3" t="n"/>
      <c r="G154" s="3" t="inlineStr">
        <is>
          <t>លម្អិតពីការបែងចែក</t>
        </is>
      </c>
      <c r="H154" t="inlineStr">
        <is>
          <t>លម្អិតពីការបែងចែក</t>
        </is>
      </c>
      <c r="I154" s="217" t="inlineStr">
        <is>
          <t>"PhanCong.titleDetailAssign": "លម្អិតពីការបែងចែក",</t>
        </is>
      </c>
      <c r="N154" s="3" t="inlineStr">
        <is>
          <t>ព័ត៌មានលម្អិតការចែកចាយ</t>
        </is>
      </c>
    </row>
    <row r="155" ht="15.75" customHeight="1" s="305">
      <c r="A155" s="3" t="inlineStr">
        <is>
          <t>suaDon.titleDetail</t>
        </is>
      </c>
      <c r="B155" s="3" t="inlineStr">
        <is>
          <t>Chi tiết sửa đơn</t>
        </is>
      </c>
      <c r="C155" s="3" t="inlineStr">
        <is>
          <t>Modification details</t>
        </is>
      </c>
      <c r="D155" s="3">
        <f>IFERROR(__xludf.DUMMYFUNCTION("GOOGLETRANSLATE(B155,""vi"",""km"")"),"ព័ត៌មានលម្អិតអំពីការកែប្រែការបញ្ជាទិញ")</f>
        <v/>
      </c>
      <c r="E155" s="3" t="inlineStr">
        <is>
          <t>លម្អិតពីការកែបុងបញ្ញើ</t>
        </is>
      </c>
      <c r="F155" s="3" t="n"/>
      <c r="G155" s="3" t="inlineStr">
        <is>
          <t>លម្អិតពីការកែបុងបញ្ញើ</t>
        </is>
      </c>
      <c r="H155" t="inlineStr">
        <is>
          <t>លម្អិតពីការកែបុងបញ្ញើ</t>
        </is>
      </c>
      <c r="I155" s="217" t="inlineStr">
        <is>
          <t>"suaDon.titleDetail": "លម្អិតពីការកែបុងបញ្ញើ",</t>
        </is>
      </c>
      <c r="N155" s="3" t="inlineStr">
        <is>
          <t>ព័ត៌មានលម្អិតនៃការកែតម្រូវ</t>
        </is>
      </c>
    </row>
    <row r="156" ht="15.75" customHeight="1" s="305">
      <c r="A156" s="3" t="inlineStr">
        <is>
          <t>khaiThacDen.billCodeDetail</t>
        </is>
      </c>
      <c r="B156" s="3" t="inlineStr">
        <is>
          <t>Chi tiết tải/kiện</t>
        </is>
      </c>
      <c r="C156" s="3" t="inlineStr">
        <is>
          <t>Sack/package details</t>
        </is>
      </c>
      <c r="D156" s="3">
        <f>IFERROR(__xludf.DUMMYFUNCTION("GOOGLETRANSLATE(B156,""vi"",""km"")"),"កំពុងផ្ទុក/ព័ត៌មានលម្អិតអំពីកញ្ចប់")</f>
        <v/>
      </c>
      <c r="E156" s="3" t="inlineStr">
        <is>
          <t>លម្អិតពីជើងដឹក/អីវ៉ាន់</t>
        </is>
      </c>
      <c r="F156" s="3" t="n"/>
      <c r="G156" s="3" t="inlineStr">
        <is>
          <t>លម្អិតពីកញ្ចប់ទំនិញ/អីវ៉ាន់</t>
        </is>
      </c>
      <c r="H156" t="inlineStr">
        <is>
          <t>លម្អិតពីកញ្ចប់ទំនិញ/អីវ៉ាន់</t>
        </is>
      </c>
      <c r="I156" s="217" t="inlineStr">
        <is>
          <t>"khaiThacDen.billCodeDetail": "លម្អិតពីកញ្ចប់ទំនិញ/អីវ៉ាន់",</t>
        </is>
      </c>
      <c r="N156" s="3" t="inlineStr">
        <is>
          <t>លម្អិតទម្ងន់កញ្ចប់</t>
        </is>
      </c>
    </row>
    <row r="157" ht="15.75" customHeight="1" s="305">
      <c r="A157" s="3" t="inlineStr">
        <is>
          <t>home.chiachon</t>
        </is>
      </c>
      <c r="B157" s="3" t="inlineStr">
        <is>
          <t>Chia chọn</t>
        </is>
      </c>
      <c r="C157" s="3" t="inlineStr">
        <is>
          <t>Split &amp; Select</t>
        </is>
      </c>
      <c r="D157" s="3">
        <f>IFERROR(__xludf.DUMMYFUNCTION("GOOGLETRANSLATE(B157,""vi"",""km"")"),"ការជ្រើសរើស")</f>
        <v/>
      </c>
      <c r="E157" s="3" t="inlineStr">
        <is>
          <t>ការបែងចែក</t>
        </is>
      </c>
      <c r="F157" s="3" t="n"/>
      <c r="G157" s="3" t="inlineStr">
        <is>
          <t>ការបែងចែក</t>
        </is>
      </c>
      <c r="H157" t="inlineStr">
        <is>
          <t>ការបែងចែក</t>
        </is>
      </c>
      <c r="I157" s="217" t="inlineStr">
        <is>
          <t>"home.chiachon": "ការបែងចែក",</t>
        </is>
      </c>
      <c r="N157" s="3" t="inlineStr">
        <is>
          <t>បែងចែក &amp; ជ្រើសរើស</t>
        </is>
      </c>
    </row>
    <row r="158" ht="15.75" customHeight="1" s="305">
      <c r="A158" s="3" t="inlineStr">
        <is>
          <t>tms.chieu</t>
        </is>
      </c>
      <c r="B158" s="3" t="inlineStr">
        <is>
          <t>Chiều</t>
        </is>
      </c>
      <c r="C158" s="3" t="inlineStr">
        <is>
          <t>Direction</t>
        </is>
      </c>
      <c r="D158" s="3">
        <f>IFERROR(__xludf.DUMMYFUNCTION("GOOGLETRANSLATE(B158,""vi"",""km"")"),"រសៀល")</f>
        <v/>
      </c>
      <c r="E158" s="3" t="inlineStr">
        <is>
          <t>ពេលរសៀល</t>
        </is>
      </c>
      <c r="F158" s="3" t="n"/>
      <c r="G158" s="3" t="inlineStr">
        <is>
          <t>ពេលរសៀល</t>
        </is>
      </c>
      <c r="H158" t="inlineStr">
        <is>
          <t>ពេលរសៀល</t>
        </is>
      </c>
      <c r="I158" s="217" t="inlineStr">
        <is>
          <t>"tms.chieu": "ពេលរសៀល",</t>
        </is>
      </c>
      <c r="N158" s="3" t="inlineStr"/>
    </row>
    <row r="159" ht="15.75" customHeight="1" s="305">
      <c r="A159" s="3" t="inlineStr">
        <is>
          <t>taoDon.afternoon</t>
        </is>
      </c>
      <c r="B159" s="3" t="inlineStr">
        <is>
          <t>Chiều 13h30 - 18h00</t>
        </is>
      </c>
      <c r="C159" s="3" t="inlineStr">
        <is>
          <t>Afternoon 1:30 PM - 6:00 PM</t>
        </is>
      </c>
      <c r="D159" s="3">
        <f>IFERROR(__xludf.DUMMYFUNCTION("GOOGLETRANSLATE(B159,""vi"",""km"")"),"ពេលរសៀល ម៉ោង ១:៣០ រសៀល - ៦:០០ ល្ងាច")</f>
        <v/>
      </c>
      <c r="E159" s="3" t="inlineStr">
        <is>
          <t>ពេលរសៀល ម៉ោង 1:30 រសៀល - 6:00 ល្ងាច</t>
        </is>
      </c>
      <c r="F159" s="3" t="n"/>
      <c r="G159" s="3" t="inlineStr">
        <is>
          <t>ពេលរសៀល ម៉ោង 1:30 រសៀល - 6:00 ល្ងាច</t>
        </is>
      </c>
      <c r="H159" t="inlineStr">
        <is>
          <t>ពេលរសៀល ម៉ោង 1:30 រសៀល - 6:00 ល្ងាច</t>
        </is>
      </c>
      <c r="I159" s="217" t="inlineStr">
        <is>
          <t>"taoDon.afternoon": "ពេលរសៀល ម៉ោង 1:30 រសៀល - 6:00 ល្ងាច",</t>
        </is>
      </c>
      <c r="N159" s="3" t="inlineStr">
        <is>
          <t>រសៀល 13h30 - 18h00</t>
        </is>
      </c>
    </row>
    <row r="160" ht="15.75" customHeight="1" s="305">
      <c r="A160" s="3" t="inlineStr">
        <is>
          <t>tms.chieuDi</t>
        </is>
      </c>
      <c r="B160" s="3" t="inlineStr">
        <is>
          <t>Chiều đi</t>
        </is>
      </c>
      <c r="C160" s="3" t="inlineStr">
        <is>
          <t>Outbound</t>
        </is>
      </c>
      <c r="D160" s="3">
        <f>IFERROR(__xludf.DUMMYFUNCTION("GOOGLETRANSLATE(B160,""vi"",""km"")"),"ចេញដំណើរ")</f>
        <v/>
      </c>
      <c r="E160" s="3" t="inlineStr">
        <is>
          <t>ជើងចេញទៅ</t>
        </is>
      </c>
      <c r="F160" s="3" t="n"/>
      <c r="G160" s="3" t="inlineStr">
        <is>
          <t>ជើងចេញទៅ</t>
        </is>
      </c>
      <c r="H160" t="inlineStr">
        <is>
          <t>ជើងចេញទៅ</t>
        </is>
      </c>
      <c r="I160" s="217" t="inlineStr">
        <is>
          <t>"tms.chieuDi": "ជើងចេញទៅ",</t>
        </is>
      </c>
      <c r="N160" s="3" t="inlineStr"/>
    </row>
    <row r="161" ht="15.75" customHeight="1" s="305">
      <c r="A161" s="3" t="inlineStr">
        <is>
          <t>tms.chieuVe</t>
        </is>
      </c>
      <c r="B161" s="3" t="inlineStr">
        <is>
          <t>Chiều về</t>
        </is>
      </c>
      <c r="C161" s="3" t="inlineStr">
        <is>
          <t>Return</t>
        </is>
      </c>
      <c r="D161" s="3">
        <f>IFERROR(__xludf.DUMMYFUNCTION("GOOGLETRANSLATE(B161,""vi"",""km"")"),"ល្ងាច")</f>
        <v/>
      </c>
      <c r="E161" s="3" t="inlineStr">
        <is>
          <t>ជើងត្រលប់មក</t>
        </is>
      </c>
      <c r="F161" s="3" t="n"/>
      <c r="G161" s="3" t="inlineStr">
        <is>
          <t>ជើងត្រលប់មក</t>
        </is>
      </c>
      <c r="H161" t="inlineStr">
        <is>
          <t>ជើងត្រលប់មក</t>
        </is>
      </c>
      <c r="I161" s="217" t="inlineStr">
        <is>
          <t>"tms.chieuVe": "ជើងត្រលប់មក",</t>
        </is>
      </c>
      <c r="N161" s="3" t="inlineStr"/>
    </row>
    <row r="162" ht="15.75" customHeight="1" s="305">
      <c r="A162" s="3" t="inlineStr">
        <is>
          <t>setting.policy</t>
        </is>
      </c>
      <c r="B162" s="3" t="inlineStr">
        <is>
          <t>Chính sách bưu tá</t>
        </is>
      </c>
      <c r="C162" s="3" t="inlineStr">
        <is>
          <t>Postman policy</t>
        </is>
      </c>
      <c r="D162" s="3">
        <f>IFERROR(__xludf.DUMMYFUNCTION("GOOGLETRANSLATE(B162,""vi"",""km"")"),"គោលនយោបាយសេវាប្រៃសណីយ៍")</f>
        <v/>
      </c>
      <c r="E162" s="3" t="inlineStr">
        <is>
          <t>គោលការណ៍អ្នកដឹក</t>
        </is>
      </c>
      <c r="F162" s="3" t="n"/>
      <c r="G162" s="3" t="inlineStr">
        <is>
          <t>គោលការណ៍អ្នកដឹក</t>
        </is>
      </c>
      <c r="H162" t="inlineStr">
        <is>
          <t>គោលការណ៍អ្នកដឹក</t>
        </is>
      </c>
      <c r="I162" s="217" t="inlineStr">
        <is>
          <t>"setting.policy": "គោលការណ៍អ្នកដឹក",</t>
        </is>
      </c>
      <c r="N162" s="3" t="inlineStr">
        <is>
          <t>គោលនយោបាយសម្រាប់បុគ្គលិក</t>
        </is>
      </c>
    </row>
    <row r="163" ht="15.75" customHeight="1" s="305">
      <c r="A163" s="3" t="inlineStr">
        <is>
          <t>banGiao.titleWaitHandOver</t>
        </is>
      </c>
      <c r="B163" s="3" t="inlineStr">
        <is>
          <t>Chờ bàn giao</t>
        </is>
      </c>
      <c r="C163" s="143" t="inlineStr">
        <is>
          <t>To Handover</t>
        </is>
      </c>
      <c r="D163" s="3">
        <f>IFERROR(__xludf.DUMMYFUNCTION("GOOGLETRANSLATE(B163,""vi"",""km"")"),"កំពុងរង់ចាំការប្រគល់")</f>
        <v/>
      </c>
      <c r="E163" s="3" t="inlineStr">
        <is>
          <t>រង់ចាំការប្រគល់</t>
        </is>
      </c>
      <c r="F163" s="3" t="n"/>
      <c r="G163" s="3" t="inlineStr">
        <is>
          <t>រង់ចាំការប្រគល់</t>
        </is>
      </c>
      <c r="H163" t="inlineStr">
        <is>
          <t>រង់ចាំការប្រគល់</t>
        </is>
      </c>
      <c r="I163" s="217" t="inlineStr">
        <is>
          <t>"banGiao.titleWaitHandOver": "រង់ចាំការប្រគល់",</t>
        </is>
      </c>
      <c r="N163" s="3" t="inlineStr"/>
    </row>
    <row r="164" ht="15.75" customHeight="1" s="305">
      <c r="A164" s="3" t="inlineStr">
        <is>
          <t>banGiao.choBanGiao</t>
        </is>
      </c>
      <c r="B164" s="3" t="inlineStr">
        <is>
          <t>Chờ bàn giao</t>
        </is>
      </c>
      <c r="C164" s="3" t="inlineStr">
        <is>
          <t>Pending handover</t>
        </is>
      </c>
      <c r="D164" s="3">
        <f>IFERROR(__xludf.DUMMYFUNCTION("GOOGLETRANSLATE(B164,""vi"",""km"")"),"កំពុងរង់ចាំការប្រគល់")</f>
        <v/>
      </c>
      <c r="E164" s="3" t="inlineStr">
        <is>
          <t>រង់ចាំការប្រគល់</t>
        </is>
      </c>
      <c r="F164" s="3" t="n"/>
      <c r="G164" s="3" t="inlineStr">
        <is>
          <t>រង់ចាំការប្រគល់</t>
        </is>
      </c>
      <c r="H164" t="inlineStr">
        <is>
          <t>រង់ចាំការប្រគល់</t>
        </is>
      </c>
      <c r="I164" s="217" t="inlineStr">
        <is>
          <t>"banGiao.choBanGiao": "រង់ចាំការប្រគល់",</t>
        </is>
      </c>
      <c r="N164" s="3" t="inlineStr"/>
    </row>
    <row r="165" ht="15.75" customHeight="1" s="305">
      <c r="A165" s="3" t="inlineStr">
        <is>
          <t>banGiao.status_cho_ban_giao</t>
        </is>
      </c>
      <c r="B165" s="3" t="inlineStr">
        <is>
          <t>Chờ bàn giao</t>
        </is>
      </c>
      <c r="C165" s="3" t="inlineStr">
        <is>
          <t>Pending handover</t>
        </is>
      </c>
      <c r="D165" s="3">
        <f>IFERROR(__xludf.DUMMYFUNCTION("GOOGLETRANSLATE(B165,""vi"",""km"")"),"កំពុងរង់ចាំការប្រគល់")</f>
        <v/>
      </c>
      <c r="E165" s="3" t="inlineStr">
        <is>
          <t>រង់ចាំការប្រគល់</t>
        </is>
      </c>
      <c r="F165" s="3" t="n"/>
      <c r="G165" s="3" t="inlineStr">
        <is>
          <t>រង់ចាំការប្រគល់</t>
        </is>
      </c>
      <c r="H165" t="inlineStr">
        <is>
          <t>រង់ចាំការប្រគល់</t>
        </is>
      </c>
      <c r="I165" s="217" t="inlineStr">
        <is>
          <t>"banGiao.status_cho_ban_giao": "រង់ចាំការប្រគល់",</t>
        </is>
      </c>
      <c r="N165" s="3" t="inlineStr"/>
    </row>
    <row r="166" ht="15.75" customHeight="1" s="305">
      <c r="A166" s="3" t="inlineStr">
        <is>
          <t>nhanHang.titleTabChoDongTai</t>
        </is>
      </c>
      <c r="B166" s="3" t="inlineStr">
        <is>
          <t>Chờ đóng tải</t>
        </is>
      </c>
      <c r="C166" s="3" t="inlineStr">
        <is>
          <t>Waiting to close load</t>
        </is>
      </c>
      <c r="D166" s="3">
        <f>IFERROR(__xludf.DUMMYFUNCTION("GOOGLETRANSLATE(B166,""vi"",""km"")"),"កំពុងរង់ចាំការផ្ទុក")</f>
        <v/>
      </c>
      <c r="E166" s="3" t="inlineStr">
        <is>
          <t>រង់ចាំការរៀបចំអីវ៉ាន់ដឹកចេញទៅ</t>
        </is>
      </c>
      <c r="F166" s="3" t="n"/>
      <c r="G166" s="3" t="inlineStr">
        <is>
          <t>រៀបចំបិទខ្ចប់ទំនិញ</t>
        </is>
      </c>
      <c r="H166" t="inlineStr">
        <is>
          <t>រៀបចំបិទខ្ចប់ទំនិញ</t>
        </is>
      </c>
      <c r="I166" s="217" t="inlineStr">
        <is>
          <t>"nhanHang.titleTabChoDongTai": "រៀបចំបិទខ្ចប់ទំនិញ",</t>
        </is>
      </c>
      <c r="N166" s="3" t="inlineStr">
        <is>
          <t>រង់ចាំបិទបណ្តុំ</t>
        </is>
      </c>
    </row>
    <row r="167" ht="15.75" customHeight="1" s="305">
      <c r="A167" s="3" t="inlineStr">
        <is>
          <t>home.choGiao</t>
        </is>
      </c>
      <c r="B167" s="3" t="inlineStr">
        <is>
          <t>Chờ giao</t>
        </is>
      </c>
      <c r="C167" s="3" t="inlineStr">
        <is>
          <t>Waiting to deliver</t>
        </is>
      </c>
      <c r="D167" s="3">
        <f>IFERROR(__xludf.DUMMYFUNCTION("GOOGLETRANSLATE(B167,""vi"",""km"")"),"កំពុងរង់ចាំការដឹកជញ្ជូន")</f>
        <v/>
      </c>
      <c r="E167" s="3" t="inlineStr">
        <is>
          <t>រង់ចាំការប្រគល់</t>
        </is>
      </c>
      <c r="F167" s="3" t="n"/>
      <c r="G167" s="3" t="inlineStr">
        <is>
          <t>រង់ចាំការប្រគល់</t>
        </is>
      </c>
      <c r="H167" t="inlineStr">
        <is>
          <t>រង់ចាំការប្រគល់</t>
        </is>
      </c>
      <c r="I167" s="217" t="inlineStr">
        <is>
          <t>"home.choGiao": "រង់ចាំការប្រគល់",</t>
        </is>
      </c>
      <c r="N167" s="3" t="inlineStr"/>
    </row>
    <row r="168" ht="15.75" customHeight="1" s="305">
      <c r="A168" s="3" t="inlineStr">
        <is>
          <t>khaiThacDen.reportBill</t>
        </is>
      </c>
      <c r="B168" s="3" t="inlineStr">
        <is>
          <t>Chờ giao</t>
        </is>
      </c>
      <c r="C168" s="3" t="inlineStr">
        <is>
          <t>Waiting to deliver</t>
        </is>
      </c>
      <c r="D168" s="3">
        <f>IFERROR(__xludf.DUMMYFUNCTION("GOOGLETRANSLATE(B168,""vi"",""km"")"),"កំពុងរង់ចាំការដឹកជញ្ជូន")</f>
        <v/>
      </c>
      <c r="E168" s="3" t="inlineStr">
        <is>
          <t>រង់ចាំការប្រគល់</t>
        </is>
      </c>
      <c r="F168" s="3" t="n"/>
      <c r="G168" s="3" t="inlineStr">
        <is>
          <t>រង់ចាំការប្រគល់</t>
        </is>
      </c>
      <c r="H168" t="inlineStr">
        <is>
          <t>រង់ចាំការប្រគល់</t>
        </is>
      </c>
      <c r="I168" s="217" t="inlineStr">
        <is>
          <t>"khaiThacDen.reportBill": "រង់ចាំការប្រគល់",</t>
        </is>
      </c>
      <c r="N168" s="3" t="inlineStr">
        <is>
          <t>បញ្ញើនៅខ្វះ</t>
        </is>
      </c>
    </row>
    <row r="169" ht="15.75" customHeight="1" s="305">
      <c r="A169" s="3" t="inlineStr">
        <is>
          <t>taoDon.listTemplateDes5</t>
        </is>
      </c>
      <c r="B169" s="3" t="inlineStr">
        <is>
          <t>Cho khách xem hàng</t>
        </is>
      </c>
      <c r="C169" s="3" t="inlineStr">
        <is>
          <t>Allow customer to check goods</t>
        </is>
      </c>
      <c r="D169" s="3">
        <f>IFERROR(__xludf.DUMMYFUNCTION("GOOGLETRANSLATE(B169,""vi"",""km"")"),"បង្ហាញទំនិញដល់អតិថិជន។")</f>
        <v/>
      </c>
      <c r="E169" s="3" t="inlineStr">
        <is>
          <t>ឱ្យអតិថិជនត្រួតពិនិត្យអីវ៉ាន់</t>
        </is>
      </c>
      <c r="F169" s="3" t="n"/>
      <c r="G169" s="3" t="inlineStr">
        <is>
          <t>ឱ្យអតិថិជនត្រួតពិនិត្យអីវ៉ាន់</t>
        </is>
      </c>
      <c r="H169" t="inlineStr">
        <is>
          <t>ឱ្យអតិថិជនត្រួតពិនិត្យអីវ៉ាន់</t>
        </is>
      </c>
      <c r="I169" s="217" t="inlineStr">
        <is>
          <t>"taoDon.listTemplateDes5": "ឱ្យអតិថិជនត្រួតពិនិត្យអីវ៉ាន់",</t>
        </is>
      </c>
      <c r="N169" s="3" t="inlineStr">
        <is>
          <t>អតិថិជនអាចមើលទំនិញ</t>
        </is>
      </c>
    </row>
    <row r="170" ht="15.75" customHeight="1" s="305">
      <c r="A170" s="3" t="inlineStr">
        <is>
          <t>nhanHang.titleTabChoNhan</t>
        </is>
      </c>
      <c r="B170" s="3" t="inlineStr">
        <is>
          <t>Chờ nhận</t>
        </is>
      </c>
      <c r="C170" s="3" t="inlineStr">
        <is>
          <t>Waiting to pick up</t>
        </is>
      </c>
      <c r="D170" s="3">
        <f>IFERROR(__xludf.DUMMYFUNCTION("GOOGLETRANSLATE(B170,""vi"",""km"")"),"កំពុងរង់ចាំទទួល")</f>
        <v/>
      </c>
      <c r="E170" s="3" t="inlineStr">
        <is>
          <t>រង់ចាំទទួល</t>
        </is>
      </c>
      <c r="F170" s="3" t="n"/>
      <c r="G170" s="3" t="inlineStr">
        <is>
          <t>រង់ចាំទទួល</t>
        </is>
      </c>
      <c r="H170" t="inlineStr">
        <is>
          <t>រង់ចាំទទួល</t>
        </is>
      </c>
      <c r="I170" s="217" t="inlineStr">
        <is>
          <t>"nhanHang.titleTabChoNhan": "រង់ចាំទទួល",</t>
        </is>
      </c>
      <c r="N170" s="3" t="inlineStr">
        <is>
          <t>កំពុងរង់ចាំទទួល</t>
        </is>
      </c>
    </row>
    <row r="171" ht="15.75" customHeight="1" s="305">
      <c r="A171" s="3" t="inlineStr">
        <is>
          <t>banGiao.titleTabChoNhan</t>
        </is>
      </c>
      <c r="B171" s="3" t="inlineStr">
        <is>
          <t>Chờ nhận</t>
        </is>
      </c>
      <c r="C171" s="3" t="inlineStr">
        <is>
          <t>Waiting to receive</t>
        </is>
      </c>
      <c r="D171" s="3">
        <f>IFERROR(__xludf.DUMMYFUNCTION("GOOGLETRANSLATE(B171,""vi"",""km"")"),"កំពុងរង់ចាំទទួល")</f>
        <v/>
      </c>
      <c r="E171" s="3" t="inlineStr">
        <is>
          <t>រង់ចាំទទួល</t>
        </is>
      </c>
      <c r="F171" s="3" t="n"/>
      <c r="G171" s="3" t="inlineStr">
        <is>
          <t>រង់ចាំទទួល</t>
        </is>
      </c>
      <c r="H171" t="inlineStr">
        <is>
          <t>រង់ចាំទទួល</t>
        </is>
      </c>
      <c r="I171" s="217" t="inlineStr">
        <is>
          <t>"banGiao.titleTabChoNhan": "រង់ចាំទទួល",</t>
        </is>
      </c>
      <c r="N171" s="3" t="inlineStr">
        <is>
          <t>រង់ចាំការទទួល</t>
        </is>
      </c>
    </row>
    <row r="172" ht="15.75" customHeight="1" s="305">
      <c r="A172" s="3" t="inlineStr">
        <is>
          <t>GiaoHangNew.choDuocGiao</t>
        </is>
      </c>
      <c r="B172" s="3" t="inlineStr">
        <is>
          <t>Chờ nhận</t>
        </is>
      </c>
      <c r="C172" s="3" t="inlineStr">
        <is>
          <t>Pending delivery</t>
        </is>
      </c>
      <c r="D172" s="3">
        <f>IFERROR(__xludf.DUMMYFUNCTION("GOOGLETRANSLATE(B172,""vi"",""km"")"),"កំពុងរង់ចាំទទួល")</f>
        <v/>
      </c>
      <c r="E172" s="3" t="inlineStr">
        <is>
          <t>រង់ចាំទទួល</t>
        </is>
      </c>
      <c r="F172" s="3" t="n"/>
      <c r="G172" s="3" t="inlineStr">
        <is>
          <t>រង់ចាំទទួល</t>
        </is>
      </c>
      <c r="H172" t="inlineStr">
        <is>
          <t>រង់ចាំទទួល</t>
        </is>
      </c>
      <c r="I172" s="217" t="inlineStr">
        <is>
          <t>"GiaoHangNew.choDuocGiao": "រង់ចាំទទួល",</t>
        </is>
      </c>
      <c r="N172" s="3" t="inlineStr"/>
    </row>
    <row r="173" ht="15.75" customHeight="1" s="305">
      <c r="A173" s="3" t="inlineStr">
        <is>
          <t>GiaoHang.titleAccept</t>
        </is>
      </c>
      <c r="B173" s="3" t="inlineStr">
        <is>
          <t>Cho phép</t>
        </is>
      </c>
      <c r="C173" s="3" t="inlineStr">
        <is>
          <t>Allow</t>
        </is>
      </c>
      <c r="D173" s="3">
        <f>IFERROR(__xludf.DUMMYFUNCTION("GOOGLETRANSLATE(B173,""vi"",""km"")"),"អនុញ្ញាត")</f>
        <v/>
      </c>
      <c r="E173" s="3" t="inlineStr">
        <is>
          <t>ការអនុញ្ញាត</t>
        </is>
      </c>
      <c r="F173" s="3" t="n"/>
      <c r="G173" s="3" t="inlineStr">
        <is>
          <t>ការអនុញ្ញាត</t>
        </is>
      </c>
      <c r="H173" t="inlineStr">
        <is>
          <t>ការអនុញ្ញាត</t>
        </is>
      </c>
      <c r="I173" s="217" t="inlineStr">
        <is>
          <t>"GiaoHang.titleAccept": "ការអនុញ្ញាត",</t>
        </is>
      </c>
      <c r="N173" s="3" t="inlineStr">
        <is>
          <t>អនុញ្ញាត</t>
        </is>
      </c>
    </row>
    <row r="174" ht="15.75" customHeight="1" s="305">
      <c r="A174" s="3" t="inlineStr">
        <is>
          <t>PhanCong.titleWaiting</t>
        </is>
      </c>
      <c r="B174" s="3" t="inlineStr">
        <is>
          <t>Chờ xác nhận</t>
        </is>
      </c>
      <c r="C174" s="3" t="inlineStr">
        <is>
          <t xml:space="preserve">Waiting confirmation </t>
        </is>
      </c>
      <c r="D174" s="3">
        <f>IFERROR(__xludf.DUMMYFUNCTION("GOOGLETRANSLATE(B174,""vi"",""km"")"),"កំពុងរង់ចាំការបញ្ជាក់")</f>
        <v/>
      </c>
      <c r="E174" s="3" t="inlineStr">
        <is>
          <t>រង់ចាំការបញ្ជាក់</t>
        </is>
      </c>
      <c r="F174" s="3" t="n"/>
      <c r="G174" s="3" t="inlineStr">
        <is>
          <t>រង់ចាំការបញ្ជាក់</t>
        </is>
      </c>
      <c r="H174" t="inlineStr">
        <is>
          <t>រង់ចាំការបញ្ជាក់</t>
        </is>
      </c>
      <c r="I174" s="217" t="inlineStr">
        <is>
          <t>"PhanCong.titleWaiting": "រង់ចាំការបញ្ជាក់",</t>
        </is>
      </c>
      <c r="N174" s="3" t="inlineStr">
        <is>
          <t>កំពុងរង់ចាំបញ្ជាក់</t>
        </is>
      </c>
    </row>
    <row r="175" ht="15.75" customHeight="1" s="305">
      <c r="A175" s="3" t="inlineStr">
        <is>
          <t>taoDon.viewGoods</t>
        </is>
      </c>
      <c r="B175" s="3" t="inlineStr">
        <is>
          <t>Cho xem hàng</t>
        </is>
      </c>
      <c r="C175" s="3" t="inlineStr">
        <is>
          <t>Checking allowed</t>
        </is>
      </c>
      <c r="D175" s="3">
        <f>IFERROR(__xludf.DUMMYFUNCTION("GOOGLETRANSLATE(B175,""vi"",""km"")"),"បង្ហាញទំនិញមកខ្ញុំ")</f>
        <v/>
      </c>
      <c r="E175" s="3" t="inlineStr">
        <is>
          <t>ឱ្យត្រួតពិនិត្យអីវ៉ាន់</t>
        </is>
      </c>
      <c r="F175" s="3" t="n"/>
      <c r="G175" s="3" t="inlineStr">
        <is>
          <t>ឱ្យត្រួតពិនិត្យអីវ៉ាន់</t>
        </is>
      </c>
      <c r="H175" t="inlineStr">
        <is>
          <t>ឱ្យត្រួតពិនិត្យអីវ៉ាន់</t>
        </is>
      </c>
      <c r="I175" s="217" t="inlineStr">
        <is>
          <t>"taoDon.viewGoods": "ឱ្យត្រួតពិនិត្យអីវ៉ាន់",</t>
        </is>
      </c>
      <c r="N175" s="3" t="inlineStr">
        <is>
          <t>អាចមើលទំនិញ</t>
        </is>
      </c>
    </row>
    <row r="176" ht="15.75" customHeight="1" s="305">
      <c r="A176" s="3" t="inlineStr">
        <is>
          <t>nhanHang.titleTabChoXuLy</t>
        </is>
      </c>
      <c r="B176" s="3" t="inlineStr">
        <is>
          <t>Chờ xử lý</t>
        </is>
      </c>
      <c r="C176" s="3" t="inlineStr">
        <is>
          <t>Pending</t>
        </is>
      </c>
      <c r="D176" s="3">
        <f>IFERROR(__xludf.DUMMYFUNCTION("GOOGLETRANSLATE(B176,""vi"",""km"")"),"កំពុងរង់ចាំដំណើរការ")</f>
        <v/>
      </c>
      <c r="E176" s="3" t="inlineStr">
        <is>
          <t>រង់ចាំការដោះស្រាយ</t>
        </is>
      </c>
      <c r="F176" s="3" t="n"/>
      <c r="G176" s="3" t="inlineStr">
        <is>
          <t>រង់ចាំការដោះស្រាយ</t>
        </is>
      </c>
      <c r="H176" t="inlineStr">
        <is>
          <t>រង់ចាំការដោះស្រាយ</t>
        </is>
      </c>
      <c r="I176" s="217" t="inlineStr">
        <is>
          <t>"nhanHang.titleTabChoXuLy": "រង់ចាំការដោះស្រាយ",</t>
        </is>
      </c>
      <c r="N176" s="3" t="inlineStr">
        <is>
          <t>រង់ចាំដោះស្រាយ</t>
        </is>
      </c>
    </row>
    <row r="177" ht="15.75" customHeight="1" s="305">
      <c r="A177" s="3" t="inlineStr">
        <is>
          <t>common.titleFilter</t>
        </is>
      </c>
      <c r="B177" s="3" t="inlineStr">
        <is>
          <t>Chọn</t>
        </is>
      </c>
      <c r="C177" s="3" t="inlineStr">
        <is>
          <t>Filter</t>
        </is>
      </c>
      <c r="D177" s="3">
        <f>IFERROR(__xludf.DUMMYFUNCTION("GOOGLETRANSLATE(B177,""vi"",""km"")"),"ជ្រើសរើស")</f>
        <v/>
      </c>
      <c r="E177" s="3" t="inlineStr">
        <is>
          <t>ជ្រើសរើស</t>
        </is>
      </c>
      <c r="F177" s="3" t="n"/>
      <c r="G177" s="3" t="inlineStr">
        <is>
          <t>ជ្រើសរើស</t>
        </is>
      </c>
      <c r="H177" t="inlineStr">
        <is>
          <t>ជ្រើសរើស</t>
        </is>
      </c>
      <c r="I177" s="217" t="inlineStr">
        <is>
          <t>"common.titleFilter": "ជ្រើសរើស",</t>
        </is>
      </c>
      <c r="N177" s="3" t="inlineStr">
        <is>
          <t>តម្រង</t>
        </is>
      </c>
    </row>
    <row r="178" ht="15.75" customHeight="1" s="305">
      <c r="A178" s="3" t="inlineStr">
        <is>
          <t>common.choose</t>
        </is>
      </c>
      <c r="B178" s="3" t="inlineStr">
        <is>
          <t>Chọn</t>
        </is>
      </c>
      <c r="C178" s="3" t="inlineStr">
        <is>
          <t>Select</t>
        </is>
      </c>
      <c r="D178" s="3">
        <f>IFERROR(__xludf.DUMMYFUNCTION("GOOGLETRANSLATE(B178,""vi"",""km"")"),"ជ្រើសរើស")</f>
        <v/>
      </c>
      <c r="E178" s="3" t="inlineStr">
        <is>
          <t>ជ្រើសរើស</t>
        </is>
      </c>
      <c r="F178" s="3" t="n"/>
      <c r="G178" s="3" t="inlineStr">
        <is>
          <t>ជ្រើសរើស</t>
        </is>
      </c>
      <c r="H178" t="inlineStr">
        <is>
          <t>ជ្រើសរើស</t>
        </is>
      </c>
      <c r="I178" s="217" t="inlineStr">
        <is>
          <t>"common.choose": "ជ្រើសរើស",</t>
        </is>
      </c>
      <c r="N178" s="3" t="inlineStr">
        <is>
          <t>ជ្រើសរើស</t>
        </is>
      </c>
    </row>
    <row r="179" ht="15.75" customHeight="1" s="305">
      <c r="A179" s="3" t="inlineStr">
        <is>
          <t>banGiao.btnFilter</t>
        </is>
      </c>
      <c r="B179" s="3" t="inlineStr">
        <is>
          <t>Chọn</t>
        </is>
      </c>
      <c r="C179" s="3" t="inlineStr">
        <is>
          <t>Filter</t>
        </is>
      </c>
      <c r="D179" s="3">
        <f>IFERROR(__xludf.DUMMYFUNCTION("GOOGLETRANSLATE(B179,""vi"",""km"")"),"ជ្រើសរើស")</f>
        <v/>
      </c>
      <c r="E179" s="3" t="inlineStr">
        <is>
          <t>ជ្រើសរើស</t>
        </is>
      </c>
      <c r="F179" s="3" t="n"/>
      <c r="G179" s="3" t="inlineStr">
        <is>
          <t>ជ្រើសរើស</t>
        </is>
      </c>
      <c r="H179" t="inlineStr">
        <is>
          <t>ជ្រើសរើស</t>
        </is>
      </c>
      <c r="I179" s="217" t="inlineStr">
        <is>
          <t>"banGiao.btnFilter": "ជ្រើសរើស",</t>
        </is>
      </c>
      <c r="N179" s="3" t="inlineStr">
        <is>
          <t>តម្រង</t>
        </is>
      </c>
    </row>
    <row r="180" ht="15.75" customHeight="1" s="305">
      <c r="A180" s="3" t="inlineStr">
        <is>
          <t>taoDon.chooseGoodsImage</t>
        </is>
      </c>
      <c r="B180" s="3" t="inlineStr">
        <is>
          <t>Chọn ảnh hàng hoá</t>
        </is>
      </c>
      <c r="C180" s="3" t="inlineStr">
        <is>
          <t>Select freight image</t>
        </is>
      </c>
      <c r="D180" s="3">
        <f>IFERROR(__xludf.DUMMYFUNCTION("GOOGLETRANSLATE(B180,""vi"",""km"")"),"ជ្រើសរើសរូបភាពផលិតផល")</f>
        <v/>
      </c>
      <c r="E180" s="3" t="inlineStr">
        <is>
          <t>ជ្រើសរើសរូូបភាពអីវ៉ាន់</t>
        </is>
      </c>
      <c r="F180" s="3" t="n"/>
      <c r="G180" s="3" t="inlineStr">
        <is>
          <t>ជ្រើសរើសរូូបភាពអីវ៉ាន់</t>
        </is>
      </c>
      <c r="H180" t="inlineStr">
        <is>
          <t>ជ្រើសរើសរូូបភាពអីវ៉ាន់</t>
        </is>
      </c>
      <c r="I180" s="217" t="inlineStr">
        <is>
          <t>"taoDon.chooseGoodsImage": "ជ្រើសរើសរូូបភាពអីវ៉ាន់",</t>
        </is>
      </c>
      <c r="N180" s="3" t="inlineStr">
        <is>
          <t>ជ្រើសរើសរូបភាពទំនិញ</t>
        </is>
      </c>
    </row>
    <row r="181" ht="15.75" customHeight="1" s="305">
      <c r="A181" s="3" t="inlineStr">
        <is>
          <t>khaiThacDen.chooseBill</t>
        </is>
      </c>
      <c r="B181" s="3" t="inlineStr">
        <is>
          <t>Chọn bill báo thiếu</t>
        </is>
      </c>
      <c r="C181" s="3" t="inlineStr">
        <is>
          <t>Select missing postal slip</t>
        </is>
      </c>
      <c r="D181" s="3">
        <f>IFERROR(__xludf.DUMMYFUNCTION("GOOGLETRANSLATE(B181,""vi"",""km"")"),"ជ្រើសរើសវិក្កយបត្រដែលបាត់របស់របរ។")</f>
        <v/>
      </c>
      <c r="E181" s="3" t="inlineStr">
        <is>
          <t>ជ្រើសរើសបុងដែលខ្វះ</t>
        </is>
      </c>
      <c r="F181" s="3" t="n"/>
      <c r="G181" s="3" t="inlineStr">
        <is>
          <t>ជ្រើសរើសបុងដែលខ្វះ</t>
        </is>
      </c>
      <c r="H181" t="inlineStr">
        <is>
          <t>ជ្រើសរើសបុងដែលខ្វះ</t>
        </is>
      </c>
      <c r="I181" s="217" t="inlineStr">
        <is>
          <t>"khaiThacDen.chooseBill": "ជ្រើសរើសបុងដែលខ្វះ",</t>
        </is>
      </c>
      <c r="N181" s="3" t="inlineStr">
        <is>
          <t>ជ្រើសរើសវិក័យប័ត្រដែលបាត់</t>
        </is>
      </c>
    </row>
    <row r="182" ht="15.75" customHeight="1" s="305">
      <c r="A182" s="3" t="inlineStr">
        <is>
          <t>khaiThacDen.chooseBillRevices</t>
        </is>
      </c>
      <c r="B182" s="3" t="inlineStr">
        <is>
          <t xml:space="preserve">Chọn bill để nhận phiếu gửi </t>
        </is>
      </c>
      <c r="C182" s="3" t="inlineStr">
        <is>
          <t xml:space="preserve">Select the order to receive </t>
        </is>
      </c>
      <c r="D182" s="3">
        <f>IFERROR(__xludf.DUMMYFUNCTION("GOOGLETRANSLATE(B182,""vi"",""km"")"),"ជ្រើសរើសវិក្កយបត្រដើម្បីទទួលបង្កាន់ដៃដឹកជញ្ជូន។")</f>
        <v/>
      </c>
      <c r="E182" s="3" t="inlineStr">
        <is>
          <t>ជ្រើសរើសបុងដើម្បីទទួលបុងបញ្ញើ</t>
        </is>
      </c>
      <c r="F182" s="3" t="n"/>
      <c r="G182" s="3" t="inlineStr">
        <is>
          <t>ជ្រើសរើសបុងដើម្បីទទួលបុងបញ្ញើ</t>
        </is>
      </c>
      <c r="H182" t="inlineStr">
        <is>
          <t>ជ្រើសរើសបុងដើម្បីទទួលបុងបញ្ញើ</t>
        </is>
      </c>
      <c r="I182" s="217" t="inlineStr">
        <is>
          <t>"khaiThacDen.chooseBillRevices": "ជ្រើសរើសបុងដើម្បីទទួលបុងបញ្ញើ",</t>
        </is>
      </c>
      <c r="N182" s="3" t="inlineStr">
        <is>
          <t xml:space="preserve">ជ្រើសរើសវិក្កយបត្រ ដើម្បីទទួលបានបណ្ណប្រាក់បញ្ញើ </t>
        </is>
      </c>
    </row>
    <row r="183" ht="15.75" customHeight="1" s="305">
      <c r="A183" s="3" t="inlineStr">
        <is>
          <t>login.choosePostOffice</t>
        </is>
      </c>
      <c r="B183" s="3" t="inlineStr">
        <is>
          <t>Chọn bưu cục</t>
        </is>
      </c>
      <c r="C183" s="3" t="inlineStr">
        <is>
          <t>Select post office</t>
        </is>
      </c>
      <c r="D183" s="3">
        <f>IFERROR(__xludf.DUMMYFUNCTION("GOOGLETRANSLATE(B183,""vi"",""km"")"),"ជ្រើសរើសការិយាល័យប្រៃសណីយ៍")</f>
        <v/>
      </c>
      <c r="E183" s="3" t="inlineStr">
        <is>
          <t>ជ្រើសរើសការិយាល័យប្រៃសណីយ៍</t>
        </is>
      </c>
      <c r="F183" s="3" t="n"/>
      <c r="G183" s="3" t="inlineStr">
        <is>
          <t>ជ្រើសរើសការិយាល័យប្រៃសណីយ៍</t>
        </is>
      </c>
      <c r="H183" t="inlineStr">
        <is>
          <t>ជ្រើសរើសការិយាល័យប្រៃសណីយ៍</t>
        </is>
      </c>
      <c r="I183" s="217" t="inlineStr">
        <is>
          <t>"login.choosePostOffice": "ជ្រើសរើសការិយាល័យប្រៃសណីយ៍",</t>
        </is>
      </c>
      <c r="N183" s="3" t="inlineStr">
        <is>
          <t>ជ្រើសរើសការិយាល័យបញ្ញើ</t>
        </is>
      </c>
    </row>
    <row r="184" ht="15.75" customHeight="1" s="305">
      <c r="A184" s="3" t="inlineStr">
        <is>
          <t>dieuHanh.selectPostman</t>
        </is>
      </c>
      <c r="B184" s="3" t="inlineStr">
        <is>
          <t>Chọn bưu tá</t>
        </is>
      </c>
      <c r="C184" s="3" t="inlineStr">
        <is>
          <t>Select postman</t>
        </is>
      </c>
      <c r="D184" s="3">
        <f>IFERROR(__xludf.DUMMYFUNCTION("GOOGLETRANSLATE(B184,""vi"",""km"")"),"ជ្រើសរើសអ្នកដឹកជញ្ជូន")</f>
        <v/>
      </c>
      <c r="E184" s="3" t="inlineStr">
        <is>
          <t>ជ្រើសរើសអ្នកដឹក</t>
        </is>
      </c>
      <c r="F184" s="3" t="n"/>
      <c r="G184" s="3" t="inlineStr">
        <is>
          <t>ជ្រើសរើសអ្នកដឹក</t>
        </is>
      </c>
      <c r="H184" t="inlineStr">
        <is>
          <t>ជ្រើសរើសអ្នកដឹក</t>
        </is>
      </c>
      <c r="I184" s="217" t="inlineStr">
        <is>
          <t>"dieuHanh.selectPostman": "ជ្រើសរើសអ្នកដឹក",</t>
        </is>
      </c>
      <c r="N184" s="3" t="inlineStr">
        <is>
          <t>ជ្រើសរើសប៊ូតា</t>
        </is>
      </c>
    </row>
    <row r="185" ht="15.75" customHeight="1" s="305">
      <c r="A185" s="3" t="inlineStr">
        <is>
          <t>PhanCong.warningChoosePostMan</t>
        </is>
      </c>
      <c r="B185" s="3" t="inlineStr">
        <is>
          <t>Chọn bưu tá để thực hiện!</t>
        </is>
      </c>
      <c r="C185" s="3" t="inlineStr">
        <is>
          <t>Select postman!</t>
        </is>
      </c>
      <c r="D185" s="3">
        <f>IFERROR(__xludf.DUMMYFUNCTION("GOOGLETRANSLATE(B185,""vi"",""km"")"),"ជ្រើសរើសអ្នកដឹកជញ្ជូនដើម្បីដឹកជញ្ជូនវា!")</f>
        <v/>
      </c>
      <c r="E185" s="3" t="inlineStr">
        <is>
          <t>ជ្រើសរើសអ្នកដឹកដើម្បីអនុវត្តន៍!</t>
        </is>
      </c>
      <c r="F185" s="3" t="n"/>
      <c r="G185" s="3" t="inlineStr">
        <is>
          <t>ជ្រើសរើសអ្នកដឹកដើម្បីអនុវត្តន៍!</t>
        </is>
      </c>
      <c r="H185" t="inlineStr">
        <is>
          <t>ជ្រើសរើសអ្នកដឹកដើម្បីអនុវត្តន៍!</t>
        </is>
      </c>
      <c r="I185" s="217" t="inlineStr">
        <is>
          <t>"PhanCong.warningChoosePostMan": "ជ្រើសរើសអ្នកដឹកដើម្បីអនុវត្តន៍!",</t>
        </is>
      </c>
      <c r="N185" s="3" t="inlineStr">
        <is>
          <t>សូមជ្រើសរើសបុគ្គលិកចែកចាយ!</t>
        </is>
      </c>
    </row>
    <row r="186" ht="15.75" customHeight="1" s="305">
      <c r="A186" s="3" t="inlineStr">
        <is>
          <t>GiaoHang.titleSelectAddress</t>
        </is>
      </c>
      <c r="B186" s="3" t="inlineStr">
        <is>
          <t>Chọn địa chỉ</t>
        </is>
      </c>
      <c r="C186" s="3" t="inlineStr">
        <is>
          <t>Select address</t>
        </is>
      </c>
      <c r="D186" s="3">
        <f>IFERROR(__xludf.DUMMYFUNCTION("GOOGLETRANSLATE(B186,""vi"",""km"")"),"ជ្រើសរើសអាសយដ្ឋាន")</f>
        <v/>
      </c>
      <c r="E186" s="3" t="inlineStr">
        <is>
          <t>ជ្រើសរើសអាសយដ្ឋាន</t>
        </is>
      </c>
      <c r="F186" s="3" t="n"/>
      <c r="G186" s="3" t="inlineStr">
        <is>
          <t>ជ្រើសរើសអាសយដ្ឋាន</t>
        </is>
      </c>
      <c r="H186" t="inlineStr">
        <is>
          <t>ជ្រើសរើសអាសយដ្ឋាន</t>
        </is>
      </c>
      <c r="I186" s="217" t="inlineStr">
        <is>
          <t>"GiaoHang.titleSelectAddress": "ជ្រើសរើសអាសយដ្ឋាន",</t>
        </is>
      </c>
      <c r="N186" s="3" t="inlineStr">
        <is>
          <t>ជ្រើសរើសអាសយដ្ឋាន</t>
        </is>
      </c>
    </row>
    <row r="187" ht="15.75" customHeight="1" s="305">
      <c r="A187" s="3" t="inlineStr">
        <is>
          <t>taoDon.selectWarehouse</t>
        </is>
      </c>
      <c r="B187" s="3" t="inlineStr">
        <is>
          <t>Chọn địa chỉ gửi hàng</t>
        </is>
      </c>
      <c r="C187" s="3" t="inlineStr">
        <is>
          <t>Select warehouse</t>
        </is>
      </c>
      <c r="D187" s="3">
        <f>IFERROR(__xludf.DUMMYFUNCTION("GOOGLETRANSLATE(B187,""vi"",""km"")"),"ជ្រើសរើសអាសយដ្ឋានដឹកជញ្ជូន")</f>
        <v/>
      </c>
      <c r="E187" s="3" t="inlineStr">
        <is>
          <t>ជ្រើសរើសអាសយដ្ឋានបញ្ញើអីវ៉ាន់</t>
        </is>
      </c>
      <c r="F187" s="3" t="n"/>
      <c r="G187" s="3" t="inlineStr">
        <is>
          <t>ជ្រើសរើសអាសយដ្ឋានបញ្ញើអីវ៉ាន់</t>
        </is>
      </c>
      <c r="H187" t="inlineStr">
        <is>
          <t>ជ្រើសរើសអាសយដ្ឋានបញ្ញើអីវ៉ាន់</t>
        </is>
      </c>
      <c r="I187" s="217" t="inlineStr">
        <is>
          <t>"taoDon.selectWarehouse": "ជ្រើសរើសអាសយដ្ឋានបញ្ញើអីវ៉ាន់",</t>
        </is>
      </c>
      <c r="N187" s="3" t="inlineStr">
        <is>
          <t>ជ្រើសរើសអាសយដ្ឋានផ្ញើ</t>
        </is>
      </c>
    </row>
    <row r="188" ht="15.75" customHeight="1" s="305">
      <c r="A188" s="3" t="inlineStr">
        <is>
          <t>taoDon.selectService</t>
        </is>
      </c>
      <c r="B188" s="3" t="inlineStr">
        <is>
          <t>Chọn dịch vụ</t>
        </is>
      </c>
      <c r="C188" s="3" t="inlineStr">
        <is>
          <t>Select service</t>
        </is>
      </c>
      <c r="D188" s="3">
        <f>IFERROR(__xludf.DUMMYFUNCTION("GOOGLETRANSLATE(B188,""vi"",""km"")"),"ជ្រើសរើសសេវាកម្មមួយ")</f>
        <v/>
      </c>
      <c r="E188" s="3" t="inlineStr">
        <is>
          <t>ជ្រើសរើសសេវាកម្ម</t>
        </is>
      </c>
      <c r="F188" s="3" t="n"/>
      <c r="G188" s="3" t="inlineStr">
        <is>
          <t>ជ្រើសរើសសេវាកម្ម</t>
        </is>
      </c>
      <c r="H188" t="inlineStr">
        <is>
          <t>ជ្រើសរើសសេវាកម្ម</t>
        </is>
      </c>
      <c r="I188" s="217" t="inlineStr">
        <is>
          <t>"taoDon.selectService": "ជ្រើសរើសសេវាកម្ម",</t>
        </is>
      </c>
      <c r="N188" s="3" t="inlineStr">
        <is>
          <t>ជ្រើសរើសសេវាកម្ម</t>
        </is>
      </c>
    </row>
    <row r="189" ht="15.75" customHeight="1" s="305">
      <c r="A189" s="3" t="inlineStr">
        <is>
          <t>taoDon.chooseAdditionalService</t>
        </is>
      </c>
      <c r="B189" s="3" t="inlineStr">
        <is>
          <t>Chọn dịch vụ cộng thêm</t>
        </is>
      </c>
      <c r="C189" s="3" t="inlineStr">
        <is>
          <t>Choose additional service</t>
        </is>
      </c>
      <c r="D189" s="3">
        <f>IFERROR(__xludf.DUMMYFUNCTION("GOOGLETRANSLATE(B189,""vi"",""km"")"),"ជ្រើសរើសសេវាកម្មបន្ថែម")</f>
        <v/>
      </c>
      <c r="E189" s="3" t="inlineStr">
        <is>
          <t>ជ្រើសរើសសេវាកម្មបន្ថែម</t>
        </is>
      </c>
      <c r="F189" s="3" t="n"/>
      <c r="G189" s="3" t="inlineStr">
        <is>
          <t>ជ្រើសរើសសេវាកម្មបន្ថែម</t>
        </is>
      </c>
      <c r="H189" t="inlineStr">
        <is>
          <t>ជ្រើសរើសសេវាកម្មបន្ថែម</t>
        </is>
      </c>
      <c r="I189" s="217" t="inlineStr">
        <is>
          <t>"taoDon.chooseAdditionalService": "ជ្រើសរើសសេវាកម្មបន្ថែម",</t>
        </is>
      </c>
      <c r="N189" s="3" t="inlineStr">
        <is>
          <t>ជ្រើសរើសសេវាកម្មបន្ថែម</t>
        </is>
      </c>
    </row>
    <row r="190" ht="15.75" customHeight="1" s="305">
      <c r="A190" s="3" t="inlineStr">
        <is>
          <t>taoDon.chooseNote</t>
        </is>
      </c>
      <c r="B190" s="3" t="inlineStr">
        <is>
          <t>Chọn ghi chú</t>
        </is>
      </c>
      <c r="C190" s="3" t="inlineStr">
        <is>
          <t>Choose note</t>
        </is>
      </c>
      <c r="D190" s="3">
        <f>IFERROR(__xludf.DUMMYFUNCTION("GOOGLETRANSLATE(B190,""vi"",""km"")"),"ជ្រើសរើស​កំណត់ចំណាំ")</f>
        <v/>
      </c>
      <c r="E190" s="3" t="inlineStr">
        <is>
          <t>ជ្រើសរើសកំណត់ចំណាំ</t>
        </is>
      </c>
      <c r="F190" s="3" t="n"/>
      <c r="G190" s="3" t="inlineStr">
        <is>
          <t>ជ្រើសរើសកំណត់ចំណាំ</t>
        </is>
      </c>
      <c r="H190" t="inlineStr">
        <is>
          <t>ជ្រើសរើសកំណត់ចំណាំ</t>
        </is>
      </c>
      <c r="I190" s="217" t="inlineStr">
        <is>
          <t>"taoDon.chooseNote": "ជ្រើសរើសកំណត់ចំណាំ",</t>
        </is>
      </c>
      <c r="N190" s="3" t="inlineStr">
        <is>
          <t>ជ្រើសរើសកំណត់សម្គាល់</t>
        </is>
      </c>
    </row>
    <row r="191" ht="15.75" customHeight="1" s="305">
      <c r="A191" s="3" t="inlineStr">
        <is>
          <t>traCuu.titleModalPrint</t>
        </is>
      </c>
      <c r="B191" s="3" t="inlineStr">
        <is>
          <t>Chọn hình thức in</t>
        </is>
      </c>
      <c r="C191" s="3" t="inlineStr">
        <is>
          <t>Select order type</t>
        </is>
      </c>
      <c r="D191" s="3">
        <f>IFERROR(__xludf.DUMMYFUNCTION("GOOGLETRANSLATE(B191,""vi"",""km"")"),"ជ្រើសរើសវិធីសាស្ត្របោះពុម្ព")</f>
        <v/>
      </c>
      <c r="E191" s="3" t="inlineStr">
        <is>
          <t>ជ្រើសរើសវិធីសាស្ត្រព្រីន</t>
        </is>
      </c>
      <c r="F191" s="3" t="n"/>
      <c r="G191" s="3" t="inlineStr">
        <is>
          <t>ជ្រើសរើសវិធីសាស្ត្រព្រីន</t>
        </is>
      </c>
      <c r="H191" t="inlineStr">
        <is>
          <t>ជ្រើសរើសវិធីសាស្ត្រព្រីន</t>
        </is>
      </c>
      <c r="I191" s="217" t="inlineStr">
        <is>
          <t>"traCuu.titleModalPrint": "ជ្រើសរើសវិធីសាស្ត្រព្រីន",</t>
        </is>
      </c>
      <c r="N191" s="163" t="inlineStr">
        <is>
          <t>ជ្រើសរើសប្រភេទការបញ្ជាទិញ</t>
        </is>
      </c>
    </row>
    <row r="192" ht="15.75" customHeight="1" s="305">
      <c r="A192" s="3" t="inlineStr">
        <is>
          <t>DongTai.selectLoaiBangKe</t>
        </is>
      </c>
      <c r="B192" s="3" t="inlineStr">
        <is>
          <t>Chọn loại bảng kê</t>
        </is>
      </c>
      <c r="C192" s="143" t="inlineStr">
        <is>
          <t>Choose statement type</t>
        </is>
      </c>
      <c r="D192" s="3">
        <f>IFERROR(__xludf.DUMMYFUNCTION("GOOGLETRANSLATE(B192,""vi"",""km"")"),"ជ្រើសរើសប្រភេទនៃសេចក្តីថ្លែងការណ៍")</f>
        <v/>
      </c>
      <c r="E192" s="3" t="inlineStr">
        <is>
          <t>ជ្រើសរើសប្រភេទតារាង</t>
        </is>
      </c>
      <c r="F192" s="3" t="n"/>
      <c r="G192" s="3" t="inlineStr">
        <is>
          <t>ជ្រើសរើសប្រភេទតារាង</t>
        </is>
      </c>
      <c r="H192" t="inlineStr">
        <is>
          <t>ជ្រើសរើសប្រភេទតារាង</t>
        </is>
      </c>
      <c r="I192" s="217" t="inlineStr">
        <is>
          <t>"DongTai.selectLoaiBangKe": "ជ្រើសរើសប្រភេទតារាង",</t>
        </is>
      </c>
      <c r="N192" s="3" t="inlineStr"/>
    </row>
    <row r="193" ht="15.75" customHeight="1" s="305">
      <c r="A193" s="3" t="inlineStr">
        <is>
          <t>banGiao.choseService</t>
        </is>
      </c>
      <c r="B193" s="3" t="inlineStr">
        <is>
          <t>Chọn loại dịch vụ</t>
        </is>
      </c>
      <c r="C193" s="3" t="inlineStr">
        <is>
          <t>Select service</t>
        </is>
      </c>
      <c r="D193" s="3">
        <f>IFERROR(__xludf.DUMMYFUNCTION("GOOGLETRANSLATE(B193,""vi"",""km"")"),"ជ្រើសរើសប្រភេទសេវាកម្ម")</f>
        <v/>
      </c>
      <c r="E193" s="3" t="inlineStr">
        <is>
          <t>ជ្រើសរើសប្រភេទសេវាកម្ម</t>
        </is>
      </c>
      <c r="F193" s="3" t="n"/>
      <c r="G193" s="3" t="inlineStr">
        <is>
          <t>ជ្រើសរើសប្រភេទសេវាកម្ម</t>
        </is>
      </c>
      <c r="H193" t="inlineStr">
        <is>
          <t>ជ្រើសរើសប្រភេទសេវាកម្ម</t>
        </is>
      </c>
      <c r="I193" s="217" t="inlineStr">
        <is>
          <t>"banGiao.choseService": "ជ្រើសរើសប្រភេទសេវាកម្ម",</t>
        </is>
      </c>
      <c r="N193" s="3" t="inlineStr">
        <is>
          <t>ជ្រើសរើសសេវាកម្ម</t>
        </is>
      </c>
    </row>
    <row r="194" ht="15.75" customHeight="1" s="305">
      <c r="A194" s="3" t="inlineStr">
        <is>
          <t>GiaoHang.chooseTemplate</t>
        </is>
      </c>
      <c r="B194" s="3" t="inlineStr">
        <is>
          <t>Chọn loại mẫu in</t>
        </is>
      </c>
      <c r="C194" s="3" t="inlineStr">
        <is>
          <t>Select print template</t>
        </is>
      </c>
      <c r="D194" s="3">
        <f>IFERROR(__xludf.DUMMYFUNCTION("GOOGLETRANSLATE(B194,""vi"",""km"")"),"ជ្រើសរើសប្រភេទគំរូបោះពុម្ព")</f>
        <v/>
      </c>
      <c r="E194" s="3" t="inlineStr">
        <is>
          <t>ជ្រើសរើសប្រភេទគំរូព្រីន</t>
        </is>
      </c>
      <c r="F194" s="3" t="n"/>
      <c r="G194" s="3" t="inlineStr">
        <is>
          <t>ជ្រើសរើសប្រភេទគំរូព្រីន</t>
        </is>
      </c>
      <c r="H194" t="inlineStr">
        <is>
          <t>ជ្រើសរើសប្រភេទគំរូព្រីន</t>
        </is>
      </c>
      <c r="I194" s="217" t="inlineStr">
        <is>
          <t>"GiaoHang.chooseTemplate": "ជ្រើសរើសប្រភេទគំរូព្រីន",</t>
        </is>
      </c>
      <c r="N194" s="3" t="inlineStr">
        <is>
          <t>ជ្រើសរើសប្រភេទបោះពុម្ព</t>
        </is>
      </c>
    </row>
    <row r="195" ht="15.75" customHeight="1" s="305">
      <c r="A195" s="3" t="inlineStr">
        <is>
          <t>taoDon.selectSurchargeType</t>
        </is>
      </c>
      <c r="B195" s="3" t="inlineStr">
        <is>
          <t>Chọn loại phụ phí</t>
        </is>
      </c>
      <c r="C195" s="3" t="inlineStr">
        <is>
          <t>Surcharge categories</t>
        </is>
      </c>
      <c r="D195" s="3">
        <f>IFERROR(__xludf.DUMMYFUNCTION("GOOGLETRANSLATE(B195,""vi"",""km"")"),"ជ្រើសរើសប្រភេទនៃការគិតថ្លៃបន្ថែម")</f>
        <v/>
      </c>
      <c r="E195" s="3" t="inlineStr">
        <is>
          <t>ជ្រើសរើសប្រភេទសេវាកម្មបន្ថែម</t>
        </is>
      </c>
      <c r="F195" s="3" t="n"/>
      <c r="G195" s="3" t="inlineStr">
        <is>
          <t>ជ្រើសរើសប្រភេទសេវាកម្មបន្ថែម</t>
        </is>
      </c>
      <c r="H195" t="inlineStr">
        <is>
          <t>ជ្រើសរើសប្រភេទសេវាកម្មបន្ថែម</t>
        </is>
      </c>
      <c r="I195" s="217" t="inlineStr">
        <is>
          <t>"taoDon.selectSurchargeType": "ជ្រើសរើសប្រភេទសេវាកម្មបន្ថែម",</t>
        </is>
      </c>
      <c r="N195" s="3" t="inlineStr">
        <is>
          <t>ជ្រើសរើសប្រភេទថ្លៃបន្ថែម</t>
        </is>
      </c>
    </row>
    <row r="196" ht="15.75" customHeight="1" s="305">
      <c r="A196" s="3" t="inlineStr">
        <is>
          <t>GiaoHang.chooseDevice</t>
        </is>
      </c>
      <c r="B196" s="3" t="inlineStr">
        <is>
          <t>Chọn loại thiết bị</t>
        </is>
      </c>
      <c r="C196" s="3" t="inlineStr">
        <is>
          <t>Select device</t>
        </is>
      </c>
      <c r="D196" s="3">
        <f>IFERROR(__xludf.DUMMYFUNCTION("GOOGLETRANSLATE(B196,""vi"",""km"")"),"ជ្រើសរើសប្រភេទឧបករណ៍")</f>
        <v/>
      </c>
      <c r="E196" s="3" t="inlineStr">
        <is>
          <t>ជ្រើសរើសប្រភេទឧបករណ៍</t>
        </is>
      </c>
      <c r="F196" s="3" t="n"/>
      <c r="G196" s="3" t="inlineStr">
        <is>
          <t>ជ្រើសរើសប្រភេទឧបករណ៍</t>
        </is>
      </c>
      <c r="H196" t="inlineStr">
        <is>
          <t>ជ្រើសរើសប្រភេទឧបករណ៍</t>
        </is>
      </c>
      <c r="I196" s="217" t="inlineStr">
        <is>
          <t>"GiaoHang.chooseDevice": "ជ្រើសរើសប្រភេទឧបករណ៍",</t>
        </is>
      </c>
      <c r="N196" s="3" t="inlineStr">
        <is>
          <t>ជ្រើសរើសប្រភេទឧបករណ៍</t>
        </is>
      </c>
    </row>
    <row r="197" ht="15.75" customHeight="1" s="305">
      <c r="A197" s="3" t="inlineStr">
        <is>
          <t>nhanHang.selectSpecificReasonToContinue</t>
        </is>
      </c>
      <c r="B197" s="3" t="inlineStr">
        <is>
          <t>Chọn lý do giải trình cụ thể để tiếp tục !</t>
        </is>
      </c>
      <c r="C197" s="3" t="inlineStr">
        <is>
          <t>Select specific reason to continue!</t>
        </is>
      </c>
      <c r="D197" s="3">
        <f>IFERROR(__xludf.DUMMYFUNCTION("GOOGLETRANSLATE(B197,""vi"",""km"")"),"ជ្រើសរើសហេតុផលជាក់លាក់មួយដើម្បីពន្យល់ដើម្បីបន្ត!")</f>
        <v/>
      </c>
      <c r="E197" s="3" t="inlineStr">
        <is>
          <t>ជ្រើសរើសមូលហេតុពន្យល់ឲ្យច្បាស់ដើម្បីបន្ត!</t>
        </is>
      </c>
      <c r="F197" s="3" t="n"/>
      <c r="G197" s="3" t="inlineStr">
        <is>
          <t>ជ្រើសរើសមូលហេតុពន្យល់ឲ្យច្បាស់ដើម្បីបន្ត!</t>
        </is>
      </c>
      <c r="H197" t="inlineStr">
        <is>
          <t>ជ្រើសរើសមូលហេតុពន្យល់ឲ្យច្បាស់ដើម្បីបន្ត!</t>
        </is>
      </c>
      <c r="I197" s="217" t="inlineStr">
        <is>
          <t>"nhanHang.selectSpecificReasonToContinue": "ជ្រើសរើសមូលហេតុពន្យល់ឲ្យច្បាស់ដើម្បីបន្ត!",</t>
        </is>
      </c>
      <c r="N197" s="3" t="inlineStr">
        <is>
          <t>សូមជ្រើសរើសមូលហេតុជាក់លាក់ដើម្បីបន្ត!</t>
        </is>
      </c>
    </row>
    <row r="198" ht="15.75" customHeight="1" s="305">
      <c r="A198" s="3" t="inlineStr">
        <is>
          <t>nhanHang.selectReasonToContinue</t>
        </is>
      </c>
      <c r="B198" s="3" t="inlineStr">
        <is>
          <t>Chọn lý do giải trình để tiếp tục !</t>
        </is>
      </c>
      <c r="C198" s="3" t="inlineStr">
        <is>
          <t>Select reason to continue</t>
        </is>
      </c>
      <c r="D198" s="3">
        <f>IFERROR(__xludf.DUMMYFUNCTION("GOOGLETRANSLATE(B198,""vi"",""km"")"),"ជ្រើសរើសហេតុផលដើម្បីពន្យល់ ហើយបន្ត!")</f>
        <v/>
      </c>
      <c r="E198" s="3" t="inlineStr">
        <is>
          <t>ជ្រើសរើសមូលហេតុពន្យល់ដើម្បីបន្ត!</t>
        </is>
      </c>
      <c r="F198" s="3" t="n"/>
      <c r="G198" s="3" t="inlineStr">
        <is>
          <t>ជ្រើសរើសមូលហេតុពន្យល់ដើម្បីបន្ត!</t>
        </is>
      </c>
      <c r="H198" t="inlineStr">
        <is>
          <t>ជ្រើសរើសមូលហេតុពន្យល់ដើម្បីបន្ត!</t>
        </is>
      </c>
      <c r="I198" s="217" t="inlineStr">
        <is>
          <t>"nhanHang.selectReasonToContinue": "ជ្រើសរើសមូលហេតុពន្យល់ដើម្បីបន្ត!",</t>
        </is>
      </c>
      <c r="N198" s="3" t="inlineStr">
        <is>
          <t>សូមជ្រើសរើសមូលហេតុដើម្បីបន្ត!</t>
        </is>
      </c>
    </row>
    <row r="199" ht="15.75" customHeight="1" s="305">
      <c r="A199" s="3" t="inlineStr">
        <is>
          <t>dieuHanh.selectPartnerId</t>
        </is>
      </c>
      <c r="B199" s="3" t="inlineStr">
        <is>
          <t>Chọn mã đối tác</t>
        </is>
      </c>
      <c r="C199" s="3" t="inlineStr">
        <is>
          <t>Select partner ID</t>
        </is>
      </c>
      <c r="D199" s="3">
        <f>IFERROR(__xludf.DUMMYFUNCTION("GOOGLETRANSLATE(B199,""vi"",""km"")"),"ជ្រើសរើសលេខកូដដៃគូ")</f>
        <v/>
      </c>
      <c r="E199" s="3" t="inlineStr">
        <is>
          <t>ជ្រើសរើសលេខកូូដដៃគូ</t>
        </is>
      </c>
      <c r="F199" s="3" t="n"/>
      <c r="G199" s="3" t="inlineStr">
        <is>
          <t>ជ្រើសរើសលេខកូូដដៃគូ</t>
        </is>
      </c>
      <c r="H199" t="inlineStr">
        <is>
          <t>ជ្រើសរើសលេខកូូដដៃគូ</t>
        </is>
      </c>
      <c r="I199" s="217" t="inlineStr">
        <is>
          <t>"dieuHanh.selectPartnerId": "ជ្រើសរើសលេខកូូដដៃគូ",</t>
        </is>
      </c>
      <c r="N199" s="3" t="inlineStr">
        <is>
          <t>ជ្រើសរើសលេខសម្គាល់ដៃគូ</t>
        </is>
      </c>
    </row>
    <row r="200" ht="15.75" customHeight="1" s="305">
      <c r="A200" s="3" t="inlineStr">
        <is>
          <t>GiaoHang.titleSelectTypeDevice</t>
        </is>
      </c>
      <c r="B200" s="3" t="inlineStr">
        <is>
          <t>Chọn mã thiết bị</t>
        </is>
      </c>
      <c r="C200" s="3" t="inlineStr">
        <is>
          <t xml:space="preserve">Select device name </t>
        </is>
      </c>
      <c r="D200" s="3">
        <f>IFERROR(__xludf.DUMMYFUNCTION("GOOGLETRANSLATE(B200,""vi"",""km"")"),"ជ្រើសរើសលេខកូដឧបករណ៍")</f>
        <v/>
      </c>
      <c r="E200" s="3" t="inlineStr">
        <is>
          <t>ជ្រើសរើសលេខកូូដឧបករណ៍</t>
        </is>
      </c>
      <c r="F200" s="3" t="n"/>
      <c r="G200" s="3" t="inlineStr">
        <is>
          <t>ជ្រើសរើសលេខកូូដឧបករណ៍</t>
        </is>
      </c>
      <c r="H200" t="inlineStr">
        <is>
          <t>ជ្រើសរើសលេខកូូដឧបករណ៍</t>
        </is>
      </c>
      <c r="I200" s="217" t="inlineStr">
        <is>
          <t>"GiaoHang.titleSelectTypeDevice": "ជ្រើសរើសលេខកូូដឧបករណ៍",</t>
        </is>
      </c>
      <c r="N200" s="3" t="inlineStr">
        <is>
          <t>ជ្រើសរើសលេខកូដឧបករណ៍</t>
        </is>
      </c>
    </row>
    <row r="201" ht="15.75" customHeight="1" s="305">
      <c r="A201" s="3" t="inlineStr">
        <is>
          <t>GiaoHang.descNotYetSetUpDevice</t>
        </is>
      </c>
      <c r="B201" s="3" t="inlineStr">
        <is>
          <t>Chọn mã thiết bị để tiếp tục!</t>
        </is>
      </c>
      <c r="C201" s="3" t="inlineStr">
        <is>
          <t>Select device name to continue</t>
        </is>
      </c>
      <c r="D201" s="3">
        <f>IFERROR(__xludf.DUMMYFUNCTION("GOOGLETRANSLATE(B201,""vi"",""km"")"),"ជ្រើសរើសលេខកូដឧបករណ៍ដើម្បីបន្ត!")</f>
        <v/>
      </c>
      <c r="E201" s="3" t="inlineStr">
        <is>
          <t>ជ្រើសរើសលេខកូូដឧបករណ៍ដើម្បីបន្ត!</t>
        </is>
      </c>
      <c r="F201" s="3" t="n"/>
      <c r="G201" s="3" t="inlineStr">
        <is>
          <t>ជ្រើសរើសលេខកូូដឧបករណ៍ដើម្បីបន្ត!</t>
        </is>
      </c>
      <c r="H201" t="inlineStr">
        <is>
          <t>ជ្រើសរើសលេខកូូដឧបករណ៍ដើម្បីបន្ត!</t>
        </is>
      </c>
      <c r="I201" s="217" t="inlineStr">
        <is>
          <t>"GiaoHang.descNotYetSetUpDevice": "ជ្រើសរើសលេខកូូដឧបករណ៍ដើម្បីបន្ត!",</t>
        </is>
      </c>
      <c r="N201" s="3" t="inlineStr">
        <is>
          <t>ជ្រើសរើសលេខកូដឧបករណ៍ដើម្បីបន្ត!</t>
        </is>
      </c>
    </row>
    <row r="202" ht="15.75" customHeight="1" s="305">
      <c r="A202" s="3" t="inlineStr">
        <is>
          <t>banGiao.tilleModal</t>
        </is>
      </c>
      <c r="B202" s="3" t="inlineStr">
        <is>
          <t>Chọn mã/tên đơn vị</t>
        </is>
      </c>
      <c r="C202" s="3" t="inlineStr">
        <is>
          <t>Select a unit code/name</t>
        </is>
      </c>
      <c r="D202" s="3">
        <f>IFERROR(__xludf.DUMMYFUNCTION("GOOGLETRANSLATE(B202,""vi"",""km"")"),"ជ្រើសរើសលេខកូដ/ឈ្មោះឯកតា")</f>
        <v/>
      </c>
      <c r="E202" s="3" t="inlineStr">
        <is>
          <t>ជ្រើសរើសលេខកូដ/ឈ្មោះអង្គភាព</t>
        </is>
      </c>
      <c r="F202" s="3" t="n"/>
      <c r="G202" s="3" t="inlineStr">
        <is>
          <t>ជ្រើសរើសលេខកូដ/ឈ្មោះអង្គភាព</t>
        </is>
      </c>
      <c r="H202" t="inlineStr">
        <is>
          <t>ជ្រើសរើសលេខកូដ/ឈ្មោះអង្គភាព</t>
        </is>
      </c>
      <c r="I202" s="217" t="inlineStr">
        <is>
          <t>"banGiao.tilleModal": "ជ្រើសរើសលេខកូដ/ឈ្មោះអង្គភាព",</t>
        </is>
      </c>
      <c r="N202" s="3" t="inlineStr">
        <is>
          <t>ជ្រើសរើសកូដឬឈ្មោះអង្គភាព</t>
        </is>
      </c>
    </row>
    <row r="203" ht="15.75" customHeight="1" s="305">
      <c r="A203" s="3" t="inlineStr">
        <is>
          <t>common.choose_date</t>
        </is>
      </c>
      <c r="B203" s="3" t="inlineStr">
        <is>
          <t>Chọn ngày</t>
        </is>
      </c>
      <c r="C203" s="3" t="inlineStr">
        <is>
          <t>Select date</t>
        </is>
      </c>
      <c r="D203" s="3">
        <f>IFERROR(__xludf.DUMMYFUNCTION("GOOGLETRANSLATE(B203,""vi"",""km"")"),"ជ្រើសរើសកាលបរិច្ឆេទ")</f>
        <v/>
      </c>
      <c r="E203" s="3" t="inlineStr">
        <is>
          <t>ជ្រើសរើសថ្ងៃ</t>
        </is>
      </c>
      <c r="F203" s="3" t="n"/>
      <c r="G203" s="3" t="inlineStr">
        <is>
          <t>ជ្រើសរើសថ្ងៃ</t>
        </is>
      </c>
      <c r="H203" t="inlineStr">
        <is>
          <t>ជ្រើសរើសថ្ងៃ</t>
        </is>
      </c>
      <c r="I203" s="217" t="inlineStr">
        <is>
          <t>"common.choose_date": "ជ្រើសរើសថ្ងៃ",</t>
        </is>
      </c>
      <c r="N203" s="3" t="inlineStr">
        <is>
          <t>ជ្រើសរើសកាលបរិច្ឆេទ</t>
        </is>
      </c>
    </row>
    <row r="204" ht="15.75" customHeight="1" s="305">
      <c r="A204" s="3" t="inlineStr">
        <is>
          <t>common.changeLanguage</t>
        </is>
      </c>
      <c r="B204" s="3" t="inlineStr">
        <is>
          <t>Chọn ngôn ngữ</t>
        </is>
      </c>
      <c r="C204" s="3" t="inlineStr">
        <is>
          <t>Change language</t>
        </is>
      </c>
      <c r="D204" s="3">
        <f>IFERROR(__xludf.DUMMYFUNCTION("GOOGLETRANSLATE(B204,""vi"",""km"")"),"ជ្រើសរើសភាសា")</f>
        <v/>
      </c>
      <c r="E204" s="3" t="inlineStr">
        <is>
          <t>ជ្រើសរើសភាសា</t>
        </is>
      </c>
      <c r="F204" s="3" t="n"/>
      <c r="G204" s="3" t="inlineStr">
        <is>
          <t>ជ្រើសរើសភាសា</t>
        </is>
      </c>
      <c r="H204" t="inlineStr">
        <is>
          <t>ជ្រើសរើសភាសា</t>
        </is>
      </c>
      <c r="I204" s="217" t="inlineStr">
        <is>
          <t>"common.changeLanguage": "ជ្រើសរើសភាសា",</t>
        </is>
      </c>
      <c r="N204" s="3" t="inlineStr">
        <is>
          <t>ប្ដូរ​ភាសា</t>
        </is>
      </c>
    </row>
    <row r="205" ht="15.75" customHeight="1" s="305">
      <c r="A205" s="3" t="inlineStr">
        <is>
          <t>login.chooseLanguage</t>
        </is>
      </c>
      <c r="B205" s="3" t="inlineStr">
        <is>
          <t>Chọn ngôn ngữ</t>
        </is>
      </c>
      <c r="C205" s="3" t="inlineStr">
        <is>
          <t>Select your language</t>
        </is>
      </c>
      <c r="D205" s="3">
        <f>IFERROR(__xludf.DUMMYFUNCTION("GOOGLETRANSLATE(B205,""vi"",""km"")"),"ជ្រើសរើសភាសា")</f>
        <v/>
      </c>
      <c r="E205" s="3" t="inlineStr">
        <is>
          <t>ជ្រើសរើសភាសា</t>
        </is>
      </c>
      <c r="F205" s="3" t="n"/>
      <c r="G205" s="3" t="inlineStr">
        <is>
          <t>ជ្រើសរើសភាសា</t>
        </is>
      </c>
      <c r="H205" t="inlineStr">
        <is>
          <t>ជ្រើសរើសភាសា</t>
        </is>
      </c>
      <c r="I205" s="217" t="inlineStr">
        <is>
          <t>"login.chooseLanguage": "ជ្រើសរើសភាសា",</t>
        </is>
      </c>
      <c r="N205" s="3" t="inlineStr">
        <is>
          <t>ជ្រើសរើសភាសា</t>
        </is>
      </c>
    </row>
    <row r="206" ht="15.75" customHeight="1" s="305">
      <c r="A206" s="3" t="inlineStr">
        <is>
          <t>banGiao.selectGroupService</t>
        </is>
      </c>
      <c r="B206" s="3" t="inlineStr">
        <is>
          <t>Chọn nhóm dịch vụ</t>
        </is>
      </c>
      <c r="C206" s="3" t="inlineStr">
        <is>
          <t>Select service group</t>
        </is>
      </c>
      <c r="D206" s="3">
        <f>IFERROR(__xludf.DUMMYFUNCTION("GOOGLETRANSLATE(B206,""vi"",""km"")"),"ជ្រើសរើសក្រុមសេវាកម្ម")</f>
        <v/>
      </c>
      <c r="E206" s="3" t="inlineStr">
        <is>
          <t>ជ្រើសរើសក្រុមសេវាកម្ម</t>
        </is>
      </c>
      <c r="F206" s="3" t="n"/>
      <c r="G206" s="3" t="inlineStr">
        <is>
          <t>ជ្រើសរើសក្រុមសេវាកម្ម</t>
        </is>
      </c>
      <c r="H206" t="inlineStr">
        <is>
          <t>ជ្រើសរើសក្រុមសេវាកម្ម</t>
        </is>
      </c>
      <c r="I206" s="217" t="inlineStr">
        <is>
          <t>"banGiao.selectGroupService": "ជ្រើសរើសក្រុមសេវាកម្ម",</t>
        </is>
      </c>
      <c r="N206" s="3" t="inlineStr">
        <is>
          <t>ជ្រើសរើសក្រុមសេវា</t>
        </is>
      </c>
    </row>
    <row r="207" ht="15.75" customHeight="1" s="305">
      <c r="A207" s="3" t="inlineStr">
        <is>
          <t>banGiao.choseDestination</t>
        </is>
      </c>
      <c r="B207" s="3" t="inlineStr">
        <is>
          <t>Chọn nơi đến</t>
        </is>
      </c>
      <c r="C207" s="3" t="inlineStr">
        <is>
          <t>Select destination</t>
        </is>
      </c>
      <c r="D207" s="3">
        <f>IFERROR(__xludf.DUMMYFUNCTION("GOOGLETRANSLATE(B207,""vi"",""km"")"),"ជ្រើសរើសគោលដៅរបស់អ្នក")</f>
        <v/>
      </c>
      <c r="E207" s="3" t="inlineStr">
        <is>
          <t>ជ្រើសរើសទីតាំងមកដល់</t>
        </is>
      </c>
      <c r="F207" s="3" t="n"/>
      <c r="G207" s="3" t="inlineStr">
        <is>
          <t>ជ្រើសរើសទីតាំងមកដល់</t>
        </is>
      </c>
      <c r="H207" t="inlineStr">
        <is>
          <t>ជ្រើសរើសទីតាំងមកដល់</t>
        </is>
      </c>
      <c r="I207" s="217" t="inlineStr">
        <is>
          <t>"banGiao.choseDestination": "ជ្រើសរើសទីតាំងមកដល់",</t>
        </is>
      </c>
      <c r="N207" s="3" t="inlineStr">
        <is>
          <t>ជ្រើសរើសកន្លែងផ្ញើ</t>
        </is>
      </c>
    </row>
    <row r="208" ht="15.75" customHeight="1" s="305">
      <c r="A208" s="3" t="inlineStr">
        <is>
          <t>DongTai.selectNoiDen</t>
        </is>
      </c>
      <c r="B208" s="3" t="inlineStr">
        <is>
          <t>Chọn nơi đến</t>
        </is>
      </c>
      <c r="C208" s="143" t="inlineStr">
        <is>
          <t>Select destination</t>
        </is>
      </c>
      <c r="D208" s="3">
        <f>IFERROR(__xludf.DUMMYFUNCTION("GOOGLETRANSLATE(B208,""vi"",""km"")"),"ជ្រើសរើសគោលដៅរបស់អ្នក")</f>
        <v/>
      </c>
      <c r="E208" s="3" t="inlineStr">
        <is>
          <t>ជ្រើសរើសទីតាំងមកដល់</t>
        </is>
      </c>
      <c r="F208" s="3" t="n"/>
      <c r="G208" s="3" t="inlineStr">
        <is>
          <t>ជ្រើសរើសទីតាំងមកដល់</t>
        </is>
      </c>
      <c r="H208" t="inlineStr">
        <is>
          <t>ជ្រើសរើសទីតាំងមកដល់</t>
        </is>
      </c>
      <c r="I208" s="217" t="inlineStr">
        <is>
          <t>"DongTai.selectNoiDen": "ជ្រើសរើសទីតាំងមកដល់",</t>
        </is>
      </c>
      <c r="N208" s="3" t="inlineStr"/>
    </row>
    <row r="209" ht="15.75" customHeight="1" s="305">
      <c r="A209" s="3" t="inlineStr">
        <is>
          <t>taoDon.selectSurcharge</t>
        </is>
      </c>
      <c r="B209" s="3" t="inlineStr">
        <is>
          <t>Chọn phụ phí</t>
        </is>
      </c>
      <c r="C209" s="3" t="inlineStr">
        <is>
          <t>Select surcharge</t>
        </is>
      </c>
      <c r="D209" s="3">
        <f>IFERROR(__xludf.DUMMYFUNCTION("GOOGLETRANSLATE(B209,""vi"",""km"")"),"ជ្រើសរើសថ្លៃសេវាបន្ថែម")</f>
        <v/>
      </c>
      <c r="E209" s="3" t="inlineStr">
        <is>
          <t>ជ្រើសរើសសេវាកម្មបន្ថែ្ថម</t>
        </is>
      </c>
      <c r="F209" s="3" t="n"/>
      <c r="G209" s="3" t="inlineStr">
        <is>
          <t>ជ្រើសរើសសេវាកម្មបន្ថែ្ថម</t>
        </is>
      </c>
      <c r="H209" t="inlineStr">
        <is>
          <t>ជ្រើសរើសសេវាកម្មបន្ថែ្ថម</t>
        </is>
      </c>
      <c r="I209" s="217" t="inlineStr">
        <is>
          <t>"taoDon.selectSurcharge": "ជ្រើសរើសសេវាកម្មបន្ថែ្ថម",</t>
        </is>
      </c>
      <c r="N209" s="3" t="inlineStr">
        <is>
          <t>ជ្រើសរើសថ្លៃបន្ថែម</t>
        </is>
      </c>
    </row>
    <row r="210" ht="15.75" customHeight="1" s="305">
      <c r="A210" s="3" t="inlineStr">
        <is>
          <t>login.chooseCountry</t>
        </is>
      </c>
      <c r="B210" s="3" t="inlineStr">
        <is>
          <t>Chọn quốc gia</t>
        </is>
      </c>
      <c r="C210" s="3" t="inlineStr">
        <is>
          <t>Select your country</t>
        </is>
      </c>
      <c r="D210" s="3">
        <f>IFERROR(__xludf.DUMMYFUNCTION("GOOGLETRANSLATE(B210,""vi"",""km"")"),"ជ្រើសរើសប្រទេស")</f>
        <v/>
      </c>
      <c r="E210" s="3" t="inlineStr">
        <is>
          <t>ជ្រើសរើសប្រទេស</t>
        </is>
      </c>
      <c r="F210" s="3" t="n"/>
      <c r="G210" s="3" t="inlineStr">
        <is>
          <t>ជ្រើសរើសប្រទេស</t>
        </is>
      </c>
      <c r="H210" t="inlineStr">
        <is>
          <t>ជ្រើសរើសប្រទេស</t>
        </is>
      </c>
      <c r="I210" s="217" t="inlineStr">
        <is>
          <t>"login.chooseCountry": "ជ្រើសរើសប្រទេស",</t>
        </is>
      </c>
      <c r="N210" s="3" t="inlineStr">
        <is>
          <t>ជ្រើសរើសប្រទេស</t>
        </is>
      </c>
    </row>
    <row r="211" ht="15.75" customHeight="1" s="305">
      <c r="A211" s="3" t="inlineStr">
        <is>
          <t>taoDon.selectPhoneNumber</t>
        </is>
      </c>
      <c r="B211" s="3" t="inlineStr">
        <is>
          <t>Chọn số điện thoại</t>
        </is>
      </c>
      <c r="C211" s="3" t="inlineStr">
        <is>
          <t>Select phone number</t>
        </is>
      </c>
      <c r="D211" s="3">
        <f>IFERROR(__xludf.DUMMYFUNCTION("GOOGLETRANSLATE(B211,""vi"",""km"")"),"ជ្រើសរើសលេខទូរស័ព្ទ")</f>
        <v/>
      </c>
      <c r="E211" s="3" t="inlineStr">
        <is>
          <t>ជ្រើសរើសលេខទូរស័ព្ទ</t>
        </is>
      </c>
      <c r="F211" s="3" t="n"/>
      <c r="G211" s="3" t="inlineStr">
        <is>
          <t>ជ្រើសរើសលេខទូរស័ព្ទ</t>
        </is>
      </c>
      <c r="H211" t="inlineStr">
        <is>
          <t>ជ្រើសរើសលេខទូរស័ព្ទ</t>
        </is>
      </c>
      <c r="I211" s="217" t="inlineStr">
        <is>
          <t>"taoDon.selectPhoneNumber": "ជ្រើសរើសលេខទូរស័ព្ទ",</t>
        </is>
      </c>
      <c r="N211" s="3" t="inlineStr">
        <is>
          <t>ជ្រើសរើសលេខទូរស័ព្ទ</t>
        </is>
      </c>
    </row>
    <row r="212" ht="15.75" customHeight="1" s="305">
      <c r="A212" s="3" t="inlineStr">
        <is>
          <t>banGiao.tilleModalPostman</t>
        </is>
      </c>
      <c r="B212" s="3" t="inlineStr">
        <is>
          <t>Chọn tên/số điện thoại</t>
        </is>
      </c>
      <c r="C212" s="3" t="inlineStr">
        <is>
          <t>Select a name/phone number</t>
        </is>
      </c>
      <c r="D212" s="3">
        <f>IFERROR(__xludf.DUMMYFUNCTION("GOOGLETRANSLATE(B212,""vi"",""km"")"),"ជ្រើសរើសឈ្មោះ/លេខទូរស័ព្ទ")</f>
        <v/>
      </c>
      <c r="E212" s="3" t="inlineStr">
        <is>
          <t>ជ្រើសរើសឈ្មោះ/លេខទូរស័ព្ទ</t>
        </is>
      </c>
      <c r="F212" s="3" t="n"/>
      <c r="G212" s="3" t="inlineStr">
        <is>
          <t>ជ្រើសរើសឈ្មោះ/លេខទូរស័ព្ទ</t>
        </is>
      </c>
      <c r="H212" t="inlineStr">
        <is>
          <t>ជ្រើសរើសឈ្មោះ/លេខទូរស័ព្ទ</t>
        </is>
      </c>
      <c r="I212" s="217" t="inlineStr">
        <is>
          <t>"banGiao.tilleModalPostman": "ជ្រើសរើសឈ្មោះ/លេខទូរស័ព្ទ",</t>
        </is>
      </c>
      <c r="N212" s="3" t="inlineStr">
        <is>
          <t>ជ្រើសរើសឈ្មោះ/លេខទូរស័ព្ទ</t>
        </is>
      </c>
    </row>
    <row r="213" ht="15.75" customHeight="1" s="305">
      <c r="A213" s="3" t="inlineStr">
        <is>
          <t>GiaoHang.selectDevice</t>
        </is>
      </c>
      <c r="B213" s="3" t="inlineStr">
        <is>
          <t>Chọn thiết bị</t>
        </is>
      </c>
      <c r="C213" s="3" t="inlineStr">
        <is>
          <t>Select device</t>
        </is>
      </c>
      <c r="D213" s="3">
        <f>IFERROR(__xludf.DUMMYFUNCTION("GOOGLETRANSLATE(B213,""vi"",""km"")"),"ជ្រើសរើសឧបករណ៍")</f>
        <v/>
      </c>
      <c r="E213" s="3">
        <f>IFERROR(__xludf.DUMMYFUNCTION("GOOGLETRANSLATE(C213,""vi"",""km"")"),"ជ្រើសរើសឧបករណ៍")</f>
        <v/>
      </c>
      <c r="F213" s="3" t="n"/>
      <c r="G213" s="3" t="inlineStr">
        <is>
          <t>ជ្រើសរើសឧបករណ៍</t>
        </is>
      </c>
      <c r="H213" t="inlineStr">
        <is>
          <t>ជ្រើសរើសឧបករណ៍</t>
        </is>
      </c>
      <c r="I213" s="217" t="inlineStr">
        <is>
          <t>"GiaoHang.selectDevice": "ជ្រើសរើសឧបករណ៍",</t>
        </is>
      </c>
      <c r="N213" s="3" t="inlineStr">
        <is>
          <t>ជ្រើសរើសឧបករណ៍</t>
        </is>
      </c>
    </row>
    <row r="214" ht="15.75" customHeight="1" s="305">
      <c r="A214" s="3" t="inlineStr">
        <is>
          <t>taoDon.selectTime</t>
        </is>
      </c>
      <c r="B214" s="3" t="inlineStr">
        <is>
          <t>Chọn thời gian</t>
        </is>
      </c>
      <c r="C214" s="3" t="inlineStr">
        <is>
          <t>Select time</t>
        </is>
      </c>
      <c r="D214" s="3">
        <f>IFERROR(__xludf.DUMMYFUNCTION("GOOGLETRANSLATE(B214,""vi"",""km"")"),"ជ្រើសរើសពេលវេលា")</f>
        <v/>
      </c>
      <c r="E214" s="3" t="inlineStr">
        <is>
          <t>ជ្រើសរើសពេលវេលា</t>
        </is>
      </c>
      <c r="F214" s="3" t="n"/>
      <c r="G214" s="3" t="inlineStr">
        <is>
          <t>ជ្រើសរើសពេលវេលា</t>
        </is>
      </c>
      <c r="H214" t="inlineStr">
        <is>
          <t>ជ្រើសរើសពេលវេលា</t>
        </is>
      </c>
      <c r="I214" s="217" t="inlineStr">
        <is>
          <t>"taoDon.selectTime": "ជ្រើសរើសពេលវេលា",</t>
        </is>
      </c>
      <c r="N214" s="3" t="inlineStr">
        <is>
          <t>ជ្រើសរើសពេលវេលា</t>
        </is>
      </c>
    </row>
    <row r="215" ht="15.75" customHeight="1" s="305">
      <c r="A215" s="3" t="inlineStr">
        <is>
          <t>GiaoHang.descEmptyDistrict</t>
        </is>
      </c>
      <c r="B215" s="3" t="inlineStr">
        <is>
          <t>Chọn thông tin Huyện để tiếp tục</t>
        </is>
      </c>
      <c r="C215" s="3" t="inlineStr">
        <is>
          <t>Select district to continue</t>
        </is>
      </c>
      <c r="D215" s="3">
        <f>IFERROR(__xludf.DUMMYFUNCTION("GOOGLETRANSLATE(B215,""vi"",""km"")"),"ជ្រើសរើសព័ត៌មានស្រុកដើម្បីបន្ត")</f>
        <v/>
      </c>
      <c r="E215" s="3" t="inlineStr">
        <is>
          <t>ជ្រើសរើសពេ័ត៌មានស្រុកដើម្បីបន្ត</t>
        </is>
      </c>
      <c r="F215" s="3" t="n"/>
      <c r="G215" s="3" t="inlineStr">
        <is>
          <t>ជ្រើសរើសពេ័ត៌មានស្រុកដើម្បីបន្ត</t>
        </is>
      </c>
      <c r="H215" t="inlineStr">
        <is>
          <t>ជ្រើសរើសពេ័ត៌មានស្រុកដើម្បីបន្ត</t>
        </is>
      </c>
      <c r="I215" s="217" t="inlineStr">
        <is>
          <t>"GiaoHang.descEmptyDistrict": "ជ្រើសរើសពេ័ត៌មានស្រុកដើម្បីបន្ត",</t>
        </is>
      </c>
      <c r="N215" s="3" t="inlineStr">
        <is>
          <t>ជ្រើសរើសព័ត៌មានស្រុកដើម្បីបន្ត</t>
        </is>
      </c>
    </row>
    <row r="216" ht="15.75" customHeight="1" s="305">
      <c r="A216" s="3" t="inlineStr">
        <is>
          <t>GiaoHang.descEmptyWards</t>
        </is>
      </c>
      <c r="B216" s="3" t="inlineStr">
        <is>
          <t>Chọn thông tin Thị trấn để tiếp tục</t>
        </is>
      </c>
      <c r="C216" s="3" t="inlineStr">
        <is>
          <t>Select ward to continue</t>
        </is>
      </c>
      <c r="D216" s="3">
        <f>IFERROR(__xludf.DUMMYFUNCTION("GOOGLETRANSLATE(B216,""vi"",""km"")"),"ជ្រើសរើសព័ត៌មានទីក្រុងដើម្បីបន្ត")</f>
        <v/>
      </c>
      <c r="E216" s="3" t="inlineStr">
        <is>
          <t>ជ្រើសរើសពេ័ត៌មានទីរួមខេត្ត ដើម្បីបន្ត</t>
        </is>
      </c>
      <c r="F216" s="3" t="n"/>
      <c r="G216" s="3" t="inlineStr">
        <is>
          <t>ជ្រើសរើសពេ័ត៌មានទីរួមខេត្ត ដើម្បីបន្ត</t>
        </is>
      </c>
      <c r="H216" t="inlineStr">
        <is>
          <t>ជ្រើសរើសពេ័ត៌មានទីរួមខេត្ត ដើម្បីបន្ត</t>
        </is>
      </c>
      <c r="I216" s="217" t="inlineStr">
        <is>
          <t>"GiaoHang.descEmptyWards": "ជ្រើសរើសពេ័ត៌មានទីរួមខេត្ត ដើម្បីបន្ត",</t>
        </is>
      </c>
      <c r="N216" s="3" t="inlineStr">
        <is>
          <t>ជ្រើសរើសព័ត៌មានទីរួមស្រុកដើម្បីបន្ត</t>
        </is>
      </c>
    </row>
    <row r="217" ht="15.75" customHeight="1" s="305">
      <c r="A217" s="3" t="inlineStr">
        <is>
          <t>GiaoHang.warningFilter</t>
        </is>
      </c>
      <c r="B217" s="3" t="inlineStr">
        <is>
          <t>Chọn trạng thái để tiếp tục!</t>
        </is>
      </c>
      <c r="C217" s="3" t="inlineStr">
        <is>
          <t>Select status to continue!</t>
        </is>
      </c>
      <c r="D217" s="3">
        <f>IFERROR(__xludf.DUMMYFUNCTION("GOOGLETRANSLATE(B217,""vi"",""km"")"),"ជ្រើសរើសស្ថានភាពដើម្បីបន្ត!")</f>
        <v/>
      </c>
      <c r="E217" s="3" t="inlineStr">
        <is>
          <t>ជ្រើសរើសស្ថានភាពដើម្បីបន្ត!</t>
        </is>
      </c>
      <c r="F217" s="3" t="n"/>
      <c r="G217" s="3" t="inlineStr">
        <is>
          <t>ជ្រើសរើសស្ថានភាពដើម្បីបន្ត!</t>
        </is>
      </c>
      <c r="H217" t="inlineStr">
        <is>
          <t>ជ្រើសរើសស្ថានភាពដើម្បីបន្ត!</t>
        </is>
      </c>
      <c r="I217" s="217" t="inlineStr">
        <is>
          <t>"GiaoHang.warningFilter": "ជ្រើសរើសស្ថានភាពដើម្បីបន្ត!",</t>
        </is>
      </c>
      <c r="N217" s="163" t="inlineStr">
        <is>
          <t>ជ្រើសរើសស្ថានភាពដើម្បីបន្ត!</t>
        </is>
      </c>
    </row>
    <row r="218" ht="15.75" customHeight="1" s="305">
      <c r="A218" s="3" t="inlineStr">
        <is>
          <t>GiaoHang.descEmptyStatusFilter</t>
        </is>
      </c>
      <c r="B218" s="3" t="inlineStr">
        <is>
          <t>Chọn trạng thái để tiếp tục!</t>
        </is>
      </c>
      <c r="C218" s="3" t="inlineStr">
        <is>
          <t>Select status to continue!</t>
        </is>
      </c>
      <c r="D218" s="3">
        <f>IFERROR(__xludf.DUMMYFUNCTION("GOOGLETRANSLATE(B218,""vi"",""km"")"),"ជ្រើសរើសស្ថានភាពដើម្បីបន្ត!")</f>
        <v/>
      </c>
      <c r="E218" s="3" t="inlineStr">
        <is>
          <t>ជ្រើសរើសស្ថានភាពដើម្បីបន្ត!</t>
        </is>
      </c>
      <c r="F218" s="3" t="n"/>
      <c r="G218" s="3" t="inlineStr">
        <is>
          <t>ជ្រើសរើសស្ថានភាពដើម្បីបន្ត!</t>
        </is>
      </c>
      <c r="H218" t="inlineStr">
        <is>
          <t>ជ្រើសរើសស្ថានភាពដើម្បីបន្ត!</t>
        </is>
      </c>
      <c r="I218" s="217" t="inlineStr">
        <is>
          <t>"GiaoHang.descEmptyStatusFilter": "ជ្រើសរើសស្ថានភាពដើម្បីបន្ត!",</t>
        </is>
      </c>
      <c r="N218" s="3" t="inlineStr">
        <is>
          <t>ជ្រើសរើសការបន្ត</t>
        </is>
      </c>
    </row>
    <row r="219" ht="15.75" customHeight="1" s="305">
      <c r="A219" s="3" t="inlineStr">
        <is>
          <t>dieuHanh.selectRoute</t>
        </is>
      </c>
      <c r="B219" s="3" t="inlineStr">
        <is>
          <t>Chọn tuyến</t>
        </is>
      </c>
      <c r="C219" s="3" t="inlineStr">
        <is>
          <t>Select route</t>
        </is>
      </c>
      <c r="D219" s="3">
        <f>IFERROR(__xludf.DUMMYFUNCTION("GOOGLETRANSLATE(B219,""vi"",""km"")"),"ជ្រើសរើសផ្លូវ")</f>
        <v/>
      </c>
      <c r="E219" s="3" t="inlineStr">
        <is>
          <t>ជ្រើសរើសផ្លូវដឹក</t>
        </is>
      </c>
      <c r="F219" s="3" t="n"/>
      <c r="G219" s="3" t="inlineStr">
        <is>
          <t>ជ្រើសរើសផ្លូវដឹក</t>
        </is>
      </c>
      <c r="H219" t="inlineStr">
        <is>
          <t>ជ្រើសរើសផ្លូវដឹក</t>
        </is>
      </c>
      <c r="I219" s="217" t="inlineStr">
        <is>
          <t>"dieuHanh.selectRoute": "ជ្រើសរើសផ្លូវដឹក",</t>
        </is>
      </c>
      <c r="N219" s="3" t="inlineStr">
        <is>
          <t>ជ្រើសរើសផ្លូវ</t>
        </is>
      </c>
    </row>
    <row r="220" ht="15.75" customHeight="1" s="305">
      <c r="A220" s="3" t="inlineStr">
        <is>
          <t>dieuHanh.selectRoutes</t>
        </is>
      </c>
      <c r="B220" s="3" t="inlineStr">
        <is>
          <t>Chọn tuyến</t>
        </is>
      </c>
      <c r="C220" s="3" t="inlineStr">
        <is>
          <t>Select route</t>
        </is>
      </c>
      <c r="D220" s="3">
        <f>IFERROR(__xludf.DUMMYFUNCTION("GOOGLETRANSLATE(B220,""vi"",""km"")"),"ជ្រើសរើសផ្លូវ")</f>
        <v/>
      </c>
      <c r="E220" s="3" t="inlineStr">
        <is>
          <t>ជ្រើសរើសផ្លូវដឹក</t>
        </is>
      </c>
      <c r="F220" s="3" t="n"/>
      <c r="G220" s="3" t="inlineStr">
        <is>
          <t>ជ្រើសរើសផ្លូវដឹក</t>
        </is>
      </c>
      <c r="H220" t="inlineStr">
        <is>
          <t>ជ្រើសរើសផ្លូវដឹក</t>
        </is>
      </c>
      <c r="I220" s="217" t="inlineStr">
        <is>
          <t>"dieuHanh.selectRoutes": "ជ្រើសរើសផ្លូវដឹក",</t>
        </is>
      </c>
      <c r="N220" s="3" t="inlineStr">
        <is>
          <t>ជ្រើសរើសផ្លូវ</t>
        </is>
      </c>
    </row>
    <row r="221" ht="15.75" customHeight="1" s="305">
      <c r="A221" s="3" t="inlineStr">
        <is>
          <t>PhanCong.listBuuTa</t>
        </is>
      </c>
      <c r="B221" s="3" t="inlineStr">
        <is>
          <t>Chọn tuyến bưu tá</t>
        </is>
      </c>
      <c r="C221" s="3" t="inlineStr">
        <is>
          <t>Select postman's route</t>
        </is>
      </c>
      <c r="D221" s="3">
        <f>IFERROR(__xludf.DUMMYFUNCTION("GOOGLETRANSLATE(B221,""vi"",""km"")"),"ជ្រើសរើសផ្លូវប្រៃសណីយ៍")</f>
        <v/>
      </c>
      <c r="E221" s="3" t="inlineStr">
        <is>
          <t>ជ្រើសរើសផ្លូវដឹកឲ្យអ្នកដឹក</t>
        </is>
      </c>
      <c r="F221" s="3" t="n"/>
      <c r="G221" s="3" t="inlineStr">
        <is>
          <t>ជ្រើសរើសផ្លូវដឹកឲ្យអ្នកដឹក</t>
        </is>
      </c>
      <c r="H221" t="inlineStr">
        <is>
          <t>ជ្រើសរើសផ្លូវដឹកឲ្យអ្នកដឹក</t>
        </is>
      </c>
      <c r="I221" s="217" t="inlineStr">
        <is>
          <t>"PhanCong.listBuuTa": "ជ្រើសរើសផ្លូវដឹកឲ្យអ្នកដឹក",</t>
        </is>
      </c>
      <c r="N221" s="3" t="inlineStr">
        <is>
          <t>ជ្រើសរើសផ្លូវបញ្ជូន</t>
        </is>
      </c>
    </row>
    <row r="222" ht="15.75" customHeight="1" s="305">
      <c r="A222" s="3" t="inlineStr">
        <is>
          <t>KiemKe.titleSelectRoute</t>
        </is>
      </c>
      <c r="B222" s="3" t="inlineStr">
        <is>
          <t>Chọn tuyến kiểm kê</t>
        </is>
      </c>
      <c r="C222" s="3" t="inlineStr">
        <is>
          <t>Select inventory route</t>
        </is>
      </c>
      <c r="D222" s="3">
        <f>IFERROR(__xludf.DUMMYFUNCTION("GOOGLETRANSLATE(B222,""vi"",""km"")"),"ជ្រើសរើសផ្លូវស្តុក")</f>
        <v/>
      </c>
      <c r="E222" s="3" t="inlineStr">
        <is>
          <t>ជ្រើសរើសផ្លូវដឹកដើម្បីពិនិត្យ</t>
        </is>
      </c>
      <c r="F222" s="3" t="n"/>
      <c r="G222" s="3" t="inlineStr">
        <is>
          <t>ជ្រើសរើសផ្លូវដឹកដើម្បីពិនិត្យ</t>
        </is>
      </c>
      <c r="H222" t="inlineStr">
        <is>
          <t>ជ្រើសរើសផ្លូវដឹកដើម្បីពិនិត្យ</t>
        </is>
      </c>
      <c r="I222" s="217" t="inlineStr">
        <is>
          <t>"KiemKe.titleSelectRoute": "ជ្រើសរើសផ្លូវដឹកដើម្បីពិនិត្យ",</t>
        </is>
      </c>
      <c r="N222" s="163" t="inlineStr">
        <is>
          <t>ជ្រើសរើសផ្លូវស្តុក</t>
        </is>
      </c>
    </row>
    <row r="223" ht="15.75" customHeight="1" s="305">
      <c r="A223" s="3" t="inlineStr">
        <is>
          <t>debit.successfulClosing</t>
        </is>
      </c>
      <c r="B223" s="3" t="inlineStr">
        <is>
          <t>Chốt bảng kê thành công!</t>
        </is>
      </c>
      <c r="C223" s="3" t="inlineStr">
        <is>
          <t xml:space="preserve">Lock the statement successfully! </t>
        </is>
      </c>
      <c r="D223" s="3">
        <f>IFERROR(__xludf.DUMMYFUNCTION("GOOGLETRANSLATE(B223,""vi"",""km"")"),"បញ្ជីសារពើភណ្ឌត្រូវបានបញ្ចប់ដោយជោគជ័យ!")</f>
        <v/>
      </c>
      <c r="E223" s="3" t="inlineStr">
        <is>
          <t>ការបិទតារាងបានជោគជ័យ!</t>
        </is>
      </c>
      <c r="F223" s="3" t="n"/>
      <c r="G223" s="3" t="inlineStr">
        <is>
          <t>ការបិទតារាងបានជោគជ័យ!</t>
        </is>
      </c>
      <c r="H223" t="inlineStr">
        <is>
          <t>ការបិទតារាងបានជោគជ័យ!</t>
        </is>
      </c>
      <c r="I223" s="217" t="inlineStr">
        <is>
          <t>"debit.successfulClosing": "ការបិទតារាងបានជោគជ័យ!",</t>
        </is>
      </c>
      <c r="N223" s="3" t="inlineStr">
        <is>
          <t xml:space="preserve">Lock the statement successfully! </t>
        </is>
      </c>
    </row>
    <row r="224" ht="15.75" customHeight="1" s="305">
      <c r="A224" s="3" t="inlineStr">
        <is>
          <t>debit.chot_thu</t>
        </is>
      </c>
      <c r="B224" s="3" t="inlineStr">
        <is>
          <t>Chốt thu</t>
        </is>
      </c>
      <c r="C224" s="3" t="inlineStr">
        <is>
          <t>Lock statement</t>
        </is>
      </c>
      <c r="D224" s="3">
        <f>IFERROR(__xludf.DUMMYFUNCTION("GOOGLETRANSLATE(B224,""vi"",""km"")"),"ចំណុចប្រមូល")</f>
        <v/>
      </c>
      <c r="E224" s="3" t="inlineStr">
        <is>
          <t>បានបិទការប្រមូល</t>
        </is>
      </c>
      <c r="F224" s="3" t="n"/>
      <c r="G224" s="3" t="inlineStr">
        <is>
          <t>បានបិទការប្រមូល</t>
        </is>
      </c>
      <c r="H224" t="inlineStr">
        <is>
          <t>បានបិទការប្រមូល</t>
        </is>
      </c>
      <c r="I224" s="217" t="inlineStr">
        <is>
          <t>"debit.chot_thu": "បានបិទការប្រមូល",</t>
        </is>
      </c>
      <c r="N224" s="163" t="inlineStr">
        <is>
          <t>សេចក្តីថ្លែងការណ៍ចាក់សោ</t>
        </is>
      </c>
    </row>
    <row r="225" ht="15.75" customHeight="1" s="305">
      <c r="A225" s="3" t="inlineStr">
        <is>
          <t>debit.status_confirm</t>
        </is>
      </c>
      <c r="B225" s="3" t="inlineStr">
        <is>
          <t>Chốt thu</t>
        </is>
      </c>
      <c r="C225" s="3" t="inlineStr">
        <is>
          <t>Lock statement</t>
        </is>
      </c>
      <c r="D225" s="3">
        <f>IFERROR(__xludf.DUMMYFUNCTION("GOOGLETRANSLATE(B225,""vi"",""km"")"),"ចំណុចប្រមូល")</f>
        <v/>
      </c>
      <c r="E225" s="3" t="inlineStr">
        <is>
          <t>បានបិទការប្រមូល</t>
        </is>
      </c>
      <c r="F225" s="3" t="n"/>
      <c r="G225" s="3" t="inlineStr">
        <is>
          <t>បានបិទការប្រមូល</t>
        </is>
      </c>
      <c r="H225" t="inlineStr">
        <is>
          <t>បានបិទការប្រមូល</t>
        </is>
      </c>
      <c r="I225" s="217" t="inlineStr">
        <is>
          <t>"debit.status_confirm": "បានបិទការប្រមូល",</t>
        </is>
      </c>
      <c r="N225" s="3" t="inlineStr">
        <is>
          <t>ការបិទបញ្ជី</t>
        </is>
      </c>
    </row>
    <row r="226" ht="15.75" customHeight="1" s="305">
      <c r="A226" s="3" t="inlineStr">
        <is>
          <t>taoDon.sunday</t>
        </is>
      </c>
      <c r="B226" s="3" t="inlineStr">
        <is>
          <t>Chủ nhật</t>
        </is>
      </c>
      <c r="C226" s="3" t="inlineStr">
        <is>
          <t>Sunday</t>
        </is>
      </c>
      <c r="D226" s="3">
        <f>IFERROR(__xludf.DUMMYFUNCTION("GOOGLETRANSLATE(B226,""vi"",""km"")"),"ថ្ងៃអាទិត្យ")</f>
        <v/>
      </c>
      <c r="E226" s="3" t="inlineStr">
        <is>
          <t>ថ្ងៃអាទិត្យ</t>
        </is>
      </c>
      <c r="F226" s="3" t="n"/>
      <c r="G226" s="3" t="inlineStr">
        <is>
          <t>ថ្ងៃអាទិត្យ</t>
        </is>
      </c>
      <c r="H226" t="inlineStr">
        <is>
          <t>ថ្ងៃអាទិត្យ</t>
        </is>
      </c>
      <c r="I226" s="217" t="inlineStr">
        <is>
          <t>"taoDon.sunday": "ថ្ងៃអាទិត្យ",</t>
        </is>
      </c>
      <c r="N226" s="3" t="inlineStr">
        <is>
          <t>ថ្ងៃអាទិត្យ</t>
        </is>
      </c>
    </row>
    <row r="227" ht="15.75" customHeight="1" s="305">
      <c r="A227" s="3" t="inlineStr">
        <is>
          <t>tms.chuaCheckin</t>
        </is>
      </c>
      <c r="B227" s="3" t="inlineStr">
        <is>
          <t>Chưa check in</t>
        </is>
      </c>
      <c r="C227" s="3" t="inlineStr">
        <is>
          <t>Not checked in</t>
        </is>
      </c>
      <c r="D227" s="3">
        <f>IFERROR(__xludf.DUMMYFUNCTION("GOOGLETRANSLATE(B227,""vi"",""km"")"),"មិនទាន់បានចូលពិនិត្យនៅឡើយទេ។")</f>
        <v/>
      </c>
      <c r="E227" s="3" t="inlineStr">
        <is>
          <t>មិនទាន់ check in</t>
        </is>
      </c>
      <c r="F227" s="3" t="n"/>
      <c r="G227" s="3" t="inlineStr">
        <is>
          <t>មិនទាន់ check in</t>
        </is>
      </c>
      <c r="H227" t="inlineStr">
        <is>
          <t>មិនទាន់ check in</t>
        </is>
      </c>
      <c r="I227" s="217" t="inlineStr">
        <is>
          <t>"tms.chuaCheckin": "មិនទាន់ check in",</t>
        </is>
      </c>
      <c r="N227" s="3" t="inlineStr"/>
    </row>
    <row r="228" ht="15.75" customHeight="1" s="305">
      <c r="A228" s="3" t="inlineStr">
        <is>
          <t>tms.chuaCheckout</t>
        </is>
      </c>
      <c r="B228" s="3" t="inlineStr">
        <is>
          <t>Chưa check out</t>
        </is>
      </c>
      <c r="C228" s="3" t="inlineStr">
        <is>
          <t>Not checked out</t>
        </is>
      </c>
      <c r="D228" s="3">
        <f>IFERROR(__xludf.DUMMYFUNCTION("GOOGLETRANSLATE(B228,""vi"",""km"")"),"មិនទាន់បានពិនិត្យចេញនៅឡើយទេ។")</f>
        <v/>
      </c>
      <c r="E228" s="3" t="inlineStr">
        <is>
          <t>មិនទាន់ check out</t>
        </is>
      </c>
      <c r="F228" s="3" t="n"/>
      <c r="G228" s="3" t="inlineStr">
        <is>
          <t>មិនទាន់ check out</t>
        </is>
      </c>
      <c r="H228" t="inlineStr">
        <is>
          <t>មិនទាន់ check out</t>
        </is>
      </c>
      <c r="I228" s="217" t="inlineStr">
        <is>
          <t>"tms.chuaCheckout": "មិនទាន់ check out",</t>
        </is>
      </c>
      <c r="N228" s="3" t="inlineStr"/>
    </row>
    <row r="229" ht="15.75" customHeight="1" s="305">
      <c r="A229" s="3" t="inlineStr">
        <is>
          <t>GiaoHang.warningEmptyReasonReject</t>
        </is>
      </c>
      <c r="B229" s="3" t="inlineStr">
        <is>
          <t>Chưa chọn nguyên nhân khách hàng từ chối nhận hàng!</t>
        </is>
      </c>
      <c r="C229" s="3" t="inlineStr">
        <is>
          <t>Reason why recipient refused to receive is required!</t>
        </is>
      </c>
      <c r="D229" s="3">
        <f>IFERROR(__xludf.DUMMYFUNCTION("GOOGLETRANSLATE(B229,""vi"",""km"")"),"មូលហេតុ​ដែល​អតិថិជន​បដិសេធ​មិន​ទទួល​បាន​ការ​ដឹក​ជញ្ជូន​នៅ​មិន​ទាន់​ត្រូវ​បាន​ជ្រើសរើស​នៅ​ឡើយ​ទេ!")</f>
        <v/>
      </c>
      <c r="E229" s="3" t="inlineStr">
        <is>
          <t>មិនទាន់បានជ្រើសរើសហេតុផលសម្រាប់ការបដិសេធរបស់អតិថិជនក្នុងការទទួលទំនិញនៅឡើយទេ!</t>
        </is>
      </c>
      <c r="F229" s="3" t="n"/>
      <c r="G229" s="3" t="inlineStr">
        <is>
          <t>មិនទាន់បានជ្រើសរើសហេតុផលសម្រាប់ការបដិសេធរបស់អតិថិជនក្នុងការទទួលទំនិញនៅឡើយទេ!</t>
        </is>
      </c>
      <c r="H229" t="inlineStr">
        <is>
          <t>មិនទាន់បានជ្រើសរើសហេតុផលសម្រាប់ការបដិសេធរបស់អតិថិជនក្នុងការទទួលទំនិញនៅឡើយទេ!</t>
        </is>
      </c>
      <c r="I229" s="217" t="inlineStr">
        <is>
          <t>"GiaoHang.warningEmptyReasonReject": "មិនទាន់បានជ្រើសរើសហេតុផលសម្រាប់ការបដិសេធរបស់អតិថិជនក្នុងការទទួលទំនិញនៅឡើយទេ!",</t>
        </is>
      </c>
      <c r="N229" s="3" t="inlineStr">
        <is>
          <t>មូលហេតុ​អតិថិជន​បដិសេធ​មិន​ទទួល​ទំនិញ​មិន​បាន​ជ្រើសរើស!</t>
        </is>
      </c>
    </row>
    <row r="230" ht="15.75" customHeight="1" s="305">
      <c r="A230" s="3" t="inlineStr">
        <is>
          <t>nhanHang.contentInError</t>
        </is>
      </c>
      <c r="B230" s="3" t="inlineStr">
        <is>
          <t>Chưa chọn phiếu gửi để in!</t>
        </is>
      </c>
      <c r="C230" s="3" t="inlineStr">
        <is>
          <t xml:space="preserve">Select to print order ID! </t>
        </is>
      </c>
      <c r="D230" s="3">
        <f>IFERROR(__xludf.DUMMYFUNCTION("GOOGLETRANSLATE(B230,""vi"",""km"")"),"ខ្ញុំមិនទាន់បានជ្រើសរើសស្លាកដឹកជញ្ជូនដើម្បីបោះពុម្ពនៅឡើយទេ!")</f>
        <v/>
      </c>
      <c r="E230" s="3" t="inlineStr">
        <is>
          <t>មិនទាន់បានជ្រើសរើសបុងបញ្ញើដើម្បីព្រីននៅឡើយទេ!</t>
        </is>
      </c>
      <c r="F230" s="3" t="n"/>
      <c r="G230" s="3" t="inlineStr">
        <is>
          <t>មិនទាន់បានជ្រើសរើសបុងបញ្ញើដើម្បីព្រីននៅឡើយទេ!</t>
        </is>
      </c>
      <c r="H230" t="inlineStr">
        <is>
          <t>មិនទាន់បានជ្រើសរើសបុងបញ្ញើដើម្បីព្រីននៅឡើយទេ!</t>
        </is>
      </c>
      <c r="I230" s="217" t="inlineStr">
        <is>
          <t>"nhanHang.contentInError": "មិនទាន់បានជ្រើសរើសបុងបញ្ញើដើម្បីព្រីននៅឡើយទេ!",</t>
        </is>
      </c>
      <c r="N230" s="3" t="inlineStr">
        <is>
          <t>សូមជ្រើសរើសបញ្ជាទិញដើម្បីបោះពុម្ព!</t>
        </is>
      </c>
    </row>
    <row r="231" ht="15.75" customHeight="1" s="305">
      <c r="A231" s="3" t="inlineStr">
        <is>
          <t>DongTai.emptyData</t>
        </is>
      </c>
      <c r="B231" s="3" t="inlineStr">
        <is>
          <t>Chưa có bưu phẩm</t>
        </is>
      </c>
      <c r="C231" s="3" t="inlineStr">
        <is>
          <t>No parcels yet</t>
        </is>
      </c>
      <c r="D231" s="3">
        <f>IFERROR(__xludf.DUMMYFUNCTION("GOOGLETRANSLATE(B231,""vi"",""km"")"),"មិនទាន់មានសំបុត្រនៅឡើយទេ។")</f>
        <v/>
      </c>
      <c r="E231" s="3" t="inlineStr">
        <is>
          <t>មិនទាន់បានទទួលកញ្ចប់នៅឡើយទេ</t>
        </is>
      </c>
      <c r="F231" s="3" t="n"/>
      <c r="G231" s="3" t="inlineStr">
        <is>
          <t>មិនទាន់បានទទួលកញ្ចប់នៅឡើយទេ</t>
        </is>
      </c>
      <c r="H231" t="inlineStr">
        <is>
          <t>មិនទាន់បានទទួលកញ្ចប់នៅឡើយទេ</t>
        </is>
      </c>
      <c r="I231" s="217" t="inlineStr">
        <is>
          <t>"DongTai.emptyData": "មិនទាន់បានទទួលកញ្ចប់នៅឡើយទេ",</t>
        </is>
      </c>
      <c r="N231" s="3" t="inlineStr">
        <is>
          <t>មិនទាន់មានសំបុត្រ/កញ្ចប់</t>
        </is>
      </c>
    </row>
    <row r="232" ht="15.75" customHeight="1" s="305">
      <c r="A232" s="3" t="inlineStr">
        <is>
          <t>login.modalError</t>
        </is>
      </c>
      <c r="B232" s="3" t="inlineStr">
        <is>
          <t>Chưa có tài khoản</t>
        </is>
      </c>
      <c r="C232" s="3" t="inlineStr">
        <is>
          <t>No account yet</t>
        </is>
      </c>
      <c r="D232" s="3">
        <f>IFERROR(__xludf.DUMMYFUNCTION("GOOGLETRANSLATE(B232,""vi"",""km"")"),"មិនទាន់មានគណនីនៅឡើយទេ។")</f>
        <v/>
      </c>
      <c r="E232" s="3" t="inlineStr">
        <is>
          <t>មិនទាន់មានគណនីនៅឡើយទេ</t>
        </is>
      </c>
      <c r="F232" s="3" t="n"/>
      <c r="G232" s="3" t="inlineStr">
        <is>
          <t>មិនទាន់មានគណនីនៅឡើយទេ</t>
        </is>
      </c>
      <c r="H232" t="inlineStr">
        <is>
          <t>មិនទាន់មានគណនីនៅឡើយទេ</t>
        </is>
      </c>
      <c r="I232" s="217" t="inlineStr">
        <is>
          <t>"login.modalError": "មិនទាន់មានគណនីនៅឡើយទេ",</t>
        </is>
      </c>
      <c r="N232" s="3" t="inlineStr">
        <is>
          <t>គ្មានគណនី</t>
        </is>
      </c>
    </row>
    <row r="233" ht="15.75" customHeight="1" s="305">
      <c r="A233" s="3" t="inlineStr">
        <is>
          <t>taoDon.noInfomation</t>
        </is>
      </c>
      <c r="B233" s="3" t="inlineStr">
        <is>
          <t>Chưa có thông tin!</t>
        </is>
      </c>
      <c r="C233" s="3" t="inlineStr">
        <is>
          <t>No information!</t>
        </is>
      </c>
      <c r="D233" s="3">
        <f>IFERROR(__xludf.DUMMYFUNCTION("GOOGLETRANSLATE(B233,""vi"",""km"")"),"គ្មានព័ត៌មានទេ!")</f>
        <v/>
      </c>
      <c r="E233" s="3" t="inlineStr">
        <is>
          <t>មិនទាន់មានព័ត៌មាននៅឡើយទេ!</t>
        </is>
      </c>
      <c r="F233" s="3" t="n"/>
      <c r="G233" s="3" t="inlineStr">
        <is>
          <t>មិនទាន់មានព័ត៌មាននៅឡើយទេ!</t>
        </is>
      </c>
      <c r="H233" t="inlineStr">
        <is>
          <t>មិនទាន់មានព័ត៌មាននៅឡើយទេ!</t>
        </is>
      </c>
      <c r="I233" s="217" t="inlineStr">
        <is>
          <t>"taoDon.noInfomation": "មិនទាន់មានព័ត៌មាននៅឡើយទេ!",</t>
        </is>
      </c>
      <c r="N233" s="3" t="inlineStr">
        <is>
          <t>មិនមានព័ត៌មាន!</t>
        </is>
      </c>
    </row>
    <row r="234" ht="15.75" customHeight="1" s="305">
      <c r="A234" s="3" t="inlineStr">
        <is>
          <t>DongTai.titleTabChuaDong</t>
        </is>
      </c>
      <c r="B234" s="3" t="inlineStr">
        <is>
          <t>Chưa đóng</t>
        </is>
      </c>
      <c r="C234" s="3" t="inlineStr">
        <is>
          <t>Incomplete</t>
        </is>
      </c>
      <c r="D234" s="3">
        <f>IFERROR(__xludf.DUMMYFUNCTION("GOOGLETRANSLATE(B234,""vi"",""km"")"),"មិនទាន់បិទទេ")</f>
        <v/>
      </c>
      <c r="E234" s="3" t="inlineStr">
        <is>
          <t>មិនទាន់បានបិទនៅឡើយទេ</t>
        </is>
      </c>
      <c r="F234" s="3" t="n"/>
      <c r="G234" s="3" t="inlineStr">
        <is>
          <t>មិនទាន់ច្រកបាវ</t>
        </is>
      </c>
      <c r="H234" t="inlineStr">
        <is>
          <t>មិនទាន់ច្រកបាវ</t>
        </is>
      </c>
      <c r="I234" s="217" t="inlineStr">
        <is>
          <t>"DongTai.titleTabChuaDong": "មិនទាន់ច្រកបាវ",</t>
        </is>
      </c>
      <c r="N234" s="3" t="inlineStr">
        <is>
          <t>មិនទាន់បិទ</t>
        </is>
      </c>
    </row>
    <row r="235" ht="15.75" customHeight="1" s="305">
      <c r="A235" s="3" t="inlineStr">
        <is>
          <t>PhanCong.emptyGroupId</t>
        </is>
      </c>
      <c r="B235" s="3" t="inlineStr">
        <is>
          <t>chưa được thêm vào lượt phân công</t>
        </is>
      </c>
      <c r="C235" s="3" t="inlineStr">
        <is>
          <t>has not been added to assignment</t>
        </is>
      </c>
      <c r="D235" s="3">
        <f>IFERROR(__xludf.DUMMYFUNCTION("GOOGLETRANSLATE(B235,""vi"",""km"")"),"មិនទាន់បានបន្ថែមទៅក្នុងកិច្ចការនៅឡើយទេ")</f>
        <v/>
      </c>
      <c r="E235" s="3" t="inlineStr">
        <is>
          <t>មិនទាន់បានបន្ថែមទៅក្នុងវេនបែងចែកការងារ</t>
        </is>
      </c>
      <c r="F235" s="3" t="n"/>
      <c r="G235" s="3" t="inlineStr">
        <is>
          <t>មិនទាន់បានបន្ថែមទៅក្នុងវេនបែងចែកការងារ</t>
        </is>
      </c>
      <c r="H235" t="inlineStr">
        <is>
          <t>មិនទាន់បានបន្ថែមទៅក្នុងវេនបែងចែកការងារ</t>
        </is>
      </c>
      <c r="I235" s="217" t="inlineStr">
        <is>
          <t>"PhanCong.emptyGroupId": "មិនទាន់បានបន្ថែមទៅក្នុងវេនបែងចែកការងារ",</t>
        </is>
      </c>
      <c r="N235" s="3" t="inlineStr">
        <is>
          <t>មិនទាន់បញ្ចូលទៅក្នុងការចែកចាយ</t>
        </is>
      </c>
    </row>
    <row r="236" ht="15.75" customHeight="1" s="305">
      <c r="A236" s="3" t="inlineStr">
        <is>
          <t>PhanCong.titleUnfinish</t>
        </is>
      </c>
      <c r="B236" s="3" t="inlineStr">
        <is>
          <t>Chưa hoàn thành</t>
        </is>
      </c>
      <c r="C236" s="3" t="inlineStr">
        <is>
          <t>Incomplete</t>
        </is>
      </c>
      <c r="D236" s="3">
        <f>IFERROR(__xludf.DUMMYFUNCTION("GOOGLETRANSLATE(B236,""vi"",""km"")"),"មិនទាន់បញ្ចប់")</f>
        <v/>
      </c>
      <c r="E236" s="3" t="inlineStr">
        <is>
          <t>មិនទាន់បានបញ្ចប់នៅឡើយទេ</t>
        </is>
      </c>
      <c r="F236" s="3" t="n"/>
      <c r="G236" s="3" t="inlineStr">
        <is>
          <t>មិនទាន់បានបញ្ចប់នៅឡើយទេ</t>
        </is>
      </c>
      <c r="H236" t="inlineStr">
        <is>
          <t>មិនទាន់បានបញ្ចប់នៅឡើយទេ</t>
        </is>
      </c>
      <c r="I236" s="217" t="inlineStr">
        <is>
          <t>"PhanCong.titleUnfinish": "មិនទាន់បានបញ្ចប់នៅឡើយទេ",</t>
        </is>
      </c>
      <c r="N236" s="3" t="inlineStr">
        <is>
          <t>មិនទាន់បញ្ចប់</t>
        </is>
      </c>
    </row>
    <row r="237" ht="15.75" customHeight="1" s="305">
      <c r="A237" s="3" t="inlineStr">
        <is>
          <t>khaiThacDen.unExploited</t>
        </is>
      </c>
      <c r="B237" s="3" t="inlineStr">
        <is>
          <t>Chưa khai thác</t>
        </is>
      </c>
      <c r="C237" s="3" t="inlineStr">
        <is>
          <t>Process pending</t>
        </is>
      </c>
      <c r="D237" s="3">
        <f>IFERROR(__xludf.DUMMYFUNCTION("GOOGLETRANSLATE(B237,""vi"",""km"")"),"មិនទាន់បានកេងប្រវ័ញ្ចនៅឡើយទេ")</f>
        <v/>
      </c>
      <c r="E237" s="3" t="inlineStr">
        <is>
          <t>មិនទាន់ដំណើរការ</t>
        </is>
      </c>
      <c r="F237" s="3" t="n"/>
      <c r="G237" s="3" t="inlineStr">
        <is>
          <t>មិនទាន់ដំណើរការ</t>
        </is>
      </c>
      <c r="H237" t="inlineStr">
        <is>
          <t>មិនទាន់ដំណើរការ</t>
        </is>
      </c>
      <c r="I237" s="217" t="inlineStr">
        <is>
          <t>"khaiThacDen.unExploited": "មិនទាន់ដំណើរការ",</t>
        </is>
      </c>
      <c r="N237" s="3" t="inlineStr">
        <is>
          <t>មិនទាន់បានដឹក</t>
        </is>
      </c>
    </row>
    <row r="238" ht="15.75" customHeight="1" s="305">
      <c r="A238" s="3" t="inlineStr">
        <is>
          <t>KiemKe.titleNotYetInventory</t>
        </is>
      </c>
      <c r="B238" s="3" t="inlineStr">
        <is>
          <t>Chưa kiểm kê</t>
        </is>
      </c>
      <c r="C238" s="3" t="inlineStr">
        <is>
          <t>Inventory pending</t>
        </is>
      </c>
      <c r="D238" s="3">
        <f>IFERROR(__xludf.DUMMYFUNCTION("GOOGLETRANSLATE(B238,""vi"",""km"")"),"មិនទាន់បានស្តុកទុកនៅឡើយទេ")</f>
        <v/>
      </c>
      <c r="E238" s="3" t="inlineStr">
        <is>
          <t>មិនទាន់បានពិនិត្យ</t>
        </is>
      </c>
      <c r="F238" s="3" t="n"/>
      <c r="G238" s="3" t="inlineStr">
        <is>
          <t>មិនទាន់បានពិនិត្យ</t>
        </is>
      </c>
      <c r="H238" t="inlineStr">
        <is>
          <t>មិនទាន់បានពិនិត្យ</t>
        </is>
      </c>
      <c r="I238" s="217" t="inlineStr">
        <is>
          <t>"KiemKe.titleNotYetInventory": "មិនទាន់បានពិនិត្យ",</t>
        </is>
      </c>
      <c r="N238" s="163" t="inlineStr">
        <is>
          <t>សារពើភ័ណ្ឌកំពុងរង់ចាំ</t>
        </is>
      </c>
    </row>
    <row r="239" ht="15.75" customHeight="1" s="305">
      <c r="A239" s="3" t="inlineStr">
        <is>
          <t>PhanCong.titleWaitConfirm</t>
        </is>
      </c>
      <c r="B239" s="3" t="inlineStr">
        <is>
          <t>Chưa nhận</t>
        </is>
      </c>
      <c r="C239" s="3" t="inlineStr">
        <is>
          <t>Awaiting pickup</t>
        </is>
      </c>
      <c r="D239" s="3">
        <f>IFERROR(__xludf.DUMMYFUNCTION("GOOGLETRANSLATE(B239,""vi"",""km"")"),"មិនបានទទួលទេ")</f>
        <v/>
      </c>
      <c r="E239" s="3" t="inlineStr">
        <is>
          <t>មិនទាន់បានទទួល</t>
        </is>
      </c>
      <c r="F239" s="3" t="n"/>
      <c r="G239" s="3" t="inlineStr">
        <is>
          <t>មិនទាន់បានទទួល</t>
        </is>
      </c>
      <c r="H239" t="inlineStr">
        <is>
          <t>មិនទាន់បានទទួល</t>
        </is>
      </c>
      <c r="I239" s="217" t="inlineStr">
        <is>
          <t>"PhanCong.titleWaitConfirm": "មិនទាន់បានទទួល",</t>
        </is>
      </c>
      <c r="N239" s="3" t="inlineStr">
        <is>
          <t>មិនទាន់ទទួល</t>
        </is>
      </c>
    </row>
    <row r="240" ht="15.75" customHeight="1" s="305">
      <c r="A240" s="3" t="inlineStr">
        <is>
          <t>taoDon.contentRequired</t>
        </is>
      </c>
      <c r="B240" s="3" t="inlineStr">
        <is>
          <t>Chưa nhập nội dung</t>
        </is>
      </c>
      <c r="C240" s="3" t="inlineStr">
        <is>
          <t>No content entered</t>
        </is>
      </c>
      <c r="D240" s="3">
        <f>IFERROR(__xludf.DUMMYFUNCTION("GOOGLETRANSLATE(B240,""vi"",""km"")"),"គ្មានខ្លឹមសារណាមួយត្រូវបានបញ្ចូលទេ។")</f>
        <v/>
      </c>
      <c r="E240" s="3" t="inlineStr">
        <is>
          <t>មិនទាន់បានបញ្ចូលខ្លឹមសារ</t>
        </is>
      </c>
      <c r="F240" s="3" t="n"/>
      <c r="G240" s="3" t="inlineStr">
        <is>
          <t>មិនទាន់បានបញ្ចូលខ្លឹមសារ</t>
        </is>
      </c>
      <c r="H240" t="inlineStr">
        <is>
          <t>មិនទាន់បានបញ្ចូលខ្លឹមសារ</t>
        </is>
      </c>
      <c r="I240" s="217" t="inlineStr">
        <is>
          <t>"taoDon.contentRequired": "មិនទាន់បានបញ្ចូលខ្លឹមសារ",</t>
        </is>
      </c>
      <c r="N240" s="3" t="inlineStr">
        <is>
          <t>មិនទាន់បញ្ចូលខ្លឹមសារ</t>
        </is>
      </c>
    </row>
    <row r="241" ht="15.75" customHeight="1" s="305">
      <c r="A241" s="3" t="inlineStr">
        <is>
          <t>GiaoHang.notYetSetUp</t>
        </is>
      </c>
      <c r="B241" s="3" t="inlineStr">
        <is>
          <t>Chưa thiết lập</t>
        </is>
      </c>
      <c r="C241" s="3" t="inlineStr">
        <is>
          <t>Not set up</t>
        </is>
      </c>
      <c r="D241" s="3">
        <f>IFERROR(__xludf.DUMMYFUNCTION("GOOGLETRANSLATE(B241,""vi"",""km"")"),"មិនទាន់បានដំឡើងនៅឡើយទេ")</f>
        <v/>
      </c>
      <c r="E241" s="3" t="inlineStr">
        <is>
          <t>មិនទាន់បានបង្កើត</t>
        </is>
      </c>
      <c r="F241" s="3" t="n"/>
      <c r="G241" s="3" t="inlineStr">
        <is>
          <t>មិនទាន់បានបង្កើត</t>
        </is>
      </c>
      <c r="H241" t="inlineStr">
        <is>
          <t>មិនទាន់បានបង្កើត</t>
        </is>
      </c>
      <c r="I241" s="217" t="inlineStr">
        <is>
          <t>"GiaoHang.notYetSetUp": "មិនទាន់បានបង្កើត",</t>
        </is>
      </c>
      <c r="N241" s="3" t="inlineStr">
        <is>
          <t>មិន​ទាន់​បាន​កំណត់</t>
        </is>
      </c>
    </row>
    <row r="242" ht="15.75" customHeight="1" s="305">
      <c r="A242" s="3" t="inlineStr">
        <is>
          <t>mainStatus.110</t>
        </is>
      </c>
      <c r="B242" s="3" t="inlineStr">
        <is>
          <t>Chưa tiếp nhận</t>
        </is>
      </c>
      <c r="C242" s="3" t="inlineStr">
        <is>
          <t>Confirmed</t>
        </is>
      </c>
      <c r="D242" s="3">
        <f>IFERROR(__xludf.DUMMYFUNCTION("GOOGLETRANSLATE(B242,""vi"",""km"")"),"មិនទាន់ទទួលបាននៅឡើយទេ")</f>
        <v/>
      </c>
      <c r="E242" s="3" t="inlineStr">
        <is>
          <t>មិនទាន់បានទទួល</t>
        </is>
      </c>
      <c r="F242" s="3" t="n"/>
      <c r="G242" s="3" t="inlineStr">
        <is>
          <t>មិនទាន់ទទួល</t>
        </is>
      </c>
      <c r="H242" t="inlineStr">
        <is>
          <t>មិនទាន់ទទួល</t>
        </is>
      </c>
      <c r="I242" s="217" t="inlineStr">
        <is>
          <t>"mainStatus.110": "មិនទាន់ទទួល",</t>
        </is>
      </c>
      <c r="N242" s="3" t="inlineStr">
        <is>
          <t>បញ្ជាក់</t>
        </is>
      </c>
    </row>
    <row r="243" ht="15.75" customHeight="1" s="305">
      <c r="A243" s="3" t="inlineStr">
        <is>
          <t>dieuHanh.NotReceived</t>
        </is>
      </c>
      <c r="B243" s="3" t="inlineStr">
        <is>
          <t>Chưa tiếp nhận</t>
        </is>
      </c>
      <c r="C243" s="3" t="inlineStr">
        <is>
          <t>Pending acceptance</t>
        </is>
      </c>
      <c r="D243" s="3">
        <f>IFERROR(__xludf.DUMMYFUNCTION("GOOGLETRANSLATE(B243,""vi"",""km"")"),"មិនទាន់ទទួលបាននៅឡើយទេ")</f>
        <v/>
      </c>
      <c r="E243" s="3" t="inlineStr">
        <is>
          <t>មិនទាន់បានទទួល</t>
        </is>
      </c>
      <c r="F243" s="3" t="n"/>
      <c r="G243" s="3" t="inlineStr">
        <is>
          <t>មិនទាន់ទទួល</t>
        </is>
      </c>
      <c r="H243" t="inlineStr">
        <is>
          <t>មិនទាន់ទទួល</t>
        </is>
      </c>
      <c r="I243" s="217" t="inlineStr">
        <is>
          <t>"dieuHanh.NotReceived": "មិនទាន់ទទួល",</t>
        </is>
      </c>
      <c r="N243" s="3" t="inlineStr">
        <is>
          <t>មិនទាន់ទទួល</t>
        </is>
      </c>
    </row>
    <row r="244" ht="15.75" customHeight="1" s="305">
      <c r="A244" s="3" t="inlineStr">
        <is>
          <t>tms.takePhoto</t>
        </is>
      </c>
      <c r="B244" s="3" t="inlineStr">
        <is>
          <t>Chụp ảnh</t>
        </is>
      </c>
      <c r="C244" s="3" t="inlineStr">
        <is>
          <t>Take photo</t>
        </is>
      </c>
      <c r="D244" s="3">
        <f>IFERROR(__xludf.DUMMYFUNCTION("GOOGLETRANSLATE(B244,""vi"",""km"")"),"ថតរូបមួយ")</f>
        <v/>
      </c>
      <c r="E244" s="3" t="inlineStr">
        <is>
          <t>ថតរូប</t>
        </is>
      </c>
      <c r="F244" s="3" t="n"/>
      <c r="G244" s="3" t="inlineStr">
        <is>
          <t>ថតរូបភាព</t>
        </is>
      </c>
      <c r="H244" t="inlineStr">
        <is>
          <t>ថតរូបភាព</t>
        </is>
      </c>
      <c r="I244" s="217" t="inlineStr">
        <is>
          <t>"tms.takePhoto": "ថតរូបភាព",</t>
        </is>
      </c>
      <c r="N244" s="3" t="inlineStr"/>
    </row>
    <row r="245" ht="15.75" customHeight="1" s="305">
      <c r="A245" s="3" t="inlineStr">
        <is>
          <t>GiaoHang.titleTakePhotoOrder</t>
        </is>
      </c>
      <c r="B245" s="3" t="inlineStr">
        <is>
          <t>Chụp ảnh phiếu gửi</t>
        </is>
      </c>
      <c r="C245" s="3" t="inlineStr">
        <is>
          <t>Capture the postal slip</t>
        </is>
      </c>
      <c r="D245" s="3">
        <f>IFERROR(__xludf.DUMMYFUNCTION("GOOGLETRANSLATE(B245,""vi"",""km"")"),"ថតរូបបង្កាន់ដៃដឹកជញ្ជូន។")</f>
        <v/>
      </c>
      <c r="E245" s="3" t="inlineStr">
        <is>
          <t>ថតរូបបុងបញ្ញើ</t>
        </is>
      </c>
      <c r="F245" s="3" t="n"/>
      <c r="G245" s="3" t="inlineStr">
        <is>
          <t>ថតរូបបុងបញ្ញើ</t>
        </is>
      </c>
      <c r="H245" t="inlineStr">
        <is>
          <t>ថតរូបបុងបញ្ញើ</t>
        </is>
      </c>
      <c r="I245" s="217" t="inlineStr">
        <is>
          <t>"GiaoHang.titleTakePhotoOrder": "ថតរូបបុងបញ្ញើ",</t>
        </is>
      </c>
      <c r="N245" s="3" t="inlineStr">
        <is>
          <t>ថតរូបប័ណ្ណបញ្ញើ</t>
        </is>
      </c>
    </row>
    <row r="246" ht="15.75" customHeight="1" s="305">
      <c r="A246" s="3" t="inlineStr">
        <is>
          <t>GiaoHang.titleCapturePhoto</t>
        </is>
      </c>
      <c r="B246" s="3" t="inlineStr">
        <is>
          <t>Chụp lại</t>
        </is>
      </c>
      <c r="C246" s="3" t="inlineStr">
        <is>
          <t>Capture again</t>
        </is>
      </c>
      <c r="D246" s="3">
        <f>IFERROR(__xludf.DUMMYFUNCTION("GOOGLETRANSLATE(B246,""vi"",""km"")"),"ថតរូបមួយ")</f>
        <v/>
      </c>
      <c r="E246" s="3" t="inlineStr">
        <is>
          <t>ថតរូបឡើងវិញ</t>
        </is>
      </c>
      <c r="F246" s="3" t="n"/>
      <c r="G246" s="3" t="inlineStr">
        <is>
          <t>ថតរូបឡើងវិញ</t>
        </is>
      </c>
      <c r="H246" t="inlineStr">
        <is>
          <t>ថតរូបឡើងវិញ</t>
        </is>
      </c>
      <c r="I246" s="217" t="inlineStr">
        <is>
          <t>"GiaoHang.titleCapturePhoto": "ថតរូបឡើងវិញ",</t>
        </is>
      </c>
      <c r="N246" s="3" t="inlineStr">
        <is>
          <t>ថតឡើងវិញ</t>
        </is>
      </c>
    </row>
    <row r="247" ht="15.75" customHeight="1" s="305">
      <c r="A247" s="3" t="inlineStr">
        <is>
          <t>tms.retake</t>
        </is>
      </c>
      <c r="B247" s="3" t="inlineStr">
        <is>
          <t>Chụp lại</t>
        </is>
      </c>
      <c r="C247" s="3" t="inlineStr">
        <is>
          <t>Retake</t>
        </is>
      </c>
      <c r="D247" s="3">
        <f>IFERROR(__xludf.DUMMYFUNCTION("GOOGLETRANSLATE(B247,""vi"",""km"")"),"ថតរូបមួយ")</f>
        <v/>
      </c>
      <c r="E247" s="3" t="inlineStr">
        <is>
          <t>ថតរូបឡើងវិញ</t>
        </is>
      </c>
      <c r="F247" s="3" t="n"/>
      <c r="G247" s="3" t="inlineStr">
        <is>
          <t>ថតរូបឡើងវិញ</t>
        </is>
      </c>
      <c r="H247" t="inlineStr">
        <is>
          <t>ថតរូបឡើងវិញ</t>
        </is>
      </c>
      <c r="I247" s="217" t="inlineStr">
        <is>
          <t>"tms.retake": "ថតរូបឡើងវិញ",</t>
        </is>
      </c>
      <c r="N247" s="3" t="inlineStr"/>
    </row>
    <row r="248" ht="15.75" customHeight="1" s="305">
      <c r="A248" s="3" t="inlineStr">
        <is>
          <t>common.overUploadImage</t>
        </is>
      </c>
      <c r="B248" s="3" t="inlineStr">
        <is>
          <t>Chụp tối đa 3 ảnh</t>
        </is>
      </c>
      <c r="C248" s="3" t="inlineStr">
        <is>
          <t>Capture up to 3 photos</t>
        </is>
      </c>
      <c r="D248" s="3">
        <f>IFERROR(__xludf.DUMMYFUNCTION("GOOGLETRANSLATE(B248,""vi"",""km"")"),"ថតរូបបានច្រើនបំផុត ៣ សន្លឹក។")</f>
        <v/>
      </c>
      <c r="E248" s="3" t="inlineStr">
        <is>
          <t>ថតរូបច្រើនបំផុត3រូបថត</t>
        </is>
      </c>
      <c r="F248" s="3" t="n"/>
      <c r="G248" s="3" t="inlineStr">
        <is>
          <t>ថតរូបច្រើនបំផុត3រូបថត</t>
        </is>
      </c>
      <c r="H248" t="inlineStr">
        <is>
          <t>ថតរូបច្រើនបំផុត3រូបថត</t>
        </is>
      </c>
      <c r="I248" s="217" t="inlineStr">
        <is>
          <t>"common.overUploadImage": "ថតរូបច្រើនបំផុត3រូបថត",</t>
        </is>
      </c>
      <c r="N248" s="3" t="inlineStr">
        <is>
          <t>ថតរូបយ៉ាងហោចឲ្យបាន 3 សន្លឹក</t>
        </is>
      </c>
    </row>
    <row r="249" ht="15.75" customHeight="1" s="305">
      <c r="A249" s="3" t="inlineStr">
        <is>
          <t>GiaoHang.warningImage</t>
        </is>
      </c>
      <c r="B249" s="3" t="inlineStr">
        <is>
          <t>Chụp tối thiểu 1 ảnh để chuyển trạng thái thành công</t>
        </is>
      </c>
      <c r="C249" s="3" t="inlineStr">
        <is>
          <t>Please capture at least 1 photo to update order status</t>
        </is>
      </c>
      <c r="D249" s="3">
        <f>IFERROR(__xludf.DUMMYFUNCTION("GOOGLETRANSLATE(B249,""vi"",""km"")"),"ថតរូបយ៉ាងហោចណាស់មួយសន្លឹក ដើម្បីផ្លាស់ប្តូរស្ថានភាពបានជោគជ័យ។")</f>
        <v/>
      </c>
      <c r="E249" s="3" t="inlineStr">
        <is>
          <t>ថតរូបតិចបំផុត1 រូបថតដើម្បីប្តូរស្ថានភាពបានជោគជ័យ</t>
        </is>
      </c>
      <c r="F249" s="3" t="n"/>
      <c r="G249" s="3" t="inlineStr">
        <is>
          <t>ថតរូបតិចបំផុត1 រូបថតដើម្បីប្តូរស្ថានភាពបានជោគជ័យ</t>
        </is>
      </c>
      <c r="H249" t="inlineStr">
        <is>
          <t>ថតរូបតិចបំផុត1 រូបថតដើម្បីប្តូរស្ថានភាពបានជោគជ័យ</t>
        </is>
      </c>
      <c r="I249" s="217" t="inlineStr">
        <is>
          <t>"GiaoHang.warningImage": "ថតរូបតិចបំផុត1 រូបថតដើម្បីប្តូរស្ថានភាពបានជោគជ័យ",</t>
        </is>
      </c>
      <c r="N249" s="163" t="inlineStr">
        <is>
          <t>សូមថតរូបយ៉ាងតិច 1 សន្លឹកដើម្បីធ្វើបច្ចុប្បន្នភាពស្ថានភាពការបញ្ជាទិញ</t>
        </is>
      </c>
    </row>
    <row r="250" ht="15.75" customHeight="1" s="305">
      <c r="A250" s="3" t="inlineStr">
        <is>
          <t>tms.chuyen</t>
        </is>
      </c>
      <c r="B250" s="3" t="inlineStr">
        <is>
          <t>Chuyến</t>
        </is>
      </c>
      <c r="C250" s="3" t="inlineStr">
        <is>
          <t>Trip</t>
        </is>
      </c>
      <c r="D250" s="3">
        <f>IFERROR(__xludf.DUMMYFUNCTION("GOOGLETRANSLATE(B250,""vi"",""km"")"),"ដំណើរកម្សាន្ត")</f>
        <v/>
      </c>
      <c r="E250" s="3" t="inlineStr">
        <is>
          <t>ជើងដឹក</t>
        </is>
      </c>
      <c r="F250" s="3" t="n"/>
      <c r="G250" s="3" t="inlineStr">
        <is>
          <t>ជើងដឹក</t>
        </is>
      </c>
      <c r="H250" t="inlineStr">
        <is>
          <t>ជើងដឹក</t>
        </is>
      </c>
      <c r="I250" s="217" t="inlineStr">
        <is>
          <t>"tms.chuyen": "ជើងដឹក",</t>
        </is>
      </c>
      <c r="N250" s="3" t="inlineStr"/>
    </row>
    <row r="251" ht="15.75" customHeight="1" s="305">
      <c r="A251" s="3" t="inlineStr">
        <is>
          <t>banGiao.messageTransferHandover</t>
        </is>
      </c>
      <c r="B251" s="3" t="inlineStr">
        <is>
          <t>Chuyển bàn giao thành công</t>
        </is>
      </c>
      <c r="C251" s="3" t="inlineStr">
        <is>
          <t>Transfer handover successfully</t>
        </is>
      </c>
      <c r="D251" s="3">
        <f>IFERROR(__xludf.DUMMYFUNCTION("GOOGLETRANSLATE(B251,""vi"",""km"")"),"ការប្រគល់បានជោគជ័យ")</f>
        <v/>
      </c>
      <c r="E251" s="3" t="inlineStr">
        <is>
          <t>ប្តូរការប្រគល់បានជោគជ័យ</t>
        </is>
      </c>
      <c r="F251" s="3" t="n"/>
      <c r="G251" s="3" t="inlineStr">
        <is>
          <t>ប្តូរការប្រគល់បានជោគជ័យ</t>
        </is>
      </c>
      <c r="H251" t="inlineStr">
        <is>
          <t>ប្តូរការប្រគល់បានជោគជ័យ</t>
        </is>
      </c>
      <c r="I251" s="217" t="inlineStr">
        <is>
          <t>"banGiao.messageTransferHandover": "ប្តូរការប្រគល់បានជោគជ័យ",</t>
        </is>
      </c>
      <c r="N251" s="3" t="inlineStr">
        <is>
          <t>ផ្ទេរការផ្ញើបានជោគជ័យ</t>
        </is>
      </c>
    </row>
    <row r="252" ht="15.75" customHeight="1" s="305">
      <c r="A252" s="3" t="inlineStr">
        <is>
          <t>tms.chuyenCoDinh</t>
        </is>
      </c>
      <c r="B252" s="3" t="inlineStr">
        <is>
          <t>Chuyến cố định</t>
        </is>
      </c>
      <c r="C252" s="3" t="inlineStr">
        <is>
          <t>Fixed trip</t>
        </is>
      </c>
      <c r="D252" s="3">
        <f>IFERROR(__xludf.DUMMYFUNCTION("GOOGLETRANSLATE(B252,""vi"",""km"")"),"ផ្លូវថេរ")</f>
        <v/>
      </c>
      <c r="E252" s="3" t="inlineStr">
        <is>
          <t>ជើងដឹកថេរ</t>
        </is>
      </c>
      <c r="F252" s="3" t="n"/>
      <c r="G252" s="3" t="inlineStr">
        <is>
          <t>ជើងដឹកថេរ</t>
        </is>
      </c>
      <c r="H252" t="inlineStr">
        <is>
          <t>ជើងដឹកថេរ</t>
        </is>
      </c>
      <c r="I252" s="217" t="inlineStr">
        <is>
          <t>"tms.chuyenCoDinh": "ជើងដឹកថេរ",</t>
        </is>
      </c>
      <c r="N252" s="3" t="inlineStr"/>
    </row>
    <row r="253" ht="15.75" customHeight="1" s="305">
      <c r="A253" s="3" t="inlineStr">
        <is>
          <t>mainStatus.480</t>
        </is>
      </c>
      <c r="B253" s="3" t="inlineStr">
        <is>
          <t>Chuyển giao địa chỉ mới</t>
        </is>
      </c>
      <c r="C253" s="3" t="inlineStr">
        <is>
          <t>Change address</t>
        </is>
      </c>
      <c r="D253" s="3">
        <f>IFERROR(__xludf.DUMMYFUNCTION("GOOGLETRANSLATE(B253,""vi"",""km"")"),"ផ្ទេរទៅអាសយដ្ឋានថ្មី។")</f>
        <v/>
      </c>
      <c r="E253" s="3" t="inlineStr">
        <is>
          <t>ប្តូរអាស័យដ្ឋានថ្មី</t>
        </is>
      </c>
      <c r="F253" s="3" t="n"/>
      <c r="G253" s="3" t="inlineStr">
        <is>
          <t>ដឹកជញ្ជូនទៅកាន់អាសយដ្ឋានថ្មី</t>
        </is>
      </c>
      <c r="H253" t="inlineStr">
        <is>
          <t>ដឹកជញ្ជូនទៅកាន់អាសយដ្ឋានថ្មី</t>
        </is>
      </c>
      <c r="I253" s="217" t="inlineStr">
        <is>
          <t>"mainStatus.480": "ដឹកជញ្ជូនទៅកាន់អាសយដ្ឋានថ្មី",</t>
        </is>
      </c>
      <c r="N253" s="3" t="inlineStr">
        <is>
          <t>ផ្ទេរទៅអាសយដ្ឋានថ្មី។</t>
        </is>
      </c>
    </row>
    <row r="254" ht="15.75" customHeight="1" s="305">
      <c r="A254" s="3" t="inlineStr">
        <is>
          <t>GiaoHang.titleTabChuyenHoan</t>
        </is>
      </c>
      <c r="B254" s="3" t="inlineStr">
        <is>
          <t>Chuyển hoàn</t>
        </is>
      </c>
      <c r="C254" s="3" t="inlineStr">
        <is>
          <t>Return initiated</t>
        </is>
      </c>
      <c r="D254" s="3">
        <f>IFERROR(__xludf.DUMMYFUNCTION("GOOGLETRANSLATE(B254,""vi"",""km"")"),"ត្រឡប់មកវិញ")</f>
        <v/>
      </c>
      <c r="E254" s="3" t="inlineStr">
        <is>
          <t>ផ្ទេរត្រលប់</t>
        </is>
      </c>
      <c r="F254" s="3" t="n"/>
      <c r="G254" s="3" t="inlineStr">
        <is>
          <t>ផ្ទេរត្រលប់</t>
        </is>
      </c>
      <c r="H254" t="inlineStr">
        <is>
          <t>ផ្ទេរត្រលប់</t>
        </is>
      </c>
      <c r="I254" s="217" t="inlineStr">
        <is>
          <t>"GiaoHang.titleTabChuyenHoan": "ផ្ទេរត្រលប់",</t>
        </is>
      </c>
      <c r="N254" s="3" t="inlineStr">
        <is>
          <t>ដឹកត្រឡប់វិញ</t>
        </is>
      </c>
    </row>
    <row r="255" ht="15.75" customHeight="1" s="305">
      <c r="A255" s="3" t="inlineStr">
        <is>
          <t>thanhtoan.payError</t>
        </is>
      </c>
      <c r="B255" s="3" t="inlineStr">
        <is>
          <t>Chuyển khoản sai thông tin hoặc sai số tiền có thể mất nhiều ngày xử lí.</t>
        </is>
      </c>
      <c r="C255" s="3" t="inlineStr">
        <is>
          <t>Transferring with incorrect details or amount may take many days to process.</t>
        </is>
      </c>
      <c r="D255" s="3">
        <f>IFERROR(__xludf.DUMMYFUNCTION("GOOGLETRANSLATE(B255,""vi"",""km"")"),"ការផ្ទេរប្រាក់ដែលមានព័ត៌មាន ឬចំនួនទឹកប្រាក់មិនត្រឹមត្រូវអាចចំណាយពេលច្រើនថ្ងៃដើម្បីដំណើរការ។")</f>
        <v/>
      </c>
      <c r="E255" s="3" t="inlineStr">
        <is>
          <t>វេរប្រាក់ខុសព័ត៌មានឬខុសចំនួនប្រាក់ត្រូវការពេលច្រើនថ្ងៃដើម្បីដោះស្រាយ</t>
        </is>
      </c>
      <c r="F255" s="3" t="n"/>
      <c r="G255" s="3" t="inlineStr">
        <is>
          <t>វេរប្រាក់ខុសព័ត៌មានឬខុសចំនួនប្រាក់ត្រូវការពេលច្រើនថ្ងៃដើម្បីដោះស្រាយ</t>
        </is>
      </c>
      <c r="H255" t="inlineStr">
        <is>
          <t>វេរប្រាក់ខុសព័ត៌មានឬខុសចំនួនប្រាក់ត្រូវការពេលច្រើនថ្ងៃដើម្បីដោះស្រាយ</t>
        </is>
      </c>
      <c r="I255" s="217" t="inlineStr">
        <is>
          <t>"thanhtoan.payError": "វេរប្រាក់ខុសព័ត៌មានឬខុសចំនួនប្រាក់ត្រូវការពេលច្រើនថ្ងៃដើម្បីដោះស្រាយ",</t>
        </is>
      </c>
      <c r="N255" s="3" t="inlineStr"/>
    </row>
    <row r="256" ht="15.75" customHeight="1" s="305">
      <c r="A256" s="3" t="inlineStr">
        <is>
          <t>tms.chuyenKinhDoanh</t>
        </is>
      </c>
      <c r="B256" s="3" t="inlineStr">
        <is>
          <t>Chuyến kinh doanh</t>
        </is>
      </c>
      <c r="C256" s="3" t="inlineStr">
        <is>
          <t>Business trip</t>
        </is>
      </c>
      <c r="D256" s="3">
        <f>IFERROR(__xludf.DUMMYFUNCTION("GOOGLETRANSLATE(B256,""vi"",""km"")"),"ដំណើរកម្សាន្តអាជីវកម្ម")</f>
        <v/>
      </c>
      <c r="E256" s="3" t="inlineStr">
        <is>
          <t xml:space="preserve">បេសកកម្មBusiness </t>
        </is>
      </c>
      <c r="F256" s="3" t="n"/>
      <c r="G256" s="3" t="inlineStr">
        <is>
          <t>បេសកកម្មBusiness</t>
        </is>
      </c>
      <c r="H256" t="inlineStr">
        <is>
          <t>បេសកកម្មBusiness</t>
        </is>
      </c>
      <c r="I256" s="217" t="inlineStr">
        <is>
          <t>"tms.chuyenKinhDoanh": "បេសកកម្មBusiness",</t>
        </is>
      </c>
      <c r="N256" s="3" t="inlineStr"/>
    </row>
    <row r="257" ht="15.75" customHeight="1" s="305">
      <c r="A257" s="3" t="inlineStr">
        <is>
          <t>PhanCong.titleForwardAssign</t>
        </is>
      </c>
      <c r="B257" s="3" t="inlineStr">
        <is>
          <t>Chuyển phân công</t>
        </is>
      </c>
      <c r="C257" s="3" t="inlineStr">
        <is>
          <t>Forward assignment</t>
        </is>
      </c>
      <c r="D257" s="3">
        <f>IFERROR(__xludf.DUMMYFUNCTION("GOOGLETRANSLATE(B257,""vi"",""km"")"),"ការផ្ទេរភារកិច្ច")</f>
        <v/>
      </c>
      <c r="E257" s="3" t="inlineStr">
        <is>
          <t>ផ្ទេរការបែងចែកការងារ</t>
        </is>
      </c>
      <c r="F257" s="3" t="n"/>
      <c r="G257" s="3" t="inlineStr">
        <is>
          <t>ផ្ទេរការបែងចែកការងារ</t>
        </is>
      </c>
      <c r="H257" t="inlineStr">
        <is>
          <t>ផ្ទេរការបែងចែកការងារ</t>
        </is>
      </c>
      <c r="I257" s="217" t="inlineStr">
        <is>
          <t>"PhanCong.titleForwardAssign": "ផ្ទេរការបែងចែកការងារ",</t>
        </is>
      </c>
      <c r="N257" s="3" t="inlineStr">
        <is>
          <t>ផ្ទេរការចែកចាយ</t>
        </is>
      </c>
    </row>
    <row r="258" ht="15.75" customHeight="1" s="305">
      <c r="A258" s="3" t="inlineStr">
        <is>
          <t>taoDon.expressDelivery</t>
        </is>
      </c>
      <c r="B258" s="3" t="inlineStr">
        <is>
          <t>Chuyển phát hoả tốc</t>
        </is>
      </c>
      <c r="C258" s="3" t="inlineStr">
        <is>
          <t>Express delivery</t>
        </is>
      </c>
      <c r="D258" s="3">
        <f>IFERROR(__xludf.DUMMYFUNCTION("GOOGLETRANSLATE(B258,""vi"",""km"")"),"ការដឹកជញ្ជូនរហ័ស")</f>
        <v/>
      </c>
      <c r="E258" s="3" t="inlineStr">
        <is>
          <t>ដឹកជញ្ជូនរហ័ស</t>
        </is>
      </c>
      <c r="F258" s="3" t="n"/>
      <c r="G258" s="3" t="inlineStr">
        <is>
          <t>ដឹកជញ្ជូនរហ័ស</t>
        </is>
      </c>
      <c r="H258" t="inlineStr">
        <is>
          <t>ដឹកជញ្ជូនរហ័ស</t>
        </is>
      </c>
      <c r="I258" s="217" t="inlineStr">
        <is>
          <t>"taoDon.expressDelivery": "ដឹកជញ្ជូនរហ័ស",</t>
        </is>
      </c>
      <c r="N258" s="3" t="inlineStr">
        <is>
          <t>ដឹកជញ្ជូនបន្ទាន់</t>
        </is>
      </c>
    </row>
    <row r="259" ht="15.75" customHeight="1" s="305">
      <c r="A259" s="3" t="inlineStr">
        <is>
          <t>tms.chuyenPhatSinh</t>
        </is>
      </c>
      <c r="B259" s="3" t="inlineStr">
        <is>
          <t>Chuyến phát sinh</t>
        </is>
      </c>
      <c r="C259" s="3" t="inlineStr">
        <is>
          <t>Additional trip</t>
        </is>
      </c>
      <c r="D259" s="3">
        <f>IFERROR(__xludf.DUMMYFUNCTION("GOOGLETRANSLATE(B259,""vi"",""km"")"),"ដំណើរកម្សាន្តបន្ថែម")</f>
        <v/>
      </c>
      <c r="E259" s="3" t="inlineStr">
        <is>
          <t>ដឹកជញ្ជូនក្រៅផ្លូវការ</t>
        </is>
      </c>
      <c r="F259" s="3" t="n"/>
      <c r="G259" s="3" t="inlineStr">
        <is>
          <t>ដឹកជញ្ជូនក្រៅផ្លូវការ</t>
        </is>
      </c>
      <c r="H259" t="inlineStr">
        <is>
          <t>ដឹកជញ្ជូនក្រៅផ្លូវការ</t>
        </is>
      </c>
      <c r="I259" s="217" t="inlineStr">
        <is>
          <t>"tms.chuyenPhatSinh": "ដឹកជញ្ជូនក្រៅផ្លូវការ",</t>
        </is>
      </c>
      <c r="N259" s="3" t="inlineStr"/>
    </row>
    <row r="260" ht="15.75" customHeight="1" s="305">
      <c r="A260" s="3" t="inlineStr">
        <is>
          <t>suaDon.economicalDelivery</t>
        </is>
      </c>
      <c r="B260" s="3" t="inlineStr">
        <is>
          <t>Chuyển phát tiết kiệm</t>
        </is>
      </c>
      <c r="C260" s="3" t="inlineStr">
        <is>
          <t>Eco Delivery</t>
        </is>
      </c>
      <c r="D260" s="3">
        <f>IFERROR(__xludf.DUMMYFUNCTION("GOOGLETRANSLATE(B260,""vi"",""km"")"),"ការដឹកជញ្ជូនសន្សំសំចៃ")</f>
        <v/>
      </c>
      <c r="E260" s="3" t="inlineStr">
        <is>
          <t>ដឹកជញ្ជូនសន្សំសំចៃ</t>
        </is>
      </c>
      <c r="F260" s="3" t="n"/>
      <c r="G260" s="3" t="inlineStr">
        <is>
          <t>ដឹកជញ្ជូនសន្សំសំចៃ</t>
        </is>
      </c>
      <c r="H260" t="inlineStr">
        <is>
          <t>ដឹកជញ្ជូនសន្សំសំចៃ</t>
        </is>
      </c>
      <c r="I260" s="217" t="inlineStr">
        <is>
          <t>"suaDon.economicalDelivery": "ដឹកជញ្ជូនសន្សំសំចៃ",</t>
        </is>
      </c>
      <c r="N260" s="3" t="inlineStr">
        <is>
          <t>ការដឹកជញ្ជូនសន្សំសំចៃ</t>
        </is>
      </c>
    </row>
    <row r="261" ht="15.75" customHeight="1" s="305">
      <c r="A261" s="3" t="inlineStr">
        <is>
          <t>taoDon.economicalDelivery</t>
        </is>
      </c>
      <c r="B261" s="3" t="inlineStr">
        <is>
          <t>Chuyển phát tiết kiệm</t>
        </is>
      </c>
      <c r="C261" s="3" t="inlineStr">
        <is>
          <t>Economical delivery</t>
        </is>
      </c>
      <c r="D261" s="3">
        <f>IFERROR(__xludf.DUMMYFUNCTION("GOOGLETRANSLATE(B261,""vi"",""km"")"),"ការដឹកជញ្ជូនសន្សំសំចៃ")</f>
        <v/>
      </c>
      <c r="E261" s="3" t="inlineStr">
        <is>
          <t>ដឹកជញ្ជូនសន្សំសំចៃ</t>
        </is>
      </c>
      <c r="F261" s="3" t="n"/>
      <c r="G261" s="3" t="inlineStr">
        <is>
          <t>ដឹកជញ្ជូនសន្សំសំចៃ</t>
        </is>
      </c>
      <c r="H261" t="inlineStr">
        <is>
          <t>ដឹកជញ្ជូនសន្សំសំចៃ</t>
        </is>
      </c>
      <c r="I261" s="217" t="inlineStr">
        <is>
          <t>"taoDon.economicalDelivery": "ដឹកជញ្ជូនសន្សំសំចៃ",</t>
        </is>
      </c>
      <c r="N261" s="3" t="inlineStr">
        <is>
          <t>ដឹកជញ្ជូនសន្សំសំចៃ</t>
        </is>
      </c>
    </row>
    <row r="262" ht="15.75" customHeight="1" s="305">
      <c r="A262" s="3" t="inlineStr">
        <is>
          <t>nhanLai.forward</t>
        </is>
      </c>
      <c r="B262" s="3" t="inlineStr">
        <is>
          <t>Chuyển tiếp</t>
        </is>
      </c>
      <c r="C262" s="3" t="inlineStr">
        <is>
          <t>Forward</t>
        </is>
      </c>
      <c r="D262" s="3">
        <f>IFERROR(__xludf.DUMMYFUNCTION("GOOGLETRANSLATE(B262,""vi"",""km"")"),"ទៅមុខ")</f>
        <v/>
      </c>
      <c r="E262" s="3" t="inlineStr">
        <is>
          <t>បញ្ជូនបន្ត</t>
        </is>
      </c>
      <c r="F262" s="3" t="n"/>
      <c r="G262" s="3" t="inlineStr">
        <is>
          <t>បញ្ជូនបន្ត</t>
        </is>
      </c>
      <c r="H262" t="inlineStr">
        <is>
          <t>បញ្ជូនបន្ត</t>
        </is>
      </c>
      <c r="I262" s="217" t="inlineStr">
        <is>
          <t>"nhanLai.forward": "បញ្ជូនបន្ត",</t>
        </is>
      </c>
      <c r="N262" s="163" t="inlineStr">
        <is>
          <t>ទៅមុខ</t>
        </is>
      </c>
    </row>
    <row r="263" ht="15.75" customHeight="1" s="305">
      <c r="A263" s="3" t="inlineStr">
        <is>
          <t>banGiao.taiChuyenTiep</t>
        </is>
      </c>
      <c r="B263" s="3" t="inlineStr">
        <is>
          <t>Chuyển tiếp</t>
        </is>
      </c>
      <c r="C263" s="3" t="inlineStr">
        <is>
          <t>Transfer</t>
        </is>
      </c>
      <c r="D263" s="3">
        <f>IFERROR(__xludf.DUMMYFUNCTION("GOOGLETRANSLATE(B263,""vi"",""km"")"),"ទៅមុខ")</f>
        <v/>
      </c>
      <c r="E263" s="3" t="inlineStr">
        <is>
          <t>បញ្ជូនបន្ត</t>
        </is>
      </c>
      <c r="F263" s="3" t="n"/>
      <c r="G263" s="3" t="inlineStr">
        <is>
          <t>បញ្ជូនបន្ត</t>
        </is>
      </c>
      <c r="H263" t="inlineStr">
        <is>
          <t>បញ្ជូនបន្ត</t>
        </is>
      </c>
      <c r="I263" s="217" t="inlineStr">
        <is>
          <t>"banGiao.taiChuyenTiep": "បញ្ជូនបន្ត",</t>
        </is>
      </c>
      <c r="N263" s="3" t="inlineStr"/>
    </row>
    <row r="264" ht="15.75" customHeight="1" s="305">
      <c r="A264" s="3" t="inlineStr">
        <is>
          <t>khaiThacDen.forward</t>
        </is>
      </c>
      <c r="B264" s="3" t="inlineStr">
        <is>
          <t>Chuyển tiếp</t>
        </is>
      </c>
      <c r="C264" s="3" t="inlineStr">
        <is>
          <t>Forward</t>
        </is>
      </c>
      <c r="D264" s="3">
        <f>IFERROR(__xludf.DUMMYFUNCTION("GOOGLETRANSLATE(B264,""vi"",""km"")"),"ទៅមុខ")</f>
        <v/>
      </c>
      <c r="E264" s="3" t="inlineStr">
        <is>
          <t>បញ្ជូនបន្ត</t>
        </is>
      </c>
      <c r="F264" s="3" t="n"/>
      <c r="G264" s="3" t="inlineStr">
        <is>
          <t>បញ្ជូនបន្ត</t>
        </is>
      </c>
      <c r="H264" t="inlineStr">
        <is>
          <t>បញ្ជូនបន្ត</t>
        </is>
      </c>
      <c r="I264" s="217" t="inlineStr">
        <is>
          <t>"khaiThacDen.forward": "បញ្ជូនបន្ត",</t>
        </is>
      </c>
      <c r="N264" s="3" t="inlineStr">
        <is>
          <t>បញ្ចូនបន្ត</t>
        </is>
      </c>
    </row>
    <row r="265" ht="15.75" customHeight="1" s="305">
      <c r="A265" s="3" t="inlineStr">
        <is>
          <t>GiaoHang.titleUpdateStatus</t>
        </is>
      </c>
      <c r="B265" s="3" t="inlineStr">
        <is>
          <t>Chuyển trạng thái</t>
        </is>
      </c>
      <c r="C265" s="3" t="inlineStr">
        <is>
          <t>Update status</t>
        </is>
      </c>
      <c r="D265" s="3">
        <f>IFERROR(__xludf.DUMMYFUNCTION("GOOGLETRANSLATE(B265,""vi"",""km"")"),"ផ្លាស់ប្តូរស្ថានភាព")</f>
        <v/>
      </c>
      <c r="E265" s="3" t="inlineStr">
        <is>
          <t>ប្តូរស្ថានភាព</t>
        </is>
      </c>
      <c r="F265" s="3" t="n"/>
      <c r="G265" s="3" t="inlineStr">
        <is>
          <t>ប្តូរស្ថានភាព</t>
        </is>
      </c>
      <c r="H265" t="inlineStr">
        <is>
          <t>ប្តូរស្ថានភាព</t>
        </is>
      </c>
      <c r="I265" s="217" t="inlineStr">
        <is>
          <t>"GiaoHang.titleUpdateStatus": "ប្តូរស្ថានភាព",</t>
        </is>
      </c>
      <c r="N265" s="3" t="inlineStr">
        <is>
          <t>ប្តូរស្ថានភាព</t>
        </is>
      </c>
    </row>
    <row r="266" ht="15.75" customHeight="1" s="305">
      <c r="A266" s="3" t="inlineStr">
        <is>
          <t>GiaoHang.successReturnOrder</t>
        </is>
      </c>
      <c r="B266" s="3" t="inlineStr">
        <is>
          <t>Chuyển trạng thái đơn hoàn thành công</t>
        </is>
      </c>
      <c r="C266" s="3" t="inlineStr">
        <is>
          <t>Update return order status successfully</t>
        </is>
      </c>
      <c r="D266" s="3">
        <f>IFERROR(__xludf.DUMMYFUNCTION("GOOGLETRANSLATE(B266,""vi"",""km"")"),"ផ្លាស់ប្តូរស្ថានភាពការបញ្ជាទិញទៅជា ""បានបញ្ចប់""។")</f>
        <v/>
      </c>
      <c r="E266" s="3" t="inlineStr">
        <is>
          <t>ប្តូរស្ថានភាពបុងបញ្ញើសងត្រលប់បានជោគជ័យ</t>
        </is>
      </c>
      <c r="F266" s="3" t="n"/>
      <c r="G266" s="3" t="inlineStr">
        <is>
          <t>ប្តូរស្ថានភាពបុងបញ្ញើសងត្រលប់បានជោគជ័យ</t>
        </is>
      </c>
      <c r="H266" t="inlineStr">
        <is>
          <t>ប្តូរស្ថានភាពបុងបញ្ញើសងត្រលប់បានជោគជ័យ</t>
        </is>
      </c>
      <c r="I266" s="217" t="inlineStr">
        <is>
          <t>"GiaoHang.successReturnOrder": "ប្តូរស្ថានភាពបុងបញ្ញើសងត្រលប់បានជោគជ័យ",</t>
        </is>
      </c>
      <c r="N266" s="163" t="inlineStr">
        <is>
          <t>ធ្វើបច្ចុប្បន្នភាពស្ថានភាពការបញ្ជាទិញត្រឡប់មកវិញដោយជោគជ័យ</t>
        </is>
      </c>
    </row>
    <row r="267" ht="15.75" customHeight="1" s="305">
      <c r="A267" s="3" t="inlineStr">
        <is>
          <t>GiaoHang.failReturnOrder</t>
        </is>
      </c>
      <c r="B267" s="3" t="inlineStr">
        <is>
          <t>Chuyển trạng thái đơn hoàn thất bại</t>
        </is>
      </c>
      <c r="C267" s="3" t="inlineStr">
        <is>
          <t xml:space="preserve">Fail to update return order status </t>
        </is>
      </c>
      <c r="D267" s="3">
        <f>IFERROR(__xludf.DUMMYFUNCTION("GOOGLETRANSLATE(B267,""vi"",""km"")"),"ការផ្លាស់ប្តូររដ្ឋតែមួយបានបរាជ័យ។")</f>
        <v/>
      </c>
      <c r="E267" s="3" t="inlineStr">
        <is>
          <t>ប្តូរស្ថានភាពបុងបញ្ញើសងត្រលប់បរាជ័យ</t>
        </is>
      </c>
      <c r="F267" s="3" t="n"/>
      <c r="G267" s="3" t="inlineStr">
        <is>
          <t>ប្តូរស្ថានភាពបុងបញ្ញើសងត្រលប់បរាជ័យ</t>
        </is>
      </c>
      <c r="H267" t="inlineStr">
        <is>
          <t>ប្តូរស្ថានភាពបុងបញ្ញើសងត្រលប់បរាជ័យ</t>
        </is>
      </c>
      <c r="I267" s="217" t="inlineStr">
        <is>
          <t>"GiaoHang.failReturnOrder": "ប្តូរស្ថានភាពបុងបញ្ញើសងត្រលប់បរាជ័យ",</t>
        </is>
      </c>
      <c r="N267" s="163" t="inlineStr">
        <is>
          <t>បរាជ័យក្នុងការធ្វើបច្ចុប្បន្នភាពស្ថានភាពការបញ្ជាទិញត្រឡប់មកវិញ</t>
        </is>
      </c>
    </row>
    <row r="268" ht="15.75" customHeight="1" s="305">
      <c r="A268" s="3" t="inlineStr">
        <is>
          <t>GiaoHang.deliveryappointmentfail</t>
        </is>
      </c>
      <c r="B268" s="3" t="inlineStr">
        <is>
          <t>Chuyển trạng thái Hẹn trả hàng không thành công</t>
        </is>
      </c>
      <c r="C268" s="3" t="inlineStr">
        <is>
          <t xml:space="preserve">Fail to update status "Reschedule return delivery" </t>
        </is>
      </c>
      <c r="D268" s="3">
        <f>IFERROR(__xludf.DUMMYFUNCTION("GOOGLETRANSLATE(B268,""vi"",""km"")"),"ផ្លាស់ប្តូរស្ថានភាពនៃការត្រឡប់មកវិញតាមកាលវិភាគទៅជាមិនជោគជ័យ។")</f>
        <v/>
      </c>
      <c r="E268" s="3" t="inlineStr">
        <is>
          <t>ផ្លាស់ប្តូរស្ថានភាពណាត់ប្រគល់អីវ៉ាន់បរាជ័យ</t>
        </is>
      </c>
      <c r="F268" s="3" t="n"/>
      <c r="G268" s="3" t="inlineStr">
        <is>
          <t>ផ្លាស់ប្តូរស្ថានភាពណាត់ប្រគល់អីវ៉ាន់បរាជ័យ</t>
        </is>
      </c>
      <c r="H268" t="inlineStr">
        <is>
          <t>ផ្លាស់ប្តូរស្ថានភាពណាត់ប្រគល់អីវ៉ាន់បរាជ័យ</t>
        </is>
      </c>
      <c r="I268" s="217" t="inlineStr">
        <is>
          <t>"GiaoHang.deliveryappointmentfail": "ផ្លាស់ប្តូរស្ថានភាពណាត់ប្រគល់អីវ៉ាន់បរាជ័យ",</t>
        </is>
      </c>
      <c r="N268" s="163" t="inlineStr">
        <is>
          <t>បរាជ័យក្នុងការធ្វើបច្ចុប្បន្នភាពស្ថានភាព "កំណត់ពេលបញ្ជូនត្រឡប់មកវិញ"</t>
        </is>
      </c>
    </row>
    <row r="269" ht="15.75" customHeight="1" s="305">
      <c r="A269" s="3" t="inlineStr">
        <is>
          <t>GiaoHang.deliveryappointmentsuccess</t>
        </is>
      </c>
      <c r="B269" s="3" t="inlineStr">
        <is>
          <t>Chuyển trạng thái Hẹn trả hàng thành công</t>
        </is>
      </c>
      <c r="C269" s="3" t="inlineStr">
        <is>
          <t>Update status "Reschedule return delivery" successfully</t>
        </is>
      </c>
      <c r="D269" s="3">
        <f>IFERROR(__xludf.DUMMYFUNCTION("GOOGLETRANSLATE(B269,""vi"",""km"")"),"ផ្លាស់ប្តូរស្ថានភាពទៅជា ""កាលវិភាគដឹកជញ្ជូនជោគជ័យ""")</f>
        <v/>
      </c>
      <c r="E269" s="3" t="inlineStr">
        <is>
          <t>ផ្លាស់ប្តូរស្ថានភាពណាត់ប្រគល់អីវ៉ាន់ជោគជ័យ</t>
        </is>
      </c>
      <c r="F269" s="3" t="n"/>
      <c r="G269" s="3" t="inlineStr">
        <is>
          <t>ផ្លាស់ប្តូរស្ថានភាពណាត់ប្រគល់អីវ៉ាន់ជោគជ័យ</t>
        </is>
      </c>
      <c r="H269" t="inlineStr">
        <is>
          <t>ផ្លាស់ប្តូរស្ថានភាពណាត់ប្រគល់អីវ៉ាន់ជោគជ័យ</t>
        </is>
      </c>
      <c r="I269" s="217" t="inlineStr">
        <is>
          <t>"GiaoHang.deliveryappointmentsuccess": "ផ្លាស់ប្តូរស្ថានភាពណាត់ប្រគល់អីវ៉ាន់ជោគជ័យ",</t>
        </is>
      </c>
      <c r="N269" s="163" t="inlineStr">
        <is>
          <t>ធ្វើបច្ចុប្បន្នភាពស្ថានភាព "កំណត់ពេលបញ្ជូនត្រឡប់មកវិញ" ដោយជោគជ័យ</t>
        </is>
      </c>
    </row>
    <row r="270" ht="15.75" customHeight="1" s="305">
      <c r="A270" s="3" t="inlineStr">
        <is>
          <t>GiaoHang.changeStatusSuccess</t>
        </is>
      </c>
      <c r="B270" s="3" t="inlineStr">
        <is>
          <t>Chuyển trạng thái thành công</t>
        </is>
      </c>
      <c r="C270" s="3" t="inlineStr">
        <is>
          <t>Update status successfully</t>
        </is>
      </c>
      <c r="D270" s="3">
        <f>IFERROR(__xludf.DUMMYFUNCTION("GOOGLETRANSLATE(B270,""vi"",""km"")"),"ការផ្លាស់ប្តូរស្ថានភាពបានជោគជ័យ")</f>
        <v/>
      </c>
      <c r="E270" s="3" t="inlineStr">
        <is>
          <t>ប្តូរស្ថានភាពបានជោគជ័យ</t>
        </is>
      </c>
      <c r="F270" s="3" t="n"/>
      <c r="G270" s="3" t="inlineStr">
        <is>
          <t>ប្តូរស្ថានភាពបានជោគជ័យ</t>
        </is>
      </c>
      <c r="H270" t="inlineStr">
        <is>
          <t>ប្តូរស្ថានភាពបានជោគជ័យ</t>
        </is>
      </c>
      <c r="I270" s="217" t="inlineStr">
        <is>
          <t>"GiaoHang.changeStatusSuccess": "ប្តូរស្ថានភាពបានជោគជ័យ",</t>
        </is>
      </c>
      <c r="N270" s="163" t="inlineStr">
        <is>
          <t>ធ្វើបច្ចុប្បន្នភាពស្ថានភាពដោយជោគជ័យ</t>
        </is>
      </c>
    </row>
    <row r="271" ht="15.75" customHeight="1" s="305">
      <c r="A271" s="3" t="inlineStr">
        <is>
          <t>tongGiao.chuyenTT</t>
        </is>
      </c>
      <c r="B271" s="3" t="inlineStr">
        <is>
          <t>Chuyển TT</t>
        </is>
      </c>
      <c r="C271" s="3" t="inlineStr">
        <is>
          <t>Update status</t>
        </is>
      </c>
      <c r="D271" s="3">
        <f>IFERROR(__xludf.DUMMYFUNCTION("GOOGLETRANSLATE(B271,""vi"",""km"")"),"ផ្ទេរ TT")</f>
        <v/>
      </c>
      <c r="E271" s="3" t="inlineStr">
        <is>
          <t>ប្តូរស្ថានភាព</t>
        </is>
      </c>
      <c r="F271" s="3" t="n"/>
      <c r="G271" s="3" t="inlineStr">
        <is>
          <t>ប្តូរស្ថានភាព</t>
        </is>
      </c>
      <c r="H271" t="inlineStr">
        <is>
          <t>ប្តូរស្ថានភាព</t>
        </is>
      </c>
      <c r="I271" s="217" t="inlineStr">
        <is>
          <t>"tongGiao.chuyenTT": "ប្តូរស្ថានភាព",</t>
        </is>
      </c>
      <c r="N271" s="3" t="inlineStr">
        <is>
          <t>បញ្ចូនព៍រមាន</t>
        </is>
      </c>
    </row>
    <row r="272" ht="15.75" customHeight="1" s="305">
      <c r="A272" s="3" t="inlineStr">
        <is>
          <t>tms.thongBaoChuyenXeMoi</t>
        </is>
      </c>
      <c r="B272" s="3" t="inlineStr">
        <is>
          <t>Chuyến xe mới!</t>
        </is>
      </c>
      <c r="C272" s="3" t="inlineStr">
        <is>
          <t>New trip!</t>
        </is>
      </c>
      <c r="D272" s="3">
        <f>IFERROR(__xludf.DUMMYFUNCTION("GOOGLETRANSLATE(B272,""vi"",""km"")"),"ឡានក្រុងថ្មី!")</f>
        <v/>
      </c>
      <c r="E272" s="3" t="inlineStr">
        <is>
          <t>ជើងឡានដឹកថ្មី!</t>
        </is>
      </c>
      <c r="F272" s="3" t="n"/>
      <c r="G272" s="3" t="inlineStr">
        <is>
          <t>ជើងឡានដឹកថ្មី!</t>
        </is>
      </c>
      <c r="H272" t="inlineStr">
        <is>
          <t>ជើងឡានដឹកថ្មី!</t>
        </is>
      </c>
      <c r="I272" s="217" t="inlineStr">
        <is>
          <t>"tms.thongBaoChuyenXeMoi": "ជើងឡានដឹកថ្មី!",</t>
        </is>
      </c>
      <c r="N272" s="3" t="inlineStr"/>
    </row>
    <row r="273" ht="15.75" customHeight="1" s="305">
      <c r="A273" s="3" t="inlineStr">
        <is>
          <t>setting.clickOpenApp</t>
        </is>
      </c>
      <c r="B273" s="3" t="inlineStr">
        <is>
          <t>Click để mở QR</t>
        </is>
      </c>
      <c r="C273" s="3" t="inlineStr">
        <is>
          <t xml:space="preserve">Click to show QR </t>
        </is>
      </c>
      <c r="D273" s="3">
        <f>IFERROR(__xludf.DUMMYFUNCTION("GOOGLETRANSLATE(B273,""vi"",""km"")"),"ចុចដើម្បីបើកលេខកូដ QR")</f>
        <v/>
      </c>
      <c r="E273" s="3" t="inlineStr">
        <is>
          <t>ចុចដើម្បីបើកQR</t>
        </is>
      </c>
      <c r="F273" s="3" t="n"/>
      <c r="G273" s="3" t="inlineStr">
        <is>
          <t>ចុចដើម្បីបើកQR</t>
        </is>
      </c>
      <c r="H273" t="inlineStr">
        <is>
          <t>ចុចដើម្បីបើកQR</t>
        </is>
      </c>
      <c r="I273" s="217" t="inlineStr">
        <is>
          <t>"setting.clickOpenApp": "ចុចដើម្បីបើកQR",</t>
        </is>
      </c>
      <c r="N273" s="163" t="inlineStr">
        <is>
          <t>ចុចដើម្បីបង្ហាញ QR</t>
        </is>
      </c>
    </row>
    <row r="274" ht="15.75" customHeight="1" s="305">
      <c r="A274" s="3" t="inlineStr">
        <is>
          <t>common.yes</t>
        </is>
      </c>
      <c r="B274" s="3" t="inlineStr">
        <is>
          <t>Có</t>
        </is>
      </c>
      <c r="C274" s="3" t="inlineStr">
        <is>
          <t>Yes</t>
        </is>
      </c>
      <c r="D274" s="3">
        <f>IFERROR(__xludf.DUMMYFUNCTION("GOOGLETRANSLATE(B274,""vi"",""km"")"),"មាន")</f>
        <v/>
      </c>
      <c r="E274" s="3" t="inlineStr">
        <is>
          <t>បាទ/ចាស</t>
        </is>
      </c>
      <c r="F274" s="3" t="n"/>
      <c r="G274" s="3" t="inlineStr">
        <is>
          <t>មាន</t>
        </is>
      </c>
      <c r="H274" t="inlineStr">
        <is>
          <t>មាន</t>
        </is>
      </c>
      <c r="I274" s="217" t="inlineStr">
        <is>
          <t>"common.yes": "មាន",</t>
        </is>
      </c>
      <c r="N274" s="3" t="inlineStr"/>
    </row>
    <row r="275" ht="15.75" customHeight="1" s="305">
      <c r="A275" s="3" t="inlineStr">
        <is>
          <t>GiaoHang.emptyBillPrint</t>
        </is>
      </c>
      <c r="B275" s="3" t="inlineStr">
        <is>
          <t>Có lỗi khi lấy thông tin vận đơn</t>
        </is>
      </c>
      <c r="C275" s="3" t="inlineStr">
        <is>
          <t>An error occurred when fetching order information</t>
        </is>
      </c>
      <c r="D275" s="3">
        <f>IFERROR(__xludf.DUMMYFUNCTION("GOOGLETRANSLATE(B275,""vi"",""km"")"),"មានកំហុសក្នុងការទាញយកព័ត៌មានវិក្កយបត្រដឹកជញ្ជូន។")</f>
        <v/>
      </c>
      <c r="E275" s="3" t="inlineStr">
        <is>
          <t>មានបញ្ហាពេលយកព័ត៌មានបុងបញ្ញើ</t>
        </is>
      </c>
      <c r="F275" s="3" t="n"/>
      <c r="G275" s="3" t="inlineStr">
        <is>
          <t>មានបញ្ហាពេលយកព័ត៌មានបុងបញ្ញើ</t>
        </is>
      </c>
      <c r="H275" t="inlineStr">
        <is>
          <t>មានបញ្ហាពេលយកព័ត៌មានបុងបញ្ញើ</t>
        </is>
      </c>
      <c r="I275" s="217" t="inlineStr">
        <is>
          <t>"GiaoHang.emptyBillPrint": "មានបញ្ហាពេលយកព័ត៌មានបុងបញ្ញើ",</t>
        </is>
      </c>
      <c r="N275" s="3" t="inlineStr">
        <is>
          <t>មានកំហុសនៅពេលទាញយកព័ត៌មានវិក័យប័ត្រ</t>
        </is>
      </c>
    </row>
    <row r="276" ht="15.75" customHeight="1" s="305">
      <c r="A276" s="3" t="inlineStr">
        <is>
          <t>common.somethingWrong</t>
        </is>
      </c>
      <c r="B276" s="3" t="inlineStr">
        <is>
          <t>Có lỗi xảy ra!</t>
        </is>
      </c>
      <c r="C276" s="3" t="inlineStr">
        <is>
          <t>Something went wrong!</t>
        </is>
      </c>
      <c r="D276" s="3">
        <f>IFERROR(__xludf.DUMMYFUNCTION("GOOGLETRANSLATE(B276,""vi"",""km"")"),"កំហុសមួយបានកើតឡើង!")</f>
        <v/>
      </c>
      <c r="E276" s="3" t="inlineStr">
        <is>
          <t>មានបញ្ហាកើតឡើង!</t>
        </is>
      </c>
      <c r="F276" s="3" t="n"/>
      <c r="G276" s="3" t="inlineStr">
        <is>
          <t>មានបញ្ហាកើតឡើង!</t>
        </is>
      </c>
      <c r="H276" t="inlineStr">
        <is>
          <t>មានបញ្ហាកើតឡើង!</t>
        </is>
      </c>
      <c r="I276" s="217" t="inlineStr">
        <is>
          <t>"common.somethingWrong": "មានបញ្ហាកើតឡើង!",</t>
        </is>
      </c>
      <c r="N276" s="3" t="inlineStr">
        <is>
          <t>កំហុស​មួយ​បាន​កើត​ឡើង!</t>
        </is>
      </c>
    </row>
    <row r="277" ht="15.75" customHeight="1" s="305">
      <c r="A277" s="3" t="inlineStr">
        <is>
          <t>taoDon.codRequired</t>
        </is>
      </c>
      <c r="B277" s="3" t="inlineStr">
        <is>
          <t>Cod không được để trống</t>
        </is>
      </c>
      <c r="C277" s="3" t="inlineStr">
        <is>
          <t>Cod is required</t>
        </is>
      </c>
      <c r="D277" s="3">
        <f>IFERROR(__xludf.DUMMYFUNCTION("GOOGLETRANSLATE(B277,""vi"",""km"")"),"លេខកូដមិនអាចទុកចោលទទេបានទេ។")</f>
        <v/>
      </c>
      <c r="E277" s="3" t="inlineStr">
        <is>
          <t>មិនអាចទុក COD ឲ្យនៅចន្លោះ</t>
        </is>
      </c>
      <c r="F277" s="3" t="n"/>
      <c r="G277" s="3" t="inlineStr">
        <is>
          <t>មិនអាចទុក COD ឲ្យនៅចន្លោះ</t>
        </is>
      </c>
      <c r="H277" t="inlineStr">
        <is>
          <t>មិនអាចទុក COD ឲ្យនៅចន្លោះ</t>
        </is>
      </c>
      <c r="I277" s="217" t="inlineStr">
        <is>
          <t>"taoDon.codRequired": "មិនអាចទុក COD ឲ្យនៅចន្លោះ",</t>
        </is>
      </c>
      <c r="N277" s="3" t="inlineStr">
        <is>
          <t>COD មិនអាចទទេបានទេ</t>
        </is>
      </c>
    </row>
    <row r="278" ht="15.75" customHeight="1" s="305">
      <c r="A278" s="3" t="inlineStr">
        <is>
          <t>nhanHang.COD</t>
        </is>
      </c>
      <c r="B278" s="3" t="inlineStr">
        <is>
          <t>COD:</t>
        </is>
      </c>
      <c r="C278" s="3" t="inlineStr">
        <is>
          <t>COD:</t>
        </is>
      </c>
      <c r="D278" s="3">
        <f>IFERROR(__xludf.DUMMYFUNCTION("GOOGLETRANSLATE(B278,""vi"",""km"")"),"ប្រតិបត្តិការ​ទូទាត់​ថ្លៃ​សេវា​៖")</f>
        <v/>
      </c>
      <c r="E278" s="3" t="inlineStr">
        <is>
          <t>COD៖</t>
        </is>
      </c>
      <c r="F278" s="3" t="n"/>
      <c r="G278" s="3" t="inlineStr">
        <is>
          <t>COD៖</t>
        </is>
      </c>
      <c r="H278" t="inlineStr">
        <is>
          <t>COD៖</t>
        </is>
      </c>
      <c r="I278" s="217" t="inlineStr">
        <is>
          <t>"nhanHang.COD": "COD៖",</t>
        </is>
      </c>
      <c r="N278" s="3" t="inlineStr">
        <is>
          <t>COD៖</t>
        </is>
      </c>
    </row>
    <row r="279" ht="15.75" customHeight="1" s="305">
      <c r="A279" s="3" t="inlineStr">
        <is>
          <t>traCuu.tools</t>
        </is>
      </c>
      <c r="B279" s="3" t="inlineStr">
        <is>
          <t>công cụ</t>
        </is>
      </c>
      <c r="C279" s="3" t="inlineStr">
        <is>
          <t>tools</t>
        </is>
      </c>
      <c r="D279" s="3">
        <f>IFERROR(__xludf.DUMMYFUNCTION("GOOGLETRANSLATE(B279,""vi"",""km"")"),"ឧបករណ៍")</f>
        <v/>
      </c>
      <c r="E279" s="3" t="inlineStr">
        <is>
          <t>ឧបករណ៍</t>
        </is>
      </c>
      <c r="F279" s="3" t="n"/>
      <c r="G279" s="3" t="inlineStr">
        <is>
          <t>ឧបករណ៍</t>
        </is>
      </c>
      <c r="H279" t="inlineStr">
        <is>
          <t>ឧបករណ៍</t>
        </is>
      </c>
      <c r="I279" s="217" t="inlineStr">
        <is>
          <t>"traCuu.tools": "ឧបករណ៍",</t>
        </is>
      </c>
      <c r="N279" s="163" t="inlineStr">
        <is>
          <t>ឧបករណ៍</t>
        </is>
      </c>
    </row>
    <row r="280" ht="15.75" customHeight="1" s="305">
      <c r="A280" s="3" t="inlineStr">
        <is>
          <t>setting.tools</t>
        </is>
      </c>
      <c r="B280" s="3" t="inlineStr">
        <is>
          <t>Công cụ</t>
        </is>
      </c>
      <c r="C280" s="3" t="inlineStr">
        <is>
          <t>Tools</t>
        </is>
      </c>
      <c r="D280" s="3">
        <f>IFERROR(__xludf.DUMMYFUNCTION("GOOGLETRANSLATE(B280,""vi"",""km"")"),"ឧបករណ៍")</f>
        <v/>
      </c>
      <c r="E280" s="3" t="inlineStr">
        <is>
          <t>ឧបករណ៍</t>
        </is>
      </c>
      <c r="F280" s="3" t="n"/>
      <c r="G280" s="3" t="inlineStr">
        <is>
          <t>ឧបករណ៍</t>
        </is>
      </c>
      <c r="H280" t="inlineStr">
        <is>
          <t>ឧបករណ៍</t>
        </is>
      </c>
      <c r="I280" s="217" t="inlineStr">
        <is>
          <t>"setting.tools": "ឧបករណ៍",</t>
        </is>
      </c>
      <c r="N280" s="3" t="inlineStr">
        <is>
          <t>ឧបករណ៍</t>
        </is>
      </c>
    </row>
    <row r="281" ht="15.75" customHeight="1" s="305">
      <c r="A281" s="3" t="inlineStr">
        <is>
          <t>suaDon.tools</t>
        </is>
      </c>
      <c r="B281" s="3" t="inlineStr">
        <is>
          <t>Công cụ</t>
        </is>
      </c>
      <c r="C281" s="3" t="inlineStr">
        <is>
          <t>Tools</t>
        </is>
      </c>
      <c r="D281" s="3">
        <f>IFERROR(__xludf.DUMMYFUNCTION("GOOGLETRANSLATE(B281,""vi"",""km"")"),"ឧបករណ៍")</f>
        <v/>
      </c>
      <c r="E281" s="3" t="inlineStr">
        <is>
          <t>ឧបករណ៍</t>
        </is>
      </c>
      <c r="F281" s="3" t="n"/>
      <c r="G281" s="3" t="inlineStr">
        <is>
          <t>ឧបករណ៍</t>
        </is>
      </c>
      <c r="H281" t="inlineStr">
        <is>
          <t>ឧបករណ៍</t>
        </is>
      </c>
      <c r="I281" s="217" t="inlineStr">
        <is>
          <t>"suaDon.tools": "ឧបករណ៍",</t>
        </is>
      </c>
      <c r="N281" s="3" t="inlineStr">
        <is>
          <t>ឧបករណ៍</t>
        </is>
      </c>
    </row>
    <row r="282" ht="15.75" customHeight="1" s="305">
      <c r="A282" s="3" t="inlineStr">
        <is>
          <t>nhanHang.thongbaoxacnhanthutienmat</t>
        </is>
      </c>
      <c r="B282" s="3" t="inlineStr">
        <is>
          <t>Công nợ sẽ được chuyển về bưu tá. Bạn có xác nhận cách thức thanh toán này không?</t>
        </is>
      </c>
      <c r="C282" s="3" t="inlineStr">
        <is>
          <t>The debt will be transferred to the postman. Do you confirm this payment method?</t>
        </is>
      </c>
      <c r="D282" s="3">
        <f>IFERROR(__xludf.DUMMYFUNCTION("GOOGLETRANSLATE(B282,""vi"",""km"")"),"ការទូទាត់នឹងត្រូវបានផ្ញើទៅកាន់បុគ្គលិកប្រៃសណីយ៍។ តើអ្នកបញ្ជាក់វិធីសាស្ត្រទូទាត់នេះទេ?")</f>
        <v/>
      </c>
      <c r="E282" s="3" t="inlineStr">
        <is>
          <t>បំណុលនឹងបានផ្ទេរទៅអ្នកដឹក។តើអ្នកបញ្ជាក់ពីរបៀបទូទាត់នេះទេ?</t>
        </is>
      </c>
      <c r="F282" s="3" t="n"/>
      <c r="G282" s="3" t="inlineStr">
        <is>
          <t>បំណុលនឹងបានផ្ទេរទៅអ្នកដឹក។តើអ្នកបញ្ជាក់ពីរបៀបទូទាត់នេះទេ?</t>
        </is>
      </c>
      <c r="H282" t="inlineStr">
        <is>
          <t>បំណុលនឹងបានផ្ទេរទៅអ្នកដឹក។តើអ្នកបញ្ជាក់ពីរបៀបទូទាត់នេះទេ?</t>
        </is>
      </c>
      <c r="I282" s="217" t="inlineStr">
        <is>
          <t>"nhanHang.thongbaoxacnhanthutienmat": "បំណុលនឹងបានផ្ទេរទៅអ្នកដឹក។តើអ្នកបញ្ជាក់ពីរបៀបទូទាត់នេះទេ?",</t>
        </is>
      </c>
      <c r="N282" s="3" t="inlineStr"/>
    </row>
    <row r="283" ht="15.75" customHeight="1" s="305">
      <c r="A283" s="3" t="inlineStr">
        <is>
          <t>OTP.content2</t>
        </is>
      </c>
      <c r="B283" s="3" t="inlineStr">
        <is>
          <t xml:space="preserve">của đồng chí. Vui lòng xác nhận để tiếp tục đặt lại mật khẩu </t>
        </is>
      </c>
      <c r="C283" s="3" t="inlineStr">
        <is>
          <t>Please confirm to recover your password</t>
        </is>
      </c>
      <c r="D283" s="3">
        <f>IFERROR(__xludf.DUMMYFUNCTION("GOOGLETRANSLATE(B283,""vi"",""km"")"),"របស់អ្នក, សមមិត្ត។ សូមបញ្ជាក់ដើម្បីបន្តកំណត់ពាក្យសម្ងាត់របស់អ្នកឡើងវិញ។")</f>
        <v/>
      </c>
      <c r="E283" s="3" t="inlineStr">
        <is>
          <t>របស់អ្នក។សូមបញ្ជាក់ដើម្បីបន្តបង្កើតលេខសម្ងាត់ថ្មី</t>
        </is>
      </c>
      <c r="F283" s="3" t="n"/>
      <c r="G283" s="3" t="inlineStr">
        <is>
          <t>របស់អ្នក។សូមបញ្ជាក់ដើម្បីបន្តបង្កើតលេខសម្ងាត់ថ្មី</t>
        </is>
      </c>
      <c r="H283" t="inlineStr">
        <is>
          <t>របស់អ្នក។សូមបញ្ជាក់ដើម្បីបន្តបង្កើតលេខសម្ងាត់ថ្មី</t>
        </is>
      </c>
      <c r="I283" s="217" t="inlineStr">
        <is>
          <t>"OTP.content2": "របស់អ្នក។សូមបញ្ជាក់ដើម្បីបន្តបង្កើតលេខសម្ងាត់ថ្មី",</t>
        </is>
      </c>
      <c r="N283" s="3" t="inlineStr">
        <is>
          <t>ក្នុងចំណោមអ្នក។ សូមបញ្ជាក់ដើម្បីបន្តកំណត់ពាក្យសម្ងាត់របស់អ្នកឡើងវិញ</t>
        </is>
      </c>
    </row>
    <row r="284" ht="15.75" customHeight="1" s="305">
      <c r="A284" s="3" t="inlineStr">
        <is>
          <t>taoDon.deliveryStore</t>
        </is>
      </c>
      <c r="B284" s="3" t="inlineStr">
        <is>
          <t>Cửa hàng giao</t>
        </is>
      </c>
      <c r="C284" s="3" t="inlineStr">
        <is>
          <t>Delivery Store</t>
        </is>
      </c>
      <c r="D284" s="3">
        <f>IFERROR(__xludf.DUMMYFUNCTION("GOOGLETRANSLATE(B284,""vi"",""km"")"),"ហាងនេះដឹកជញ្ជូន")</f>
        <v/>
      </c>
      <c r="E284" s="3" t="inlineStr">
        <is>
          <t>ហាងប្រគល់អីវ៉ាន់</t>
        </is>
      </c>
      <c r="F284" s="3" t="n"/>
      <c r="G284" s="3" t="inlineStr">
        <is>
          <t>ហាងប្រគល់អីវ៉ាន់</t>
        </is>
      </c>
      <c r="H284" t="inlineStr">
        <is>
          <t>ហាងប្រគល់អីវ៉ាន់</t>
        </is>
      </c>
      <c r="I284" s="217" t="inlineStr">
        <is>
          <t>"taoDon.deliveryStore": "ហាងប្រគល់អីវ៉ាន់",</t>
        </is>
      </c>
      <c r="N284" s="3" t="inlineStr"/>
    </row>
    <row r="285" ht="15.75" customHeight="1" s="305">
      <c r="A285" s="3" t="inlineStr">
        <is>
          <t>debit.label_cuoc</t>
        </is>
      </c>
      <c r="B285" s="3" t="inlineStr">
        <is>
          <t>Cước</t>
        </is>
      </c>
      <c r="C285" s="3" t="inlineStr">
        <is>
          <t>Amount</t>
        </is>
      </c>
      <c r="D285" s="3">
        <f>IFERROR(__xludf.DUMMYFUNCTION("GOOGLETRANSLATE(B285,""vi"",""km"")"),"ថ្លៃសេវា")</f>
        <v/>
      </c>
      <c r="E285" s="3" t="inlineStr">
        <is>
          <t>ថ្លៃសេវា</t>
        </is>
      </c>
      <c r="F285" s="3" t="n"/>
      <c r="G285" s="3" t="inlineStr">
        <is>
          <t>ថ្លៃសេវា</t>
        </is>
      </c>
      <c r="H285" t="inlineStr">
        <is>
          <t>ថ្លៃសេវា</t>
        </is>
      </c>
      <c r="I285" s="217" t="inlineStr">
        <is>
          <t>"debit.label_cuoc": "ថ្លៃសេវា",</t>
        </is>
      </c>
      <c r="N285" s="3" t="inlineStr">
        <is>
          <t>ថ្លៃឈ្នួល</t>
        </is>
      </c>
    </row>
    <row r="286" ht="15.75" customHeight="1" s="305">
      <c r="A286" s="3" t="inlineStr">
        <is>
          <t>suaDon.mainFee</t>
        </is>
      </c>
      <c r="B286" s="3" t="inlineStr">
        <is>
          <t>Cước chính</t>
        </is>
      </c>
      <c r="C286" s="3" t="inlineStr">
        <is>
          <t>Main fee</t>
        </is>
      </c>
      <c r="D286" s="3">
        <f>IFERROR(__xludf.DUMMYFUNCTION("GOOGLETRANSLATE(B286,""vi"",""km"")"),"ថ្លៃសេវាសំខាន់")</f>
        <v/>
      </c>
      <c r="E286" s="3" t="inlineStr">
        <is>
          <t>ថ្លៃសេវាចម្បង</t>
        </is>
      </c>
      <c r="F286" s="3" t="n"/>
      <c r="G286" s="3" t="inlineStr">
        <is>
          <t>ថ្លៃសេវាចម្បង</t>
        </is>
      </c>
      <c r="H286" t="inlineStr">
        <is>
          <t>ថ្លៃសេវាចម្បង</t>
        </is>
      </c>
      <c r="I286" s="217" t="inlineStr">
        <is>
          <t>"suaDon.mainFee": "ថ្លៃសេវាចម្បង",</t>
        </is>
      </c>
      <c r="N286" s="3" t="inlineStr">
        <is>
          <t>ថ្លៃគោល</t>
        </is>
      </c>
    </row>
    <row r="287" ht="15.75" customHeight="1" s="305">
      <c r="A287" s="3" t="inlineStr">
        <is>
          <t>home.tracuucuoc</t>
        </is>
      </c>
      <c r="B287" s="3" t="inlineStr">
        <is>
          <t>Cước phí</t>
        </is>
      </c>
      <c r="C287" s="3" t="inlineStr">
        <is>
          <t>Fee check</t>
        </is>
      </c>
      <c r="D287" s="3">
        <f>IFERROR(__xludf.DUMMYFUNCTION("GOOGLETRANSLATE(B287,""vi"",""km"")"),"ថ្លៃដឹកជញ្ជូន")</f>
        <v/>
      </c>
      <c r="E287" s="3" t="inlineStr">
        <is>
          <t>ថ្លៃដឹកជញ្ជូនសំខាន់</t>
        </is>
      </c>
      <c r="F287" s="3" t="n"/>
      <c r="G287" s="3" t="inlineStr">
        <is>
          <t>ថ្លៃដឹកជញ្ជូន</t>
        </is>
      </c>
      <c r="H287" t="inlineStr">
        <is>
          <t>ថ្លៃដឹកជញ្ជូន</t>
        </is>
      </c>
      <c r="I287" s="217" t="inlineStr">
        <is>
          <t>"home.tracuucuoc": "ថ្លៃដឹកជញ្ជូន",</t>
        </is>
      </c>
      <c r="N287" s="3" t="inlineStr">
        <is>
          <t>ថ្លៃពិនិត្យ</t>
        </is>
      </c>
    </row>
    <row r="288" ht="15.75" customHeight="1" s="305">
      <c r="A288" s="3" t="inlineStr">
        <is>
          <t>tongGiao.cuocPhi</t>
        </is>
      </c>
      <c r="B288" s="3" t="inlineStr">
        <is>
          <t>Cước phí</t>
        </is>
      </c>
      <c r="C288" s="3" t="inlineStr">
        <is>
          <t>Shipping fee</t>
        </is>
      </c>
      <c r="D288" s="3">
        <f>IFERROR(__xludf.DUMMYFUNCTION("GOOGLETRANSLATE(B288,""vi"",""km"")"),"ថ្លៃដឹកជញ្ជូន")</f>
        <v/>
      </c>
      <c r="E288" s="3" t="inlineStr">
        <is>
          <t>ថ្លៃសេវា</t>
        </is>
      </c>
      <c r="F288" s="3" t="n"/>
      <c r="G288" s="3" t="inlineStr">
        <is>
          <t>ថ្លៃដឹកជញ្ជូន</t>
        </is>
      </c>
      <c r="H288" t="inlineStr">
        <is>
          <t>ថ្លៃដឹកជញ្ជូន</t>
        </is>
      </c>
      <c r="I288" s="217" t="inlineStr">
        <is>
          <t>"tongGiao.cuocPhi": "ថ្លៃដឹកជញ្ជូន",</t>
        </is>
      </c>
      <c r="N288" s="3" t="inlineStr"/>
    </row>
    <row r="289" ht="15.75" customHeight="1" s="305">
      <c r="A289" s="3" t="inlineStr">
        <is>
          <t>taoDon.fee</t>
        </is>
      </c>
      <c r="B289" s="3" t="inlineStr">
        <is>
          <t>Cước phí</t>
        </is>
      </c>
      <c r="C289" s="3" t="inlineStr">
        <is>
          <t>Fee</t>
        </is>
      </c>
      <c r="D289" s="3">
        <f>IFERROR(__xludf.DUMMYFUNCTION("GOOGLETRANSLATE(B289,""vi"",""km"")"),"ថ្លៃដឹកជញ្ជូន")</f>
        <v/>
      </c>
      <c r="E289" s="3" t="inlineStr">
        <is>
          <t>ថ្លៃសេវា</t>
        </is>
      </c>
      <c r="F289" s="3" t="n"/>
      <c r="G289" s="3" t="inlineStr">
        <is>
          <t>ថ្លៃដឹកជញ្ជូន</t>
        </is>
      </c>
      <c r="H289" t="inlineStr">
        <is>
          <t>ថ្លៃដឹកជញ្ជូន</t>
        </is>
      </c>
      <c r="I289" s="217" t="inlineStr">
        <is>
          <t>"taoDon.fee": "ថ្លៃដឹកជញ្ជូន",</t>
        </is>
      </c>
      <c r="N289" s="3" t="inlineStr">
        <is>
          <t>ថ្លៃដឹកជញ្ជូន</t>
        </is>
      </c>
    </row>
    <row r="290" ht="15.75" customHeight="1" s="305">
      <c r="A290" s="3" t="inlineStr">
        <is>
          <t>banGiao.money</t>
        </is>
      </c>
      <c r="B290" s="3" t="inlineStr">
        <is>
          <t>đ</t>
        </is>
      </c>
      <c r="C290" s="143" t="inlineStr"/>
      <c r="D290" s="3">
        <f>IFERROR(__xludf.DUMMYFUNCTION("GOOGLETRANSLATE(B290,""vi"",""km"")"),"ឃ")</f>
        <v/>
      </c>
      <c r="E290" s="3" t="inlineStr">
        <is>
          <t>៛</t>
        </is>
      </c>
      <c r="F290" s="3" t="n"/>
      <c r="G290" s="3" t="inlineStr">
        <is>
          <t>៛</t>
        </is>
      </c>
      <c r="H290" t="inlineStr">
        <is>
          <t>៛</t>
        </is>
      </c>
      <c r="I290" s="217" t="inlineStr">
        <is>
          <t>"banGiao.money": "៛",</t>
        </is>
      </c>
      <c r="N290" s="3" t="inlineStr"/>
    </row>
    <row r="291" ht="15.75" customHeight="1" s="305">
      <c r="A291" s="3" t="inlineStr">
        <is>
          <t>thanhtoan.confirmGoBack</t>
        </is>
      </c>
      <c r="B291" s="3" t="inlineStr">
        <is>
          <t>Đ/c có xác nhận quay lại không?</t>
        </is>
      </c>
      <c r="C291" s="3" t="inlineStr">
        <is>
          <t>Do you confirm to go back?</t>
        </is>
      </c>
      <c r="D291" s="3">
        <f>IFERROR(__xludf.DUMMYFUNCTION("GOOGLETRANSLATE(B291,""vi"",""km"")"),"តើអ្នកអាចបញ្ជាក់ពីការត្រឡប់មកវិញរបស់អ្នកបានទេ?")</f>
        <v/>
      </c>
      <c r="E291" s="3" t="inlineStr">
        <is>
          <t>តើអ្នកចង់បញ្ជាក់ការត្រលប់វិញទេ?</t>
        </is>
      </c>
      <c r="F291" s="3" t="n"/>
      <c r="G291" s="3" t="inlineStr">
        <is>
          <t>តើអ្នកចង់បញ្ជាក់ការត្រលប់វិញទេ?</t>
        </is>
      </c>
      <c r="H291" t="inlineStr">
        <is>
          <t>តើអ្នកចង់បញ្ជាក់ការត្រលប់វិញទេ?</t>
        </is>
      </c>
      <c r="I291" s="217" t="inlineStr">
        <is>
          <t>"thanhtoan.confirmGoBack": "តើអ្នកចង់បញ្ជាក់ការត្រលប់វិញទេ?",</t>
        </is>
      </c>
      <c r="N291" s="3" t="inlineStr"/>
    </row>
    <row r="292" ht="15.75" customHeight="1" s="305">
      <c r="A292" s="3" t="inlineStr">
        <is>
          <t>banGiao.titleHandedOver</t>
        </is>
      </c>
      <c r="B292" s="3" t="inlineStr">
        <is>
          <t>Đã bàn giao</t>
        </is>
      </c>
      <c r="C292" s="3" t="inlineStr">
        <is>
          <t>Handover done</t>
        </is>
      </c>
      <c r="D292" s="3">
        <f>IFERROR(__xludf.DUMMYFUNCTION("GOOGLETRANSLATE(B292,""vi"",""km"")"),"បានប្រគល់ជូន")</f>
        <v/>
      </c>
      <c r="E292" s="3" t="inlineStr">
        <is>
          <t>បានប្រគល់</t>
        </is>
      </c>
      <c r="F292" s="3" t="n"/>
      <c r="G292" s="3" t="inlineStr">
        <is>
          <t>បានប្រគល់</t>
        </is>
      </c>
      <c r="H292" t="inlineStr">
        <is>
          <t>បានប្រគល់</t>
        </is>
      </c>
      <c r="I292" s="217" t="inlineStr">
        <is>
          <t>"banGiao.titleHandedOver": "បានប្រគល់",</t>
        </is>
      </c>
      <c r="N292" s="3" t="inlineStr">
        <is>
          <t>ការផ្ញើបានបញ្ចប់</t>
        </is>
      </c>
    </row>
    <row r="293" ht="15.75" customHeight="1" s="305">
      <c r="A293" s="3" t="inlineStr">
        <is>
          <t>banGiao.COMPLETED</t>
        </is>
      </c>
      <c r="B293" s="3" t="inlineStr">
        <is>
          <t>Đã bàn giao</t>
        </is>
      </c>
      <c r="C293" s="3" t="inlineStr">
        <is>
          <t>Completed</t>
        </is>
      </c>
      <c r="D293" s="3">
        <f>IFERROR(__xludf.DUMMYFUNCTION("GOOGLETRANSLATE(B293,""vi"",""km"")"),"បានប្រគល់ជូន")</f>
        <v/>
      </c>
      <c r="E293" s="3" t="inlineStr">
        <is>
          <t>បានប្រគល់</t>
        </is>
      </c>
      <c r="F293" s="3" t="n"/>
      <c r="G293" s="3" t="inlineStr">
        <is>
          <t>បានប្រគល់</t>
        </is>
      </c>
      <c r="H293" t="inlineStr">
        <is>
          <t>បានប្រគល់</t>
        </is>
      </c>
      <c r="I293" s="217" t="inlineStr">
        <is>
          <t>"banGiao.COMPLETED": "បានប្រគល់",</t>
        </is>
      </c>
      <c r="N293" s="3" t="inlineStr">
        <is>
          <t>បានបញ្ចប់</t>
        </is>
      </c>
    </row>
    <row r="294" ht="15.75" customHeight="1" s="305">
      <c r="A294" s="3" t="inlineStr">
        <is>
          <t>banGiao.status_da_ban_giao</t>
        </is>
      </c>
      <c r="B294" s="3" t="inlineStr">
        <is>
          <t>Đã bàn giao</t>
        </is>
      </c>
      <c r="C294" s="3" t="inlineStr">
        <is>
          <t>Handed over</t>
        </is>
      </c>
      <c r="D294" s="3">
        <f>IFERROR(__xludf.DUMMYFUNCTION("GOOGLETRANSLATE(B294,""vi"",""km"")"),"បានប្រគល់ជូន")</f>
        <v/>
      </c>
      <c r="E294" s="3" t="inlineStr">
        <is>
          <t>បានប្រគល់</t>
        </is>
      </c>
      <c r="F294" s="3" t="n"/>
      <c r="G294" s="3" t="inlineStr">
        <is>
          <t>បានប្រគល់</t>
        </is>
      </c>
      <c r="H294" t="inlineStr">
        <is>
          <t>បានប្រគល់</t>
        </is>
      </c>
      <c r="I294" s="217" t="inlineStr">
        <is>
          <t>"banGiao.status_da_ban_giao": "បានប្រគល់",</t>
        </is>
      </c>
      <c r="N294" s="3" t="inlineStr"/>
    </row>
    <row r="295" ht="15.75" customHeight="1" s="305">
      <c r="A295" s="3" t="inlineStr">
        <is>
          <t>DongTai.contentPrint</t>
        </is>
      </c>
      <c r="B295" s="3" t="inlineStr">
        <is>
          <t>Đã chọn {{count}} bưu phẩm</t>
        </is>
      </c>
      <c r="C295" s="3" t="inlineStr">
        <is>
          <t>{{count}} parcels selected</t>
        </is>
      </c>
      <c r="D295" s="3">
        <f>IFERROR(__xludf.DUMMYFUNCTION("GOOGLETRANSLATE(B295,""vi"",""km"")"),"ក្បាលដីដែលបានរាប់ត្រូវបានជ្រើសរើស។")</f>
        <v/>
      </c>
      <c r="E295" s="3" t="inlineStr">
        <is>
          <t>បានជ្រើសរើស{{count}} កញ្ចប់ឯកសារ</t>
        </is>
      </c>
      <c r="F295" s="3" t="n"/>
      <c r="G295" s="3" t="inlineStr">
        <is>
          <t>បានជ្រើសរើស{{count}} កញ្ចប់</t>
        </is>
      </c>
      <c r="H295" t="inlineStr">
        <is>
          <t>បានជ្រើសរើស{{count}} កញ្ចប់</t>
        </is>
      </c>
      <c r="I295" s="217" t="inlineStr">
        <is>
          <t>"DongTai.contentPrint": "បានជ្រើសរើស{{count}} កញ្ចប់",</t>
        </is>
      </c>
      <c r="N295" s="3" t="inlineStr">
        <is>
          <t>បានជ្រើសរើស {{count}} សំបុត្រ/កញ្ចប់</t>
        </is>
      </c>
    </row>
    <row r="296" ht="15.75" customHeight="1" s="305">
      <c r="A296" s="3" t="inlineStr">
        <is>
          <t>nhanHang.daChonDon</t>
        </is>
      </c>
      <c r="B296" s="3" t="inlineStr">
        <is>
          <t>Đã chọn {{count}} đơn</t>
        </is>
      </c>
      <c r="C296" s="3" t="inlineStr">
        <is>
          <t>Selected {{count}} orders</t>
        </is>
      </c>
      <c r="D296" s="3">
        <f>IFERROR(__xludf.DUMMYFUNCTION("GOOGLETRANSLATE(B296,""vi"",""km"")"),"លំដាប់ {{count}} ត្រូវបានជ្រើសរើស។")</f>
        <v/>
      </c>
      <c r="E296" s="3" t="inlineStr">
        <is>
          <t>បានជ្រើសរើស{{count}} បុងបញ្ញើ</t>
        </is>
      </c>
      <c r="F296" s="3" t="n"/>
      <c r="G296" s="3" t="inlineStr">
        <is>
          <t>បានជ្រើសរើស{{count}} បុងបញ្ញើ</t>
        </is>
      </c>
      <c r="H296" t="inlineStr">
        <is>
          <t>បានជ្រើសរើស{{count}} បុងបញ្ញើ</t>
        </is>
      </c>
      <c r="I296" s="217" t="inlineStr">
        <is>
          <t>"nhanHang.daChonDon": "បានជ្រើសរើស{{count}} បុងបញ្ញើ",</t>
        </is>
      </c>
      <c r="N296" s="3" t="inlineStr"/>
    </row>
    <row r="297" ht="15.75" customHeight="1" s="305">
      <c r="A297" s="3" t="inlineStr">
        <is>
          <t>DongTai.contentPrintTai</t>
        </is>
      </c>
      <c r="B297" s="3" t="inlineStr">
        <is>
          <t>Đã chọn {{count}} tải</t>
        </is>
      </c>
      <c r="C297" s="3" t="inlineStr">
        <is>
          <t>Selected {{count}} loads</t>
        </is>
      </c>
      <c r="D297" s="3">
        <f>IFERROR(__xludf.DUMMYFUNCTION("GOOGLETRANSLATE(B297,""vi"",""km"")"),"ចំនួនត្រូវបានជ្រើសរើសសម្រាប់ទាញយក។")</f>
        <v/>
      </c>
      <c r="E297" s="3" t="inlineStr">
        <is>
          <t>បានជ្រើសរើស{{count}} ជើងដឹក</t>
        </is>
      </c>
      <c r="F297" s="3" t="n"/>
      <c r="G297" s="3" t="inlineStr">
        <is>
          <t>បានជ្រើសរើស{{count}} កញ្ចប់ទំនិញ</t>
        </is>
      </c>
      <c r="H297" t="inlineStr">
        <is>
          <t>បានជ្រើសរើស{{count}} កញ្ចប់ទំនិញ</t>
        </is>
      </c>
      <c r="I297" s="217" t="inlineStr">
        <is>
          <t>"DongTai.contentPrintTai": "បានជ្រើសរើស{{count}} កញ្ចប់ទំនិញ",</t>
        </is>
      </c>
      <c r="N297" s="163" t="inlineStr">
        <is>
          <t>បានជ្រើសរើស {{count}} ផ្ទុក</t>
        </is>
      </c>
    </row>
    <row r="298" ht="15.75" customHeight="1" s="305">
      <c r="A298" s="3" t="inlineStr">
        <is>
          <t>DongTai.contentPrintTaiNhanHang</t>
        </is>
      </c>
      <c r="B298" s="3" t="inlineStr">
        <is>
          <t>Đã chọn {{count}} tải</t>
        </is>
      </c>
      <c r="C298" s="3" t="inlineStr">
        <is>
          <t>Selected {{count}} loads</t>
        </is>
      </c>
      <c r="D298" s="3">
        <f>IFERROR(__xludf.DUMMYFUNCTION("GOOGLETRANSLATE(B298,""vi"",""km"")"),"ចំនួនត្រូវបានជ្រើសរើសសម្រាប់ទាញយក។")</f>
        <v/>
      </c>
      <c r="E298" s="3" t="inlineStr">
        <is>
          <t>បានជ្រើសរើស{{count}} ជើងដឹក</t>
        </is>
      </c>
      <c r="F298" s="3" t="n"/>
      <c r="G298" s="3" t="inlineStr">
        <is>
          <t>បានជ្រើសរើស{{count}} កញ្ចប់ទំនិញ</t>
        </is>
      </c>
      <c r="H298" t="inlineStr">
        <is>
          <t>បានជ្រើសរើស{{count}} កញ្ចប់ទំនិញ</t>
        </is>
      </c>
      <c r="I298" s="217" t="inlineStr">
        <is>
          <t>"DongTai.contentPrintTaiNhanHang": "បានជ្រើសរើស{{count}} កញ្ចប់ទំនិញ",</t>
        </is>
      </c>
      <c r="N298" s="3" t="inlineStr"/>
    </row>
    <row r="299" ht="15.75" customHeight="1" s="305">
      <c r="A299" s="3" t="inlineStr">
        <is>
          <t>login.forceUpdateMessage</t>
        </is>
      </c>
      <c r="B299" s="3" t="inlineStr">
        <is>
          <t>Đã có phiên bản ứng dụng mới hơn. Vui lòng cập nhật để tiếp tục sử dụng.</t>
        </is>
      </c>
      <c r="C299" s="3" t="inlineStr">
        <is>
          <t>A newer version of the app is available. Please update to continue using.</t>
        </is>
      </c>
      <c r="D299" s="3">
        <f>IFERROR(__xludf.DUMMYFUNCTION("GOOGLETRANSLATE(B299,""vi"",""km"")"),"កម្មវិធី​កំណែ​ថ្មី​ជាង​នេះ​មាន​ហើយ។ សូម​ធ្វើ​បច្ចុប្បន្នភាព​ដើម្បី​បន្ត​ប្រើប្រាស់​វា។")</f>
        <v/>
      </c>
      <c r="E299" s="3" t="inlineStr">
        <is>
          <t>មានទម្រង់ App ថ្មី។ សូមអាប់ដេតដើម្បីបន្តការប្រើប្រាស់។</t>
        </is>
      </c>
      <c r="F299" s="3" t="n"/>
      <c r="G299" s="3" t="inlineStr">
        <is>
          <t>មានទម្រង់ App ថ្មី។ សូមអាប់ដេតដើម្បីបន្តការប្រើប្រាស់។</t>
        </is>
      </c>
      <c r="H299" t="inlineStr">
        <is>
          <t>មានទម្រង់ App ថ្មី។ សូមអាប់ដេតដើម្បីបន្តការប្រើប្រាស់។</t>
        </is>
      </c>
      <c r="I299" s="217" t="inlineStr">
        <is>
          <t>"login.forceUpdateMessage": "មានទម្រង់ App ថ្មី។ សូមអាប់ដេតដើម្បីបន្តការប្រើប្រាស់។",</t>
        </is>
      </c>
      <c r="N299" s="3" t="inlineStr">
        <is>
          <t>មានកំណែថ្មីនៃកម្មវិធី។ សូមធ្វើបច្ចុប្បន្នភាពដើម្បីបន្តប្រើប្រាស់។</t>
        </is>
      </c>
    </row>
    <row r="300" ht="15.75" customHeight="1" s="305">
      <c r="A300" s="3" t="inlineStr">
        <is>
          <t>banGiao.titleTabDaDong</t>
        </is>
      </c>
      <c r="B300" s="3" t="inlineStr">
        <is>
          <t>Đã đóng</t>
        </is>
      </c>
      <c r="C300" s="3" t="inlineStr">
        <is>
          <t>Completed</t>
        </is>
      </c>
      <c r="D300" s="3">
        <f>IFERROR(__xludf.DUMMYFUNCTION("GOOGLETRANSLATE(B300,""vi"",""km"")"),"បិទ")</f>
        <v/>
      </c>
      <c r="E300" s="3" t="inlineStr">
        <is>
          <t>បានបិទ</t>
        </is>
      </c>
      <c r="F300" s="3" t="n"/>
      <c r="G300" s="3" t="inlineStr">
        <is>
          <t>បានច្រកបាវរួចរាល់</t>
        </is>
      </c>
      <c r="H300" t="inlineStr">
        <is>
          <t>បានច្រកបាវរួចរាល់</t>
        </is>
      </c>
      <c r="I300" s="217" t="inlineStr">
        <is>
          <t>"banGiao.titleTabDaDong": "បានច្រកបាវរួចរាល់",</t>
        </is>
      </c>
      <c r="N300" s="3" t="inlineStr">
        <is>
          <t>បានបញ្ចប់</t>
        </is>
      </c>
    </row>
    <row r="301" ht="15.75" customHeight="1" s="305">
      <c r="A301" s="3" t="inlineStr">
        <is>
          <t>debit.success_create_clear_cpn_2</t>
        </is>
      </c>
      <c r="B301" s="3" t="inlineStr">
        <is>
          <t>đã được tạo</t>
        </is>
      </c>
      <c r="C301" s="3" t="inlineStr">
        <is>
          <t>created</t>
        </is>
      </c>
      <c r="D301" s="3">
        <f>IFERROR(__xludf.DUMMYFUNCTION("GOOGLETRANSLATE(B301,""vi"",""km"")"),"ត្រូវបានបង្កើតឡើង")</f>
        <v/>
      </c>
      <c r="E301" s="3" t="inlineStr">
        <is>
          <t>បានបង្កើត</t>
        </is>
      </c>
      <c r="F301" s="3" t="n"/>
      <c r="G301" s="3" t="inlineStr">
        <is>
          <t>បានបង្កើត</t>
        </is>
      </c>
      <c r="H301" t="inlineStr">
        <is>
          <t>បានបង្កើត</t>
        </is>
      </c>
      <c r="I301" s="217" t="inlineStr">
        <is>
          <t>"debit.success_create_clear_cpn_2": "បានបង្កើត",</t>
        </is>
      </c>
      <c r="N301" s="3" t="inlineStr">
        <is>
          <t>បានបង្កើត</t>
        </is>
      </c>
    </row>
    <row r="302" ht="15.75" customHeight="1" s="305">
      <c r="A302" s="3" t="inlineStr">
        <is>
          <t>mainStatus.470</t>
        </is>
      </c>
      <c r="B302" s="3" t="inlineStr">
        <is>
          <t>Đã duyệt hoàn</t>
        </is>
      </c>
      <c r="C302" s="3" t="inlineStr">
        <is>
          <t>Return confirmed</t>
        </is>
      </c>
      <c r="D302" s="3">
        <f>IFERROR(__xludf.DUMMYFUNCTION("GOOGLETRANSLATE(B302,""vi"",""km"")"),"យល់ព្រម")</f>
        <v/>
      </c>
      <c r="E302" s="3" t="inlineStr">
        <is>
          <t>បានយល់ព្រមឲ្យត្រលប់</t>
        </is>
      </c>
      <c r="F302" s="3" t="n"/>
      <c r="G302" s="3" t="inlineStr">
        <is>
          <t>បានអនុម័តការប្រគល់ត្រឡប់</t>
        </is>
      </c>
      <c r="H302" t="inlineStr">
        <is>
          <t>បានអនុម័តការប្រគល់ត្រឡប់</t>
        </is>
      </c>
      <c r="I302" s="217" t="inlineStr">
        <is>
          <t>"mainStatus.470": "បានអនុម័តការប្រគល់ត្រឡប់",</t>
        </is>
      </c>
      <c r="N302" s="3" t="inlineStr">
        <is>
          <t>បានអនុម័តអំពីការផ្ទេរទំនិញត្រឡប់មកវិញ</t>
        </is>
      </c>
    </row>
    <row r="303" ht="15.75" customHeight="1" s="305">
      <c r="A303" s="3" t="inlineStr">
        <is>
          <t>banGiao.CANCELLED</t>
        </is>
      </c>
      <c r="B303" s="3" t="inlineStr">
        <is>
          <t>Đã hủy</t>
        </is>
      </c>
      <c r="C303" s="3" t="inlineStr">
        <is>
          <t>Cancelled</t>
        </is>
      </c>
      <c r="D303" s="3">
        <f>IFERROR(__xludf.DUMMYFUNCTION("GOOGLETRANSLATE(B303,""vi"",""km"")"),"បានលុបចោល")</f>
        <v/>
      </c>
      <c r="E303" s="3" t="inlineStr">
        <is>
          <t>បានលុបចោល</t>
        </is>
      </c>
      <c r="F303" s="3" t="n"/>
      <c r="G303" s="3" t="inlineStr">
        <is>
          <t>បានលុបចោល</t>
        </is>
      </c>
      <c r="H303" t="inlineStr">
        <is>
          <t>បានលុបចោល</t>
        </is>
      </c>
      <c r="I303" s="217" t="inlineStr">
        <is>
          <t>"banGiao.CANCELLED": "បានលុបចោល",</t>
        </is>
      </c>
      <c r="N303" s="3" t="inlineStr">
        <is>
          <t>បានបោះបង់</t>
        </is>
      </c>
    </row>
    <row r="304" ht="15.75" customHeight="1" s="305">
      <c r="A304" s="3" t="inlineStr">
        <is>
          <t>tms.daHuy</t>
        </is>
      </c>
      <c r="B304" s="3" t="inlineStr">
        <is>
          <t>Đã hủy</t>
        </is>
      </c>
      <c r="C304" s="3" t="inlineStr">
        <is>
          <t>Canceled</t>
        </is>
      </c>
      <c r="D304" s="3">
        <f>IFERROR(__xludf.DUMMYFUNCTION("GOOGLETRANSLATE(B304,""vi"",""km"")"),"បានលុបចោល")</f>
        <v/>
      </c>
      <c r="E304" s="3" t="inlineStr">
        <is>
          <t>បានលុបចោល</t>
        </is>
      </c>
      <c r="F304" s="3" t="n"/>
      <c r="G304" s="3" t="inlineStr">
        <is>
          <t>បានលុបចោល</t>
        </is>
      </c>
      <c r="H304" t="inlineStr">
        <is>
          <t>បានលុបចោល</t>
        </is>
      </c>
      <c r="I304" s="217" t="inlineStr">
        <is>
          <t>"tms.daHuy": "បានលុបចោល",</t>
        </is>
      </c>
      <c r="N304" s="3" t="inlineStr"/>
    </row>
    <row r="305" ht="15.75" customHeight="1" s="305">
      <c r="A305" s="3" t="inlineStr">
        <is>
          <t>khaiThacDen.exploited</t>
        </is>
      </c>
      <c r="B305" s="3" t="inlineStr">
        <is>
          <t>Đã khai thác</t>
        </is>
      </c>
      <c r="C305" s="3" t="inlineStr">
        <is>
          <t>Processed</t>
        </is>
      </c>
      <c r="D305" s="3">
        <f>IFERROR(__xludf.DUMMYFUNCTION("GOOGLETRANSLATE(B305,""vi"",""km"")"),"កេងប្រវ័ញ្ចរួចហើយ")</f>
        <v/>
      </c>
      <c r="E305" s="3" t="inlineStr">
        <is>
          <t>បានដំណើរការ</t>
        </is>
      </c>
      <c r="F305" s="3" t="n"/>
      <c r="G305" s="3" t="inlineStr">
        <is>
          <t>បានដំណើរការ</t>
        </is>
      </c>
      <c r="H305" t="inlineStr">
        <is>
          <t>បានដំណើរការ</t>
        </is>
      </c>
      <c r="I305" s="217" t="inlineStr">
        <is>
          <t>"khaiThacDen.exploited": "បានដំណើរការ",</t>
        </is>
      </c>
      <c r="N305" s="3" t="inlineStr">
        <is>
          <t>បានដឹករួចហើយ</t>
        </is>
      </c>
    </row>
    <row r="306" ht="15.75" customHeight="1" s="305">
      <c r="A306" s="3" t="inlineStr">
        <is>
          <t>KiemKe.titleCheckedInventory</t>
        </is>
      </c>
      <c r="B306" s="3" t="inlineStr">
        <is>
          <t>Đã kiểm kê</t>
        </is>
      </c>
      <c r="C306" s="3" t="inlineStr">
        <is>
          <t>Inventory completed</t>
        </is>
      </c>
      <c r="D306" s="3">
        <f>IFERROR(__xludf.DUMMYFUNCTION("GOOGLETRANSLATE(B306,""vi"",""km"")"),"បានបញ្ចប់សារពើភ័ណ្ឌ")</f>
        <v/>
      </c>
      <c r="E306" s="3" t="inlineStr">
        <is>
          <t>បានត្រួតពិនិត្យ</t>
        </is>
      </c>
      <c r="F306" s="3" t="n"/>
      <c r="G306" s="3" t="inlineStr">
        <is>
          <t>បានត្រួតពិនិត្យ</t>
        </is>
      </c>
      <c r="H306" t="inlineStr">
        <is>
          <t>បានត្រួតពិនិត្យ</t>
        </is>
      </c>
      <c r="I306" s="217" t="inlineStr">
        <is>
          <t>"KiemKe.titleCheckedInventory": "បានត្រួតពិនិត្យ",</t>
        </is>
      </c>
      <c r="N306" s="163" t="inlineStr">
        <is>
          <t>សារពើភ័ណ្ឌបានបញ្ចប់</t>
        </is>
      </c>
    </row>
    <row r="307" ht="15.75" customHeight="1" s="305">
      <c r="A307" s="3" t="inlineStr">
        <is>
          <t>mainStatus.210</t>
        </is>
      </c>
      <c r="B307" s="3" t="inlineStr">
        <is>
          <t>Đã lấy hàng</t>
        </is>
      </c>
      <c r="C307" s="3" t="inlineStr">
        <is>
          <t>Received</t>
        </is>
      </c>
      <c r="D307" s="3">
        <f>IFERROR(__xludf.DUMMYFUNCTION("GOOGLETRANSLATE(B307,""vi"",""km"")"),"ទំនិញត្រូវបានទទួល។")</f>
        <v/>
      </c>
      <c r="E307" s="3" t="inlineStr">
        <is>
          <t>បានយកអីវ៉ាន់</t>
        </is>
      </c>
      <c r="F307" s="3" t="n"/>
      <c r="G307" s="3" t="inlineStr">
        <is>
          <t>បានយកអីវ៉ាន់រួចរាល់</t>
        </is>
      </c>
      <c r="H307" t="inlineStr">
        <is>
          <t>បានយកអីវ៉ាន់រួចរាល់</t>
        </is>
      </c>
      <c r="I307" s="217" t="inlineStr">
        <is>
          <t>"mainStatus.210": "បានយកអីវ៉ាន់រួចរាល់",</t>
        </is>
      </c>
      <c r="N307" s="3" t="inlineStr">
        <is>
          <t>បានទទួលទំនិញ</t>
        </is>
      </c>
    </row>
    <row r="308" ht="15.75" customHeight="1" s="305">
      <c r="A308" s="3" t="inlineStr">
        <is>
          <t>banGiao.titleReceived</t>
        </is>
      </c>
      <c r="B308" s="3" t="inlineStr">
        <is>
          <t>Đã nhận</t>
        </is>
      </c>
      <c r="C308" s="3" t="inlineStr">
        <is>
          <t>Received</t>
        </is>
      </c>
      <c r="D308" s="3">
        <f>IFERROR(__xludf.DUMMYFUNCTION("GOOGLETRANSLATE(B308,""vi"",""km"")"),"បានទទួល")</f>
        <v/>
      </c>
      <c r="E308" s="3" t="inlineStr">
        <is>
          <t>បានទទួល</t>
        </is>
      </c>
      <c r="F308" s="3" t="n"/>
      <c r="G308" s="3" t="inlineStr">
        <is>
          <t>បានទទួល</t>
        </is>
      </c>
      <c r="H308" t="inlineStr">
        <is>
          <t>បានទទួល</t>
        </is>
      </c>
      <c r="I308" s="217" t="inlineStr">
        <is>
          <t>"banGiao.titleReceived": "បានទទួល",</t>
        </is>
      </c>
      <c r="N308" s="3" t="inlineStr">
        <is>
          <t>ទទួលរួចរាល់</t>
        </is>
      </c>
    </row>
    <row r="309" ht="15.75" customHeight="1" s="305">
      <c r="A309" s="3" t="inlineStr">
        <is>
          <t>banGiao.titleTabDaNhan</t>
        </is>
      </c>
      <c r="B309" s="3" t="inlineStr">
        <is>
          <t>Đã nhận</t>
        </is>
      </c>
      <c r="C309" s="3" t="inlineStr">
        <is>
          <t>Received load/package</t>
        </is>
      </c>
      <c r="D309" s="3">
        <f>IFERROR(__xludf.DUMMYFUNCTION("GOOGLETRANSLATE(B309,""vi"",""km"")"),"បានទទួល")</f>
        <v/>
      </c>
      <c r="E309" s="3" t="inlineStr">
        <is>
          <t>បានទទួួល</t>
        </is>
      </c>
      <c r="F309" s="3" t="n"/>
      <c r="G309" s="3" t="inlineStr">
        <is>
          <t>បានទទួួល</t>
        </is>
      </c>
      <c r="H309" t="inlineStr">
        <is>
          <t>បានទទួួល</t>
        </is>
      </c>
      <c r="I309" s="217" t="inlineStr">
        <is>
          <t>"banGiao.titleTabDaNhan": "បានទទួួល",</t>
        </is>
      </c>
      <c r="N309" s="3" t="inlineStr">
        <is>
          <t>ទទួលរួចរាល់</t>
        </is>
      </c>
    </row>
    <row r="310" ht="15.75" customHeight="1" s="305">
      <c r="A310" s="3" t="inlineStr">
        <is>
          <t>nhanHang.thongbaoNhanDonHangthanhcong</t>
        </is>
      </c>
      <c r="B310" s="3" t="inlineStr">
        <is>
          <t>Đã nhận {{count}} đơn hàng thành công</t>
        </is>
      </c>
      <c r="C310" s="3" t="inlineStr">
        <is>
          <t>Successfully received {{count}} orders</t>
        </is>
      </c>
      <c r="D310" s="3">
        <f>IFERROR(__xludf.DUMMYFUNCTION("GOOGLETRANSLATE(B310,""vi"",""km"")"),"ការបញ្ជាទិញត្រូវបានទទួលដោយជោគជ័យ")</f>
        <v/>
      </c>
      <c r="E310" s="3" t="inlineStr">
        <is>
          <t>បានទទួល {{count}} បុងបញ្ញើបានជោគជ័យ</t>
        </is>
      </c>
      <c r="F310" s="3" t="n"/>
      <c r="G310" s="3" t="inlineStr">
        <is>
          <t>បានទទួល {{count}} បុងបញ្ញើបានជោគជ័យ</t>
        </is>
      </c>
      <c r="H310" t="inlineStr">
        <is>
          <t>បានទទួល {{count}} បុងបញ្ញើបានជោគជ័យ</t>
        </is>
      </c>
      <c r="I310" s="217" t="inlineStr">
        <is>
          <t>"nhanHang.thongbaoNhanDonHangthanhcong": "បានទទួល {{count}} បុងបញ្ញើបានជោគជ័យ",</t>
        </is>
      </c>
      <c r="N310" s="3" t="inlineStr"/>
    </row>
    <row r="311" ht="15.75" customHeight="1" s="305">
      <c r="A311" s="3" t="inlineStr">
        <is>
          <t>nhanLai.titleTabDaNhanLai</t>
        </is>
      </c>
      <c r="B311" s="3" t="inlineStr">
        <is>
          <t>Đã nhận lại ({{total}})</t>
        </is>
      </c>
      <c r="C311" s="3" t="inlineStr">
        <is>
          <t>Recalled  ({{total}})</t>
        </is>
      </c>
      <c r="D311" s="3">
        <f>IFERROR(__xludf.DUMMYFUNCTION("GOOGLETRANSLATE(B311,""vi"",""km"")"),"ទទួលបាន (សរុប)")</f>
        <v/>
      </c>
      <c r="E311" s="3" t="inlineStr">
        <is>
          <t>បានទទួល({{total}})</t>
        </is>
      </c>
      <c r="F311" s="3" t="n"/>
      <c r="G311" s="3" t="inlineStr">
        <is>
          <t>បានទទួល({{total}})</t>
        </is>
      </c>
      <c r="H311" t="inlineStr">
        <is>
          <t>បានទទួល({{total}})</t>
        </is>
      </c>
      <c r="I311" s="217" t="inlineStr">
        <is>
          <t>"nhanLai.titleTabDaNhanLai": "បានទទួល({{total}})",</t>
        </is>
      </c>
      <c r="N311" s="163" t="inlineStr">
        <is>
          <t>បានរំលឹកឡើងវិញ ({{សរុប}})</t>
        </is>
      </c>
    </row>
    <row r="312" ht="15.75" customHeight="1" s="305">
      <c r="A312" s="3" t="inlineStr">
        <is>
          <t>home.daNhanTai</t>
        </is>
      </c>
      <c r="B312" s="3" t="inlineStr">
        <is>
          <t>Đã nhận tải</t>
        </is>
      </c>
      <c r="C312" s="3" t="inlineStr">
        <is>
          <t>Received loads</t>
        </is>
      </c>
      <c r="D312" s="3">
        <f>IFERROR(__xludf.DUMMYFUNCTION("GOOGLETRANSLATE(B312,""vi"",""km"")"),"បានទទួលការទាញយក")</f>
        <v/>
      </c>
      <c r="E312" s="3" t="inlineStr">
        <is>
          <t>បានទទួលជើងដឹក</t>
        </is>
      </c>
      <c r="F312" s="3" t="n"/>
      <c r="G312" s="3" t="inlineStr">
        <is>
          <t>បានទទួលកញ្ចប់ទំនិញ</t>
        </is>
      </c>
      <c r="H312" t="inlineStr">
        <is>
          <t>បានទទួលកញ្ចប់ទំនិញ</t>
        </is>
      </c>
      <c r="I312" s="217" t="inlineStr">
        <is>
          <t>"home.daNhanTai": "បានទទួលកញ្ចប់ទំនិញ",</t>
        </is>
      </c>
      <c r="N312" s="3" t="inlineStr"/>
    </row>
    <row r="313" ht="15.75" customHeight="1" s="305">
      <c r="A313" s="3" t="inlineStr">
        <is>
          <t>GiaoHangNew.daNhanTaiKien</t>
        </is>
      </c>
      <c r="B313" s="3" t="inlineStr">
        <is>
          <t>Đã nhận tải</t>
        </is>
      </c>
      <c r="C313" s="3" t="inlineStr">
        <is>
          <t>Received loads/items</t>
        </is>
      </c>
      <c r="D313" s="3">
        <f>IFERROR(__xludf.DUMMYFUNCTION("GOOGLETRANSLATE(B313,""vi"",""km"")"),"បានទទួលការទាញយក")</f>
        <v/>
      </c>
      <c r="E313" s="3" t="inlineStr">
        <is>
          <t>បានទទួលជើងដឹក</t>
        </is>
      </c>
      <c r="F313" s="3" t="n"/>
      <c r="G313" s="3" t="inlineStr">
        <is>
          <t>បានទទួលកញ្ចប់ទំនិញ</t>
        </is>
      </c>
      <c r="H313" t="inlineStr">
        <is>
          <t>បានទទួលកញ្ចប់ទំនិញ</t>
        </is>
      </c>
      <c r="I313" s="217" t="inlineStr">
        <is>
          <t>"GiaoHangNew.daNhanTaiKien": "បានទទួលកញ្ចប់ទំនិញ",</t>
        </is>
      </c>
      <c r="N313" s="3" t="inlineStr"/>
    </row>
    <row r="314" ht="15.75" customHeight="1" s="305">
      <c r="A314" s="3" t="inlineStr">
        <is>
          <t>khaiThacDen.receivedBill</t>
        </is>
      </c>
      <c r="B314" s="3" t="inlineStr">
        <is>
          <t>Đã nhận tải</t>
        </is>
      </c>
      <c r="C314" s="3" t="inlineStr">
        <is>
          <t>Received loads</t>
        </is>
      </c>
      <c r="D314" s="3">
        <f>IFERROR(__xludf.DUMMYFUNCTION("GOOGLETRANSLATE(B314,""vi"",""km"")"),"បានទទួលការទាញយក")</f>
        <v/>
      </c>
      <c r="E314" s="3" t="inlineStr">
        <is>
          <t>បានទទួលជើងដឹក</t>
        </is>
      </c>
      <c r="F314" s="3" t="n"/>
      <c r="G314" s="3" t="inlineStr">
        <is>
          <t>បានទទួលកញ្ចប់ទំនិញ</t>
        </is>
      </c>
      <c r="H314" t="inlineStr">
        <is>
          <t>បានទទួលកញ្ចប់ទំនិញ</t>
        </is>
      </c>
      <c r="I314" s="217" t="inlineStr">
        <is>
          <t>"khaiThacDen.receivedBill": "បានទទួលកញ្ចប់ទំនិញ",</t>
        </is>
      </c>
      <c r="N314" s="3" t="inlineStr">
        <is>
          <t>បញ្ញើបានទទួល</t>
        </is>
      </c>
    </row>
    <row r="315" ht="15.75" customHeight="1" s="305">
      <c r="A315" s="3" t="inlineStr">
        <is>
          <t>nhanHang.titleTabDaNhanTaiKien</t>
        </is>
      </c>
      <c r="B315" s="3" t="inlineStr">
        <is>
          <t>Đã nhận tải/kiện</t>
        </is>
      </c>
      <c r="C315" s="3" t="inlineStr">
        <is>
          <t>Received load/package</t>
        </is>
      </c>
      <c r="D315" s="3">
        <f>IFERROR(__xludf.DUMMYFUNCTION("GOOGLETRANSLATE(B315,""vi"",""km"")"),"បានទទួលបន្ទុក/កញ្ចប់")</f>
        <v/>
      </c>
      <c r="E315" s="3" t="inlineStr">
        <is>
          <t>បានទទួលជើងដឹក/អីវ៉ាន់</t>
        </is>
      </c>
      <c r="F315" s="3" t="n"/>
      <c r="G315" s="3" t="inlineStr">
        <is>
          <t>បានទទួលកញ្ចប់ទំនិញ/អីវ៉ាន់</t>
        </is>
      </c>
      <c r="H315" t="inlineStr">
        <is>
          <t>បានទទួលកញ្ចប់ទំនិញ/អីវ៉ាន់</t>
        </is>
      </c>
      <c r="I315" s="217" t="inlineStr">
        <is>
          <t>"nhanHang.titleTabDaNhanTaiKien": "បានទទួលកញ្ចប់ទំនិញ/អីវ៉ាន់",</t>
        </is>
      </c>
      <c r="N315" s="3" t="inlineStr">
        <is>
          <t>បានទទួលបណ្តុំ/កញ្ចប់</t>
        </is>
      </c>
    </row>
    <row r="316" ht="15.75" customHeight="1" s="305">
      <c r="A316" s="3" t="inlineStr">
        <is>
          <t>PhanCong.titleScanned</t>
        </is>
      </c>
      <c r="B316" s="3" t="inlineStr">
        <is>
          <t>Đã quét</t>
        </is>
      </c>
      <c r="C316" s="3" t="inlineStr">
        <is>
          <t>Scanned</t>
        </is>
      </c>
      <c r="D316" s="3">
        <f>IFERROR(__xludf.DUMMYFUNCTION("GOOGLETRANSLATE(B316,""vi"",""km"")"),"បានស្កេន")</f>
        <v/>
      </c>
      <c r="E316" s="3" t="inlineStr">
        <is>
          <t>បានស្កេន</t>
        </is>
      </c>
      <c r="F316" s="3" t="n"/>
      <c r="G316" s="3" t="inlineStr">
        <is>
          <t>បានស្កេន</t>
        </is>
      </c>
      <c r="H316" t="inlineStr">
        <is>
          <t>បានស្កេន</t>
        </is>
      </c>
      <c r="I316" s="217" t="inlineStr">
        <is>
          <t>"PhanCong.titleScanned": "បានស្កេន",</t>
        </is>
      </c>
      <c r="N316" s="3" t="inlineStr">
        <is>
          <t>បានស្កេន</t>
        </is>
      </c>
    </row>
    <row r="317" ht="15.75" customHeight="1" s="305">
      <c r="A317" s="3" t="inlineStr">
        <is>
          <t>common.copyText</t>
        </is>
      </c>
      <c r="B317" s="3" t="inlineStr">
        <is>
          <t>Đã sao chép</t>
        </is>
      </c>
      <c r="C317" s="3" t="inlineStr">
        <is>
          <t>Copied</t>
        </is>
      </c>
      <c r="D317" s="3">
        <f>IFERROR(__xludf.DUMMYFUNCTION("GOOGLETRANSLATE(B317,""vi"",""km"")"),"បានចម្លង")</f>
        <v/>
      </c>
      <c r="E317" s="3" t="inlineStr">
        <is>
          <t>បានកត់ចម្លង</t>
        </is>
      </c>
      <c r="F317" s="3" t="n"/>
      <c r="G317" s="3" t="inlineStr">
        <is>
          <t>បានកត់ចម្លង</t>
        </is>
      </c>
      <c r="H317" t="inlineStr">
        <is>
          <t>បានកត់ចម្លង</t>
        </is>
      </c>
      <c r="I317" s="217" t="inlineStr">
        <is>
          <t>"common.copyText": "បានកត់ចម្លង",</t>
        </is>
      </c>
      <c r="N317" s="3" t="inlineStr">
        <is>
          <t>បានចម្លង</t>
        </is>
      </c>
    </row>
    <row r="318" ht="15.75" customHeight="1" s="305">
      <c r="A318" s="3" t="inlineStr">
        <is>
          <t>tongGiao.copied</t>
        </is>
      </c>
      <c r="B318" s="3" t="inlineStr">
        <is>
          <t>Đã sao chép</t>
        </is>
      </c>
      <c r="C318" s="3" t="inlineStr">
        <is>
          <t>Copied</t>
        </is>
      </c>
      <c r="D318" s="3">
        <f>IFERROR(__xludf.DUMMYFUNCTION("GOOGLETRANSLATE(B318,""vi"",""km"")"),"បានចម្លង")</f>
        <v/>
      </c>
      <c r="E318" s="3" t="inlineStr">
        <is>
          <t>បានកត់ចម្លង</t>
        </is>
      </c>
      <c r="F318" s="3" t="n"/>
      <c r="G318" s="3" t="inlineStr">
        <is>
          <t>បានកត់ចម្លង</t>
        </is>
      </c>
      <c r="H318" t="inlineStr">
        <is>
          <t>បានកត់ចម្លង</t>
        </is>
      </c>
      <c r="I318" s="217" t="inlineStr">
        <is>
          <t>"tongGiao.copied": "បានកត់ចម្លង",</t>
        </is>
      </c>
      <c r="N318" s="3" t="inlineStr">
        <is>
          <t>បានថតចម្លង</t>
        </is>
      </c>
    </row>
    <row r="319" ht="15.75" customHeight="1" s="305">
      <c r="A319" s="3" t="inlineStr">
        <is>
          <t>thanhtoan.paySuccess</t>
        </is>
      </c>
      <c r="B319" s="3" t="inlineStr">
        <is>
          <t>Đã thanh toán thành công</t>
        </is>
      </c>
      <c r="C319" s="3" t="inlineStr">
        <is>
          <t>Payment successful</t>
        </is>
      </c>
      <c r="D319" s="3">
        <f>IFERROR(__xludf.DUMMYFUNCTION("GOOGLETRANSLATE(B319,""vi"",""km"")"),"ការទូទាត់បានជោគជ័យ")</f>
        <v/>
      </c>
      <c r="E319" s="3" t="inlineStr">
        <is>
          <t>ការទូទាត់បានជោគជ័យ</t>
        </is>
      </c>
      <c r="F319" s="3" t="n"/>
      <c r="G319" s="3" t="inlineStr">
        <is>
          <t>ការទូទាត់បានជោគជ័យ</t>
        </is>
      </c>
      <c r="H319" t="inlineStr">
        <is>
          <t>ការទូទាត់បានជោគជ័យ</t>
        </is>
      </c>
      <c r="I319" s="217" t="inlineStr">
        <is>
          <t>"thanhtoan.paySuccess": "ការទូទាត់បានជោគជ័យ",</t>
        </is>
      </c>
      <c r="N319" s="3" t="inlineStr"/>
    </row>
    <row r="320" ht="15.75" customHeight="1" s="305">
      <c r="A320" s="3" t="inlineStr">
        <is>
          <t>thanhtoan.paymentSuccessAmount</t>
        </is>
      </c>
      <c r="B320" s="3" t="inlineStr">
        <is>
          <t>Đã thanh toán thành công {{amount}}.</t>
        </is>
      </c>
      <c r="C320" s="3" t="inlineStr">
        <is>
          <t>Payment successful {{amount}}.</t>
        </is>
      </c>
      <c r="D320" s="3">
        <f>IFERROR(__xludf.DUMMYFUNCTION("GOOGLETRANSLATE(B320,""vi"",""km"")"),"ការទូទាត់ចំនួន {{amount}} ត្រូវបានធ្វើឡើងដោយជោគជ័យ។")</f>
        <v/>
      </c>
      <c r="E320" s="3" t="inlineStr">
        <is>
          <t>ការទូទាត់បានជោគជ័យ{{amount}}</t>
        </is>
      </c>
      <c r="F320" s="3" t="n"/>
      <c r="G320" s="3" t="inlineStr">
        <is>
          <t>ការទូទាត់បានជោគជ័យ{{amount}}</t>
        </is>
      </c>
      <c r="H320" t="inlineStr">
        <is>
          <t>ការទូទាត់បានជោគជ័យ{{amount}}</t>
        </is>
      </c>
      <c r="I320" s="217" t="inlineStr">
        <is>
          <t>"thanhtoan.paymentSuccessAmount": "ការទូទាត់បានជោគជ័យ{{amount}}",</t>
        </is>
      </c>
      <c r="N320" s="3" t="inlineStr"/>
    </row>
    <row r="321" ht="15.75" customHeight="1" s="305">
      <c r="A321" s="3" t="inlineStr">
        <is>
          <t>GiaoHang.established</t>
        </is>
      </c>
      <c r="B321" s="3" t="inlineStr">
        <is>
          <t>Đã thiết lập</t>
        </is>
      </c>
      <c r="C321" s="3" t="inlineStr">
        <is>
          <t>Established</t>
        </is>
      </c>
      <c r="D321" s="3">
        <f>IFERROR(__xludf.DUMMYFUNCTION("GOOGLETRANSLATE(B321,""vi"",""km"")"),"ដំឡើង")</f>
        <v/>
      </c>
      <c r="E321" s="3" t="inlineStr">
        <is>
          <t>បានបង្កើតឡើង</t>
        </is>
      </c>
      <c r="F321" s="3" t="n"/>
      <c r="G321" s="3" t="inlineStr">
        <is>
          <t>បានបង្កើតឡើង</t>
        </is>
      </c>
      <c r="H321" t="inlineStr">
        <is>
          <t>បានបង្កើតឡើង</t>
        </is>
      </c>
      <c r="I321" s="217" t="inlineStr">
        <is>
          <t>"GiaoHang.established": "បានបង្កើតឡើង",</t>
        </is>
      </c>
      <c r="N321" s="3" t="inlineStr">
        <is>
          <t>បាន​កំណត់</t>
        </is>
      </c>
    </row>
    <row r="322" ht="15.75" customHeight="1" s="305">
      <c r="A322" s="3" t="inlineStr">
        <is>
          <t>debit.collected</t>
        </is>
      </c>
      <c r="B322" s="3" t="inlineStr">
        <is>
          <t>Đã thu</t>
        </is>
      </c>
      <c r="C322" s="3" t="inlineStr">
        <is>
          <t>Collected</t>
        </is>
      </c>
      <c r="D322" s="3">
        <f>IFERROR(__xludf.DUMMYFUNCTION("GOOGLETRANSLATE(B322,""vi"",""km"")"),"បានទទួល")</f>
        <v/>
      </c>
      <c r="E322" s="3" t="inlineStr">
        <is>
          <t>បានប្រមូល</t>
        </is>
      </c>
      <c r="F322" s="3" t="n"/>
      <c r="G322" s="3" t="inlineStr">
        <is>
          <t>បានប្រមូលរួចរាល់</t>
        </is>
      </c>
      <c r="H322" t="inlineStr">
        <is>
          <t>បានប្រមូលរួចរាល់</t>
        </is>
      </c>
      <c r="I322" s="217" t="inlineStr">
        <is>
          <t>"debit.collected": "បានប្រមូលរួចរាល់",</t>
        </is>
      </c>
      <c r="N322" s="3" t="inlineStr">
        <is>
          <t>បានប្រមូល</t>
        </is>
      </c>
    </row>
    <row r="323" ht="15.75" customHeight="1" s="305">
      <c r="A323" s="3" t="inlineStr">
        <is>
          <t>debit.collected_UM</t>
        </is>
      </c>
      <c r="B323" s="3" t="inlineStr">
        <is>
          <t>Đã thu UM</t>
        </is>
      </c>
      <c r="C323" s="3" t="inlineStr">
        <is>
          <t>UM Collected</t>
        </is>
      </c>
      <c r="D323" s="3">
        <f>IFERROR(__xludf.DUMMYFUNCTION("GOOGLETRANSLATE(B323,""vi"",""km"")"),"UM ត្រូវបានប្រមូល។")</f>
        <v/>
      </c>
      <c r="E323" s="3" t="inlineStr">
        <is>
          <t>បានប្រមូល UM</t>
        </is>
      </c>
      <c r="F323" s="3" t="n"/>
      <c r="G323" s="3" t="inlineStr">
        <is>
          <t>បានប្រមូល UM</t>
        </is>
      </c>
      <c r="H323" t="inlineStr">
        <is>
          <t>បានប្រមូល UM</t>
        </is>
      </c>
      <c r="I323" s="217" t="inlineStr">
        <is>
          <t>"debit.collected_UM": "បានប្រមូល UM",</t>
        </is>
      </c>
      <c r="N323" s="3" t="inlineStr"/>
    </row>
    <row r="324" ht="15.75" customHeight="1" s="305">
      <c r="A324" s="3" t="inlineStr">
        <is>
          <t>mainStatus.120</t>
        </is>
      </c>
      <c r="B324" s="3" t="inlineStr">
        <is>
          <t>Đã tiếp nhận</t>
        </is>
      </c>
      <c r="C324" s="3" t="inlineStr">
        <is>
          <t>Waiting to receive</t>
        </is>
      </c>
      <c r="D324" s="3">
        <f>IFERROR(__xludf.DUMMYFUNCTION("GOOGLETRANSLATE(B324,""vi"",""km"")"),"បានទទួល")</f>
        <v/>
      </c>
      <c r="E324" s="3" t="inlineStr">
        <is>
          <t>បានទទួល</t>
        </is>
      </c>
      <c r="F324" s="3" t="n"/>
      <c r="G324" s="3" t="inlineStr">
        <is>
          <t>បានទទួល</t>
        </is>
      </c>
      <c r="H324" t="inlineStr">
        <is>
          <t>បានទទួល</t>
        </is>
      </c>
      <c r="I324" s="217" t="inlineStr">
        <is>
          <t>"mainStatus.120": "បានទទួល",</t>
        </is>
      </c>
      <c r="N324" s="3" t="inlineStr">
        <is>
          <t>បានទទួល</t>
        </is>
      </c>
    </row>
    <row r="325" ht="15.75" customHeight="1" s="305">
      <c r="A325" s="3" t="inlineStr">
        <is>
          <t>dieuHanh.Received</t>
        </is>
      </c>
      <c r="B325" s="3" t="inlineStr">
        <is>
          <t>Đã tiếp nhận</t>
        </is>
      </c>
      <c r="C325" s="3" t="inlineStr">
        <is>
          <t>Accepted</t>
        </is>
      </c>
      <c r="D325" s="3">
        <f>IFERROR(__xludf.DUMMYFUNCTION("GOOGLETRANSLATE(B325,""vi"",""km"")"),"បានទទួល")</f>
        <v/>
      </c>
      <c r="E325" s="3" t="inlineStr">
        <is>
          <t>បានទទួល</t>
        </is>
      </c>
      <c r="F325" s="3" t="n"/>
      <c r="G325" s="3" t="inlineStr">
        <is>
          <t>បានទទួល</t>
        </is>
      </c>
      <c r="H325" t="inlineStr">
        <is>
          <t>បានទទួល</t>
        </is>
      </c>
      <c r="I325" s="217" t="inlineStr">
        <is>
          <t>"dieuHanh.Received": "បានទទួល",</t>
        </is>
      </c>
      <c r="N325" s="3" t="inlineStr">
        <is>
          <t>ទទួលរួចរាល់</t>
        </is>
      </c>
    </row>
    <row r="326" ht="15.75" customHeight="1" s="305">
      <c r="A326" s="3" t="inlineStr">
        <is>
          <t>mainStatus.520</t>
        </is>
      </c>
      <c r="B326" s="3" t="inlineStr">
        <is>
          <t>Đã trả hàng</t>
        </is>
      </c>
      <c r="C326" s="3" t="inlineStr">
        <is>
          <t>Return successful</t>
        </is>
      </c>
      <c r="D326" s="3">
        <f>IFERROR(__xludf.DUMMYFUNCTION("GOOGLETRANSLATE(B326,""vi"",""km"")"),"បានត្រឡប់មកវិញ")</f>
        <v/>
      </c>
      <c r="E326" s="3" t="inlineStr">
        <is>
          <t>បានប្រគល់មកវិញ</t>
        </is>
      </c>
      <c r="F326" s="3" t="n"/>
      <c r="G326" s="3" t="inlineStr">
        <is>
          <t>បានប្រគល់ត្រឡប់</t>
        </is>
      </c>
      <c r="H326" t="inlineStr">
        <is>
          <t>បានប្រគល់ត្រឡប់</t>
        </is>
      </c>
      <c r="I326" s="217" t="inlineStr">
        <is>
          <t>"mainStatus.520": "បានប្រគល់ត្រឡប់",</t>
        </is>
      </c>
      <c r="N326" s="3" t="inlineStr">
        <is>
          <t>បានប្រគល់ទំនេញ</t>
        </is>
      </c>
    </row>
    <row r="327" ht="15.75" customHeight="1" s="305">
      <c r="A327" s="3" t="inlineStr">
        <is>
          <t>banGiao.REJECTED</t>
        </is>
      </c>
      <c r="B327" s="3" t="inlineStr">
        <is>
          <t>Đã từ chối</t>
        </is>
      </c>
      <c r="C327" s="3" t="inlineStr">
        <is>
          <t>Rejected</t>
        </is>
      </c>
      <c r="D327" s="3">
        <f>IFERROR(__xludf.DUMMYFUNCTION("GOOGLETRANSLATE(B327,""vi"",""km"")"),"បានបដិសេធ")</f>
        <v/>
      </c>
      <c r="E327" s="3" t="inlineStr">
        <is>
          <t>បដិសេធ</t>
        </is>
      </c>
      <c r="F327" s="3" t="n"/>
      <c r="G327" s="3" t="inlineStr">
        <is>
          <t>បដិសេធ</t>
        </is>
      </c>
      <c r="H327" t="inlineStr">
        <is>
          <t>បដិសេធ</t>
        </is>
      </c>
      <c r="I327" s="217" t="inlineStr">
        <is>
          <t>"banGiao.REJECTED": "បដិសេធ",</t>
        </is>
      </c>
      <c r="N327" s="3" t="inlineStr">
        <is>
          <t>បដិសេធ</t>
        </is>
      </c>
    </row>
    <row r="328" ht="15.75" customHeight="1" s="305">
      <c r="A328" s="3" t="inlineStr">
        <is>
          <t>PhanCong.titleConfirmed</t>
        </is>
      </c>
      <c r="B328" s="3" t="inlineStr">
        <is>
          <t>Đã xác nhận</t>
        </is>
      </c>
      <c r="C328" s="3" t="inlineStr">
        <is>
          <t xml:space="preserve">Confirm </t>
        </is>
      </c>
      <c r="D328" s="3">
        <f>IFERROR(__xludf.DUMMYFUNCTION("GOOGLETRANSLATE(B328,""vi"",""km"")"),"បានបញ្ជាក់")</f>
        <v/>
      </c>
      <c r="E328" s="3" t="inlineStr">
        <is>
          <t>បានបញ្ជាក់</t>
        </is>
      </c>
      <c r="F328" s="3" t="n"/>
      <c r="G328" s="3" t="inlineStr">
        <is>
          <t>បានបញ្ជាក់</t>
        </is>
      </c>
      <c r="H328" t="inlineStr">
        <is>
          <t>បានបញ្ជាក់</t>
        </is>
      </c>
      <c r="I328" s="217" t="inlineStr">
        <is>
          <t>"PhanCong.titleConfirmed": "បានបញ្ជាក់",</t>
        </is>
      </c>
      <c r="N328" s="3" t="inlineStr">
        <is>
          <t>បានបញ្ជាក់</t>
        </is>
      </c>
    </row>
    <row r="329" ht="15.75" customHeight="1" s="305">
      <c r="A329" s="3" t="inlineStr">
        <is>
          <t>tms.daXacNhan</t>
        </is>
      </c>
      <c r="B329" s="3" t="inlineStr">
        <is>
          <t>Đã xác nhận</t>
        </is>
      </c>
      <c r="C329" s="3" t="inlineStr">
        <is>
          <t>Confirmed</t>
        </is>
      </c>
      <c r="D329" s="3">
        <f>IFERROR(__xludf.DUMMYFUNCTION("GOOGLETRANSLATE(B329,""vi"",""km"")"),"បានបញ្ជាក់")</f>
        <v/>
      </c>
      <c r="E329" s="3" t="inlineStr">
        <is>
          <t>បានបញ្ជាក់</t>
        </is>
      </c>
      <c r="F329" s="3" t="n"/>
      <c r="G329" s="3" t="inlineStr">
        <is>
          <t>បានបញ្ជាក់</t>
        </is>
      </c>
      <c r="H329" t="inlineStr">
        <is>
          <t>បានបញ្ជាក់</t>
        </is>
      </c>
      <c r="I329" s="217" t="inlineStr">
        <is>
          <t>"tms.daXacNhan": "បានបញ្ជាក់",</t>
        </is>
      </c>
      <c r="N329" s="3" t="inlineStr"/>
    </row>
    <row r="330" ht="15.75" customHeight="1" s="305">
      <c r="A330" s="3" t="inlineStr">
        <is>
          <t>taoDon.length</t>
        </is>
      </c>
      <c r="B330" s="3" t="inlineStr">
        <is>
          <t>Dài</t>
        </is>
      </c>
      <c r="C330" s="3" t="inlineStr">
        <is>
          <t>Length</t>
        </is>
      </c>
      <c r="D330" s="3">
        <f>IFERROR(__xludf.DUMMYFUNCTION("GOOGLETRANSLATE(B330,""vi"",""km"")"),"វែង")</f>
        <v/>
      </c>
      <c r="E330" s="3" t="inlineStr">
        <is>
          <t>ប្រវែង</t>
        </is>
      </c>
      <c r="F330" s="3" t="n"/>
      <c r="G330" s="3" t="inlineStr">
        <is>
          <t>បណ្តោយ</t>
        </is>
      </c>
      <c r="H330" t="inlineStr">
        <is>
          <t>បណ្តោយ</t>
        </is>
      </c>
      <c r="I330" s="217" t="inlineStr">
        <is>
          <t>"taoDon.length": "បណ្តោយ",</t>
        </is>
      </c>
      <c r="N330" s="3" t="inlineStr">
        <is>
          <t>ប្រវែង</t>
        </is>
      </c>
    </row>
    <row r="331" ht="15.75" customHeight="1" s="305">
      <c r="A331" s="3" t="inlineStr">
        <is>
          <t>traCuoc.placeholderLength</t>
        </is>
      </c>
      <c r="B331" s="3" t="inlineStr">
        <is>
          <t>Dài (cm)</t>
        </is>
      </c>
      <c r="C331" s="3" t="inlineStr">
        <is>
          <t>Length (cm)</t>
        </is>
      </c>
      <c r="D331" s="3">
        <f>IFERROR(__xludf.DUMMYFUNCTION("GOOGLETRANSLATE(B331,""vi"",""km"")"),"ប្រវែង (សង់ទីម៉ែត្រ)")</f>
        <v/>
      </c>
      <c r="E331" s="3" t="inlineStr">
        <is>
          <t>ប្រវែង(cm)</t>
        </is>
      </c>
      <c r="F331" s="3" t="n"/>
      <c r="G331" s="3" t="inlineStr">
        <is>
          <t>ប្រវែង(cm)</t>
        </is>
      </c>
      <c r="H331" t="inlineStr">
        <is>
          <t>ប្រវែង(cm)</t>
        </is>
      </c>
      <c r="I331" s="217" t="inlineStr">
        <is>
          <t>"traCuoc.placeholderLength": "ប្រវែង(cm)",</t>
        </is>
      </c>
      <c r="N331" s="3" t="inlineStr">
        <is>
          <t>ប្រវែង (សង់ទីម៉ែត្រ)</t>
        </is>
      </c>
    </row>
    <row r="332" ht="15.75" customHeight="1" s="305">
      <c r="A332" s="3" t="inlineStr">
        <is>
          <t>nhanHang.kichthuoc</t>
        </is>
      </c>
      <c r="B332" s="3" t="inlineStr">
        <is>
          <t>Dài x Rộng x Cao (đơn vị cm)</t>
        </is>
      </c>
      <c r="C332" s="3" t="inlineStr">
        <is>
          <t>Length x Width x Height (unit of cm)</t>
        </is>
      </c>
      <c r="D332" s="3">
        <f>IFERROR(__xludf.DUMMYFUNCTION("GOOGLETRANSLATE(B332,""vi"",""km"")"),"បណ្តោយ x ទទឹង x កម្ពស់ (គិតជាសង់ទីម៉ែត្រ)")</f>
        <v/>
      </c>
      <c r="E332" s="3" t="inlineStr">
        <is>
          <t>ប្រវែង x ទទឹង x កម្ពស់ (គិតជាសង់ទីម៉ែត្រ)</t>
        </is>
      </c>
      <c r="F332" s="3" t="n"/>
      <c r="G332" s="3" t="inlineStr">
        <is>
          <t>ប្រវែង x ទទឹង x កម្ពស់ (គិតជាសង់ទីម៉ែត្រ)</t>
        </is>
      </c>
      <c r="H332" t="inlineStr">
        <is>
          <t>ប្រវែង x ទទឹង x កម្ពស់ (គិតជាសង់ទីម៉ែត្រ)</t>
        </is>
      </c>
      <c r="I332" s="217" t="inlineStr">
        <is>
          <t>"nhanHang.kichthuoc": "ប្រវែង x ទទឹង x កម្ពស់ (គិតជាសង់ទីម៉ែត្រ)",</t>
        </is>
      </c>
      <c r="N332" s="3" t="inlineStr">
        <is>
          <t>បណ្ដោយ x ទទឹង x កម្ពស់ (សង់ទីម៉ែត្រ)</t>
        </is>
      </c>
    </row>
    <row r="333" ht="15.75" customHeight="1" s="305">
      <c r="A333" s="3" t="inlineStr">
        <is>
          <t>banGiao.titleHandingOver</t>
        </is>
      </c>
      <c r="B333" s="3" t="inlineStr">
        <is>
          <t>Đang bàn giao</t>
        </is>
      </c>
      <c r="C333" s="3" t="inlineStr">
        <is>
          <t>Sack/Package unit</t>
        </is>
      </c>
      <c r="D333" s="3">
        <f>IFERROR(__xludf.DUMMYFUNCTION("GOOGLETRANSLATE(B333,""vi"",""km"")"),"កំពុងដំណើរការ")</f>
        <v/>
      </c>
      <c r="E333" s="3" t="inlineStr">
        <is>
          <t>កំពុងប្រគល់</t>
        </is>
      </c>
      <c r="F333" s="3" t="n"/>
      <c r="G333" s="3" t="inlineStr">
        <is>
          <t>កំពុងប្រគល់</t>
        </is>
      </c>
      <c r="H333" t="inlineStr">
        <is>
          <t>កំពុងប្រគល់</t>
        </is>
      </c>
      <c r="I333" s="217" t="inlineStr">
        <is>
          <t>"banGiao.titleHandingOver": "កំពុងប្រគល់",</t>
        </is>
      </c>
      <c r="N333" s="3" t="inlineStr">
        <is>
          <t>ការផ្ញើកំពុងដំណើរការ</t>
        </is>
      </c>
    </row>
    <row r="334" ht="15.75" customHeight="1" s="305">
      <c r="A334" s="3" t="inlineStr">
        <is>
          <t>banGiao.WAIT_TO_CONFIRM</t>
        </is>
      </c>
      <c r="B334" s="3" t="inlineStr">
        <is>
          <t>Đang bàn giao</t>
        </is>
      </c>
      <c r="C334" s="3" t="inlineStr">
        <is>
          <t>In handover</t>
        </is>
      </c>
      <c r="D334" s="3">
        <f>IFERROR(__xludf.DUMMYFUNCTION("GOOGLETRANSLATE(B334,""vi"",""km"")"),"កំពុងដំណើរការ")</f>
        <v/>
      </c>
      <c r="E334" s="3" t="inlineStr">
        <is>
          <t>កំពុងប្រគល់</t>
        </is>
      </c>
      <c r="F334" s="3" t="n"/>
      <c r="G334" s="3" t="inlineStr">
        <is>
          <t>កំពុងប្រគល់</t>
        </is>
      </c>
      <c r="H334" t="inlineStr">
        <is>
          <t>កំពុងប្រគល់</t>
        </is>
      </c>
      <c r="I334" s="217" t="inlineStr">
        <is>
          <t>"banGiao.WAIT_TO_CONFIRM": "កំពុងប្រគល់",</t>
        </is>
      </c>
      <c r="N334" s="3" t="inlineStr">
        <is>
          <t>ការផ្ញើកំពុងដំណើរការ</t>
        </is>
      </c>
    </row>
    <row r="335" ht="15.75" customHeight="1" s="305">
      <c r="A335" s="3" t="inlineStr">
        <is>
          <t>banGiao.status_dang_ban_giao</t>
        </is>
      </c>
      <c r="B335" s="3" t="inlineStr">
        <is>
          <t>Đang bàn giao</t>
        </is>
      </c>
      <c r="C335" s="3" t="inlineStr">
        <is>
          <t>In handover</t>
        </is>
      </c>
      <c r="D335" s="3">
        <f>IFERROR(__xludf.DUMMYFUNCTION("GOOGLETRANSLATE(B335,""vi"",""km"")"),"កំពុងដំណើរការ")</f>
        <v/>
      </c>
      <c r="E335" s="3" t="inlineStr">
        <is>
          <t>កំពុងប្រគល់</t>
        </is>
      </c>
      <c r="F335" s="3" t="n"/>
      <c r="G335" s="3" t="inlineStr">
        <is>
          <t>កំពុងប្រគល់</t>
        </is>
      </c>
      <c r="H335" t="inlineStr">
        <is>
          <t>កំពុងប្រគល់</t>
        </is>
      </c>
      <c r="I335" s="217" t="inlineStr">
        <is>
          <t>"banGiao.status_dang_ban_giao": "កំពុងប្រគល់",</t>
        </is>
      </c>
      <c r="N335" s="3" t="inlineStr"/>
    </row>
    <row r="336" ht="15.75" customHeight="1" s="305">
      <c r="A336" s="3" t="inlineStr">
        <is>
          <t>common.updating</t>
        </is>
      </c>
      <c r="B336" s="3" t="inlineStr">
        <is>
          <t>Đang cập nhật</t>
        </is>
      </c>
      <c r="C336" s="3" t="inlineStr">
        <is>
          <t>Updating</t>
        </is>
      </c>
      <c r="D336" s="3">
        <f>IFERROR(__xludf.DUMMYFUNCTION("GOOGLETRANSLATE(B336,""vi"",""km"")"),"កំពុងធ្វើបច្ចុប្បន្នភាព")</f>
        <v/>
      </c>
      <c r="E336" s="3" t="inlineStr">
        <is>
          <t>កំពុងធ្វើការអាប់ដេត</t>
        </is>
      </c>
      <c r="F336" s="3" t="n"/>
      <c r="G336" s="3" t="inlineStr">
        <is>
          <t>កំពុងធ្វើការអាប់ដេត</t>
        </is>
      </c>
      <c r="H336" t="inlineStr">
        <is>
          <t>កំពុងធ្វើការអាប់ដេត</t>
        </is>
      </c>
      <c r="I336" s="217" t="inlineStr">
        <is>
          <t>"common.updating": "កំពុងធ្វើការអាប់ដេត",</t>
        </is>
      </c>
      <c r="N336" s="3" t="inlineStr">
        <is>
          <t>កំពុងធ្វើបច្ចុប្បន្នភាព</t>
        </is>
      </c>
    </row>
    <row r="337" ht="15.75" customHeight="1" s="305">
      <c r="A337" s="3" t="inlineStr">
        <is>
          <t>DongTai.titleTabDangDong</t>
        </is>
      </c>
      <c r="B337" s="3" t="inlineStr">
        <is>
          <t>Đang đóng</t>
        </is>
      </c>
      <c r="C337" s="3" t="inlineStr">
        <is>
          <t>Packup in progress</t>
        </is>
      </c>
      <c r="D337" s="3">
        <f>IFERROR(__xludf.DUMMYFUNCTION("GOOGLETRANSLATE(B337,""vi"",""km"")"),"កំពុងបិទ")</f>
        <v/>
      </c>
      <c r="E337" s="31" t="inlineStr">
        <is>
          <t>កំពុងដំណើរការបិទ</t>
        </is>
      </c>
      <c r="F337" s="3" t="n"/>
      <c r="G337" s="3" t="inlineStr">
        <is>
          <t>កំពុងច្រកបាវ</t>
        </is>
      </c>
      <c r="H337" t="inlineStr">
        <is>
          <t>កំពុងច្រកបាវ</t>
        </is>
      </c>
      <c r="I337" s="217" t="inlineStr">
        <is>
          <t>"DongTai.titleTabDangDong": "កំពុងច្រកបាវ",</t>
        </is>
      </c>
      <c r="N337" s="3" t="inlineStr">
        <is>
          <t>កំពុងបិទ</t>
        </is>
      </c>
    </row>
    <row r="338" ht="15.75" customHeight="1" s="305">
      <c r="A338" s="3" t="inlineStr">
        <is>
          <t>dieuHanh.pregressing</t>
        </is>
      </c>
      <c r="B338" s="3" t="inlineStr">
        <is>
          <t>Đang gán đơn</t>
        </is>
      </c>
      <c r="C338" s="3" t="inlineStr">
        <is>
          <t>Processing</t>
        </is>
      </c>
      <c r="D338" s="3">
        <f>IFERROR(__xludf.DUMMYFUNCTION("GOOGLETRANSLATE(B338,""vi"",""km"")"),"ការចាត់តាំងការបញ្ជាទិញ")</f>
        <v/>
      </c>
      <c r="E338" s="3" t="inlineStr">
        <is>
          <t>កំពង់ភ្ជាប់បុង</t>
        </is>
      </c>
      <c r="F338" s="3" t="n"/>
      <c r="G338" s="3" t="inlineStr">
        <is>
          <t>កំពុងចាត់តាំងបញ្ញើ</t>
        </is>
      </c>
      <c r="H338" t="inlineStr">
        <is>
          <t>កំពុងចាត់តាំងបញ្ញើ</t>
        </is>
      </c>
      <c r="I338" s="217" t="inlineStr">
        <is>
          <t>"dieuHanh.pregressing": "កំពុងចាត់តាំងបញ្ញើ",</t>
        </is>
      </c>
      <c r="N338" s="3" t="inlineStr">
        <is>
          <t>កំពុងកំណត់បញ្ជាទិញ</t>
        </is>
      </c>
    </row>
    <row r="339" ht="15.75" customHeight="1" s="305">
      <c r="A339" s="3" t="inlineStr">
        <is>
          <t>mainStatus.400</t>
        </is>
      </c>
      <c r="B339" s="3" t="inlineStr">
        <is>
          <t>Đang giao hàng</t>
        </is>
      </c>
      <c r="C339" s="3" t="inlineStr">
        <is>
          <t>Assigned to deliver - Not completed</t>
        </is>
      </c>
      <c r="D339" s="3">
        <f>IFERROR(__xludf.DUMMYFUNCTION("GOOGLETRANSLATE(B339,""vi"",""km"")"),"ការដឹកជញ្ជូនកំពុងដំណើរការ")</f>
        <v/>
      </c>
      <c r="E339" s="3" t="inlineStr">
        <is>
          <t>កំពុងដឹកជញ្ជូន</t>
        </is>
      </c>
      <c r="F339" s="3" t="n"/>
      <c r="G339" s="3" t="inlineStr">
        <is>
          <t>កំពុងដឹកចែកអីវ៉ាន់</t>
        </is>
      </c>
      <c r="H339" t="inlineStr">
        <is>
          <t>កំពុងដឹកចែកអីវ៉ាន់</t>
        </is>
      </c>
      <c r="I339" s="217" t="inlineStr">
        <is>
          <t>"mainStatus.400": "កំពុងដឹកចែកអីវ៉ាន់",</t>
        </is>
      </c>
      <c r="N339" s="3" t="inlineStr">
        <is>
          <t>កំពុងប្រគល់ទំនិញ</t>
        </is>
      </c>
    </row>
    <row r="340" ht="15.75" customHeight="1" s="305">
      <c r="A340" s="3" t="inlineStr">
        <is>
          <t>mainStatus.510</t>
        </is>
      </c>
      <c r="B340" s="3" t="inlineStr">
        <is>
          <t>Đang giao hoàn</t>
        </is>
      </c>
      <c r="C340" s="3" t="inlineStr">
        <is>
          <t>Return assignment - Not completed</t>
        </is>
      </c>
      <c r="D340" s="3">
        <f>IFERROR(__xludf.DUMMYFUNCTION("GOOGLETRANSLATE(B340,""vi"",""km"")"),"កំពុងដំណើរការ")</f>
        <v/>
      </c>
      <c r="E340" s="3" t="inlineStr">
        <is>
          <t>កំពុងដឹកអីវ៉ាន់ត្រលប់</t>
        </is>
      </c>
      <c r="F340" s="3" t="n"/>
      <c r="G340" s="3" t="inlineStr">
        <is>
          <t>កំពុងប្រគល់ត្រឡប់</t>
        </is>
      </c>
      <c r="H340" t="inlineStr">
        <is>
          <t>កំពុងប្រគល់ត្រឡប់</t>
        </is>
      </c>
      <c r="I340" s="217" t="inlineStr">
        <is>
          <t>"mainStatus.510": "កំពុងប្រគល់ត្រឡប់",</t>
        </is>
      </c>
      <c r="N340" s="3" t="inlineStr">
        <is>
          <t>កំពងប្រគល់ទំនិញត្រឡប់មកវិញ</t>
        </is>
      </c>
    </row>
    <row r="341" ht="15.75" customHeight="1" s="305">
      <c r="A341" s="3" t="inlineStr">
        <is>
          <t>GiaoHang.connecting</t>
        </is>
      </c>
      <c r="B341" s="3" t="inlineStr">
        <is>
          <t>Đang kết nối</t>
        </is>
      </c>
      <c r="C341" s="3" t="inlineStr">
        <is>
          <t>Connecting</t>
        </is>
      </c>
      <c r="D341" s="3">
        <f>IFERROR(__xludf.DUMMYFUNCTION("GOOGLETRANSLATE(B341,""vi"",""km"")"),"កំពុងភ្ជាប់")</f>
        <v/>
      </c>
      <c r="E341" s="3" t="inlineStr">
        <is>
          <t>កំពុងតភ្ជាប់</t>
        </is>
      </c>
      <c r="F341" s="3" t="n"/>
      <c r="G341" s="3" t="inlineStr">
        <is>
          <t>កំពុងភ្ជាប់</t>
        </is>
      </c>
      <c r="H341" t="inlineStr">
        <is>
          <t>កំពុងភ្ជាប់</t>
        </is>
      </c>
      <c r="I341" s="217" t="inlineStr">
        <is>
          <t>"GiaoHang.connecting": "កំពុងភ្ជាប់",</t>
        </is>
      </c>
      <c r="N341" s="3" t="inlineStr">
        <is>
          <t>កំពងភ្ជាប់បណ្តាញ</t>
        </is>
      </c>
    </row>
    <row r="342" ht="15.75" customHeight="1" s="305">
      <c r="A342" s="3" t="inlineStr">
        <is>
          <t>khaiThacDen.exploiting</t>
        </is>
      </c>
      <c r="B342" s="3" t="inlineStr">
        <is>
          <t>Đang khai thác</t>
        </is>
      </c>
      <c r="C342" s="3" t="inlineStr">
        <is>
          <t>Processing</t>
        </is>
      </c>
      <c r="D342" s="3">
        <f>IFERROR(__xludf.DUMMYFUNCTION("GOOGLETRANSLATE(B342,""vi"",""km"")"),"បច្ចុប្បន្នកំពុងដំណើរការ")</f>
        <v/>
      </c>
      <c r="E342" s="3" t="inlineStr">
        <is>
          <t>កំពុងដំណើរការ</t>
        </is>
      </c>
      <c r="F342" s="3" t="n"/>
      <c r="G342" s="3" t="inlineStr">
        <is>
          <t>កំពុងដំណើរការ</t>
        </is>
      </c>
      <c r="H342" t="inlineStr">
        <is>
          <t>កំពុងដំណើរការ</t>
        </is>
      </c>
      <c r="I342" s="217" t="inlineStr">
        <is>
          <t>"khaiThacDen.exploiting": "កំពុងដំណើរការ",</t>
        </is>
      </c>
      <c r="N342" s="3" t="inlineStr">
        <is>
          <t>កំពុងដឹក</t>
        </is>
      </c>
    </row>
    <row r="343" ht="15.75" customHeight="1" s="305">
      <c r="A343" s="3" t="inlineStr">
        <is>
          <t>KiemKe.titleTakingInventory</t>
        </is>
      </c>
      <c r="B343" s="3" t="inlineStr">
        <is>
          <t>Đang kiểm kê</t>
        </is>
      </c>
      <c r="C343" s="3" t="inlineStr">
        <is>
          <t>Inventory in progress</t>
        </is>
      </c>
      <c r="D343" s="3">
        <f>IFERROR(__xludf.DUMMYFUNCTION("GOOGLETRANSLATE(B343,""vi"",""km"")"),"សារពើភ័ណ្ឌកំពុងដំណើរការ")</f>
        <v/>
      </c>
      <c r="E343" s="3" t="inlineStr">
        <is>
          <t>កំពុងត្រួតពិនិត្យ</t>
        </is>
      </c>
      <c r="F343" s="3" t="n"/>
      <c r="G343" s="3" t="inlineStr">
        <is>
          <t>កំពុងត្រួតពិនិត្យ</t>
        </is>
      </c>
      <c r="H343" t="inlineStr">
        <is>
          <t>កំពុងត្រួតពិនិត្យ</t>
        </is>
      </c>
      <c r="I343" s="217" t="inlineStr">
        <is>
          <t>"KiemKe.titleTakingInventory": "កំពុងត្រួតពិនិត្យ",</t>
        </is>
      </c>
      <c r="N343" s="163" t="inlineStr">
        <is>
          <t>សារពើភ័ណ្ឌកំពុងដំណើរការ</t>
        </is>
      </c>
    </row>
    <row r="344" ht="15.75" customHeight="1" s="305">
      <c r="A344" s="3" t="inlineStr">
        <is>
          <t>register.title</t>
        </is>
      </c>
      <c r="B344" s="3" t="inlineStr">
        <is>
          <t>Đăng ký</t>
        </is>
      </c>
      <c r="C344" s="3" t="inlineStr">
        <is>
          <t>Register</t>
        </is>
      </c>
      <c r="D344" s="3">
        <f>IFERROR(__xludf.DUMMYFUNCTION("GOOGLETRANSLATE(B344,""vi"",""km"")"),"ចុះឈ្មោះ")</f>
        <v/>
      </c>
      <c r="E344" s="3" t="inlineStr">
        <is>
          <t>ចុះឈ្មោះ</t>
        </is>
      </c>
      <c r="F344" s="3" t="n"/>
      <c r="G344" s="3" t="inlineStr">
        <is>
          <t>ចុះឈ្មោះ</t>
        </is>
      </c>
      <c r="H344" t="inlineStr">
        <is>
          <t>ចុះឈ្មោះ</t>
        </is>
      </c>
      <c r="I344" s="217" t="inlineStr">
        <is>
          <t>"register.title": "ចុះឈ្មោះ",</t>
        </is>
      </c>
      <c r="N344" s="3" t="inlineStr">
        <is>
          <t>ខ្ចប់</t>
        </is>
      </c>
    </row>
    <row r="345" ht="15.75" customHeight="1" s="305">
      <c r="A345" s="3" t="inlineStr">
        <is>
          <t>login.register</t>
        </is>
      </c>
      <c r="B345" s="3" t="inlineStr">
        <is>
          <t>Đăng ký tài khoản</t>
        </is>
      </c>
      <c r="C345" s="3" t="inlineStr">
        <is>
          <t>Register</t>
        </is>
      </c>
      <c r="D345" s="3">
        <f>IFERROR(__xludf.DUMMYFUNCTION("GOOGLETRANSLATE(B345,""vi"",""km"")"),"ចុះឈ្មោះគណនី")</f>
        <v/>
      </c>
      <c r="E345" s="3" t="inlineStr">
        <is>
          <t>ការចុះឈ្មោះគណនី</t>
        </is>
      </c>
      <c r="F345" s="3" t="n"/>
      <c r="G345" s="3" t="inlineStr">
        <is>
          <t>ចុះឈ្មោះគណនី</t>
        </is>
      </c>
      <c r="H345" t="inlineStr">
        <is>
          <t>ចុះឈ្មោះគណនី</t>
        </is>
      </c>
      <c r="I345" s="217" t="inlineStr">
        <is>
          <t>"login.register": "ចុះឈ្មោះគណនី",</t>
        </is>
      </c>
      <c r="N345" s="3" t="inlineStr">
        <is>
          <t>ចុះឈ្មោះគណនី?</t>
        </is>
      </c>
    </row>
    <row r="346" ht="15.75" customHeight="1" s="305">
      <c r="A346" s="3" t="inlineStr">
        <is>
          <t>registerSuccess.title</t>
        </is>
      </c>
      <c r="B346" s="3" t="inlineStr">
        <is>
          <t>Đăng ký thành công!</t>
        </is>
      </c>
      <c r="C346" s="3" t="inlineStr">
        <is>
          <t>Register succesfully!</t>
        </is>
      </c>
      <c r="D346" s="3">
        <f>IFERROR(__xludf.DUMMYFUNCTION("GOOGLETRANSLATE(B346,""vi"",""km"")"),"ការចុះឈ្មោះបានជោគជ័យ!")</f>
        <v/>
      </c>
      <c r="E346" s="3" t="inlineStr">
        <is>
          <t>ការចុះឈ្មោះគណនីបានជោគជ័យ!</t>
        </is>
      </c>
      <c r="F346" s="3" t="n"/>
      <c r="G346" s="3" t="inlineStr">
        <is>
          <t>ការចុះឈ្មោះគណនីបានជោគជ័យ!</t>
        </is>
      </c>
      <c r="H346" t="inlineStr">
        <is>
          <t>ការចុះឈ្មោះគណនីបានជោគជ័យ!</t>
        </is>
      </c>
      <c r="I346" s="217" t="inlineStr">
        <is>
          <t>"registerSuccess.title": "ការចុះឈ្មោះគណនីបានជោគជ័យ!",</t>
        </is>
      </c>
      <c r="N346" s="3" t="inlineStr">
        <is>
          <t>ខ្ចប់</t>
        </is>
      </c>
    </row>
    <row r="347" ht="15.75" customHeight="1" s="305">
      <c r="A347" s="3" t="inlineStr">
        <is>
          <t>mainStatus.200</t>
        </is>
      </c>
      <c r="B347" s="3" t="inlineStr">
        <is>
          <t>Đang lấy hàng</t>
        </is>
      </c>
      <c r="C347" s="3" t="inlineStr">
        <is>
          <t>Receiving</t>
        </is>
      </c>
      <c r="D347" s="3">
        <f>IFERROR(__xludf.DUMMYFUNCTION("GOOGLETRANSLATE(B347,""vi"",""km"")"),"កំពុង​ទៅ​យក​ទំនិញ")</f>
        <v/>
      </c>
      <c r="E347" s="3" t="inlineStr">
        <is>
          <t>កំពុងយកអីវ៉ាន់</t>
        </is>
      </c>
      <c r="F347" s="3" t="n"/>
      <c r="G347" s="3" t="inlineStr">
        <is>
          <t>កំពុងទៅយកអីវ៉ាន់</t>
        </is>
      </c>
      <c r="H347" t="inlineStr">
        <is>
          <t>កំពុងទៅយកអីវ៉ាន់</t>
        </is>
      </c>
      <c r="I347" s="217" t="inlineStr">
        <is>
          <t>"mainStatus.200": "កំពុងទៅយកអីវ៉ាន់",</t>
        </is>
      </c>
      <c r="N347" s="3" t="inlineStr">
        <is>
          <t>កំពងទទួលទំនិញ</t>
        </is>
      </c>
    </row>
    <row r="348" ht="15.75" customHeight="1" s="305">
      <c r="A348" s="3" t="inlineStr">
        <is>
          <t>banGiao.titleReceiving</t>
        </is>
      </c>
      <c r="B348" s="3" t="inlineStr">
        <is>
          <t>Đang nhận</t>
        </is>
      </c>
      <c r="C348" s="3" t="inlineStr">
        <is>
          <t>Receiving</t>
        </is>
      </c>
      <c r="D348" s="3">
        <f>IFERROR(__xludf.DUMMYFUNCTION("GOOGLETRANSLATE(B348,""vi"",""km"")"),"កំពុងទទួល")</f>
        <v/>
      </c>
      <c r="E348" s="3" t="inlineStr">
        <is>
          <t>កំពុងទទួល</t>
        </is>
      </c>
      <c r="F348" s="3" t="n"/>
      <c r="G348" s="3" t="inlineStr">
        <is>
          <t>កំពុងទទួល</t>
        </is>
      </c>
      <c r="H348" t="inlineStr">
        <is>
          <t>កំពុងទទួល</t>
        </is>
      </c>
      <c r="I348" s="217" t="inlineStr">
        <is>
          <t>"banGiao.titleReceiving": "កំពុងទទួល",</t>
        </is>
      </c>
      <c r="N348" s="3" t="inlineStr">
        <is>
          <t>កំពុងទទួល</t>
        </is>
      </c>
    </row>
    <row r="349" ht="15.75" customHeight="1" s="305">
      <c r="A349" s="3" t="inlineStr">
        <is>
          <t>banGiao.titleTabDangNhan</t>
        </is>
      </c>
      <c r="B349" s="3" t="inlineStr">
        <is>
          <t>Đang nhận</t>
        </is>
      </c>
      <c r="C349" s="3" t="inlineStr">
        <is>
          <t>Waiting to close load</t>
        </is>
      </c>
      <c r="D349" s="3">
        <f>IFERROR(__xludf.DUMMYFUNCTION("GOOGLETRANSLATE(B349,""vi"",""km"")"),"កំពុងទទួល")</f>
        <v/>
      </c>
      <c r="E349" s="3" t="inlineStr">
        <is>
          <t>កំពុងទទួល</t>
        </is>
      </c>
      <c r="F349" s="3" t="n"/>
      <c r="G349" s="3" t="inlineStr">
        <is>
          <t>កំពុងទទួល</t>
        </is>
      </c>
      <c r="H349" t="inlineStr">
        <is>
          <t>កំពុងទទួល</t>
        </is>
      </c>
      <c r="I349" s="217" t="inlineStr">
        <is>
          <t>"banGiao.titleTabDangNhan": "កំពុងទទួល",</t>
        </is>
      </c>
      <c r="N349" s="3" t="inlineStr">
        <is>
          <t>កំពុងទទួល</t>
        </is>
      </c>
    </row>
    <row r="350" ht="15.75" customHeight="1" s="305">
      <c r="A350" s="3" t="inlineStr">
        <is>
          <t>login.btnLogin</t>
        </is>
      </c>
      <c r="B350" s="3" t="inlineStr">
        <is>
          <t>Đăng nhập</t>
        </is>
      </c>
      <c r="C350" s="3" t="inlineStr">
        <is>
          <t>Login</t>
        </is>
      </c>
      <c r="D350" s="3">
        <f>IFERROR(__xludf.DUMMYFUNCTION("GOOGLETRANSLATE(B350,""vi"",""km"")"),"ចូល")</f>
        <v/>
      </c>
      <c r="E350" s="3" t="inlineStr">
        <is>
          <t>ចូល</t>
        </is>
      </c>
      <c r="F350" s="3" t="n"/>
      <c r="G350" s="3" t="inlineStr">
        <is>
          <t>ចូល</t>
        </is>
      </c>
      <c r="H350" t="inlineStr">
        <is>
          <t>ចូល</t>
        </is>
      </c>
      <c r="I350" s="217" t="inlineStr">
        <is>
          <t>"login.btnLogin": "ចូល",</t>
        </is>
      </c>
      <c r="N350" s="3" t="inlineStr">
        <is>
          <t>ចូល</t>
        </is>
      </c>
    </row>
    <row r="351" ht="15.75" customHeight="1" s="305">
      <c r="A351" s="3" t="inlineStr">
        <is>
          <t>password.btnLogin</t>
        </is>
      </c>
      <c r="B351" s="3" t="inlineStr">
        <is>
          <t>Đăng nhập</t>
        </is>
      </c>
      <c r="C351" s="3" t="inlineStr">
        <is>
          <t>Login</t>
        </is>
      </c>
      <c r="D351" s="3">
        <f>IFERROR(__xludf.DUMMYFUNCTION("GOOGLETRANSLATE(B351,""vi"",""km"")"),"ចូល")</f>
        <v/>
      </c>
      <c r="E351" s="3" t="inlineStr">
        <is>
          <t>ចូល</t>
        </is>
      </c>
      <c r="F351" s="3" t="n"/>
      <c r="G351" s="3" t="inlineStr">
        <is>
          <t>ចូល</t>
        </is>
      </c>
      <c r="H351" t="inlineStr">
        <is>
          <t>ចូល</t>
        </is>
      </c>
      <c r="I351" s="217" t="inlineStr">
        <is>
          <t>"password.btnLogin": "ចូល",</t>
        </is>
      </c>
      <c r="N351" s="3" t="inlineStr">
        <is>
          <t>ចូល</t>
        </is>
      </c>
    </row>
    <row r="352" ht="15.75" customHeight="1" s="305">
      <c r="A352" s="3" t="inlineStr">
        <is>
          <t>GiaoHangNew.useScanner</t>
        </is>
      </c>
      <c r="B352" s="3" t="inlineStr">
        <is>
          <t>Đang sử dụng đầu quét</t>
        </is>
      </c>
      <c r="C352" s="3" t="inlineStr">
        <is>
          <t>Using scanner</t>
        </is>
      </c>
      <c r="D352" s="3">
        <f>IFERROR(__xludf.DUMMYFUNCTION("GOOGLETRANSLATE(B352,""vi"",""km"")"),"បច្ចុប្បន្នកំពុងប្រើក្បាលម៉ាស៊ីនស្កេន។")</f>
        <v/>
      </c>
      <c r="E352" s="3" t="inlineStr">
        <is>
          <t>កំពុងប្រើម៉ាស៊ីនស្កេន...</t>
        </is>
      </c>
      <c r="F352" s="3" t="n"/>
      <c r="G352" s="3" t="inlineStr">
        <is>
          <t>កំពុងប្រើម៉ាស៊ីនស្កេន...</t>
        </is>
      </c>
      <c r="H352" t="inlineStr">
        <is>
          <t>កំពុងប្រើម៉ាស៊ីនស្កេន...</t>
        </is>
      </c>
      <c r="I352" s="217" t="inlineStr">
        <is>
          <t>"GiaoHangNew.useScanner": "កំពុងប្រើម៉ាស៊ីនស្កេន...",</t>
        </is>
      </c>
      <c r="N352" s="3" t="inlineStr"/>
    </row>
    <row r="353" ht="15.75" customHeight="1" s="305">
      <c r="A353" s="3" t="inlineStr">
        <is>
          <t>DongTai.usingBarcode</t>
        </is>
      </c>
      <c r="B353" s="3" t="inlineStr">
        <is>
          <t>Đang sử dụng đầu quét...</t>
        </is>
      </c>
      <c r="C353" s="3" t="inlineStr">
        <is>
          <t>Scanner in use...</t>
        </is>
      </c>
      <c r="D353" s="3">
        <f>IFERROR(__xludf.DUMMYFUNCTION("GOOGLETRANSLATE(B353,""vi"",""km"")"),"កំពុងប្រើក្បាលម៉ាស៊ីនស្កេន...")</f>
        <v/>
      </c>
      <c r="E353" s="3" t="inlineStr">
        <is>
          <t>កំពុងប្រើម៉ាស៊ីនស្កេន...</t>
        </is>
      </c>
      <c r="F353" s="3" t="n"/>
      <c r="G353" s="3" t="inlineStr">
        <is>
          <t>កំពុងប្រើម៉ាស៊ីនស្កេន...</t>
        </is>
      </c>
      <c r="H353" t="inlineStr">
        <is>
          <t>កំពុងប្រើម៉ាស៊ីនស្កេន...</t>
        </is>
      </c>
      <c r="I353" s="217" t="inlineStr">
        <is>
          <t>"DongTai.usingBarcode": "កំពុងប្រើម៉ាស៊ីនស្កេន...",</t>
        </is>
      </c>
      <c r="N353" s="3" t="inlineStr">
        <is>
          <t>កំពុងប្រើឧបករណ៍ស្កេន...</t>
        </is>
      </c>
    </row>
    <row r="354" ht="15.75" customHeight="1" s="305">
      <c r="A354" s="3" t="inlineStr">
        <is>
          <t>KiemKe.reason1</t>
        </is>
      </c>
      <c r="B354" s="3" t="inlineStr">
        <is>
          <t>Đang tìm kiếm</t>
        </is>
      </c>
      <c r="C354" s="3" t="inlineStr">
        <is>
          <t>Searching</t>
        </is>
      </c>
      <c r="D354" s="3">
        <f>IFERROR(__xludf.DUMMYFUNCTION("GOOGLETRANSLATE(B354,""vi"",""km"")"),"កំពុង​ស្វែងរក")</f>
        <v/>
      </c>
      <c r="E354" s="3" t="inlineStr">
        <is>
          <t>កំពុងស្វែងរក</t>
        </is>
      </c>
      <c r="F354" s="3" t="n"/>
      <c r="G354" s="3" t="inlineStr">
        <is>
          <t>កំពុងស្វែងរក</t>
        </is>
      </c>
      <c r="H354" t="inlineStr">
        <is>
          <t>កំពុងស្វែងរក</t>
        </is>
      </c>
      <c r="I354" s="217" t="inlineStr">
        <is>
          <t>"KiemKe.reason1": "កំពុងស្វែងរក",</t>
        </is>
      </c>
      <c r="N354" s="163" t="inlineStr">
        <is>
          <t>កំពុងស្វែងរក</t>
        </is>
      </c>
    </row>
    <row r="355" ht="15.75" customHeight="1" s="305">
      <c r="A355" s="3" t="inlineStr">
        <is>
          <t>tms.dangVanChuyen</t>
        </is>
      </c>
      <c r="B355" s="3" t="inlineStr">
        <is>
          <t>Đang vận chuyển</t>
        </is>
      </c>
      <c r="C355" s="3" t="inlineStr">
        <is>
          <t>In transit</t>
        </is>
      </c>
      <c r="D355" s="3">
        <f>IFERROR(__xludf.DUMMYFUNCTION("GOOGLETRANSLATE(B355,""vi"",""km"")"),"កំពុងធ្វើដំណើរ")</f>
        <v/>
      </c>
      <c r="E355" s="3" t="inlineStr">
        <is>
          <t>កំពុងដឹកជញ្ជូន</t>
        </is>
      </c>
      <c r="F355" s="3" t="n"/>
      <c r="G355" s="3" t="inlineStr">
        <is>
          <t>កំពុងដឹកជញ្ជូន</t>
        </is>
      </c>
      <c r="H355" t="inlineStr">
        <is>
          <t>កំពុងដឹកជញ្ជូន</t>
        </is>
      </c>
      <c r="I355" s="217" t="inlineStr">
        <is>
          <t>"tms.dangVanChuyen": "កំពុងដឹកជញ្ជូន",</t>
        </is>
      </c>
      <c r="N355" s="3" t="inlineStr"/>
    </row>
    <row r="356" ht="15.75" customHeight="1" s="305">
      <c r="A356" s="3" t="inlineStr">
        <is>
          <t>mainStatus.500</t>
        </is>
      </c>
      <c r="B356" s="3" t="inlineStr">
        <is>
          <t>Đang vận chuyển hoàn</t>
        </is>
      </c>
      <c r="C356" s="3" t="inlineStr">
        <is>
          <t>Return request</t>
        </is>
      </c>
      <c r="D356" s="3">
        <f>IFERROR(__xludf.DUMMYFUNCTION("GOOGLETRANSLATE(B356,""vi"",""km"")"),"បច្ចុប្បន្នកំពុងដំណើរការ។")</f>
        <v/>
      </c>
      <c r="E356" s="3" t="inlineStr">
        <is>
          <t>កំពុងដឹកជញ្ជូនត្រលប់</t>
        </is>
      </c>
      <c r="F356" s="3" t="n"/>
      <c r="G356" s="3" t="inlineStr">
        <is>
          <t>កំពុងដឹកជញ្ជូនត្រឡប់</t>
        </is>
      </c>
      <c r="H356" t="inlineStr">
        <is>
          <t>កំពុងដឹកជញ្ជូនត្រឡប់</t>
        </is>
      </c>
      <c r="I356" s="217" t="inlineStr">
        <is>
          <t>"mainStatus.500": "កំពុងដឹកជញ្ជូនត្រឡប់",</t>
        </is>
      </c>
      <c r="N356" s="3" t="inlineStr">
        <is>
          <t>កំពងដឹកជញ្ជូនផ្ទេរទំនិញត្រឡប់មកវិញ</t>
        </is>
      </c>
    </row>
    <row r="357" ht="15.75" customHeight="1" s="305">
      <c r="A357" s="3" t="inlineStr">
        <is>
          <t>banGiao.PROCESSING</t>
        </is>
      </c>
      <c r="B357" s="3" t="inlineStr">
        <is>
          <t>Đang xử lý</t>
        </is>
      </c>
      <c r="C357" s="3" t="inlineStr">
        <is>
          <t>Processing</t>
        </is>
      </c>
      <c r="D357" s="3">
        <f>IFERROR(__xludf.DUMMYFUNCTION("GOOGLETRANSLATE(B357,""vi"",""km"")"),"កំពុងដំណើរការ")</f>
        <v/>
      </c>
      <c r="E357" s="3" t="inlineStr">
        <is>
          <t>កំពុងដោះស្រាយ</t>
        </is>
      </c>
      <c r="F357" s="3" t="n"/>
      <c r="G357" s="3" t="inlineStr">
        <is>
          <t>កំពុងដំណើរការ</t>
        </is>
      </c>
      <c r="H357" t="inlineStr">
        <is>
          <t>កំពុងដំណើរការ</t>
        </is>
      </c>
      <c r="I357" s="217" t="inlineStr">
        <is>
          <t>"banGiao.PROCESSING": "កំពុងដំណើរការ",</t>
        </is>
      </c>
      <c r="N357" s="3" t="inlineStr">
        <is>
          <t>កំពុងដំណើរការ</t>
        </is>
      </c>
    </row>
    <row r="358" ht="15.75" customHeight="1" s="305">
      <c r="A358" s="3" t="inlineStr">
        <is>
          <t>DongTai.processingScan</t>
        </is>
      </c>
      <c r="B358" s="3" t="inlineStr">
        <is>
          <t>Đang xử lý dữ liệu quét, vui lòng đợi...</t>
        </is>
      </c>
      <c r="C358" s="143" t="inlineStr">
        <is>
          <t>Proccessing scan data, please wait...</t>
        </is>
      </c>
      <c r="D358" s="3">
        <f>IFERROR(__xludf.DUMMYFUNCTION("GOOGLETRANSLATE(B358,""vi"",""km"")"),"ទិន្នន័យស្កេនកំពុងត្រូវបានដំណើរការ សូមរង់ចាំ...")</f>
        <v/>
      </c>
      <c r="E358" s="3" t="inlineStr">
        <is>
          <t>កំពុងដោះស្រាយព័ត៌មានស្កេន សូមរង់ចាំ</t>
        </is>
      </c>
      <c r="F358" s="3" t="n"/>
      <c r="G358" s="3" t="inlineStr">
        <is>
          <t>កំពុងដោះស្រាយព័ត៌មានស្កេន សូមរង់ចាំ</t>
        </is>
      </c>
      <c r="H358" t="inlineStr">
        <is>
          <t>កំពុងដោះស្រាយព័ត៌មានស្កេន សូមរង់ចាំ</t>
        </is>
      </c>
      <c r="I358" s="217" t="inlineStr">
        <is>
          <t>"DongTai.processingScan": "កំពុងដោះស្រាយព័ត៌មានស្កេន សូមរង់ចាំ",</t>
        </is>
      </c>
      <c r="N358" s="3" t="inlineStr"/>
    </row>
    <row r="359" ht="15.75" customHeight="1" s="305">
      <c r="A359" s="3" t="inlineStr">
        <is>
          <t>setting.logout</t>
        </is>
      </c>
      <c r="B359" s="3" t="inlineStr">
        <is>
          <t>Đăng xuất</t>
        </is>
      </c>
      <c r="C359" s="3" t="inlineStr">
        <is>
          <t>Log out</t>
        </is>
      </c>
      <c r="D359" s="3">
        <f>IFERROR(__xludf.DUMMYFUNCTION("GOOGLETRANSLATE(B359,""vi"",""km"")"),"ចាកចេញ")</f>
        <v/>
      </c>
      <c r="E359" s="3" t="inlineStr">
        <is>
          <t>ចាកចេញ</t>
        </is>
      </c>
      <c r="F359" s="3" t="n"/>
      <c r="G359" s="3" t="inlineStr">
        <is>
          <t>ចាកចេញពីប្រព័ន្ធ</t>
        </is>
      </c>
      <c r="H359" t="inlineStr">
        <is>
          <t>ចាកចេញពីប្រព័ន្ធ</t>
        </is>
      </c>
      <c r="I359" s="217" t="inlineStr">
        <is>
          <t>"setting.logout": "ចាកចេញពីប្រព័ន្ធ",</t>
        </is>
      </c>
      <c r="N359" s="3" t="inlineStr">
        <is>
          <t>ចាក់ចេញ</t>
        </is>
      </c>
    </row>
    <row r="360" ht="15.75" customHeight="1" s="305">
      <c r="A360" s="3" t="inlineStr">
        <is>
          <t>taoDon.listDeliveryStore</t>
        </is>
      </c>
      <c r="B360" s="3" t="inlineStr">
        <is>
          <t>Danh sách cửa hàng giao</t>
        </is>
      </c>
      <c r="C360" s="3" t="inlineStr">
        <is>
          <t>List of delivery stores</t>
        </is>
      </c>
      <c r="D360" s="3">
        <f>IFERROR(__xludf.DUMMYFUNCTION("GOOGLETRANSLATE(B360,""vi"",""km"")"),"បញ្ជីហាងដែលដឹកជញ្ជូន")</f>
        <v/>
      </c>
      <c r="E360" s="3" t="inlineStr">
        <is>
          <t>បញ្ជីហាងប្រគល់អីវ៉ាន់</t>
        </is>
      </c>
      <c r="F360" s="3" t="n"/>
      <c r="G360" s="3" t="inlineStr">
        <is>
          <t>បញ្ជីហាងប្រគល់អីវ៉ាន់</t>
        </is>
      </c>
      <c r="H360" t="inlineStr">
        <is>
          <t>បញ្ជីហាងប្រគល់អីវ៉ាន់</t>
        </is>
      </c>
      <c r="I360" s="217" t="inlineStr">
        <is>
          <t>"taoDon.listDeliveryStore": "បញ្ជីហាងប្រគល់អីវ៉ាន់",</t>
        </is>
      </c>
      <c r="N360" s="3" t="inlineStr"/>
    </row>
    <row r="361" ht="15.75" customHeight="1" s="305">
      <c r="A361" s="3" t="inlineStr">
        <is>
          <t>suaDon.listService</t>
        </is>
      </c>
      <c r="B361" s="3" t="inlineStr">
        <is>
          <t>Danh sách dịch vụ</t>
        </is>
      </c>
      <c r="C361" s="3" t="inlineStr">
        <is>
          <t>Service list</t>
        </is>
      </c>
      <c r="D361" s="3">
        <f>IFERROR(__xludf.DUMMYFUNCTION("GOOGLETRANSLATE(B361,""vi"",""km"")"),"បញ្ជីសេវាកម្ម")</f>
        <v/>
      </c>
      <c r="E361" s="3" t="inlineStr">
        <is>
          <t>បញ្ជីសេវាកម្ម</t>
        </is>
      </c>
      <c r="F361" s="3" t="n"/>
      <c r="G361" s="3" t="inlineStr">
        <is>
          <t>បញ្ជីសេវាកម្ម</t>
        </is>
      </c>
      <c r="H361" t="inlineStr">
        <is>
          <t>បញ្ជីសេវាកម្ម</t>
        </is>
      </c>
      <c r="I361" s="217" t="inlineStr">
        <is>
          <t>"suaDon.listService": "បញ្ជីសេវាកម្ម",</t>
        </is>
      </c>
      <c r="N361" s="3" t="inlineStr">
        <is>
          <t>វាយតម្លៃសេវាកម្ម</t>
        </is>
      </c>
    </row>
    <row r="362" ht="15.75" customHeight="1" s="305">
      <c r="A362" s="3" t="inlineStr">
        <is>
          <t>dieuHanh.listOrder</t>
        </is>
      </c>
      <c r="B362" s="3" t="inlineStr">
        <is>
          <t>Danh sách đơn</t>
        </is>
      </c>
      <c r="C362" s="3" t="inlineStr">
        <is>
          <t>Order management</t>
        </is>
      </c>
      <c r="D362" s="3">
        <f>IFERROR(__xludf.DUMMYFUNCTION("GOOGLETRANSLATE(B362,""vi"",""km"")"),"បញ្ជីបញ្ជាទិញ")</f>
        <v/>
      </c>
      <c r="E362" s="3" t="inlineStr">
        <is>
          <t>បញ្ជីបុងបញ្ញើ</t>
        </is>
      </c>
      <c r="F362" s="3" t="n"/>
      <c r="G362" s="3" t="inlineStr">
        <is>
          <t>គ្រប់គ្រងការបញ្ជាទិញ</t>
        </is>
      </c>
      <c r="H362" t="inlineStr">
        <is>
          <t>គ្រប់គ្រងការបញ្ជាទិញ</t>
        </is>
      </c>
      <c r="I362" s="217" t="inlineStr">
        <is>
          <t>"dieuHanh.listOrder": "គ្រប់គ្រងការបញ្ជាទិញ",</t>
        </is>
      </c>
      <c r="N362" s="3" t="inlineStr">
        <is>
          <t>បញ្ជីបញ្ជាទិញ</t>
        </is>
      </c>
    </row>
    <row r="363" ht="15.75" customHeight="1" s="305">
      <c r="A363" s="3" t="inlineStr">
        <is>
          <t>dieuHanh.listOrderAssignRoute</t>
        </is>
      </c>
      <c r="B363" s="3" t="inlineStr">
        <is>
          <t>Danh sách đơn gán tuyến thành công</t>
        </is>
      </c>
      <c r="C363" s="3" t="inlineStr">
        <is>
          <t xml:space="preserve">List of route-assignment order </t>
        </is>
      </c>
      <c r="D363" s="3">
        <f>IFERROR(__xludf.DUMMYFUNCTION("GOOGLETRANSLATE(B363,""vi"",""km"")"),"បញ្ជីសំណើសុំការចាត់តាំងផ្លូវដែលទទួលបានជោគជ័យ")</f>
        <v/>
      </c>
      <c r="E363" s="3" t="inlineStr">
        <is>
          <t>បញ្ជីបុុងបញ្ញើភ្ជាប់នឹងជើងដឹកជោគជ័យ</t>
        </is>
      </c>
      <c r="F363" s="3" t="n"/>
      <c r="G363" s="3" t="inlineStr">
        <is>
          <t>បញ្ជីបញ្ញើដែលបានចាត់តាំងខ្សែផ្លូវជោគជ័យ</t>
        </is>
      </c>
      <c r="H363" t="inlineStr">
        <is>
          <t>បញ្ជីបញ្ញើដែលបានចាត់តាំងខ្សែផ្លូវជោគជ័យ</t>
        </is>
      </c>
      <c r="I363" s="217" t="inlineStr">
        <is>
          <t>"dieuHanh.listOrderAssignRoute": "បញ្ជីបញ្ញើដែលបានចាត់តាំងខ្សែផ្លូវជោគជ័យ",</t>
        </is>
      </c>
      <c r="N363" s="3" t="inlineStr">
        <is>
          <t>បញ្ជីការបញ្ជាទិញដែលកំណត់ផ្លូវជោគជ័យ</t>
        </is>
      </c>
    </row>
    <row r="364" ht="15.75" customHeight="1" s="305">
      <c r="A364" s="3" t="inlineStr">
        <is>
          <t>KiemKe.titleListInventory</t>
        </is>
      </c>
      <c r="B364" s="3" t="inlineStr">
        <is>
          <t>Danh sách kiểm kê</t>
        </is>
      </c>
      <c r="C364" s="3" t="inlineStr">
        <is>
          <t>Inventory checklist</t>
        </is>
      </c>
      <c r="D364" s="3">
        <f>IFERROR(__xludf.DUMMYFUNCTION("GOOGLETRANSLATE(B364,""vi"",""km"")"),"បញ្ជីសារពើភណ្ឌ")</f>
        <v/>
      </c>
      <c r="E364" s="3" t="inlineStr">
        <is>
          <t>បញ្ជីត្រួតពិនិត្យ</t>
        </is>
      </c>
      <c r="F364" s="3" t="n"/>
      <c r="G364" s="3" t="inlineStr">
        <is>
          <t>បញ្ជីត្រួតពិនិត្យ</t>
        </is>
      </c>
      <c r="H364" t="inlineStr">
        <is>
          <t>បញ្ជីត្រួតពិនិត្យ</t>
        </is>
      </c>
      <c r="I364" s="217" t="inlineStr">
        <is>
          <t>"KiemKe.titleListInventory": "បញ្ជីត្រួតពិនិត្យ",</t>
        </is>
      </c>
      <c r="N364" s="163" t="inlineStr">
        <is>
          <t>បញ្ជីសារពើភ័ណ្ឌ</t>
        </is>
      </c>
    </row>
    <row r="365" ht="15.75" customHeight="1" s="305">
      <c r="A365" s="3" t="inlineStr">
        <is>
          <t>banGiao.messageNoData</t>
        </is>
      </c>
      <c r="B365" s="3" t="inlineStr">
        <is>
          <t>Danh sách tải/kiện chưa được nhập</t>
        </is>
      </c>
      <c r="C365" s="3" t="inlineStr">
        <is>
          <t>List of loads/packages not entered</t>
        </is>
      </c>
      <c r="D365" s="3">
        <f>IFERROR(__xludf.DUMMYFUNCTION("GOOGLETRANSLATE(B365,""vi"",""km"")"),"បញ្ជីទាញយក/កញ្ចប់មិនត្រូវបាននាំចូលទេ។")</f>
        <v/>
      </c>
      <c r="E365" s="3" t="inlineStr">
        <is>
          <t>បញ្ជីជើងដឹក/កញ្ចប់ដែលមិនទាន់បានបញ្ចូល</t>
        </is>
      </c>
      <c r="F365" s="3" t="n"/>
      <c r="G365" s="3" t="inlineStr">
        <is>
          <t>បញ្ជីកញ្ចប់ទំនិញ/អីវ៉ាន់ ដែលមិនទាន់បានបញ្ចូល</t>
        </is>
      </c>
      <c r="H365" t="inlineStr">
        <is>
          <t>បញ្ជីកញ្ចប់ទំនិញ/អីវ៉ាន់ ដែលមិនទាន់បានបញ្ចូល</t>
        </is>
      </c>
      <c r="I365" s="217" t="inlineStr">
        <is>
          <t>"banGiao.messageNoData": "បញ្ជីកញ្ចប់ទំនិញ/អីវ៉ាន់ ដែលមិនទាន់បានបញ្ចូល",</t>
        </is>
      </c>
      <c r="N365" s="3" t="inlineStr">
        <is>
          <t>បញ្ជីទំនិញ/កញ្ចប់មិនបានបញ្ចូល</t>
        </is>
      </c>
    </row>
    <row r="366" ht="15.75" customHeight="1" s="305">
      <c r="A366" s="3" t="inlineStr">
        <is>
          <t>setting.loginDeviceList</t>
        </is>
      </c>
      <c r="B366" s="3" t="inlineStr">
        <is>
          <t>Danh sách thiết bị đăng nhập</t>
        </is>
      </c>
      <c r="C366" s="3" t="inlineStr">
        <is>
          <t>Device List</t>
        </is>
      </c>
      <c r="D366" s="3">
        <f>IFERROR(__xludf.DUMMYFUNCTION("GOOGLETRANSLATE(B366,""vi"",""km"")"),"បញ្ជីឧបករណ៍ដែលបានចូល")</f>
        <v/>
      </c>
      <c r="E366" s="3" t="inlineStr">
        <is>
          <t>បញ្ជីឧបករណ៍ដែលបានចូល</t>
        </is>
      </c>
      <c r="F366" s="3" t="n"/>
      <c r="G366" s="3" t="inlineStr">
        <is>
          <t>បញ្ជីឧបករណ៍ដែលបានចូល</t>
        </is>
      </c>
      <c r="H366" t="inlineStr">
        <is>
          <t>បញ្ជីឧបករណ៍ដែលបានចូល</t>
        </is>
      </c>
      <c r="I366" s="217" t="inlineStr">
        <is>
          <t>"setting.loginDeviceList": "បញ្ជីឧបករណ៍ដែលបានចូល",</t>
        </is>
      </c>
      <c r="N366" s="3" t="inlineStr">
        <is>
          <t>Logged in devices</t>
        </is>
      </c>
    </row>
    <row r="367" ht="15.75" customHeight="1" s="305">
      <c r="A367" s="3" t="inlineStr">
        <is>
          <t>change_password.loginDeviceList</t>
        </is>
      </c>
      <c r="B367" s="3" t="inlineStr">
        <is>
          <t>Danh sách thiết bị đăng nhập</t>
        </is>
      </c>
      <c r="C367" s="3" t="inlineStr">
        <is>
          <t>Logged-in devices</t>
        </is>
      </c>
      <c r="D367" s="3">
        <f>IFERROR(__xludf.DUMMYFUNCTION("GOOGLETRANSLATE(B367,""vi"",""km"")"),"បញ្ជីឧបករណ៍ដែលបានចូល")</f>
        <v/>
      </c>
      <c r="E367" s="3" t="inlineStr">
        <is>
          <t>បញ្ជីឧបករណ៍ដែលបានចូល</t>
        </is>
      </c>
      <c r="F367" s="3" t="n"/>
      <c r="G367" s="3" t="inlineStr">
        <is>
          <t>បញ្ជីឧបករណ៍ដែលបានចូល</t>
        </is>
      </c>
      <c r="H367" t="inlineStr">
        <is>
          <t>បញ្ជីឧបករណ៍ដែលបានចូល</t>
        </is>
      </c>
      <c r="I367" s="217" t="inlineStr">
        <is>
          <t>"change_password.loginDeviceList": "បញ្ជីឧបករណ៍ដែលបានចូល",</t>
        </is>
      </c>
      <c r="N367" s="3" t="inlineStr">
        <is>
          <t>បញ្ជីឧបករណ៍ដែលបានចូល</t>
        </is>
      </c>
    </row>
    <row r="368" ht="15.75" customHeight="1" s="305">
      <c r="A368" s="3" t="inlineStr">
        <is>
          <t>common.reset</t>
        </is>
      </c>
      <c r="B368" s="3" t="inlineStr">
        <is>
          <t>Đặt lại</t>
        </is>
      </c>
      <c r="C368" s="3" t="inlineStr">
        <is>
          <t>Reset</t>
        </is>
      </c>
      <c r="D368" s="3">
        <f>IFERROR(__xludf.DUMMYFUNCTION("GOOGLETRANSLATE(B368,""vi"",""km"")"),"កំណត់ឡើងវិញ")</f>
        <v/>
      </c>
      <c r="E368" s="3" t="inlineStr">
        <is>
          <t>កំណត់ឡើងវិញ</t>
        </is>
      </c>
      <c r="F368" s="3" t="n"/>
      <c r="G368" s="3" t="inlineStr">
        <is>
          <t>កំណត់ឡើងវិញ</t>
        </is>
      </c>
      <c r="H368" t="inlineStr">
        <is>
          <t>កំណត់ឡើងវិញ</t>
        </is>
      </c>
      <c r="I368" s="217" t="inlineStr">
        <is>
          <t>"common.reset": "កំណត់ឡើងវិញ",</t>
        </is>
      </c>
      <c r="N368" s="3" t="inlineStr">
        <is>
          <t>កំណត់ឡើងវិញ</t>
        </is>
      </c>
    </row>
    <row r="369" ht="15.75" customHeight="1" s="305">
      <c r="A369" s="3" t="inlineStr">
        <is>
          <t>forgotPassword.title</t>
        </is>
      </c>
      <c r="B369" s="3" t="inlineStr">
        <is>
          <t>ĐẶT LẠI MẬT KHẨU</t>
        </is>
      </c>
      <c r="C369" s="3" t="inlineStr">
        <is>
          <t>RECOVER YOUR PASSWORD</t>
        </is>
      </c>
      <c r="D369" s="3">
        <f>IFERROR(__xludf.DUMMYFUNCTION("GOOGLETRANSLATE(B369,""vi"",""km"")"),"កំណត់ពាក្យសម្ងាត់ឡើងវិញ")</f>
        <v/>
      </c>
      <c r="E369" s="3" t="inlineStr">
        <is>
          <t>កំណត់ពាក្យសម្ងាត់ឡើងវិញ</t>
        </is>
      </c>
      <c r="F369" s="3" t="n"/>
      <c r="G369" s="3" t="inlineStr">
        <is>
          <t>កំណត់ពាក្យសម្ងាត់ឡើងវិញ</t>
        </is>
      </c>
      <c r="H369" t="inlineStr">
        <is>
          <t>កំណត់ពាក្យសម្ងាត់ឡើងវិញ</t>
        </is>
      </c>
      <c r="I369" s="217" t="inlineStr">
        <is>
          <t>"forgotPassword.title": "កំណត់ពាក្យសម្ងាត់ឡើងវិញ",</t>
        </is>
      </c>
      <c r="N369" s="3" t="inlineStr">
        <is>
          <t>ខ្ចប់</t>
        </is>
      </c>
    </row>
    <row r="370" ht="15.75" customHeight="1" s="305">
      <c r="A370" s="3" t="inlineStr">
        <is>
          <t>nhanHang.pushWorngPostOffice</t>
        </is>
      </c>
      <c r="B370" s="3" t="inlineStr">
        <is>
          <t>Đẩy nhầm bưu cục</t>
        </is>
      </c>
      <c r="C370" s="3" t="inlineStr">
        <is>
          <t>Assign to wrong post office</t>
        </is>
      </c>
      <c r="D370" s="3">
        <f>IFERROR(__xludf.DUMMYFUNCTION("GOOGLETRANSLATE(B370,""vi"",""km"")"),"បាន​រុញ​ទៅ​ការិយាល័យ​ប្រៃសណីយ៍​ខុស។")</f>
        <v/>
      </c>
      <c r="E370" s="3" t="inlineStr">
        <is>
          <t>រុញអីវ៉ាន់ច្រលំការិយាល័យប្រៃសណីយ៍</t>
        </is>
      </c>
      <c r="F370" s="3" t="n"/>
      <c r="G370" s="3" t="inlineStr">
        <is>
          <t>រុញអីវ៉ាន់ច្រលំការិយាល័យប្រៃសណីយ៍</t>
        </is>
      </c>
      <c r="H370" t="inlineStr">
        <is>
          <t>រុញអីវ៉ាន់ច្រលំការិយាល័យប្រៃសណីយ៍</t>
        </is>
      </c>
      <c r="I370" s="217" t="inlineStr">
        <is>
          <t>"nhanHang.pushWorngPostOffice": "រុញអីវ៉ាន់ច្រលំការិយាល័យប្រៃសណីយ៍",</t>
        </is>
      </c>
      <c r="N370" s="3" t="inlineStr">
        <is>
          <t>បញ្ជូនខុសសាខា</t>
        </is>
      </c>
    </row>
    <row r="371" ht="15.75" customHeight="1" s="305">
      <c r="A371" s="3" t="inlineStr">
        <is>
          <t>taoDon.fragile</t>
        </is>
      </c>
      <c r="B371" s="3" t="inlineStr">
        <is>
          <t>Dễ vỡ</t>
        </is>
      </c>
      <c r="C371" s="3" t="inlineStr">
        <is>
          <t>Fragile</t>
        </is>
      </c>
      <c r="D371" s="3">
        <f>IFERROR(__xludf.DUMMYFUNCTION("GOOGLETRANSLATE(B371,""vi"",""km"")"),"ផុយស្រួយ")</f>
        <v/>
      </c>
      <c r="E371" s="3" t="inlineStr">
        <is>
          <t>ងាយបែកបាក់</t>
        </is>
      </c>
      <c r="F371" s="3" t="n"/>
      <c r="G371" s="3" t="inlineStr">
        <is>
          <t>ងាយបែកបាក់</t>
        </is>
      </c>
      <c r="H371" t="inlineStr">
        <is>
          <t>ងាយបែកបាក់</t>
        </is>
      </c>
      <c r="I371" s="217" t="inlineStr">
        <is>
          <t>"taoDon.fragile": "ងាយបែកបាក់",</t>
        </is>
      </c>
      <c r="N371" s="3" t="inlineStr">
        <is>
          <t>ងាយបាក់បែក</t>
        </is>
      </c>
    </row>
    <row r="372" ht="15.75" customHeight="1" s="305">
      <c r="A372" s="3" t="inlineStr">
        <is>
          <t>banGiao.form</t>
        </is>
      </c>
      <c r="B372" s="3" t="inlineStr">
        <is>
          <t>đến</t>
        </is>
      </c>
      <c r="C372" s="3" t="inlineStr">
        <is>
          <t>to</t>
        </is>
      </c>
      <c r="D372" s="3">
        <f>IFERROR(__xludf.DUMMYFUNCTION("GOOGLETRANSLATE(B372,""vi"",""km"")"),"មកដល់")</f>
        <v/>
      </c>
      <c r="E372" s="3" t="inlineStr">
        <is>
          <t>មកដល់</t>
        </is>
      </c>
      <c r="F372" s="3" t="n"/>
      <c r="G372" s="3" t="inlineStr">
        <is>
          <t>មកដល់</t>
        </is>
      </c>
      <c r="H372" t="inlineStr">
        <is>
          <t>មកដល់</t>
        </is>
      </c>
      <c r="I372" s="217" t="inlineStr">
        <is>
          <t>"banGiao.form": "មកដល់",</t>
        </is>
      </c>
      <c r="N372" s="3" t="inlineStr">
        <is>
          <t>ទៅកាន់</t>
        </is>
      </c>
    </row>
    <row r="373" ht="15.75" customHeight="1" s="305">
      <c r="A373" s="3" t="inlineStr">
        <is>
          <t>inDon.to</t>
        </is>
      </c>
      <c r="B373" s="3" t="inlineStr">
        <is>
          <t>Đến</t>
        </is>
      </c>
      <c r="C373" s="3" t="inlineStr">
        <is>
          <t>To</t>
        </is>
      </c>
      <c r="D373" s="3">
        <f>IFERROR(__xludf.DUMMYFUNCTION("GOOGLETRANSLATE(B373,""vi"",""km"")"),"មកដល់")</f>
        <v/>
      </c>
      <c r="E373" s="3" t="inlineStr">
        <is>
          <t>មកដល់</t>
        </is>
      </c>
      <c r="F373" s="3" t="n"/>
      <c r="G373" s="3" t="inlineStr">
        <is>
          <t>មកដល់</t>
        </is>
      </c>
      <c r="H373" t="inlineStr">
        <is>
          <t>មកដល់</t>
        </is>
      </c>
      <c r="I373" s="217" t="inlineStr">
        <is>
          <t>"inDon.to": "មកដល់",</t>
        </is>
      </c>
      <c r="N373" s="3" t="inlineStr">
        <is>
          <t>ទៅ</t>
        </is>
      </c>
    </row>
    <row r="374" ht="15.75" customHeight="1" s="305">
      <c r="A374" s="3" t="inlineStr">
        <is>
          <t>mainStatus.403</t>
        </is>
      </c>
      <c r="B374" s="3" t="inlineStr">
        <is>
          <t>Đến địa chỉ giao</t>
        </is>
      </c>
      <c r="C374" s="3" t="inlineStr">
        <is>
          <t>Arrived at delivery address</t>
        </is>
      </c>
      <c r="D374" s="3">
        <f>IFERROR(__xludf.DUMMYFUNCTION("GOOGLETRANSLATE(B374,""vi"",""km"")"),"ដឹកជញ្ជូនដល់អាសយដ្ឋាន")</f>
        <v/>
      </c>
      <c r="E374" s="3" t="inlineStr">
        <is>
          <t>មកដល់ទីតាំងប្រគល់</t>
        </is>
      </c>
      <c r="F374" s="3" t="n"/>
      <c r="G374" s="3" t="inlineStr">
        <is>
          <t>មកដល់ទីតាំងប្រគល់</t>
        </is>
      </c>
      <c r="H374" t="inlineStr">
        <is>
          <t>មកដល់ទីតាំងប្រគល់</t>
        </is>
      </c>
      <c r="I374" s="217" t="inlineStr">
        <is>
          <t>"mainStatus.403": "មកដល់ទីតាំងប្រគល់",</t>
        </is>
      </c>
      <c r="N374" s="163" t="inlineStr">
        <is>
          <t>បានមកដល់អាសយដ្ឋានដឹកជញ្ជូន</t>
        </is>
      </c>
    </row>
    <row r="375" ht="15.75" customHeight="1" s="305">
      <c r="A375" s="3" t="inlineStr">
        <is>
          <t>mainStatus.513</t>
        </is>
      </c>
      <c r="B375" s="3" t="inlineStr">
        <is>
          <t>Đến địa chỉ giao hoàn</t>
        </is>
      </c>
      <c r="C375" s="3" t="inlineStr">
        <is>
          <t>Arrived at return address</t>
        </is>
      </c>
      <c r="D375" s="3">
        <f>IFERROR(__xludf.DUMMYFUNCTION("GOOGLETRANSLATE(B375,""vi"",""km"")"),"ដឹកជញ្ជូនទៅកាន់អាសយដ្ឋានត្រឡប់មកវិញ")</f>
        <v/>
      </c>
      <c r="E375" s="3" t="inlineStr">
        <is>
          <t>មកដល់ទីតាំងប្រគល់ត្រលប់</t>
        </is>
      </c>
      <c r="F375" s="3" t="n"/>
      <c r="G375" s="3" t="inlineStr">
        <is>
          <t>មកដល់ទីតាំងប្រគល់ត្រលប់</t>
        </is>
      </c>
      <c r="H375" t="inlineStr">
        <is>
          <t>មកដល់ទីតាំងប្រគល់ត្រលប់</t>
        </is>
      </c>
      <c r="I375" s="217" t="inlineStr">
        <is>
          <t>"mainStatus.513": "មកដល់ទីតាំងប្រគល់ត្រលប់",</t>
        </is>
      </c>
      <c r="N375" s="163" t="inlineStr">
        <is>
          <t>បានមកដល់អាសយដ្ឋានត្រឡប់មកវិញ</t>
        </is>
      </c>
    </row>
    <row r="376" ht="15.75" customHeight="1" s="305">
      <c r="A376" s="3" t="inlineStr">
        <is>
          <t>dieuHanh.endDate</t>
        </is>
      </c>
      <c r="B376" s="3" t="inlineStr">
        <is>
          <t>Đến ngày</t>
        </is>
      </c>
      <c r="C376" s="3" t="inlineStr">
        <is>
          <t>To</t>
        </is>
      </c>
      <c r="D376" s="3">
        <f>IFERROR(__xludf.DUMMYFUNCTION("GOOGLETRANSLATE(B376,""vi"",""km"")"),"រហូតដល់ថ្ងៃ")</f>
        <v/>
      </c>
      <c r="E376" s="3" t="inlineStr">
        <is>
          <t>រហូតដល់ថ្ងៃ</t>
        </is>
      </c>
      <c r="F376" s="3" t="n"/>
      <c r="G376" s="3" t="inlineStr">
        <is>
          <t>រហូតដល់ថ្ងៃ</t>
        </is>
      </c>
      <c r="H376" t="inlineStr">
        <is>
          <t>រហូតដល់ថ្ងៃ</t>
        </is>
      </c>
      <c r="I376" s="217" t="inlineStr">
        <is>
          <t>"dieuHanh.endDate": "រហូតដល់ថ្ងៃ",</t>
        </is>
      </c>
      <c r="N376" s="3" t="inlineStr">
        <is>
          <t>ដល់ថ្ងៃ</t>
        </is>
      </c>
    </row>
    <row r="377" ht="15.75" customHeight="1" s="305">
      <c r="A377" s="3" t="inlineStr">
        <is>
          <t>GiaoHang.titleContentScanSearch</t>
        </is>
      </c>
      <c r="B377" s="3" t="inlineStr">
        <is>
          <t>Di chuyển máy ảnh đến vùng chứa QRCode của phiếu gửi</t>
        </is>
      </c>
      <c r="C377" s="3" t="inlineStr">
        <is>
          <t>Point the camera at the postal slip's code</t>
        </is>
      </c>
      <c r="D377" s="3">
        <f>IFERROR(__xludf.DUMMYFUNCTION("GOOGLETRANSLATE(B377,""vi"",""km"")"),"ផ្លាស់ទីកាមេរ៉ាទៅតំបន់លេខកូដ QR នៅលើស្លាកដឹកជញ្ជូន។")</f>
        <v/>
      </c>
      <c r="E377" s="3" t="inlineStr">
        <is>
          <t>ផ្លាស់ទីកាមេរ៉ាទៅកាន់លេខកូដ QR របស់បុងបញ្ញើ</t>
        </is>
      </c>
      <c r="F377" s="3" t="n"/>
      <c r="G377" s="3" t="inlineStr">
        <is>
          <t>ផ្លាស់ទីកាមេរ៉ាទៅកាន់លេខកូដ QR របស់បុងបញ្ញើ</t>
        </is>
      </c>
      <c r="H377" t="inlineStr">
        <is>
          <t>ផ្លាស់ទីកាមេរ៉ាទៅកាន់លេខកូដ QR របស់បុងបញ្ញើ</t>
        </is>
      </c>
      <c r="I377" s="217" t="inlineStr">
        <is>
          <t>"GiaoHang.titleContentScanSearch": "ផ្លាស់ទីកាមេរ៉ាទៅកាន់លេខកូដ QR របស់បុងបញ្ញើ",</t>
        </is>
      </c>
      <c r="N377" s="163" t="inlineStr">
        <is>
          <t>ចង្អុលកាមេរ៉ាទៅលេខកូដប្រៃសណីយ៍</t>
        </is>
      </c>
    </row>
    <row r="378" ht="15.75" customHeight="1" s="305">
      <c r="A378" s="3" t="inlineStr">
        <is>
          <t>GiaoHang.descTakePhotoOrder</t>
        </is>
      </c>
      <c r="B378" s="3" t="inlineStr">
        <is>
          <t>Di chuyển máy ảnh sao cho nhãn phiếu gửi nằm khớp với khung hình.</t>
        </is>
      </c>
      <c r="C378" s="3" t="inlineStr">
        <is>
          <t>Point the camera at the postal slip.</t>
        </is>
      </c>
      <c r="D378" s="3">
        <f>IFERROR(__xludf.DUMMYFUNCTION("GOOGLETRANSLATE(B378,""vi"",""km"")"),"រំកិលកាមេរ៉ាដើម្បីឱ្យស្លាកដឹកជញ្ជូនតម្រឹមជាមួយស៊ុម។")</f>
        <v/>
      </c>
      <c r="E378" s="3" t="inlineStr">
        <is>
          <t>ផ្លាស់ទីកាមេរ៉ាយ៉ាងណាឲ្យបុងបញ្ញើឲ្យត្រូវនឹងស៊ុមកាមេរ៉ា</t>
        </is>
      </c>
      <c r="F378" s="3" t="n"/>
      <c r="G378" s="3" t="inlineStr">
        <is>
          <t>ផ្លាស់ទីកាមេរ៉ាយ៉ាងណាឲ្យបុងបញ្ញើឲ្យត្រូវនឹងស៊ុមកាមេរ៉ា</t>
        </is>
      </c>
      <c r="H378" t="inlineStr">
        <is>
          <t>ផ្លាស់ទីកាមេរ៉ាយ៉ាងណាឲ្យបុងបញ្ញើឲ្យត្រូវនឹងស៊ុមកាមេរ៉ា</t>
        </is>
      </c>
      <c r="I378" s="217" t="inlineStr">
        <is>
          <t>"GiaoHang.descTakePhotoOrder": "ផ្លាស់ទីកាមេរ៉ាយ៉ាងណាឲ្យបុងបញ្ញើឲ្យត្រូវនឹងស៊ុមកាមេរ៉ា",</t>
        </is>
      </c>
      <c r="N378" s="3" t="inlineStr">
        <is>
          <t>ផ្លាស់ទីកាមេរ៉ាដើម្បីឱ្យស្លាកដាក់ប្រាក់សមនឹងស៊ុម</t>
        </is>
      </c>
    </row>
    <row r="379" ht="15.75" customHeight="1" s="305">
      <c r="A379" s="3" t="inlineStr">
        <is>
          <t>taoDon.address</t>
        </is>
      </c>
      <c r="B379" s="3" t="inlineStr">
        <is>
          <t>Địa chỉ</t>
        </is>
      </c>
      <c r="C379" s="3" t="inlineStr">
        <is>
          <t>Address details</t>
        </is>
      </c>
      <c r="D379" s="3">
        <f>IFERROR(__xludf.DUMMYFUNCTION("GOOGLETRANSLATE(B379,""vi"",""km"")"),"អាសយដ្ឋាន")</f>
        <v/>
      </c>
      <c r="E379" s="3" t="inlineStr">
        <is>
          <t>អាស័យដ្ឋាន</t>
        </is>
      </c>
      <c r="F379" s="3" t="n"/>
      <c r="G379" s="3" t="inlineStr">
        <is>
          <t>អាសយដ្ឋាន</t>
        </is>
      </c>
      <c r="H379" t="inlineStr">
        <is>
          <t>អាសយដ្ឋាន</t>
        </is>
      </c>
      <c r="I379" s="217" t="inlineStr">
        <is>
          <t>"taoDon.address": "អាសយដ្ឋាន",</t>
        </is>
      </c>
      <c r="N379" s="3" t="inlineStr">
        <is>
          <t>អាសយដ្ឋាន</t>
        </is>
      </c>
    </row>
    <row r="380" ht="15.75" customHeight="1" s="305">
      <c r="A380" s="3" t="inlineStr">
        <is>
          <t>GiaoHang.placeholderUpdateAddress</t>
        </is>
      </c>
      <c r="B380" s="3" t="inlineStr">
        <is>
          <t>Địa chỉ chi tiết</t>
        </is>
      </c>
      <c r="C380" s="3" t="inlineStr">
        <is>
          <t>Address details</t>
        </is>
      </c>
      <c r="D380" s="3">
        <f>IFERROR(__xludf.DUMMYFUNCTION("GOOGLETRANSLATE(B380,""vi"",""km"")"),"អាសយដ្ឋានលម្អិត")</f>
        <v/>
      </c>
      <c r="E380" s="3" t="inlineStr">
        <is>
          <t>អាស័យដ្ឋានលម្អិត</t>
        </is>
      </c>
      <c r="F380" s="3" t="n"/>
      <c r="G380" s="3" t="inlineStr">
        <is>
          <t>អាសយដ្ឋានលម្អិត</t>
        </is>
      </c>
      <c r="H380" t="inlineStr">
        <is>
          <t>អាសយដ្ឋានលម្អិត</t>
        </is>
      </c>
      <c r="I380" s="217" t="inlineStr">
        <is>
          <t>"GiaoHang.placeholderUpdateAddress": "អាសយដ្ឋានលម្អិត",</t>
        </is>
      </c>
      <c r="N380" s="163" t="inlineStr">
        <is>
          <t>ព័ត៌មានលម្អិតអំពីអាសយដ្ឋាន</t>
        </is>
      </c>
    </row>
    <row r="381" ht="15.75" customHeight="1" s="305">
      <c r="A381" s="3" t="inlineStr">
        <is>
          <t>GiaoHang.titleDetailAddress</t>
        </is>
      </c>
      <c r="B381" s="3" t="inlineStr">
        <is>
          <t>Địa chỉ chi tiết</t>
        </is>
      </c>
      <c r="C381" s="3" t="inlineStr">
        <is>
          <t>Address details</t>
        </is>
      </c>
      <c r="D381" s="3">
        <f>IFERROR(__xludf.DUMMYFUNCTION("GOOGLETRANSLATE(B381,""vi"",""km"")"),"អាសយដ្ឋានលម្អិត")</f>
        <v/>
      </c>
      <c r="E381" s="3" t="inlineStr">
        <is>
          <t>អាស័យដ្ឋានលម្អិត</t>
        </is>
      </c>
      <c r="F381" s="3" t="n"/>
      <c r="G381" s="3" t="inlineStr">
        <is>
          <t>អាសយដ្ឋានលម្អិត</t>
        </is>
      </c>
      <c r="H381" t="inlineStr">
        <is>
          <t>អាសយដ្ឋានលម្អិត</t>
        </is>
      </c>
      <c r="I381" s="217" t="inlineStr">
        <is>
          <t>"GiaoHang.titleDetailAddress": "អាសយដ្ឋានលម្អិត",</t>
        </is>
      </c>
      <c r="N381" s="3" t="inlineStr">
        <is>
          <t>អាសយដ្ឋានលម្អិត</t>
        </is>
      </c>
    </row>
    <row r="382" ht="15.75" customHeight="1" s="305">
      <c r="A382" s="3" t="inlineStr">
        <is>
          <t>taoDon.addressDetail</t>
        </is>
      </c>
      <c r="B382" s="3" t="inlineStr">
        <is>
          <t>Địa chỉ chi tiết</t>
        </is>
      </c>
      <c r="C382" s="3" t="inlineStr">
        <is>
          <t>Address details</t>
        </is>
      </c>
      <c r="D382" s="3">
        <f>IFERROR(__xludf.DUMMYFUNCTION("GOOGLETRANSLATE(B382,""vi"",""km"")"),"អាសយដ្ឋានលម្អិត")</f>
        <v/>
      </c>
      <c r="E382" s="3" t="inlineStr">
        <is>
          <t>អាស័យដ្ឋានលម្អិត</t>
        </is>
      </c>
      <c r="F382" s="3" t="n"/>
      <c r="G382" s="3" t="inlineStr">
        <is>
          <t>អាសយដ្ឋានលម្អិត</t>
        </is>
      </c>
      <c r="H382" t="inlineStr">
        <is>
          <t>អាសយដ្ឋានលម្អិត</t>
        </is>
      </c>
      <c r="I382" s="217" t="inlineStr">
        <is>
          <t>"taoDon.addressDetail": "អាសយដ្ឋានលម្អិត",</t>
        </is>
      </c>
      <c r="N382" s="3" t="inlineStr">
        <is>
          <t>អាសយដ្ឋានលម្អិត</t>
        </is>
      </c>
    </row>
    <row r="383" ht="15.75" customHeight="1" s="305">
      <c r="A383" s="3" t="inlineStr">
        <is>
          <t>taoDon.errorEmptyDetailAddress</t>
        </is>
      </c>
      <c r="B383" s="3" t="inlineStr">
        <is>
          <t>Địa chỉ chi tiết không được để trống</t>
        </is>
      </c>
      <c r="C383" s="3" t="inlineStr">
        <is>
          <t>Detailed address cannot be left blank</t>
        </is>
      </c>
      <c r="D383" s="3">
        <f>IFERROR(__xludf.DUMMYFUNCTION("GOOGLETRANSLATE(B383,""vi"",""km"")"),"វាលអាសយដ្ឋានមិនត្រូវទុកចោលឱ្យទទេឡើយ។")</f>
        <v/>
      </c>
      <c r="E383" s="3" t="inlineStr">
        <is>
          <t>អាស័យដ្ឋានលម្អិតមិនអាចទុកចន្លោះ</t>
        </is>
      </c>
      <c r="F383" s="3" t="n"/>
      <c r="G383" s="3" t="inlineStr">
        <is>
          <t>អាសយដ្ឋានលម្អិតមិនអាចទុកចន្លោះ</t>
        </is>
      </c>
      <c r="H383" t="inlineStr">
        <is>
          <t>អាសយដ្ឋានលម្អិតមិនអាចទុកចន្លោះ</t>
        </is>
      </c>
      <c r="I383" s="217" t="inlineStr">
        <is>
          <t>"taoDon.errorEmptyDetailAddress": "អាសយដ្ឋានលម្អិតមិនអាចទុកចន្លោះ",</t>
        </is>
      </c>
      <c r="N383" s="3" t="inlineStr">
        <is>
          <t>អាសយដ្ឋានលម្អិតមិនអាចទទេបានទេ</t>
        </is>
      </c>
    </row>
    <row r="384" ht="15.75" customHeight="1" s="305">
      <c r="A384" s="3" t="inlineStr">
        <is>
          <t>taoDon.senderAddressRequired</t>
        </is>
      </c>
      <c r="B384" s="3" t="inlineStr">
        <is>
          <t>Địa chỉ chi tiết người gửi không được để trống</t>
        </is>
      </c>
      <c r="C384" s="3" t="inlineStr">
        <is>
          <t>Sender's address details is required</t>
        </is>
      </c>
      <c r="D384" s="3">
        <f>IFERROR(__xludf.DUMMYFUNCTION("GOOGLETRANSLATE(B384,""vi"",""km"")"),"អាសយដ្ឋានលម្អិតរបស់អ្នកផ្ញើមិនត្រូវទុកចោលទទេឡើយ។")</f>
        <v/>
      </c>
      <c r="E384" s="3" t="inlineStr">
        <is>
          <t>អាស័យដ្ឋានលម្អិតពីអ្នកផ្ញើបញ្ញើមិនអាចទុកចន្លោះ</t>
        </is>
      </c>
      <c r="F384" s="3" t="n"/>
      <c r="G384" s="3" t="inlineStr">
        <is>
          <t>អាសយដ្ឋានលម្អិតពីអ្នកផ្ញើបញ្ញើមិនអាចទុកចន្លោះ</t>
        </is>
      </c>
      <c r="H384" t="inlineStr">
        <is>
          <t>អាសយដ្ឋានលម្អិតពីអ្នកផ្ញើបញ្ញើមិនអាចទុកចន្លោះ</t>
        </is>
      </c>
      <c r="I384" s="217" t="inlineStr">
        <is>
          <t>"taoDon.senderAddressRequired": "អាសយដ្ឋានលម្អិតពីអ្នកផ្ញើបញ្ញើមិនអាចទុកចន្លោះ",</t>
        </is>
      </c>
      <c r="N384" s="3" t="inlineStr">
        <is>
          <t>អាសយដ្ឋានលម្អិតអ្នកផ្ញើមិនអាចទទេបានទេ</t>
        </is>
      </c>
    </row>
    <row r="385" ht="15.75" customHeight="1" s="305">
      <c r="A385" s="3" t="inlineStr">
        <is>
          <t>taoDon.recipientAddressRequired</t>
        </is>
      </c>
      <c r="B385" s="3" t="inlineStr">
        <is>
          <t>Địa chỉ chi tiết người nhận không được để trống</t>
        </is>
      </c>
      <c r="C385" s="3" t="inlineStr">
        <is>
          <t>Recipient's address details is required</t>
        </is>
      </c>
      <c r="D385" s="3">
        <f>IFERROR(__xludf.DUMMYFUNCTION("GOOGLETRANSLATE(B385,""vi"",""km"")"),"ព័ត៌មានលម្អិតអំពីអាសយដ្ឋានរបស់អ្នកទទួលមិនត្រូវទុកចោលឱ្យនៅទទេឡើយ។")</f>
        <v/>
      </c>
      <c r="E385" s="3" t="inlineStr">
        <is>
          <t>អាស័យដ្ឋានលម្អិតពីអ្នកទទួលបញ្ញើមិនអាចទុកចន្លោះ</t>
        </is>
      </c>
      <c r="F385" s="3" t="n"/>
      <c r="G385" s="3" t="inlineStr">
        <is>
          <t>អាសយដ្ឋានលម្អិតពីអ្នកទទួលបញ្ញើមិនអាចទុកចន្លោះ</t>
        </is>
      </c>
      <c r="H385" t="inlineStr">
        <is>
          <t>អាសយដ្ឋានលម្អិតពីអ្នកទទួលបញ្ញើមិនអាចទុកចន្លោះ</t>
        </is>
      </c>
      <c r="I385" s="217" t="inlineStr">
        <is>
          <t>"taoDon.recipientAddressRequired": "អាសយដ្ឋានលម្អិតពីអ្នកទទួលបញ្ញើមិនអាចទុកចន្លោះ",</t>
        </is>
      </c>
      <c r="N385" s="3" t="inlineStr">
        <is>
          <t>អាសយដ្ឋានលម្អិតអ្នកទទួលមិនអាចទទេបានទេ</t>
        </is>
      </c>
    </row>
    <row r="386" ht="15.75" customHeight="1" s="305">
      <c r="A386" s="3" t="inlineStr">
        <is>
          <t>nhanLai.forwardingAddress</t>
        </is>
      </c>
      <c r="B386" s="3" t="inlineStr">
        <is>
          <t>Địa chỉ chuyển tiếp</t>
        </is>
      </c>
      <c r="C386" s="3" t="inlineStr">
        <is>
          <t>Forwarding address</t>
        </is>
      </c>
      <c r="D386" s="3">
        <f>IFERROR(__xludf.DUMMYFUNCTION("GOOGLETRANSLATE(B386,""vi"",""km"")"),"អាសយដ្ឋានបញ្ជូនបន្ត")</f>
        <v/>
      </c>
      <c r="E386" s="3" t="inlineStr">
        <is>
          <t>អាស័យដ្ឋានដើម្បីដឹកបន្ត</t>
        </is>
      </c>
      <c r="F386" s="3" t="n"/>
      <c r="G386" s="3" t="inlineStr">
        <is>
          <t>អាសយដ្ឋានដើម្បីដឹកបន្ត</t>
        </is>
      </c>
      <c r="H386" t="inlineStr">
        <is>
          <t>អាសយដ្ឋានដើម្បីដឹកបន្ត</t>
        </is>
      </c>
      <c r="I386" s="217" t="inlineStr">
        <is>
          <t>"nhanLai.forwardingAddress": "អាសយដ្ឋានដើម្បីដឹកបន្ត",</t>
        </is>
      </c>
      <c r="N386" s="163" t="inlineStr">
        <is>
          <t>អាសយដ្ឋានបញ្ជូនបន្ត</t>
        </is>
      </c>
    </row>
    <row r="387" ht="15.75" customHeight="1" s="305">
      <c r="A387" s="3" t="inlineStr">
        <is>
          <t>nhanLai.completeAddress</t>
        </is>
      </c>
      <c r="B387" s="3" t="inlineStr">
        <is>
          <t>Địa chỉ hoàn</t>
        </is>
      </c>
      <c r="C387" s="3" t="inlineStr">
        <is>
          <t>Return address</t>
        </is>
      </c>
      <c r="D387" s="3">
        <f>IFERROR(__xludf.DUMMYFUNCTION("GOOGLETRANSLATE(B387,""vi"",""km"")"),"អាសយដ្ឋានពេញលេញ")</f>
        <v/>
      </c>
      <c r="E387" s="3" t="inlineStr">
        <is>
          <t>អាស័យដ្ឋានត្រលប់</t>
        </is>
      </c>
      <c r="F387" s="3" t="n"/>
      <c r="G387" s="3" t="inlineStr">
        <is>
          <t>អាសយដ្ឋានត្រលប់</t>
        </is>
      </c>
      <c r="H387" t="inlineStr">
        <is>
          <t>អាសយដ្ឋានត្រលប់</t>
        </is>
      </c>
      <c r="I387" s="217" t="inlineStr">
        <is>
          <t>"nhanLai.completeAddress": "អាសយដ្ឋានត្រលប់",</t>
        </is>
      </c>
      <c r="N387" s="163" t="inlineStr">
        <is>
          <t>ត្រឡប់អាសយដ្ឋាន</t>
        </is>
      </c>
    </row>
    <row r="388" ht="15.75" customHeight="1" s="305">
      <c r="A388" s="3" t="inlineStr">
        <is>
          <t>taoDon.addressRequired</t>
        </is>
      </c>
      <c r="B388" s="3" t="inlineStr">
        <is>
          <t>Địa chỉ không được để trống</t>
        </is>
      </c>
      <c r="C388" s="3" t="inlineStr">
        <is>
          <t>Address details is required</t>
        </is>
      </c>
      <c r="D388" s="3">
        <f>IFERROR(__xludf.DUMMYFUNCTION("GOOGLETRANSLATE(B388,""vi"",""km"")"),"អាសយដ្ឋានមិនត្រូវទុកចោលទទេឡើយ។")</f>
        <v/>
      </c>
      <c r="E388" s="3" t="inlineStr">
        <is>
          <t>អាស័យដ្ឋានមិនអាចទុកចន្លោះ</t>
        </is>
      </c>
      <c r="F388" s="3" t="n"/>
      <c r="G388" s="3" t="inlineStr">
        <is>
          <t>អាសយដ្ឋានមិនអាចទុកចន្លោះ</t>
        </is>
      </c>
      <c r="H388" t="inlineStr">
        <is>
          <t>អាសយដ្ឋានមិនអាចទុកចន្លោះ</t>
        </is>
      </c>
      <c r="I388" s="217" t="inlineStr">
        <is>
          <t>"taoDon.addressRequired": "អាសយដ្ឋានមិនអាចទុកចន្លោះ",</t>
        </is>
      </c>
      <c r="N388" s="3" t="inlineStr">
        <is>
          <t>អាសយដ្ឋានមិនអាចទទេបានទេ</t>
        </is>
      </c>
    </row>
    <row r="389" ht="15.75" customHeight="1" s="305">
      <c r="A389" s="3" t="inlineStr">
        <is>
          <t>tongGiao.placeholderSearch</t>
        </is>
      </c>
      <c r="B389" s="3" t="inlineStr">
        <is>
          <t>Địa chỉ, SĐT hoặc mã đơn</t>
        </is>
      </c>
      <c r="C389" s="3" t="inlineStr">
        <is>
          <t>Enter address, phone number or postal slip code</t>
        </is>
      </c>
      <c r="D389" s="3">
        <f>IFERROR(__xludf.DUMMYFUNCTION("GOOGLETRANSLATE(B389,""vi"",""km"")"),"អាសយដ្ឋាន លេខទូរស័ព្ទ ឬលេខកូដបញ្ជាទិញ")</f>
        <v/>
      </c>
      <c r="E389" s="3" t="inlineStr">
        <is>
          <t>អាស័យដ្ឋាន លេខទូរស័ព្ទឬលេខកូដបុង</t>
        </is>
      </c>
      <c r="F389" s="3" t="n"/>
      <c r="G389" s="3" t="inlineStr">
        <is>
          <t>អាសយដ្ឋាន លេខទូរស័ព្ទឬលេខកូដបុង</t>
        </is>
      </c>
      <c r="H389" t="inlineStr">
        <is>
          <t>អាសយដ្ឋាន លេខទូរស័ព្ទឬលេខកូដបុង</t>
        </is>
      </c>
      <c r="I389" s="217" t="inlineStr">
        <is>
          <t>"tongGiao.placeholderSearch": "អាសយដ្ឋាន លេខទូរស័ព្ទឬលេខកូដបុង",</t>
        </is>
      </c>
      <c r="N389" s="3" t="inlineStr">
        <is>
          <t>អាសយដ្ឋាន លេខទូរស័ព្ទ ឬលេខកូដបញ្ញើ</t>
        </is>
      </c>
    </row>
    <row r="390" ht="15.75" customHeight="1" s="305">
      <c r="A390" s="3" t="inlineStr">
        <is>
          <t>common.hintSearch</t>
        </is>
      </c>
      <c r="B390" s="3" t="inlineStr">
        <is>
          <t>Địa chỉ, SĐT, mã đơn hoặc quét</t>
        </is>
      </c>
      <c r="C390" s="3" t="inlineStr">
        <is>
          <t>Enter address, phone number, tracking number or scan code</t>
        </is>
      </c>
      <c r="D390" s="3">
        <f>IFERROR(__xludf.DUMMYFUNCTION("GOOGLETRANSLATE(B390,""vi"",""km"")"),"អាសយដ្ឋាន លេខទូរស័ព្ទ លេខកូដបញ្ជាទិញ ឬស្កេន។")</f>
        <v/>
      </c>
      <c r="E390" s="3" t="inlineStr">
        <is>
          <t>អាស័យដ្ឋាន លេខទូរស័ព្ទ លេខកូដបុង ឬ ស្កេន</t>
        </is>
      </c>
      <c r="F390" s="3" t="n"/>
      <c r="G390" s="3" t="inlineStr">
        <is>
          <t>អាសយដ្ឋាន លេខទូរស័ព្ទ លេខកូដបុង ឬ ស្កេន</t>
        </is>
      </c>
      <c r="H390" t="inlineStr">
        <is>
          <t>អាសយដ្ឋាន លេខទូរស័ព្ទ លេខកូដបុង ឬ ស្កេន</t>
        </is>
      </c>
      <c r="I390" s="217" t="inlineStr">
        <is>
          <t>"common.hintSearch": "អាសយដ្ឋាន លេខទូរស័ព្ទ លេខកូដបុង ឬ ស្កេន",</t>
        </is>
      </c>
      <c r="N390" s="3" t="inlineStr">
        <is>
          <t>អាសយដ្ឋាន លេខទូរស័ព្ទ លេខកូដបញ្ជាទិញ ឬស្កេន</t>
        </is>
      </c>
    </row>
    <row r="391" ht="15.75" customHeight="1" s="305">
      <c r="A391" s="3" t="inlineStr">
        <is>
          <t>banGiao.service</t>
        </is>
      </c>
      <c r="B391" s="3" t="inlineStr">
        <is>
          <t>Dịch vụ</t>
        </is>
      </c>
      <c r="C391" s="3" t="inlineStr">
        <is>
          <t>Service</t>
        </is>
      </c>
      <c r="D391" s="3">
        <f>IFERROR(__xludf.DUMMYFUNCTION("GOOGLETRANSLATE(B391,""vi"",""km"")"),"សេវាកម្ម")</f>
        <v/>
      </c>
      <c r="E391" s="3" t="inlineStr">
        <is>
          <t>សេវាកម្ម</t>
        </is>
      </c>
      <c r="F391" s="3" t="n"/>
      <c r="G391" s="3" t="inlineStr">
        <is>
          <t>សេវាកម្ម</t>
        </is>
      </c>
      <c r="H391" t="inlineStr">
        <is>
          <t>សេវាកម្ម</t>
        </is>
      </c>
      <c r="I391" s="217" t="inlineStr">
        <is>
          <t>"banGiao.service": "សេវាកម្ម",</t>
        </is>
      </c>
      <c r="N391" s="3" t="inlineStr">
        <is>
          <t>សេវាកម្ម</t>
        </is>
      </c>
    </row>
    <row r="392" ht="15.75" customHeight="1" s="305">
      <c r="A392" s="3" t="inlineStr">
        <is>
          <t>taoDon.service</t>
        </is>
      </c>
      <c r="B392" s="3" t="inlineStr">
        <is>
          <t>Dịch vụ</t>
        </is>
      </c>
      <c r="C392" s="3" t="inlineStr">
        <is>
          <t>Service</t>
        </is>
      </c>
      <c r="D392" s="3">
        <f>IFERROR(__xludf.DUMMYFUNCTION("GOOGLETRANSLATE(B392,""vi"",""km"")"),"សេវាកម្ម")</f>
        <v/>
      </c>
      <c r="E392" s="3" t="inlineStr">
        <is>
          <t>សេវាកម្ម</t>
        </is>
      </c>
      <c r="F392" s="3" t="n"/>
      <c r="G392" s="3" t="inlineStr">
        <is>
          <t>សេវាកម្ម</t>
        </is>
      </c>
      <c r="H392" t="inlineStr">
        <is>
          <t>សេវាកម្ម</t>
        </is>
      </c>
      <c r="I392" s="217" t="inlineStr">
        <is>
          <t>"taoDon.service": "សេវាកម្ម",</t>
        </is>
      </c>
      <c r="N392" s="3" t="inlineStr">
        <is>
          <t>សេវាកម្ម</t>
        </is>
      </c>
    </row>
    <row r="393" ht="15.75" customHeight="1" s="305">
      <c r="A393" s="3" t="inlineStr">
        <is>
          <t>tongGiao.extraService</t>
        </is>
      </c>
      <c r="B393" s="3" t="inlineStr">
        <is>
          <t>Dịch vụ cộng thêm</t>
        </is>
      </c>
      <c r="C393" s="3" t="inlineStr">
        <is>
          <t>Extra service</t>
        </is>
      </c>
      <c r="D393" s="3">
        <f>IFERROR(__xludf.DUMMYFUNCTION("GOOGLETRANSLATE(B393,""vi"",""km"")"),"សេវាកម្មបន្ថែម")</f>
        <v/>
      </c>
      <c r="E393" s="3" t="inlineStr">
        <is>
          <t>សេវាកម្មបូកបន្ថែម</t>
        </is>
      </c>
      <c r="F393" s="3" t="n"/>
      <c r="G393" s="3" t="inlineStr">
        <is>
          <t>សេវាកម្មបន្ថែម</t>
        </is>
      </c>
      <c r="H393" t="inlineStr">
        <is>
          <t>សេវាកម្មបន្ថែម</t>
        </is>
      </c>
      <c r="I393" s="217" t="inlineStr">
        <is>
          <t>"tongGiao.extraService": "សេវាកម្មបន្ថែម",</t>
        </is>
      </c>
      <c r="N393" s="3" t="inlineStr">
        <is>
          <t>សេវាកម្មបញ្ថែម</t>
        </is>
      </c>
    </row>
    <row r="394" ht="15.75" customHeight="1" s="305">
      <c r="A394" s="3" t="inlineStr">
        <is>
          <t>suaDon.extraService</t>
        </is>
      </c>
      <c r="B394" s="3" t="inlineStr">
        <is>
          <t>Dịch vụ cộng thêm</t>
        </is>
      </c>
      <c r="C394" s="3" t="inlineStr">
        <is>
          <t>Extra Service</t>
        </is>
      </c>
      <c r="D394" s="3">
        <f>IFERROR(__xludf.DUMMYFUNCTION("GOOGLETRANSLATE(B394,""vi"",""km"")"),"សេវាកម្មបន្ថែម")</f>
        <v/>
      </c>
      <c r="E394" s="3" t="inlineStr">
        <is>
          <t>សេវាកម្មបូកបន្ថែម</t>
        </is>
      </c>
      <c r="F394" s="3" t="n"/>
      <c r="G394" s="3" t="inlineStr">
        <is>
          <t>សេវាកម្មបន្ថែម</t>
        </is>
      </c>
      <c r="H394" t="inlineStr">
        <is>
          <t>សេវាកម្មបន្ថែម</t>
        </is>
      </c>
      <c r="I394" s="217" t="inlineStr">
        <is>
          <t>"suaDon.extraService": "សេវាកម្មបន្ថែម",</t>
        </is>
      </c>
      <c r="N394" s="3" t="inlineStr">
        <is>
          <t>សេវាកម្មបញ្ថែម</t>
        </is>
      </c>
    </row>
    <row r="395" ht="15.75" customHeight="1" s="305">
      <c r="A395" s="3" t="inlineStr">
        <is>
          <t>suaDon.additionalServices</t>
        </is>
      </c>
      <c r="B395" s="3" t="inlineStr">
        <is>
          <t>Dịch vụ cộng thêm</t>
        </is>
      </c>
      <c r="C395" s="3" t="inlineStr">
        <is>
          <t>Extra Service</t>
        </is>
      </c>
      <c r="D395" s="3">
        <f>IFERROR(__xludf.DUMMYFUNCTION("GOOGLETRANSLATE(B395,""vi"",""km"")"),"សេវាកម្មបន្ថែម")</f>
        <v/>
      </c>
      <c r="E395" s="3" t="inlineStr">
        <is>
          <t>សេវាកម្មបូកបន្ថែម</t>
        </is>
      </c>
      <c r="F395" s="3" t="n"/>
      <c r="G395" s="3" t="inlineStr">
        <is>
          <t>សេវាកម្មបន្ថែម</t>
        </is>
      </c>
      <c r="H395" t="inlineStr">
        <is>
          <t>សេវាកម្មបន្ថែម</t>
        </is>
      </c>
      <c r="I395" s="217" t="inlineStr">
        <is>
          <t>"suaDon.additionalServices": "សេវាកម្មបន្ថែម",</t>
        </is>
      </c>
      <c r="N395" s="3" t="inlineStr">
        <is>
          <t>សេវាកម្ម​បន្ថែម</t>
        </is>
      </c>
    </row>
    <row r="396" ht="15.75" customHeight="1" s="305">
      <c r="A396" s="3" t="inlineStr">
        <is>
          <t>taoDon.additionalService</t>
        </is>
      </c>
      <c r="B396" s="3" t="inlineStr">
        <is>
          <t>Dịch vụ cộng thêm</t>
        </is>
      </c>
      <c r="C396" s="3" t="inlineStr">
        <is>
          <t>Extra service</t>
        </is>
      </c>
      <c r="D396" s="3">
        <f>IFERROR(__xludf.DUMMYFUNCTION("GOOGLETRANSLATE(B396,""vi"",""km"")"),"សេវាកម្មបន្ថែម")</f>
        <v/>
      </c>
      <c r="E396" s="3" t="inlineStr">
        <is>
          <t>សេវាកម្មបូកបន្ថែម</t>
        </is>
      </c>
      <c r="F396" s="3" t="n"/>
      <c r="G396" s="3" t="inlineStr">
        <is>
          <t>សេវាកម្មបន្ថែម</t>
        </is>
      </c>
      <c r="H396" t="inlineStr">
        <is>
          <t>សេវាកម្មបន្ថែម</t>
        </is>
      </c>
      <c r="I396" s="217" t="inlineStr">
        <is>
          <t>"taoDon.additionalService": "សេវាកម្មបន្ថែម",</t>
        </is>
      </c>
      <c r="N396" s="3" t="inlineStr">
        <is>
          <t>សេវាកម្មបន្ថែម</t>
        </is>
      </c>
    </row>
    <row r="397" ht="15.75" customHeight="1" s="305">
      <c r="A397" s="3" t="inlineStr">
        <is>
          <t>nhanHang.dvcongthem</t>
        </is>
      </c>
      <c r="B397" s="3" t="inlineStr">
        <is>
          <t>Dịch vụ cộng thêm:</t>
        </is>
      </c>
      <c r="C397" s="3" t="inlineStr">
        <is>
          <t>Extra-service:</t>
        </is>
      </c>
      <c r="D397" s="3">
        <f>IFERROR(__xludf.DUMMYFUNCTION("GOOGLETRANSLATE(B397,""vi"",""km"")"),"សេវាកម្មបន្ថែម៖")</f>
        <v/>
      </c>
      <c r="E397" s="3" t="inlineStr">
        <is>
          <t>សេវាកម្មបូកបន្ថែម</t>
        </is>
      </c>
      <c r="F397" s="3" t="n"/>
      <c r="G397" s="3" t="inlineStr">
        <is>
          <t>សេវាកម្មបូកបន្ថែម</t>
        </is>
      </c>
      <c r="H397" t="inlineStr">
        <is>
          <t>សេវាកម្មបូកបន្ថែម</t>
        </is>
      </c>
      <c r="I397" s="217" t="inlineStr">
        <is>
          <t>"nhanHang.dvcongthem": "សេវាកម្មបូកបន្ថែម",</t>
        </is>
      </c>
      <c r="N397" s="3" t="inlineStr">
        <is>
          <t>សេវាកម្មបន្ថែម៖</t>
        </is>
      </c>
    </row>
    <row r="398" ht="15.75" customHeight="1" s="305">
      <c r="A398" s="3" t="inlineStr">
        <is>
          <t>traCuoc.appropriateService</t>
        </is>
      </c>
      <c r="B398" s="3" t="inlineStr">
        <is>
          <t>Dịch vụ phù hợp</t>
        </is>
      </c>
      <c r="C398" s="3" t="inlineStr">
        <is>
          <t>Appropriate service</t>
        </is>
      </c>
      <c r="D398" s="3">
        <f>IFERROR(__xludf.DUMMYFUNCTION("GOOGLETRANSLATE(B398,""vi"",""km"")"),"សេវាកម្មសមស្រប")</f>
        <v/>
      </c>
      <c r="E398" s="3" t="inlineStr">
        <is>
          <t>សេវាកម្មសមស្រប</t>
        </is>
      </c>
      <c r="F398" s="3" t="n"/>
      <c r="G398" s="3" t="inlineStr">
        <is>
          <t>សេវាកម្មសមស្រប</t>
        </is>
      </c>
      <c r="H398" t="inlineStr">
        <is>
          <t>សេវាកម្មសមស្រប</t>
        </is>
      </c>
      <c r="I398" s="217" t="inlineStr">
        <is>
          <t>"traCuoc.appropriateService": "សេវាកម្មសមស្រប",</t>
        </is>
      </c>
      <c r="N398" s="3" t="inlineStr">
        <is>
          <t>សេវាកម្មសមស្រប</t>
        </is>
      </c>
    </row>
    <row r="399" ht="15.75" customHeight="1" s="305">
      <c r="A399" s="3" t="inlineStr">
        <is>
          <t>suaDon.service</t>
        </is>
      </c>
      <c r="B399" s="3" t="inlineStr">
        <is>
          <t>Dịch vụ:</t>
        </is>
      </c>
      <c r="C399" s="3" t="inlineStr">
        <is>
          <t>Service:</t>
        </is>
      </c>
      <c r="D399" s="3">
        <f>IFERROR(__xludf.DUMMYFUNCTION("GOOGLETRANSLATE(B399,""vi"",""km"")"),"សេវាកម្ម៖")</f>
        <v/>
      </c>
      <c r="E399" s="3" t="inlineStr">
        <is>
          <t>សេវាកម្ម៖</t>
        </is>
      </c>
      <c r="F399" s="3" t="n"/>
      <c r="G399" s="3" t="inlineStr">
        <is>
          <t>សេវាកម្ម៖</t>
        </is>
      </c>
      <c r="H399" t="inlineStr">
        <is>
          <t>សេវាកម្ម៖</t>
        </is>
      </c>
      <c r="I399" s="217" t="inlineStr">
        <is>
          <t>"suaDon.service": "សេវាកម្ម៖",</t>
        </is>
      </c>
      <c r="N399" s="3" t="inlineStr">
        <is>
          <t>សេវាកម្ម:</t>
        </is>
      </c>
    </row>
    <row r="400" ht="15.75" customHeight="1" s="305">
      <c r="A400" s="3" t="inlineStr">
        <is>
          <t>khaiThacDen.service</t>
        </is>
      </c>
      <c r="B400" s="3" t="inlineStr">
        <is>
          <t>Dịch vụ:</t>
        </is>
      </c>
      <c r="C400" s="3" t="inlineStr">
        <is>
          <t>Service:</t>
        </is>
      </c>
      <c r="D400" s="3">
        <f>IFERROR(__xludf.DUMMYFUNCTION("GOOGLETRANSLATE(B400,""vi"",""km"")"),"សេវាកម្ម៖")</f>
        <v/>
      </c>
      <c r="E400" s="3" t="inlineStr">
        <is>
          <t>សេវាកម្ម៖</t>
        </is>
      </c>
      <c r="F400" s="3" t="n"/>
      <c r="G400" s="3" t="inlineStr">
        <is>
          <t>សេវាកម្ម៖</t>
        </is>
      </c>
      <c r="H400" t="inlineStr">
        <is>
          <t>សេវាកម្ម៖</t>
        </is>
      </c>
      <c r="I400" s="217" t="inlineStr">
        <is>
          <t>"khaiThacDen.service": "សេវាកម្ម៖",</t>
        </is>
      </c>
      <c r="N400" s="3" t="inlineStr">
        <is>
          <t>សេវាកម្ម:</t>
        </is>
      </c>
    </row>
    <row r="401" ht="15.75" customHeight="1" s="305">
      <c r="A401" s="3" t="inlineStr">
        <is>
          <t>banGiao.quantityLBG</t>
        </is>
      </c>
      <c r="B401" s="3" t="inlineStr">
        <is>
          <t>điểm</t>
        </is>
      </c>
      <c r="C401" s="3" t="inlineStr">
        <is>
          <t>destination</t>
        </is>
      </c>
      <c r="D401" s="3">
        <f>IFERROR(__xludf.DUMMYFUNCTION("GOOGLETRANSLATE(B401,""vi"",""km"")"),"ចំណុច")</f>
        <v/>
      </c>
      <c r="E401" s="3" t="inlineStr">
        <is>
          <t>ទីតាំង</t>
        </is>
      </c>
      <c r="F401" s="3" t="n"/>
      <c r="G401" s="3" t="inlineStr">
        <is>
          <t>ទីតាំង</t>
        </is>
      </c>
      <c r="H401" t="inlineStr">
        <is>
          <t>ទីតាំង</t>
        </is>
      </c>
      <c r="I401" s="217" t="inlineStr">
        <is>
          <t>"banGiao.quantityLBG": "ទីតាំង",</t>
        </is>
      </c>
      <c r="N401" s="3" t="inlineStr">
        <is>
          <t>កន្លែងផ្ញើ</t>
        </is>
      </c>
    </row>
    <row r="402" ht="15.75" customHeight="1" s="305">
      <c r="A402" s="3" t="inlineStr">
        <is>
          <t>banGiao.handoverPoint</t>
        </is>
      </c>
      <c r="B402" s="3" t="inlineStr">
        <is>
          <t>Điểm bàn giao</t>
        </is>
      </c>
      <c r="C402" s="3" t="inlineStr">
        <is>
          <t>Handover point</t>
        </is>
      </c>
      <c r="D402" s="3">
        <f>IFERROR(__xludf.DUMMYFUNCTION("GOOGLETRANSLATE(B402,""vi"",""km"")"),"ចំណុចប្រគល់")</f>
        <v/>
      </c>
      <c r="E402" s="3" t="inlineStr">
        <is>
          <t>ទីតាំងប្រគល់អីវ៉ាន់</t>
        </is>
      </c>
      <c r="F402" s="3" t="n"/>
      <c r="G402" s="3" t="inlineStr">
        <is>
          <t>ទីតាំងប្រគល់អីវ៉ាន់</t>
        </is>
      </c>
      <c r="H402" t="inlineStr">
        <is>
          <t>ទីតាំងប្រគល់អីវ៉ាន់</t>
        </is>
      </c>
      <c r="I402" s="217" t="inlineStr">
        <is>
          <t>"banGiao.handoverPoint": "ទីតាំងប្រគល់អីវ៉ាន់",</t>
        </is>
      </c>
      <c r="N402" s="3" t="inlineStr">
        <is>
          <t>ចំណុចផ្ញើ</t>
        </is>
      </c>
    </row>
    <row r="403" ht="15.75" customHeight="1" s="305">
      <c r="A403" s="3" t="inlineStr">
        <is>
          <t>banGiao.titleDestination</t>
        </is>
      </c>
      <c r="B403" s="3" t="inlineStr">
        <is>
          <t>Điểm đến</t>
        </is>
      </c>
      <c r="C403" s="3" t="inlineStr">
        <is>
          <t>Destination</t>
        </is>
      </c>
      <c r="D403" s="3">
        <f>IFERROR(__xludf.DUMMYFUNCTION("GOOGLETRANSLATE(B403,""vi"",""km"")"),"គោលដៅ")</f>
        <v/>
      </c>
      <c r="E403" s="3" t="inlineStr">
        <is>
          <t>ទីតាំងមកដល់</t>
        </is>
      </c>
      <c r="F403" s="3" t="n"/>
      <c r="G403" s="3" t="inlineStr">
        <is>
          <t>គោលដៅ</t>
        </is>
      </c>
      <c r="H403" t="inlineStr">
        <is>
          <t>គោលដៅ</t>
        </is>
      </c>
      <c r="I403" s="217" t="inlineStr">
        <is>
          <t>"banGiao.titleDestination": "គោលដៅ",</t>
        </is>
      </c>
      <c r="N403" s="3" t="inlineStr">
        <is>
          <t>កន្លែងផ្ញើ</t>
        </is>
      </c>
    </row>
    <row r="404" ht="15.75" customHeight="1" s="305">
      <c r="A404" s="3" t="inlineStr">
        <is>
          <t>banGiao.diemDen</t>
        </is>
      </c>
      <c r="B404" s="3" t="inlineStr">
        <is>
          <t>Điểm đến</t>
        </is>
      </c>
      <c r="C404" s="3" t="inlineStr">
        <is>
          <t>Destination</t>
        </is>
      </c>
      <c r="D404" s="3">
        <f>IFERROR(__xludf.DUMMYFUNCTION("GOOGLETRANSLATE(B404,""vi"",""km"")"),"គោលដៅ")</f>
        <v/>
      </c>
      <c r="E404" s="3" t="inlineStr">
        <is>
          <t>ទីតាំងមកដល់</t>
        </is>
      </c>
      <c r="F404" s="3" t="n"/>
      <c r="G404" s="3" t="inlineStr">
        <is>
          <t>គោលដៅ</t>
        </is>
      </c>
      <c r="H404" t="inlineStr">
        <is>
          <t>គោលដៅ</t>
        </is>
      </c>
      <c r="I404" s="217" t="inlineStr">
        <is>
          <t>"banGiao.diemDen": "គោលដៅ",</t>
        </is>
      </c>
      <c r="N404" s="3" t="inlineStr">
        <is>
          <t>កន្លែងផ្ញើ</t>
        </is>
      </c>
    </row>
    <row r="405" ht="15.75" customHeight="1" s="305">
      <c r="A405" s="3" t="inlineStr">
        <is>
          <t>DongTai.destination</t>
        </is>
      </c>
      <c r="B405" s="3" t="inlineStr">
        <is>
          <t>điểm đến</t>
        </is>
      </c>
      <c r="C405" s="3" t="inlineStr">
        <is>
          <t>destination</t>
        </is>
      </c>
      <c r="D405" s="3">
        <f>IFERROR(__xludf.DUMMYFUNCTION("GOOGLETRANSLATE(B405,""vi"",""km"")"),"គោលដៅ")</f>
        <v/>
      </c>
      <c r="E405" s="3" t="inlineStr">
        <is>
          <t>ទីតាំងមកដល់</t>
        </is>
      </c>
      <c r="F405" s="3" t="n"/>
      <c r="G405" s="3" t="inlineStr">
        <is>
          <t>ទីតាំងមកដល់</t>
        </is>
      </c>
      <c r="H405" t="inlineStr">
        <is>
          <t>ទីតាំងមកដល់</t>
        </is>
      </c>
      <c r="I405" s="217" t="inlineStr">
        <is>
          <t>"DongTai.destination": "ទីតាំងមកដល់",</t>
        </is>
      </c>
      <c r="N405" s="3" t="inlineStr">
        <is>
          <t>ទីតាំង</t>
        </is>
      </c>
    </row>
    <row r="406" ht="15.75" customHeight="1" s="305">
      <c r="A406" s="3" t="inlineStr">
        <is>
          <t>tms.diemDen</t>
        </is>
      </c>
      <c r="B406" s="3" t="inlineStr">
        <is>
          <t>Điểm đến</t>
        </is>
      </c>
      <c r="C406" s="3" t="inlineStr">
        <is>
          <t>Destination</t>
        </is>
      </c>
      <c r="D406" s="3">
        <f>IFERROR(__xludf.DUMMYFUNCTION("GOOGLETRANSLATE(B406,""vi"",""km"")"),"គោលដៅ")</f>
        <v/>
      </c>
      <c r="E406" s="3" t="inlineStr">
        <is>
          <t>ទីតាំងមកដល់</t>
        </is>
      </c>
      <c r="F406" s="3" t="n"/>
      <c r="G406" s="3" t="inlineStr">
        <is>
          <t>គោលដៅ</t>
        </is>
      </c>
      <c r="H406" t="inlineStr">
        <is>
          <t>គោលដៅ</t>
        </is>
      </c>
      <c r="I406" s="217" t="inlineStr">
        <is>
          <t>"tms.diemDen": "គោលដៅ",</t>
        </is>
      </c>
      <c r="N406" s="3" t="inlineStr"/>
    </row>
    <row r="407" ht="15.75" customHeight="1" s="305">
      <c r="A407" s="3" t="inlineStr">
        <is>
          <t>home.diemguinhanhang</t>
        </is>
      </c>
      <c r="B407" s="3" t="inlineStr">
        <is>
          <t>Điểm gửi/nhận hàng</t>
        </is>
      </c>
      <c r="C407" s="3" t="inlineStr">
        <is>
          <t>Drop-off/Pick-up</t>
        </is>
      </c>
      <c r="D407" s="3">
        <f>IFERROR(__xludf.DUMMYFUNCTION("GOOGLETRANSLATE(B407,""vi"",""km"")"),"ចំណុចដឹកជញ្ជូន/ទទួល")</f>
        <v/>
      </c>
      <c r="E407" s="3" t="inlineStr">
        <is>
          <t>ទីតាំងបញ្ញើ/ទទួលអីវ៉ាន់</t>
        </is>
      </c>
      <c r="F407" s="3" t="n"/>
      <c r="G407" s="3" t="inlineStr">
        <is>
          <t>ទីតាំងបញ្ញើ/ទទួលអីវ៉ាន់</t>
        </is>
      </c>
      <c r="H407" t="inlineStr">
        <is>
          <t>ទីតាំងបញ្ញើ/ទទួលអីវ៉ាន់</t>
        </is>
      </c>
      <c r="I407" s="217" t="inlineStr">
        <is>
          <t>"home.diemguinhanhang": "ទីតាំងបញ្ញើ/ទទួលអីវ៉ាន់",</t>
        </is>
      </c>
      <c r="N407" s="3" t="inlineStr">
        <is>
          <t>ចំណុចបញ្ចូន/ទទួល</t>
        </is>
      </c>
    </row>
    <row r="408" ht="15.75" customHeight="1" s="305">
      <c r="A408" s="3" t="inlineStr">
        <is>
          <t>banGiao.quantityLuotBanGiao</t>
        </is>
      </c>
      <c r="B408" s="3" t="inlineStr">
        <is>
          <t>Điểm trả</t>
        </is>
      </c>
      <c r="C408" s="3" t="inlineStr">
        <is>
          <t>Pay point</t>
        </is>
      </c>
      <c r="D408" s="3">
        <f>IFERROR(__xludf.DUMMYFUNCTION("GOOGLETRANSLATE(B408,""vi"",""km"")"),"ចំណុចត្រឡប់មកវិញ")</f>
        <v/>
      </c>
      <c r="E408" s="3" t="inlineStr">
        <is>
          <t>ទីតាំងប្រគល់អីវ៉ាន់</t>
        </is>
      </c>
      <c r="F408" s="3" t="n"/>
      <c r="G408" s="3" t="inlineStr">
        <is>
          <t>ទីតាំងប្រគល់អីវ៉ាន់</t>
        </is>
      </c>
      <c r="H408" t="inlineStr">
        <is>
          <t>ទីតាំងប្រគល់អីវ៉ាន់</t>
        </is>
      </c>
      <c r="I408" s="217" t="inlineStr">
        <is>
          <t>"banGiao.quantityLuotBanGiao": "ទីតាំងប្រគល់អីវ៉ាន់",</t>
        </is>
      </c>
      <c r="N408" s="3" t="inlineStr">
        <is>
          <t>ចំណុចបង់ប្រាក់</t>
        </is>
      </c>
    </row>
    <row r="409" ht="15.75" customHeight="1" s="305">
      <c r="A409" s="3" t="inlineStr">
        <is>
          <t>home.dieuhanh</t>
        </is>
      </c>
      <c r="B409" s="3" t="inlineStr">
        <is>
          <t>Điều hành</t>
        </is>
      </c>
      <c r="C409" s="3" t="inlineStr">
        <is>
          <t>Operate</t>
        </is>
      </c>
      <c r="D409" s="3">
        <f>IFERROR(__xludf.DUMMYFUNCTION("GOOGLETRANSLATE(B409,""vi"",""km"")"),"ការគ្រប់គ្រង")</f>
        <v/>
      </c>
      <c r="E409" s="3" t="inlineStr">
        <is>
          <t>ប្រតិបត្តិការ</t>
        </is>
      </c>
      <c r="F409" s="3" t="n"/>
      <c r="G409" s="3" t="inlineStr">
        <is>
          <t>ប្រតិបត្តិការ</t>
        </is>
      </c>
      <c r="H409" t="inlineStr">
        <is>
          <t>ប្រតិបត្តិការ</t>
        </is>
      </c>
      <c r="I409" s="217" t="inlineStr">
        <is>
          <t>"home.dieuhanh": "ប្រតិបត្តិការ",</t>
        </is>
      </c>
      <c r="N409" s="3" t="inlineStr"/>
    </row>
    <row r="410" ht="15.75" customHeight="1" s="305">
      <c r="A410" s="3" t="inlineStr">
        <is>
          <t>setting.dieuHanh</t>
        </is>
      </c>
      <c r="B410" s="3" t="inlineStr">
        <is>
          <t>Điều hành</t>
        </is>
      </c>
      <c r="C410" s="3" t="inlineStr">
        <is>
          <t>Coordinate</t>
        </is>
      </c>
      <c r="D410" s="3">
        <f>IFERROR(__xludf.DUMMYFUNCTION("GOOGLETRANSLATE(B410,""vi"",""km"")"),"ការគ្រប់គ្រង")</f>
        <v/>
      </c>
      <c r="E410" s="3" t="inlineStr">
        <is>
          <t>ប្រតិបត្តិការ</t>
        </is>
      </c>
      <c r="F410" s="3" t="n"/>
      <c r="G410" s="3" t="inlineStr">
        <is>
          <t>ប្រតិបត្តិការ</t>
        </is>
      </c>
      <c r="H410" t="inlineStr">
        <is>
          <t>ប្រតិបត្តិការ</t>
        </is>
      </c>
      <c r="I410" s="217" t="inlineStr">
        <is>
          <t>"setting.dieuHanh": "ប្រតិបត្តិការ",</t>
        </is>
      </c>
      <c r="N410" s="3" t="inlineStr">
        <is>
          <t>ប្រតិបត្តិការ</t>
        </is>
      </c>
    </row>
    <row r="411" ht="15.75" customHeight="1" s="305">
      <c r="A411" s="3" t="inlineStr">
        <is>
          <t>home.PostofficeOperating</t>
        </is>
      </c>
      <c r="B411" s="3" t="inlineStr">
        <is>
          <t>Điều hành bưu cục</t>
        </is>
      </c>
      <c r="C411" s="3" t="inlineStr">
        <is>
          <t>Post Office Operation</t>
        </is>
      </c>
      <c r="D411" s="3">
        <f>IFERROR(__xludf.DUMMYFUNCTION("GOOGLETRANSLATE(B411,""vi"",""km"")"),"ការគ្រប់គ្រងការិយាល័យប្រៃសណីយ៍")</f>
        <v/>
      </c>
      <c r="E411" s="3" t="inlineStr">
        <is>
          <t>ប្រតិបត្តិការការិយាល័យប្រៃសណីយ៍</t>
        </is>
      </c>
      <c r="F411" s="3" t="n"/>
      <c r="G411" s="3" t="inlineStr">
        <is>
          <t>ប្រតិបត្តិការការិយាល័យប្រៃសណីយ៍</t>
        </is>
      </c>
      <c r="H411" t="inlineStr">
        <is>
          <t>ប្រតិបត្តិការការិយាល័យប្រៃសណីយ៍</t>
        </is>
      </c>
      <c r="I411" s="217" t="inlineStr">
        <is>
          <t>"home.PostofficeOperating": "ប្រតិបត្តិការការិយាល័យប្រៃសណីយ៍",</t>
        </is>
      </c>
      <c r="N411" s="3" t="inlineStr">
        <is>
          <t>ប្រតិបត្តិការប្រៃសណីយ៍</t>
        </is>
      </c>
    </row>
    <row r="412" ht="15.75" customHeight="1" s="305">
      <c r="A412" s="3" t="inlineStr">
        <is>
          <t>home.BranchOperating</t>
        </is>
      </c>
      <c r="B412" s="3" t="inlineStr">
        <is>
          <t>Điều hành chi nhánh</t>
        </is>
      </c>
      <c r="C412" s="3" t="inlineStr">
        <is>
          <t>Branch Operation</t>
        </is>
      </c>
      <c r="D412" s="3">
        <f>IFERROR(__xludf.DUMMYFUNCTION("GOOGLETRANSLATE(B412,""vi"",""km"")"),"អ្នកគ្រប់គ្រងសាខា")</f>
        <v/>
      </c>
      <c r="E412" s="3" t="inlineStr">
        <is>
          <t>ប្រតិបត្តិការសាខា</t>
        </is>
      </c>
      <c r="F412" s="3" t="n"/>
      <c r="G412" s="3" t="inlineStr">
        <is>
          <t>ប្រតិបត្តិការសាខា</t>
        </is>
      </c>
      <c r="H412" t="inlineStr">
        <is>
          <t>ប្រតិបត្តិការសាខា</t>
        </is>
      </c>
      <c r="I412" s="217" t="inlineStr">
        <is>
          <t>"home.BranchOperating": "ប្រតិបត្តិការសាខា",</t>
        </is>
      </c>
      <c r="N412" s="3" t="inlineStr">
        <is>
          <t>ប្រតិបត្តិការសាខា</t>
        </is>
      </c>
    </row>
    <row r="413" ht="15.75" customHeight="1" s="305">
      <c r="A413" s="3" t="inlineStr">
        <is>
          <t>register.rules</t>
        </is>
      </c>
      <c r="B413" s="3" t="inlineStr">
        <is>
          <t>Điều khoản &amp; chính sách của Metfone Express</t>
        </is>
      </c>
      <c r="C413" s="3" t="inlineStr">
        <is>
          <t>Terms of Use of Metfone Express!</t>
        </is>
      </c>
      <c r="D413" s="3">
        <f>IFERROR(__xludf.DUMMYFUNCTION("GOOGLETRANSLATE(B413,""vi"",""km"")"),"លក្ខខណ្ឌ និងគោលការណ៍របស់ Metfone Express")</f>
        <v/>
      </c>
      <c r="E413" s="3" t="inlineStr">
        <is>
          <t>លក្ខខណ្ឌ និងគោលការណ៍ Metfone Express</t>
        </is>
      </c>
      <c r="F413" s="3" t="n"/>
      <c r="G413" s="3" t="inlineStr">
        <is>
          <t>លក្ខខណ្ឌ និងគោលការណ៍ Metfone Express</t>
        </is>
      </c>
      <c r="H413" t="inlineStr">
        <is>
          <t>លក្ខខណ្ឌ និងគោលការណ៍ Metfone Express</t>
        </is>
      </c>
      <c r="I413" s="217" t="inlineStr">
        <is>
          <t>"register.rules": "លក្ខខណ្ឌ និងគោលការណ៍ Metfone Express",</t>
        </is>
      </c>
      <c r="N413" s="3" t="inlineStr">
        <is>
          <t>លក្ខខណ្ឌ និងគោលនយោបាយរបស់ Metfone Express</t>
        </is>
      </c>
    </row>
    <row r="414" ht="15.75" customHeight="1" s="305">
      <c r="A414" s="3" t="inlineStr">
        <is>
          <t>setting.rulePassword2</t>
        </is>
      </c>
      <c r="B414" s="3" t="inlineStr">
        <is>
          <t>Độ dài tối thiểu 8 ký tự và tối đa 20 ký tự</t>
        </is>
      </c>
      <c r="C414" s="3" t="inlineStr">
        <is>
          <t>Password must be 8-20 characters long</t>
        </is>
      </c>
      <c r="D414" s="3">
        <f>IFERROR(__xludf.DUMMYFUNCTION("GOOGLETRANSLATE(B414,""vi"",""km"")"),"ប្រវែងអប្បបរមាគឺ ៨ តួអក្សរ និងអតិបរមាគឺ ២០ តួអក្សរ។")</f>
        <v/>
      </c>
      <c r="E414" s="3" t="inlineStr">
        <is>
          <t>ប្រវែងអប្បបរមា 8 តួអក្សរលេខ និងអតិបរមា 20 តួអក្សរលេខ</t>
        </is>
      </c>
      <c r="F414" s="3" t="n"/>
      <c r="G414" s="3" t="inlineStr">
        <is>
          <t>ប្រវែងអប្បបរមា 8 តួអក្សរលេខ និងអតិបរមា 20 តួអក្សរលេខ</t>
        </is>
      </c>
      <c r="H414" t="inlineStr">
        <is>
          <t>ប្រវែងអប្បបរមា 8 តួអក្សរលេខ និងអតិបរមា 20 តួអក្សរលេខ</t>
        </is>
      </c>
      <c r="I414" s="217" t="inlineStr">
        <is>
          <t>"setting.rulePassword2": "ប្រវែងអប្បបរមា 8 តួអក្សរលេខ និងអតិបរមា 20 តួអក្សរលេខ",</t>
        </is>
      </c>
      <c r="N414" s="3" t="inlineStr">
        <is>
          <t>Minimum length 8 characters and maximum 20 characters</t>
        </is>
      </c>
    </row>
    <row r="415" ht="15.75" customHeight="1" s="305">
      <c r="A415" s="3" t="inlineStr">
        <is>
          <t>forgotPassword.required1</t>
        </is>
      </c>
      <c r="B415" s="3" t="inlineStr">
        <is>
          <t>Độ dài từ 8 - 20 ký tự</t>
        </is>
      </c>
      <c r="C415" s="3" t="inlineStr">
        <is>
          <t xml:space="preserve">8 - 20 characters long </t>
        </is>
      </c>
      <c r="D415" s="3">
        <f>IFERROR(__xludf.DUMMYFUNCTION("GOOGLETRANSLATE(B415,""vi"",""km"")"),"ប្រវែង៖ ៨-២០ តួអក្សរ")</f>
        <v/>
      </c>
      <c r="E415" s="3" t="inlineStr">
        <is>
          <t>ប្រវែង 8 - 20 តួអក្សរលេខ</t>
        </is>
      </c>
      <c r="F415" s="3" t="n"/>
      <c r="G415" s="3" t="inlineStr">
        <is>
          <t>ប្រវែង 8 - 20 តួអក្សរលេខ</t>
        </is>
      </c>
      <c r="H415" t="inlineStr">
        <is>
          <t>ប្រវែង 8 - 20 តួអក្សរលេខ</t>
        </is>
      </c>
      <c r="I415" s="217" t="inlineStr">
        <is>
          <t>"forgotPassword.required1": "ប្រវែង 8 - 20 តួអក្សរលេខ",</t>
        </is>
      </c>
      <c r="N415" s="3" t="inlineStr">
        <is>
          <t>ប្រវែងពី ៨ ទៅ ២០ តួអក្សរ</t>
        </is>
      </c>
    </row>
    <row r="416" ht="15.75" customHeight="1" s="305">
      <c r="A416" s="3" t="inlineStr">
        <is>
          <t>change_password.max_length</t>
        </is>
      </c>
      <c r="B416" s="3" t="inlineStr">
        <is>
          <t>Độ dài từ 8 - 20 ký tự</t>
        </is>
      </c>
      <c r="C416" s="3" t="inlineStr">
        <is>
          <t>Length 8–20 characters</t>
        </is>
      </c>
      <c r="D416" s="3">
        <f>IFERROR(__xludf.DUMMYFUNCTION("GOOGLETRANSLATE(B416,""vi"",""km"")"),"ប្រវែង៖ ៨-២០ តួអក្សរ")</f>
        <v/>
      </c>
      <c r="E416" s="3" t="inlineStr">
        <is>
          <t>ប្រវែង ៨ - ២០ តួអក្សរលេខ</t>
        </is>
      </c>
      <c r="F416" s="3" t="n"/>
      <c r="G416" s="3" t="inlineStr">
        <is>
          <t>ប្រវែង ៨ - ២០ តួអក្សរលេខ</t>
        </is>
      </c>
      <c r="H416" t="inlineStr">
        <is>
          <t>ប្រវែង ៨ - ២០ តួអក្សរលេខ</t>
        </is>
      </c>
      <c r="I416" s="217" t="inlineStr">
        <is>
          <t>"change_password.max_length": "ប្រវែង ៨ - ២០ តួអក្សរលេខ",</t>
        </is>
      </c>
      <c r="N416" s="3" t="inlineStr">
        <is>
          <t>ប្រវែង 8–20 តួអក្សរ</t>
        </is>
      </c>
    </row>
    <row r="417" ht="15.75" customHeight="1" s="305">
      <c r="A417" s="3" t="inlineStr">
        <is>
          <t>setting.reverstBC</t>
        </is>
      </c>
      <c r="B417" s="3" t="inlineStr">
        <is>
          <t>Đổi bưu cục</t>
        </is>
      </c>
      <c r="C417" s="3" t="inlineStr">
        <is>
          <t>Change post office</t>
        </is>
      </c>
      <c r="D417" s="3">
        <f>IFERROR(__xludf.DUMMYFUNCTION("GOOGLETRANSLATE(B417,""vi"",""km"")"),"ប្តូរការិយាល័យប្រៃសណីយ៍")</f>
        <v/>
      </c>
      <c r="E417" s="3" t="inlineStr">
        <is>
          <t>ផ្លាស់ប្តូរការិយាល័យប្រៃសណីយ៍</t>
        </is>
      </c>
      <c r="F417" s="3" t="n"/>
      <c r="G417" s="3" t="inlineStr">
        <is>
          <t>ផ្លាស់ប្តូរការិយាល័យប្រៃសណីយ៍</t>
        </is>
      </c>
      <c r="H417" t="inlineStr">
        <is>
          <t>ផ្លាស់ប្តូរការិយាល័យប្រៃសណីយ៍</t>
        </is>
      </c>
      <c r="I417" s="217" t="inlineStr">
        <is>
          <t>"setting.reverstBC": "ផ្លាស់ប្តូរការិយាល័យប្រៃសណីយ៍",</t>
        </is>
      </c>
      <c r="N417" s="3" t="inlineStr">
        <is>
          <t>ប្តូរការរិយាល័យបញ្ញើ</t>
        </is>
      </c>
    </row>
    <row r="418" ht="15.75" customHeight="1" s="305">
      <c r="A418" s="3" t="inlineStr">
        <is>
          <t>login.changePostOfficeSuccess</t>
        </is>
      </c>
      <c r="B418" s="3" t="inlineStr">
        <is>
          <t>Đổi bưu cục thành công</t>
        </is>
      </c>
      <c r="C418" s="3" t="inlineStr">
        <is>
          <t>Change post office successfully</t>
        </is>
      </c>
      <c r="D418" s="3">
        <f>IFERROR(__xludf.DUMMYFUNCTION("GOOGLETRANSLATE(B418,""vi"",""km"")"),"ការផ្លាស់ប្ដូរសេវាប្រៃសណីយ៍បានជោគជ័យ។")</f>
        <v/>
      </c>
      <c r="E418" s="3" t="inlineStr">
        <is>
          <t>ការផ្លាស់ប្តូរការិយាល័យប្រៃសណីយ៍បានជោគជ័យ</t>
        </is>
      </c>
      <c r="F418" s="3" t="n"/>
      <c r="G418" s="3" t="inlineStr">
        <is>
          <t>ការផ្លាស់ប្តូរការិយាល័យប្រៃសណីយ៍បានជោគជ័យ</t>
        </is>
      </c>
      <c r="H418" t="inlineStr">
        <is>
          <t>ការផ្លាស់ប្តូរការិយាល័យប្រៃសណីយ៍បានជោគជ័យ</t>
        </is>
      </c>
      <c r="I418" s="217" t="inlineStr">
        <is>
          <t>"login.changePostOfficeSuccess": "ការផ្លាស់ប្តូរការិយាល័យប្រៃសណីយ៍បានជោគជ័យ",</t>
        </is>
      </c>
      <c r="N418" s="3" t="inlineStr">
        <is>
          <t>ផ្លាស់ប្តូរការិយាល័យបញ្ញើដោយជោគជ័យ</t>
        </is>
      </c>
    </row>
    <row r="419" ht="15.75" customHeight="1" s="305">
      <c r="A419" s="3" t="inlineStr">
        <is>
          <t>login.changePostOfficeFail</t>
        </is>
      </c>
      <c r="B419" s="3" t="inlineStr">
        <is>
          <t>Đổi bưu cục thất bại</t>
        </is>
      </c>
      <c r="C419" s="3" t="inlineStr">
        <is>
          <t>Post office change failed</t>
        </is>
      </c>
      <c r="D419" s="3">
        <f>IFERROR(__xludf.DUMMYFUNCTION("GOOGLETRANSLATE(B419,""vi"",""km"")"),"ការផ្លាស់ប្ដូរការិយាល័យប្រៃសណីយ៍បរាជ័យ។")</f>
        <v/>
      </c>
      <c r="E419" s="3" t="inlineStr">
        <is>
          <t>ការផ្លាស់ប្តូរប្រៃសណីយ៍បានបរាជ័យ</t>
        </is>
      </c>
      <c r="F419" s="3" t="n"/>
      <c r="G419" s="3" t="inlineStr">
        <is>
          <t>ការផ្លាស់ប្តូរប្រៃសណីយ៍បានបរាជ័យ</t>
        </is>
      </c>
      <c r="H419" t="inlineStr">
        <is>
          <t>ការផ្លាស់ប្តូរប្រៃសណីយ៍បានបរាជ័យ</t>
        </is>
      </c>
      <c r="I419" s="217" t="inlineStr">
        <is>
          <t>"login.changePostOfficeFail": "ការផ្លាស់ប្តូរប្រៃសណីយ៍បានបរាជ័យ",</t>
        </is>
      </c>
      <c r="N419" s="3" t="inlineStr">
        <is>
          <t>ការផ្លាស់ប្តូរការិយាល័យបញ្ញើបានបរាជ័យ</t>
        </is>
      </c>
    </row>
    <row r="420" ht="15.75" customHeight="1" s="305">
      <c r="A420" s="3" t="inlineStr">
        <is>
          <t>setting.changePassword</t>
        </is>
      </c>
      <c r="B420" s="3" t="inlineStr">
        <is>
          <t>Đổi mật khẩu</t>
        </is>
      </c>
      <c r="C420" s="3" t="inlineStr">
        <is>
          <t>Change password</t>
        </is>
      </c>
      <c r="D420" s="3">
        <f>IFERROR(__xludf.DUMMYFUNCTION("GOOGLETRANSLATE(B420,""vi"",""km"")"),"ប្តូរពាក្យសម្ងាត់")</f>
        <v/>
      </c>
      <c r="E420" s="3" t="inlineStr">
        <is>
          <t>ផ្លាស់ប្តូរពាក្យសម្ងាត់</t>
        </is>
      </c>
      <c r="F420" s="3" t="n"/>
      <c r="G420" s="3" t="inlineStr">
        <is>
          <t>ផ្លាស់ប្តូរពាក្យសម្ងាត់</t>
        </is>
      </c>
      <c r="H420" t="inlineStr">
        <is>
          <t>ផ្លាស់ប្តូរពាក្យសម្ងាត់</t>
        </is>
      </c>
      <c r="I420" s="217" t="inlineStr">
        <is>
          <t>"setting.changePassword": "ផ្លាស់ប្តូរពាក្យសម្ងាត់",</t>
        </is>
      </c>
      <c r="N420" s="3" t="inlineStr">
        <is>
          <t>Change password</t>
        </is>
      </c>
    </row>
    <row r="421" ht="15.75" customHeight="1" s="305">
      <c r="A421" s="3" t="inlineStr">
        <is>
          <t>change_password.change_password</t>
        </is>
      </c>
      <c r="B421" s="3" t="inlineStr">
        <is>
          <t>Đổi mật khẩu</t>
        </is>
      </c>
      <c r="C421" s="3" t="inlineStr">
        <is>
          <t>Change password</t>
        </is>
      </c>
      <c r="D421" s="3">
        <f>IFERROR(__xludf.DUMMYFUNCTION("GOOGLETRANSLATE(B421,""vi"",""km"")"),"ប្តូរពាក្យសម្ងាត់")</f>
        <v/>
      </c>
      <c r="E421" s="3" t="inlineStr">
        <is>
          <t>ផ្លាស់ប្តូរពាក្យសម្ងាត់</t>
        </is>
      </c>
      <c r="F421" s="3" t="n"/>
      <c r="G421" s="3" t="inlineStr">
        <is>
          <t>ផ្លាស់ប្តូរពាក្យសម្ងាត់</t>
        </is>
      </c>
      <c r="H421" t="inlineStr">
        <is>
          <t>ផ្លាស់ប្តូរពាក្យសម្ងាត់</t>
        </is>
      </c>
      <c r="I421" s="217" t="inlineStr">
        <is>
          <t>"change_password.change_password": "ផ្លាស់ប្តូរពាក្យសម្ងាត់",</t>
        </is>
      </c>
      <c r="N421" s="3" t="inlineStr">
        <is>
          <t>ផ្លាស់ប្តូរពាក្យសម្ងាត់</t>
        </is>
      </c>
    </row>
    <row r="422" ht="15.75" customHeight="1" s="305">
      <c r="A422" s="3" t="inlineStr">
        <is>
          <t>setting.language</t>
        </is>
      </c>
      <c r="B422" s="3" t="inlineStr">
        <is>
          <t>Đổi ngôn ngữ</t>
        </is>
      </c>
      <c r="C422" s="3" t="inlineStr">
        <is>
          <t>Language</t>
        </is>
      </c>
      <c r="D422" s="3">
        <f>IFERROR(__xludf.DUMMYFUNCTION("GOOGLETRANSLATE(B422,""vi"",""km"")"),"ប្តូរភាសា")</f>
        <v/>
      </c>
      <c r="E422" s="3" t="inlineStr">
        <is>
          <t>ផ្លាស់ប្តូរភាសា</t>
        </is>
      </c>
      <c r="F422" s="3" t="n"/>
      <c r="G422" s="3" t="inlineStr">
        <is>
          <t>ផ្លាស់ប្តូរភាសា</t>
        </is>
      </c>
      <c r="H422" t="inlineStr">
        <is>
          <t>ផ្លាស់ប្តូរភាសា</t>
        </is>
      </c>
      <c r="I422" s="217" t="inlineStr">
        <is>
          <t>"setting.language": "ផ្លាស់ប្តូរភាសា",</t>
        </is>
      </c>
      <c r="N422" s="3" t="inlineStr">
        <is>
          <t>ភាសាកម្មវិធី</t>
        </is>
      </c>
    </row>
    <row r="423" ht="15.75" customHeight="1" s="305">
      <c r="A423" s="3" t="inlineStr">
        <is>
          <t>login.changeCountry</t>
        </is>
      </c>
      <c r="B423" s="3" t="inlineStr">
        <is>
          <t>Đổi quốc gia</t>
        </is>
      </c>
      <c r="C423" s="3" t="inlineStr">
        <is>
          <t>Change the country</t>
        </is>
      </c>
      <c r="D423" s="3">
        <f>IFERROR(__xludf.DUMMYFUNCTION("GOOGLETRANSLATE(B423,""vi"",""km"")"),"ប្តូរប្រទេស")</f>
        <v/>
      </c>
      <c r="E423" s="3" t="inlineStr">
        <is>
          <t>ផ្លាស់ប្តូរប្រទេស</t>
        </is>
      </c>
      <c r="F423" s="3" t="n"/>
      <c r="G423" s="3" t="inlineStr">
        <is>
          <t>ផ្លាស់ប្តូរប្រទេស</t>
        </is>
      </c>
      <c r="H423" t="inlineStr">
        <is>
          <t>ផ្លាស់ប្តូរប្រទេស</t>
        </is>
      </c>
      <c r="I423" s="217" t="inlineStr">
        <is>
          <t>"login.changeCountry": "ផ្លាស់ប្តូរប្រទេស",</t>
        </is>
      </c>
      <c r="N423" s="3" t="inlineStr">
        <is>
          <t>ផ្លាស់ប្តូរប្រទេស</t>
        </is>
      </c>
    </row>
    <row r="424" ht="15.75" customHeight="1" s="305">
      <c r="A424" s="3" t="inlineStr">
        <is>
          <t>suaDon.titleReturnGoods</t>
        </is>
      </c>
      <c r="B424" s="3" t="inlineStr">
        <is>
          <t>Đổi trả hành hoá</t>
        </is>
      </c>
      <c r="C424" s="3" t="inlineStr">
        <is>
          <t>Items exchange</t>
        </is>
      </c>
      <c r="D424" s="3">
        <f>IFERROR(__xludf.DUMMYFUNCTION("GOOGLETRANSLATE(B424,""vi"",""km"")"),"ការប្រគល់ ឬ ការដោះដូរទំនិញ")</f>
        <v/>
      </c>
      <c r="E424" s="3" t="inlineStr">
        <is>
          <t>ប្តូរប្រភេទអីវ៉ាន់</t>
        </is>
      </c>
      <c r="F424" s="3" t="n"/>
      <c r="G424" s="3" t="inlineStr">
        <is>
          <t>ប្តូរប្រភេទអីវ៉ាន់</t>
        </is>
      </c>
      <c r="H424" t="inlineStr">
        <is>
          <t>ប្តូរប្រភេទអីវ៉ាន់</t>
        </is>
      </c>
      <c r="I424" s="217" t="inlineStr">
        <is>
          <t>"suaDon.titleReturnGoods": "ប្តូរប្រភេទអីវ៉ាន់",</t>
        </is>
      </c>
      <c r="N424" s="3" t="inlineStr">
        <is>
          <t>ប្រគល់ទំនិញវិញ</t>
        </is>
      </c>
    </row>
    <row r="425" ht="15.75" customHeight="1" s="305">
      <c r="A425" s="3" t="inlineStr">
        <is>
          <t>banGiao.titleFilterObject</t>
        </is>
      </c>
      <c r="B425" s="3" t="inlineStr">
        <is>
          <t>Đối tượng</t>
        </is>
      </c>
      <c r="C425" s="3" t="inlineStr">
        <is>
          <t>Actor</t>
        </is>
      </c>
      <c r="D425" s="3">
        <f>IFERROR(__xludf.DUMMYFUNCTION("GOOGLETRANSLATE(B425,""vi"",""km"")"),"វត្ថុ")</f>
        <v/>
      </c>
      <c r="E425" s="3" t="inlineStr">
        <is>
          <t>មុខសញ្ញា</t>
        </is>
      </c>
      <c r="F425" s="3" t="n"/>
      <c r="G425" s="3" t="inlineStr">
        <is>
          <t>មុខសញ្ញា</t>
        </is>
      </c>
      <c r="H425" t="inlineStr">
        <is>
          <t>មុខសញ្ញា</t>
        </is>
      </c>
      <c r="I425" s="217" t="inlineStr">
        <is>
          <t>"banGiao.titleFilterObject": "មុខសញ្ញា",</t>
        </is>
      </c>
      <c r="N425" s="3" t="inlineStr">
        <is>
          <t>អ្នករួមចំណែក</t>
        </is>
      </c>
    </row>
    <row r="426" ht="15.75" customHeight="1" s="305">
      <c r="A426" s="3" t="inlineStr">
        <is>
          <t>common.order</t>
        </is>
      </c>
      <c r="B426" s="3" t="inlineStr">
        <is>
          <t>đơn</t>
        </is>
      </c>
      <c r="C426" s="3" t="inlineStr">
        <is>
          <t>Order</t>
        </is>
      </c>
      <c r="D426" s="3">
        <f>IFERROR(__xludf.DUMMYFUNCTION("GOOGLETRANSLATE(B426,""vi"",""km"")"),"នៅលីវ")</f>
        <v/>
      </c>
      <c r="E426" s="3" t="inlineStr">
        <is>
          <t>បុងបញ្ញើ</t>
        </is>
      </c>
      <c r="F426" s="3" t="n"/>
      <c r="G426" s="3" t="inlineStr">
        <is>
          <t>បុងបញ្ញើ</t>
        </is>
      </c>
      <c r="H426" t="inlineStr">
        <is>
          <t>បុងបញ្ញើ</t>
        </is>
      </c>
      <c r="I426" s="217" t="inlineStr">
        <is>
          <t>"common.order": "បុងបញ្ញើ",</t>
        </is>
      </c>
      <c r="N426" s="3" t="inlineStr">
        <is>
          <t>លេខកូដបញ្ជាទិញ</t>
        </is>
      </c>
    </row>
    <row r="427" ht="15.75" customHeight="1" s="305">
      <c r="A427" s="3" t="inlineStr">
        <is>
          <t>banGiao.order</t>
        </is>
      </c>
      <c r="B427" s="3" t="inlineStr">
        <is>
          <t>đơn</t>
        </is>
      </c>
      <c r="C427" s="3" t="inlineStr">
        <is>
          <t>order</t>
        </is>
      </c>
      <c r="D427" s="3">
        <f>IFERROR(__xludf.DUMMYFUNCTION("GOOGLETRANSLATE(B427,""vi"",""km"")"),"នៅលីវ")</f>
        <v/>
      </c>
      <c r="E427" s="3" t="inlineStr">
        <is>
          <t>បុងបញ្ញើ</t>
        </is>
      </c>
      <c r="F427" s="3" t="n"/>
      <c r="G427" s="3" t="inlineStr">
        <is>
          <t>បុងបញ្ញើ</t>
        </is>
      </c>
      <c r="H427" t="inlineStr">
        <is>
          <t>បុងបញ្ញើ</t>
        </is>
      </c>
      <c r="I427" s="217" t="inlineStr">
        <is>
          <t>"banGiao.order": "បុងបញ្ញើ",</t>
        </is>
      </c>
      <c r="N427" s="3" t="inlineStr">
        <is>
          <t>បញ្ជាទិញ</t>
        </is>
      </c>
    </row>
    <row r="428" ht="15.75" customHeight="1" s="305">
      <c r="A428" s="3" t="inlineStr">
        <is>
          <t>banGiao.filterDon</t>
        </is>
      </c>
      <c r="B428" s="3" t="inlineStr">
        <is>
          <t>Đơn</t>
        </is>
      </c>
      <c r="C428" s="3" t="inlineStr">
        <is>
          <t>Order</t>
        </is>
      </c>
      <c r="D428" s="3">
        <f>IFERROR(__xludf.DUMMYFUNCTION("GOOGLETRANSLATE(B428,""vi"",""km"")"),"នៅលីវ")</f>
        <v/>
      </c>
      <c r="E428" s="3" t="inlineStr">
        <is>
          <t>បុងបញ្ញើ</t>
        </is>
      </c>
      <c r="F428" s="3" t="n"/>
      <c r="G428" s="3" t="inlineStr">
        <is>
          <t>បុងបញ្ញើ</t>
        </is>
      </c>
      <c r="H428" t="inlineStr">
        <is>
          <t>បុងបញ្ញើ</t>
        </is>
      </c>
      <c r="I428" s="217" t="inlineStr">
        <is>
          <t>"banGiao.filterDon": "បុងបញ្ញើ",</t>
        </is>
      </c>
      <c r="N428" s="3" t="inlineStr"/>
    </row>
    <row r="429" ht="15.75" customHeight="1" s="305">
      <c r="A429" s="3" t="inlineStr">
        <is>
          <t>DongTai.order</t>
        </is>
      </c>
      <c r="B429" s="3" t="inlineStr">
        <is>
          <t>đơn</t>
        </is>
      </c>
      <c r="C429" s="3" t="inlineStr">
        <is>
          <t>order</t>
        </is>
      </c>
      <c r="D429" s="3">
        <f>IFERROR(__xludf.DUMMYFUNCTION("GOOGLETRANSLATE(B429,""vi"",""km"")"),"នៅលីវ")</f>
        <v/>
      </c>
      <c r="E429" s="3" t="inlineStr">
        <is>
          <t>បុងបញ្ញើ</t>
        </is>
      </c>
      <c r="F429" s="3" t="n"/>
      <c r="G429" s="3" t="inlineStr">
        <is>
          <t>បុងបញ្ញើ</t>
        </is>
      </c>
      <c r="H429" t="inlineStr">
        <is>
          <t>បុងបញ្ញើ</t>
        </is>
      </c>
      <c r="I429" s="217" t="inlineStr">
        <is>
          <t>"DongTai.order": "បុងបញ្ញើ",</t>
        </is>
      </c>
      <c r="N429" s="3" t="inlineStr">
        <is>
          <t>ការបញ្ជាទិញ</t>
        </is>
      </c>
    </row>
    <row r="430" ht="15.75" customHeight="1" s="305">
      <c r="A430" s="3" t="inlineStr">
        <is>
          <t>GiaoHangNew.orders</t>
        </is>
      </c>
      <c r="B430" s="3" t="inlineStr">
        <is>
          <t>đơn</t>
        </is>
      </c>
      <c r="C430" s="3" t="inlineStr">
        <is>
          <t>orders</t>
        </is>
      </c>
      <c r="D430" s="3">
        <f>IFERROR(__xludf.DUMMYFUNCTION("GOOGLETRANSLATE(B430,""vi"",""km"")"),"នៅលីវ")</f>
        <v/>
      </c>
      <c r="E430" s="3" t="inlineStr">
        <is>
          <t>បុងបញ្ញើ</t>
        </is>
      </c>
      <c r="F430" s="3" t="n"/>
      <c r="G430" s="3" t="inlineStr">
        <is>
          <t>បុងបញ្ញើ</t>
        </is>
      </c>
      <c r="H430" t="inlineStr">
        <is>
          <t>បុងបញ្ញើ</t>
        </is>
      </c>
      <c r="I430" s="217" t="inlineStr">
        <is>
          <t>"GiaoHangNew.orders": "បុងបញ្ញើ",</t>
        </is>
      </c>
      <c r="N430" s="3" t="inlineStr"/>
    </row>
    <row r="431" ht="15.75" customHeight="1" s="305">
      <c r="A431" s="3" t="inlineStr">
        <is>
          <t>dieuHanh.orderSuccess</t>
        </is>
      </c>
      <c r="B431" s="3" t="inlineStr">
        <is>
          <t>Đơn gán thành công</t>
        </is>
      </c>
      <c r="C431" s="3" t="inlineStr">
        <is>
          <t>Order assigned successfully</t>
        </is>
      </c>
      <c r="D431" s="3">
        <f>IFERROR(__xludf.DUMMYFUNCTION("GOOGLETRANSLATE(B431,""vi"",""km"")"),"កិច្ចការ​បាន​ជោគជ័យ")</f>
        <v/>
      </c>
      <c r="E431" s="3" t="inlineStr">
        <is>
          <t>បុងបញ្ញើបានជោគជ័យ</t>
        </is>
      </c>
      <c r="F431" s="3" t="n"/>
      <c r="G431" s="3" t="inlineStr">
        <is>
          <t>បុងបញ្ញើបែងចែកបានជោគជ័យ</t>
        </is>
      </c>
      <c r="H431" t="inlineStr">
        <is>
          <t>បុងបញ្ញើបែងចែកបានជោគជ័យ</t>
        </is>
      </c>
      <c r="I431" s="217" t="inlineStr">
        <is>
          <t>"dieuHanh.orderSuccess": "បុងបញ្ញើបែងចែកបានជោគជ័យ",</t>
        </is>
      </c>
      <c r="N431" s="3" t="inlineStr">
        <is>
          <t>បញ្ជាទិញកំណត់ជោគជ័យ</t>
        </is>
      </c>
    </row>
    <row r="432" ht="15.75" customHeight="1" s="305">
      <c r="A432" s="3" t="inlineStr">
        <is>
          <t>dieuHanh.orderFail</t>
        </is>
      </c>
      <c r="B432" s="3" t="inlineStr">
        <is>
          <t>Đơn gán thất bại</t>
        </is>
      </c>
      <c r="C432" s="3" t="inlineStr">
        <is>
          <t>Order assignment failed</t>
        </is>
      </c>
      <c r="D432" s="3">
        <f>IFERROR(__xludf.DUMMYFUNCTION("GOOGLETRANSLATE(B432,""vi"",""km"")"),"ការចាត់តាំងបរាជ័យ")</f>
        <v/>
      </c>
      <c r="E432" s="3" t="inlineStr">
        <is>
          <t>បុងបញ្ញើបរាជ័យ</t>
        </is>
      </c>
      <c r="F432" s="3" t="n"/>
      <c r="G432" s="3" t="inlineStr">
        <is>
          <t>បុងបញ្ញើបែងចែកមិនបានជោគជ័យ</t>
        </is>
      </c>
      <c r="H432" t="inlineStr">
        <is>
          <t>បុងបញ្ញើបែងចែកមិនបានជោគជ័យ</t>
        </is>
      </c>
      <c r="I432" s="217" t="inlineStr">
        <is>
          <t>"dieuHanh.orderFail": "បុងបញ្ញើបែងចែកមិនបានជោគជ័យ",</t>
        </is>
      </c>
      <c r="N432" s="3" t="inlineStr">
        <is>
          <t>បញ្ជាទិញកំណត់បរាជ័យ</t>
        </is>
      </c>
    </row>
    <row r="433" ht="15.75" customHeight="1" s="305">
      <c r="A433" s="3" t="inlineStr">
        <is>
          <t>home.Order</t>
        </is>
      </c>
      <c r="B433" s="3" t="inlineStr">
        <is>
          <t>Đơn hàng</t>
        </is>
      </c>
      <c r="C433" s="3" t="inlineStr">
        <is>
          <t>Order</t>
        </is>
      </c>
      <c r="D433" s="3">
        <f>IFERROR(__xludf.DUMMYFUNCTION("GOOGLETRANSLATE(B433,""vi"",""km"")"),"ការបញ្ជាទិញ")</f>
        <v/>
      </c>
      <c r="E433" s="3" t="inlineStr">
        <is>
          <t>បុងបញ្ញើអីវ៉ាន់</t>
        </is>
      </c>
      <c r="F433" s="3" t="n"/>
      <c r="G433" s="3" t="inlineStr">
        <is>
          <t>ការបញ្ជាទិញ</t>
        </is>
      </c>
      <c r="H433" t="inlineStr">
        <is>
          <t>ការបញ្ជាទិញ</t>
        </is>
      </c>
      <c r="I433" s="217" t="inlineStr">
        <is>
          <t>"home.Order": "ការបញ្ជាទិញ",</t>
        </is>
      </c>
      <c r="N433" s="3" t="inlineStr">
        <is>
          <t>បញ្ជាទិញ</t>
        </is>
      </c>
    </row>
    <row r="434" ht="15.75" customHeight="1" s="305">
      <c r="A434" s="3" t="inlineStr">
        <is>
          <t>nhanHang.donhang</t>
        </is>
      </c>
      <c r="B434" s="3" t="inlineStr">
        <is>
          <t>Đơn hàng</t>
        </is>
      </c>
      <c r="C434" s="3" t="inlineStr">
        <is>
          <t>order</t>
        </is>
      </c>
      <c r="D434" s="3">
        <f>IFERROR(__xludf.DUMMYFUNCTION("GOOGLETRANSLATE(B434,""vi"",""km"")"),"ការបញ្ជាទិញ")</f>
        <v/>
      </c>
      <c r="E434" s="3" t="inlineStr">
        <is>
          <t>បុងបញ្ញើអីវ៉ាន់</t>
        </is>
      </c>
      <c r="F434" s="3" t="n"/>
      <c r="G434" s="3" t="inlineStr">
        <is>
          <t>ការបញ្ជាទិញ</t>
        </is>
      </c>
      <c r="H434" t="inlineStr">
        <is>
          <t>ការបញ្ជាទិញ</t>
        </is>
      </c>
      <c r="I434" s="217" t="inlineStr">
        <is>
          <t>"nhanHang.donhang": "ការបញ្ជាទិញ",</t>
        </is>
      </c>
      <c r="N434" s="3" t="inlineStr">
        <is>
          <t>បញ្ជាទិញ</t>
        </is>
      </c>
    </row>
    <row r="435" ht="15.75" customHeight="1" s="305">
      <c r="A435" s="3" t="inlineStr">
        <is>
          <t>DongTai.titleOrder</t>
        </is>
      </c>
      <c r="B435" s="3" t="inlineStr">
        <is>
          <t>đơn hàng</t>
        </is>
      </c>
      <c r="C435" s="3" t="inlineStr">
        <is>
          <t>order</t>
        </is>
      </c>
      <c r="D435" s="3">
        <f>IFERROR(__xludf.DUMMYFUNCTION("GOOGLETRANSLATE(B435,""vi"",""km"")"),"លំដាប់")</f>
        <v/>
      </c>
      <c r="E435" s="3" t="inlineStr">
        <is>
          <t>បុងបញ្ញើអីវ៉ាន់</t>
        </is>
      </c>
      <c r="F435" s="3" t="n"/>
      <c r="G435" s="3" t="inlineStr">
        <is>
          <t>បុងបញ្ញើអីវ៉ាន់</t>
        </is>
      </c>
      <c r="H435" t="inlineStr">
        <is>
          <t>បុងបញ្ញើអីវ៉ាន់</t>
        </is>
      </c>
      <c r="I435" s="217" t="inlineStr">
        <is>
          <t>"DongTai.titleOrder": "បុងបញ្ញើអីវ៉ាន់",</t>
        </is>
      </c>
      <c r="N435" s="3" t="inlineStr">
        <is>
          <t>បញ្ជី</t>
        </is>
      </c>
    </row>
    <row r="436" ht="15.75" customHeight="1" s="305">
      <c r="A436" s="3" t="inlineStr">
        <is>
          <t>GiaoHang.bill</t>
        </is>
      </c>
      <c r="B436" s="3" t="inlineStr">
        <is>
          <t>đơn hàng</t>
        </is>
      </c>
      <c r="C436" s="3" t="inlineStr">
        <is>
          <t>order</t>
        </is>
      </c>
      <c r="D436" s="3">
        <f>IFERROR(__xludf.DUMMYFUNCTION("GOOGLETRANSLATE(B436,""vi"",""km"")"),"លំដាប់")</f>
        <v/>
      </c>
      <c r="E436" s="3" t="inlineStr">
        <is>
          <t>បុងបញ្ញើអីវ៉ាន់</t>
        </is>
      </c>
      <c r="F436" s="3" t="n"/>
      <c r="G436" s="3" t="inlineStr">
        <is>
          <t>បុងបញ្ញើអីវ៉ាន់</t>
        </is>
      </c>
      <c r="H436" t="inlineStr">
        <is>
          <t>បុងបញ្ញើអីវ៉ាន់</t>
        </is>
      </c>
      <c r="I436" s="217" t="inlineStr">
        <is>
          <t>"GiaoHang.bill": "បុងបញ្ញើអីវ៉ាន់",</t>
        </is>
      </c>
      <c r="N436" s="3" t="inlineStr">
        <is>
          <t>បុងទំនិញ</t>
        </is>
      </c>
    </row>
    <row r="437" ht="15.75" customHeight="1" s="305">
      <c r="A437" s="3" t="inlineStr">
        <is>
          <t>GiaoHangNew.order</t>
        </is>
      </c>
      <c r="B437" s="3" t="inlineStr">
        <is>
          <t>Đơn hàng</t>
        </is>
      </c>
      <c r="C437" s="3" t="inlineStr">
        <is>
          <t>Order</t>
        </is>
      </c>
      <c r="D437" s="3">
        <f>IFERROR(__xludf.DUMMYFUNCTION("GOOGLETRANSLATE(B437,""vi"",""km"")"),"ការបញ្ជាទិញ")</f>
        <v/>
      </c>
      <c r="E437" s="3" t="inlineStr">
        <is>
          <t>បុងបញ្ញើអីវ៉ាន់</t>
        </is>
      </c>
      <c r="F437" s="3" t="n"/>
      <c r="G437" s="3" t="inlineStr">
        <is>
          <t>ការបញ្ជាទិញ</t>
        </is>
      </c>
      <c r="H437" t="inlineStr">
        <is>
          <t>ការបញ្ជាទិញ</t>
        </is>
      </c>
      <c r="I437" s="217" t="inlineStr">
        <is>
          <t>"GiaoHangNew.order": "ការបញ្ជាទិញ",</t>
        </is>
      </c>
      <c r="N437" s="3" t="inlineStr"/>
    </row>
    <row r="438" ht="15.75" customHeight="1" s="305">
      <c r="A438" s="3" t="inlineStr">
        <is>
          <t>PhanCong.titleOrder</t>
        </is>
      </c>
      <c r="B438" s="3" t="inlineStr">
        <is>
          <t>đơn hàng</t>
        </is>
      </c>
      <c r="C438" s="3" t="inlineStr">
        <is>
          <t>order</t>
        </is>
      </c>
      <c r="D438" s="3">
        <f>IFERROR(__xludf.DUMMYFUNCTION("GOOGLETRANSLATE(B438,""vi"",""km"")"),"លំដាប់")</f>
        <v/>
      </c>
      <c r="E438" s="3" t="inlineStr">
        <is>
          <t>បុងបញ្ញើអីវ៉ាន់</t>
        </is>
      </c>
      <c r="F438" s="3" t="n"/>
      <c r="G438" s="3" t="inlineStr">
        <is>
          <t>បុងបញ្ញើអីវ៉ាន់</t>
        </is>
      </c>
      <c r="H438" t="inlineStr">
        <is>
          <t>បុងបញ្ញើអីវ៉ាន់</t>
        </is>
      </c>
      <c r="I438" s="217" t="inlineStr">
        <is>
          <t>"PhanCong.titleOrder": "បុងបញ្ញើអីវ៉ាន់",</t>
        </is>
      </c>
      <c r="N438" s="3" t="inlineStr">
        <is>
          <t>បញ្ជី</t>
        </is>
      </c>
    </row>
    <row r="439" ht="15.75" customHeight="1" s="305">
      <c r="A439" s="3" t="inlineStr">
        <is>
          <t>tongGiao.donHang</t>
        </is>
      </c>
      <c r="B439" s="3" t="inlineStr">
        <is>
          <t>đơn hàng</t>
        </is>
      </c>
      <c r="C439" s="3" t="inlineStr">
        <is>
          <t>order</t>
        </is>
      </c>
      <c r="D439" s="3">
        <f>IFERROR(__xludf.DUMMYFUNCTION("GOOGLETRANSLATE(B439,""vi"",""km"")"),"លំដាប់")</f>
        <v/>
      </c>
      <c r="E439" s="3" t="inlineStr">
        <is>
          <t>បុងបញ្ញើអីវ៉ាន់</t>
        </is>
      </c>
      <c r="F439" s="3" t="n"/>
      <c r="G439" s="3" t="inlineStr">
        <is>
          <t>បុងបញ្ញើអីវ៉ាន់</t>
        </is>
      </c>
      <c r="H439" t="inlineStr">
        <is>
          <t>បុងបញ្ញើអីវ៉ាន់</t>
        </is>
      </c>
      <c r="I439" s="217" t="inlineStr">
        <is>
          <t>"tongGiao.donHang": "បុងបញ្ញើអីវ៉ាន់",</t>
        </is>
      </c>
      <c r="N439" s="3" t="inlineStr">
        <is>
          <t>បញ្ញើ</t>
        </is>
      </c>
    </row>
    <row r="440" ht="15.75" customHeight="1" s="305">
      <c r="A440" s="3" t="inlineStr">
        <is>
          <t>khaiThacDen.bill</t>
        </is>
      </c>
      <c r="B440" s="3" t="inlineStr">
        <is>
          <t>đơn hàng</t>
        </is>
      </c>
      <c r="C440" s="3" t="inlineStr">
        <is>
          <t>order</t>
        </is>
      </c>
      <c r="D440" s="3">
        <f>IFERROR(__xludf.DUMMYFUNCTION("GOOGLETRANSLATE(B440,""vi"",""km"")"),"លំដាប់")</f>
        <v/>
      </c>
      <c r="E440" s="3" t="inlineStr">
        <is>
          <t>បុងបញ្ញើអីវ៉ាន់</t>
        </is>
      </c>
      <c r="F440" s="3" t="n"/>
      <c r="G440" s="3" t="inlineStr">
        <is>
          <t>បុងបញ្ញើអីវ៉ាន់</t>
        </is>
      </c>
      <c r="H440" t="inlineStr">
        <is>
          <t>បុងបញ្ញើអីវ៉ាន់</t>
        </is>
      </c>
      <c r="I440" s="217" t="inlineStr">
        <is>
          <t>"khaiThacDen.bill": "បុងបញ្ញើអីវ៉ាន់",</t>
        </is>
      </c>
      <c r="N440" s="3" t="inlineStr">
        <is>
          <t>កញ្ចប់បញ្ញើ</t>
        </is>
      </c>
    </row>
    <row r="441" ht="15.75" customHeight="1" s="305">
      <c r="A441" s="3" t="inlineStr">
        <is>
          <t>inDon.bill</t>
        </is>
      </c>
      <c r="B441" s="3" t="inlineStr">
        <is>
          <t>Đơn hàng</t>
        </is>
      </c>
      <c r="C441" s="3" t="inlineStr">
        <is>
          <t xml:space="preserve">Order </t>
        </is>
      </c>
      <c r="D441" s="3">
        <f>IFERROR(__xludf.DUMMYFUNCTION("GOOGLETRANSLATE(B441,""vi"",""km"")"),"ការបញ្ជាទិញ")</f>
        <v/>
      </c>
      <c r="E441" s="3" t="inlineStr">
        <is>
          <t>បុងបញ្ញើអីវ៉ាន់</t>
        </is>
      </c>
      <c r="F441" s="3" t="n"/>
      <c r="G441" s="3" t="inlineStr">
        <is>
          <t>ការបញ្ជាទិញ</t>
        </is>
      </c>
      <c r="H441" t="inlineStr">
        <is>
          <t>ការបញ្ជាទិញ</t>
        </is>
      </c>
      <c r="I441" s="217" t="inlineStr">
        <is>
          <t>"inDon.bill": "ការបញ្ជាទិញ",</t>
        </is>
      </c>
      <c r="N441" s="3" t="inlineStr">
        <is>
          <t>វិក្កយបត្រ</t>
        </is>
      </c>
    </row>
    <row r="442" ht="15.75" customHeight="1" s="305">
      <c r="A442" s="3" t="inlineStr">
        <is>
          <t>suaDon.error2</t>
        </is>
      </c>
      <c r="B442" s="3" t="inlineStr">
        <is>
          <t>Đơn hàng chỉ được phép điều chỉnh trước 11:00 ngày N+1.</t>
        </is>
      </c>
      <c r="C442" s="3" t="inlineStr">
        <is>
          <t>The order cannot be modified after 11a.m of the day N+1.</t>
        </is>
      </c>
      <c r="D442" s="3">
        <f>IFERROR(__xludf.DUMMYFUNCTION("GOOGLETRANSLATE(B442,""vi"",""km"")"),"ការបញ្ជាទិញអាចត្រូវបានកែតម្រូវមុនម៉ោង 11:00 ព្រឹក នៅថ្ងៃ N+1 ប៉ុណ្ណោះ។")</f>
        <v/>
      </c>
      <c r="E442" s="3" t="inlineStr">
        <is>
          <t>បុងបញ្ញើអីវ៉ាន់អាចត្រូវបានកែតម្រូវមុនម៉ោង 11:00 ព្រឹក នៅថ្ងៃ N+1 ប៉ុណ្ណោះ។</t>
        </is>
      </c>
      <c r="F442" s="3" t="n"/>
      <c r="G442" s="3" t="inlineStr">
        <is>
          <t>បុងបញ្ញើអីវ៉ាន់អាចត្រូវបានកែតម្រូវមុនម៉ោង 11:00 ព្រឹក នៅថ្ងៃ N+1 ប៉ុណ្ណោះ។</t>
        </is>
      </c>
      <c r="H442" t="inlineStr">
        <is>
          <t>បុងបញ្ញើអីវ៉ាន់អាចត្រូវបានកែតម្រូវមុនម៉ោង 11:00 ព្រឹក នៅថ្ងៃ N+1 ប៉ុណ្ណោះ។</t>
        </is>
      </c>
      <c r="I442" s="217" t="inlineStr">
        <is>
          <t>"suaDon.error2": "បុងបញ្ញើអីវ៉ាន់អាចត្រូវបានកែតម្រូវមុនម៉ោង 11:00 ព្រឹក នៅថ្ងៃ N+1 ប៉ុណ្ណោះ។",</t>
        </is>
      </c>
      <c r="N442" s="3" t="inlineStr">
        <is>
          <t>ការបញ្ជាដឹកអាចត្រូវបានកែតម្រូវមុនម៉ោង 11:00 ព្រឹកនៅថ្ងៃបន្ទាប់.</t>
        </is>
      </c>
    </row>
    <row r="443" ht="15.75" customHeight="1" s="305">
      <c r="A443" s="3" t="inlineStr">
        <is>
          <t>suaDon.emptyContent</t>
        </is>
      </c>
      <c r="B443" s="3" t="inlineStr">
        <is>
          <t>Đơn hàng chưa được nhập doanh thu!</t>
        </is>
      </c>
      <c r="C443" s="3" t="inlineStr">
        <is>
          <t>This order has not been recorded revenue</t>
        </is>
      </c>
      <c r="D443" s="3">
        <f>IFERROR(__xludf.DUMMYFUNCTION("GOOGLETRANSLATE(B443,""vi"",""km"")"),"ការបញ្ជាទិញមិនទាន់ត្រូវបានកត់ត្រាជាចំណូលនៅឡើយទេ!")</f>
        <v/>
      </c>
      <c r="E443" s="3" t="inlineStr">
        <is>
          <t>បុងបញ្ញើមិនទាន់បានបញ្ចូលក្នុងប្រាក់ចំណូលនៅឡើយទេ!</t>
        </is>
      </c>
      <c r="F443" s="3" t="n"/>
      <c r="G443" s="3" t="inlineStr">
        <is>
          <t>បុងបញ្ញើមិនទាន់បានបញ្ចូលក្នុងចំណូលនៅឡើយទេ!</t>
        </is>
      </c>
      <c r="H443" t="inlineStr">
        <is>
          <t>បុងបញ្ញើមិនទាន់បានបញ្ចូលក្នុងចំណូលនៅឡើយទេ!</t>
        </is>
      </c>
      <c r="I443" s="217" t="inlineStr">
        <is>
          <t>"suaDon.emptyContent": "បុងបញ្ញើមិនទាន់បានបញ្ចូលក្នុងចំណូលនៅឡើយទេ!",</t>
        </is>
      </c>
      <c r="N443" s="3" t="inlineStr">
        <is>
          <t>ការបញ្ជាដឹកមិនទាន់បានបញ្ចូលចំណូលនៅឡើយទេ!</t>
        </is>
      </c>
    </row>
    <row r="444" ht="15.75" customHeight="1" s="305">
      <c r="A444" s="3" t="inlineStr">
        <is>
          <t>PhanCong.titleOrderWaiting</t>
        </is>
      </c>
      <c r="B444" s="3" t="inlineStr">
        <is>
          <t>đơn hàng chưa nhận</t>
        </is>
      </c>
      <c r="C444" s="3" t="inlineStr">
        <is>
          <t>this order has not been picked up yet!</t>
        </is>
      </c>
      <c r="D444" s="3">
        <f>IFERROR(__xludf.DUMMYFUNCTION("GOOGLETRANSLATE(B444,""vi"",""km"")"),"ការបញ្ជាទិញដែលមិនទាន់បានដឹកជញ្ជូន")</f>
        <v/>
      </c>
      <c r="E444" s="3" t="inlineStr">
        <is>
          <t>បុងបញ្ញើ មិនទាន់បានទទួលទេ</t>
        </is>
      </c>
      <c r="F444" s="3" t="n"/>
      <c r="G444" s="3" t="inlineStr">
        <is>
          <t>បុងបញ្ញើ មិនទាន់បានទទួលទេ</t>
        </is>
      </c>
      <c r="H444" t="inlineStr">
        <is>
          <t>បុងបញ្ញើ មិនទាន់បានទទួលទេ</t>
        </is>
      </c>
      <c r="I444" s="217" t="inlineStr">
        <is>
          <t>"PhanCong.titleOrderWaiting": "បុងបញ្ញើ មិនទាន់បានទទួលទេ",</t>
        </is>
      </c>
      <c r="N444" s="3" t="inlineStr">
        <is>
          <t>បញ្ជីមិនទាន់ទទួល</t>
        </is>
      </c>
    </row>
    <row r="445" ht="15.75" customHeight="1" s="305">
      <c r="A445" s="3" t="inlineStr">
        <is>
          <t>traCuoc.codGoods</t>
        </is>
      </c>
      <c r="B445" s="3" t="inlineStr">
        <is>
          <t>Đơn hàng có thu hộ COD</t>
        </is>
      </c>
      <c r="C445" s="3" t="inlineStr">
        <is>
          <t>COD order</t>
        </is>
      </c>
      <c r="D445" s="3">
        <f>IFERROR(__xludf.DUMMYFUNCTION("GOOGLETRANSLATE(B445,""vi"",""km"")"),"ការបញ្ជាទិញដែលមានការទូទាត់ប្រាក់ពេលទទួលទំនិញ (COD)")</f>
        <v/>
      </c>
      <c r="E445" s="3" t="inlineStr">
        <is>
          <t>បុងដែលមានការជួយទទួលជំនួសCOD</t>
        </is>
      </c>
      <c r="F445" s="3" t="n"/>
      <c r="G445" s="3" t="inlineStr">
        <is>
          <t>បុងបញ្ញើមានប្រាក់ COD</t>
        </is>
      </c>
      <c r="H445" t="inlineStr">
        <is>
          <t>បុងបញ្ញើមានប្រាក់ COD</t>
        </is>
      </c>
      <c r="I445" s="217" t="inlineStr">
        <is>
          <t>"traCuoc.codGoods": "បុងបញ្ញើមានប្រាក់ COD",</t>
        </is>
      </c>
      <c r="N445" s="3" t="inlineStr">
        <is>
          <t>បញ្ជាទិញមានប្រាក់ COD</t>
        </is>
      </c>
    </row>
    <row r="446" ht="15.75" customHeight="1" s="305">
      <c r="A446" s="3" t="inlineStr">
        <is>
          <t>suaDon.error4</t>
        </is>
      </c>
      <c r="B446" s="3" t="inlineStr">
        <is>
          <t>Đơn hàng đã đóng đi</t>
        </is>
      </c>
      <c r="C446" s="3" t="inlineStr">
        <is>
          <t>The order has been packed up in sack</t>
        </is>
      </c>
      <c r="D446" s="3">
        <f>IFERROR(__xludf.DUMMYFUNCTION("GOOGLETRANSLATE(B446,""vi"",""km"")"),"ការបញ្ជាទិញត្រូវបានដឹកជញ្ជូនហើយ។")</f>
        <v/>
      </c>
      <c r="E446" s="3" t="inlineStr">
        <is>
          <t>បុុងបញ្ញើបានបិទចេញទៅ</t>
        </is>
      </c>
      <c r="F446" s="3" t="n"/>
      <c r="G446" s="3" t="inlineStr">
        <is>
          <t>បុុងបញ្ញើបានបិទចេញទៅ</t>
        </is>
      </c>
      <c r="H446" t="inlineStr">
        <is>
          <t>បុុងបញ្ញើបានបិទចេញទៅ</t>
        </is>
      </c>
      <c r="I446" s="217" t="inlineStr">
        <is>
          <t>"suaDon.error4": "បុុងបញ្ញើបានបិទចេញទៅ",</t>
        </is>
      </c>
      <c r="N446" s="163" t="inlineStr">
        <is>
          <t>ការបញ្ជាទិញត្រូវបានខ្ចប់ក្នុងបាវ</t>
        </is>
      </c>
    </row>
    <row r="447" ht="15.75" customHeight="1" s="305">
      <c r="A447" s="3" t="inlineStr">
        <is>
          <t>taoKien.messageTrongLuongKhongDuDieuKienTachKien</t>
        </is>
      </c>
      <c r="B447" s="3" t="inlineStr">
        <is>
          <t>Đơn hàng dưới 10kg không được phép tách kiện</t>
        </is>
      </c>
      <c r="C447" s="3" t="inlineStr">
        <is>
          <t>Orders under 10kg are not allowed to be split</t>
        </is>
      </c>
      <c r="D447" s="3">
        <f>IFERROR(__xludf.DUMMYFUNCTION("GOOGLETRANSLATE(B447,""vi"",""km"")"),"ការបញ្ជាទិញក្រោម 10 គីឡូក្រាមមិនត្រូវបានអនុញ្ញាតឱ្យបំបែកជាកញ្ចប់តូចៗទេ។")</f>
        <v/>
      </c>
      <c r="E447" s="3" t="inlineStr">
        <is>
          <t>បុងបញ្ញើក្រោម 10 គីឡូក្រាមមិនអាចបែងចែកបាន</t>
        </is>
      </c>
      <c r="F447" s="3" t="n"/>
      <c r="G447" s="3" t="inlineStr">
        <is>
          <t>បុងបញ្ញើក្រោម 10 គីឡូក្រាមមិនអាចបែងចែកបាន</t>
        </is>
      </c>
      <c r="H447" t="inlineStr">
        <is>
          <t>បុងបញ្ញើក្រោម 10 គីឡូក្រាមមិនអាចបែងចែកបាន</t>
        </is>
      </c>
      <c r="I447" s="217" t="inlineStr">
        <is>
          <t>"taoKien.messageTrongLuongKhongDuDieuKienTachKien": "បុងបញ្ញើក្រោម 10 គីឡូក្រាមមិនអាចបែងចែកបាន",</t>
        </is>
      </c>
      <c r="N447" s="3" t="inlineStr"/>
    </row>
    <row r="448" ht="15.75" customHeight="1" s="305">
      <c r="A448" s="3" t="inlineStr">
        <is>
          <t>suaDon.error3</t>
        </is>
      </c>
      <c r="B448" s="3" t="inlineStr">
        <is>
          <t>Đơn hàng không thể sửa được do khác bưu cục</t>
        </is>
      </c>
      <c r="C448" s="3" t="inlineStr">
        <is>
          <t>Unable to modify this order due to different post office</t>
        </is>
      </c>
      <c r="D448" s="3">
        <f>IFERROR(__xludf.DUMMYFUNCTION("GOOGLETRANSLATE(B448,""vi"",""km"")"),"មិនអាចកែសម្រួលការបញ្ជាទិញបានទេ ព្រោះវាកំពុងត្រូវបានផ្ញើទៅកាន់ការិយាល័យប្រៃសណីយ៍ផ្សេង។")</f>
        <v/>
      </c>
      <c r="E448" s="3" t="inlineStr">
        <is>
          <t>បុងបញ្ញើ មិនអាចកែសម្រួលបានទេដោយសារតែការិយាល័យប្រៃសណីយ៍ផ្សេងគ្នា</t>
        </is>
      </c>
      <c r="F448" s="3" t="n"/>
      <c r="G448" s="3" t="inlineStr">
        <is>
          <t>បុងបញ្ញើ មិនអាចកែសម្រួលបានទេដោយសារតែការិយាល័យប្រៃសណីយ៍ផ្សេងគ្នា</t>
        </is>
      </c>
      <c r="H448" t="inlineStr">
        <is>
          <t>បុងបញ្ញើ មិនអាចកែសម្រួលបានទេដោយសារតែការិយាល័យប្រៃសណីយ៍ផ្សេងគ្នា</t>
        </is>
      </c>
      <c r="I448" s="217" t="inlineStr">
        <is>
          <t>"suaDon.error3": "បុងបញ្ញើ មិនអាចកែសម្រួលបានទេដោយសារតែការិយាល័យប្រៃសណីយ៍ផ្សេងគ្នា",</t>
        </is>
      </c>
      <c r="N448" s="3" t="inlineStr">
        <is>
          <t>ការបញ្ជាដឹកមិនអាចកែតម្រូវបានទេ ដោយសារការិយាល័យបញ្ញើខុសគ្នា</t>
        </is>
      </c>
    </row>
    <row r="449" ht="15.75" customHeight="1" s="305">
      <c r="A449" s="3" t="inlineStr">
        <is>
          <t>suaDon.error1</t>
        </is>
      </c>
      <c r="B449" s="3" t="inlineStr">
        <is>
          <t>Đơn hàng này không thể sửa do chưa nhập doanh thu</t>
        </is>
      </c>
      <c r="C449" s="3" t="inlineStr">
        <is>
          <t>Unable to modify this order due to record revenue</t>
        </is>
      </c>
      <c r="D449" s="3">
        <f>IFERROR(__xludf.DUMMYFUNCTION("GOOGLETRANSLATE(B449,""vi"",""km"")"),"មិនអាចកែសម្រួលការបញ្ជាទិញនេះបានទេ ពីព្រោះចំណូលមិនទាន់ត្រូវបានបញ្ចូល។")</f>
        <v/>
      </c>
      <c r="E449" s="3" t="inlineStr">
        <is>
          <t>បុងបញ្ញើមិនអាចកែសម្រួលបានដោយសារមិនទាន់ បញ្ចូលក្នុងប្រាក់ចំណូលនៅឡើយទេ</t>
        </is>
      </c>
      <c r="F449" s="3" t="n"/>
      <c r="G449" s="3" t="inlineStr">
        <is>
          <t>បុងបញ្ញើមិនអាចកែសម្រួលបានដោយសារមិនទាន់ បញ្ចូលក្នុងប្រាក់ចំណូលនៅឡើយទេ</t>
        </is>
      </c>
      <c r="H449" t="inlineStr">
        <is>
          <t>បុងបញ្ញើមិនអាចកែសម្រួលបានដោយសារមិនទាន់ បញ្ចូលក្នុងប្រាក់ចំណូលនៅឡើយទេ</t>
        </is>
      </c>
      <c r="I449" s="217" t="inlineStr">
        <is>
          <t>"suaDon.error1": "បុងបញ្ញើមិនអាចកែសម្រួលបានដោយសារមិនទាន់ បញ្ចូលក្នុងប្រាក់ចំណូលនៅឡើយទេ",</t>
        </is>
      </c>
      <c r="N449" s="3" t="inlineStr">
        <is>
          <t>ការបញ្ជាដឹកនេះមិនអាចកែសម្រួលបានទេ ដោយសារចំណូលមិនទាន់បានបញ្ចូល</t>
        </is>
      </c>
    </row>
    <row r="450" ht="15.75" customHeight="1" s="305">
      <c r="A450" s="3" t="inlineStr">
        <is>
          <t>suaDon.contentCannotEdit</t>
        </is>
      </c>
      <c r="B450" s="3" t="inlineStr">
        <is>
          <t>Đơn hàng này không thể sửa được, do đã khóa sổ doanh thu</t>
        </is>
      </c>
      <c r="C450" s="3" t="inlineStr">
        <is>
          <t>Unable to modify this order due to entries closed</t>
        </is>
      </c>
      <c r="D450" s="3">
        <f>IFERROR(__xludf.DUMMYFUNCTION("GOOGLETRANSLATE(B450,""vi"",""km"")"),"មិនអាចកែសម្រួលការបញ្ជាទិញនេះបានទេ ពីព្រោះប្រាក់ចំណូលត្រូវបានបិទរួចហើយ។")</f>
        <v/>
      </c>
      <c r="E450" s="3" t="inlineStr">
        <is>
          <t>បុងបញ្ញើនេះមិនអាចកែសម្រួលបានទេព្រោះប្រាក់ចំណូលត្រូវបានបិទ</t>
        </is>
      </c>
      <c r="F450" s="3" t="n"/>
      <c r="G450" s="3" t="inlineStr">
        <is>
          <t>បុងបញ្ញើនេះមិនអាចកែសម្រួលបានទេព្រោះប្រាក់ចំណូលត្រូវបានបិទ</t>
        </is>
      </c>
      <c r="H450" t="inlineStr">
        <is>
          <t>បុងបញ្ញើនេះមិនអាចកែសម្រួលបានទេព្រោះប្រាក់ចំណូលត្រូវបានបិទ</t>
        </is>
      </c>
      <c r="I450" s="217" t="inlineStr">
        <is>
          <t>"suaDon.contentCannotEdit": "បុងបញ្ញើនេះមិនអាចកែសម្រួលបានទេព្រោះប្រាក់ចំណូលត្រូវបានបិទ",</t>
        </is>
      </c>
      <c r="N450" s="3" t="inlineStr">
        <is>
          <t>ការបញ្ជាបញ្ញើនេះមិនអាចកែសម្រួលបានទេ ដោយសារត្រូវបានបិទបញ្ចី</t>
        </is>
      </c>
    </row>
    <row r="451" ht="15.75" customHeight="1" s="305">
      <c r="A451" s="3" t="inlineStr">
        <is>
          <t>nhanLai.completeOrder</t>
        </is>
      </c>
      <c r="B451" s="3" t="inlineStr">
        <is>
          <t>Đơn hoàn</t>
        </is>
      </c>
      <c r="C451" s="3" t="inlineStr">
        <is>
          <t>Return order</t>
        </is>
      </c>
      <c r="D451" s="3">
        <f>IFERROR(__xludf.DUMMYFUNCTION("GOOGLETRANSLATE(B451,""vi"",""km"")"),"ការបញ្ជាទិញពេញលេញ")</f>
        <v/>
      </c>
      <c r="E451" s="3" t="inlineStr">
        <is>
          <t>បុងបញ្ញើត្រលប់</t>
        </is>
      </c>
      <c r="F451" s="3" t="n"/>
      <c r="G451" s="3" t="inlineStr">
        <is>
          <t>បុងបញ្ញើត្រលប់</t>
        </is>
      </c>
      <c r="H451" t="inlineStr">
        <is>
          <t>បុងបញ្ញើត្រលប់</t>
        </is>
      </c>
      <c r="I451" s="217" t="inlineStr">
        <is>
          <t>"nhanLai.completeOrder": "បុងបញ្ញើត្រលប់",</t>
        </is>
      </c>
      <c r="N451" s="163" t="inlineStr">
        <is>
          <t>បញ្ជាទិញត្រឡប់មកវិញ</t>
        </is>
      </c>
    </row>
    <row r="452" ht="15.75" customHeight="1" s="305">
      <c r="A452" s="3" t="inlineStr">
        <is>
          <t>nhanHang.collection</t>
        </is>
      </c>
      <c r="B452" s="3" t="inlineStr">
        <is>
          <t>Đơn thu tiền</t>
        </is>
      </c>
      <c r="C452" s="3" t="inlineStr">
        <is>
          <t>COD order</t>
        </is>
      </c>
      <c r="D452" s="3">
        <f>IFERROR(__xludf.DUMMYFUNCTION("GOOGLETRANSLATE(B452,""vi"",""km"")"),"បង្កាន់ដៃបង់ប្រាក់")</f>
        <v/>
      </c>
      <c r="E452" s="3" t="inlineStr">
        <is>
          <t>បុងបញ្ញើប្រមូលប្រាក់</t>
        </is>
      </c>
      <c r="F452" s="3" t="n"/>
      <c r="G452" s="3" t="inlineStr">
        <is>
          <t>បុងបញ្ញើប្រមូលប្រាក់</t>
        </is>
      </c>
      <c r="H452" t="inlineStr">
        <is>
          <t>បុងបញ្ញើប្រមូលប្រាក់</t>
        </is>
      </c>
      <c r="I452" s="217" t="inlineStr">
        <is>
          <t>"nhanHang.collection": "បុងបញ្ញើប្រមូលប្រាក់",</t>
        </is>
      </c>
      <c r="N452" s="3" t="inlineStr">
        <is>
          <t>ការប្រមូលប្រាក់</t>
        </is>
      </c>
    </row>
    <row r="453" ht="15.75" customHeight="1" s="305">
      <c r="A453" s="3" t="inlineStr">
        <is>
          <t>banGiao.donViBanGiao</t>
        </is>
      </c>
      <c r="B453" s="3" t="inlineStr">
        <is>
          <t>Đơn vị bàn giao</t>
        </is>
      </c>
      <c r="C453" s="3" t="inlineStr">
        <is>
          <t>Receiving unit</t>
        </is>
      </c>
      <c r="D453" s="3">
        <f>IFERROR(__xludf.DUMMYFUNCTION("GOOGLETRANSLATE(B453,""vi"",""km"")"),"អង្គភាពប្រគល់")</f>
        <v/>
      </c>
      <c r="E453" s="3" t="inlineStr">
        <is>
          <t>អង្គភាពប្រគល់</t>
        </is>
      </c>
      <c r="F453" s="3" t="n"/>
      <c r="G453" s="3" t="inlineStr">
        <is>
          <t>អង្គភាពប្រគល់</t>
        </is>
      </c>
      <c r="H453" t="inlineStr">
        <is>
          <t>អង្គភាពប្រគល់</t>
        </is>
      </c>
      <c r="I453" s="217" t="inlineStr">
        <is>
          <t>"banGiao.donViBanGiao": "អង្គភាពប្រគល់",</t>
        </is>
      </c>
      <c r="N453" s="3" t="inlineStr"/>
    </row>
    <row r="454" ht="15.75" customHeight="1" s="305">
      <c r="A454" s="3" t="inlineStr">
        <is>
          <t>common.close</t>
        </is>
      </c>
      <c r="B454" s="3" t="inlineStr">
        <is>
          <t>Đóng</t>
        </is>
      </c>
      <c r="C454" s="3" t="inlineStr">
        <is>
          <t>Close</t>
        </is>
      </c>
      <c r="D454" s="3">
        <f>IFERROR(__xludf.DUMMYFUNCTION("GOOGLETRANSLATE(B454,""vi"",""km"")"),"បិទ")</f>
        <v/>
      </c>
      <c r="E454" s="3" t="inlineStr">
        <is>
          <t>បិទ</t>
        </is>
      </c>
      <c r="F454" s="3" t="n"/>
      <c r="G454" s="3" t="inlineStr">
        <is>
          <t>បិទ</t>
        </is>
      </c>
      <c r="H454" t="inlineStr">
        <is>
          <t>បិទ</t>
        </is>
      </c>
      <c r="I454" s="217" t="inlineStr">
        <is>
          <t>"common.close": "បិទ",</t>
        </is>
      </c>
      <c r="N454" s="3" t="inlineStr">
        <is>
          <t>បិទ</t>
        </is>
      </c>
    </row>
    <row r="455" ht="15.75" customHeight="1" s="305">
      <c r="A455" s="3" t="inlineStr">
        <is>
          <t>khaiThacDen.comradesReportedMissingBallots</t>
        </is>
      </c>
      <c r="B455" s="3" t="inlineStr">
        <is>
          <t>Đồng chí báo thiếu phiếu gửi {{ma}} thất bại</t>
        </is>
      </c>
      <c r="C455" s="3" t="inlineStr">
        <is>
          <t>Fail to report missing the postal slip {{ma}}</t>
        </is>
      </c>
      <c r="D455" s="3">
        <f>IFERROR(__xludf.DUMMYFUNCTION("GOOGLETRANSLATE(B455,""vi"",""km"")"),"សមមិត្ត របាយការណ៍នេះខ្វះសន្លឹកផ្ញើសំបុត្រដែលត្រូវការ ដែលបណ្តាលឱ្យបរាជ័យ។")</f>
        <v/>
      </c>
      <c r="E455" s="3" t="inlineStr">
        <is>
          <t>អ្នកធ្វើរបាយការណ៍ខ្វះបុងបញ្ញើ{{ma}} បរាជ័យ</t>
        </is>
      </c>
      <c r="F455" s="3" t="n"/>
      <c r="G455" s="3" t="inlineStr">
        <is>
          <t>អ្នកធ្វើរបាយការណ៍ខ្វះបុងបញ្ញើ{{ma}} បរាជ័យ</t>
        </is>
      </c>
      <c r="H455" t="inlineStr">
        <is>
          <t>អ្នកធ្វើរបាយការណ៍ខ្វះបុងបញ្ញើ{{ma}} បរាជ័យ</t>
        </is>
      </c>
      <c r="I455" s="217" t="inlineStr">
        <is>
          <t>"khaiThacDen.comradesReportedMissingBallots": "អ្នកធ្វើរបាយការណ៍ខ្វះបុងបញ្ញើ{{ma}} បរាជ័យ",</t>
        </is>
      </c>
      <c r="N455" s="3" t="inlineStr">
        <is>
          <t>អ្នកខ្វះបណ្ឌបញ្ញើ​ {{ma}} បរាជ័យ</t>
        </is>
      </c>
    </row>
    <row r="456" ht="15.75" customHeight="1" s="305">
      <c r="A456" s="3" t="inlineStr">
        <is>
          <t>banGiao.titleNoDataScan</t>
        </is>
      </c>
      <c r="B456" s="3" t="inlineStr">
        <is>
          <t>Đồng chí chưa có tải nào.</t>
        </is>
      </c>
      <c r="C456" s="3" t="inlineStr">
        <is>
          <t xml:space="preserve">No results </t>
        </is>
      </c>
      <c r="D456" s="3">
        <f>IFERROR(__xludf.DUMMYFUNCTION("GOOGLETRANSLATE(B456,""vi"",""km"")"),"សមមិត្ត អ្នកមិនទាន់មានការទាញយកណាមួយនៅឡើយទេ។")</f>
        <v/>
      </c>
      <c r="E456" s="3" t="inlineStr">
        <is>
          <t>អ្នកមិនទាន់មានជើងដឹកណាទេ</t>
        </is>
      </c>
      <c r="F456" s="3" t="n"/>
      <c r="G456" s="3" t="inlineStr">
        <is>
          <t>អ្នកមិនទាន់មានកញ្ចប់ទំនិញណាទេ</t>
        </is>
      </c>
      <c r="H456" t="inlineStr">
        <is>
          <t>អ្នកមិនទាន់មានកញ្ចប់ទំនិញណាទេ</t>
        </is>
      </c>
      <c r="I456" s="217" t="inlineStr">
        <is>
          <t>"banGiao.titleNoDataScan": "អ្នកមិនទាន់មានកញ្ចប់ទំនិញណាទេ",</t>
        </is>
      </c>
      <c r="N456" s="3" t="inlineStr">
        <is>
          <t>គ្មានលទ្ធផល</t>
        </is>
      </c>
    </row>
    <row r="457" ht="15.75" customHeight="1" s="305">
      <c r="A457" s="3" t="inlineStr">
        <is>
          <t>banGiao.warningCompleteHandover</t>
        </is>
      </c>
      <c r="B457" s="3" t="inlineStr">
        <is>
          <t>Đồng chí có chắc chắn muốn hoàn thành bàn giao</t>
        </is>
      </c>
      <c r="C457" s="3" t="inlineStr">
        <is>
          <t>Are you sure to complete this handover</t>
        </is>
      </c>
      <c r="D457" s="3">
        <f>IFERROR(__xludf.DUMMYFUNCTION("GOOGLETRANSLATE(B457,""vi"",""km"")"),"តើអ្នកពិតជាចង់បញ្ចប់ការប្រគល់ភារកិច្ចមែនទេ?")</f>
        <v/>
      </c>
      <c r="E457" s="3" t="inlineStr">
        <is>
          <t>តើអ្នកពិតជាចង់បញ្ចប់ការប្រគល់ទេ?</t>
        </is>
      </c>
      <c r="F457" s="3" t="n"/>
      <c r="G457" s="3" t="inlineStr">
        <is>
          <t>តើអ្នកពិតជាចង់បញ្ចប់ការប្រគល់ទេ?</t>
        </is>
      </c>
      <c r="H457" t="inlineStr">
        <is>
          <t>តើអ្នកពិតជាចង់បញ្ចប់ការប្រគល់ទេ?</t>
        </is>
      </c>
      <c r="I457" s="217" t="inlineStr">
        <is>
          <t>"banGiao.warningCompleteHandover": "តើអ្នកពិតជាចង់បញ្ចប់ការប្រគល់ទេ?",</t>
        </is>
      </c>
      <c r="N457" s="3" t="inlineStr">
        <is>
          <t>តើអ្នកប្រាកដជាចង់បញ្ចប់ការផ្ញើនេះទេ?</t>
        </is>
      </c>
    </row>
    <row r="458" ht="15.75" customHeight="1" s="305">
      <c r="A458" s="3" t="inlineStr">
        <is>
          <t>banGiao.warningCancleHandover</t>
        </is>
      </c>
      <c r="B458" s="3" t="inlineStr">
        <is>
          <t>Đồng chí có chắc chắn muốn hủy bàn giao</t>
        </is>
      </c>
      <c r="C458" s="3" t="inlineStr">
        <is>
          <t>Are you sure to cancel this handover</t>
        </is>
      </c>
      <c r="D458" s="3">
        <f>IFERROR(__xludf.DUMMYFUNCTION("GOOGLETRANSLATE(B458,""vi"",""km"")"),"តើអ្នកពិតជាចង់លុបចោលការប្រគល់ជូនមែនទេ?")</f>
        <v/>
      </c>
      <c r="E458" s="3" t="inlineStr">
        <is>
          <t>តើអ្នកពិតជាចង់លុបចោលការប្រគល់ទេ?</t>
        </is>
      </c>
      <c r="F458" s="3" t="n"/>
      <c r="G458" s="3" t="inlineStr">
        <is>
          <t>តើអ្នកពិតជាចង់លុបចោលការប្រគល់ទេ?</t>
        </is>
      </c>
      <c r="H458" t="inlineStr">
        <is>
          <t>តើអ្នកពិតជាចង់លុបចោលការប្រគល់ទេ?</t>
        </is>
      </c>
      <c r="I458" s="217" t="inlineStr">
        <is>
          <t>"banGiao.warningCancleHandover": "តើអ្នកពិតជាចង់លុបចោលការប្រគល់ទេ?",</t>
        </is>
      </c>
      <c r="N458" s="3" t="inlineStr">
        <is>
          <t>តើអ្នកប្រាកដជាចង់បោះបង់ការផ្ញើនេះទេ?</t>
        </is>
      </c>
    </row>
    <row r="459" ht="15.75" customHeight="1" s="305">
      <c r="A459" s="3" t="inlineStr">
        <is>
          <t>banGiao.warningReceiveHandover</t>
        </is>
      </c>
      <c r="B459" s="3" t="inlineStr">
        <is>
          <t>Đồng chí có chắc chắn muốn nhận bàn giao</t>
        </is>
      </c>
      <c r="C459" s="3" t="inlineStr">
        <is>
          <t>Are you sure to accept this handover</t>
        </is>
      </c>
      <c r="D459" s="3">
        <f>IFERROR(__xludf.DUMMYFUNCTION("GOOGLETRANSLATE(B459,""vi"",""km"")"),"តើអ្នកប្រាកដទេថាចង់ទទួលបន្ទុក?")</f>
        <v/>
      </c>
      <c r="E459" s="3" t="inlineStr">
        <is>
          <t>តើអ្នកពិតជាចង់ទទួលយកការប្រគល់ទេ?</t>
        </is>
      </c>
      <c r="F459" s="3" t="n"/>
      <c r="G459" s="3" t="inlineStr">
        <is>
          <t>តើអ្នកពិតជាចង់ទទួលយកការប្រគល់ទេ?</t>
        </is>
      </c>
      <c r="H459" t="inlineStr">
        <is>
          <t>តើអ្នកពិតជាចង់ទទួលយកការប្រគល់ទេ?</t>
        </is>
      </c>
      <c r="I459" s="217" t="inlineStr">
        <is>
          <t>"banGiao.warningReceiveHandover": "តើអ្នកពិតជាចង់ទទួលយកការប្រគល់ទេ?",</t>
        </is>
      </c>
      <c r="N459" s="3" t="inlineStr">
        <is>
          <t>តើអ្នកប្រាកដជាចង់ទទួលការផ្ញើនេះទេ?</t>
        </is>
      </c>
    </row>
    <row r="460" ht="15.75" customHeight="1" s="305">
      <c r="A460" s="3" t="inlineStr">
        <is>
          <t>banGiao.warningRejectHandover</t>
        </is>
      </c>
      <c r="B460" s="3" t="inlineStr">
        <is>
          <t>Đồng chí có chắc chắn muốn từ chối</t>
        </is>
      </c>
      <c r="C460" s="3" t="inlineStr">
        <is>
          <t>Are you sure to reject this handover</t>
        </is>
      </c>
      <c r="D460" s="3">
        <f>IFERROR(__xludf.DUMMYFUNCTION("GOOGLETRANSLATE(B460,""vi"",""km"")"),"តើអ្នកប្រាកដថាអ្នកចង់បដិសេធទេ?")</f>
        <v/>
      </c>
      <c r="E460" s="3" t="inlineStr">
        <is>
          <t>តើអ្នកពិតជាចង់បដិសេធទេ?</t>
        </is>
      </c>
      <c r="F460" s="3" t="n"/>
      <c r="G460" s="3" t="inlineStr">
        <is>
          <t>តើអ្នកពិតជាចង់បដិសេធទេ?</t>
        </is>
      </c>
      <c r="H460" t="inlineStr">
        <is>
          <t>តើអ្នកពិតជាចង់បដិសេធទេ?</t>
        </is>
      </c>
      <c r="I460" s="217" t="inlineStr">
        <is>
          <t>"banGiao.warningRejectHandover": "តើអ្នកពិតជាចង់បដិសេធទេ?",</t>
        </is>
      </c>
      <c r="N460" s="3" t="inlineStr">
        <is>
          <t>តើអ្នកប្រាកដជាចង់បដិសេធការផ្ញើនេះទេ?</t>
        </is>
      </c>
    </row>
    <row r="461" ht="15.75" customHeight="1" s="305">
      <c r="A461" s="3" t="inlineStr">
        <is>
          <t>suaDon.warningClosEdit</t>
        </is>
      </c>
      <c r="B461" s="3" t="inlineStr">
        <is>
          <t>Đồng chí có muốn hủy đơn {{value}} không?</t>
        </is>
      </c>
      <c r="C461" s="3" t="inlineStr">
        <is>
          <t>Are you sure to cancel order {{value}}?</t>
        </is>
      </c>
      <c r="D461" s="3">
        <f>IFERROR(__xludf.DUMMYFUNCTION("GOOGLETRANSLATE(B461,""vi"",""km"")"),"តើអ្នកចង់លុបចោលការបញ្ជាទិញ {{value}} ដែរឬទេ?")</f>
        <v/>
      </c>
      <c r="E461" s="3" t="inlineStr">
        <is>
          <t>តើអ្នកចង់លុបចោលការបញ្ជាទិញ {{value}} ទេ?</t>
        </is>
      </c>
      <c r="F461" s="3" t="n"/>
      <c r="G461" s="3" t="inlineStr">
        <is>
          <t>តើអ្នកចង់លុបបុងចោល {{value}} ទេ?</t>
        </is>
      </c>
      <c r="H461" t="inlineStr">
        <is>
          <t>តើអ្នកចង់លុបបុងចោល {{value}} ទេ?</t>
        </is>
      </c>
      <c r="I461" s="217" t="inlineStr">
        <is>
          <t>"suaDon.warningClosEdit": "តើអ្នកចង់លុបបុងចោល {{value}} ទេ?",</t>
        </is>
      </c>
      <c r="N461" s="3" t="inlineStr">
        <is>
          <t>តើអ្នកចង់បោះបង់ការបញ្ជាផ្ញើ {{value}} ទេ?</t>
        </is>
      </c>
    </row>
    <row r="462" ht="15.75" customHeight="1" s="305">
      <c r="A462" s="3" t="inlineStr">
        <is>
          <t>nhanHang.messageRefuse1</t>
        </is>
      </c>
      <c r="B462" s="3" t="inlineStr">
        <is>
          <t>Đồng chí có xác nhận từ chối phiếu gửi không ?</t>
        </is>
      </c>
      <c r="C462" s="3" t="inlineStr">
        <is>
          <t>Are you sure to reject the order?</t>
        </is>
      </c>
      <c r="D462" s="3">
        <f>IFERROR(__xludf.DUMMYFUNCTION("GOOGLETRANSLATE(B462,""vi"",""km"")"),"តើអ្នកបានបញ្ជាក់ថាអ្នកបានបដិសេធការបញ្ជាទិញតាមប្រៃសណីយ៍ហើយឬនៅ?")</f>
        <v/>
      </c>
      <c r="E462" s="3" t="inlineStr">
        <is>
          <t>តើអ្នកបញ្ជាក់ពីការបដិសេធរបស់អ្នកចំពោះបុងបញ្ញើទេ?</t>
        </is>
      </c>
      <c r="F462" s="3" t="n"/>
      <c r="G462" s="3" t="inlineStr">
        <is>
          <t>តើអ្នកបញ្ជាក់ពីការបដិសេធរបស់អ្នកចំពោះបុងបញ្ញើទេ?</t>
        </is>
      </c>
      <c r="H462" t="inlineStr">
        <is>
          <t>តើអ្នកបញ្ជាក់ពីការបដិសេធរបស់អ្នកចំពោះបុងបញ្ញើទេ?</t>
        </is>
      </c>
      <c r="I462" s="217" t="inlineStr">
        <is>
          <t>"nhanHang.messageRefuse1": "តើអ្នកបញ្ជាក់ពីការបដិសេធរបស់អ្នកចំពោះបុងបញ្ញើទេ?",</t>
        </is>
      </c>
      <c r="N462" s="3" t="inlineStr">
        <is>
          <t>តើអ្នកប្រាកដថាចង់បដិសេធការបញ្ជូនមែនទេ?</t>
        </is>
      </c>
    </row>
    <row r="463" ht="15.75" customHeight="1" s="305">
      <c r="A463" s="3" t="inlineStr">
        <is>
          <t>khaiThacDen.comradeReportedFailureAndBallotSentSuccessfully</t>
        </is>
      </c>
      <c r="B463" s="3" t="inlineStr">
        <is>
          <t>Đồng chí đã báo thiếu {{failedItems}}/{{listThieu}} phiếu gửi thành công.</t>
        </is>
      </c>
      <c r="C463" s="3" t="inlineStr">
        <is>
          <t>Reported {{failedItems}}/{{listThieu}} postal slips successfully</t>
        </is>
      </c>
      <c r="D463" s="3">
        <f>IFERROR(__xludf.DUMMYFUNCTION("GOOGLETRANSLATE(B463,""vi"",""km"")"),"សមមិត្ត អ្នកបានរាយការណ៍ពីសន្លឹកដឹកជញ្ជូន {{failedItems}}/{{listThieu}} ដែលបាត់។")</f>
        <v/>
      </c>
      <c r="E463" s="3" t="inlineStr">
        <is>
          <t>អ្នកបានរាយការណ៍ថាខ្វះបុងបញ្ញើ {{failedItems}}/{{listThieu}} ដោយជោគជ័យ។</t>
        </is>
      </c>
      <c r="F463" s="3" t="n"/>
      <c r="G463" s="3" t="inlineStr">
        <is>
          <t>អ្នកបានរាយការណ៍ថាខ្វះបុងបញ្ញើ {{failedItems}}/{{listThieu}} ដោយជោគជ័យ។</t>
        </is>
      </c>
      <c r="H463" t="inlineStr">
        <is>
          <t>អ្នកបានរាយការណ៍ថាខ្វះបុងបញ្ញើ {{failedItems}}/{{listThieu}} ដោយជោគជ័យ។</t>
        </is>
      </c>
      <c r="I463" s="217" t="inlineStr">
        <is>
          <t>"khaiThacDen.comradeReportedFailureAndBallotSentSuccessfully": "អ្នកបានរាយការណ៍ថាខ្វះបុងបញ្ញើ {{failedItems}}/{{listThieu}} ដោយជោគជ័យ។",</t>
        </is>
      </c>
      <c r="N463" s="3" t="inlineStr">
        <is>
          <t>អ្នកបានរាយការណ៍ថាបាត់ {{failedItems}} បរាជ័យហើយ {{listThieu}} បណ្ឌបញ្ញើបានជោគជ័យ.</t>
        </is>
      </c>
    </row>
    <row r="464" ht="15.75" customHeight="1" s="305">
      <c r="A464" s="3" t="inlineStr">
        <is>
          <t>PhanCong.toastCompleteAssignFw</t>
        </is>
      </c>
      <c r="B464" s="3" t="inlineStr">
        <is>
          <t>Đồng chí đã hoàn thành lượt chuyển phân công!</t>
        </is>
      </c>
      <c r="C464" s="3" t="inlineStr">
        <is>
          <t>You have already forwarded assignment</t>
        </is>
      </c>
      <c r="D464" s="3">
        <f>IFERROR(__xludf.DUMMYFUNCTION("GOOGLETRANSLATE(B464,""vi"",""km"")"),"អ្នកបានបញ្ចប់ការផ្ទេរភារកិច្ចរបស់អ្នកហើយ!")</f>
        <v/>
      </c>
      <c r="E464" s="3" t="inlineStr">
        <is>
          <t>អ្នកបានបានបញ្ចប់ការផ្លាស់ប្តូរការបែងចែកការងារ!</t>
        </is>
      </c>
      <c r="F464" s="3" t="n"/>
      <c r="G464" s="3" t="inlineStr">
        <is>
          <t>អ្នកបានបានបញ្ចប់ការផ្លាស់ប្តូរការបែងចែកការងារ!</t>
        </is>
      </c>
      <c r="H464" t="inlineStr">
        <is>
          <t>អ្នកបានបានបញ្ចប់ការផ្លាស់ប្តូរការបែងចែកការងារ!</t>
        </is>
      </c>
      <c r="I464" s="217" t="inlineStr">
        <is>
          <t>"PhanCong.toastCompleteAssignFw": "អ្នកបានបានបញ្ចប់ការផ្លាស់ប្តូរការបែងចែកការងារ!",</t>
        </is>
      </c>
      <c r="N464" s="3" t="inlineStr">
        <is>
          <t>អ្នកបានបញ្ចប់ការផ្ទេរការចែកចាយនេះ!</t>
        </is>
      </c>
    </row>
    <row r="465" ht="15.75" customHeight="1" s="305">
      <c r="A465" s="3" t="inlineStr">
        <is>
          <t>PhanCong.toastCompleteAssign</t>
        </is>
      </c>
      <c r="B465" s="3" t="inlineStr">
        <is>
          <t>Đồng chí đã hoàn thành lượt phân công!</t>
        </is>
      </c>
      <c r="C465" s="3" t="inlineStr">
        <is>
          <t>You have completed assignment!</t>
        </is>
      </c>
      <c r="D465" s="3">
        <f>IFERROR(__xludf.DUMMYFUNCTION("GOOGLETRANSLATE(B465,""vi"",""km"")"),"អ្នកបានបញ្ចប់ភារកិច្ចដែលបានកំណត់របស់អ្នកហើយ!")</f>
        <v/>
      </c>
      <c r="E465" s="3" t="inlineStr">
        <is>
          <t>អ្នកបានបញ្ចប់ការប្រគល់ការងារ!</t>
        </is>
      </c>
      <c r="F465" s="3" t="n"/>
      <c r="G465" s="3" t="inlineStr">
        <is>
          <t>អ្នកបានបញ្ចប់ការប្រគល់ការងារ!</t>
        </is>
      </c>
      <c r="H465" t="inlineStr">
        <is>
          <t>អ្នកបានបញ្ចប់ការប្រគល់ការងារ!</t>
        </is>
      </c>
      <c r="I465" s="217" t="inlineStr">
        <is>
          <t>"PhanCong.toastCompleteAssign": "អ្នកបានបញ្ចប់ការប្រគល់ការងារ!",</t>
        </is>
      </c>
      <c r="N465" s="3" t="inlineStr">
        <is>
          <t>អ្នកបានបញ្ចប់ការចែកចាយនេះ!</t>
        </is>
      </c>
    </row>
    <row r="466" ht="15.75" customHeight="1" s="305">
      <c r="A466" s="3" t="inlineStr">
        <is>
          <t>khaiThacDen.youHaveReceivedTicketSentToWrongAddress</t>
        </is>
      </c>
      <c r="B466" s="3" t="inlineStr">
        <is>
          <t>Đồng chí đã nhận {{countDifferalLocation}} phiếu gửi sai địa danh phát, đồng chí sang tab "chuyển tiếp" để xử lý</t>
        </is>
      </c>
      <c r="C466" s="3" t="inlineStr">
        <is>
          <t>Take over {{countDifferalLocation}} wrong-delivery-address postal slips. Switch to "Forward" tab to process</t>
        </is>
      </c>
      <c r="D466" s="3">
        <f>IFERROR(__xludf.DUMMYFUNCTION("GOOGLETRANSLATE(B466,""vi"",""km"")"),"អ្នកបានទទួលបង្កាន់ដៃដឹកជញ្ជូនដែលមានអាសយដ្ឋានដឹកជញ្ជូនខុស។ សូមចូលទៅកាន់ផ្ទាំង ""បញ្ជូនបន្ត"" ដើម្បីដំណើរការវា។")</f>
        <v/>
      </c>
      <c r="E466" s="3" t="inlineStr">
        <is>
          <t>អ្នកបានទទួល {{countDifferalLocation}} បុងបញ្ញើខុសទីតាំងប្រគល់, អ្នកចុចចូល "បន្ត" ដើម្បីដោះស្រាយ</t>
        </is>
      </c>
      <c r="F466" s="3" t="n"/>
      <c r="G466" s="3" t="inlineStr">
        <is>
          <t>អ្នកបានទទួល {{countDifferalLocation}} បុងបញ្ញើខុសទីតាំងប្រគល់, អ្នកចុចចូល "បន្ត" ដើម្បីដោះស្រាយ</t>
        </is>
      </c>
      <c r="H466" t="inlineStr">
        <is>
          <t>អ្នកបានទទួល {{countDifferalLocation}} បុងបញ្ញើខុសទីតាំងប្រគល់, អ្នកចុចចូល "បន្ត" ដើម្បីដោះស្រាយ</t>
        </is>
      </c>
      <c r="I466" s="217" t="inlineStr">
        <is>
          <t>"khaiThacDen.youHaveReceivedTicketSentToWrongAddress": "អ្នកបានទទួល {{countDifferalLocation}} បុងបញ្ញើខុសទីតាំងប្រគល់, អ្នកចុចចូល "បន្ត" ដើម្បីដោះស្រាយ",</t>
        </is>
      </c>
      <c r="N466" s="3" t="inlineStr">
        <is>
          <t>អ្នកបានទទួល {{countDifferalLocation}} បណ្ឌបញ្ញើខុសអាសយដ្ឋានដឹកជញ្ជូន, សូមចូលទៅកាន់ tab "បញ្ចូនបន្ត" ដោយជោគជ័យ</t>
        </is>
      </c>
    </row>
    <row r="467" ht="15.75" customHeight="1" s="305">
      <c r="A467" s="3" t="inlineStr">
        <is>
          <t>khaiThacDen.receivedSentSuccessfullyAndSentWrongAddress</t>
        </is>
      </c>
      <c r="B467" s="3" t="inlineStr">
        <is>
          <t>Đồng chí đã nhận {{countSameLocation}} phiếu gửi thành công, {{failedItems}} thất bại và {{countDifferalLocation}} phiếu gửi sai địa danh phát, đồng chí sang tab "chuyển tiếp" để xử lý</t>
        </is>
      </c>
      <c r="C467" s="3" t="inlineStr">
        <is>
          <t>Take over {{countSameLocation}} postal slips successfully and fail to take over {{failedItems}} postal slips. There are {{countDifferalLocation}} wrong-delivery-addressed postal slips need processing in Forward tab.</t>
        </is>
      </c>
      <c r="D467" s="3">
        <f>IFERROR(__xludf.DUMMYFUNCTION("GOOGLETRANSLATE(B467,""vi"",""km"")"),"អ្នកបានទទួលបង្កាន់ដៃដឹកជញ្ជូន {{countSameLocation}} ដែលទទួលបានជោគជ័យ, បង្កាន់ដៃដឹកជញ្ជូន {{failedItems}} ដែលបរាជ័យ និងបង្កាន់ដៃដឹកជញ្ជូនដែលមានអាសយដ្ឋានដឹកជញ្ជូនមិនត្រឹមត្រូវ {{countDifferalLocation}}។ សូមចូលទៅកាន់ផ្ទាំង ""បញ្ជូនបន្ត"" ដើម្បីដំណើរការពួកវា។")</f>
        <v/>
      </c>
      <c r="E467" s="3" t="inlineStr">
        <is>
          <t>អ្នកបានទទួល{{countSameLocation}} បុងបញ្ញើបានជោគជ័យ, {{failedItems}} បរាជ័យ, និង {{countDifferalLocation}} បុងបញ្ញើខុសទីតាំងប្រគល់, អ្នកចុចចូល "បន្ត" ដើម្បីដោះស្រាយ</t>
        </is>
      </c>
      <c r="F467" s="3" t="n"/>
      <c r="G467" s="3" t="inlineStr">
        <is>
          <t>អ្នកបានទទួល{{countSameLocation}} បុងបញ្ញើបានជោគជ័យ, {{failedItems}} បរាជ័យ, និង {{countDifferalLocation}} បុងបញ្ញើខុសទីតាំងប្រគល់, អ្នកចុចចូល "បន្ត" ដើម្បីដោះស្រាយ</t>
        </is>
      </c>
      <c r="H467" t="inlineStr">
        <is>
          <t>អ្នកបានទទួល{{countSameLocation}} បុងបញ្ញើបានជោគជ័យ, {{failedItems}} បរាជ័យ, និង {{countDifferalLocation}} បុងបញ្ញើខុសទីតាំងប្រគល់, អ្នកចុចចូល "បន្ត" ដើម្បីដោះស្រាយ</t>
        </is>
      </c>
      <c r="I467" s="217" t="inlineStr">
        <is>
          <t>"khaiThacDen.receivedSentSuccessfullyAndSentWrongAddress": "អ្នកបានទទួល{{countSameLocation}} បុងបញ្ញើបានជោគជ័យ, {{failedItems}} បរាជ័យ, និង {{countDifferalLocation}} បុងបញ្ញើខុសទីតាំងប្រគល់, អ្នកចុចចូល "បន្ត" ដើម្បីដោះស្រាយ",</t>
        </is>
      </c>
      <c r="N467" s="3" t="inlineStr">
        <is>
          <t>អ្នកបានទទួល {{countSameLocation}} បណ្ឌបញ្ញើជោគជ័យ, {{failedItems}} បរាជ័យហើយ {{countDifferalLocation}} បណ្ឌបញ្ញើខុសអាសយដ្ឋានដឹកជញ្ជូន, សូមចូលទៅកាន់ tab "បញ្ចូនបន្ត" ដើម្បីដោះស្រាយ</t>
        </is>
      </c>
    </row>
    <row r="468" ht="15.75" customHeight="1" s="305">
      <c r="A468" s="3" t="inlineStr">
        <is>
          <t>khaiThacDen.youHaveSuccessfullyReceivedSubmissionSlipTicketSentToWrongAddress</t>
        </is>
      </c>
      <c r="B468" s="3" t="inlineStr">
        <is>
          <t>Đồng chí đã nhận {{countSameLocation}} phiếu gửi thành công. {{countDifferalLocation}} phiếu gửi sai địa danh phát, đồng chí sang tab "chuyển tiếp" để xử lý</t>
        </is>
      </c>
      <c r="C468" s="3" t="inlineStr">
        <is>
          <t xml:space="preserve">Take over {{countSameLocation}} postal slips successfully. There are {{countDifferalLocation}} wrong-delivery-address, please switch to tab Forward to process. </t>
        </is>
      </c>
      <c r="D468" s="3">
        <f>IFERROR(__xludf.DUMMYFUNCTION("GOOGLETRANSLATE(B468,""vi"",""km"")"),"អ្នកបានទទួលបង្កាន់ដៃដឹកជញ្ជូន {{countSameLocation}} ដោយជោគជ័យ។ ប្រសិនបើបង្កាន់ដៃដឹកជញ្ជូន {{countDifferalLocation}} មានអាសយដ្ឋានដឹកជញ្ជូនមិនត្រឹមត្រូវ សូមចូលទៅកាន់ផ្ទាំង ""បញ្ជូនបន្ត"" ដើម្បីដោះស្រាយវា។")</f>
        <v/>
      </c>
      <c r="E468" s="3" t="inlineStr">
        <is>
          <t>អ្នកបានទទួល{{countSameLocation}} បុងបញ្ញើបានជោគជ័យ។  {{countDifferalLocation}} បុងបញ្ញើខុសទីតាំងប្រគល់, អ្នកចុចចូល "បន្ត" ដើម្បីដោះស្រាយ</t>
        </is>
      </c>
      <c r="F468" s="3" t="n"/>
      <c r="G468" s="3" t="inlineStr">
        <is>
          <t>អ្នកបានទទួល{{countSameLocation}} បុងបញ្ញើបានជោគជ័យ។ {{countDifferalLocation}} បុងបញ្ញើខុសទីតាំងប្រគល់, អ្នកចុចចូល "បន្ត" ដើម្បីដោះស្រាយ</t>
        </is>
      </c>
      <c r="H468" t="inlineStr">
        <is>
          <t>អ្នកបានទទួល{{countSameLocation}} បុងបញ្ញើបានជោគជ័យ។ {{countDifferalLocation}} បុងបញ្ញើខុសទីតាំងប្រគល់, អ្នកចុចចូល "បន្ត" ដើម្បីដោះស្រាយ</t>
        </is>
      </c>
      <c r="I468" s="217" t="inlineStr">
        <is>
          <t>"khaiThacDen.youHaveSuccessfullyReceivedSubmissionSlipTicketSentToWrongAddress": "អ្នកបានទទួល{{countSameLocation}} បុងបញ្ញើបានជោគជ័យ។ {{countDifferalLocation}} បុងបញ្ញើខុសទីតាំងប្រគល់, អ្នកចុចចូល "បន្ត" ដើម្បីដោះស្រាយ",</t>
        </is>
      </c>
      <c r="N468" s="3" t="inlineStr">
        <is>
          <t>អ្នកបានទទួល {{countSameLocation}} បណ្ឌបញ្ញើដោយជោគជ័យ. {{countDifferalLocation}} បណ្ឌបញ្ញើខុសអាសយដ្ឋានដឹកជញ្ជូន, សូមចូលទៅកាន់ tab "បញ្ចូនបន្ត" ដើម្បីដោះស្រាយ</t>
        </is>
      </c>
    </row>
    <row r="469" ht="15.75" customHeight="1" s="305">
      <c r="A469" s="3" t="inlineStr">
        <is>
          <t>khaiThacDen.failedReceiveAndTicketsSentWrong</t>
        </is>
      </c>
      <c r="B469" s="3" t="inlineStr">
        <is>
          <t>Đồng chí đã nhận {{failedItems}} thất bại và {{countDifferalLocation}} phiếu gửi sai địa danh phát, đồng chí sang tab "chuyển tiếp" để xử lý</t>
        </is>
      </c>
      <c r="C469" s="3" t="inlineStr">
        <is>
          <t>Fail to take over {{failedItems}} postal slips and receive {{countDifferalLocation}} wrong-delivery-addressed postal slips sucessfully. Switch to "Forward" tab to process.</t>
        </is>
      </c>
      <c r="D469" s="3">
        <f>IFERROR(__xludf.DUMMYFUNCTION("GOOGLETRANSLATE(B469,""vi"",""km"")"),"អ្នកបានទទួលទំនិញដែលបរាជ័យ និងអាសយដ្ឋានដឹកជញ្ជូនមិនត្រឹមត្រូវសម្រាប់សន្លឹក countDifferalLocation។ សូមចូលទៅកាន់ផ្ទាំង ""បញ្ជូនបន្ត"" ដើម្បីដំណើរការវា។")</f>
        <v/>
      </c>
      <c r="E469" s="3" t="inlineStr">
        <is>
          <t>អ្នកបានទទួល {{failedItems}} បរាជ័យ និង {{countDifferalLocation}}បុងបញ្ញើ ដែលខុសអាសយដ្ឋាន សូមចុចចូល "បន្ត" ដើម្បីដោះស្រាយ។</t>
        </is>
      </c>
      <c r="F469" s="3" t="n"/>
      <c r="G469" s="3" t="inlineStr">
        <is>
          <t>អ្នកបានទទួល {{failedItems}} បរាជ័យ និង {{countDifferalLocation}}បុងបញ្ញើ ដែលខុសអាសយដ្ឋាន សូមចុចចូល "បន្ត" ដើម្បីដោះស្រាយ។</t>
        </is>
      </c>
      <c r="H469" t="inlineStr">
        <is>
          <t>អ្នកបានទទួល {{failedItems}} បរាជ័យ និង {{countDifferalLocation}}បុងបញ្ញើ ដែលខុសអាសយដ្ឋាន សូមចុចចូល "បន្ត" ដើម្បីដោះស្រាយ។</t>
        </is>
      </c>
      <c r="I469" s="217" t="inlineStr">
        <is>
          <t>"khaiThacDen.failedReceiveAndTicketsSentWrong": "អ្នកបានទទួល {{failedItems}} បរាជ័យ និង {{countDifferalLocation}}បុងបញ្ញើ ដែលខុសអាសយដ្ឋាន សូមចុចចូល "បន្ត" ដើម្បីដោះស្រាយ។",</t>
        </is>
      </c>
      <c r="N469" s="3" t="inlineStr">
        <is>
          <t>អ្នកបានទទួល {{failedItems}} បរាជ័យហើយ {{countDifferalLocation}} បណ្ឌបញ្ញើខុសអាសយដ្ឋានដឹកជញ្ជូន, សូមចូលទៅកាន់ tab "បញ្ចូនបន្ត" ដើម្បីដោះស្រាយ</t>
        </is>
      </c>
    </row>
    <row r="470" ht="15.75" customHeight="1" s="305">
      <c r="A470" s="3" t="inlineStr">
        <is>
          <t>khaiThacDen.comradeReceivedFailedAndTicketSentSuccessfully</t>
        </is>
      </c>
      <c r="B470" s="3" t="inlineStr">
        <is>
          <t xml:space="preserve">Đồng chí đã nhận {{failedItems}} thất bại và {{countSameLocation}} phiếu gửi thành công. </t>
        </is>
      </c>
      <c r="C470" s="3" t="inlineStr">
        <is>
          <t xml:space="preserve">Fail to take over {{failedItems}} postal slips and take over {{countSameLocation}} postal slips sucessfully. </t>
        </is>
      </c>
      <c r="D470" s="3">
        <f>IFERROR(__xludf.DUMMYFUNCTION("GOOGLETRANSLATE(B470,""vi"",""km"")"),"អ្នកបានទទួលបង្កាន់ដៃដឹកជញ្ជូន {{failedItems}} ដែលបរាជ័យ និង {{countSameLocation}} ដែលទទួលបានជោគជ័យ។")</f>
        <v/>
      </c>
      <c r="E470" s="3" t="inlineStr">
        <is>
          <t>អ្នកបានទទួល {{failedItems}} បរាជ័យ និង {{countSameLocation}} បុងបញ្ញើដោយជោគជ័យ។</t>
        </is>
      </c>
      <c r="F470" s="3" t="n"/>
      <c r="G470" s="3" t="inlineStr">
        <is>
          <t>អ្នកបានទទួល {{failedItems}} បរាជ័យ និង {{countSameLocation}} បុងបញ្ញើដោយជោគជ័យ។</t>
        </is>
      </c>
      <c r="H470" t="inlineStr">
        <is>
          <t>អ្នកបានទទួល {{failedItems}} បរាជ័យ និង {{countSameLocation}} បុងបញ្ញើដោយជោគជ័យ។</t>
        </is>
      </c>
      <c r="I470" s="217" t="inlineStr">
        <is>
          <t>"khaiThacDen.comradeReceivedFailedAndTicketSentSuccessfully": "អ្នកបានទទួល {{failedItems}} បរាជ័យ និង {{countSameLocation}} បុងបញ្ញើដោយជោគជ័យ។",</t>
        </is>
      </c>
      <c r="N470" s="3" t="inlineStr">
        <is>
          <t xml:space="preserve">អ្នកបានទទួល {{failedItems}} បរាជ័យហើយ {{countSameLocation}} បណ្ឌបញ្ញើជោគជ័យ។ </t>
        </is>
      </c>
    </row>
    <row r="471" ht="15.75" customHeight="1" s="305">
      <c r="A471" s="3" t="inlineStr">
        <is>
          <t>khaiThacDen.youHaveSuccessfullyReceivedSentBallot</t>
        </is>
      </c>
      <c r="B471" s="3" t="inlineStr">
        <is>
          <t>Đồng chí đã nhận phiếu gửi {{listNhan}} thành công</t>
        </is>
      </c>
      <c r="C471" s="3" t="inlineStr">
        <is>
          <t xml:space="preserve">Take over the postal slip {{listNhan}} successfully. </t>
        </is>
      </c>
      <c r="D471" s="3">
        <f>IFERROR(__xludf.DUMMYFUNCTION("GOOGLETRANSLATE(B471,""vi"",""km"")"),"អ្នកបានទទួលសំបុត្រសម្រាប់ {{listNhan}} ដោយជោគជ័យហើយ")</f>
        <v/>
      </c>
      <c r="E471" s="3" t="inlineStr">
        <is>
          <t>អ្នកបានទទួលបុងបញ្ញើ {{listNhan}} ដោយជោគជ័យ</t>
        </is>
      </c>
      <c r="F471" s="3" t="n"/>
      <c r="G471" s="3" t="inlineStr">
        <is>
          <t>អ្នកបានទទួលបុងបញ្ញើ {{listNhan}} ដោយជោគជ័យ</t>
        </is>
      </c>
      <c r="H471" t="inlineStr">
        <is>
          <t>អ្នកបានទទួលបុងបញ្ញើ {{listNhan}} ដោយជោគជ័យ</t>
        </is>
      </c>
      <c r="I471" s="217" t="inlineStr">
        <is>
          <t>"khaiThacDen.youHaveSuccessfullyReceivedSentBallot": "អ្នកបានទទួលបុងបញ្ញើ {{listNhan}} ដោយជោគជ័យ",</t>
        </is>
      </c>
      <c r="N471" s="3" t="inlineStr">
        <is>
          <t>អ្នកបានទទួលបណ្ឌបញ្ញើ {{listNhan}} ដោយជោគជ័យ</t>
        </is>
      </c>
    </row>
    <row r="472" ht="15.75" customHeight="1" s="305">
      <c r="A472" s="3" t="inlineStr">
        <is>
          <t>PhanCong.descConfrimCompleteFw</t>
        </is>
      </c>
      <c r="B472" s="3" t="inlineStr">
        <is>
          <t>Đồng chí muốn chuyển phân công tuyến này?</t>
        </is>
      </c>
      <c r="C472" s="3" t="inlineStr">
        <is>
          <t>Are you sure to forward this assignment?</t>
        </is>
      </c>
      <c r="D472" s="3">
        <f>IFERROR(__xludf.DUMMYFUNCTION("GOOGLETRANSLATE(B472,""vi"",""km"")"),"តើអ្នកចង់ត្រូវបានផ្ទេរទៅភារកិច្ចនេះទេ?")</f>
        <v/>
      </c>
      <c r="E472" s="3" t="inlineStr">
        <is>
          <t>តើអ្នកប្តូរការបែងចែកផ្លូវនេះទេ?</t>
        </is>
      </c>
      <c r="F472" s="3" t="n"/>
      <c r="G472" s="3" t="inlineStr">
        <is>
          <t>តើអ្នកប្តូរការបែងចែកផ្លូវនេះទេ?</t>
        </is>
      </c>
      <c r="H472" t="inlineStr">
        <is>
          <t>តើអ្នកប្តូរការបែងចែកផ្លូវនេះទេ?</t>
        </is>
      </c>
      <c r="I472" s="217" t="inlineStr">
        <is>
          <t>"PhanCong.descConfrimCompleteFw": "តើអ្នកប្តូរការបែងចែកផ្លូវនេះទេ?",</t>
        </is>
      </c>
      <c r="N472" s="3" t="inlineStr">
        <is>
          <t>តើអ្នកចង់ផ្ទេរផ្លូវចែកចាយនេះមែនទេ?</t>
        </is>
      </c>
    </row>
    <row r="473" ht="15.75" customHeight="1" s="305">
      <c r="A473" s="3" t="inlineStr">
        <is>
          <t>PhanCong.descConfrimComplete</t>
        </is>
      </c>
      <c r="B473" s="3" t="inlineStr">
        <is>
          <t>Đồng chí muốn hoàn thành lượt phân công này?</t>
        </is>
      </c>
      <c r="C473" s="3" t="inlineStr">
        <is>
          <t>Are you sure to complete this assignment?</t>
        </is>
      </c>
      <c r="D473" s="3">
        <f>IFERROR(__xludf.DUMMYFUNCTION("GOOGLETRANSLATE(B473,""vi"",""km"")"),"តើអ្នកចង់បំពេញកិច្ចការនេះទេ?")</f>
        <v/>
      </c>
      <c r="E473" s="3" t="inlineStr">
        <is>
          <t>តើអ្នកចង់បញ្ចប់វេនបែងចែកនេះទេ?</t>
        </is>
      </c>
      <c r="F473" s="3" t="n"/>
      <c r="G473" s="3" t="inlineStr">
        <is>
          <t>តើអ្នកចង់បញ្ចប់វេនបែងចែកនេះទេ?</t>
        </is>
      </c>
      <c r="H473" t="inlineStr">
        <is>
          <t>តើអ្នកចង់បញ្ចប់វេនបែងចែកនេះទេ?</t>
        </is>
      </c>
      <c r="I473" s="217" t="inlineStr">
        <is>
          <t>"PhanCong.descConfrimComplete": "តើអ្នកចង់បញ្ចប់វេនបែងចែកនេះទេ?",</t>
        </is>
      </c>
      <c r="N473" s="3" t="inlineStr">
        <is>
          <t>តើអ្នកចង់បញ្ចប់ការចែកចាយនេះមែនទេ?</t>
        </is>
      </c>
    </row>
    <row r="474" ht="15.75" customHeight="1" s="305">
      <c r="A474" s="3" t="inlineStr">
        <is>
          <t>khaiThacDen.youFailedToReceiveSubmission</t>
        </is>
      </c>
      <c r="B474" s="3" t="inlineStr">
        <is>
          <t>Đồng chí nhận phiếu gửi {{listNhan}} thất bại</t>
        </is>
      </c>
      <c r="C474" s="3" t="inlineStr">
        <is>
          <t>Fail to take over postal slip {{listNhan}}.</t>
        </is>
      </c>
      <c r="D474" s="3">
        <f>IFERROR(__xludf.DUMMYFUNCTION("GOOGLETRANSLATE(B474,""vi"",""km"")"),"សមមិត្ត អ្នកបានទទួលបង្កាន់ដៃដឹកជញ្ជូនដែលបរាជ័យសម្រាប់ {{listNhan}}។")</f>
        <v/>
      </c>
      <c r="E474" s="3" t="inlineStr">
        <is>
          <t>អ្នកបានទទួលបុងបញ្ញើ {{listNhan}} ដោយបរាជ័យ។</t>
        </is>
      </c>
      <c r="F474" s="3" t="n"/>
      <c r="G474" s="3" t="inlineStr">
        <is>
          <t>អ្នកបានទទួលបុងបញ្ញើ {{listNhan}} ដោយបរាជ័យ។</t>
        </is>
      </c>
      <c r="H474" t="inlineStr">
        <is>
          <t>អ្នកបានទទួលបុងបញ្ញើ {{listNhan}} ដោយបរាជ័យ។</t>
        </is>
      </c>
      <c r="I474" s="217" t="inlineStr">
        <is>
          <t>"khaiThacDen.youFailedToReceiveSubmission": "អ្នកបានទទួលបុងបញ្ញើ {{listNhan}} ដោយបរាជ័យ។",</t>
        </is>
      </c>
      <c r="N474" s="3" t="inlineStr">
        <is>
          <t>អ្នកបានទទួលបណ្ឌបញ្ញើ {{listNhan}} បរាជ័យហើយ</t>
        </is>
      </c>
    </row>
    <row r="475" ht="15.75" customHeight="1" s="305">
      <c r="A475" s="3" t="inlineStr">
        <is>
          <t>nhanHang.errorWeight</t>
        </is>
      </c>
      <c r="B475" s="3" t="inlineStr">
        <is>
          <t>Đồng chí vui lòng nhập trọng lượng &gt; 0</t>
        </is>
      </c>
      <c r="C475" s="3" t="inlineStr">
        <is>
          <t>Weight must be a positive number</t>
        </is>
      </c>
      <c r="D475" s="3">
        <f>IFERROR(__xludf.DUMMYFUNCTION("GOOGLETRANSLATE(B475,""vi"",""km"")"),"សូមបញ្ចូលទម្ងន់ &gt; ០")</f>
        <v/>
      </c>
      <c r="E475" s="3" t="inlineStr">
        <is>
          <t>សូមអ្នកបញ្ចូលទម្ងន់ &gt; 0។</t>
        </is>
      </c>
      <c r="F475" s="3" t="n"/>
      <c r="G475" s="3" t="inlineStr">
        <is>
          <t>សូមអ្នកបញ្ចូលទម្ងន់ &gt; 0។</t>
        </is>
      </c>
      <c r="H475" t="inlineStr">
        <is>
          <t>សូមអ្នកបញ្ចូលទម្ងន់ &gt; 0។</t>
        </is>
      </c>
      <c r="I475" s="217" t="inlineStr">
        <is>
          <t>"nhanHang.errorWeight": "សូមអ្នកបញ្ចូលទម្ងន់ &gt; 0។",</t>
        </is>
      </c>
      <c r="N475" s="3" t="inlineStr">
        <is>
          <t>សូមបញ្ចូលទំងន់ធំជាង 0</t>
        </is>
      </c>
    </row>
    <row r="476" ht="15.75" customHeight="1" s="305">
      <c r="A476" s="3" t="inlineStr">
        <is>
          <t>home.dongtai</t>
        </is>
      </c>
      <c r="B476" s="3" t="inlineStr">
        <is>
          <t>Đóng tải</t>
        </is>
      </c>
      <c r="C476" s="3" t="inlineStr">
        <is>
          <t>Pack up</t>
        </is>
      </c>
      <c r="D476" s="3">
        <f>IFERROR(__xludf.DUMMYFUNCTION("GOOGLETRANSLATE(B476,""vi"",""km"")"),"កំពុងផ្ទុក")</f>
        <v/>
      </c>
      <c r="E476" s="3" t="inlineStr">
        <is>
          <t>ការបិទខ្ចប់</t>
        </is>
      </c>
      <c r="F476" s="3" t="n"/>
      <c r="G476" s="3" t="inlineStr">
        <is>
          <t>ការបិទខ្ចប់</t>
        </is>
      </c>
      <c r="H476" t="inlineStr">
        <is>
          <t>ការបិទខ្ចប់</t>
        </is>
      </c>
      <c r="I476" s="217" t="inlineStr">
        <is>
          <t>"home.dongtai": "ការបិទខ្ចប់",</t>
        </is>
      </c>
      <c r="N476" s="3" t="inlineStr">
        <is>
          <t>បន្ទុកបិទ</t>
        </is>
      </c>
    </row>
    <row r="477" ht="15.75" customHeight="1" s="305">
      <c r="A477" s="3" t="inlineStr">
        <is>
          <t>DongTai.title</t>
        </is>
      </c>
      <c r="B477" s="3" t="inlineStr">
        <is>
          <t>Đóng tải</t>
        </is>
      </c>
      <c r="C477" s="3" t="inlineStr">
        <is>
          <t>Pack up</t>
        </is>
      </c>
      <c r="D477" s="3">
        <f>IFERROR(__xludf.DUMMYFUNCTION("GOOGLETRANSLATE(B477,""vi"",""km"")"),"កំពុងផ្ទុក")</f>
        <v/>
      </c>
      <c r="E477" s="3" t="inlineStr">
        <is>
          <t>ការបិទខ្ចប់</t>
        </is>
      </c>
      <c r="F477" s="3" t="n"/>
      <c r="G477" s="3" t="inlineStr">
        <is>
          <t>ការបិទខ្ចប់</t>
        </is>
      </c>
      <c r="H477" t="inlineStr">
        <is>
          <t>ការបិទខ្ចប់</t>
        </is>
      </c>
      <c r="I477" s="217" t="inlineStr">
        <is>
          <t>"DongTai.title": "ការបិទខ្ចប់",</t>
        </is>
      </c>
      <c r="N477" s="3" t="inlineStr">
        <is>
          <t>បិទការត្រួតពិនិត្យ</t>
        </is>
      </c>
    </row>
    <row r="478" ht="15.75" customHeight="1" s="305">
      <c r="A478" s="3" t="inlineStr">
        <is>
          <t>tms.agree</t>
        </is>
      </c>
      <c r="B478" s="3" t="inlineStr">
        <is>
          <t>Đồng ý</t>
        </is>
      </c>
      <c r="C478" s="3" t="inlineStr">
        <is>
          <t>Agree</t>
        </is>
      </c>
      <c r="D478" s="3">
        <f>IFERROR(__xludf.DUMMYFUNCTION("GOOGLETRANSLATE(B478,""vi"",""km"")"),"យល់ព្រម")</f>
        <v/>
      </c>
      <c r="E478" s="3" t="inlineStr">
        <is>
          <t>យល់ព្រម</t>
        </is>
      </c>
      <c r="F478" s="3" t="n"/>
      <c r="G478" s="3" t="inlineStr">
        <is>
          <t>យល់ព្រម</t>
        </is>
      </c>
      <c r="H478" t="inlineStr">
        <is>
          <t>យល់ព្រម</t>
        </is>
      </c>
      <c r="I478" s="217" t="inlineStr">
        <is>
          <t>"tms.agree": "យល់ព្រម",</t>
        </is>
      </c>
      <c r="N478" s="3" t="inlineStr"/>
    </row>
    <row r="479" ht="15.75" customHeight="1" s="305">
      <c r="A479" s="3" t="inlineStr">
        <is>
          <t>KiemKe.enough</t>
        </is>
      </c>
      <c r="B479" s="3" t="inlineStr">
        <is>
          <t>Đủ</t>
        </is>
      </c>
      <c r="C479" s="3" t="inlineStr">
        <is>
          <t>Sufficient</t>
        </is>
      </c>
      <c r="D479" s="3">
        <f>IFERROR(__xludf.DUMMYFUNCTION("GOOGLETRANSLATE(B479,""vi"",""km"")"),"គ្រប់គ្រាន់ហើយ")</f>
        <v/>
      </c>
      <c r="E479" s="3" t="inlineStr">
        <is>
          <t>គ្រប់គ្រាន់</t>
        </is>
      </c>
      <c r="F479" s="3" t="n"/>
      <c r="G479" s="3" t="inlineStr">
        <is>
          <t>គ្រប់គ្រាន់</t>
        </is>
      </c>
      <c r="H479" t="inlineStr">
        <is>
          <t>គ្រប់គ្រាន់</t>
        </is>
      </c>
      <c r="I479" s="217" t="inlineStr">
        <is>
          <t>"KiemKe.enough": "គ្រប់គ្រាន់",</t>
        </is>
      </c>
      <c r="N479" s="163" t="inlineStr">
        <is>
          <t>គ្រប់គ្រាន់</t>
        </is>
      </c>
    </row>
    <row r="480" ht="15.75" customHeight="1" s="305">
      <c r="A480" s="3" t="inlineStr">
        <is>
          <t>tms.duKienDen</t>
        </is>
      </c>
      <c r="B480" s="3" t="inlineStr">
        <is>
          <t>Dự kiến đến</t>
        </is>
      </c>
      <c r="C480" s="3" t="inlineStr">
        <is>
          <t>Estimated arrival</t>
        </is>
      </c>
      <c r="D480" s="3">
        <f>IFERROR(__xludf.DUMMYFUNCTION("GOOGLETRANSLATE(B480,""vi"",""km"")"),"ការមកដល់ដែលរំពឹងទុក")</f>
        <v/>
      </c>
      <c r="E480" s="3" t="inlineStr">
        <is>
          <t>គម្រោងមកដល់</t>
        </is>
      </c>
      <c r="F480" s="3" t="n"/>
      <c r="G480" s="3" t="inlineStr">
        <is>
          <t>គម្រោងមកដល់</t>
        </is>
      </c>
      <c r="H480" t="inlineStr">
        <is>
          <t>គម្រោងមកដល់</t>
        </is>
      </c>
      <c r="I480" s="217" t="inlineStr">
        <is>
          <t>"tms.duKienDen": "គម្រោងមកដល់",</t>
        </is>
      </c>
      <c r="N480" s="3" t="inlineStr"/>
    </row>
    <row r="481" ht="15.75" customHeight="1" s="305">
      <c r="A481" s="3" t="inlineStr">
        <is>
          <t>tms.duKienDi</t>
        </is>
      </c>
      <c r="B481" s="3" t="inlineStr">
        <is>
          <t>Dự kiến đi</t>
        </is>
      </c>
      <c r="C481" s="3" t="inlineStr">
        <is>
          <t>Estimated departure</t>
        </is>
      </c>
      <c r="D481" s="3">
        <f>IFERROR(__xludf.DUMMYFUNCTION("GOOGLETRANSLATE(B481,""vi"",""km"")"),"រំពឹងថានឹងទៅ")</f>
        <v/>
      </c>
      <c r="E481" s="3" t="inlineStr">
        <is>
          <t>គម្រោងនឹងចេញទៅ</t>
        </is>
      </c>
      <c r="F481" s="3" t="n"/>
      <c r="G481" s="3" t="inlineStr">
        <is>
          <t>គម្រោងនឹងចេញទៅ</t>
        </is>
      </c>
      <c r="H481" t="inlineStr">
        <is>
          <t>គម្រោងនឹងចេញទៅ</t>
        </is>
      </c>
      <c r="I481" s="217" t="inlineStr">
        <is>
          <t>"tms.duKienDi": "គម្រោងនឹងចេញទៅ",</t>
        </is>
      </c>
      <c r="N481" s="3" t="inlineStr"/>
    </row>
    <row r="482" ht="15.75" customHeight="1" s="305">
      <c r="A482" s="3" t="inlineStr">
        <is>
          <t>taoDon.estimatedAfterDays</t>
        </is>
      </c>
      <c r="B482" s="3" t="inlineStr">
        <is>
          <t>Dự kiến sau {{time}} ngày</t>
        </is>
      </c>
      <c r="C482" s="3" t="inlineStr">
        <is>
          <t>Expected delivery in {{time}} days</t>
        </is>
      </c>
      <c r="D482" s="3">
        <f>IFERROR(__xludf.DUMMYFUNCTION("GOOGLETRANSLATE(B482,""vi"",""km"")"),"រំពឹងទុកបន្ទាប់ពី {{time}} ថ្ងៃ")</f>
        <v/>
      </c>
      <c r="E482" s="3" t="inlineStr">
        <is>
          <t>គម្រោងក្រោយ {{time}}ថ្ងៃ</t>
        </is>
      </c>
      <c r="F482" s="3" t="n"/>
      <c r="G482" s="3" t="inlineStr">
        <is>
          <t>គម្រោងក្រោយ {{time}}ថ្ងៃ</t>
        </is>
      </c>
      <c r="H482" t="inlineStr">
        <is>
          <t>គម្រោងក្រោយ {{time}}ថ្ងៃ</t>
        </is>
      </c>
      <c r="I482" s="217" t="inlineStr">
        <is>
          <t>"taoDon.estimatedAfterDays": "គម្រោងក្រោយ {{time}}ថ្ងៃ",</t>
        </is>
      </c>
      <c r="N482" s="3" t="inlineStr">
        <is>
          <t>ស្មាន {{time}} ថ្ងៃ</t>
        </is>
      </c>
    </row>
    <row r="483" ht="15.75" customHeight="1" s="305">
      <c r="A483" s="3" t="inlineStr">
        <is>
          <t>error.errorUrl</t>
        </is>
      </c>
      <c r="B483" s="3" t="inlineStr">
        <is>
          <t>Đường dẫn không hợp lệ</t>
        </is>
      </c>
      <c r="C483" s="3" t="inlineStr">
        <is>
          <t>Invalid path</t>
        </is>
      </c>
      <c r="D483" s="3">
        <f>IFERROR(__xludf.DUMMYFUNCTION("GOOGLETRANSLATE(B483,""vi"",""km"")"),"ផ្លូវមិនត្រឹមត្រូវ")</f>
        <v/>
      </c>
      <c r="E483" s="3" t="inlineStr">
        <is>
          <t>ផ្លូវនាំ មិនត្រឹមត្រូវ</t>
        </is>
      </c>
      <c r="F483" s="3" t="n"/>
      <c r="G483" s="3" t="inlineStr">
        <is>
          <t>ផ្លូវនាំ មិនត្រឹមត្រូវ</t>
        </is>
      </c>
      <c r="H483" t="inlineStr">
        <is>
          <t>ផ្លូវនាំ មិនត្រឹមត្រូវ</t>
        </is>
      </c>
      <c r="I483" s="217" t="inlineStr">
        <is>
          <t>"error.errorUrl": "ផ្លូវនាំ មិនត្រឹមត្រូវ",</t>
        </is>
      </c>
      <c r="N483" s="3" t="inlineStr">
        <is>
          <t>ផ្លូវ​មិន​ត្រឹមត្រូវ</t>
        </is>
      </c>
    </row>
    <row r="484" ht="15.75" customHeight="1" s="305">
      <c r="A484" s="3" t="inlineStr">
        <is>
          <t>GiaoHang.hintStreetEditAddress</t>
        </is>
      </c>
      <c r="B484" s="3" t="inlineStr">
        <is>
          <t>Đường/Thôn/Xóm</t>
        </is>
      </c>
      <c r="C484" s="3" t="inlineStr">
        <is>
          <t>Road/Street/Village</t>
        </is>
      </c>
      <c r="D484" s="3">
        <f>IFERROR(__xludf.DUMMYFUNCTION("GOOGLETRANSLATE(B484,""vi"",""km"")"),"ផ្លូវ/ភូមិ/ភូមិតូច")</f>
        <v/>
      </c>
      <c r="E484" s="3" t="inlineStr">
        <is>
          <t>ផ្លូវ/ភូមិ/តំបន់</t>
        </is>
      </c>
      <c r="F484" s="3" t="n"/>
      <c r="G484" s="3" t="inlineStr">
        <is>
          <t>ផ្លូវ/ភូមិ/តំបន់</t>
        </is>
      </c>
      <c r="H484" t="inlineStr">
        <is>
          <t>ផ្លូវ/ភូមិ/តំបន់</t>
        </is>
      </c>
      <c r="I484" s="217" t="inlineStr">
        <is>
          <t>"GiaoHang.hintStreetEditAddress": "ផ្លូវ/ភូមិ/តំបន់",</t>
        </is>
      </c>
      <c r="N484" s="3" t="inlineStr">
        <is>
          <t>ផ្លូវ/ភូមិ/ភូមិ</t>
        </is>
      </c>
    </row>
    <row r="485" ht="15.75" customHeight="1" s="305">
      <c r="A485" s="3" t="inlineStr">
        <is>
          <t>home.duyethoan</t>
        </is>
      </c>
      <c r="B485" s="3" t="inlineStr">
        <is>
          <t>Duyệt hoàn</t>
        </is>
      </c>
      <c r="C485" s="3" t="inlineStr">
        <is>
          <t>Return approval</t>
        </is>
      </c>
      <c r="D485" s="3">
        <f>IFERROR(__xludf.DUMMYFUNCTION("GOOGLETRANSLATE(B485,""vi"",""km"")"),"ការពិនិត្យឡើងវិញបានបញ្ចប់")</f>
        <v/>
      </c>
      <c r="E485" s="3" t="inlineStr">
        <is>
          <t>យល់ព្រមទាំងស្រុង</t>
        </is>
      </c>
      <c r="F485" s="3" t="n"/>
      <c r="G485" s="3" t="inlineStr">
        <is>
          <t>យល់ព្រមទាំងស្រុង</t>
        </is>
      </c>
      <c r="H485" t="inlineStr">
        <is>
          <t>យល់ព្រមទាំងស្រុង</t>
        </is>
      </c>
      <c r="I485" s="217" t="inlineStr">
        <is>
          <t>"home.duyethoan": "យល់ព្រមទាំងស្រុង",</t>
        </is>
      </c>
      <c r="N485" s="3" t="inlineStr">
        <is>
          <t>ការអនុម័តពេញលេញ</t>
        </is>
      </c>
    </row>
    <row r="486" ht="15.75" customHeight="1" s="305">
      <c r="A486" s="3" t="inlineStr">
        <is>
          <t>duyetHoan.titleDuyetHoan</t>
        </is>
      </c>
      <c r="B486" s="3" t="inlineStr">
        <is>
          <t>Duyệt hoàn</t>
        </is>
      </c>
      <c r="C486" s="3" t="inlineStr">
        <is>
          <t>Return approval</t>
        </is>
      </c>
      <c r="D486" s="3">
        <f>IFERROR(__xludf.DUMMYFUNCTION("GOOGLETRANSLATE(B486,""vi"",""km"")"),"ការពិនិត្យឡើងវិញបានបញ្ចប់")</f>
        <v/>
      </c>
      <c r="E486" s="3" t="inlineStr">
        <is>
          <t>យល់ព្រមទាំងស្រុង</t>
        </is>
      </c>
      <c r="F486" s="3" t="n"/>
      <c r="G486" s="3" t="inlineStr">
        <is>
          <t>យល់ព្រមទាំងស្រុង</t>
        </is>
      </c>
      <c r="H486" t="inlineStr">
        <is>
          <t>យល់ព្រមទាំងស្រុង</t>
        </is>
      </c>
      <c r="I486" s="217" t="inlineStr">
        <is>
          <t>"duyetHoan.titleDuyetHoan": "យល់ព្រមទាំងស្រុង",</t>
        </is>
      </c>
      <c r="N486" s="3" t="inlineStr">
        <is>
          <t>ការយល់ព្រម</t>
        </is>
      </c>
    </row>
    <row r="487" ht="15.75" customHeight="1" s="305">
      <c r="A487" s="3" t="inlineStr">
        <is>
          <t>nhanHang.DxRxC</t>
        </is>
      </c>
      <c r="B487" s="3" t="inlineStr">
        <is>
          <t>DxRxC</t>
        </is>
      </c>
      <c r="C487" s="3" t="inlineStr">
        <is>
          <t>LxWxH</t>
        </is>
      </c>
      <c r="D487" s="3">
        <f>IFERROR(__xludf.DUMMYFUNCTION("GOOGLETRANSLATE(B487,""vi"",""km"")"),"DxRxC")</f>
        <v/>
      </c>
      <c r="E487" s="3" t="inlineStr">
        <is>
          <t>DxRxC</t>
        </is>
      </c>
      <c r="F487" s="3" t="n"/>
      <c r="G487" s="3" t="inlineStr">
        <is>
          <t>DxRxC</t>
        </is>
      </c>
      <c r="H487" t="inlineStr">
        <is>
          <t>DxRxC</t>
        </is>
      </c>
      <c r="I487" s="217" t="inlineStr">
        <is>
          <t>"nhanHang.DxRxC": "DxRxC",</t>
        </is>
      </c>
      <c r="N487" s="3" t="inlineStr">
        <is>
          <t>បណ្ដោយ x ទទឹង x កម្ពស់</t>
        </is>
      </c>
    </row>
    <row r="488" ht="15.75" customHeight="1" s="305">
      <c r="A488" s="3" t="inlineStr">
        <is>
          <t>register.email</t>
        </is>
      </c>
      <c r="B488" s="3" t="inlineStr">
        <is>
          <t>Email</t>
        </is>
      </c>
      <c r="C488" s="3" t="inlineStr">
        <is>
          <t>Email</t>
        </is>
      </c>
      <c r="D488" s="3">
        <f>IFERROR(__xludf.DUMMYFUNCTION("GOOGLETRANSLATE(B488,""vi"",""km"")"),"អ៊ីមែល")</f>
        <v/>
      </c>
      <c r="E488" s="3" t="inlineStr">
        <is>
          <t>អ៊ីមែល</t>
        </is>
      </c>
      <c r="F488" s="3" t="n"/>
      <c r="G488" s="3" t="inlineStr">
        <is>
          <t>អ៊ីមែល</t>
        </is>
      </c>
      <c r="H488" t="inlineStr">
        <is>
          <t>អ៊ីមែល</t>
        </is>
      </c>
      <c r="I488" s="217" t="inlineStr">
        <is>
          <t>"register.email": "អ៊ីមែល",</t>
        </is>
      </c>
      <c r="N488" s="3" t="inlineStr"/>
    </row>
    <row r="489" ht="15.75" customHeight="1" s="305">
      <c r="A489" s="3" t="inlineStr">
        <is>
          <t>login.modalErrorContent</t>
        </is>
      </c>
      <c r="B489" s="3" t="inlineStr">
        <is>
          <t>Email anhnt@gmail.com chưa tồn tại trên hệ thống. Bạn có muốn tạo tài khoản mới với email này không?</t>
        </is>
      </c>
      <c r="C489" s="3" t="inlineStr">
        <is>
          <t>Email anhnt@gmail.com doesn't have an account. Sign up now with this email.</t>
        </is>
      </c>
      <c r="D489" s="3">
        <f>IFERROR(__xludf.DUMMYFUNCTION("GOOGLETRANSLATE(B489,""vi"",""km"")"),"អាសយដ្ឋានអ៊ីមែល anhnt@gmail.com មិនមាននៅក្នុងប្រព័ន្ធទេ។ តើអ្នកចង់បង្កើតគណនីថ្មីជាមួយអាសយដ្ឋានអ៊ីមែលនេះទេ?")</f>
        <v/>
      </c>
      <c r="E489" s="3" t="inlineStr">
        <is>
          <t>អ៊ីមែល anhnt@gmail.com មិនមាននៅក្នុងប្រព័ន្ធទេ។ តើអ្នកចង់បង្កើតគណនីថ្មីជាមួយអ៊ីមែលនេះទេ?</t>
        </is>
      </c>
      <c r="F489" s="3" t="n"/>
      <c r="G489" s="3" t="inlineStr">
        <is>
          <t>អ៊ីមែល anhnt@gmail.com មិនមាននៅក្នុងប្រព័ន្ធទេ។ តើអ្នកចង់បង្កើតគណនីថ្មីជាមួយអ៊ីមែលនេះទេ?</t>
        </is>
      </c>
      <c r="H489" t="inlineStr">
        <is>
          <t>អ៊ីមែល anhnt@gmail.com មិនមាននៅក្នុងប្រព័ន្ធទេ។ តើអ្នកចង់បង្កើតគណនីថ្មីជាមួយអ៊ីមែលនេះទេ?</t>
        </is>
      </c>
      <c r="I489" s="217" t="inlineStr">
        <is>
          <t>"login.modalErrorContent": "អ៊ីមែល anhnt@gmail.com មិនមាននៅក្នុងប្រព័ន្ធទេ។ តើអ្នកចង់បង្កើតគណនីថ្មីជាមួយអ៊ីមែលនេះទេ?",</t>
        </is>
      </c>
      <c r="N489" s="3" t="inlineStr">
        <is>
          <t>អ៊ីមែល @ មិនមាននៅលើប្រព័ន្ធទេ។ តើអ្នកចង់បង្កើតគណនីថ្មីជាមួយអ៊ីមែលនេះទេ?</t>
        </is>
      </c>
    </row>
    <row r="490" ht="15.75" customHeight="1" s="305">
      <c r="A490" s="3" t="inlineStr">
        <is>
          <t>dieuHanh.assignSuccess</t>
        </is>
      </c>
      <c r="B490" s="3" t="inlineStr">
        <is>
          <t>Gán bưu cục thành công</t>
        </is>
      </c>
      <c r="C490" s="3" t="inlineStr">
        <is>
          <t>Post-office assigned successfully</t>
        </is>
      </c>
      <c r="D490" s="3">
        <f>IFERROR(__xludf.DUMMYFUNCTION("GOOGLETRANSLATE(B490,""vi"",""km"")"),"ការងារប្រៃសណីយ៍ទទួលបានជោគជ័យ")</f>
        <v/>
      </c>
      <c r="E490" s="3" t="inlineStr">
        <is>
          <t>ភ្ជាប់ការិយាល័យប្រៃសណីយ៍បានជោគជ័យ</t>
        </is>
      </c>
      <c r="F490" s="3" t="n"/>
      <c r="G490" s="3" t="inlineStr">
        <is>
          <t>ចាត់តាំងការិយាល័យប្រៃសណីយ៍ជោគជ័យ</t>
        </is>
      </c>
      <c r="H490" t="inlineStr">
        <is>
          <t>ចាត់តាំងការិយាល័យប្រៃសណីយ៍ជោគជ័យ</t>
        </is>
      </c>
      <c r="I490" s="217" t="inlineStr">
        <is>
          <t>"dieuHanh.assignSuccess": "ចាត់តាំងការិយាល័យប្រៃសណីយ៍ជោគជ័យ",</t>
        </is>
      </c>
      <c r="N490" s="3" t="inlineStr">
        <is>
          <t>កំណត់ប៊ូកុមភ្ញៀវជោគជ័យ</t>
        </is>
      </c>
    </row>
    <row r="491" ht="15.75" customHeight="1" s="305">
      <c r="A491" s="3" t="inlineStr">
        <is>
          <t>dieuHanh.listOrderSuccess</t>
        </is>
      </c>
      <c r="B491" s="3" t="inlineStr">
        <is>
          <t>Gán bưu cục thành công</t>
        </is>
      </c>
      <c r="C491" s="3" t="inlineStr">
        <is>
          <t>Post-office assigned successfully</t>
        </is>
      </c>
      <c r="D491" s="3">
        <f>IFERROR(__xludf.DUMMYFUNCTION("GOOGLETRANSLATE(B491,""vi"",""km"")"),"ការងារប្រៃសណីយ៍ទទួលបានជោគជ័យ")</f>
        <v/>
      </c>
      <c r="E491" s="3" t="inlineStr">
        <is>
          <t>ភ្ជាប់ការិយាល័យប្រៃសណីយ៍បានជោគជ័យ</t>
        </is>
      </c>
      <c r="F491" s="3" t="n"/>
      <c r="G491" s="3" t="inlineStr">
        <is>
          <t>ចាត់តាំងការិយាល័យប្រៃសណីយ៍ជោគជ័យ</t>
        </is>
      </c>
      <c r="H491" t="inlineStr">
        <is>
          <t>ចាត់តាំងការិយាល័យប្រៃសណីយ៍ជោគជ័យ</t>
        </is>
      </c>
      <c r="I491" s="217" t="inlineStr">
        <is>
          <t>"dieuHanh.listOrderSuccess": "ចាត់តាំងការិយាល័យប្រៃសណីយ៍ជោគជ័យ",</t>
        </is>
      </c>
      <c r="N491" s="3" t="inlineStr">
        <is>
          <t>កំណត់ប៊ូកុមភ្ញៀវជោគជ័យ</t>
        </is>
      </c>
    </row>
    <row r="492" ht="15.75" customHeight="1" s="305">
      <c r="A492" s="3" t="inlineStr">
        <is>
          <t>dieuHanh.assignPostOfficeSuccess</t>
        </is>
      </c>
      <c r="B492" s="3" t="inlineStr">
        <is>
          <t>Gán bưu tá thành công</t>
        </is>
      </c>
      <c r="C492" s="3" t="inlineStr">
        <is>
          <t>Postman assigned successfully</t>
        </is>
      </c>
      <c r="D492" s="3">
        <f>IFERROR(__xludf.DUMMYFUNCTION("GOOGLETRANSLATE(B492,""vi"",""km"")"),"ត្រូវបានចាត់តាំងបុគ្គលិកប្រៃសណីយ៍ដោយជោគជ័យ។")</f>
        <v/>
      </c>
      <c r="E492" s="3" t="inlineStr">
        <is>
          <t>ភ្ជាប់អ្នកដឹកបានជោគជ័យ</t>
        </is>
      </c>
      <c r="F492" s="3" t="n"/>
      <c r="G492" s="3" t="inlineStr">
        <is>
          <t>ភ្ជាប់អ្នកដឹកបានជោគជ័យ</t>
        </is>
      </c>
      <c r="H492" t="inlineStr">
        <is>
          <t>ភ្ជាប់អ្នកដឹកបានជោគជ័យ</t>
        </is>
      </c>
      <c r="I492" s="217" t="inlineStr">
        <is>
          <t>"dieuHanh.assignPostOfficeSuccess": "ភ្ជាប់អ្នកដឹកបានជោគជ័យ",</t>
        </is>
      </c>
      <c r="N492" s="3" t="inlineStr">
        <is>
          <t>កំណត់ប៊ូតាជោគជ័យ</t>
        </is>
      </c>
    </row>
    <row r="493" ht="15.75" customHeight="1" s="305">
      <c r="A493" s="3" t="inlineStr">
        <is>
          <t>dieuHanh.assignDone</t>
        </is>
      </c>
      <c r="B493" s="3" t="inlineStr">
        <is>
          <t>Gán đơn kho thành công!</t>
        </is>
      </c>
      <c r="C493" s="3" t="inlineStr">
        <is>
          <t>Order assigned to post office successfully</t>
        </is>
      </c>
      <c r="D493" s="3">
        <f>IFERROR(__xludf.DUMMYFUNCTION("GOOGLETRANSLATE(B493,""vi"",""km"")"),"ការបញ្ជាទិញឃ្លាំងត្រូវបានចាត់តាំងដោយជោគជ័យ!")</f>
        <v/>
      </c>
      <c r="E493" s="3" t="inlineStr">
        <is>
          <t>ភ្ជាប់បុងបញ្ញើឃ្លាំងដោយជោគជ័យ!</t>
        </is>
      </c>
      <c r="F493" s="3" t="n"/>
      <c r="G493" s="3" t="inlineStr">
        <is>
          <t>ចាត់តាំងបញ្ញើក្នុងឃ្លាំងជោគជ័យ!</t>
        </is>
      </c>
      <c r="H493" t="inlineStr">
        <is>
          <t>ចាត់តាំងបញ្ញើក្នុងឃ្លាំងជោគជ័យ!</t>
        </is>
      </c>
      <c r="I493" s="217" t="inlineStr">
        <is>
          <t>"dieuHanh.assignDone": "ចាត់តាំងបញ្ញើក្នុងឃ្លាំងជោគជ័យ!",</t>
        </is>
      </c>
      <c r="N493" s="3" t="inlineStr">
        <is>
          <t>កំណត់បញ្ជាទិញជោគជ័យ!</t>
        </is>
      </c>
    </row>
    <row r="494" ht="15.75" customHeight="1" s="305">
      <c r="A494" s="3" t="inlineStr">
        <is>
          <t>mainStatus.300</t>
        </is>
      </c>
      <c r="B494" s="3" t="inlineStr">
        <is>
          <t>Gán đơn vào tải</t>
        </is>
      </c>
      <c r="C494" s="3" t="inlineStr">
        <is>
          <t>Assign order to sack</t>
        </is>
      </c>
      <c r="D494" s="3">
        <f>IFERROR(__xludf.DUMMYFUNCTION("GOOGLETRANSLATE(B494,""vi"",""km"")"),"កំណត់ការបញ្ជាទិញទៅបន្ទុក")</f>
        <v/>
      </c>
      <c r="E494" s="3" t="inlineStr">
        <is>
          <t>ភ្ជាប់បុុងបញ្ញើចូលជើងដឹក</t>
        </is>
      </c>
      <c r="F494" s="3" t="n"/>
      <c r="G494" s="3" t="inlineStr">
        <is>
          <t>ភ្ជាប់បុុងបញ្ញើចូលក្នុងកញ្ចប់ទំនិញ</t>
        </is>
      </c>
      <c r="H494" t="inlineStr">
        <is>
          <t>ភ្ជាប់បុុងបញ្ញើចូលក្នុងកញ្ចប់ទំនិញ</t>
        </is>
      </c>
      <c r="I494" s="217" t="inlineStr">
        <is>
          <t>"mainStatus.300": "ភ្ជាប់បុុងបញ្ញើចូលក្នុងកញ្ចប់ទំនិញ",</t>
        </is>
      </c>
      <c r="N494" s="3" t="inlineStr">
        <is>
          <t>កំពុងដឹកជញ្ជូន</t>
        </is>
      </c>
    </row>
    <row r="495" ht="15.75" customHeight="1" s="305">
      <c r="A495" s="3" t="inlineStr">
        <is>
          <t>dieuHanh.assignDefault</t>
        </is>
      </c>
      <c r="B495" s="3" t="inlineStr">
        <is>
          <t>Gán mặc định</t>
        </is>
      </c>
      <c r="C495" s="3" t="inlineStr">
        <is>
          <t>Auto-assign</t>
        </is>
      </c>
      <c r="D495" s="3">
        <f>IFERROR(__xludf.DUMMYFUNCTION("GOOGLETRANSLATE(B495,""vi"",""km"")"),"កំណត់លំនាំដើម")</f>
        <v/>
      </c>
      <c r="E495" s="3" t="inlineStr">
        <is>
          <t>ភ្ជាប់លំនាំដើម</t>
        </is>
      </c>
      <c r="F495" s="3" t="n"/>
      <c r="G495" s="3" t="inlineStr">
        <is>
          <t>កំណត់ជាលំនាំដើម</t>
        </is>
      </c>
      <c r="H495" t="inlineStr">
        <is>
          <t>កំណត់ជាលំនាំដើម</t>
        </is>
      </c>
      <c r="I495" s="217" t="inlineStr">
        <is>
          <t>"dieuHanh.assignDefault": "កំណត់ជាលំនាំដើម",</t>
        </is>
      </c>
      <c r="N495" s="3" t="inlineStr">
        <is>
          <t>កំណត់លំនាំ</t>
        </is>
      </c>
    </row>
    <row r="496" ht="15.75" customHeight="1" s="305">
      <c r="A496" s="3" t="inlineStr">
        <is>
          <t>dieuHanh.settingPostOffice</t>
        </is>
      </c>
      <c r="B496" s="3" t="inlineStr">
        <is>
          <t>Gán mặc định cho bưu cục này</t>
        </is>
      </c>
      <c r="C496" s="3" t="inlineStr">
        <is>
          <t xml:space="preserve">Set this post office as default </t>
        </is>
      </c>
      <c r="D496" s="3">
        <f>IFERROR(__xludf.DUMMYFUNCTION("GOOGLETRANSLATE(B496,""vi"",""km"")"),"កំណត់​ការិយាល័យ​ប្រៃសណីយ៍​នេះ​ជា​លំនាំដើម។")</f>
        <v/>
      </c>
      <c r="E496" s="3" t="inlineStr">
        <is>
          <t>ភ្ជាប់លំនាំដើមសម្រាប់ការិយាល័យប្រៃសណីយ៍នេះ</t>
        </is>
      </c>
      <c r="F496" s="3" t="n"/>
      <c r="G496" s="3" t="inlineStr">
        <is>
          <t>ភ្ជាប់លំនាំដើមសម្រាប់ការិយាល័យប្រៃសណីយ៍នេះ</t>
        </is>
      </c>
      <c r="H496" t="inlineStr">
        <is>
          <t>ភ្ជាប់លំនាំដើមសម្រាប់ការិយាល័យប្រៃសណីយ៍នេះ</t>
        </is>
      </c>
      <c r="I496" s="217" t="inlineStr">
        <is>
          <t>"dieuHanh.settingPostOffice": "ភ្ជាប់លំនាំដើមសម្រាប់ការិយាល័យប្រៃសណីយ៍នេះ",</t>
        </is>
      </c>
      <c r="N496" s="3" t="inlineStr">
        <is>
          <t>កំណត់លំនាំសម្រាប់ប៊ូតិចនេះ</t>
        </is>
      </c>
    </row>
    <row r="497" ht="15.75" customHeight="1" s="305">
      <c r="A497" s="3" t="inlineStr">
        <is>
          <t>dieuHanh.settingPostMan</t>
        </is>
      </c>
      <c r="B497" s="3" t="inlineStr">
        <is>
          <t>Gán mặc định cho bưu tá này</t>
        </is>
      </c>
      <c r="C497" s="3" t="inlineStr">
        <is>
          <t xml:space="preserve">Set this postman as default </t>
        </is>
      </c>
      <c r="D497" s="3">
        <f>IFERROR(__xludf.DUMMYFUNCTION("GOOGLETRANSLATE(B497,""vi"",""km"")"),"កំណត់បុគ្គលិកប្រៃសណីយ៍នេះជាលំនាំដើម។")</f>
        <v/>
      </c>
      <c r="E497" s="3" t="inlineStr">
        <is>
          <t>ភ្ជាប់លំនាំដើមសម្រាប់ការិយាល័យប្រៃសណីយ៍នេះ</t>
        </is>
      </c>
      <c r="F497" s="3" t="n"/>
      <c r="G497" s="3" t="inlineStr">
        <is>
          <t>ភ្ជាប់លំនាំដើមសម្រាប់ការិយាល័យប្រៃសណីយ៍នេះ</t>
        </is>
      </c>
      <c r="H497" t="inlineStr">
        <is>
          <t>ភ្ជាប់លំនាំដើមសម្រាប់ការិយាល័យប្រៃសណីយ៍នេះ</t>
        </is>
      </c>
      <c r="I497" s="217" t="inlineStr">
        <is>
          <t>"dieuHanh.settingPostMan": "ភ្ជាប់លំនាំដើមសម្រាប់ការិយាល័យប្រៃសណីយ៍នេះ",</t>
        </is>
      </c>
      <c r="N497" s="3" t="inlineStr">
        <is>
          <t>កំណត់លំនាំសម្រាប់ប៊ូតាមនុស្សនេះ</t>
        </is>
      </c>
    </row>
    <row r="498" ht="15.75" customHeight="1" s="305">
      <c r="A498" s="3" t="inlineStr">
        <is>
          <t>dieuHanh.assignWarehouseFailAll</t>
        </is>
      </c>
      <c r="B498" s="3" t="inlineStr">
        <is>
          <t>Gán tuyến kho thất bại</t>
        </is>
      </c>
      <c r="C498" s="3" t="inlineStr">
        <is>
          <t>Route assignment for this warehouse failed</t>
        </is>
      </c>
      <c r="D498" s="3">
        <f>IFERROR(__xludf.DUMMYFUNCTION("GOOGLETRANSLATE(B498,""vi"",""km"")"),"ការកំណត់ផ្លូវឃ្លាំងបរាជ័យ។")</f>
        <v/>
      </c>
      <c r="E498" s="3" t="inlineStr">
        <is>
          <t>ភ្ជាប់ផ្លូវដឹកទៅឃ្លាំងបរាជ័យ</t>
        </is>
      </c>
      <c r="F498" s="3" t="n"/>
      <c r="G498" s="3" t="inlineStr">
        <is>
          <t>ចាត់តាំងខ្សែផ្លូវឃ្លាំងមិនបានសម្រេច</t>
        </is>
      </c>
      <c r="H498" t="inlineStr">
        <is>
          <t>ចាត់តាំងខ្សែផ្លូវឃ្លាំងមិនបានសម្រេច</t>
        </is>
      </c>
      <c r="I498" s="217" t="inlineStr">
        <is>
          <t>"dieuHanh.assignWarehouseFailAll": "ចាត់តាំងខ្សែផ្លូវឃ្លាំងមិនបានសម្រេច",</t>
        </is>
      </c>
      <c r="N498" s="3" t="inlineStr">
        <is>
          <t>កំណត់ផ្លូវផ្ទះគ្រួសារបរាជ័យ</t>
        </is>
      </c>
    </row>
    <row r="499" ht="15.75" customHeight="1" s="305">
      <c r="A499" s="3" t="inlineStr">
        <is>
          <t>dieuHanh.assignWarehouseFail</t>
        </is>
      </c>
      <c r="B499" s="3" t="inlineStr">
        <is>
          <t>Gán tuyến tất cả đơn thuộc kho thất bại</t>
        </is>
      </c>
      <c r="C499" s="3" t="inlineStr">
        <is>
          <t>Route assignmet for all orders at this warehouse failed</t>
        </is>
      </c>
      <c r="D499" s="3">
        <f>IFERROR(__xludf.DUMMYFUNCTION("GOOGLETRANSLATE(B499,""vi"",""km"")"),"កំណត់ផ្លូវទៅកាន់ការបញ្ជាទិញឃ្លាំងដែលបរាជ័យទាំងអស់។")</f>
        <v/>
      </c>
      <c r="E499" s="3" t="inlineStr">
        <is>
          <t>ភ្ជាប់ផ្លូ្លវដឹកទាំងអស់ស្ថិតក្រោមឃ្លាំងបានបរាជ័យ</t>
        </is>
      </c>
      <c r="F499" s="3" t="n"/>
      <c r="G499" s="3" t="inlineStr">
        <is>
          <t>ចាត់តាំងខ្សែផ្លូវសម្រាប់បញ្ញើទាំងអស់ក្នុងឃ្លាំងមិនបានសម្រេច</t>
        </is>
      </c>
      <c r="H499" t="inlineStr">
        <is>
          <t>ចាត់តាំងខ្សែផ្លូវសម្រាប់បញ្ញើទាំងអស់ក្នុងឃ្លាំងមិនបានសម្រេច</t>
        </is>
      </c>
      <c r="I499" s="217" t="inlineStr">
        <is>
          <t>"dieuHanh.assignWarehouseFail": "ចាត់តាំងខ្សែផ្លូវសម្រាប់បញ្ញើទាំងអស់ក្នុងឃ្លាំងមិនបានសម្រេច",</t>
        </is>
      </c>
      <c r="N499" s="3" t="inlineStr">
        <is>
          <t>កំណត់ផ្លូវសម្រាប់ទាំងអស់បញ្ចូនផ្ទះគ្រួសារបរាជ័យ</t>
        </is>
      </c>
    </row>
    <row r="500" ht="15.75" customHeight="1" s="305">
      <c r="A500" s="3" t="inlineStr">
        <is>
          <t>dieuHanh.assignRouteSuccess</t>
        </is>
      </c>
      <c r="B500" s="3" t="inlineStr">
        <is>
          <t>Gán tuyến thành công</t>
        </is>
      </c>
      <c r="C500" s="3" t="inlineStr">
        <is>
          <t>Route assigned successfully</t>
        </is>
      </c>
      <c r="D500" s="3">
        <f>IFERROR(__xludf.DUMMYFUNCTION("GOOGLETRANSLATE(B500,""vi"",""km"")"),"ការចាត់តាំងផ្លូវបានជោគជ័យ")</f>
        <v/>
      </c>
      <c r="E500" s="3" t="inlineStr">
        <is>
          <t>ភ្ជាប់ផ្លូវដឹកបានជោគជ័យ</t>
        </is>
      </c>
      <c r="F500" s="3" t="n"/>
      <c r="G500" s="3" t="inlineStr">
        <is>
          <t>ចាត់តាំងខ្សែផ្លូវជោគជ័យ</t>
        </is>
      </c>
      <c r="H500" t="inlineStr">
        <is>
          <t>ចាត់តាំងខ្សែផ្លូវជោគជ័យ</t>
        </is>
      </c>
      <c r="I500" s="217" t="inlineStr">
        <is>
          <t>"dieuHanh.assignRouteSuccess": "ចាត់តាំងខ្សែផ្លូវជោគជ័យ",</t>
        </is>
      </c>
      <c r="N500" s="3" t="inlineStr">
        <is>
          <t>កំណត់ផ្លូវជោគជ័យ</t>
        </is>
      </c>
    </row>
    <row r="501" ht="15.75" customHeight="1" s="305">
      <c r="A501" s="3" t="inlineStr">
        <is>
          <t>banGiao.note</t>
        </is>
      </c>
      <c r="B501" s="3" t="inlineStr">
        <is>
          <t>Ghi chú</t>
        </is>
      </c>
      <c r="C501" s="3" t="inlineStr">
        <is>
          <t>Note</t>
        </is>
      </c>
      <c r="D501" s="3">
        <f>IFERROR(__xludf.DUMMYFUNCTION("GOOGLETRANSLATE(B501,""vi"",""km"")"),"កំណត់ចំណាំ")</f>
        <v/>
      </c>
      <c r="E501" s="3" t="inlineStr">
        <is>
          <t>កំណត់ចំណាំ</t>
        </is>
      </c>
      <c r="F501" s="3" t="n"/>
      <c r="G501" s="3" t="inlineStr">
        <is>
          <t>ចំណាំ</t>
        </is>
      </c>
      <c r="H501" t="inlineStr">
        <is>
          <t>ចំណាំ</t>
        </is>
      </c>
      <c r="I501" s="217" t="inlineStr">
        <is>
          <t>"banGiao.note": "ចំណាំ",</t>
        </is>
      </c>
      <c r="N501" s="3" t="inlineStr">
        <is>
          <t>កំណត់សម្គាល់</t>
        </is>
      </c>
    </row>
    <row r="502" ht="15.75" customHeight="1" s="305">
      <c r="A502" s="3" t="inlineStr">
        <is>
          <t>banGiao.ghiChu</t>
        </is>
      </c>
      <c r="B502" s="3" t="inlineStr">
        <is>
          <t>Ghi chú</t>
        </is>
      </c>
      <c r="C502" s="3" t="inlineStr">
        <is>
          <t>Note</t>
        </is>
      </c>
      <c r="D502" s="3">
        <f>IFERROR(__xludf.DUMMYFUNCTION("GOOGLETRANSLATE(B502,""vi"",""km"")"),"កំណត់ចំណាំ")</f>
        <v/>
      </c>
      <c r="E502" s="3" t="inlineStr">
        <is>
          <t>កំណត់ចំណាំ</t>
        </is>
      </c>
      <c r="F502" s="3" t="n"/>
      <c r="G502" s="3" t="inlineStr">
        <is>
          <t>ចំណាំ</t>
        </is>
      </c>
      <c r="H502" t="inlineStr">
        <is>
          <t>ចំណាំ</t>
        </is>
      </c>
      <c r="I502" s="217" t="inlineStr">
        <is>
          <t>"banGiao.ghiChu": "ចំណាំ",</t>
        </is>
      </c>
      <c r="N502" s="3" t="inlineStr">
        <is>
          <t>កំណត់សម្គាល់</t>
        </is>
      </c>
    </row>
    <row r="503" ht="15.75" customHeight="1" s="305">
      <c r="A503" s="3" t="inlineStr">
        <is>
          <t>DongTai.note</t>
        </is>
      </c>
      <c r="B503" s="3" t="inlineStr">
        <is>
          <t>Ghi chú</t>
        </is>
      </c>
      <c r="C503" s="3" t="inlineStr">
        <is>
          <t>Note</t>
        </is>
      </c>
      <c r="D503" s="3">
        <f>IFERROR(__xludf.DUMMYFUNCTION("GOOGLETRANSLATE(B503,""vi"",""km"")"),"កំណត់ចំណាំ")</f>
        <v/>
      </c>
      <c r="E503" s="3" t="inlineStr">
        <is>
          <t>កំណត់ចំណាំ</t>
        </is>
      </c>
      <c r="F503" s="3" t="n"/>
      <c r="G503" s="3" t="inlineStr">
        <is>
          <t>ចំណាំ</t>
        </is>
      </c>
      <c r="H503" t="inlineStr">
        <is>
          <t>ចំណាំ</t>
        </is>
      </c>
      <c r="I503" s="217" t="inlineStr">
        <is>
          <t>"DongTai.note": "ចំណាំ",</t>
        </is>
      </c>
      <c r="N503" s="3" t="inlineStr">
        <is>
          <t>កំណត់សម្គាល់</t>
        </is>
      </c>
    </row>
    <row r="504" ht="15.75" customHeight="1" s="305">
      <c r="A504" s="3" t="inlineStr">
        <is>
          <t>tms.ghiChu</t>
        </is>
      </c>
      <c r="B504" s="3" t="inlineStr">
        <is>
          <t>Ghi chú</t>
        </is>
      </c>
      <c r="C504" s="3" t="inlineStr">
        <is>
          <t>Note</t>
        </is>
      </c>
      <c r="D504" s="3">
        <f>IFERROR(__xludf.DUMMYFUNCTION("GOOGLETRANSLATE(B504,""vi"",""km"")"),"កំណត់ចំណាំ")</f>
        <v/>
      </c>
      <c r="E504" s="3" t="inlineStr">
        <is>
          <t>កំណត់ចំណាំ</t>
        </is>
      </c>
      <c r="F504" s="3" t="n"/>
      <c r="G504" s="3" t="inlineStr">
        <is>
          <t>ចំណាំ</t>
        </is>
      </c>
      <c r="H504" t="inlineStr">
        <is>
          <t>ចំណាំ</t>
        </is>
      </c>
      <c r="I504" s="217" t="inlineStr">
        <is>
          <t>"tms.ghiChu": "ចំណាំ",</t>
        </is>
      </c>
      <c r="N504" s="3" t="inlineStr"/>
    </row>
    <row r="505" ht="15.75" customHeight="1" s="305">
      <c r="A505" s="3" t="inlineStr">
        <is>
          <t>taoKien.note</t>
        </is>
      </c>
      <c r="B505" s="3" t="inlineStr">
        <is>
          <t>Ghi chú</t>
        </is>
      </c>
      <c r="C505" s="3" t="inlineStr">
        <is>
          <t>Remark</t>
        </is>
      </c>
      <c r="D505" s="3">
        <f>IFERROR(__xludf.DUMMYFUNCTION("GOOGLETRANSLATE(B505,""vi"",""km"")"),"កំណត់ចំណាំ")</f>
        <v/>
      </c>
      <c r="E505" s="3" t="inlineStr">
        <is>
          <t>កំណត់ចំណាំ</t>
        </is>
      </c>
      <c r="F505" s="3" t="n"/>
      <c r="G505" s="3" t="inlineStr">
        <is>
          <t>ចំណាំ</t>
        </is>
      </c>
      <c r="H505" t="inlineStr">
        <is>
          <t>ចំណាំ</t>
        </is>
      </c>
      <c r="I505" s="217" t="inlineStr">
        <is>
          <t>"taoKien.note": "ចំណាំ",</t>
        </is>
      </c>
      <c r="N505" s="3" t="inlineStr"/>
    </row>
    <row r="506" ht="15.75" customHeight="1" s="305">
      <c r="A506" s="3" t="inlineStr">
        <is>
          <t>PhanCong.titleSave</t>
        </is>
      </c>
      <c r="B506" s="3" t="inlineStr">
        <is>
          <t>Ghi lại</t>
        </is>
      </c>
      <c r="C506" s="3" t="inlineStr">
        <is>
          <t>Save</t>
        </is>
      </c>
      <c r="D506" s="3">
        <f>IFERROR(__xludf.DUMMYFUNCTION("GOOGLETRANSLATE(B506,""vi"",""km"")"),"ថត")</f>
        <v/>
      </c>
      <c r="E506" s="3" t="inlineStr">
        <is>
          <t>កំណត់ចំណាំម្តងទៀត</t>
        </is>
      </c>
      <c r="F506" s="3" t="n"/>
      <c r="G506" s="3" t="inlineStr">
        <is>
          <t>កត់ត្រាទុក</t>
        </is>
      </c>
      <c r="H506" t="inlineStr">
        <is>
          <t>កត់ត្រាទុក</t>
        </is>
      </c>
      <c r="I506" s="217" t="inlineStr">
        <is>
          <t>"PhanCong.titleSave": "កត់ត្រាទុក",</t>
        </is>
      </c>
      <c r="N506" s="3" t="inlineStr">
        <is>
          <t>រក្សាទុក</t>
        </is>
      </c>
    </row>
    <row r="507" ht="15.75" customHeight="1" s="305">
      <c r="A507" s="3" t="inlineStr">
        <is>
          <t>khaiThacDen.giaTai</t>
        </is>
      </c>
      <c r="B507" s="3" t="inlineStr">
        <is>
          <t>Giã tải</t>
        </is>
      </c>
      <c r="C507" s="3" t="inlineStr">
        <is>
          <t>Unload</t>
        </is>
      </c>
      <c r="D507" s="3">
        <f>IFERROR(__xludf.DUMMYFUNCTION("GOOGLETRANSLATE(B507,""vi"",""km"")"),"កំពុងផ្ទុក")</f>
        <v/>
      </c>
      <c r="E507" s="3" t="inlineStr">
        <is>
          <t>យកអីវ៉ាន់ចេញពីឡានដឹក</t>
        </is>
      </c>
      <c r="F507" s="3" t="n"/>
      <c r="G507" s="3" t="inlineStr">
        <is>
          <t>យកអីវ៉ាន់ចេញពីឡានដឹក</t>
        </is>
      </c>
      <c r="H507" t="inlineStr">
        <is>
          <t>យកអីវ៉ាន់ចេញពីឡានដឹក</t>
        </is>
      </c>
      <c r="I507" s="217" t="inlineStr">
        <is>
          <t>"khaiThacDen.giaTai": "យកអីវ៉ាន់ចេញពីឡានដឹក",</t>
        </is>
      </c>
      <c r="N507" s="3" t="inlineStr"/>
    </row>
    <row r="508" ht="15.75" customHeight="1" s="305">
      <c r="A508" s="3" t="inlineStr">
        <is>
          <t>GiaoHang.titleValueOrder</t>
        </is>
      </c>
      <c r="B508" s="3" t="inlineStr">
        <is>
          <t>Giá trị</t>
        </is>
      </c>
      <c r="C508" s="3" t="inlineStr">
        <is>
          <t>Freight value</t>
        </is>
      </c>
      <c r="D508" s="3">
        <f>IFERROR(__xludf.DUMMYFUNCTION("GOOGLETRANSLATE(B508,""vi"",""km"")"),"តម្លៃ")</f>
        <v/>
      </c>
      <c r="E508" s="3" t="inlineStr">
        <is>
          <t>តម្លៃ</t>
        </is>
      </c>
      <c r="F508" s="3" t="n"/>
      <c r="G508" s="3" t="inlineStr">
        <is>
          <t>តម្លៃ</t>
        </is>
      </c>
      <c r="H508" t="inlineStr">
        <is>
          <t>តម្លៃ</t>
        </is>
      </c>
      <c r="I508" s="217" t="inlineStr">
        <is>
          <t>"GiaoHang.titleValueOrder": "តម្លៃ",</t>
        </is>
      </c>
      <c r="N508" s="3" t="inlineStr">
        <is>
          <t>តម្លៃ</t>
        </is>
      </c>
    </row>
    <row r="509" ht="15.75" customHeight="1" s="305">
      <c r="A509" s="3" t="inlineStr">
        <is>
          <t>suaDon.titleValueOrder</t>
        </is>
      </c>
      <c r="B509" s="3" t="inlineStr">
        <is>
          <t>Giá trị</t>
        </is>
      </c>
      <c r="C509" s="3" t="inlineStr">
        <is>
          <t>Value</t>
        </is>
      </c>
      <c r="D509" s="3">
        <f>IFERROR(__xludf.DUMMYFUNCTION("GOOGLETRANSLATE(B509,""vi"",""km"")"),"តម្លៃ")</f>
        <v/>
      </c>
      <c r="E509" s="3" t="inlineStr">
        <is>
          <t>តម្លៃ</t>
        </is>
      </c>
      <c r="F509" s="3" t="n"/>
      <c r="G509" s="3" t="inlineStr">
        <is>
          <t>តម្លៃ</t>
        </is>
      </c>
      <c r="H509" t="inlineStr">
        <is>
          <t>តម្លៃ</t>
        </is>
      </c>
      <c r="I509" s="217" t="inlineStr">
        <is>
          <t>"suaDon.titleValueOrder": "តម្លៃ",</t>
        </is>
      </c>
      <c r="N509" s="3" t="inlineStr">
        <is>
          <t>តម្លៃ</t>
        </is>
      </c>
    </row>
    <row r="510" ht="15.75" customHeight="1" s="305">
      <c r="A510" s="3" t="inlineStr">
        <is>
          <t>taoDon.highValue</t>
        </is>
      </c>
      <c r="B510" s="3" t="inlineStr">
        <is>
          <t>Giá trị cao</t>
        </is>
      </c>
      <c r="C510" s="3" t="inlineStr">
        <is>
          <t>High value</t>
        </is>
      </c>
      <c r="D510" s="3">
        <f>IFERROR(__xludf.DUMMYFUNCTION("GOOGLETRANSLATE(B510,""vi"",""km"")"),"តម្លៃខ្ពស់")</f>
        <v/>
      </c>
      <c r="E510" s="3" t="inlineStr">
        <is>
          <t>តម្លៃខ្ពស់</t>
        </is>
      </c>
      <c r="F510" s="3" t="n"/>
      <c r="G510" s="3" t="inlineStr">
        <is>
          <t>តម្លៃខ្ពស់</t>
        </is>
      </c>
      <c r="H510" t="inlineStr">
        <is>
          <t>តម្លៃខ្ពស់</t>
        </is>
      </c>
      <c r="I510" s="217" t="inlineStr">
        <is>
          <t>"taoDon.highValue": "តម្លៃខ្ពស់",</t>
        </is>
      </c>
      <c r="N510" s="3" t="inlineStr">
        <is>
          <t>តម្លៃខ្ពស់</t>
        </is>
      </c>
    </row>
    <row r="511" ht="15.75" customHeight="1" s="305">
      <c r="A511" s="3" t="inlineStr">
        <is>
          <t>taoDon.valueGoodOver30</t>
        </is>
      </c>
      <c r="B511" s="3" t="inlineStr">
        <is>
          <t>Giá trị hàng hóa không lớn hơn 30,000,000 LAK</t>
        </is>
      </c>
      <c r="C511" s="3" t="inlineStr">
        <is>
          <t>The item value must not exceed 30,000,000 LAK</t>
        </is>
      </c>
      <c r="D511" s="3">
        <f>IFERROR(__xludf.DUMMYFUNCTION("GOOGLETRANSLATE(B511,""vi"",""km"")"),"តម្លៃទំនិញមិនលើសពី 30,000,000 គីបទេ។")</f>
        <v/>
      </c>
      <c r="E511" s="3" t="inlineStr">
        <is>
          <t>តម្លៃទំនិញមិនលើសពី 30,000,000 LAK</t>
        </is>
      </c>
      <c r="F511" s="3" t="n"/>
      <c r="G511" s="3" t="inlineStr">
        <is>
          <t>តម្លៃទំនិញមិនលើសពី 30,000,000 LAK</t>
        </is>
      </c>
      <c r="H511" t="inlineStr">
        <is>
          <t>តម្លៃទំនិញមិនលើសពី 30,000,000 LAK</t>
        </is>
      </c>
      <c r="I511" s="217" t="inlineStr">
        <is>
          <t>"taoDon.valueGoodOver30": "តម្លៃទំនិញមិនលើសពី 30,000,000 LAK",</t>
        </is>
      </c>
      <c r="N511" s="3" t="inlineStr"/>
    </row>
    <row r="512" ht="15.75" customHeight="1" s="305">
      <c r="A512" s="3" t="inlineStr">
        <is>
          <t>KiemKe.titleExplanation</t>
        </is>
      </c>
      <c r="B512" s="3" t="inlineStr">
        <is>
          <t>Giải trình</t>
        </is>
      </c>
      <c r="C512" s="3" t="inlineStr">
        <is>
          <t>Elaboration</t>
        </is>
      </c>
      <c r="D512" s="3">
        <f>IFERROR(__xludf.DUMMYFUNCTION("GOOGLETRANSLATE(B512,""vi"",""km"")"),"ការពន្យល់")</f>
        <v/>
      </c>
      <c r="E512" s="3" t="inlineStr">
        <is>
          <t>ការពន្យល់</t>
        </is>
      </c>
      <c r="F512" s="3" t="n"/>
      <c r="G512" s="3" t="inlineStr">
        <is>
          <t>ការបំភ្លឺ/បកស្រាយ</t>
        </is>
      </c>
      <c r="H512" t="inlineStr">
        <is>
          <t>ការបំភ្លឺ/បកស្រាយ</t>
        </is>
      </c>
      <c r="I512" s="217" t="inlineStr">
        <is>
          <t>"KiemKe.titleExplanation": "ការបំភ្លឺ/បកស្រាយ",</t>
        </is>
      </c>
      <c r="N512" s="163" t="inlineStr">
        <is>
          <t>ភាពល្អិតល្អន់</t>
        </is>
      </c>
    </row>
    <row r="513" ht="15.75" customHeight="1" s="305">
      <c r="A513" s="3" t="inlineStr">
        <is>
          <t>nhanHang.explanation</t>
        </is>
      </c>
      <c r="B513" s="3" t="inlineStr">
        <is>
          <t>Giải trình</t>
        </is>
      </c>
      <c r="C513" s="3" t="inlineStr">
        <is>
          <t xml:space="preserve">Elaboration </t>
        </is>
      </c>
      <c r="D513" s="3">
        <f>IFERROR(__xludf.DUMMYFUNCTION("GOOGLETRANSLATE(B513,""vi"",""km"")"),"ការពន្យល់")</f>
        <v/>
      </c>
      <c r="E513" s="3" t="inlineStr">
        <is>
          <t>ការពន្យល់</t>
        </is>
      </c>
      <c r="F513" s="3" t="n"/>
      <c r="G513" s="3" t="inlineStr">
        <is>
          <t>ការបំភ្លឺ/បកស្រាយ</t>
        </is>
      </c>
      <c r="H513" t="inlineStr">
        <is>
          <t>ការបំភ្លឺ/បកស្រាយ</t>
        </is>
      </c>
      <c r="I513" s="217" t="inlineStr">
        <is>
          <t>"nhanHang.explanation": "ការបំភ្លឺ/បកស្រាយ",</t>
        </is>
      </c>
      <c r="N513" s="3" t="inlineStr">
        <is>
          <t>ពន្យល់មូលហេតុ</t>
        </is>
      </c>
    </row>
    <row r="514" ht="15.75" customHeight="1" s="305">
      <c r="A514" s="3" t="inlineStr">
        <is>
          <t>error.giaiTrinhError</t>
        </is>
      </c>
      <c r="B514" s="3" t="inlineStr">
        <is>
          <t>Giải trình đơn hàng thất bại</t>
        </is>
      </c>
      <c r="C514" s="3" t="inlineStr">
        <is>
          <t>Order elaboration failed</t>
        </is>
      </c>
      <c r="D514" s="3">
        <f>IFERROR(__xludf.DUMMYFUNCTION("GOOGLETRANSLATE(B514,""vi"",""km"")"),"ការពន្យល់អំពីការបញ្ជាទិញដែលបរាជ័យ")</f>
        <v/>
      </c>
      <c r="E514" s="3" t="inlineStr">
        <is>
          <t>ការពន្យល់ពីបុងអីវ៉ាន់បរាជ័យ</t>
        </is>
      </c>
      <c r="F514" s="3" t="n"/>
      <c r="G514" s="3" t="inlineStr">
        <is>
          <t>ការពន្យល់ពីបុងអីវ៉ាន់បរាជ័យ</t>
        </is>
      </c>
      <c r="H514" t="inlineStr">
        <is>
          <t>ការពន្យល់ពីបុងអីវ៉ាន់បរាជ័យ</t>
        </is>
      </c>
      <c r="I514" s="217" t="inlineStr">
        <is>
          <t>"error.giaiTrinhError": "ការពន្យល់ពីបុងអីវ៉ាន់បរាជ័យ",</t>
        </is>
      </c>
      <c r="N514" s="3" t="inlineStr">
        <is>
          <t>ការពន្យល់អំពីការបញ្ជាទិញបានបរាជ័យ</t>
        </is>
      </c>
    </row>
    <row r="515" ht="15.75" customHeight="1" s="305">
      <c r="A515" s="3" t="inlineStr">
        <is>
          <t>KiemKe.explanateSuccess</t>
        </is>
      </c>
      <c r="B515" s="3" t="inlineStr">
        <is>
          <t>Giải trình thành công</t>
        </is>
      </c>
      <c r="C515" s="3" t="inlineStr">
        <is>
          <t>Elaborate successfully</t>
        </is>
      </c>
      <c r="D515" s="3">
        <f>IFERROR(__xludf.DUMMYFUNCTION("GOOGLETRANSLATE(B515,""vi"",""km"")"),"ការពន្យល់បានជោគជ័យ")</f>
        <v/>
      </c>
      <c r="E515" s="3" t="inlineStr">
        <is>
          <t>ពន្យល់បានជោគជ័យ</t>
        </is>
      </c>
      <c r="F515" s="3" t="n"/>
      <c r="G515" s="3" t="inlineStr">
        <is>
          <t>ពន្យល់បានជោគជ័យ</t>
        </is>
      </c>
      <c r="H515" t="inlineStr">
        <is>
          <t>ពន្យល់បានជោគជ័យ</t>
        </is>
      </c>
      <c r="I515" s="217" t="inlineStr">
        <is>
          <t>"KiemKe.explanateSuccess": "ពន្យល់បានជោគជ័យ",</t>
        </is>
      </c>
      <c r="N515" s="163" t="inlineStr">
        <is>
          <t>បរិយាយដោយជោគជ័យ</t>
        </is>
      </c>
    </row>
    <row r="516" ht="15.75" customHeight="1" s="305">
      <c r="A516" s="3" t="inlineStr">
        <is>
          <t>error.giaiTrinhSuccess</t>
        </is>
      </c>
      <c r="B516" s="3" t="inlineStr">
        <is>
          <t>Giải trình thành công</t>
        </is>
      </c>
      <c r="C516" s="3" t="inlineStr">
        <is>
          <t>Elaboration succeeded</t>
        </is>
      </c>
      <c r="D516" s="3">
        <f>IFERROR(__xludf.DUMMYFUNCTION("GOOGLETRANSLATE(B516,""vi"",""km"")"),"ការពន្យល់បានជោគជ័យ")</f>
        <v/>
      </c>
      <c r="E516" s="3" t="inlineStr">
        <is>
          <t>ពន្យល់បានជោគជ័យ</t>
        </is>
      </c>
      <c r="F516" s="3" t="n"/>
      <c r="G516" s="3" t="inlineStr">
        <is>
          <t>ពន្យល់បានជោគជ័យ</t>
        </is>
      </c>
      <c r="H516" t="inlineStr">
        <is>
          <t>ពន្យល់បានជោគជ័យ</t>
        </is>
      </c>
      <c r="I516" s="217" t="inlineStr">
        <is>
          <t>"error.giaiTrinhSuccess": "ពន្យល់បានជោគជ័យ",</t>
        </is>
      </c>
      <c r="N516" s="3" t="inlineStr">
        <is>
          <t>ការពន្យល់បានជោគជ័យ</t>
        </is>
      </c>
    </row>
    <row r="517" ht="15.75" customHeight="1" s="305">
      <c r="A517" s="3" t="inlineStr">
        <is>
          <t>taoDon.partialDelivery</t>
        </is>
      </c>
      <c r="B517" s="3" t="inlineStr">
        <is>
          <t>Giao 1 phần</t>
        </is>
      </c>
      <c r="C517" s="3" t="inlineStr">
        <is>
          <t>Partially delivery</t>
        </is>
      </c>
      <c r="D517" s="3">
        <f>IFERROR(__xludf.DUMMYFUNCTION("GOOGLETRANSLATE(B517,""vi"",""km"")"),"ចែកជូន១ចំណែក")</f>
        <v/>
      </c>
      <c r="E517" s="3" t="inlineStr">
        <is>
          <t>ប្រគល់បានមួយផ្នែក</t>
        </is>
      </c>
      <c r="F517" s="3" t="n"/>
      <c r="G517" s="3" t="inlineStr">
        <is>
          <t>ប្រគល់បានមួយផ្នែក</t>
        </is>
      </c>
      <c r="H517" t="inlineStr">
        <is>
          <t>ប្រគល់បានមួយផ្នែក</t>
        </is>
      </c>
      <c r="I517" s="217" t="inlineStr">
        <is>
          <t>"taoDon.partialDelivery": "ប្រគល់បានមួយផ្នែក",</t>
        </is>
      </c>
      <c r="N517" s="3" t="inlineStr">
        <is>
          <t>ដឹកជញ្ជូនមួយផ្នែក</t>
        </is>
      </c>
    </row>
    <row r="518" ht="15.75" customHeight="1" s="305">
      <c r="A518" s="3" t="inlineStr">
        <is>
          <t>thanhtoan.payNotFound</t>
        </is>
      </c>
      <c r="B518" s="3" t="inlineStr">
        <is>
          <t>Giao dịch không tồn tại</t>
        </is>
      </c>
      <c r="C518" s="3" t="inlineStr">
        <is>
          <t>Transaction not found</t>
        </is>
      </c>
      <c r="D518" s="3">
        <f>IFERROR(__xludf.DUMMYFUNCTION("GOOGLETRANSLATE(B518,""vi"",""km"")"),"ប្រតិបត្តិការនេះមិនមានទេ។")</f>
        <v/>
      </c>
      <c r="E518" s="3" t="inlineStr">
        <is>
          <t>ប្រតិបត្តិការនេះមិនមានទៀតទេ</t>
        </is>
      </c>
      <c r="F518" s="3" t="n"/>
      <c r="G518" s="3" t="inlineStr">
        <is>
          <t>ប្រតិបត្តិការនេះមិនមានទៀតទេ</t>
        </is>
      </c>
      <c r="H518" t="inlineStr">
        <is>
          <t>ប្រតិបត្តិការនេះមិនមានទៀតទេ</t>
        </is>
      </c>
      <c r="I518" s="217" t="inlineStr">
        <is>
          <t>"thanhtoan.payNotFound": "ប្រតិបត្តិការនេះមិនមានទៀតទេ",</t>
        </is>
      </c>
      <c r="N518" s="3" t="inlineStr"/>
    </row>
    <row r="519" ht="15.75" customHeight="1" s="305">
      <c r="A519" s="3" t="inlineStr">
        <is>
          <t>home.giaohang</t>
        </is>
      </c>
      <c r="B519" s="3" t="inlineStr">
        <is>
          <t>Giao hàng</t>
        </is>
      </c>
      <c r="C519" s="3" t="inlineStr">
        <is>
          <t>Delivery</t>
        </is>
      </c>
      <c r="D519" s="3">
        <f>IFERROR(__xludf.DUMMYFUNCTION("GOOGLETRANSLATE(B519,""vi"",""km"")"),"ការដឹកជញ្ជូន")</f>
        <v/>
      </c>
      <c r="E519" s="3" t="inlineStr">
        <is>
          <t>ដឹកជញ្ជូនអីវ៉ាន់</t>
        </is>
      </c>
      <c r="F519" s="3" t="n"/>
      <c r="G519" s="3" t="inlineStr">
        <is>
          <t>ប្រគល់អីវ៉ាន់</t>
        </is>
      </c>
      <c r="H519" t="inlineStr">
        <is>
          <t>ប្រគល់អីវ៉ាន់</t>
        </is>
      </c>
      <c r="I519" s="217" t="inlineStr">
        <is>
          <t>"home.giaohang": "ប្រគល់អីវ៉ាន់",</t>
        </is>
      </c>
      <c r="N519" s="163" t="inlineStr">
        <is>
          <t>ការដឹកជញ្ជូន</t>
        </is>
      </c>
    </row>
    <row r="520" ht="15.75" customHeight="1" s="305">
      <c r="A520" s="3" t="inlineStr">
        <is>
          <t>taoDon.listTemplateDes1</t>
        </is>
      </c>
      <c r="B520" s="3" t="inlineStr">
        <is>
          <t>Giao hàng một phần, nhận lại sản phẩm từ khách</t>
        </is>
      </c>
      <c r="C520" s="3" t="inlineStr">
        <is>
          <t>Partial delivery, return goods from customer</t>
        </is>
      </c>
      <c r="D520" s="3">
        <f>IFERROR(__xludf.DUMMYFUNCTION("GOOGLETRANSLATE(B520,""vi"",""km"")"),"ការដឹកជញ្ជូនមួយផ្នែក ដោយទទួលបានផលិតផលដែលនៅសល់ពីអតិថិជនវិញ។")</f>
        <v/>
      </c>
      <c r="E520" s="3" t="inlineStr">
        <is>
          <t>ការប្រគល់អីវ៉ាន់ មួយផ្នែក ទទួលយកអីវ៉ាន់ពីអតិថិជនវិញ</t>
        </is>
      </c>
      <c r="F520" s="3" t="n"/>
      <c r="G520" s="3" t="inlineStr">
        <is>
          <t>ការប្រគល់អីវ៉ាន់ មួយផ្នែក ទទួលយកអីវ៉ាន់ពីអតិថិជនវិញ</t>
        </is>
      </c>
      <c r="H520" t="inlineStr">
        <is>
          <t>ការប្រគល់អីវ៉ាន់ មួយផ្នែក ទទួលយកអីវ៉ាន់ពីអតិថិជនវិញ</t>
        </is>
      </c>
      <c r="I520" s="217" t="inlineStr">
        <is>
          <t>"taoDon.listTemplateDes1": "ការប្រគល់អីវ៉ាន់ មួយផ្នែក ទទួលយកអីវ៉ាន់ពីអតិថិជនវិញ",</t>
        </is>
      </c>
      <c r="N520" s="3" t="inlineStr">
        <is>
          <t>ដឹកជញ្ជូនមួយផ្នែក, ទទួលទំនិញវិញពីអតិថិជន</t>
        </is>
      </c>
    </row>
    <row r="521" ht="15.75" customHeight="1" s="305">
      <c r="A521" s="3" t="inlineStr">
        <is>
          <t>taoDon.officeHoursDelivery</t>
        </is>
      </c>
      <c r="B521" s="3" t="inlineStr">
        <is>
          <t>Giao hàng vào giờ hành chính</t>
        </is>
      </c>
      <c r="C521" s="3" t="inlineStr">
        <is>
          <t>Business hours delivery</t>
        </is>
      </c>
      <c r="D521" s="3">
        <f>IFERROR(__xludf.DUMMYFUNCTION("GOOGLETRANSLATE(B521,""vi"",""km"")"),"ដឹកជញ្ជូនក្នុងម៉ោងធ្វើការ។")</f>
        <v/>
      </c>
      <c r="E521" s="3" t="inlineStr">
        <is>
          <t>ការប្រគល់អីវ៉ាន់ក្នុងម៉ោងធ្វើការ</t>
        </is>
      </c>
      <c r="F521" s="3" t="n"/>
      <c r="G521" s="3" t="inlineStr">
        <is>
          <t>ការប្រគល់អីវ៉ាន់ក្នុងម៉ោងធ្វើការ</t>
        </is>
      </c>
      <c r="H521" t="inlineStr">
        <is>
          <t>ការប្រគល់អីវ៉ាន់ក្នុងម៉ោងធ្វើការ</t>
        </is>
      </c>
      <c r="I521" s="217" t="inlineStr">
        <is>
          <t>"taoDon.officeHoursDelivery": "ការប្រគល់អីវ៉ាន់ក្នុងម៉ោងធ្វើការ",</t>
        </is>
      </c>
      <c r="N521" s="3" t="inlineStr">
        <is>
          <t>ដឹកជញ្ជូនម៉ោងការិយាល័យ</t>
        </is>
      </c>
    </row>
    <row r="522" ht="15.75" customHeight="1" s="305">
      <c r="A522" s="3" t="inlineStr">
        <is>
          <t>taoDon.listTemplateDes4</t>
        </is>
      </c>
      <c r="B522" s="3" t="inlineStr">
        <is>
          <t>Giao hàng vào giờ hành chính</t>
        </is>
      </c>
      <c r="C522" s="3" t="inlineStr">
        <is>
          <t>Deliver during business hours</t>
        </is>
      </c>
      <c r="D522" s="3">
        <f>IFERROR(__xludf.DUMMYFUNCTION("GOOGLETRANSLATE(B522,""vi"",""km"")"),"ដឹកជញ្ជូនក្នុងម៉ោងធ្វើការ។")</f>
        <v/>
      </c>
      <c r="E522" s="3" t="inlineStr">
        <is>
          <t>ការប្រគល់អីវ៉ាន់ក្នុងម៉ោងធ្វើការ</t>
        </is>
      </c>
      <c r="F522" s="3" t="n"/>
      <c r="G522" s="3" t="inlineStr">
        <is>
          <t>ការប្រគល់អីវ៉ាន់ក្នុងម៉ោងធ្វើការ</t>
        </is>
      </c>
      <c r="H522" t="inlineStr">
        <is>
          <t>ការប្រគល់អីវ៉ាន់ក្នុងម៉ោងធ្វើការ</t>
        </is>
      </c>
      <c r="I522" s="217" t="inlineStr">
        <is>
          <t>"taoDon.listTemplateDes4": "ការប្រគល់អីវ៉ាន់ក្នុងម៉ោងធ្វើការ",</t>
        </is>
      </c>
      <c r="N522" s="3" t="inlineStr">
        <is>
          <t>ដឹកជញ្ជូនម៉ោងការិយាល័យ</t>
        </is>
      </c>
    </row>
    <row r="523" ht="15.75" customHeight="1" s="305">
      <c r="A523" s="3" t="inlineStr">
        <is>
          <t>GiaoHang.titleTabGiaoHoan</t>
        </is>
      </c>
      <c r="B523" s="3" t="inlineStr">
        <is>
          <t>Giao hoàn</t>
        </is>
      </c>
      <c r="C523" s="3" t="inlineStr">
        <is>
          <t>Returned delivery</t>
        </is>
      </c>
      <c r="D523" s="3">
        <f>IFERROR(__xludf.DUMMYFUNCTION("GOOGLETRANSLATE(B523,""vi"",""km"")"),"ត្រឡប់មកវិញ")</f>
        <v/>
      </c>
      <c r="E523" s="3" t="inlineStr">
        <is>
          <t>ការប្រគល់ត្រលប់</t>
        </is>
      </c>
      <c r="F523" s="3" t="n"/>
      <c r="G523" s="3" t="inlineStr">
        <is>
          <t>សងត្រឡប់</t>
        </is>
      </c>
      <c r="H523" t="inlineStr">
        <is>
          <t>សងត្រឡប់</t>
        </is>
      </c>
      <c r="I523" s="217" t="inlineStr">
        <is>
          <t>"GiaoHang.titleTabGiaoHoan": "សងត្រឡប់",</t>
        </is>
      </c>
      <c r="N523" s="163" t="inlineStr">
        <is>
          <t>ការដឹកជញ្ជូនត្រឡប់មកវិញ</t>
        </is>
      </c>
    </row>
    <row r="524" ht="15.75" customHeight="1" s="305">
      <c r="A524" s="3" t="inlineStr">
        <is>
          <t>GiaoHang.successRefund</t>
        </is>
      </c>
      <c r="B524" s="3" t="inlineStr">
        <is>
          <t>Giao hoàn thành công</t>
        </is>
      </c>
      <c r="C524" s="3" t="inlineStr">
        <is>
          <t>Success for printers</t>
        </is>
      </c>
      <c r="D524" s="3">
        <f>IFERROR(__xludf.DUMMYFUNCTION("GOOGLETRANSLATE(B524,""vi"",""km"")"),"ការដឹកជញ្ជូនបានបញ្ចប់ដោយជោគជ័យ។")</f>
        <v/>
      </c>
      <c r="E524" s="3" t="inlineStr">
        <is>
          <t>ការប្រគល់ត្រលប់បានជោគជ័យ</t>
        </is>
      </c>
      <c r="F524" s="3" t="n"/>
      <c r="G524" s="3" t="inlineStr">
        <is>
          <t>សងត្រឡប់បានជោគជ័យ</t>
        </is>
      </c>
      <c r="H524" t="inlineStr">
        <is>
          <t>សងត្រឡប់បានជោគជ័យ</t>
        </is>
      </c>
      <c r="I524" s="217" t="inlineStr">
        <is>
          <t>"GiaoHang.successRefund": "សងត្រឡប់បានជោគជ័យ",</t>
        </is>
      </c>
      <c r="N524" s="163" t="inlineStr">
        <is>
          <t>ជោគជ័យសម្រាប់ម៉ាស៊ីនបោះពុម្ព</t>
        </is>
      </c>
    </row>
    <row r="525" ht="15.75" customHeight="1" s="305">
      <c r="A525" s="3" t="inlineStr">
        <is>
          <t>GiaoHang.failRefund</t>
        </is>
      </c>
      <c r="B525" s="3" t="inlineStr">
        <is>
          <t>Giao hoàn thất bại</t>
        </is>
      </c>
      <c r="C525" s="3" t="inlineStr">
        <is>
          <t>Fail for printers</t>
        </is>
      </c>
      <c r="D525" s="3">
        <f>IFERROR(__xludf.DUMMYFUNCTION("GOOGLETRANSLATE(B525,""vi"",""km"")"),"ការដឹកជញ្ជូនបរាជ័យ")</f>
        <v/>
      </c>
      <c r="E525" s="3" t="inlineStr">
        <is>
          <t>ការប្រគល់ត្រលប់បរាជ័យ</t>
        </is>
      </c>
      <c r="F525" s="3" t="n"/>
      <c r="G525" s="3" t="inlineStr">
        <is>
          <t>សងត្រឡប់មិនបានជោគជ័យ</t>
        </is>
      </c>
      <c r="H525" t="inlineStr">
        <is>
          <t>សងត្រឡប់មិនបានជោគជ័យ</t>
        </is>
      </c>
      <c r="I525" s="217" t="inlineStr">
        <is>
          <t>"GiaoHang.failRefund": "សងត្រឡប់មិនបានជោគជ័យ",</t>
        </is>
      </c>
      <c r="N525" s="163" t="inlineStr">
        <is>
          <t>បរាជ័យសម្រាប់ម៉ាស៊ីនបោះពុម្ព</t>
        </is>
      </c>
    </row>
    <row r="526" ht="15.75" customHeight="1" s="305">
      <c r="A526" s="3" t="inlineStr">
        <is>
          <t>GiaoHangNew.giaoThatBai</t>
        </is>
      </c>
      <c r="B526" s="3" t="inlineStr">
        <is>
          <t>Giao lại</t>
        </is>
      </c>
      <c r="C526" s="3" t="inlineStr">
        <is>
          <t>Failed delivery</t>
        </is>
      </c>
      <c r="D526" s="3">
        <f>IFERROR(__xludf.DUMMYFUNCTION("GOOGLETRANSLATE(B526,""vi"",""km"")"),"ប្រគល់")</f>
        <v/>
      </c>
      <c r="E526" s="3" t="inlineStr">
        <is>
          <t>ការប្រគល់ម្តងទៀត</t>
        </is>
      </c>
      <c r="F526" s="3" t="n"/>
      <c r="G526" s="3" t="inlineStr">
        <is>
          <t>ប្រគល់ម្តងទៀត</t>
        </is>
      </c>
      <c r="H526" t="inlineStr">
        <is>
          <t>ប្រគល់ម្តងទៀត</t>
        </is>
      </c>
      <c r="I526" s="217" t="inlineStr">
        <is>
          <t>"GiaoHangNew.giaoThatBai": "ប្រគល់ម្តងទៀត",</t>
        </is>
      </c>
      <c r="N526" s="3" t="inlineStr"/>
    </row>
    <row r="527" ht="15.75" customHeight="1" s="305">
      <c r="A527" s="3" t="inlineStr">
        <is>
          <t>GiaoHang.titleTabSuccesslyDelivery</t>
        </is>
      </c>
      <c r="B527" s="3" t="inlineStr">
        <is>
          <t>Giao thành công</t>
        </is>
      </c>
      <c r="C527" s="3" t="inlineStr">
        <is>
          <t>Successful delivery</t>
        </is>
      </c>
      <c r="D527" s="3">
        <f>IFERROR(__xludf.DUMMYFUNCTION("GOOGLETRANSLATE(B527,""vi"",""km"")"),"ការដឹកជញ្ជូនទទួលបានជោគជ័យ")</f>
        <v/>
      </c>
      <c r="E527" s="3" t="inlineStr">
        <is>
          <t>ការដឹកជញ្ជូនបានជោគជ័យ</t>
        </is>
      </c>
      <c r="F527" s="3" t="n"/>
      <c r="G527" s="3" t="inlineStr">
        <is>
          <t>ដឹកជញ្ជូនជោគជ័យ</t>
        </is>
      </c>
      <c r="H527" t="inlineStr">
        <is>
          <t>ដឹកជញ្ជូនជោគជ័យ</t>
        </is>
      </c>
      <c r="I527" s="217" t="inlineStr">
        <is>
          <t>"GiaoHang.titleTabSuccesslyDelivery": "ដឹកជញ្ជូនជោគជ័យ",</t>
        </is>
      </c>
      <c r="N527" s="3" t="inlineStr">
        <is>
          <t>ប្រគល់បានជោកជ័យ</t>
        </is>
      </c>
    </row>
    <row r="528" ht="15.75" customHeight="1" s="305">
      <c r="A528" s="3" t="inlineStr">
        <is>
          <t>mainStatus.410</t>
        </is>
      </c>
      <c r="B528" s="3" t="inlineStr">
        <is>
          <t>Giao thành công</t>
        </is>
      </c>
      <c r="C528" s="3" t="inlineStr">
        <is>
          <t>Shipped</t>
        </is>
      </c>
      <c r="D528" s="3">
        <f>IFERROR(__xludf.DUMMYFUNCTION("GOOGLETRANSLATE(B528,""vi"",""km"")"),"ការដឹកជញ្ជូនទទួលបានជោគជ័យ")</f>
        <v/>
      </c>
      <c r="E528" s="3" t="inlineStr">
        <is>
          <t>ការដឹកជញ្ជូនដោយជោគជ័យ</t>
        </is>
      </c>
      <c r="F528" s="3" t="n"/>
      <c r="G528" s="3" t="inlineStr">
        <is>
          <t>ដឹកជញ្ជូនជោគជ័យ</t>
        </is>
      </c>
      <c r="H528" t="inlineStr">
        <is>
          <t>ដឹកជញ្ជូនជោគជ័យ</t>
        </is>
      </c>
      <c r="I528" s="217" t="inlineStr">
        <is>
          <t>"mainStatus.410": "ដឹកជញ្ជូនជោគជ័យ",</t>
        </is>
      </c>
      <c r="N528" s="3" t="inlineStr">
        <is>
          <t>ប្រគល់ទំនិញដោយជោគជ័យ</t>
        </is>
      </c>
    </row>
    <row r="529" ht="15.75" customHeight="1" s="305">
      <c r="A529" s="3" t="inlineStr">
        <is>
          <t>mainStatus.441</t>
        </is>
      </c>
      <c r="B529" s="3" t="inlineStr">
        <is>
          <t>Giao thành công 1 phần</t>
        </is>
      </c>
      <c r="C529" s="3" t="inlineStr">
        <is>
          <t>Partially shipped</t>
        </is>
      </c>
      <c r="D529" s="3">
        <f>IFERROR(__xludf.DUMMYFUNCTION("GOOGLETRANSLATE(B529,""vi"",""km"")"),"ការដឹកជញ្ជូនដោយផ្នែកទទួលបានជោគជ័យ។")</f>
        <v/>
      </c>
      <c r="E529" s="3" t="inlineStr">
        <is>
          <t>ប្រគល់បានជោគជ័យមួយផ្នែក</t>
        </is>
      </c>
      <c r="F529" s="3" t="n"/>
      <c r="G529" s="3" t="inlineStr">
        <is>
          <t>ដឹកជញ្ជូនជោគជ័យមួយផ្នែក</t>
        </is>
      </c>
      <c r="H529" t="inlineStr">
        <is>
          <t>ដឹកជញ្ជូនជោគជ័យមួយផ្នែក</t>
        </is>
      </c>
      <c r="I529" s="217" t="inlineStr">
        <is>
          <t>"mainStatus.441": "ដឹកជញ្ជូនជោគជ័យមួយផ្នែក",</t>
        </is>
      </c>
      <c r="N529" s="3" t="inlineStr">
        <is>
          <t>ប្រគល់ទំនិញជោគជ័យ១ផ្នែក</t>
        </is>
      </c>
    </row>
    <row r="530" ht="15.75" customHeight="1" s="305">
      <c r="A530" s="3" t="inlineStr">
        <is>
          <t>taoDon.officeHours</t>
        </is>
      </c>
      <c r="B530" s="3" t="inlineStr">
        <is>
          <t>Giờ hành chính 7h30 - 11h30 và 13h00 - 17h30</t>
        </is>
      </c>
      <c r="C530" s="3" t="inlineStr">
        <is>
          <t>Business hours 7:30 AM - 11:30 AM and 1:00 PM - 5:30 PM</t>
        </is>
      </c>
      <c r="D530" s="3">
        <f>IFERROR(__xludf.DUMMYFUNCTION("GOOGLETRANSLATE(B530,""vi"",""km"")"),"ម៉ោងធ្វើការ៖ ៧:៣០ ព្រឹក - ១១:៣០ ព្រឹក និង ១:០០ រសៀល - ៥:៣០ ល្ងាច")</f>
        <v/>
      </c>
      <c r="E530" s="3" t="inlineStr">
        <is>
          <t>ម៉ោងធ្វើការ 7:30-11:30 និង 13:00-17:30</t>
        </is>
      </c>
      <c r="F530" s="3" t="n"/>
      <c r="G530" s="3" t="inlineStr">
        <is>
          <t>ម៉ោងធ្វើការ 7:30-11:30 និង 13:00-17:30</t>
        </is>
      </c>
      <c r="H530" t="inlineStr">
        <is>
          <t>ម៉ោងធ្វើការ 7:30-11:30 និង 13:00-17:30</t>
        </is>
      </c>
      <c r="I530" s="217" t="inlineStr">
        <is>
          <t>"taoDon.officeHours": "ម៉ោងធ្វើការ 7:30-11:30 និង 13:00-17:30",</t>
        </is>
      </c>
      <c r="N530" s="3" t="inlineStr">
        <is>
          <t>ម៉ោងការិយាល័យ 7h30 - 11h30 និង 13h00 - 17h30</t>
        </is>
      </c>
    </row>
    <row r="531" ht="15.75" customHeight="1" s="305">
      <c r="A531" s="3" t="inlineStr">
        <is>
          <t>tms.hoursAgo</t>
        </is>
      </c>
      <c r="B531" s="3" t="inlineStr">
        <is>
          <t>giờ trước</t>
        </is>
      </c>
      <c r="C531" s="3" t="inlineStr">
        <is>
          <t>hours ago</t>
        </is>
      </c>
      <c r="D531" s="3">
        <f>IFERROR(__xludf.DUMMYFUNCTION("GOOGLETRANSLATE(B531,""vi"",""km"")"),"ម៉ោងមុន")</f>
        <v/>
      </c>
      <c r="E531" s="3" t="inlineStr">
        <is>
          <t>ម៉ោងមុន</t>
        </is>
      </c>
      <c r="F531" s="3" t="n"/>
      <c r="G531" s="3" t="inlineStr">
        <is>
          <t>ម៉ោងមុន</t>
        </is>
      </c>
      <c r="H531" t="inlineStr">
        <is>
          <t>ម៉ោងមុន</t>
        </is>
      </c>
      <c r="I531" s="217" t="inlineStr">
        <is>
          <t>"tms.hoursAgo": "ម៉ោងមុន",</t>
        </is>
      </c>
      <c r="N531" s="3" t="inlineStr"/>
    </row>
    <row r="532" ht="15.75" customHeight="1" s="305">
      <c r="A532" s="3" t="inlineStr">
        <is>
          <t>setting.introduceApp</t>
        </is>
      </c>
      <c r="B532" s="3" t="inlineStr">
        <is>
          <t>Giới thiệu app</t>
        </is>
      </c>
      <c r="C532" s="3" t="inlineStr">
        <is>
          <t>Introduction</t>
        </is>
      </c>
      <c r="D532" s="3">
        <f>IFERROR(__xludf.DUMMYFUNCTION("GOOGLETRANSLATE(B532,""vi"",""km"")"),"ណែនាំកម្មវិធី")</f>
        <v/>
      </c>
      <c r="E532" s="3" t="inlineStr">
        <is>
          <t>ណែនាំ App</t>
        </is>
      </c>
      <c r="F532" s="3" t="n"/>
      <c r="G532" s="3" t="inlineStr">
        <is>
          <t>ណែនាំ App</t>
        </is>
      </c>
      <c r="H532" t="inlineStr">
        <is>
          <t>ណែនាំ App</t>
        </is>
      </c>
      <c r="I532" s="217" t="inlineStr">
        <is>
          <t>"setting.introduceApp": "ណែនាំ App",</t>
        </is>
      </c>
      <c r="N532" s="3" t="inlineStr">
        <is>
          <t>ការណែនាំកម្មវិធី</t>
        </is>
      </c>
    </row>
    <row r="533" ht="15.75" customHeight="1" s="305">
      <c r="A533" s="3" t="inlineStr">
        <is>
          <t>suaDon.introduceApp</t>
        </is>
      </c>
      <c r="B533" s="3" t="inlineStr">
        <is>
          <t>Giới thiệu app</t>
        </is>
      </c>
      <c r="C533" s="3" t="inlineStr">
        <is>
          <t>Introduction</t>
        </is>
      </c>
      <c r="D533" s="3">
        <f>IFERROR(__xludf.DUMMYFUNCTION("GOOGLETRANSLATE(B533,""vi"",""km"")"),"ណែនាំកម្មវិធី")</f>
        <v/>
      </c>
      <c r="E533" s="3" t="inlineStr">
        <is>
          <t>ណែនាំ App</t>
        </is>
      </c>
      <c r="F533" s="3" t="n"/>
      <c r="G533" s="3" t="inlineStr">
        <is>
          <t>ណែនាំ App</t>
        </is>
      </c>
      <c r="H533" t="inlineStr">
        <is>
          <t>ណែនាំ App</t>
        </is>
      </c>
      <c r="I533" s="217" t="inlineStr">
        <is>
          <t>"suaDon.introduceApp": "ណែនាំ App",</t>
        </is>
      </c>
      <c r="N533" s="3" t="inlineStr">
        <is>
          <t>ការណែនាំកម្មវិធី</t>
        </is>
      </c>
    </row>
    <row r="534" ht="15.75" customHeight="1" s="305">
      <c r="A534" s="3" t="inlineStr">
        <is>
          <t>tongGiao.goiDien</t>
        </is>
      </c>
      <c r="B534" s="3" t="inlineStr">
        <is>
          <t>Gọi điện</t>
        </is>
      </c>
      <c r="C534" s="3" t="inlineStr">
        <is>
          <t>Make a call</t>
        </is>
      </c>
      <c r="D534" s="3">
        <f>IFERROR(__xludf.DUMMYFUNCTION("GOOGLETRANSLATE(B534,""vi"",""km"")"),"ធ្វើការហៅទូរស័ព្ទ")</f>
        <v/>
      </c>
      <c r="E534" s="3" t="inlineStr">
        <is>
          <t>ខលទូរស័ព្ទ</t>
        </is>
      </c>
      <c r="F534" s="3" t="n"/>
      <c r="G534" s="3" t="inlineStr">
        <is>
          <t>ខលទូរស័ព្ទ</t>
        </is>
      </c>
      <c r="H534" t="inlineStr">
        <is>
          <t>ខលទូរស័ព្ទ</t>
        </is>
      </c>
      <c r="I534" s="217" t="inlineStr">
        <is>
          <t>"tongGiao.goiDien": "ខលទូរស័ព្ទ",</t>
        </is>
      </c>
      <c r="N534" s="3" t="inlineStr">
        <is>
          <t>តែទូរស័ព្ទ</t>
        </is>
      </c>
    </row>
    <row r="535" ht="15.75" customHeight="1" s="305">
      <c r="A535" s="3" t="inlineStr">
        <is>
          <t>taoDon.listTemplateDes3</t>
        </is>
      </c>
      <c r="B535" s="3" t="inlineStr">
        <is>
          <t>Gọi điện cho khách trước khi giao</t>
        </is>
      </c>
      <c r="C535" s="3" t="inlineStr">
        <is>
          <t>Call the customer before delivery</t>
        </is>
      </c>
      <c r="D535" s="3">
        <f>IFERROR(__xludf.DUMMYFUNCTION("GOOGLETRANSLATE(B535,""vi"",""km"")"),"សូមទូរស័ព្ទទៅអតិថិជនមុនពេលដឹកជញ្ជូន។")</f>
        <v/>
      </c>
      <c r="E535" s="3" t="inlineStr">
        <is>
          <t>ខលទៅអតិថិជនមុនពេលប្រគល់អីវ៉ាន់</t>
        </is>
      </c>
      <c r="F535" s="3" t="n"/>
      <c r="G535" s="3" t="inlineStr">
        <is>
          <t>ខលទៅអតិថិជនមុនពេលប្រគល់អីវ៉ាន់</t>
        </is>
      </c>
      <c r="H535" t="inlineStr">
        <is>
          <t>ខលទៅអតិថិជនមុនពេលប្រគល់អីវ៉ាន់</t>
        </is>
      </c>
      <c r="I535" s="217" t="inlineStr">
        <is>
          <t>"taoDon.listTemplateDes3": "ខលទៅអតិថិជនមុនពេលប្រគល់អីវ៉ាន់",</t>
        </is>
      </c>
      <c r="N535" s="3" t="inlineStr">
        <is>
          <t>ហៅអតិថិជនមុនពេលដឹកជញ្ជូន</t>
        </is>
      </c>
    </row>
    <row r="536" ht="15.75" customHeight="1" s="305">
      <c r="A536" s="3" t="inlineStr">
        <is>
          <t>banGiao.btnTuGom</t>
        </is>
      </c>
      <c r="B536" s="3" t="inlineStr">
        <is>
          <t>Gom bưu</t>
        </is>
      </c>
      <c r="C536" s="3" t="inlineStr">
        <is>
          <t>Group manually</t>
        </is>
      </c>
      <c r="D536" s="3">
        <f>IFERROR(__xludf.DUMMYFUNCTION("GOOGLETRANSLATE(B536,""vi"",""km"")"),"ប្រមូលសំបុត្រ")</f>
        <v/>
      </c>
      <c r="E536" s="3" t="inlineStr">
        <is>
          <t>ប្រមូលអីវ៉ាន់</t>
        </is>
      </c>
      <c r="F536" s="3" t="n"/>
      <c r="G536" s="3" t="inlineStr">
        <is>
          <t>ប្រមូលផ្តុំកញ្ចប់បញ្ញើ</t>
        </is>
      </c>
      <c r="H536" t="inlineStr">
        <is>
          <t>ប្រមូលផ្តុំកញ្ចប់បញ្ញើ</t>
        </is>
      </c>
      <c r="I536" s="217" t="inlineStr">
        <is>
          <t>"banGiao.btnTuGom": "ប្រមូលផ្តុំកញ្ចប់បញ្ញើ",</t>
        </is>
      </c>
      <c r="N536" s="3" t="inlineStr">
        <is>
          <t>បញ្ចូលដោយដៃ</t>
        </is>
      </c>
    </row>
    <row r="537" ht="15.75" customHeight="1" s="305">
      <c r="A537" s="3" t="inlineStr">
        <is>
          <t>banGiao.titleGomBuu</t>
        </is>
      </c>
      <c r="B537" s="3" t="inlineStr">
        <is>
          <t>Gom bưu</t>
        </is>
      </c>
      <c r="C537" s="3" t="inlineStr">
        <is>
          <t>Group order</t>
        </is>
      </c>
      <c r="D537" s="3">
        <f>IFERROR(__xludf.DUMMYFUNCTION("GOOGLETRANSLATE(B537,""vi"",""km"")"),"ប្រមូលសំបុត្រ")</f>
        <v/>
      </c>
      <c r="E537" s="3" t="inlineStr">
        <is>
          <t>ប្រមូលអីវ៉ាន់</t>
        </is>
      </c>
      <c r="F537" s="3" t="n"/>
      <c r="G537" s="3" t="inlineStr">
        <is>
          <t>ប្រមូលផ្តុំកញ្ចប់បញ្ញើ</t>
        </is>
      </c>
      <c r="H537" t="inlineStr">
        <is>
          <t>ប្រមូលផ្តុំកញ្ចប់បញ្ញើ</t>
        </is>
      </c>
      <c r="I537" s="217" t="inlineStr">
        <is>
          <t>"banGiao.titleGomBuu": "ប្រមូលផ្តុំកញ្ចប់បញ្ញើ",</t>
        </is>
      </c>
      <c r="N537" s="3" t="inlineStr">
        <is>
          <t>បញ្ចូលបញ្ជាទិញ</t>
        </is>
      </c>
    </row>
    <row r="538" ht="15.75" customHeight="1" s="305">
      <c r="A538" s="3" t="inlineStr">
        <is>
          <t>forgotPassword.required3</t>
        </is>
      </c>
      <c r="B538" s="3" t="inlineStr">
        <is>
          <t>Gồm ký tự số (0-9) và ký tự đặc biệt</t>
        </is>
      </c>
      <c r="C538" s="3" t="inlineStr">
        <is>
          <t>Number characters (0-9) and special characters included</t>
        </is>
      </c>
      <c r="D538" s="3">
        <f>IFERROR(__xludf.DUMMYFUNCTION("GOOGLETRANSLATE(B538,""vi"",""km"")"),"រួមបញ្ចូលតួអក្សរលេខ (០-៩) និងតួអក្សរពិសេស")</f>
        <v/>
      </c>
      <c r="E538" s="3" t="inlineStr">
        <is>
          <t>រួមបញ្ចូលតួអក្សរលេខ (0-9) និងតួអក្សរពិសេស</t>
        </is>
      </c>
      <c r="F538" s="3" t="n"/>
      <c r="G538" s="3" t="inlineStr">
        <is>
          <t>រួមបញ្ចូលតួអក្សរលេខ (0-9) និងតួអក្សរពិសេស</t>
        </is>
      </c>
      <c r="H538" t="inlineStr">
        <is>
          <t>រួមបញ្ចូលតួអក្សរលេខ (0-9) និងតួអក្សរពិសេស</t>
        </is>
      </c>
      <c r="I538" s="217" t="inlineStr">
        <is>
          <t>"forgotPassword.required3": "រួមបញ្ចូលតួអក្សរលេខ (0-9) និងតួអក្សរពិសេស",</t>
        </is>
      </c>
      <c r="N538" s="3" t="inlineStr">
        <is>
          <t>រួមបញ្ចូលតួអក្សរលេខ (0-9) និងតួអក្សរពិសេស</t>
        </is>
      </c>
    </row>
    <row r="539" ht="15.75" customHeight="1" s="305">
      <c r="A539" s="3" t="inlineStr">
        <is>
          <t>change_password.number_case</t>
        </is>
      </c>
      <c r="B539" s="3" t="inlineStr">
        <is>
          <t>Gồm ký tự số (0-9) và ký tự đặc biệt</t>
        </is>
      </c>
      <c r="C539" s="3" t="inlineStr">
        <is>
          <t>Include digits (0–9) and special characters</t>
        </is>
      </c>
      <c r="D539" s="3">
        <f>IFERROR(__xludf.DUMMYFUNCTION("GOOGLETRANSLATE(B539,""vi"",""km"")"),"រួមបញ្ចូលតួអក្សរលេខ (០-៩) និងតួអក្សរពិសេស")</f>
        <v/>
      </c>
      <c r="E539" s="3" t="inlineStr">
        <is>
          <t>រួមបញ្ចូលតួអក្សរលេខ (0-9) និងតួអក្សរពិសេស</t>
        </is>
      </c>
      <c r="F539" s="3" t="n"/>
      <c r="G539" s="3" t="inlineStr">
        <is>
          <t>រួមបញ្ចូលតួអក្សរលេខ (0-9) និងតួអក្សរពិសេស</t>
        </is>
      </c>
      <c r="H539" t="inlineStr">
        <is>
          <t>រួមបញ្ចូលតួអក្សរលេខ (0-9) និងតួអក្សរពិសេស</t>
        </is>
      </c>
      <c r="I539" s="217" t="inlineStr">
        <is>
          <t>"change_password.number_case": "រួមបញ្ចូលតួអក្សរលេខ (0-9) និងតួអក្សរពិសេស",</t>
        </is>
      </c>
      <c r="N539" s="3" t="inlineStr">
        <is>
          <t>រួមមានលេខ (0–9) និងតួអក្សរពិសេស</t>
        </is>
      </c>
    </row>
    <row r="540" ht="15.75" customHeight="1" s="305">
      <c r="A540" s="3" t="inlineStr">
        <is>
          <t>setting.rulePassword4</t>
        </is>
      </c>
      <c r="B540" s="3" t="inlineStr">
        <is>
          <t>Gồm ký tự số [0-9] và ký tự đặc biệt: ~!@#$%^&amp;*()_+|'-={}[]:"&lt;;'?&gt;,./</t>
        </is>
      </c>
      <c r="C540" s="3" t="inlineStr">
        <is>
          <t>Number [0-9] and special characters such as ~!@#$%^&amp;*()_+|'-={}[]:"&lt;;'?&gt;,./, included</t>
        </is>
      </c>
      <c r="D540" s="3">
        <f>IFERROR(__xludf.DUMMYFUNCTION("GOOGLETRANSLATE(B540,""vi"",""km"")"),"រួមបញ្ចូលតួអក្សរលេខ [០-៩] និងតួអក្សរពិសេស៖ ~!@#$%^&amp;*()_+|'-={}[]:""&lt;;'?&gt;,./")</f>
        <v/>
      </c>
      <c r="E540" s="3" t="inlineStr">
        <is>
          <t>រួមបញ្ចូលតួអក្សរលេខ [0-9] និងតួអក្សរពិសេស៖ ~!@#$%^&amp;*()_+|'-={}[]:"&lt;;'?&gt;,./</t>
        </is>
      </c>
      <c r="F540" s="3" t="n"/>
      <c r="G540" s="3" t="inlineStr">
        <is>
          <t>រួមបញ្ចូលតួអក្សរលេខ [0-9] និងតួអក្សរពិសេស៖ ~!@#$%^&amp;*()_+|'-={}[]:"&lt;;'?&gt;,./</t>
        </is>
      </c>
      <c r="H540" t="inlineStr">
        <is>
          <t>រួមបញ្ចូលតួអក្សរលេខ [0-9] និងតួអក្សរពិសេស៖ ~!@#$%^&amp;*()_+|'-={}[]:"&lt;;'?&gt;,./</t>
        </is>
      </c>
      <c r="I540" s="217" t="inlineStr">
        <is>
          <t>"setting.rulePassword4": "រួមបញ្ចូលតួអក្សរលេខ [0-9] និងតួអក្សរពិសេស៖ ~!@#$%^&amp;*()_+|'-={}[]:"&lt;;'?&gt;,./",</t>
        </is>
      </c>
      <c r="N540" s="3" t="inlineStr">
        <is>
          <t>Includes numeric characters [0-9] and special characters: ~!@#$%^&amp;*()_+|'-={}[]:"&lt;;'?&gt;,./</t>
        </is>
      </c>
    </row>
    <row r="541" ht="15.75" customHeight="1" s="305">
      <c r="A541" s="3" t="inlineStr">
        <is>
          <t>forgotPassword.required2</t>
        </is>
      </c>
      <c r="B541" s="3" t="inlineStr">
        <is>
          <t>Gồm ký tự viết hoa (A-Z) và viết thường (a-z)</t>
        </is>
      </c>
      <c r="C541" s="3" t="inlineStr">
        <is>
          <t>Uppercase letters (A-Z) and lowercase letters (a-z) included</t>
        </is>
      </c>
      <c r="D541" s="3">
        <f>IFERROR(__xludf.DUMMYFUNCTION("GOOGLETRANSLATE(B541,""vi"",""km"")"),"រួមបញ្ចូលអក្សរធំ (A-Z) និងអក្សរតូច (a-z)។")</f>
        <v/>
      </c>
      <c r="E541" s="3" t="inlineStr">
        <is>
          <t>រួមបញ្ចូលតួអក្សរអក្សរធំ (A-Z) និងអក្សរធម្មតា (a-z)</t>
        </is>
      </c>
      <c r="F541" s="3" t="n"/>
      <c r="G541" s="3" t="inlineStr">
        <is>
          <t>រួមបញ្ចូលតួអក្សរអក្សរធំ (A-Z) និងអក្សរធម្មតា (a-z)</t>
        </is>
      </c>
      <c r="H541" t="inlineStr">
        <is>
          <t>រួមបញ្ចូលតួអក្សរអក្សរធំ (A-Z) និងអក្សរធម្មតា (a-z)</t>
        </is>
      </c>
      <c r="I541" s="217" t="inlineStr">
        <is>
          <t>"forgotPassword.required2": "រួមបញ្ចូលតួអក្សរអក្សរធំ (A-Z) និងអក្សរធម្មតា (a-z)",</t>
        </is>
      </c>
      <c r="N541" s="3" t="inlineStr">
        <is>
          <t>រួមបញ្ចូលអក្សរធំ (A-Z) និងអក្សរតូច (a-z)</t>
        </is>
      </c>
    </row>
    <row r="542" ht="15.75" customHeight="1" s="305">
      <c r="A542" s="3" t="inlineStr">
        <is>
          <t>change_password.word_case</t>
        </is>
      </c>
      <c r="B542" s="3" t="inlineStr">
        <is>
          <t>Gồm ký tự viết hoa (A-Z) và viết thường (a-z)</t>
        </is>
      </c>
      <c r="C542" s="3" t="inlineStr">
        <is>
          <t>Include uppercase (A–Z) and lowercase (a–z)</t>
        </is>
      </c>
      <c r="D542" s="3">
        <f>IFERROR(__xludf.DUMMYFUNCTION("GOOGLETRANSLATE(B542,""vi"",""km"")"),"រួមបញ្ចូលអក្សរធំ (A-Z) និងអក្សរតូច (a-z)។")</f>
        <v/>
      </c>
      <c r="E542" s="3" t="inlineStr">
        <is>
          <t>រួមបញ្ចូលតួអក្សរអក្សរធំ (A-Z) និងអក្សរធម្មតា (a-z)</t>
        </is>
      </c>
      <c r="F542" s="3" t="n"/>
      <c r="G542" s="3" t="inlineStr">
        <is>
          <t>រួមបញ្ចូលតួអក្សរអក្សរធំ (A-Z) និងអក្សរធម្មតា (a-z)</t>
        </is>
      </c>
      <c r="H542" t="inlineStr">
        <is>
          <t>រួមបញ្ចូលតួអក្សរអក្សរធំ (A-Z) និងអក្សរធម្មតា (a-z)</t>
        </is>
      </c>
      <c r="I542" s="217" t="inlineStr">
        <is>
          <t>"change_password.word_case": "រួមបញ្ចូលតួអក្សរអក្សរធំ (A-Z) និងអក្សរធម្មតា (a-z)",</t>
        </is>
      </c>
      <c r="N542" s="3" t="inlineStr">
        <is>
          <t>រួមមានអក្សរធំ (A–Z) និងអក្សរតូច (a–z)</t>
        </is>
      </c>
    </row>
    <row r="543" ht="15.75" customHeight="1" s="305">
      <c r="A543" s="3" t="inlineStr">
        <is>
          <t>setting.rulePassword3</t>
        </is>
      </c>
      <c r="B543" s="3" t="inlineStr">
        <is>
          <t>Gồm ký tự viết hoa [A-Z] và viết thường [a-z]</t>
        </is>
      </c>
      <c r="C543" s="3" t="inlineStr">
        <is>
          <t>Uppercase letters [A-Z] and lowercase letters [a-z] included</t>
        </is>
      </c>
      <c r="D543" s="3">
        <f>IFERROR(__xludf.DUMMYFUNCTION("GOOGLETRANSLATE(B543,""vi"",""km"")"),"រួមបញ្ចូល​តួអក្សរ​ធំ [A-Z] និង​តួអក្សរ​តូច [a-z]។")</f>
        <v/>
      </c>
      <c r="E543" s="3" t="inlineStr">
        <is>
          <t>រួមបញ្ចូលតួអក្សរអក្សរធំ [A-Z] និងអក្សរធម្មតា [a-z]</t>
        </is>
      </c>
      <c r="F543" s="3" t="n"/>
      <c r="G543" s="3" t="inlineStr">
        <is>
          <t>រួមបញ្ចូលតួអក្សរអក្សរធំ [A-Z] និងអក្សរធម្មតា [a-z]</t>
        </is>
      </c>
      <c r="H543" t="inlineStr">
        <is>
          <t>រួមបញ្ចូលតួអក្សរអក្សរធំ [A-Z] និងអក្សរធម្មតា [a-z]</t>
        </is>
      </c>
      <c r="I543" s="217" t="inlineStr">
        <is>
          <t>"setting.rulePassword3": "រួមបញ្ចូលតួអក្សរអក្សរធំ [A-Z] និងអក្សរធម្មតា [a-z]",</t>
        </is>
      </c>
      <c r="N543" s="3" t="inlineStr">
        <is>
          <t>Includes uppercase [A-Z] and lowercase [a-z] characters</t>
        </is>
      </c>
    </row>
    <row r="544" ht="15.75" customHeight="1" s="305">
      <c r="A544" s="3" t="inlineStr">
        <is>
          <t>DongTai.titleGomSuccess</t>
        </is>
      </c>
      <c r="B544" s="3" t="inlineStr">
        <is>
          <t>Gom tải thành công!</t>
        </is>
      </c>
      <c r="C544" s="3" t="inlineStr">
        <is>
          <t>Group order sucessfully!</t>
        </is>
      </c>
      <c r="D544" s="3">
        <f>IFERROR(__xludf.DUMMYFUNCTION("GOOGLETRANSLATE(B544,""vi"",""km"")"),"ការ​បង្រួម​ការ​ទាញ​យក​បាន​ជោគជ័យ!")</f>
        <v/>
      </c>
      <c r="E544" s="3" t="inlineStr">
        <is>
          <t>ការប្រមូលជើងដឹកបានជោគជ័យ!</t>
        </is>
      </c>
      <c r="F544" s="3" t="n"/>
      <c r="G544" s="3" t="inlineStr">
        <is>
          <t>ការប្រមូលកញ្ចប់ទំនិញបានជោគជ័យ!</t>
        </is>
      </c>
      <c r="H544" t="inlineStr">
        <is>
          <t>ការប្រមូលកញ្ចប់ទំនិញបានជោគជ័យ!</t>
        </is>
      </c>
      <c r="I544" s="217" t="inlineStr">
        <is>
          <t>"DongTai.titleGomSuccess": "ការប្រមូលកញ្ចប់ទំនិញបានជោគជ័យ!",</t>
        </is>
      </c>
      <c r="N544" s="3" t="inlineStr">
        <is>
          <t>ប្រមូលត្រួតពិនិត្យជោគជ័យ!</t>
        </is>
      </c>
    </row>
    <row r="545" ht="15.75" customHeight="1" s="305">
      <c r="A545" s="3" t="inlineStr">
        <is>
          <t>banGiao.groupSuccess</t>
        </is>
      </c>
      <c r="B545" s="3" t="inlineStr">
        <is>
          <t>Gom thành công!</t>
        </is>
      </c>
      <c r="C545" s="3" t="inlineStr">
        <is>
          <t>Grouped successfully!</t>
        </is>
      </c>
      <c r="D545" s="3">
        <f>IFERROR(__xludf.DUMMYFUNCTION("GOOGLETRANSLATE(B545,""vi"",""km"")"),"ប្រមូលបានដោយជោគជ័យ!")</f>
        <v/>
      </c>
      <c r="E545" s="3" t="inlineStr">
        <is>
          <t>ការប្រមូលបានជោគជ័យ!</t>
        </is>
      </c>
      <c r="F545" s="3" t="n"/>
      <c r="G545" s="3" t="inlineStr">
        <is>
          <t>ការប្រមូលបានជោគជ័យ!</t>
        </is>
      </c>
      <c r="H545" t="inlineStr">
        <is>
          <t>ការប្រមូលបានជោគជ័យ!</t>
        </is>
      </c>
      <c r="I545" s="217" t="inlineStr">
        <is>
          <t>"banGiao.groupSuccess": "ការប្រមូលបានជោគជ័យ!",</t>
        </is>
      </c>
      <c r="N545" s="3" t="inlineStr"/>
    </row>
    <row r="546" ht="15.75" customHeight="1" s="305">
      <c r="A546" s="3" t="inlineStr">
        <is>
          <t>traCuoc.send</t>
        </is>
      </c>
      <c r="B546" s="3" t="inlineStr">
        <is>
          <t>Gửi</t>
        </is>
      </c>
      <c r="C546" s="3" t="inlineStr">
        <is>
          <t>Send</t>
        </is>
      </c>
      <c r="D546" s="3">
        <f>IFERROR(__xludf.DUMMYFUNCTION("GOOGLETRANSLATE(B546,""vi"",""km"")"),"ផ្ញើ")</f>
        <v/>
      </c>
      <c r="E546" s="3" t="inlineStr">
        <is>
          <t>ផ្ញើ</t>
        </is>
      </c>
      <c r="F546" s="3" t="n"/>
      <c r="G546" s="3" t="inlineStr">
        <is>
          <t>ផ្ញើ</t>
        </is>
      </c>
      <c r="H546" t="inlineStr">
        <is>
          <t>ផ្ញើ</t>
        </is>
      </c>
      <c r="I546" s="217" t="inlineStr">
        <is>
          <t>"traCuoc.send": "ផ្ញើ",</t>
        </is>
      </c>
      <c r="N546" s="3" t="inlineStr">
        <is>
          <t>ផ្ញើ</t>
        </is>
      </c>
    </row>
    <row r="547" ht="15.75" customHeight="1" s="305">
      <c r="A547" s="3" t="inlineStr">
        <is>
          <t>traCuoc.to</t>
        </is>
      </c>
      <c r="B547" s="3" t="inlineStr">
        <is>
          <t>Gửi đến</t>
        </is>
      </c>
      <c r="C547" s="3" t="inlineStr">
        <is>
          <t>To</t>
        </is>
      </c>
      <c r="D547" s="3">
        <f>IFERROR(__xludf.DUMMYFUNCTION("GOOGLETRANSLATE(B547,""vi"",""km"")"),"ផ្ញើទៅ")</f>
        <v/>
      </c>
      <c r="E547" s="3" t="inlineStr">
        <is>
          <t>ផ្ញើទៅដល់</t>
        </is>
      </c>
      <c r="F547" s="3" t="n"/>
      <c r="G547" s="3" t="inlineStr">
        <is>
          <t>ផ្ញើទៅដល់</t>
        </is>
      </c>
      <c r="H547" t="inlineStr">
        <is>
          <t>ផ្ញើទៅដល់</t>
        </is>
      </c>
      <c r="I547" s="217" t="inlineStr">
        <is>
          <t>"traCuoc.to": "ផ្ញើទៅដល់",</t>
        </is>
      </c>
      <c r="N547" s="3" t="inlineStr">
        <is>
          <t>ផ្ញើទៅ</t>
        </is>
      </c>
    </row>
    <row r="548" ht="15.75" customHeight="1" s="305">
      <c r="A548" s="3" t="inlineStr">
        <is>
          <t>OTP.resendBtn</t>
        </is>
      </c>
      <c r="B548" s="3" t="inlineStr">
        <is>
          <t>Gửi lại mã</t>
        </is>
      </c>
      <c r="C548" s="3" t="inlineStr">
        <is>
          <t>Resend</t>
        </is>
      </c>
      <c r="D548" s="3">
        <f>IFERROR(__xludf.DUMMYFUNCTION("GOOGLETRANSLATE(B548,""vi"",""km"")"),"ផ្ញើលេខកូដឡើងវិញ")</f>
        <v/>
      </c>
      <c r="E548" s="3" t="inlineStr">
        <is>
          <t>ផ្ញើលេខកូដឡើងវិញ</t>
        </is>
      </c>
      <c r="F548" s="3" t="n"/>
      <c r="G548" s="3" t="inlineStr">
        <is>
          <t>ផ្ញើម្តងទៀត</t>
        </is>
      </c>
      <c r="H548" t="inlineStr">
        <is>
          <t>ផ្ញើម្តងទៀត</t>
        </is>
      </c>
      <c r="I548" s="217" t="inlineStr">
        <is>
          <t>"OTP.resendBtn": "ផ្ញើម្តងទៀត",</t>
        </is>
      </c>
      <c r="N548" s="3" t="inlineStr">
        <is>
          <t>ផ្ញើលេខកូដឡើងវិញ</t>
        </is>
      </c>
    </row>
    <row r="549" ht="15.75" customHeight="1" s="305">
      <c r="A549" s="3" t="inlineStr">
        <is>
          <t>OTP.resend</t>
        </is>
      </c>
      <c r="B549" s="3" t="inlineStr">
        <is>
          <t xml:space="preserve">Gửi lại mã sau </t>
        </is>
      </c>
      <c r="C549" s="3" t="inlineStr">
        <is>
          <t>Resend after</t>
        </is>
      </c>
      <c r="D549" s="3">
        <f>IFERROR(__xludf.DUMMYFUNCTION("GOOGLETRANSLATE(B549,""vi"",""km"")"),"សូមផ្ញើលេខកូដខាងក្រោមឡើងវិញ។")</f>
        <v/>
      </c>
      <c r="E549" s="3" t="inlineStr">
        <is>
          <t>ផ្ញើលេខកូដឡើងវិញនៅពេលក្រោយ</t>
        </is>
      </c>
      <c r="F549" s="3" t="n"/>
      <c r="G549" s="3" t="inlineStr">
        <is>
          <t>ផ្ញើលេខកូដឡើងវិញនៅពេលក្រោយ</t>
        </is>
      </c>
      <c r="H549" t="inlineStr">
        <is>
          <t>ផ្ញើលេខកូដឡើងវិញនៅពេលក្រោយ</t>
        </is>
      </c>
      <c r="I549" s="217" t="inlineStr">
        <is>
          <t>"OTP.resend": "ផ្ញើលេខកូដឡើងវិញនៅពេលក្រោយ",</t>
        </is>
      </c>
      <c r="N549" s="3" t="inlineStr">
        <is>
          <t>ផ្ញើលេខកូដឡើងវិញនៅពេលក្រោយ</t>
        </is>
      </c>
    </row>
    <row r="550" ht="15.75" customHeight="1" s="305">
      <c r="A550" s="3" t="inlineStr">
        <is>
          <t>change_password.resend_otp</t>
        </is>
      </c>
      <c r="B550" s="3" t="inlineStr">
        <is>
          <t>Gửi lại OTP</t>
        </is>
      </c>
      <c r="C550" s="3" t="inlineStr">
        <is>
          <t>Resend OTP</t>
        </is>
      </c>
      <c r="D550" s="3">
        <f>IFERROR(__xludf.DUMMYFUNCTION("GOOGLETRANSLATE(B550,""vi"",""km"")"),"ផ្ញើ OTP ឡើងវិញ")</f>
        <v/>
      </c>
      <c r="E550" s="3" t="inlineStr">
        <is>
          <t>ផ្ញើ OTP ឡើងវិញ</t>
        </is>
      </c>
      <c r="F550" s="3" t="n"/>
      <c r="G550" s="3" t="inlineStr">
        <is>
          <t>ផ្ញើ OTP ឡើងវិញ</t>
        </is>
      </c>
      <c r="H550" t="inlineStr">
        <is>
          <t>ផ្ញើ OTP ឡើងវិញ</t>
        </is>
      </c>
      <c r="I550" s="217" t="inlineStr">
        <is>
          <t>"change_password.resend_otp": "ផ្ញើ OTP ឡើងវិញ",</t>
        </is>
      </c>
      <c r="N550" s="3" t="inlineStr">
        <is>
          <t>ផ្ញើ OTP ម្ដងទៀត</t>
        </is>
      </c>
    </row>
    <row r="551" ht="15.75" customHeight="1" s="305">
      <c r="A551" s="3" t="inlineStr">
        <is>
          <t>change_password.resend_otp_after</t>
        </is>
      </c>
      <c r="B551" s="3" t="inlineStr">
        <is>
          <t>Gửi lại OTP sau</t>
        </is>
      </c>
      <c r="C551" s="3" t="inlineStr">
        <is>
          <t>Resend OTP after</t>
        </is>
      </c>
      <c r="D551" s="3">
        <f>IFERROR(__xludf.DUMMYFUNCTION("GOOGLETRANSLATE(B551,""vi"",""km"")"),"ផ្ញើ OTP ម្តងទៀតនៅពេលក្រោយ។")</f>
        <v/>
      </c>
      <c r="E551" s="3" t="inlineStr">
        <is>
          <t>ផ្ញើ OTP ឡើងវិញនៅពេលក្រោយ</t>
        </is>
      </c>
      <c r="F551" s="3" t="n"/>
      <c r="G551" s="3" t="inlineStr">
        <is>
          <t>ផ្ញើ OTP ឡើងវិញនៅពេលក្រោយ</t>
        </is>
      </c>
      <c r="H551" t="inlineStr">
        <is>
          <t>ផ្ញើ OTP ឡើងវិញនៅពេលក្រោយ</t>
        </is>
      </c>
      <c r="I551" s="217" t="inlineStr">
        <is>
          <t>"change_password.resend_otp_after": "ផ្ញើ OTP ឡើងវិញនៅពេលក្រោយ",</t>
        </is>
      </c>
      <c r="N551" s="3" t="inlineStr">
        <is>
          <t>ផ្ញើ OTP ម្ដងទៀតបន្ទាប់ពី</t>
        </is>
      </c>
    </row>
    <row r="552" ht="15.75" customHeight="1" s="305">
      <c r="A552" s="3" t="inlineStr">
        <is>
          <t>suaDon.sendDate</t>
        </is>
      </c>
      <c r="B552" s="3" t="inlineStr">
        <is>
          <t>Gửi ngày</t>
        </is>
      </c>
      <c r="C552" s="3" t="inlineStr">
        <is>
          <t>Sent date</t>
        </is>
      </c>
      <c r="D552" s="3">
        <f>IFERROR(__xludf.DUMMYFUNCTION("GOOGLETRANSLATE(B552,""vi"",""km"")"),"បានផ្ញើនៅថ្ងៃទី [កាលបរិច្ឆេទ]")</f>
        <v/>
      </c>
      <c r="E552" s="3" t="inlineStr">
        <is>
          <t>កាលបរិច្ឆេទផ្ញើ</t>
        </is>
      </c>
      <c r="F552" s="3" t="n"/>
      <c r="G552" s="3" t="inlineStr">
        <is>
          <t>កាលបរិច្ឆេទផ្ញើ</t>
        </is>
      </c>
      <c r="H552" t="inlineStr">
        <is>
          <t>កាលបរិច្ឆេទផ្ញើ</t>
        </is>
      </c>
      <c r="I552" s="217" t="inlineStr">
        <is>
          <t>"suaDon.sendDate": "កាលបរិច្ឆេទផ្ញើ",</t>
        </is>
      </c>
      <c r="N552" s="3" t="inlineStr">
        <is>
          <t>ថ្ងៃផ្ញើ</t>
        </is>
      </c>
    </row>
    <row r="553" ht="15.75" customHeight="1" s="305">
      <c r="A553" s="3" t="inlineStr">
        <is>
          <t>traCuoc.from</t>
        </is>
      </c>
      <c r="B553" s="3" t="inlineStr">
        <is>
          <t>Gửi từ</t>
        </is>
      </c>
      <c r="C553" s="3" t="inlineStr">
        <is>
          <t>From</t>
        </is>
      </c>
      <c r="D553" s="3">
        <f>IFERROR(__xludf.DUMMYFUNCTION("GOOGLETRANSLATE(B553,""vi"",""km"")"),"បានផ្ញើពី")</f>
        <v/>
      </c>
      <c r="E553" s="3" t="inlineStr">
        <is>
          <t>ផ្ញើចាប់ពី</t>
        </is>
      </c>
      <c r="F553" s="3" t="n"/>
      <c r="G553" s="3" t="inlineStr">
        <is>
          <t>ផ្ញើចាប់ពី</t>
        </is>
      </c>
      <c r="H553" t="inlineStr">
        <is>
          <t>ផ្ញើចាប់ពី</t>
        </is>
      </c>
      <c r="I553" s="217" t="inlineStr">
        <is>
          <t>"traCuoc.from": "ផ្ញើចាប់ពី",</t>
        </is>
      </c>
      <c r="N553" s="3" t="inlineStr">
        <is>
          <t>ផ្ញើពី</t>
        </is>
      </c>
    </row>
    <row r="554" ht="15.75" customHeight="1" s="305">
      <c r="A554" s="3" t="inlineStr">
        <is>
          <t>mainStatus.303</t>
        </is>
      </c>
      <c r="B554" s="3" t="inlineStr">
        <is>
          <t>Gửi yêu cầu vận tải</t>
        </is>
      </c>
      <c r="C554" s="3" t="inlineStr">
        <is>
          <t>Send transport request</t>
        </is>
      </c>
      <c r="D554" s="3">
        <f>IFERROR(__xludf.DUMMYFUNCTION("GOOGLETRANSLATE(B554,""vi"",""km"")"),"ដាក់ស្នើសំណើដឹកជញ្ជូន។")</f>
        <v/>
      </c>
      <c r="E554" s="3" t="inlineStr">
        <is>
          <t>ផ្ញើសំណើដឹកជញ្ជូន</t>
        </is>
      </c>
      <c r="F554" s="3" t="n"/>
      <c r="G554" s="3" t="inlineStr">
        <is>
          <t>ផ្ញើសំណើដឹកជញ្ជូន</t>
        </is>
      </c>
      <c r="H554" t="inlineStr">
        <is>
          <t>ផ្ញើសំណើដឹកជញ្ជូន</t>
        </is>
      </c>
      <c r="I554" s="217" t="inlineStr">
        <is>
          <t>"mainStatus.303": "ផ្ញើសំណើដឹកជញ្ជូន",</t>
        </is>
      </c>
      <c r="N554" s="163" t="inlineStr">
        <is>
          <t>ផ្ញើសំណើដឹកជញ្ជូន</t>
        </is>
      </c>
    </row>
    <row r="555" ht="15.75" customHeight="1" s="305">
      <c r="A555" s="3" t="inlineStr">
        <is>
          <t>tms.haiChieu</t>
        </is>
      </c>
      <c r="B555" s="3" t="inlineStr">
        <is>
          <t>Hai chiều</t>
        </is>
      </c>
      <c r="C555" s="3" t="inlineStr">
        <is>
          <t>Round trip</t>
        </is>
      </c>
      <c r="D555" s="3">
        <f>IFERROR(__xludf.DUMMYFUNCTION("GOOGLETRANSLATE(B555,""vi"",""km"")"),"ទ្វេភាគី")</f>
        <v/>
      </c>
      <c r="E555" s="3" t="inlineStr">
        <is>
          <t>ពីរត្រលប់</t>
        </is>
      </c>
      <c r="F555" s="3" t="n"/>
      <c r="G555" s="3" t="inlineStr">
        <is>
          <t>ពីរត្រលប់</t>
        </is>
      </c>
      <c r="H555" t="inlineStr">
        <is>
          <t>ពីរត្រលប់</t>
        </is>
      </c>
      <c r="I555" s="217" t="inlineStr">
        <is>
          <t>"tms.haiChieu": "ពីរត្រលប់",</t>
        </is>
      </c>
      <c r="N555" s="3" t="inlineStr"/>
    </row>
    <row r="556" ht="15.75" customHeight="1" s="305">
      <c r="A556" s="3" t="inlineStr">
        <is>
          <t>khaiThacDen.hang</t>
        </is>
      </c>
      <c r="B556" s="3" t="inlineStr">
        <is>
          <t>Hàng</t>
        </is>
      </c>
      <c r="C556" s="3" t="inlineStr">
        <is>
          <t>Goods</t>
        </is>
      </c>
      <c r="D556" s="3">
        <f>IFERROR(__xludf.DUMMYFUNCTION("GOOGLETRANSLATE(B556,""vi"",""km"")"),"ជួរ")</f>
        <v/>
      </c>
      <c r="E556" s="3" t="inlineStr">
        <is>
          <t>អីវ៉ាន់</t>
        </is>
      </c>
      <c r="F556" s="3" t="n"/>
      <c r="G556" s="3" t="inlineStr">
        <is>
          <t>អីវ៉ាន់</t>
        </is>
      </c>
      <c r="H556" t="inlineStr">
        <is>
          <t>អីវ៉ាន់</t>
        </is>
      </c>
      <c r="I556" s="217" t="inlineStr">
        <is>
          <t>"khaiThacDen.hang": "អីវ៉ាន់",</t>
        </is>
      </c>
      <c r="N556" s="3" t="inlineStr"/>
    </row>
    <row r="557" ht="15.75" customHeight="1" s="305">
      <c r="A557" s="3" t="inlineStr">
        <is>
          <t>nhanHang.prohibitedGoods</t>
        </is>
      </c>
      <c r="B557" s="3" t="inlineStr">
        <is>
          <t>Hàng cấm gửi</t>
        </is>
      </c>
      <c r="C557" s="3" t="inlineStr">
        <is>
          <t>Prohibited freight</t>
        </is>
      </c>
      <c r="D557" s="3">
        <f>IFERROR(__xludf.DUMMYFUNCTION("GOOGLETRANSLATE(B557,""vi"",""km"")"),"វត្ថុហាមឃាត់")</f>
        <v/>
      </c>
      <c r="E557" s="3" t="inlineStr">
        <is>
          <t>អីវ៉ាន់ហាមឃាត់</t>
        </is>
      </c>
      <c r="F557" s="3" t="n"/>
      <c r="G557" s="3" t="inlineStr">
        <is>
          <t>អីវ៉ាន់ហាមឃាត់</t>
        </is>
      </c>
      <c r="H557" t="inlineStr">
        <is>
          <t>អីវ៉ាន់ហាមឃាត់</t>
        </is>
      </c>
      <c r="I557" s="217" t="inlineStr">
        <is>
          <t>"nhanHang.prohibitedGoods": "អីវ៉ាន់ហាមឃាត់",</t>
        </is>
      </c>
      <c r="N557" s="3" t="inlineStr">
        <is>
          <t>ទំនិញហាមដឹក</t>
        </is>
      </c>
    </row>
    <row r="558" ht="15.75" customHeight="1" s="305">
      <c r="A558" s="3" t="inlineStr">
        <is>
          <t>taoDon.listTemplateDes2</t>
        </is>
      </c>
      <c r="B558" s="3" t="inlineStr">
        <is>
          <t>Hàng dễ vỡ, vui lòng nhẹ tay</t>
        </is>
      </c>
      <c r="C558" s="3" t="inlineStr">
        <is>
          <t>Fragile goods, handle with care</t>
        </is>
      </c>
      <c r="D558" s="3">
        <f>IFERROR(__xludf.DUMMYFUNCTION("GOOGLETRANSLATE(B558,""vi"",""km"")"),"វត្ថុ​ងាយ​ខូច សូម​កាន់​ដោយ​ប្រុង​ប្រយ័ត្ន។")</f>
        <v/>
      </c>
      <c r="E558" s="3" t="inlineStr">
        <is>
          <t>អីវ៉ាន់ងាយបែក សូមប្រយ័ត្ន</t>
        </is>
      </c>
      <c r="F558" s="3" t="n"/>
      <c r="G558" s="3" t="inlineStr">
        <is>
          <t>អីវ៉ាន់ងាយបែក សូមប្រយ័ត្ន</t>
        </is>
      </c>
      <c r="H558" t="inlineStr">
        <is>
          <t>អីវ៉ាន់ងាយបែក សូមប្រយ័ត្ន</t>
        </is>
      </c>
      <c r="I558" s="217" t="inlineStr">
        <is>
          <t>"taoDon.listTemplateDes2": "អីវ៉ាន់ងាយបែក សូមប្រយ័ត្ន",</t>
        </is>
      </c>
      <c r="N558" s="3" t="inlineStr">
        <is>
          <t>ទំនិញងាយបាក់បែក, សូមប្រុងប្រយ័ត្ន</t>
        </is>
      </c>
    </row>
    <row r="559" ht="15.75" customHeight="1" s="305">
      <c r="A559" s="3" t="inlineStr">
        <is>
          <t>GiaoHangNew.title</t>
        </is>
      </c>
      <c r="B559" s="3" t="inlineStr">
        <is>
          <t>Hàng giao</t>
        </is>
      </c>
      <c r="C559" s="3" t="inlineStr">
        <is>
          <t>Delivery</t>
        </is>
      </c>
      <c r="D559" s="3">
        <f>IFERROR(__xludf.DUMMYFUNCTION("GOOGLETRANSLATE(B559,""vi"",""km"")"),"ទំនិញត្រូវបានដឹកជញ្ជូន")</f>
        <v/>
      </c>
      <c r="E559" s="3" t="inlineStr">
        <is>
          <t>អីវ៉ាន់ដឹកជញ្ជូន</t>
        </is>
      </c>
      <c r="F559" s="3" t="n"/>
      <c r="G559" s="3" t="inlineStr">
        <is>
          <t>អីវ៉ាន់ដឹកជញ្ជូន</t>
        </is>
      </c>
      <c r="H559" t="inlineStr">
        <is>
          <t>អីវ៉ាន់ដឹកជញ្ជូន</t>
        </is>
      </c>
      <c r="I559" s="217" t="inlineStr">
        <is>
          <t>"GiaoHangNew.title": "អីវ៉ាន់ដឹកជញ្ជូន",</t>
        </is>
      </c>
      <c r="N559" s="3" t="inlineStr"/>
    </row>
    <row r="560" ht="15.75" customHeight="1" s="305">
      <c r="A560" s="3" t="inlineStr">
        <is>
          <t>nhanHang.hang</t>
        </is>
      </c>
      <c r="B560" s="3" t="inlineStr">
        <is>
          <t>Hàng hoá</t>
        </is>
      </c>
      <c r="C560" s="3" t="inlineStr">
        <is>
          <t>Parcel</t>
        </is>
      </c>
      <c r="D560" s="3">
        <f>IFERROR(__xludf.DUMMYFUNCTION("GOOGLETRANSLATE(B560,""vi"",""km"")"),"ទំនិញ")</f>
        <v/>
      </c>
      <c r="E560" s="3" t="inlineStr">
        <is>
          <t>អីវ៉ាន់</t>
        </is>
      </c>
      <c r="F560" s="3" t="n"/>
      <c r="G560" s="3" t="inlineStr">
        <is>
          <t>អីវ៉ាន់</t>
        </is>
      </c>
      <c r="H560" t="inlineStr">
        <is>
          <t>អីវ៉ាន់</t>
        </is>
      </c>
      <c r="I560" s="217" t="inlineStr">
        <is>
          <t>"nhanHang.hang": "អីវ៉ាន់",</t>
        </is>
      </c>
      <c r="N560" s="3" t="inlineStr">
        <is>
          <t>ទំនិញ</t>
        </is>
      </c>
    </row>
    <row r="561" ht="15.75" customHeight="1" s="305">
      <c r="A561" s="3" t="inlineStr">
        <is>
          <t>inDon.goods</t>
        </is>
      </c>
      <c r="B561" s="3" t="inlineStr">
        <is>
          <t>Hàng hoá</t>
        </is>
      </c>
      <c r="C561" s="3" t="inlineStr">
        <is>
          <t>Goods</t>
        </is>
      </c>
      <c r="D561" s="3">
        <f>IFERROR(__xludf.DUMMYFUNCTION("GOOGLETRANSLATE(B561,""vi"",""km"")"),"ទំនិញ")</f>
        <v/>
      </c>
      <c r="E561" s="3" t="inlineStr">
        <is>
          <t>អីវ៉ាន់</t>
        </is>
      </c>
      <c r="F561" s="3" t="n"/>
      <c r="G561" s="3" t="inlineStr">
        <is>
          <t>អីវ៉ាន់</t>
        </is>
      </c>
      <c r="H561" t="inlineStr">
        <is>
          <t>អីវ៉ាន់</t>
        </is>
      </c>
      <c r="I561" s="217" t="inlineStr">
        <is>
          <t>"inDon.goods": "អីវ៉ាន់",</t>
        </is>
      </c>
      <c r="N561" s="3" t="inlineStr">
        <is>
          <t>ទំនិញ</t>
        </is>
      </c>
    </row>
    <row r="562" ht="15.75" customHeight="1" s="305">
      <c r="A562" s="3" t="inlineStr">
        <is>
          <t>traCuu.hangHoa</t>
        </is>
      </c>
      <c r="B562" s="3" t="inlineStr">
        <is>
          <t>HÀNG HÓA</t>
        </is>
      </c>
      <c r="C562" s="3" t="inlineStr">
        <is>
          <t>FREIGHT</t>
        </is>
      </c>
      <c r="D562" s="3">
        <f>IFERROR(__xludf.DUMMYFUNCTION("GOOGLETRANSLATE(B562,""vi"",""km"")"),"ទំនិញ")</f>
        <v/>
      </c>
      <c r="E562" s="3" t="inlineStr">
        <is>
          <t>អីវ៉ាន់</t>
        </is>
      </c>
      <c r="F562" s="3" t="n"/>
      <c r="G562" s="3" t="inlineStr">
        <is>
          <t>អីវ៉ាន់</t>
        </is>
      </c>
      <c r="H562" t="inlineStr">
        <is>
          <t>អីវ៉ាន់</t>
        </is>
      </c>
      <c r="I562" s="217" t="inlineStr">
        <is>
          <t>"traCuu.hangHoa": "អីវ៉ាន់",</t>
        </is>
      </c>
      <c r="N562" s="3" t="inlineStr">
        <is>
          <t>ទំនេញ</t>
        </is>
      </c>
    </row>
    <row r="563" ht="15.75" customHeight="1" s="305">
      <c r="A563" s="3" t="inlineStr">
        <is>
          <t>suaDon.titleSection2</t>
        </is>
      </c>
      <c r="B563" s="3" t="inlineStr">
        <is>
          <t>HÀNG HÓA - DỊCH VỤ</t>
        </is>
      </c>
      <c r="C563" s="3" t="inlineStr">
        <is>
          <t>FREIGHT - SERVICE</t>
        </is>
      </c>
      <c r="D563" s="3">
        <f>IFERROR(__xludf.DUMMYFUNCTION("GOOGLETRANSLATE(B563,""vi"",""km"")"),"ទំនិញ និងសេវាកម្ម")</f>
        <v/>
      </c>
      <c r="E563" s="3" t="inlineStr">
        <is>
          <t>អីវ៉ាន់-សេវាកម្ម</t>
        </is>
      </c>
      <c r="F563" s="3" t="n"/>
      <c r="G563" s="3" t="inlineStr">
        <is>
          <t>អីវ៉ាន់-សេវាកម្ម</t>
        </is>
      </c>
      <c r="H563" t="inlineStr">
        <is>
          <t>អីវ៉ាន់-សេវាកម្ម</t>
        </is>
      </c>
      <c r="I563" s="217" t="inlineStr">
        <is>
          <t>"suaDon.titleSection2": "អីវ៉ាន់-សេវាកម្ម",</t>
        </is>
      </c>
      <c r="N563" s="3" t="inlineStr">
        <is>
          <t>ទំនេញ - សេវាកម្ម</t>
        </is>
      </c>
    </row>
    <row r="564" ht="15.75" customHeight="1" s="305">
      <c r="A564" s="3" t="inlineStr">
        <is>
          <t>GiaoHangNew.giaoHoan</t>
        </is>
      </c>
      <c r="B564" s="3" t="inlineStr">
        <is>
          <t>Hàng hoàn</t>
        </is>
      </c>
      <c r="C564" s="3" t="inlineStr">
        <is>
          <t>Return delivery</t>
        </is>
      </c>
      <c r="D564" s="3">
        <f>IFERROR(__xludf.DUMMYFUNCTION("GOOGLETRANSLATE(B564,""vi"",""km"")"),"ទំនិញដែលបានប្រគល់មកវិញ")</f>
        <v/>
      </c>
      <c r="E564" s="3" t="inlineStr">
        <is>
          <t>អីវ៉ាន់ត្រលប់</t>
        </is>
      </c>
      <c r="F564" s="3" t="n"/>
      <c r="G564" s="3" t="inlineStr">
        <is>
          <t>អីវ៉ាន់ត្រលប់</t>
        </is>
      </c>
      <c r="H564" t="inlineStr">
        <is>
          <t>អីវ៉ាន់ត្រលប់</t>
        </is>
      </c>
      <c r="I564" s="217" t="inlineStr">
        <is>
          <t>"GiaoHangNew.giaoHoan": "អីវ៉ាន់ត្រលប់",</t>
        </is>
      </c>
      <c r="N564" s="3" t="inlineStr"/>
    </row>
    <row r="565" ht="15.75" customHeight="1" s="305">
      <c r="A565" s="3" t="inlineStr">
        <is>
          <t>taoDon.coldGoods</t>
        </is>
      </c>
      <c r="B565" s="3" t="inlineStr">
        <is>
          <t>Hàng lạnh</t>
        </is>
      </c>
      <c r="C565" s="3" t="inlineStr">
        <is>
          <t>Cold freight</t>
        </is>
      </c>
      <c r="D565" s="3">
        <f>IFERROR(__xludf.DUMMYFUNCTION("GOOGLETRANSLATE(B565,""vi"",""km"")"),"ទំនិញត្រជាក់")</f>
        <v/>
      </c>
      <c r="E565" s="3" t="inlineStr">
        <is>
          <t>អីវ៉ាន់ត្រជាក់</t>
        </is>
      </c>
      <c r="F565" s="3" t="n"/>
      <c r="G565" s="3" t="inlineStr">
        <is>
          <t>អីវ៉ាន់ត្រជាក់</t>
        </is>
      </c>
      <c r="H565" t="inlineStr">
        <is>
          <t>អីវ៉ាន់ត្រជាក់</t>
        </is>
      </c>
      <c r="I565" s="217" t="inlineStr">
        <is>
          <t>"taoDon.coldGoods": "អីវ៉ាន់ត្រជាក់",</t>
        </is>
      </c>
      <c r="N565" s="3" t="inlineStr">
        <is>
          <t>ទំនិញត្រជាក់</t>
        </is>
      </c>
    </row>
    <row r="566" ht="15.75" customHeight="1" s="305">
      <c r="A566" s="3" t="inlineStr">
        <is>
          <t>home.nhanhang</t>
        </is>
      </c>
      <c r="B566" s="3" t="inlineStr">
        <is>
          <t>Hàng nhận</t>
        </is>
      </c>
      <c r="C566" s="3" t="inlineStr">
        <is>
          <t>Pick up order</t>
        </is>
      </c>
      <c r="D566" s="3">
        <f>IFERROR(__xludf.DUMMYFUNCTION("GOOGLETRANSLATE(B566,""vi"",""km"")"),"ទំនិញ​ដែល​បាន​ទទួល")</f>
        <v/>
      </c>
      <c r="E566" s="3" t="inlineStr">
        <is>
          <t>ទទួលអីវ៉ាន់</t>
        </is>
      </c>
      <c r="F566" s="3" t="n"/>
      <c r="G566" s="3" t="inlineStr">
        <is>
          <t>ទទួលអីវ៉ាន់</t>
        </is>
      </c>
      <c r="H566" t="inlineStr">
        <is>
          <t>ទទួលអីវ៉ាន់</t>
        </is>
      </c>
      <c r="I566" s="217" t="inlineStr">
        <is>
          <t>"home.nhanhang": "ទទួលអីវ៉ាន់",</t>
        </is>
      </c>
      <c r="N566" s="3" t="inlineStr">
        <is>
          <t>ទទួលទំនិញ</t>
        </is>
      </c>
    </row>
    <row r="567" ht="15.75" customHeight="1" s="305">
      <c r="A567" s="3" t="inlineStr">
        <is>
          <t>banGiao.hangNhan</t>
        </is>
      </c>
      <c r="B567" s="3" t="inlineStr">
        <is>
          <t>Hàng nhận</t>
        </is>
      </c>
      <c r="C567" s="3" t="inlineStr">
        <is>
          <t>Receive Goods</t>
        </is>
      </c>
      <c r="D567" s="3">
        <f>IFERROR(__xludf.DUMMYFUNCTION("GOOGLETRANSLATE(B567,""vi"",""km"")"),"ទំនិញ​ដែល​បាន​ទទួល")</f>
        <v/>
      </c>
      <c r="E567" s="3" t="inlineStr">
        <is>
          <t>អីវ៉ាន់ទទួល</t>
        </is>
      </c>
      <c r="F567" s="3" t="n"/>
      <c r="G567" s="3" t="inlineStr">
        <is>
          <t>អីវ៉ាន់ទទួល</t>
        </is>
      </c>
      <c r="H567" t="inlineStr">
        <is>
          <t>អីវ៉ាន់ទទួល</t>
        </is>
      </c>
      <c r="I567" s="217" t="inlineStr">
        <is>
          <t>"banGiao.hangNhan": "អីវ៉ាន់ទទួល",</t>
        </is>
      </c>
      <c r="N567" s="3" t="inlineStr"/>
    </row>
    <row r="568" ht="15.75" customHeight="1" s="305">
      <c r="A568" s="3" t="inlineStr">
        <is>
          <t>nhanHang.hangNho</t>
        </is>
      </c>
      <c r="B568" s="3" t="inlineStr">
        <is>
          <t>Hàng nhỏ</t>
        </is>
      </c>
      <c r="C568" s="3" t="inlineStr">
        <is>
          <t>Small parcel</t>
        </is>
      </c>
      <c r="D568" s="3">
        <f>IFERROR(__xludf.DUMMYFUNCTION("GOOGLETRANSLATE(B568,""vi"",""km"")"),"របស់របរតូចៗ")</f>
        <v/>
      </c>
      <c r="E568" s="3" t="inlineStr">
        <is>
          <t>អីវ៉ាន់តូចៗ</t>
        </is>
      </c>
      <c r="F568" s="3" t="n"/>
      <c r="G568" s="3" t="inlineStr">
        <is>
          <t>កញ្ចប់តូូច</t>
        </is>
      </c>
      <c r="H568" t="inlineStr">
        <is>
          <t>កញ្ចប់តូូច</t>
        </is>
      </c>
      <c r="I568" s="217" t="inlineStr">
        <is>
          <t>"nhanHang.hangNho": "កញ្ចប់តូូច",</t>
        </is>
      </c>
      <c r="N568" s="3" t="inlineStr">
        <is>
          <t>ទំនិញតូចៗ</t>
        </is>
      </c>
    </row>
    <row r="569" ht="15.75" customHeight="1" s="305">
      <c r="A569" s="3" t="inlineStr">
        <is>
          <t>DongTai.titleGoods</t>
        </is>
      </c>
      <c r="B569" s="3" t="inlineStr">
        <is>
          <t>Hàng nhỏ</t>
        </is>
      </c>
      <c r="C569" s="3" t="inlineStr">
        <is>
          <t>Parcel</t>
        </is>
      </c>
      <c r="D569" s="3">
        <f>IFERROR(__xludf.DUMMYFUNCTION("GOOGLETRANSLATE(B569,""vi"",""km"")"),"របស់របរតូចៗ")</f>
        <v/>
      </c>
      <c r="E569" s="3" t="inlineStr">
        <is>
          <t>អីវ៉ាន់តូចៗ</t>
        </is>
      </c>
      <c r="F569" s="3" t="n"/>
      <c r="G569" s="3" t="inlineStr">
        <is>
          <t>កញ្ចប់តូូច</t>
        </is>
      </c>
      <c r="H569" t="inlineStr">
        <is>
          <t>កញ្ចប់តូូច</t>
        </is>
      </c>
      <c r="I569" s="217" t="inlineStr">
        <is>
          <t>"DongTai.titleGoods": "កញ្ចប់តូូច",</t>
        </is>
      </c>
      <c r="N569" s="3" t="inlineStr">
        <is>
          <t>ទំនិញតូច</t>
        </is>
      </c>
    </row>
    <row r="570" ht="15.75" customHeight="1" s="305">
      <c r="A570" s="3" t="inlineStr">
        <is>
          <t>traCuoc.goods</t>
        </is>
      </c>
      <c r="B570" s="3" t="inlineStr">
        <is>
          <t>Hàng nhỏ</t>
        </is>
      </c>
      <c r="C570" s="3" t="inlineStr">
        <is>
          <t xml:space="preserve">Parcel </t>
        </is>
      </c>
      <c r="D570" s="3">
        <f>IFERROR(__xludf.DUMMYFUNCTION("GOOGLETRANSLATE(B570,""vi"",""km"")"),"របស់របរតូចៗ")</f>
        <v/>
      </c>
      <c r="E570" s="3" t="inlineStr">
        <is>
          <t>អីវ៉ាន់តូចៗ</t>
        </is>
      </c>
      <c r="F570" s="3" t="n"/>
      <c r="G570" s="3" t="inlineStr">
        <is>
          <t>កញ្ចប់តូូច</t>
        </is>
      </c>
      <c r="H570" t="inlineStr">
        <is>
          <t>កញ្ចប់តូូច</t>
        </is>
      </c>
      <c r="I570" s="217" t="inlineStr">
        <is>
          <t>"traCuoc.goods": "កញ្ចប់តូូច",</t>
        </is>
      </c>
      <c r="N570" s="3" t="inlineStr">
        <is>
          <t>ទំនិញតូចៗ</t>
        </is>
      </c>
    </row>
    <row r="571" ht="15.75" customHeight="1" s="305">
      <c r="A571" s="3" t="inlineStr">
        <is>
          <t>home.hanhtrinh</t>
        </is>
      </c>
      <c r="B571" s="3" t="inlineStr">
        <is>
          <t>Hành trình</t>
        </is>
      </c>
      <c r="C571" s="3" t="inlineStr">
        <is>
          <t>Route tracking</t>
        </is>
      </c>
      <c r="D571" s="3">
        <f>IFERROR(__xludf.DUMMYFUNCTION("GOOGLETRANSLATE(B571,""vi"",""km"")"),"ដំណើរកម្សាន្ត")</f>
        <v/>
      </c>
      <c r="E571" s="3" t="inlineStr">
        <is>
          <t>ចេញដំណើរ</t>
        </is>
      </c>
      <c r="F571" s="3" t="n"/>
      <c r="G571" s="3" t="inlineStr">
        <is>
          <t>ដំណើរឆ្លងកាត់បញ្ញើ</t>
        </is>
      </c>
      <c r="H571" t="inlineStr">
        <is>
          <t>ដំណើរឆ្លងកាត់បញ្ញើ</t>
        </is>
      </c>
      <c r="I571" s="217" t="inlineStr">
        <is>
          <t>"home.hanhtrinh": "ដំណើរឆ្លងកាត់បញ្ញើ",</t>
        </is>
      </c>
      <c r="N571" s="3" t="inlineStr">
        <is>
          <t>តាមដានដំណើរ</t>
        </is>
      </c>
    </row>
    <row r="572" ht="15.75" customHeight="1" s="305">
      <c r="A572" s="3" t="inlineStr">
        <is>
          <t>traCuu.hanhTrinh</t>
        </is>
      </c>
      <c r="B572" s="3" t="inlineStr">
        <is>
          <t>HÀNH TRÌNH</t>
        </is>
      </c>
      <c r="C572" s="3" t="inlineStr">
        <is>
          <t>TRACKING INFORMATION</t>
        </is>
      </c>
      <c r="D572" s="3">
        <f>IFERROR(__xludf.DUMMYFUNCTION("GOOGLETRANSLATE(B572,""vi"",""km"")"),"ដំណើរកម្សាន្ត")</f>
        <v/>
      </c>
      <c r="E572" s="3" t="inlineStr">
        <is>
          <t>ចេញដំណើរ</t>
        </is>
      </c>
      <c r="F572" s="3" t="n"/>
      <c r="G572" s="3" t="inlineStr">
        <is>
          <t>ដំណើរការ</t>
        </is>
      </c>
      <c r="H572" t="inlineStr">
        <is>
          <t>ដំណើរការ</t>
        </is>
      </c>
      <c r="I572" s="217" t="inlineStr">
        <is>
          <t>"traCuu.hanhTrinh": "ដំណើរការ",</t>
        </is>
      </c>
      <c r="N572" s="3" t="inlineStr">
        <is>
          <t>ដំណើរបញ្ញើ</t>
        </is>
      </c>
    </row>
    <row r="573" ht="15.75" customHeight="1" s="305">
      <c r="A573" s="3" t="inlineStr">
        <is>
          <t>tms.hanhTrinh</t>
        </is>
      </c>
      <c r="B573" s="3" t="inlineStr">
        <is>
          <t>Hành trình</t>
        </is>
      </c>
      <c r="C573" s="3" t="inlineStr">
        <is>
          <t>Journey</t>
        </is>
      </c>
      <c r="D573" s="3">
        <f>IFERROR(__xludf.DUMMYFUNCTION("GOOGLETRANSLATE(B573,""vi"",""km"")"),"ដំណើរកម្សាន្ត")</f>
        <v/>
      </c>
      <c r="E573" s="3" t="inlineStr">
        <is>
          <t>ចេញដំណើរ</t>
        </is>
      </c>
      <c r="F573" s="3" t="n"/>
      <c r="G573" s="3" t="inlineStr">
        <is>
          <t>ដំណើរឆ្លងកាត់បញ្ញើ</t>
        </is>
      </c>
      <c r="H573" t="inlineStr">
        <is>
          <t>ដំណើរឆ្លងកាត់បញ្ញើ</t>
        </is>
      </c>
      <c r="I573" s="217" t="inlineStr">
        <is>
          <t>"tms.hanhTrinh": "ដំណើរឆ្លងកាត់បញ្ញើ",</t>
        </is>
      </c>
      <c r="N573" s="3" t="inlineStr"/>
    </row>
    <row r="574" ht="15.75" customHeight="1" s="305">
      <c r="A574" s="3" t="inlineStr">
        <is>
          <t>registerSuccess.content</t>
        </is>
      </c>
      <c r="B574" s="3" t="inlineStr">
        <is>
          <t>Hãy bắt đầu trải nghiệm những dịch vụ tuyệt vời của Metfone Express!</t>
        </is>
      </c>
      <c r="C574" s="3" t="inlineStr">
        <is>
          <t>Let's enjoy the excellent service with Metfone Express!</t>
        </is>
      </c>
      <c r="D574" s="3">
        <f>IFERROR(__xludf.DUMMYFUNCTION("GOOGLETRANSLATE(B574,""vi"",""km"")"),"ចាប់ផ្តើមទទួលបទពិសោធន៍សេវាកម្មដ៏អស្ចារ្យរបស់ Metfone Express ឥឡូវនេះ!")</f>
        <v/>
      </c>
      <c r="E574" s="3" t="inlineStr">
        <is>
          <t>ចាប់ផ្តើមទទួលសេវាកម្មដ៏អស្ចារ្យរបស់ Metfone Express ឥឡូវនេះ!</t>
        </is>
      </c>
      <c r="F574" s="3" t="n"/>
      <c r="G574" s="3" t="inlineStr">
        <is>
          <t>ចាប់ផ្តើមទទួលសេវាកម្មដ៏អស្ចារ្យរបស់ Metfone Express ឥឡូវនេះ!</t>
        </is>
      </c>
      <c r="H574" t="inlineStr">
        <is>
          <t>ចាប់ផ្តើមទទួលសេវាកម្មដ៏អស្ចារ្យរបស់ Metfone Express ឥឡូវនេះ!</t>
        </is>
      </c>
      <c r="I574" s="217" t="inlineStr">
        <is>
          <t>"registerSuccess.content": "ចាប់ផ្តើមទទួលសេវាកម្មដ៏អស្ចារ្យរបស់ Metfone Express ឥឡូវនេះ!",</t>
        </is>
      </c>
      <c r="N574" s="3" t="inlineStr">
        <is>
          <t>តោះចាប់ផ្តើមទទួលយកសេវាកម្មដ៏អស្ចារ្យរបស់ Metfone Express!</t>
        </is>
      </c>
    </row>
    <row r="575" ht="15.75" customHeight="1" s="305">
      <c r="A575" s="3" t="inlineStr">
        <is>
          <t>suaDon.emptyBill</t>
        </is>
      </c>
      <c r="B575" s="3" t="inlineStr">
        <is>
          <t>Hãy nhập mã đơn hàng hoặc quét để sửa đơn!</t>
        </is>
      </c>
      <c r="C575" s="3" t="inlineStr">
        <is>
          <t>Enter or scan the order ID to search!</t>
        </is>
      </c>
      <c r="D575" s="3">
        <f>IFERROR(__xludf.DUMMYFUNCTION("GOOGLETRANSLATE(B575,""vi"",""km"")"),"បញ្ចូលលេខកូដបញ្ជាទិញរបស់អ្នក ឬស្កេនវាដើម្បីកែសម្រួលការបញ្ជាទិញរបស់អ្នក!")</f>
        <v/>
      </c>
      <c r="E575" s="3" t="inlineStr">
        <is>
          <t>បញ្ចូលលេខកូដបុងបញ្ញើ របស់អ្នក ឬស្កេនដើម្បីកែសម្រួលបុងរបស់អ្នក!</t>
        </is>
      </c>
      <c r="F575" s="3" t="n"/>
      <c r="G575" s="3" t="inlineStr">
        <is>
          <t>បញ្ចូលលេខកូដបុងបញ្ញើ របស់អ្នក ឬស្កេនដើម្បីកែសម្រួលបុងរបស់អ្នក!</t>
        </is>
      </c>
      <c r="H575" t="inlineStr">
        <is>
          <t>បញ្ចូលលេខកូដបុងបញ្ញើ របស់អ្នក ឬស្កេនដើម្បីកែសម្រួលបុងរបស់អ្នក!</t>
        </is>
      </c>
      <c r="I575" s="217" t="inlineStr">
        <is>
          <t>"suaDon.emptyBill": "បញ្ចូលលេខកូដបុងបញ្ញើ របស់អ្នក ឬស្កេនដើម្បីកែសម្រួលបុងរបស់អ្នក!",</t>
        </is>
      </c>
      <c r="N575" s="3" t="inlineStr">
        <is>
          <t>សូមបញ្ចូលលេខកូដកញ្ចប់បញ្ញើ ឬស្កេនដើម្បីកែសម្រួលកញ្ចប់បញ្ញើ!</t>
        </is>
      </c>
    </row>
    <row r="576" ht="15.75" customHeight="1" s="305">
      <c r="A576" s="3" t="inlineStr">
        <is>
          <t>mainStatus.420</t>
        </is>
      </c>
      <c r="B576" s="3" t="inlineStr">
        <is>
          <t>Hẹn giao lại</t>
        </is>
      </c>
      <c r="C576" s="3" t="inlineStr">
        <is>
          <t>Ship again</t>
        </is>
      </c>
      <c r="D576" s="3">
        <f>IFERROR(__xludf.DUMMYFUNCTION("GOOGLETRANSLATE(B576,""vi"",""km"")"),"ការដឹកជញ្ជូនត្រូវបានកំណត់ពេលឡើងវិញ")</f>
        <v/>
      </c>
      <c r="E576" s="3" t="inlineStr">
        <is>
          <t>កំណត់ពេលដឹកជញ្ជូនឡើងវិញ</t>
        </is>
      </c>
      <c r="F576" s="3" t="n"/>
      <c r="G576" s="3" t="inlineStr">
        <is>
          <t>ណាត់ពេលដឹកជញ្ជូនម្តងទៀត</t>
        </is>
      </c>
      <c r="H576" t="inlineStr">
        <is>
          <t>ណាត់ពេលដឹកជញ្ជូនម្តងទៀត</t>
        </is>
      </c>
      <c r="I576" s="217" t="inlineStr">
        <is>
          <t>"mainStatus.420": "ណាត់ពេលដឹកជញ្ជូនម្តងទៀត",</t>
        </is>
      </c>
      <c r="N576" s="3" t="inlineStr">
        <is>
          <t>ណាត់ប្រគល់ទំនិញពេលក្រោយ</t>
        </is>
      </c>
    </row>
    <row r="577" ht="15.75" customHeight="1" s="305">
      <c r="A577" s="3" t="inlineStr">
        <is>
          <t>mainStatus.220</t>
        </is>
      </c>
      <c r="B577" s="3" t="inlineStr">
        <is>
          <t>Hẹn lấy hàng</t>
        </is>
      </c>
      <c r="C577" s="3" t="inlineStr">
        <is>
          <t>Receive again</t>
        </is>
      </c>
      <c r="D577" s="3">
        <f>IFERROR(__xludf.DUMMYFUNCTION("GOOGLETRANSLATE(B577,""vi"",""km"")"),"រៀបចំ​ឲ្យ​ទៅ​យក​ទំនិញ។")</f>
        <v/>
      </c>
      <c r="E577" s="3" t="inlineStr">
        <is>
          <t>កំណត់ពេលទៅយក</t>
        </is>
      </c>
      <c r="F577" s="3" t="n"/>
      <c r="G577" s="3" t="inlineStr">
        <is>
          <t>កំណត់ពេលទៅយកអីវ៉ាន់</t>
        </is>
      </c>
      <c r="H577" t="inlineStr">
        <is>
          <t>កំណត់ពេលទៅយកអីវ៉ាន់</t>
        </is>
      </c>
      <c r="I577" s="217" t="inlineStr">
        <is>
          <t>"mainStatus.220": "កំណត់ពេលទៅយកអីវ៉ាន់",</t>
        </is>
      </c>
      <c r="N577" s="3" t="inlineStr">
        <is>
          <t>ណាត់ទទួលទំនិញពេលក្រោយ</t>
        </is>
      </c>
    </row>
    <row r="578" ht="15.75" customHeight="1" s="305">
      <c r="A578" s="3" t="inlineStr">
        <is>
          <t>nhanHang.appointmentToGetItBack</t>
        </is>
      </c>
      <c r="B578" s="3" t="inlineStr">
        <is>
          <t>Hẹn lấy lại</t>
        </is>
      </c>
      <c r="C578" s="3" t="inlineStr">
        <is>
          <t xml:space="preserve">Pickup reschedule </t>
        </is>
      </c>
      <c r="D578" s="3">
        <f>IFERROR(__xludf.DUMMYFUNCTION("GOOGLETRANSLATE(B578,""vi"",""km"")"),"ជួបគ្នាម្តងទៀត")</f>
        <v/>
      </c>
      <c r="E578" s="3" t="inlineStr">
        <is>
          <t>កំណត់ពេលទៅយកឡើងវិញ</t>
        </is>
      </c>
      <c r="F578" s="3" t="n"/>
      <c r="G578" s="3" t="inlineStr">
        <is>
          <t>ណាត់ពេលទៅយកម្តងទៀត</t>
        </is>
      </c>
      <c r="H578" t="inlineStr">
        <is>
          <t>ណាត់ពេលទៅយកម្តងទៀត</t>
        </is>
      </c>
      <c r="I578" s="217" t="inlineStr">
        <is>
          <t>"nhanHang.appointmentToGetItBack": "ណាត់ពេលទៅយកម្តងទៀត",</t>
        </is>
      </c>
      <c r="N578" s="3" t="inlineStr">
        <is>
          <t>កំណត់ពេលយកទំនិញវិញ</t>
        </is>
      </c>
    </row>
    <row r="579" ht="15.75" customHeight="1" s="305">
      <c r="A579" s="3" t="inlineStr">
        <is>
          <t>GiaoHang.titleUpdateStatusRescheduleDelivery</t>
        </is>
      </c>
      <c r="B579" s="3" t="inlineStr">
        <is>
          <t>Hẹn phát lại</t>
        </is>
      </c>
      <c r="C579" s="3" t="inlineStr">
        <is>
          <t xml:space="preserve">Reschedule delivery </t>
        </is>
      </c>
      <c r="D579" s="3">
        <f>IFERROR(__xludf.DUMMYFUNCTION("GOOGLETRANSLATE(B579,""vi"",""km"")"),"កំណត់ពេលចាក់ឡើងវិញ")</f>
        <v/>
      </c>
      <c r="E579" s="3" t="inlineStr">
        <is>
          <t>កំណត់ពេលដឹកជញ្ជូនឡើងវិញ</t>
        </is>
      </c>
      <c r="F579" s="3" t="n"/>
      <c r="G579" s="3" t="inlineStr">
        <is>
          <t>កំណត់ពេលប្រគល់ម្តងទៀត</t>
        </is>
      </c>
      <c r="H579" t="inlineStr">
        <is>
          <t>កំណត់ពេលប្រគល់ម្តងទៀត</t>
        </is>
      </c>
      <c r="I579" s="217" t="inlineStr">
        <is>
          <t>"GiaoHang.titleUpdateStatusRescheduleDelivery": "កំណត់ពេលប្រគល់ម្តងទៀត",</t>
        </is>
      </c>
      <c r="N579" s="163" t="inlineStr">
        <is>
          <t>កំណត់ពេលចែកចាយឡើងវិញ</t>
        </is>
      </c>
    </row>
    <row r="580" ht="15.75" customHeight="1" s="305">
      <c r="A580" s="3" t="inlineStr">
        <is>
          <t>GiaoHang.titleUpdateStatusRescheduleReturn</t>
        </is>
      </c>
      <c r="B580" s="3" t="inlineStr">
        <is>
          <t>Hẹn trả hàng</t>
        </is>
      </c>
      <c r="C580" s="3" t="inlineStr">
        <is>
          <t>Update return name</t>
        </is>
      </c>
      <c r="D580" s="3">
        <f>IFERROR(__xludf.DUMMYFUNCTION("GOOGLETRANSLATE(B580,""vi"",""km"")"),"កំណត់ពេលដឹកជញ្ជូន")</f>
        <v/>
      </c>
      <c r="E580" s="3" t="inlineStr">
        <is>
          <t>កំណត់ពេលប្រគល់មកវិញ</t>
        </is>
      </c>
      <c r="F580" s="3" t="n"/>
      <c r="G580" s="3" t="inlineStr">
        <is>
          <t>ណាត់ពេលប្រគល់ត្រឡប់ម្តងទៀត</t>
        </is>
      </c>
      <c r="H580" t="inlineStr">
        <is>
          <t>ណាត់ពេលប្រគល់ត្រឡប់ម្តងទៀត</t>
        </is>
      </c>
      <c r="I580" s="217" t="inlineStr">
        <is>
          <t>"GiaoHang.titleUpdateStatusRescheduleReturn": "ណាត់ពេលប្រគល់ត្រឡប់ម្តងទៀត",</t>
        </is>
      </c>
      <c r="N580" s="163" t="inlineStr">
        <is>
          <t>ធ្វើបច្ចុប្បន្នភាពឈ្មោះត្រឡប់មកវិញ</t>
        </is>
      </c>
    </row>
    <row r="581" ht="15.75" customHeight="1" s="305">
      <c r="A581" s="3" t="inlineStr">
        <is>
          <t>mainStatus.530</t>
        </is>
      </c>
      <c r="B581" s="3" t="inlineStr">
        <is>
          <t>Hẹn trả hàng</t>
        </is>
      </c>
      <c r="C581" s="3" t="inlineStr">
        <is>
          <t>Return again</t>
        </is>
      </c>
      <c r="D581" s="3">
        <f>IFERROR(__xludf.DUMMYFUNCTION("GOOGLETRANSLATE(B581,""vi"",""km"")"),"កំណត់ពេលដឹកជញ្ជូន")</f>
        <v/>
      </c>
      <c r="E581" s="3" t="inlineStr">
        <is>
          <t>កំណត់ពេលប្រគល់មកវិញ</t>
        </is>
      </c>
      <c r="F581" s="3" t="n"/>
      <c r="G581" s="3" t="inlineStr">
        <is>
          <t>ណាត់ពេលប្រគល់ត្រឡប់ម្តងទៀត</t>
        </is>
      </c>
      <c r="H581" t="inlineStr">
        <is>
          <t>ណាត់ពេលប្រគល់ត្រឡប់ម្តងទៀត</t>
        </is>
      </c>
      <c r="I581" s="217" t="inlineStr">
        <is>
          <t>"mainStatus.530": "ណាត់ពេលប្រគល់ត្រឡប់ម្តងទៀត",</t>
        </is>
      </c>
      <c r="N581" s="3" t="inlineStr">
        <is>
          <t>ណាត់ប្រគល់ទំនិញ</t>
        </is>
      </c>
    </row>
    <row r="582" ht="15.75" customHeight="1" s="305">
      <c r="A582" s="3" t="inlineStr">
        <is>
          <t>debit.payemnt_type</t>
        </is>
      </c>
      <c r="B582" s="3" t="inlineStr">
        <is>
          <t>Hình thức thanh toán</t>
        </is>
      </c>
      <c r="C582" s="3" t="inlineStr">
        <is>
          <t>Payment interface</t>
        </is>
      </c>
      <c r="D582" s="3">
        <f>IFERROR(__xludf.DUMMYFUNCTION("GOOGLETRANSLATE(B582,""vi"",""km"")"),"វិធីសាស្ត្រទូទាត់")</f>
        <v/>
      </c>
      <c r="E582" s="3" t="inlineStr">
        <is>
          <t>វិធីបង់ប្រាក់</t>
        </is>
      </c>
      <c r="F582" s="3" t="n"/>
      <c r="G582" s="3" t="inlineStr">
        <is>
          <t>វិធីសាស្រ្តទូទាត់</t>
        </is>
      </c>
      <c r="H582" t="inlineStr">
        <is>
          <t>វិធីសាស្រ្តទូទាត់</t>
        </is>
      </c>
      <c r="I582" s="217" t="inlineStr">
        <is>
          <t>"debit.payemnt_type": "វិធីសាស្រ្តទូទាត់",</t>
        </is>
      </c>
      <c r="N582" s="3" t="inlineStr">
        <is>
          <t>របៀបទូទាត់</t>
        </is>
      </c>
    </row>
    <row r="583" ht="15.75" customHeight="1" s="305">
      <c r="A583" s="3" t="inlineStr">
        <is>
          <t>nhanHang.payment_method</t>
        </is>
      </c>
      <c r="B583" s="3" t="inlineStr">
        <is>
          <t>Hình thức thanh toán cước</t>
        </is>
      </c>
      <c r="C583" s="3" t="inlineStr">
        <is>
          <t>Payment method</t>
        </is>
      </c>
      <c r="D583" s="3">
        <f>IFERROR(__xludf.DUMMYFUNCTION("GOOGLETRANSLATE(B583,""vi"",""km"")"),"វិធីសាស្ត្រទូទាត់")</f>
        <v/>
      </c>
      <c r="E583" s="3" t="inlineStr">
        <is>
          <t>វិធីបង់ប្រាក់សេវា</t>
        </is>
      </c>
      <c r="F583" s="3" t="n"/>
      <c r="G583" s="3" t="inlineStr">
        <is>
          <t>វិធីបង់ថ្លៃសេវា</t>
        </is>
      </c>
      <c r="H583" t="inlineStr">
        <is>
          <t>វិធីបង់ថ្លៃសេវា</t>
        </is>
      </c>
      <c r="I583" s="217" t="inlineStr">
        <is>
          <t>"nhanHang.payment_method": "វិធីបង់ថ្លៃសេវា",</t>
        </is>
      </c>
      <c r="N583" s="3" t="inlineStr"/>
    </row>
    <row r="584" ht="15.75" customHeight="1" s="305">
      <c r="A584" s="3" t="inlineStr">
        <is>
          <t>taoDon.fullName</t>
        </is>
      </c>
      <c r="B584" s="3" t="inlineStr">
        <is>
          <t>Họ tên</t>
        </is>
      </c>
      <c r="C584" s="3" t="inlineStr">
        <is>
          <t>Full name</t>
        </is>
      </c>
      <c r="D584" s="3">
        <f>IFERROR(__xludf.DUMMYFUNCTION("GOOGLETRANSLATE(B584,""vi"",""km"")"),"ឈ្មោះពេញ")</f>
        <v/>
      </c>
      <c r="E584" s="3" t="inlineStr">
        <is>
          <t>នាមត្រកូល</t>
        </is>
      </c>
      <c r="F584" s="3" t="n"/>
      <c r="G584" s="3" t="inlineStr">
        <is>
          <t>ឈ្មោះពេញ</t>
        </is>
      </c>
      <c r="H584" t="inlineStr">
        <is>
          <t>ឈ្មោះពេញ</t>
        </is>
      </c>
      <c r="I584" s="217" t="inlineStr">
        <is>
          <t>"taoDon.fullName": "ឈ្មោះពេញ",</t>
        </is>
      </c>
      <c r="N584" s="3" t="inlineStr">
        <is>
          <t>ឈ្មោះពេញ</t>
        </is>
      </c>
    </row>
    <row r="585" ht="15.75" customHeight="1" s="305">
      <c r="A585" s="3" t="inlineStr">
        <is>
          <t>error.nullName</t>
        </is>
      </c>
      <c r="B585" s="3" t="inlineStr">
        <is>
          <t>Họ tên không được để trống</t>
        </is>
      </c>
      <c r="C585" s="3" t="inlineStr">
        <is>
          <t>Full name is required</t>
        </is>
      </c>
      <c r="D585" s="3">
        <f>IFERROR(__xludf.DUMMYFUNCTION("GOOGLETRANSLATE(B585,""vi"",""km"")"),"ឈ្មោះពេញមិនត្រូវទុកចោលទទេទេ។")</f>
        <v/>
      </c>
      <c r="E585" s="3" t="inlineStr">
        <is>
          <t>នាមត្រកូលមិនអាចទុកឲ្យនៅចន្លោះបានទេ</t>
        </is>
      </c>
      <c r="F585" s="3" t="n"/>
      <c r="G585" s="3" t="inlineStr">
        <is>
          <t>គោត្តនាម និងនាមមិនអាចទុកចន្លោះបានទេ</t>
        </is>
      </c>
      <c r="H585" t="inlineStr">
        <is>
          <t>គោត្តនាម និងនាមមិនអាចទុកចន្លោះបានទេ</t>
        </is>
      </c>
      <c r="I585" s="217" t="inlineStr">
        <is>
          <t>"error.nullName": "គោត្តនាម និងនាមមិនអាចទុកចន្លោះបានទេ",</t>
        </is>
      </c>
      <c r="N585" s="3" t="inlineStr">
        <is>
          <t>ឈ្មោះមិនអាចទទេបានទេ</t>
        </is>
      </c>
    </row>
    <row r="586" ht="15.75" customHeight="1" s="305">
      <c r="A586" s="3" t="inlineStr">
        <is>
          <t>taoDon.senderNameRequired</t>
        </is>
      </c>
      <c r="B586" s="3" t="inlineStr">
        <is>
          <t>Họ tên người gửi không được để trống</t>
        </is>
      </c>
      <c r="C586" s="3" t="inlineStr">
        <is>
          <t>Sender's full name is required</t>
        </is>
      </c>
      <c r="D586" s="3">
        <f>IFERROR(__xludf.DUMMYFUNCTION("GOOGLETRANSLATE(B586,""vi"",""km"")"),"ឈ្មោះអ្នកផ្ញើមិនត្រូវទុកចោលឱ្យនៅទទេឡើយ។")</f>
        <v/>
      </c>
      <c r="E586" s="3" t="inlineStr">
        <is>
          <t>នាមត្រកូលរបស់អ្នកផ្ញើមិនអាចទុកឲ្យទទេបានទេ</t>
        </is>
      </c>
      <c r="F586" s="3" t="n"/>
      <c r="G586" s="3" t="inlineStr">
        <is>
          <t>គោត្តនាម និងនាមអ្នកផ្ញើមិនអាចទុកចន្លោះបានទេ</t>
        </is>
      </c>
      <c r="H586" t="inlineStr">
        <is>
          <t>គោត្តនាម និងនាមអ្នកផ្ញើមិនអាចទុកចន្លោះបានទេ</t>
        </is>
      </c>
      <c r="I586" s="217" t="inlineStr">
        <is>
          <t>"taoDon.senderNameRequired": "គោត្តនាម និងនាមអ្នកផ្ញើមិនអាចទុកចន្លោះបានទេ",</t>
        </is>
      </c>
      <c r="N586" s="3" t="inlineStr">
        <is>
          <t>ឈ្មោះអ្នកផ្ញើមិនអាចទទេបានទេ</t>
        </is>
      </c>
    </row>
    <row r="587" ht="15.75" customHeight="1" s="305">
      <c r="A587" s="3" t="inlineStr">
        <is>
          <t>taoDon.recipientNamerequired</t>
        </is>
      </c>
      <c r="B587" s="3" t="inlineStr">
        <is>
          <t>Họ tên người nhận không được để trống</t>
        </is>
      </c>
      <c r="C587" s="3" t="inlineStr">
        <is>
          <t>Recipient's full name is required</t>
        </is>
      </c>
      <c r="D587" s="3">
        <f>IFERROR(__xludf.DUMMYFUNCTION("GOOGLETRANSLATE(B587,""vi"",""km"")"),"ឈ្មោះអ្នកទទួលមិនអាចទុកចោលឱ្យនៅទទេបានទេ។")</f>
        <v/>
      </c>
      <c r="E587" s="3" t="inlineStr">
        <is>
          <t>នាមត្រកូលរបស់អ្នកទទួលមិនអាចទុកឲ្យទទេបានទេ</t>
        </is>
      </c>
      <c r="F587" s="3" t="n"/>
      <c r="G587" s="3" t="inlineStr">
        <is>
          <t>គោត្តនាម និងនាមអ្នកទទួលមិនអាចទុកចន្លោះបានទេ</t>
        </is>
      </c>
      <c r="H587" t="inlineStr">
        <is>
          <t>គោត្តនាម និងនាមអ្នកទទួលមិនអាចទុកចន្លោះបានទេ</t>
        </is>
      </c>
      <c r="I587" s="217" t="inlineStr">
        <is>
          <t>"taoDon.recipientNamerequired": "គោត្តនាម និងនាមអ្នកទទួលមិនអាចទុកចន្លោះបានទេ",</t>
        </is>
      </c>
      <c r="N587" s="3" t="inlineStr">
        <is>
          <t>ឈ្មោះអ្នកទទួលមិនអាចទទេបានទេ</t>
        </is>
      </c>
    </row>
    <row r="588" ht="15.75" customHeight="1" s="305">
      <c r="A588" s="3" t="inlineStr">
        <is>
          <t>register.username</t>
        </is>
      </c>
      <c r="B588" s="3" t="inlineStr">
        <is>
          <t>Họ và tên</t>
        </is>
      </c>
      <c r="C588" s="3" t="inlineStr">
        <is>
          <t>Full name</t>
        </is>
      </c>
      <c r="D588" s="3">
        <f>IFERROR(__xludf.DUMMYFUNCTION("GOOGLETRANSLATE(B588,""vi"",""km"")"),"ឈ្មោះពេញ")</f>
        <v/>
      </c>
      <c r="E588" s="3" t="inlineStr">
        <is>
          <t>នាមត្រកូល</t>
        </is>
      </c>
      <c r="F588" s="3" t="n"/>
      <c r="G588" s="3" t="inlineStr">
        <is>
          <t>ឈ្មោះពេញ</t>
        </is>
      </c>
      <c r="H588" t="inlineStr">
        <is>
          <t>ឈ្មោះពេញ</t>
        </is>
      </c>
      <c r="I588" s="217" t="inlineStr">
        <is>
          <t>"register.username": "ឈ្មោះពេញ",</t>
        </is>
      </c>
      <c r="N588" s="3" t="inlineStr">
        <is>
          <t>នាមត្រកូល​និង​ឈ្មោះ</t>
        </is>
      </c>
    </row>
    <row r="589" ht="15.75" customHeight="1" s="305">
      <c r="A589" s="3" t="inlineStr">
        <is>
          <t>nhanHang.hoatocLabel</t>
        </is>
      </c>
      <c r="B589" s="3" t="inlineStr">
        <is>
          <t>Hoả tốc</t>
        </is>
      </c>
      <c r="C589" s="3" t="inlineStr">
        <is>
          <t>Urgent</t>
        </is>
      </c>
      <c r="D589" s="3">
        <f>IFERROR(__xludf.DUMMYFUNCTION("GOOGLETRANSLATE(B589,""vi"",""km"")"),"រហ័ស")</f>
        <v/>
      </c>
      <c r="E589" s="3" t="inlineStr">
        <is>
          <t>រហ័ស</t>
        </is>
      </c>
      <c r="F589" s="3" t="n"/>
      <c r="G589" s="3" t="inlineStr">
        <is>
          <t>រហ័ស</t>
        </is>
      </c>
      <c r="H589" t="inlineStr">
        <is>
          <t>រហ័ស</t>
        </is>
      </c>
      <c r="I589" s="217" t="inlineStr">
        <is>
          <t>"nhanHang.hoatocLabel": "រហ័ស",</t>
        </is>
      </c>
      <c r="N589" s="3" t="inlineStr">
        <is>
          <t>បន្ទាន់ខ្លាំង</t>
        </is>
      </c>
    </row>
    <row r="590" ht="15.75" customHeight="1" s="305">
      <c r="A590" s="3" t="inlineStr">
        <is>
          <t>login.or</t>
        </is>
      </c>
      <c r="B590" s="3" t="inlineStr">
        <is>
          <t>Hoặc</t>
        </is>
      </c>
      <c r="C590" s="3" t="inlineStr">
        <is>
          <t>Or</t>
        </is>
      </c>
      <c r="D590" s="3">
        <f>IFERROR(__xludf.DUMMYFUNCTION("GOOGLETRANSLATE(B590,""vi"",""km"")"),"ឬ")</f>
        <v/>
      </c>
      <c r="E590" s="3" t="inlineStr">
        <is>
          <t>ឬ</t>
        </is>
      </c>
      <c r="F590" s="3" t="n"/>
      <c r="G590" s="3" t="inlineStr">
        <is>
          <t>ឬ</t>
        </is>
      </c>
      <c r="H590" t="inlineStr">
        <is>
          <t>ឬ</t>
        </is>
      </c>
      <c r="I590" s="217" t="inlineStr">
        <is>
          <t>"login.or": "ឬ",</t>
        </is>
      </c>
      <c r="N590" s="3" t="inlineStr">
        <is>
          <t>ឬ</t>
        </is>
      </c>
    </row>
    <row r="591" ht="15.75" customHeight="1" s="305">
      <c r="A591" s="3" t="inlineStr">
        <is>
          <t>banGiao.complete</t>
        </is>
      </c>
      <c r="B591" s="3" t="inlineStr">
        <is>
          <t>Hoàn thành</t>
        </is>
      </c>
      <c r="C591" s="3" t="inlineStr">
        <is>
          <t>Complete</t>
        </is>
      </c>
      <c r="D591" s="3">
        <f>IFERROR(__xludf.DUMMYFUNCTION("GOOGLETRANSLATE(B591,""vi"",""km"")"),"ពេញលេញ")</f>
        <v/>
      </c>
      <c r="E591" s="3" t="inlineStr">
        <is>
          <t>បានបញ្ចប់</t>
        </is>
      </c>
      <c r="F591" s="3" t="n"/>
      <c r="G591" s="3" t="inlineStr">
        <is>
          <t>បានបញ្ចប់</t>
        </is>
      </c>
      <c r="H591" t="inlineStr">
        <is>
          <t>បានបញ្ចប់</t>
        </is>
      </c>
      <c r="I591" s="217" t="inlineStr">
        <is>
          <t>"banGiao.complete": "បានបញ្ចប់",</t>
        </is>
      </c>
      <c r="N591" s="3" t="inlineStr">
        <is>
          <t>បញ្ចប់</t>
        </is>
      </c>
    </row>
    <row r="592" ht="15.75" customHeight="1" s="305">
      <c r="A592" s="3" t="inlineStr">
        <is>
          <t>DongTai.complete</t>
        </is>
      </c>
      <c r="B592" s="3" t="inlineStr">
        <is>
          <t>Hoàn thành</t>
        </is>
      </c>
      <c r="C592" s="3" t="inlineStr">
        <is>
          <t>Complete</t>
        </is>
      </c>
      <c r="D592" s="3">
        <f>IFERROR(__xludf.DUMMYFUNCTION("GOOGLETRANSLATE(B592,""vi"",""km"")"),"ពេញលេញ")</f>
        <v/>
      </c>
      <c r="E592" s="3" t="inlineStr">
        <is>
          <t>បានបញ្ចប់</t>
        </is>
      </c>
      <c r="F592" s="3" t="n"/>
      <c r="G592" s="3" t="inlineStr">
        <is>
          <t>បានបញ្ចប់</t>
        </is>
      </c>
      <c r="H592" t="inlineStr">
        <is>
          <t>បានបញ្ចប់</t>
        </is>
      </c>
      <c r="I592" s="217" t="inlineStr">
        <is>
          <t>"DongTai.complete": "បានបញ្ចប់",</t>
        </is>
      </c>
      <c r="N592" s="3" t="inlineStr">
        <is>
          <t>បញ្ចប់</t>
        </is>
      </c>
    </row>
    <row r="593" ht="15.75" customHeight="1" s="305">
      <c r="A593" s="3" t="inlineStr">
        <is>
          <t>tms.hoanThanh</t>
        </is>
      </c>
      <c r="B593" s="3" t="inlineStr">
        <is>
          <t>Hoàn thành</t>
        </is>
      </c>
      <c r="C593" s="3" t="inlineStr">
        <is>
          <t>Completed</t>
        </is>
      </c>
      <c r="D593" s="3">
        <f>IFERROR(__xludf.DUMMYFUNCTION("GOOGLETRANSLATE(B593,""vi"",""km"")"),"ពេញលេញ")</f>
        <v/>
      </c>
      <c r="E593" s="3" t="inlineStr">
        <is>
          <t>បានបញ្ចប់</t>
        </is>
      </c>
      <c r="F593" s="3" t="n"/>
      <c r="G593" s="3" t="inlineStr">
        <is>
          <t>បានបញ្ចប់</t>
        </is>
      </c>
      <c r="H593" t="inlineStr">
        <is>
          <t>បានបញ្ចប់</t>
        </is>
      </c>
      <c r="I593" s="217" t="inlineStr">
        <is>
          <t>"tms.hoanThanh": "បានបញ្ចប់",</t>
        </is>
      </c>
      <c r="N593" s="3" t="inlineStr"/>
    </row>
    <row r="594" ht="15.75" customHeight="1" s="305">
      <c r="A594" s="3" t="inlineStr">
        <is>
          <t>banGiao.messageCompleteHandover</t>
        </is>
      </c>
      <c r="B594" s="3" t="inlineStr">
        <is>
          <t>Hoàn thành bàn giao thành công</t>
        </is>
      </c>
      <c r="C594" s="3" t="inlineStr">
        <is>
          <t>Complete handover successfully</t>
        </is>
      </c>
      <c r="D594" s="3">
        <f>IFERROR(__xludf.DUMMYFUNCTION("GOOGLETRANSLATE(B594,""vi"",""km"")"),"ការប្រគល់បានបញ្ចប់ដោយជោគជ័យ។")</f>
        <v/>
      </c>
      <c r="E594" s="3" t="inlineStr">
        <is>
          <t>ការប្រគល់បានបញ្ចប់ដោយជោគជ័យ</t>
        </is>
      </c>
      <c r="F594" s="3" t="n"/>
      <c r="G594" s="3" t="inlineStr">
        <is>
          <t>ការប្រគល់អីវ៉ាន់បានបញ្ចប់ដោយជោគជ័យ</t>
        </is>
      </c>
      <c r="H594" t="inlineStr">
        <is>
          <t>ការប្រគល់អីវ៉ាន់បានបញ្ចប់ដោយជោគជ័យ</t>
        </is>
      </c>
      <c r="I594" s="217" t="inlineStr">
        <is>
          <t>"banGiao.messageCompleteHandover": "ការប្រគល់អីវ៉ាន់បានបញ្ចប់ដោយជោគជ័យ",</t>
        </is>
      </c>
      <c r="N594" s="3" t="inlineStr">
        <is>
          <t>បញ្ចប់ការផ្ញើបានជោគជ័យ</t>
        </is>
      </c>
    </row>
    <row r="595" ht="15.75" customHeight="1" s="305">
      <c r="A595" s="3" t="inlineStr">
        <is>
          <t>GiaoHang.titleTabSuccesslyRefund</t>
        </is>
      </c>
      <c r="B595" s="3" t="inlineStr">
        <is>
          <t>Hoàn thành công</t>
        </is>
      </c>
      <c r="C595" s="3" t="inlineStr">
        <is>
          <t>Successful return</t>
        </is>
      </c>
      <c r="D595" s="3">
        <f>IFERROR(__xludf.DUMMYFUNCTION("GOOGLETRANSLATE(B595,""vi"",""km"")"),"បានបញ្ចប់")</f>
        <v/>
      </c>
      <c r="E595" s="3" t="inlineStr">
        <is>
          <t>បានត្រលប់ដោយជោគជ័យ</t>
        </is>
      </c>
      <c r="F595" s="3" t="n"/>
      <c r="G595" s="3" t="inlineStr">
        <is>
          <t>បានត្រលប់ដោយជោគជ័យ</t>
        </is>
      </c>
      <c r="H595" t="inlineStr">
        <is>
          <t>បានត្រលប់ដោយជោគជ័យ</t>
        </is>
      </c>
      <c r="I595" s="217" t="inlineStr">
        <is>
          <t>"GiaoHang.titleTabSuccesslyRefund": "បានត្រលប់ដោយជោគជ័យ",</t>
        </is>
      </c>
      <c r="N595" s="3" t="inlineStr">
        <is>
          <t>សងវិញដោយជោគជ័យ</t>
        </is>
      </c>
    </row>
    <row r="596" ht="15.75" customHeight="1" s="305">
      <c r="A596" s="3" t="inlineStr">
        <is>
          <t>KiemKe.indentorySuccess</t>
        </is>
      </c>
      <c r="B596" s="3" t="inlineStr">
        <is>
          <t>Hoàn thành kiểm kê</t>
        </is>
      </c>
      <c r="C596" s="3" t="inlineStr">
        <is>
          <t xml:space="preserve">Complete </t>
        </is>
      </c>
      <c r="D596" s="3">
        <f>IFERROR(__xludf.DUMMYFUNCTION("GOOGLETRANSLATE(B596,""vi"",""km"")"),"បានបញ្ចប់សារពើភ័ណ្ឌ។")</f>
        <v/>
      </c>
      <c r="E596" s="3" t="inlineStr">
        <is>
          <t>បានបញ្ចប់ការត្រួតពិនិត្យ</t>
        </is>
      </c>
      <c r="F596" s="3" t="n"/>
      <c r="G596" s="3" t="inlineStr">
        <is>
          <t>បានបញ្ចប់ការត្រួតពិនិត្យ</t>
        </is>
      </c>
      <c r="H596" t="inlineStr">
        <is>
          <t>បានបញ្ចប់ការត្រួតពិនិត្យ</t>
        </is>
      </c>
      <c r="I596" s="217" t="inlineStr">
        <is>
          <t>"KiemKe.indentorySuccess": "បានបញ្ចប់ការត្រួតពិនិត្យ",</t>
        </is>
      </c>
      <c r="N596" s="163" t="inlineStr">
        <is>
          <t>បញ្ចប់</t>
        </is>
      </c>
    </row>
    <row r="597" ht="15.75" customHeight="1" s="305">
      <c r="A597" s="3" t="inlineStr">
        <is>
          <t>mainStatus.302</t>
        </is>
      </c>
      <c r="B597" s="3" t="inlineStr">
        <is>
          <t>Hoàn thành tải</t>
        </is>
      </c>
      <c r="C597" s="3" t="inlineStr">
        <is>
          <t>Sack completed</t>
        </is>
      </c>
      <c r="D597" s="3">
        <f>IFERROR(__xludf.DUMMYFUNCTION("GOOGLETRANSLATE(B597,""vi"",""km"")"),"ការទាញយកបានបញ្ចប់")</f>
        <v/>
      </c>
      <c r="E597" s="3" t="inlineStr">
        <is>
          <t>បានបញ្ចប់ក្នុងការដឹក</t>
        </is>
      </c>
      <c r="F597" s="3" t="n"/>
      <c r="G597" s="159" t="inlineStr">
        <is>
          <t>ច្រកបាវរួចរាល់</t>
        </is>
      </c>
      <c r="H597" t="inlineStr">
        <is>
          <t>ច្រកបាវរួចរាល់</t>
        </is>
      </c>
      <c r="I597" s="217" t="inlineStr">
        <is>
          <t>"mainStatus.302": "ច្រកបាវរួចរាល់",</t>
        </is>
      </c>
      <c r="N597" s="163" t="inlineStr">
        <is>
          <t>បាវបានបញ្ចប់</t>
        </is>
      </c>
    </row>
    <row r="598" ht="15.75" customHeight="1" s="305">
      <c r="A598" s="3" t="inlineStr">
        <is>
          <t>banGiao.completePackageSuccess</t>
        </is>
      </c>
      <c r="B598" s="3" t="inlineStr">
        <is>
          <t>Hoàn thành tải thành công</t>
        </is>
      </c>
      <c r="C598" s="3" t="inlineStr">
        <is>
          <t>Pack up the sack successfully</t>
        </is>
      </c>
      <c r="D598" s="3">
        <f>IFERROR(__xludf.DUMMYFUNCTION("GOOGLETRANSLATE(B598,""vi"",""km"")"),"ការទាញយកបានបញ្ចប់ដោយជោគជ័យ។")</f>
        <v/>
      </c>
      <c r="E598" s="3" t="inlineStr">
        <is>
          <t>បានបញ្ចប់ក្នុងការដឹកបានជោគជ័យ</t>
        </is>
      </c>
      <c r="F598" s="3" t="n"/>
      <c r="G598" s="159" t="inlineStr">
        <is>
          <t>បានបញ្ចប់ក្នុងការដឹកបានជោគជ័យ</t>
        </is>
      </c>
      <c r="H598" t="inlineStr">
        <is>
          <t>បានបញ្ចប់ក្នុងការដឹកបានជោគជ័យ</t>
        </is>
      </c>
      <c r="I598" s="217" t="inlineStr">
        <is>
          <t>"banGiao.completePackageSuccess": "បានបញ្ចប់ក្នុងការដឹកបានជោគជ័យ",</t>
        </is>
      </c>
      <c r="N598" s="3" t="inlineStr">
        <is>
          <t>បញ្ចប់ការវេចខ្ចប់ថង់បានជោគជ័យ</t>
        </is>
      </c>
    </row>
    <row r="599" ht="15.75" customHeight="1" s="305">
      <c r="A599" s="3" t="inlineStr">
        <is>
          <t>banGiao.completePackageFail</t>
        </is>
      </c>
      <c r="B599" s="3" t="inlineStr">
        <is>
          <t>Hoàn thành tải thất bại</t>
        </is>
      </c>
      <c r="C599" s="3" t="inlineStr">
        <is>
          <t xml:space="preserve">Fail to complete package </t>
        </is>
      </c>
      <c r="D599" s="3">
        <f>IFERROR(__xludf.DUMMYFUNCTION("GOOGLETRANSLATE(B599,""vi"",""km"")"),"ការទាញយកបរាជ័យ")</f>
        <v/>
      </c>
      <c r="E599" s="3" t="inlineStr">
        <is>
          <t>បានបញ្ចប់ក្នុងការដឹកបរាជ័យ</t>
        </is>
      </c>
      <c r="F599" s="3" t="n"/>
      <c r="G599" s="159" t="inlineStr">
        <is>
          <t>បានបញ្ចប់ក្នុងការដឹកបរាជ័យ</t>
        </is>
      </c>
      <c r="H599" t="inlineStr">
        <is>
          <t>បានបញ្ចប់ក្នុងការដឹកបរាជ័យ</t>
        </is>
      </c>
      <c r="I599" s="217" t="inlineStr">
        <is>
          <t>"banGiao.completePackageFail": "បានបញ្ចប់ក្នុងការដឹកបរាជ័យ",</t>
        </is>
      </c>
      <c r="N599" s="3" t="inlineStr">
        <is>
          <t>បរាជ័យក្នុងការវេចខ្ចប់ថង់</t>
        </is>
      </c>
    </row>
    <row r="600" ht="15.75" customHeight="1" s="305">
      <c r="A600" s="3" t="inlineStr">
        <is>
          <t>PhanCong.titleToday</t>
        </is>
      </c>
      <c r="B600" s="3" t="inlineStr">
        <is>
          <t>Hôm nay</t>
        </is>
      </c>
      <c r="C600" s="3" t="inlineStr">
        <is>
          <t>Today</t>
        </is>
      </c>
      <c r="D600" s="3">
        <f>IFERROR(__xludf.DUMMYFUNCTION("GOOGLETRANSLATE(B600,""vi"",""km"")"),"ថ្ងៃនេះ")</f>
        <v/>
      </c>
      <c r="E600" s="3" t="inlineStr">
        <is>
          <t>ថ្ងៃនេះ</t>
        </is>
      </c>
      <c r="F600" s="3" t="n"/>
      <c r="G600" s="3" t="inlineStr">
        <is>
          <t>ថ្ងៃនេះ</t>
        </is>
      </c>
      <c r="H600" t="inlineStr">
        <is>
          <t>ថ្ងៃនេះ</t>
        </is>
      </c>
      <c r="I600" s="217" t="inlineStr">
        <is>
          <t>"PhanCong.titleToday": "ថ្ងៃនេះ",</t>
        </is>
      </c>
      <c r="N600" s="3" t="inlineStr">
        <is>
          <t>ថ្ងៃនេះ</t>
        </is>
      </c>
    </row>
    <row r="601" ht="15.75" customHeight="1" s="305">
      <c r="A601" s="3" t="inlineStr">
        <is>
          <t>home.huongdan</t>
        </is>
      </c>
      <c r="B601" s="3" t="inlineStr">
        <is>
          <t>Hướng dẫn</t>
        </is>
      </c>
      <c r="C601" s="3" t="inlineStr">
        <is>
          <t>Guides</t>
        </is>
      </c>
      <c r="D601" s="3">
        <f>IFERROR(__xludf.DUMMYFUNCTION("GOOGLETRANSLATE(B601,""vi"",""km"")"),"ណែនាំ")</f>
        <v/>
      </c>
      <c r="E601" s="3" t="inlineStr">
        <is>
          <t>ការណែនាំ</t>
        </is>
      </c>
      <c r="F601" s="3" t="n"/>
      <c r="G601" s="3" t="inlineStr">
        <is>
          <t>ការណែនាំ</t>
        </is>
      </c>
      <c r="H601" t="inlineStr">
        <is>
          <t>ការណែនាំ</t>
        </is>
      </c>
      <c r="I601" s="217" t="inlineStr">
        <is>
          <t>"home.huongdan": "ការណែនាំ",</t>
        </is>
      </c>
      <c r="N601" s="3" t="inlineStr">
        <is>
          <t>មគ្គុទេសក៍</t>
        </is>
      </c>
    </row>
    <row r="602" ht="15.75" customHeight="1" s="305">
      <c r="A602" s="3" t="inlineStr">
        <is>
          <t>common.cancel</t>
        </is>
      </c>
      <c r="B602" s="3" t="inlineStr">
        <is>
          <t>Huỷ</t>
        </is>
      </c>
      <c r="C602" s="3" t="inlineStr">
        <is>
          <t>Cancel</t>
        </is>
      </c>
      <c r="D602" s="3">
        <f>IFERROR(__xludf.DUMMYFUNCTION("GOOGLETRANSLATE(B602,""vi"",""km"")"),"បោះបង់")</f>
        <v/>
      </c>
      <c r="E602" s="3" t="inlineStr">
        <is>
          <t>លុបចោល</t>
        </is>
      </c>
      <c r="F602" s="3" t="n"/>
      <c r="G602" s="3" t="inlineStr">
        <is>
          <t>លុបចោល</t>
        </is>
      </c>
      <c r="H602" t="inlineStr">
        <is>
          <t>លុបចោល</t>
        </is>
      </c>
      <c r="I602" s="217" t="inlineStr">
        <is>
          <t>"common.cancel": "លុបចោល",</t>
        </is>
      </c>
      <c r="N602" s="3" t="inlineStr">
        <is>
          <t>បោះបង់</t>
        </is>
      </c>
    </row>
    <row r="603" ht="15.75" customHeight="1" s="305">
      <c r="A603" s="3" t="inlineStr">
        <is>
          <t>nhanHang.cancel</t>
        </is>
      </c>
      <c r="B603" s="3" t="inlineStr">
        <is>
          <t>Huỷ</t>
        </is>
      </c>
      <c r="C603" s="3" t="inlineStr">
        <is>
          <t>Cancel</t>
        </is>
      </c>
      <c r="D603" s="3">
        <f>IFERROR(__xludf.DUMMYFUNCTION("GOOGLETRANSLATE(B603,""vi"",""km"")"),"បោះបង់")</f>
        <v/>
      </c>
      <c r="E603" s="3" t="inlineStr">
        <is>
          <t>លុបចោល</t>
        </is>
      </c>
      <c r="F603" s="3" t="n"/>
      <c r="G603" s="3" t="inlineStr">
        <is>
          <t>លុបចោល</t>
        </is>
      </c>
      <c r="H603" t="inlineStr">
        <is>
          <t>លុបចោល</t>
        </is>
      </c>
      <c r="I603" s="217" t="inlineStr">
        <is>
          <t>"nhanHang.cancel": "លុបចោល",</t>
        </is>
      </c>
      <c r="N603" s="3" t="inlineStr">
        <is>
          <t>បោះបង់</t>
        </is>
      </c>
    </row>
    <row r="604" ht="15.75" customHeight="1" s="305">
      <c r="A604" s="3" t="inlineStr">
        <is>
          <t>banGiao.cancel</t>
        </is>
      </c>
      <c r="B604" s="3" t="inlineStr">
        <is>
          <t>Huỷ</t>
        </is>
      </c>
      <c r="C604" s="3" t="inlineStr">
        <is>
          <t>Cancel</t>
        </is>
      </c>
      <c r="D604" s="3">
        <f>IFERROR(__xludf.DUMMYFUNCTION("GOOGLETRANSLATE(B604,""vi"",""km"")"),"បោះបង់")</f>
        <v/>
      </c>
      <c r="E604" s="3" t="inlineStr">
        <is>
          <t>លុបចោល</t>
        </is>
      </c>
      <c r="F604" s="3" t="n"/>
      <c r="G604" s="3" t="inlineStr">
        <is>
          <t>លុបចោល</t>
        </is>
      </c>
      <c r="H604" t="inlineStr">
        <is>
          <t>លុបចោល</t>
        </is>
      </c>
      <c r="I604" s="217" t="inlineStr">
        <is>
          <t>"banGiao.cancel": "លុបចោល",</t>
        </is>
      </c>
      <c r="N604" s="3" t="inlineStr">
        <is>
          <t>បោះបង់</t>
        </is>
      </c>
    </row>
    <row r="605" ht="15.75" customHeight="1" s="305">
      <c r="A605" s="3" t="inlineStr">
        <is>
          <t>banGiao.messageCancleHandover</t>
        </is>
      </c>
      <c r="B605" s="3" t="inlineStr">
        <is>
          <t>Hủy bàn giao thành công</t>
        </is>
      </c>
      <c r="C605" s="3" t="inlineStr">
        <is>
          <t>Cancel handover successfully</t>
        </is>
      </c>
      <c r="D605" s="3">
        <f>IFERROR(__xludf.DUMMYFUNCTION("GOOGLETRANSLATE(B605,""vi"",""km"")"),"ការលុបចោលបានជោគជ័យ")</f>
        <v/>
      </c>
      <c r="E605" s="3" t="inlineStr">
        <is>
          <t>បោះបង់ការប្រគល់បានជោគជ័យ</t>
        </is>
      </c>
      <c r="F605" s="3" t="n"/>
      <c r="G605" s="3" t="inlineStr">
        <is>
          <t>បោះបង់ការប្រគល់បានជោគជ័យ</t>
        </is>
      </c>
      <c r="H605" t="inlineStr">
        <is>
          <t>បោះបង់ការប្រគល់បានជោគជ័យ</t>
        </is>
      </c>
      <c r="I605" s="217" t="inlineStr">
        <is>
          <t>"banGiao.messageCancleHandover": "បោះបង់ការប្រគល់បានជោគជ័យ",</t>
        </is>
      </c>
      <c r="N605" s="3" t="inlineStr">
        <is>
          <t>បោះបង់ការផ្ញើបានជោគជ័យ</t>
        </is>
      </c>
    </row>
    <row r="606" ht="15.75" customHeight="1" s="305">
      <c r="A606" s="3" t="inlineStr">
        <is>
          <t>mainStatus.550</t>
        </is>
      </c>
      <c r="B606" s="3" t="inlineStr">
        <is>
          <t>Hủy bưu gửi theo yêu cầu khách hàng (áp dụng cho cả đơn phát và đơn hoàn)</t>
        </is>
      </c>
      <c r="C606" s="3" t="inlineStr">
        <is>
          <t>Cancel shipment per customer request</t>
        </is>
      </c>
      <c r="D606" s="3">
        <f>IFERROR(__xludf.DUMMYFUNCTION("GOOGLETRANSLATE(B606,""vi"",""km"")"),"ការលុបចោលការដឹកជញ្ជូនតាមការស្នើសុំរបស់អតិថិជន (អនុវត្តចំពោះទាំងការដឹកជញ្ជូន និងការប្រគល់ទំនិញវិញ)")</f>
        <v/>
      </c>
      <c r="E606" s="3" t="inlineStr">
        <is>
          <t>លុបចោលបុងបញ្ញើ តាមការស្នើសុំរបស់អតិថិជន (អនុវត្តទាំងបុងបញ្ញើនិងបុងត្រលប់ )</t>
        </is>
      </c>
      <c r="F606" s="3" t="n"/>
      <c r="G606" s="3" t="inlineStr">
        <is>
          <t>លុបចោលបុងបញ្ញើ តាមការស្នើសុំរបស់អតិថិជន (អនុវត្តទាំងបុងបញ្ញើនិងបុងត្រលប់ )</t>
        </is>
      </c>
      <c r="H606" t="inlineStr">
        <is>
          <t>លុបចោលបុងបញ្ញើ តាមការស្នើសុំរបស់អតិថិជន (អនុវត្តទាំងបុងបញ្ញើនិងបុងត្រលប់ )</t>
        </is>
      </c>
      <c r="I606" s="217" t="inlineStr">
        <is>
          <t>"mainStatus.550": "លុបចោលបុងបញ្ញើ តាមការស្នើសុំរបស់អតិថិជន (អនុវត្តទាំងបុងបញ្ញើនិងបុងត្រលប់ )",</t>
        </is>
      </c>
      <c r="N606" s="3" t="inlineStr">
        <is>
          <t>បានលប់ចោល</t>
        </is>
      </c>
    </row>
    <row r="607" ht="15.75" customHeight="1" s="305">
      <c r="A607" s="3" t="inlineStr">
        <is>
          <t>mainStatus.551</t>
        </is>
      </c>
      <c r="B607" s="3" t="inlineStr">
        <is>
          <t>Hủy bưu gửi vô thừa nhận (áp dụng cho đơn hoàn)</t>
        </is>
      </c>
      <c r="C607" s="3" t="inlineStr">
        <is>
          <t>Cancel unclaimed shipment</t>
        </is>
      </c>
      <c r="D607" s="3">
        <f>IFERROR(__xludf.DUMMYFUNCTION("GOOGLETRANSLATE(B607,""vi"",""km"")"),"លុបចោលសំបុត្រដែលមិនបានទាមទារ (អនុវត្តចំពោះការបញ្ជាទិញត្រឡប់មកវិញ)")</f>
        <v/>
      </c>
      <c r="E607" s="3" t="inlineStr">
        <is>
          <t>លុបចោលបុងបញ្ញើ ដែលមិនមានការទទួល (អនុវត្តចំពោះបុង ត្រឡប់មកវិញ)</t>
        </is>
      </c>
      <c r="F607" s="3" t="n"/>
      <c r="G607" s="3" t="inlineStr">
        <is>
          <t>លុបចោលបុងបញ្ញើ ដែលមិនមានការទទួល (អនុវត្តចំពោះបុង ត្រឡប់មកវិញ)</t>
        </is>
      </c>
      <c r="H607" t="inlineStr">
        <is>
          <t>លុបចោលបុងបញ្ញើ ដែលមិនមានការទទួល (អនុវត្តចំពោះបុង ត្រឡប់មកវិញ)</t>
        </is>
      </c>
      <c r="I607" s="217" t="inlineStr">
        <is>
          <t>"mainStatus.551": "លុបចោលបុងបញ្ញើ ដែលមិនមានការទទួល (អនុវត្តចំពោះបុង ត្រឡប់មកវិញ)",</t>
        </is>
      </c>
      <c r="N607" s="163" t="inlineStr">
        <is>
          <t>បោះបង់ការដឹកជញ្ជូនដែលមិនបានទាមទារ</t>
        </is>
      </c>
    </row>
    <row r="608" ht="15.75" customHeight="1" s="305">
      <c r="A608" s="3" t="inlineStr">
        <is>
          <t>tms.huyChuyen</t>
        </is>
      </c>
      <c r="B608" s="3" t="inlineStr">
        <is>
          <t>Hủy chuyến</t>
        </is>
      </c>
      <c r="C608" s="3" t="inlineStr">
        <is>
          <t>Cancel trip</t>
        </is>
      </c>
      <c r="D608" s="3">
        <f>IFERROR(__xludf.DUMMYFUNCTION("GOOGLETRANSLATE(B608,""vi"",""km"")"),"បានលុបចោល")</f>
        <v/>
      </c>
      <c r="E608" s="3" t="inlineStr">
        <is>
          <t>លុបចោលជើងដឹក</t>
        </is>
      </c>
      <c r="F608" s="3" t="n"/>
      <c r="G608" s="3" t="inlineStr">
        <is>
          <t>លុបចោលជើងដឹក</t>
        </is>
      </c>
      <c r="H608" t="inlineStr">
        <is>
          <t>លុបចោលជើងដឹក</t>
        </is>
      </c>
      <c r="I608" s="217" t="inlineStr">
        <is>
          <t>"tms.huyChuyen": "លុបចោលជើងដឹក",</t>
        </is>
      </c>
      <c r="N608" s="3" t="inlineStr"/>
    </row>
    <row r="609" ht="15.75" customHeight="1" s="305">
      <c r="A609" s="3" t="inlineStr">
        <is>
          <t>tms.cancelTripSuccess</t>
        </is>
      </c>
      <c r="B609" s="3" t="inlineStr">
        <is>
          <t>Hủy chuyến thành công</t>
        </is>
      </c>
      <c r="C609" s="3" t="inlineStr">
        <is>
          <t>Trip cancelled successfully</t>
        </is>
      </c>
      <c r="D609" s="3">
        <f>IFERROR(__xludf.DUMMYFUNCTION("GOOGLETRANSLATE(B609,""vi"",""km"")"),"ជើងហោះហើរត្រូវបានលុបចោលដោយជោគជ័យ។")</f>
        <v/>
      </c>
      <c r="E609" s="3" t="inlineStr">
        <is>
          <t>លុបចោលជើងដឹកដោយជោគជ័យ</t>
        </is>
      </c>
      <c r="F609" s="3" t="n"/>
      <c r="G609" s="3" t="inlineStr">
        <is>
          <t>លុបចោលជើងដឹកដោយជោគជ័យ</t>
        </is>
      </c>
      <c r="H609" t="inlineStr">
        <is>
          <t>លុបចោលជើងដឹកដោយជោគជ័យ</t>
        </is>
      </c>
      <c r="I609" s="217" t="inlineStr">
        <is>
          <t>"tms.cancelTripSuccess": "លុបចោលជើងដឹកដោយជោគជ័យ",</t>
        </is>
      </c>
      <c r="N609" s="3" t="inlineStr"/>
    </row>
    <row r="610" ht="15.75" customHeight="1" s="305">
      <c r="A610" s="3" t="inlineStr">
        <is>
          <t>suaDon.cancelBill</t>
        </is>
      </c>
      <c r="B610" s="3" t="inlineStr">
        <is>
          <t>Huỷ đơn</t>
        </is>
      </c>
      <c r="C610" s="3" t="inlineStr">
        <is>
          <t>Cancel order</t>
        </is>
      </c>
      <c r="D610" s="3">
        <f>IFERROR(__xludf.DUMMYFUNCTION("GOOGLETRANSLATE(B610,""vi"",""km"")"),"លុបចោលការបញ្ជាទិញ")</f>
        <v/>
      </c>
      <c r="E610" s="3" t="inlineStr">
        <is>
          <t>លុបចោលបុងបញ្ញើ</t>
        </is>
      </c>
      <c r="F610" s="3" t="n"/>
      <c r="G610" s="3" t="inlineStr">
        <is>
          <t>លុបចោលបុងបញ្ញើ</t>
        </is>
      </c>
      <c r="H610" t="inlineStr">
        <is>
          <t>លុបចោលបុងបញ្ញើ</t>
        </is>
      </c>
      <c r="I610" s="217" t="inlineStr">
        <is>
          <t>"suaDon.cancelBill": "លុបចោលបុងបញ្ញើ",</t>
        </is>
      </c>
      <c r="N610" s="3" t="inlineStr">
        <is>
          <t>បោះបង់កញ្ចប់បញ្ញើ</t>
        </is>
      </c>
    </row>
    <row r="611" ht="15.75" customHeight="1" s="305">
      <c r="A611" s="3" t="inlineStr">
        <is>
          <t>mainStatus.201</t>
        </is>
      </c>
      <c r="B611" s="3" t="inlineStr">
        <is>
          <t>Huỷ đơn</t>
        </is>
      </c>
      <c r="C611" s="3" t="inlineStr">
        <is>
          <t>Cancelled</t>
        </is>
      </c>
      <c r="D611" s="3">
        <f>IFERROR(__xludf.DUMMYFUNCTION("GOOGLETRANSLATE(B611,""vi"",""km"")"),"លុបចោលការបញ្ជាទិញ")</f>
        <v/>
      </c>
      <c r="E611" s="3" t="inlineStr">
        <is>
          <t>លុបចោលបុងបញ្ញើ</t>
        </is>
      </c>
      <c r="F611" s="3" t="n"/>
      <c r="G611" s="3" t="inlineStr">
        <is>
          <t>លុបចោលបុងបញ្ញើ</t>
        </is>
      </c>
      <c r="H611" t="inlineStr">
        <is>
          <t>លុបចោលបុងបញ្ញើ</t>
        </is>
      </c>
      <c r="I611" s="217" t="inlineStr">
        <is>
          <t>"mainStatus.201": "លុបចោលបុងបញ្ញើ",</t>
        </is>
      </c>
      <c r="N611" s="3" t="inlineStr">
        <is>
          <t>លុបចោល</t>
        </is>
      </c>
    </row>
    <row r="612" ht="15.75" customHeight="1" s="305">
      <c r="A612" s="3" t="inlineStr">
        <is>
          <t>banGiao.cancelFilter</t>
        </is>
      </c>
      <c r="B612" s="3" t="inlineStr">
        <is>
          <t>Huỷ lọc</t>
        </is>
      </c>
      <c r="C612" s="3" t="inlineStr">
        <is>
          <t>Cancel filter</t>
        </is>
      </c>
      <c r="D612" s="3">
        <f>IFERROR(__xludf.DUMMYFUNCTION("GOOGLETRANSLATE(B612,""vi"",""km"")"),"បោះបង់តម្រង")</f>
        <v/>
      </c>
      <c r="E612" s="3" t="inlineStr">
        <is>
          <t>លុបចោលការចម្រាញ់</t>
        </is>
      </c>
      <c r="F612" s="3" t="n"/>
      <c r="G612" s="3" t="inlineStr">
        <is>
          <t>លុបចោលការចម្រាញ់</t>
        </is>
      </c>
      <c r="H612" t="inlineStr">
        <is>
          <t>លុបចោលការចម្រាញ់</t>
        </is>
      </c>
      <c r="I612" s="217" t="inlineStr">
        <is>
          <t>"banGiao.cancelFilter": "លុបចោលការចម្រាញ់",</t>
        </is>
      </c>
      <c r="N612" s="3" t="inlineStr">
        <is>
          <t>បោះបង់ការតម្រង</t>
        </is>
      </c>
    </row>
    <row r="613" ht="15.75" customHeight="1" s="305">
      <c r="A613" s="3" t="inlineStr">
        <is>
          <t>banGiao.unscanned</t>
        </is>
      </c>
      <c r="B613" s="3" t="inlineStr">
        <is>
          <t>Hủy quét</t>
        </is>
      </c>
      <c r="C613" s="3" t="inlineStr">
        <is>
          <t>Cancel scan</t>
        </is>
      </c>
      <c r="D613" s="3">
        <f>IFERROR(__xludf.DUMMYFUNCTION("GOOGLETRANSLATE(B613,""vi"",""km"")"),"បោះបង់ការស្កេន")</f>
        <v/>
      </c>
      <c r="E613" s="3" t="inlineStr">
        <is>
          <t>លុបចោលការស្កេន</t>
        </is>
      </c>
      <c r="F613" s="3" t="n"/>
      <c r="G613" s="3" t="inlineStr">
        <is>
          <t>លុបចោលការស្កេន</t>
        </is>
      </c>
      <c r="H613" s="217" t="inlineStr">
        <is>
          <t>លុបចោលការស្កេន</t>
        </is>
      </c>
      <c r="I613" s="217" t="inlineStr">
        <is>
          <t>"banGiao.unscanned": "លុបចោលការស្កេន",</t>
        </is>
      </c>
      <c r="N613" s="3" t="inlineStr"/>
    </row>
    <row r="614" ht="15.75" customHeight="1" s="305">
      <c r="A614" s="3" t="inlineStr">
        <is>
          <t>KiemKe.titlePrint</t>
        </is>
      </c>
      <c r="B614" s="3" t="inlineStr">
        <is>
          <t>In biên bản</t>
        </is>
      </c>
      <c r="C614" s="3" t="inlineStr">
        <is>
          <t>Print</t>
        </is>
      </c>
      <c r="D614" s="3">
        <f>IFERROR(__xludf.DUMMYFUNCTION("GOOGLETRANSLATE(B614,""vi"",""km"")"),"បោះពុម្ពនាទី")</f>
        <v/>
      </c>
      <c r="E614" s="3" t="inlineStr">
        <is>
          <t>ព្រីនឯកសារ</t>
        </is>
      </c>
      <c r="F614" s="3" t="n"/>
      <c r="G614" s="3" t="inlineStr">
        <is>
          <t>ព្រីនឯកសារ</t>
        </is>
      </c>
      <c r="H614" t="inlineStr">
        <is>
          <t>ព្រីនឯកសារ</t>
        </is>
      </c>
      <c r="I614" s="217" t="inlineStr">
        <is>
          <t>"KiemKe.titlePrint": "ព្រីនឯកសារ",</t>
        </is>
      </c>
      <c r="N614" s="163" t="inlineStr">
        <is>
          <t>បោះពុម្ព</t>
        </is>
      </c>
    </row>
    <row r="615" ht="15.75" customHeight="1" s="305">
      <c r="A615" s="3" t="inlineStr">
        <is>
          <t>nhanHang.indon</t>
        </is>
      </c>
      <c r="B615" s="3" t="inlineStr">
        <is>
          <t>In đơn</t>
        </is>
      </c>
      <c r="C615" s="3" t="inlineStr">
        <is>
          <t xml:space="preserve">Print </t>
        </is>
      </c>
      <c r="D615" s="3">
        <f>IFERROR(__xludf.DUMMYFUNCTION("GOOGLETRANSLATE(B615,""vi"",""km"")"),"ការបញ្ជាទិញបោះពុម្ព")</f>
        <v/>
      </c>
      <c r="E615" s="3" t="inlineStr">
        <is>
          <t>ព្រីីនបុងបញ្ញើ</t>
        </is>
      </c>
      <c r="F615" s="3" t="n"/>
      <c r="G615" s="3" t="inlineStr">
        <is>
          <t>ព្រីីនបុងបញ្ញើ</t>
        </is>
      </c>
      <c r="H615" t="inlineStr">
        <is>
          <t>ព្រីីនបុងបញ្ញើ</t>
        </is>
      </c>
      <c r="I615" s="217" t="inlineStr">
        <is>
          <t>"nhanHang.indon": "ព្រីីនបុងបញ្ញើ",</t>
        </is>
      </c>
      <c r="N615" s="3" t="inlineStr">
        <is>
          <t>បោះពុម្ពបញ្ជាទិញ</t>
        </is>
      </c>
    </row>
    <row r="616" ht="15.75" customHeight="1" s="305">
      <c r="A616" s="3" t="inlineStr">
        <is>
          <t>DongTai.titlePrint</t>
        </is>
      </c>
      <c r="B616" s="3" t="inlineStr">
        <is>
          <t>In đơn</t>
        </is>
      </c>
      <c r="C616" s="3" t="inlineStr">
        <is>
          <t>Print</t>
        </is>
      </c>
      <c r="D616" s="3">
        <f>IFERROR(__xludf.DUMMYFUNCTION("GOOGLETRANSLATE(B616,""vi"",""km"")"),"ការបញ្ជាទិញបោះពុម្ព")</f>
        <v/>
      </c>
      <c r="E616" s="3" t="inlineStr">
        <is>
          <t>ព្រីីនបុងបញ្ញើ</t>
        </is>
      </c>
      <c r="F616" s="3" t="n"/>
      <c r="G616" s="3" t="inlineStr">
        <is>
          <t>ព្រីីនបុងបញ្ញើ</t>
        </is>
      </c>
      <c r="H616" t="inlineStr">
        <is>
          <t>ព្រីីនបុងបញ្ញើ</t>
        </is>
      </c>
      <c r="I616" s="217" t="inlineStr">
        <is>
          <t>"DongTai.titlePrint": "ព្រីីនបុងបញ្ញើ",</t>
        </is>
      </c>
      <c r="N616" s="3" t="inlineStr">
        <is>
          <t>បោះពុម្ពបញ្ជី</t>
        </is>
      </c>
    </row>
    <row r="617" ht="15.75" customHeight="1" s="305">
      <c r="A617" s="3" t="inlineStr">
        <is>
          <t>DongTai.printTai</t>
        </is>
      </c>
      <c r="B617" s="3" t="inlineStr">
        <is>
          <t>In mã tải</t>
        </is>
      </c>
      <c r="C617" s="3" t="inlineStr">
        <is>
          <t>Print sack code</t>
        </is>
      </c>
      <c r="D617" s="3">
        <f>IFERROR(__xludf.DUMMYFUNCTION("GOOGLETRANSLATE(B617,""vi"",""km"")"),"បោះពុម្ពលេខកូដទាញយក")</f>
        <v/>
      </c>
      <c r="E617" s="3" t="inlineStr">
        <is>
          <t>ព្រីនកូដជើងដឹក</t>
        </is>
      </c>
      <c r="F617" s="3" t="n"/>
      <c r="G617" s="3" t="inlineStr">
        <is>
          <t>ព្រីនកូដកញ្ចប់ទំនិញ</t>
        </is>
      </c>
      <c r="H617" t="inlineStr">
        <is>
          <t>ព្រីនកូដកញ្ចប់ទំនិញ</t>
        </is>
      </c>
      <c r="I617" s="217" t="inlineStr">
        <is>
          <t>"DongTai.printTai": "ព្រីនកូដកញ្ចប់ទំនិញ",</t>
        </is>
      </c>
      <c r="N617" s="3" t="inlineStr">
        <is>
          <t>បោះពុម្ពលេខកូដត្រួតពិនិត្យ</t>
        </is>
      </c>
    </row>
    <row r="618" ht="15.75" customHeight="1" s="305">
      <c r="A618" s="3" t="inlineStr">
        <is>
          <t>banGiao.printCode</t>
        </is>
      </c>
      <c r="B618" s="3" t="inlineStr">
        <is>
          <t>In mã tải/kiện</t>
        </is>
      </c>
      <c r="C618" s="3" t="inlineStr">
        <is>
          <t>Print code</t>
        </is>
      </c>
      <c r="D618" s="3">
        <f>IFERROR(__xludf.DUMMYFUNCTION("GOOGLETRANSLATE(B618,""vi"",""km"")"),"បោះពុម្ពលេខកូដកញ្ចប់/ការដឹកជញ្ជូន")</f>
        <v/>
      </c>
      <c r="E618" s="3" t="inlineStr">
        <is>
          <t>ព្រីនលេខកូដជើងដឹក/កញ្ចប់អីវ៉ាន់</t>
        </is>
      </c>
      <c r="F618" s="3" t="n"/>
      <c r="G618" s="3" t="inlineStr">
        <is>
          <t>ព្រីនលេខកូដកញ្ចប់ទំនិញ/អីវ៉ាន់</t>
        </is>
      </c>
      <c r="H618" t="inlineStr">
        <is>
          <t>ព្រីនលេខកូដកញ្ចប់ទំនិញ/អីវ៉ាន់</t>
        </is>
      </c>
      <c r="I618" s="217" t="inlineStr">
        <is>
          <t>"banGiao.printCode": "ព្រីនលេខកូដកញ្ចប់ទំនិញ/អីវ៉ាន់",</t>
        </is>
      </c>
      <c r="N618" s="3" t="inlineStr">
        <is>
          <t>បោះពុម្ពកូដ</t>
        </is>
      </c>
    </row>
    <row r="619" ht="15.75" customHeight="1" s="305">
      <c r="A619" s="3" t="inlineStr">
        <is>
          <t>banGiao.printOrder</t>
        </is>
      </c>
      <c r="B619" s="3" t="inlineStr">
        <is>
          <t>In phiếu gửi</t>
        </is>
      </c>
      <c r="C619" s="3" t="inlineStr">
        <is>
          <t>Print postal slip</t>
        </is>
      </c>
      <c r="D619" s="3">
        <f>IFERROR(__xludf.DUMMYFUNCTION("GOOGLETRANSLATE(B619,""vi"",""km"")"),"បោះពុម្ពបង្កាន់ដៃដឹកជញ្ជូន")</f>
        <v/>
      </c>
      <c r="E619" s="3" t="inlineStr">
        <is>
          <t>ព្រីនបុងបញ្ញើ</t>
        </is>
      </c>
      <c r="F619" s="3" t="n"/>
      <c r="G619" s="3" t="inlineStr">
        <is>
          <t>ព្រីនបុងបញ្ញើ</t>
        </is>
      </c>
      <c r="H619" t="inlineStr">
        <is>
          <t>ព្រីនបុងបញ្ញើ</t>
        </is>
      </c>
      <c r="I619" s="217" t="inlineStr">
        <is>
          <t>"banGiao.printOrder": "ព្រីនបុងបញ្ញើ",</t>
        </is>
      </c>
      <c r="N619" s="3" t="inlineStr">
        <is>
          <t>បោះពុម្ពកាលវិភាគបញ្ជាទិញ</t>
        </is>
      </c>
    </row>
    <row r="620" ht="15.75" customHeight="1" s="305">
      <c r="A620" s="3" t="inlineStr">
        <is>
          <t>traCuu.printOrderReturn</t>
        </is>
      </c>
      <c r="B620" s="3" t="inlineStr">
        <is>
          <t>In phiếu hoàn</t>
        </is>
      </c>
      <c r="C620" s="3" t="inlineStr">
        <is>
          <t>Print return order</t>
        </is>
      </c>
      <c r="D620" s="3">
        <f>IFERROR(__xludf.DUMMYFUNCTION("GOOGLETRANSLATE(B620,""vi"",""km"")"),"បោះពុម្ពបង្កាន់ដៃសងប្រាក់វិញ")</f>
        <v/>
      </c>
      <c r="E620" s="3" t="inlineStr">
        <is>
          <t>ព្រីនបុុងត្រលប់</t>
        </is>
      </c>
      <c r="F620" s="3" t="n"/>
      <c r="G620" s="3" t="inlineStr">
        <is>
          <t>ព្រីនបុុងត្រលប់</t>
        </is>
      </c>
      <c r="H620" t="inlineStr">
        <is>
          <t>ព្រីនបុុងត្រលប់</t>
        </is>
      </c>
      <c r="I620" s="217" t="inlineStr">
        <is>
          <t>"traCuu.printOrderReturn": "ព្រីនបុុងត្រលប់",</t>
        </is>
      </c>
      <c r="N620" s="163" t="inlineStr">
        <is>
          <t>បោះពុម្ពការបញ្ជាទិញត្រឡប់មកវិញ</t>
        </is>
      </c>
    </row>
    <row r="621" ht="15.75" customHeight="1" s="305">
      <c r="A621" s="3" t="inlineStr">
        <is>
          <t>GiaoHang.ipPrinterExist</t>
        </is>
      </c>
      <c r="B621" s="3" t="inlineStr">
        <is>
          <t>IP đã tồn tại</t>
        </is>
      </c>
      <c r="C621" s="3" t="inlineStr">
        <is>
          <t>Printer IP address existed</t>
        </is>
      </c>
      <c r="D621" s="3">
        <f>IFERROR(__xludf.DUMMYFUNCTION("GOOGLETRANSLATE(B621,""vi"",""km"")"),"អាសយដ្ឋាន IP មានរួចហើយ។")</f>
        <v/>
      </c>
      <c r="E621" s="3" t="inlineStr">
        <is>
          <t>IP មានរួចហើយ</t>
        </is>
      </c>
      <c r="F621" s="3" t="n"/>
      <c r="G621" s="3" t="inlineStr">
        <is>
          <t>IP មានរួចហើយ</t>
        </is>
      </c>
      <c r="H621" t="inlineStr">
        <is>
          <t>IP មានរួចហើយ</t>
        </is>
      </c>
      <c r="I621" s="217" t="inlineStr">
        <is>
          <t>"GiaoHang.ipPrinterExist": "IP មានរួចហើយ",</t>
        </is>
      </c>
      <c r="N621" s="3" t="inlineStr">
        <is>
          <t>IP មានរួចហើយ</t>
        </is>
      </c>
    </row>
    <row r="622" ht="15.75" customHeight="1" s="305">
      <c r="A622" s="3" t="inlineStr">
        <is>
          <t>GiaoHang.ipPrinterInvalid</t>
        </is>
      </c>
      <c r="B622" s="3" t="inlineStr">
        <is>
          <t>IP không đúng định dạng</t>
        </is>
      </c>
      <c r="C622" s="3" t="inlineStr">
        <is>
          <t>Invalid IP address</t>
        </is>
      </c>
      <c r="D622" s="3">
        <f>IFERROR(__xludf.DUMMYFUNCTION("GOOGLETRANSLATE(B622,""vi"",""km"")"),"អាសយដ្ឋាន IP មិនមានទម្រង់ត្រឹមត្រូវទេ។")</f>
        <v/>
      </c>
      <c r="E622" s="3" t="inlineStr">
        <is>
          <t>IP ខុសទម្រង់</t>
        </is>
      </c>
      <c r="F622" s="3" t="n"/>
      <c r="G622" s="3" t="inlineStr">
        <is>
          <t>IP ខុសទម្រង់</t>
        </is>
      </c>
      <c r="H622" t="inlineStr">
        <is>
          <t>IP ខុសទម្រង់</t>
        </is>
      </c>
      <c r="I622" s="217" t="inlineStr">
        <is>
          <t>"GiaoHang.ipPrinterInvalid": "IP ខុសទម្រង់",</t>
        </is>
      </c>
      <c r="N622" s="3" t="inlineStr">
        <is>
          <t>IP មិនមានទម្រង់ត្រឹមត្រូវ។</t>
        </is>
      </c>
    </row>
    <row r="623" ht="15.75" customHeight="1" s="305">
      <c r="A623" s="3" t="inlineStr">
        <is>
          <t>GiaoHang.connect</t>
        </is>
      </c>
      <c r="B623" s="3" t="inlineStr">
        <is>
          <t>Kết nối</t>
        </is>
      </c>
      <c r="C623" s="3" t="inlineStr">
        <is>
          <t>Connect</t>
        </is>
      </c>
      <c r="D623" s="3">
        <f>IFERROR(__xludf.DUMMYFUNCTION("GOOGLETRANSLATE(B623,""vi"",""km"")"),"ភ្ជាប់")</f>
        <v/>
      </c>
      <c r="E623" s="3" t="inlineStr">
        <is>
          <t>ការតភ្ជាប់</t>
        </is>
      </c>
      <c r="F623" s="3" t="n"/>
      <c r="G623" s="3" t="inlineStr">
        <is>
          <t>ការតភ្ជាប់</t>
        </is>
      </c>
      <c r="H623" t="inlineStr">
        <is>
          <t>ការតភ្ជាប់</t>
        </is>
      </c>
      <c r="I623" s="217" t="inlineStr">
        <is>
          <t>"GiaoHang.connect": "ការតភ្ជាប់",</t>
        </is>
      </c>
      <c r="N623" s="3" t="inlineStr">
        <is>
          <t>ភ្ជាប់បណ្តាញ</t>
        </is>
      </c>
    </row>
    <row r="624" ht="15.75" customHeight="1" s="305">
      <c r="A624" s="3" t="inlineStr">
        <is>
          <t>traCuoc.resultSearchCod</t>
        </is>
      </c>
      <c r="B624" s="3" t="inlineStr">
        <is>
          <t>Kết quả tra cứu cước</t>
        </is>
      </c>
      <c r="C624" s="3" t="inlineStr">
        <is>
          <t xml:space="preserve">Fee estimate </t>
        </is>
      </c>
      <c r="D624" s="3">
        <f>IFERROR(__xludf.DUMMYFUNCTION("GOOGLETRANSLATE(B624,""vi"",""km"")"),"លទ្ធផលស្វែងរកថ្លៃសេវា")</f>
        <v/>
      </c>
      <c r="E624" s="3" t="inlineStr">
        <is>
          <t>លទ្ធផលស្វែងរកថ្លៃសេវា</t>
        </is>
      </c>
      <c r="F624" s="3" t="n"/>
      <c r="G624" s="3" t="inlineStr">
        <is>
          <t>លទ្ធផលស្វែងរកថ្លៃសេវា</t>
        </is>
      </c>
      <c r="H624" t="inlineStr">
        <is>
          <t>លទ្ធផលស្វែងរកថ្លៃសេវា</t>
        </is>
      </c>
      <c r="I624" s="217" t="inlineStr">
        <is>
          <t>"traCuoc.resultSearchCod": "លទ្ធផលស្វែងរកថ្លៃសេវា",</t>
        </is>
      </c>
      <c r="N624" s="3" t="inlineStr">
        <is>
          <t>លទ្ធផលស្វែងរកតម្លៃដឹកជញ្ជូន</t>
        </is>
      </c>
    </row>
    <row r="625" ht="15.75" customHeight="1" s="305">
      <c r="A625" s="3" t="inlineStr">
        <is>
          <t>tms.endTrip</t>
        </is>
      </c>
      <c r="B625" s="3" t="inlineStr">
        <is>
          <t>Kết thúc chuyến</t>
        </is>
      </c>
      <c r="C625" s="3" t="inlineStr">
        <is>
          <t>End trip</t>
        </is>
      </c>
      <c r="D625" s="3">
        <f>IFERROR(__xludf.DUMMYFUNCTION("GOOGLETRANSLATE(B625,""vi"",""km"")"),"ដំណើរកម្សាន្តបានបញ្ចប់ហើយ។")</f>
        <v/>
      </c>
      <c r="E625" s="3" t="inlineStr">
        <is>
          <t>បញ្ចប់ការដឹក</t>
        </is>
      </c>
      <c r="F625" s="3" t="n"/>
      <c r="G625" s="3" t="inlineStr">
        <is>
          <t>បញ្ចប់ការដឹក</t>
        </is>
      </c>
      <c r="H625" t="inlineStr">
        <is>
          <t>បញ្ចប់ការដឹក</t>
        </is>
      </c>
      <c r="I625" s="217" t="inlineStr">
        <is>
          <t>"tms.endTrip": "បញ្ចប់ការដឹក",</t>
        </is>
      </c>
      <c r="N625" s="3" t="inlineStr"/>
    </row>
    <row r="626" ht="15.75" customHeight="1" s="305">
      <c r="A626" s="3" t="inlineStr">
        <is>
          <t>GiaoHang.titleCusReject</t>
        </is>
      </c>
      <c r="B626" s="3" t="inlineStr">
        <is>
          <t>KH từ chối nhận</t>
        </is>
      </c>
      <c r="C626" s="3" t="inlineStr">
        <is>
          <t xml:space="preserve">Recipient refused to receive. </t>
        </is>
      </c>
      <c r="D626" s="3">
        <f>IFERROR(__xludf.DUMMYFUNCTION("GOOGLETRANSLATE(B626,""vi"",""km"")"),"អតិថិជនបានបដិសេធមិនទទួលយក។")</f>
        <v/>
      </c>
      <c r="E626" s="3" t="inlineStr">
        <is>
          <t>អតិថិជនបដិសេធមិនទទួលបញ្ញើ</t>
        </is>
      </c>
      <c r="F626" s="3" t="n"/>
      <c r="G626" s="3" t="inlineStr">
        <is>
          <t>អតិថិជនបដិសេធមិនទទួលបញ្ញើ</t>
        </is>
      </c>
      <c r="H626" t="inlineStr">
        <is>
          <t>អតិថិជនបដិសេធមិនទទួលបញ្ញើ</t>
        </is>
      </c>
      <c r="I626" s="217" t="inlineStr">
        <is>
          <t>"GiaoHang.titleCusReject": "អតិថិជនបដិសេធមិនទទួលបញ្ញើ",</t>
        </is>
      </c>
      <c r="N626" s="3" t="inlineStr">
        <is>
          <t>អតិថិជនមិនទទួល</t>
        </is>
      </c>
    </row>
    <row r="627" ht="15.75" customHeight="1" s="305">
      <c r="A627" s="3" t="inlineStr">
        <is>
          <t>taoDon.other</t>
        </is>
      </c>
      <c r="B627" s="3" t="inlineStr">
        <is>
          <t>Khác</t>
        </is>
      </c>
      <c r="C627" s="3" t="inlineStr">
        <is>
          <t>Other</t>
        </is>
      </c>
      <c r="D627" s="3">
        <f>IFERROR(__xludf.DUMMYFUNCTION("GOOGLETRANSLATE(B627,""vi"",""km"")"),"ផ្សេងៗ")</f>
        <v/>
      </c>
      <c r="E627" s="3" t="inlineStr">
        <is>
          <t>ផ្សេងៗ</t>
        </is>
      </c>
      <c r="F627" s="3" t="n"/>
      <c r="G627" s="3" t="inlineStr">
        <is>
          <t>ផ្សេងៗ</t>
        </is>
      </c>
      <c r="H627" t="inlineStr">
        <is>
          <t>ផ្សេងៗ</t>
        </is>
      </c>
      <c r="I627" s="217" t="inlineStr">
        <is>
          <t>"taoDon.other": "ផ្សេងៗ",</t>
        </is>
      </c>
      <c r="N627" s="3" t="inlineStr">
        <is>
          <t>ផ្សេងទៀត</t>
        </is>
      </c>
    </row>
    <row r="628" ht="15.75" customHeight="1" s="305">
      <c r="A628" s="3" t="inlineStr">
        <is>
          <t>banGiao.client</t>
        </is>
      </c>
      <c r="B628" s="3" t="inlineStr">
        <is>
          <t>khách</t>
        </is>
      </c>
      <c r="C628" s="3" t="inlineStr">
        <is>
          <t>customer</t>
        </is>
      </c>
      <c r="D628" s="3">
        <f>IFERROR(__xludf.DUMMYFUNCTION("GOOGLETRANSLATE(B628,""vi"",""km"")"),"ភ្ញៀវ")</f>
        <v/>
      </c>
      <c r="E628" s="3" t="inlineStr">
        <is>
          <t>អតិថិជន</t>
        </is>
      </c>
      <c r="F628" s="3" t="n"/>
      <c r="G628" s="3" t="inlineStr">
        <is>
          <t>អតិថិជន</t>
        </is>
      </c>
      <c r="H628" t="inlineStr">
        <is>
          <t>អតិថិជន</t>
        </is>
      </c>
      <c r="I628" s="217" t="inlineStr">
        <is>
          <t>"banGiao.client": "អតិថិជន",</t>
        </is>
      </c>
      <c r="N628" s="3" t="inlineStr">
        <is>
          <t>អតិថិជន</t>
        </is>
      </c>
    </row>
    <row r="629" ht="15.75" customHeight="1" s="305">
      <c r="A629" s="3" t="inlineStr">
        <is>
          <t>debit.customer</t>
        </is>
      </c>
      <c r="B629" s="3" t="inlineStr">
        <is>
          <t>Khách hàng</t>
        </is>
      </c>
      <c r="C629" s="3" t="inlineStr">
        <is>
          <t>Customer</t>
        </is>
      </c>
      <c r="D629" s="3">
        <f>IFERROR(__xludf.DUMMYFUNCTION("GOOGLETRANSLATE(B629,""vi"",""km"")"),"អតិថិជន")</f>
        <v/>
      </c>
      <c r="E629" s="3" t="inlineStr">
        <is>
          <t>អតិថិជន</t>
        </is>
      </c>
      <c r="F629" s="3" t="n"/>
      <c r="G629" s="3" t="inlineStr">
        <is>
          <t>អតិថិជន</t>
        </is>
      </c>
      <c r="H629" t="inlineStr">
        <is>
          <t>អតិថិជន</t>
        </is>
      </c>
      <c r="I629" s="217" t="inlineStr">
        <is>
          <t>"debit.customer": "អតិថិជន",</t>
        </is>
      </c>
      <c r="N629" s="3" t="inlineStr">
        <is>
          <t>អតិថិជន</t>
        </is>
      </c>
    </row>
    <row r="630" ht="15.75" customHeight="1" s="305">
      <c r="A630" s="3" t="inlineStr">
        <is>
          <t>nhanHang.customerHasNotYetPreparedGoods</t>
        </is>
      </c>
      <c r="B630" s="3" t="inlineStr">
        <is>
          <t>Khách hàng chưa chuẩn bị xong hàng</t>
        </is>
      </c>
      <c r="C630" s="3" t="inlineStr">
        <is>
          <t>Customer has not prepared yet</t>
        </is>
      </c>
      <c r="D630" s="3">
        <f>IFERROR(__xludf.DUMMYFUNCTION("GOOGLETRANSLATE(B630,""vi"",""km"")"),"អតិថិជនមិនទាន់បានរៀបចំទំនិញនៅឡើយទេ។")</f>
        <v/>
      </c>
      <c r="E630" s="3" t="inlineStr">
        <is>
          <t>អតិថិជនមិនទាន់រៀបចំអីវ៉ាន់រួច</t>
        </is>
      </c>
      <c r="F630" s="3" t="n"/>
      <c r="G630" s="3" t="inlineStr">
        <is>
          <t>អតិថិជនមិនទាន់រៀបចំអីវ៉ាន់រួច</t>
        </is>
      </c>
      <c r="H630" t="inlineStr">
        <is>
          <t>អតិថិជនមិនទាន់រៀបចំអីវ៉ាន់រួច</t>
        </is>
      </c>
      <c r="I630" s="217" t="inlineStr">
        <is>
          <t>"nhanHang.customerHasNotYetPreparedGoods": "អតិថិជនមិនទាន់រៀបចំអីវ៉ាន់រួច",</t>
        </is>
      </c>
      <c r="N630" s="3" t="inlineStr">
        <is>
          <t>អតិថិជនមិនទាន់ត្រៀមរួចទេ</t>
        </is>
      </c>
    </row>
    <row r="631" ht="15.75" customHeight="1" s="305">
      <c r="A631" s="3" t="inlineStr">
        <is>
          <t>GiaoHang.descUpdateStatusFail1</t>
        </is>
      </c>
      <c r="B631" s="3" t="inlineStr">
        <is>
          <t>Khách hàng đến bưu cục nhận</t>
        </is>
      </c>
      <c r="C631" s="3" t="inlineStr">
        <is>
          <t xml:space="preserve">Pickup at post office </t>
        </is>
      </c>
      <c r="D631" s="3">
        <f>IFERROR(__xludf.DUMMYFUNCTION("GOOGLETRANSLATE(B631,""vi"",""km"")"),"អតិថិជនមកការិយាល័យប្រៃសណីយ៍ដើម្បីទទួលយកការបញ្ជាទិញរបស់ពួកគេ។")</f>
        <v/>
      </c>
      <c r="E631" s="3" t="inlineStr">
        <is>
          <t>អតិថិជនមកដល់ការិយាល័យប្រៃសណីយ៍ដើម្បីទទួលអីវ៉ាន់</t>
        </is>
      </c>
      <c r="F631" s="3" t="n"/>
      <c r="G631" s="3" t="inlineStr">
        <is>
          <t>អតិថិជនមកដល់ការិយាល័យប្រៃសណីយ៍ដើម្បីទទួលអីវ៉ាន់</t>
        </is>
      </c>
      <c r="H631" t="inlineStr">
        <is>
          <t>អតិថិជនមកដល់ការិយាល័យប្រៃសណីយ៍ដើម្បីទទួលអីវ៉ាន់</t>
        </is>
      </c>
      <c r="I631" s="217" t="inlineStr">
        <is>
          <t>"GiaoHang.descUpdateStatusFail1": "អតិថិជនមកដល់ការិយាល័យប្រៃសណីយ៍ដើម្បីទទួលអីវ៉ាន់",</t>
        </is>
      </c>
      <c r="N631" s="3" t="inlineStr">
        <is>
          <t>អ្នកទទួលស្នើសុំការបញ្ជូនបន្ត</t>
        </is>
      </c>
    </row>
    <row r="632" ht="15.75" customHeight="1" s="305">
      <c r="A632" s="3" t="inlineStr">
        <is>
          <t>GiaoHang.descUpdateStatusRefund1</t>
        </is>
      </c>
      <c r="B632" s="3" t="inlineStr">
        <is>
          <t>Khách hàng từ chối nhận</t>
        </is>
      </c>
      <c r="C632" s="3" t="inlineStr">
        <is>
          <t>Recipient refused to receive</t>
        </is>
      </c>
      <c r="D632" s="3">
        <f>IFERROR(__xludf.DUMMYFUNCTION("GOOGLETRANSLATE(B632,""vi"",""km"")"),"អតិថិជនបានបដិសេធមិនទទួលយក។")</f>
        <v/>
      </c>
      <c r="E632" s="3" t="inlineStr">
        <is>
          <t>អតិថិជនបដិសេធមិនទទួល</t>
        </is>
      </c>
      <c r="F632" s="3" t="n"/>
      <c r="G632" s="3" t="inlineStr">
        <is>
          <t>អតិថិជនបដិសេធមិនទទួល</t>
        </is>
      </c>
      <c r="H632" t="inlineStr">
        <is>
          <t>អតិថិជនបដិសេធមិនទទួល</t>
        </is>
      </c>
      <c r="I632" s="217" t="inlineStr">
        <is>
          <t>"GiaoHang.descUpdateStatusRefund1": "អតិថិជនបដិសេធមិនទទួល",</t>
        </is>
      </c>
      <c r="N632" s="3" t="inlineStr">
        <is>
          <t>អតិថិជនមិនទទួល</t>
        </is>
      </c>
    </row>
    <row r="633" ht="15.75" customHeight="1" s="305">
      <c r="A633" s="3" t="inlineStr">
        <is>
          <t>nhanHang.customerRequestCancelOrder</t>
        </is>
      </c>
      <c r="B633" s="3" t="inlineStr">
        <is>
          <t>Khách hàng yêu cầu huỷ đơn</t>
        </is>
      </c>
      <c r="C633" s="3" t="inlineStr">
        <is>
          <t>Customer request to cancel order</t>
        </is>
      </c>
      <c r="D633" s="3">
        <f>IFERROR(__xludf.DUMMYFUNCTION("GOOGLETRANSLATE(B633,""vi"",""km"")"),"អតិថិជនបានស្នើសុំលុបចោលការបញ្ជាទិញ។")</f>
        <v/>
      </c>
      <c r="E633" s="3" t="inlineStr">
        <is>
          <t>អតិថិជនស្នើសុំលុបចោលបុងបញ្ញើ</t>
        </is>
      </c>
      <c r="F633" s="3" t="n"/>
      <c r="G633" s="3" t="inlineStr">
        <is>
          <t>អតិថិជនស្នើសុំលុបចោលបុងបញ្ញើ</t>
        </is>
      </c>
      <c r="H633" t="inlineStr">
        <is>
          <t>អតិថិជនស្នើសុំលុបចោលបុងបញ្ញើ</t>
        </is>
      </c>
      <c r="I633" s="217" t="inlineStr">
        <is>
          <t>"nhanHang.customerRequestCancelOrder": "អតិថិជនស្នើសុំលុបចោលបុងបញ្ញើ",</t>
        </is>
      </c>
      <c r="N633" s="3" t="inlineStr">
        <is>
          <t>អតិថិជនស្នើសុំបោះបង់បញ្ជាទិញ</t>
        </is>
      </c>
    </row>
    <row r="634" ht="15.75" customHeight="1" s="305">
      <c r="A634" s="3" t="inlineStr">
        <is>
          <t>GiaoHang.descUpdateStatusRescheduleDelivery</t>
        </is>
      </c>
      <c r="B634" s="3" t="inlineStr">
        <is>
          <t>Khách hẹn giao lại</t>
        </is>
      </c>
      <c r="C634" s="3" t="inlineStr">
        <is>
          <t>Customer rescheduled delivery</t>
        </is>
      </c>
      <c r="D634" s="3">
        <f>IFERROR(__xludf.DUMMYFUNCTION("GOOGLETRANSLATE(B634,""vi"",""km"")"),"អតិថិជនបានស្នើសុំការដឹកជញ្ជូន។")</f>
        <v/>
      </c>
      <c r="E634" s="3" t="inlineStr">
        <is>
          <t>អតិថិជនកំណត់ពេលវេលាដឹកជញ្ជូនឡើងវិញ</t>
        </is>
      </c>
      <c r="F634" s="3" t="n"/>
      <c r="G634" s="3" t="inlineStr">
        <is>
          <t>អតិថិជនកំណត់ពេលវេលាដឹកជញ្ជូនឡើងវិញ</t>
        </is>
      </c>
      <c r="H634" t="inlineStr">
        <is>
          <t>អតិថិជនកំណត់ពេលវេលាដឹកជញ្ជូនឡើងវិញ</t>
        </is>
      </c>
      <c r="I634" s="217" t="inlineStr">
        <is>
          <t>"GiaoHang.descUpdateStatusRescheduleDelivery": "អតិថិជនកំណត់ពេលវេលាដឹកជញ្ជូនឡើងវិញ",</t>
        </is>
      </c>
      <c r="N634" s="3" t="inlineStr">
        <is>
          <t>អតិថិជននឹងផ្ញើវិញ</t>
        </is>
      </c>
    </row>
    <row r="635" ht="15.75" customHeight="1" s="305">
      <c r="A635" s="3" t="inlineStr">
        <is>
          <t>home.khaithacden</t>
        </is>
      </c>
      <c r="B635" s="3" t="inlineStr">
        <is>
          <t>Khai thác</t>
        </is>
      </c>
      <c r="C635" s="3" t="inlineStr">
        <is>
          <t>Process</t>
        </is>
      </c>
      <c r="D635" s="3">
        <f>IFERROR(__xludf.DUMMYFUNCTION("GOOGLETRANSLATE(B635,""vi"",""km"")"),"កេងប្រវ័ញ្ច")</f>
        <v/>
      </c>
      <c r="E635" s="3" t="inlineStr">
        <is>
          <t>ដំណើរការ</t>
        </is>
      </c>
      <c r="F635" s="3" t="n"/>
      <c r="G635" s="3" t="inlineStr">
        <is>
          <t>ប្រតិបត្តិការចាត់ចែងបញ្ញើ</t>
        </is>
      </c>
      <c r="H635" t="inlineStr">
        <is>
          <t>ប្រតិបត្តិការចាត់ចែងបញ្ញើ</t>
        </is>
      </c>
      <c r="I635" s="217" t="inlineStr">
        <is>
          <t>"home.khaithacden": "ប្រតិបត្តិការចាត់ចែងបញ្ញើ",</t>
        </is>
      </c>
      <c r="N635" s="163" t="inlineStr">
        <is>
          <t>ដំណើរការ</t>
        </is>
      </c>
    </row>
    <row r="636" ht="15.75" customHeight="1" s="305">
      <c r="A636" s="3" t="inlineStr">
        <is>
          <t>dieuHanh.warehouse</t>
        </is>
      </c>
      <c r="B636" s="3" t="inlineStr">
        <is>
          <t>kho</t>
        </is>
      </c>
      <c r="C636" s="3" t="inlineStr">
        <is>
          <t>warehouse</t>
        </is>
      </c>
      <c r="D636" s="3">
        <f>IFERROR(__xludf.DUMMYFUNCTION("GOOGLETRANSLATE(B636,""vi"",""km"")"),"ឃ្លាំង")</f>
        <v/>
      </c>
      <c r="E636" s="3" t="inlineStr">
        <is>
          <t>ឃ្លាំង</t>
        </is>
      </c>
      <c r="F636" s="3" t="n"/>
      <c r="G636" s="3" t="inlineStr">
        <is>
          <t>ឃ្លាំង</t>
        </is>
      </c>
      <c r="H636" t="inlineStr">
        <is>
          <t>ឃ្លាំង</t>
        </is>
      </c>
      <c r="I636" s="217" t="inlineStr">
        <is>
          <t>"dieuHanh.warehouse": "ឃ្លាំង",</t>
        </is>
      </c>
      <c r="N636" s="3" t="inlineStr">
        <is>
          <t>គន្លង</t>
        </is>
      </c>
    </row>
    <row r="637" ht="15.75" customHeight="1" s="305">
      <c r="A637" s="3" t="inlineStr">
        <is>
          <t>nhanHang.warehouse</t>
        </is>
      </c>
      <c r="B637" s="3" t="inlineStr">
        <is>
          <t>Kho hàng</t>
        </is>
      </c>
      <c r="C637" s="3" t="inlineStr">
        <is>
          <t>warehouse</t>
        </is>
      </c>
      <c r="D637" s="3">
        <f>IFERROR(__xludf.DUMMYFUNCTION("GOOGLETRANSLATE(B637,""vi"",""km"")"),"ឃ្លាំង")</f>
        <v/>
      </c>
      <c r="E637" s="3" t="inlineStr">
        <is>
          <t>ឃ្លាំងអីវ៉ាន់</t>
        </is>
      </c>
      <c r="F637" s="3" t="n"/>
      <c r="G637" s="3" t="inlineStr">
        <is>
          <t>ឃ្លាំងអីវ៉ាន់</t>
        </is>
      </c>
      <c r="H637" t="inlineStr">
        <is>
          <t>ឃ្លាំងអីវ៉ាន់</t>
        </is>
      </c>
      <c r="I637" s="217" t="inlineStr">
        <is>
          <t>"nhanHang.warehouse": "ឃ្លាំងអីវ៉ាន់",</t>
        </is>
      </c>
      <c r="N637" s="3" t="inlineStr">
        <is>
          <t>ឃ្លាំង</t>
        </is>
      </c>
    </row>
    <row r="638" ht="15.75" customHeight="1" s="305">
      <c r="A638" s="3" t="inlineStr">
        <is>
          <t>banGiao.warehouse</t>
        </is>
      </c>
      <c r="B638" s="3" t="inlineStr">
        <is>
          <t>kho hàng</t>
        </is>
      </c>
      <c r="C638" s="3" t="inlineStr">
        <is>
          <t>warehouse</t>
        </is>
      </c>
      <c r="D638" s="3">
        <f>IFERROR(__xludf.DUMMYFUNCTION("GOOGLETRANSLATE(B638,""vi"",""km"")"),"ឃ្លាំង")</f>
        <v/>
      </c>
      <c r="E638" s="3" t="inlineStr">
        <is>
          <t>ឃ្លាំងអីវ៉ាន់</t>
        </is>
      </c>
      <c r="F638" s="3" t="n"/>
      <c r="G638" s="3" t="inlineStr">
        <is>
          <t>ឃ្លាំងអីវ៉ាន់</t>
        </is>
      </c>
      <c r="H638" t="inlineStr">
        <is>
          <t>ឃ្លាំងអីវ៉ាន់</t>
        </is>
      </c>
      <c r="I638" s="217" t="inlineStr">
        <is>
          <t>"banGiao.warehouse": "ឃ្លាំងអីវ៉ាន់",</t>
        </is>
      </c>
      <c r="N638" s="3" t="inlineStr">
        <is>
          <t>ឃ្លាំង</t>
        </is>
      </c>
    </row>
    <row r="639" ht="15.75" customHeight="1" s="305">
      <c r="A639" s="3" t="inlineStr">
        <is>
          <t>DongTai.warehouse</t>
        </is>
      </c>
      <c r="B639" s="3" t="inlineStr">
        <is>
          <t>Kho hàng</t>
        </is>
      </c>
      <c r="C639" s="3" t="inlineStr">
        <is>
          <t>Warehouse</t>
        </is>
      </c>
      <c r="D639" s="3">
        <f>IFERROR(__xludf.DUMMYFUNCTION("GOOGLETRANSLATE(B639,""vi"",""km"")"),"ឃ្លាំង")</f>
        <v/>
      </c>
      <c r="E639" s="3" t="inlineStr">
        <is>
          <t>ឃ្លាំងអីវ៉ាន់</t>
        </is>
      </c>
      <c r="F639" s="3" t="n"/>
      <c r="G639" s="3" t="inlineStr">
        <is>
          <t>ឃ្លាំងអីវ៉ាន់</t>
        </is>
      </c>
      <c r="H639" t="inlineStr">
        <is>
          <t>ឃ្លាំងអីវ៉ាន់</t>
        </is>
      </c>
      <c r="I639" s="217" t="inlineStr">
        <is>
          <t>"DongTai.warehouse": "ឃ្លាំងអីវ៉ាន់",</t>
        </is>
      </c>
      <c r="N639" s="3" t="inlineStr">
        <is>
          <t>ឃ្លាំង</t>
        </is>
      </c>
    </row>
    <row r="640" ht="15.75" customHeight="1" s="305">
      <c r="A640" s="3" t="inlineStr">
        <is>
          <t>taoDon.weight</t>
        </is>
      </c>
      <c r="B640" s="3" t="inlineStr">
        <is>
          <t>Khối lượng</t>
        </is>
      </c>
      <c r="C640" s="3" t="inlineStr">
        <is>
          <t>Volume</t>
        </is>
      </c>
      <c r="D640" s="3">
        <f>IFERROR(__xludf.DUMMYFUNCTION("GOOGLETRANSLATE(B640,""vi"",""km"")"),"ម៉ាស")</f>
        <v/>
      </c>
      <c r="E640" s="3" t="inlineStr">
        <is>
          <t>ទម្ងន់</t>
        </is>
      </c>
      <c r="F640" s="3" t="n"/>
      <c r="G640" s="3" t="inlineStr">
        <is>
          <t>ទម្ងន់</t>
        </is>
      </c>
      <c r="H640" t="inlineStr">
        <is>
          <t>ទម្ងន់</t>
        </is>
      </c>
      <c r="I640" s="217" t="inlineStr">
        <is>
          <t>"taoDon.weight": "ទម្ងន់",</t>
        </is>
      </c>
      <c r="N640" s="3" t="inlineStr"/>
    </row>
    <row r="641" ht="15.75" customHeight="1" s="305">
      <c r="A641" s="3" t="inlineStr">
        <is>
          <t>taoDon.weightGoodOver50</t>
        </is>
      </c>
      <c r="B641" s="3" t="inlineStr">
        <is>
          <t>Khối lượng không lớn hơn 50,000g</t>
        </is>
      </c>
      <c r="C641" s="3" t="inlineStr">
        <is>
          <t>Weight must not exceed 50,000g</t>
        </is>
      </c>
      <c r="D641" s="3">
        <f>IFERROR(__xludf.DUMMYFUNCTION("GOOGLETRANSLATE(B641,""vi"",""km"")"),"ទម្ងន់មិនគួរលើសពី 50,000 ក្រាមទេ។")</f>
        <v/>
      </c>
      <c r="E641" s="3" t="inlineStr">
        <is>
          <t>ទម្ងន់មិនលើសពី 50,000 ក្រាម</t>
        </is>
      </c>
      <c r="F641" s="3" t="n"/>
      <c r="G641" s="3" t="inlineStr">
        <is>
          <t>ទម្ងន់មិនលើសពី 50,000 ក្រាម</t>
        </is>
      </c>
      <c r="H641" t="inlineStr">
        <is>
          <t>ទម្ងន់មិនលើសពី 50,000 ក្រាម</t>
        </is>
      </c>
      <c r="I641" s="217" t="inlineStr">
        <is>
          <t>"taoDon.weightGoodOver50": "ទម្ងន់មិនលើសពី 50,000 ក្រាម",</t>
        </is>
      </c>
      <c r="N641" s="3" t="inlineStr"/>
    </row>
    <row r="642" ht="15.75" customHeight="1" s="305">
      <c r="A642" s="3" t="inlineStr">
        <is>
          <t>taoDon.chargeableWeight</t>
        </is>
      </c>
      <c r="B642" s="3" t="inlineStr">
        <is>
          <t>Khối lượng tính cước</t>
        </is>
      </c>
      <c r="C642" s="3" t="inlineStr">
        <is>
          <t>Chargeable weight</t>
        </is>
      </c>
      <c r="D642" s="3">
        <f>IFERROR(__xludf.DUMMYFUNCTION("GOOGLETRANSLATE(B642,""vi"",""km"")"),"ទម្ងន់ដែលអាចគិតថ្លៃបាន")</f>
        <v/>
      </c>
      <c r="E642" s="3" t="inlineStr">
        <is>
          <t>ទម្ងន់ដែលអាចគិតថ្លៃបាន</t>
        </is>
      </c>
      <c r="F642" s="3" t="n"/>
      <c r="G642" s="3" t="inlineStr">
        <is>
          <t>ទម្ងន់ដែលអាចគិតថ្លៃបាន</t>
        </is>
      </c>
      <c r="H642" t="inlineStr">
        <is>
          <t>ទម្ងន់ដែលអាចគិតថ្លៃបាន</t>
        </is>
      </c>
      <c r="I642" s="217" t="inlineStr">
        <is>
          <t>"taoDon.chargeableWeight": "ទម្ងន់ដែលអាចគិតថ្លៃបាន",</t>
        </is>
      </c>
      <c r="N642" s="3" t="inlineStr">
        <is>
          <t>ទំងន់គិតថ្លៃ</t>
        </is>
      </c>
    </row>
    <row r="643" ht="15.75" customHeight="1" s="305">
      <c r="A643" s="3" t="inlineStr">
        <is>
          <t>common.no</t>
        </is>
      </c>
      <c r="B643" s="3" t="inlineStr">
        <is>
          <t>Không</t>
        </is>
      </c>
      <c r="C643" s="3" t="inlineStr">
        <is>
          <t>No</t>
        </is>
      </c>
      <c r="D643" s="3">
        <f>IFERROR(__xludf.DUMMYFUNCTION("GOOGLETRANSLATE(B643,""vi"",""km"")"),"មិនមែនទេ")</f>
        <v/>
      </c>
      <c r="E643" s="3" t="inlineStr">
        <is>
          <t>ទេ</t>
        </is>
      </c>
      <c r="F643" s="3" t="n"/>
      <c r="G643" s="3" t="inlineStr">
        <is>
          <t>មិនមាន</t>
        </is>
      </c>
      <c r="H643" t="inlineStr">
        <is>
          <t>មិនមាន</t>
        </is>
      </c>
      <c r="I643" s="217" t="inlineStr">
        <is>
          <t>"common.no": "មិនមាន",</t>
        </is>
      </c>
      <c r="N643" s="3" t="inlineStr"/>
    </row>
    <row r="644" ht="15.75" customHeight="1" s="305">
      <c r="A644" s="3" t="inlineStr">
        <is>
          <t>setting.rulePassword6</t>
        </is>
      </c>
      <c r="B644" s="3" t="inlineStr">
        <is>
          <t>Không bắt đầu bằng 123, 456, 789, 147, 258, 852, 741, abc, 369</t>
        </is>
      </c>
      <c r="C644" s="3" t="inlineStr">
        <is>
          <t>Not started with 123, 456, 789, 147, 258, 852, 741, abc, 369</t>
        </is>
      </c>
      <c r="D644" s="3">
        <f>IFERROR(__xludf.DUMMYFUNCTION("GOOGLETRANSLATE(B644,""vi"",""km"")"),"លេខដែលមិនចាប់ផ្តើមដោយ 123, 456, 789, 147, 258, 852, 741, abc, 369")</f>
        <v/>
      </c>
      <c r="E644" s="3" t="inlineStr">
        <is>
          <t>មិនចាប់ផ្តើមដោយ 123, 456, 789, 147, 258, 852, 741, abc, 369</t>
        </is>
      </c>
      <c r="F644" s="3" t="n"/>
      <c r="G644" s="3" t="inlineStr">
        <is>
          <t>មិនចាប់ផ្តើមដោយ 123, 456, 789, 147, 258, 852, 741, abc, 369</t>
        </is>
      </c>
      <c r="H644" t="inlineStr">
        <is>
          <t>មិនចាប់ផ្តើមដោយ 123, 456, 789, 147, 258, 852, 741, abc, 369</t>
        </is>
      </c>
      <c r="I644" s="217" t="inlineStr">
        <is>
          <t>"setting.rulePassword6": "មិនចាប់ផ្តើមដោយ 123, 456, 789, 147, 258, 852, 741, abc, 369",</t>
        </is>
      </c>
      <c r="N644" s="163" t="inlineStr">
        <is>
          <t>មិនបានចាប់ផ្តើមជាមួយ 123, 456, 789, 147, 258, 852, 741, abc, 369</t>
        </is>
      </c>
    </row>
    <row r="645" ht="15.75" customHeight="1" s="305">
      <c r="A645" s="3" t="inlineStr">
        <is>
          <t>GiaoHang.descReasonRejectView</t>
        </is>
      </c>
      <c r="B645" s="3" t="inlineStr">
        <is>
          <t>Không cho xem hàng</t>
        </is>
      </c>
      <c r="C645" s="3" t="inlineStr">
        <is>
          <t>Checking not allowed</t>
        </is>
      </c>
      <c r="D645" s="3">
        <f>IFERROR(__xludf.DUMMYFUNCTION("GOOGLETRANSLATE(B645,""vi"",""km"")"),"មិនអនុញ្ញាតឱ្យមើលទំនិញទេ។")</f>
        <v/>
      </c>
      <c r="E645" s="3" t="inlineStr">
        <is>
          <t>មិនអនុញ្ញាតឱ្យមានការត្រួតពិនិត្យទេ</t>
        </is>
      </c>
      <c r="F645" s="3" t="n"/>
      <c r="G645" s="3" t="inlineStr">
        <is>
          <t>មិនអនុញ្ញាតឱ្យមានការត្រួតពិនិត្យទេ</t>
        </is>
      </c>
      <c r="H645" t="inlineStr">
        <is>
          <t>មិនអនុញ្ញាតឱ្យមានការត្រួតពិនិត្យទេ</t>
        </is>
      </c>
      <c r="I645" s="217" t="inlineStr">
        <is>
          <t>"GiaoHang.descReasonRejectView": "មិនអនុញ្ញាតឱ្យមានការត្រួតពិនិត្យទេ",</t>
        </is>
      </c>
      <c r="N645" s="3" t="inlineStr">
        <is>
          <t>មិនអនុញ្ញាតឱ្យមើលទំនិញ</t>
        </is>
      </c>
    </row>
    <row r="646" ht="15.75" customHeight="1" s="305">
      <c r="A646" s="3" t="inlineStr">
        <is>
          <t>setting.rulePassword9</t>
        </is>
      </c>
      <c r="B646" s="3" t="inlineStr">
        <is>
          <t>Không chứa 4 ký tự số tăng dần hoặc giảm dần: 1234, 4321, 6789, ...</t>
        </is>
      </c>
      <c r="C646" s="3" t="inlineStr">
        <is>
          <t>Excludes sequences of four consecutive increasing or decreasing digits.</t>
        </is>
      </c>
      <c r="D646" s="3">
        <f>IFERROR(__xludf.DUMMYFUNCTION("GOOGLETRANSLATE(B646,""vi"",""km"")"),"មិនមានលេខ ៤ ខ្ទង់តាមលំដាប់ឡើង ឬចុះ៖ ១២៣៤, ៤៣២១, ៦៧៨៩, ...")</f>
        <v/>
      </c>
      <c r="E646" s="3" t="inlineStr">
        <is>
          <t>មិនមានលេខឡើង ឬចុះ 4 ខ្ទង់ទេ៖ 1234, 4321, 6789, ...</t>
        </is>
      </c>
      <c r="F646" s="3" t="n"/>
      <c r="G646" s="3" t="inlineStr">
        <is>
          <t>មិនមានលេខឡើង ឬចុះ 4 ខ្ទង់ទេ៖ 1234, 4321, 6789, ...</t>
        </is>
      </c>
      <c r="H646" t="inlineStr">
        <is>
          <t>មិនមានលេខឡើង ឬចុះ 4 ខ្ទង់ទេ៖ 1234, 4321, 6789, ...</t>
        </is>
      </c>
      <c r="I646" s="217" t="inlineStr">
        <is>
          <t>"setting.rulePassword9": "មិនមានលេខឡើង ឬចុះ 4 ខ្ទង់ទេ៖ 1234, 4321, 6789, ...",</t>
        </is>
      </c>
      <c r="N646" s="3" t="inlineStr">
        <is>
          <t>Does not contain 4 ascending or descending numeric characters: 1234, 4321, 6789, ...</t>
        </is>
      </c>
    </row>
    <row r="647" ht="15.75" customHeight="1" s="305">
      <c r="A647" s="3" t="inlineStr">
        <is>
          <t>setting.rulePassword7</t>
        </is>
      </c>
      <c r="B647" s="3" t="inlineStr">
        <is>
          <t>Không chứa các cụm từ dễ đoán: qwerty, password, passw0rd, password@123, abc123, iloveyou, viettel@123, admin@123, 123qwea@, abc@123, qwerty@123, vtt@2014, 123@123, 123123, 696969</t>
        </is>
      </c>
      <c r="C647" s="3" t="inlineStr">
        <is>
          <t>Do not contain weak password: qwerty, password, passw0rd, password@123, abc123, iloveyou, viettel@123, admin@123, 123qwea@, abc@123, qwerty@123, vtt@2014, 123@123, 123123, 696969, etc.</t>
        </is>
      </c>
      <c r="D647" s="3">
        <f>IFERROR(__xludf.DUMMYFUNCTION("GOOGLETRANSLATE(B647,""vi"",""km"")"),"មិនមានឃ្លាដែលងាយស្រួលទាយទេ៖ qwerty, password, passw0rd, password@123, abc123, iloveyou, viettel@123, admin@123, 123qwea@, abc@123, qwerty@123, vtt@2014, 123@123, 123123, 696969")</f>
        <v/>
      </c>
      <c r="E647" s="3" t="inlineStr">
        <is>
          <t>មិនមានឃ្លាដែលងាយស្រួលទាយទេ៖ qwerty, password, passw0rd, password@123, abc123, iloveyou, viettel@123, admin@123, 123qwea@, abc@123, qwerty@123, vtt@2014, 123@123, 123123, 696969</t>
        </is>
      </c>
      <c r="F647" s="3" t="n"/>
      <c r="G647" s="3" t="inlineStr">
        <is>
          <t>មិនមានឃ្លាដែលងាយស្រួលទាយទេ៖ qwerty, password, passw0rd, password@123, abc123, iloveyou, viettel@123, admin@123, 123qwea@, abc@123, qwerty@123, vtt@2014, 123@123, 123123, 696969</t>
        </is>
      </c>
      <c r="H647" t="inlineStr">
        <is>
          <t>មិនមានឃ្លាដែលងាយស្រួលទាយទេ៖ qwerty, password, passw0rd, password@123, abc123, iloveyou, viettel@123, admin@123, 123qwea@, abc@123, qwerty@123, vtt@2014, 123@123, 123123, 696969</t>
        </is>
      </c>
      <c r="I647" s="217" t="inlineStr">
        <is>
          <t>"setting.rulePassword7": "មិនមានឃ្លាដែលងាយស្រួលទាយទេ៖ qwerty, password, passw0rd, password@123, abc123, iloveyou, viettel@123, admin@123, 123qwea@, abc@123, qwerty@123, vtt@2014, 123@123, 123123, 696969",</t>
        </is>
      </c>
      <c r="N647" s="163" t="inlineStr">
        <is>
          <t>មិនមានពាក្យសម្ងាត់ខ្សោយ៖ qwerty, ពាក្យសម្ងាត់, passw0rd, password@123, abc123, iloveyou, viettel@123, admin@123, 123qwea@, abc@123, qwerty@123, vtt@2014, 123@123, 1269129, etc.</t>
        </is>
      </c>
    </row>
    <row r="648" ht="15.75" customHeight="1" s="305">
      <c r="A648" s="3" t="inlineStr">
        <is>
          <t>setting.rulePassword8</t>
        </is>
      </c>
      <c r="B648" s="3" t="inlineStr">
        <is>
          <t>Không chứa thông tin cá nhân: tên, ngày sinh, SĐT, CMND/Căn cước, mã nhân viên</t>
        </is>
      </c>
      <c r="C648" s="3" t="inlineStr">
        <is>
          <t>Do not contain personal information: name, date of birth, phone number, ID number, employee ID</t>
        </is>
      </c>
      <c r="D648" s="3">
        <f>IFERROR(__xludf.DUMMYFUNCTION("GOOGLETRANSLATE(B648,""vi"",""km"")"),"មិនមានព័ត៌មានផ្ទាល់ខ្លួន៖ ឈ្មោះ ថ្ងៃខែឆ្នាំកំណើត លេខទូរស័ព្ទ លេខសម្គាល់កាត/លេខសម្គាល់ពលរដ្ឋ លេខកូដបុគ្គលិក។")</f>
        <v/>
      </c>
      <c r="E648" s="3" t="inlineStr">
        <is>
          <t>មិនមានព័ត៌មានផ្ទាល់ខ្លួន៖ ឈ្មោះ ថ្ងៃខែឆ្នាំកំណើត លេខទូរស័ព្ទ អត្តសញ្ញាណប័ណ្ណ/លេខសម្គាល់ លេខកូដបុគ្គលិក</t>
        </is>
      </c>
      <c r="F648" s="3" t="n"/>
      <c r="G648" s="3" t="inlineStr">
        <is>
          <t>មិនមានព័ត៌មានផ្ទាល់ខ្លួន៖ ឈ្មោះ ថ្ងៃខែឆ្នាំកំណើត លេខទូរស័ព្ទ អត្តសញ្ញាណប័ណ្ណ/លេខសម្គាល់ លេខកូដបុគ្គលិក</t>
        </is>
      </c>
      <c r="H648" t="inlineStr">
        <is>
          <t>មិនមានព័ត៌មានផ្ទាល់ខ្លួន៖ ឈ្មោះ ថ្ងៃខែឆ្នាំកំណើត លេខទូរស័ព្ទ អត្តសញ្ញាណប័ណ្ណ/លេខសម្គាល់ លេខកូដបុគ្គលិក</t>
        </is>
      </c>
      <c r="I648" s="217" t="inlineStr">
        <is>
          <t>"setting.rulePassword8": "មិនមានព័ត៌មានផ្ទាល់ខ្លួន៖ ឈ្មោះ ថ្ងៃខែឆ្នាំកំណើត លេខទូរស័ព្ទ អត្តសញ្ញាណប័ណ្ណ/លេខសម្គាល់ លេខកូដបុគ្គលិក",</t>
        </is>
      </c>
      <c r="N648" s="3" t="inlineStr">
        <is>
          <t>Password cannot contain personal information: name, date of birth, phone number, ID card/Citizen ID, employee code</t>
        </is>
      </c>
    </row>
    <row r="649" ht="15.75" customHeight="1" s="305">
      <c r="A649" s="3" t="inlineStr">
        <is>
          <t>banGiao.noDataTuGom</t>
        </is>
      </c>
      <c r="B649" s="3" t="inlineStr">
        <is>
          <t>Không có bảng kê</t>
        </is>
      </c>
      <c r="C649" s="3" t="inlineStr">
        <is>
          <t>No order checklist</t>
        </is>
      </c>
      <c r="D649" s="3">
        <f>IFERROR(__xludf.DUMMYFUNCTION("GOOGLETRANSLATE(B649,""vi"",""km"")"),"គ្មានសេចក្តីថ្លែងការណ៍ទេ")</f>
        <v/>
      </c>
      <c r="E649" s="3" t="inlineStr">
        <is>
          <t>មិនមានតារាង</t>
        </is>
      </c>
      <c r="F649" s="3" t="n"/>
      <c r="G649" s="3" t="inlineStr">
        <is>
          <t>មិនមានតារាង</t>
        </is>
      </c>
      <c r="H649" t="inlineStr">
        <is>
          <t>មិនមានតារាង</t>
        </is>
      </c>
      <c r="I649" s="217" t="inlineStr">
        <is>
          <t>"banGiao.noDataTuGom": "មិនមានតារាង",</t>
        </is>
      </c>
      <c r="N649" s="3" t="inlineStr">
        <is>
          <t>គ្មានបញ្ជីបញ្ជាទិញ</t>
        </is>
      </c>
    </row>
    <row r="650" ht="15.75" customHeight="1" s="305">
      <c r="A650" s="3" t="inlineStr">
        <is>
          <t>traCuoc.emptyService</t>
        </is>
      </c>
      <c r="B650" s="3" t="inlineStr">
        <is>
          <t>Không có dịch vụ phù hợp</t>
        </is>
      </c>
      <c r="C650" s="3" t="inlineStr">
        <is>
          <t>No service</t>
        </is>
      </c>
      <c r="D650" s="3">
        <f>IFERROR(__xludf.DUMMYFUNCTION("GOOGLETRANSLATE(B650,""vi"",""km"")"),"មិនមានសេវាកម្មសមស្របទេ។")</f>
        <v/>
      </c>
      <c r="E650" s="3" t="inlineStr">
        <is>
          <t>មិនមានសេវាកម្មសមស្រប</t>
        </is>
      </c>
      <c r="F650" s="3" t="n"/>
      <c r="G650" s="3" t="inlineStr">
        <is>
          <t>មិនមានសេវាកម្មសមស្រប</t>
        </is>
      </c>
      <c r="H650" t="inlineStr">
        <is>
          <t>មិនមានសេវាកម្មសមស្រប</t>
        </is>
      </c>
      <c r="I650" s="217" t="inlineStr">
        <is>
          <t>"traCuoc.emptyService": "មិនមានសេវាកម្មសមស្រប",</t>
        </is>
      </c>
      <c r="N650" s="3" t="inlineStr">
        <is>
          <t>មិនមានសេវាកម្មសមស្របទេ</t>
        </is>
      </c>
    </row>
    <row r="651" ht="15.75" customHeight="1" s="305">
      <c r="A651" s="3" t="inlineStr">
        <is>
          <t>common.empty</t>
        </is>
      </c>
      <c r="B651" s="3" t="inlineStr">
        <is>
          <t>Không có dữ liệu</t>
        </is>
      </c>
      <c r="C651" s="3" t="inlineStr">
        <is>
          <t xml:space="preserve">Empty </t>
        </is>
      </c>
      <c r="D651" s="3">
        <f>IFERROR(__xludf.DUMMYFUNCTION("GOOGLETRANSLATE(B651,""vi"",""km"")"),"គ្មានទិន្នន័យ")</f>
        <v/>
      </c>
      <c r="E651" s="3" t="inlineStr">
        <is>
          <t>មិនមានទិន្នន័យទេ</t>
        </is>
      </c>
      <c r="F651" s="3" t="n"/>
      <c r="G651" s="3" t="inlineStr">
        <is>
          <t>មិនមានទិន្នន័យទេ</t>
        </is>
      </c>
      <c r="H651" t="inlineStr">
        <is>
          <t>មិនមានទិន្នន័យទេ</t>
        </is>
      </c>
      <c r="I651" s="217" t="inlineStr">
        <is>
          <t>"common.empty": "មិនមានទិន្នន័យទេ",</t>
        </is>
      </c>
      <c r="N651" s="163" t="inlineStr">
        <is>
          <t>ទទេរ</t>
        </is>
      </c>
    </row>
    <row r="652" ht="15.75" customHeight="1" s="305">
      <c r="A652" s="3" t="inlineStr">
        <is>
          <t>login.notfound</t>
        </is>
      </c>
      <c r="B652" s="3" t="inlineStr">
        <is>
          <t>Không có kết quả tìm kiếm phù hợp</t>
        </is>
      </c>
      <c r="C652" s="3" t="inlineStr">
        <is>
          <t>No results</t>
        </is>
      </c>
      <c r="D652" s="3">
        <f>IFERROR(__xludf.DUMMYFUNCTION("GOOGLETRANSLATE(B652,""vi"",""km"")"),"រកមិនឃើញលទ្ធផលស្វែងរកដែលត្រូវគ្នាទេ។")</f>
        <v/>
      </c>
      <c r="E652" s="3" t="inlineStr">
        <is>
          <t>មិនមានលទ្ធផលសមស្របពីការស្វែងរក</t>
        </is>
      </c>
      <c r="F652" s="3" t="n"/>
      <c r="G652" s="3" t="inlineStr">
        <is>
          <t>មិនមានលទ្ធផលសមស្របពីការស្វែងរក</t>
        </is>
      </c>
      <c r="H652" t="inlineStr">
        <is>
          <t>មិនមានលទ្ធផលសមស្របពីការស្វែងរក</t>
        </is>
      </c>
      <c r="I652" s="217" t="inlineStr">
        <is>
          <t>"login.notfound": "មិនមានលទ្ធផលសមស្របពីការស្វែងរក",</t>
        </is>
      </c>
      <c r="N652" s="3" t="inlineStr">
        <is>
          <t>មិនមានលទ្ធផលស្វែងរកដែលត្រូវគ្នាទេ។</t>
        </is>
      </c>
    </row>
    <row r="653" ht="15.75" customHeight="1" s="305">
      <c r="A653" s="3" t="inlineStr">
        <is>
          <t>common.nodata</t>
        </is>
      </c>
      <c r="B653" s="3" t="inlineStr">
        <is>
          <t>Không có kết quả tìm kiếm!</t>
        </is>
      </c>
      <c r="C653" s="3" t="inlineStr">
        <is>
          <t>Empty!</t>
        </is>
      </c>
      <c r="D653" s="3">
        <f>IFERROR(__xludf.DUMMYFUNCTION("GOOGLETRANSLATE(B653,""vi"",""km"")"),"គ្មានលទ្ធផលស្វែងរកទេ!")</f>
        <v/>
      </c>
      <c r="E653" s="3" t="inlineStr">
        <is>
          <t>មិនមានលទ្ធផលពីការស្វែងរក!</t>
        </is>
      </c>
      <c r="F653" s="3" t="n"/>
      <c r="G653" s="3" t="inlineStr">
        <is>
          <t>មិនមានលទ្ធផលពីការស្វែងរក!</t>
        </is>
      </c>
      <c r="H653" t="inlineStr">
        <is>
          <t>មិនមានលទ្ធផលពីការស្វែងរក!</t>
        </is>
      </c>
      <c r="I653" s="217" t="inlineStr">
        <is>
          <t>"common.nodata": "មិនមានលទ្ធផលពីការស្វែងរក!",</t>
        </is>
      </c>
      <c r="N653" s="3" t="inlineStr">
        <is>
          <t>No search results!</t>
        </is>
      </c>
    </row>
    <row r="654" ht="15.75" customHeight="1" s="305">
      <c r="A654" s="3" t="inlineStr">
        <is>
          <t>taoDon.erorEmptyAdress</t>
        </is>
      </c>
      <c r="B654" s="3" t="inlineStr">
        <is>
          <t>không được để trống</t>
        </is>
      </c>
      <c r="C654" s="3" t="inlineStr">
        <is>
          <t>is required</t>
        </is>
      </c>
      <c r="D654" s="3">
        <f>IFERROR(__xludf.DUMMYFUNCTION("GOOGLETRANSLATE(B654,""vi"",""km"")"),"វាមិនអាចទុកឲ្យទទេបានទេ។")</f>
        <v/>
      </c>
      <c r="E654" s="3" t="inlineStr">
        <is>
          <t>មិនអាចទុកចន្លោះបាន</t>
        </is>
      </c>
      <c r="F654" s="3" t="n"/>
      <c r="G654" s="3" t="inlineStr">
        <is>
          <t>មិនអាចទុកចន្លោះបាន</t>
        </is>
      </c>
      <c r="H654" t="inlineStr">
        <is>
          <t>មិនអាចទុកចន្លោះបាន</t>
        </is>
      </c>
      <c r="I654" s="217" t="inlineStr">
        <is>
          <t>"taoDon.erorEmptyAdress": "មិនអាចទុកចន្លោះបាន",</t>
        </is>
      </c>
      <c r="N654" s="3" t="inlineStr">
        <is>
          <t>មិនអាចទទេបានទេ</t>
        </is>
      </c>
    </row>
    <row r="655" ht="15.75" customHeight="1" s="305">
      <c r="A655" s="3" t="inlineStr">
        <is>
          <t>GiaoHang.titleUpdateStatusFail</t>
        </is>
      </c>
      <c r="B655" s="3" t="inlineStr">
        <is>
          <t>Không giao được hàng</t>
        </is>
      </c>
      <c r="C655" s="3" t="inlineStr">
        <is>
          <t>Delivery failed</t>
        </is>
      </c>
      <c r="D655" s="3">
        <f>IFERROR(__xludf.DUMMYFUNCTION("GOOGLETRANSLATE(B655,""vi"",""km"")"),"មិនអាចដឹកជញ្ជូនបានទេ")</f>
        <v/>
      </c>
      <c r="E655" s="3" t="inlineStr">
        <is>
          <t>មិនអាចប្រគល់អីវ៉ាន់បាន</t>
        </is>
      </c>
      <c r="F655" s="3" t="n"/>
      <c r="G655" s="3" t="inlineStr">
        <is>
          <t>ដឹកជញ្ជូនមិនបានសម្រេច</t>
        </is>
      </c>
      <c r="H655" t="inlineStr">
        <is>
          <t>ដឹកជញ្ជូនមិនបានសម្រេច</t>
        </is>
      </c>
      <c r="I655" s="217" t="inlineStr">
        <is>
          <t>"GiaoHang.titleUpdateStatusFail": "ដឹកជញ្ជូនមិនបានសម្រេច",</t>
        </is>
      </c>
      <c r="N655" s="163" t="inlineStr">
        <is>
          <t>ការចែកចាយបានបរាជ័យ</t>
        </is>
      </c>
    </row>
    <row r="656" ht="15.75" customHeight="1" s="305">
      <c r="A656" s="3" t="inlineStr">
        <is>
          <t>mainStatus.430</t>
        </is>
      </c>
      <c r="B656" s="3" t="inlineStr">
        <is>
          <t>Không giao được hàng</t>
        </is>
      </c>
      <c r="C656" s="3" t="inlineStr">
        <is>
          <t>Ship failed</t>
        </is>
      </c>
      <c r="D656" s="3">
        <f>IFERROR(__xludf.DUMMYFUNCTION("GOOGLETRANSLATE(B656,""vi"",""km"")"),"មិនអាចដឹកជញ្ជូនបានទេ")</f>
        <v/>
      </c>
      <c r="E656" s="3" t="inlineStr">
        <is>
          <t>មិនអាចប្រគល់អីវ៉ាន់បាន</t>
        </is>
      </c>
      <c r="F656" s="3" t="n"/>
      <c r="G656" s="3" t="inlineStr">
        <is>
          <t>ដឹកជញ្ជូនមិនបានសម្រេច</t>
        </is>
      </c>
      <c r="H656" t="inlineStr">
        <is>
          <t>ដឹកជញ្ជូនមិនបានសម្រេច</t>
        </is>
      </c>
      <c r="I656" s="217" t="inlineStr">
        <is>
          <t>"mainStatus.430": "ដឹកជញ្ជូនមិនបានសម្រេច",</t>
        </is>
      </c>
      <c r="N656" s="3" t="inlineStr">
        <is>
          <t>មិនអាចប្រគល់ទំនិញបាន</t>
        </is>
      </c>
    </row>
    <row r="657" ht="15.75" customHeight="1" s="305">
      <c r="A657" s="3" t="inlineStr">
        <is>
          <t>forgotPassword.required4</t>
        </is>
      </c>
      <c r="B657" s="3" t="inlineStr">
        <is>
          <t>Không gồm khoảng trắng và ký tự chữ có dấu</t>
        </is>
      </c>
      <c r="C657" s="3" t="inlineStr">
        <is>
          <t>Space and tonal marks not included</t>
        </is>
      </c>
      <c r="D657" s="3">
        <f>IFERROR(__xludf.DUMMYFUNCTION("GOOGLETRANSLATE(B657,""vi"",""km"")"),"មិនរាប់បញ្ចូលចន្លោះ និងតួអក្សរដែលមានការសង្កត់សំឡេងទេ។")</f>
        <v/>
      </c>
      <c r="E657" s="3" t="inlineStr">
        <is>
          <t>គ្មានចន្លោះ ឬតួអក្សរមានសញ្ញា</t>
        </is>
      </c>
      <c r="F657" s="3" t="n"/>
      <c r="G657" s="3" t="inlineStr">
        <is>
          <t>គ្មានចន្លោះ ឬតួអក្សរមានសញ្ញា</t>
        </is>
      </c>
      <c r="H657" t="inlineStr">
        <is>
          <t>គ្មានចន្លោះ ឬតួអក្សរមានសញ្ញា</t>
        </is>
      </c>
      <c r="I657" s="217" t="inlineStr">
        <is>
          <t>"forgotPassword.required4": "គ្មានចន្លោះ ឬតួអក្សរមានសញ្ញា",</t>
        </is>
      </c>
      <c r="N657" s="3" t="inlineStr">
        <is>
          <t>មិនរួមបញ្ចូលដកឃ្លា និងអក្សរសង្កត់សំឡេង</t>
        </is>
      </c>
    </row>
    <row r="658" ht="15.75" customHeight="1" s="305">
      <c r="A658" s="3" t="inlineStr">
        <is>
          <t>setting.rulePassword5</t>
        </is>
      </c>
      <c r="B658" s="3" t="inlineStr">
        <is>
          <t>Không gồm khoảng trắng và ký tự chữ có dấu</t>
        </is>
      </c>
      <c r="C658" s="3" t="inlineStr">
        <is>
          <t>Space and tonal marks not included</t>
        </is>
      </c>
      <c r="D658" s="3">
        <f>IFERROR(__xludf.DUMMYFUNCTION("GOOGLETRANSLATE(B658,""vi"",""km"")"),"មិនរាប់បញ្ចូលចន្លោះ និងតួអក្សរដែលមានការសង្កត់សំឡេងទេ។")</f>
        <v/>
      </c>
      <c r="E658" s="3" t="inlineStr">
        <is>
          <t>គ្មានចន្លោះ ឬតួអក្សរមានសញ្ញា</t>
        </is>
      </c>
      <c r="F658" s="3" t="n"/>
      <c r="G658" s="3" t="inlineStr">
        <is>
          <t>គ្មានចន្លោះ ឬតួអក្សរមានសញ្ញា</t>
        </is>
      </c>
      <c r="H658" t="inlineStr">
        <is>
          <t>គ្មានចន្លោះ ឬតួអក្សរមានសញ្ញា</t>
        </is>
      </c>
      <c r="I658" s="217" t="inlineStr">
        <is>
          <t>"setting.rulePassword5": "គ្មានចន្លោះ ឬតួអក្សរមានសញ្ញា",</t>
        </is>
      </c>
      <c r="N658" s="3" t="inlineStr">
        <is>
          <t>Does not include spaces and accented letters</t>
        </is>
      </c>
    </row>
    <row r="659" ht="15.75" customHeight="1" s="305">
      <c r="A659" s="3" t="inlineStr">
        <is>
          <t>change_password.exclude_case</t>
        </is>
      </c>
      <c r="B659" s="3" t="inlineStr">
        <is>
          <t>Không gồm khoảng trắng và ký tự chữ có dấu</t>
        </is>
      </c>
      <c r="C659" s="3" t="inlineStr">
        <is>
          <t>No spaces or accented letters</t>
        </is>
      </c>
      <c r="D659" s="3">
        <f>IFERROR(__xludf.DUMMYFUNCTION("GOOGLETRANSLATE(B659,""vi"",""km"")"),"មិនរាប់បញ្ចូលចន្លោះ និងតួអក្សរដែលមានការសង្កត់សំឡេងទេ។")</f>
        <v/>
      </c>
      <c r="E659" s="3" t="inlineStr">
        <is>
          <t>គ្មានចន្លោះ ឬតួអក្សរមានសញ្ញា</t>
        </is>
      </c>
      <c r="F659" s="3" t="n"/>
      <c r="G659" s="3" t="inlineStr">
        <is>
          <t>គ្មានចន្លោះ ឬតួអក្សរមានសញ្ញា</t>
        </is>
      </c>
      <c r="H659" t="inlineStr">
        <is>
          <t>គ្មានចន្លោះ ឬតួអក្សរមានសញ្ញា</t>
        </is>
      </c>
      <c r="I659" s="217" t="inlineStr">
        <is>
          <t>"change_password.exclude_case": "គ្មានចន្លោះ ឬតួអក្សរមានសញ្ញា",</t>
        </is>
      </c>
      <c r="N659" s="3" t="inlineStr">
        <is>
          <t>មិនអនុញ្ញាតឲ្យមានចន្លោះ និងអក្សរដែលមានសញ្ញា</t>
        </is>
      </c>
    </row>
    <row r="660" ht="15.75" customHeight="1" s="305">
      <c r="A660" s="3" t="inlineStr">
        <is>
          <t>nhanHang.canNotGetGoods</t>
        </is>
      </c>
      <c r="B660" s="3" t="inlineStr">
        <is>
          <t>Không lấy được hàng</t>
        </is>
      </c>
      <c r="C660" s="3" t="inlineStr">
        <is>
          <t>Unable to pick up order</t>
        </is>
      </c>
      <c r="D660" s="3">
        <f>IFERROR(__xludf.DUMMYFUNCTION("GOOGLETRANSLATE(B660,""vi"",""km"")"),"មិនអាចទទួលទំនិញបានទេ។")</f>
        <v/>
      </c>
      <c r="E660" s="3" t="inlineStr">
        <is>
          <t>មិនអាចយកអីវ៉ាន់បាន</t>
        </is>
      </c>
      <c r="F660" s="3" t="n"/>
      <c r="G660" s="3" t="inlineStr">
        <is>
          <t>យកអីវ៉ាន់មិនបានសម្រេច</t>
        </is>
      </c>
      <c r="H660" t="inlineStr">
        <is>
          <t>យកអីវ៉ាន់មិនបានសម្រេច</t>
        </is>
      </c>
      <c r="I660" s="217" t="inlineStr">
        <is>
          <t>"nhanHang.canNotGetGoods": "យកអីវ៉ាន់មិនបានសម្រេច",</t>
        </is>
      </c>
      <c r="N660" s="3" t="inlineStr">
        <is>
          <t>មិនអាចទទួលទំនិញបានទេ</t>
        </is>
      </c>
    </row>
    <row r="661" ht="15.75" customHeight="1" s="305">
      <c r="A661" s="3" t="inlineStr">
        <is>
          <t>mainStatus.230</t>
        </is>
      </c>
      <c r="B661" s="3" t="inlineStr">
        <is>
          <t>Không lấy được hàng</t>
        </is>
      </c>
      <c r="C661" s="3" t="inlineStr">
        <is>
          <t>Receive failed</t>
        </is>
      </c>
      <c r="D661" s="3">
        <f>IFERROR(__xludf.DUMMYFUNCTION("GOOGLETRANSLATE(B661,""vi"",""km"")"),"មិនអាចទទួលទំនិញបានទេ។")</f>
        <v/>
      </c>
      <c r="E661" s="3" t="inlineStr">
        <is>
          <t>មិនអាចយកអីវ៉ាន់បាន</t>
        </is>
      </c>
      <c r="F661" s="3" t="n"/>
      <c r="G661" s="3" t="inlineStr">
        <is>
          <t>យកអីវ៉ាន់មិនបានសម្រេច</t>
        </is>
      </c>
      <c r="H661" t="inlineStr">
        <is>
          <t>យកអីវ៉ាន់មិនបានសម្រេច</t>
        </is>
      </c>
      <c r="I661" s="217" t="inlineStr">
        <is>
          <t>"mainStatus.230": "យកអីវ៉ាន់មិនបានសម្រេច",</t>
        </is>
      </c>
      <c r="N661" s="3" t="inlineStr">
        <is>
          <t>មិនអាចទទួលបានទំនិញ</t>
        </is>
      </c>
    </row>
    <row r="662" ht="15.75" customHeight="1" s="305">
      <c r="A662" s="3" t="inlineStr">
        <is>
          <t>nhanHang.unableToContactCustomer</t>
        </is>
      </c>
      <c r="B662" s="3" t="inlineStr">
        <is>
          <t>Không liên hệ được với khách hàng</t>
        </is>
      </c>
      <c r="C662" s="3" t="inlineStr">
        <is>
          <t>Unable to contact customer</t>
        </is>
      </c>
      <c r="D662" s="3">
        <f>IFERROR(__xludf.DUMMYFUNCTION("GOOGLETRANSLATE(B662,""vi"",""km"")"),"មិនអាចទាក់ទងអតិថិជនបានទេ។")</f>
        <v/>
      </c>
      <c r="E662" s="3" t="inlineStr">
        <is>
          <t>មិនអាចទាក់ទងអតិថិជនបានទេ</t>
        </is>
      </c>
      <c r="F662" s="3" t="n"/>
      <c r="G662" s="3" t="inlineStr">
        <is>
          <t>មិនអាចទាក់ទងអតិថិជនបានទេ</t>
        </is>
      </c>
      <c r="H662" t="inlineStr">
        <is>
          <t>មិនអាចទាក់ទងអតិថិជនបានទេ</t>
        </is>
      </c>
      <c r="I662" s="217" t="inlineStr">
        <is>
          <t>"nhanHang.unableToContactCustomer": "មិនអាចទាក់ទងអតិថិជនបានទេ",</t>
        </is>
      </c>
      <c r="N662" s="3" t="inlineStr">
        <is>
          <t>មិនអាចទំនាក់ទំនងអតិថិជនបានទេ</t>
        </is>
      </c>
    </row>
    <row r="663" ht="15.75" customHeight="1" s="305">
      <c r="A663" s="3" t="inlineStr">
        <is>
          <t>GiaoHang.descUpdateStatusRefund3</t>
        </is>
      </c>
      <c r="B663" s="3" t="inlineStr">
        <is>
          <t>Không liên lạc được KH nhiều lần</t>
        </is>
      </c>
      <c r="C663" s="3" t="inlineStr">
        <is>
          <t>Failed to contact recipient for times</t>
        </is>
      </c>
      <c r="D663" s="3">
        <f>IFERROR(__xludf.DUMMYFUNCTION("GOOGLETRANSLATE(B663,""vi"",""km"")"),"មិនអាចទាក់ទងអតិថិជនច្រើនដងបានទេ។")</f>
        <v/>
      </c>
      <c r="E663" s="3" t="inlineStr">
        <is>
          <t>មិនអាចទាក់ទងអតិថិជនច្រើនដង</t>
        </is>
      </c>
      <c r="F663" s="3" t="n"/>
      <c r="G663" s="3" t="inlineStr">
        <is>
          <t>មិនអាចទាក់ទងអតិថិជនច្រើនដង</t>
        </is>
      </c>
      <c r="H663" t="inlineStr">
        <is>
          <t>មិនអាចទាក់ទងអតិថិជនច្រើនដង</t>
        </is>
      </c>
      <c r="I663" s="217" t="inlineStr">
        <is>
          <t>"GiaoHang.descUpdateStatusRefund3": "មិនអាចទាក់ទងអតិថិជនច្រើនដង",</t>
        </is>
      </c>
      <c r="N663" s="3" t="inlineStr">
        <is>
          <t>មិនអាចទាក់ទងអ្នកទទួលបានទេជាច្រើនដង។</t>
        </is>
      </c>
    </row>
    <row r="664" ht="15.75" customHeight="1" s="305">
      <c r="A664" s="3" t="inlineStr">
        <is>
          <t>GiaoHang.descUpdateStatusFail2</t>
        </is>
      </c>
      <c r="B664" s="3" t="inlineStr">
        <is>
          <t>Không liên lạc được khách hàng</t>
        </is>
      </c>
      <c r="C664" s="3" t="inlineStr">
        <is>
          <t>Unable to contact the recipient</t>
        </is>
      </c>
      <c r="D664" s="3">
        <f>IFERROR(__xludf.DUMMYFUNCTION("GOOGLETRANSLATE(B664,""vi"",""km"")"),"មិនអាចទាក់ទងអតិថិជនបានទេ។")</f>
        <v/>
      </c>
      <c r="E664" s="3" t="inlineStr">
        <is>
          <t>មិនអាចទាក់ទងអតិថិជនបាន</t>
        </is>
      </c>
      <c r="F664" s="3" t="n"/>
      <c r="G664" s="3" t="inlineStr">
        <is>
          <t>មិនអាចទាក់ទងអតិថិជនបាន</t>
        </is>
      </c>
      <c r="H664" t="inlineStr">
        <is>
          <t>មិនអាចទាក់ទងអតិថិជនបាន</t>
        </is>
      </c>
      <c r="I664" s="217" t="inlineStr">
        <is>
          <t>"GiaoHang.descUpdateStatusFail2": "មិនអាចទាក់ទងអតិថិជនបាន",</t>
        </is>
      </c>
      <c r="N664" s="3" t="inlineStr">
        <is>
          <t>មិនអាចទាក់ទងអ្នកទទួលបានទេ។</t>
        </is>
      </c>
    </row>
    <row r="665" ht="15.75" customHeight="1" s="305">
      <c r="A665" s="3" t="inlineStr">
        <is>
          <t>setting.rulePassword1</t>
        </is>
      </c>
      <c r="B665" s="3" t="inlineStr">
        <is>
          <t>Không nhập trùng với mật khẩu hiện tại</t>
        </is>
      </c>
      <c r="C665" s="3" t="inlineStr">
        <is>
          <t>New password must not be the same as the current password</t>
        </is>
      </c>
      <c r="D665" s="3">
        <f>IFERROR(__xludf.DUMMYFUNCTION("GOOGLETRANSLATE(B665,""vi"",""km"")"),"កុំបញ្ចូលពាក្យសម្ងាត់ដូចគ្នានឹងពាក្យសម្ងាត់បច្ចុប្បន្ន។")</f>
        <v/>
      </c>
      <c r="E665" s="3" t="inlineStr">
        <is>
          <t>មិនអាចបញ្ចូលពាក្យសម្ងាត់ដូចបច្ចុប្បន្ន</t>
        </is>
      </c>
      <c r="F665" s="3" t="n"/>
      <c r="G665" s="3" t="inlineStr">
        <is>
          <t>មិនអាចបញ្ចូលពាក្យសម្ងាត់ដូចបច្ចុប្បន្ន</t>
        </is>
      </c>
      <c r="H665" t="inlineStr">
        <is>
          <t>មិនអាចបញ្ចូលពាក្យសម្ងាត់ដូចបច្ចុប្បន្ន</t>
        </is>
      </c>
      <c r="I665" s="217" t="inlineStr">
        <is>
          <t>"setting.rulePassword1": "មិនអាចបញ្ចូលពាក្យសម្ងាត់ដូចបច្ចុប្បន្ន",</t>
        </is>
      </c>
      <c r="N665" s="3" t="inlineStr">
        <is>
          <t>The input password is exactly matched with the new password, please re-enter</t>
        </is>
      </c>
    </row>
    <row r="666" ht="15.75" customHeight="1" s="305">
      <c r="A666" s="3" t="inlineStr">
        <is>
          <t>error.errorUrl1</t>
        </is>
      </c>
      <c r="B666" s="3" t="inlineStr">
        <is>
          <t xml:space="preserve">Không thể mở liên kết: </t>
        </is>
      </c>
      <c r="C666" s="3" t="inlineStr">
        <is>
          <t xml:space="preserve">Unable to open link: </t>
        </is>
      </c>
      <c r="D666" s="3">
        <f>IFERROR(__xludf.DUMMYFUNCTION("GOOGLETRANSLATE(B666,""vi"",""km"")"),"មិនអាចបើកតំណភ្ជាប់បានទេ៖")</f>
        <v/>
      </c>
      <c r="E666" s="3" t="inlineStr">
        <is>
          <t>មិនអាចបើកលីង៖</t>
        </is>
      </c>
      <c r="F666" s="3" t="n"/>
      <c r="G666" s="3" t="inlineStr">
        <is>
          <t>មិនអាចបើកលីង៖</t>
        </is>
      </c>
      <c r="H666" t="inlineStr">
        <is>
          <t>មិនអាចបើកលីង៖</t>
        </is>
      </c>
      <c r="I666" s="217" t="inlineStr">
        <is>
          <t>"error.errorUrl1": "មិនអាចបើកលីង៖",</t>
        </is>
      </c>
      <c r="N666" s="3" t="inlineStr">
        <is>
          <t xml:space="preserve">មិនអាចបើកតំណ៖ </t>
        </is>
      </c>
    </row>
    <row r="667" ht="15.75" customHeight="1" s="305">
      <c r="A667" s="3" t="inlineStr">
        <is>
          <t>suaDon.cannotEdit</t>
        </is>
      </c>
      <c r="B667" s="3" t="inlineStr">
        <is>
          <t>Không thể sửa đơn {{value}}!</t>
        </is>
      </c>
      <c r="C667" s="3" t="inlineStr">
        <is>
          <t>Cannot modify order {{value}}!</t>
        </is>
      </c>
      <c r="D667" s="3">
        <f>IFERROR(__xludf.DUMMYFUNCTION("GOOGLETRANSLATE(B667,""vi"",""km"")"),"មិនអាចកែសម្រួលលំដាប់ {{value}} បានទេ!")</f>
        <v/>
      </c>
      <c r="E667" s="3" t="inlineStr">
        <is>
          <t>មិនអាចកែសម្រួលបុងបញ្ញើ {{value}} បានទេ!</t>
        </is>
      </c>
      <c r="F667" s="3" t="n"/>
      <c r="G667" s="3" t="inlineStr">
        <is>
          <t>មិនអាចកែសម្រួលបុងបញ្ញើ {{value}} បានទេ!</t>
        </is>
      </c>
      <c r="H667" t="inlineStr">
        <is>
          <t>មិនអាចកែសម្រួលបុងបញ្ញើ {{value}} បានទេ!</t>
        </is>
      </c>
      <c r="I667" s="217" t="inlineStr">
        <is>
          <t>"suaDon.cannotEdit": "មិនអាចកែសម្រួលបុងបញ្ញើ {{value}} បានទេ!",</t>
        </is>
      </c>
      <c r="N667" s="3" t="inlineStr">
        <is>
          <t>ការបញ្ជាទិញមិនអាចកែសម្រួលបានទេ។ {{value}}!</t>
        </is>
      </c>
    </row>
    <row r="668" ht="15.75" customHeight="1" s="305">
      <c r="A668" s="3" t="inlineStr">
        <is>
          <t>KiemKe.errorScanBill</t>
        </is>
      </c>
      <c r="B668" s="3" t="inlineStr">
        <is>
          <t>Không tìm thấy bưu phẩm</t>
        </is>
      </c>
      <c r="C668" s="3" t="inlineStr">
        <is>
          <t>No results</t>
        </is>
      </c>
      <c r="D668" s="3">
        <f>IFERROR(__xludf.DUMMYFUNCTION("GOOGLETRANSLATE(B668,""vi"",""km"")"),"រកមិនឃើញកញ្ចប់នោះទេ។")</f>
        <v/>
      </c>
      <c r="E668" s="3" t="inlineStr">
        <is>
          <t>មិនអាចស្វែងរកឃើញកញ្ចប់ឯកសារ</t>
        </is>
      </c>
      <c r="F668" s="3" t="n"/>
      <c r="G668" s="3" t="inlineStr">
        <is>
          <t>មិនអាចស្វែងរកឃើញកញ្ចប់</t>
        </is>
      </c>
      <c r="H668" t="inlineStr">
        <is>
          <t>មិនអាចស្វែងរកឃើញកញ្ចប់</t>
        </is>
      </c>
      <c r="I668" s="217" t="inlineStr">
        <is>
          <t>"KiemKe.errorScanBill": "មិនអាចស្វែងរកឃើញកញ្ចប់",</t>
        </is>
      </c>
      <c r="N668" s="163" t="inlineStr">
        <is>
          <t>គ្មានលទ្ធផល</t>
        </is>
      </c>
    </row>
    <row r="669" ht="15.75" customHeight="1" s="305">
      <c r="A669" s="3" t="inlineStr">
        <is>
          <t>KiemKe.reason2</t>
        </is>
      </c>
      <c r="B669" s="3" t="inlineStr">
        <is>
          <t>Không tìm thấy bưu phẩm</t>
        </is>
      </c>
      <c r="C669" s="3" t="inlineStr">
        <is>
          <t>No results</t>
        </is>
      </c>
      <c r="D669" s="3">
        <f>IFERROR(__xludf.DUMMYFUNCTION("GOOGLETRANSLATE(B669,""vi"",""km"")"),"រកមិនឃើញកញ្ចប់នោះទេ។")</f>
        <v/>
      </c>
      <c r="E669" s="3" t="inlineStr">
        <is>
          <t>មិនអាចស្វែងរកឃើញកញ្ចប់ឯកសារ</t>
        </is>
      </c>
      <c r="F669" s="3" t="n"/>
      <c r="G669" s="3" t="inlineStr">
        <is>
          <t>មិនអាចស្វែងរកឃើញកញ្ចប់</t>
        </is>
      </c>
      <c r="H669" t="inlineStr">
        <is>
          <t>មិនអាចស្វែងរកឃើញកញ្ចប់</t>
        </is>
      </c>
      <c r="I669" s="217" t="inlineStr">
        <is>
          <t>"KiemKe.reason2": "មិនអាចស្វែងរកឃើញកញ្ចប់",</t>
        </is>
      </c>
      <c r="N669" s="163" t="inlineStr">
        <is>
          <t>គ្មានលទ្ធផល</t>
        </is>
      </c>
    </row>
    <row r="670" ht="15.75" customHeight="1" s="305">
      <c r="A670" s="3" t="inlineStr">
        <is>
          <t>suaDon.emptyTitle</t>
        </is>
      </c>
      <c r="B670" s="3" t="inlineStr">
        <is>
          <t>Không tìm thấy đơn</t>
        </is>
      </c>
      <c r="C670" s="3" t="inlineStr">
        <is>
          <t>No results</t>
        </is>
      </c>
      <c r="D670" s="3">
        <f>IFERROR(__xludf.DUMMYFUNCTION("GOOGLETRANSLATE(B670,""vi"",""km"")"),"រកមិនឃើញការបញ្ជាទិញទេ។")</f>
        <v/>
      </c>
      <c r="E670" s="3" t="inlineStr">
        <is>
          <t>ស្វែ្វងរកបុងបញ្ញើមិនឃើញ</t>
        </is>
      </c>
      <c r="F670" s="3" t="n"/>
      <c r="G670" s="3" t="inlineStr">
        <is>
          <t>ស្វែ្វងរកបុងបញ្ញើមិនឃើញ</t>
        </is>
      </c>
      <c r="H670" t="inlineStr">
        <is>
          <t>ស្វែ្វងរកបុងបញ្ញើមិនឃើញ</t>
        </is>
      </c>
      <c r="I670" s="217" t="inlineStr">
        <is>
          <t>"suaDon.emptyTitle": "ស្វែ្វងរកបុងបញ្ញើមិនឃើញ",</t>
        </is>
      </c>
      <c r="N670" s="3" t="inlineStr">
        <is>
          <t>រកមិនឃើញកញ្ចប់បញ្ញើទេ</t>
        </is>
      </c>
    </row>
    <row r="671" ht="15.75" customHeight="1" s="305">
      <c r="A671" s="3" t="inlineStr">
        <is>
          <t>nhanHang.orderNotFound</t>
        </is>
      </c>
      <c r="B671" s="3" t="inlineStr">
        <is>
          <t>Không tìm thấy đơn hàng</t>
        </is>
      </c>
      <c r="C671" s="3" t="inlineStr">
        <is>
          <t>Order not found</t>
        </is>
      </c>
      <c r="D671" s="3">
        <f>IFERROR(__xludf.DUMMYFUNCTION("GOOGLETRANSLATE(B671,""vi"",""km"")"),"រកមិនឃើញការបញ្ជាទិញទេ។")</f>
        <v/>
      </c>
      <c r="E671" s="3" t="inlineStr">
        <is>
          <t>ស្វែ្វងរកបុងបញ្ញើមិនឃើញ</t>
        </is>
      </c>
      <c r="F671" s="3" t="n"/>
      <c r="G671" s="3" t="inlineStr">
        <is>
          <t>ស្វែ្វងរកបុងបញ្ញើមិនឃើញ</t>
        </is>
      </c>
      <c r="H671" t="inlineStr">
        <is>
          <t>ស្វែ្វងរកបុងបញ្ញើមិនឃើញ</t>
        </is>
      </c>
      <c r="I671" s="217" t="inlineStr">
        <is>
          <t>"nhanHang.orderNotFound": "ស្វែ្វងរកបុងបញ្ញើមិនឃើញ",</t>
        </is>
      </c>
      <c r="N671" s="3" t="inlineStr">
        <is>
          <t>រកមិនឃើញការបញ្ជាទិញ</t>
        </is>
      </c>
    </row>
    <row r="672" ht="15.75" customHeight="1" s="305">
      <c r="A672" s="3" t="inlineStr">
        <is>
          <t>common.emptySearch</t>
        </is>
      </c>
      <c r="B672" s="3" t="inlineStr">
        <is>
          <t>Không tìm thấy kết quả phù hợp</t>
        </is>
      </c>
      <c r="C672" s="3" t="inlineStr">
        <is>
          <t>No matching results found</t>
        </is>
      </c>
      <c r="D672" s="3">
        <f>IFERROR(__xludf.DUMMYFUNCTION("GOOGLETRANSLATE(B672,""vi"",""km"")"),"រកមិនឃើញលទ្ធផលដែលត្រូវគ្នាទេ។")</f>
        <v/>
      </c>
      <c r="E672" s="3" t="inlineStr">
        <is>
          <t>ស្វែ្វងរកលទ្ធផលដែលសមស្របមិនឃើញ</t>
        </is>
      </c>
      <c r="F672" s="3" t="n"/>
      <c r="G672" s="3" t="inlineStr">
        <is>
          <t>ស្វែ្វងរកលទ្ធផលដែលសមស្របមិនឃើញ</t>
        </is>
      </c>
      <c r="H672" t="inlineStr">
        <is>
          <t>ស្វែ្វងរកលទ្ធផលដែលសមស្របមិនឃើញ</t>
        </is>
      </c>
      <c r="I672" s="217" t="inlineStr">
        <is>
          <t>"common.emptySearch": "ស្វែ្វងរកលទ្ធផលដែលសមស្របមិនឃើញ",</t>
        </is>
      </c>
      <c r="N672" s="3" t="inlineStr">
        <is>
          <t>រកមិនឃើញលទ្ធផលដែលត្រូវគ្នា</t>
        </is>
      </c>
    </row>
    <row r="673" ht="15.75" customHeight="1" s="305">
      <c r="A673" s="3" t="inlineStr">
        <is>
          <t>PhanCong.emptyListBuuTa</t>
        </is>
      </c>
      <c r="B673" s="3" t="inlineStr">
        <is>
          <t>Không tìm thấy nhân viên</t>
        </is>
      </c>
      <c r="C673" s="3" t="inlineStr">
        <is>
          <t>No results of postman</t>
        </is>
      </c>
      <c r="D673" s="3">
        <f>IFERROR(__xludf.DUMMYFUNCTION("GOOGLETRANSLATE(B673,""vi"",""km"")"),"រកមិនឃើញបុគ្គលិកទេ។")</f>
        <v/>
      </c>
      <c r="E673" s="3" t="inlineStr">
        <is>
          <t>រកមិនឃើញបុគ្គលិកទេ</t>
        </is>
      </c>
      <c r="F673" s="3" t="n"/>
      <c r="G673" s="3" t="inlineStr">
        <is>
          <t>រកមិនឃើញបុគ្គលិកទេ</t>
        </is>
      </c>
      <c r="H673" t="inlineStr">
        <is>
          <t>រកមិនឃើញបុគ្គលិកទេ</t>
        </is>
      </c>
      <c r="I673" s="217" t="inlineStr">
        <is>
          <t>"PhanCong.emptyListBuuTa": "រកមិនឃើញបុគ្គលិកទេ",</t>
        </is>
      </c>
      <c r="N673" s="3" t="inlineStr">
        <is>
          <t>រកមិនឃើញបុគ្គលិកទេ</t>
        </is>
      </c>
    </row>
    <row r="674" ht="15.75" customHeight="1" s="305">
      <c r="A674" s="3" t="inlineStr">
        <is>
          <t>login.forceUpdateVersionEmpty</t>
        </is>
      </c>
      <c r="B674" s="3" t="inlineStr">
        <is>
          <t>Không tìm thấy thông tin phiên bản hợp lệ.</t>
        </is>
      </c>
      <c r="C674" s="3" t="inlineStr">
        <is>
          <t>No valid version information found.</t>
        </is>
      </c>
      <c r="D674" s="3">
        <f>IFERROR(__xludf.DUMMYFUNCTION("GOOGLETRANSLATE(B674,""vi"",""km"")"),"រកមិនឃើញព័ត៌មានកំណែដែលត្រឹមត្រូវទេ។")</f>
        <v/>
      </c>
      <c r="E674" s="3" t="inlineStr">
        <is>
          <t>ស្វែងរកព័ត៌មានដែលមានទម្រង់សមស្របមិនឃើញ</t>
        </is>
      </c>
      <c r="F674" s="3" t="n"/>
      <c r="G674" s="3" t="inlineStr">
        <is>
          <t>ស្វែងរកព័ត៌មានដែលមានទម្រង់សមស្របមិនឃើញ</t>
        </is>
      </c>
      <c r="H674" t="inlineStr">
        <is>
          <t>ស្វែងរកព័ត៌មានដែលមានទម្រង់សមស្របមិនឃើញ</t>
        </is>
      </c>
      <c r="I674" s="217" t="inlineStr">
        <is>
          <t>"login.forceUpdateVersionEmpty": "ស្វែងរកព័ត៌មានដែលមានទម្រង់សមស្របមិនឃើញ",</t>
        </is>
      </c>
      <c r="N674" s="3" t="inlineStr">
        <is>
          <t>មិនឃើញព័ត៌មានកំណែត្រឹមត្រូវ។</t>
        </is>
      </c>
    </row>
    <row r="675" ht="15.75" customHeight="1" s="305">
      <c r="A675" s="3" t="inlineStr">
        <is>
          <t>mainStatus.540</t>
        </is>
      </c>
      <c r="B675" s="3" t="inlineStr">
        <is>
          <t>Không trả được hàng</t>
        </is>
      </c>
      <c r="C675" s="3" t="inlineStr">
        <is>
          <t>Return failed</t>
        </is>
      </c>
      <c r="D675" s="3">
        <f>IFERROR(__xludf.DUMMYFUNCTION("GOOGLETRANSLATE(B675,""vi"",""km"")"),"មិនអាចប្រគល់ទំនិញវិញបានទេ។")</f>
        <v/>
      </c>
      <c r="E675" s="3" t="inlineStr">
        <is>
          <t>មិនអាចបប្រគល់អីវ៉ាន់បាន</t>
        </is>
      </c>
      <c r="F675" s="3" t="n"/>
      <c r="G675" s="3" t="inlineStr">
        <is>
          <t>ប្រគល់ត្រឡប់មិនបានសម្រេច</t>
        </is>
      </c>
      <c r="H675" t="inlineStr">
        <is>
          <t>ប្រគល់ត្រឡប់មិនបានសម្រេច</t>
        </is>
      </c>
      <c r="I675" s="217" t="inlineStr">
        <is>
          <t>"mainStatus.540": "ប្រគល់ត្រឡប់មិនបានសម្រេច",</t>
        </is>
      </c>
      <c r="N675" s="3" t="inlineStr">
        <is>
          <t>មិនអាចប្រគល់ទំនិញបាន</t>
        </is>
      </c>
    </row>
    <row r="676" ht="15.75" customHeight="1" s="305">
      <c r="A676" s="3" t="inlineStr">
        <is>
          <t>taoDon.promotion</t>
        </is>
      </c>
      <c r="B676" s="3" t="inlineStr">
        <is>
          <t>Khuyến mãi</t>
        </is>
      </c>
      <c r="C676" s="3" t="inlineStr">
        <is>
          <t>Promotion</t>
        </is>
      </c>
      <c r="D676" s="3">
        <f>IFERROR(__xludf.DUMMYFUNCTION("GOOGLETRANSLATE(B676,""vi"",""km"")"),"ការផ្សព្វផ្សាយ")</f>
        <v/>
      </c>
      <c r="E676" s="3" t="inlineStr">
        <is>
          <t>ប្រម៉ូសិន</t>
        </is>
      </c>
      <c r="F676" s="3" t="n"/>
      <c r="G676" s="3" t="inlineStr">
        <is>
          <t>ប្រម៉ូសិន</t>
        </is>
      </c>
      <c r="H676" t="inlineStr">
        <is>
          <t>ប្រម៉ូសិន</t>
        </is>
      </c>
      <c r="I676" s="217" t="inlineStr">
        <is>
          <t>"taoDon.promotion": "ប្រម៉ូសិន",</t>
        </is>
      </c>
      <c r="N676" s="3" t="inlineStr">
        <is>
          <t>ប្រូម៉ូសិន</t>
        </is>
      </c>
    </row>
    <row r="677" ht="15.75" customHeight="1" s="305">
      <c r="A677" s="3" t="inlineStr">
        <is>
          <t>traCuu.size</t>
        </is>
      </c>
      <c r="B677" s="3" t="inlineStr">
        <is>
          <t>Kích thước</t>
        </is>
      </c>
      <c r="C677" s="3" t="inlineStr">
        <is>
          <t>Size</t>
        </is>
      </c>
      <c r="D677" s="3">
        <f>IFERROR(__xludf.DUMMYFUNCTION("GOOGLETRANSLATE(B677,""vi"",""km"")"),"ទំហំ")</f>
        <v/>
      </c>
      <c r="E677" s="3" t="inlineStr">
        <is>
          <t>ទំហំ</t>
        </is>
      </c>
      <c r="F677" s="3" t="n"/>
      <c r="G677" s="3" t="inlineStr">
        <is>
          <t>ទំហំ</t>
        </is>
      </c>
      <c r="H677" t="inlineStr">
        <is>
          <t>ទំហំ</t>
        </is>
      </c>
      <c r="I677" s="217" t="inlineStr">
        <is>
          <t>"traCuu.size": "ទំហំ",</t>
        </is>
      </c>
      <c r="N677" s="163" t="inlineStr">
        <is>
          <t>ទំហំ</t>
        </is>
      </c>
    </row>
    <row r="678" ht="15.75" customHeight="1" s="305">
      <c r="A678" s="3" t="inlineStr">
        <is>
          <t>taoKien.titleKichThuocKien</t>
        </is>
      </c>
      <c r="B678" s="3" t="inlineStr">
        <is>
          <t>Kích thước (DxRxC)</t>
        </is>
      </c>
      <c r="C678" s="3" t="inlineStr">
        <is>
          <t>Size (LxWxH)</t>
        </is>
      </c>
      <c r="D678" s="3">
        <f>IFERROR(__xludf.DUMMYFUNCTION("GOOGLETRANSLATE(B678,""vi"",""km"")"),"វិមាត្រ (LxWxH)")</f>
        <v/>
      </c>
      <c r="E678" s="3" t="inlineStr">
        <is>
          <t>ទំហំ (បណ្តោយxទទឹងxកម្ពស់)</t>
        </is>
      </c>
      <c r="F678" s="3" t="n"/>
      <c r="G678" s="3" t="inlineStr">
        <is>
          <t>ទំហំ (បណ្តោយxទទឹងxកម្ពស់)</t>
        </is>
      </c>
      <c r="H678" t="inlineStr">
        <is>
          <t>ទំហំ (បណ្តោយxទទឹងxកម្ពស់)</t>
        </is>
      </c>
      <c r="I678" s="217" t="inlineStr">
        <is>
          <t>"taoKien.titleKichThuocKien": "ទំហំ (បណ្តោយxទទឹងxកម្ពស់)",</t>
        </is>
      </c>
      <c r="N678" s="3" t="inlineStr"/>
    </row>
    <row r="679" ht="15.75" customHeight="1" s="305">
      <c r="A679" s="3" t="inlineStr">
        <is>
          <t>taoDon.packageDimensions</t>
        </is>
      </c>
      <c r="B679" s="3" t="inlineStr">
        <is>
          <t>Kích thước gói hàng</t>
        </is>
      </c>
      <c r="C679" s="3" t="inlineStr">
        <is>
          <t>Size</t>
        </is>
      </c>
      <c r="D679" s="3">
        <f>IFERROR(__xludf.DUMMYFUNCTION("GOOGLETRANSLATE(B679,""vi"",""km"")"),"ទំហំកញ្ចប់")</f>
        <v/>
      </c>
      <c r="E679" s="3" t="inlineStr">
        <is>
          <t>ទំហំកញ្ចប់អីវ៉ាន់</t>
        </is>
      </c>
      <c r="F679" s="3" t="n"/>
      <c r="G679" s="3" t="inlineStr">
        <is>
          <t>ទំហំកញ្ចប់អីវ៉ាន់</t>
        </is>
      </c>
      <c r="H679" t="inlineStr">
        <is>
          <t>ទំហំកញ្ចប់អីវ៉ាន់</t>
        </is>
      </c>
      <c r="I679" s="217" t="inlineStr">
        <is>
          <t>"taoDon.packageDimensions": "ទំហំកញ្ចប់អីវ៉ាន់",</t>
        </is>
      </c>
      <c r="N679" s="3" t="inlineStr">
        <is>
          <t>ទំហំកញ្ចប់</t>
        </is>
      </c>
    </row>
    <row r="680" ht="15.75" customHeight="1" s="305">
      <c r="A680" s="3" t="inlineStr">
        <is>
          <t>suaDon.goodssize</t>
        </is>
      </c>
      <c r="B680" s="3" t="inlineStr">
        <is>
          <t>Kích thước hàng hoá</t>
        </is>
      </c>
      <c r="C680" s="3" t="inlineStr">
        <is>
          <t>Size</t>
        </is>
      </c>
      <c r="D680" s="3">
        <f>IFERROR(__xludf.DUMMYFUNCTION("GOOGLETRANSLATE(B680,""vi"",""km"")"),"វិមាត្រផលិតផល")</f>
        <v/>
      </c>
      <c r="E680" s="3" t="inlineStr">
        <is>
          <t>ទំហំអីវ៉ាន់</t>
        </is>
      </c>
      <c r="F680" s="3" t="n"/>
      <c r="G680" s="3" t="inlineStr">
        <is>
          <t>ទំហំអីវ៉ាន់</t>
        </is>
      </c>
      <c r="H680" t="inlineStr">
        <is>
          <t>ទំហំអីវ៉ាន់</t>
        </is>
      </c>
      <c r="I680" s="217" t="inlineStr">
        <is>
          <t>"suaDon.goodssize": "ទំហំអីវ៉ាន់",</t>
        </is>
      </c>
      <c r="N680" s="3" t="inlineStr">
        <is>
          <t>ទំហំទំនេញផ្ញើ</t>
        </is>
      </c>
    </row>
    <row r="681" ht="15.75" customHeight="1" s="305">
      <c r="A681" s="3" t="inlineStr">
        <is>
          <t>taoKien.yeuCauKichThuoc</t>
        </is>
      </c>
      <c r="B681" s="3" t="inlineStr">
        <is>
          <t>Kích thước không được để trống</t>
        </is>
      </c>
      <c r="C681" s="3" t="inlineStr">
        <is>
          <t>Size is required</t>
        </is>
      </c>
      <c r="D681" s="3">
        <f>IFERROR(__xludf.DUMMYFUNCTION("GOOGLETRANSLATE(B681,""vi"",""km"")"),"ចន្លោះមិនត្រូវទុកចោលទទេឡើយ។")</f>
        <v/>
      </c>
      <c r="E681" s="3" t="inlineStr">
        <is>
          <t>ទំហំមិនអាចទុកចន្លោះបានទេ</t>
        </is>
      </c>
      <c r="F681" s="3" t="n"/>
      <c r="G681" s="3" t="inlineStr">
        <is>
          <t>ទំហំមិនអាចទុកចន្លោះបានទេ</t>
        </is>
      </c>
      <c r="H681" t="inlineStr">
        <is>
          <t>ទំហំមិនអាចទុកចន្លោះបានទេ</t>
        </is>
      </c>
      <c r="I681" s="217" t="inlineStr">
        <is>
          <t>"taoKien.yeuCauKichThuoc": "ទំហំមិនអាចទុកចន្លោះបានទេ",</t>
        </is>
      </c>
      <c r="N681" s="3" t="inlineStr"/>
    </row>
    <row r="682" ht="15.75" customHeight="1" s="305">
      <c r="A682" s="3" t="inlineStr">
        <is>
          <t>GiaoHang.titleSizeTemplate</t>
        </is>
      </c>
      <c r="B682" s="3" t="inlineStr">
        <is>
          <t>Kích thước tem nhãn</t>
        </is>
      </c>
      <c r="C682" s="3" t="inlineStr">
        <is>
          <t>Postal Slip Size</t>
        </is>
      </c>
      <c r="D682" s="3">
        <f>IFERROR(__xludf.DUMMYFUNCTION("GOOGLETRANSLATE(B682,""vi"",""km"")"),"ទំហំស្លាក")</f>
        <v/>
      </c>
      <c r="E682" s="3" t="inlineStr">
        <is>
          <t>ទំហំតែម</t>
        </is>
      </c>
      <c r="F682" s="3" t="n"/>
      <c r="G682" s="3" t="inlineStr">
        <is>
          <t>ទំហំតែម</t>
        </is>
      </c>
      <c r="H682" t="inlineStr">
        <is>
          <t>ទំហំតែម</t>
        </is>
      </c>
      <c r="I682" s="217" t="inlineStr">
        <is>
          <t>"GiaoHang.titleSizeTemplate": "ទំហំតែម",</t>
        </is>
      </c>
      <c r="N682" s="3" t="inlineStr">
        <is>
          <t>ទំហំស្លាក</t>
        </is>
      </c>
    </row>
    <row r="683" ht="15.75" customHeight="1" s="305">
      <c r="A683" s="3" t="inlineStr">
        <is>
          <t>home.kiemke</t>
        </is>
      </c>
      <c r="B683" s="3" t="inlineStr">
        <is>
          <t>Kiểm kê</t>
        </is>
      </c>
      <c r="C683" s="3" t="inlineStr">
        <is>
          <t>Inventory</t>
        </is>
      </c>
      <c r="D683" s="3">
        <f>IFERROR(__xludf.DUMMYFUNCTION("GOOGLETRANSLATE(B683,""vi"",""km"")"),"សារពើភ័ណ្ឌ")</f>
        <v/>
      </c>
      <c r="E683" s="3" t="inlineStr">
        <is>
          <t>ត្រួតពិនិត្យ</t>
        </is>
      </c>
      <c r="F683" s="3" t="n"/>
      <c r="G683" s="3" t="inlineStr">
        <is>
          <t>ត្រួតពិនិត្យ</t>
        </is>
      </c>
      <c r="H683" t="inlineStr">
        <is>
          <t>ត្រួតពិនិត្យ</t>
        </is>
      </c>
      <c r="I683" s="217" t="inlineStr">
        <is>
          <t>"home.kiemke": "ត្រួតពិនិត្យ",</t>
        </is>
      </c>
      <c r="N683" s="163" t="inlineStr">
        <is>
          <t>សារពើភ័ណ្ឌ</t>
        </is>
      </c>
    </row>
    <row r="684" ht="15.75" customHeight="1" s="305">
      <c r="A684" s="3" t="inlineStr">
        <is>
          <t>KiemKe.inventory</t>
        </is>
      </c>
      <c r="B684" s="3" t="inlineStr">
        <is>
          <t>kiểm kê</t>
        </is>
      </c>
      <c r="C684" s="3" t="inlineStr">
        <is>
          <t>inventory</t>
        </is>
      </c>
      <c r="D684" s="3">
        <f>IFERROR(__xludf.DUMMYFUNCTION("GOOGLETRANSLATE(B684,""vi"",""km"")"),"ស្តុក")</f>
        <v/>
      </c>
      <c r="E684" s="3" t="inlineStr">
        <is>
          <t>ត្រួតពិនិត្យ</t>
        </is>
      </c>
      <c r="F684" s="3" t="n"/>
      <c r="G684" s="3" t="inlineStr">
        <is>
          <t>ត្រួតពិនិត្យ</t>
        </is>
      </c>
      <c r="H684" t="inlineStr">
        <is>
          <t>ត្រួតពិនិត្យ</t>
        </is>
      </c>
      <c r="I684" s="217" t="inlineStr">
        <is>
          <t>"KiemKe.inventory": "ត្រួតពិនិត្យ",</t>
        </is>
      </c>
      <c r="N684" s="163" t="inlineStr">
        <is>
          <t>សារពើភ័ណ្ឌ</t>
        </is>
      </c>
    </row>
    <row r="685" ht="15.75" customHeight="1" s="305">
      <c r="A685" s="3" t="inlineStr">
        <is>
          <t>tongGiao.checkOrderNumber</t>
        </is>
      </c>
      <c r="B685" s="3" t="inlineStr">
        <is>
          <t>Kiểm tra mã phiếu gửi</t>
        </is>
      </c>
      <c r="C685" s="3" t="inlineStr">
        <is>
          <t>Check your order ID</t>
        </is>
      </c>
      <c r="D685" s="3">
        <f>IFERROR(__xludf.DUMMYFUNCTION("GOOGLETRANSLATE(B685,""vi"",""km"")"),"ពិនិត្យមើលលេខកូដប័ណ្ណដឹកជញ្ជូន។")</f>
        <v/>
      </c>
      <c r="E685" s="3" t="inlineStr">
        <is>
          <t>ត្រួតពិនិត្យបុងបញ្ញើ</t>
        </is>
      </c>
      <c r="F685" s="3" t="n"/>
      <c r="G685" s="3" t="inlineStr">
        <is>
          <t>ត្រួតពិនិត្យបុងបញ្ញើ</t>
        </is>
      </c>
      <c r="H685" t="inlineStr">
        <is>
          <t>ត្រួតពិនិត្យបុងបញ្ញើ</t>
        </is>
      </c>
      <c r="I685" s="217" t="inlineStr">
        <is>
          <t>"tongGiao.checkOrderNumber": "ត្រួតពិនិត្យបុងបញ្ញើ",</t>
        </is>
      </c>
      <c r="N685" s="3" t="inlineStr">
        <is>
          <t>ពិនិត្យលេខកូដកញ្ចប់បញ្ញើ</t>
        </is>
      </c>
    </row>
    <row r="686" ht="15.75" customHeight="1" s="305">
      <c r="A686" s="3" t="inlineStr">
        <is>
          <t>nhanHang.kien</t>
        </is>
      </c>
      <c r="B686" s="3" t="inlineStr">
        <is>
          <t>Kiện</t>
        </is>
      </c>
      <c r="C686" s="3" t="inlineStr">
        <is>
          <t>package</t>
        </is>
      </c>
      <c r="D686" s="3">
        <f>IFERROR(__xludf.DUMMYFUNCTION("GOOGLETRANSLATE(B686,""vi"",""km"")"),"ករណី​នេះ")</f>
        <v/>
      </c>
      <c r="E686" s="3" t="inlineStr">
        <is>
          <t>កញ្ចប់</t>
        </is>
      </c>
      <c r="F686" s="3" t="n"/>
      <c r="G686" s="3" t="inlineStr">
        <is>
          <t>កញ្ចប់ទំនិញ</t>
        </is>
      </c>
      <c r="H686" t="inlineStr">
        <is>
          <t>កញ្ចប់ទំនិញ</t>
        </is>
      </c>
      <c r="I686" s="217" t="inlineStr">
        <is>
          <t>"nhanHang.kien": "កញ្ចប់ទំនិញ",</t>
        </is>
      </c>
      <c r="N686" s="3" t="inlineStr">
        <is>
          <t>កញ្ចប់</t>
        </is>
      </c>
    </row>
    <row r="687" ht="15.75" customHeight="1" s="305">
      <c r="A687" s="3" t="inlineStr">
        <is>
          <t>DongTai.kien</t>
        </is>
      </c>
      <c r="B687" s="3" t="inlineStr">
        <is>
          <t>Kiện</t>
        </is>
      </c>
      <c r="C687" s="3" t="inlineStr">
        <is>
          <t>Package</t>
        </is>
      </c>
      <c r="D687" s="3">
        <f>IFERROR(__xludf.DUMMYFUNCTION("GOOGLETRANSLATE(B687,""vi"",""km"")"),"ករណី​នេះ")</f>
        <v/>
      </c>
      <c r="E687" s="3" t="inlineStr">
        <is>
          <t>កញ្ចប់</t>
        </is>
      </c>
      <c r="F687" s="3" t="n"/>
      <c r="G687" s="3" t="inlineStr">
        <is>
          <t>កញ្ចប់ទំនិញ</t>
        </is>
      </c>
      <c r="H687" t="inlineStr">
        <is>
          <t>កញ្ចប់ទំនិញ</t>
        </is>
      </c>
      <c r="I687" s="217" t="inlineStr">
        <is>
          <t>"DongTai.kien": "កញ្ចប់ទំនិញ",</t>
        </is>
      </c>
      <c r="N687" s="3" t="inlineStr">
        <is>
          <t>កញ្ចប់</t>
        </is>
      </c>
    </row>
    <row r="688" ht="15.75" customHeight="1" s="305">
      <c r="A688" s="3" t="inlineStr">
        <is>
          <t>tms.kien</t>
        </is>
      </c>
      <c r="B688" s="3" t="inlineStr">
        <is>
          <t>Kiện</t>
        </is>
      </c>
      <c r="C688" s="3" t="inlineStr">
        <is>
          <t>Package</t>
        </is>
      </c>
      <c r="D688" s="3">
        <f>IFERROR(__xludf.DUMMYFUNCTION("GOOGLETRANSLATE(B688,""vi"",""km"")"),"ករណី​នេះ")</f>
        <v/>
      </c>
      <c r="E688" s="3" t="inlineStr">
        <is>
          <t>កញ្ចប់</t>
        </is>
      </c>
      <c r="F688" s="3" t="n"/>
      <c r="G688" s="3" t="inlineStr">
        <is>
          <t>កញ្ចប់ទំនិញ</t>
        </is>
      </c>
      <c r="H688" t="inlineStr">
        <is>
          <t>កញ្ចប់ទំនិញ</t>
        </is>
      </c>
      <c r="I688" s="217" t="inlineStr">
        <is>
          <t>"tms.kien": "កញ្ចប់ទំនិញ",</t>
        </is>
      </c>
      <c r="N688" s="3" t="inlineStr"/>
    </row>
    <row r="689" ht="15.75" customHeight="1" s="305">
      <c r="A689" s="3" t="inlineStr">
        <is>
          <t>taoKien.kien</t>
        </is>
      </c>
      <c r="B689" s="3" t="inlineStr">
        <is>
          <t>Kiện</t>
        </is>
      </c>
      <c r="C689" s="3" t="inlineStr">
        <is>
          <t>Package</t>
        </is>
      </c>
      <c r="D689" s="3">
        <f>IFERROR(__xludf.DUMMYFUNCTION("GOOGLETRANSLATE(B689,""vi"",""km"")"),"ករណី​នេះ")</f>
        <v/>
      </c>
      <c r="E689" s="3" t="inlineStr">
        <is>
          <t>កញ្ចប់</t>
        </is>
      </c>
      <c r="F689" s="3" t="n"/>
      <c r="G689" s="3" t="inlineStr">
        <is>
          <t>កញ្ចប់ទំនិញ</t>
        </is>
      </c>
      <c r="H689" t="inlineStr">
        <is>
          <t>កញ្ចប់ទំនិញ</t>
        </is>
      </c>
      <c r="I689" s="217" t="inlineStr">
        <is>
          <t>"taoKien.kien": "កញ្ចប់ទំនិញ",</t>
        </is>
      </c>
      <c r="N689" s="3" t="inlineStr"/>
    </row>
    <row r="690" ht="15.75" customHeight="1" s="305">
      <c r="A690" s="3" t="inlineStr">
        <is>
          <t>nhanHang.kienCon</t>
        </is>
      </c>
      <c r="B690" s="3" t="inlineStr">
        <is>
          <t xml:space="preserve">Kiện con </t>
        </is>
      </c>
      <c r="C690" s="3" t="inlineStr">
        <is>
          <t>Sub - package</t>
        </is>
      </c>
      <c r="D690" s="3">
        <f>IFERROR(__xludf.DUMMYFUNCTION("GOOGLETRANSLATE(B690,""vi"",""km"")"),"ប្តឹងកូនប្រុសរបស់អ្នក")</f>
        <v/>
      </c>
      <c r="E690" s="3" t="inlineStr">
        <is>
          <t>កញ្ចប់តូច</t>
        </is>
      </c>
      <c r="F690" s="3" t="n"/>
      <c r="G690" s="3" t="inlineStr">
        <is>
          <t>កញ្ចប់តូច</t>
        </is>
      </c>
      <c r="H690" t="inlineStr">
        <is>
          <t>កញ្ចប់តូច</t>
        </is>
      </c>
      <c r="I690" s="217" t="inlineStr">
        <is>
          <t>"nhanHang.kienCon": "កញ្ចប់តូច",</t>
        </is>
      </c>
      <c r="N690" s="3" t="inlineStr">
        <is>
          <t xml:space="preserve">កញ្ចប់រង </t>
        </is>
      </c>
    </row>
    <row r="691" ht="15.75" customHeight="1" s="305">
      <c r="A691" s="3" t="inlineStr">
        <is>
          <t>taoKien.messageTrongLuongNhoNhat</t>
        </is>
      </c>
      <c r="B691" s="3" t="inlineStr">
        <is>
          <t>Kiện con không được nhỏ hơn 3kg</t>
        </is>
      </c>
      <c r="C691" s="3" t="inlineStr">
        <is>
          <t>Sub-packages cannot be under 3kg</t>
        </is>
      </c>
      <c r="D691" s="3">
        <f>IFERROR(__xludf.DUMMYFUNCTION("GOOGLETRANSLATE(B691,""vi"",""km"")"),"ទម្ងន់របស់ទារកមិនគួរតិចជាង 3 គីឡូក្រាមទេ។")</f>
        <v/>
      </c>
      <c r="E691" s="3" t="inlineStr">
        <is>
          <t>កញ្ចប់អីវ៉ាន់មិនអាចតិចជាង 3 គីឡូ</t>
        </is>
      </c>
      <c r="F691" s="3" t="n"/>
      <c r="G691" s="3" t="inlineStr">
        <is>
          <t>កញ្ចប់អីវ៉ាន់មិនអាចតិចជាង 3 គីឡូ</t>
        </is>
      </c>
      <c r="H691" t="inlineStr">
        <is>
          <t>កញ្ចប់អីវ៉ាន់មិនអាចតិចជាង 3 គីឡូ</t>
        </is>
      </c>
      <c r="I691" s="217" t="inlineStr">
        <is>
          <t>"taoKien.messageTrongLuongNhoNhat": "កញ្ចប់អីវ៉ាន់មិនអាចតិចជាង 3 គីឡូ",</t>
        </is>
      </c>
      <c r="N691" s="3" t="inlineStr"/>
    </row>
    <row r="692" ht="15.75" customHeight="1" s="305">
      <c r="A692" s="3" t="inlineStr">
        <is>
          <t>taoKien.messageConfirmBanGiaoKienHang</t>
        </is>
      </c>
      <c r="B692" s="3" t="inlineStr">
        <is>
          <t>Kiện hàng {{code}} đồng chí bàn giao thuộc đơn tách kiện, đồng chí có muốn bàn giao cả {{count}} kiện không?</t>
        </is>
      </c>
      <c r="C692" s="143" t="inlineStr">
        <is>
          <t xml:space="preserve">Shipment {{code}} belongs to a split shipment. Do you want to hand over all {{count}} packages?        </t>
        </is>
      </c>
      <c r="D692" s="3">
        <f>IFERROR(__xludf.DUMMYFUNCTION("GOOGLETRANSLATE(B692,""vi"",""km"")"),"កញ្ចប់ {{code}} ដែលអ្នកកំពុងប្រគល់ជូនជាកម្មសិទ្ធិរបស់ការបញ្ជាទិញបំបែក។ តើអ្នកចង់ប្រគល់កញ្ចប់ {{count}} ទាំងមូលទេ?")</f>
        <v/>
      </c>
      <c r="E692" s="3" t="inlineStr">
        <is>
          <t>កញ្ចប់អីវ៉ាន់{{code}}អ្នកធ្វើការប្រគល់អីវ៉ាន់បែងចែកផ្សេងគ្នា, ឬចង់ប្រគល់ទាំងអស់ {{count}} ដែរទេ?</t>
        </is>
      </c>
      <c r="F692" s="3" t="n"/>
      <c r="G692" s="3" t="inlineStr">
        <is>
          <t>កញ្ចប់អីវ៉ាន់{{code}}អ្នកធ្វើការប្រគល់អីវ៉ាន់បែងចែកផ្សេងគ្នា, ឬចង់ប្រគល់ទាំងអស់ {{count}} ដែរទេ?</t>
        </is>
      </c>
      <c r="H692" t="inlineStr">
        <is>
          <t>កញ្ចប់អីវ៉ាន់{{code}}អ្នកធ្វើការប្រគល់អីវ៉ាន់បែងចែកផ្សេងគ្នា, ឬចង់ប្រគល់ទាំងអស់ {{count}} ដែរទេ?</t>
        </is>
      </c>
      <c r="I692" s="217" t="inlineStr">
        <is>
          <t>"taoKien.messageConfirmBanGiaoKienHang": "កញ្ចប់អីវ៉ាន់{{code}}អ្នកធ្វើការប្រគល់អីវ៉ាន់បែងចែកផ្សេងគ្នា, ឬចង់ប្រគល់ទាំងអស់ {{count}} ដែរទេ?",</t>
        </is>
      </c>
      <c r="N692" s="3" t="inlineStr"/>
    </row>
    <row r="693" ht="15.75" customHeight="1" s="305">
      <c r="A693" s="3" t="inlineStr">
        <is>
          <t>suaDon.KL</t>
        </is>
      </c>
      <c r="B693" s="3" t="inlineStr">
        <is>
          <t>KL (g)</t>
        </is>
      </c>
      <c r="C693" s="3" t="inlineStr">
        <is>
          <t>Wt. (g)</t>
        </is>
      </c>
      <c r="D693" s="3">
        <f>IFERROR(__xludf.DUMMYFUNCTION("GOOGLETRANSLATE(B693,""vi"",""km"")"),"ទម្ងន់ (ក្រាម)")</f>
        <v/>
      </c>
      <c r="E693" s="3" t="inlineStr">
        <is>
          <t>ទម្ងន់ (ក្រាម)</t>
        </is>
      </c>
      <c r="F693" s="3" t="n"/>
      <c r="G693" s="3" t="inlineStr">
        <is>
          <t>ទម្ងន់ (ក្រាម)</t>
        </is>
      </c>
      <c r="H693" t="inlineStr">
        <is>
          <t>ទម្ងន់ (ក្រាម)</t>
        </is>
      </c>
      <c r="I693" s="217" t="inlineStr">
        <is>
          <t>"suaDon.KL": "ទម្ងន់ (ក្រាម)",</t>
        </is>
      </c>
      <c r="N693" s="3" t="inlineStr">
        <is>
          <t>ទំងន (g)</t>
        </is>
      </c>
    </row>
    <row r="694" ht="15.75" customHeight="1" s="305">
      <c r="A694" s="3" t="inlineStr">
        <is>
          <t>taoDon.chargeableWeight2</t>
        </is>
      </c>
      <c r="B694" s="3" t="inlineStr">
        <is>
          <t>KL tính cước</t>
        </is>
      </c>
      <c r="C694" s="3" t="inlineStr">
        <is>
          <t>Chargeable weight</t>
        </is>
      </c>
      <c r="D694" s="3">
        <f>IFERROR(__xludf.DUMMYFUNCTION("GOOGLETRANSLATE(B694,""vi"",""km"")"),"បរិមាណសម្រាប់គណនាថ្លៃសេវា")</f>
        <v/>
      </c>
      <c r="E694" s="3" t="inlineStr">
        <is>
          <t>ទម្ងន់គណនាថ្លៃសេវា</t>
        </is>
      </c>
      <c r="F694" s="3" t="n"/>
      <c r="G694" s="3" t="inlineStr">
        <is>
          <t>ទម្ងន់គណនាថ្លៃសេវា</t>
        </is>
      </c>
      <c r="H694" t="inlineStr">
        <is>
          <t>ទម្ងន់គណនាថ្លៃសេវា</t>
        </is>
      </c>
      <c r="I694" s="217" t="inlineStr">
        <is>
          <t>"taoDon.chargeableWeight2": "ទម្ងន់គណនាថ្លៃសេវា",</t>
        </is>
      </c>
      <c r="N694" s="3" t="inlineStr">
        <is>
          <t>ទំងន់គិតថ្លៃ</t>
        </is>
      </c>
    </row>
    <row r="695" ht="15.75" customHeight="1" s="305">
      <c r="A695" s="3" t="inlineStr">
        <is>
          <t>taoDon.errorGetService</t>
        </is>
      </c>
      <c r="B695" s="3" t="inlineStr">
        <is>
          <t>Lấy danh sách dịch vụ thất bại</t>
        </is>
      </c>
      <c r="C695" s="3" t="inlineStr">
        <is>
          <t>Get the list of failed services</t>
        </is>
      </c>
      <c r="D695" s="3">
        <f>IFERROR(__xludf.DUMMYFUNCTION("GOOGLETRANSLATE(B695,""vi"",""km"")"),"ទទួលបានបញ្ជីសេវាកម្មដែលបរាជ័យ។")</f>
        <v/>
      </c>
      <c r="E695" s="3" t="inlineStr">
        <is>
          <t>យកតារាងសេវាកម្មបរាជ័យ</t>
        </is>
      </c>
      <c r="F695" s="3" t="n"/>
      <c r="G695" s="3" t="inlineStr">
        <is>
          <t>យកតារាងសេវាកម្មបរាជ័យ</t>
        </is>
      </c>
      <c r="H695" t="inlineStr">
        <is>
          <t>យកតារាងសេវាកម្មបរាជ័យ</t>
        </is>
      </c>
      <c r="I695" s="217" t="inlineStr">
        <is>
          <t>"taoDon.errorGetService": "យកតារាងសេវាកម្មបរាជ័យ",</t>
        </is>
      </c>
      <c r="N695" s="3" t="inlineStr">
        <is>
          <t>មិនអាចទទួលបានបញ្ជីសេវាកម្ម</t>
        </is>
      </c>
    </row>
    <row r="696" ht="15.75" customHeight="1" s="305">
      <c r="A696" s="3" t="inlineStr">
        <is>
          <t>taoDon.destinationFailed</t>
        </is>
      </c>
      <c r="B696" s="3" t="inlineStr">
        <is>
          <t>Lấy điểm đến thất bại</t>
        </is>
      </c>
      <c r="C696" s="3" t="inlineStr">
        <is>
          <t>Call for destinations failed</t>
        </is>
      </c>
      <c r="D696" s="3">
        <f>IFERROR(__xludf.DUMMYFUNCTION("GOOGLETRANSLATE(B696,""vi"",""km"")"),"យកគោលដៅនៃការបរាជ័យ។")</f>
        <v/>
      </c>
      <c r="E696" s="3" t="inlineStr">
        <is>
          <t>យកទីតាំងមកដល់បរាជ័យ</t>
        </is>
      </c>
      <c r="F696" s="3" t="n"/>
      <c r="G696" s="3" t="inlineStr">
        <is>
          <t>យកទីតាំងមកដល់បរាជ័យ</t>
        </is>
      </c>
      <c r="H696" t="inlineStr">
        <is>
          <t>យកទីតាំងមកដល់បរាជ័យ</t>
        </is>
      </c>
      <c r="I696" s="217" t="inlineStr">
        <is>
          <t>"taoDon.destinationFailed": "យកទីតាំងមកដល់បរាជ័យ",</t>
        </is>
      </c>
      <c r="N696" s="3" t="inlineStr">
        <is>
          <t>មិនអាចទទួលបានចំណុចគោលដៅ</t>
        </is>
      </c>
    </row>
    <row r="697" ht="15.75" customHeight="1" s="305">
      <c r="A697" s="3" t="inlineStr">
        <is>
          <t>tms.lichSuLoTrinh</t>
        </is>
      </c>
      <c r="B697" s="3" t="inlineStr">
        <is>
          <t>Lịch sử lộ trình</t>
        </is>
      </c>
      <c r="C697" s="3" t="inlineStr">
        <is>
          <t>Route history</t>
        </is>
      </c>
      <c r="D697" s="3">
        <f>IFERROR(__xludf.DUMMYFUNCTION("GOOGLETRANSLATE(B697,""vi"",""km"")"),"ប្រវត្តិផ្លូវ")</f>
        <v/>
      </c>
      <c r="E697" s="3" t="inlineStr">
        <is>
          <t>ប្រវត្តិដំណើរការ</t>
        </is>
      </c>
      <c r="F697" s="3" t="n"/>
      <c r="G697" s="3" t="inlineStr">
        <is>
          <t>ប្រវត្តិផ្លូវដឹក</t>
        </is>
      </c>
      <c r="H697" t="inlineStr">
        <is>
          <t>ប្រវត្តិផ្លូវដឹក</t>
        </is>
      </c>
      <c r="I697" s="217" t="inlineStr">
        <is>
          <t>"tms.lichSuLoTrinh": "ប្រវត្តិផ្លូវដឹក",</t>
        </is>
      </c>
      <c r="N697" s="3" t="inlineStr"/>
    </row>
    <row r="698" ht="15.75" customHeight="1" s="305">
      <c r="A698" s="3" t="inlineStr">
        <is>
          <t>GiaoHang.hintProvinceEditAddress</t>
        </is>
      </c>
      <c r="B698" s="3" t="inlineStr">
        <is>
          <t>Liên bang/Vùng</t>
        </is>
      </c>
      <c r="C698" s="3" t="inlineStr">
        <is>
          <t>Region</t>
        </is>
      </c>
      <c r="D698" s="3">
        <f>IFERROR(__xludf.DUMMYFUNCTION("GOOGLETRANSLATE(B698,""vi"",""km"")"),"សហព័ន្ធ/តំបន់")</f>
        <v/>
      </c>
      <c r="E698" s="3" t="inlineStr">
        <is>
          <t>សហព័ន្ធ/តំបន់</t>
        </is>
      </c>
      <c r="F698" s="3" t="n"/>
      <c r="G698" s="3" t="inlineStr">
        <is>
          <t>សហព័ន្ធ/តំបន់</t>
        </is>
      </c>
      <c r="H698" t="inlineStr">
        <is>
          <t>សហព័ន្ធ/តំបន់</t>
        </is>
      </c>
      <c r="I698" s="217" t="inlineStr">
        <is>
          <t>"GiaoHang.hintProvinceEditAddress": "សហព័ន្ធ/តំបន់",</t>
        </is>
      </c>
      <c r="N698" s="3" t="inlineStr">
        <is>
          <t>ខេត្ត តំបន់</t>
        </is>
      </c>
    </row>
    <row r="699" ht="15.75" customHeight="1" s="305">
      <c r="A699" s="3" t="inlineStr">
        <is>
          <t>tms.loTrinh</t>
        </is>
      </c>
      <c r="B699" s="3" t="inlineStr">
        <is>
          <t>Lộ trình</t>
        </is>
      </c>
      <c r="C699" s="3" t="inlineStr">
        <is>
          <t>Route</t>
        </is>
      </c>
      <c r="D699" s="3">
        <f>IFERROR(__xludf.DUMMYFUNCTION("GOOGLETRANSLATE(B699,""vi"",""km"")"),"ផ្លូវ")</f>
        <v/>
      </c>
      <c r="E699" s="3" t="inlineStr">
        <is>
          <t>ផ្លូវដំណើរការ</t>
        </is>
      </c>
      <c r="F699" s="3" t="n"/>
      <c r="G699" s="3" t="inlineStr">
        <is>
          <t>ផ្លូូវដឹកជញ្ជូន</t>
        </is>
      </c>
      <c r="H699" t="inlineStr">
        <is>
          <t>ផ្លូូវដឹកជញ្ជូន</t>
        </is>
      </c>
      <c r="I699" s="217" t="inlineStr">
        <is>
          <t>"tms.loTrinh": "ផ្លូូវដឹកជញ្ជូន",</t>
        </is>
      </c>
      <c r="N699" s="3" t="inlineStr"/>
    </row>
    <row r="700" ht="15.75" customHeight="1" s="305">
      <c r="A700" s="3" t="inlineStr">
        <is>
          <t>tms.lotrinhChoNhan</t>
        </is>
      </c>
      <c r="B700" s="3" t="inlineStr">
        <is>
          <t>Lộ trình chờ nhận</t>
        </is>
      </c>
      <c r="C700" s="3" t="inlineStr">
        <is>
          <t>Pending route</t>
        </is>
      </c>
      <c r="D700" s="3">
        <f>IFERROR(__xludf.DUMMYFUNCTION("GOOGLETRANSLATE(B700,""vi"",""km"")"),"បញ្ជីរង់ចាំ")</f>
        <v/>
      </c>
      <c r="E700" s="3" t="inlineStr">
        <is>
          <t>ផ្លូវដំណើរការចាំទទួល</t>
        </is>
      </c>
      <c r="F700" s="3" t="n"/>
      <c r="G700" s="3" t="inlineStr">
        <is>
          <t>ផ្លូូវដឹកជញ្ជូនចាំទទួល</t>
        </is>
      </c>
      <c r="H700" t="inlineStr">
        <is>
          <t>ផ្លូូវដឹកជញ្ជូនចាំទទួល</t>
        </is>
      </c>
      <c r="I700" s="217" t="inlineStr">
        <is>
          <t>"tms.lotrinhChoNhan": "ផ្លូូវដឹកជញ្ជូនចាំទទួល",</t>
        </is>
      </c>
      <c r="N700" s="3" t="inlineStr"/>
    </row>
    <row r="701" ht="15.75" customHeight="1" s="305">
      <c r="A701" s="3" t="inlineStr">
        <is>
          <t>banGiao.collectionType</t>
        </is>
      </c>
      <c r="B701" s="3" t="inlineStr">
        <is>
          <t>Loại bảng kê</t>
        </is>
      </c>
      <c r="C701" s="3" t="inlineStr">
        <is>
          <t>Manifest type</t>
        </is>
      </c>
      <c r="D701" s="3">
        <f>IFERROR(__xludf.DUMMYFUNCTION("GOOGLETRANSLATE(B701,""vi"",""km"")"),"ប្រភេទនៃសេចក្តីថ្លែងការណ៍")</f>
        <v/>
      </c>
      <c r="E701" s="3" t="inlineStr">
        <is>
          <t>ប្រភេទតារាង</t>
        </is>
      </c>
      <c r="F701" s="3" t="n"/>
      <c r="G701" s="3" t="inlineStr">
        <is>
          <t>ប្រភេទតារាង</t>
        </is>
      </c>
      <c r="H701" t="inlineStr">
        <is>
          <t>ប្រភេទតារាង</t>
        </is>
      </c>
      <c r="I701" s="217" t="inlineStr">
        <is>
          <t>"banGiao.collectionType": "ប្រភេទតារាង",</t>
        </is>
      </c>
      <c r="N701" s="3" t="inlineStr">
        <is>
          <t>ប្រភេទបញ្ជី</t>
        </is>
      </c>
    </row>
    <row r="702" ht="15.75" customHeight="1" s="305">
      <c r="A702" s="3" t="inlineStr">
        <is>
          <t>banGiao.titleRemove</t>
        </is>
      </c>
      <c r="B702" s="3" t="inlineStr">
        <is>
          <t>Loại bỏ</t>
        </is>
      </c>
      <c r="C702" s="3" t="inlineStr">
        <is>
          <t>Remove</t>
        </is>
      </c>
      <c r="D702" s="3">
        <f>IFERROR(__xludf.DUMMYFUNCTION("GOOGLETRANSLATE(B702,""vi"",""km"")"),"លុបចេញ")</f>
        <v/>
      </c>
      <c r="E702" s="3" t="inlineStr">
        <is>
          <t>លុបចោល</t>
        </is>
      </c>
      <c r="F702" s="3" t="n"/>
      <c r="G702" s="3" t="inlineStr">
        <is>
          <t>លុបចោល</t>
        </is>
      </c>
      <c r="H702" t="inlineStr">
        <is>
          <t>លុបចោល</t>
        </is>
      </c>
      <c r="I702" s="217" t="inlineStr">
        <is>
          <t>"banGiao.titleRemove": "លុបចោល",</t>
        </is>
      </c>
      <c r="N702" s="3" t="inlineStr">
        <is>
          <t>លុបចេញ</t>
        </is>
      </c>
    </row>
    <row r="703" ht="15.75" customHeight="1" s="305">
      <c r="A703" s="3" t="inlineStr">
        <is>
          <t>PhanCong.titleRemove</t>
        </is>
      </c>
      <c r="B703" s="3" t="inlineStr">
        <is>
          <t>Loại bỏ</t>
        </is>
      </c>
      <c r="C703" s="3" t="inlineStr">
        <is>
          <t>Remove</t>
        </is>
      </c>
      <c r="D703" s="3">
        <f>IFERROR(__xludf.DUMMYFUNCTION("GOOGLETRANSLATE(B703,""vi"",""km"")"),"លុបចេញ")</f>
        <v/>
      </c>
      <c r="E703" s="3" t="inlineStr">
        <is>
          <t>លុបចោល</t>
        </is>
      </c>
      <c r="F703" s="3" t="n"/>
      <c r="G703" s="3" t="inlineStr">
        <is>
          <t>លុបចោល</t>
        </is>
      </c>
      <c r="H703" t="inlineStr">
        <is>
          <t>លុបចោល</t>
        </is>
      </c>
      <c r="I703" s="217" t="inlineStr">
        <is>
          <t>"PhanCong.titleRemove": "លុបចោល",</t>
        </is>
      </c>
      <c r="N703" s="3" t="inlineStr">
        <is>
          <t>លុបចេញ</t>
        </is>
      </c>
    </row>
    <row r="704" ht="15.75" customHeight="1" s="305">
      <c r="A704" s="3" t="inlineStr">
        <is>
          <t>mainStatus.301</t>
        </is>
      </c>
      <c r="B704" s="3" t="inlineStr">
        <is>
          <t>Loại bỏ đơn khỏi tải</t>
        </is>
      </c>
      <c r="C704" s="3" t="inlineStr">
        <is>
          <t>Remove order from sack</t>
        </is>
      </c>
      <c r="D704" s="3">
        <f>IFERROR(__xludf.DUMMYFUNCTION("GOOGLETRANSLATE(B704,""vi"",""km"")"),"យកលំដាប់ចេញពីបន្ទុក។")</f>
        <v/>
      </c>
      <c r="E704" s="3" t="inlineStr">
        <is>
          <t>លុបចោលបុងបញ្ញើពីជើងដឹក</t>
        </is>
      </c>
      <c r="F704" s="3" t="n"/>
      <c r="G704" s="3" t="inlineStr">
        <is>
          <t>ដកបុងចេញពីបាវ</t>
        </is>
      </c>
      <c r="H704" t="inlineStr">
        <is>
          <t>ដកបុងចេញពីបាវ</t>
        </is>
      </c>
      <c r="I704" s="217" t="inlineStr">
        <is>
          <t>"mainStatus.301": "ដកបុងចេញពីបាវ",</t>
        </is>
      </c>
      <c r="N704" s="163" t="inlineStr">
        <is>
          <t>ដកការបញ្ជាទិញចេញពីបាវ</t>
        </is>
      </c>
    </row>
    <row r="705" ht="15.75" customHeight="1" s="305">
      <c r="A705" s="3" t="inlineStr">
        <is>
          <t>tms.loaiChuyen</t>
        </is>
      </c>
      <c r="B705" s="3" t="inlineStr">
        <is>
          <t>Loại chuyến</t>
        </is>
      </c>
      <c r="C705" s="3" t="inlineStr">
        <is>
          <t>Trip type</t>
        </is>
      </c>
      <c r="D705" s="3">
        <f>IFERROR(__xludf.DUMMYFUNCTION("GOOGLETRANSLATE(B705,""vi"",""km"")"),"ប្រភេទនៃដំណើរកម្សាន្ត")</f>
        <v/>
      </c>
      <c r="E705" s="3" t="inlineStr">
        <is>
          <t>ប្រភេទផ្លូវដឹក</t>
        </is>
      </c>
      <c r="F705" s="3" t="n"/>
      <c r="G705" s="3" t="inlineStr">
        <is>
          <t>ប្រភេទជើងដឹក</t>
        </is>
      </c>
      <c r="H705" t="inlineStr">
        <is>
          <t>ប្រភេទជើងដឹក</t>
        </is>
      </c>
      <c r="I705" s="217" t="inlineStr">
        <is>
          <t>"tms.loaiChuyen": "ប្រភេទជើងដឹក",</t>
        </is>
      </c>
      <c r="N705" s="3" t="inlineStr"/>
    </row>
    <row r="706" ht="15.75" customHeight="1" s="305">
      <c r="A706" s="3" t="inlineStr">
        <is>
          <t>nhanHang.typeOrder</t>
        </is>
      </c>
      <c r="B706" s="3" t="inlineStr">
        <is>
          <t>Loại đơn:</t>
        </is>
      </c>
      <c r="C706" s="3" t="inlineStr">
        <is>
          <t>Type of order:</t>
        </is>
      </c>
      <c r="D706" s="3">
        <f>IFERROR(__xludf.DUMMYFUNCTION("GOOGLETRANSLATE(B706,""vi"",""km"")"),"ប្រភេទការបញ្ជាទិញ៖")</f>
        <v/>
      </c>
      <c r="E706" s="3" t="inlineStr">
        <is>
          <t>ប្រភេទបុងបញ្ញើ</t>
        </is>
      </c>
      <c r="F706" s="3" t="n"/>
      <c r="G706" s="3" t="inlineStr">
        <is>
          <t>ប្រភេទបុងបញ្ញើ</t>
        </is>
      </c>
      <c r="H706" t="inlineStr">
        <is>
          <t>ប្រភេទបុងបញ្ញើ</t>
        </is>
      </c>
      <c r="I706" s="217" t="inlineStr">
        <is>
          <t>"nhanHang.typeOrder": "ប្រភេទបុងបញ្ញើ",</t>
        </is>
      </c>
      <c r="N706" s="3" t="inlineStr">
        <is>
          <t>Loại đơn:</t>
        </is>
      </c>
    </row>
    <row r="707" ht="15.75" customHeight="1" s="305">
      <c r="A707" s="3" t="inlineStr">
        <is>
          <t>nhanHang.loaihanghoa</t>
        </is>
      </c>
      <c r="B707" s="3" t="inlineStr">
        <is>
          <t>Loại hàng hoá</t>
        </is>
      </c>
      <c r="C707" s="3" t="inlineStr">
        <is>
          <t>Freight types</t>
        </is>
      </c>
      <c r="D707" s="3">
        <f>IFERROR(__xludf.DUMMYFUNCTION("GOOGLETRANSLATE(B707,""vi"",""km"")"),"ប្រភេទទំនិញ")</f>
        <v/>
      </c>
      <c r="E707" s="3" t="inlineStr">
        <is>
          <t>ប្រភេទអីវ៉ាន់</t>
        </is>
      </c>
      <c r="F707" s="3" t="n"/>
      <c r="G707" s="3" t="inlineStr">
        <is>
          <t>ប្រភេទទំនិញ</t>
        </is>
      </c>
      <c r="H707" t="inlineStr">
        <is>
          <t>ប្រភេទទំនិញ</t>
        </is>
      </c>
      <c r="I707" s="217" t="inlineStr">
        <is>
          <t>"nhanHang.loaihanghoa": "ប្រភេទទំនិញ",</t>
        </is>
      </c>
      <c r="N707" s="3" t="inlineStr">
        <is>
          <t>ប្រភេទទំនិញ</t>
        </is>
      </c>
    </row>
    <row r="708" ht="15.75" customHeight="1" s="305">
      <c r="A708" s="3" t="inlineStr">
        <is>
          <t>banGiao.goods</t>
        </is>
      </c>
      <c r="B708" s="3" t="inlineStr">
        <is>
          <t>Loại hàng hoá</t>
        </is>
      </c>
      <c r="C708" s="3" t="inlineStr">
        <is>
          <t>Type</t>
        </is>
      </c>
      <c r="D708" s="3">
        <f>IFERROR(__xludf.DUMMYFUNCTION("GOOGLETRANSLATE(B708,""vi"",""km"")"),"ប្រភេទទំនិញ")</f>
        <v/>
      </c>
      <c r="E708" s="3" t="inlineStr">
        <is>
          <t>ប្រភេទអីវ៉ាន់</t>
        </is>
      </c>
      <c r="F708" s="3" t="n"/>
      <c r="G708" s="3" t="inlineStr">
        <is>
          <t>ប្រភេទទំនិញ</t>
        </is>
      </c>
      <c r="H708" t="inlineStr">
        <is>
          <t>ប្រភេទទំនិញ</t>
        </is>
      </c>
      <c r="I708" s="217" t="inlineStr">
        <is>
          <t>"banGiao.goods": "ប្រភេទទំនិញ",</t>
        </is>
      </c>
      <c r="N708" s="3" t="inlineStr">
        <is>
          <t>ប្រភេទ</t>
        </is>
      </c>
    </row>
    <row r="709" ht="15.75" customHeight="1" s="305">
      <c r="A709" s="3" t="inlineStr">
        <is>
          <t>taoDon.surchargeType</t>
        </is>
      </c>
      <c r="B709" s="3" t="inlineStr">
        <is>
          <t>Loại phụ phí</t>
        </is>
      </c>
      <c r="C709" s="3" t="inlineStr">
        <is>
          <t>Surcharge categories</t>
        </is>
      </c>
      <c r="D709" s="3">
        <f>IFERROR(__xludf.DUMMYFUNCTION("GOOGLETRANSLATE(B709,""vi"",""km"")"),"ប្រភេទនៃការគិតថ្លៃបន្ថែម")</f>
        <v/>
      </c>
      <c r="E709" s="3" t="inlineStr">
        <is>
          <t>ប្រភេទសេវាបន្ថែម</t>
        </is>
      </c>
      <c r="F709" s="3" t="n"/>
      <c r="G709" s="3" t="inlineStr">
        <is>
          <t>ប្រភេទសេវាបន្ថែម</t>
        </is>
      </c>
      <c r="H709" t="inlineStr">
        <is>
          <t>ប្រភេទសេវាបន្ថែម</t>
        </is>
      </c>
      <c r="I709" s="217" t="inlineStr">
        <is>
          <t>"taoDon.surchargeType": "ប្រភេទសេវាបន្ថែម",</t>
        </is>
      </c>
      <c r="N709" s="3" t="inlineStr">
        <is>
          <t>ប្រភេទថ្លៃបន្ថែម</t>
        </is>
      </c>
    </row>
    <row r="710" ht="15.75" customHeight="1" s="305">
      <c r="A710" s="3" t="inlineStr">
        <is>
          <t>taoDon.feeType</t>
        </is>
      </c>
      <c r="B710" s="3" t="inlineStr">
        <is>
          <t>Loại phụ phí</t>
        </is>
      </c>
      <c r="C710" s="3" t="inlineStr">
        <is>
          <t>Surcharge categories</t>
        </is>
      </c>
      <c r="D710" s="3">
        <f>IFERROR(__xludf.DUMMYFUNCTION("GOOGLETRANSLATE(B710,""vi"",""km"")"),"ប្រភេទនៃការគិតថ្លៃបន្ថែម")</f>
        <v/>
      </c>
      <c r="E710" s="3" t="inlineStr">
        <is>
          <t>ប្រភេទសេវាបន្ថែម</t>
        </is>
      </c>
      <c r="F710" s="3" t="n"/>
      <c r="G710" s="3" t="inlineStr">
        <is>
          <t>ប្រភេទសេវាបន្ថែម</t>
        </is>
      </c>
      <c r="H710" t="inlineStr">
        <is>
          <t>ប្រភេទសេវាបន្ថែម</t>
        </is>
      </c>
      <c r="I710" s="217" t="inlineStr">
        <is>
          <t>"taoDon.feeType": "ប្រភេទសេវាបន្ថែម",</t>
        </is>
      </c>
      <c r="N710" s="3" t="inlineStr">
        <is>
          <t>ប្រភេទថ្លៃបន្ថែម</t>
        </is>
      </c>
    </row>
    <row r="711" ht="15.75" customHeight="1" s="305">
      <c r="A711" s="3" t="inlineStr">
        <is>
          <t>tms.loaiTai</t>
        </is>
      </c>
      <c r="B711" s="3" t="inlineStr">
        <is>
          <t>Loại tải</t>
        </is>
      </c>
      <c r="C711" s="3" t="inlineStr">
        <is>
          <t>Load type</t>
        </is>
      </c>
      <c r="D711" s="3">
        <f>IFERROR(__xludf.DUMMYFUNCTION("GOOGLETRANSLATE(B711,""vi"",""km"")"),"ប្រភេទផ្ទុក")</f>
        <v/>
      </c>
      <c r="E711" s="3" t="inlineStr">
        <is>
          <t>ប្រភេទជើងដឹក</t>
        </is>
      </c>
      <c r="F711" s="3" t="n"/>
      <c r="G711" s="3" t="inlineStr">
        <is>
          <t>ប្រភេទកញ្ចប់ទំនិញ</t>
        </is>
      </c>
      <c r="H711" t="inlineStr">
        <is>
          <t>ប្រភេទកញ្ចប់ទំនិញ</t>
        </is>
      </c>
      <c r="I711" s="217" t="inlineStr">
        <is>
          <t>"tms.loaiTai": "ប្រភេទកញ្ចប់ទំនិញ",</t>
        </is>
      </c>
      <c r="N711" s="3" t="inlineStr"/>
    </row>
    <row r="712" ht="15.75" customHeight="1" s="305">
      <c r="A712" s="3" t="inlineStr">
        <is>
          <t>banGiao.loaiTaiKien</t>
        </is>
      </c>
      <c r="B712" s="3" t="inlineStr">
        <is>
          <t>Loại tải/kiện</t>
        </is>
      </c>
      <c r="C712" s="3" t="inlineStr">
        <is>
          <t>Sack/package type</t>
        </is>
      </c>
      <c r="D712" s="3">
        <f>IFERROR(__xludf.DUMMYFUNCTION("GOOGLETRANSLATE(B712,""vi"",""km"")"),"ប្រភេទ​ផ្ទុក/កញ្ចប់")</f>
        <v/>
      </c>
      <c r="E712" s="3" t="inlineStr">
        <is>
          <t>ប្រភេទជើងដឹក/អីវ៉ាន់</t>
        </is>
      </c>
      <c r="F712" s="3" t="n"/>
      <c r="G712" s="3" t="inlineStr">
        <is>
          <t>ប្រភេទកញ្ចប់ទំនិញ/អីវ៉ាន់</t>
        </is>
      </c>
      <c r="H712" t="inlineStr">
        <is>
          <t>ប្រភេទកញ្ចប់ទំនិញ/អីវ៉ាន់</t>
        </is>
      </c>
      <c r="I712" s="217" t="inlineStr">
        <is>
          <t>"banGiao.loaiTaiKien": "ប្រភេទកញ្ចប់ទំនិញ/អីវ៉ាន់",</t>
        </is>
      </c>
      <c r="N712" s="3" t="inlineStr"/>
    </row>
    <row r="713" ht="15.75" customHeight="1" s="305">
      <c r="A713" s="3" t="inlineStr">
        <is>
          <t>tms.loaiTaiKien</t>
        </is>
      </c>
      <c r="B713" s="3" t="inlineStr">
        <is>
          <t>Loại tải/kiện</t>
        </is>
      </c>
      <c r="C713" s="3" t="inlineStr">
        <is>
          <t>Load/Package type</t>
        </is>
      </c>
      <c r="D713" s="3">
        <f>IFERROR(__xludf.DUMMYFUNCTION("GOOGLETRANSLATE(B713,""vi"",""km"")"),"ប្រភេទ​ផ្ទុក/កញ្ចប់")</f>
        <v/>
      </c>
      <c r="E713" s="3" t="inlineStr">
        <is>
          <t>ប្រភេទជើងដឹក/អីវ៉ាន់</t>
        </is>
      </c>
      <c r="F713" s="3" t="n"/>
      <c r="G713" s="3" t="inlineStr">
        <is>
          <t>ប្រភេទកញ្ចប់ទំនិញ/អីវ៉ាន់</t>
        </is>
      </c>
      <c r="H713" t="inlineStr">
        <is>
          <t>ប្រភេទកញ្ចប់ទំនិញ/អីវ៉ាន់</t>
        </is>
      </c>
      <c r="I713" s="217" t="inlineStr">
        <is>
          <t>"tms.loaiTaiKien": "ប្រភេទកញ្ចប់ទំនិញ/អីវ៉ាន់",</t>
        </is>
      </c>
      <c r="N713" s="3" t="inlineStr"/>
    </row>
    <row r="714" ht="15.75" customHeight="1" s="305">
      <c r="A714" s="3" t="inlineStr">
        <is>
          <t>taoDon.payerType</t>
        </is>
      </c>
      <c r="B714" s="3" t="inlineStr">
        <is>
          <t>Loại thanh toán</t>
        </is>
      </c>
      <c r="C714" s="3" t="inlineStr">
        <is>
          <t>Payment type</t>
        </is>
      </c>
      <c r="D714" s="3">
        <f>IFERROR(__xludf.DUMMYFUNCTION("GOOGLETRANSLATE(B714,""vi"",""km"")"),"ប្រភេទនៃការបង់ប្រាក់")</f>
        <v/>
      </c>
      <c r="E714" s="3" t="inlineStr">
        <is>
          <t>ប្រភេទការទូទាត់</t>
        </is>
      </c>
      <c r="F714" s="3" t="n"/>
      <c r="G714" s="3" t="inlineStr">
        <is>
          <t>ប្រភេទទូទាត់</t>
        </is>
      </c>
      <c r="H714" t="inlineStr">
        <is>
          <t>ប្រភេទទូទាត់</t>
        </is>
      </c>
      <c r="I714" s="217" t="inlineStr">
        <is>
          <t>"taoDon.payerType": "ប្រភេទទូទាត់",</t>
        </is>
      </c>
      <c r="N714" s="3" t="inlineStr">
        <is>
          <t>ប្រភេទបង់ប្រាក់</t>
        </is>
      </c>
    </row>
    <row r="715" ht="15.75" customHeight="1" s="305">
      <c r="A715" s="3" t="inlineStr">
        <is>
          <t>debit.remove_bill</t>
        </is>
      </c>
      <c r="B715" s="3" t="inlineStr">
        <is>
          <t>Loại vận đơn</t>
        </is>
      </c>
      <c r="C715" s="3" t="inlineStr">
        <is>
          <t>Remove bill</t>
        </is>
      </c>
      <c r="D715" s="3">
        <f>IFERROR(__xludf.DUMMYFUNCTION("GOOGLETRANSLATE(B715,""vi"",""km"")"),"ប្រភេទនៃវិក្កយបត្រដឹកជញ្ជូន")</f>
        <v/>
      </c>
      <c r="E715" s="3" t="inlineStr">
        <is>
          <t>ប្រភេទដឹកជញ្ជូន</t>
        </is>
      </c>
      <c r="F715" s="3" t="n"/>
      <c r="G715" s="3" t="inlineStr">
        <is>
          <t>ប្រភេទកូដបុងបញ្ញើ</t>
        </is>
      </c>
      <c r="H715" t="inlineStr">
        <is>
          <t>ប្រភេទកូដបុងបញ្ញើ</t>
        </is>
      </c>
      <c r="I715" s="217" t="inlineStr">
        <is>
          <t>"debit.remove_bill": "ប្រភេទកូដបុងបញ្ញើ",</t>
        </is>
      </c>
      <c r="N715" s="3" t="inlineStr">
        <is>
          <t>លប់កញ្ចប់បញ្ញើ</t>
        </is>
      </c>
    </row>
    <row r="716" ht="15.75" customHeight="1" s="305">
      <c r="A716" s="3" t="inlineStr">
        <is>
          <t>common.filter</t>
        </is>
      </c>
      <c r="B716" s="3" t="inlineStr">
        <is>
          <t>Lọc</t>
        </is>
      </c>
      <c r="C716" s="3" t="inlineStr">
        <is>
          <t>Filter</t>
        </is>
      </c>
      <c r="D716" s="3">
        <f>IFERROR(__xludf.DUMMYFUNCTION("GOOGLETRANSLATE(B716,""vi"",""km"")"),"តម្រង")</f>
        <v/>
      </c>
      <c r="E716" s="3" t="inlineStr">
        <is>
          <t>ចម្រាញ់</t>
        </is>
      </c>
      <c r="F716" s="3" t="n"/>
      <c r="G716" s="3" t="inlineStr">
        <is>
          <t>ចម្រាញ់</t>
        </is>
      </c>
      <c r="H716" t="inlineStr">
        <is>
          <t>ចម្រាញ់</t>
        </is>
      </c>
      <c r="I716" s="217" t="inlineStr">
        <is>
          <t>"common.filter": "ចម្រាញ់",</t>
        </is>
      </c>
      <c r="N716" s="3" t="inlineStr">
        <is>
          <t>តម្រង</t>
        </is>
      </c>
    </row>
    <row r="717" ht="15.75" customHeight="1" s="305">
      <c r="A717" s="3" t="inlineStr">
        <is>
          <t>tms.locationError</t>
        </is>
      </c>
      <c r="B717" s="3" t="inlineStr">
        <is>
          <t>Lỗi xác định vị trí</t>
        </is>
      </c>
      <c r="C717" s="3" t="inlineStr">
        <is>
          <t>Location error</t>
        </is>
      </c>
      <c r="D717" s="3">
        <f>IFERROR(__xludf.DUMMYFUNCTION("GOOGLETRANSLATE(B717,""vi"",""km"")"),"កំហុសទីតាំង")</f>
        <v/>
      </c>
      <c r="E717" s="3" t="inlineStr">
        <is>
          <t>ការកំណត់ទីតាំងមានបញ្ហា</t>
        </is>
      </c>
      <c r="F717" s="3" t="n"/>
      <c r="G717" s="3" t="inlineStr">
        <is>
          <t>ការកំណត់ទីតាំងមានបញ្ហា</t>
        </is>
      </c>
      <c r="H717" t="inlineStr">
        <is>
          <t>ការកំណត់ទីតាំងមានបញ្ហា</t>
        </is>
      </c>
      <c r="I717" s="217" t="inlineStr">
        <is>
          <t>"tms.locationError": "ការកំណត់ទីតាំងមានបញ្ហា",</t>
        </is>
      </c>
      <c r="N717" s="3" t="inlineStr"/>
    </row>
    <row r="718" ht="15.75" customHeight="1" s="305">
      <c r="A718" s="3" t="inlineStr">
        <is>
          <t>banGiao.titleHandover</t>
        </is>
      </c>
      <c r="B718" s="3" t="inlineStr">
        <is>
          <t>Lượt bàn giao</t>
        </is>
      </c>
      <c r="C718" s="3" t="inlineStr">
        <is>
          <t>Handover</t>
        </is>
      </c>
      <c r="D718" s="3">
        <f>IFERROR(__xludf.DUMMYFUNCTION("GOOGLETRANSLATE(B718,""vi"",""km"")"),"ការប្រគល់")</f>
        <v/>
      </c>
      <c r="E718" s="3" t="inlineStr">
        <is>
          <t>វេនប្រគល់</t>
        </is>
      </c>
      <c r="F718" s="3" t="n"/>
      <c r="G718" s="3" t="inlineStr">
        <is>
          <t>វេនប្រគល់</t>
        </is>
      </c>
      <c r="H718" t="inlineStr">
        <is>
          <t>វេនប្រគល់</t>
        </is>
      </c>
      <c r="I718" s="217" t="inlineStr">
        <is>
          <t>"banGiao.titleHandover": "វេនប្រគល់",</t>
        </is>
      </c>
      <c r="N718" s="3" t="inlineStr">
        <is>
          <t>ការផ្ញើ</t>
        </is>
      </c>
    </row>
    <row r="719" ht="15.75" customHeight="1" s="305">
      <c r="A719" s="3" t="inlineStr">
        <is>
          <t>mainStatus.472</t>
        </is>
      </c>
      <c r="B719" s="3" t="inlineStr">
        <is>
          <t>Lưu kho</t>
        </is>
      </c>
      <c r="C719" s="3" t="inlineStr">
        <is>
          <t>Store in warehouse</t>
        </is>
      </c>
      <c r="D719" s="3">
        <f>IFERROR(__xludf.DUMMYFUNCTION("GOOGLETRANSLATE(B719,""vi"",""km"")"),"ការផ្ទុក")</f>
        <v/>
      </c>
      <c r="E719" s="3" t="inlineStr">
        <is>
          <t>រក្សាទុកក្នុងឃ្លាំង</t>
        </is>
      </c>
      <c r="F719" s="3" t="n"/>
      <c r="G719" s="3" t="inlineStr">
        <is>
          <t>រក្សាទុកក្នុងឃ្លាំង</t>
        </is>
      </c>
      <c r="H719" t="inlineStr">
        <is>
          <t>រក្សាទុកក្នុងឃ្លាំង</t>
        </is>
      </c>
      <c r="I719" s="217" t="inlineStr">
        <is>
          <t>"mainStatus.472": "រក្សាទុកក្នុងឃ្លាំង",</t>
        </is>
      </c>
      <c r="N719" s="163" t="inlineStr">
        <is>
          <t>រក្សាទុកក្នុងឃ្លាំង</t>
        </is>
      </c>
    </row>
    <row r="720" ht="15.75" customHeight="1" s="305">
      <c r="A720" s="3" t="inlineStr">
        <is>
          <t>change_password.save_change</t>
        </is>
      </c>
      <c r="B720" s="3" t="inlineStr">
        <is>
          <t>Lưu thay đổi</t>
        </is>
      </c>
      <c r="C720" s="3" t="inlineStr">
        <is>
          <t>Save changes</t>
        </is>
      </c>
      <c r="D720" s="3">
        <f>IFERROR(__xludf.DUMMYFUNCTION("GOOGLETRANSLATE(B720,""vi"",""km"")"),"រក្សាទុកការផ្លាស់ប្តូរ")</f>
        <v/>
      </c>
      <c r="E720" s="3" t="inlineStr">
        <is>
          <t>រក្សាការផ្លាស់ប្តូរ</t>
        </is>
      </c>
      <c r="F720" s="3" t="n"/>
      <c r="G720" s="3" t="inlineStr">
        <is>
          <t>រក្សាការផ្លាស់ប្តូរ</t>
        </is>
      </c>
      <c r="H720" t="inlineStr">
        <is>
          <t>រក្សាការផ្លាស់ប្តូរ</t>
        </is>
      </c>
      <c r="I720" s="217" t="inlineStr">
        <is>
          <t>"change_password.save_change": "រក្សាការផ្លាស់ប្តូរ",</t>
        </is>
      </c>
      <c r="N720" s="3" t="inlineStr">
        <is>
          <t>រក្សាទុកការផ្លាស់ប្តូរ</t>
        </is>
      </c>
    </row>
    <row r="721" ht="15.75" customHeight="1" s="305">
      <c r="A721" s="3" t="inlineStr">
        <is>
          <t>taoDon.note</t>
        </is>
      </c>
      <c r="B721" s="3" t="inlineStr">
        <is>
          <t>Lưu ý</t>
        </is>
      </c>
      <c r="C721" s="3" t="inlineStr">
        <is>
          <t>Note</t>
        </is>
      </c>
      <c r="D721" s="3">
        <f>IFERROR(__xludf.DUMMYFUNCTION("GOOGLETRANSLATE(B721,""vi"",""km"")"),"កំណត់ចំណាំ")</f>
        <v/>
      </c>
      <c r="E721" s="3" t="inlineStr">
        <is>
          <t>កំណត់ចំណាំ</t>
        </is>
      </c>
      <c r="F721" s="3" t="n"/>
      <c r="G721" s="3" t="inlineStr">
        <is>
          <t>ចំណាំ</t>
        </is>
      </c>
      <c r="H721" t="inlineStr">
        <is>
          <t>ចំណាំ</t>
        </is>
      </c>
      <c r="I721" s="217" t="inlineStr">
        <is>
          <t>"taoDon.note": "ចំណាំ",</t>
        </is>
      </c>
      <c r="N721" s="3" t="inlineStr">
        <is>
          <t>កំណត់សម្គាល់</t>
        </is>
      </c>
    </row>
    <row r="722" ht="15.75" customHeight="1" s="305">
      <c r="A722" s="3" t="inlineStr">
        <is>
          <t>change_password.note_max_sms</t>
        </is>
      </c>
      <c r="B722" s="3" t="inlineStr">
        <is>
          <t>Lưu ý: Bạn chỉ có thể nhận tối đa 5 SMS/giờ</t>
        </is>
      </c>
      <c r="C722" s="3" t="inlineStr">
        <is>
          <t>Note: You can only receive up to 5 SMS per hour</t>
        </is>
      </c>
      <c r="D722" s="3">
        <f>IFERROR(__xludf.DUMMYFUNCTION("GOOGLETRANSLATE(B722,""vi"",""km"")"),"ចំណាំ៖ អ្នកអាចទទួលបានសារ SMS អតិបរមា 5 សារក្នុងមួយម៉ោង។")</f>
        <v/>
      </c>
      <c r="E722" s="3" t="inlineStr">
        <is>
          <t>ចំណាំ៖ អ្នកអាចទទួលបានសារ SMS អតិបរមា 5 ប៉ុណ្ណោះ/ម៉ោង</t>
        </is>
      </c>
      <c r="F722" s="3" t="n"/>
      <c r="G722" s="3" t="inlineStr">
        <is>
          <t>ចំណាំ៖ អ្នកអាចទទួលបានសារ SMS អតិបរមា 5 ប៉ុណ្ណោះ/ម៉ោង</t>
        </is>
      </c>
      <c r="H722" t="inlineStr">
        <is>
          <t>ចំណាំ៖ អ្នកអាចទទួលបានសារ SMS អតិបរមា 5 ប៉ុណ្ណោះ/ម៉ោង</t>
        </is>
      </c>
      <c r="I722" s="217" t="inlineStr">
        <is>
          <t>"change_password.note_max_sms": "ចំណាំ៖ អ្នកអាចទទួលបានសារ SMS អតិបរមា 5 ប៉ុណ្ណោះ/ម៉ោង",</t>
        </is>
      </c>
      <c r="N722" s="3" t="inlineStr">
        <is>
          <t>ចំណាំ៖ អ្នកអាចទទួលបានសារ SMS បានអតិបរមា 5 សារក្នុងមួយម៉ោង។</t>
        </is>
      </c>
    </row>
    <row r="723" ht="15.75" customHeight="1" s="305">
      <c r="A723" s="3" t="inlineStr">
        <is>
          <t>suaDon.contentReason</t>
        </is>
      </c>
      <c r="B723" s="3" t="inlineStr">
        <is>
          <t>Lý do điều chỉnh</t>
        </is>
      </c>
      <c r="C723" s="3" t="inlineStr">
        <is>
          <t>Modification Reason</t>
        </is>
      </c>
      <c r="D723" s="3">
        <f>IFERROR(__xludf.DUMMYFUNCTION("GOOGLETRANSLATE(B723,""vi"",""km"")"),"មូលហេតុនៃការកែតម្រូវ")</f>
        <v/>
      </c>
      <c r="E723" s="3" t="inlineStr">
        <is>
          <t>មូលហេតុនៃការកែតម្រូវ</t>
        </is>
      </c>
      <c r="F723" s="3" t="n"/>
      <c r="G723" s="3" t="inlineStr">
        <is>
          <t>មូលហេតុនៃការកែតម្រូវ</t>
        </is>
      </c>
      <c r="H723" t="inlineStr">
        <is>
          <t>មូលហេតុនៃការកែតម្រូវ</t>
        </is>
      </c>
      <c r="I723" s="217" t="inlineStr">
        <is>
          <t>"suaDon.contentReason": "មូលហេតុនៃការកែតម្រូវ",</t>
        </is>
      </c>
      <c r="N723" s="3" t="inlineStr">
        <is>
          <t>ហេតុផលសម្រាប់ការកែតម្រូវ</t>
        </is>
      </c>
    </row>
    <row r="724" ht="15.75" customHeight="1" s="305">
      <c r="A724" s="3" t="inlineStr">
        <is>
          <t>GiaoHang.descReasonRejectOther</t>
        </is>
      </c>
      <c r="B724" s="3" t="inlineStr">
        <is>
          <t>Lý do khác</t>
        </is>
      </c>
      <c r="C724" s="3" t="inlineStr">
        <is>
          <t>Other</t>
        </is>
      </c>
      <c r="D724" s="3">
        <f>IFERROR(__xludf.DUMMYFUNCTION("GOOGLETRANSLATE(B724,""vi"",""km"")"),"ហេតុផលផ្សេងទៀត")</f>
        <v/>
      </c>
      <c r="E724" s="3" t="inlineStr">
        <is>
          <t>ហេតុផលផ្សេងទៀត</t>
        </is>
      </c>
      <c r="F724" s="3" t="n"/>
      <c r="G724" s="3" t="inlineStr">
        <is>
          <t>ហេតុផលផ្សេងទៀត</t>
        </is>
      </c>
      <c r="H724" t="inlineStr">
        <is>
          <t>ហេតុផលផ្សេងទៀត</t>
        </is>
      </c>
      <c r="I724" s="217" t="inlineStr">
        <is>
          <t>"GiaoHang.descReasonRejectOther": "ហេតុផលផ្សេងទៀត",</t>
        </is>
      </c>
      <c r="N724" s="3" t="inlineStr">
        <is>
          <t>ហេតុផលផ្សេងទៀត។</t>
        </is>
      </c>
    </row>
    <row r="725" ht="15.75" customHeight="1" s="305">
      <c r="A725" s="3" t="inlineStr">
        <is>
          <t>tongGiao.lyDoPhatTiep</t>
        </is>
      </c>
      <c r="B725" s="3" t="inlineStr">
        <is>
          <t>Lý do phát tiếp</t>
        </is>
      </c>
      <c r="C725" s="3" t="inlineStr">
        <is>
          <t>Reason for next delivery</t>
        </is>
      </c>
      <c r="D725" s="3">
        <f>IFERROR(__xludf.DUMMYFUNCTION("GOOGLETRANSLATE(B725,""vi"",""km"")"),"ហេតុផលសម្រាប់ការបន្តការផ្សាយ")</f>
        <v/>
      </c>
      <c r="E725" s="3" t="inlineStr">
        <is>
          <t>មូលហេតុនៃការបញ្ជូនបន្ត</t>
        </is>
      </c>
      <c r="F725" s="3" t="n"/>
      <c r="G725" s="3" t="inlineStr">
        <is>
          <t>មូលហេតុនៃការបញ្ជូនបន្ត</t>
        </is>
      </c>
      <c r="H725" t="inlineStr">
        <is>
          <t>មូលហេតុនៃការបញ្ជូនបន្ត</t>
        </is>
      </c>
      <c r="I725" s="217" t="inlineStr">
        <is>
          <t>"tongGiao.lyDoPhatTiep": "មូលហេតុនៃការបញ្ជូនបន្ត",</t>
        </is>
      </c>
      <c r="N725" s="163" t="inlineStr">
        <is>
          <t>ហេតុផលសម្រាប់ការដឹកជញ្ជូនបន្ទាប់</t>
        </is>
      </c>
    </row>
    <row r="726" ht="15.75" customHeight="1" s="305">
      <c r="A726" s="3" t="inlineStr">
        <is>
          <t>common.code</t>
        </is>
      </c>
      <c r="B726" s="3" t="inlineStr">
        <is>
          <t>Mã</t>
        </is>
      </c>
      <c r="C726" s="143" t="inlineStr">
        <is>
          <t>Code</t>
        </is>
      </c>
      <c r="D726" s="3">
        <f>IFERROR(__xludf.DUMMYFUNCTION("GOOGLETRANSLATE(B726,""vi"",""km"")"),"កូដ")</f>
        <v/>
      </c>
      <c r="E726" s="3" t="inlineStr">
        <is>
          <t>លេខកូដ</t>
        </is>
      </c>
      <c r="F726" s="3" t="n"/>
      <c r="G726" s="3" t="inlineStr">
        <is>
          <t>លេខកូដ</t>
        </is>
      </c>
      <c r="H726" t="inlineStr">
        <is>
          <t>លេខកូដ</t>
        </is>
      </c>
      <c r="I726" s="217" t="inlineStr">
        <is>
          <t>"common.code": "លេខកូដ",</t>
        </is>
      </c>
      <c r="N726" s="3" t="inlineStr"/>
    </row>
    <row r="727" ht="15.75" customHeight="1" s="305">
      <c r="A727" s="3" t="inlineStr">
        <is>
          <t>debit.search_bk</t>
        </is>
      </c>
      <c r="B727" s="3" t="inlineStr">
        <is>
          <t>Mã bảng kê, mã khách hàng, họ tên</t>
        </is>
      </c>
      <c r="C727" s="3" t="inlineStr">
        <is>
          <t>Enter code clear, name of customer</t>
        </is>
      </c>
      <c r="D727" s="3">
        <f>IFERROR(__xludf.DUMMYFUNCTION("GOOGLETRANSLATE(B727,""vi"",""km"")"),"លេខកូដសេចក្តីថ្លែងការណ៍ លេខកូដអតិថិជន ឈ្មោះពេញ")</f>
        <v/>
      </c>
      <c r="E727" s="3" t="inlineStr">
        <is>
          <t>លេខកូដតារាង លេខកូដអតិថិជន នាមត្រកូល</t>
        </is>
      </c>
      <c r="F727" s="3" t="n"/>
      <c r="G727" s="3" t="inlineStr">
        <is>
          <t>លេខកូដតារាង លេខកូដអតិថិជន នាមត្រកូល</t>
        </is>
      </c>
      <c r="H727" t="inlineStr">
        <is>
          <t>លេខកូដតារាង លេខកូដអតិថិជន នាមត្រកូល</t>
        </is>
      </c>
      <c r="I727" s="217" t="inlineStr">
        <is>
          <t>"debit.search_bk": "លេខកូដតារាង លេខកូដអតិថិជន នាមត្រកូល",</t>
        </is>
      </c>
      <c r="N727" s="3" t="inlineStr">
        <is>
          <t>បញ្ជីលេខកូដ លេខកូដអតិថិជន ឈ្មោះពេញ</t>
        </is>
      </c>
    </row>
    <row r="728" ht="15.75" customHeight="1" s="305">
      <c r="A728" s="3" t="inlineStr">
        <is>
          <t>thanhtoan.statementCode</t>
        </is>
      </c>
      <c r="B728" s="3" t="inlineStr">
        <is>
          <t>Mã bảng kê:</t>
        </is>
      </c>
      <c r="C728" s="3" t="inlineStr">
        <is>
          <t>Statement code:</t>
        </is>
      </c>
      <c r="D728" s="3">
        <f>IFERROR(__xludf.DUMMYFUNCTION("GOOGLETRANSLATE(B728,""vi"",""km"")"),"លេខកូដសេចក្តីថ្លែងការណ៍៖")</f>
        <v/>
      </c>
      <c r="E728" s="3" t="inlineStr">
        <is>
          <t>លេខកូដតារាង៖</t>
        </is>
      </c>
      <c r="F728" s="3" t="n"/>
      <c r="G728" s="3" t="inlineStr">
        <is>
          <t>លេខកូដតារាង៖</t>
        </is>
      </c>
      <c r="H728" t="inlineStr">
        <is>
          <t>លេខកូដតារាង៖</t>
        </is>
      </c>
      <c r="I728" s="217" t="inlineStr">
        <is>
          <t>"thanhtoan.statementCode": "លេខកូដតារាង៖",</t>
        </is>
      </c>
      <c r="N728" s="3" t="inlineStr"/>
    </row>
    <row r="729" ht="15.75" customHeight="1" s="305">
      <c r="A729" s="3" t="inlineStr">
        <is>
          <t>tms.maChuyenXe</t>
        </is>
      </c>
      <c r="B729" s="3" t="inlineStr">
        <is>
          <t>Mã chuyến xe</t>
        </is>
      </c>
      <c r="C729" s="3" t="inlineStr">
        <is>
          <t>Trip code</t>
        </is>
      </c>
      <c r="D729" s="3">
        <f>IFERROR(__xludf.DUMMYFUNCTION("GOOGLETRANSLATE(B729,""vi"",""km"")"),"លេខកូដឡានក្រុង")</f>
        <v/>
      </c>
      <c r="E729" s="3" t="inlineStr">
        <is>
          <t>លេខកូដកញ្ចប់ទំនិញ</t>
        </is>
      </c>
      <c r="F729" s="3" t="n"/>
      <c r="G729" s="3" t="inlineStr">
        <is>
          <t>លេខកូដកញ្ចប់ទំនិញ</t>
        </is>
      </c>
      <c r="H729" t="inlineStr">
        <is>
          <t>លេខកូដកញ្ចប់ទំនិញ</t>
        </is>
      </c>
      <c r="I729" s="217" t="inlineStr">
        <is>
          <t>"tms.maChuyenXe": "លេខកូដកញ្ចប់ទំនិញ",</t>
        </is>
      </c>
      <c r="N729" s="3" t="inlineStr"/>
    </row>
    <row r="730" ht="15.75" customHeight="1" s="305">
      <c r="A730" s="3" t="inlineStr">
        <is>
          <t>GiaoHang.titleCodeService</t>
        </is>
      </c>
      <c r="B730" s="3" t="inlineStr">
        <is>
          <t>Mã dịch vụ</t>
        </is>
      </c>
      <c r="C730" s="3" t="inlineStr">
        <is>
          <t>Service code</t>
        </is>
      </c>
      <c r="D730" s="3">
        <f>IFERROR(__xludf.DUMMYFUNCTION("GOOGLETRANSLATE(B730,""vi"",""km"")"),"លេខកូដសេវាកម្ម")</f>
        <v/>
      </c>
      <c r="E730" s="3" t="inlineStr">
        <is>
          <t>លេខកូដសេវាកម្ម</t>
        </is>
      </c>
      <c r="F730" s="3" t="n"/>
      <c r="G730" s="3" t="inlineStr">
        <is>
          <t>លេខកូដសេវាកម្ម</t>
        </is>
      </c>
      <c r="H730" t="inlineStr">
        <is>
          <t>លេខកូដសេវាកម្ម</t>
        </is>
      </c>
      <c r="I730" s="217" t="inlineStr">
        <is>
          <t>"GiaoHang.titleCodeService": "លេខកូដសេវាកម្ម",</t>
        </is>
      </c>
      <c r="N730" s="3" t="inlineStr">
        <is>
          <t>លេខកូដសេវាកម្ម</t>
        </is>
      </c>
    </row>
    <row r="731" ht="15.75" customHeight="1" s="305">
      <c r="A731" s="3" t="inlineStr">
        <is>
          <t>banGiao.billCode</t>
        </is>
      </c>
      <c r="B731" s="3" t="inlineStr">
        <is>
          <t>Mã đơn hàng</t>
        </is>
      </c>
      <c r="C731" s="3" t="inlineStr">
        <is>
          <t>Order code</t>
        </is>
      </c>
      <c r="D731" s="3">
        <f>IFERROR(__xludf.DUMMYFUNCTION("GOOGLETRANSLATE(B731,""vi"",""km"")"),"លេខកូដបញ្ជាទិញ")</f>
        <v/>
      </c>
      <c r="E731" s="3" t="inlineStr">
        <is>
          <t>លេខកូដបុងបញ្ញើ</t>
        </is>
      </c>
      <c r="F731" s="3" t="n"/>
      <c r="G731" s="3" t="inlineStr">
        <is>
          <t>លេខកូដបុងបញ្ញើ</t>
        </is>
      </c>
      <c r="H731" t="inlineStr">
        <is>
          <t>លេខកូដបុងបញ្ញើ</t>
        </is>
      </c>
      <c r="I731" s="217" t="inlineStr">
        <is>
          <t>"banGiao.billCode": "លេខកូដបុងបញ្ញើ",</t>
        </is>
      </c>
      <c r="N731" s="3" t="inlineStr"/>
    </row>
    <row r="732" ht="15.75" customHeight="1" s="305">
      <c r="A732" s="3" t="inlineStr">
        <is>
          <t>GiaoHang.titleOrderNumber</t>
        </is>
      </c>
      <c r="B732" s="3" t="inlineStr">
        <is>
          <t>Mã đơn hàng</t>
        </is>
      </c>
      <c r="C732" s="3" t="inlineStr">
        <is>
          <t>Order ID</t>
        </is>
      </c>
      <c r="D732" s="3">
        <f>IFERROR(__xludf.DUMMYFUNCTION("GOOGLETRANSLATE(B732,""vi"",""km"")"),"លេខកូដបញ្ជាទិញ")</f>
        <v/>
      </c>
      <c r="E732" s="3" t="inlineStr">
        <is>
          <t>លេខកូដបុងបញ្ញើ</t>
        </is>
      </c>
      <c r="F732" s="3" t="n"/>
      <c r="G732" s="3" t="inlineStr">
        <is>
          <t>លេខកូដបុងបញ្ញើ</t>
        </is>
      </c>
      <c r="H732" t="inlineStr">
        <is>
          <t>លេខកូដបុងបញ្ញើ</t>
        </is>
      </c>
      <c r="I732" s="217" t="inlineStr">
        <is>
          <t>"GiaoHang.titleOrderNumber": "លេខកូដបុងបញ្ញើ",</t>
        </is>
      </c>
      <c r="N732" s="3" t="inlineStr">
        <is>
          <t>លេខកូដបុងទំនិញ</t>
        </is>
      </c>
    </row>
    <row r="733" ht="15.75" customHeight="1" s="305">
      <c r="A733" s="3" t="inlineStr">
        <is>
          <t>banGiao.messageChooseUnit</t>
        </is>
      </c>
      <c r="B733" s="3" t="inlineStr">
        <is>
          <t>Mã đơn vị chưa được nhập</t>
        </is>
      </c>
      <c r="C733" s="3" t="inlineStr">
        <is>
          <t>Unit code not entered</t>
        </is>
      </c>
      <c r="D733" s="3">
        <f>IFERROR(__xludf.DUMMYFUNCTION("GOOGLETRANSLATE(B733,""vi"",""km"")"),"លេខកូដឯកតាមិនត្រូវបានបញ្ចូលទេ។")</f>
        <v/>
      </c>
      <c r="E733" s="3" t="inlineStr">
        <is>
          <t>លេខកូដអង្គភាពមិនទាន់បានបញ្ចូល</t>
        </is>
      </c>
      <c r="F733" s="3" t="n"/>
      <c r="G733" s="3" t="inlineStr">
        <is>
          <t>លេខកូដអង្គភាពមិនទាន់បានបញ្ចូល</t>
        </is>
      </c>
      <c r="H733" t="inlineStr">
        <is>
          <t>លេខកូដអង្គភាពមិនទាន់បានបញ្ចូល</t>
        </is>
      </c>
      <c r="I733" s="217" t="inlineStr">
        <is>
          <t>"banGiao.messageChooseUnit": "លេខកូដអង្គភាពមិនទាន់បានបញ្ចូល",</t>
        </is>
      </c>
      <c r="N733" s="3" t="inlineStr">
        <is>
          <t>កូដអង្គភាពមិនបានបញ្ចូល</t>
        </is>
      </c>
    </row>
    <row r="734" ht="15.75" customHeight="1" s="305">
      <c r="A734" s="3" t="inlineStr">
        <is>
          <t>thanhtoan.paymentSuccessCode</t>
        </is>
      </c>
      <c r="B734" s="3" t="inlineStr">
        <is>
          <t>Mã giao dịch {{code}}</t>
        </is>
      </c>
      <c r="C734" s="3" t="inlineStr">
        <is>
          <t>Transaction code {{code}}</t>
        </is>
      </c>
      <c r="D734" s="3">
        <f>IFERROR(__xludf.DUMMYFUNCTION("GOOGLETRANSLATE(B734,""vi"",""km"")"),"លេខកូដប្រតិបត្តិការ {{code}}")</f>
        <v/>
      </c>
      <c r="E734" s="3" t="inlineStr">
        <is>
          <t>លេខកូដប្រតិបត្តិការ {{code}}</t>
        </is>
      </c>
      <c r="F734" s="3" t="n"/>
      <c r="G734" s="3" t="inlineStr">
        <is>
          <t>លេខកូដប្រតិបត្តិការ {{code}}</t>
        </is>
      </c>
      <c r="H734" t="inlineStr">
        <is>
          <t>លេខកូដប្រតិបត្តិការ {{code}}</t>
        </is>
      </c>
      <c r="I734" s="217" t="inlineStr">
        <is>
          <t>"thanhtoan.paymentSuccessCode": "លេខកូដប្រតិបត្តិការ {{code}}",</t>
        </is>
      </c>
      <c r="N734" s="3" t="inlineStr"/>
    </row>
    <row r="735" ht="15.75" customHeight="1" s="305">
      <c r="A735" s="3" t="inlineStr">
        <is>
          <t>thanhtoan.codePay</t>
        </is>
      </c>
      <c r="B735" s="3" t="inlineStr">
        <is>
          <t>Mã giao dịch:</t>
        </is>
      </c>
      <c r="C735" s="3" t="inlineStr">
        <is>
          <t>Transaction ID:</t>
        </is>
      </c>
      <c r="D735" s="3">
        <f>IFERROR(__xludf.DUMMYFUNCTION("GOOGLETRANSLATE(B735,""vi"",""km"")"),"លេខកូដប្រតិបត្តិការ៖")</f>
        <v/>
      </c>
      <c r="E735" s="3" t="inlineStr">
        <is>
          <t>លេខកូដប្រតិបត្តិការ៖</t>
        </is>
      </c>
      <c r="F735" s="3" t="n"/>
      <c r="G735" s="3" t="inlineStr">
        <is>
          <t>លេខកូដប្រតិបត្តិការ៖</t>
        </is>
      </c>
      <c r="H735" t="inlineStr">
        <is>
          <t>លេខកូដប្រតិបត្តិការ៖</t>
        </is>
      </c>
      <c r="I735" s="217" t="inlineStr">
        <is>
          <t>"thanhtoan.codePay": "លេខកូដប្រតិបត្តិការ៖",</t>
        </is>
      </c>
      <c r="N735" s="3" t="inlineStr"/>
    </row>
    <row r="736" ht="15.75" customHeight="1" s="305">
      <c r="A736" s="3" t="inlineStr">
        <is>
          <t>debit.customer_code</t>
        </is>
      </c>
      <c r="B736" s="3" t="inlineStr">
        <is>
          <t>Mã khách hàng</t>
        </is>
      </c>
      <c r="C736" s="143" t="inlineStr">
        <is>
          <t>Customer ID</t>
        </is>
      </c>
      <c r="D736" s="3">
        <f>IFERROR(__xludf.DUMMYFUNCTION("GOOGLETRANSLATE(B736,""vi"",""km"")"),"លេខកូដអតិថិជន")</f>
        <v/>
      </c>
      <c r="E736" s="3" t="inlineStr">
        <is>
          <t>លេខសម្គាល់អតិថិជន</t>
        </is>
      </c>
      <c r="F736" s="3" t="n"/>
      <c r="G736" s="3" t="inlineStr">
        <is>
          <t>លេខសម្គាល់អតិថិជន</t>
        </is>
      </c>
      <c r="H736" t="inlineStr">
        <is>
          <t>លេខសម្គាល់អតិថិជន</t>
        </is>
      </c>
      <c r="I736" s="217" t="inlineStr">
        <is>
          <t>"debit.customer_code": "លេខសម្គាល់អតិថិជន",</t>
        </is>
      </c>
      <c r="N736" s="3" t="inlineStr"/>
    </row>
    <row r="737" ht="15.75" customHeight="1" s="305">
      <c r="A737" s="3" t="inlineStr">
        <is>
          <t>debit.search_cus</t>
        </is>
      </c>
      <c r="B737" s="3" t="inlineStr">
        <is>
          <t>Mã khách hàng, họ tên</t>
        </is>
      </c>
      <c r="C737" s="3" t="inlineStr">
        <is>
          <t>Enter code, name of customer</t>
        </is>
      </c>
      <c r="D737" s="3">
        <f>IFERROR(__xludf.DUMMYFUNCTION("GOOGLETRANSLATE(B737,""vi"",""km"")"),"លេខកូដអតិថិជន ឈ្មោះពេញ")</f>
        <v/>
      </c>
      <c r="E737" s="3" t="inlineStr">
        <is>
          <t>លេខសម្គាល់អតិថិជន, គោត្តនាម និងនាម</t>
        </is>
      </c>
      <c r="F737" s="3" t="n"/>
      <c r="G737" s="3" t="inlineStr">
        <is>
          <t>លេខសម្គាល់អតិថិជន, គោត្តនាម និងនាម</t>
        </is>
      </c>
      <c r="H737" t="inlineStr">
        <is>
          <t>លេខសម្គាល់អតិថិជន, គោត្តនាម និងនាម</t>
        </is>
      </c>
      <c r="I737" s="217" t="inlineStr">
        <is>
          <t>"debit.search_cus": "លេខសម្គាល់អតិថិជន, គោត្តនាម និងនាម",</t>
        </is>
      </c>
      <c r="N737" s="3" t="inlineStr">
        <is>
          <t>លេខកូដអតិថិជន ឈ្មោះពេញ</t>
        </is>
      </c>
    </row>
    <row r="738" ht="15.75" customHeight="1" s="305">
      <c r="A738" s="3" t="inlineStr">
        <is>
          <t>debit.payment_code</t>
        </is>
      </c>
      <c r="B738" s="3" t="inlineStr">
        <is>
          <t>Mã nộp tiền</t>
        </is>
      </c>
      <c r="C738" s="3" t="inlineStr">
        <is>
          <t>Payment code</t>
        </is>
      </c>
      <c r="D738" s="3">
        <f>IFERROR(__xludf.DUMMYFUNCTION("GOOGLETRANSLATE(B738,""vi"",""km"")"),"លេខកូដទូទាត់")</f>
        <v/>
      </c>
      <c r="E738" s="3" t="inlineStr">
        <is>
          <t>លេខកូដបង់ប្រាក់</t>
        </is>
      </c>
      <c r="F738" s="3" t="n"/>
      <c r="G738" s="3" t="inlineStr">
        <is>
          <t>លេខកូដបង់ប្រាក់</t>
        </is>
      </c>
      <c r="H738" t="inlineStr">
        <is>
          <t>លេខកូដបង់ប្រាក់</t>
        </is>
      </c>
      <c r="I738" s="217" t="inlineStr">
        <is>
          <t>"debit.payment_code": "លេខកូដបង់ប្រាក់",</t>
        </is>
      </c>
      <c r="N738" s="3" t="inlineStr">
        <is>
          <t>លេខកូដដាក់ប្រាក់</t>
        </is>
      </c>
    </row>
    <row r="739" ht="15.75" customHeight="1" s="305">
      <c r="A739" s="3" t="inlineStr">
        <is>
          <t>home.manv</t>
        </is>
      </c>
      <c r="B739" s="3" t="inlineStr">
        <is>
          <t xml:space="preserve">Mã NV: </t>
        </is>
      </c>
      <c r="C739" s="3" t="inlineStr">
        <is>
          <t>Employee ID:</t>
        </is>
      </c>
      <c r="D739" s="3">
        <f>IFERROR(__xludf.DUMMYFUNCTION("GOOGLETRANSLATE(B739,""vi"",""km"")"),"អត្តសញ្ញាណបុគ្គលិក៖")</f>
        <v/>
      </c>
      <c r="E739" s="3" t="inlineStr">
        <is>
          <t>លេខកូដបុគ្គលិក៖</t>
        </is>
      </c>
      <c r="F739" s="3" t="n"/>
      <c r="G739" s="3" t="inlineStr">
        <is>
          <t>លេខសម្គាល់ខ្លួនបុគ្គលិក៖</t>
        </is>
      </c>
      <c r="H739" t="inlineStr">
        <is>
          <t>លេខសម្គាល់ខ្លួនបុគ្គលិក៖</t>
        </is>
      </c>
      <c r="I739" s="217" t="inlineStr">
        <is>
          <t>"home.manv": "លេខសម្គាល់ខ្លួនបុគ្គលិក៖",</t>
        </is>
      </c>
      <c r="N739" s="3" t="inlineStr">
        <is>
          <t xml:space="preserve">លេខកូដអ្នកប្រើប្រាស់៖ </t>
        </is>
      </c>
    </row>
    <row r="740" ht="15.75" customHeight="1" s="305">
      <c r="A740" s="3" t="inlineStr">
        <is>
          <t>OTP.content1</t>
        </is>
      </c>
      <c r="B740" s="3" t="inlineStr">
        <is>
          <t>Mã OTP đã được gửi về số điện thoại</t>
        </is>
      </c>
      <c r="C740" s="3" t="inlineStr">
        <is>
          <t>OTP has been sent to your phone number</t>
        </is>
      </c>
      <c r="D740" s="3">
        <f>IFERROR(__xludf.DUMMYFUNCTION("GOOGLETRANSLATE(B740,""vi"",""km"")"),"លេខកូដ OTP ត្រូវបានផ្ញើទៅកាន់លេខទូរស័ព្ទរបស់អ្នក។")</f>
        <v/>
      </c>
      <c r="E740" s="3" t="inlineStr">
        <is>
          <t>លេខកូដ OTP ត្រូវបានផ្ញើទៅលេខទូរស័ព្ទ</t>
        </is>
      </c>
      <c r="F740" s="3" t="n"/>
      <c r="G740" s="3" t="inlineStr">
        <is>
          <t>លេខកូដ OTP ត្រូវបានផ្ញើទៅលេខទូរស័ព្ទ</t>
        </is>
      </c>
      <c r="H740" t="inlineStr">
        <is>
          <t>លេខកូដ OTP ត្រូវបានផ្ញើទៅលេខទូរស័ព្ទ</t>
        </is>
      </c>
      <c r="I740" s="217" t="inlineStr">
        <is>
          <t>"OTP.content1": "លេខកូដ OTP ត្រូវបានផ្ញើទៅលេខទូរស័ព្ទ",</t>
        </is>
      </c>
      <c r="N740" s="3" t="inlineStr">
        <is>
          <t>លេខកូដ OTP ត្រូវបានផ្ញើទៅកាន់លេខទូរស័ព្ទ</t>
        </is>
      </c>
    </row>
    <row r="741" ht="15.75" customHeight="1" s="305">
      <c r="A741" s="3" t="inlineStr">
        <is>
          <t>OTP.errorOTP</t>
        </is>
      </c>
      <c r="B741" s="3" t="inlineStr">
        <is>
          <t>Mã OTP không chính xác. Vui lòng thử lại</t>
        </is>
      </c>
      <c r="C741" s="3" t="inlineStr">
        <is>
          <t>OTP is incorrect. Please try again</t>
        </is>
      </c>
      <c r="D741" s="3">
        <f>IFERROR(__xludf.DUMMYFUNCTION("GOOGLETRANSLATE(B741,""vi"",""km"")"),"លេខកូដ OTP មិនត្រឹមត្រូវ។ សូមព្យាយាមម្តងទៀត។")</f>
        <v/>
      </c>
      <c r="E741" s="3" t="inlineStr">
        <is>
          <t>លេខកូដ OTP មិនត្រឹមត្រូវ។ សូមព្យាយាមម្តងទៀត</t>
        </is>
      </c>
      <c r="F741" s="3" t="n"/>
      <c r="G741" s="3" t="inlineStr">
        <is>
          <t>លេខកូដ OTP មិនត្រឹមត្រូវ។ សូមព្យាយាមម្តងទៀត</t>
        </is>
      </c>
      <c r="H741" t="inlineStr">
        <is>
          <t>លេខកូដ OTP មិនត្រឹមត្រូវ។ សូមព្យាយាមម្តងទៀត</t>
        </is>
      </c>
      <c r="I741" s="217" t="inlineStr">
        <is>
          <t>"OTP.errorOTP": "លេខកូដ OTP មិនត្រឹមត្រូវ។ សូមព្យាយាមម្តងទៀត",</t>
        </is>
      </c>
      <c r="N741" s="3" t="inlineStr">
        <is>
          <t>លេខកូដ OTP មិនត្រឹមត្រូវទេ។ សូម​ព្យាយាម​ម្តង​ទៀត</t>
        </is>
      </c>
    </row>
    <row r="742" ht="15.75" customHeight="1" s="305">
      <c r="A742" s="3" t="inlineStr">
        <is>
          <t>tongGiao.wrongCode</t>
        </is>
      </c>
      <c r="B742" s="3" t="inlineStr">
        <is>
          <t>Mã phiếu gửi không hợp lệ!</t>
        </is>
      </c>
      <c r="C742" s="3" t="inlineStr">
        <is>
          <t>Postal slip code is invalid</t>
        </is>
      </c>
      <c r="D742" s="3">
        <f>IFERROR(__xludf.DUMMYFUNCTION("GOOGLETRANSLATE(B742,""vi"",""km"")"),"លេខកូដដឹកជញ្ជូនមិនត្រឹមត្រូវ!")</f>
        <v/>
      </c>
      <c r="E742" s="3" t="inlineStr">
        <is>
          <t>លេខកូដបុងបញ្ញើមិនត្រឹមត្រូវ!</t>
        </is>
      </c>
      <c r="F742" s="3" t="n"/>
      <c r="G742" s="3" t="inlineStr">
        <is>
          <t>លេខកូដបុងបញ្ញើមិនត្រឹមត្រូវ!</t>
        </is>
      </c>
      <c r="H742" t="inlineStr">
        <is>
          <t>លេខកូដបុងបញ្ញើមិនត្រឹមត្រូវ!</t>
        </is>
      </c>
      <c r="I742" s="217" t="inlineStr">
        <is>
          <t>"tongGiao.wrongCode": "លេខកូដបុងបញ្ញើមិនត្រឹមត្រូវ!",</t>
        </is>
      </c>
      <c r="N742" s="3" t="inlineStr">
        <is>
          <t>លេខកូដបញ្ញើមិនត្រឹមត្រូវ!</t>
        </is>
      </c>
    </row>
    <row r="743" ht="15.75" customHeight="1" s="305">
      <c r="A743" s="3" t="inlineStr">
        <is>
          <t>duyetHoan.placeholderSearch</t>
        </is>
      </c>
      <c r="B743" s="3" t="inlineStr">
        <is>
          <t>Mã phiếu gửi, KH</t>
        </is>
      </c>
      <c r="C743" s="3" t="inlineStr">
        <is>
          <t>Enter the postal slip ID or customer's name</t>
        </is>
      </c>
      <c r="D743" s="3">
        <f>IFERROR(__xludf.DUMMYFUNCTION("GOOGLETRANSLATE(B743,""vi"",""km"")"),"លេខបង្កាន់ដៃ, អតិថិជន")</f>
        <v/>
      </c>
      <c r="E743" s="3" t="inlineStr">
        <is>
          <t>លេខកូដបុងបញ្ញើ, អតិថិជន</t>
        </is>
      </c>
      <c r="F743" s="3" t="n"/>
      <c r="G743" s="3" t="inlineStr">
        <is>
          <t>លេខកូដបុងបញ្ញើ, អតិថិជន</t>
        </is>
      </c>
      <c r="H743" t="inlineStr">
        <is>
          <t>លេខកូដបុងបញ្ញើ, អតិថិជន</t>
        </is>
      </c>
      <c r="I743" s="217" t="inlineStr">
        <is>
          <t>"duyetHoan.placeholderSearch": "លេខកូដបុងបញ្ញើ, អតិថិជន",</t>
        </is>
      </c>
      <c r="N743" s="3" t="inlineStr">
        <is>
          <t>លេខកូដបញ្ញើ, អតិថិជន</t>
        </is>
      </c>
    </row>
    <row r="744" ht="15.75" customHeight="1" s="305">
      <c r="A744" s="3" t="inlineStr">
        <is>
          <t>nhanHang.maphieugui</t>
        </is>
      </c>
      <c r="B744" s="3" t="inlineStr">
        <is>
          <t>Mã phiếu gửi:</t>
        </is>
      </c>
      <c r="C744" s="3" t="inlineStr">
        <is>
          <t>Sending code:</t>
        </is>
      </c>
      <c r="D744" s="3">
        <f>IFERROR(__xludf.DUMMYFUNCTION("GOOGLETRANSLATE(B744,""vi"",""km"")"),"លេខបង្កាន់ដៃ៖")</f>
        <v/>
      </c>
      <c r="E744" s="3" t="inlineStr">
        <is>
          <t>លេខកូដបុងបញ្ញើ៖</t>
        </is>
      </c>
      <c r="F744" s="3" t="n"/>
      <c r="G744" s="3" t="inlineStr">
        <is>
          <t>លេខកូដបុងបញ្ញើ៖</t>
        </is>
      </c>
      <c r="H744" t="inlineStr">
        <is>
          <t>លេខកូដបុងបញ្ញើ៖</t>
        </is>
      </c>
      <c r="I744" s="217" t="inlineStr">
        <is>
          <t>"nhanHang.maphieugui": "លេខកូដបុងបញ្ញើ៖",</t>
        </is>
      </c>
      <c r="N744" s="3" t="inlineStr"/>
    </row>
    <row r="745" ht="15.75" customHeight="1" s="305">
      <c r="A745" s="3" t="inlineStr">
        <is>
          <t>thanhtoan.qrCancelWarning</t>
        </is>
      </c>
      <c r="B745" s="3" t="inlineStr">
        <is>
          <t>Mã QR sẽ bị hủy khi thực hiện thao tác quay lại</t>
        </is>
      </c>
      <c r="C745" s="3" t="inlineStr">
        <is>
          <t>QR code will be canceled when you go back</t>
        </is>
      </c>
      <c r="D745" s="3">
        <f>IFERROR(__xludf.DUMMYFUNCTION("GOOGLETRANSLATE(B745,""vi"",""km"")"),"លេខកូដ QR នឹងត្រូវបានលុបចោលនៅពេលអ្នកអនុវត្តប្រតិបត្តិការហៅឡើងវិញ។")</f>
        <v/>
      </c>
      <c r="E745" s="3" t="inlineStr">
        <is>
          <t>លេខកូដ QR នឹងត្រូវបានលុបចោលនៅពេលត្រលប់មកវិញ</t>
        </is>
      </c>
      <c r="F745" s="3" t="n"/>
      <c r="G745" s="3" t="inlineStr">
        <is>
          <t>លេខកូដ QR នឹងត្រូវបានលុបចោលនៅពេលត្រលប់មកវិញ</t>
        </is>
      </c>
      <c r="H745" t="inlineStr">
        <is>
          <t>លេខកូដ QR នឹងត្រូវបានលុបចោលនៅពេលត្រលប់មកវិញ</t>
        </is>
      </c>
      <c r="I745" s="217" t="inlineStr">
        <is>
          <t>"thanhtoan.qrCancelWarning": "លេខកូដ QR នឹងត្រូវបានលុបចោលនៅពេលត្រលប់មកវិញ",</t>
        </is>
      </c>
      <c r="N745" s="3" t="inlineStr"/>
    </row>
    <row r="746" ht="15.75" customHeight="1" s="305">
      <c r="A746" s="3" t="inlineStr">
        <is>
          <t>DongTai.codeTai</t>
        </is>
      </c>
      <c r="B746" s="3" t="inlineStr">
        <is>
          <t>Mã tải</t>
        </is>
      </c>
      <c r="C746" s="3" t="inlineStr">
        <is>
          <t>Sack code</t>
        </is>
      </c>
      <c r="D746" s="3">
        <f>IFERROR(__xludf.DUMMYFUNCTION("GOOGLETRANSLATE(B746,""vi"",""km"")"),"ទាញយកលេខកូដ")</f>
        <v/>
      </c>
      <c r="E746" s="3" t="inlineStr">
        <is>
          <t>លេខកូដជើងដឹក</t>
        </is>
      </c>
      <c r="F746" s="3" t="n"/>
      <c r="G746" s="3" t="inlineStr">
        <is>
          <t>លេខកូដកញ្ចប់ទំនិញ</t>
        </is>
      </c>
      <c r="H746" t="inlineStr">
        <is>
          <t>លេខកូដកញ្ចប់ទំនិញ</t>
        </is>
      </c>
      <c r="I746" s="217" t="inlineStr">
        <is>
          <t>"DongTai.codeTai": "លេខកូដកញ្ចប់ទំនិញ",</t>
        </is>
      </c>
      <c r="N746" s="3" t="inlineStr">
        <is>
          <t>លេខកូដត្រួតពិនិត្យ</t>
        </is>
      </c>
    </row>
    <row r="747" ht="15.75" customHeight="1" s="305">
      <c r="A747" s="3" t="inlineStr">
        <is>
          <t>banGiao.warningScanned</t>
        </is>
      </c>
      <c r="B747" s="3" t="inlineStr">
        <is>
          <t>Mã tải kiện đã được quét</t>
        </is>
      </c>
      <c r="C747" s="3" t="inlineStr">
        <is>
          <t>Code scanned</t>
        </is>
      </c>
      <c r="D747" s="3">
        <f>IFERROR(__xludf.DUMMYFUNCTION("GOOGLETRANSLATE(B747,""vi"",""km"")"),"លេខកូដតាមដានកញ្ចប់ត្រូវបានស្កេនហើយ។")</f>
        <v/>
      </c>
      <c r="E747" s="3" t="inlineStr">
        <is>
          <t>លេខកូដជើងដឹកអីវ៉ាន់ត្រូវបានស្កេន</t>
        </is>
      </c>
      <c r="F747" s="3" t="n"/>
      <c r="G747" s="3" t="inlineStr">
        <is>
          <t>លេខកូដកញ្ចប់ទំនិញបានស្កេន</t>
        </is>
      </c>
      <c r="H747" t="inlineStr">
        <is>
          <t>លេខកូដកញ្ចប់ទំនិញបានស្កេន</t>
        </is>
      </c>
      <c r="I747" s="217" t="inlineStr">
        <is>
          <t>"banGiao.warningScanned": "លេខកូដកញ្ចប់ទំនិញបានស្កេន",</t>
        </is>
      </c>
      <c r="N747" s="3" t="inlineStr">
        <is>
          <t>កូដបានស្កេនរួចរាល់</t>
        </is>
      </c>
    </row>
    <row r="748" ht="15.75" customHeight="1" s="305">
      <c r="A748" s="3" t="inlineStr">
        <is>
          <t>khaiThacDen.billCode</t>
        </is>
      </c>
      <c r="B748" s="3" t="inlineStr">
        <is>
          <t>Mã tải kiện:</t>
        </is>
      </c>
      <c r="C748" s="3" t="inlineStr">
        <is>
          <t>Sack or package code:</t>
        </is>
      </c>
      <c r="D748" s="3">
        <f>IFERROR(__xludf.DUMMYFUNCTION("GOOGLETRANSLATE(B748,""vi"",""km"")"),"លេខកូដកញ្ចប់៖")</f>
        <v/>
      </c>
      <c r="E748" s="3" t="inlineStr">
        <is>
          <t>លេខកូដជើងដឹកអីវ៉ាន់៖</t>
        </is>
      </c>
      <c r="F748" s="3" t="n"/>
      <c r="G748" s="3" t="inlineStr">
        <is>
          <t>លេខកូដកញ្ចប់ទំនិញ៖</t>
        </is>
      </c>
      <c r="H748" t="inlineStr">
        <is>
          <t>លេខកូដកញ្ចប់ទំនិញ៖</t>
        </is>
      </c>
      <c r="I748" s="217" t="inlineStr">
        <is>
          <t>"khaiThacDen.billCode": "លេខកូដកញ្ចប់ទំនិញ៖",</t>
        </is>
      </c>
      <c r="N748" s="3" t="inlineStr">
        <is>
          <t>លេខកូដទម្ងន់កញ្ចប់:</t>
        </is>
      </c>
    </row>
    <row r="749" ht="15.75" customHeight="1" s="305">
      <c r="A749" s="3" t="inlineStr">
        <is>
          <t>DongTai.numberTitle</t>
        </is>
      </c>
      <c r="B749" s="3" t="inlineStr">
        <is>
          <t>mã tải/kiện</t>
        </is>
      </c>
      <c r="C749" s="3" t="inlineStr">
        <is>
          <t>sack/package code</t>
        </is>
      </c>
      <c r="D749" s="3">
        <f>IFERROR(__xludf.DUMMYFUNCTION("GOOGLETRANSLATE(B749,""vi"",""km"")"),"ទាញយកលេខកូដ/កញ្ចប់")</f>
        <v/>
      </c>
      <c r="E749" s="3" t="inlineStr">
        <is>
          <t>លេខកូដជើងដឹកអីវ៉ាន់៖</t>
        </is>
      </c>
      <c r="F749" s="3" t="n"/>
      <c r="G749" s="3" t="inlineStr">
        <is>
          <t>លេខកូដកញ្ចប់ទំនិញ/អីវ៉ាន់</t>
        </is>
      </c>
      <c r="H749" t="inlineStr">
        <is>
          <t>លេខកូដកញ្ចប់ទំនិញ/អីវ៉ាន់</t>
        </is>
      </c>
      <c r="I749" s="217" t="inlineStr">
        <is>
          <t>"DongTai.numberTitle": "លេខកូដកញ្ចប់ទំនិញ/អីវ៉ាន់",</t>
        </is>
      </c>
      <c r="N749" s="3" t="inlineStr">
        <is>
          <t>លេខកូដត្រួតពិនិត្យ/កញ្ចប់</t>
        </is>
      </c>
    </row>
    <row r="750" ht="15.75" customHeight="1" s="305">
      <c r="A750" s="3" t="inlineStr">
        <is>
          <t>thanhtoan.payCode</t>
        </is>
      </c>
      <c r="B750" s="3" t="inlineStr">
        <is>
          <t>Mã thanh toán:</t>
        </is>
      </c>
      <c r="C750" s="3" t="inlineStr">
        <is>
          <t>Payment code:</t>
        </is>
      </c>
      <c r="D750" s="3">
        <f>IFERROR(__xludf.DUMMYFUNCTION("GOOGLETRANSLATE(B750,""vi"",""km"")"),"លេខកូដទូទាត់៖")</f>
        <v/>
      </c>
      <c r="E750" s="3" t="inlineStr">
        <is>
          <t>លេខកូដទូទាត់៖</t>
        </is>
      </c>
      <c r="F750" s="3" t="n"/>
      <c r="G750" s="3" t="inlineStr">
        <is>
          <t>លេខកូដទូទាត់៖</t>
        </is>
      </c>
      <c r="H750" t="inlineStr">
        <is>
          <t>លេខកូដទូទាត់៖</t>
        </is>
      </c>
      <c r="I750" s="217" t="inlineStr">
        <is>
          <t>"thanhtoan.payCode": "លេខកូដទូទាត់៖",</t>
        </is>
      </c>
      <c r="N750" s="3" t="inlineStr"/>
    </row>
    <row r="751" ht="15.75" customHeight="1" s="305">
      <c r="A751" s="3" t="inlineStr">
        <is>
          <t>taoDon.trackingCode</t>
        </is>
      </c>
      <c r="B751" s="3" t="inlineStr">
        <is>
          <t>Mã vận đơn</t>
        </is>
      </c>
      <c r="C751" s="3" t="inlineStr">
        <is>
          <t>Tracking code</t>
        </is>
      </c>
      <c r="D751" s="3">
        <f>IFERROR(__xludf.DUMMYFUNCTION("GOOGLETRANSLATE(B751,""vi"",""km"")"),"លេខតាមដាន")</f>
        <v/>
      </c>
      <c r="E751" s="3" t="inlineStr">
        <is>
          <t>លេខកូដដឹកជញ្ជូន</t>
        </is>
      </c>
      <c r="F751" s="3" t="n"/>
      <c r="G751" s="3" t="inlineStr">
        <is>
          <t>លេខកូដបុងបញ្ញើ</t>
        </is>
      </c>
      <c r="H751" t="inlineStr">
        <is>
          <t>លេខកូដបុងបញ្ញើ</t>
        </is>
      </c>
      <c r="I751" s="217" t="inlineStr">
        <is>
          <t>"taoDon.trackingCode": "លេខកូដបុងបញ្ញើ",</t>
        </is>
      </c>
      <c r="N751" s="3" t="inlineStr">
        <is>
          <t>លេខតាមដាន</t>
        </is>
      </c>
    </row>
    <row r="752" ht="15.75" customHeight="1" s="305">
      <c r="A752" s="3" t="inlineStr">
        <is>
          <t>change_password.otp_send_phone</t>
        </is>
      </c>
      <c r="B752" s="3" t="inlineStr">
        <is>
          <t xml:space="preserve">Mã xác nhận đã được gửi đến số </t>
        </is>
      </c>
      <c r="C752" s="3" t="inlineStr">
        <is>
          <t xml:space="preserve">The verification code has been sent to number </t>
        </is>
      </c>
      <c r="D752" s="3">
        <f>IFERROR(__xludf.DUMMYFUNCTION("GOOGLETRANSLATE(B752,""vi"",""km"")"),"លេខកូដផ្ទៀងផ្ទាត់ត្រូវបានផ្ញើទៅកាន់លេខនេះ។")</f>
        <v/>
      </c>
      <c r="E752" s="3" t="inlineStr">
        <is>
          <t>លេខកូដបញ្ជាក់ត្រូវបានផ្ញើទៅលេខ</t>
        </is>
      </c>
      <c r="F752" s="3" t="n"/>
      <c r="G752" s="3" t="inlineStr">
        <is>
          <t>លេខកូដបញ្ជាក់ត្រូវបានផ្ញើទៅលេខ</t>
        </is>
      </c>
      <c r="H752" t="inlineStr">
        <is>
          <t>លេខកូដបញ្ជាក់ត្រូវបានផ្ញើទៅលេខ</t>
        </is>
      </c>
      <c r="I752" s="217" t="inlineStr">
        <is>
          <t>"change_password.otp_send_phone": "លេខកូដបញ្ជាក់ត្រូវបានផ្ញើទៅលេខ",</t>
        </is>
      </c>
      <c r="N752" s="3" t="inlineStr">
        <is>
          <t xml:space="preserve">លេខកូដផ្ទៀងផ្ទាត់ត្រូវបានផ្ញើទៅលេខ </t>
        </is>
      </c>
    </row>
    <row r="753" ht="15.75" customHeight="1" s="305">
      <c r="A753" s="3" t="inlineStr">
        <is>
          <t>banGiao.code/nameUnit</t>
        </is>
      </c>
      <c r="B753" s="3" t="inlineStr">
        <is>
          <t>Mã/tên đơn vị</t>
        </is>
      </c>
      <c r="C753" s="3" t="inlineStr">
        <is>
          <t xml:space="preserve">Unit Code/Name </t>
        </is>
      </c>
      <c r="D753" s="3">
        <f>IFERROR(__xludf.DUMMYFUNCTION("GOOGLETRANSLATE(B753,""vi"",""km"")"),"លេខកូដ/ឈ្មោះឯកតា")</f>
        <v/>
      </c>
      <c r="E753" s="3" t="inlineStr">
        <is>
          <t>លេខកូដ/ឈ្មោះអង្គភាព</t>
        </is>
      </c>
      <c r="F753" s="3" t="n"/>
      <c r="G753" s="3" t="inlineStr">
        <is>
          <t>លេខកូដ/ឈ្មោះអង្គភាព</t>
        </is>
      </c>
      <c r="H753" t="inlineStr">
        <is>
          <t>លេខកូដ/ឈ្មោះអង្គភាព</t>
        </is>
      </c>
      <c r="I753" s="217" t="inlineStr">
        <is>
          <t>"banGiao.code/nameUnit": "លេខកូដ/ឈ្មោះអង្គភាព",</t>
        </is>
      </c>
      <c r="N753" s="3" t="inlineStr">
        <is>
          <t>កូដ/ឈ្មោះអង្គភាព</t>
        </is>
      </c>
    </row>
    <row r="754" ht="15.75" customHeight="1" s="305">
      <c r="A754" s="3" t="inlineStr">
        <is>
          <t>error.errorNetwork</t>
        </is>
      </c>
      <c r="B754" s="3" t="inlineStr">
        <is>
          <t>Mất kết nối đến máy chủ. Vui lòng kiểm tra kết nối mạng và thử lại</t>
        </is>
      </c>
      <c r="C754" s="3" t="inlineStr">
        <is>
          <t>Connection to server failed. Please check your network connection and try again.</t>
        </is>
      </c>
      <c r="D754" s="3">
        <f>IFERROR(__xludf.DUMMYFUNCTION("GOOGLETRANSLATE(B754,""vi"",""km"")"),"ការភ្ជាប់ទៅម៉ាស៊ីនមេបានដាច់។ សូមពិនិត្យមើលការតភ្ជាប់បណ្តាញរបស់អ្នក ហើយព្យាយាមម្តងទៀត។")</f>
        <v/>
      </c>
      <c r="E754" s="3" t="inlineStr">
        <is>
          <t>បាត់បង់ការតភ្ជាប់ទៅម៉ាស៊ីនមេ។ សូមពិនិត្យមើលការតភ្ជាប់បណ្តាញរបស់អ្នក ហើយព្យាយាមម្តងទៀត</t>
        </is>
      </c>
      <c r="F754" s="3" t="n"/>
      <c r="G754" s="3" t="inlineStr">
        <is>
          <t>បាត់បង់ការតភ្ជាប់ទៅម៉ាស៊ីនមេ។ សូមពិនិត្យមើលការតភ្ជាប់បណ្តាញរបស់អ្នក ហើយព្យាយាមម្តងទៀត</t>
        </is>
      </c>
      <c r="H754" t="inlineStr">
        <is>
          <t>បាត់បង់ការតភ្ជាប់ទៅម៉ាស៊ីនមេ។ សូមពិនិត្យមើលការតភ្ជាប់បណ្តាញរបស់អ្នក ហើយព្យាយាមម្តងទៀត</t>
        </is>
      </c>
      <c r="I754" s="217" t="inlineStr">
        <is>
          <t>"error.errorNetwork": "បាត់បង់ការតភ្ជាប់ទៅម៉ាស៊ីនមេ។ សូមពិនិត្យមើលការតភ្ជាប់បណ្តាញរបស់អ្នក ហើយព្យាយាមម្តងទៀត",</t>
        </is>
      </c>
      <c r="N754" s="3" t="inlineStr">
        <is>
          <t>ការតភ្ជាប់ទៅម៉ាស៊ីនមេបានបាត់បង់។ សូមពិនិត្យមើលការតភ្ជាប់បណ្តាញរបស់អ្នក ហើយព្យាយាមម្តងទៀត</t>
        </is>
      </c>
    </row>
    <row r="755" ht="15.75" customHeight="1" s="305">
      <c r="A755" s="3" t="inlineStr">
        <is>
          <t>common.server_network</t>
        </is>
      </c>
      <c r="B755" s="3" t="inlineStr">
        <is>
          <t>Mất kết nối đến server. Vui lòng thử lại sau.</t>
        </is>
      </c>
      <c r="C755" s="3" t="inlineStr">
        <is>
          <t>Unable to connect to the server. Please try again.</t>
        </is>
      </c>
      <c r="D755" s="3">
        <f>IFERROR(__xludf.DUMMYFUNCTION("GOOGLETRANSLATE(B755,""vi"",""km"")"),"ការតភ្ជាប់ទៅម៉ាស៊ីនមេបានដាច់។ សូមព្យាយាមម្តងទៀតនៅពេលក្រោយ។")</f>
        <v/>
      </c>
      <c r="E755" s="3" t="inlineStr">
        <is>
          <t>បាត់បង់ការតភ្ជាប់ទៅម៉ាស៊ីនមេ។ សូមព្យាយាមម្តងទៀតនៅពេលក្រោយ។</t>
        </is>
      </c>
      <c r="F755" s="3" t="n"/>
      <c r="G755" s="3" t="inlineStr">
        <is>
          <t>បាត់បង់ការតភ្ជាប់ទៅម៉ាស៊ីនមេ។ សូមព្យាយាមម្តងទៀតនៅពេលក្រោយ។</t>
        </is>
      </c>
      <c r="H755" t="inlineStr">
        <is>
          <t>បាត់បង់ការតភ្ជាប់ទៅម៉ាស៊ីនមេ។ សូមព្យាយាមម្តងទៀតនៅពេលក្រោយ។</t>
        </is>
      </c>
      <c r="I755" s="217" t="inlineStr">
        <is>
          <t>"common.server_network": "បាត់បង់ការតភ្ជាប់ទៅម៉ាស៊ីនមេ។ សូមព្យាយាមម្តងទៀតនៅពេលក្រោយ។",</t>
        </is>
      </c>
      <c r="N755" s="3" t="inlineStr">
        <is>
          <t>បាត់បង់ការតភ្ជាប់ទៅម៉ាស៊ីនមេ។ សូម​ព្យាយាម​ម្តង​ទៀត​នៅ​ពេល​ក្រោយ។</t>
        </is>
      </c>
    </row>
    <row r="756" ht="15.75" customHeight="1" s="305">
      <c r="A756" s="3" t="inlineStr">
        <is>
          <t>login.password</t>
        </is>
      </c>
      <c r="B756" s="3" t="inlineStr">
        <is>
          <t>Mật khẩu</t>
        </is>
      </c>
      <c r="C756" s="3" t="inlineStr">
        <is>
          <t>Password</t>
        </is>
      </c>
      <c r="D756" s="3">
        <f>IFERROR(__xludf.DUMMYFUNCTION("GOOGLETRANSLATE(B756,""vi"",""km"")"),"ពាក្យសម្ងាត់")</f>
        <v/>
      </c>
      <c r="E756" s="3" t="inlineStr">
        <is>
          <t>ពាក្យសម្ងាត់</t>
        </is>
      </c>
      <c r="F756" s="3" t="n"/>
      <c r="G756" s="3" t="inlineStr">
        <is>
          <t>ពាក្យសម្ងាត់</t>
        </is>
      </c>
      <c r="H756" t="inlineStr">
        <is>
          <t>ពាក្យសម្ងាត់</t>
        </is>
      </c>
      <c r="I756" s="217" t="inlineStr">
        <is>
          <t>"login.password": "ពាក្យសម្ងាត់",</t>
        </is>
      </c>
      <c r="N756" s="3" t="inlineStr">
        <is>
          <t>ពាក្យសម្ងាត់</t>
        </is>
      </c>
    </row>
    <row r="757" ht="15.75" customHeight="1" s="305">
      <c r="A757" s="3" t="inlineStr">
        <is>
          <t>password.password</t>
        </is>
      </c>
      <c r="B757" s="3" t="inlineStr">
        <is>
          <t>Mật khẩu</t>
        </is>
      </c>
      <c r="C757" s="3" t="inlineStr">
        <is>
          <t>Password</t>
        </is>
      </c>
      <c r="D757" s="3">
        <f>IFERROR(__xludf.DUMMYFUNCTION("GOOGLETRANSLATE(B757,""vi"",""km"")"),"ពាក្យសម្ងាត់")</f>
        <v/>
      </c>
      <c r="E757" s="3" t="inlineStr">
        <is>
          <t>ពាក្យសម្ងាត់</t>
        </is>
      </c>
      <c r="F757" s="3" t="n"/>
      <c r="G757" s="3" t="inlineStr">
        <is>
          <t>ពាក្យសម្ងាត់</t>
        </is>
      </c>
      <c r="H757" t="inlineStr">
        <is>
          <t>ពាក្យសម្ងាត់</t>
        </is>
      </c>
      <c r="I757" s="217" t="inlineStr">
        <is>
          <t>"password.password": "ពាក្យសម្ងាត់",</t>
        </is>
      </c>
      <c r="N757" s="3" t="inlineStr">
        <is>
          <t>ពាក្យសម្ងាត់</t>
        </is>
      </c>
    </row>
    <row r="758" ht="15.75" customHeight="1" s="305">
      <c r="A758" s="3" t="inlineStr">
        <is>
          <t>register.password</t>
        </is>
      </c>
      <c r="B758" s="3" t="inlineStr">
        <is>
          <t>Mật khẩu</t>
        </is>
      </c>
      <c r="C758" s="3" t="inlineStr">
        <is>
          <t>Password</t>
        </is>
      </c>
      <c r="D758" s="3">
        <f>IFERROR(__xludf.DUMMYFUNCTION("GOOGLETRANSLATE(B758,""vi"",""km"")"),"ពាក្យសម្ងាត់")</f>
        <v/>
      </c>
      <c r="E758" s="3" t="inlineStr">
        <is>
          <t>ពាក្យសម្ងាត់</t>
        </is>
      </c>
      <c r="F758" s="3" t="n"/>
      <c r="G758" s="3" t="inlineStr">
        <is>
          <t>ពាក្យសម្ងាត់</t>
        </is>
      </c>
      <c r="H758" t="inlineStr">
        <is>
          <t>ពាក្យសម្ងាត់</t>
        </is>
      </c>
      <c r="I758" s="217" t="inlineStr">
        <is>
          <t>"register.password": "ពាក្យសម្ងាត់",</t>
        </is>
      </c>
      <c r="N758" s="3" t="inlineStr">
        <is>
          <t>ពាក្យសម្ងាត់</t>
        </is>
      </c>
    </row>
    <row r="759" ht="15.75" customHeight="1" s="305">
      <c r="A759" s="3" t="inlineStr">
        <is>
          <t>error.errorPassword</t>
        </is>
      </c>
      <c r="B759" s="3" t="inlineStr">
        <is>
          <t>Mật khẩu có độ dài từ 6 - 20 ký tự gồm chữ cái và số</t>
        </is>
      </c>
      <c r="C759" s="3" t="inlineStr">
        <is>
          <t>Password must be 6-20 characters long</t>
        </is>
      </c>
      <c r="D759" s="3">
        <f>IFERROR(__xludf.DUMMYFUNCTION("GOOGLETRANSLATE(B759,""vi"",""km"")"),"ពាក្យសម្ងាត់ត្រូវតែមានប្រវែងចន្លោះពី ៦ ទៅ ២០ តួអក្សរ ហើយត្រូវមានអក្សរ និងលេខ។")</f>
        <v/>
      </c>
      <c r="E759" s="3" t="inlineStr">
        <is>
          <t>ពាក្យសម្ងាត់ត្រូវតែមានប្រវែងពី 6-20 តួអក្សរ និងមានអក្សរ និងលេខ</t>
        </is>
      </c>
      <c r="F759" s="3" t="n"/>
      <c r="G759" s="3" t="inlineStr">
        <is>
          <t>ពាក្យសម្ងាត់ត្រូវតែមានប្រវែងពី 6-20 តួអក្សរ និងមានអក្សរ និងលេខ</t>
        </is>
      </c>
      <c r="H759" t="inlineStr">
        <is>
          <t>ពាក្យសម្ងាត់ត្រូវតែមានប្រវែងពី 6-20 តួអក្សរ និងមានអក្សរ និងលេខ</t>
        </is>
      </c>
      <c r="I759" s="217" t="inlineStr">
        <is>
          <t>"error.errorPassword": "ពាក្យសម្ងាត់ត្រូវតែមានប្រវែងពី 6-20 តួអក្សរ និងមានអក្សរ និងលេខ",</t>
        </is>
      </c>
      <c r="N759" s="3" t="inlineStr">
        <is>
          <t>ពាក្យ​សម្ងាត់​ត្រូវ​តែ​មាន​ប្រវែង 6 ទៅ 20 តួអក្សរ ហើយ​មាន​អក្សរ និង​លេខ</t>
        </is>
      </c>
    </row>
    <row r="760" ht="15.75" customHeight="1" s="305">
      <c r="A760" s="3" t="inlineStr">
        <is>
          <t>register.waringRegister</t>
        </is>
      </c>
      <c r="B760" s="3" t="inlineStr">
        <is>
          <t>Mật khẩu có độ dài từ 6 - 20 ký tự gồm chữ cái và số</t>
        </is>
      </c>
      <c r="C760" s="3" t="inlineStr">
        <is>
          <t>Password must be 6-20 characters long</t>
        </is>
      </c>
      <c r="D760" s="3">
        <f>IFERROR(__xludf.DUMMYFUNCTION("GOOGLETRANSLATE(B760,""vi"",""km"")"),"ពាក្យសម្ងាត់ត្រូវតែមានប្រវែងចន្លោះពី ៦ ទៅ ២០ តួអក្សរ ហើយត្រូវមានអក្សរ និងលេខ។")</f>
        <v/>
      </c>
      <c r="E760" s="3" t="inlineStr">
        <is>
          <t>ពាក្យសម្ងាត់ត្រូវតែមានប្រវែងពី 6-20 តួអក្សរ និងមានអក្សរ និងលេខ</t>
        </is>
      </c>
      <c r="F760" s="3" t="n"/>
      <c r="G760" s="3" t="inlineStr">
        <is>
          <t>ពាក្យសម្ងាត់ត្រូវតែមានប្រវែងពី 6-20 តួអក្សរ និងមានអក្សរ និងលេខ</t>
        </is>
      </c>
      <c r="H760" t="inlineStr">
        <is>
          <t>ពាក្យសម្ងាត់ត្រូវតែមានប្រវែងពី 6-20 តួអក្សរ និងមានអក្សរ និងលេខ</t>
        </is>
      </c>
      <c r="I760" s="217" t="inlineStr">
        <is>
          <t>"register.waringRegister": "ពាក្យសម្ងាត់ត្រូវតែមានប្រវែងពី 6-20 តួអក្សរ និងមានអក្សរ និងលេខ",</t>
        </is>
      </c>
      <c r="N760" s="3" t="inlineStr">
        <is>
          <t>ប្រវែងពាក្យសម្ងាត់គឺចាប់ពី 6 ទៅ 20 តួអក្សរ រួមទាំងអក្សរ និងលេខ</t>
        </is>
      </c>
    </row>
    <row r="761" ht="15.75" customHeight="1" s="305">
      <c r="A761" s="3" t="inlineStr">
        <is>
          <t>setting.currentPassword</t>
        </is>
      </c>
      <c r="B761" s="3" t="inlineStr">
        <is>
          <t>Mật khẩu hiện tại</t>
        </is>
      </c>
      <c r="C761" s="3" t="inlineStr">
        <is>
          <t>Current password</t>
        </is>
      </c>
      <c r="D761" s="3">
        <f>IFERROR(__xludf.DUMMYFUNCTION("GOOGLETRANSLATE(B761,""vi"",""km"")"),"ពាក្យសម្ងាត់បច្ចុប្បន្ន")</f>
        <v/>
      </c>
      <c r="E761" s="3" t="inlineStr">
        <is>
          <t>ពាក្យសម្ងាត់បច្ចុប្បន្ន</t>
        </is>
      </c>
      <c r="F761" s="3" t="n"/>
      <c r="G761" s="3" t="inlineStr">
        <is>
          <t>ពាក្យសម្ងាត់បច្ចុប្បន្ន</t>
        </is>
      </c>
      <c r="H761" t="inlineStr">
        <is>
          <t>ពាក្យសម្ងាត់បច្ចុប្បន្ន</t>
        </is>
      </c>
      <c r="I761" s="217" t="inlineStr">
        <is>
          <t>"setting.currentPassword": "ពាក្យសម្ងាត់បច្ចុប្បន្ន",</t>
        </is>
      </c>
      <c r="N761" s="3" t="inlineStr">
        <is>
          <t>Current password</t>
        </is>
      </c>
    </row>
    <row r="762" ht="15.75" customHeight="1" s="305">
      <c r="A762" s="3" t="inlineStr">
        <is>
          <t>change_password.current_password</t>
        </is>
      </c>
      <c r="B762" s="3" t="inlineStr">
        <is>
          <t>Mật khẩu hiện tại</t>
        </is>
      </c>
      <c r="C762" s="3" t="inlineStr">
        <is>
          <t>Current password</t>
        </is>
      </c>
      <c r="D762" s="3">
        <f>IFERROR(__xludf.DUMMYFUNCTION("GOOGLETRANSLATE(B762,""vi"",""km"")"),"ពាក្យសម្ងាត់បច្ចុប្បន្ន")</f>
        <v/>
      </c>
      <c r="E762" s="3" t="inlineStr">
        <is>
          <t>ពាក្យសម្ងាត់បច្ចុប្បន្ន</t>
        </is>
      </c>
      <c r="F762" s="3" t="n"/>
      <c r="G762" s="3" t="inlineStr">
        <is>
          <t>ពាក្យសម្ងាត់បច្ចុប្បន្ន</t>
        </is>
      </c>
      <c r="H762" t="inlineStr">
        <is>
          <t>ពាក្យសម្ងាត់បច្ចុប្បន្ន</t>
        </is>
      </c>
      <c r="I762" s="217" t="inlineStr">
        <is>
          <t>"change_password.current_password": "ពាក្យសម្ងាត់បច្ចុប្បន្ន",</t>
        </is>
      </c>
      <c r="N762" s="3" t="inlineStr">
        <is>
          <t>ពាក្យសម្ងាត់បច្ចុប្បន្ន</t>
        </is>
      </c>
    </row>
    <row r="763" ht="15.75" customHeight="1" s="305">
      <c r="A763" s="3" t="inlineStr">
        <is>
          <t>change_password.enter_current_password</t>
        </is>
      </c>
      <c r="B763" s="3" t="inlineStr">
        <is>
          <t>Mật khẩu hiện tại</t>
        </is>
      </c>
      <c r="C763" s="3" t="inlineStr">
        <is>
          <t>Current password</t>
        </is>
      </c>
      <c r="D763" s="3">
        <f>IFERROR(__xludf.DUMMYFUNCTION("GOOGLETRANSLATE(B763,""vi"",""km"")"),"ពាក្យសម្ងាត់បច្ចុប្បន្ន")</f>
        <v/>
      </c>
      <c r="E763" s="3" t="inlineStr">
        <is>
          <t>ពាក្យសម្ងាត់បច្ចុប្បន្ន</t>
        </is>
      </c>
      <c r="F763" s="3" t="n"/>
      <c r="G763" s="3" t="inlineStr">
        <is>
          <t>ពាក្យសម្ងាត់បច្ចុប្បន្ន</t>
        </is>
      </c>
      <c r="H763" t="inlineStr">
        <is>
          <t>ពាក្យសម្ងាត់បច្ចុប្បន្ន</t>
        </is>
      </c>
      <c r="I763" s="217" t="inlineStr">
        <is>
          <t>"change_password.enter_current_password": "ពាក្យសម្ងាត់បច្ចុប្បន្ន",</t>
        </is>
      </c>
      <c r="N763" s="3" t="inlineStr">
        <is>
          <t>ពាក្យសម្ងាត់បច្ចុប្បន្ន</t>
        </is>
      </c>
    </row>
    <row r="764" ht="15.75" customHeight="1" s="305">
      <c r="A764" s="3" t="inlineStr">
        <is>
          <t>setting.remainingTimesChangePassword</t>
        </is>
      </c>
      <c r="B764" s="3" t="inlineStr">
        <is>
          <t>Mật khẩu hiện tại không chính xác, bạn còn {{value}} lần thử.</t>
        </is>
      </c>
      <c r="C764" s="3" t="inlineStr">
        <is>
          <t xml:space="preserve">Incorrect password. {{value}} attempts left. </t>
        </is>
      </c>
      <c r="D764" s="3">
        <f>IFERROR(__xludf.DUMMYFUNCTION("GOOGLETRANSLATE(B764,""vi"",""km"")"),"ពាក្យសម្ងាត់បច្ចុប្បន្នមិនត្រឹមត្រូវទេ។ អ្នកនៅសល់ការប៉ុនប៉ងចំនួន {{value}} ទៀត។")</f>
        <v/>
      </c>
      <c r="E764" s="3" t="inlineStr">
        <is>
          <t>ពាក្យសម្ងាត់បច្ចុប្បន្នមិនត្រឹមត្រូវ អ្នកនៅសល់ចំនួន {{value}} ទៀត។</t>
        </is>
      </c>
      <c r="F764" s="3" t="n"/>
      <c r="G764" s="3" t="inlineStr">
        <is>
          <t>ពាក្យសម្ងាត់បច្ចុប្បន្នមិនត្រឹមត្រូវ អ្នកនៅសល់ចំនួន {{value}} ទៀត។</t>
        </is>
      </c>
      <c r="H764" t="inlineStr">
        <is>
          <t>ពាក្យសម្ងាត់បច្ចុប្បន្នមិនត្រឹមត្រូវ អ្នកនៅសល់ចំនួន {{value}} ទៀត។</t>
        </is>
      </c>
      <c r="I764" s="217" t="inlineStr">
        <is>
          <t>"setting.remainingTimesChangePassword": "ពាក្យសម្ងាត់បច្ចុប្បន្នមិនត្រឹមត្រូវ អ្នកនៅសល់ចំនួន {{value}} ទៀត។",</t>
        </is>
      </c>
      <c r="N764" s="3" t="inlineStr">
        <is>
          <t>Current password is incorrect, you have {{value}} changes left!</t>
        </is>
      </c>
    </row>
    <row r="765" ht="15.75" customHeight="1" s="305">
      <c r="A765" s="3" t="inlineStr">
        <is>
          <t>change_password.password_not_blank</t>
        </is>
      </c>
      <c r="B765" s="3" t="inlineStr">
        <is>
          <t>Mật khẩu hiện tại không được để trống</t>
        </is>
      </c>
      <c r="C765" s="3" t="inlineStr">
        <is>
          <t>Current password cannot be empty</t>
        </is>
      </c>
      <c r="D765" s="3">
        <f>IFERROR(__xludf.DUMMYFUNCTION("GOOGLETRANSLATE(B765,""vi"",""km"")"),"ពាក្យសម្ងាត់បច្ចុប្បន្នមិនអាចទុកចោលទទេបានទេ។")</f>
        <v/>
      </c>
      <c r="E765" s="3" t="inlineStr">
        <is>
          <t>ពាក្យសម្ងាត់បច្ចុប្បន្នមិនអាចទុកចន្លោះបានទេ</t>
        </is>
      </c>
      <c r="F765" s="3" t="n"/>
      <c r="G765" s="3" t="inlineStr">
        <is>
          <t>ពាក្យសម្ងាត់បច្ចុប្បន្នមិនអាចទុកចន្លោះបានទេ</t>
        </is>
      </c>
      <c r="H765" t="inlineStr">
        <is>
          <t>ពាក្យសម្ងាត់បច្ចុប្បន្នមិនអាចទុកចន្លោះបានទេ</t>
        </is>
      </c>
      <c r="I765" s="217" t="inlineStr">
        <is>
          <t>"change_password.password_not_blank": "ពាក្យសម្ងាត់បច្ចុប្បន្នមិនអាចទុកចន្លោះបានទេ",</t>
        </is>
      </c>
      <c r="N765" s="3" t="inlineStr">
        <is>
          <t>ពាក្យសម្ងាត់បច្ចុប្បន្នមិនអាចទទេ</t>
        </is>
      </c>
    </row>
    <row r="766" ht="15.75" customHeight="1" s="305">
      <c r="A766" s="3" t="inlineStr">
        <is>
          <t>change_password.password_not_format</t>
        </is>
      </c>
      <c r="B766" s="3" t="inlineStr">
        <is>
          <t>Mật khẩu không đúng quy tắc</t>
        </is>
      </c>
      <c r="C766" s="3" t="inlineStr">
        <is>
          <t>Password does not meet the rules</t>
        </is>
      </c>
      <c r="D766" s="3">
        <f>IFERROR(__xludf.DUMMYFUNCTION("GOOGLETRANSLATE(B766,""vi"",""km"")"),"ពាក្យសម្ងាត់មិនត្រឹមត្រូវ។")</f>
        <v/>
      </c>
      <c r="E766" s="3" t="inlineStr">
        <is>
          <t>ពាក្យសម្ងាត់មិនត្រូវតាមការកំណត់</t>
        </is>
      </c>
      <c r="F766" s="3" t="n"/>
      <c r="G766" s="3" t="inlineStr">
        <is>
          <t>ពាក្យសម្ងាត់មិនត្រូវតាមការកំណត់</t>
        </is>
      </c>
      <c r="H766" t="inlineStr">
        <is>
          <t>ពាក្យសម្ងាត់មិនត្រូវតាមការកំណត់</t>
        </is>
      </c>
      <c r="I766" s="217" t="inlineStr">
        <is>
          <t>"change_password.password_not_format": "ពាក្យសម្ងាត់មិនត្រូវតាមការកំណត់",</t>
        </is>
      </c>
      <c r="N766" s="3" t="inlineStr">
        <is>
          <t>ទ្រង់ទ្រាយពាក្យសម្ងាត់មិនត្រឹមត្រូវ</t>
        </is>
      </c>
    </row>
    <row r="767" ht="15.75" customHeight="1" s="305">
      <c r="A767" s="3" t="inlineStr">
        <is>
          <t>error.errorRePassword</t>
        </is>
      </c>
      <c r="B767" s="3" t="inlineStr">
        <is>
          <t>Mật khẩu không đúng yêu cầu</t>
        </is>
      </c>
      <c r="C767" s="3" t="inlineStr">
        <is>
          <t>Password is invalid</t>
        </is>
      </c>
      <c r="D767" s="3">
        <f>IFERROR(__xludf.DUMMYFUNCTION("GOOGLETRANSLATE(B767,""vi"",""km"")"),"ពាក្យសម្ងាត់មិនត្រឹមត្រូវ។")</f>
        <v/>
      </c>
      <c r="E767" s="3" t="inlineStr">
        <is>
          <t>ពាក្យសម្ងាត់មិនបំពេញតាមតម្រូវការ</t>
        </is>
      </c>
      <c r="F767" s="3" t="n"/>
      <c r="G767" s="3" t="inlineStr">
        <is>
          <t>ពាក្យសម្ងាត់មិនបំពេញតាមតម្រូវការ</t>
        </is>
      </c>
      <c r="H767" t="inlineStr">
        <is>
          <t>ពាក្យសម្ងាត់មិនបំពេញតាមតម្រូវការ</t>
        </is>
      </c>
      <c r="I767" s="217" t="inlineStr">
        <is>
          <t>"error.errorRePassword": "ពាក្យសម្ងាត់មិនបំពេញតាមតម្រូវការ",</t>
        </is>
      </c>
      <c r="N767" s="3" t="inlineStr">
        <is>
          <t>ពាក្យសម្ងាត់មិនត្រូវគ្នានឹងតម្រូវការ</t>
        </is>
      </c>
    </row>
    <row r="768" ht="15.75" customHeight="1" s="305">
      <c r="A768" s="3" t="inlineStr">
        <is>
          <t>change_password.password_required</t>
        </is>
      </c>
      <c r="B768" s="3" t="inlineStr">
        <is>
          <t>Mật khẩu không được để trống</t>
        </is>
      </c>
      <c r="C768" s="3" t="inlineStr">
        <is>
          <t>Password cannot be empty</t>
        </is>
      </c>
      <c r="D768" s="3">
        <f>IFERROR(__xludf.DUMMYFUNCTION("GOOGLETRANSLATE(B768,""vi"",""km"")"),"ពាក្យសម្ងាត់មិនអាចទុកចោលទទេបានទេ។")</f>
        <v/>
      </c>
      <c r="E768" s="3" t="inlineStr">
        <is>
          <t>ពាក្យសម្ងាត់មិនអាចទុកចន្លោះបាន</t>
        </is>
      </c>
      <c r="F768" s="3" t="n"/>
      <c r="G768" s="3" t="inlineStr">
        <is>
          <t>ពាក្យសម្ងាត់មិនអាចទុកចន្លោះបាន</t>
        </is>
      </c>
      <c r="H768" t="inlineStr">
        <is>
          <t>ពាក្យសម្ងាត់មិនអាចទុកចន្លោះបាន</t>
        </is>
      </c>
      <c r="I768" s="217" t="inlineStr">
        <is>
          <t>"change_password.password_required": "ពាក្យសម្ងាត់មិនអាចទុកចន្លោះបាន",</t>
        </is>
      </c>
      <c r="N768" s="3" t="inlineStr">
        <is>
          <t>ពាក្យសម្ងាត់មិនអាចទទេ</t>
        </is>
      </c>
    </row>
    <row r="769" ht="15.75" customHeight="1" s="305">
      <c r="A769" s="3" t="inlineStr">
        <is>
          <t>change_password.password_invalid</t>
        </is>
      </c>
      <c r="B769" s="3" t="inlineStr">
        <is>
          <t>Mật khẩu không hợp lệ</t>
        </is>
      </c>
      <c r="C769" s="3" t="inlineStr">
        <is>
          <t>Invalid password</t>
        </is>
      </c>
      <c r="D769" s="3">
        <f>IFERROR(__xludf.DUMMYFUNCTION("GOOGLETRANSLATE(B769,""vi"",""km"")"),"ពាក្យសម្ងាត់មិនត្រឹមត្រូវ")</f>
        <v/>
      </c>
      <c r="E769" s="3" t="inlineStr">
        <is>
          <t>ពាក្យសម្ងាត់មិនត្រឹមត្រូវ</t>
        </is>
      </c>
      <c r="F769" s="3" t="n"/>
      <c r="G769" s="3" t="inlineStr">
        <is>
          <t>ពាក្យសម្ងាត់មិនត្រឹមត្រូវ</t>
        </is>
      </c>
      <c r="H769" t="inlineStr">
        <is>
          <t>ពាក្យសម្ងាត់មិនត្រឹមត្រូវ</t>
        </is>
      </c>
      <c r="I769" s="217" t="inlineStr">
        <is>
          <t>"change_password.password_invalid": "ពាក្យសម្ងាត់មិនត្រឹមត្រូវ",</t>
        </is>
      </c>
      <c r="N769" s="3" t="inlineStr">
        <is>
          <t>ពាក្យសម្ងាត់មិនត្រឹមត្រូវ</t>
        </is>
      </c>
    </row>
    <row r="770" ht="15.75" customHeight="1" s="305">
      <c r="A770" s="3" t="inlineStr">
        <is>
          <t>forgotPassword.newPassword</t>
        </is>
      </c>
      <c r="B770" s="3" t="inlineStr">
        <is>
          <t>Mật khẩu mới</t>
        </is>
      </c>
      <c r="C770" s="3" t="inlineStr">
        <is>
          <t>New password</t>
        </is>
      </c>
      <c r="D770" s="3">
        <f>IFERROR(__xludf.DUMMYFUNCTION("GOOGLETRANSLATE(B770,""vi"",""km"")"),"ពាក្យសម្ងាត់ថ្មី")</f>
        <v/>
      </c>
      <c r="E770" s="3" t="inlineStr">
        <is>
          <t>ពាក្យសម្ងាត់ថ្មី</t>
        </is>
      </c>
      <c r="F770" s="3" t="n"/>
      <c r="G770" s="3" t="inlineStr">
        <is>
          <t>ពាក្យសម្ងាត់ថ្មី</t>
        </is>
      </c>
      <c r="H770" t="inlineStr">
        <is>
          <t>ពាក្យសម្ងាត់ថ្មី</t>
        </is>
      </c>
      <c r="I770" s="217" t="inlineStr">
        <is>
          <t>"forgotPassword.newPassword": "ពាក្យសម្ងាត់ថ្មី",</t>
        </is>
      </c>
      <c r="N770" s="3" t="inlineStr">
        <is>
          <t>ពាក្យសម្ងាត់ថ្មី។</t>
        </is>
      </c>
    </row>
    <row r="771" ht="15.75" customHeight="1" s="305">
      <c r="A771" s="3" t="inlineStr">
        <is>
          <t>setting.newPassword</t>
        </is>
      </c>
      <c r="B771" s="3" t="inlineStr">
        <is>
          <t>Mật khẩu mới</t>
        </is>
      </c>
      <c r="C771" s="3" t="inlineStr">
        <is>
          <t>New password</t>
        </is>
      </c>
      <c r="D771" s="3">
        <f>IFERROR(__xludf.DUMMYFUNCTION("GOOGLETRANSLATE(B771,""vi"",""km"")"),"ពាក្យសម្ងាត់ថ្មី")</f>
        <v/>
      </c>
      <c r="E771" s="3" t="inlineStr">
        <is>
          <t>ពាក្យសម្ងាត់ថ្មី</t>
        </is>
      </c>
      <c r="F771" s="3" t="n"/>
      <c r="G771" s="3" t="inlineStr">
        <is>
          <t>ពាក្យសម្ងាត់ថ្មី</t>
        </is>
      </c>
      <c r="H771" t="inlineStr">
        <is>
          <t>ពាក្យសម្ងាត់ថ្មី</t>
        </is>
      </c>
      <c r="I771" s="217" t="inlineStr">
        <is>
          <t>"setting.newPassword": "ពាក្យសម្ងាត់ថ្មី",</t>
        </is>
      </c>
      <c r="N771" s="3" t="inlineStr">
        <is>
          <t>New password</t>
        </is>
      </c>
    </row>
    <row r="772" ht="15.75" customHeight="1" s="305">
      <c r="A772" s="3" t="inlineStr">
        <is>
          <t>change_password.new_password</t>
        </is>
      </c>
      <c r="B772" s="3" t="inlineStr">
        <is>
          <t>Mật khẩu mới</t>
        </is>
      </c>
      <c r="C772" s="3" t="inlineStr">
        <is>
          <t>New password</t>
        </is>
      </c>
      <c r="D772" s="3">
        <f>IFERROR(__xludf.DUMMYFUNCTION("GOOGLETRANSLATE(B772,""vi"",""km"")"),"ពាក្យសម្ងាត់ថ្មី")</f>
        <v/>
      </c>
      <c r="E772" s="3" t="inlineStr">
        <is>
          <t>ពាក្យសម្ងាត់ថ្មី</t>
        </is>
      </c>
      <c r="F772" s="3" t="n"/>
      <c r="G772" s="3" t="inlineStr">
        <is>
          <t>ពាក្យសម្ងាត់ថ្មី</t>
        </is>
      </c>
      <c r="H772" t="inlineStr">
        <is>
          <t>ពាក្យសម្ងាត់ថ្មី</t>
        </is>
      </c>
      <c r="I772" s="217" t="inlineStr">
        <is>
          <t>"change_password.new_password": "ពាក្យសម្ងាត់ថ្មី",</t>
        </is>
      </c>
      <c r="N772" s="3" t="inlineStr">
        <is>
          <t>ពាក្យសម្ងាត់ថ្មី</t>
        </is>
      </c>
    </row>
    <row r="773" ht="15.75" customHeight="1" s="305">
      <c r="A773" s="3" t="inlineStr">
        <is>
          <t>change_password.rule_new_password</t>
        </is>
      </c>
      <c r="B773" s="3" t="inlineStr">
        <is>
          <t>Mật khẩu mới của bạn bao gồm 8 - 20 ký tự, gồm cả chữ và số</t>
        </is>
      </c>
      <c r="C773" s="3" t="inlineStr">
        <is>
          <t>Your new password should be 8–20 characters and include letters and numbers</t>
        </is>
      </c>
      <c r="D773" s="3">
        <f>IFERROR(__xludf.DUMMYFUNCTION("GOOGLETRANSLATE(B773,""vi"",""km"")"),"ពាក្យសម្ងាត់ថ្មីរបស់អ្នកត្រូវតែមានប្រវែងចន្លោះពី ៨ ទៅ ២០ តួអក្សរ រួមទាំងអក្សរ និងលេខ។")</f>
        <v/>
      </c>
      <c r="E773" s="3" t="inlineStr">
        <is>
          <t>ពាក្យសម្ងាត់ថ្មីរបស់អ្នកត្រូវតែមានប្រវែងពី 8-20 តួអក្សរ រួមទាំងអក្សរ និងលេខ</t>
        </is>
      </c>
      <c r="F773" s="3" t="n"/>
      <c r="G773" s="3" t="inlineStr">
        <is>
          <t>ពាក្យសម្ងាត់ថ្មីរបស់អ្នកត្រូវតែមានប្រវែងពី 8-20 តួអក្សរ រួមទាំងអក្សរ និងលេខ</t>
        </is>
      </c>
      <c r="H773" t="inlineStr">
        <is>
          <t>ពាក្យសម្ងាត់ថ្មីរបស់អ្នកត្រូវតែមានប្រវែងពី 8-20 តួអក្សរ រួមទាំងអក្សរ និងលេខ</t>
        </is>
      </c>
      <c r="I773" s="217" t="inlineStr">
        <is>
          <t>"change_password.rule_new_password": "ពាក្យសម្ងាត់ថ្មីរបស់អ្នកត្រូវតែមានប្រវែងពី 8-20 តួអក្សរ រួមទាំងអក្សរ និងលេខ",</t>
        </is>
      </c>
      <c r="N773" s="3" t="inlineStr">
        <is>
          <t>ពាក្យសម្ងាត់ថ្មីរបស់អ្នកប្រវែង 8–20 តួ និងរួមមានអក្សរ និងលេខ</t>
        </is>
      </c>
    </row>
    <row r="774" ht="15.75" customHeight="1" s="305">
      <c r="A774" s="3" t="inlineStr">
        <is>
          <t>change_password.new_password_not_blank</t>
        </is>
      </c>
      <c r="B774" s="3" t="inlineStr">
        <is>
          <t>Mật khẩu mới không được để trống</t>
        </is>
      </c>
      <c r="C774" s="3" t="inlineStr">
        <is>
          <t>New password cannot be empty</t>
        </is>
      </c>
      <c r="D774" s="3">
        <f>IFERROR(__xludf.DUMMYFUNCTION("GOOGLETRANSLATE(B774,""vi"",""km"")"),"ពាក្យសម្ងាត់ថ្មីមិនត្រូវទទេឡើយ។")</f>
        <v/>
      </c>
      <c r="E774" s="3" t="inlineStr">
        <is>
          <t>ពាក្យសម្ងាត់ថ្មីមិនអាចទុកចន្លោះបានទេ</t>
        </is>
      </c>
      <c r="F774" s="3" t="n"/>
      <c r="G774" s="3" t="inlineStr">
        <is>
          <t>ពាក្យសម្ងាត់ថ្មីមិនអាចទុកចន្លោះបានទេ</t>
        </is>
      </c>
      <c r="H774" t="inlineStr">
        <is>
          <t>ពាក្យសម្ងាត់ថ្មីមិនអាចទុកចន្លោះបានទេ</t>
        </is>
      </c>
      <c r="I774" s="217" t="inlineStr">
        <is>
          <t>"change_password.new_password_not_blank": "ពាក្យសម្ងាត់ថ្មីមិនអាចទុកចន្លោះបានទេ",</t>
        </is>
      </c>
      <c r="N774" s="3" t="inlineStr">
        <is>
          <t>ពាក្យសម្ងាត់ថ្មីមិនអាចទទេ</t>
        </is>
      </c>
    </row>
    <row r="775" ht="15.75" customHeight="1" s="305">
      <c r="A775" s="3" t="inlineStr">
        <is>
          <t>setting.duplicatePassword</t>
        </is>
      </c>
      <c r="B775" s="3" t="inlineStr">
        <is>
          <t>Mật khẩu mới không được trùng mật khẩu cũ.</t>
        </is>
      </c>
      <c r="C775" s="3" t="inlineStr">
        <is>
          <t>New password must not be the same as the current password</t>
        </is>
      </c>
      <c r="D775" s="3">
        <f>IFERROR(__xludf.DUMMYFUNCTION("GOOGLETRANSLATE(B775,""vi"",""km"")"),"ពាក្យសម្ងាត់ថ្មីមិនត្រូវដូចគ្នានឹងពាក្យសម្ងាត់ចាស់ទេ។")</f>
        <v/>
      </c>
      <c r="E775" s="3" t="inlineStr">
        <is>
          <t>ពាក្យសម្ងាត់ថ្មីមិនអាចដូចពាក្យសម្ងាត់ចាស់បានទេ</t>
        </is>
      </c>
      <c r="F775" s="3" t="n"/>
      <c r="G775" s="3" t="inlineStr">
        <is>
          <t>ពាក្យសម្ងាត់ថ្មីមិនអាចដូចពាក្យសម្ងាត់ចាស់បានទេ</t>
        </is>
      </c>
      <c r="H775" t="inlineStr">
        <is>
          <t>ពាក្យសម្ងាត់ថ្មីមិនអាចដូចពាក្យសម្ងាត់ចាស់បានទេ</t>
        </is>
      </c>
      <c r="I775" s="217" t="inlineStr">
        <is>
          <t>"setting.duplicatePassword": "ពាក្យសម្ងាត់ថ្មីមិនអាចដូចពាក្យសម្ងាត់ចាស់បានទេ",</t>
        </is>
      </c>
      <c r="N775" s="3" t="inlineStr">
        <is>
          <t>The new password cannot be the same as the old password.</t>
        </is>
      </c>
    </row>
    <row r="776" ht="15.75" customHeight="1" s="305">
      <c r="A776" s="3" t="inlineStr">
        <is>
          <t>change_password.password_duplicate</t>
        </is>
      </c>
      <c r="B776" s="3" t="inlineStr">
        <is>
          <t>Mật khẩu mới không được trùng với mật khẩu cũ</t>
        </is>
      </c>
      <c r="C776" s="3" t="inlineStr">
        <is>
          <t>New password must not be the same as the old password</t>
        </is>
      </c>
      <c r="D776" s="3">
        <f>IFERROR(__xludf.DUMMYFUNCTION("GOOGLETRANSLATE(B776,""vi"",""km"")"),"ពាក្យសម្ងាត់ថ្មីមិនត្រូវដូចគ្នានឹងពាក្យសម្ងាត់ចាស់ទេ។")</f>
        <v/>
      </c>
      <c r="E776" s="3" t="inlineStr">
        <is>
          <t>ពាក្យសម្ងាត់ថ្មីមិនអាចដូចពាក្យសម្ងាត់ចាស់បានទេ</t>
        </is>
      </c>
      <c r="F776" s="3" t="n"/>
      <c r="G776" s="3" t="inlineStr">
        <is>
          <t>ពាក្យសម្ងាត់ថ្មីមិនអាចដូចពាក្យសម្ងាត់ចាស់បានទេ</t>
        </is>
      </c>
      <c r="H776" t="inlineStr">
        <is>
          <t>ពាក្យសម្ងាត់ថ្មីមិនអាចដូចពាក្យសម្ងាត់ចាស់បានទេ</t>
        </is>
      </c>
      <c r="I776" s="217" t="inlineStr">
        <is>
          <t>"change_password.password_duplicate": "ពាក្យសម្ងាត់ថ្មីមិនអាចដូចពាក្យសម្ងាត់ចាស់បានទេ",</t>
        </is>
      </c>
      <c r="N776" s="3" t="inlineStr">
        <is>
          <t>ពាក្យសម្ងាត់ថ្មីមិនត្រូវតែដូចជាពាក្យសម្ងាត់ចាស់</t>
        </is>
      </c>
    </row>
    <row r="777" ht="15.75" customHeight="1" s="305">
      <c r="A777" s="3" t="inlineStr">
        <is>
          <t>change_password.rule_dup_password</t>
        </is>
      </c>
      <c r="B777" s="3" t="inlineStr">
        <is>
          <t>Mật khẩu mới không trùng với mật khẩu cũ</t>
        </is>
      </c>
      <c r="C777" s="3" t="inlineStr">
        <is>
          <t>New password must not duplicate the old password</t>
        </is>
      </c>
      <c r="D777" s="3">
        <f>IFERROR(__xludf.DUMMYFUNCTION("GOOGLETRANSLATE(B777,""vi"",""km"")"),"ពាក្យសម្ងាត់ថ្មីត្រូវតែខុសពីពាក្យសម្ងាត់ចាស់។")</f>
        <v/>
      </c>
      <c r="E777" s="3" t="inlineStr">
        <is>
          <t>ពាក្យសម្ងាត់ថ្មីមិនអាចដូចគ្នានឹងពាក្យសម្ងាត់ចាស់របស់អ្នកបានទេ</t>
        </is>
      </c>
      <c r="F777" s="3" t="n"/>
      <c r="G777" s="3" t="inlineStr">
        <is>
          <t>ពាក្យសម្ងាត់ថ្មីមិនអាចដូចគ្នានឹងពាក្យសម្ងាត់ចាស់របស់អ្នកបានទេ</t>
        </is>
      </c>
      <c r="H777" t="inlineStr">
        <is>
          <t>ពាក្យសម្ងាត់ថ្មីមិនអាចដូចគ្នានឹងពាក្យសម្ងាត់ចាស់របស់អ្នកបានទេ</t>
        </is>
      </c>
      <c r="I777" s="217" t="inlineStr">
        <is>
          <t>"change_password.rule_dup_password": "ពាក្យសម្ងាត់ថ្មីមិនអាចដូចគ្នានឹងពាក្យសម្ងាត់ចាស់របស់អ្នកបានទេ",</t>
        </is>
      </c>
      <c r="N777" s="3" t="inlineStr">
        <is>
          <t>ពាក្យសម្ងាត់ថ្មីមិនត្រូវតែដូចជាពាក្យសម្ងាត់ចាស់</t>
        </is>
      </c>
    </row>
    <row r="778" ht="15.75" customHeight="1" s="305">
      <c r="A778" s="3" t="inlineStr">
        <is>
          <t>setting.password&amp;biometric</t>
        </is>
      </c>
      <c r="B778" s="3" t="inlineStr">
        <is>
          <t>Mật khẩu, sinh trắc</t>
        </is>
      </c>
      <c r="C778" s="3" t="inlineStr">
        <is>
          <t>Password &amp; Biometrics</t>
        </is>
      </c>
      <c r="D778" s="3">
        <f>IFERROR(__xludf.DUMMYFUNCTION("GOOGLETRANSLATE(B778,""vi"",""km"")"),"ពាក្យសម្ងាត់ ជីវមាត្រ")</f>
        <v/>
      </c>
      <c r="E778" s="31" t="inlineStr">
        <is>
          <t>ពាក្យសម្ងាត់ &amp; ស្កេនមុខ</t>
        </is>
      </c>
      <c r="F778" s="3" t="n"/>
      <c r="G778" s="3" t="inlineStr">
        <is>
          <t>ពាក្យសម្ងាត់ &amp; ស្កេនមុខ</t>
        </is>
      </c>
      <c r="H778" t="inlineStr">
        <is>
          <t>ពាក្យសម្ងាត់ &amp; ស្កេនមុខ</t>
        </is>
      </c>
      <c r="I778" s="217" t="inlineStr">
        <is>
          <t>"setting.password&amp;biometric": "ពាក្យសម្ងាត់ &amp; ស្កេនមុខ",</t>
        </is>
      </c>
      <c r="N778" s="163" t="inlineStr">
        <is>
          <t>ពាក្យសម្ងាត់ និងជីវមាត្រ</t>
        </is>
      </c>
    </row>
    <row r="779" ht="15.75" customHeight="1" s="305">
      <c r="A779" s="3" t="inlineStr">
        <is>
          <t>setting.valueAccountSecirity</t>
        </is>
      </c>
      <c r="B779" s="3" t="inlineStr">
        <is>
          <t>Mật khẩu, sinh trắc</t>
        </is>
      </c>
      <c r="C779" s="3" t="inlineStr">
        <is>
          <t>Password &amp; Biometrics</t>
        </is>
      </c>
      <c r="D779" s="3">
        <f>IFERROR(__xludf.DUMMYFUNCTION("GOOGLETRANSLATE(B779,""vi"",""km"")"),"ពាក្យសម្ងាត់ ជីវមាត្រ")</f>
        <v/>
      </c>
      <c r="E779" s="31" t="inlineStr">
        <is>
          <t>ពាក្យសម្ងាត់ &amp; ស្កេនមុខ</t>
        </is>
      </c>
      <c r="F779" s="3" t="n"/>
      <c r="G779" s="3" t="inlineStr">
        <is>
          <t>ពាក្យសម្ងាត់ &amp; ស្កេនមុខ</t>
        </is>
      </c>
      <c r="H779" t="inlineStr">
        <is>
          <t>ពាក្យសម្ងាត់ &amp; ស្កេនមុខ</t>
        </is>
      </c>
      <c r="I779" s="217" t="inlineStr">
        <is>
          <t>"setting.valueAccountSecirity": "ពាក្យសម្ងាត់ &amp; ស្កេនមុខ",</t>
        </is>
      </c>
      <c r="N779" s="3" t="inlineStr">
        <is>
          <t>Password, biometry</t>
        </is>
      </c>
    </row>
    <row r="780" ht="15.75" customHeight="1" s="305">
      <c r="A780" s="3" t="inlineStr">
        <is>
          <t>GiaoHang.template</t>
        </is>
      </c>
      <c r="B780" s="3" t="inlineStr">
        <is>
          <t>Mẫu in</t>
        </is>
      </c>
      <c r="C780" s="3" t="inlineStr">
        <is>
          <t>Template</t>
        </is>
      </c>
      <c r="D780" s="3">
        <f>IFERROR(__xludf.DUMMYFUNCTION("GOOGLETRANSLATE(B780,""vi"",""km"")"),"គំរូបោះពុម្ព")</f>
        <v/>
      </c>
      <c r="E780" s="3" t="inlineStr">
        <is>
          <t>គម្រូព្រីន</t>
        </is>
      </c>
      <c r="F780" s="3" t="n"/>
      <c r="G780" s="3" t="inlineStr">
        <is>
          <t>គម្រូព្រីន</t>
        </is>
      </c>
      <c r="H780" t="inlineStr">
        <is>
          <t>គម្រូព្រីន</t>
        </is>
      </c>
      <c r="I780" s="217" t="inlineStr">
        <is>
          <t>"GiaoHang.template": "គម្រូព្រីន",</t>
        </is>
      </c>
      <c r="N780" s="3" t="inlineStr">
        <is>
          <t>ទម្រង់បោះពុម្ព</t>
        </is>
      </c>
    </row>
    <row r="781" ht="15.75" customHeight="1" s="305">
      <c r="A781" s="3" t="inlineStr">
        <is>
          <t>GiaoHang.hintDistrictEditAddress</t>
        </is>
      </c>
      <c r="B781" s="3" t="inlineStr">
        <is>
          <t>Huyện</t>
        </is>
      </c>
      <c r="C781" s="3" t="inlineStr">
        <is>
          <t>District</t>
        </is>
      </c>
      <c r="D781" s="3">
        <f>IFERROR(__xludf.DUMMYFUNCTION("GOOGLETRANSLATE(B781,""vi"",""km"")"),"ស្រុក")</f>
        <v/>
      </c>
      <c r="E781" s="3" t="inlineStr">
        <is>
          <t>ភូមិ</t>
        </is>
      </c>
      <c r="F781" s="3" t="n"/>
      <c r="G781" s="3" t="inlineStr">
        <is>
          <t>ភូមិ</t>
        </is>
      </c>
      <c r="H781" t="inlineStr">
        <is>
          <t>ភូមិ</t>
        </is>
      </c>
      <c r="I781" s="217" t="inlineStr">
        <is>
          <t>"GiaoHang.hintDistrictEditAddress": "ភូមិ",</t>
        </is>
      </c>
      <c r="N781" s="3" t="inlineStr">
        <is>
          <t>ស្រុក</t>
        </is>
      </c>
    </row>
    <row r="782" ht="15.75" customHeight="1" s="305">
      <c r="A782" s="3" t="inlineStr">
        <is>
          <t>banGiao.titleDay</t>
        </is>
      </c>
      <c r="B782" s="3" t="inlineStr">
        <is>
          <t>ngày</t>
        </is>
      </c>
      <c r="C782" s="3" t="inlineStr">
        <is>
          <t>days</t>
        </is>
      </c>
      <c r="D782" s="3">
        <f>IFERROR(__xludf.DUMMYFUNCTION("GOOGLETRANSLATE(B782,""vi"",""km"")"),"ថ្ងៃ")</f>
        <v/>
      </c>
      <c r="E782" s="3" t="inlineStr">
        <is>
          <t>ថ្ងៃ</t>
        </is>
      </c>
      <c r="F782" s="3" t="n"/>
      <c r="G782" s="3" t="inlineStr">
        <is>
          <t>ថ្ងៃ</t>
        </is>
      </c>
      <c r="H782" t="inlineStr">
        <is>
          <t>ថ្ងៃ</t>
        </is>
      </c>
      <c r="I782" s="217" t="inlineStr">
        <is>
          <t>"banGiao.titleDay": "ថ្ងៃ",</t>
        </is>
      </c>
      <c r="N782" s="3" t="inlineStr">
        <is>
          <t>ថ្ងៃ</t>
        </is>
      </c>
    </row>
    <row r="783" ht="15.75" customHeight="1" s="305">
      <c r="A783" s="3" t="inlineStr">
        <is>
          <t>PhanCong.titleDay</t>
        </is>
      </c>
      <c r="B783" s="3" t="inlineStr">
        <is>
          <t>ngày</t>
        </is>
      </c>
      <c r="C783" s="3" t="inlineStr">
        <is>
          <t>days</t>
        </is>
      </c>
      <c r="D783" s="3">
        <f>IFERROR(__xludf.DUMMYFUNCTION("GOOGLETRANSLATE(B783,""vi"",""km"")"),"ថ្ងៃ")</f>
        <v/>
      </c>
      <c r="E783" s="3" t="inlineStr">
        <is>
          <t>ថ្ងៃ</t>
        </is>
      </c>
      <c r="F783" s="3" t="n"/>
      <c r="G783" s="3" t="inlineStr">
        <is>
          <t>ថ្ងៃ</t>
        </is>
      </c>
      <c r="H783" t="inlineStr">
        <is>
          <t>ថ្ងៃ</t>
        </is>
      </c>
      <c r="I783" s="217" t="inlineStr">
        <is>
          <t>"PhanCong.titleDay": "ថ្ងៃ",</t>
        </is>
      </c>
      <c r="N783" s="3" t="inlineStr">
        <is>
          <t>ថ្ងៃ</t>
        </is>
      </c>
    </row>
    <row r="784" ht="15.75" customHeight="1" s="305">
      <c r="A784" s="3" t="inlineStr">
        <is>
          <t>khaiThacDen.updateAt</t>
        </is>
      </c>
      <c r="B784" s="3" t="inlineStr">
        <is>
          <t>Ngày báo:</t>
        </is>
      </c>
      <c r="C784" s="3" t="inlineStr">
        <is>
          <t>Report date:</t>
        </is>
      </c>
      <c r="D784" s="3">
        <f>IFERROR(__xludf.DUMMYFUNCTION("GOOGLETRANSLATE(B784,""vi"",""km"")"),"កាលបរិច្ឆេទបោះពុម្ពផ្សាយ៖")</f>
        <v/>
      </c>
      <c r="E784" s="3" t="inlineStr">
        <is>
          <t>ថ្ងៃប្រកាស៖</t>
        </is>
      </c>
      <c r="F784" s="3" t="n"/>
      <c r="G784" s="3" t="inlineStr">
        <is>
          <t>ថ្ងៃប្រកាស៖</t>
        </is>
      </c>
      <c r="H784" t="inlineStr">
        <is>
          <t>ថ្ងៃប្រកាស៖</t>
        </is>
      </c>
      <c r="I784" s="217" t="inlineStr">
        <is>
          <t>"khaiThacDen.updateAt": "ថ្ងៃប្រកាស៖",</t>
        </is>
      </c>
      <c r="N784" s="3" t="inlineStr">
        <is>
          <t>ថ្ងៃរបាយការណ៍:</t>
        </is>
      </c>
    </row>
    <row r="785" ht="15.75" customHeight="1" s="305">
      <c r="A785" s="3" t="inlineStr">
        <is>
          <t>dieuHanh.confirmDate</t>
        </is>
      </c>
      <c r="B785" s="3" t="inlineStr">
        <is>
          <t>Ngày duyệt:</t>
        </is>
      </c>
      <c r="C785" s="3" t="inlineStr">
        <is>
          <t>Approval date</t>
        </is>
      </c>
      <c r="D785" s="3">
        <f>IFERROR(__xludf.DUMMYFUNCTION("GOOGLETRANSLATE(B785,""vi"",""km"")"),"កាលបរិច្ឆេទអនុម័ត៖")</f>
        <v/>
      </c>
      <c r="E785" s="3" t="inlineStr">
        <is>
          <t>ថ្ងៃអនុម័ត៖</t>
        </is>
      </c>
      <c r="F785" s="3" t="n"/>
      <c r="G785" s="3" t="inlineStr">
        <is>
          <t>ថ្ងៃអនុម័ត៖</t>
        </is>
      </c>
      <c r="H785" t="inlineStr">
        <is>
          <t>ថ្ងៃអនុម័ត៖</t>
        </is>
      </c>
      <c r="I785" s="217" t="inlineStr">
        <is>
          <t>"dieuHanh.confirmDate": "ថ្ងៃអនុម័ត៖",</t>
        </is>
      </c>
      <c r="N785" s="3" t="inlineStr">
        <is>
          <t>ថ្ងៃអនុម័ត:</t>
        </is>
      </c>
    </row>
    <row r="786" ht="15.75" customHeight="1" s="305">
      <c r="A786" s="3" t="inlineStr">
        <is>
          <t>GiaoHang.dateTimeAssign</t>
        </is>
      </c>
      <c r="B786" s="3" t="inlineStr">
        <is>
          <t>Ngày giờ PC:</t>
        </is>
      </c>
      <c r="C786" s="3" t="inlineStr">
        <is>
          <t>Assignment time:</t>
        </is>
      </c>
      <c r="D786" s="3">
        <f>IFERROR(__xludf.DUMMYFUNCTION("GOOGLETRANSLATE(B786,""vi"",""km"")"),"កាលបរិច្ឆេទ និងពេលវេលាកុំព្យូទ័រ៖")</f>
        <v/>
      </c>
      <c r="E786" s="3" t="inlineStr">
        <is>
          <t xml:space="preserve">ថ្ងៃ ខែ PC: </t>
        </is>
      </c>
      <c r="F786" s="3" t="n"/>
      <c r="G786" s="3" t="inlineStr">
        <is>
          <t>ថ្ងៃ ខែ PC:</t>
        </is>
      </c>
      <c r="H786" t="inlineStr">
        <is>
          <t>ថ្ងៃ ខែ PC:</t>
        </is>
      </c>
      <c r="I786" s="217" t="inlineStr">
        <is>
          <t>"GiaoHang.dateTimeAssign": "ថ្ងៃ ខែ PC:",</t>
        </is>
      </c>
      <c r="N786" s="3" t="inlineStr">
        <is>
          <t>ថ្ងៃម៉ោងនៅលើcomputer</t>
        </is>
      </c>
    </row>
    <row r="787" ht="15.75" customHeight="1" s="305">
      <c r="A787" s="3" t="inlineStr">
        <is>
          <t>suaDon.billDate</t>
        </is>
      </c>
      <c r="B787" s="3" t="inlineStr">
        <is>
          <t>Ngày gửi</t>
        </is>
      </c>
      <c r="C787" s="3" t="inlineStr">
        <is>
          <t>Sent date</t>
        </is>
      </c>
      <c r="D787" s="3">
        <f>IFERROR(__xludf.DUMMYFUNCTION("GOOGLETRANSLATE(B787,""vi"",""km"")"),"កាលបរិច្ឆេទដែលបានផ្ញើ")</f>
        <v/>
      </c>
      <c r="E787" s="3" t="inlineStr">
        <is>
          <t>ថ្ងៃផ្ញើ</t>
        </is>
      </c>
      <c r="F787" s="3" t="n"/>
      <c r="G787" s="3" t="inlineStr">
        <is>
          <t>កាលបរិច្ឆេទផ្ញើ</t>
        </is>
      </c>
      <c r="H787" t="inlineStr">
        <is>
          <t>កាលបរិច្ឆេទផ្ញើ</t>
        </is>
      </c>
      <c r="I787" s="217" t="inlineStr">
        <is>
          <t>"suaDon.billDate": "កាលបរិច្ឆេទផ្ញើ",</t>
        </is>
      </c>
      <c r="N787" s="3" t="inlineStr">
        <is>
          <t>ថ្ងៃផ្ញើ</t>
        </is>
      </c>
    </row>
    <row r="788" ht="15.75" customHeight="1" s="305">
      <c r="A788" s="3" t="inlineStr">
        <is>
          <t>debit.date_request</t>
        </is>
      </c>
      <c r="B788" s="3" t="inlineStr">
        <is>
          <t>Ngày gửi</t>
        </is>
      </c>
      <c r="C788" s="3" t="inlineStr">
        <is>
          <t>Date request</t>
        </is>
      </c>
      <c r="D788" s="3">
        <f>IFERROR(__xludf.DUMMYFUNCTION("GOOGLETRANSLATE(B788,""vi"",""km"")"),"កាលបរិច្ឆេទដែលបានផ្ញើ")</f>
        <v/>
      </c>
      <c r="E788" s="3" t="inlineStr">
        <is>
          <t>ថ្ងៃផ្ញើ</t>
        </is>
      </c>
      <c r="F788" s="3" t="n"/>
      <c r="G788" s="3" t="inlineStr">
        <is>
          <t>កាលបរិច្ឆេទផ្ញើ</t>
        </is>
      </c>
      <c r="H788" t="inlineStr">
        <is>
          <t>កាលបរិច្ឆេទផ្ញើ</t>
        </is>
      </c>
      <c r="I788" s="217" t="inlineStr">
        <is>
          <t>"debit.date_request": "កាលបរិច្ឆេទផ្ញើ",</t>
        </is>
      </c>
      <c r="N788" s="3" t="inlineStr">
        <is>
          <t>ថ្ងៃផ្ញើ</t>
        </is>
      </c>
    </row>
    <row r="789" ht="15.75" customHeight="1" s="305">
      <c r="A789" s="3" t="inlineStr">
        <is>
          <t>taoKien.ngayGui</t>
        </is>
      </c>
      <c r="B789" s="3" t="inlineStr">
        <is>
          <t>Ngày gửi</t>
        </is>
      </c>
      <c r="C789" s="3" t="inlineStr">
        <is>
          <t>Sales Entry Date</t>
        </is>
      </c>
      <c r="D789" s="3">
        <f>IFERROR(__xludf.DUMMYFUNCTION("GOOGLETRANSLATE(B789,""vi"",""km"")"),"កាលបរិច្ឆេទដែលបានផ្ញើ")</f>
        <v/>
      </c>
      <c r="E789" s="3" t="inlineStr">
        <is>
          <t>ថ្ងៃផ្ញើ</t>
        </is>
      </c>
      <c r="F789" s="3" t="n"/>
      <c r="G789" s="3" t="inlineStr">
        <is>
          <t>កាលបរិច្ឆេទផ្ញើ</t>
        </is>
      </c>
      <c r="H789" t="inlineStr">
        <is>
          <t>កាលបរិច្ឆេទផ្ញើ</t>
        </is>
      </c>
      <c r="I789" s="217" t="inlineStr">
        <is>
          <t>"taoKien.ngayGui": "កាលបរិច្ឆេទផ្ញើ",</t>
        </is>
      </c>
      <c r="N789" s="3" t="inlineStr"/>
    </row>
    <row r="790" ht="15.75" customHeight="1" s="305">
      <c r="A790" s="3" t="inlineStr">
        <is>
          <t>khaiThacDen.sendDate</t>
        </is>
      </c>
      <c r="B790" s="3" t="inlineStr">
        <is>
          <t>Ngày gửi:</t>
        </is>
      </c>
      <c r="C790" s="3" t="inlineStr">
        <is>
          <t>Sent date:</t>
        </is>
      </c>
      <c r="D790" s="3">
        <f>IFERROR(__xludf.DUMMYFUNCTION("GOOGLETRANSLATE(B790,""vi"",""km"")"),"កាលបរិច្ឆេទផ្ញើ៖")</f>
        <v/>
      </c>
      <c r="E790" s="3" t="inlineStr">
        <is>
          <t>ថ្ងៃផ្ញើ</t>
        </is>
      </c>
      <c r="F790" s="3" t="n"/>
      <c r="G790" s="3" t="inlineStr">
        <is>
          <t>ថ្ងៃផ្ញើ</t>
        </is>
      </c>
      <c r="H790" t="inlineStr">
        <is>
          <t>ថ្ងៃផ្ញើ</t>
        </is>
      </c>
      <c r="I790" s="217" t="inlineStr">
        <is>
          <t>"khaiThacDen.sendDate": "ថ្ងៃផ្ញើ",</t>
        </is>
      </c>
      <c r="N790" s="3" t="inlineStr">
        <is>
          <t>ថ្ងៃផ្ញើ:</t>
        </is>
      </c>
    </row>
    <row r="791" ht="15.75" customHeight="1" s="305">
      <c r="A791" s="3" t="inlineStr">
        <is>
          <t>debit.pickDate</t>
        </is>
      </c>
      <c r="B791" s="3" t="inlineStr">
        <is>
          <t>Ngày lấy hàng</t>
        </is>
      </c>
      <c r="C791" s="143" t="inlineStr">
        <is>
          <t>Pickup Date</t>
        </is>
      </c>
      <c r="D791" s="3">
        <f>IFERROR(__xludf.DUMMYFUNCTION("GOOGLETRANSLATE(B791,""vi"",""km"")"),"កាលបរិច្ឆេទទទួល")</f>
        <v/>
      </c>
      <c r="E791" s="3" t="inlineStr">
        <is>
          <t>ថ្ងៃយកអីវ៉ាន់</t>
        </is>
      </c>
      <c r="F791" s="3" t="n"/>
      <c r="G791" s="3" t="inlineStr">
        <is>
          <t>ថ្ងៃយកអីវ៉ាន់</t>
        </is>
      </c>
      <c r="H791" t="inlineStr">
        <is>
          <t>ថ្ងៃយកអីវ៉ាន់</t>
        </is>
      </c>
      <c r="I791" s="217" t="inlineStr">
        <is>
          <t>"debit.pickDate": "ថ្ងៃយកអីវ៉ាន់",</t>
        </is>
      </c>
      <c r="N791" s="3" t="inlineStr"/>
    </row>
    <row r="792" ht="15.75" customHeight="1" s="305">
      <c r="A792" s="3" t="inlineStr">
        <is>
          <t>khaiThacDen.receiveDate</t>
        </is>
      </c>
      <c r="B792" s="3" t="inlineStr">
        <is>
          <t>Ngày nhận:</t>
        </is>
      </c>
      <c r="C792" s="3" t="inlineStr">
        <is>
          <t>Received date:</t>
        </is>
      </c>
      <c r="D792" s="3">
        <f>IFERROR(__xludf.DUMMYFUNCTION("GOOGLETRANSLATE(B792,""vi"",""km"")"),"កាលបរិច្ឆេទទទួលបាន៖")</f>
        <v/>
      </c>
      <c r="E792" s="3" t="inlineStr">
        <is>
          <t>ថ្ងៃទទួល៖</t>
        </is>
      </c>
      <c r="F792" s="3" t="n"/>
      <c r="G792" s="3" t="inlineStr">
        <is>
          <t>ថ្ងៃទទួល៖</t>
        </is>
      </c>
      <c r="H792" t="inlineStr">
        <is>
          <t>ថ្ងៃទទួល៖</t>
        </is>
      </c>
      <c r="I792" s="217" t="inlineStr">
        <is>
          <t>"khaiThacDen.receiveDate": "ថ្ងៃទទួល៖",</t>
        </is>
      </c>
      <c r="N792" s="3" t="inlineStr">
        <is>
          <t>ថ្ងៃទទួល:</t>
        </is>
      </c>
    </row>
    <row r="793" ht="15.75" customHeight="1" s="305">
      <c r="A793" s="3" t="inlineStr">
        <is>
          <t>GiaoHang.titleDateAssign</t>
        </is>
      </c>
      <c r="B793" s="3" t="inlineStr">
        <is>
          <t>Ngày phân công</t>
        </is>
      </c>
      <c r="C793" s="3" t="inlineStr">
        <is>
          <t>Assignment date</t>
        </is>
      </c>
      <c r="D793" s="3">
        <f>IFERROR(__xludf.DUMMYFUNCTION("GOOGLETRANSLATE(B793,""vi"",""km"")"),"កាលបរិច្ឆេទនៃការចាត់តាំង")</f>
        <v/>
      </c>
      <c r="E793" s="3" t="inlineStr">
        <is>
          <t>ថ្ងៃបែងចែកការងារ</t>
        </is>
      </c>
      <c r="F793" s="3" t="n"/>
      <c r="G793" s="3" t="inlineStr">
        <is>
          <t>ថ្ងៃបែងចែកការងារ</t>
        </is>
      </c>
      <c r="H793" t="inlineStr">
        <is>
          <t>ថ្ងៃបែងចែកការងារ</t>
        </is>
      </c>
      <c r="I793" s="217" t="inlineStr">
        <is>
          <t>"GiaoHang.titleDateAssign": "ថ្ងៃបែងចែកការងារ",</t>
        </is>
      </c>
      <c r="N793" s="3" t="inlineStr">
        <is>
          <t>កាលបរិច្ឆេទដែលបានកំណត់</t>
        </is>
      </c>
    </row>
    <row r="794" ht="15.75" customHeight="1" s="305">
      <c r="A794" s="3" t="inlineStr">
        <is>
          <t>debit.date_ptc</t>
        </is>
      </c>
      <c r="B794" s="3" t="inlineStr">
        <is>
          <t>Ngày PTC</t>
        </is>
      </c>
      <c r="C794" s="3" t="inlineStr">
        <is>
          <t>Delivered on</t>
        </is>
      </c>
      <c r="D794" s="3">
        <f>IFERROR(__xludf.DUMMYFUNCTION("GOOGLETRANSLATE(B794,""vi"",""km"")"),"ទិវា PTC")</f>
        <v/>
      </c>
      <c r="E794" s="3" t="inlineStr">
        <is>
          <t>ថ្ងៃ PTC៖</t>
        </is>
      </c>
      <c r="F794" s="3" t="n"/>
      <c r="G794" s="3" t="inlineStr">
        <is>
          <t>កាលបរិច្ឆេទដឹកជញ្ជូនជោគជ័យ</t>
        </is>
      </c>
      <c r="H794" t="inlineStr">
        <is>
          <t>កាលបរិច្ឆេទដឹកជញ្ជូនជោគជ័យ</t>
        </is>
      </c>
      <c r="I794" s="217" t="inlineStr">
        <is>
          <t>"debit.date_ptc": "កាលបរិច្ឆេទដឹកជញ្ជូនជោគជ័យ",</t>
        </is>
      </c>
      <c r="N794" s="3" t="inlineStr">
        <is>
          <t>ថ្ងៃ PTC</t>
        </is>
      </c>
    </row>
    <row r="795" ht="15.75" customHeight="1" s="305">
      <c r="A795" s="3" t="inlineStr">
        <is>
          <t>dieuHanh.operationDate</t>
        </is>
      </c>
      <c r="B795" s="3" t="inlineStr">
        <is>
          <t>Ngày tác động:</t>
        </is>
      </c>
      <c r="C795" s="3" t="inlineStr">
        <is>
          <t>Date of Modification</t>
        </is>
      </c>
      <c r="D795" s="3">
        <f>IFERROR(__xludf.DUMMYFUNCTION("GOOGLETRANSLATE(B795,""vi"",""km"")"),"កាលបរិច្ឆេទនៃផលប៉ះពាល់៖")</f>
        <v/>
      </c>
      <c r="E795" s="3" t="inlineStr">
        <is>
          <t>ថ្ងៃកែសម្រួល៖</t>
        </is>
      </c>
      <c r="F795" s="3" t="n"/>
      <c r="G795" s="3" t="inlineStr">
        <is>
          <t>ថ្ងៃកែសម្រួល៖</t>
        </is>
      </c>
      <c r="H795" t="inlineStr">
        <is>
          <t>ថ្ងៃកែសម្រួល៖</t>
        </is>
      </c>
      <c r="I795" s="217" t="inlineStr">
        <is>
          <t>"dieuHanh.operationDate": "ថ្ងៃកែសម្រួល៖",</t>
        </is>
      </c>
      <c r="N795" s="3" t="inlineStr">
        <is>
          <t>ថ្ងៃបង្ហាញសកម្មភាព:</t>
        </is>
      </c>
    </row>
    <row r="796" ht="15.75" customHeight="1" s="305">
      <c r="A796" s="3" t="inlineStr">
        <is>
          <t>debit.date_create</t>
        </is>
      </c>
      <c r="B796" s="3" t="inlineStr">
        <is>
          <t>Ngày tạo</t>
        </is>
      </c>
      <c r="C796" s="3" t="inlineStr">
        <is>
          <t>Date create</t>
        </is>
      </c>
      <c r="D796" s="3">
        <f>IFERROR(__xludf.DUMMYFUNCTION("GOOGLETRANSLATE(B796,""vi"",""km"")"),"កាលបរិច្ឆេទបង្កើត")</f>
        <v/>
      </c>
      <c r="E796" s="3" t="inlineStr">
        <is>
          <t>ថ្ងៃបង្កើត៖</t>
        </is>
      </c>
      <c r="F796" s="3" t="n"/>
      <c r="G796" s="3" t="inlineStr">
        <is>
          <t>កាលបរិច្ឆេទបង្កើត</t>
        </is>
      </c>
      <c r="H796" t="inlineStr">
        <is>
          <t>កាលបរិច្ឆេទបង្កើត</t>
        </is>
      </c>
      <c r="I796" s="217" t="inlineStr">
        <is>
          <t>"debit.date_create": "កាលបរិច្ឆេទបង្កើត",</t>
        </is>
      </c>
      <c r="N796" s="3" t="inlineStr">
        <is>
          <t>ថ្ងៃបង្កើត</t>
        </is>
      </c>
    </row>
    <row r="797" ht="15.75" customHeight="1" s="305">
      <c r="A797" s="3" t="inlineStr">
        <is>
          <t>PhanCong.titleTimeCreatePC</t>
        </is>
      </c>
      <c r="B797" s="3" t="inlineStr">
        <is>
          <t>Ngày tạo:</t>
        </is>
      </c>
      <c r="C797" s="3" t="inlineStr">
        <is>
          <t>Created date:</t>
        </is>
      </c>
      <c r="D797" s="3">
        <f>IFERROR(__xludf.DUMMYFUNCTION("GOOGLETRANSLATE(B797,""vi"",""km"")"),"កាលបរិច្ឆេទបង្កើត៖")</f>
        <v/>
      </c>
      <c r="E797" s="3" t="inlineStr">
        <is>
          <t>ថ្ងៃបង្កើត៖</t>
        </is>
      </c>
      <c r="F797" s="3" t="n"/>
      <c r="G797" s="3" t="inlineStr">
        <is>
          <t>ថ្ងៃបង្កើត៖</t>
        </is>
      </c>
      <c r="H797" t="inlineStr">
        <is>
          <t>ថ្ងៃបង្កើត៖</t>
        </is>
      </c>
      <c r="I797" s="217" t="inlineStr">
        <is>
          <t>"PhanCong.titleTimeCreatePC": "ថ្ងៃបង្កើត៖",</t>
        </is>
      </c>
      <c r="N797" s="3" t="inlineStr">
        <is>
          <t>ថ្ងៃបង្កើត៖</t>
        </is>
      </c>
    </row>
    <row r="798" ht="15.75" customHeight="1" s="305">
      <c r="A798" s="3" t="inlineStr">
        <is>
          <t>taoDon.holiday</t>
        </is>
      </c>
      <c r="B798" s="3" t="inlineStr">
        <is>
          <t>Nghỉ lễ</t>
        </is>
      </c>
      <c r="C798" s="3" t="inlineStr">
        <is>
          <t>Holiday</t>
        </is>
      </c>
      <c r="D798" s="3">
        <f>IFERROR(__xludf.DUMMYFUNCTION("GOOGLETRANSLATE(B798,""vi"",""km"")"),"ថ្ងៃឈប់សម្រាក")</f>
        <v/>
      </c>
      <c r="E798" s="3" t="inlineStr">
        <is>
          <t>ថ្ងៃឈប់សម្រាក</t>
        </is>
      </c>
      <c r="F798" s="3" t="n"/>
      <c r="G798" s="3" t="inlineStr">
        <is>
          <t>ថ្ងៃឈប់សម្រាក</t>
        </is>
      </c>
      <c r="H798" t="inlineStr">
        <is>
          <t>ថ្ងៃឈប់សម្រាក</t>
        </is>
      </c>
      <c r="I798" s="217" t="inlineStr">
        <is>
          <t>"taoDon.holiday": "ថ្ងៃឈប់សម្រាក",</t>
        </is>
      </c>
      <c r="N798" s="3" t="inlineStr">
        <is>
          <t>ថ្ងៃឈប់សម្រាក</t>
        </is>
      </c>
    </row>
    <row r="799" ht="15.75" customHeight="1" s="305">
      <c r="A799" s="3" t="inlineStr">
        <is>
          <t>khaiThacDen.updateByUser</t>
        </is>
      </c>
      <c r="B799" s="3" t="inlineStr">
        <is>
          <t>Người báo:</t>
        </is>
      </c>
      <c r="C799" s="3" t="inlineStr">
        <is>
          <t>Report user:</t>
        </is>
      </c>
      <c r="D799" s="3">
        <f>IFERROR(__xludf.DUMMYFUNCTION("GOOGLETRANSLATE(B799,""vi"",""km"")"),"អ្នកយកព័ត៌មាន៖")</f>
        <v/>
      </c>
      <c r="E799" s="3" t="inlineStr">
        <is>
          <t>អ្នករាយការណ៍៖</t>
        </is>
      </c>
      <c r="F799" s="3" t="n"/>
      <c r="G799" s="3" t="inlineStr">
        <is>
          <t>អ្នករាយការណ៍៖</t>
        </is>
      </c>
      <c r="H799" t="inlineStr">
        <is>
          <t>អ្នករាយការណ៍៖</t>
        </is>
      </c>
      <c r="I799" s="217" t="inlineStr">
        <is>
          <t>"khaiThacDen.updateByUser": "អ្នករាយការណ៍៖",</t>
        </is>
      </c>
      <c r="N799" s="3" t="inlineStr">
        <is>
          <t>អ្នករបាយការណ៍:</t>
        </is>
      </c>
    </row>
    <row r="800" ht="15.75" customHeight="1" s="305">
      <c r="A800" s="3" t="inlineStr">
        <is>
          <t>GiaoHang.warningTime</t>
        </is>
      </c>
      <c r="B800" s="3" t="inlineStr">
        <is>
          <t>Người dùng chỉ được phép chọn ngày giờ lớn hơn thời điểm hiện tại</t>
        </is>
      </c>
      <c r="C800" s="3" t="inlineStr">
        <is>
          <t>The selected time must not be in the past</t>
        </is>
      </c>
      <c r="D800" s="3">
        <f>IFERROR(__xludf.DUMMYFUNCTION("GOOGLETRANSLATE(B800,""vi"",""km"")"),"អ្នកប្រើប្រាស់ត្រូវបានអនុញ្ញាតឱ្យជ្រើសរើសកាលបរិច្ឆេទ និងពេលវេលាដែលយឺតជាងពេលវេលាបច្ចុប្បន្នប៉ុណ្ណោះ។")</f>
        <v/>
      </c>
      <c r="E800" s="3" t="inlineStr">
        <is>
          <t>អ្នកប្រើប្រាស់ត្រូវបានអនុញ្ញាតឱ្យជ្រើសរើសថ្ងៃ ម៉ោង ហើយពេលវេលាត្រូវតែជាពេលអនាគត</t>
        </is>
      </c>
      <c r="F800" s="3" t="n"/>
      <c r="G800" s="3" t="inlineStr">
        <is>
          <t>អ្នកប្រើប្រាស់ត្រូវបានអនុញ្ញាតឱ្យជ្រើសរើសថ្ងៃ ម៉ោង ហើយពេលវេលាត្រូវតែជាពេលអនាគត</t>
        </is>
      </c>
      <c r="H800" t="inlineStr">
        <is>
          <t>អ្នកប្រើប្រាស់ត្រូវបានអនុញ្ញាតឱ្យជ្រើសរើសថ្ងៃ ម៉ោង ហើយពេលវេលាត្រូវតែជាពេលអនាគត</t>
        </is>
      </c>
      <c r="I800" s="217" t="inlineStr">
        <is>
          <t>"GiaoHang.warningTime": "អ្នកប្រើប្រាស់ត្រូវបានអនុញ្ញាតឱ្យជ្រើសរើសថ្ងៃ ម៉ោង ហើយពេលវេលាត្រូវតែជាពេលអនាគត",</t>
        </is>
      </c>
      <c r="N800" s="163" t="inlineStr">
        <is>
          <t>ពេលវេលាដែលបានជ្រើសរើសមិនត្រូវនៅអតីតកាលទេ។</t>
        </is>
      </c>
    </row>
    <row r="801" ht="15.75" customHeight="1" s="305">
      <c r="A801" s="3" t="inlineStr">
        <is>
          <t>nhanHang.sender</t>
        </is>
      </c>
      <c r="B801" s="3" t="inlineStr">
        <is>
          <t>Người gửi</t>
        </is>
      </c>
      <c r="C801" s="3" t="inlineStr">
        <is>
          <t>Sender</t>
        </is>
      </c>
      <c r="D801" s="3">
        <f>IFERROR(__xludf.DUMMYFUNCTION("GOOGLETRANSLATE(B801,""vi"",""km"")"),"អ្នកផ្ញើ")</f>
        <v/>
      </c>
      <c r="E801" s="3" t="inlineStr">
        <is>
          <t>អ្នកផ្ញើ</t>
        </is>
      </c>
      <c r="F801" s="3" t="inlineStr">
        <is>
          <t>ត្រឹមនេះ</t>
        </is>
      </c>
      <c r="G801" s="3" t="inlineStr">
        <is>
          <t>អ្នកផ្ញើ</t>
        </is>
      </c>
      <c r="H801" t="inlineStr">
        <is>
          <t>អ្នកផ្ញើ</t>
        </is>
      </c>
      <c r="I801" s="217" t="inlineStr">
        <is>
          <t>"nhanHang.sender": "អ្នកផ្ញើ",</t>
        </is>
      </c>
      <c r="N801" s="3" t="inlineStr">
        <is>
          <t>អ្នកផ្ញើ</t>
        </is>
      </c>
    </row>
    <row r="802" ht="15.75" customHeight="1" s="305">
      <c r="A802" s="3" t="inlineStr">
        <is>
          <t>suaDon.sender</t>
        </is>
      </c>
      <c r="B802" s="3" t="inlineStr">
        <is>
          <t>Người gửi</t>
        </is>
      </c>
      <c r="C802" s="3" t="inlineStr">
        <is>
          <t>Sender</t>
        </is>
      </c>
      <c r="D802" s="3">
        <f>IFERROR(__xludf.DUMMYFUNCTION("GOOGLETRANSLATE(B802,""vi"",""km"")"),"អ្នកផ្ញើ")</f>
        <v/>
      </c>
      <c r="E802" s="3" t="inlineStr">
        <is>
          <t>អ្នកផ្ញើ</t>
        </is>
      </c>
      <c r="F802" s="3" t="n"/>
      <c r="G802" s="3" t="inlineStr">
        <is>
          <t>អ្នកផ្ញើ</t>
        </is>
      </c>
      <c r="H802" t="inlineStr">
        <is>
          <t>អ្នកផ្ញើ</t>
        </is>
      </c>
      <c r="I802" s="217" t="inlineStr">
        <is>
          <t>"suaDon.sender": "អ្នកផ្ញើ",</t>
        </is>
      </c>
      <c r="N802" s="3" t="inlineStr">
        <is>
          <t>អ្នកផ្ញើ</t>
        </is>
      </c>
    </row>
    <row r="803" ht="15.75" customHeight="1" s="305">
      <c r="A803" s="3" t="inlineStr">
        <is>
          <t>taoDon.sender</t>
        </is>
      </c>
      <c r="B803" s="3" t="inlineStr">
        <is>
          <t>Người gửi</t>
        </is>
      </c>
      <c r="C803" s="3" t="inlineStr">
        <is>
          <t>Sender</t>
        </is>
      </c>
      <c r="D803" s="3">
        <f>IFERROR(__xludf.DUMMYFUNCTION("GOOGLETRANSLATE(B803,""vi"",""km"")"),"អ្នកផ្ញើ")</f>
        <v/>
      </c>
      <c r="E803" s="3" t="inlineStr">
        <is>
          <t>អ្នកផ្ញើ - អ្នកទទួល</t>
        </is>
      </c>
      <c r="F803" s="3" t="n"/>
      <c r="G803" s="3" t="inlineStr">
        <is>
          <t>អ្នកផ្ញើ</t>
        </is>
      </c>
      <c r="H803" t="inlineStr">
        <is>
          <t>អ្នកផ្ញើ</t>
        </is>
      </c>
      <c r="I803" s="217" t="inlineStr">
        <is>
          <t>"taoDon.sender": "អ្នកផ្ញើ",</t>
        </is>
      </c>
      <c r="N803" s="3" t="inlineStr">
        <is>
          <t>អ្នកផ្ញើរ</t>
        </is>
      </c>
    </row>
    <row r="804" ht="15.75" customHeight="1" s="305">
      <c r="A804" s="3" t="inlineStr">
        <is>
          <t>suaDon.titleSection</t>
        </is>
      </c>
      <c r="B804" s="3" t="inlineStr">
        <is>
          <t>NGƯỜI GỬI - NGƯỜI NHẬN</t>
        </is>
      </c>
      <c r="C804" s="3" t="inlineStr">
        <is>
          <t xml:space="preserve">SENDER - RECIPIENT INFORMATION </t>
        </is>
      </c>
      <c r="D804" s="3">
        <f>IFERROR(__xludf.DUMMYFUNCTION("GOOGLETRANSLATE(B804,""vi"",""km"")"),"អ្នកផ្ញើ - អ្នកទទួល")</f>
        <v/>
      </c>
      <c r="E804" s="3" t="inlineStr">
        <is>
          <t>អ្នកផ្ញើ - អ្នកទទួល</t>
        </is>
      </c>
      <c r="F804" s="3" t="n"/>
      <c r="G804" s="3" t="inlineStr">
        <is>
          <t>អ្នកផ្ញើ - អ្នកទទួល</t>
        </is>
      </c>
      <c r="H804" t="inlineStr">
        <is>
          <t>អ្នកផ្ញើ - អ្នកទទួល</t>
        </is>
      </c>
      <c r="I804" s="217" t="inlineStr">
        <is>
          <t>"suaDon.titleSection": "អ្នកផ្ញើ - អ្នកទទួល",</t>
        </is>
      </c>
      <c r="N804" s="3" t="inlineStr">
        <is>
          <t>អ្នកផ្ញើ - អ្នកទទួល</t>
        </is>
      </c>
    </row>
    <row r="805" ht="15.75" customHeight="1" s="305">
      <c r="A805" s="3" t="inlineStr">
        <is>
          <t>traCuu.nguoiGui-nguoiNhan</t>
        </is>
      </c>
      <c r="B805" s="3" t="inlineStr">
        <is>
          <t>NGƯỜI GỬI - NGƯỜI NHẬN</t>
        </is>
      </c>
      <c r="C805" s="3" t="inlineStr">
        <is>
          <t>SENDER - RECIPIENT</t>
        </is>
      </c>
      <c r="D805" s="3">
        <f>IFERROR(__xludf.DUMMYFUNCTION("GOOGLETRANSLATE(B805,""vi"",""km"")"),"អ្នកផ្ញើ - អ្នកទទួល")</f>
        <v/>
      </c>
      <c r="E805" s="3" t="inlineStr">
        <is>
          <t>អ្នកផ្ញើ - អ្នកទទួល</t>
        </is>
      </c>
      <c r="F805" s="3" t="n"/>
      <c r="G805" s="3" t="inlineStr">
        <is>
          <t>អ្នកផ្ញើ - អ្នកទទួល</t>
        </is>
      </c>
      <c r="H805" t="inlineStr">
        <is>
          <t>អ្នកផ្ញើ - អ្នកទទួល</t>
        </is>
      </c>
      <c r="I805" s="217" t="inlineStr">
        <is>
          <t>"traCuu.nguoiGui-nguoiNhan": "អ្នកផ្ញើ - អ្នកទទួល",</t>
        </is>
      </c>
      <c r="N805" s="3" t="inlineStr">
        <is>
          <t>អ្នកផ្ញើ - អ្នកទទួល</t>
        </is>
      </c>
    </row>
    <row r="806" ht="15.75" customHeight="1" s="305">
      <c r="A806" s="3" t="inlineStr">
        <is>
          <t>taoDon.senderRecipient</t>
        </is>
      </c>
      <c r="B806" s="3" t="inlineStr">
        <is>
          <t>Người gửi - người nhận</t>
        </is>
      </c>
      <c r="C806" s="3" t="inlineStr">
        <is>
          <t>Sender - Recipient</t>
        </is>
      </c>
      <c r="D806" s="3">
        <f>IFERROR(__xludf.DUMMYFUNCTION("GOOGLETRANSLATE(B806,""vi"",""km"")"),"អ្នកផ្ញើ - អ្នកទទួល")</f>
        <v/>
      </c>
      <c r="E806" s="3" t="inlineStr">
        <is>
          <t>អ្នកផ្ញើបង់ថ្លៃប្រៃសណីយ៍</t>
        </is>
      </c>
      <c r="F806" s="3" t="n"/>
      <c r="G806" s="3" t="inlineStr">
        <is>
          <t>អ្នកផ្ញើបង់ថ្លៃប្រៃសណីយ៍</t>
        </is>
      </c>
      <c r="H806" t="inlineStr">
        <is>
          <t>អ្នកផ្ញើបង់ថ្លៃប្រៃសណីយ៍</t>
        </is>
      </c>
      <c r="I806" s="217" t="inlineStr">
        <is>
          <t>"taoDon.senderRecipient": "អ្នកផ្ញើបង់ថ្លៃប្រៃសណីយ៍",</t>
        </is>
      </c>
      <c r="N806" s="3" t="inlineStr">
        <is>
          <t>អ្នកផ្ញើ - អ្នកទទួល</t>
        </is>
      </c>
    </row>
    <row r="807" ht="15.75" customHeight="1" s="305">
      <c r="A807" s="3" t="inlineStr">
        <is>
          <t>taoDon.senderPayfee</t>
        </is>
      </c>
      <c r="B807" s="3" t="inlineStr">
        <is>
          <t>Người gửi trả cước</t>
        </is>
      </c>
      <c r="C807" s="3" t="inlineStr">
        <is>
          <t>Sender pays fees</t>
        </is>
      </c>
      <c r="D807" s="3">
        <f>IFERROR(__xludf.DUMMYFUNCTION("GOOGLETRANSLATE(B807,""vi"",""km"")"),"អ្នកផ្ញើចេញថ្លៃប្រៃសណីយ៍។")</f>
        <v/>
      </c>
      <c r="E807" s="3" t="inlineStr">
        <is>
          <t>អ្នកផ្ញើចេញសេវា៖</t>
        </is>
      </c>
      <c r="F807" s="3" t="n"/>
      <c r="G807" s="3" t="inlineStr">
        <is>
          <t>អ្នកផ្ញើចេញសេវា៖</t>
        </is>
      </c>
      <c r="H807" t="inlineStr">
        <is>
          <t>អ្នកផ្ញើចេញសេវា៖</t>
        </is>
      </c>
      <c r="I807" s="217" t="inlineStr">
        <is>
          <t>"taoDon.senderPayfee": "អ្នកផ្ញើចេញសេវា៖",</t>
        </is>
      </c>
      <c r="N807" s="3" t="inlineStr">
        <is>
          <t>អ្នកផ្ញើបង់ប្រាក់</t>
        </is>
      </c>
    </row>
    <row r="808" ht="15.75" customHeight="1" s="305">
      <c r="A808" s="3" t="inlineStr">
        <is>
          <t>KiemKe.titleUserInventory</t>
        </is>
      </c>
      <c r="B808" s="3" t="inlineStr">
        <is>
          <t>Người kiểm kê:</t>
        </is>
      </c>
      <c r="C808" s="3" t="inlineStr">
        <is>
          <t>Inventory user:</t>
        </is>
      </c>
      <c r="D808" s="3">
        <f>IFERROR(__xludf.DUMMYFUNCTION("GOOGLETRANSLATE(B808,""vi"",""km"")"),"អ្នកស្តុកទំនិញ៖")</f>
        <v/>
      </c>
      <c r="E808" s="3" t="inlineStr">
        <is>
          <t>អ្នកត្រួតពិនិត្យ</t>
        </is>
      </c>
      <c r="F808" s="3" t="n"/>
      <c r="G808" s="3" t="inlineStr">
        <is>
          <t>អ្នកត្រួតពិនិត្យ</t>
        </is>
      </c>
      <c r="H808" t="inlineStr">
        <is>
          <t>អ្នកត្រួតពិនិត្យ</t>
        </is>
      </c>
      <c r="I808" s="217" t="inlineStr">
        <is>
          <t>"KiemKe.titleUserInventory": "អ្នកត្រួតពិនិត្យ",</t>
        </is>
      </c>
      <c r="N808" s="163" t="inlineStr">
        <is>
          <t>អ្នកប្រើប្រាស់សារពើភ័ណ្ឌ៖</t>
        </is>
      </c>
    </row>
    <row r="809" ht="15.75" customHeight="1" s="305">
      <c r="A809" s="3" t="inlineStr">
        <is>
          <t>nhanHang.receiver</t>
        </is>
      </c>
      <c r="B809" s="3" t="inlineStr">
        <is>
          <t>Người nhận</t>
        </is>
      </c>
      <c r="C809" s="3" t="inlineStr">
        <is>
          <t>Recipient</t>
        </is>
      </c>
      <c r="D809" s="3">
        <f>IFERROR(__xludf.DUMMYFUNCTION("GOOGLETRANSLATE(B809,""vi"",""km"")"),"អ្នកទទួល")</f>
        <v/>
      </c>
      <c r="E809" s="3" t="inlineStr">
        <is>
          <t>អ្នកទទួល</t>
        </is>
      </c>
      <c r="F809" s="3" t="n"/>
      <c r="G809" s="3" t="inlineStr">
        <is>
          <t>អ្នកទទួល</t>
        </is>
      </c>
      <c r="H809" t="inlineStr">
        <is>
          <t>អ្នកទទួល</t>
        </is>
      </c>
      <c r="I809" s="217" t="inlineStr">
        <is>
          <t>"nhanHang.receiver": "អ្នកទទួល",</t>
        </is>
      </c>
      <c r="N809" s="3" t="inlineStr">
        <is>
          <t>អ្នកទទួល</t>
        </is>
      </c>
    </row>
    <row r="810" ht="15.75" customHeight="1" s="305">
      <c r="A810" s="3" t="inlineStr">
        <is>
          <t>tongGiao.nguoiNhan</t>
        </is>
      </c>
      <c r="B810" s="3" t="inlineStr">
        <is>
          <t>Người nhận</t>
        </is>
      </c>
      <c r="C810" s="3" t="inlineStr">
        <is>
          <t>Recipient</t>
        </is>
      </c>
      <c r="D810" s="3">
        <f>IFERROR(__xludf.DUMMYFUNCTION("GOOGLETRANSLATE(B810,""vi"",""km"")"),"អ្នកទទួល")</f>
        <v/>
      </c>
      <c r="E810" s="3" t="inlineStr">
        <is>
          <t>អ្នកទទួល</t>
        </is>
      </c>
      <c r="F810" s="3" t="n"/>
      <c r="G810" s="3" t="inlineStr">
        <is>
          <t>អ្នកទទួល</t>
        </is>
      </c>
      <c r="H810" t="inlineStr">
        <is>
          <t>អ្នកទទួល</t>
        </is>
      </c>
      <c r="I810" s="217" t="inlineStr">
        <is>
          <t>"tongGiao.nguoiNhan": "អ្នកទទួល",</t>
        </is>
      </c>
      <c r="N810" s="3" t="inlineStr"/>
    </row>
    <row r="811" ht="15.75" customHeight="1" s="305">
      <c r="A811" s="3" t="inlineStr">
        <is>
          <t>suaDon.receiver</t>
        </is>
      </c>
      <c r="B811" s="3" t="inlineStr">
        <is>
          <t>Người nhận</t>
        </is>
      </c>
      <c r="C811" s="3" t="inlineStr">
        <is>
          <t>Recipient</t>
        </is>
      </c>
      <c r="D811" s="3">
        <f>IFERROR(__xludf.DUMMYFUNCTION("GOOGLETRANSLATE(B811,""vi"",""km"")"),"អ្នកទទួល")</f>
        <v/>
      </c>
      <c r="E811" s="3" t="inlineStr">
        <is>
          <t>អ្នកទទួល</t>
        </is>
      </c>
      <c r="F811" s="3" t="n"/>
      <c r="G811" s="3" t="inlineStr">
        <is>
          <t>អ្នកទទួល</t>
        </is>
      </c>
      <c r="H811" t="inlineStr">
        <is>
          <t>អ្នកទទួល</t>
        </is>
      </c>
      <c r="I811" s="217" t="inlineStr">
        <is>
          <t>"suaDon.receiver": "អ្នកទទួល",</t>
        </is>
      </c>
      <c r="N811" s="3" t="inlineStr">
        <is>
          <t>អ្នកទទួល</t>
        </is>
      </c>
    </row>
    <row r="812" ht="15.75" customHeight="1" s="305">
      <c r="A812" s="3" t="inlineStr">
        <is>
          <t>taoDon.recipient</t>
        </is>
      </c>
      <c r="B812" s="3" t="inlineStr">
        <is>
          <t>Người nhận</t>
        </is>
      </c>
      <c r="C812" s="3" t="inlineStr">
        <is>
          <t>Recipient</t>
        </is>
      </c>
      <c r="D812" s="3">
        <f>IFERROR(__xludf.DUMMYFUNCTION("GOOGLETRANSLATE(B812,""vi"",""km"")"),"អ្នកទទួល")</f>
        <v/>
      </c>
      <c r="E812" s="3" t="inlineStr">
        <is>
          <t>អ្នកទទួល</t>
        </is>
      </c>
      <c r="F812" s="3" t="n"/>
      <c r="G812" s="3" t="inlineStr">
        <is>
          <t>អ្នកទទួល</t>
        </is>
      </c>
      <c r="H812" t="inlineStr">
        <is>
          <t>អ្នកទទួល</t>
        </is>
      </c>
      <c r="I812" s="217" t="inlineStr">
        <is>
          <t>"taoDon.recipient": "អ្នកទទួល",</t>
        </is>
      </c>
      <c r="N812" s="3" t="inlineStr">
        <is>
          <t>អ្នកទទួល</t>
        </is>
      </c>
    </row>
    <row r="813" ht="15.75" customHeight="1" s="305">
      <c r="A813" s="3" t="inlineStr">
        <is>
          <t>taoDon.receiver</t>
        </is>
      </c>
      <c r="B813" s="3" t="inlineStr">
        <is>
          <t>Người nhận</t>
        </is>
      </c>
      <c r="C813" s="3" t="inlineStr">
        <is>
          <t>Receiver</t>
        </is>
      </c>
      <c r="D813" s="3">
        <f>IFERROR(__xludf.DUMMYFUNCTION("GOOGLETRANSLATE(B813,""vi"",""km"")"),"អ្នកទទួល")</f>
        <v/>
      </c>
      <c r="E813" s="3" t="inlineStr">
        <is>
          <t>អ្នកទទួល</t>
        </is>
      </c>
      <c r="F813" s="3" t="n"/>
      <c r="G813" s="3" t="inlineStr">
        <is>
          <t>អ្នកទទួល</t>
        </is>
      </c>
      <c r="H813" t="inlineStr">
        <is>
          <t>អ្នកទទួល</t>
        </is>
      </c>
      <c r="I813" s="217" t="inlineStr">
        <is>
          <t>"taoDon.receiver": "អ្នកទទួល",</t>
        </is>
      </c>
      <c r="N813" s="3" t="inlineStr">
        <is>
          <t>អ្នកទទួល</t>
        </is>
      </c>
    </row>
    <row r="814" ht="15.75" customHeight="1" s="305">
      <c r="A814" s="3" t="inlineStr">
        <is>
          <t>tms.nguoiNhanBanGiao</t>
        </is>
      </c>
      <c r="B814" s="3" t="inlineStr">
        <is>
          <t>Người nhận bàn giao</t>
        </is>
      </c>
      <c r="C814" s="3" t="inlineStr">
        <is>
          <t>Handover receiver</t>
        </is>
      </c>
      <c r="D814" s="3">
        <f>IFERROR(__xludf.DUMMYFUNCTION("GOOGLETRANSLATE(B814,""vi"",""km"")"),"អ្នកទទួលការប្រគល់")</f>
        <v/>
      </c>
      <c r="E814" s="3" t="inlineStr">
        <is>
          <t>អ្នកទទួលពីការប្រគល់</t>
        </is>
      </c>
      <c r="F814" s="3" t="n"/>
      <c r="G814" s="3" t="inlineStr">
        <is>
          <t>អ្នកទទួលពីការប្រគល់</t>
        </is>
      </c>
      <c r="H814" t="inlineStr">
        <is>
          <t>អ្នកទទួលពីការប្រគល់</t>
        </is>
      </c>
      <c r="I814" s="217" t="inlineStr">
        <is>
          <t>"tms.nguoiNhanBanGiao": "អ្នកទទួលពីការប្រគល់",</t>
        </is>
      </c>
      <c r="N814" s="3" t="inlineStr"/>
    </row>
    <row r="815" ht="15.75" customHeight="1" s="305">
      <c r="A815" s="3" t="inlineStr">
        <is>
          <t>GiaoHang.descUpdateStatusFail3</t>
        </is>
      </c>
      <c r="B815" s="3" t="inlineStr">
        <is>
          <t>Người nhận không có nhà</t>
        </is>
      </c>
      <c r="C815" s="3" t="inlineStr">
        <is>
          <t>Recipient 's absent</t>
        </is>
      </c>
      <c r="D815" s="3">
        <f>IFERROR(__xludf.DUMMYFUNCTION("GOOGLETRANSLATE(B815,""vi"",""km"")"),"អ្នកទទួលមិននៅផ្ទះទេ។")</f>
        <v/>
      </c>
      <c r="E815" s="3" t="inlineStr">
        <is>
          <t>អ្នកទទួលមិននៅផ្ទះ</t>
        </is>
      </c>
      <c r="F815" s="3" t="n"/>
      <c r="G815" s="3" t="inlineStr">
        <is>
          <t>អ្នកទទួលមិននៅផ្ទះ</t>
        </is>
      </c>
      <c r="H815" t="inlineStr">
        <is>
          <t>អ្នកទទួលមិននៅផ្ទះ</t>
        </is>
      </c>
      <c r="I815" s="217" t="inlineStr">
        <is>
          <t>"GiaoHang.descUpdateStatusFail3": "អ្នកទទួលមិននៅផ្ទះ",</t>
        </is>
      </c>
      <c r="N815" s="3" t="inlineStr">
        <is>
          <t>អ្នកទទួលអវត្តមាន</t>
        </is>
      </c>
    </row>
    <row r="816" ht="15.75" customHeight="1" s="305">
      <c r="A816" s="3" t="inlineStr">
        <is>
          <t>tms.nguoiNhanThucTe</t>
        </is>
      </c>
      <c r="B816" s="3" t="inlineStr">
        <is>
          <t>Người nhận thực tế</t>
        </is>
      </c>
      <c r="C816" s="3" t="inlineStr">
        <is>
          <t>Actual receiver</t>
        </is>
      </c>
      <c r="D816" s="3">
        <f>IFERROR(__xludf.DUMMYFUNCTION("GOOGLETRANSLATE(B816,""vi"",""km"")"),"អ្នកទទួលពិតប្រាកដ")</f>
        <v/>
      </c>
      <c r="E816" s="3" t="inlineStr">
        <is>
          <t>អ្នកទទួលពិតប្រាកដ</t>
        </is>
      </c>
      <c r="F816" s="3" t="n"/>
      <c r="G816" s="3" t="inlineStr">
        <is>
          <t>អ្នកទទួលពិតប្រាកដ</t>
        </is>
      </c>
      <c r="H816" t="inlineStr">
        <is>
          <t>អ្នកទទួលពិតប្រាកដ</t>
        </is>
      </c>
      <c r="I816" s="217" t="inlineStr">
        <is>
          <t>"tms.nguoiNhanThucTe": "អ្នកទទួលពិតប្រាកដ",</t>
        </is>
      </c>
      <c r="N816" s="3" t="inlineStr"/>
    </row>
    <row r="817" ht="15.75" customHeight="1" s="305">
      <c r="A817" s="3" t="inlineStr">
        <is>
          <t>tms.nguoiNhan</t>
        </is>
      </c>
      <c r="B817" s="3" t="inlineStr">
        <is>
          <t>Người nhận thực tế</t>
        </is>
      </c>
      <c r="C817" s="3" t="inlineStr">
        <is>
          <t>Actual receiver</t>
        </is>
      </c>
      <c r="D817" s="3">
        <f>IFERROR(__xludf.DUMMYFUNCTION("GOOGLETRANSLATE(B817,""vi"",""km"")"),"អ្នកទទួលពិតប្រាកដ")</f>
        <v/>
      </c>
      <c r="E817" s="3" t="inlineStr">
        <is>
          <t>អ្នកទទួលពិតប្រាកដ</t>
        </is>
      </c>
      <c r="F817" s="3" t="n"/>
      <c r="G817" s="3" t="inlineStr">
        <is>
          <t>អ្នកទទួលពិតប្រាកដ</t>
        </is>
      </c>
      <c r="H817" t="inlineStr">
        <is>
          <t>អ្នកទទួលពិតប្រាកដ</t>
        </is>
      </c>
      <c r="I817" s="217" t="inlineStr">
        <is>
          <t>"tms.nguoiNhan": "អ្នកទទួលពិតប្រាកដ",</t>
        </is>
      </c>
      <c r="N817" s="3" t="inlineStr"/>
    </row>
    <row r="818" ht="15.75" customHeight="1" s="305">
      <c r="A818" s="3" t="inlineStr">
        <is>
          <t>taoDon.recipientPayfee</t>
        </is>
      </c>
      <c r="B818" s="3" t="inlineStr">
        <is>
          <t>Người nhận trả cước</t>
        </is>
      </c>
      <c r="C818" s="3" t="inlineStr">
        <is>
          <t>Recipient pays fees</t>
        </is>
      </c>
      <c r="D818" s="3">
        <f>IFERROR(__xludf.DUMMYFUNCTION("GOOGLETRANSLATE(B818,""vi"",""km"")"),"អ្នកទទួលបង់ថ្លៃដឹកជញ្ជូន។")</f>
        <v/>
      </c>
      <c r="E818" s="3" t="inlineStr">
        <is>
          <t>អ្នកទទួលចេញថ្លៃសេវា</t>
        </is>
      </c>
      <c r="F818" s="3" t="n"/>
      <c r="G818" s="3" t="inlineStr">
        <is>
          <t>អ្នកទទួលចេញថ្លៃសេវា</t>
        </is>
      </c>
      <c r="H818" t="inlineStr">
        <is>
          <t>អ្នកទទួលចេញថ្លៃសេវា</t>
        </is>
      </c>
      <c r="I818" s="217" t="inlineStr">
        <is>
          <t>"taoDon.recipientPayfee": "អ្នកទទួលចេញថ្លៃសេវា",</t>
        </is>
      </c>
      <c r="N818" s="3" t="inlineStr">
        <is>
          <t>អ្នកទទួលបង់ប្រាក់</t>
        </is>
      </c>
    </row>
    <row r="819" ht="15.75" customHeight="1" s="305">
      <c r="A819" s="3" t="inlineStr">
        <is>
          <t>khaiThacDen.receiver</t>
        </is>
      </c>
      <c r="B819" s="3" t="inlineStr">
        <is>
          <t>Người nhận:</t>
        </is>
      </c>
      <c r="C819" s="3" t="inlineStr">
        <is>
          <t>Recipient:</t>
        </is>
      </c>
      <c r="D819" s="3">
        <f>IFERROR(__xludf.DUMMYFUNCTION("GOOGLETRANSLATE(B819,""vi"",""km"")"),"អ្នកទទួល៖")</f>
        <v/>
      </c>
      <c r="E819" s="3" t="inlineStr">
        <is>
          <t>អ្នកទទួល</t>
        </is>
      </c>
      <c r="F819" s="3" t="n"/>
      <c r="G819" s="3" t="inlineStr">
        <is>
          <t>អ្នកទទួល</t>
        </is>
      </c>
      <c r="H819" t="inlineStr">
        <is>
          <t>អ្នកទទួល</t>
        </is>
      </c>
      <c r="I819" s="217" t="inlineStr">
        <is>
          <t>"khaiThacDen.receiver": "អ្នកទទួល",</t>
        </is>
      </c>
      <c r="N819" s="3" t="inlineStr">
        <is>
          <t>អ្នកទទួល:</t>
        </is>
      </c>
    </row>
    <row r="820" ht="15.75" customHeight="1" s="305">
      <c r="A820" s="3" t="inlineStr">
        <is>
          <t>GiaoHang.userAssign</t>
        </is>
      </c>
      <c r="B820" s="3" t="inlineStr">
        <is>
          <t>Người PC:</t>
        </is>
      </c>
      <c r="C820" s="3" t="inlineStr">
        <is>
          <t>Assigner:</t>
        </is>
      </c>
      <c r="D820" s="3">
        <f>IFERROR(__xludf.DUMMYFUNCTION("GOOGLETRANSLATE(B820,""vi"",""km"")"),"អ្នកប្រើប្រាស់កុំព្យូទ័រ៖")</f>
        <v/>
      </c>
      <c r="E820" s="3" t="inlineStr">
        <is>
          <t>អ្នក PC</t>
        </is>
      </c>
      <c r="F820" s="3" t="n"/>
      <c r="G820" s="3" t="inlineStr">
        <is>
          <t>អ្នក PC</t>
        </is>
      </c>
      <c r="H820" t="inlineStr">
        <is>
          <t>អ្នក PC</t>
        </is>
      </c>
      <c r="I820" s="217" t="inlineStr">
        <is>
          <t>"GiaoHang.userAssign": "អ្នក PC",</t>
        </is>
      </c>
      <c r="N820" s="3" t="inlineStr">
        <is>
          <t>អ្នកប្រើប្រាស់ដែលបានកំណត់</t>
        </is>
      </c>
    </row>
    <row r="821" ht="15.75" customHeight="1" s="305">
      <c r="A821" s="3" t="inlineStr">
        <is>
          <t>nhanHang.freightPayer</t>
        </is>
      </c>
      <c r="B821" s="3" t="inlineStr">
        <is>
          <t>Người trả cước</t>
        </is>
      </c>
      <c r="C821" s="3" t="inlineStr">
        <is>
          <t>Payer</t>
        </is>
      </c>
      <c r="D821" s="3">
        <f>IFERROR(__xludf.DUMMYFUNCTION("GOOGLETRANSLATE(B821,""vi"",""km"")"),"អ្នកបង់ប្រាក់")</f>
        <v/>
      </c>
      <c r="E821" s="3" t="inlineStr">
        <is>
          <t>អ្នកបង់ថ្លៃសេវា</t>
        </is>
      </c>
      <c r="F821" s="3" t="n"/>
      <c r="G821" s="3" t="inlineStr">
        <is>
          <t>អ្នកបង់ថ្លៃសេវា</t>
        </is>
      </c>
      <c r="H821" t="inlineStr">
        <is>
          <t>អ្នកបង់ថ្លៃសេវា</t>
        </is>
      </c>
      <c r="I821" s="217" t="inlineStr">
        <is>
          <t>"nhanHang.freightPayer": "អ្នកបង់ថ្លៃសេវា",</t>
        </is>
      </c>
      <c r="N821" s="3" t="inlineStr">
        <is>
          <t>អ្នកបង់ថ្លៃដឹក</t>
        </is>
      </c>
    </row>
    <row r="822" ht="15.75" customHeight="1" s="305">
      <c r="A822" s="3" t="inlineStr">
        <is>
          <t>taoDon.payer</t>
        </is>
      </c>
      <c r="B822" s="3" t="inlineStr">
        <is>
          <t>Người trả cước</t>
        </is>
      </c>
      <c r="C822" s="3" t="inlineStr">
        <is>
          <t>Payer</t>
        </is>
      </c>
      <c r="D822" s="3">
        <f>IFERROR(__xludf.DUMMYFUNCTION("GOOGLETRANSLATE(B822,""vi"",""km"")"),"អ្នកបង់ប្រាក់")</f>
        <v/>
      </c>
      <c r="E822" s="3" t="inlineStr">
        <is>
          <t>អ្នកបង់ថ្លៃសេវា</t>
        </is>
      </c>
      <c r="F822" s="3" t="n"/>
      <c r="G822" s="3" t="inlineStr">
        <is>
          <t>អ្នកបង់ថ្លៃសេវា</t>
        </is>
      </c>
      <c r="H822" t="inlineStr">
        <is>
          <t>អ្នកបង់ថ្លៃសេវា</t>
        </is>
      </c>
      <c r="I822" s="217" t="inlineStr">
        <is>
          <t>"taoDon.payer": "អ្នកបង់ថ្លៃសេវា",</t>
        </is>
      </c>
      <c r="N822" s="3" t="inlineStr">
        <is>
          <t>អ្នកបង់ប្រាក់</t>
        </is>
      </c>
    </row>
    <row r="823" ht="15.75" customHeight="1" s="305">
      <c r="A823" s="3" t="inlineStr">
        <is>
          <t>suaDon.payer</t>
        </is>
      </c>
      <c r="B823" s="3" t="inlineStr">
        <is>
          <t>Người trả tiền cước</t>
        </is>
      </c>
      <c r="C823" s="3" t="inlineStr">
        <is>
          <t>Charge Payer</t>
        </is>
      </c>
      <c r="D823" s="3">
        <f>IFERROR(__xludf.DUMMYFUNCTION("GOOGLETRANSLATE(B823,""vi"",""km"")"),"អ្នកដែលបង់វិក្កយបត្រ")</f>
        <v/>
      </c>
      <c r="E823" s="3" t="inlineStr">
        <is>
          <t>អ្នកបង់ថ្លៃសេវា</t>
        </is>
      </c>
      <c r="F823" s="3" t="n"/>
      <c r="G823" s="3" t="inlineStr">
        <is>
          <t>អ្នកបង់ថ្លៃសេវា</t>
        </is>
      </c>
      <c r="H823" t="inlineStr">
        <is>
          <t>អ្នកបង់ថ្លៃសេវា</t>
        </is>
      </c>
      <c r="I823" s="217" t="inlineStr">
        <is>
          <t>"suaDon.payer": "អ្នកបង់ថ្លៃសេវា",</t>
        </is>
      </c>
      <c r="N823" s="3" t="inlineStr">
        <is>
          <t>ទូទាត់ថ្លៃផ្ញើ</t>
        </is>
      </c>
    </row>
    <row r="824" ht="15.75" customHeight="1" s="305">
      <c r="A824" s="3" t="inlineStr">
        <is>
          <t>taoDon.solid</t>
        </is>
      </c>
      <c r="B824" s="3" t="inlineStr">
        <is>
          <t>Nguyên khối</t>
        </is>
      </c>
      <c r="C824" s="3" t="inlineStr">
        <is>
          <t>Solid</t>
        </is>
      </c>
      <c r="D824" s="3">
        <f>IFERROR(__xludf.DUMMYFUNCTION("GOOGLETRANSLATE(B824,""vi"",""km"")"),"ប្លុករឹង")</f>
        <v/>
      </c>
      <c r="E824" s="3" t="inlineStr">
        <is>
          <t>ទាំងមូល</t>
        </is>
      </c>
      <c r="F824" s="3" t="n"/>
      <c r="G824" s="3" t="inlineStr">
        <is>
          <t>ទាំងមូល</t>
        </is>
      </c>
      <c r="H824" t="inlineStr">
        <is>
          <t>ទាំងមូល</t>
        </is>
      </c>
      <c r="I824" s="217" t="inlineStr">
        <is>
          <t>"taoDon.solid": "ទាំងមូល",</t>
        </is>
      </c>
      <c r="N824" s="3" t="inlineStr">
        <is>
          <t>រឹងមាំ</t>
        </is>
      </c>
    </row>
    <row r="825" ht="15.75" customHeight="1" s="305">
      <c r="A825" s="3" t="inlineStr">
        <is>
          <t>home.nhacnho</t>
        </is>
      </c>
      <c r="B825" s="3" t="inlineStr">
        <is>
          <t>Nhắc nhở</t>
        </is>
      </c>
      <c r="C825" s="3" t="inlineStr">
        <is>
          <t>Remind</t>
        </is>
      </c>
      <c r="D825" s="3">
        <f>IFERROR(__xludf.DUMMYFUNCTION("GOOGLETRANSLATE(B825,""vi"",""km"")"),"រំលឹក")</f>
        <v/>
      </c>
      <c r="E825" s="3" t="inlineStr">
        <is>
          <t>រំលឹក</t>
        </is>
      </c>
      <c r="F825" s="3" t="n"/>
      <c r="G825" s="3" t="inlineStr">
        <is>
          <t>រំលឹក</t>
        </is>
      </c>
      <c r="H825" t="inlineStr">
        <is>
          <t>រំលឹក</t>
        </is>
      </c>
      <c r="I825" s="217" t="inlineStr">
        <is>
          <t>"home.nhacnho": "រំលឹក",</t>
        </is>
      </c>
      <c r="N825" s="3" t="inlineStr">
        <is>
          <t>រំលឹក</t>
        </is>
      </c>
    </row>
    <row r="826" ht="15.75" customHeight="1" s="305">
      <c r="A826" s="3" t="inlineStr">
        <is>
          <t>mainStatus.306</t>
        </is>
      </c>
      <c r="B826" s="3" t="inlineStr">
        <is>
          <t>Nhận bàn giao</t>
        </is>
      </c>
      <c r="C826" s="3" t="inlineStr">
        <is>
          <t>Receive</t>
        </is>
      </c>
      <c r="D826" s="3">
        <f>IFERROR(__xludf.DUMMYFUNCTION("GOOGLETRANSLATE(B826,""vi"",""km"")"),"ស្វែងរកការប្រគល់")</f>
        <v/>
      </c>
      <c r="E826" s="3" t="inlineStr">
        <is>
          <t>ទទួលការប្រគល់</t>
        </is>
      </c>
      <c r="F826" s="3" t="n"/>
      <c r="G826" s="3" t="inlineStr">
        <is>
          <t>ទទួលការប្រគល់ទទួល</t>
        </is>
      </c>
      <c r="H826" t="inlineStr">
        <is>
          <t>ទទួលការប្រគល់ទទួល</t>
        </is>
      </c>
      <c r="I826" s="217" t="inlineStr">
        <is>
          <t>"mainStatus.306": "ទទួលការប្រគល់ទទួល",</t>
        </is>
      </c>
      <c r="N826" s="163" t="inlineStr">
        <is>
          <t>ទទួល</t>
        </is>
      </c>
    </row>
    <row r="827" ht="15.75" customHeight="1" s="305">
      <c r="A827" s="3" t="inlineStr">
        <is>
          <t>banGiao.receiveHandover</t>
        </is>
      </c>
      <c r="B827" s="3" t="inlineStr">
        <is>
          <t>Nhận bàn giao</t>
        </is>
      </c>
      <c r="C827" s="3" t="inlineStr">
        <is>
          <t>Receive handover</t>
        </is>
      </c>
      <c r="D827" s="3">
        <f>IFERROR(__xludf.DUMMYFUNCTION("GOOGLETRANSLATE(B827,""vi"",""km"")"),"ស្វែងរកការប្រគល់")</f>
        <v/>
      </c>
      <c r="E827" s="3" t="inlineStr">
        <is>
          <t>ទទួលការប្រគល់</t>
        </is>
      </c>
      <c r="F827" s="3" t="n"/>
      <c r="G827" s="3" t="inlineStr">
        <is>
          <t>ទទួលការប្រគល់ទទួល</t>
        </is>
      </c>
      <c r="H827" t="inlineStr">
        <is>
          <t>ទទួលការប្រគល់ទទួល</t>
        </is>
      </c>
      <c r="I827" s="217" t="inlineStr">
        <is>
          <t>"banGiao.receiveHandover": "ទទួលការប្រគល់ទទួល",</t>
        </is>
      </c>
      <c r="N827" s="3" t="inlineStr">
        <is>
          <t>ទទួលការផ្ញើ</t>
        </is>
      </c>
    </row>
    <row r="828" ht="15.75" customHeight="1" s="305">
      <c r="A828" s="3" t="inlineStr">
        <is>
          <t>banGiao.titleTabReceiveHandover</t>
        </is>
      </c>
      <c r="B828" s="3" t="inlineStr">
        <is>
          <t>Nhận bàn giao</t>
        </is>
      </c>
      <c r="C828" s="3" t="inlineStr">
        <is>
          <t xml:space="preserve">Receive </t>
        </is>
      </c>
      <c r="D828" s="3">
        <f>IFERROR(__xludf.DUMMYFUNCTION("GOOGLETRANSLATE(B828,""vi"",""km"")"),"ស្វែងរកការប្រគល់")</f>
        <v/>
      </c>
      <c r="E828" s="3" t="inlineStr">
        <is>
          <t>ទទួលការប្រគល់</t>
        </is>
      </c>
      <c r="F828" s="3" t="n"/>
      <c r="G828" s="3" t="inlineStr">
        <is>
          <t>ទទួលការប្រគល់ទទួល</t>
        </is>
      </c>
      <c r="H828" t="inlineStr">
        <is>
          <t>ទទួលការប្រគល់ទទួល</t>
        </is>
      </c>
      <c r="I828" s="217" t="inlineStr">
        <is>
          <t>"banGiao.titleTabReceiveHandover": "ទទួលការប្រគល់ទទួល",</t>
        </is>
      </c>
      <c r="N828" s="3" t="inlineStr">
        <is>
          <t>ទទួល</t>
        </is>
      </c>
    </row>
    <row r="829" ht="15.75" customHeight="1" s="305">
      <c r="A829" s="3" t="inlineStr">
        <is>
          <t>banGiao.titleReceiveHandover</t>
        </is>
      </c>
      <c r="B829" s="3" t="inlineStr">
        <is>
          <t>Nhận bàn giao</t>
        </is>
      </c>
      <c r="C829" s="3" t="inlineStr">
        <is>
          <t>Receive handover</t>
        </is>
      </c>
      <c r="D829" s="3">
        <f>IFERROR(__xludf.DUMMYFUNCTION("GOOGLETRANSLATE(B829,""vi"",""km"")"),"ស្វែងរកការប្រគល់")</f>
        <v/>
      </c>
      <c r="E829" s="3" t="inlineStr">
        <is>
          <t>ទទួលការប្រគល់</t>
        </is>
      </c>
      <c r="F829" s="3" t="n"/>
      <c r="G829" s="3" t="inlineStr">
        <is>
          <t>ទទួលការប្រគល់ទទួល</t>
        </is>
      </c>
      <c r="H829" t="inlineStr">
        <is>
          <t>ទទួលការប្រគល់ទទួល</t>
        </is>
      </c>
      <c r="I829" s="217" t="inlineStr">
        <is>
          <t>"banGiao.titleReceiveHandover": "ទទួលការប្រគល់ទទួល",</t>
        </is>
      </c>
      <c r="N829" s="3" t="inlineStr"/>
    </row>
    <row r="830" ht="15.75" customHeight="1" s="305">
      <c r="A830" s="3" t="inlineStr">
        <is>
          <t>tms.nhanBanGiao</t>
        </is>
      </c>
      <c r="B830" s="3" t="inlineStr">
        <is>
          <t>Nhận bàn giao</t>
        </is>
      </c>
      <c r="C830" s="3" t="inlineStr">
        <is>
          <t>Receive handover</t>
        </is>
      </c>
      <c r="D830" s="3">
        <f>IFERROR(__xludf.DUMMYFUNCTION("GOOGLETRANSLATE(B830,""vi"",""km"")"),"ស្វែងរកការប្រគល់")</f>
        <v/>
      </c>
      <c r="E830" s="3" t="inlineStr">
        <is>
          <t>ទទួលការប្រគល់</t>
        </is>
      </c>
      <c r="F830" s="3" t="n"/>
      <c r="G830" s="3" t="inlineStr">
        <is>
          <t>ទទួលការប្រគល់ទទួល</t>
        </is>
      </c>
      <c r="H830" t="inlineStr">
        <is>
          <t>ទទួលការប្រគល់ទទួល</t>
        </is>
      </c>
      <c r="I830" s="217" t="inlineStr">
        <is>
          <t>"tms.nhanBanGiao": "ទទួលការប្រគល់ទទួល",</t>
        </is>
      </c>
      <c r="N830" s="3" t="inlineStr"/>
    </row>
    <row r="831" ht="15.75" customHeight="1" s="305">
      <c r="A831" s="3" t="inlineStr">
        <is>
          <t>banGiao.messageReceivePK</t>
        </is>
      </c>
      <c r="B831" s="3" t="inlineStr">
        <is>
          <t>Nhận bàn giao thành công</t>
        </is>
      </c>
      <c r="C831" s="3" t="inlineStr">
        <is>
          <t>Receive the handover successfully</t>
        </is>
      </c>
      <c r="D831" s="3">
        <f>IFERROR(__xludf.DUMMYFUNCTION("GOOGLETRANSLATE(B831,""vi"",""km"")"),"ការប្រគល់បានបញ្ចប់។")</f>
        <v/>
      </c>
      <c r="E831" s="3" t="inlineStr">
        <is>
          <t>ទទួលការប្រគល់បានជោគជ័យ</t>
        </is>
      </c>
      <c r="F831" s="3" t="n"/>
      <c r="G831" s="3" t="inlineStr">
        <is>
          <t>ទទួលការប្រគល់បានជោគជ័យ</t>
        </is>
      </c>
      <c r="H831" t="inlineStr">
        <is>
          <t>ទទួលការប្រគល់បានជោគជ័យ</t>
        </is>
      </c>
      <c r="I831" s="217" t="inlineStr">
        <is>
          <t>"banGiao.messageReceivePK": "ទទួលការប្រគល់បានជោគជ័យ",</t>
        </is>
      </c>
      <c r="N831" s="3" t="inlineStr">
        <is>
          <t>ទទួលការផ្ញើបានជោគជ័យ</t>
        </is>
      </c>
    </row>
    <row r="832" ht="15.75" customHeight="1" s="305">
      <c r="A832" s="3" t="inlineStr">
        <is>
          <t>tms.successScan</t>
        </is>
      </c>
      <c r="B832" s="3" t="inlineStr">
        <is>
          <t>Nhận bàn giao thành công {{count}} tải kiện!</t>
        </is>
      </c>
      <c r="C832" s="3" t="inlineStr">
        <is>
          <t>Successfully received {{count}} sack/package!</t>
        </is>
      </c>
      <c r="D832" s="3">
        <f>IFERROR(__xludf.DUMMYFUNCTION("GOOGLETRANSLATE(B832,""vi"",""km"")"),"បានទទួលកញ្ចប់ {{count}} ដោយជោគជ័យ!")</f>
        <v/>
      </c>
      <c r="E832" s="3" t="inlineStr">
        <is>
          <t>ទទួលការប្រគល់បានជោគជ័យ{{count}} ជើងដឹកអីវ៉ាន់!</t>
        </is>
      </c>
      <c r="F832" s="3" t="n"/>
      <c r="G832" s="3" t="inlineStr">
        <is>
          <t>ទទួលការប្រគល់បានជោគជ័យ{{count}} កញ្ចប់ទំនិញ!</t>
        </is>
      </c>
      <c r="H832" t="inlineStr">
        <is>
          <t>ទទួលការប្រគល់បានជោគជ័យ{{count}} កញ្ចប់ទំនិញ!</t>
        </is>
      </c>
      <c r="I832" s="217" t="inlineStr">
        <is>
          <t>"tms.successScan": "ទទួលការប្រគល់បានជោគជ័យ{{count}} កញ្ចប់ទំនិញ!",</t>
        </is>
      </c>
      <c r="N832" s="3" t="inlineStr"/>
    </row>
    <row r="833" ht="15.75" customHeight="1" s="305">
      <c r="A833" s="3" t="inlineStr">
        <is>
          <t>banGiao.messageErrorReceivePK</t>
        </is>
      </c>
      <c r="B833" s="3" t="inlineStr">
        <is>
          <t>Nhận bàn giao thất bại</t>
        </is>
      </c>
      <c r="C833" s="3" t="inlineStr">
        <is>
          <t>Fail to receive the handover</t>
        </is>
      </c>
      <c r="D833" s="3">
        <f>IFERROR(__xludf.DUMMYFUNCTION("GOOGLETRANSLATE(B833,""vi"",""km"")"),"ការទទួលយកការប្រគល់ជូនគឺជាការបរាជ័យ។")</f>
        <v/>
      </c>
      <c r="E833" s="3" t="inlineStr">
        <is>
          <t>ទទួលការប្រគល់អីវ៉ាន់បរាជ័យ</t>
        </is>
      </c>
      <c r="F833" s="3" t="n"/>
      <c r="G833" s="3" t="inlineStr">
        <is>
          <t>ទទួលការប្រគល់អីវ៉ាន់បរាជ័យ</t>
        </is>
      </c>
      <c r="H833" t="inlineStr">
        <is>
          <t>ទទួលការប្រគល់អីវ៉ាន់បរាជ័យ</t>
        </is>
      </c>
      <c r="I833" s="217" t="inlineStr">
        <is>
          <t>"banGiao.messageErrorReceivePK": "ទទួលការប្រគល់អីវ៉ាន់បរាជ័យ",</t>
        </is>
      </c>
      <c r="N833" s="3" t="inlineStr">
        <is>
          <t>ការទទួលការផ្ញើបរាជ័យ</t>
        </is>
      </c>
    </row>
    <row r="834" ht="15.75" customHeight="1" s="305">
      <c r="A834" s="3" t="inlineStr">
        <is>
          <t>mainStatus.309</t>
        </is>
      </c>
      <c r="B834" s="3" t="inlineStr">
        <is>
          <t>Nhận bưu gửi - Chuyển tiếp</t>
        </is>
      </c>
      <c r="C834" s="3" t="inlineStr">
        <is>
          <t>Receive</t>
        </is>
      </c>
      <c r="D834" s="3">
        <f>IFERROR(__xludf.DUMMYFUNCTION("GOOGLETRANSLATE(B834,""vi"",""km"")"),"ទទួលសំបុត្រ - បញ្ជូនបន្ត")</f>
        <v/>
      </c>
      <c r="E834" s="3" t="inlineStr">
        <is>
          <t>ទទួលបញ្ញើ-ដឹកបន្ត</t>
        </is>
      </c>
      <c r="F834" s="3" t="n"/>
      <c r="G834" s="3" t="inlineStr">
        <is>
          <t>ទទួលបុងបញ្ញើ - បញ្ជូនបន្ត</t>
        </is>
      </c>
      <c r="H834" t="inlineStr">
        <is>
          <t>ទទួលបុងបញ្ញើ - បញ្ជូនបន្ត</t>
        </is>
      </c>
      <c r="I834" s="217" t="inlineStr">
        <is>
          <t>"mainStatus.309": "ទទួលបុងបញ្ញើ - បញ្ជូនបន្ត",</t>
        </is>
      </c>
      <c r="N834" s="3" t="inlineStr">
        <is>
          <t>ទូទួលបញ្ញើ-បញ្ជូនបន្ត</t>
        </is>
      </c>
    </row>
    <row r="835" ht="15.75" customHeight="1" s="305">
      <c r="A835" s="3" t="inlineStr">
        <is>
          <t>banGiao.receiveDetail</t>
        </is>
      </c>
      <c r="B835" s="3" t="inlineStr">
        <is>
          <t>Nhận chi tiết</t>
        </is>
      </c>
      <c r="C835" s="3" t="inlineStr">
        <is>
          <t>Accept package</t>
        </is>
      </c>
      <c r="D835" s="3">
        <f>IFERROR(__xludf.DUMMYFUNCTION("GOOGLETRANSLATE(B835,""vi"",""km"")"),"ស្វែងរកព័ត៌មានលម្អិត")</f>
        <v/>
      </c>
      <c r="E835" s="3" t="inlineStr">
        <is>
          <t>ទទួលលម្អិត</t>
        </is>
      </c>
      <c r="F835" s="3" t="n"/>
      <c r="G835" s="3" t="inlineStr">
        <is>
          <t>ទទួលលម្អិត</t>
        </is>
      </c>
      <c r="H835" t="inlineStr">
        <is>
          <t>ទទួលលម្អិត</t>
        </is>
      </c>
      <c r="I835" s="217" t="inlineStr">
        <is>
          <t>"banGiao.receiveDetail": "ទទួលលម្អិត",</t>
        </is>
      </c>
      <c r="N835" s="3" t="inlineStr">
        <is>
          <t>ទទួលស្ដុក</t>
        </is>
      </c>
    </row>
    <row r="836" ht="15.75" customHeight="1" s="305">
      <c r="A836" s="3" t="inlineStr">
        <is>
          <t>tms.nhanChuyen</t>
        </is>
      </c>
      <c r="B836" s="3" t="inlineStr">
        <is>
          <t>Nhận chuyến</t>
        </is>
      </c>
      <c r="C836" s="3" t="inlineStr">
        <is>
          <t>Accept trip</t>
        </is>
      </c>
      <c r="D836" s="3">
        <f>IFERROR(__xludf.DUMMYFUNCTION("GOOGLETRANSLATE(B836,""vi"",""km"")"),"យកដំណើរកម្សាន្ត")</f>
        <v/>
      </c>
      <c r="E836" s="3" t="inlineStr">
        <is>
          <t>ទទួលជើងដឹក</t>
        </is>
      </c>
      <c r="F836" s="3" t="n"/>
      <c r="G836" s="3" t="inlineStr">
        <is>
          <t>ទទួលកញ្ចប់ទំនិញ</t>
        </is>
      </c>
      <c r="H836" t="inlineStr">
        <is>
          <t>ទទួលកញ្ចប់ទំនិញ</t>
        </is>
      </c>
      <c r="I836" s="217" t="inlineStr">
        <is>
          <t>"tms.nhanChuyen": "ទទួលកញ្ចប់ទំនិញ",</t>
        </is>
      </c>
      <c r="N836" s="3" t="inlineStr"/>
    </row>
    <row r="837" ht="15.75" customHeight="1" s="305">
      <c r="A837" s="3" t="inlineStr">
        <is>
          <t>nhanHang.nhandonhang</t>
        </is>
      </c>
      <c r="B837" s="3" t="inlineStr">
        <is>
          <t>Nhận đơn hàng</t>
        </is>
      </c>
      <c r="C837" s="3" t="inlineStr">
        <is>
          <t xml:space="preserve">Pick up </t>
        </is>
      </c>
      <c r="D837" s="3">
        <f>IFERROR(__xludf.DUMMYFUNCTION("GOOGLETRANSLATE(B837,""vi"",""km"")"),"ទទួលការបញ្ជាទិញ")</f>
        <v/>
      </c>
      <c r="E837" s="3" t="inlineStr">
        <is>
          <t>ទទួលបុងបញ្ញើ</t>
        </is>
      </c>
      <c r="F837" s="3" t="n"/>
      <c r="G837" s="3" t="inlineStr">
        <is>
          <t>ទទួលបុងបញ្ញើ</t>
        </is>
      </c>
      <c r="H837" t="inlineStr">
        <is>
          <t>ទទួលបុងបញ្ញើ</t>
        </is>
      </c>
      <c r="I837" s="217" t="inlineStr">
        <is>
          <t>"nhanHang.nhandonhang": "ទទួលបុងបញ្ញើ",</t>
        </is>
      </c>
      <c r="N837" s="3" t="inlineStr">
        <is>
          <t>ទទួលការបញ្ជាទិញ</t>
        </is>
      </c>
    </row>
    <row r="838" ht="15.75" customHeight="1" s="305">
      <c r="A838" s="3" t="inlineStr">
        <is>
          <t>error.nhanHangSuccess</t>
        </is>
      </c>
      <c r="B838" s="3" t="inlineStr">
        <is>
          <t>Nhận đơn hàng thành công</t>
        </is>
      </c>
      <c r="C838" s="3" t="inlineStr">
        <is>
          <t>Pick up successfully</t>
        </is>
      </c>
      <c r="D838" s="3">
        <f>IFERROR(__xludf.DUMMYFUNCTION("GOOGLETRANSLATE(B838,""vi"",""km"")"),"ការបញ្ជាទិញត្រូវបានទទួលដោយជោគជ័យ")</f>
        <v/>
      </c>
      <c r="E838" s="3" t="inlineStr">
        <is>
          <t>ទទួលបុងបញ្ញើដោយជោគជ័យ</t>
        </is>
      </c>
      <c r="F838" s="3" t="n"/>
      <c r="G838" s="3" t="inlineStr">
        <is>
          <t>ទទួលបុងបញ្ញើដោយជោគជ័យ</t>
        </is>
      </c>
      <c r="H838" t="inlineStr">
        <is>
          <t>ទទួលបុងបញ្ញើដោយជោគជ័យ</t>
        </is>
      </c>
      <c r="I838" s="217" t="inlineStr">
        <is>
          <t>"error.nhanHangSuccess": "ទទួលបុងបញ្ញើដោយជោគជ័យ",</t>
        </is>
      </c>
      <c r="N838" s="3" t="inlineStr">
        <is>
          <t>ការបញ្ជាទិញបានទទួលដោយជោគជ័យ</t>
        </is>
      </c>
    </row>
    <row r="839" ht="15.75" customHeight="1" s="305">
      <c r="A839" s="3" t="inlineStr">
        <is>
          <t>error.nhanHangError</t>
        </is>
      </c>
      <c r="B839" s="3" t="inlineStr">
        <is>
          <t>Nhận đơn hàng thất bại</t>
        </is>
      </c>
      <c r="C839" s="3" t="inlineStr">
        <is>
          <t>Pickup failed</t>
        </is>
      </c>
      <c r="D839" s="3">
        <f>IFERROR(__xludf.DUMMYFUNCTION("GOOGLETRANSLATE(B839,""vi"",""km"")"),"បានទទួលការបញ្ជាទិញដែលបរាជ័យ")</f>
        <v/>
      </c>
      <c r="E839" s="3" t="inlineStr">
        <is>
          <t>ទទួលបុងបញ្ញើបរាជ័យ</t>
        </is>
      </c>
      <c r="F839" s="3" t="n"/>
      <c r="G839" s="3" t="inlineStr">
        <is>
          <t>ទទួលបុងបញ្ញើបរាជ័យ</t>
        </is>
      </c>
      <c r="H839" t="inlineStr">
        <is>
          <t>ទទួលបុងបញ្ញើបរាជ័យ</t>
        </is>
      </c>
      <c r="I839" s="217" t="inlineStr">
        <is>
          <t>"error.nhanHangError": "ទទួលបុងបញ្ញើបរាជ័យ",</t>
        </is>
      </c>
      <c r="N839" s="3" t="inlineStr">
        <is>
          <t>បរាជ័យក្នុងការទទួលការបញ្ជាទិញ</t>
        </is>
      </c>
    </row>
    <row r="840" ht="15.75" customHeight="1" s="305">
      <c r="A840" s="3" t="inlineStr">
        <is>
          <t>nhanHang.nhanDonThanhCong</t>
        </is>
      </c>
      <c r="B840" s="3" t="inlineStr">
        <is>
          <t>Nhận đơn thành công!</t>
        </is>
      </c>
      <c r="C840" s="3" t="inlineStr">
        <is>
          <t>Order received successfully!</t>
        </is>
      </c>
      <c r="D840" s="3">
        <f>IFERROR(__xludf.DUMMYFUNCTION("GOOGLETRANSLATE(B840,""vi"",""km"")"),"ការបញ្ជាទិញត្រូវបានទទួលដោយជោគជ័យ!")</f>
        <v/>
      </c>
      <c r="E840" s="3" t="inlineStr">
        <is>
          <t>ទទួលបុងបញ្ញើដោយជោគជ័យ!</t>
        </is>
      </c>
      <c r="F840" s="3" t="n"/>
      <c r="G840" s="3" t="inlineStr">
        <is>
          <t>ទទួលបុងបញ្ញើដោយជោគជ័យ!</t>
        </is>
      </c>
      <c r="H840" t="inlineStr">
        <is>
          <t>ទទួលបុងបញ្ញើដោយជោគជ័យ!</t>
        </is>
      </c>
      <c r="I840" s="217" t="inlineStr">
        <is>
          <t>"nhanHang.nhanDonThanhCong": "ទទួលបុងបញ្ញើដោយជោគជ័យ!",</t>
        </is>
      </c>
      <c r="N840" s="3" t="inlineStr"/>
    </row>
    <row r="841" ht="15.75" customHeight="1" s="305">
      <c r="A841" s="3" t="inlineStr">
        <is>
          <t>tms.nhanGiaoHang</t>
        </is>
      </c>
      <c r="B841" s="3" t="inlineStr">
        <is>
          <t>Nhận giao hàng</t>
        </is>
      </c>
      <c r="C841" s="3" t="inlineStr">
        <is>
          <t>Receive delivery</t>
        </is>
      </c>
      <c r="D841" s="3">
        <f>IFERROR(__xludf.DUMMYFUNCTION("GOOGLETRANSLATE(B841,""vi"",""km"")"),"ទទួលការដឹកជញ្ជូន")</f>
        <v/>
      </c>
      <c r="E841" s="3" t="inlineStr">
        <is>
          <t>ទទួលប្រគល់អីវ៉ាន់</t>
        </is>
      </c>
      <c r="F841" s="3" t="n"/>
      <c r="G841" s="3" t="inlineStr">
        <is>
          <t>ទទួលប្រគល់អីវ៉ាន់</t>
        </is>
      </c>
      <c r="H841" t="inlineStr">
        <is>
          <t>ទទួលប្រគល់អីវ៉ាន់</t>
        </is>
      </c>
      <c r="I841" s="217" t="inlineStr">
        <is>
          <t>"tms.nhanGiaoHang": "ទទួលប្រគល់អីវ៉ាន់",</t>
        </is>
      </c>
      <c r="N841" s="3" t="inlineStr"/>
    </row>
    <row r="842" ht="15.75" customHeight="1" s="305">
      <c r="A842" s="3" t="inlineStr">
        <is>
          <t>nhanHang.title</t>
        </is>
      </c>
      <c r="B842" s="3" t="inlineStr">
        <is>
          <t>Nhận hàng</t>
        </is>
      </c>
      <c r="C842" s="3" t="inlineStr">
        <is>
          <t>Pick up order</t>
        </is>
      </c>
      <c r="D842" s="3">
        <f>IFERROR(__xludf.DUMMYFUNCTION("GOOGLETRANSLATE(B842,""vi"",""km"")"),"ទទួល")</f>
        <v/>
      </c>
      <c r="E842" s="3" t="inlineStr">
        <is>
          <t>ទទួលអីវ៉ាន់</t>
        </is>
      </c>
      <c r="F842" s="3" t="n"/>
      <c r="G842" s="3" t="inlineStr">
        <is>
          <t>ទទួលអីវ៉ាន់</t>
        </is>
      </c>
      <c r="H842" t="inlineStr">
        <is>
          <t>ទទួលអីវ៉ាន់</t>
        </is>
      </c>
      <c r="I842" s="217" t="inlineStr">
        <is>
          <t>"nhanHang.title": "ទទួលអីវ៉ាន់",</t>
        </is>
      </c>
      <c r="N842" s="3" t="inlineStr">
        <is>
          <t>ទទួលបញ្ជាទិញ</t>
        </is>
      </c>
    </row>
    <row r="843" ht="15.75" customHeight="1" s="305">
      <c r="A843" s="3" t="inlineStr">
        <is>
          <t>nhanLai.title</t>
        </is>
      </c>
      <c r="B843" s="3" t="inlineStr">
        <is>
          <t>Nhận lại</t>
        </is>
      </c>
      <c r="C843" s="3" t="inlineStr">
        <is>
          <t>Recall</t>
        </is>
      </c>
      <c r="D843" s="3">
        <f>IFERROR(__xludf.DUMMYFUNCTION("GOOGLETRANSLATE(B843,""vi"",""km"")"),"ត្រលប់មកវិញ")</f>
        <v/>
      </c>
      <c r="E843" s="3" t="inlineStr">
        <is>
          <t>បានទទួលម្តងទៀត</t>
        </is>
      </c>
      <c r="F843" s="3" t="n"/>
      <c r="G843" s="3" t="inlineStr">
        <is>
          <t>បានទទួលម្តងទៀត</t>
        </is>
      </c>
      <c r="H843" t="inlineStr">
        <is>
          <t>បានទទួលម្តងទៀត</t>
        </is>
      </c>
      <c r="I843" s="217" t="inlineStr">
        <is>
          <t>"nhanLai.title": "បានទទួលម្តងទៀត",</t>
        </is>
      </c>
      <c r="N843" s="163" t="inlineStr">
        <is>
          <t>រំលឹកឡើងវិញ</t>
        </is>
      </c>
    </row>
    <row r="844" ht="15.75" customHeight="1" s="305">
      <c r="A844" s="3" t="inlineStr">
        <is>
          <t>home.nhanlai</t>
        </is>
      </c>
      <c r="B844" s="3" t="inlineStr">
        <is>
          <t>Nhận lại</t>
        </is>
      </c>
      <c r="C844" s="3" t="inlineStr">
        <is>
          <t xml:space="preserve">Recall </t>
        </is>
      </c>
      <c r="D844" s="3">
        <f>IFERROR(__xludf.DUMMYFUNCTION("GOOGLETRANSLATE(B844,""vi"",""km"")"),"ត្រលប់មកវិញ")</f>
        <v/>
      </c>
      <c r="E844" s="3" t="inlineStr">
        <is>
          <t>បានទទួលម្តងទៀត</t>
        </is>
      </c>
      <c r="F844" s="3" t="n"/>
      <c r="G844" s="3" t="inlineStr">
        <is>
          <t>បានទទួលម្តងទៀត</t>
        </is>
      </c>
      <c r="H844" t="inlineStr">
        <is>
          <t>បានទទួលម្តងទៀត</t>
        </is>
      </c>
      <c r="I844" s="217" t="inlineStr">
        <is>
          <t>"home.nhanlai": "បានទទួលម្តងទៀត",</t>
        </is>
      </c>
      <c r="N844" s="3" t="inlineStr">
        <is>
          <t>ទទួល</t>
        </is>
      </c>
    </row>
    <row r="845" ht="15.75" customHeight="1" s="305">
      <c r="A845" s="3" t="inlineStr">
        <is>
          <t>nhanHang.titleTabNhanLai</t>
        </is>
      </c>
      <c r="B845" s="3" t="inlineStr">
        <is>
          <t>Nhận lại</t>
        </is>
      </c>
      <c r="C845" s="3" t="inlineStr">
        <is>
          <t>Pick up again</t>
        </is>
      </c>
      <c r="D845" s="3">
        <f>IFERROR(__xludf.DUMMYFUNCTION("GOOGLETRANSLATE(B845,""vi"",""km"")"),"ត្រលប់មកវិញ")</f>
        <v/>
      </c>
      <c r="E845" s="3" t="inlineStr">
        <is>
          <t>បានទទួលម្តងទៀត</t>
        </is>
      </c>
      <c r="F845" s="3" t="n"/>
      <c r="G845" s="3" t="inlineStr">
        <is>
          <t>បានទទួលម្តងទៀត</t>
        </is>
      </c>
      <c r="H845" t="inlineStr">
        <is>
          <t>បានទទួលម្តងទៀត</t>
        </is>
      </c>
      <c r="I845" s="217" t="inlineStr">
        <is>
          <t>"nhanHang.titleTabNhanLai": "បានទទួលម្តងទៀត",</t>
        </is>
      </c>
      <c r="N845" s="3" t="inlineStr">
        <is>
          <t>ទទួលឡើងវិញ</t>
        </is>
      </c>
    </row>
    <row r="846" ht="15.75" customHeight="1" s="305">
      <c r="A846" s="3" t="inlineStr">
        <is>
          <t>nhanLai.receiveSuccess</t>
        </is>
      </c>
      <c r="B846" s="3" t="inlineStr">
        <is>
          <t>Nhận lại phiếu gửi {{maPhieuGui}} thành công!</t>
        </is>
      </c>
      <c r="C846" s="3" t="inlineStr">
        <is>
          <t>Recall postal slip {{maPhieuGui}} successfully!</t>
        </is>
      </c>
      <c r="D846" s="3">
        <f>IFERROR(__xludf.DUMMYFUNCTION("GOOGLETRANSLATE(B846,""vi"",""km"")"),"បានទទួលបង្កាន់ដៃដឹកជញ្ជូនរបស់អ្នក {{maPhieuGui}} ដោយជោគជ័យហើយ!")</f>
        <v/>
      </c>
      <c r="E846" s="3" t="inlineStr">
        <is>
          <t>ទទួលបុងបញ្ញើម្តងទៀត {{maPhieuGui}} ដោយជោគជ័យ!</t>
        </is>
      </c>
      <c r="F846" s="3" t="n"/>
      <c r="G846" s="3" t="inlineStr">
        <is>
          <t>ទទួលបុងបញ្ញើម្តងទៀត {{maPhieuGui}} ដោយជោគជ័យ!</t>
        </is>
      </c>
      <c r="H846" t="inlineStr">
        <is>
          <t>ទទួលបុងបញ្ញើម្តងទៀត {{maPhieuGui}} ដោយជោគជ័យ!</t>
        </is>
      </c>
      <c r="I846" s="217" t="inlineStr">
        <is>
          <t>"nhanLai.receiveSuccess": "ទទួលបុងបញ្ញើម្តងទៀត {{maPhieuGui}} ដោយជោគជ័យ!",</t>
        </is>
      </c>
      <c r="N846" s="163" t="inlineStr">
        <is>
          <t>រំលឹកសំបុត្រប្រៃសណីយ៍ {{maPhieuGui}} ដោយជោគជ័យ!</t>
        </is>
      </c>
    </row>
    <row r="847" ht="15.75" customHeight="1" s="305">
      <c r="A847" s="3" t="inlineStr">
        <is>
          <t>nhanHang.nhannhanh</t>
        </is>
      </c>
      <c r="B847" s="3" t="inlineStr">
        <is>
          <t>Nhận nhanh</t>
        </is>
      </c>
      <c r="C847" s="3" t="inlineStr">
        <is>
          <t>Quick pickup</t>
        </is>
      </c>
      <c r="D847" s="3">
        <f>IFERROR(__xludf.DUMMYFUNCTION("GOOGLETRANSLATE(B847,""vi"",""km"")"),"ទទួលបានវាយ៉ាងលឿន")</f>
        <v/>
      </c>
      <c r="E847" s="3" t="inlineStr">
        <is>
          <t>ទទួលលឿន</t>
        </is>
      </c>
      <c r="F847" s="3" t="n"/>
      <c r="G847" s="3" t="inlineStr">
        <is>
          <t>ទទួលលឿន</t>
        </is>
      </c>
      <c r="H847" t="inlineStr">
        <is>
          <t>ទទួលលឿន</t>
        </is>
      </c>
      <c r="I847" s="217" t="inlineStr">
        <is>
          <t>"nhanHang.nhannhanh": "ទទួលលឿន",</t>
        </is>
      </c>
      <c r="N847" s="3" t="inlineStr">
        <is>
          <t>ទទួលរហ័ស</t>
        </is>
      </c>
    </row>
    <row r="848" ht="15.75" customHeight="1" s="305">
      <c r="A848" s="3" t="inlineStr">
        <is>
          <t>banGiao.nhanNhanh</t>
        </is>
      </c>
      <c r="B848" s="3" t="inlineStr">
        <is>
          <t>Nhận nhanh</t>
        </is>
      </c>
      <c r="C848" s="3" t="inlineStr">
        <is>
          <t>Quick Receive</t>
        </is>
      </c>
      <c r="D848" s="3">
        <f>IFERROR(__xludf.DUMMYFUNCTION("GOOGLETRANSLATE(B848,""vi"",""km"")"),"ទទួលបានវាយ៉ាងលឿន")</f>
        <v/>
      </c>
      <c r="E848" s="3" t="inlineStr">
        <is>
          <t>ទទួលលឿន</t>
        </is>
      </c>
      <c r="F848" s="3" t="n"/>
      <c r="G848" s="3" t="inlineStr">
        <is>
          <t>ទទួលលឿន</t>
        </is>
      </c>
      <c r="H848" t="inlineStr">
        <is>
          <t>ទទួលលឿន</t>
        </is>
      </c>
      <c r="I848" s="217" t="inlineStr">
        <is>
          <t>"banGiao.nhanNhanh": "ទទួលលឿន",</t>
        </is>
      </c>
      <c r="N848" s="3" t="inlineStr"/>
    </row>
    <row r="849" ht="15.75" customHeight="1" s="305">
      <c r="A849" s="3" t="inlineStr">
        <is>
          <t>khaiThacDen.receiveBill</t>
        </is>
      </c>
      <c r="B849" s="3" t="inlineStr">
        <is>
          <t>Nhận phiếu gửi</t>
        </is>
      </c>
      <c r="C849" s="3" t="inlineStr">
        <is>
          <t>Receive postal slip</t>
        </is>
      </c>
      <c r="D849" s="3">
        <f>IFERROR(__xludf.DUMMYFUNCTION("GOOGLETRANSLATE(B849,""vi"",""km"")"),"ទទួលបង្កាន់ដៃដឹកជញ្ជូន")</f>
        <v/>
      </c>
      <c r="E849" s="3" t="inlineStr">
        <is>
          <t>ទទួលបុងបញ្ញើ</t>
        </is>
      </c>
      <c r="F849" s="3" t="n"/>
      <c r="G849" s="3" t="inlineStr">
        <is>
          <t>ទទួលបុងបញ្ញើ</t>
        </is>
      </c>
      <c r="H849" t="inlineStr">
        <is>
          <t>ទទួលបុងបញ្ញើ</t>
        </is>
      </c>
      <c r="I849" s="217" t="inlineStr">
        <is>
          <t>"khaiThacDen.receiveBill": "ទទួលបុងបញ្ញើ",</t>
        </is>
      </c>
      <c r="N849" s="3" t="inlineStr">
        <is>
          <t>ទទួលបានបណ្ឌដឹកជញ្ជូន</t>
        </is>
      </c>
    </row>
    <row r="850" ht="15.75" customHeight="1" s="305">
      <c r="A850" s="3" t="inlineStr">
        <is>
          <t>khaiThacDen.receiveSuccess</t>
        </is>
      </c>
      <c r="B850" s="3" t="inlineStr">
        <is>
          <t>Nhận phiếu gửi thành công</t>
        </is>
      </c>
      <c r="C850" s="3" t="inlineStr">
        <is>
          <t>Receive postal slip successfully</t>
        </is>
      </c>
      <c r="D850" s="3">
        <f>IFERROR(__xludf.DUMMYFUNCTION("GOOGLETRANSLATE(B850,""vi"",""km"")"),"បានទទួលបង្កាន់ដៃដោយជោគជ័យ")</f>
        <v/>
      </c>
      <c r="E850" s="3" t="inlineStr">
        <is>
          <t>ទទួលបុងបញ្ញើបានជោគជ័យ</t>
        </is>
      </c>
      <c r="F850" s="3" t="n"/>
      <c r="G850" s="3" t="inlineStr">
        <is>
          <t>ទទួលបុងបញ្ញើបានជោគជ័យ</t>
        </is>
      </c>
      <c r="H850" t="inlineStr">
        <is>
          <t>ទទួលបុងបញ្ញើបានជោគជ័យ</t>
        </is>
      </c>
      <c r="I850" s="217" t="inlineStr">
        <is>
          <t>"khaiThacDen.receiveSuccess": "ទទួលបុងបញ្ញើបានជោគជ័យ",</t>
        </is>
      </c>
      <c r="N850" s="3" t="inlineStr">
        <is>
          <t>ទទូលបង្កាន់ដៃនៃការផ្ញើដោយជោគជ័យ</t>
        </is>
      </c>
    </row>
    <row r="851" ht="15.75" customHeight="1" s="305">
      <c r="A851" s="3" t="inlineStr">
        <is>
          <t>khaiThacDen.receiveFail</t>
        </is>
      </c>
      <c r="B851" s="3" t="inlineStr">
        <is>
          <t>Nhận phiếu gửi thất bại</t>
        </is>
      </c>
      <c r="C851" s="3" t="inlineStr">
        <is>
          <t>Fail to receive postal slip</t>
        </is>
      </c>
      <c r="D851" s="3">
        <f>IFERROR(__xludf.DUMMYFUNCTION("GOOGLETRANSLATE(B851,""vi"",""km"")"),"បានទទួលបង្កាន់ដៃដឹកជញ្ជូនដែលបរាជ័យ")</f>
        <v/>
      </c>
      <c r="E851" s="3" t="inlineStr">
        <is>
          <t>ទទួលបុងបញ្ញើបរាជ័យ</t>
        </is>
      </c>
      <c r="F851" s="3" t="n"/>
      <c r="G851" s="3" t="inlineStr">
        <is>
          <t>ទទួលបុងបញ្ញើបរាជ័យ</t>
        </is>
      </c>
      <c r="H851" t="inlineStr">
        <is>
          <t>ទទួលបុងបញ្ញើបរាជ័យ</t>
        </is>
      </c>
      <c r="I851" s="217" t="inlineStr">
        <is>
          <t>"khaiThacDen.receiveFail": "ទទួលបុងបញ្ញើបរាជ័យ",</t>
        </is>
      </c>
      <c r="N851" s="3" t="inlineStr">
        <is>
          <t>ទទូលបង្កាន់ដៃនៃការផ្ញើបានបរាជ័យ</t>
        </is>
      </c>
    </row>
    <row r="852" ht="15.75" customHeight="1" s="305">
      <c r="A852" s="3" t="inlineStr">
        <is>
          <t>taoDon.btnReceive</t>
        </is>
      </c>
      <c r="B852" s="3" t="inlineStr">
        <is>
          <t>Nhận tại bưu cục</t>
        </is>
      </c>
      <c r="C852" s="3" t="inlineStr">
        <is>
          <t>Pick up at post office</t>
        </is>
      </c>
      <c r="D852" s="3">
        <f>IFERROR(__xludf.DUMMYFUNCTION("GOOGLETRANSLATE(B852,""vi"",""km"")"),"មកយកនៅការិយាល័យប្រៃសណីយ៍។")</f>
        <v/>
      </c>
      <c r="E852" s="3" t="inlineStr">
        <is>
          <t>ទទួលនៅការិយាល័យប្រៃសណីយ៍</t>
        </is>
      </c>
      <c r="F852" s="3" t="n"/>
      <c r="G852" s="3" t="inlineStr">
        <is>
          <t>ទទួលនៅការិយាល័យប្រៃសណីយ៍</t>
        </is>
      </c>
      <c r="H852" t="inlineStr">
        <is>
          <t>ទទួលនៅការិយាល័យប្រៃសណីយ៍</t>
        </is>
      </c>
      <c r="I852" s="217" t="inlineStr">
        <is>
          <t>"taoDon.btnReceive": "ទទួលនៅការិយាល័យប្រៃសណីយ៍",</t>
        </is>
      </c>
      <c r="N852" s="3" t="inlineStr">
        <is>
          <t>ទទួលនៅការិយាល័យ</t>
        </is>
      </c>
    </row>
    <row r="853" ht="15.75" customHeight="1" s="305">
      <c r="A853" s="3" t="inlineStr">
        <is>
          <t>suaDon.receivePostoffice</t>
        </is>
      </c>
      <c r="B853" s="3" t="inlineStr">
        <is>
          <t xml:space="preserve">Nhận tại bưu cục: </t>
        </is>
      </c>
      <c r="C853" s="3" t="inlineStr">
        <is>
          <t>Pickup at post office:</t>
        </is>
      </c>
      <c r="D853" s="3">
        <f>IFERROR(__xludf.DUMMYFUNCTION("GOOGLETRANSLATE(B853,""vi"",""km"")"),"ទទួលនៅការិយាល័យប្រៃសណីយ៍៖")</f>
        <v/>
      </c>
      <c r="E853" s="3" t="inlineStr">
        <is>
          <t>ទទួលនៅការិយាល័យប្រៃសណីយ៍</t>
        </is>
      </c>
      <c r="F853" s="3" t="n"/>
      <c r="G853" s="3" t="inlineStr">
        <is>
          <t>ទទួលនៅការិយាល័យប្រៃសណីយ៍</t>
        </is>
      </c>
      <c r="H853" t="inlineStr">
        <is>
          <t>ទទួលនៅការិយាល័យប្រៃសណីយ៍</t>
        </is>
      </c>
      <c r="I853" s="217" t="inlineStr">
        <is>
          <t>"suaDon.receivePostoffice": "ទទួលនៅការិយាល័យប្រៃសណីយ៍",</t>
        </is>
      </c>
      <c r="N853" s="3" t="inlineStr">
        <is>
          <t xml:space="preserve">ទទួលនៅករិយាល័យបញ្ញើ: </t>
        </is>
      </c>
    </row>
    <row r="854" ht="15.75" customHeight="1" s="305">
      <c r="A854" s="3" t="inlineStr">
        <is>
          <t>taoDon.receiveHome</t>
        </is>
      </c>
      <c r="B854" s="3" t="inlineStr">
        <is>
          <t>Nhận tại nhà</t>
        </is>
      </c>
      <c r="C854" s="3" t="inlineStr">
        <is>
          <t>Receive at home</t>
        </is>
      </c>
      <c r="D854" s="3">
        <f>IFERROR(__xludf.DUMMYFUNCTION("GOOGLETRANSLATE(B854,""vi"",""km"")"),"ដឹកជញ្ជូនដល់ផ្ទះ")</f>
        <v/>
      </c>
      <c r="E854" s="3" t="inlineStr">
        <is>
          <t>ទទួលនៅផ្ទះ</t>
        </is>
      </c>
      <c r="F854" s="3" t="n"/>
      <c r="G854" s="3" t="inlineStr">
        <is>
          <t>ទទួលនៅផ្ទះ</t>
        </is>
      </c>
      <c r="H854" t="inlineStr">
        <is>
          <t>ទទួលនៅផ្ទះ</t>
        </is>
      </c>
      <c r="I854" s="217" t="inlineStr">
        <is>
          <t>"taoDon.receiveHome": "ទទួលនៅផ្ទះ",</t>
        </is>
      </c>
      <c r="N854" s="3" t="inlineStr"/>
    </row>
    <row r="855" ht="15.75" customHeight="1" s="305">
      <c r="A855" s="3" t="inlineStr">
        <is>
          <t>tms.banGiaoNote</t>
        </is>
      </c>
      <c r="B855" s="3" t="inlineStr">
        <is>
          <t>Nhận tải/kiện bàn giao trên chuyến xe {{vehicle_plate}} - {{trip_code}}</t>
        </is>
      </c>
      <c r="C855" s="3" t="inlineStr">
        <is>
          <t>Receive sack/package on trip {{vehicle_plate}} - {{trip_code}}</t>
        </is>
      </c>
      <c r="D855" s="3">
        <f>IFERROR(__xludf.DUMMYFUNCTION("GOOGLETRANSLATE(B855,""vi"",""km"")"),"ទទួលទំនិញ/កញ្ចប់នៅលើដំណើរ {{vehicle_plate}} - {{trip_code}}")</f>
        <v/>
      </c>
      <c r="E855" s="3" t="inlineStr">
        <is>
          <t>ទទួលជើងដឹក/កញ្ចប់អីវ៉ាន់ ប្រគល់ឲ្យនៅលើជើងឡានដឹក {{vehicle_plate}} - {{trip_code}}</t>
        </is>
      </c>
      <c r="F855" s="3" t="n"/>
      <c r="G855" s="3" t="inlineStr">
        <is>
          <t>ទទួលកញ្ចប់ទំនិញ/អីវ៉ាន់ ប្រគល់ទៅឡានដឹក {{vehicle_plate}} - {{trip_code}}</t>
        </is>
      </c>
      <c r="H855" t="inlineStr">
        <is>
          <t>ទទួលកញ្ចប់ទំនិញ/អីវ៉ាន់ ប្រគល់ទៅឡានដឹក {{vehicle_plate}} - {{trip_code}}</t>
        </is>
      </c>
      <c r="I855" s="217" t="inlineStr">
        <is>
          <t>"tms.banGiaoNote": "ទទួលកញ្ចប់ទំនិញ/អីវ៉ាន់ ប្រគល់ទៅឡានដឹក {{vehicle_plate}} - {{trip_code}}",</t>
        </is>
      </c>
      <c r="N855" s="3" t="inlineStr"/>
    </row>
    <row r="856" ht="15.75" customHeight="1" s="305">
      <c r="A856" s="3" t="inlineStr">
        <is>
          <t>taoKien.nhanTaiKienSuccess</t>
        </is>
      </c>
      <c r="B856" s="3" t="inlineStr">
        <is>
          <t>Nhận tải/kiện thành công!</t>
        </is>
      </c>
      <c r="C856" s="143" t="inlineStr">
        <is>
          <t>Received load/package successfully</t>
        </is>
      </c>
      <c r="D856" s="3">
        <f>IFERROR(__xludf.DUMMYFUNCTION("GOOGLETRANSLATE(B856,""vi"",""km"")"),"ទាញយក/ឯកសារបានទទួលដោយជោគជ័យ!")</f>
        <v/>
      </c>
      <c r="E856" s="3" t="inlineStr">
        <is>
          <t>ទទួលជើងដឹក/កញ្ចប់អីវ៉ាន់បានជោគជ័យ</t>
        </is>
      </c>
      <c r="F856" s="3" t="n"/>
      <c r="G856" s="3" t="inlineStr">
        <is>
          <t>ទទួលកញ្ចប់ទំនិញ/អីវ៉ាន់បានជោគជ័យ!</t>
        </is>
      </c>
      <c r="H856" t="inlineStr">
        <is>
          <t>ទទួលកញ្ចប់ទំនិញ/អីវ៉ាន់បានជោគជ័យ!</t>
        </is>
      </c>
      <c r="I856" s="217" t="inlineStr">
        <is>
          <t>"taoKien.nhanTaiKienSuccess": "ទទួលកញ្ចប់ទំនិញ/អីវ៉ាន់បានជោគជ័យ!",</t>
        </is>
      </c>
      <c r="N856" s="3" t="inlineStr"/>
    </row>
    <row r="857" ht="15.75" customHeight="1" s="305">
      <c r="A857" s="3" t="inlineStr">
        <is>
          <t>GiaoHangNew.receiveSuccess</t>
        </is>
      </c>
      <c r="B857" s="3" t="inlineStr">
        <is>
          <t>Nhận thành công!</t>
        </is>
      </c>
      <c r="C857" s="3" t="inlineStr">
        <is>
          <t>Received successfully!</t>
        </is>
      </c>
      <c r="D857" s="3">
        <f>IFERROR(__xludf.DUMMYFUNCTION("GOOGLETRANSLATE(B857,""vi"",""km"")"),"ទទួលបានជោគជ័យ!")</f>
        <v/>
      </c>
      <c r="E857" s="3" t="inlineStr">
        <is>
          <t>ទទួលបានជោគជ័យ!</t>
        </is>
      </c>
      <c r="F857" s="3" t="n"/>
      <c r="G857" s="3" t="inlineStr">
        <is>
          <t>ទទួលបានជោគជ័យ!</t>
        </is>
      </c>
      <c r="H857" t="inlineStr">
        <is>
          <t>ទទួលបានជោគជ័យ!</t>
        </is>
      </c>
      <c r="I857" s="217" t="inlineStr">
        <is>
          <t>"GiaoHangNew.receiveSuccess": "ទទួលបានជោគជ័យ!",</t>
        </is>
      </c>
      <c r="N857" s="3" t="inlineStr"/>
    </row>
    <row r="858" ht="15.75" customHeight="1" s="305">
      <c r="A858" s="3" t="inlineStr">
        <is>
          <t>tongGiao.nhanTin</t>
        </is>
      </c>
      <c r="B858" s="3" t="inlineStr">
        <is>
          <t>Nhắn tin</t>
        </is>
      </c>
      <c r="C858" s="3" t="inlineStr">
        <is>
          <t>Message</t>
        </is>
      </c>
      <c r="D858" s="3">
        <f>IFERROR(__xludf.DUMMYFUNCTION("GOOGLETRANSLATE(B858,""vi"",""km"")"),"ការផ្ញើសារជាអក្សរ")</f>
        <v/>
      </c>
      <c r="E858" s="3" t="inlineStr">
        <is>
          <t>ផ្ញើសារ</t>
        </is>
      </c>
      <c r="F858" s="3" t="n"/>
      <c r="G858" s="3" t="inlineStr">
        <is>
          <t>ផ្ញើសារ</t>
        </is>
      </c>
      <c r="H858" t="inlineStr">
        <is>
          <t>ផ្ញើសារ</t>
        </is>
      </c>
      <c r="I858" s="217" t="inlineStr">
        <is>
          <t>"tongGiao.nhanTin": "ផ្ញើសារ",</t>
        </is>
      </c>
      <c r="N858" s="3" t="inlineStr">
        <is>
          <t>ផ្ញើសារ</t>
        </is>
      </c>
    </row>
    <row r="859" ht="15.75" customHeight="1" s="305">
      <c r="A859" s="3" t="inlineStr">
        <is>
          <t>banGiao.titleNhanTai</t>
        </is>
      </c>
      <c r="B859" s="3" t="inlineStr">
        <is>
          <t>Nhận về</t>
        </is>
      </c>
      <c r="C859" s="3" t="inlineStr">
        <is>
          <t>Receive</t>
        </is>
      </c>
      <c r="D859" s="3">
        <f>IFERROR(__xludf.DUMMYFUNCTION("GOOGLETRANSLATE(B859,""vi"",""km"")"),"បានទទួល")</f>
        <v/>
      </c>
      <c r="E859" s="3" t="inlineStr">
        <is>
          <t>ទទួលត្រលប់</t>
        </is>
      </c>
      <c r="F859" s="3" t="n"/>
      <c r="G859" s="3" t="inlineStr">
        <is>
          <t>ទទួលត្រលប់</t>
        </is>
      </c>
      <c r="H859" t="inlineStr">
        <is>
          <t>ទទួលត្រលប់</t>
        </is>
      </c>
      <c r="I859" s="217" t="inlineStr">
        <is>
          <t>"banGiao.titleNhanTai": "ទទួលត្រលប់",</t>
        </is>
      </c>
      <c r="N859" s="3" t="inlineStr">
        <is>
          <t>ទទួល</t>
        </is>
      </c>
    </row>
    <row r="860" ht="15.75" customHeight="1" s="305">
      <c r="A860" s="3" t="inlineStr">
        <is>
          <t>banGiao.textReveicedHandover</t>
        </is>
      </c>
      <c r="B860" s="3" t="inlineStr">
        <is>
          <t>Nhân viên nhận bàn giao</t>
        </is>
      </c>
      <c r="C860" s="3" t="inlineStr">
        <is>
          <t>Receving-handover staff</t>
        </is>
      </c>
      <c r="D860" s="3">
        <f>IFERROR(__xludf.DUMMYFUNCTION("GOOGLETRANSLATE(B860,""vi"",""km"")"),"បុគ្គលិកប្រគល់")</f>
        <v/>
      </c>
      <c r="E860" s="3" t="inlineStr">
        <is>
          <t>បុគ្គលិកទទួលការប្រគល់</t>
        </is>
      </c>
      <c r="F860" s="3" t="n"/>
      <c r="G860" s="3" t="inlineStr">
        <is>
          <t>បុគ្គលិកទទួលការប្រគល់</t>
        </is>
      </c>
      <c r="H860" t="inlineStr">
        <is>
          <t>បុគ្គលិកទទួលការប្រគល់</t>
        </is>
      </c>
      <c r="I860" s="217" t="inlineStr">
        <is>
          <t>"banGiao.textReveicedHandover": "បុគ្គលិកទទួលការប្រគល់",</t>
        </is>
      </c>
      <c r="N860" s="3" t="inlineStr">
        <is>
          <t>បុគ្គលិកទទួលការផ្ញើ</t>
        </is>
      </c>
    </row>
    <row r="861" ht="15.75" customHeight="1" s="305">
      <c r="A861" s="3" t="inlineStr">
        <is>
          <t>login.enterPostOffice</t>
        </is>
      </c>
      <c r="B861" s="3" t="inlineStr">
        <is>
          <t>Nhập bưu cục</t>
        </is>
      </c>
      <c r="C861" s="3" t="inlineStr">
        <is>
          <t>Enter post office name</t>
        </is>
      </c>
      <c r="D861" s="3">
        <f>IFERROR(__xludf.DUMMYFUNCTION("GOOGLETRANSLATE(B861,""vi"",""km"")"),"ចូលទៅក្នុងការិយាល័យប្រៃសណីយ៍។")</f>
        <v/>
      </c>
      <c r="E861" s="3" t="inlineStr">
        <is>
          <t>បញ្ចូលការិយាល័យប្រៃសណីយ៍</t>
        </is>
      </c>
      <c r="F861" s="3" t="n"/>
      <c r="G861" s="3" t="inlineStr">
        <is>
          <t>បញ្ចូលការិយាល័យប្រៃសណីយ៍</t>
        </is>
      </c>
      <c r="H861" t="inlineStr">
        <is>
          <t>បញ្ចូលការិយាល័យប្រៃសណីយ៍</t>
        </is>
      </c>
      <c r="I861" s="217" t="inlineStr">
        <is>
          <t>"login.enterPostOffice": "បញ្ចូលការិយាល័យប្រៃសណីយ៍",</t>
        </is>
      </c>
      <c r="N861" s="3" t="inlineStr">
        <is>
          <t>បញ្ចូលការិយាល័យបញ្ញើ</t>
        </is>
      </c>
    </row>
    <row r="862" ht="15.75" customHeight="1" s="305">
      <c r="A862" s="3" t="inlineStr">
        <is>
          <t>taoDon.enterDimensionsCm</t>
        </is>
      </c>
      <c r="B862" s="3" t="inlineStr">
        <is>
          <t>Nhập Dài x Rộng x Cao (đơn vị cm)</t>
        </is>
      </c>
      <c r="C862" s="3" t="inlineStr">
        <is>
          <t>Enter Length x Width x Height (cm)</t>
        </is>
      </c>
      <c r="D862" s="3">
        <f>IFERROR(__xludf.DUMMYFUNCTION("GOOGLETRANSLATE(B862,""vi"",""km"")"),"បញ្ចូលប្រវែង x ទទឹង x កម្ពស់ (គិតជាសង់ទីម៉ែត្រ)")</f>
        <v/>
      </c>
      <c r="E862" s="3" t="inlineStr">
        <is>
          <t>បញ្ចូលប្រវែង x ទទឹង x កម្ពស់ (គិតជាសង់ទីម៉ែត្រ)</t>
        </is>
      </c>
      <c r="F862" s="3" t="n"/>
      <c r="G862" s="3" t="inlineStr">
        <is>
          <t>បញ្ចូលប្រវែង x ទទឹង x កម្ពស់ (គិតជាសង់ទីម៉ែត្រ)</t>
        </is>
      </c>
      <c r="H862" t="inlineStr">
        <is>
          <t>បញ្ចូលប្រវែង x ទទឹង x កម្ពស់ (គិតជាសង់ទីម៉ែត្រ)</t>
        </is>
      </c>
      <c r="I862" s="217" t="inlineStr">
        <is>
          <t>"taoDon.enterDimensionsCm": "បញ្ចូលប្រវែង x ទទឹង x កម្ពស់ (គិតជាសង់ទីម៉ែត្រ)",</t>
        </is>
      </c>
      <c r="N862" s="3" t="inlineStr">
        <is>
          <t>បញ្ចូលប្រវែង x ទទឹង x កម្ពស់ (សងខ្ទង់ cm)</t>
        </is>
      </c>
    </row>
    <row r="863" ht="15.75" customHeight="1" s="305">
      <c r="A863" s="3" t="inlineStr">
        <is>
          <t>taoDon.enterDimensions</t>
        </is>
      </c>
      <c r="B863" s="3" t="inlineStr">
        <is>
          <t>Nhập Dài x Rộng x Cao (đơn vị cm)</t>
        </is>
      </c>
      <c r="C863" s="3" t="inlineStr">
        <is>
          <t>Enter Length - Width - Height (cm)</t>
        </is>
      </c>
      <c r="D863" s="3">
        <f>IFERROR(__xludf.DUMMYFUNCTION("GOOGLETRANSLATE(B863,""vi"",""km"")"),"បញ្ចូលប្រវែង x ទទឹង x កម្ពស់ (គិតជាសង់ទីម៉ែត្រ)")</f>
        <v/>
      </c>
      <c r="E863" s="3" t="inlineStr">
        <is>
          <t>បញ្ចូលប្រវែង x ទទឹង x កម្ពស់ (គិតជាសង់ទីម៉ែត្រ)</t>
        </is>
      </c>
      <c r="F863" s="3" t="n"/>
      <c r="G863" s="3" t="inlineStr">
        <is>
          <t>បញ្ចូលប្រវែង x ទទឹង x កម្ពស់ (គិតជាសង់ទីម៉ែត្រ)</t>
        </is>
      </c>
      <c r="H863" t="inlineStr">
        <is>
          <t>បញ្ចូលប្រវែង x ទទឹង x កម្ពស់ (គិតជាសង់ទីម៉ែត្រ)</t>
        </is>
      </c>
      <c r="I863" s="217" t="inlineStr">
        <is>
          <t>"taoDon.enterDimensions": "បញ្ចូលប្រវែង x ទទឹង x កម្ពស់ (គិតជាសង់ទីម៉ែត្រ)",</t>
        </is>
      </c>
      <c r="N863" s="3" t="inlineStr">
        <is>
          <t>បញ្ចូលប្រវែង x ទទឹង x កម្ពស់ (សងខ្ទង់ cm)</t>
        </is>
      </c>
    </row>
    <row r="864" ht="15.75" customHeight="1" s="305">
      <c r="A864" s="3" t="inlineStr">
        <is>
          <t>GiaoHang.hintSearchAddress</t>
        </is>
      </c>
      <c r="B864" s="3" t="inlineStr">
        <is>
          <t>Nhập địa chỉ</t>
        </is>
      </c>
      <c r="C864" s="3" t="inlineStr">
        <is>
          <t>Enter address</t>
        </is>
      </c>
      <c r="D864" s="3">
        <f>IFERROR(__xludf.DUMMYFUNCTION("GOOGLETRANSLATE(B864,""vi"",""km"")"),"បញ្ចូលអាសយដ្ឋាន")</f>
        <v/>
      </c>
      <c r="E864" s="3" t="inlineStr">
        <is>
          <t>បញ្ចូលអាសយដ្ឋាន</t>
        </is>
      </c>
      <c r="F864" s="3" t="n"/>
      <c r="G864" s="3" t="inlineStr">
        <is>
          <t>បញ្ចូលអាសយដ្ឋាន</t>
        </is>
      </c>
      <c r="H864" t="inlineStr">
        <is>
          <t>បញ្ចូលអាសយដ្ឋាន</t>
        </is>
      </c>
      <c r="I864" s="217" t="inlineStr">
        <is>
          <t>"GiaoHang.hintSearchAddress": "បញ្ចូលអាសយដ្ឋាន",</t>
        </is>
      </c>
      <c r="N864" s="3" t="inlineStr">
        <is>
          <t>បញ្ចូលអាសយដ្ឋាន</t>
        </is>
      </c>
    </row>
    <row r="865" ht="15.75" customHeight="1" s="305">
      <c r="A865" s="3" t="inlineStr">
        <is>
          <t>khaiThacDen.enterAddress</t>
        </is>
      </c>
      <c r="B865" s="3" t="inlineStr">
        <is>
          <t>Nhập địa chỉ</t>
        </is>
      </c>
      <c r="C865" s="3" t="inlineStr">
        <is>
          <t>Enter address information</t>
        </is>
      </c>
      <c r="D865" s="3">
        <f>IFERROR(__xludf.DUMMYFUNCTION("GOOGLETRANSLATE(B865,""vi"",""km"")"),"បញ្ចូលអាសយដ្ឋាន")</f>
        <v/>
      </c>
      <c r="E865" s="3" t="inlineStr">
        <is>
          <t>បញ្ចូលអាសយដ្ឋាន</t>
        </is>
      </c>
      <c r="F865" s="3" t="n"/>
      <c r="G865" s="3" t="inlineStr">
        <is>
          <t>បញ្ចូលអាសយដ្ឋាន</t>
        </is>
      </c>
      <c r="H865" t="inlineStr">
        <is>
          <t>បញ្ចូលអាសយដ្ឋាន</t>
        </is>
      </c>
      <c r="I865" s="217" t="inlineStr">
        <is>
          <t>"khaiThacDen.enterAddress": "បញ្ចូលអាសយដ្ឋាន",</t>
        </is>
      </c>
      <c r="N865" s="3" t="inlineStr">
        <is>
          <t>បញ្ចូលអាសយដ្ឋាន</t>
        </is>
      </c>
    </row>
    <row r="866" ht="15.75" customHeight="1" s="305">
      <c r="A866" s="3" t="inlineStr">
        <is>
          <t>GiaoHang.titleInputIP</t>
        </is>
      </c>
      <c r="B866" s="3" t="inlineStr">
        <is>
          <t>Nhập địa chỉ IP máy in</t>
        </is>
      </c>
      <c r="C866" s="3" t="inlineStr">
        <is>
          <t>Add printer by IP address</t>
        </is>
      </c>
      <c r="D866" s="3">
        <f>IFERROR(__xludf.DUMMYFUNCTION("GOOGLETRANSLATE(B866,""vi"",""km"")"),"បញ្ចូលអាសយដ្ឋាន IP របស់ម៉ាស៊ីនបោះពុម្ព។")</f>
        <v/>
      </c>
      <c r="E866" s="3" t="inlineStr">
        <is>
          <t>បញ្ចូលអាសយដ្ឋាន IP របស់ម៉ាស៊ីនព្រីន</t>
        </is>
      </c>
      <c r="F866" s="3" t="n"/>
      <c r="G866" s="3" t="inlineStr">
        <is>
          <t>បញ្ចូលអាសយដ្ឋាន IP របស់ម៉ាស៊ីនព្រីន</t>
        </is>
      </c>
      <c r="H866" t="inlineStr">
        <is>
          <t>បញ្ចូលអាសយដ្ឋាន IP របស់ម៉ាស៊ីនព្រីន</t>
        </is>
      </c>
      <c r="I866" s="217" t="inlineStr">
        <is>
          <t>"GiaoHang.titleInputIP": "បញ្ចូលអាសយដ្ឋាន IP របស់ម៉ាស៊ីនព្រីន",</t>
        </is>
      </c>
      <c r="N866" s="3" t="inlineStr">
        <is>
          <t>បញ្ចូលអាសយដ្ឋាន IP ម៉ាស៊ីនបោះពុម្ព</t>
        </is>
      </c>
    </row>
    <row r="867" ht="15.75" customHeight="1" s="305">
      <c r="A867" s="3" t="inlineStr">
        <is>
          <t>banGiao.placeholderSearcdDestination</t>
        </is>
      </c>
      <c r="B867" s="3" t="inlineStr">
        <is>
          <t>Nhập điểm đến để tìm kiếm</t>
        </is>
      </c>
      <c r="C867" s="3" t="inlineStr">
        <is>
          <t>Enter destination to search</t>
        </is>
      </c>
      <c r="D867" s="3">
        <f>IFERROR(__xludf.DUMMYFUNCTION("GOOGLETRANSLATE(B867,""vi"",""km"")"),"បញ្ចូលគោលដៅដើម្បីស្វែងរក។")</f>
        <v/>
      </c>
      <c r="E867" s="3" t="inlineStr">
        <is>
          <t>បញ្ចូលគោលដៅដើម្បីស្វែងរក</t>
        </is>
      </c>
      <c r="F867" s="3" t="n"/>
      <c r="G867" s="3" t="inlineStr">
        <is>
          <t>បញ្ចូលគោលដៅដើម្បីស្វែងរក</t>
        </is>
      </c>
      <c r="H867" t="inlineStr">
        <is>
          <t>បញ្ចូលគោលដៅដើម្បីស្វែងរក</t>
        </is>
      </c>
      <c r="I867" s="217" t="inlineStr">
        <is>
          <t>"banGiao.placeholderSearcdDestination": "បញ្ចូលគោលដៅដើម្បីស្វែងរក",</t>
        </is>
      </c>
      <c r="N867" s="3" t="inlineStr">
        <is>
          <t>បញ្ចូលកន្លែងផ្ញើសម្រាប់ស្វែងរក</t>
        </is>
      </c>
    </row>
    <row r="868" ht="15.75" customHeight="1" s="305">
      <c r="A868" s="3" t="inlineStr">
        <is>
          <t>traCuu.placeholderSearchTraCuu</t>
        </is>
      </c>
      <c r="B868" s="3" t="inlineStr">
        <is>
          <t>Nhập hoặc quét mã bưu phẩm</t>
        </is>
      </c>
      <c r="C868" s="3" t="inlineStr">
        <is>
          <t>Enter or scan the order ID to search</t>
        </is>
      </c>
      <c r="D868" s="3">
        <f>IFERROR(__xludf.DUMMYFUNCTION("GOOGLETRANSLATE(B868,""vi"",""km"")"),"បញ្ចូល ឬស្កេនលេខកូដកញ្ចប់។")</f>
        <v/>
      </c>
      <c r="E868" s="3" t="inlineStr">
        <is>
          <t>បញ្ចូល ឬស្កេនលេខកូដបុងអីវ៉ាន់</t>
        </is>
      </c>
      <c r="F868" s="3" t="n"/>
      <c r="G868" s="3" t="inlineStr">
        <is>
          <t>បញ្ចូល ឬស្កេនលេខកូដបុងអីវ៉ាន់</t>
        </is>
      </c>
      <c r="H868" t="inlineStr">
        <is>
          <t>បញ្ចូល ឬស្កេនលេខកូដបុងអីវ៉ាន់</t>
        </is>
      </c>
      <c r="I868" s="217" t="inlineStr">
        <is>
          <t>"traCuu.placeholderSearchTraCuu": "បញ្ចូល ឬស្កេនលេខកូដបុងអីវ៉ាន់",</t>
        </is>
      </c>
      <c r="N868" s="3" t="inlineStr">
        <is>
          <t>បញ្ចូល ឬស្កេនលេខកូដបញ្ញើ</t>
        </is>
      </c>
    </row>
    <row r="869" ht="15.75" customHeight="1" s="305">
      <c r="A869" s="3" t="inlineStr">
        <is>
          <t>GiaoHangNew.enterOrScanToAdd</t>
        </is>
      </c>
      <c r="B869" s="3" t="inlineStr">
        <is>
          <t>Nhập hoặc scan để thêm đơn</t>
        </is>
      </c>
      <c r="C869" s="3" t="inlineStr">
        <is>
          <t>Enter or scan to add order</t>
        </is>
      </c>
      <c r="D869" s="3">
        <f>IFERROR(__xludf.DUMMYFUNCTION("GOOGLETRANSLATE(B869,""vi"",""km"")"),"បញ្ចូល ឬស្កេន ដើម្បីបន្ថែមការបញ្ជាទិញ។")</f>
        <v/>
      </c>
      <c r="E869" s="3" t="inlineStr">
        <is>
          <t>បញ្ចូល ឬស្កេនដើម្បីបន្ថែមបុងបញ្ញើ</t>
        </is>
      </c>
      <c r="F869" s="3" t="n"/>
      <c r="G869" s="3" t="inlineStr">
        <is>
          <t>បញ្ចូល ឬស្កេនដើម្បីបន្ថែមបុងបញ្ញើ</t>
        </is>
      </c>
      <c r="H869" t="inlineStr">
        <is>
          <t>បញ្ចូល ឬស្កេនដើម្បីបន្ថែមបុងបញ្ញើ</t>
        </is>
      </c>
      <c r="I869" s="217" t="inlineStr">
        <is>
          <t>"GiaoHangNew.enterOrScanToAdd": "បញ្ចូល ឬស្កេនដើម្បីបន្ថែមបុងបញ្ញើ",</t>
        </is>
      </c>
      <c r="N869" s="3" t="inlineStr"/>
    </row>
    <row r="870" ht="15.75" customHeight="1" s="305">
      <c r="A870" s="3" t="inlineStr">
        <is>
          <t>tms.quetTaiKienPlaceholder</t>
        </is>
      </c>
      <c r="B870" s="3" t="inlineStr">
        <is>
          <t>Nhập hoặc scan để thêm tải/kiện</t>
        </is>
      </c>
      <c r="C870" s="3" t="inlineStr">
        <is>
          <t>Enter or scan to add load/package</t>
        </is>
      </c>
      <c r="D870" s="3">
        <f>IFERROR(__xludf.DUMMYFUNCTION("GOOGLETRANSLATE(B870,""vi"",""km"")"),"នាំចូល ឬស្កេនដើម្បីបន្ថែមបន្ទុក/កញ្ចប់")</f>
        <v/>
      </c>
      <c r="E870" s="3" t="inlineStr">
        <is>
          <t>បញ្ចូល ឬស្កេនដើម្បីបន្ថែមជើងដឹក/កញ្ចប់អីវ៉ាន់</t>
        </is>
      </c>
      <c r="F870" s="3" t="n"/>
      <c r="G870" s="3" t="inlineStr">
        <is>
          <t>បញ្ចូល ឬស្កេនដើម្បីបន្ថែមកញ្ចប់ទំនិញ/អីវ៉ាន់</t>
        </is>
      </c>
      <c r="H870" t="inlineStr">
        <is>
          <t>បញ្ចូល ឬស្កេនដើម្បីបន្ថែមកញ្ចប់ទំនិញ/អីវ៉ាន់</t>
        </is>
      </c>
      <c r="I870" s="217" t="inlineStr">
        <is>
          <t>"tms.quetTaiKienPlaceholder": "បញ្ចូល ឬស្កេនដើម្បីបន្ថែមកញ្ចប់ទំនិញ/អីវ៉ាន់",</t>
        </is>
      </c>
      <c r="N870" s="3" t="inlineStr"/>
    </row>
    <row r="871" ht="15.75" customHeight="1" s="305">
      <c r="A871" s="3" t="inlineStr">
        <is>
          <t>GiaoHang.hintScannerInput</t>
        </is>
      </c>
      <c r="B871" s="3" t="inlineStr">
        <is>
          <t>Nhập hoặc scan để tìm kiếm</t>
        </is>
      </c>
      <c r="C871" s="3" t="inlineStr">
        <is>
          <t>Enter or scan postal slip code to search</t>
        </is>
      </c>
      <c r="D871" s="3">
        <f>IFERROR(__xludf.DUMMYFUNCTION("GOOGLETRANSLATE(B871,""vi"",""km"")"),"វាយបញ្ចូល ឬស្កេនដើម្បីស្វែងរក")</f>
        <v/>
      </c>
      <c r="E871" s="3" t="inlineStr">
        <is>
          <t>បញ្ចូល ឬស្កេនដើម្បីស្វែងរក</t>
        </is>
      </c>
      <c r="F871" s="3" t="n"/>
      <c r="G871" s="3" t="inlineStr">
        <is>
          <t>បញ្ចូល ឬស្កេនដើម្បីស្វែងរក</t>
        </is>
      </c>
      <c r="H871" t="inlineStr">
        <is>
          <t>បញ្ចូល ឬស្កេនដើម្បីស្វែងរក</t>
        </is>
      </c>
      <c r="I871" s="217" t="inlineStr">
        <is>
          <t>"GiaoHang.hintScannerInput": "បញ្ចូល ឬស្កេនដើម្បីស្វែងរក",</t>
        </is>
      </c>
      <c r="N871" s="3" t="inlineStr">
        <is>
          <t>បញ្ចូលឬស្កែនដើម្បីស្វែងរក</t>
        </is>
      </c>
    </row>
    <row r="872" ht="15.75" customHeight="1" s="305">
      <c r="A872" s="3" t="inlineStr">
        <is>
          <t>register.rePassword</t>
        </is>
      </c>
      <c r="B872" s="3" t="inlineStr">
        <is>
          <t>Nhập lại mật khẩu</t>
        </is>
      </c>
      <c r="C872" s="3" t="inlineStr">
        <is>
          <t>Password confirmation</t>
        </is>
      </c>
      <c r="D872" s="3">
        <f>IFERROR(__xludf.DUMMYFUNCTION("GOOGLETRANSLATE(B872,""vi"",""km"")"),"បញ្ចូលពាក្យសម្ងាត់ឡើងវិញ")</f>
        <v/>
      </c>
      <c r="E872" s="3" t="inlineStr">
        <is>
          <t>បញ្ចូលពាក្យសម្ងាត់ឡើងវិញ</t>
        </is>
      </c>
      <c r="F872" s="3" t="n"/>
      <c r="G872" s="3" t="inlineStr">
        <is>
          <t>បញ្ចូលពាក្យសម្ងាត់ឡើងវិញ</t>
        </is>
      </c>
      <c r="H872" t="inlineStr">
        <is>
          <t>បញ្ចូលពាក្យសម្ងាត់ឡើងវិញ</t>
        </is>
      </c>
      <c r="I872" s="217" t="inlineStr">
        <is>
          <t>"register.rePassword": "បញ្ចូលពាក្យសម្ងាត់ឡើងវិញ",</t>
        </is>
      </c>
      <c r="N872" s="3" t="inlineStr">
        <is>
          <t>បញ្ចូលពាក្យសម្ងាត់ម្តងទៀត</t>
        </is>
      </c>
    </row>
    <row r="873" ht="15.75" customHeight="1" s="305">
      <c r="A873" s="3" t="inlineStr">
        <is>
          <t>change_password.enter_re_password</t>
        </is>
      </c>
      <c r="B873" s="3" t="inlineStr">
        <is>
          <t>Nhập lại mật khẩu</t>
        </is>
      </c>
      <c r="C873" s="3" t="inlineStr">
        <is>
          <t>Re-enter password</t>
        </is>
      </c>
      <c r="D873" s="3">
        <f>IFERROR(__xludf.DUMMYFUNCTION("GOOGLETRANSLATE(B873,""vi"",""km"")"),"បញ្ចូលពាក្យសម្ងាត់ឡើងវិញ")</f>
        <v/>
      </c>
      <c r="E873" s="3" t="inlineStr">
        <is>
          <t>បញ្ចូលពាក្យសម្ងាត់ឡើងវិញ</t>
        </is>
      </c>
      <c r="F873" s="3" t="n"/>
      <c r="G873" s="3" t="inlineStr">
        <is>
          <t>បញ្ចូលពាក្យសម្ងាត់ឡើងវិញ</t>
        </is>
      </c>
      <c r="H873" t="inlineStr">
        <is>
          <t>បញ្ចូលពាក្យសម្ងាត់ឡើងវិញ</t>
        </is>
      </c>
      <c r="I873" s="217" t="inlineStr">
        <is>
          <t>"change_password.enter_re_password": "បញ្ចូលពាក្យសម្ងាត់ឡើងវិញ",</t>
        </is>
      </c>
      <c r="N873" s="3" t="inlineStr">
        <is>
          <t>បញ្ចូលពាក្យសម្ងាត់ម្ដងទៀត</t>
        </is>
      </c>
    </row>
    <row r="874" ht="15.75" customHeight="1" s="305">
      <c r="A874" s="3" t="inlineStr">
        <is>
          <t>forgotPassword.placeholderRePassword</t>
        </is>
      </c>
      <c r="B874" s="3" t="inlineStr">
        <is>
          <t>Nhập lại mật khẩu mới</t>
        </is>
      </c>
      <c r="C874" s="3" t="inlineStr">
        <is>
          <t>New password confirmation</t>
        </is>
      </c>
      <c r="D874" s="3">
        <f>IFERROR(__xludf.DUMMYFUNCTION("GOOGLETRANSLATE(B874,""vi"",""km"")"),"បញ្ចូលពាក្យសម្ងាត់ថ្មីរបស់អ្នកឡើងវិញ។")</f>
        <v/>
      </c>
      <c r="E874" s="3" t="inlineStr">
        <is>
          <t>បញ្ចូលពាក្យសម្ងាត់ថ្មីឡើងវិញ</t>
        </is>
      </c>
      <c r="F874" s="3" t="n"/>
      <c r="G874" s="3" t="inlineStr">
        <is>
          <t>បញ្ចូលពាក្យសម្ងាត់ថ្មីឡើងវិញ</t>
        </is>
      </c>
      <c r="H874" t="inlineStr">
        <is>
          <t>បញ្ចូលពាក្យសម្ងាត់ថ្មីឡើងវិញ</t>
        </is>
      </c>
      <c r="I874" s="217" t="inlineStr">
        <is>
          <t>"forgotPassword.placeholderRePassword": "បញ្ចូលពាក្យសម្ងាត់ថ្មីឡើងវិញ",</t>
        </is>
      </c>
      <c r="N874" s="3" t="inlineStr">
        <is>
          <t>បញ្ចូលពាក្យសម្ងាត់ថ្មី។</t>
        </is>
      </c>
    </row>
    <row r="875" ht="15.75" customHeight="1" s="305">
      <c r="A875" s="3" t="inlineStr">
        <is>
          <t>setting.re_enterNewPassword</t>
        </is>
      </c>
      <c r="B875" s="3" t="inlineStr">
        <is>
          <t>Nhập lại mật khẩu mới</t>
        </is>
      </c>
      <c r="C875" s="3" t="inlineStr">
        <is>
          <t>New password confirmation</t>
        </is>
      </c>
      <c r="D875" s="3">
        <f>IFERROR(__xludf.DUMMYFUNCTION("GOOGLETRANSLATE(B875,""vi"",""km"")"),"បញ្ចូលពាក្យសម្ងាត់ថ្មីរបស់អ្នកឡើងវិញ។")</f>
        <v/>
      </c>
      <c r="E875" s="3" t="inlineStr">
        <is>
          <t>បញ្ចូលពាក្យសម្ងាត់ថ្មីឡើងវិញ</t>
        </is>
      </c>
      <c r="F875" s="3" t="n"/>
      <c r="G875" s="3" t="inlineStr">
        <is>
          <t>បញ្ចូលពាក្យសម្ងាត់ថ្មីឡើងវិញ</t>
        </is>
      </c>
      <c r="H875" t="inlineStr">
        <is>
          <t>បញ្ចូលពាក្យសម្ងាត់ថ្មីឡើងវិញ</t>
        </is>
      </c>
      <c r="I875" s="217" t="inlineStr">
        <is>
          <t>"setting.re_enterNewPassword": "បញ្ចូលពាក្យសម្ងាត់ថ្មីឡើងវិញ",</t>
        </is>
      </c>
      <c r="N875" s="3" t="inlineStr">
        <is>
          <t>Re-enter new password</t>
        </is>
      </c>
    </row>
    <row r="876" ht="15.75" customHeight="1" s="305">
      <c r="A876" s="3" t="inlineStr">
        <is>
          <t>change_password.re_new_password</t>
        </is>
      </c>
      <c r="B876" s="3" t="inlineStr">
        <is>
          <t>Nhập lại mật khẩu mới</t>
        </is>
      </c>
      <c r="C876" s="3" t="inlineStr">
        <is>
          <t>Re-enter new password</t>
        </is>
      </c>
      <c r="D876" s="3">
        <f>IFERROR(__xludf.DUMMYFUNCTION("GOOGLETRANSLATE(B876,""vi"",""km"")"),"បញ្ចូលពាក្យសម្ងាត់ថ្មីរបស់អ្នកឡើងវិញ។")</f>
        <v/>
      </c>
      <c r="E876" s="3" t="inlineStr">
        <is>
          <t>បញ្ចូលពាក្យសម្ងាត់ថ្មីឡើងវិញ</t>
        </is>
      </c>
      <c r="F876" s="3" t="n"/>
      <c r="G876" s="3" t="inlineStr">
        <is>
          <t>បញ្ចូលពាក្យសម្ងាត់ថ្មីឡើងវិញ</t>
        </is>
      </c>
      <c r="H876" t="inlineStr">
        <is>
          <t>បញ្ចូលពាក្យសម្ងាត់ថ្មីឡើងវិញ</t>
        </is>
      </c>
      <c r="I876" s="217" t="inlineStr">
        <is>
          <t>"change_password.re_new_password": "បញ្ចូលពាក្យសម្ងាត់ថ្មីឡើងវិញ",</t>
        </is>
      </c>
      <c r="N876" s="3" t="inlineStr">
        <is>
          <t>បញ្ចូលពាក្យសម្ងាត់ថ្មីម្ដងទៀត</t>
        </is>
      </c>
    </row>
    <row r="877" ht="15.75" customHeight="1" s="305">
      <c r="A877" s="3" t="inlineStr">
        <is>
          <t>suaDon.enterNote</t>
        </is>
      </c>
      <c r="B877" s="3" t="inlineStr">
        <is>
          <t>Nhập lý do điều chỉnh</t>
        </is>
      </c>
      <c r="C877" s="3" t="inlineStr">
        <is>
          <t>Enter here</t>
        </is>
      </c>
      <c r="D877" s="3">
        <f>IFERROR(__xludf.DUMMYFUNCTION("GOOGLETRANSLATE(B877,""vi"",""km"")"),"បញ្ចូលមូលហេតុនៃការកែតម្រូវ។")</f>
        <v/>
      </c>
      <c r="E877" s="3" t="inlineStr">
        <is>
          <t>បញ្ចូលមូលហេតុនៃការកែតម្រូវ</t>
        </is>
      </c>
      <c r="F877" s="3" t="n"/>
      <c r="G877" s="3" t="inlineStr">
        <is>
          <t>បញ្ចូលមូលហេតុនៃការកែតម្រូវ</t>
        </is>
      </c>
      <c r="H877" t="inlineStr">
        <is>
          <t>បញ្ចូលមូលហេតុនៃការកែតម្រូវ</t>
        </is>
      </c>
      <c r="I877" s="217" t="inlineStr">
        <is>
          <t>"suaDon.enterNote": "បញ្ចូលមូលហេតុនៃការកែតម្រូវ",</t>
        </is>
      </c>
      <c r="N877" s="3" t="inlineStr">
        <is>
          <t>បញ្ចូលហេតុផលសម្រាប់ការកែតម្រូវ</t>
        </is>
      </c>
    </row>
    <row r="878" ht="15.75" customHeight="1" s="305">
      <c r="A878" s="3" t="inlineStr">
        <is>
          <t>banGiao.placeholderSearchReceive</t>
        </is>
      </c>
      <c r="B878" s="3" t="inlineStr">
        <is>
          <t>Nhập mã bàn giao để tìm kiếm</t>
        </is>
      </c>
      <c r="C878" s="3" t="inlineStr">
        <is>
          <t>Enter handover ID</t>
        </is>
      </c>
      <c r="D878" s="3">
        <f>IFERROR(__xludf.DUMMYFUNCTION("GOOGLETRANSLATE(B878,""vi"",""km"")"),"បញ្ចូលលេខកូដប្រគល់ដើម្បីស្វែងរក។")</f>
        <v/>
      </c>
      <c r="E878" s="3" t="inlineStr">
        <is>
          <t>បញ្ចូលលេខកូដប្រគល់ដើម្បីស្វែងរក</t>
        </is>
      </c>
      <c r="F878" s="3" t="n"/>
      <c r="G878" s="3" t="inlineStr">
        <is>
          <t>បញ្ចូលលេខកូដប្រគល់ដើម្បីស្វែងរក</t>
        </is>
      </c>
      <c r="H878" t="inlineStr">
        <is>
          <t>បញ្ចូលលេខកូដប្រគល់ដើម្បីស្វែងរក</t>
        </is>
      </c>
      <c r="I878" s="217" t="inlineStr">
        <is>
          <t>"banGiao.placeholderSearchReceive": "បញ្ចូលលេខកូដប្រគល់ដើម្បីស្វែងរក",</t>
        </is>
      </c>
      <c r="N878" s="3" t="inlineStr">
        <is>
          <t>បញ្ចូលលេខអត្តសញ្ញាណផ្ញើ</t>
        </is>
      </c>
    </row>
    <row r="879" ht="15.75" customHeight="1" s="305">
      <c r="A879" s="3" t="inlineStr">
        <is>
          <t>banGiao.placeholderSearchCreate</t>
        </is>
      </c>
      <c r="B879" s="3" t="inlineStr">
        <is>
          <t>Nhập mã bàn giao, điểm đến</t>
        </is>
      </c>
      <c r="C879" s="3" t="inlineStr">
        <is>
          <t xml:space="preserve">Enter destination or handover tracking number. </t>
        </is>
      </c>
      <c r="D879" s="3">
        <f>IFERROR(__xludf.DUMMYFUNCTION("GOOGLETRANSLATE(B879,""vi"",""km"")"),"បញ្ចូលលេខកូដដឹកជញ្ជូន និងគោលដៅ។")</f>
        <v/>
      </c>
      <c r="E879" s="3" t="inlineStr">
        <is>
          <t>បញ្ចូលលេខកូដប្រគល់ ទីតាំងមកដល់</t>
        </is>
      </c>
      <c r="F879" s="3" t="n"/>
      <c r="G879" s="3" t="inlineStr">
        <is>
          <t>បញ្ចូលលេខកូដប្រគល់ ទីតាំងមកដល់</t>
        </is>
      </c>
      <c r="H879" t="inlineStr">
        <is>
          <t>បញ្ចូលលេខកូដប្រគល់ ទីតាំងមកដល់</t>
        </is>
      </c>
      <c r="I879" s="217" t="inlineStr">
        <is>
          <t>"banGiao.placeholderSearchCreate": "បញ្ចូលលេខកូដប្រគល់ ទីតាំងមកដល់",</t>
        </is>
      </c>
      <c r="N879" s="3" t="inlineStr">
        <is>
          <t>បញ្ចូលកន្លែងផ្ញើ ឬ លេខតាមដានការផ្ញើ</t>
        </is>
      </c>
    </row>
    <row r="880" ht="15.75" customHeight="1" s="305">
      <c r="A880" s="3" t="inlineStr">
        <is>
          <t>debit.search_bk_cod</t>
        </is>
      </c>
      <c r="B880" s="3" t="inlineStr">
        <is>
          <t>Nhập mã bảng kê</t>
        </is>
      </c>
      <c r="C880" s="3" t="inlineStr">
        <is>
          <t>Enter code clear</t>
        </is>
      </c>
      <c r="D880" s="3">
        <f>IFERROR(__xludf.DUMMYFUNCTION("GOOGLETRANSLATE(B880,""vi"",""km"")"),"បញ្ចូលលេខកូដសេចក្តីថ្លែងការណ៍")</f>
        <v/>
      </c>
      <c r="E880" s="3" t="inlineStr">
        <is>
          <t>បញ្ចូលលេខកូដតារាង</t>
        </is>
      </c>
      <c r="F880" s="3" t="n"/>
      <c r="G880" s="3" t="inlineStr">
        <is>
          <t>បញ្ចូលលេខកូដតារាង</t>
        </is>
      </c>
      <c r="H880" t="inlineStr">
        <is>
          <t>បញ្ចូលលេខកូដតារាង</t>
        </is>
      </c>
      <c r="I880" s="217" t="inlineStr">
        <is>
          <t>"debit.search_bk_cod": "បញ្ចូលលេខកូដតារាង",</t>
        </is>
      </c>
      <c r="N880" s="3" t="inlineStr">
        <is>
          <t>បញ្ចូលលេខកូដតារាងបញ្ញើ</t>
        </is>
      </c>
    </row>
    <row r="881" ht="15.75" customHeight="1" s="305">
      <c r="A881" s="3" t="inlineStr">
        <is>
          <t>DongTai.placeholder</t>
        </is>
      </c>
      <c r="B881" s="3" t="inlineStr">
        <is>
          <t>Nhập mã đơn</t>
        </is>
      </c>
      <c r="C881" s="3" t="inlineStr">
        <is>
          <t>Enter sack/package code</t>
        </is>
      </c>
      <c r="D881" s="3">
        <f>IFERROR(__xludf.DUMMYFUNCTION("GOOGLETRANSLATE(B881,""vi"",""km"")"),"បញ្ចូលលេខកូដបញ្ជាទិញ")</f>
        <v/>
      </c>
      <c r="E881" s="3" t="inlineStr">
        <is>
          <t>បញ្ចូលលេខកូដបុងបញ្ញើ</t>
        </is>
      </c>
      <c r="F881" s="3" t="n"/>
      <c r="G881" s="3" t="inlineStr">
        <is>
          <t>បញ្ចូលលេខកូដបុងបញ្ញើ</t>
        </is>
      </c>
      <c r="H881" t="inlineStr">
        <is>
          <t>បញ្ចូលលេខកូដបុងបញ្ញើ</t>
        </is>
      </c>
      <c r="I881" s="217" t="inlineStr">
        <is>
          <t>"DongTai.placeholder": "បញ្ចូលលេខកូដបុងបញ្ញើ",</t>
        </is>
      </c>
      <c r="N881" s="3" t="inlineStr">
        <is>
          <t>បញ្ចូលលេខកូដបញ្ជី ឬ ទីតាំង</t>
        </is>
      </c>
    </row>
    <row r="882" ht="15.75" customHeight="1" s="305">
      <c r="A882" s="3" t="inlineStr">
        <is>
          <t>GiaoHangNew.placeholderMaDon</t>
        </is>
      </c>
      <c r="B882" s="3" t="inlineStr">
        <is>
          <t>Nhập mã đơn</t>
        </is>
      </c>
      <c r="C882" s="3" t="inlineStr">
        <is>
          <t>Enter order code</t>
        </is>
      </c>
      <c r="D882" s="3">
        <f>IFERROR(__xludf.DUMMYFUNCTION("GOOGLETRANSLATE(B882,""vi"",""km"")"),"បញ្ចូលលេខកូដបញ្ជាទិញ")</f>
        <v/>
      </c>
      <c r="E882" s="3" t="inlineStr">
        <is>
          <t>បញ្ចូលលេខកូដបុងបញ្ញើ</t>
        </is>
      </c>
      <c r="F882" s="3" t="n"/>
      <c r="G882" s="3" t="inlineStr">
        <is>
          <t>បញ្ចូលលេខកូដបុងបញ្ញើ</t>
        </is>
      </c>
      <c r="H882" t="inlineStr">
        <is>
          <t>បញ្ចូលលេខកូដបុងបញ្ញើ</t>
        </is>
      </c>
      <c r="I882" s="217" t="inlineStr">
        <is>
          <t>"GiaoHangNew.placeholderMaDon": "បញ្ចូលលេខកូដបុងបញ្ញើ",</t>
        </is>
      </c>
      <c r="N882" s="3" t="inlineStr"/>
    </row>
    <row r="883" ht="15.75" customHeight="1" s="305">
      <c r="A883" s="3" t="inlineStr">
        <is>
          <t>nhanHang.placeholderSearchBill</t>
        </is>
      </c>
      <c r="B883" s="3" t="inlineStr">
        <is>
          <t>Nhập mã đơn để tìm kiếm</t>
        </is>
      </c>
      <c r="C883" s="3" t="inlineStr">
        <is>
          <t>Enter order ID to search</t>
        </is>
      </c>
      <c r="D883" s="3">
        <f>IFERROR(__xludf.DUMMYFUNCTION("GOOGLETRANSLATE(B883,""vi"",""km"")"),"បញ្ចូលលេខកូដបញ្ជាទិញដើម្បីស្វែងរក។")</f>
        <v/>
      </c>
      <c r="E883" s="3" t="inlineStr">
        <is>
          <t>បញ្ចូលលេខកូដបុងបញ្ញើដើម្បីស្វែងរក</t>
        </is>
      </c>
      <c r="F883" s="3" t="n"/>
      <c r="G883" s="3" t="inlineStr">
        <is>
          <t>បញ្ចូលលេខកូដបុងបញ្ញើដើម្បីស្វែងរក</t>
        </is>
      </c>
      <c r="H883" t="inlineStr">
        <is>
          <t>បញ្ចូលលេខកូដបុងបញ្ញើដើម្បីស្វែងរក</t>
        </is>
      </c>
      <c r="I883" s="217" t="inlineStr">
        <is>
          <t>"nhanHang.placeholderSearchBill": "បញ្ចូលលេខកូដបុងបញ្ញើដើម្បីស្វែងរក",</t>
        </is>
      </c>
      <c r="N883" s="3" t="inlineStr">
        <is>
          <t>បញ្ចូលលេខកូដបញ្ជាទិញ</t>
        </is>
      </c>
    </row>
    <row r="884" ht="15.75" customHeight="1" s="305">
      <c r="A884" s="3" t="inlineStr">
        <is>
          <t>banGiao.placeholderSearchBill</t>
        </is>
      </c>
      <c r="B884" s="3" t="inlineStr">
        <is>
          <t>Nhập mã đơn hàng</t>
        </is>
      </c>
      <c r="C884" s="3" t="inlineStr">
        <is>
          <t>Enter the order ID</t>
        </is>
      </c>
      <c r="D884" s="3">
        <f>IFERROR(__xludf.DUMMYFUNCTION("GOOGLETRANSLATE(B884,""vi"",""km"")"),"បញ្ចូលលេខកូដបញ្ជាទិញ")</f>
        <v/>
      </c>
      <c r="E884" s="3" t="inlineStr">
        <is>
          <t>បញ្ចូលលេខកូដបុងបញ្ញើ</t>
        </is>
      </c>
      <c r="F884" s="3" t="n"/>
      <c r="G884" s="3" t="inlineStr">
        <is>
          <t>បញ្ចូលលេខកូដបុងបញ្ញើ</t>
        </is>
      </c>
      <c r="H884" t="inlineStr">
        <is>
          <t>បញ្ចូលលេខកូដបុងបញ្ញើ</t>
        </is>
      </c>
      <c r="I884" s="217" t="inlineStr">
        <is>
          <t>"banGiao.placeholderSearchBill": "បញ្ចូលលេខកូដបុងបញ្ញើ",</t>
        </is>
      </c>
      <c r="N884" s="3" t="inlineStr">
        <is>
          <t>បញ្ចូលលេខបញ្ជាទិញ</t>
        </is>
      </c>
    </row>
    <row r="885" ht="15.75" customHeight="1" s="305">
      <c r="A885" s="3" t="inlineStr">
        <is>
          <t>suaDon.placeholderSearchBill</t>
        </is>
      </c>
      <c r="B885" s="3" t="inlineStr">
        <is>
          <t>Nhập mã đơn hàng</t>
        </is>
      </c>
      <c r="C885" s="3" t="inlineStr">
        <is>
          <t>Enter the order ID</t>
        </is>
      </c>
      <c r="D885" s="3">
        <f>IFERROR(__xludf.DUMMYFUNCTION("GOOGLETRANSLATE(B885,""vi"",""km"")"),"បញ្ចូលលេខកូដបញ្ជាទិញ")</f>
        <v/>
      </c>
      <c r="E885" s="3" t="inlineStr">
        <is>
          <t>បញ្ចូលលេខកូដបុងបញ្ញើ</t>
        </is>
      </c>
      <c r="F885" s="3" t="n"/>
      <c r="G885" s="3" t="inlineStr">
        <is>
          <t>បញ្ចូលលេខកូដបុងបញ្ញើ</t>
        </is>
      </c>
      <c r="H885" t="inlineStr">
        <is>
          <t>បញ្ចូលលេខកូដបុងបញ្ញើ</t>
        </is>
      </c>
      <c r="I885" s="217" t="inlineStr">
        <is>
          <t>"suaDon.placeholderSearchBill": "បញ្ចូលលេខកូដបុងបញ្ញើ",</t>
        </is>
      </c>
      <c r="N885" s="3" t="inlineStr">
        <is>
          <t>បញ្ចូលលេខកូដបញ្ញើ</t>
        </is>
      </c>
    </row>
    <row r="886" ht="15.75" customHeight="1" s="305">
      <c r="A886" s="3" t="inlineStr">
        <is>
          <t>banGiao.titlePlaceholder</t>
        </is>
      </c>
      <c r="B886" s="3" t="inlineStr">
        <is>
          <t>Nhập mã hoặc tên đơn vị</t>
        </is>
      </c>
      <c r="C886" s="3" t="inlineStr">
        <is>
          <t>Enter a unit code or name</t>
        </is>
      </c>
      <c r="D886" s="3">
        <f>IFERROR(__xludf.DUMMYFUNCTION("GOOGLETRANSLATE(B886,""vi"",""km"")"),"បញ្ចូលលេខកូដ ឬឈ្មោះឯកតា។")</f>
        <v/>
      </c>
      <c r="E886" s="3" t="inlineStr">
        <is>
          <t>បញ្ចូលលេខកូដឬឈ្មោះអង្គភាព</t>
        </is>
      </c>
      <c r="F886" s="3" t="n"/>
      <c r="G886" s="3" t="inlineStr">
        <is>
          <t>បញ្ចូលលេខកូដឬឈ្មោះអង្គភាព</t>
        </is>
      </c>
      <c r="H886" t="inlineStr">
        <is>
          <t>បញ្ចូលលេខកូដឬឈ្មោះអង្គភាព</t>
        </is>
      </c>
      <c r="I886" s="217" t="inlineStr">
        <is>
          <t>"banGiao.titlePlaceholder": "បញ្ចូលលេខកូដឬឈ្មោះអង្គភាព",</t>
        </is>
      </c>
      <c r="N886" s="3" t="inlineStr">
        <is>
          <t>បញ្ចូលកូដឬឈ្មោះអង្គភាព</t>
        </is>
      </c>
    </row>
    <row r="887" ht="15.75" customHeight="1" s="305">
      <c r="A887" s="3" t="inlineStr">
        <is>
          <t>tongGiao.placeholderOrderSearch</t>
        </is>
      </c>
      <c r="B887" s="3" t="inlineStr">
        <is>
          <t>Nhập mã phiếu gửi</t>
        </is>
      </c>
      <c r="C887" s="3" t="inlineStr">
        <is>
          <t>Enter postal slip's code</t>
        </is>
      </c>
      <c r="D887" s="3">
        <f>IFERROR(__xludf.DUMMYFUNCTION("GOOGLETRANSLATE(B887,""vi"",""km"")"),"បញ្ចូលលេខកូដប័ណ្ណដឹកជញ្ជូន")</f>
        <v/>
      </c>
      <c r="E887" s="3" t="inlineStr">
        <is>
          <t>បញ្ចូលលេខកូដបុងបញ្ញើ</t>
        </is>
      </c>
      <c r="F887" s="3" t="n"/>
      <c r="G887" s="3" t="inlineStr">
        <is>
          <t>បញ្ចូលលេខកូដបុងបញ្ញើ</t>
        </is>
      </c>
      <c r="H887" t="inlineStr">
        <is>
          <t>បញ្ចូលលេខកូដបុងបញ្ញើ</t>
        </is>
      </c>
      <c r="I887" s="217" t="inlineStr">
        <is>
          <t>"tongGiao.placeholderOrderSearch": "បញ្ចូលលេខកូដបុងបញ្ញើ",</t>
        </is>
      </c>
      <c r="N887" s="3" t="inlineStr">
        <is>
          <t>បញ្ចូលលេខកូដបញ្ញើ</t>
        </is>
      </c>
    </row>
    <row r="888" ht="15.75" customHeight="1" s="305">
      <c r="A888" s="3" t="inlineStr">
        <is>
          <t>GiaoHangNew.placeholderMaTai</t>
        </is>
      </c>
      <c r="B888" s="3" t="inlineStr">
        <is>
          <t>Nhập mã tải</t>
        </is>
      </c>
      <c r="C888" s="3" t="inlineStr">
        <is>
          <t>Enter load code</t>
        </is>
      </c>
      <c r="D888" s="3">
        <f>IFERROR(__xludf.DUMMYFUNCTION("GOOGLETRANSLATE(B888,""vi"",""km"")"),"បញ្ចូលលេខកូដទាញយក")</f>
        <v/>
      </c>
      <c r="E888" s="3" t="inlineStr">
        <is>
          <t>បញ្ចូលលេខកូដជើងដឹក</t>
        </is>
      </c>
      <c r="F888" s="3" t="n"/>
      <c r="G888" s="3" t="inlineStr">
        <is>
          <t>បញ្ចូលកូដកញ្ចប់ទំនិញ</t>
        </is>
      </c>
      <c r="H888" t="inlineStr">
        <is>
          <t>បញ្ចូលកូដកញ្ចប់ទំនិញ</t>
        </is>
      </c>
      <c r="I888" s="217" t="inlineStr">
        <is>
          <t>"GiaoHangNew.placeholderMaTai": "បញ្ចូលកូដកញ្ចប់ទំនិញ",</t>
        </is>
      </c>
      <c r="N888" s="3" t="inlineStr"/>
    </row>
    <row r="889" ht="15.75" customHeight="1" s="305">
      <c r="A889" s="3" t="inlineStr">
        <is>
          <t>common.searchBill</t>
        </is>
      </c>
      <c r="B889" s="3" t="inlineStr">
        <is>
          <t>Nhập mã tải kiện</t>
        </is>
      </c>
      <c r="C889" s="3" t="inlineStr">
        <is>
          <t>Enter the sack or package tracking number</t>
        </is>
      </c>
      <c r="D889" s="3">
        <f>IFERROR(__xludf.DUMMYFUNCTION("GOOGLETRANSLATE(B889,""vi"",""km"")"),"បញ្ចូលលេខកូដកញ្ចប់")</f>
        <v/>
      </c>
      <c r="E889" s="3" t="inlineStr">
        <is>
          <t>បញ្ចូលលេខកូដជើងដឹកអីវ៉ាន់</t>
        </is>
      </c>
      <c r="F889" s="3" t="n"/>
      <c r="G889" s="3" t="inlineStr">
        <is>
          <t>បញ្ចូលកូដកញ្ចប់ទំនិញ អីវ៉ាន់</t>
        </is>
      </c>
      <c r="H889" t="inlineStr">
        <is>
          <t>បញ្ចូលកូដកញ្ចប់ទំនិញ អីវ៉ាន់</t>
        </is>
      </c>
      <c r="I889" s="217" t="inlineStr">
        <is>
          <t>"common.searchBill": "បញ្ចូលកូដកញ្ចប់ទំនិញ អីវ៉ាន់",</t>
        </is>
      </c>
      <c r="N889" s="3" t="inlineStr">
        <is>
          <t>បញ្ចូលលេខកូដផ្ទុកកញ្ចប់បញ្ញើ</t>
        </is>
      </c>
    </row>
    <row r="890" ht="15.75" customHeight="1" s="305">
      <c r="A890" s="3" t="inlineStr">
        <is>
          <t>nhanHang.placeholderSearchTaiKienChoNhan</t>
        </is>
      </c>
      <c r="B890" s="3" t="inlineStr">
        <is>
          <t>Nhập mã tải kiện</t>
        </is>
      </c>
      <c r="C890" s="3" t="inlineStr">
        <is>
          <t>Enter load/package code</t>
        </is>
      </c>
      <c r="D890" s="3">
        <f>IFERROR(__xludf.DUMMYFUNCTION("GOOGLETRANSLATE(B890,""vi"",""km"")"),"បញ្ចូលលេខកូដកញ្ចប់")</f>
        <v/>
      </c>
      <c r="E890" s="3" t="inlineStr">
        <is>
          <t>បញ្ចូលលេខកូដជើងដឹកអីវ៉ាន់</t>
        </is>
      </c>
      <c r="F890" s="3" t="n"/>
      <c r="G890" s="3" t="inlineStr">
        <is>
          <t>បញ្ចូលកូដកញ្ចប់ទំនិញ អីវ៉ាន់</t>
        </is>
      </c>
      <c r="H890" t="inlineStr">
        <is>
          <t>បញ្ចូលកូដកញ្ចប់ទំនិញ អីវ៉ាន់</t>
        </is>
      </c>
      <c r="I890" s="217" t="inlineStr">
        <is>
          <t>"nhanHang.placeholderSearchTaiKienChoNhan": "បញ្ចូលកូដកញ្ចប់ទំនិញ អីវ៉ាន់",</t>
        </is>
      </c>
      <c r="N890" s="3" t="inlineStr"/>
    </row>
    <row r="891" ht="15.75" customHeight="1" s="305">
      <c r="A891" s="3" t="inlineStr">
        <is>
          <t>banGiao.placeholderSearchTaiKien</t>
        </is>
      </c>
      <c r="B891" s="3" t="inlineStr">
        <is>
          <t>Nhập mã tải/kiện để tìm kiếm</t>
        </is>
      </c>
      <c r="C891" s="3" t="inlineStr">
        <is>
          <t>Enter sack/package code to search</t>
        </is>
      </c>
      <c r="D891" s="3">
        <f>IFERROR(__xludf.DUMMYFUNCTION("GOOGLETRANSLATE(B891,""vi"",""km"")"),"បញ្ចូលលេខកូដទាញយក/កញ្ចប់ដើម្បីស្វែងរក។")</f>
        <v/>
      </c>
      <c r="E891" s="3" t="inlineStr">
        <is>
          <t>បញ្ចូលលេខកូដជើងដឹកអីវ៉ាន់/កញ្ចប់អីវ៉ាន់ដើម្បីស្វែងរក</t>
        </is>
      </c>
      <c r="F891" s="3" t="n"/>
      <c r="G891" s="3" t="inlineStr">
        <is>
          <t>បញ្ចូលកូដកញ្ចប់ទំនិញ/អីវ៉ាន់ ដើម្បីស្វែងរក</t>
        </is>
      </c>
      <c r="H891" t="inlineStr">
        <is>
          <t>បញ្ចូលកូដកញ្ចប់ទំនិញ/អីវ៉ាន់ ដើម្បីស្វែងរក</t>
        </is>
      </c>
      <c r="I891" s="217" t="inlineStr">
        <is>
          <t>"banGiao.placeholderSearchTaiKien": "បញ្ចូលកូដកញ្ចប់ទំនិញ/អីវ៉ាន់ ដើម្បីស្វែងរក",</t>
        </is>
      </c>
      <c r="N891" s="3" t="inlineStr">
        <is>
          <t>បញ្ចូលកូដថង់/កញ្ចប់សម្រាប់ស្វែងរក</t>
        </is>
      </c>
    </row>
    <row r="892" ht="15.75" customHeight="1" s="305">
      <c r="A892" s="3" t="inlineStr">
        <is>
          <t>DongTai.placeholderSearch</t>
        </is>
      </c>
      <c r="B892" s="3" t="inlineStr">
        <is>
          <t>Nhập mã tải/kiện, điểm đến</t>
        </is>
      </c>
      <c r="C892" s="3" t="inlineStr">
        <is>
          <t>Enter the destination, sack code</t>
        </is>
      </c>
      <c r="D892" s="3">
        <f>IFERROR(__xludf.DUMMYFUNCTION("GOOGLETRANSLATE(B892,""vi"",""km"")"),"បញ្ចូលលេខកូដកញ្ចប់/លេខកូដដឹកជញ្ជូន និងគោលដៅ។")</f>
        <v/>
      </c>
      <c r="E892" s="3" t="inlineStr">
        <is>
          <t>បញ្ចូលលេខកូដជើងដឹក/កញ្ចប់អីវ៉ាន់ គោលដៅ</t>
        </is>
      </c>
      <c r="F892" s="3" t="n"/>
      <c r="G892" s="3" t="inlineStr">
        <is>
          <t>បញ្ចូលកូដកញ្ចប់ទំនិញ/អីវ៉ាន់ ទីតាំងមកដល់</t>
        </is>
      </c>
      <c r="H892" t="inlineStr">
        <is>
          <t>បញ្ចូលកូដកញ្ចប់ទំនិញ/អីវ៉ាន់ ទីតាំងមកដល់</t>
        </is>
      </c>
      <c r="I892" s="217" t="inlineStr">
        <is>
          <t>"DongTai.placeholderSearch": "បញ្ចូលកូដកញ្ចប់ទំនិញ/អីវ៉ាន់ ទីតាំងមកដល់",</t>
        </is>
      </c>
      <c r="N892" s="3" t="inlineStr">
        <is>
          <t>បញ្ចូលលេខកូដត្រួតពិនិត្យ ឬ ទីតាំង</t>
        </is>
      </c>
    </row>
    <row r="893" ht="15.75" customHeight="1" s="305">
      <c r="A893" s="3" t="inlineStr">
        <is>
          <t>DongTai.titleHeaderScanSearchTaiKien</t>
        </is>
      </c>
      <c r="B893" s="3" t="inlineStr">
        <is>
          <t>Nhập mã tải/kiện, điểm đến</t>
        </is>
      </c>
      <c r="C893" s="3" t="inlineStr">
        <is>
          <t>Enter the load/package code, destination</t>
        </is>
      </c>
      <c r="D893" s="3">
        <f>IFERROR(__xludf.DUMMYFUNCTION("GOOGLETRANSLATE(B893,""vi"",""km"")"),"បញ្ចូលលេខកូដកញ្ចប់/លេខកូដដឹកជញ្ជូន និងគោលដៅ។")</f>
        <v/>
      </c>
      <c r="E893" s="3" t="inlineStr">
        <is>
          <t>បញ្ចូលលេខកូដជើងដឹក/កញ្ចប់អីវ៉ាន់ គោលដៅ</t>
        </is>
      </c>
      <c r="F893" s="3" t="n"/>
      <c r="G893" s="3" t="inlineStr">
        <is>
          <t>បញ្ចូលកូដកញ្ចប់ទំនិញ/អីវ៉ាន់ ទីតាំងមកដល់</t>
        </is>
      </c>
      <c r="H893" t="inlineStr">
        <is>
          <t>បញ្ចូលកូដកញ្ចប់ទំនិញ/អីវ៉ាន់ ទីតាំងមកដល់</t>
        </is>
      </c>
      <c r="I893" s="217" t="inlineStr">
        <is>
          <t>"DongTai.titleHeaderScanSearchTaiKien": "បញ្ចូលកូដកញ្ចប់ទំនិញ/អីវ៉ាន់ ទីតាំងមកដល់",</t>
        </is>
      </c>
      <c r="N893" s="3" t="inlineStr">
        <is>
          <t>បញ្ចូលលេខកូដត្រួតពិនិត្យ/កញ្ចប់ និងទីតាំង</t>
        </is>
      </c>
    </row>
    <row r="894" ht="15.75" customHeight="1" s="305">
      <c r="A894" s="3" t="inlineStr">
        <is>
          <t>tms.banGiaoPlaceHolder</t>
        </is>
      </c>
      <c r="B894" s="3" t="inlineStr">
        <is>
          <t>Nhập mã tải/kiện/điểm đến</t>
        </is>
      </c>
      <c r="C894" s="3" t="inlineStr">
        <is>
          <t>Enter load/package code/destination</t>
        </is>
      </c>
      <c r="D894" s="3">
        <f>IFERROR(__xludf.DUMMYFUNCTION("GOOGLETRANSLATE(B894,""vi"",""km"")"),"បញ្ចូលលេខកូដកញ្ចប់/ការដឹកជញ្ជូន/លេខកូដគោលដៅ។")</f>
        <v/>
      </c>
      <c r="E894" s="3" t="inlineStr">
        <is>
          <t>បញ្ចូលលេខកូដជើងដឹក/កញ្ចប់អីវ៉ាន់ គោលដៅ</t>
        </is>
      </c>
      <c r="F894" s="3" t="n"/>
      <c r="G894" s="3" t="inlineStr">
        <is>
          <t>បញ្ចូលកូដកញ្ចប់ទំនិញ/អីវ៉ាន់ ទីតាំងមកដល់</t>
        </is>
      </c>
      <c r="H894" t="inlineStr">
        <is>
          <t>បញ្ចូលកូដកញ្ចប់ទំនិញ/អីវ៉ាន់ ទីតាំងមកដល់</t>
        </is>
      </c>
      <c r="I894" s="217" t="inlineStr">
        <is>
          <t>"tms.banGiaoPlaceHolder": "បញ្ចូលកូដកញ្ចប់ទំនិញ/អីវ៉ាន់ ទីតាំងមកដល់",</t>
        </is>
      </c>
      <c r="N894" s="3" t="inlineStr"/>
    </row>
    <row r="895" ht="15.75" customHeight="1" s="305">
      <c r="A895" s="3" t="inlineStr">
        <is>
          <t>nhanHang.placeholderSearchMadonSdtTenKh</t>
        </is>
      </c>
      <c r="B895" s="3" t="inlineStr">
        <is>
          <t>Nhập mã vận đơn</t>
        </is>
      </c>
      <c r="C895" s="3" t="inlineStr">
        <is>
          <t>Enter phone number, address or customer name</t>
        </is>
      </c>
      <c r="D895" s="3">
        <f>IFERROR(__xludf.DUMMYFUNCTION("GOOGLETRANSLATE(B895,""vi"",""km"")"),"បញ្ចូលលេខតាមដាន")</f>
        <v/>
      </c>
      <c r="E895" s="3" t="inlineStr">
        <is>
          <t>បញ្ចូលកូដដឹកអីវ៉ាន់</t>
        </is>
      </c>
      <c r="F895" s="3" t="n"/>
      <c r="G895" s="3" t="inlineStr">
        <is>
          <t>បញ្ចូលកូដបុងបញ្ញើ</t>
        </is>
      </c>
      <c r="H895" t="inlineStr">
        <is>
          <t>បញ្ចូលកូដបុងបញ្ញើ</t>
        </is>
      </c>
      <c r="I895" s="217" t="inlineStr">
        <is>
          <t>"nhanHang.placeholderSearchMadonSdtTenKh": "បញ្ចូលកូដបុងបញ្ញើ",</t>
        </is>
      </c>
      <c r="N895" s="3" t="inlineStr">
        <is>
          <t>បញ្ចូលលេខទូរស័ព្ទ អាសយដ្ឋាន ឬឈ្មោះអតិថិជន</t>
        </is>
      </c>
    </row>
    <row r="896" ht="15.75" customHeight="1" s="305">
      <c r="A896" s="3" t="inlineStr">
        <is>
          <t>debit.search_bill</t>
        </is>
      </c>
      <c r="B896" s="3" t="inlineStr">
        <is>
          <t>Nhập mã vận đơn để tìm kiếm</t>
        </is>
      </c>
      <c r="C896" s="3" t="inlineStr">
        <is>
          <t>Enter code bill to search</t>
        </is>
      </c>
      <c r="D896" s="3">
        <f>IFERROR(__xludf.DUMMYFUNCTION("GOOGLETRANSLATE(B896,""vi"",""km"")"),"បញ្ចូលលេខតាមដានដើម្បីស្វែងរក។")</f>
        <v/>
      </c>
      <c r="E896" s="3" t="inlineStr">
        <is>
          <t>បញ្ចូលកូដដឹកអីវ៉ាន់ដើម្បីស្វែងរក</t>
        </is>
      </c>
      <c r="F896" s="3" t="n"/>
      <c r="G896" s="3" t="inlineStr">
        <is>
          <t>បញ្ចូលកូដបុងបញ្ញើដើម្បីស្វែងរក</t>
        </is>
      </c>
      <c r="H896" t="inlineStr">
        <is>
          <t>បញ្ចូលកូដបុងបញ្ញើដើម្បីស្វែងរក</t>
        </is>
      </c>
      <c r="I896" s="217" t="inlineStr">
        <is>
          <t>"debit.search_bill": "បញ្ចូលកូដបុងបញ្ញើដើម្បីស្វែងរក",</t>
        </is>
      </c>
      <c r="N896" s="3" t="inlineStr">
        <is>
          <t>បញ្ចូល​លេខ​កូដបញ្ញើ</t>
        </is>
      </c>
    </row>
    <row r="897" ht="15.75" customHeight="1" s="305">
      <c r="A897" s="3" t="inlineStr">
        <is>
          <t>banGiao.placeholderSearch</t>
        </is>
      </c>
      <c r="B897" s="3" t="inlineStr">
        <is>
          <t>Nhập mã vỏ bàn giao</t>
        </is>
      </c>
      <c r="C897" s="143" t="n"/>
      <c r="D897" s="3">
        <f>IFERROR(__xludf.DUMMYFUNCTION("GOOGLETRANSLATE(B897,""vi"",""km"")"),"បញ្ចូលលេខកូដកញ្ចប់ដឹកជញ្ជូន។")</f>
        <v/>
      </c>
      <c r="E897" s="3" t="inlineStr">
        <is>
          <t>បញ្ចូលលេខកូដសំបកអីវ៉ាន់ប្រគល់</t>
        </is>
      </c>
      <c r="F897" s="3" t="n"/>
      <c r="G897" s="3" t="inlineStr">
        <is>
          <t>បញ្ចូលលេខកូដសំបកអីវ៉ាន់ប្រគល់</t>
        </is>
      </c>
      <c r="H897" t="inlineStr">
        <is>
          <t>បញ្ចូលលេខកូដសំបកអីវ៉ាន់ប្រគល់</t>
        </is>
      </c>
      <c r="I897" s="217" t="inlineStr">
        <is>
          <t>"banGiao.placeholderSearch": "បញ្ចូលលេខកូដសំបកអីវ៉ាន់ប្រគល់",</t>
        </is>
      </c>
      <c r="N897" s="3" t="inlineStr"/>
    </row>
    <row r="898" ht="15.75" customHeight="1" s="305">
      <c r="A898" s="3" t="inlineStr">
        <is>
          <t>password.title</t>
        </is>
      </c>
      <c r="B898" s="3" t="inlineStr">
        <is>
          <t>Nhập mật khẩu</t>
        </is>
      </c>
      <c r="C898" s="3" t="inlineStr">
        <is>
          <t>Password</t>
        </is>
      </c>
      <c r="D898" s="3">
        <f>IFERROR(__xludf.DUMMYFUNCTION("GOOGLETRANSLATE(B898,""vi"",""km"")"),"បញ្ចូលពាក្យសម្ងាត់")</f>
        <v/>
      </c>
      <c r="E898" s="3" t="inlineStr">
        <is>
          <t>បញ្ចូលពាក្យសម្ងាត់</t>
        </is>
      </c>
      <c r="F898" s="3" t="n"/>
      <c r="G898" s="3" t="inlineStr">
        <is>
          <t>បញ្ចូលពាក្យសម្ងាត់</t>
        </is>
      </c>
      <c r="H898" t="inlineStr">
        <is>
          <t>បញ្ចូលពាក្យសម្ងាត់</t>
        </is>
      </c>
      <c r="I898" s="217" t="inlineStr">
        <is>
          <t>"password.title": "បញ្ចូលពាក្យសម្ងាត់",</t>
        </is>
      </c>
      <c r="N898" s="3" t="inlineStr">
        <is>
          <t>ខ្ចប់</t>
        </is>
      </c>
    </row>
    <row r="899" ht="15.75" customHeight="1" s="305">
      <c r="A899" s="3" t="inlineStr">
        <is>
          <t>forgotPassword.placeholder</t>
        </is>
      </c>
      <c r="B899" s="3" t="inlineStr">
        <is>
          <t>Nhập mật khẩu</t>
        </is>
      </c>
      <c r="C899" s="3" t="inlineStr">
        <is>
          <t>Password</t>
        </is>
      </c>
      <c r="D899" s="3">
        <f>IFERROR(__xludf.DUMMYFUNCTION("GOOGLETRANSLATE(B899,""vi"",""km"")"),"បញ្ចូលពាក្យសម្ងាត់")</f>
        <v/>
      </c>
      <c r="E899" s="3" t="inlineStr">
        <is>
          <t>បញ្ចូលពាក្យសម្ងាត់</t>
        </is>
      </c>
      <c r="F899" s="3" t="n"/>
      <c r="G899" s="3" t="inlineStr">
        <is>
          <t>បញ្ចូលពាក្យសម្ងាត់</t>
        </is>
      </c>
      <c r="H899" t="inlineStr">
        <is>
          <t>បញ្ចូលពាក្យសម្ងាត់</t>
        </is>
      </c>
      <c r="I899" s="217" t="inlineStr">
        <is>
          <t>"forgotPassword.placeholder": "បញ្ចូលពាក្យសម្ងាត់",</t>
        </is>
      </c>
      <c r="N899" s="3" t="inlineStr">
        <is>
          <t>បញ្ចូលពាក្យសម្ងាត់</t>
        </is>
      </c>
    </row>
    <row r="900" ht="15.75" customHeight="1" s="305">
      <c r="A900" s="3" t="inlineStr">
        <is>
          <t>change_password.enter_new_password</t>
        </is>
      </c>
      <c r="B900" s="3" t="inlineStr">
        <is>
          <t>Nhập mật khẩu</t>
        </is>
      </c>
      <c r="C900" s="3" t="inlineStr">
        <is>
          <t>Enter password</t>
        </is>
      </c>
      <c r="D900" s="3">
        <f>IFERROR(__xludf.DUMMYFUNCTION("GOOGLETRANSLATE(B900,""vi"",""km"")"),"បញ្ចូលពាក្យសម្ងាត់")</f>
        <v/>
      </c>
      <c r="E900" s="3" t="inlineStr">
        <is>
          <t>បញ្ចូលពាក្យសម្ងាត់</t>
        </is>
      </c>
      <c r="F900" s="3" t="n"/>
      <c r="G900" s="3" t="inlineStr">
        <is>
          <t>បញ្ចូលពាក្យសម្ងាត់</t>
        </is>
      </c>
      <c r="H900" t="inlineStr">
        <is>
          <t>បញ្ចូលពាក្យសម្ងាត់</t>
        </is>
      </c>
      <c r="I900" s="217" t="inlineStr">
        <is>
          <t>"change_password.enter_new_password": "បញ្ចូលពាក្យសម្ងាត់",</t>
        </is>
      </c>
      <c r="N900" s="3" t="inlineStr">
        <is>
          <t>បញ្ចូលពាក្យសម្ងាត់</t>
        </is>
      </c>
    </row>
    <row r="901" ht="15.75" customHeight="1" s="305">
      <c r="A901" s="3" t="inlineStr">
        <is>
          <t>change_password.current_password_required</t>
        </is>
      </c>
      <c r="B901" s="3" t="inlineStr">
        <is>
          <t>Nhập mật khẩu hiện tại</t>
        </is>
      </c>
      <c r="C901" s="3" t="inlineStr">
        <is>
          <t>Enter current password</t>
        </is>
      </c>
      <c r="D901" s="3">
        <f>IFERROR(__xludf.DUMMYFUNCTION("GOOGLETRANSLATE(B901,""vi"",""km"")"),"បញ្ចូលពាក្យសម្ងាត់បច្ចុប្បន្នរបស់អ្នក")</f>
        <v/>
      </c>
      <c r="E901" s="3" t="inlineStr">
        <is>
          <t>បញ្ចូលពាក្យសម្ងាត់បច្ចុប្បន្ន</t>
        </is>
      </c>
      <c r="F901" s="3" t="n"/>
      <c r="G901" s="3" t="inlineStr">
        <is>
          <t>បញ្ចូលពាក្យសម្ងាត់បច្ចុប្បន្ន</t>
        </is>
      </c>
      <c r="H901" t="inlineStr">
        <is>
          <t>បញ្ចូលពាក្យសម្ងាត់បច្ចុប្បន្ន</t>
        </is>
      </c>
      <c r="I901" s="217" t="inlineStr">
        <is>
          <t>"change_password.current_password_required": "បញ្ចូលពាក្យសម្ងាត់បច្ចុប្បន្ន",</t>
        </is>
      </c>
      <c r="N901" s="3" t="inlineStr">
        <is>
          <t>សូមបញ្ចូលពាក្យសម្ងាត់បច្ចុប្បន្ន</t>
        </is>
      </c>
    </row>
    <row r="902" ht="15.75" customHeight="1" s="305">
      <c r="A902" s="3" t="inlineStr">
        <is>
          <t>change_password.new_password_required</t>
        </is>
      </c>
      <c r="B902" s="3" t="inlineStr">
        <is>
          <t>Nhập mật khẩu mới</t>
        </is>
      </c>
      <c r="C902" s="3" t="inlineStr">
        <is>
          <t>Enter new password</t>
        </is>
      </c>
      <c r="D902" s="3">
        <f>IFERROR(__xludf.DUMMYFUNCTION("GOOGLETRANSLATE(B902,""vi"",""km"")"),"បញ្ចូលពាក្យសម្ងាត់ថ្មី")</f>
        <v/>
      </c>
      <c r="E902" s="3" t="inlineStr">
        <is>
          <t>បញ្ចូលពាក្យសម្ងាត់ថ្មី</t>
        </is>
      </c>
      <c r="F902" s="3" t="n"/>
      <c r="G902" s="3" t="inlineStr">
        <is>
          <t>បញ្ចូលពាក្យសម្ងាត់ថ្មី</t>
        </is>
      </c>
      <c r="H902" t="inlineStr">
        <is>
          <t>បញ្ចូលពាក្យសម្ងាត់ថ្មី</t>
        </is>
      </c>
      <c r="I902" s="217" t="inlineStr">
        <is>
          <t>"change_password.new_password_required": "បញ្ចូលពាក្យសម្ងាត់ថ្មី",</t>
        </is>
      </c>
      <c r="N902" s="3" t="inlineStr">
        <is>
          <t>សូមបញ្ចូលពាក្យសម្ងាត់ថ្មី</t>
        </is>
      </c>
    </row>
    <row r="903" ht="15.75" customHeight="1" s="305">
      <c r="A903" s="3" t="inlineStr">
        <is>
          <t>DongTai.placeholderNode</t>
        </is>
      </c>
      <c r="B903" s="3" t="inlineStr">
        <is>
          <t>Nhập nội dung</t>
        </is>
      </c>
      <c r="C903" s="3" t="inlineStr">
        <is>
          <t>Enter note</t>
        </is>
      </c>
      <c r="D903" s="3">
        <f>IFERROR(__xludf.DUMMYFUNCTION("GOOGLETRANSLATE(B903,""vi"",""km"")"),"បញ្ចូលខ្លឹមសារ")</f>
        <v/>
      </c>
      <c r="E903" s="3" t="inlineStr">
        <is>
          <t>បញ្ចូលខ្លឹមសារ</t>
        </is>
      </c>
      <c r="F903" s="3" t="n"/>
      <c r="G903" s="3" t="inlineStr">
        <is>
          <t>បញ្ចូលខ្លឹមសារ</t>
        </is>
      </c>
      <c r="H903" t="inlineStr">
        <is>
          <t>បញ្ចូលខ្លឹមសារ</t>
        </is>
      </c>
      <c r="I903" s="217" t="inlineStr">
        <is>
          <t>"DongTai.placeholderNode": "បញ្ចូលខ្លឹមសារ",</t>
        </is>
      </c>
      <c r="N903" s="3" t="inlineStr">
        <is>
          <t>បញ្ចូលខ្លឹមសារ</t>
        </is>
      </c>
    </row>
    <row r="904" ht="15.75" customHeight="1" s="305">
      <c r="A904" s="3" t="inlineStr">
        <is>
          <t>taoKien.placeholderNode</t>
        </is>
      </c>
      <c r="B904" s="3" t="inlineStr">
        <is>
          <t>Nhập nội dung</t>
        </is>
      </c>
      <c r="C904" s="3" t="inlineStr">
        <is>
          <t>Enter remark</t>
        </is>
      </c>
      <c r="D904" s="3">
        <f>IFERROR(__xludf.DUMMYFUNCTION("GOOGLETRANSLATE(B904,""vi"",""km"")"),"បញ្ចូលខ្លឹមសារ")</f>
        <v/>
      </c>
      <c r="E904" s="3" t="inlineStr">
        <is>
          <t>បញ្ចូលខ្លឹមសារ</t>
        </is>
      </c>
      <c r="F904" s="3" t="n"/>
      <c r="G904" s="3" t="inlineStr">
        <is>
          <t>បញ្ចូលខ្លឹមសារ</t>
        </is>
      </c>
      <c r="H904" t="inlineStr">
        <is>
          <t>បញ្ចូលខ្លឹមសារ</t>
        </is>
      </c>
      <c r="I904" s="217" t="inlineStr">
        <is>
          <t>"taoKien.placeholderNode": "បញ្ចូលខ្លឹមសារ",</t>
        </is>
      </c>
      <c r="N904" s="3" t="inlineStr"/>
    </row>
    <row r="905" ht="15.75" customHeight="1" s="305">
      <c r="A905" s="3" t="inlineStr">
        <is>
          <t>banGiao.placeholderNote</t>
        </is>
      </c>
      <c r="B905" s="3" t="inlineStr">
        <is>
          <t>Nhập nội dung ghi chú</t>
        </is>
      </c>
      <c r="C905" s="3" t="inlineStr">
        <is>
          <t>Note here</t>
        </is>
      </c>
      <c r="D905" s="3">
        <f>IFERROR(__xludf.DUMMYFUNCTION("GOOGLETRANSLATE(B905,""vi"",""km"")"),"បញ្ចូលខ្លឹមសារនៃកំណត់ចំណាំ")</f>
        <v/>
      </c>
      <c r="E905" s="3" t="inlineStr">
        <is>
          <t>បញ្ចូលកំណត់ចំណាំ</t>
        </is>
      </c>
      <c r="F905" s="3" t="n"/>
      <c r="G905" s="3" t="inlineStr">
        <is>
          <t>បញ្ចូលកំណត់ចំណាំ</t>
        </is>
      </c>
      <c r="H905" t="inlineStr">
        <is>
          <t>បញ្ចូលកំណត់ចំណាំ</t>
        </is>
      </c>
      <c r="I905" s="217" t="inlineStr">
        <is>
          <t>"banGiao.placeholderNote": "បញ្ចូលកំណត់ចំណាំ",</t>
        </is>
      </c>
      <c r="N905" s="3" t="inlineStr">
        <is>
          <t>បញ្ចូលកំណត់សម្គាល់</t>
        </is>
      </c>
    </row>
    <row r="906" ht="15.75" customHeight="1" s="305">
      <c r="A906" s="3" t="inlineStr">
        <is>
          <t>OTP.confirm</t>
        </is>
      </c>
      <c r="B906" s="3" t="inlineStr">
        <is>
          <t>Nhập OTP</t>
        </is>
      </c>
      <c r="C906" s="3" t="inlineStr">
        <is>
          <t>OTP CONFIRMATION</t>
        </is>
      </c>
      <c r="D906" s="3">
        <f>IFERROR(__xludf.DUMMYFUNCTION("GOOGLETRANSLATE(B906,""vi"",""km"")"),"បញ្ចូលលេខសម្ងាត់ OTP")</f>
        <v/>
      </c>
      <c r="E906" s="3" t="inlineStr">
        <is>
          <t>បញ្ចូល OTP</t>
        </is>
      </c>
      <c r="F906" s="3" t="n"/>
      <c r="G906" s="3" t="inlineStr">
        <is>
          <t>បញ្ចូល OTP</t>
        </is>
      </c>
      <c r="H906" t="inlineStr">
        <is>
          <t>បញ្ចូល OTP</t>
        </is>
      </c>
      <c r="I906" s="217" t="inlineStr">
        <is>
          <t>"OTP.confirm": "បញ្ចូល OTP",</t>
        </is>
      </c>
      <c r="N906" s="3" t="inlineStr">
        <is>
          <t>បញ្ចាក់</t>
        </is>
      </c>
    </row>
    <row r="907" ht="15.75" customHeight="1" s="305">
      <c r="A907" s="3" t="inlineStr">
        <is>
          <t>change_password.enter_otp</t>
        </is>
      </c>
      <c r="B907" s="3" t="inlineStr">
        <is>
          <t>Nhập OTP</t>
        </is>
      </c>
      <c r="C907" s="3" t="inlineStr">
        <is>
          <t>Enter OTP</t>
        </is>
      </c>
      <c r="D907" s="3">
        <f>IFERROR(__xludf.DUMMYFUNCTION("GOOGLETRANSLATE(B907,""vi"",""km"")"),"បញ្ចូលលេខសម្ងាត់ OTP")</f>
        <v/>
      </c>
      <c r="E907" s="3" t="inlineStr">
        <is>
          <t>បញ្ចូល OTP</t>
        </is>
      </c>
      <c r="F907" s="3" t="n"/>
      <c r="G907" s="3" t="inlineStr">
        <is>
          <t>បញ្ចូល OTP</t>
        </is>
      </c>
      <c r="H907" t="inlineStr">
        <is>
          <t>បញ្ចូល OTP</t>
        </is>
      </c>
      <c r="I907" s="217" t="inlineStr">
        <is>
          <t>"change_password.enter_otp": "បញ្ចូល OTP",</t>
        </is>
      </c>
      <c r="N907" s="3" t="inlineStr">
        <is>
          <t>បញ្ចូល OTP</t>
        </is>
      </c>
    </row>
    <row r="908" ht="15.75" customHeight="1" s="305">
      <c r="A908" s="3" t="inlineStr">
        <is>
          <t>change_password.otp_send_tele</t>
        </is>
      </c>
      <c r="B908" s="3" t="inlineStr">
        <is>
          <t>Nhập OTP vừa được gửi về Telegram tài khoản</t>
        </is>
      </c>
      <c r="C908" s="3" t="inlineStr">
        <is>
          <t>Enter the OTP just sent to your Telegram account</t>
        </is>
      </c>
      <c r="D908" s="3">
        <f>IFERROR(__xludf.DUMMYFUNCTION("GOOGLETRANSLATE(B908,""vi"",""km"")"),"បញ្ចូលលេខ OTP ដែលទើបតែផ្ញើទៅកាន់គណនី Telegram របស់អ្នក។")</f>
        <v/>
      </c>
      <c r="E908" s="3" t="inlineStr">
        <is>
          <t>បញ្ចូល OTPដែលទើបបានផ្ញើទៅតាមគណនីតេឡេក្រាម</t>
        </is>
      </c>
      <c r="F908" s="3" t="n"/>
      <c r="G908" s="3" t="inlineStr">
        <is>
          <t>បញ្ចូល OTPដែលទើបបានផ្ញើទៅតាមគណនីតេឡេក្រាម</t>
        </is>
      </c>
      <c r="H908" t="inlineStr">
        <is>
          <t>បញ្ចូល OTPដែលទើបបានផ្ញើទៅតាមគណនីតេឡេក្រាម</t>
        </is>
      </c>
      <c r="I908" s="217" t="inlineStr">
        <is>
          <t>"change_password.otp_send_tele": "បញ្ចូល OTPដែលទើបបានផ្ញើទៅតាមគណនីតេឡេក្រាម",</t>
        </is>
      </c>
      <c r="N908" s="3" t="inlineStr">
        <is>
          <t>បញ្ចូល OTP ដែលទើបតែផ្ញើទៅគណនី Telegram របស់អ្នក</t>
        </is>
      </c>
    </row>
    <row r="909" ht="15.75" customHeight="1" s="305">
      <c r="A909" s="3" t="inlineStr">
        <is>
          <t>setting.warningBlockAccout1</t>
        </is>
      </c>
      <c r="B909" s="3" t="inlineStr">
        <is>
          <t xml:space="preserve">Nhập sai mật khẩu quá </t>
        </is>
      </c>
      <c r="C909" s="3" t="inlineStr">
        <is>
          <t xml:space="preserve">Enter the wrong password more than </t>
        </is>
      </c>
      <c r="D909" s="3">
        <f>IFERROR(__xludf.DUMMYFUNCTION("GOOGLETRANSLATE(B909,""vi"",""km"")"),"បានបញ្ចូលពាក្យសម្ងាត់មិនត្រឹមត្រូវ")</f>
        <v/>
      </c>
      <c r="E909" s="3" t="inlineStr">
        <is>
          <t>បញ្ចូលខុសពាក្យសម្ងាត់</t>
        </is>
      </c>
      <c r="F909" s="3" t="n"/>
      <c r="G909" s="3" t="inlineStr">
        <is>
          <t>បញ្ចូលខុសពាក្យសម្ងាត់</t>
        </is>
      </c>
      <c r="H909" t="inlineStr">
        <is>
          <t>បញ្ចូលខុសពាក្យសម្ងាត់</t>
        </is>
      </c>
      <c r="I909" s="217" t="inlineStr">
        <is>
          <t>"setting.warningBlockAccout1": "បញ្ចូលខុសពាក្យសម្ងាត់",</t>
        </is>
      </c>
      <c r="N909" s="3" t="inlineStr">
        <is>
          <t xml:space="preserve">Enter the wrong password more than </t>
        </is>
      </c>
    </row>
    <row r="910" ht="15.75" customHeight="1" s="305">
      <c r="A910" s="3" t="inlineStr">
        <is>
          <t>change_password.warningBlockAccout1</t>
        </is>
      </c>
      <c r="B910" s="3" t="inlineStr">
        <is>
          <t xml:space="preserve">Nhập sai OTP quá </t>
        </is>
      </c>
      <c r="C910" s="3" t="inlineStr">
        <is>
          <t xml:space="preserve">Entered the OTP incorrectly more than </t>
        </is>
      </c>
      <c r="D910" s="3">
        <f>IFERROR(__xludf.DUMMYFUNCTION("GOOGLETRANSLATE(B910,""vi"",""km"")"),"បានបញ្ចូលលេខ OTP ខុស។")</f>
        <v/>
      </c>
      <c r="E910" s="3" t="inlineStr">
        <is>
          <t>បញ្ចូលខុសពាក្យសម្ងាត់ច្រើនដងពេក</t>
        </is>
      </c>
      <c r="F910" s="3" t="n"/>
      <c r="G910" s="3" t="inlineStr">
        <is>
          <t>បញ្ចូលខុសពាក្យសម្ងាត់ច្រើនដងពេក</t>
        </is>
      </c>
      <c r="H910" t="inlineStr">
        <is>
          <t>បញ្ចូលខុសពាក្យសម្ងាត់ច្រើនដងពេក</t>
        </is>
      </c>
      <c r="I910" s="217" t="inlineStr">
        <is>
          <t>"change_password.warningBlockAccout1": "បញ្ចូលខុសពាក្យសម្ងាត់ច្រើនដងពេក",</t>
        </is>
      </c>
      <c r="N910" s="3" t="inlineStr">
        <is>
          <t xml:space="preserve">បានបញ្ចូល OTP មិនត្រឹមត្រូវលើស </t>
        </is>
      </c>
    </row>
    <row r="911" ht="15.75" customHeight="1" s="305">
      <c r="A911" s="3" t="inlineStr">
        <is>
          <t>login.content</t>
        </is>
      </c>
      <c r="B911" s="3" t="inlineStr">
        <is>
          <t>Nhập SĐT để đăng nhập</t>
        </is>
      </c>
      <c r="C911" s="3" t="inlineStr">
        <is>
          <t>Please enter your phone number or username to process</t>
        </is>
      </c>
      <c r="D911" s="3">
        <f>IFERROR(__xludf.DUMMYFUNCTION("GOOGLETRANSLATE(B911,""vi"",""km"")"),"បញ្ចូលលេខទូរស័ព្ទរបស់អ្នកដើម្បីចូល។")</f>
        <v/>
      </c>
      <c r="E911" s="3" t="inlineStr">
        <is>
          <t>បញ្ចូលលេខទូរស័ព្ទដើម្បីចូល</t>
        </is>
      </c>
      <c r="F911" s="3" t="n"/>
      <c r="G911" s="3" t="inlineStr">
        <is>
          <t>បញ្ចូលលេខទូរស័ព្ទដើម្បីចូល</t>
        </is>
      </c>
      <c r="H911" t="inlineStr">
        <is>
          <t>បញ្ចូលលេខទូរស័ព្ទដើម្បីចូល</t>
        </is>
      </c>
      <c r="I911" s="217" t="inlineStr">
        <is>
          <t>"login.content": "បញ្ចូលលេខទូរស័ព្ទដើម្បីចូល",</t>
        </is>
      </c>
      <c r="N911" s="3" t="inlineStr">
        <is>
          <t>តោះចាប់ផ្តើមទទួលយកសេវាកម្មដ៏អស្ចារ្យរបស់</t>
        </is>
      </c>
    </row>
    <row r="912" ht="15.75" customHeight="1" s="305">
      <c r="A912" s="3" t="inlineStr">
        <is>
          <t>dieuHanh.placeholderSearch</t>
        </is>
      </c>
      <c r="B912" s="3" t="inlineStr">
        <is>
          <t>Nhập SĐT hoặc mã vận đơn</t>
        </is>
      </c>
      <c r="C912" s="3" t="inlineStr">
        <is>
          <t>Enter phone number or order ID</t>
        </is>
      </c>
      <c r="D912" s="3">
        <f>IFERROR(__xludf.DUMMYFUNCTION("GOOGLETRANSLATE(B912,""vi"",""km"")"),"បញ្ចូលលេខទូរស័ព្ទ ឬលេខតាមដានរបស់អ្នក។")</f>
        <v/>
      </c>
      <c r="E912" s="3" t="inlineStr">
        <is>
          <t>បញ្ចូលលេខទូរស័ព្ទឬកូដដឹកជញ្ជូន</t>
        </is>
      </c>
      <c r="F912" s="3" t="n"/>
      <c r="G912" s="3" t="inlineStr">
        <is>
          <t>បញ្ចូលលេខទូរស័ព្ទឬកូដដឹកជញ្ជូន</t>
        </is>
      </c>
      <c r="H912" t="inlineStr">
        <is>
          <t>បញ្ចូលលេខទូរស័ព្ទឬកូដដឹកជញ្ជូន</t>
        </is>
      </c>
      <c r="I912" s="217" t="inlineStr">
        <is>
          <t>"dieuHanh.placeholderSearch": "បញ្ចូលលេខទូរស័ព្ទឬកូដដឹកជញ្ជូន",</t>
        </is>
      </c>
      <c r="N912" s="3" t="inlineStr">
        <is>
          <t>បញ្ចូលលេខទូរស័ព្ទ, លេខកូដដឹកជញ្ជូន</t>
        </is>
      </c>
    </row>
    <row r="913" ht="15.75" customHeight="1" s="305">
      <c r="A913" s="3" t="inlineStr">
        <is>
          <t>nhanHang.placeholderSearch</t>
        </is>
      </c>
      <c r="B913" s="3" t="inlineStr">
        <is>
          <t>Nhập SĐT, địa chỉ hoặc tên KH</t>
        </is>
      </c>
      <c r="C913" s="3" t="inlineStr">
        <is>
          <t>Enter customer's phone number, address or name</t>
        </is>
      </c>
      <c r="D913" s="3">
        <f>IFERROR(__xludf.DUMMYFUNCTION("GOOGLETRANSLATE(B913,""vi"",""km"")"),"បញ្ចូលលេខទូរស័ព្ទ អាសយដ្ឋាន ឬឈ្មោះរបស់អតិថិជន។")</f>
        <v/>
      </c>
      <c r="E913" s="3" t="inlineStr">
        <is>
          <t>បញ្ចូលលេខទូរស័ព្ទ អាសយដ្ឋាន ឬឈ្មោះអតិថិជន</t>
        </is>
      </c>
      <c r="F913" s="3" t="n"/>
      <c r="G913" s="3" t="inlineStr">
        <is>
          <t>បញ្ចូលលេខទូរស័ព្ទ អាសយដ្ឋាន ឬឈ្មោះអតិថិជន</t>
        </is>
      </c>
      <c r="H913" t="inlineStr">
        <is>
          <t>បញ្ចូលលេខទូរស័ព្ទ អាសយដ្ឋាន ឬឈ្មោះអតិថិជន</t>
        </is>
      </c>
      <c r="I913" s="217" t="inlineStr">
        <is>
          <t>"nhanHang.placeholderSearch": "បញ្ចូលលេខទូរស័ព្ទ អាសយដ្ឋាន ឬឈ្មោះអតិថិជន",</t>
        </is>
      </c>
      <c r="N913" s="3" t="inlineStr">
        <is>
          <t>បញ្ចូលលេខទូរស័ព្ទ អាសយដ្ឋាន ឬឈ្មោះអតិថិជន</t>
        </is>
      </c>
    </row>
    <row r="914" ht="15.75" customHeight="1" s="305">
      <c r="A914" s="3" t="inlineStr">
        <is>
          <t>PhanCong.hintSearchAssign</t>
        </is>
      </c>
      <c r="B914" s="3" t="inlineStr">
        <is>
          <t>Nhập sđt, tên phân công để tìm kiếm</t>
        </is>
      </c>
      <c r="C914" s="3" t="inlineStr">
        <is>
          <t>Enter postman's name, or phone number</t>
        </is>
      </c>
      <c r="D914" s="3">
        <f>IFERROR(__xludf.DUMMYFUNCTION("GOOGLETRANSLATE(B914,""vi"",""km"")"),"បញ្ចូលលេខទូរស័ព្ទ និងឈ្មោះដែលបានកំណត់ដើម្បីស្វែងរក។")</f>
        <v/>
      </c>
      <c r="E914" s="3" t="inlineStr">
        <is>
          <t>បញ្ចូលលេខទូរស័ព្ទ ឈ្មោះអ្នកទទួលប្រគល់ដើម្បីស្វែងរក</t>
        </is>
      </c>
      <c r="F914" s="3" t="n"/>
      <c r="G914" s="3" t="inlineStr">
        <is>
          <t>បញ្ចូលលេខទូរស័ព្ទ ឈ្មោះអ្នកទទួលប្រគល់ដើម្បីស្វែងរក</t>
        </is>
      </c>
      <c r="H914" t="inlineStr">
        <is>
          <t>បញ្ចូលលេខទូរស័ព្ទ ឈ្មោះអ្នកទទួលប្រគល់ដើម្បីស្វែងរក</t>
        </is>
      </c>
      <c r="I914" s="217" t="inlineStr">
        <is>
          <t>"PhanCong.hintSearchAssign": "បញ្ចូលលេខទូរស័ព្ទ ឈ្មោះអ្នកទទួលប្រគល់ដើម្បីស្វែងរក",</t>
        </is>
      </c>
      <c r="N914" s="3" t="inlineStr">
        <is>
          <t>បញ្ចូលលេខទូរស័ព្ទ ឬឈ្មោះការចែកចាយ</t>
        </is>
      </c>
    </row>
    <row r="915" ht="15.75" customHeight="1" s="305">
      <c r="A915" s="3" t="inlineStr">
        <is>
          <t>tms.enterOdoNumber</t>
        </is>
      </c>
      <c r="B915" s="3" t="inlineStr">
        <is>
          <t>Nhập số công tơ mét</t>
        </is>
      </c>
      <c r="C915" s="3" t="inlineStr">
        <is>
          <t>Enter odometer number</t>
        </is>
      </c>
      <c r="D915" s="3">
        <f>IFERROR(__xludf.DUMMYFUNCTION("GOOGLETRANSLATE(B915,""vi"",""km"")"),"បញ្ចូលការអានអូដូម៉ែត្រ")</f>
        <v/>
      </c>
      <c r="E915" s="3" t="inlineStr">
        <is>
          <t>បញ្ចូលលេខកុងតឺរម៉ែត</t>
        </is>
      </c>
      <c r="F915" s="3" t="n"/>
      <c r="G915" s="3" t="inlineStr">
        <is>
          <t>បញ្ចូលលេខកុងតឺរម៉ែត</t>
        </is>
      </c>
      <c r="H915" t="inlineStr">
        <is>
          <t>បញ្ចូលលេខកុងតឺរម៉ែត</t>
        </is>
      </c>
      <c r="I915" s="217" t="inlineStr">
        <is>
          <t>"tms.enterOdoNumber": "បញ្ចូលលេខកុងតឺរម៉ែត",</t>
        </is>
      </c>
      <c r="N915" s="3" t="inlineStr"/>
    </row>
    <row r="916" ht="15.75" customHeight="1" s="305">
      <c r="A916" s="3" t="inlineStr">
        <is>
          <t>dieuHanh.searchPlaceholder</t>
        </is>
      </c>
      <c r="B916" s="3" t="inlineStr">
        <is>
          <t>Nhập số điện thoại hoặc mã vận đơn</t>
        </is>
      </c>
      <c r="C916" s="3" t="inlineStr">
        <is>
          <t>Search phone number or order ID</t>
        </is>
      </c>
      <c r="D916" s="3">
        <f>IFERROR(__xludf.DUMMYFUNCTION("GOOGLETRANSLATE(B916,""vi"",""km"")"),"បញ្ចូលលេខទូរស័ព្ទ ឬលេខតាមដានរបស់អ្នក។")</f>
        <v/>
      </c>
      <c r="E916" s="3" t="inlineStr">
        <is>
          <t>បញ្ចូលលេខទូរស័ព្ទឬកូដដឹកជញ្ជូន</t>
        </is>
      </c>
      <c r="F916" s="3" t="n"/>
      <c r="G916" s="3" t="inlineStr">
        <is>
          <t>បញ្ចូលលេខទូរស័ព្ទឬកូដដឹកជញ្ជូន</t>
        </is>
      </c>
      <c r="H916" t="inlineStr">
        <is>
          <t>បញ្ចូលលេខទូរស័ព្ទឬកូដដឹកជញ្ជូន</t>
        </is>
      </c>
      <c r="I916" s="217" t="inlineStr">
        <is>
          <t>"dieuHanh.searchPlaceholder": "បញ្ចូលលេខទូរស័ព្ទឬកូដដឹកជញ្ជូន",</t>
        </is>
      </c>
      <c r="N916" s="3" t="inlineStr">
        <is>
          <t>បញ្ចូលលេខទូរស័ព្ទឬលេខកូដដឹកជញ្ជូន</t>
        </is>
      </c>
    </row>
    <row r="917" ht="15.75" customHeight="1" s="305">
      <c r="A917" s="3" t="inlineStr">
        <is>
          <t>login.placeholder</t>
        </is>
      </c>
      <c r="B917" s="3" t="inlineStr">
        <is>
          <t>Nhập tên đăng nhập</t>
        </is>
      </c>
      <c r="C917" s="3" t="inlineStr">
        <is>
          <t>User name</t>
        </is>
      </c>
      <c r="D917" s="3">
        <f>IFERROR(__xludf.DUMMYFUNCTION("GOOGLETRANSLATE(B917,""vi"",""km"")"),"បញ្ចូលឈ្មោះអ្នកប្រើប្រាស់របស់អ្នក")</f>
        <v/>
      </c>
      <c r="E917" s="3" t="inlineStr">
        <is>
          <t>បញ្ចូលលេខទូរស័ព្ទឬឈ្មោះចូល</t>
        </is>
      </c>
      <c r="F917" s="3" t="n"/>
      <c r="G917" s="3" t="inlineStr">
        <is>
          <t>បញ្ចូលឈ្មោះអ្នកប្រើប្រាស់</t>
        </is>
      </c>
      <c r="H917" t="inlineStr">
        <is>
          <t>បញ្ចូលឈ្មោះអ្នកប្រើប្រាស់</t>
        </is>
      </c>
      <c r="I917" s="217" t="inlineStr">
        <is>
          <t>"login.placeholder": "បញ្ចូលឈ្មោះអ្នកប្រើប្រាស់",</t>
        </is>
      </c>
      <c r="N917" s="3" t="inlineStr">
        <is>
          <t>បញ្ចូលពាក្យសម្ងាត់</t>
        </is>
      </c>
    </row>
    <row r="918" ht="15.75" customHeight="1" s="305">
      <c r="A918" s="3" t="inlineStr">
        <is>
          <t>taoKien.nhapSoLuong</t>
        </is>
      </c>
      <c r="B918" s="3" t="inlineStr">
        <is>
          <t>Nhập số lượng</t>
        </is>
      </c>
      <c r="C918" s="3" t="inlineStr">
        <is>
          <t>Enter number</t>
        </is>
      </c>
      <c r="D918" s="3">
        <f>IFERROR(__xludf.DUMMYFUNCTION("GOOGLETRANSLATE(B918,""vi"",""km"")"),"បញ្ចូលបរិមាណ")</f>
        <v/>
      </c>
      <c r="E918" s="3" t="inlineStr">
        <is>
          <t>បញ្ចូលចំនួន</t>
        </is>
      </c>
      <c r="F918" s="3" t="n"/>
      <c r="G918" s="3" t="inlineStr">
        <is>
          <t>បញ្ចូលចំនួន</t>
        </is>
      </c>
      <c r="H918" t="inlineStr">
        <is>
          <t>បញ្ចូលចំនួន</t>
        </is>
      </c>
      <c r="I918" s="217" t="inlineStr">
        <is>
          <t>"taoKien.nhapSoLuong": "បញ្ចូលចំនួន",</t>
        </is>
      </c>
      <c r="N918" s="3" t="inlineStr"/>
    </row>
    <row r="919" ht="15.75" customHeight="1" s="305">
      <c r="A919" s="3" t="inlineStr">
        <is>
          <t>dieuHanh.placeholderSearchPostOffice</t>
        </is>
      </c>
      <c r="B919" s="3" t="inlineStr">
        <is>
          <t>Nhập tên để tìm kiếm</t>
        </is>
      </c>
      <c r="C919" s="3" t="inlineStr">
        <is>
          <t>Search name</t>
        </is>
      </c>
      <c r="D919" s="3">
        <f>IFERROR(__xludf.DUMMYFUNCTION("GOOGLETRANSLATE(B919,""vi"",""km"")"),"បញ្ចូលឈ្មោះដើម្បីស្វែងរក")</f>
        <v/>
      </c>
      <c r="E919" s="3" t="inlineStr">
        <is>
          <t>បញ្ចូលឈ្មោះដើម្បីស្វែ្វងរក</t>
        </is>
      </c>
      <c r="F919" s="3" t="n"/>
      <c r="G919" s="3" t="inlineStr">
        <is>
          <t>បញ្ចូលឈ្មោះដើម្បីស្វែ្វងរក</t>
        </is>
      </c>
      <c r="H919" t="inlineStr">
        <is>
          <t>បញ្ចូលឈ្មោះដើម្បីស្វែ្វងរក</t>
        </is>
      </c>
      <c r="I919" s="217" t="inlineStr">
        <is>
          <t>"dieuHanh.placeholderSearchPostOffice": "បញ្ចូលឈ្មោះដើម្បីស្វែ្វងរក",</t>
        </is>
      </c>
      <c r="N919" s="3" t="inlineStr">
        <is>
          <t>បញ្ចូលឈ្មោះសម្រាប់ស្វែងរក</t>
        </is>
      </c>
    </row>
    <row r="920" ht="15.75" customHeight="1" s="305">
      <c r="A920" s="3" t="inlineStr">
        <is>
          <t>banGiao.titlePlaceholderPostnan</t>
        </is>
      </c>
      <c r="B920" s="3" t="inlineStr">
        <is>
          <t>Nhập tên hoặc số điện thoại</t>
        </is>
      </c>
      <c r="C920" s="3" t="inlineStr">
        <is>
          <t>Enter a name or phone number</t>
        </is>
      </c>
      <c r="D920" s="3">
        <f>IFERROR(__xludf.DUMMYFUNCTION("GOOGLETRANSLATE(B920,""vi"",""km"")"),"បញ្ចូលឈ្មោះ ឬលេខទូរស័ព្ទរបស់អ្នក។")</f>
        <v/>
      </c>
      <c r="E920" s="3" t="inlineStr">
        <is>
          <t>បញ្ចូលឈ្មោះឬលេខទូរស័ព្ទ</t>
        </is>
      </c>
      <c r="F920" s="3" t="n"/>
      <c r="G920" s="3" t="inlineStr">
        <is>
          <t>បញ្ចូលឈ្មោះឬលេខទូរស័ព្ទ</t>
        </is>
      </c>
      <c r="H920" t="inlineStr">
        <is>
          <t>បញ្ចូលឈ្មោះឬលេខទូរស័ព្ទ</t>
        </is>
      </c>
      <c r="I920" s="217" t="inlineStr">
        <is>
          <t>"banGiao.titlePlaceholderPostnan": "បញ្ចូលឈ្មោះឬលេខទូរស័ព្ទ",</t>
        </is>
      </c>
      <c r="N920" s="3" t="inlineStr">
        <is>
          <t>បញ្ចូលឈ្មោះ ឬ លេខទូរស័ព្ទ</t>
        </is>
      </c>
    </row>
    <row r="921" ht="15.75" customHeight="1" s="305">
      <c r="A921" s="3" t="inlineStr">
        <is>
          <t>banGiao.searchGroupService</t>
        </is>
      </c>
      <c r="B921" s="3" t="inlineStr">
        <is>
          <t>Nhập tên nhóm dịch vụ</t>
        </is>
      </c>
      <c r="C921" s="3" t="inlineStr">
        <is>
          <t>Enter service group name</t>
        </is>
      </c>
      <c r="D921" s="3">
        <f>IFERROR(__xludf.DUMMYFUNCTION("GOOGLETRANSLATE(B921,""vi"",""km"")"),"បញ្ចូលឈ្មោះក្រុមសេវាកម្ម")</f>
        <v/>
      </c>
      <c r="E921" s="3" t="inlineStr">
        <is>
          <t>បញ្ចូលឈ្មោះក្រុមសេវាកម្ម</t>
        </is>
      </c>
      <c r="F921" s="3" t="n"/>
      <c r="G921" s="3" t="inlineStr">
        <is>
          <t>បញ្ចូលឈ្មោះក្រុមសេវាកម្ម</t>
        </is>
      </c>
      <c r="H921" t="inlineStr">
        <is>
          <t>បញ្ចូលឈ្មោះក្រុមសេវាកម្ម</t>
        </is>
      </c>
      <c r="I921" s="217" t="inlineStr">
        <is>
          <t>"banGiao.searchGroupService": "បញ្ចូលឈ្មោះក្រុមសេវាកម្ម",</t>
        </is>
      </c>
      <c r="N921" s="3" t="inlineStr">
        <is>
          <t>បញ្ចូលឈ្មោះក្រុមសេវា</t>
        </is>
      </c>
    </row>
    <row r="922" ht="15.75" customHeight="1" s="305">
      <c r="A922" s="3" t="inlineStr">
        <is>
          <t>DongTai.placeholderSearchDepartment</t>
        </is>
      </c>
      <c r="B922" s="3" t="inlineStr">
        <is>
          <t>Nhập tên và mã bưu cục</t>
        </is>
      </c>
      <c r="C922" s="3" t="inlineStr">
        <is>
          <t>Enter post office name and code</t>
        </is>
      </c>
      <c r="D922" s="3">
        <f>IFERROR(__xludf.DUMMYFUNCTION("GOOGLETRANSLATE(B922,""vi"",""km"")"),"បញ្ចូលឈ្មោះប្រៃសណីយ៍ និងលេខកូដប្រៃសណីយ៍។")</f>
        <v/>
      </c>
      <c r="E922" s="3" t="inlineStr">
        <is>
          <t>បញ្ចូលឈ្មោះ និងលេខកូដការិយាល័យប្រៃណីយ៍</t>
        </is>
      </c>
      <c r="F922" s="3" t="n"/>
      <c r="G922" s="3" t="inlineStr">
        <is>
          <t>បញ្ចូលឈ្មោះ និងលេខកូដការិយាល័យប្រៃណីយ៍</t>
        </is>
      </c>
      <c r="H922" t="inlineStr">
        <is>
          <t>បញ្ចូលឈ្មោះ និងលេខកូដការិយាល័យប្រៃណីយ៍</t>
        </is>
      </c>
      <c r="I922" s="217" t="inlineStr">
        <is>
          <t>"DongTai.placeholderSearchDepartment": "បញ្ចូលឈ្មោះ និងលេខកូដការិយាល័យប្រៃណីយ៍",</t>
        </is>
      </c>
      <c r="N922" s="3" t="inlineStr">
        <is>
          <t>បញ្ចូលឈ្មោះ និងលេខកូដសាខា</t>
        </is>
      </c>
    </row>
    <row r="923" ht="15.75" customHeight="1" s="305">
      <c r="A923" s="3" t="inlineStr">
        <is>
          <t>taoDon.enterNamePhone</t>
        </is>
      </c>
      <c r="B923" s="3" t="inlineStr">
        <is>
          <t>Nhập tên, số điện thoại, ...</t>
        </is>
      </c>
      <c r="C923" s="3" t="inlineStr">
        <is>
          <t>Enter name, phone number, ...</t>
        </is>
      </c>
      <c r="D923" s="3">
        <f>IFERROR(__xludf.DUMMYFUNCTION("GOOGLETRANSLATE(B923,""vi"",""km"")"),"បញ្ចូលឈ្មោះ លេខទូរស័ព្ទ...")</f>
        <v/>
      </c>
      <c r="E923" s="3" t="inlineStr">
        <is>
          <t>បញ្ចូលឈ្មោះ លេខទូរស័ព្ទ ...</t>
        </is>
      </c>
      <c r="F923" s="3" t="n"/>
      <c r="G923" s="3" t="inlineStr">
        <is>
          <t>បញ្ចូលឈ្មោះ លេខទូរស័ព្ទ ...</t>
        </is>
      </c>
      <c r="H923" t="inlineStr">
        <is>
          <t>បញ្ចូលឈ្មោះ លេខទូរស័ព្ទ ...</t>
        </is>
      </c>
      <c r="I923" s="217" t="inlineStr">
        <is>
          <t>"taoDon.enterNamePhone": "បញ្ចូលឈ្មោះ លេខទូរស័ព្ទ ...",</t>
        </is>
      </c>
      <c r="N923" s="3" t="inlineStr">
        <is>
          <t>បញ្ចូលឈ្មោះ, លេខទូរស័ព្ទ, ...</t>
        </is>
      </c>
    </row>
    <row r="924" ht="15.75" customHeight="1" s="305">
      <c r="A924" s="3" t="inlineStr">
        <is>
          <t>taoDon.enterNamePhoneAddress</t>
        </is>
      </c>
      <c r="B924" s="3" t="inlineStr">
        <is>
          <t>Nhập tên, số điện thoại, địa chỉ</t>
        </is>
      </c>
      <c r="C924" s="3" t="inlineStr">
        <is>
          <t>Enter name, phone number, or address</t>
        </is>
      </c>
      <c r="D924" s="3">
        <f>IFERROR(__xludf.DUMMYFUNCTION("GOOGLETRANSLATE(B924,""vi"",""km"")"),"សូមបញ្ចូលឈ្មោះ លេខទូរស័ព្ទ និងអាសយដ្ឋានរបស់អ្នក។")</f>
        <v/>
      </c>
      <c r="E924" s="3" t="inlineStr">
        <is>
          <t>បញ្ចូលឈ្មោះ លេខទូរស័ព្ទ អាសយដ្ឋាន</t>
        </is>
      </c>
      <c r="F924" s="3" t="n"/>
      <c r="G924" s="3" t="inlineStr">
        <is>
          <t>បញ្ចូលឈ្មោះ លេខទូរស័ព្ទ អាសយដ្ឋាន</t>
        </is>
      </c>
      <c r="H924" t="inlineStr">
        <is>
          <t>បញ្ចូលឈ្មោះ លេខទូរស័ព្ទ អាសយដ្ឋាន</t>
        </is>
      </c>
      <c r="I924" s="217" t="inlineStr">
        <is>
          <t>"taoDon.enterNamePhoneAddress": "បញ្ចូលឈ្មោះ លេខទូរស័ព្ទ អាសយដ្ឋាន",</t>
        </is>
      </c>
      <c r="N924" s="3" t="inlineStr">
        <is>
          <t>បញ្ចូលឈ្មោះ, លេខទូរស័ព្ទ, អាសយដ្ឋាន</t>
        </is>
      </c>
    </row>
    <row r="925" ht="15.75" customHeight="1" s="305">
      <c r="A925" s="3" t="inlineStr">
        <is>
          <t>GiaoHang.descInfoAddressNotChange</t>
        </is>
      </c>
      <c r="B925" s="3" t="inlineStr">
        <is>
          <t>Nhập thông tin hoặc chọn khu vực cần cập nhật</t>
        </is>
      </c>
      <c r="C925" s="3" t="inlineStr">
        <is>
          <t>Enter or select to update address</t>
        </is>
      </c>
      <c r="D925" s="3">
        <f>IFERROR(__xludf.DUMMYFUNCTION("GOOGLETRANSLATE(B925,""vi"",""km"")"),"បញ្ចូលព័ត៌មាន ឬជ្រើសរើសតំបន់ដើម្បីធ្វើបច្ចុប្បន្នភាព។")</f>
        <v/>
      </c>
      <c r="E925" s="3" t="inlineStr">
        <is>
          <t>បញ្ចូលព័ត៌មាន ឬជ្រើសរើសតំបន់ដើម្បីធ្វើការអាប់ដេត</t>
        </is>
      </c>
      <c r="F925" s="3" t="n"/>
      <c r="G925" s="3" t="inlineStr">
        <is>
          <t>បញ្ចូលព័ត៌មាន ឬជ្រើសរើសតំបន់ដើម្បីធ្វើការអាប់ដេត</t>
        </is>
      </c>
      <c r="H925" t="inlineStr">
        <is>
          <t>បញ្ចូលព័ត៌មាន ឬជ្រើសរើសតំបន់ដើម្បីធ្វើការអាប់ដេត</t>
        </is>
      </c>
      <c r="I925" s="217" t="inlineStr">
        <is>
          <t>"GiaoHang.descInfoAddressNotChange": "បញ្ចូលព័ត៌មាន ឬជ្រើសរើសតំបន់ដើម្បីធ្វើការអាប់ដេត",</t>
        </is>
      </c>
      <c r="N925" s="3" t="inlineStr">
        <is>
          <t>បញ្ចូលព័ត៌មាន ឬជ្រើសរើសតំបន់ដើម្បីធ្វើបច្ចុប្បន្នភាព</t>
        </is>
      </c>
    </row>
    <row r="926" ht="15.75" customHeight="1" s="305">
      <c r="A926" s="3" t="inlineStr">
        <is>
          <t>DongTai.placeholderWeight</t>
        </is>
      </c>
      <c r="B926" s="3" t="inlineStr">
        <is>
          <t>Nhập trọng lượng (g)</t>
        </is>
      </c>
      <c r="C926" s="3" t="inlineStr">
        <is>
          <t>Enter weight value (g)</t>
        </is>
      </c>
      <c r="D926" s="3">
        <f>IFERROR(__xludf.DUMMYFUNCTION("GOOGLETRANSLATE(B926,""vi"",""km"")"),"បញ្ចូលទម្ងន់ (ក្រាម)")</f>
        <v/>
      </c>
      <c r="E926" s="3" t="inlineStr">
        <is>
          <t>បញ្ចូលទម្ងន់ (ក្រាម)</t>
        </is>
      </c>
      <c r="F926" s="3" t="n"/>
      <c r="G926" s="3" t="inlineStr">
        <is>
          <t>បញ្ចូលទម្ងន់ (ក្រាម)</t>
        </is>
      </c>
      <c r="H926" t="inlineStr">
        <is>
          <t>បញ្ចូលទម្ងន់ (ក្រាម)</t>
        </is>
      </c>
      <c r="I926" s="217" t="inlineStr">
        <is>
          <t>"DongTai.placeholderWeight": "បញ្ចូលទម្ងន់ (ក្រាម)",</t>
        </is>
      </c>
      <c r="N926" s="3" t="inlineStr">
        <is>
          <t>បញ្ចូលទម្ងន់ (g)</t>
        </is>
      </c>
    </row>
    <row r="927" ht="15.75" customHeight="1" s="305">
      <c r="A927" s="3" t="inlineStr">
        <is>
          <t>GiaoHangNew.placeholder</t>
        </is>
      </c>
      <c r="B927" s="3" t="inlineStr">
        <is>
          <t>Nhập từ khoá tìm kiếm</t>
        </is>
      </c>
      <c r="C927" s="3" t="inlineStr">
        <is>
          <t>Enter search keyword</t>
        </is>
      </c>
      <c r="D927" s="3">
        <f>IFERROR(__xludf.DUMMYFUNCTION("GOOGLETRANSLATE(B927,""vi"",""km"")"),"បញ្ចូលពាក្យគន្លឹះស្វែងរក")</f>
        <v/>
      </c>
      <c r="E927" s="3" t="inlineStr">
        <is>
          <t>បញ្ចូលពាក្យគន្លឹះស្វែងរក</t>
        </is>
      </c>
      <c r="F927" s="3" t="n"/>
      <c r="G927" s="3" t="inlineStr">
        <is>
          <t>បញ្ចូលពាក្យគន្លឹះស្វែងរក</t>
        </is>
      </c>
      <c r="H927" t="inlineStr">
        <is>
          <t>បញ្ចូលពាក្យគន្លឹះស្វែងរក</t>
        </is>
      </c>
      <c r="I927" s="217" t="inlineStr">
        <is>
          <t>"GiaoHangNew.placeholder": "បញ្ចូលពាក្យគន្លឹះស្វែងរក",</t>
        </is>
      </c>
      <c r="N927" s="3" t="inlineStr"/>
    </row>
    <row r="928" ht="15.75" customHeight="1" s="305">
      <c r="A928" s="3" t="inlineStr">
        <is>
          <t>dieuHanh.searchKeyword</t>
        </is>
      </c>
      <c r="B928" s="3" t="inlineStr">
        <is>
          <t>Nhập từ khóa tìm kiếm</t>
        </is>
      </c>
      <c r="C928" s="3" t="inlineStr">
        <is>
          <t>Search keyword</t>
        </is>
      </c>
      <c r="D928" s="3">
        <f>IFERROR(__xludf.DUMMYFUNCTION("GOOGLETRANSLATE(B928,""vi"",""km"")"),"បញ្ចូលពាក្យគន្លឹះស្វែងរក")</f>
        <v/>
      </c>
      <c r="E928" s="3" t="inlineStr">
        <is>
          <t>បញ្ចូលពាក្យគន្លឹះស្វែងរក</t>
        </is>
      </c>
      <c r="F928" s="3" t="n"/>
      <c r="G928" s="3" t="inlineStr">
        <is>
          <t>បញ្ចូលពាក្យគន្លឹះស្វែងរក</t>
        </is>
      </c>
      <c r="H928" t="inlineStr">
        <is>
          <t>បញ្ចូលពាក្យគន្លឹះស្វែងរក</t>
        </is>
      </c>
      <c r="I928" s="217" t="inlineStr">
        <is>
          <t>"dieuHanh.searchKeyword": "បញ្ចូលពាក្យគន្លឹះស្វែងរក",</t>
        </is>
      </c>
      <c r="N928" s="3" t="inlineStr">
        <is>
          <t>បញ្ចូលពាក្យស្វែងរក</t>
        </is>
      </c>
    </row>
    <row r="929" ht="15.75" customHeight="1" s="305">
      <c r="A929" s="3" t="inlineStr">
        <is>
          <t>banGiao.groupService</t>
        </is>
      </c>
      <c r="B929" s="3" t="inlineStr">
        <is>
          <t>Nhóm dịch vụ</t>
        </is>
      </c>
      <c r="C929" s="3" t="inlineStr">
        <is>
          <t>Service group</t>
        </is>
      </c>
      <c r="D929" s="3">
        <f>IFERROR(__xludf.DUMMYFUNCTION("GOOGLETRANSLATE(B929,""vi"",""km"")"),"ក្រុមសេវាកម្ម")</f>
        <v/>
      </c>
      <c r="E929" s="3" t="inlineStr">
        <is>
          <t>ក្រុមសេវាកម្ម</t>
        </is>
      </c>
      <c r="F929" s="3" t="n"/>
      <c r="G929" s="3" t="inlineStr">
        <is>
          <t>ក្រុមសេវាកម្ម</t>
        </is>
      </c>
      <c r="H929" t="inlineStr">
        <is>
          <t>ក្រុមសេវាកម្ម</t>
        </is>
      </c>
      <c r="I929" s="217" t="inlineStr">
        <is>
          <t>"banGiao.groupService": "ក្រុមសេវាកម្ម",</t>
        </is>
      </c>
      <c r="N929" s="3" t="inlineStr">
        <is>
          <t>ក្រុមសេវា</t>
        </is>
      </c>
    </row>
    <row r="930" ht="15.75" customHeight="1" s="305">
      <c r="A930" s="3" t="inlineStr">
        <is>
          <t>banGiao.destination</t>
        </is>
      </c>
      <c r="B930" s="3" t="inlineStr">
        <is>
          <t>Nơi đến</t>
        </is>
      </c>
      <c r="C930" s="3" t="inlineStr">
        <is>
          <t>Destination</t>
        </is>
      </c>
      <c r="D930" s="3">
        <f>IFERROR(__xludf.DUMMYFUNCTION("GOOGLETRANSLATE(B930,""vi"",""km"")"),"គោលដៅ")</f>
        <v/>
      </c>
      <c r="E930" s="3" t="inlineStr">
        <is>
          <t>គោលដៅ</t>
        </is>
      </c>
      <c r="F930" s="3" t="n"/>
      <c r="G930" s="3" t="inlineStr">
        <is>
          <t>ទីតាំងមកដល់</t>
        </is>
      </c>
      <c r="H930" t="inlineStr">
        <is>
          <t>ទីតាំងមកដល់</t>
        </is>
      </c>
      <c r="I930" s="217" t="inlineStr">
        <is>
          <t>"banGiao.destination": "ទីតាំងមកដល់",</t>
        </is>
      </c>
      <c r="N930" s="3" t="inlineStr">
        <is>
          <t>កន្លែងផ្ញើ</t>
        </is>
      </c>
    </row>
    <row r="931" ht="15.75" customHeight="1" s="305">
      <c r="A931" s="3" t="inlineStr">
        <is>
          <t>DongTai.errorCreateCode</t>
        </is>
      </c>
      <c r="B931" s="3" t="inlineStr">
        <is>
          <t>Nơi đến không được để trống</t>
        </is>
      </c>
      <c r="C931" s="3" t="inlineStr">
        <is>
          <t>Destination cannot be empty</t>
        </is>
      </c>
      <c r="D931" s="3">
        <f>IFERROR(__xludf.DUMMYFUNCTION("GOOGLETRANSLATE(B931,""vi"",""km"")"),"វាលគោលដៅមិនត្រូវទុកចោលឱ្យទទេឡើយ។")</f>
        <v/>
      </c>
      <c r="E931" s="3" t="inlineStr">
        <is>
          <t>គោលដៅមិនអាចទុកចន្លោះបានទេ</t>
        </is>
      </c>
      <c r="F931" s="3" t="n"/>
      <c r="G931" s="3" t="inlineStr">
        <is>
          <t>ទីតាំងមកដល់មិនអាចទុកចន្លោះបាន</t>
        </is>
      </c>
      <c r="H931" t="inlineStr">
        <is>
          <t>ទីតាំងមកដល់មិនអាចទុកចន្លោះបាន</t>
        </is>
      </c>
      <c r="I931" s="217" t="inlineStr">
        <is>
          <t>"DongTai.errorCreateCode": "ទីតាំងមកដល់មិនអាចទុកចន្លោះបាន",</t>
        </is>
      </c>
      <c r="N931" s="3" t="inlineStr">
        <is>
          <t>ទីតាំងមិនអាចទទេបានទេ</t>
        </is>
      </c>
    </row>
    <row r="932" ht="15.75" customHeight="1" s="305">
      <c r="A932" s="3" t="inlineStr">
        <is>
          <t>PhanCong.hintContent</t>
        </is>
      </c>
      <c r="B932" s="3" t="inlineStr">
        <is>
          <t>Nội dung</t>
        </is>
      </c>
      <c r="C932" s="3" t="inlineStr">
        <is>
          <t>Content</t>
        </is>
      </c>
      <c r="D932" s="3">
        <f>IFERROR(__xludf.DUMMYFUNCTION("GOOGLETRANSLATE(B932,""vi"",""km"")"),"ខ្លឹមសារ")</f>
        <v/>
      </c>
      <c r="E932" s="3" t="inlineStr">
        <is>
          <t>ខ្លឹមសារ</t>
        </is>
      </c>
      <c r="F932" s="3" t="n"/>
      <c r="G932" s="3" t="inlineStr">
        <is>
          <t>ខ្លឹមសារ</t>
        </is>
      </c>
      <c r="H932" t="inlineStr">
        <is>
          <t>ខ្លឹមសារ</t>
        </is>
      </c>
      <c r="I932" s="217" t="inlineStr">
        <is>
          <t>"PhanCong.hintContent": "ខ្លឹមសារ",</t>
        </is>
      </c>
      <c r="N932" s="3" t="inlineStr">
        <is>
          <t>ខ្លឹមសារ</t>
        </is>
      </c>
    </row>
    <row r="933" ht="15.75" customHeight="1" s="305">
      <c r="A933" s="3" t="inlineStr">
        <is>
          <t>GiaoHang.warningEmptyInputReasonReject</t>
        </is>
      </c>
      <c r="B933" s="3" t="inlineStr">
        <is>
          <t>Nội dung không được để trống</t>
        </is>
      </c>
      <c r="C933" s="3" t="inlineStr">
        <is>
          <t>This field is required</t>
        </is>
      </c>
      <c r="D933" s="3">
        <f>IFERROR(__xludf.DUMMYFUNCTION("GOOGLETRANSLATE(B933,""vi"",""km"")"),"វាលនេះមិនត្រូវទុកចោលឱ្យទទេទេ។")</f>
        <v/>
      </c>
      <c r="E933" s="3" t="inlineStr">
        <is>
          <t>ខ្លឹមសារមិនអាចទុកចន្លោះបានទេ</t>
        </is>
      </c>
      <c r="F933" s="3" t="n"/>
      <c r="G933" s="3" t="inlineStr">
        <is>
          <t>ខ្លឹមសារមិនអាចទុកចន្លោះបានទេ</t>
        </is>
      </c>
      <c r="H933" t="inlineStr">
        <is>
          <t>ខ្លឹមសារមិនអាចទុកចន្លោះបានទេ</t>
        </is>
      </c>
      <c r="I933" s="217" t="inlineStr">
        <is>
          <t>"GiaoHang.warningEmptyInputReasonReject": "ខ្លឹមសារមិនអាចទុកចន្លោះបានទេ",</t>
        </is>
      </c>
      <c r="N933" s="3" t="inlineStr">
        <is>
          <t>មាតិកាមិនអាចទទេបានទេ។</t>
        </is>
      </c>
    </row>
    <row r="934" ht="15.75" customHeight="1" s="305">
      <c r="A934" s="3" t="inlineStr">
        <is>
          <t>nhanHang.noitinhLabel</t>
        </is>
      </c>
      <c r="B934" s="3" t="inlineStr">
        <is>
          <t>Nội tỉnh</t>
        </is>
      </c>
      <c r="C934" s="3" t="inlineStr">
        <is>
          <t>Intra-provincial order</t>
        </is>
      </c>
      <c r="D934" s="3">
        <f>IFERROR(__xludf.DUMMYFUNCTION("GOOGLETRANSLATE(B934,""vi"",""km"")"),"ក្នុង​ខេត្ត")</f>
        <v/>
      </c>
      <c r="E934" s="3" t="inlineStr">
        <is>
          <t>ក្នុងខេត្ត</t>
        </is>
      </c>
      <c r="F934" s="3" t="n"/>
      <c r="G934" s="3" t="inlineStr">
        <is>
          <t>ក្នុងខេត្ត</t>
        </is>
      </c>
      <c r="H934" t="inlineStr">
        <is>
          <t>ក្នុងខេត្ត</t>
        </is>
      </c>
      <c r="I934" s="217" t="inlineStr">
        <is>
          <t>"nhanHang.noitinhLabel": "ក្នុងខេត្ត",</t>
        </is>
      </c>
      <c r="N934" s="3" t="inlineStr">
        <is>
          <t>ក្នុងខេត្ត</t>
        </is>
      </c>
    </row>
    <row r="935" ht="15.75" customHeight="1" s="305">
      <c r="A935" s="3" t="inlineStr">
        <is>
          <t>nhanHang.noitinh</t>
        </is>
      </c>
      <c r="B935" s="3" t="inlineStr">
        <is>
          <t>Nội tỉnh phát hôm sau</t>
        </is>
      </c>
      <c r="C935" s="3" t="inlineStr">
        <is>
          <t>Intra-provincial next-day delivery order</t>
        </is>
      </c>
      <c r="D935" s="3">
        <f>IFERROR(__xludf.DUMMYFUNCTION("GOOGLETRANSLATE(B935,""vi"",""km"")"),"ដឹកជញ្ជូនដល់ទីកន្លែងក្នុងខេត្តនៅថ្ងៃបន្ទាប់។")</f>
        <v/>
      </c>
      <c r="E935" s="3" t="inlineStr">
        <is>
          <t>ក្នុុងខេត្តប្រគល់ថ្ងៃក្រោយ</t>
        </is>
      </c>
      <c r="F935" s="3" t="n"/>
      <c r="G935" s="3" t="inlineStr">
        <is>
          <t>ក្នុុងខេត្តប្រគល់ថ្ងៃក្រោយ</t>
        </is>
      </c>
      <c r="H935" t="inlineStr">
        <is>
          <t>ក្នុុងខេត្តប្រគល់ថ្ងៃក្រោយ</t>
        </is>
      </c>
      <c r="I935" s="217" t="inlineStr">
        <is>
          <t>"nhanHang.noitinh": "ក្នុុងខេត្តប្រគល់ថ្ងៃក្រោយ",</t>
        </is>
      </c>
      <c r="N935" s="3" t="inlineStr">
        <is>
          <t>ដឹកក្នុងខេត្ត ថ្ងៃបន្ទាប់</t>
        </is>
      </c>
    </row>
    <row r="936" ht="15.75" customHeight="1" s="305">
      <c r="A936" s="3" t="inlineStr">
        <is>
          <t>debit.payment_clear</t>
        </is>
      </c>
      <c r="B936" s="3" t="inlineStr">
        <is>
          <t>Nộp bảng kê</t>
        </is>
      </c>
      <c r="C936" s="3" t="inlineStr">
        <is>
          <t>Submit</t>
        </is>
      </c>
      <c r="D936" s="3">
        <f>IFERROR(__xludf.DUMMYFUNCTION("GOOGLETRANSLATE(B936,""vi"",""km"")"),"ដាក់ស្នើសេចក្តីថ្លែងការណ៍")</f>
        <v/>
      </c>
      <c r="E936" s="3" t="inlineStr">
        <is>
          <t>ជូនតារាង</t>
        </is>
      </c>
      <c r="F936" s="3" t="n"/>
      <c r="G936" s="3" t="inlineStr">
        <is>
          <t>ជូនតារាង</t>
        </is>
      </c>
      <c r="H936" t="inlineStr">
        <is>
          <t>ជូនតារាង</t>
        </is>
      </c>
      <c r="I936" s="217" t="inlineStr">
        <is>
          <t>"debit.payment_clear": "ជូនតារាង",</t>
        </is>
      </c>
      <c r="N936" s="3" t="inlineStr">
        <is>
          <t>ដាក់ស្នើតារាងបញ្ញើ</t>
        </is>
      </c>
    </row>
    <row r="937" ht="15.75" customHeight="1" s="305">
      <c r="A937" s="3" t="inlineStr">
        <is>
          <t>debit.error_confirm_clear</t>
        </is>
      </c>
      <c r="B937" s="3" t="inlineStr">
        <is>
          <t>Nộp bảng kê không thành công</t>
        </is>
      </c>
      <c r="C937" s="3" t="inlineStr">
        <is>
          <t>Payment clear failed</t>
        </is>
      </c>
      <c r="D937" s="3">
        <f>IFERROR(__xludf.DUMMYFUNCTION("GOOGLETRANSLATE(B937,""vi"",""km"")"),"ការដាក់ស្នើសេចក្តីថ្លែងការណ៍បរាជ័យ")</f>
        <v/>
      </c>
      <c r="E937" s="3" t="inlineStr">
        <is>
          <t>ជូនតារាងបរាជ័យ</t>
        </is>
      </c>
      <c r="F937" s="3" t="n"/>
      <c r="G937" s="3" t="inlineStr">
        <is>
          <t>ជូនតារាងបរាជ័យ</t>
        </is>
      </c>
      <c r="H937" t="inlineStr">
        <is>
          <t>ជូនតារាងបរាជ័យ</t>
        </is>
      </c>
      <c r="I937" s="217" t="inlineStr">
        <is>
          <t>"debit.error_confirm_clear": "ជូនតារាងបរាជ័យ",</t>
        </is>
      </c>
      <c r="N937" s="3" t="inlineStr">
        <is>
          <t>បញ្ជូនបញ្ចីមិនជោគជ័យ</t>
        </is>
      </c>
    </row>
    <row r="938" ht="15.75" customHeight="1" s="305">
      <c r="A938" s="3" t="inlineStr">
        <is>
          <t>debit.success_confirm_clear</t>
        </is>
      </c>
      <c r="B938" s="3" t="inlineStr">
        <is>
          <t>Nộp bảng kê thành công</t>
        </is>
      </c>
      <c r="C938" s="3" t="inlineStr">
        <is>
          <t>Payment clear successfully</t>
        </is>
      </c>
      <c r="D938" s="3">
        <f>IFERROR(__xludf.DUMMYFUNCTION("GOOGLETRANSLATE(B938,""vi"",""km"")"),"សេចក្តីថ្លែងការណ៍ត្រូវបានដាក់ស្នើដោយជោគជ័យ។")</f>
        <v/>
      </c>
      <c r="E938" s="3" t="inlineStr">
        <is>
          <t>ជូនតារាងបានជោគជ័យ</t>
        </is>
      </c>
      <c r="F938" s="3" t="n"/>
      <c r="G938" s="3" t="inlineStr">
        <is>
          <t>ជូនតារាងបានជោគជ័យ</t>
        </is>
      </c>
      <c r="H938" t="inlineStr">
        <is>
          <t>ជូនតារាងបានជោគជ័យ</t>
        </is>
      </c>
      <c r="I938" s="217" t="inlineStr">
        <is>
          <t>"debit.success_confirm_clear": "ជូនតារាងបានជោគជ័យ",</t>
        </is>
      </c>
      <c r="N938" s="3" t="inlineStr">
        <is>
          <t>បញ្ជូនបញ្ចីដោយជោគជ័យ</t>
        </is>
      </c>
    </row>
    <row r="939" ht="15.75" customHeight="1" s="305">
      <c r="A939" s="3" t="inlineStr">
        <is>
          <t>debit.payment</t>
        </is>
      </c>
      <c r="B939" s="3" t="inlineStr">
        <is>
          <t>Nộp tiền</t>
        </is>
      </c>
      <c r="C939" s="3" t="inlineStr">
        <is>
          <t>Payment</t>
        </is>
      </c>
      <c r="D939" s="3">
        <f>IFERROR(__xludf.DUMMYFUNCTION("GOOGLETRANSLATE(B939,""vi"",""km"")"),"បង់ប្រាក់")</f>
        <v/>
      </c>
      <c r="E939" s="3" t="inlineStr">
        <is>
          <t>បង់ប្រាក់</t>
        </is>
      </c>
      <c r="F939" s="3" t="n"/>
      <c r="G939" s="3" t="inlineStr">
        <is>
          <t>បង់ប្រាក់</t>
        </is>
      </c>
      <c r="H939" t="inlineStr">
        <is>
          <t>បង់ប្រាក់</t>
        </is>
      </c>
      <c r="I939" s="217" t="inlineStr">
        <is>
          <t>"debit.payment": "បង់ប្រាក់",</t>
        </is>
      </c>
      <c r="N939" s="3" t="inlineStr">
        <is>
          <t>ដាក់ប្រាក់</t>
        </is>
      </c>
    </row>
    <row r="940" ht="15.75" customHeight="1" s="305">
      <c r="A940" s="3" t="inlineStr">
        <is>
          <t>common.server_error</t>
        </is>
      </c>
      <c r="B940" s="3" t="inlineStr">
        <is>
          <t>Opps! Đã có lỗi xảy ra. Vui lòng thử lại sau.</t>
        </is>
      </c>
      <c r="C940" s="3" t="inlineStr">
        <is>
          <t>Oops! Some thing went wrong! Please try again.</t>
        </is>
      </c>
      <c r="D940" s="3">
        <f>IFERROR(__xludf.DUMMYFUNCTION("GOOGLETRANSLATE(B940,""vi"",""km"")"),"អូ៎! មានកំហុសកើតឡើង។ សូមព្យាយាមម្តងទៀតនៅពេលក្រោយ។")</f>
        <v/>
      </c>
      <c r="E940" s="3" t="inlineStr">
        <is>
          <t>អូ! មានបញ្ហាកើតឡើងហើយ។ សូមព្យាយាមម្តងទៀតនៅពេលក្រោយ។</t>
        </is>
      </c>
      <c r="F940" s="3" t="n"/>
      <c r="G940" s="3" t="inlineStr">
        <is>
          <t>អូ! មានបញ្ហាកើតឡើងហើយ។ សូមព្យាយាមម្តងទៀតនៅពេលក្រោយ។</t>
        </is>
      </c>
      <c r="H940" t="inlineStr">
        <is>
          <t>អូ! មានបញ្ហាកើតឡើងហើយ។ សូមព្យាយាមម្តងទៀតនៅពេលក្រោយ។</t>
        </is>
      </c>
      <c r="I940" s="217" t="inlineStr">
        <is>
          <t>"common.server_error": "អូ! មានបញ្ហាកើតឡើងហើយ។ សូមព្យាយាមម្តងទៀតនៅពេលក្រោយ។",</t>
        </is>
      </c>
      <c r="N940" s="3" t="inlineStr">
        <is>
          <t>Opps! មានកំហុសកើតឡើង។ សូម​ព្យាយាម​ម្តង​ទៀត​នៅ​ពេល​ក្រោយ។</t>
        </is>
      </c>
    </row>
    <row r="941" ht="15.75" customHeight="1" s="305">
      <c r="A941" s="3" t="inlineStr">
        <is>
          <t>change_password.otp_timeout</t>
        </is>
      </c>
      <c r="B941" s="3" t="inlineStr">
        <is>
          <t>OTP đã hết hạn</t>
        </is>
      </c>
      <c r="C941" s="3" t="inlineStr">
        <is>
          <t>OTP has expired</t>
        </is>
      </c>
      <c r="D941" s="3">
        <f>IFERROR(__xludf.DUMMYFUNCTION("GOOGLETRANSLATE(B941,""vi"",""km"")"),"លេខ OTP ផុតកំណត់ហើយ។")</f>
        <v/>
      </c>
      <c r="E941" s="3" t="inlineStr">
        <is>
          <t>OTP ផុតកំណត់ហើយ</t>
        </is>
      </c>
      <c r="F941" s="3" t="n"/>
      <c r="G941" s="3" t="inlineStr">
        <is>
          <t>OTP ផុតកំណត់ហើយ</t>
        </is>
      </c>
      <c r="H941" t="inlineStr">
        <is>
          <t>OTP ផុតកំណត់ហើយ</t>
        </is>
      </c>
      <c r="I941" s="217" t="inlineStr">
        <is>
          <t>"change_password.otp_timeout": "OTP ផុតកំណត់ហើយ",</t>
        </is>
      </c>
      <c r="N941" s="3" t="inlineStr">
        <is>
          <t>OTP ផុតកំណត់</t>
        </is>
      </c>
    </row>
    <row r="942" ht="15.75" customHeight="1" s="305">
      <c r="A942" s="3" t="inlineStr">
        <is>
          <t>home.phancong</t>
        </is>
      </c>
      <c r="B942" s="3" t="inlineStr">
        <is>
          <t>Phân công</t>
        </is>
      </c>
      <c r="C942" s="3" t="inlineStr">
        <is>
          <t>Assign</t>
        </is>
      </c>
      <c r="D942" s="3">
        <f>IFERROR(__xludf.DUMMYFUNCTION("GOOGLETRANSLATE(B942,""vi"",""km"")"),"កិច្ចការ")</f>
        <v/>
      </c>
      <c r="E942" s="3" t="inlineStr">
        <is>
          <t>ប្រគល់ការងារ</t>
        </is>
      </c>
      <c r="F942" s="3" t="n"/>
      <c r="G942" s="3" t="inlineStr">
        <is>
          <t>ប្រគល់ការងារ</t>
        </is>
      </c>
      <c r="H942" t="inlineStr">
        <is>
          <t>ប្រគល់ការងារ</t>
        </is>
      </c>
      <c r="I942" s="217" t="inlineStr">
        <is>
          <t>"home.phancong": "ប្រគល់ការងារ",</t>
        </is>
      </c>
      <c r="N942" s="3" t="inlineStr">
        <is>
          <t>កិច្ចការ</t>
        </is>
      </c>
    </row>
    <row r="943" ht="15.75" customHeight="1" s="305">
      <c r="A943" s="3" t="inlineStr">
        <is>
          <t>banGiao.assignment</t>
        </is>
      </c>
      <c r="B943" s="3" t="inlineStr">
        <is>
          <t>Phân công</t>
        </is>
      </c>
      <c r="C943" s="3" t="inlineStr">
        <is>
          <t>Assignment</t>
        </is>
      </c>
      <c r="D943" s="3">
        <f>IFERROR(__xludf.DUMMYFUNCTION("GOOGLETRANSLATE(B943,""vi"",""km"")"),"កិច្ចការ")</f>
        <v/>
      </c>
      <c r="E943" s="3" t="inlineStr">
        <is>
          <t>ប្រគល់ការងារ</t>
        </is>
      </c>
      <c r="F943" s="3" t="n"/>
      <c r="G943" s="3" t="inlineStr">
        <is>
          <t>ប្រគល់ការងារ</t>
        </is>
      </c>
      <c r="H943" t="inlineStr">
        <is>
          <t>ប្រគល់ការងារ</t>
        </is>
      </c>
      <c r="I943" s="217" t="inlineStr">
        <is>
          <t>"banGiao.assignment": "ប្រគល់ការងារ",</t>
        </is>
      </c>
      <c r="N943" s="3" t="inlineStr">
        <is>
          <t>ការបញ្ចូល</t>
        </is>
      </c>
    </row>
    <row r="944" ht="15.75" customHeight="1" s="305">
      <c r="A944" s="3" t="inlineStr">
        <is>
          <t>PhanCong.homeTab</t>
        </is>
      </c>
      <c r="B944" s="3" t="inlineStr">
        <is>
          <t>Phân công</t>
        </is>
      </c>
      <c r="C944" s="3" t="inlineStr">
        <is>
          <t>Assigned to deliver</t>
        </is>
      </c>
      <c r="D944" s="3">
        <f>IFERROR(__xludf.DUMMYFUNCTION("GOOGLETRANSLATE(B944,""vi"",""km"")"),"កិច្ចការ")</f>
        <v/>
      </c>
      <c r="E944" s="3" t="inlineStr">
        <is>
          <t>ប្រគល់ការងារ</t>
        </is>
      </c>
      <c r="F944" s="3" t="n"/>
      <c r="G944" s="3" t="inlineStr">
        <is>
          <t>ប្រគល់ការងារ</t>
        </is>
      </c>
      <c r="H944" t="inlineStr">
        <is>
          <t>ប្រគល់ការងារ</t>
        </is>
      </c>
      <c r="I944" s="217" t="inlineStr">
        <is>
          <t>"PhanCong.homeTab": "ប្រគល់ការងារ",</t>
        </is>
      </c>
      <c r="N944" s="3" t="inlineStr">
        <is>
          <t>ការចែកចាយ</t>
        </is>
      </c>
    </row>
    <row r="945" ht="15.75" customHeight="1" s="305">
      <c r="A945" s="3" t="inlineStr">
        <is>
          <t>mainStatus.401</t>
        </is>
      </c>
      <c r="B945" s="3" t="inlineStr">
        <is>
          <t>Phân công giao - Đã hoàn thành</t>
        </is>
      </c>
      <c r="C945" s="3" t="inlineStr">
        <is>
          <t>Assigned to deliver</t>
        </is>
      </c>
      <c r="D945" s="3">
        <f>IFERROR(__xludf.DUMMYFUNCTION("GOOGLETRANSLATE(B945,""vi"",""km"")"),"កិច្ចការបានបញ្ចប់")</f>
        <v/>
      </c>
      <c r="E945" s="3" t="inlineStr">
        <is>
          <t>បែងចែងការប្រគល់-បានបញ្ចប់</t>
        </is>
      </c>
      <c r="F945" s="3" t="n"/>
      <c r="G945" s="3" t="inlineStr">
        <is>
          <t>ចាត់តាំងការដឹកជញ្ជូន - បានបញ្ចប់</t>
        </is>
      </c>
      <c r="H945" t="inlineStr">
        <is>
          <t>ចាត់តាំងការដឹកជញ្ជូន - បានបញ្ចប់</t>
        </is>
      </c>
      <c r="I945" s="217" t="inlineStr">
        <is>
          <t>"mainStatus.401": "ចាត់តាំងការដឹកជញ្ជូន - បានបញ្ចប់",</t>
        </is>
      </c>
      <c r="N945" s="163" t="inlineStr">
        <is>
          <t>ត្រូវបានចាត់តាំងឱ្យចែកចាយ</t>
        </is>
      </c>
    </row>
    <row r="946" ht="15.75" customHeight="1" s="305">
      <c r="A946" s="3" t="inlineStr">
        <is>
          <t>mainStatus.511</t>
        </is>
      </c>
      <c r="B946" s="3" t="inlineStr">
        <is>
          <t>Phân công giao hoàn - Đã hoàn thành</t>
        </is>
      </c>
      <c r="C946" s="3" t="inlineStr">
        <is>
          <t>Return assignment - Completed</t>
        </is>
      </c>
      <c r="D946" s="3">
        <f>IFERROR(__xludf.DUMMYFUNCTION("GOOGLETRANSLATE(B946,""vi"",""km"")"),"ការប្រគល់ភារកិច្ច - បានបញ្ចប់")</f>
        <v/>
      </c>
      <c r="E946" s="3" t="inlineStr">
        <is>
          <t>បែងចែងការប្រគល់ត្រលប់-បានបញ្ចប់</t>
        </is>
      </c>
      <c r="F946" s="3" t="n"/>
      <c r="G946" s="3" t="inlineStr">
        <is>
          <t>បែងចែងការប្រគល់ត្រលប់-បានបញ្ចប់</t>
        </is>
      </c>
      <c r="H946" t="inlineStr">
        <is>
          <t>បែងចែងការប្រគល់ត្រលប់-បានបញ្ចប់</t>
        </is>
      </c>
      <c r="I946" s="217" t="inlineStr">
        <is>
          <t>"mainStatus.511": "បែងចែងការប្រគល់ត្រលប់-បានបញ្ចប់",</t>
        </is>
      </c>
      <c r="N946" s="163" t="inlineStr">
        <is>
          <t>កិច្ចការត្រឡប់ - បានបញ្ចប់</t>
        </is>
      </c>
    </row>
    <row r="947" ht="15.75" customHeight="1" s="305">
      <c r="A947" s="3" t="inlineStr">
        <is>
          <t>PhanCong.titleNewAssign</t>
        </is>
      </c>
      <c r="B947" s="3" t="inlineStr">
        <is>
          <t>Phân công mới</t>
        </is>
      </c>
      <c r="C947" s="3" t="inlineStr">
        <is>
          <t>New assignment</t>
        </is>
      </c>
      <c r="D947" s="3">
        <f>IFERROR(__xludf.DUMMYFUNCTION("GOOGLETRANSLATE(B947,""vi"",""km"")"),"កិច្ចការថ្មី")</f>
        <v/>
      </c>
      <c r="E947" s="3" t="inlineStr">
        <is>
          <t>ប្រគល់ការងារថ្មី</t>
        </is>
      </c>
      <c r="F947" s="3" t="n"/>
      <c r="G947" s="3" t="inlineStr">
        <is>
          <t>ប្រគល់ការងារថ្មី</t>
        </is>
      </c>
      <c r="H947" t="inlineStr">
        <is>
          <t>ប្រគល់ការងារថ្មី</t>
        </is>
      </c>
      <c r="I947" s="217" t="inlineStr">
        <is>
          <t>"PhanCong.titleNewAssign": "ប្រគល់ការងារថ្មី",</t>
        </is>
      </c>
      <c r="N947" s="3" t="inlineStr">
        <is>
          <t>ការចែកចាយថ្មី</t>
        </is>
      </c>
    </row>
    <row r="948" ht="15.75" customHeight="1" s="305">
      <c r="A948" s="3" t="inlineStr">
        <is>
          <t>mainStatus.473</t>
        </is>
      </c>
      <c r="B948" s="3" t="inlineStr">
        <is>
          <t>Phát tiếp</t>
        </is>
      </c>
      <c r="C948" s="3" t="inlineStr">
        <is>
          <t>Deliver next</t>
        </is>
      </c>
      <c r="D948" s="3">
        <f>IFERROR(__xludf.DUMMYFUNCTION("GOOGLETRANSLATE(B948,""vi"",""km"")"),"លេងម្តងទៀត")</f>
        <v/>
      </c>
      <c r="E948" s="3" t="inlineStr">
        <is>
          <t>ប្រគល់បន្ត</t>
        </is>
      </c>
      <c r="F948" s="3" t="n"/>
      <c r="G948" s="3" t="inlineStr">
        <is>
          <t>ដឹកជញ្ជូនបន្ត</t>
        </is>
      </c>
      <c r="H948" t="inlineStr">
        <is>
          <t>ដឹកជញ្ជូនបន្ត</t>
        </is>
      </c>
      <c r="I948" s="217" t="inlineStr">
        <is>
          <t>"mainStatus.473": "ដឹកជញ្ជូនបន្ត",</t>
        </is>
      </c>
      <c r="N948" s="3" t="inlineStr">
        <is>
          <t>បន្តប្រគល់ប្រាក់</t>
        </is>
      </c>
    </row>
    <row r="949" ht="15.75" customHeight="1" s="305">
      <c r="A949" s="3" t="inlineStr">
        <is>
          <t>nhanHang.phi</t>
        </is>
      </c>
      <c r="B949" s="3" t="inlineStr">
        <is>
          <t>Phí</t>
        </is>
      </c>
      <c r="C949" s="3" t="inlineStr">
        <is>
          <t>Fee</t>
        </is>
      </c>
      <c r="D949" s="3">
        <f>IFERROR(__xludf.DUMMYFUNCTION("GOOGLETRANSLATE(B949,""vi"",""km"")"),"ថ្លៃសេវា")</f>
        <v/>
      </c>
      <c r="E949" s="3" t="inlineStr">
        <is>
          <t>ថ្លៃសេវា</t>
        </is>
      </c>
      <c r="F949" s="3" t="n"/>
      <c r="G949" s="3" t="inlineStr">
        <is>
          <t>ថ្លៃសេវា</t>
        </is>
      </c>
      <c r="H949" t="inlineStr">
        <is>
          <t>ថ្លៃសេវា</t>
        </is>
      </c>
      <c r="I949" s="217" t="inlineStr">
        <is>
          <t>"nhanHang.phi": "ថ្លៃសេវា",</t>
        </is>
      </c>
      <c r="N949" s="3" t="inlineStr">
        <is>
          <t>ថ្លៃដឹកជញ្ជូន</t>
        </is>
      </c>
    </row>
    <row r="950" ht="15.75" customHeight="1" s="305">
      <c r="A950" s="3" t="inlineStr">
        <is>
          <t>login.forceUpdateCurrentVersionPrefix</t>
        </is>
      </c>
      <c r="B950" s="3" t="inlineStr">
        <is>
          <t xml:space="preserve">Phiên bản hiện tại: </t>
        </is>
      </c>
      <c r="C950" s="3" t="inlineStr">
        <is>
          <t xml:space="preserve">Current version: </t>
        </is>
      </c>
      <c r="D950" s="3">
        <f>IFERROR(__xludf.DUMMYFUNCTION("GOOGLETRANSLATE(B950,""vi"",""km"")"),"កំណែបច្ចុប្បន្ន៖")</f>
        <v/>
      </c>
      <c r="E950" s="3" t="inlineStr">
        <is>
          <t>ទម្រង់បច្ចុប្បន្ន៖</t>
        </is>
      </c>
      <c r="F950" s="3" t="n"/>
      <c r="G950" s="3" t="inlineStr">
        <is>
          <t>ទម្រង់បច្ចុប្បន្ន៖</t>
        </is>
      </c>
      <c r="H950" t="inlineStr">
        <is>
          <t>ទម្រង់បច្ចុប្បន្ន៖</t>
        </is>
      </c>
      <c r="I950" s="217" t="inlineStr">
        <is>
          <t>"login.forceUpdateCurrentVersionPrefix": "ទម្រង់បច្ចុប្បន្ន៖",</t>
        </is>
      </c>
      <c r="N950" s="3" t="inlineStr">
        <is>
          <t xml:space="preserve">កំណែបច្ចុប្បន្ន: </t>
        </is>
      </c>
    </row>
    <row r="951" ht="15.75" customHeight="1" s="305">
      <c r="A951" s="3" t="inlineStr">
        <is>
          <t>suaDon.billCode</t>
        </is>
      </c>
      <c r="B951" s="3" t="inlineStr">
        <is>
          <t>Phiếu gửi</t>
        </is>
      </c>
      <c r="C951" s="3" t="inlineStr">
        <is>
          <t>Postal slip</t>
        </is>
      </c>
      <c r="D951" s="3">
        <f>IFERROR(__xludf.DUMMYFUNCTION("GOOGLETRANSLATE(B951,""vi"",""km"")"),"កំណត់ចំណាំដឹកជញ្ជូន")</f>
        <v/>
      </c>
      <c r="E951" s="3" t="inlineStr">
        <is>
          <t>បុងបញ្ញើ</t>
        </is>
      </c>
      <c r="F951" s="3" t="n"/>
      <c r="G951" s="3" t="inlineStr">
        <is>
          <t>បុងបញ្ញើ</t>
        </is>
      </c>
      <c r="H951" t="inlineStr">
        <is>
          <t>បុងបញ្ញើ</t>
        </is>
      </c>
      <c r="I951" s="217" t="inlineStr">
        <is>
          <t>"suaDon.billCode": "បុងបញ្ញើ",</t>
        </is>
      </c>
      <c r="N951" s="3" t="inlineStr">
        <is>
          <t>កញ្ចប់បញ្ញើ</t>
        </is>
      </c>
    </row>
    <row r="952" ht="15.75" customHeight="1" s="305">
      <c r="A952" s="3" t="inlineStr">
        <is>
          <t>khaiThacDen.sendingTicketWrongDeliveryAddress</t>
        </is>
      </c>
      <c r="B952" s="3" t="inlineStr">
        <is>
          <t>Phiếu gửi {{listNhan}}, sai địa danh phát, sang tab "chuyển tiếp" để xử lý</t>
        </is>
      </c>
      <c r="C952" s="3" t="inlineStr">
        <is>
          <t>Postal slip {{listNhan}} is wrong-delivery-addressed. Switch to Forward tab to process</t>
        </is>
      </c>
      <c r="D952" s="3">
        <f>IFERROR(__xludf.DUMMYFUNCTION("GOOGLETRANSLATE(B952,""vi"",""km"")"),"បង្កាន់ដៃដឹកជញ្ជូន {{listNhan}} មានអាសយដ្ឋានដឹកជញ្ជូនមិនត្រឹមត្រូវ។ សូមចូលទៅកាន់ផ្ទាំង ""បញ្ជូនបន្ត"" ដើម្បីដំណើរការ។")</f>
        <v/>
      </c>
      <c r="E952" s="3" t="inlineStr">
        <is>
          <t>បុងបញ្ញើ{{listNhan}},ខុសទីតាំងប្រគល់, ចុចចូល "បន្ត" ដើម្បីដោះស្រាយ</t>
        </is>
      </c>
      <c r="F952" s="3" t="n"/>
      <c r="G952" s="3" t="inlineStr">
        <is>
          <t>បុងបញ្ញើ{{listNhan}},ខុសទីតាំងប្រគល់, ចុចចូល "បន្ត" ដើម្បីដោះស្រាយ</t>
        </is>
      </c>
      <c r="H952" t="inlineStr">
        <is>
          <t>បុងបញ្ញើ{{listNhan}},ខុសទីតាំងប្រគល់, ចុចចូល "បន្ត" ដើម្បីដោះស្រាយ</t>
        </is>
      </c>
      <c r="I952" s="217" t="inlineStr">
        <is>
          <t>"khaiThacDen.sendingTicketWrongDeliveryAddress": "បុងបញ្ញើ{{listNhan}},ខុសទីតាំងប្រគល់, ចុចចូល "បន្ត" ដើម្បីដោះស្រាយ",</t>
        </is>
      </c>
      <c r="N952" s="3" t="inlineStr">
        <is>
          <t>បណ្ឌបញ្ញើ {{listNhan}}, ខុសអាសយដ្ឋានដឹកជញ្ជូន, ចូលទៅកាន់ "បញ្ចូនបន្ត" ដើម្បីដោះស្រាយ</t>
        </is>
      </c>
    </row>
    <row r="953" ht="15.75" customHeight="1" s="305">
      <c r="A953" s="3" t="inlineStr">
        <is>
          <t>taoKien.messageTrongLuongKhongDuDieuKienTaoKien</t>
        </is>
      </c>
      <c r="B953" s="3" t="inlineStr">
        <is>
          <t>Phiếu gửi nhỏ hơn 3kg không được tạo kiện</t>
        </is>
      </c>
      <c r="C953" s="3" t="inlineStr">
        <is>
          <t>Shipments under 3kg cannot be packed</t>
        </is>
      </c>
      <c r="D953" s="3">
        <f>IFERROR(__xludf.DUMMYFUNCTION("GOOGLETRANSLATE(B953,""vi"",""km"")"),"កញ្ចប់សម្រាប់របស់របរដែលមានទម្ងន់ក្រោម 3 គីឡូក្រាមនឹងមិនត្រូវបានដំណើរការទេ។")</f>
        <v/>
      </c>
      <c r="E953" s="3" t="inlineStr">
        <is>
          <t>បង្កាន់ដៃដឹកជញ្ជូនតូចជាង 3 គីឡូក្រាមមិនអាចបង្កើតបានទេ</t>
        </is>
      </c>
      <c r="F953" s="3" t="n"/>
      <c r="G953" s="3" t="inlineStr">
        <is>
          <t>បុងបញ្ញើតូចជាង 3 គីឡូក្រាមមិនអាចបង្កើតបានទេ</t>
        </is>
      </c>
      <c r="H953" t="inlineStr">
        <is>
          <t>បុងបញ្ញើតូចជាង 3 គីឡូក្រាមមិនអាចបង្កើតបានទេ</t>
        </is>
      </c>
      <c r="I953" s="217" t="inlineStr">
        <is>
          <t>"taoKien.messageTrongLuongKhongDuDieuKienTaoKien": "បុងបញ្ញើតូចជាង 3 គីឡូក្រាមមិនអាចបង្កើតបានទេ",</t>
        </is>
      </c>
      <c r="N953" s="3" t="inlineStr"/>
    </row>
    <row r="954" ht="15.75" customHeight="1" s="305">
      <c r="A954" s="3" t="inlineStr">
        <is>
          <t>suaDon.surcharge</t>
        </is>
      </c>
      <c r="B954" s="3" t="inlineStr">
        <is>
          <t>Phụ phí</t>
        </is>
      </c>
      <c r="C954" s="3" t="inlineStr">
        <is>
          <t>Surcharge</t>
        </is>
      </c>
      <c r="D954" s="3">
        <f>IFERROR(__xludf.DUMMYFUNCTION("GOOGLETRANSLATE(B954,""vi"",""km"")"),"ការគិតថ្លៃបន្ថែម")</f>
        <v/>
      </c>
      <c r="E954" s="3" t="inlineStr">
        <is>
          <t>សេវាបន្ថែម</t>
        </is>
      </c>
      <c r="F954" s="3" t="n"/>
      <c r="G954" s="3" t="inlineStr">
        <is>
          <t>ថ្លៃសេវាបន្ថែម</t>
        </is>
      </c>
      <c r="H954" t="inlineStr">
        <is>
          <t>ថ្លៃសេវាបន្ថែម</t>
        </is>
      </c>
      <c r="I954" s="217" t="inlineStr">
        <is>
          <t>"suaDon.surcharge": "ថ្លៃសេវាបន្ថែម",</t>
        </is>
      </c>
      <c r="N954" s="3" t="inlineStr">
        <is>
          <t>ថ្លៃបញ្ថែម</t>
        </is>
      </c>
    </row>
    <row r="955" ht="15.75" customHeight="1" s="305">
      <c r="A955" s="3" t="inlineStr">
        <is>
          <t>taoDon.loadingFee</t>
        </is>
      </c>
      <c r="B955" s="3" t="inlineStr">
        <is>
          <t>Phụ phí bốc xếp</t>
        </is>
      </c>
      <c r="C955" s="3" t="inlineStr">
        <is>
          <t>Handling surcharge</t>
        </is>
      </c>
      <c r="D955" s="3">
        <f>IFERROR(__xludf.DUMMYFUNCTION("GOOGLETRANSLATE(B955,""vi"",""km"")"),"ការគិតថ្លៃបន្ថែមសម្រាប់ការផ្ទុក និង ការផ្ទុកទំនិញចេញ")</f>
        <v/>
      </c>
      <c r="E955" s="3" t="inlineStr">
        <is>
          <t>ថ្លៃសេវាលើកដាក់បន្ថែម</t>
        </is>
      </c>
      <c r="F955" s="3" t="n"/>
      <c r="G955" s="3" t="inlineStr">
        <is>
          <t>ថ្លៃសេវាលើកដាក់បន្ថែម</t>
        </is>
      </c>
      <c r="H955" t="inlineStr">
        <is>
          <t>ថ្លៃសេវាលើកដាក់បន្ថែម</t>
        </is>
      </c>
      <c r="I955" s="217" t="inlineStr">
        <is>
          <t>"taoDon.loadingFee": "ថ្លៃសេវាលើកដាក់បន្ថែម",</t>
        </is>
      </c>
      <c r="N955" s="3" t="inlineStr">
        <is>
          <t>ថ្លៃបន្ថែមសម្រាប់បន្ទុក</t>
        </is>
      </c>
    </row>
    <row r="956" ht="15.75" customHeight="1" s="305">
      <c r="A956" s="3" t="inlineStr">
        <is>
          <t>taoDon.packingFee</t>
        </is>
      </c>
      <c r="B956" s="3" t="inlineStr">
        <is>
          <t>Phụ phí đóng gói</t>
        </is>
      </c>
      <c r="C956" s="3" t="inlineStr">
        <is>
          <t>Packaging surcharge</t>
        </is>
      </c>
      <c r="D956" s="3">
        <f>IFERROR(__xludf.DUMMYFUNCTION("GOOGLETRANSLATE(B956,""vi"",""km"")"),"ការគិតថ្លៃបន្ថែមលើការវេចខ្ចប់")</f>
        <v/>
      </c>
      <c r="E956" s="3" t="inlineStr">
        <is>
          <t>ថ្លៃសេវាវេចខ្ចប់បន្ថែម</t>
        </is>
      </c>
      <c r="F956" s="3" t="n"/>
      <c r="G956" s="3" t="inlineStr">
        <is>
          <t>ថ្លៃសេវាវេចខ្ចប់បន្ថែម</t>
        </is>
      </c>
      <c r="H956" t="inlineStr">
        <is>
          <t>ថ្លៃសេវាវេចខ្ចប់បន្ថែម</t>
        </is>
      </c>
      <c r="I956" s="217" t="inlineStr">
        <is>
          <t>"taoDon.packingFee": "ថ្លៃសេវាវេចខ្ចប់បន្ថែម",</t>
        </is>
      </c>
      <c r="N956" s="3" t="inlineStr">
        <is>
          <t>ថ្លៃបន្ថែមសម្រាប់ការវេចខ្ចប់</t>
        </is>
      </c>
    </row>
    <row r="957" ht="15.75" customHeight="1" s="305">
      <c r="A957" s="3" t="inlineStr">
        <is>
          <t>taoDon.otherFee</t>
        </is>
      </c>
      <c r="B957" s="3" t="inlineStr">
        <is>
          <t>Phụ phí khác</t>
        </is>
      </c>
      <c r="C957" s="3" t="inlineStr">
        <is>
          <t>Other surcharges</t>
        </is>
      </c>
      <c r="D957" s="3">
        <f>IFERROR(__xludf.DUMMYFUNCTION("GOOGLETRANSLATE(B957,""vi"",""km"")"),"ការគិតថ្លៃបន្ថែមផ្សេងទៀត")</f>
        <v/>
      </c>
      <c r="E957" s="3" t="inlineStr">
        <is>
          <t>សេវាបន្ថែ្ថមផ្សេងៗ</t>
        </is>
      </c>
      <c r="F957" s="3" t="n"/>
      <c r="G957" s="3" t="inlineStr">
        <is>
          <t>សេវាបន្ថែ្ថមផ្សេងៗ</t>
        </is>
      </c>
      <c r="H957" t="inlineStr">
        <is>
          <t>សេវាបន្ថែ្ថមផ្សេងៗ</t>
        </is>
      </c>
      <c r="I957" s="217" t="inlineStr">
        <is>
          <t>"taoDon.otherFee": "សេវាបន្ថែ្ថមផ្សេងៗ",</t>
        </is>
      </c>
      <c r="N957" s="3" t="inlineStr">
        <is>
          <t>ថ្លៃបន្ថែមផ្សេងៗ</t>
        </is>
      </c>
    </row>
    <row r="958" ht="15.75" customHeight="1" s="305">
      <c r="A958" s="3" t="inlineStr">
        <is>
          <t>taoDon.materialFee</t>
        </is>
      </c>
      <c r="B958" s="3" t="inlineStr">
        <is>
          <t>Phụ phí nguyên vật liệu</t>
        </is>
      </c>
      <c r="C958" s="3" t="inlineStr">
        <is>
          <t>Materials surcharge</t>
        </is>
      </c>
      <c r="D958" s="3">
        <f>IFERROR(__xludf.DUMMYFUNCTION("GOOGLETRANSLATE(B958,""vi"",""km"")"),"ការគិតថ្លៃបន្ថែមលើសម្ភារៈ")</f>
        <v/>
      </c>
      <c r="E958" s="3" t="inlineStr">
        <is>
          <t>ថ្លៃសេវាឧបករណ៍បន្ថែម</t>
        </is>
      </c>
      <c r="F958" s="3" t="n"/>
      <c r="G958" s="3" t="inlineStr">
        <is>
          <t>ថ្លៃសេវាឧបករណ៍បន្ថែម</t>
        </is>
      </c>
      <c r="H958" t="inlineStr">
        <is>
          <t>ថ្លៃសេវាឧបករណ៍បន្ថែម</t>
        </is>
      </c>
      <c r="I958" s="217" t="inlineStr">
        <is>
          <t>"taoDon.materialFee": "ថ្លៃសេវាឧបករណ៍បន្ថែម",</t>
        </is>
      </c>
      <c r="N958" s="3" t="inlineStr">
        <is>
          <t>ថ្លៃបន្ថែមសម្រាប់វត្ថុធាតុ</t>
        </is>
      </c>
    </row>
    <row r="959" ht="15.75" customHeight="1" s="305">
      <c r="A959" s="3" t="inlineStr">
        <is>
          <t>khaiThacDen.toWardPostal</t>
        </is>
      </c>
      <c r="B959" s="3" t="inlineStr">
        <is>
          <t>Phường xã phát:</t>
        </is>
      </c>
      <c r="C959" s="3" t="inlineStr">
        <is>
          <t>Delivery ward:</t>
        </is>
      </c>
      <c r="D959" s="3">
        <f>IFERROR(__xludf.DUMMYFUNCTION("GOOGLETRANSLATE(B959,""vi"",""km"")"),"ឃុំ/សង្កាត់​បាន​ចេញ​ផ្សាយ៖")</f>
        <v/>
      </c>
      <c r="E959" s="3" t="inlineStr">
        <is>
          <t>ឃុំសង្កាត់ប្រគល់</t>
        </is>
      </c>
      <c r="F959" s="3" t="n"/>
      <c r="G959" s="3" t="inlineStr">
        <is>
          <t>ឃុំសង្កាត់ប្រគល់</t>
        </is>
      </c>
      <c r="H959" t="inlineStr">
        <is>
          <t>ឃុំសង្កាត់ប្រគល់</t>
        </is>
      </c>
      <c r="I959" s="217" t="inlineStr">
        <is>
          <t>"khaiThacDen.toWardPostal": "ឃុំសង្កាត់ប្រគល់",</t>
        </is>
      </c>
      <c r="N959" s="3" t="inlineStr">
        <is>
          <t>ភូមិ ឃុំ ប្រគល់</t>
        </is>
      </c>
    </row>
    <row r="960" ht="15.75" customHeight="1" s="305">
      <c r="A960" s="3" t="inlineStr">
        <is>
          <t>tms.minutesAgo</t>
        </is>
      </c>
      <c r="B960" s="3" t="inlineStr">
        <is>
          <t>phút trước</t>
        </is>
      </c>
      <c r="C960" s="3" t="inlineStr">
        <is>
          <t>minutes ago</t>
        </is>
      </c>
      <c r="D960" s="3">
        <f>IFERROR(__xludf.DUMMYFUNCTION("GOOGLETRANSLATE(B960,""vi"",""km"")"),"នាទីមុន")</f>
        <v/>
      </c>
      <c r="E960" s="3" t="inlineStr">
        <is>
          <t>ប៉ុន្មាននាទីមុន</t>
        </is>
      </c>
      <c r="F960" s="3" t="n"/>
      <c r="G960" s="3" t="inlineStr">
        <is>
          <t>ប៉ុន្មាននាទីមុន</t>
        </is>
      </c>
      <c r="H960" t="inlineStr">
        <is>
          <t>ប៉ុន្មាននាទីមុន</t>
        </is>
      </c>
      <c r="I960" s="217" t="inlineStr">
        <is>
          <t>"tms.minutesAgo": "ប៉ុន្មាននាទីមុន",</t>
        </is>
      </c>
      <c r="N960" s="3" t="inlineStr"/>
    </row>
    <row r="961" ht="15.75" customHeight="1" s="305">
      <c r="A961" s="3" t="inlineStr">
        <is>
          <t>GiaoHang.qrBill</t>
        </is>
      </c>
      <c r="B961" s="3" t="inlineStr">
        <is>
          <t>QR đơn hàng</t>
        </is>
      </c>
      <c r="C961" s="3" t="inlineStr">
        <is>
          <t>postal slip's QR</t>
        </is>
      </c>
      <c r="D961" s="3">
        <f>IFERROR(__xludf.DUMMYFUNCTION("GOOGLETRANSLATE(B961,""vi"",""km"")"),"លេខកូដ QR បញ្ជាទិញ")</f>
        <v/>
      </c>
      <c r="E961" s="3" t="inlineStr">
        <is>
          <t>QR បុងបញ្ញើ</t>
        </is>
      </c>
      <c r="F961" s="3" t="n"/>
      <c r="G961" s="3" t="inlineStr">
        <is>
          <t>QR បុងបញ្ញើ</t>
        </is>
      </c>
      <c r="H961" t="inlineStr">
        <is>
          <t>QR បុងបញ្ញើ</t>
        </is>
      </c>
      <c r="I961" s="217" t="inlineStr">
        <is>
          <t>"GiaoHang.qrBill": "QR បុងបញ្ញើ",</t>
        </is>
      </c>
      <c r="N961" s="163" t="inlineStr">
        <is>
          <t>QR របស់សំបុត្រប្រៃសណីយ៍</t>
        </is>
      </c>
    </row>
    <row r="962" ht="15.75" customHeight="1" s="305">
      <c r="A962" s="3" t="inlineStr">
        <is>
          <t>taoDon.oversized</t>
        </is>
      </c>
      <c r="B962" s="3" t="inlineStr">
        <is>
          <t>Quá khổ</t>
        </is>
      </c>
      <c r="C962" s="3" t="inlineStr">
        <is>
          <t>Oversize</t>
        </is>
      </c>
      <c r="D962" s="3">
        <f>IFERROR(__xludf.DUMMYFUNCTION("GOOGLETRANSLATE(B962,""vi"",""km"")"),"ច្រើនពេក")</f>
        <v/>
      </c>
      <c r="E962" s="3" t="inlineStr">
        <is>
          <t>ហួសទំហំ</t>
        </is>
      </c>
      <c r="F962" s="3" t="n"/>
      <c r="G962" s="3" t="inlineStr">
        <is>
          <t>ហួសទំហំ</t>
        </is>
      </c>
      <c r="H962" t="inlineStr">
        <is>
          <t>ហួសទំហំ</t>
        </is>
      </c>
      <c r="I962" s="217" t="inlineStr">
        <is>
          <t>"taoDon.oversized": "ហួសទំហំ",</t>
        </is>
      </c>
      <c r="N962" s="3" t="inlineStr">
        <is>
          <t>មានទំហំធំ</t>
        </is>
      </c>
    </row>
    <row r="963" ht="15.75" customHeight="1" s="305">
      <c r="A963" s="3" t="inlineStr">
        <is>
          <t>khaiThacDen.toDistrictPostal</t>
        </is>
      </c>
      <c r="B963" s="3" t="inlineStr">
        <is>
          <t>Quận huyện phát:</t>
        </is>
      </c>
      <c r="C963" s="3" t="inlineStr">
        <is>
          <t>Delivery district:</t>
        </is>
      </c>
      <c r="D963" s="3">
        <f>IFERROR(__xludf.DUMMYFUNCTION("GOOGLETRANSLATE(B963,""vi"",""km"")"),"ការចេញប័ណ្ណស្រុក/ខេត្ត៖")</f>
        <v/>
      </c>
      <c r="E963" s="3" t="inlineStr">
        <is>
          <t>ខណ្ឌ ស្រុក ប្រគល់</t>
        </is>
      </c>
      <c r="F963" s="3" t="n"/>
      <c r="G963" s="3" t="inlineStr">
        <is>
          <t>ខណ្ឌ ស្រុក ប្រគល់</t>
        </is>
      </c>
      <c r="H963" t="inlineStr">
        <is>
          <t>ខណ្ឌ ស្រុក ប្រគល់</t>
        </is>
      </c>
      <c r="I963" s="217" t="inlineStr">
        <is>
          <t>"khaiThacDen.toDistrictPostal": "ខណ្ឌ ស្រុក ប្រគល់",</t>
        </is>
      </c>
      <c r="N963" s="3" t="inlineStr">
        <is>
          <t>ស្រុក ប្រគល់:</t>
        </is>
      </c>
    </row>
    <row r="964" ht="15.75" customHeight="1" s="305">
      <c r="A964" s="3" t="inlineStr">
        <is>
          <t>home.congno</t>
        </is>
      </c>
      <c r="B964" s="3" t="inlineStr">
        <is>
          <t>Quản lý công nợ</t>
        </is>
      </c>
      <c r="C964" s="3" t="inlineStr">
        <is>
          <t>Debit</t>
        </is>
      </c>
      <c r="D964" s="3">
        <f>IFERROR(__xludf.DUMMYFUNCTION("GOOGLETRANSLATE(B964,""vi"",""km"")"),"ការគ្រប់គ្រងគណនីទទួលប្រាក់")</f>
        <v/>
      </c>
      <c r="E964" s="159" t="inlineStr">
        <is>
          <t>គ្រប់គ្រងបំណុល</t>
        </is>
      </c>
      <c r="F964" s="3" t="n"/>
      <c r="G964" s="3" t="inlineStr">
        <is>
          <t>គ្រប់គ្រងបំណុល</t>
        </is>
      </c>
      <c r="H964" t="inlineStr">
        <is>
          <t>គ្រប់គ្រងបំណុល</t>
        </is>
      </c>
      <c r="I964" s="217" t="inlineStr">
        <is>
          <t>"home.congno": "គ្រប់គ្រងបំណុល",</t>
        </is>
      </c>
      <c r="N964" s="163" t="inlineStr">
        <is>
          <t>ឥណពន្ធ</t>
        </is>
      </c>
    </row>
    <row r="965" ht="15.75" customHeight="1" s="305">
      <c r="A965" s="3" t="inlineStr">
        <is>
          <t>debit.debit_label</t>
        </is>
      </c>
      <c r="B965" s="3" t="inlineStr">
        <is>
          <t>Quản lý công nợ</t>
        </is>
      </c>
      <c r="C965" s="3" t="inlineStr">
        <is>
          <t>Debit Manage</t>
        </is>
      </c>
      <c r="D965" s="3">
        <f>IFERROR(__xludf.DUMMYFUNCTION("GOOGLETRANSLATE(B965,""vi"",""km"")"),"ការគ្រប់គ្រងគណនីទទួលប្រាក់")</f>
        <v/>
      </c>
      <c r="E965" s="159" t="inlineStr">
        <is>
          <t>គ្រប់គ្រងបំណុល</t>
        </is>
      </c>
      <c r="F965" s="3" t="n"/>
      <c r="G965" s="3" t="inlineStr">
        <is>
          <t>គ្រប់គ្រងបំណុល</t>
        </is>
      </c>
      <c r="H965" t="inlineStr">
        <is>
          <t>គ្រប់គ្រងបំណុល</t>
        </is>
      </c>
      <c r="I965" s="217" t="inlineStr">
        <is>
          <t>"debit.debit_label": "គ្រប់គ្រងបំណុល",</t>
        </is>
      </c>
      <c r="N965" s="3" t="inlineStr">
        <is>
          <t>ការគ្រប់គ្រងបំណុល</t>
        </is>
      </c>
    </row>
    <row r="966" ht="15.75" customHeight="1" s="305">
      <c r="A966" s="3" t="inlineStr">
        <is>
          <t>common.goBack</t>
        </is>
      </c>
      <c r="B966" s="3" t="inlineStr">
        <is>
          <t>Quay lại</t>
        </is>
      </c>
      <c r="C966" s="3" t="inlineStr">
        <is>
          <t>Back</t>
        </is>
      </c>
      <c r="D966" s="3">
        <f>IFERROR(__xludf.DUMMYFUNCTION("GOOGLETRANSLATE(B966,""vi"",""km"")"),"ត្រលប់មកវិញ")</f>
        <v/>
      </c>
      <c r="E966" s="3" t="inlineStr">
        <is>
          <t>ត្រលប់</t>
        </is>
      </c>
      <c r="F966" s="3" t="n"/>
      <c r="G966" s="3" t="inlineStr">
        <is>
          <t>ថយក្រោយ</t>
        </is>
      </c>
      <c r="H966" t="inlineStr">
        <is>
          <t>ថយក្រោយ</t>
        </is>
      </c>
      <c r="I966" s="217" t="inlineStr">
        <is>
          <t>"common.goBack": "ថយក្រោយ",</t>
        </is>
      </c>
      <c r="N966" s="3" t="inlineStr">
        <is>
          <t>ត្រលប់</t>
        </is>
      </c>
    </row>
    <row r="967" ht="15.75" customHeight="1" s="305">
      <c r="A967" s="3" t="inlineStr">
        <is>
          <t>change_password.return_login</t>
        </is>
      </c>
      <c r="B967" s="3" t="inlineStr">
        <is>
          <t>Quay lại đăng nhập</t>
        </is>
      </c>
      <c r="C967" s="3" t="inlineStr">
        <is>
          <t>Return login</t>
        </is>
      </c>
      <c r="D967" s="3">
        <f>IFERROR(__xludf.DUMMYFUNCTION("GOOGLETRANSLATE(B967,""vi"",""km"")"),"ត្រឡប់ទៅការចូលវិញ")</f>
        <v/>
      </c>
      <c r="E967" s="3" t="inlineStr">
        <is>
          <t>ត្រលប់ចូល</t>
        </is>
      </c>
      <c r="F967" s="3" t="n"/>
      <c r="G967" s="3" t="inlineStr">
        <is>
          <t>ត្រលប់ចូល</t>
        </is>
      </c>
      <c r="H967" t="inlineStr">
        <is>
          <t>ត្រលប់ចូល</t>
        </is>
      </c>
      <c r="I967" s="217" t="inlineStr">
        <is>
          <t>"change_password.return_login": "ត្រលប់ចូល",</t>
        </is>
      </c>
      <c r="N967" s="3" t="inlineStr">
        <is>
          <t>Return login</t>
        </is>
      </c>
    </row>
    <row r="968" ht="15.75" customHeight="1" s="305">
      <c r="A968" s="3" t="inlineStr">
        <is>
          <t>suaDon.back</t>
        </is>
      </c>
      <c r="B968" s="3" t="inlineStr">
        <is>
          <t>Quay lại sửa</t>
        </is>
      </c>
      <c r="C968" s="3" t="inlineStr">
        <is>
          <t xml:space="preserve">Back </t>
        </is>
      </c>
      <c r="D968" s="3">
        <f>IFERROR(__xludf.DUMMYFUNCTION("GOOGLETRANSLATE(B968,""vi"",""km"")"),"ត្រឡប់ក្រោយ ហើយកែសម្រួល")</f>
        <v/>
      </c>
      <c r="E968" s="3" t="inlineStr">
        <is>
          <t>ត្រលប់កែសម្រួល</t>
        </is>
      </c>
      <c r="F968" s="3" t="n"/>
      <c r="G968" s="3" t="inlineStr">
        <is>
          <t>ត្រលប់កែសម្រួល</t>
        </is>
      </c>
      <c r="H968" t="inlineStr">
        <is>
          <t>ត្រលប់កែសម្រួល</t>
        </is>
      </c>
      <c r="I968" s="217" t="inlineStr">
        <is>
          <t>"suaDon.back": "ត្រលប់កែសម្រួល",</t>
        </is>
      </c>
      <c r="N968" s="3" t="inlineStr">
        <is>
          <t>ត្រឡប់មក និងកែសម្រួល</t>
        </is>
      </c>
    </row>
    <row r="969" ht="15.75" customHeight="1" s="305">
      <c r="A969" s="3" t="inlineStr">
        <is>
          <t>forgotPassword.titleForgotPassword</t>
        </is>
      </c>
      <c r="B969" s="3" t="inlineStr">
        <is>
          <t>Quên mật khẩu</t>
        </is>
      </c>
      <c r="C969" s="3" t="inlineStr">
        <is>
          <t>Forgot password</t>
        </is>
      </c>
      <c r="D969" s="3">
        <f>IFERROR(__xludf.DUMMYFUNCTION("GOOGLETRANSLATE(B969,""vi"",""km"")"),"ភ្លេចពាក្យសម្ងាត់")</f>
        <v/>
      </c>
      <c r="E969" s="3" t="inlineStr">
        <is>
          <t>ភ្លេចពាក្យសម្ងាត់</t>
        </is>
      </c>
      <c r="F969" s="3" t="n"/>
      <c r="G969" s="3" t="inlineStr">
        <is>
          <t>ភ្លេចពាក្យសម្ងាត់</t>
        </is>
      </c>
      <c r="H969" t="inlineStr">
        <is>
          <t>ភ្លេចពាក្យសម្ងាត់</t>
        </is>
      </c>
      <c r="I969" s="217" t="inlineStr">
        <is>
          <t>"forgotPassword.titleForgotPassword": "ភ្លេចពាក្យសម្ងាត់",</t>
        </is>
      </c>
      <c r="N969" s="3" t="inlineStr">
        <is>
          <t>ភ្លេចពាក្យសម្ងាត់</t>
        </is>
      </c>
    </row>
    <row r="970" ht="15.75" customHeight="1" s="305">
      <c r="A970" s="3" t="inlineStr">
        <is>
          <t>change_password.forgot_pass</t>
        </is>
      </c>
      <c r="B970" s="3" t="inlineStr">
        <is>
          <t>Quên mật khẩu</t>
        </is>
      </c>
      <c r="C970" s="3" t="inlineStr">
        <is>
          <t>Forgot password</t>
        </is>
      </c>
      <c r="D970" s="3">
        <f>IFERROR(__xludf.DUMMYFUNCTION("GOOGLETRANSLATE(B970,""vi"",""km"")"),"ភ្លេចពាក្យសម្ងាត់")</f>
        <v/>
      </c>
      <c r="E970" s="3" t="inlineStr">
        <is>
          <t>ភ្លេចពាក្យសម្ងាត់</t>
        </is>
      </c>
      <c r="F970" s="3" t="n"/>
      <c r="G970" s="3" t="inlineStr">
        <is>
          <t>ភ្លេចពាក្យសម្ងាត់</t>
        </is>
      </c>
      <c r="H970" t="inlineStr">
        <is>
          <t>ភ្លេចពាក្យសម្ងាត់</t>
        </is>
      </c>
      <c r="I970" s="217" t="inlineStr">
        <is>
          <t>"change_password.forgot_pass": "ភ្លេចពាក្យសម្ងាត់",</t>
        </is>
      </c>
      <c r="N970" s="3" t="inlineStr">
        <is>
          <t>ភ្លេចពាក្យសម្ងាត់</t>
        </is>
      </c>
    </row>
    <row r="971" ht="15.75" customHeight="1" s="305">
      <c r="A971" s="3" t="inlineStr">
        <is>
          <t>setting.forgotPasswordCurrent</t>
        </is>
      </c>
      <c r="B971" s="3" t="inlineStr">
        <is>
          <t>Quên mật khẩu hiện tại ?</t>
        </is>
      </c>
      <c r="C971" s="3" t="inlineStr">
        <is>
          <t>Forgot password?</t>
        </is>
      </c>
      <c r="D971" s="3">
        <f>IFERROR(__xludf.DUMMYFUNCTION("GOOGLETRANSLATE(B971,""vi"",""km"")"),"ភ្លេចពាក្យសម្ងាត់បច្ចុប្បន្នរបស់អ្នក?")</f>
        <v/>
      </c>
      <c r="E971" s="3" t="inlineStr">
        <is>
          <t>ភ្លេចពាក្យសម្ងាត់បច្ចុប្បន្ន?</t>
        </is>
      </c>
      <c r="F971" s="3" t="n"/>
      <c r="G971" s="3" t="inlineStr">
        <is>
          <t>ភ្លេចពាក្យសម្ងាត់បច្ចុប្បន្ន?</t>
        </is>
      </c>
      <c r="H971" t="inlineStr">
        <is>
          <t>ភ្លេចពាក្យសម្ងាត់បច្ចុប្បន្ន?</t>
        </is>
      </c>
      <c r="I971" s="217" t="inlineStr">
        <is>
          <t>"setting.forgotPasswordCurrent": "ភ្លេចពាក្យសម្ងាត់បច្ចុប្បន្ន?",</t>
        </is>
      </c>
      <c r="N971" s="3" t="inlineStr">
        <is>
          <t>Forgot password ?</t>
        </is>
      </c>
    </row>
    <row r="972" ht="15.75" customHeight="1" s="305">
      <c r="A972" s="3" t="inlineStr">
        <is>
          <t>change_password.forgot_password</t>
        </is>
      </c>
      <c r="B972" s="3" t="inlineStr">
        <is>
          <t>Quên mật khẩu hiện tại?</t>
        </is>
      </c>
      <c r="C972" s="3" t="inlineStr">
        <is>
          <t>Forgot current password?</t>
        </is>
      </c>
      <c r="D972" s="3">
        <f>IFERROR(__xludf.DUMMYFUNCTION("GOOGLETRANSLATE(B972,""vi"",""km"")"),"ភ្លេចពាក្យសម្ងាត់បច្ចុប្បន្នរបស់អ្នក?")</f>
        <v/>
      </c>
      <c r="E972" s="3" t="inlineStr">
        <is>
          <t>ភ្លេចពាក្យសម្ងាត់បច្ចុប្បន្ន?</t>
        </is>
      </c>
      <c r="F972" s="3" t="n"/>
      <c r="G972" s="3" t="inlineStr">
        <is>
          <t>ភ្លេចពាក្យសម្ងាត់បច្ចុប្បន្ន?</t>
        </is>
      </c>
      <c r="H972" t="inlineStr">
        <is>
          <t>ភ្លេចពាក្យសម្ងាត់បច្ចុប្បន្ន?</t>
        </is>
      </c>
      <c r="I972" s="217" t="inlineStr">
        <is>
          <t>"change_password.forgot_password": "ភ្លេចពាក្យសម្ងាត់បច្ចុប្បន្ន?",</t>
        </is>
      </c>
      <c r="N972" s="3" t="inlineStr">
        <is>
          <t>ភ្លេចពាក្យសម្ងាត់បច្ចុប្បន្នឬ?</t>
        </is>
      </c>
    </row>
    <row r="973" ht="15.75" customHeight="1" s="305">
      <c r="A973" s="3" t="inlineStr">
        <is>
          <t>password.forgotPassword</t>
        </is>
      </c>
      <c r="B973" s="3" t="inlineStr">
        <is>
          <t>Quên mật khẩu?</t>
        </is>
      </c>
      <c r="C973" s="3" t="inlineStr">
        <is>
          <t>Forgot password?</t>
        </is>
      </c>
      <c r="D973" s="3">
        <f>IFERROR(__xludf.DUMMYFUNCTION("GOOGLETRANSLATE(B973,""vi"",""km"")"),"ភ្លេចពាក្យសម្ងាត់របស់អ្នក?")</f>
        <v/>
      </c>
      <c r="E973" s="3" t="inlineStr">
        <is>
          <t>ភ្លេចពាក្យសម្ងាត់?</t>
        </is>
      </c>
      <c r="F973" s="3" t="n"/>
      <c r="G973" s="3" t="inlineStr">
        <is>
          <t>ភ្លេចពាក្យសម្ងាត់?</t>
        </is>
      </c>
      <c r="H973" t="inlineStr">
        <is>
          <t>ភ្លេចពាក្យសម្ងាត់?</t>
        </is>
      </c>
      <c r="I973" s="217" t="inlineStr">
        <is>
          <t>"password.forgotPassword": "ភ្លេចពាក្យសម្ងាត់?",</t>
        </is>
      </c>
      <c r="N973" s="3" t="inlineStr">
        <is>
          <t>ភ្លេច​លេខសំងាត់​?</t>
        </is>
      </c>
    </row>
    <row r="974" ht="15.75" customHeight="1" s="305">
      <c r="A974" s="3" t="inlineStr">
        <is>
          <t>GiaoHang.forgotDevice</t>
        </is>
      </c>
      <c r="B974" s="3" t="inlineStr">
        <is>
          <t>Quên thiết bị</t>
        </is>
      </c>
      <c r="C974" s="3" t="inlineStr">
        <is>
          <t>Forgot printers</t>
        </is>
      </c>
      <c r="D974" s="3">
        <f>IFERROR(__xludf.DUMMYFUNCTION("GOOGLETRANSLATE(B974,""vi"",""km"")"),"ភ្លេចឧបករណ៍ហើយ")</f>
        <v/>
      </c>
      <c r="E974" s="3" t="inlineStr">
        <is>
          <t>ភ្លេចឧបករណ៍</t>
        </is>
      </c>
      <c r="F974" s="3" t="n"/>
      <c r="G974" s="3" t="inlineStr">
        <is>
          <t>ភ្លេចឧបករណ៍</t>
        </is>
      </c>
      <c r="H974" t="inlineStr">
        <is>
          <t>ភ្លេចឧបករណ៍</t>
        </is>
      </c>
      <c r="I974" s="217" t="inlineStr">
        <is>
          <t>"GiaoHang.forgotDevice": "ភ្លេចឧបករណ៍",</t>
        </is>
      </c>
      <c r="N974" s="3" t="inlineStr">
        <is>
          <t>ភ្លេចឧបករណ៍</t>
        </is>
      </c>
    </row>
    <row r="975" ht="15.75" customHeight="1" s="305">
      <c r="A975" s="3" t="inlineStr">
        <is>
          <t>GiaoHang.btnScanBillConfirm</t>
        </is>
      </c>
      <c r="B975" s="3" t="inlineStr">
        <is>
          <t>Quét bưu gửi để xác nhận</t>
        </is>
      </c>
      <c r="C975" s="3" t="inlineStr">
        <is>
          <t>Scan postal slip to confirm</t>
        </is>
      </c>
      <c r="D975" s="3">
        <f>IFERROR(__xludf.DUMMYFUNCTION("GOOGLETRANSLATE(B975,""vi"",""km"")"),"ស្កេនកញ្ចប់ដើម្បីបញ្ជាក់។")</f>
        <v/>
      </c>
      <c r="E975" s="3" t="inlineStr">
        <is>
          <t>ស្កេនបុងបញ្ញើដើម្បីបញ្ជាក់</t>
        </is>
      </c>
      <c r="F975" s="3" t="n"/>
      <c r="G975" s="3" t="inlineStr">
        <is>
          <t>ស្កេនបុងបញ្ញើដើម្បីបញ្ជាក់</t>
        </is>
      </c>
      <c r="H975" t="inlineStr">
        <is>
          <t>ស្កេនបុងបញ្ញើដើម្បីបញ្ជាក់</t>
        </is>
      </c>
      <c r="I975" s="217" t="inlineStr">
        <is>
          <t>"GiaoHang.btnScanBillConfirm": "ស្កេនបុងបញ្ញើដើម្បីបញ្ជាក់",</t>
        </is>
      </c>
      <c r="N975" s="3" t="inlineStr">
        <is>
          <t>ស្កេនកញ្ចប់បញ្ញើដើម្បីបញ្ចាក់</t>
        </is>
      </c>
    </row>
    <row r="976" ht="15.75" customHeight="1" s="305">
      <c r="A976" s="3" t="inlineStr">
        <is>
          <t>tongGiao.quetDonHang</t>
        </is>
      </c>
      <c r="B976" s="3" t="inlineStr">
        <is>
          <t>Quét bưu gửi để xác nhận</t>
        </is>
      </c>
      <c r="C976" s="3" t="inlineStr">
        <is>
          <t>Scan postal slip code to confirm</t>
        </is>
      </c>
      <c r="D976" s="3">
        <f>IFERROR(__xludf.DUMMYFUNCTION("GOOGLETRANSLATE(B976,""vi"",""km"")"),"ស្កេនកញ្ចប់ដើម្បីបញ្ជាក់។")</f>
        <v/>
      </c>
      <c r="E976" s="3" t="inlineStr">
        <is>
          <t>ស្កេនបុងបញ្ញើដើម្បីបញ្ជាក់</t>
        </is>
      </c>
      <c r="F976" s="3" t="n"/>
      <c r="G976" s="3" t="inlineStr">
        <is>
          <t>ស្កេនបុងបញ្ញើដើម្បីបញ្ជាក់</t>
        </is>
      </c>
      <c r="H976" t="inlineStr">
        <is>
          <t>ស្កេនបុងបញ្ញើដើម្បីបញ្ជាក់</t>
        </is>
      </c>
      <c r="I976" s="217" t="inlineStr">
        <is>
          <t>"tongGiao.quetDonHang": "ស្កេនបុងបញ្ញើដើម្បីបញ្ជាក់",</t>
        </is>
      </c>
      <c r="N976" s="3" t="inlineStr">
        <is>
          <t>ស្កេនកញ្ចប់បញ្ញើដើម្បីបញ្ចាក់</t>
        </is>
      </c>
    </row>
    <row r="977" ht="15.75" customHeight="1" s="305">
      <c r="A977" s="3" t="inlineStr">
        <is>
          <t>nhanHang.scanToReceive</t>
        </is>
      </c>
      <c r="B977" s="3" t="inlineStr">
        <is>
          <t>Quét để nhận nhanh</t>
        </is>
      </c>
      <c r="C977" s="3" t="inlineStr">
        <is>
          <t>Scan to receive quickly</t>
        </is>
      </c>
      <c r="D977" s="3">
        <f>IFERROR(__xludf.DUMMYFUNCTION("GOOGLETRANSLATE(B977,""vi"",""km"")"),"ស្កេនដើម្បីទទួលបានយ៉ាងរហ័ស")</f>
        <v/>
      </c>
      <c r="E977" s="3" t="inlineStr">
        <is>
          <t>ស្កេនដើម្បីទទួួលរហ័ស</t>
        </is>
      </c>
      <c r="F977" s="3" t="n"/>
      <c r="G977" s="3" t="inlineStr">
        <is>
          <t>ស្កេនដើម្បីទទួួលរហ័ស</t>
        </is>
      </c>
      <c r="H977" t="inlineStr">
        <is>
          <t>ស្កេនដើម្បីទទួួលរហ័ស</t>
        </is>
      </c>
      <c r="I977" s="217" t="inlineStr">
        <is>
          <t>"nhanHang.scanToReceive": "ស្កេនដើម្បីទទួួលរហ័ស",</t>
        </is>
      </c>
      <c r="N977" s="3" t="inlineStr">
        <is>
          <t>ស្កេនដើម្បីទទួលរហ័ស</t>
        </is>
      </c>
    </row>
    <row r="978" ht="15.75" customHeight="1" s="305">
      <c r="A978" s="3" t="inlineStr">
        <is>
          <t>nhanHang.scanToReceiveDepositSlip</t>
        </is>
      </c>
      <c r="B978" s="3" t="inlineStr">
        <is>
          <t>Quét để nhận phiếu gửi</t>
        </is>
      </c>
      <c r="C978" s="3" t="inlineStr">
        <is>
          <t>Scan to accept the order ID</t>
        </is>
      </c>
      <c r="D978" s="3">
        <f>IFERROR(__xludf.DUMMYFUNCTION("GOOGLETRANSLATE(B978,""vi"",""km"")"),"ស្កេនដើម្បីទទួលបានបង្កាន់ដៃដឹកជញ្ជូនរបស់អ្នក។")</f>
        <v/>
      </c>
      <c r="E978" s="3" t="inlineStr">
        <is>
          <t>ស្កេនដើម្បីទទួលបុងបញ្ញើ</t>
        </is>
      </c>
      <c r="F978" s="3" t="n"/>
      <c r="G978" s="3" t="inlineStr">
        <is>
          <t>ស្កេនដើម្បីទទួលបុងបញ្ញើ</t>
        </is>
      </c>
      <c r="H978" t="inlineStr">
        <is>
          <t>ស្កេនដើម្បីទទួលបុងបញ្ញើ</t>
        </is>
      </c>
      <c r="I978" s="217" t="inlineStr">
        <is>
          <t>"nhanHang.scanToReceiveDepositSlip": "ស្កេនដើម្បីទទួលបុងបញ្ញើ",</t>
        </is>
      </c>
      <c r="N978" s="3" t="inlineStr">
        <is>
          <t>ស្កេនដើម្បីទទួលប័ណ្ណដាក់ប្រាក់</t>
        </is>
      </c>
    </row>
    <row r="979" ht="15.75" customHeight="1" s="305">
      <c r="A979" s="3" t="inlineStr">
        <is>
          <t>DongTai.titleHeaderScanSearch</t>
        </is>
      </c>
      <c r="B979" s="3" t="inlineStr">
        <is>
          <t>Quét đơn</t>
        </is>
      </c>
      <c r="C979" s="3" t="inlineStr">
        <is>
          <t>Scan package code</t>
        </is>
      </c>
      <c r="D979" s="3">
        <f>IFERROR(__xludf.DUMMYFUNCTION("GOOGLETRANSLATE(B979,""vi"",""km"")"),"លំដាប់ស្កេន")</f>
        <v/>
      </c>
      <c r="E979" s="3" t="inlineStr">
        <is>
          <t>ស្កេនបុុងបញ្ញើ</t>
        </is>
      </c>
      <c r="F979" s="3" t="n"/>
      <c r="G979" s="3" t="inlineStr">
        <is>
          <t>ស្កេនបុុងបញ្ញើ</t>
        </is>
      </c>
      <c r="H979" t="inlineStr">
        <is>
          <t>ស្កេនបុុងបញ្ញើ</t>
        </is>
      </c>
      <c r="I979" s="217" t="inlineStr">
        <is>
          <t>"DongTai.titleHeaderScanSearch": "ស្កេនបុុងបញ្ញើ",</t>
        </is>
      </c>
      <c r="N979" s="3" t="inlineStr">
        <is>
          <t>ស្កេនបញ្ជីផ្ញើរ</t>
        </is>
      </c>
    </row>
    <row r="980" ht="15.75" customHeight="1" s="305">
      <c r="A980" s="3" t="inlineStr">
        <is>
          <t>GiaoHangNew.scanOrder</t>
        </is>
      </c>
      <c r="B980" s="3" t="inlineStr">
        <is>
          <t>Quét đơn</t>
        </is>
      </c>
      <c r="C980" s="3" t="inlineStr">
        <is>
          <t>Scan order</t>
        </is>
      </c>
      <c r="D980" s="3">
        <f>IFERROR(__xludf.DUMMYFUNCTION("GOOGLETRANSLATE(B980,""vi"",""km"")"),"លំដាប់ស្កេន")</f>
        <v/>
      </c>
      <c r="E980" s="3" t="inlineStr">
        <is>
          <t>ស្កេនបុុងបញ្ញើ</t>
        </is>
      </c>
      <c r="F980" s="3" t="n"/>
      <c r="G980" s="3" t="inlineStr">
        <is>
          <t>ស្កេនបុុងបញ្ញើ</t>
        </is>
      </c>
      <c r="H980" t="inlineStr">
        <is>
          <t>ស្កេនបុុងបញ្ញើ</t>
        </is>
      </c>
      <c r="I980" s="217" t="inlineStr">
        <is>
          <t>"GiaoHangNew.scanOrder": "ស្កេនបុុងបញ្ញើ",</t>
        </is>
      </c>
      <c r="N980" s="3" t="inlineStr"/>
    </row>
    <row r="981" ht="15.75" customHeight="1" s="305">
      <c r="A981" s="3" t="inlineStr">
        <is>
          <t>chiaChon.scanOrder</t>
        </is>
      </c>
      <c r="B981" s="3" t="inlineStr">
        <is>
          <t>Quét đơn</t>
        </is>
      </c>
      <c r="C981" s="3" t="inlineStr">
        <is>
          <t>Scan order</t>
        </is>
      </c>
      <c r="D981" s="3">
        <f>IFERROR(__xludf.DUMMYFUNCTION("GOOGLETRANSLATE(B981,""vi"",""km"")"),"លំដាប់ស្កេន")</f>
        <v/>
      </c>
      <c r="E981" s="3" t="inlineStr">
        <is>
          <t>ស្កេនបុុងបញ្ញើ</t>
        </is>
      </c>
      <c r="F981" s="3" t="n"/>
      <c r="G981" s="3" t="inlineStr">
        <is>
          <t>ស្កេនបុុងបញ្ញើ</t>
        </is>
      </c>
      <c r="H981" t="inlineStr">
        <is>
          <t>ស្កេនបុុងបញ្ញើ</t>
        </is>
      </c>
      <c r="I981" s="217" t="inlineStr">
        <is>
          <t>"chiaChon.scanOrder": "ស្កេនបុុងបញ្ញើ",</t>
        </is>
      </c>
      <c r="N981" s="3" t="inlineStr"/>
    </row>
    <row r="982" ht="15.75" customHeight="1" s="305">
      <c r="A982" s="3" t="inlineStr">
        <is>
          <t>GiaoHangNew.scanDeliveryOrders</t>
        </is>
      </c>
      <c r="B982" s="3" t="inlineStr">
        <is>
          <t>Quét đơn hàng giao</t>
        </is>
      </c>
      <c r="C982" s="3" t="inlineStr">
        <is>
          <t>Scan delivery orders</t>
        </is>
      </c>
      <c r="D982" s="3">
        <f>IFERROR(__xludf.DUMMYFUNCTION("GOOGLETRANSLATE(B982,""vi"",""km"")"),"ស្កេនការបញ្ជាទិញដឹកជញ្ជូន")</f>
        <v/>
      </c>
      <c r="E982" s="3" t="inlineStr">
        <is>
          <t>ស្កេនបុុងបញ្ញើប្រគល់</t>
        </is>
      </c>
      <c r="F982" s="3" t="n"/>
      <c r="G982" s="3" t="inlineStr">
        <is>
          <t>ស្កេនបុុងបញ្ញើប្រគល់</t>
        </is>
      </c>
      <c r="H982" t="inlineStr">
        <is>
          <t>ស្កេនបុុងបញ្ញើប្រគល់</t>
        </is>
      </c>
      <c r="I982" s="217" t="inlineStr">
        <is>
          <t>"GiaoHangNew.scanDeliveryOrders": "ស្កេនបុុងបញ្ញើប្រគល់",</t>
        </is>
      </c>
      <c r="N982" s="3" t="inlineStr"/>
    </row>
    <row r="983" ht="15.75" customHeight="1" s="305">
      <c r="A983" s="3" t="inlineStr">
        <is>
          <t>banGiao.scanHandover</t>
        </is>
      </c>
      <c r="B983" s="3" t="inlineStr">
        <is>
          <t>Quét mã bàn giao</t>
        </is>
      </c>
      <c r="C983" s="3" t="inlineStr">
        <is>
          <t>Scan handover code</t>
        </is>
      </c>
      <c r="D983" s="3">
        <f>IFERROR(__xludf.DUMMYFUNCTION("GOOGLETRANSLATE(B983,""vi"",""km"")"),"ស្កេនលេខកូដដឹកជញ្ជូន។")</f>
        <v/>
      </c>
      <c r="E983" s="3" t="inlineStr">
        <is>
          <t>ស្កេនកូដប្រគល់</t>
        </is>
      </c>
      <c r="F983" s="3" t="n"/>
      <c r="G983" s="3" t="inlineStr">
        <is>
          <t>ស្កេនកូដប្រគល់</t>
        </is>
      </c>
      <c r="H983" t="inlineStr">
        <is>
          <t>ស្កេនកូដប្រគល់</t>
        </is>
      </c>
      <c r="I983" s="217" t="inlineStr">
        <is>
          <t>"banGiao.scanHandover": "ស្កេនកូដប្រគល់",</t>
        </is>
      </c>
      <c r="N983" s="3" t="inlineStr">
        <is>
          <t>ស្កេនកូដចំណាំ</t>
        </is>
      </c>
    </row>
    <row r="984" ht="15.75" customHeight="1" s="305">
      <c r="A984" s="3" t="inlineStr">
        <is>
          <t>PhanCong.titleScanBill</t>
        </is>
      </c>
      <c r="B984" s="3" t="inlineStr">
        <is>
          <t>Quét mã bill</t>
        </is>
      </c>
      <c r="C984" s="3" t="inlineStr">
        <is>
          <t>Scan postal slip's code</t>
        </is>
      </c>
      <c r="D984" s="3">
        <f>IFERROR(__xludf.DUMMYFUNCTION("GOOGLETRANSLATE(B984,""vi"",""km"")"),"ស្កេនលេខកូដវិក្កយបត្រ។")</f>
        <v/>
      </c>
      <c r="E984" s="3" t="inlineStr">
        <is>
          <t>ស្កេនលេខកូដបុងបញ្ញើ</t>
        </is>
      </c>
      <c r="F984" s="3" t="n"/>
      <c r="G984" s="3" t="inlineStr">
        <is>
          <t>ស្កេនលេខកូដបុងបញ្ញើ</t>
        </is>
      </c>
      <c r="H984" t="inlineStr">
        <is>
          <t>ស្កេនលេខកូដបុងបញ្ញើ</t>
        </is>
      </c>
      <c r="I984" s="217" t="inlineStr">
        <is>
          <t>"PhanCong.titleScanBill": "ស្កេនលេខកូដបុងបញ្ញើ",</t>
        </is>
      </c>
      <c r="N984" s="3" t="inlineStr">
        <is>
          <t>ស្កេនលេខបញ្ជី</t>
        </is>
      </c>
    </row>
    <row r="985" ht="15.75" customHeight="1" s="305">
      <c r="A985" s="3" t="inlineStr">
        <is>
          <t>traCuu.scanSearchTraCuu</t>
        </is>
      </c>
      <c r="B985" s="3" t="inlineStr">
        <is>
          <t>Quét mã bưu phẩm</t>
        </is>
      </c>
      <c r="C985" s="3" t="inlineStr">
        <is>
          <t xml:space="preserve">Scan postal slip code </t>
        </is>
      </c>
      <c r="D985" s="3">
        <f>IFERROR(__xludf.DUMMYFUNCTION("GOOGLETRANSLATE(B985,""vi"",""km"")"),"ស្កេនលេខកូដប្រៃសណីយ៍")</f>
        <v/>
      </c>
      <c r="E985" s="3" t="inlineStr">
        <is>
          <t>ស្កេនលេខកូូដអីវ៉ាន់</t>
        </is>
      </c>
      <c r="F985" s="3" t="n"/>
      <c r="G985" s="3" t="inlineStr">
        <is>
          <t>ស្កេនលេខកូូដអីវ៉ាន់</t>
        </is>
      </c>
      <c r="H985" t="inlineStr">
        <is>
          <t>ស្កេនលេខកូូដអីវ៉ាន់</t>
        </is>
      </c>
      <c r="I985" s="217" t="inlineStr">
        <is>
          <t>"traCuu.scanSearchTraCuu": "ស្កេនលេខកូូដអីវ៉ាន់",</t>
        </is>
      </c>
      <c r="N985" s="3" t="inlineStr">
        <is>
          <t>ស្កេនលេខកូដបញ្ញើ</t>
        </is>
      </c>
    </row>
    <row r="986" ht="15.75" customHeight="1" s="305">
      <c r="A986" s="3" t="inlineStr">
        <is>
          <t>banGiao.scanCode</t>
        </is>
      </c>
      <c r="B986" s="3" t="inlineStr">
        <is>
          <t>Quét mã tải</t>
        </is>
      </c>
      <c r="C986" s="3" t="inlineStr">
        <is>
          <t>Scan sack code</t>
        </is>
      </c>
      <c r="D986" s="3">
        <f>IFERROR(__xludf.DUMMYFUNCTION("GOOGLETRANSLATE(B986,""vi"",""km"")"),"ស្កេនលេខកូដទាញយក។")</f>
        <v/>
      </c>
      <c r="E986" s="3" t="inlineStr">
        <is>
          <t>ស្កេនលេខកូដជើងដឹក</t>
        </is>
      </c>
      <c r="F986" s="3" t="n"/>
      <c r="G986" s="3" t="inlineStr">
        <is>
          <t>ស្កេនលេខកូដកញ្ចប់ទំនិញ</t>
        </is>
      </c>
      <c r="H986" t="inlineStr">
        <is>
          <t>ស្កេនលេខកូដកញ្ចប់ទំនិញ</t>
        </is>
      </c>
      <c r="I986" s="217" t="inlineStr">
        <is>
          <t>"banGiao.scanCode": "ស្កេនលេខកូដកញ្ចប់ទំនិញ",</t>
        </is>
      </c>
      <c r="N986" s="3" t="inlineStr">
        <is>
          <t>ស្កេនកូដថង់</t>
        </is>
      </c>
    </row>
    <row r="987" ht="15.75" customHeight="1" s="305">
      <c r="A987" s="3" t="inlineStr">
        <is>
          <t>DongTai.titleHeaderScanSearchTai</t>
        </is>
      </c>
      <c r="B987" s="3" t="inlineStr">
        <is>
          <t>Quét mã tải/kiện</t>
        </is>
      </c>
      <c r="C987" s="3" t="inlineStr">
        <is>
          <t>Scan the load/package code</t>
        </is>
      </c>
      <c r="D987" s="3">
        <f>IFERROR(__xludf.DUMMYFUNCTION("GOOGLETRANSLATE(B987,""vi"",""km"")"),"ស្កេនលេខកូដកញ្ចប់/ការជាវ។")</f>
        <v/>
      </c>
      <c r="E987" s="3" t="inlineStr">
        <is>
          <t>ស្កេនលេខកូដជើងដឹក/កញ្ចប់អីវ៉ាន់</t>
        </is>
      </c>
      <c r="F987" s="3" t="n"/>
      <c r="G987" s="3" t="inlineStr">
        <is>
          <t>ស្កេនលេខកូដកញ្ចប់ទំនិញ/អីវ៉ាន់</t>
        </is>
      </c>
      <c r="H987" t="inlineStr">
        <is>
          <t>ស្កេនលេខកូដកញ្ចប់ទំនិញ/អីវ៉ាន់</t>
        </is>
      </c>
      <c r="I987" s="217" t="inlineStr">
        <is>
          <t>"DongTai.titleHeaderScanSearchTai": "ស្កេនលេខកូដកញ្ចប់ទំនិញ/អីវ៉ាន់",</t>
        </is>
      </c>
      <c r="N987" s="3" t="inlineStr">
        <is>
          <t>ស្កេនលេខកូដត្រួតពិនិត្យ/កញ្ចប់</t>
        </is>
      </c>
    </row>
    <row r="988" ht="15.75" customHeight="1" s="305">
      <c r="A988" s="3" t="inlineStr">
        <is>
          <t>tms.scanQR</t>
        </is>
      </c>
      <c r="B988" s="3" t="inlineStr">
        <is>
          <t>Quét mã tải/kiện</t>
        </is>
      </c>
      <c r="C988" s="3" t="inlineStr">
        <is>
          <t>Scan load/package QR code</t>
        </is>
      </c>
      <c r="D988" s="3">
        <f>IFERROR(__xludf.DUMMYFUNCTION("GOOGLETRANSLATE(B988,""vi"",""km"")"),"ស្កេនលេខកូដកញ្ចប់/ការជាវ។")</f>
        <v/>
      </c>
      <c r="E988" s="3" t="inlineStr">
        <is>
          <t>ស្កេនលេខកូដជើងដឹក/កញ្ចប់អីវ៉ាន់</t>
        </is>
      </c>
      <c r="F988" s="3" t="n"/>
      <c r="G988" s="3" t="inlineStr">
        <is>
          <t>ស្កេនលេខកូដកញ្ចប់ទំនិញ/អីវ៉ាន់</t>
        </is>
      </c>
      <c r="H988" t="inlineStr">
        <is>
          <t>ស្កេនលេខកូដកញ្ចប់ទំនិញ/អីវ៉ាន់</t>
        </is>
      </c>
      <c r="I988" s="217" t="inlineStr">
        <is>
          <t>"tms.scanQR": "ស្កេនលេខកូដកញ្ចប់ទំនិញ/អីវ៉ាន់",</t>
        </is>
      </c>
      <c r="N988" s="3" t="inlineStr"/>
    </row>
    <row r="989" ht="15.75" customHeight="1" s="305">
      <c r="A989" s="3" t="inlineStr">
        <is>
          <t>common.scanQR</t>
        </is>
      </c>
      <c r="B989" s="3" t="inlineStr">
        <is>
          <t>Quét mã vận đơn</t>
        </is>
      </c>
      <c r="C989" s="3" t="inlineStr">
        <is>
          <t>Scan code</t>
        </is>
      </c>
      <c r="D989" s="3">
        <f>IFERROR(__xludf.DUMMYFUNCTION("GOOGLETRANSLATE(B989,""vi"",""km"")"),"ស្កេនលេខតាមដាន។")</f>
        <v/>
      </c>
      <c r="E989" s="3" t="inlineStr">
        <is>
          <t>ស្កេនលេខកូដបុុងបញ្ញើ</t>
        </is>
      </c>
      <c r="F989" s="3" t="n"/>
      <c r="G989" s="3" t="inlineStr">
        <is>
          <t>ស្កេនលេខកូដបុុងបញ្ញើ</t>
        </is>
      </c>
      <c r="H989" t="inlineStr">
        <is>
          <t>ស្កេនលេខកូដបុុងបញ្ញើ</t>
        </is>
      </c>
      <c r="I989" s="217" t="inlineStr">
        <is>
          <t>"common.scanQR": "ស្កេនលេខកូដបុុងបញ្ញើ",</t>
        </is>
      </c>
      <c r="N989" s="3" t="inlineStr">
        <is>
          <t>ស្កេនលេខកូដ QR នៃប័ណ្ណប្រាក់បញ្ញើ</t>
        </is>
      </c>
    </row>
    <row r="990" ht="15.75" customHeight="1" s="305">
      <c r="A990" s="3" t="inlineStr">
        <is>
          <t>chiaChon.scanToReceiveDepositSlip</t>
        </is>
      </c>
      <c r="B990" s="3" t="inlineStr">
        <is>
          <t>Quét nhận đơn</t>
        </is>
      </c>
      <c r="C990" s="3" t="inlineStr">
        <is>
          <t>Scan code</t>
        </is>
      </c>
      <c r="D990" s="3">
        <f>IFERROR(__xludf.DUMMYFUNCTION("GOOGLETRANSLATE(B990,""vi"",""km"")"),"ស្កេន និងទទួលការបញ្ជាទិញ។")</f>
        <v/>
      </c>
      <c r="E990" s="3" t="inlineStr">
        <is>
          <t>ស្កេនទទួលបុងបញ្ញើ</t>
        </is>
      </c>
      <c r="F990" s="3" t="n"/>
      <c r="G990" s="3" t="inlineStr">
        <is>
          <t>ស្កេនទទួលបុងបញ្ញើ</t>
        </is>
      </c>
      <c r="H990" t="inlineStr">
        <is>
          <t>ស្កេនទទួលបុងបញ្ញើ</t>
        </is>
      </c>
      <c r="I990" s="217" t="inlineStr">
        <is>
          <t>"chiaChon.scanToReceiveDepositSlip": "ស្កេនទទួលបុងបញ្ញើ",</t>
        </is>
      </c>
      <c r="N990" s="3" t="inlineStr"/>
    </row>
    <row r="991" ht="15.75" customHeight="1" s="305">
      <c r="A991" s="3" t="inlineStr">
        <is>
          <t>GiaoHangNew.scanReceivePack</t>
        </is>
      </c>
      <c r="B991" s="3" t="inlineStr">
        <is>
          <t>Quét nhận tải/kiện</t>
        </is>
      </c>
      <c r="C991" s="3" t="inlineStr">
        <is>
          <t>Scan to receive load/parcel</t>
        </is>
      </c>
      <c r="D991" s="3">
        <f>IFERROR(__xludf.DUMMYFUNCTION("GOOGLETRANSLATE(B991,""vi"",""km"")"),"ស្កេន និងទទួលបន្ទុក/កញ្ចប់")</f>
        <v/>
      </c>
      <c r="E991" s="3" t="inlineStr">
        <is>
          <t>ស្កេនជើងដឹក/កញ្ចប់អីវ៉ាន់</t>
        </is>
      </c>
      <c r="F991" s="3" t="n"/>
      <c r="G991" s="3" t="inlineStr">
        <is>
          <t>ស្កេនកញ្ចប់ទំនិញ/អីវ៉ាន់</t>
        </is>
      </c>
      <c r="H991" t="inlineStr">
        <is>
          <t>ស្កេនកញ្ចប់ទំនិញ/អីវ៉ាន់</t>
        </is>
      </c>
      <c r="I991" s="217" t="inlineStr">
        <is>
          <t>"GiaoHangNew.scanReceivePack": "ស្កេនកញ្ចប់ទំនិញ/អីវ៉ាន់",</t>
        </is>
      </c>
      <c r="N991" s="3" t="inlineStr"/>
    </row>
    <row r="992" ht="15.75" customHeight="1" s="305">
      <c r="A992" s="3" t="inlineStr">
        <is>
          <t>GiaoHangNew.scanAssignOrder</t>
        </is>
      </c>
      <c r="B992" s="3" t="inlineStr">
        <is>
          <t>Quét phân công</t>
        </is>
      </c>
      <c r="C992" s="3" t="inlineStr">
        <is>
          <t>Scan assignment</t>
        </is>
      </c>
      <c r="D992" s="3">
        <f>IFERROR(__xludf.DUMMYFUNCTION("GOOGLETRANSLATE(B992,""vi"",""km"")"),"កិច្ចការស្កេន")</f>
        <v/>
      </c>
      <c r="E992" s="3" t="inlineStr">
        <is>
          <t>ស្កេនដើម្បីបែងចែក</t>
        </is>
      </c>
      <c r="F992" s="3" t="n"/>
      <c r="G992" s="3" t="inlineStr">
        <is>
          <t>ស្កេនដើម្បីបែងចែក</t>
        </is>
      </c>
      <c r="H992" t="inlineStr">
        <is>
          <t>ស្កេនដើម្បីបែងចែក</t>
        </is>
      </c>
      <c r="I992" s="217" t="inlineStr">
        <is>
          <t>"GiaoHangNew.scanAssignOrder": "ស្កេនដើម្បីបែងចែក",</t>
        </is>
      </c>
      <c r="N992" s="3" t="inlineStr"/>
    </row>
    <row r="993" ht="15.75" customHeight="1" s="305">
      <c r="A993" s="3" t="inlineStr">
        <is>
          <t>khaiThacDen.scanBillFail</t>
        </is>
      </c>
      <c r="B993" s="3" t="inlineStr">
        <is>
          <t>Quét phiếu gửi thất bại</t>
        </is>
      </c>
      <c r="C993" s="3" t="inlineStr">
        <is>
          <t>Fail to scan postal slip</t>
        </is>
      </c>
      <c r="D993" s="3">
        <f>IFERROR(__xludf.DUMMYFUNCTION("GOOGLETRANSLATE(B993,""vi"",""km"")"),"ការស្កេនបង្កាន់ដៃបរាជ័យ")</f>
        <v/>
      </c>
      <c r="E993" s="3" t="inlineStr">
        <is>
          <t>ស្កេនបុងបញ្ញើបរាជ័យ</t>
        </is>
      </c>
      <c r="F993" s="3" t="n"/>
      <c r="G993" s="3" t="inlineStr">
        <is>
          <t>ស្កេនបុងបញ្ញើបរាជ័យ</t>
        </is>
      </c>
      <c r="H993" t="inlineStr">
        <is>
          <t>ស្កេនបុងបញ្ញើបរាជ័យ</t>
        </is>
      </c>
      <c r="I993" s="217" t="inlineStr">
        <is>
          <t>"khaiThacDen.scanBillFail": "ស្កេនបុងបញ្ញើបរាជ័យ",</t>
        </is>
      </c>
      <c r="N993" s="3" t="inlineStr">
        <is>
          <t>ការស្កេនឯកសារដែលបានផ្ញើបរាជ័យ</t>
        </is>
      </c>
    </row>
    <row r="994" ht="15.75" customHeight="1" s="305">
      <c r="A994" s="3" t="inlineStr">
        <is>
          <t>banGiao.titleHeaderScanSearch</t>
        </is>
      </c>
      <c r="B994" s="3" t="inlineStr">
        <is>
          <t>Quét QR mã bàn giao</t>
        </is>
      </c>
      <c r="C994" s="3" t="inlineStr">
        <is>
          <t>Scan handover code</t>
        </is>
      </c>
      <c r="D994" s="3">
        <f>IFERROR(__xludf.DUMMYFUNCTION("GOOGLETRANSLATE(B994,""vi"",""km"")"),"ស្កេនលេខកូដ QR សម្រាប់ការដឹកជញ្ជូន។")</f>
        <v/>
      </c>
      <c r="E994" s="3" t="inlineStr">
        <is>
          <t>ស្កេនកូដQRប្រគល់</t>
        </is>
      </c>
      <c r="F994" s="3" t="n"/>
      <c r="G994" s="3" t="inlineStr">
        <is>
          <t>ស្កេនកូដQRប្រគល់</t>
        </is>
      </c>
      <c r="H994" t="inlineStr">
        <is>
          <t>ស្កេនកូដQRប្រគល់</t>
        </is>
      </c>
      <c r="I994" s="217" t="inlineStr">
        <is>
          <t>"banGiao.titleHeaderScanSearch": "ស្កេនកូដQRប្រគល់",</t>
        </is>
      </c>
      <c r="N994" s="3" t="inlineStr">
        <is>
          <t>ស្កេនកូដការផ្ញើ</t>
        </is>
      </c>
    </row>
    <row r="995" ht="15.75" customHeight="1" s="305">
      <c r="A995" s="3" t="inlineStr">
        <is>
          <t>GiaoHang.titleHeaderScanSearch</t>
        </is>
      </c>
      <c r="B995" s="3" t="inlineStr">
        <is>
          <t>Quét QR mã phiếu gửi</t>
        </is>
      </c>
      <c r="C995" s="3" t="inlineStr">
        <is>
          <t>Scan postal slip's QR</t>
        </is>
      </c>
      <c r="D995" s="3">
        <f>IFERROR(__xludf.DUMMYFUNCTION("GOOGLETRANSLATE(B995,""vi"",""km"")"),"ស្កេនលេខកូដ QR សម្រាប់បង្កាន់ដៃដឹកជញ្ជូន។")</f>
        <v/>
      </c>
      <c r="E995" s="3" t="inlineStr">
        <is>
          <t>ស្កេនកូដQRបុងបញ្ញើ</t>
        </is>
      </c>
      <c r="F995" s="3" t="n"/>
      <c r="G995" s="3" t="inlineStr">
        <is>
          <t>ស្កេនកូដQRបុងបញ្ញើ</t>
        </is>
      </c>
      <c r="H995" t="inlineStr">
        <is>
          <t>ស្កេនកូដQRបុងបញ្ញើ</t>
        </is>
      </c>
      <c r="I995" s="217" t="inlineStr">
        <is>
          <t>"GiaoHang.titleHeaderScanSearch": "ស្កេនកូដQRបុងបញ្ញើ",</t>
        </is>
      </c>
      <c r="N995" s="163" t="inlineStr">
        <is>
          <t>ស្កេន QR របស់ប័ណ្ណប្រៃសណីយ៍</t>
        </is>
      </c>
    </row>
    <row r="996" ht="15.75" customHeight="1" s="305">
      <c r="A996" s="3" t="inlineStr">
        <is>
          <t>GiaoHangNew.scanTaiTitle</t>
        </is>
      </c>
      <c r="B996" s="3" t="inlineStr">
        <is>
          <t>Quét tải</t>
        </is>
      </c>
      <c r="C996" s="3" t="inlineStr">
        <is>
          <t>Scan load</t>
        </is>
      </c>
      <c r="D996" s="3">
        <f>IFERROR(__xludf.DUMMYFUNCTION("GOOGLETRANSLATE(B996,""vi"",""km"")"),"ស្កេន និងទាញយក")</f>
        <v/>
      </c>
      <c r="E996" s="3" t="inlineStr">
        <is>
          <t>ស្កេនជើងដឹក</t>
        </is>
      </c>
      <c r="F996" s="3" t="n"/>
      <c r="G996" s="3" t="inlineStr">
        <is>
          <t>ស្កេនកញ្ចប់ទំនិញ</t>
        </is>
      </c>
      <c r="H996" t="inlineStr">
        <is>
          <t>ស្កេនកញ្ចប់ទំនិញ</t>
        </is>
      </c>
      <c r="I996" s="217" t="inlineStr">
        <is>
          <t>"GiaoHangNew.scanTaiTitle": "ស្កេនកញ្ចប់ទំនិញ",</t>
        </is>
      </c>
      <c r="N996" s="3" t="inlineStr"/>
    </row>
    <row r="997" ht="15.75" customHeight="1" s="305">
      <c r="A997" s="3" t="inlineStr">
        <is>
          <t>tms.quetTaiKien</t>
        </is>
      </c>
      <c r="B997" s="3" t="inlineStr">
        <is>
          <t>Quét tải/kiện</t>
        </is>
      </c>
      <c r="C997" s="3" t="inlineStr">
        <is>
          <t>Scan sack/package</t>
        </is>
      </c>
      <c r="D997" s="3">
        <f>IFERROR(__xludf.DUMMYFUNCTION("GOOGLETRANSLATE(B997,""vi"",""km"")"),"ស្កេន​ការទាញយក/កញ្ចប់")</f>
        <v/>
      </c>
      <c r="E997" s="3" t="inlineStr">
        <is>
          <t>ស្កេនជើងដឹក/កញ្ចប់អីវ៉ាន់</t>
        </is>
      </c>
      <c r="F997" s="3" t="n"/>
      <c r="G997" s="3" t="inlineStr">
        <is>
          <t>ស្កេនកញ្ចប់ទំនិញ/អីវ៉ាន់</t>
        </is>
      </c>
      <c r="H997" t="inlineStr">
        <is>
          <t>ស្កេនកញ្ចប់ទំនិញ/អីវ៉ាន់</t>
        </is>
      </c>
      <c r="I997" s="217" t="inlineStr">
        <is>
          <t>"tms.quetTaiKien": "ស្កេនកញ្ចប់ទំនិញ/អីវ៉ាន់",</t>
        </is>
      </c>
      <c r="N997" s="3" t="inlineStr"/>
    </row>
    <row r="998" ht="15.75" customHeight="1" s="305">
      <c r="A998" s="3" t="inlineStr">
        <is>
          <t>tms.quetThanhCong</t>
        </is>
      </c>
      <c r="B998" s="3" t="inlineStr">
        <is>
          <t>Quét thành công</t>
        </is>
      </c>
      <c r="C998" s="3" t="inlineStr">
        <is>
          <t>Scan successful</t>
        </is>
      </c>
      <c r="D998" s="3">
        <f>IFERROR(__xludf.DUMMYFUNCTION("GOOGLETRANSLATE(B998,""vi"",""km"")"),"ការស្កេនបានជោគជ័យ")</f>
        <v/>
      </c>
      <c r="E998" s="3" t="inlineStr">
        <is>
          <t>ស្កេនដោយជោគជ័យ</t>
        </is>
      </c>
      <c r="F998" s="3" t="n"/>
      <c r="G998" s="3" t="inlineStr">
        <is>
          <t>ស្កេនដោយជោគជ័យ</t>
        </is>
      </c>
      <c r="H998" t="inlineStr">
        <is>
          <t>ស្កេនដោយជោគជ័យ</t>
        </is>
      </c>
      <c r="I998" s="217" t="inlineStr">
        <is>
          <t>"tms.quetThanhCong": "ស្កេនដោយជោគជ័យ",</t>
        </is>
      </c>
      <c r="N998" s="3" t="inlineStr"/>
    </row>
    <row r="999" ht="15.75" customHeight="1" s="305">
      <c r="A999" s="3" t="inlineStr">
        <is>
          <t>GiaoHang.scanDevices</t>
        </is>
      </c>
      <c r="B999" s="3" t="inlineStr">
        <is>
          <t>Quét thiết bị</t>
        </is>
      </c>
      <c r="C999" s="3" t="inlineStr">
        <is>
          <t>Scan for printers</t>
        </is>
      </c>
      <c r="D999" s="3">
        <f>IFERROR(__xludf.DUMMYFUNCTION("GOOGLETRANSLATE(B999,""vi"",""km"")"),"ស្កេនឧបករណ៍")</f>
        <v/>
      </c>
      <c r="E999" s="3" t="inlineStr">
        <is>
          <t>ស្កេនឧបករណ៍</t>
        </is>
      </c>
      <c r="F999" s="3" t="n"/>
      <c r="G999" s="3" t="inlineStr">
        <is>
          <t>ស្កេនឧបករណ៍</t>
        </is>
      </c>
      <c r="H999" t="inlineStr">
        <is>
          <t>ស្កេនឧបករណ៍</t>
        </is>
      </c>
      <c r="I999" s="217" t="inlineStr">
        <is>
          <t>"GiaoHang.scanDevices": "ស្កេនឧបករណ៍",</t>
        </is>
      </c>
      <c r="N999" s="3" t="inlineStr">
        <is>
          <t>កំពងស្កេនឧបករណ៍</t>
        </is>
      </c>
    </row>
    <row r="1000" ht="15.75" customHeight="1" s="305">
      <c r="A1000" s="3" t="inlineStr">
        <is>
          <t>GiaoHangNew.scanSearchTitle</t>
        </is>
      </c>
      <c r="B1000" s="3" t="inlineStr">
        <is>
          <t>Quét tìm kiếm</t>
        </is>
      </c>
      <c r="C1000" s="3" t="inlineStr">
        <is>
          <t>Scan to search</t>
        </is>
      </c>
      <c r="D1000" s="3">
        <f>IFERROR(__xludf.DUMMYFUNCTION("GOOGLETRANSLATE(B1000,""vi"",""km"")"),"ស្កេនស្វែងរក")</f>
        <v/>
      </c>
      <c r="E1000" s="3" t="inlineStr">
        <is>
          <t>ស្កេនស្វែងរក</t>
        </is>
      </c>
      <c r="F1000" s="3" t="n"/>
      <c r="G1000" s="3" t="inlineStr">
        <is>
          <t>ស្កេនស្វែងរក</t>
        </is>
      </c>
      <c r="H1000" t="inlineStr">
        <is>
          <t>ស្កេនស្វែងរក</t>
        </is>
      </c>
      <c r="I1000" s="217" t="inlineStr">
        <is>
          <t>"GiaoHangNew.scanSearchTitle": "ស្កេនស្វែងរក",</t>
        </is>
      </c>
      <c r="N1000" s="3" t="inlineStr"/>
    </row>
    <row r="1001" ht="15.75" customHeight="1" s="305">
      <c r="A1001" s="3" t="inlineStr">
        <is>
          <t>nhanHang.international</t>
        </is>
      </c>
      <c r="B1001" s="3" t="inlineStr">
        <is>
          <t>Quốc tế</t>
        </is>
      </c>
      <c r="C1001" s="3" t="inlineStr">
        <is>
          <t>International</t>
        </is>
      </c>
      <c r="D1001" s="3">
        <f>IFERROR(__xludf.DUMMYFUNCTION("GOOGLETRANSLATE(B1001,""vi"",""km"")"),"អន្តរជាតិ")</f>
        <v/>
      </c>
      <c r="E1001" s="3" t="inlineStr">
        <is>
          <t>អន្តរជាតិ</t>
        </is>
      </c>
      <c r="F1001" s="3" t="n"/>
      <c r="G1001" s="3" t="inlineStr">
        <is>
          <t>អន្តរជាតិ</t>
        </is>
      </c>
      <c r="H1001" t="inlineStr">
        <is>
          <t>អន្តរជាតិ</t>
        </is>
      </c>
      <c r="I1001" s="217" t="inlineStr">
        <is>
          <t>"nhanHang.international": "អន្តរជាតិ",</t>
        </is>
      </c>
      <c r="N1001" s="3" t="inlineStr">
        <is>
          <t>Quốc tế</t>
        </is>
      </c>
    </row>
    <row r="1002" ht="15.75" customHeight="1" s="305">
      <c r="A1002" s="3" t="inlineStr">
        <is>
          <t>khaiThacDen.contentReport</t>
        </is>
      </c>
      <c r="B1002" s="3" t="inlineStr">
        <is>
          <t>Quý khách có chắc chắn muốn báo thiếu các phiếu gửi này?</t>
        </is>
      </c>
      <c r="C1002" s="3" t="inlineStr">
        <is>
          <t>Are you sure to report these postal slips?</t>
        </is>
      </c>
      <c r="D1002" s="3">
        <f>IFERROR(__xludf.DUMMYFUNCTION("GOOGLETRANSLATE(B1002,""vi"",""km"")"),"តើអ្នកពិតជាចង់រាយការណ៍អំពីបង្កាន់ដៃដឹកជញ្ជូនដែលបាត់ទាំងនេះមែនទេ?")</f>
        <v/>
      </c>
      <c r="E1002" s="3" t="inlineStr">
        <is>
          <t>តើអ្នកពិតជាចង់រាយការណ៍ពីការខ្វះខាតទៅលើបុងបញ្ញើនេះមែនទេ?</t>
        </is>
      </c>
      <c r="F1002" s="3" t="n"/>
      <c r="G1002" s="3" t="inlineStr">
        <is>
          <t>តើអ្នកពិតជាចង់រាយការណ៍ពីការខ្វះខាតទៅលើបុងបញ្ញើនេះមែនទេ?</t>
        </is>
      </c>
      <c r="H1002" t="inlineStr">
        <is>
          <t>តើអ្នកពិតជាចង់រាយការណ៍ពីការខ្វះខាតទៅលើបុងបញ្ញើនេះមែនទេ?</t>
        </is>
      </c>
      <c r="I1002" s="217" t="inlineStr">
        <is>
          <t>"khaiThacDen.contentReport": "តើអ្នកពិតជាចង់រាយការណ៍ពីការខ្វះខាតទៅលើបុងបញ្ញើនេះមែនទេ?",</t>
        </is>
      </c>
      <c r="N1002" s="3" t="inlineStr">
        <is>
          <t>តើអ្នកប្រាកដថាចង់រាយការណ៍បង្កាន់ដៃទាំងនេះថាបាត់ឬ?</t>
        </is>
      </c>
    </row>
    <row r="1003" ht="15.75" customHeight="1" s="305">
      <c r="A1003" s="3" t="inlineStr">
        <is>
          <t>change_password.password_added_successfully</t>
        </is>
      </c>
      <c r="B1003" s="3" t="inlineStr">
        <is>
          <t>Quý khách đã đặt mật khẩu thành công</t>
        </is>
      </c>
      <c r="C1003" s="3" t="inlineStr">
        <is>
          <t>You have set your password successfully</t>
        </is>
      </c>
      <c r="D1003" s="3">
        <f>IFERROR(__xludf.DUMMYFUNCTION("GOOGLETRANSLATE(B1003,""vi"",""km"")"),"អ្នកបានកំណត់ពាក្យសម្ងាត់របស់អ្នកដោយជោគជ័យ។")</f>
        <v/>
      </c>
      <c r="E1003" s="3" t="inlineStr">
        <is>
          <t>អ្នកបានកំណត់ពាក្យសម្ងាត់ដោយជោគជ័យ</t>
        </is>
      </c>
      <c r="F1003" s="3" t="n"/>
      <c r="G1003" s="3" t="inlineStr">
        <is>
          <t>អ្នកបានកំណត់ពាក្យសម្ងាត់ដោយជោគជ័យ</t>
        </is>
      </c>
      <c r="H1003" t="inlineStr">
        <is>
          <t>អ្នកបានកំណត់ពាក្យសម្ងាត់ដោយជោគជ័យ</t>
        </is>
      </c>
      <c r="I1003" s="217" t="inlineStr">
        <is>
          <t>"change_password.password_added_successfully": "អ្នកបានកំណត់ពាក្យសម្ងាត់ដោយជោគជ័យ",</t>
        </is>
      </c>
      <c r="N1003" s="3" t="inlineStr">
        <is>
          <t>អ្នកបានកំណត់ពាក្យសម្ងាត់ដោយជោគជ័យ</t>
        </is>
      </c>
    </row>
    <row r="1004" ht="15.75" customHeight="1" s="305">
      <c r="A1004" s="3" t="inlineStr">
        <is>
          <t>setting.rulePassword</t>
        </is>
      </c>
      <c r="B1004" s="3" t="inlineStr">
        <is>
          <t>Quy tắc đặt mật khẩu</t>
        </is>
      </c>
      <c r="C1004" s="3" t="inlineStr">
        <is>
          <t>Password rules</t>
        </is>
      </c>
      <c r="D1004" s="3">
        <f>IFERROR(__xludf.DUMMYFUNCTION("GOOGLETRANSLATE(B1004,""vi"",""km"")"),"ច្បាប់ពាក្យសម្ងាត់")</f>
        <v/>
      </c>
      <c r="E1004" s="3" t="inlineStr">
        <is>
          <t>ការកំណត់បង្កើតពាក្យសម្ងាត់</t>
        </is>
      </c>
      <c r="F1004" s="3" t="n"/>
      <c r="G1004" s="3" t="inlineStr">
        <is>
          <t>ការកំណត់បង្កើតពាក្យសម្ងាត់</t>
        </is>
      </c>
      <c r="H1004" t="inlineStr">
        <is>
          <t>ការកំណត់បង្កើតពាក្យសម្ងាត់</t>
        </is>
      </c>
      <c r="I1004" s="217" t="inlineStr">
        <is>
          <t>"setting.rulePassword": "ការកំណត់បង្កើតពាក្យសម្ងាត់",</t>
        </is>
      </c>
      <c r="N1004" s="3" t="inlineStr">
        <is>
          <t>Password setting rules</t>
        </is>
      </c>
    </row>
    <row r="1005" ht="15.75" customHeight="1" s="305">
      <c r="A1005" s="3" t="inlineStr">
        <is>
          <t>taoDon.width</t>
        </is>
      </c>
      <c r="B1005" s="3" t="inlineStr">
        <is>
          <t>Rộng</t>
        </is>
      </c>
      <c r="C1005" s="3" t="inlineStr">
        <is>
          <t>Width</t>
        </is>
      </c>
      <c r="D1005" s="3">
        <f>IFERROR(__xludf.DUMMYFUNCTION("GOOGLETRANSLATE(B1005,""vi"",""km"")"),"ធំទូលាយ")</f>
        <v/>
      </c>
      <c r="E1005" s="3" t="inlineStr">
        <is>
          <t>ទទឹង</t>
        </is>
      </c>
      <c r="F1005" s="3" t="n"/>
      <c r="G1005" s="3" t="inlineStr">
        <is>
          <t>ទទឹង</t>
        </is>
      </c>
      <c r="H1005" t="inlineStr">
        <is>
          <t>ទទឹង</t>
        </is>
      </c>
      <c r="I1005" s="217" t="inlineStr">
        <is>
          <t>"taoDon.width": "ទទឹង",</t>
        </is>
      </c>
      <c r="N1005" s="3" t="inlineStr">
        <is>
          <t>ទទឹង</t>
        </is>
      </c>
    </row>
    <row r="1006" ht="15.75" customHeight="1" s="305">
      <c r="A1006" s="3" t="inlineStr">
        <is>
          <t>traCuoc.placeholderWidth</t>
        </is>
      </c>
      <c r="B1006" s="3" t="inlineStr">
        <is>
          <t>Rộng (cm)</t>
        </is>
      </c>
      <c r="C1006" s="3" t="inlineStr">
        <is>
          <t>Width (cm)</t>
        </is>
      </c>
      <c r="D1006" s="3">
        <f>IFERROR(__xludf.DUMMYFUNCTION("GOOGLETRANSLATE(B1006,""vi"",""km"")"),"ទទឹង (សង់ទីម៉ែត្រ)")</f>
        <v/>
      </c>
      <c r="E1006" s="3" t="inlineStr">
        <is>
          <t>ទទឹង (សង់ទីម៉ែត្រ)</t>
        </is>
      </c>
      <c r="F1006" s="3" t="n"/>
      <c r="G1006" s="3" t="inlineStr">
        <is>
          <t>ទទឹង (សង់ទីម៉ែត្រ)</t>
        </is>
      </c>
      <c r="H1006" t="inlineStr">
        <is>
          <t>ទទឹង (សង់ទីម៉ែត្រ)</t>
        </is>
      </c>
      <c r="I1006" s="217" t="inlineStr">
        <is>
          <t>"traCuoc.placeholderWidth": "ទទឹង (សង់ទីម៉ែត្រ)",</t>
        </is>
      </c>
      <c r="N1006" s="3" t="inlineStr">
        <is>
          <t>ទទឹង (សង់ទីម៉ែត្រ)</t>
        </is>
      </c>
    </row>
    <row r="1007" ht="15.75" customHeight="1" s="305">
      <c r="A1007" s="3" t="inlineStr">
        <is>
          <t>taoDon.widthHeightLength</t>
        </is>
      </c>
      <c r="B1007" s="3" t="inlineStr">
        <is>
          <t>Rộng x cao x dài</t>
        </is>
      </c>
      <c r="C1007" s="3" t="inlineStr">
        <is>
          <t>Width x Height x Length</t>
        </is>
      </c>
      <c r="D1007" s="3">
        <f>IFERROR(__xludf.DUMMYFUNCTION("GOOGLETRANSLATE(B1007,""vi"",""km"")"),"ទទឹង x កម្ពស់ x បណ្តោយ")</f>
        <v/>
      </c>
      <c r="E1007" s="3" t="inlineStr">
        <is>
          <t>ទទឹង x កម្ពស់ x ប្រវែង</t>
        </is>
      </c>
      <c r="F1007" s="3" t="n"/>
      <c r="G1007" s="3" t="inlineStr">
        <is>
          <t>ទទឹង x កម្ពស់ x ប្រវែង</t>
        </is>
      </c>
      <c r="H1007" t="inlineStr">
        <is>
          <t>ទទឹង x កម្ពស់ x ប្រវែង</t>
        </is>
      </c>
      <c r="I1007" s="217" t="inlineStr">
        <is>
          <t>"taoDon.widthHeightLength": "ទទឹង x កម្ពស់ x ប្រវែង",</t>
        </is>
      </c>
      <c r="N1007" s="3" t="inlineStr"/>
    </row>
    <row r="1008" ht="15.75" customHeight="1" s="305">
      <c r="A1008" s="3" t="inlineStr">
        <is>
          <t>nhanHang.wrongWeight</t>
        </is>
      </c>
      <c r="B1008" s="3" t="inlineStr">
        <is>
          <t>Sai cân nặng</t>
        </is>
      </c>
      <c r="C1008" s="3" t="inlineStr">
        <is>
          <t>Wrong weight</t>
        </is>
      </c>
      <c r="D1008" s="3">
        <f>IFERROR(__xludf.DUMMYFUNCTION("GOOGLETRANSLATE(B1008,""vi"",""km"")"),"ទម្ងន់មិនត្រឹមត្រូវ")</f>
        <v/>
      </c>
      <c r="E1008" s="3" t="inlineStr">
        <is>
          <t>ទម្ងន់មិនត្រឹមត្រូវ</t>
        </is>
      </c>
      <c r="F1008" s="3" t="n"/>
      <c r="G1008" s="3" t="inlineStr">
        <is>
          <t>ទម្ងន់មិនត្រឹមត្រូវ</t>
        </is>
      </c>
      <c r="H1008" t="inlineStr">
        <is>
          <t>ទម្ងន់មិនត្រឹមត្រូវ</t>
        </is>
      </c>
      <c r="I1008" s="217" t="inlineStr">
        <is>
          <t>"nhanHang.wrongWeight": "ទម្ងន់មិនត្រឹមត្រូវ",</t>
        </is>
      </c>
      <c r="N1008" s="3" t="inlineStr">
        <is>
          <t>ទំងន់មិនត្រឹមត្រូវ</t>
        </is>
      </c>
    </row>
    <row r="1009" ht="15.75" customHeight="1" s="305">
      <c r="A1009" s="3" t="inlineStr">
        <is>
          <t>GiaoHang.descReasonRejectSize</t>
        </is>
      </c>
      <c r="B1009" s="3" t="inlineStr">
        <is>
          <t>Sai kích thước</t>
        </is>
      </c>
      <c r="C1009" s="3" t="inlineStr">
        <is>
          <t>Wrong size</t>
        </is>
      </c>
      <c r="D1009" s="3">
        <f>IFERROR(__xludf.DUMMYFUNCTION("GOOGLETRANSLATE(B1009,""vi"",""km"")"),"ទំហំមិនត្រឹមត្រូវ")</f>
        <v/>
      </c>
      <c r="E1009" s="3" t="inlineStr">
        <is>
          <t>ទំហំមិនត្រឹមត្រូវ</t>
        </is>
      </c>
      <c r="F1009" s="3" t="n"/>
      <c r="G1009" s="3" t="inlineStr">
        <is>
          <t>ទំហំមិនត្រឹមត្រូវ</t>
        </is>
      </c>
      <c r="H1009" t="inlineStr">
        <is>
          <t>ទំហំមិនត្រឹមត្រូវ</t>
        </is>
      </c>
      <c r="I1009" s="217" t="inlineStr">
        <is>
          <t>"GiaoHang.descReasonRejectSize": "ទំហំមិនត្រឹមត្រូវ",</t>
        </is>
      </c>
      <c r="N1009" s="3" t="inlineStr">
        <is>
          <t>ខុសទំហំ</t>
        </is>
      </c>
    </row>
    <row r="1010" ht="15.75" customHeight="1" s="305">
      <c r="A1010" s="3" t="inlineStr">
        <is>
          <t>GiaoHang.descReasonRejectStyle</t>
        </is>
      </c>
      <c r="B1010" s="3" t="inlineStr">
        <is>
          <t>Sai kiểu dáng</t>
        </is>
      </c>
      <c r="C1010" s="3" t="inlineStr">
        <is>
          <t>Wrong design</t>
        </is>
      </c>
      <c r="D1010" s="3">
        <f>IFERROR(__xludf.DUMMYFUNCTION("GOOGLETRANSLATE(B1010,""vi"",""km"")"),"ការរចនាមិនត្រឹមត្រូវ")</f>
        <v/>
      </c>
      <c r="E1010" s="3" t="inlineStr">
        <is>
          <t>រូបរាងមិនត្រឹមត្រូវ</t>
        </is>
      </c>
      <c r="F1010" s="3" t="n"/>
      <c r="G1010" s="3" t="inlineStr">
        <is>
          <t>រូបរាងមិនត្រឹមត្រូវ</t>
        </is>
      </c>
      <c r="H1010" t="inlineStr">
        <is>
          <t>រូបរាងមិនត្រឹមត្រូវ</t>
        </is>
      </c>
      <c r="I1010" s="217" t="inlineStr">
        <is>
          <t>"GiaoHang.descReasonRejectStyle": "រូបរាងមិនត្រឹមត្រូវ",</t>
        </is>
      </c>
      <c r="N1010" s="3" t="inlineStr">
        <is>
          <t>ខុសរូបរាង</t>
        </is>
      </c>
    </row>
    <row r="1011" ht="15.75" customHeight="1" s="305">
      <c r="A1011" s="3" t="inlineStr">
        <is>
          <t>GiaoHang.descReasonRejectColor</t>
        </is>
      </c>
      <c r="B1011" s="3" t="inlineStr">
        <is>
          <t>Sai màu sắc</t>
        </is>
      </c>
      <c r="C1011" s="3" t="inlineStr">
        <is>
          <t>Wrong color</t>
        </is>
      </c>
      <c r="D1011" s="3">
        <f>IFERROR(__xludf.DUMMYFUNCTION("GOOGLETRANSLATE(B1011,""vi"",""km"")"),"ពណ៌ខុស")</f>
        <v/>
      </c>
      <c r="E1011" s="3" t="inlineStr">
        <is>
          <t>ពណ៌មិនត្រឹមត្រូវ</t>
        </is>
      </c>
      <c r="F1011" s="3" t="n"/>
      <c r="G1011" s="3" t="inlineStr">
        <is>
          <t>ពណ៌មិនត្រឹមត្រូវ</t>
        </is>
      </c>
      <c r="H1011" t="inlineStr">
        <is>
          <t>ពណ៌មិនត្រឹមត្រូវ</t>
        </is>
      </c>
      <c r="I1011" s="217" t="inlineStr">
        <is>
          <t>"GiaoHang.descReasonRejectColor": "ពណ៌មិនត្រឹមត្រូវ",</t>
        </is>
      </c>
      <c r="N1011" s="3" t="inlineStr">
        <is>
          <t>ខុសពណ៌</t>
        </is>
      </c>
    </row>
    <row r="1012" ht="15.75" customHeight="1" s="305">
      <c r="A1012" s="3" t="inlineStr">
        <is>
          <t>GiaoHang.descUpdateStatusRefund2</t>
        </is>
      </c>
      <c r="B1012" s="3" t="inlineStr">
        <is>
          <t>Sai thông tin người nhận</t>
        </is>
      </c>
      <c r="C1012" s="3" t="inlineStr">
        <is>
          <t>Incorrect phone number</t>
        </is>
      </c>
      <c r="D1012" s="3">
        <f>IFERROR(__xludf.DUMMYFUNCTION("GOOGLETRANSLATE(B1012,""vi"",""km"")"),"ព័ត៌មានអ្នកទទួលមិនត្រឹមត្រូវ")</f>
        <v/>
      </c>
      <c r="E1012" s="3" t="inlineStr">
        <is>
          <t>ព័ត៌មានអ្នកទទួលមិនត្រឹមត្រូវ</t>
        </is>
      </c>
      <c r="F1012" s="3" t="n"/>
      <c r="G1012" s="3" t="inlineStr">
        <is>
          <t>ព័ត៌មានអ្នកទទួលមិនត្រឹមត្រូវ</t>
        </is>
      </c>
      <c r="H1012" t="inlineStr">
        <is>
          <t>ព័ត៌មានអ្នកទទួលមិនត្រឹមត្រូវ</t>
        </is>
      </c>
      <c r="I1012" s="217" t="inlineStr">
        <is>
          <t>"GiaoHang.descUpdateStatusRefund2": "ព័ត៌មានអ្នកទទួលមិនត្រឹមត្រូវ",</t>
        </is>
      </c>
      <c r="N1012" s="3" t="inlineStr">
        <is>
          <t>លេខទូរស័ព្ទអ្នកទទួលខុស</t>
        </is>
      </c>
    </row>
    <row r="1013" ht="15.75" customHeight="1" s="305">
      <c r="A1013" s="3" t="inlineStr">
        <is>
          <t>traCuu.sanPham</t>
        </is>
      </c>
      <c r="B1013" s="3" t="inlineStr">
        <is>
          <t>Sản phẩm</t>
        </is>
      </c>
      <c r="C1013" s="3" t="inlineStr">
        <is>
          <t>Freight</t>
        </is>
      </c>
      <c r="D1013" s="3">
        <f>IFERROR(__xludf.DUMMYFUNCTION("GOOGLETRANSLATE(B1013,""vi"",""km"")"),"ផលិតផល")</f>
        <v/>
      </c>
      <c r="E1013" s="3" t="inlineStr">
        <is>
          <t>ផលិតផល</t>
        </is>
      </c>
      <c r="F1013" s="3" t="n"/>
      <c r="G1013" s="3" t="inlineStr">
        <is>
          <t>ផលិតផល</t>
        </is>
      </c>
      <c r="H1013" t="inlineStr">
        <is>
          <t>ផលិតផល</t>
        </is>
      </c>
      <c r="I1013" s="217" t="inlineStr">
        <is>
          <t>"traCuu.sanPham": "ផលិតផល",</t>
        </is>
      </c>
      <c r="N1013" s="3" t="inlineStr">
        <is>
          <t>ផលិតផល</t>
        </is>
      </c>
    </row>
    <row r="1014" ht="15.75" customHeight="1" s="305">
      <c r="A1014" s="3" t="inlineStr">
        <is>
          <t>taoDon.nameFreight</t>
        </is>
      </c>
      <c r="B1014" s="3" t="inlineStr">
        <is>
          <t>Sản phẩm</t>
        </is>
      </c>
      <c r="C1014" s="3" t="inlineStr">
        <is>
          <t>Freight</t>
        </is>
      </c>
      <c r="D1014" s="3">
        <f>IFERROR(__xludf.DUMMYFUNCTION("GOOGLETRANSLATE(B1014,""vi"",""km"")"),"ផលិតផល")</f>
        <v/>
      </c>
      <c r="E1014" s="3" t="inlineStr">
        <is>
          <t>ផលិតផល</t>
        </is>
      </c>
      <c r="F1014" s="3" t="n"/>
      <c r="G1014" s="3" t="inlineStr">
        <is>
          <t>ផលិតផល</t>
        </is>
      </c>
      <c r="H1014" t="inlineStr">
        <is>
          <t>ផលិតផល</t>
        </is>
      </c>
      <c r="I1014" s="217" t="inlineStr">
        <is>
          <t>"taoDon.nameFreight": "ផលិតផល",</t>
        </is>
      </c>
      <c r="N1014" s="3" t="inlineStr">
        <is>
          <t>ផលិតផល</t>
        </is>
      </c>
    </row>
    <row r="1015" ht="15.75" customHeight="1" s="305">
      <c r="A1015" s="3" t="inlineStr">
        <is>
          <t>taoDon.morning</t>
        </is>
      </c>
      <c r="B1015" s="3" t="inlineStr">
        <is>
          <t>Sáng 7h30 - 12h00</t>
        </is>
      </c>
      <c r="C1015" s="3" t="inlineStr">
        <is>
          <t>Morning 7:30 AM - 12:00 PM</t>
        </is>
      </c>
      <c r="D1015" s="3">
        <f>IFERROR(__xludf.DUMMYFUNCTION("GOOGLETRANSLATE(B1015,""vi"",""km"")"),"ពេលព្រឹក ម៉ោង ៧:៣០ ព្រឹក - ១២:០០ ថ្ងៃត្រង់")</f>
        <v/>
      </c>
      <c r="E1015" s="3" t="inlineStr">
        <is>
          <t>ពេលព្រឹក ម៉ោង 7:30 ព្រឹក - 12:00 ថ្ងៃត្រង់</t>
        </is>
      </c>
      <c r="F1015" s="3" t="n"/>
      <c r="G1015" s="3" t="inlineStr">
        <is>
          <t>ពេលព្រឹក ម៉ោង 7:30 ព្រឹក - 12:00 ថ្ងៃត្រង់</t>
        </is>
      </c>
      <c r="H1015" t="inlineStr">
        <is>
          <t>ពេលព្រឹក ម៉ោង 7:30 ព្រឹក - 12:00 ថ្ងៃត្រង់</t>
        </is>
      </c>
      <c r="I1015" s="217" t="inlineStr">
        <is>
          <t>"taoDon.morning": "ពេលព្រឹក ម៉ោង 7:30 ព្រឹក - 12:00 ថ្ងៃត្រង់",</t>
        </is>
      </c>
      <c r="N1015" s="3" t="inlineStr">
        <is>
          <t>ព្រឹក 7h30 - 12h00</t>
        </is>
      </c>
    </row>
    <row r="1016" ht="15.75" customHeight="1" s="305">
      <c r="A1016" s="3" t="inlineStr">
        <is>
          <t>home.sapxep</t>
        </is>
      </c>
      <c r="B1016" s="3" t="inlineStr">
        <is>
          <t>Sắp xếp</t>
        </is>
      </c>
      <c r="C1016" s="3" t="inlineStr">
        <is>
          <t>Arrange</t>
        </is>
      </c>
      <c r="D1016" s="3">
        <f>IFERROR(__xludf.DUMMYFUNCTION("GOOGLETRANSLATE(B1016,""vi"",""km"")"),"រៀបចំ")</f>
        <v/>
      </c>
      <c r="E1016" s="3" t="inlineStr">
        <is>
          <t>រៀបចំ</t>
        </is>
      </c>
      <c r="F1016" s="3" t="n"/>
      <c r="G1016" s="3" t="inlineStr">
        <is>
          <t>រៀបចំ</t>
        </is>
      </c>
      <c r="H1016" t="inlineStr">
        <is>
          <t>រៀបចំ</t>
        </is>
      </c>
      <c r="I1016" s="217" t="inlineStr">
        <is>
          <t>"home.sapxep": "រៀបចំ",</t>
        </is>
      </c>
      <c r="N1016" s="3" t="inlineStr">
        <is>
          <t>តម្រៀប</t>
        </is>
      </c>
    </row>
    <row r="1017" ht="15.75" customHeight="1" s="305">
      <c r="A1017" s="3" t="inlineStr">
        <is>
          <t>PhanCong.titlePhonePostMan</t>
        </is>
      </c>
      <c r="B1017" s="3" t="inlineStr">
        <is>
          <t>SĐT bưu tá</t>
        </is>
      </c>
      <c r="C1017" s="3" t="inlineStr">
        <is>
          <t>Postman's phone number</t>
        </is>
      </c>
      <c r="D1017" s="3">
        <f>IFERROR(__xludf.DUMMYFUNCTION("GOOGLETRANSLATE(B1017,""vi"",""km"")"),"លេខទូរស័ព្ទរបស់បុគ្គលិកប្រៃសណីយ៍")</f>
        <v/>
      </c>
      <c r="E1017" s="3" t="inlineStr">
        <is>
          <t>លេខទូរស័ព្ទអ្នកដឹក</t>
        </is>
      </c>
      <c r="F1017" s="3" t="n"/>
      <c r="G1017" s="3" t="inlineStr">
        <is>
          <t>លេខទូរស័ព្ទអ្នកដឹក</t>
        </is>
      </c>
      <c r="H1017" t="inlineStr">
        <is>
          <t>លេខទូរស័ព្ទអ្នកដឹក</t>
        </is>
      </c>
      <c r="I1017" s="217" t="inlineStr">
        <is>
          <t>"PhanCong.titlePhonePostMan": "លេខទូរស័ព្ទអ្នកដឹក",</t>
        </is>
      </c>
      <c r="N1017" s="3" t="inlineStr">
        <is>
          <t>លេខទូរស័ព្ទបញ្ជូន</t>
        </is>
      </c>
    </row>
    <row r="1018" ht="15.75" customHeight="1" s="305">
      <c r="A1018" s="3" t="inlineStr">
        <is>
          <t>PhanCong.phoneUserPhat</t>
        </is>
      </c>
      <c r="B1018" s="3" t="inlineStr">
        <is>
          <t>SĐT được PC:</t>
        </is>
      </c>
      <c r="C1018" s="3" t="inlineStr">
        <is>
          <t>Assigned phone number:</t>
        </is>
      </c>
      <c r="D1018" s="3">
        <f>IFERROR(__xludf.DUMMYFUNCTION("GOOGLETRANSLATE(B1018,""vi"",""km"")"),"លេខទូរស័ព្ទដែលផ្តល់ដោយ PC៖")</f>
        <v/>
      </c>
      <c r="E1018" s="159" t="inlineStr">
        <is>
          <t>លេខទូរស័ព្ទដែលបានកំណត់ដោយPC៖</t>
        </is>
      </c>
      <c r="F1018" s="3" t="n"/>
      <c r="G1018" s="3" t="inlineStr">
        <is>
          <t>លេខទូរស័ព្ទដែលបានកំណត់ដោយPC៖</t>
        </is>
      </c>
      <c r="H1018" t="inlineStr">
        <is>
          <t>លេខទូរស័ព្ទដែលបានកំណត់ដោយPC៖</t>
        </is>
      </c>
      <c r="I1018" s="217" t="inlineStr">
        <is>
          <t>"PhanCong.phoneUserPhat": "លេខទូរស័ព្ទដែលបានកំណត់ដោយPC៖",</t>
        </is>
      </c>
      <c r="N1018" s="3" t="inlineStr">
        <is>
          <t>លេខទូរស័ព្ទបញ្ជាក់៖</t>
        </is>
      </c>
    </row>
    <row r="1019" ht="15.75" customHeight="1" s="305">
      <c r="A1019" s="3" t="inlineStr">
        <is>
          <t>taoDon.phoneNumberRequired</t>
        </is>
      </c>
      <c r="B1019" s="3" t="inlineStr">
        <is>
          <t>SĐT không được để trống</t>
        </is>
      </c>
      <c r="C1019" s="3" t="inlineStr">
        <is>
          <t>Phone number is required</t>
        </is>
      </c>
      <c r="D1019" s="3">
        <f>IFERROR(__xludf.DUMMYFUNCTION("GOOGLETRANSLATE(B1019,""vi"",""km"")"),"លេខទូរស័ព្ទមិនត្រូវទុកចោលទទេឡើយ។")</f>
        <v/>
      </c>
      <c r="E1019" s="3" t="inlineStr">
        <is>
          <t>លេខទូរស័ព្ទមិនអាចឲ្យនៅចន្លោះបានទេ</t>
        </is>
      </c>
      <c r="F1019" s="3" t="n"/>
      <c r="G1019" s="3" t="inlineStr">
        <is>
          <t>លេខទូរស័ព្ទមិនអាចឲ្យនៅចន្លោះបានទេ</t>
        </is>
      </c>
      <c r="H1019" t="inlineStr">
        <is>
          <t>លេខទូរស័ព្ទមិនអាចឲ្យនៅចន្លោះបានទេ</t>
        </is>
      </c>
      <c r="I1019" s="217" t="inlineStr">
        <is>
          <t>"taoDon.phoneNumberRequired": "លេខទូរស័ព្ទមិនអាចឲ្យនៅចន្លោះបានទេ",</t>
        </is>
      </c>
      <c r="N1019" s="3" t="inlineStr">
        <is>
          <t>លេខទូរស័ព្ទមិនអាចទទេបានទេ</t>
        </is>
      </c>
    </row>
    <row r="1020" ht="15.75" customHeight="1" s="305">
      <c r="A1020" s="3" t="inlineStr">
        <is>
          <t>taoDon.secondaryPhone</t>
        </is>
      </c>
      <c r="B1020" s="3" t="inlineStr">
        <is>
          <t>SĐT phụ</t>
        </is>
      </c>
      <c r="C1020" s="3" t="inlineStr">
        <is>
          <t>Additional phone number</t>
        </is>
      </c>
      <c r="D1020" s="3">
        <f>IFERROR(__xludf.DUMMYFUNCTION("GOOGLETRANSLATE(B1020,""vi"",""km"")"),"លេខទូរស័ព្ទបន្ទាប់បន្សំ")</f>
        <v/>
      </c>
      <c r="E1020" s="3" t="inlineStr">
        <is>
          <t>លេខទូរស័ព្ទបន្ទាប់បន្សំ</t>
        </is>
      </c>
      <c r="F1020" s="3" t="n"/>
      <c r="G1020" s="3" t="inlineStr">
        <is>
          <t>លេខទូរស័ព្ទបន្ទាប់បន្សំ</t>
        </is>
      </c>
      <c r="H1020" t="inlineStr">
        <is>
          <t>លេខទូរស័ព្ទបន្ទាប់បន្សំ</t>
        </is>
      </c>
      <c r="I1020" s="217" t="inlineStr">
        <is>
          <t>"taoDon.secondaryPhone": "លេខទូរស័ព្ទបន្ទាប់បន្សំ",</t>
        </is>
      </c>
      <c r="N1020" s="3" t="inlineStr">
        <is>
          <t>លេខទូរស័ព្ទបន្ថែម</t>
        </is>
      </c>
    </row>
    <row r="1021" ht="15.75" customHeight="1" s="305">
      <c r="A1021" s="3" t="inlineStr">
        <is>
          <t>tms.odoNumber</t>
        </is>
      </c>
      <c r="B1021" s="3" t="inlineStr">
        <is>
          <t>Số công tơ mét</t>
        </is>
      </c>
      <c r="C1021" s="3" t="inlineStr">
        <is>
          <t>Odometer number</t>
        </is>
      </c>
      <c r="D1021" s="3">
        <f>IFERROR(__xludf.DUMMYFUNCTION("GOOGLETRANSLATE(B1021,""vi"",""km"")"),"លេខម៉ែត្រ")</f>
        <v/>
      </c>
      <c r="E1021" s="3" t="inlineStr">
        <is>
          <t>លេខកុងតឺរម៉ែត</t>
        </is>
      </c>
      <c r="F1021" s="3" t="n"/>
      <c r="G1021" s="3" t="inlineStr">
        <is>
          <t>លេខកុងតឺរម៉ែត</t>
        </is>
      </c>
      <c r="H1021" t="inlineStr">
        <is>
          <t>លេខកុងតឺរម៉ែត</t>
        </is>
      </c>
      <c r="I1021" s="217" t="inlineStr">
        <is>
          <t>"tms.odoNumber": "លេខកុងតឺរម៉ែត",</t>
        </is>
      </c>
      <c r="N1021" s="3" t="inlineStr"/>
    </row>
    <row r="1022" ht="15.75" customHeight="1" s="305">
      <c r="A1022" s="3" t="inlineStr">
        <is>
          <t>register.phone</t>
        </is>
      </c>
      <c r="B1022" s="3" t="inlineStr">
        <is>
          <t>Số điện thoại</t>
        </is>
      </c>
      <c r="C1022" s="3" t="inlineStr">
        <is>
          <t>Phone</t>
        </is>
      </c>
      <c r="D1022" s="3">
        <f>IFERROR(__xludf.DUMMYFUNCTION("GOOGLETRANSLATE(B1022,""vi"",""km"")"),"លេខទូរស័ព្ទ")</f>
        <v/>
      </c>
      <c r="E1022" s="3" t="inlineStr">
        <is>
          <t>លេខទូរស័ព្ទ</t>
        </is>
      </c>
      <c r="F1022" s="3" t="n"/>
      <c r="G1022" s="3" t="inlineStr">
        <is>
          <t>លេខទូរស័ព្ទ</t>
        </is>
      </c>
      <c r="H1022" t="inlineStr">
        <is>
          <t>លេខទូរស័ព្ទ</t>
        </is>
      </c>
      <c r="I1022" s="217" t="inlineStr">
        <is>
          <t>"register.phone": "លេខទូរស័ព្ទ",</t>
        </is>
      </c>
      <c r="N1022" s="3" t="inlineStr"/>
    </row>
    <row r="1023" ht="15.75" customHeight="1" s="305">
      <c r="A1023" s="3" t="inlineStr">
        <is>
          <t>taoDon.phoneNumber</t>
        </is>
      </c>
      <c r="B1023" s="3" t="inlineStr">
        <is>
          <t>Số điện thoại</t>
        </is>
      </c>
      <c r="C1023" s="3" t="inlineStr">
        <is>
          <t>Phone number</t>
        </is>
      </c>
      <c r="D1023" s="3">
        <f>IFERROR(__xludf.DUMMYFUNCTION("GOOGLETRANSLATE(B1023,""vi"",""km"")"),"លេខទូរស័ព្ទ")</f>
        <v/>
      </c>
      <c r="E1023" s="3" t="inlineStr">
        <is>
          <t>លេខទូរស័ព្ទ</t>
        </is>
      </c>
      <c r="F1023" s="3" t="n"/>
      <c r="G1023" s="3" t="inlineStr">
        <is>
          <t>លេខទូរស័ព្ទ</t>
        </is>
      </c>
      <c r="H1023" t="inlineStr">
        <is>
          <t>លេខទូរស័ព្ទ</t>
        </is>
      </c>
      <c r="I1023" s="217" t="inlineStr">
        <is>
          <t>"taoDon.phoneNumber": "លេខទូរស័ព្ទ",</t>
        </is>
      </c>
      <c r="N1023" s="3" t="inlineStr">
        <is>
          <t>លេខទូរស័ព្ទ</t>
        </is>
      </c>
    </row>
    <row r="1024" ht="15.75" customHeight="1" s="305">
      <c r="A1024" s="3" t="inlineStr">
        <is>
          <t>change_password.phone_not_system</t>
        </is>
      </c>
      <c r="B1024" s="3" t="inlineStr">
        <is>
          <t>Số điện thoại chưa có trên hệ thống</t>
        </is>
      </c>
      <c r="C1024" s="3" t="inlineStr">
        <is>
          <t>Phone number not found in the system</t>
        </is>
      </c>
      <c r="D1024" s="3">
        <f>IFERROR(__xludf.DUMMYFUNCTION("GOOGLETRANSLATE(B1024,""vi"",""km"")"),"លេខទូរស័ព្ទមិនទាន់មាននៅក្នុងប្រព័ន្ធនៅឡើយទេ។")</f>
        <v/>
      </c>
      <c r="E1024" s="3" t="inlineStr">
        <is>
          <t>លេខទូរស័ព្ទមិនមាននៅក្នុងប្រព័ន្ធទេ</t>
        </is>
      </c>
      <c r="F1024" s="3" t="n"/>
      <c r="G1024" s="3" t="inlineStr">
        <is>
          <t>លេខទូរស័ព្ទមិនមាននៅក្នុងប្រព័ន្ធទេ</t>
        </is>
      </c>
      <c r="H1024" t="inlineStr">
        <is>
          <t>លេខទូរស័ព្ទមិនមាននៅក្នុងប្រព័ន្ធទេ</t>
        </is>
      </c>
      <c r="I1024" s="217" t="inlineStr">
        <is>
          <t>"change_password.phone_not_system": "លេខទូរស័ព្ទមិនមាននៅក្នុងប្រព័ន្ធទេ",</t>
        </is>
      </c>
      <c r="N1024" s="3" t="inlineStr">
        <is>
          <t>រកមិនឃើញលេខទូរស័ព្ទក្នុងប្រព័ន្ធ</t>
        </is>
      </c>
    </row>
    <row r="1025" ht="15.75" customHeight="1" s="305">
      <c r="A1025" s="3" t="inlineStr">
        <is>
          <t>taoDon.phoneNumberIncorect</t>
        </is>
      </c>
      <c r="B1025" s="3" t="inlineStr">
        <is>
          <t>Số điện thoại không đúng định dạng</t>
        </is>
      </c>
      <c r="C1025" s="3" t="inlineStr">
        <is>
          <t>The phone number is not in the correct format</t>
        </is>
      </c>
      <c r="D1025" s="3">
        <f>IFERROR(__xludf.DUMMYFUNCTION("GOOGLETRANSLATE(B1025,""vi"",""km"")"),"លេខទូរស័ព្ទមិនមានទម្រង់ត្រឹមត្រូវទេ។")</f>
        <v/>
      </c>
      <c r="E1025" s="3" t="inlineStr">
        <is>
          <t>លេខទូរស័ព្ទមានទម្រង់មិនត្រឹមត្រូវ</t>
        </is>
      </c>
      <c r="F1025" s="3" t="n"/>
      <c r="G1025" s="3" t="inlineStr">
        <is>
          <t>លេខទូរស័ព្ទមានទម្រង់មិនត្រឹមត្រូវ</t>
        </is>
      </c>
      <c r="H1025" t="inlineStr">
        <is>
          <t>លេខទូរស័ព្ទមានទម្រង់មិនត្រឹមត្រូវ</t>
        </is>
      </c>
      <c r="I1025" s="217" t="inlineStr">
        <is>
          <t>"taoDon.phoneNumberIncorect": "លេខទូរស័ព្ទមានទម្រង់មិនត្រឹមត្រូវ",</t>
        </is>
      </c>
      <c r="N1025" s="3" t="inlineStr">
        <is>
          <t>លេខទូរស័ព្ទមិនត្រឹមត្រូវ</t>
        </is>
      </c>
    </row>
    <row r="1026" ht="15.75" customHeight="1" s="305">
      <c r="A1026" s="3" t="inlineStr">
        <is>
          <t>taoDon.invalidPhoneNumber</t>
        </is>
      </c>
      <c r="B1026" s="3" t="inlineStr">
        <is>
          <t>Số điện thoại không hợp lệ</t>
        </is>
      </c>
      <c r="C1026" s="3" t="inlineStr">
        <is>
          <t>Invalid phone number</t>
        </is>
      </c>
      <c r="D1026" s="3">
        <f>IFERROR(__xludf.DUMMYFUNCTION("GOOGLETRANSLATE(B1026,""vi"",""km"")"),"លេខទូរស័ព្ទមិនត្រឹមត្រូវ")</f>
        <v/>
      </c>
      <c r="E1026" s="3" t="inlineStr">
        <is>
          <t>លេខទូរស័ព្ទមិនត្រឹមត្រូវ</t>
        </is>
      </c>
      <c r="F1026" s="3" t="n"/>
      <c r="G1026" s="3" t="inlineStr">
        <is>
          <t>លេខទូរស័ព្ទមិនត្រឹមត្រូវ</t>
        </is>
      </c>
      <c r="H1026" t="inlineStr">
        <is>
          <t>លេខទូរស័ព្ទមិនត្រឹមត្រូវ</t>
        </is>
      </c>
      <c r="I1026" s="217" t="inlineStr">
        <is>
          <t>"taoDon.invalidPhoneNumber": "លេខទូរស័ព្ទមិនត្រឹមត្រូវ",</t>
        </is>
      </c>
      <c r="N1026" s="3" t="inlineStr">
        <is>
          <t>លេខទូរស័ព្ទមិនត្រឹមត្រូវ</t>
        </is>
      </c>
    </row>
    <row r="1027" ht="15.75" customHeight="1" s="305">
      <c r="A1027" s="3" t="inlineStr">
        <is>
          <t>taoDon.errorSecondPhone</t>
        </is>
      </c>
      <c r="B1027" s="3" t="inlineStr">
        <is>
          <t>Số điện thoại không hợp lệ: {{invalidNumbers}}. Mỗi số điện thoại phải hợp lệ, ít nhất 10 ký tự và không quá 20 ký tự.</t>
        </is>
      </c>
      <c r="C1027" s="3" t="inlineStr">
        <is>
          <t>Invalid phone numbers: {{invalidNumbers}}. Each phone number must be valid, at least 10 characters, and no more than 20 characters.</t>
        </is>
      </c>
      <c r="D1027" s="3">
        <f>IFERROR(__xludf.DUMMYFUNCTION("GOOGLETRANSLATE(B1027,""vi"",""km"")"),"លេខទូរស័ព្ទមិនត្រឹមត្រូវ៖ {{invalidNumbers}}។ លេខទូរស័ព្ទនីមួយៗត្រូវតែមានសុពលភាព យ៉ាងហោចណាស់ ១០ តួអក្សរ និងមិនលើសពី ២០ តួអក្សរ។")</f>
        <v/>
      </c>
      <c r="E1027" s="159" t="inlineStr">
        <is>
          <t>លេខទូរស័ព្ទមិនត្រឹមត្រូវ៖ {{invalidNumbers}}។ លេខទូរស័ព្ទនីមួយៗត្រឹមត្រូវ ដោយមានយ៉ាងហោចណាស់ 10 តួលេខ និងមិនលើសពី 20 តួលេខ។</t>
        </is>
      </c>
      <c r="F1027" s="3" t="n"/>
      <c r="G1027" s="3" t="inlineStr">
        <is>
          <t>លេខទូរស័ព្ទមិនត្រឹមត្រូវ៖ {{invalidNumbers}}។ លេខទូរស័ព្ទនីមួយៗត្រឹមត្រូវ ដោយមានយ៉ាងហោចណាស់ 10 តួលេខ និងមិនលើសពី 20 តួលេខ។</t>
        </is>
      </c>
      <c r="H1027" t="inlineStr">
        <is>
          <t>លេខទូរស័ព្ទមិនត្រឹមត្រូវ៖ {{invalidNumbers}}។ លេខទូរស័ព្ទនីមួយៗត្រឹមត្រូវ ដោយមានយ៉ាងហោចណាស់ 10 តួលេខ និងមិនលើសពី 20 តួលេខ។</t>
        </is>
      </c>
      <c r="I1027" s="217" t="inlineStr">
        <is>
          <t>"taoDon.errorSecondPhone": "លេខទូរស័ព្ទមិនត្រឹមត្រូវ៖ {{invalidNumbers}}។ លេខទូរស័ព្ទនីមួយៗត្រឹមត្រូវ ដោយមានយ៉ាងហោចណាស់ 10 តួលេខ និងមិនលើសពី 20 តួលេខ។",</t>
        </is>
      </c>
      <c r="N1027" s="3" t="inlineStr">
        <is>
          <t>លេខទូរស័ព្ទមិនត្រឹមត្រូវ៖ {{invalidNumbers}}. លេខនីមួយៗត្រូវត្រឹមត្រូវ, 10–20 តួអក្សរ។</t>
        </is>
      </c>
    </row>
    <row r="1028" ht="15.75" customHeight="1" s="305">
      <c r="A1028" s="3" t="inlineStr">
        <is>
          <t>taoDon.senderPhoneNumberRequired</t>
        </is>
      </c>
      <c r="B1028" s="3" t="inlineStr">
        <is>
          <t>Số điện thoại người gửi không được để trống</t>
        </is>
      </c>
      <c r="C1028" s="3" t="inlineStr">
        <is>
          <t>Sender's phone number is required</t>
        </is>
      </c>
      <c r="D1028" s="3">
        <f>IFERROR(__xludf.DUMMYFUNCTION("GOOGLETRANSLATE(B1028,""vi"",""km"")"),"លេខទូរស័ព្ទរបស់អ្នកផ្ញើមិនត្រូវទុកចោលទទេឡើយ។")</f>
        <v/>
      </c>
      <c r="E1028" s="3" t="inlineStr">
        <is>
          <t>លេខទូរស័ព្ទរបស់អ្នកផ្ញើមិនអាចទុកឲ្យនៅចន្លោះបានទេ</t>
        </is>
      </c>
      <c r="F1028" s="3" t="n"/>
      <c r="G1028" s="3" t="inlineStr">
        <is>
          <t>លេខទូរស័ព្ទរបស់អ្នកផ្ញើមិនអាចទុកឲ្យនៅចន្លោះបានទេ</t>
        </is>
      </c>
      <c r="H1028" t="inlineStr">
        <is>
          <t>លេខទូរស័ព្ទរបស់អ្នកផ្ញើមិនអាចទុកឲ្យនៅចន្លោះបានទេ</t>
        </is>
      </c>
      <c r="I1028" s="217" t="inlineStr">
        <is>
          <t>"taoDon.senderPhoneNumberRequired": "លេខទូរស័ព្ទរបស់អ្នកផ្ញើមិនអាចទុកឲ្យនៅចន្លោះបានទេ",</t>
        </is>
      </c>
      <c r="N1028" s="3" t="inlineStr">
        <is>
          <t>លេខទូរស័ព្ទអ្នកផ្ញើមិនអាចទទេបានទេ</t>
        </is>
      </c>
    </row>
    <row r="1029" ht="15.75" customHeight="1" s="305">
      <c r="A1029" s="3" t="inlineStr">
        <is>
          <t>taoDon.recipientPhoneNumberrequired</t>
        </is>
      </c>
      <c r="B1029" s="3" t="inlineStr">
        <is>
          <t>Số điện thoại người nhận không được để trống</t>
        </is>
      </c>
      <c r="C1029" s="3" t="inlineStr">
        <is>
          <t>Recipient's phone number is required</t>
        </is>
      </c>
      <c r="D1029" s="3">
        <f>IFERROR(__xludf.DUMMYFUNCTION("GOOGLETRANSLATE(B1029,""vi"",""km"")"),"លេខទូរស័ព្ទរបស់អ្នកទទួលមិនត្រូវទុកចោលទទេឡើយ។")</f>
        <v/>
      </c>
      <c r="E1029" s="3" t="inlineStr">
        <is>
          <t>លេខទូរស័ព្ទរបស់អ្នកទទួលមិនអាចទុកឲ្យនៅចន្លោះបានទេ</t>
        </is>
      </c>
      <c r="F1029" s="3" t="n"/>
      <c r="G1029" s="3" t="inlineStr">
        <is>
          <t>លេខទូរស័ព្ទរបស់អ្នកទទួលមិនអាចទុកឲ្យនៅចន្លោះបានទេ</t>
        </is>
      </c>
      <c r="H1029" t="inlineStr">
        <is>
          <t>លេខទូរស័ព្ទរបស់អ្នកទទួលមិនអាចទុកឲ្យនៅចន្លោះបានទេ</t>
        </is>
      </c>
      <c r="I1029" s="217" t="inlineStr">
        <is>
          <t>"taoDon.recipientPhoneNumberrequired": "លេខទូរស័ព្ទរបស់អ្នកទទួលមិនអាចទុកឲ្យនៅចន្លោះបានទេ",</t>
        </is>
      </c>
      <c r="N1029" s="3" t="inlineStr">
        <is>
          <t>លេខទូរស័ព្ទអ្នកទទួលមិនអាចទទេបានទេ</t>
        </is>
      </c>
    </row>
    <row r="1030" ht="15.75" customHeight="1" s="305">
      <c r="A1030" s="3" t="inlineStr">
        <is>
          <t>taoDon.secondaryPhoneNumber</t>
        </is>
      </c>
      <c r="B1030" s="3" t="inlineStr">
        <is>
          <t>Số điện thoại phụ</t>
        </is>
      </c>
      <c r="C1030" s="3" t="inlineStr">
        <is>
          <t>Additional phone number</t>
        </is>
      </c>
      <c r="D1030" s="3">
        <f>IFERROR(__xludf.DUMMYFUNCTION("GOOGLETRANSLATE(B1030,""vi"",""km"")"),"លេខទូរស័ព្ទបន្ទាប់បន្សំ")</f>
        <v/>
      </c>
      <c r="E1030" s="3" t="inlineStr">
        <is>
          <t>លេខទូរស័ព្ទបន្ថែម</t>
        </is>
      </c>
      <c r="F1030" s="3" t="n"/>
      <c r="G1030" s="3" t="inlineStr">
        <is>
          <t>លេខទូរស័ព្ទបន្ថែម</t>
        </is>
      </c>
      <c r="H1030" t="inlineStr">
        <is>
          <t>លេខទូរស័ព្ទបន្ថែម</t>
        </is>
      </c>
      <c r="I1030" s="217" t="inlineStr">
        <is>
          <t>"taoDon.secondaryPhoneNumber": "លេខទូរស័ព្ទបន្ថែម",</t>
        </is>
      </c>
      <c r="N1030" s="3" t="inlineStr">
        <is>
          <t>លេខទូរស័ព្ទបន្ថែម</t>
        </is>
      </c>
    </row>
    <row r="1031" ht="15.75" customHeight="1" s="305">
      <c r="A1031" s="3" t="inlineStr">
        <is>
          <t>taoDon.secondaryPhoneNumberRequired</t>
        </is>
      </c>
      <c r="B1031" s="3" t="inlineStr">
        <is>
          <t>Số điện thoại phụ không được để trống</t>
        </is>
      </c>
      <c r="C1031" s="3" t="inlineStr">
        <is>
          <t>Additional phone number is required</t>
        </is>
      </c>
      <c r="D1031" s="3">
        <f>IFERROR(__xludf.DUMMYFUNCTION("GOOGLETRANSLATE(B1031,""vi"",""km"")"),"លេខទូរស័ព្ទបន្ទាប់បន្សំមិនត្រូវទុកចោលទទេឡើយ។")</f>
        <v/>
      </c>
      <c r="E1031" s="3" t="inlineStr">
        <is>
          <t>លេខទូរស័ព្ទបន្ថែមមិនអាចទុកឲ្យនៅទទេរបានទេ</t>
        </is>
      </c>
      <c r="F1031" s="3" t="n"/>
      <c r="G1031" s="3" t="inlineStr">
        <is>
          <t>លេខទូរស័ព្ទបន្ថែមមិនអាចទុកឲ្យនៅទទេរបានទេ</t>
        </is>
      </c>
      <c r="H1031" t="inlineStr">
        <is>
          <t>លេខទូរស័ព្ទបន្ថែមមិនអាចទុកឲ្យនៅទទេរបានទេ</t>
        </is>
      </c>
      <c r="I1031" s="217" t="inlineStr">
        <is>
          <t>"taoDon.secondaryPhoneNumberRequired": "លេខទូរស័ព្ទបន្ថែមមិនអាចទុកឲ្យនៅទទេរបានទេ",</t>
        </is>
      </c>
      <c r="N1031" s="3" t="inlineStr">
        <is>
          <t>លេខទូរស័ព្ទបន្ថែមមិនអាចទទេបានទេ</t>
        </is>
      </c>
    </row>
    <row r="1032" ht="15.75" customHeight="1" s="305">
      <c r="A1032" s="3" t="inlineStr">
        <is>
          <t>taoDon.secondaryPhoneNumberFormat</t>
        </is>
      </c>
      <c r="B1032" s="3" t="inlineStr">
        <is>
          <t>Số điện thoại phụ phân cách nhau bởi dấu “,”</t>
        </is>
      </c>
      <c r="C1032" s="3" t="inlineStr">
        <is>
          <t>Phone numbers are separated with comma (,)</t>
        </is>
      </c>
      <c r="D1032" s="3">
        <f>IFERROR(__xludf.DUMMYFUNCTION("GOOGLETRANSLATE(B1032,""vi"",""km"")"),"លេខទូរស័ព្ទបន្ទាប់បន្សំត្រូវបានបំបែកដោយសញ្ញាក្បៀស។")</f>
        <v/>
      </c>
      <c r="E1032" s="3" t="inlineStr">
        <is>
          <t>លេខទូរស័ព្ទបន្ថែមត្រូវដកឃ្លាដោយប្រើសញ្ញា</t>
        </is>
      </c>
      <c r="F1032" s="3" t="n"/>
      <c r="G1032" s="3" t="inlineStr">
        <is>
          <t>លេខទូរស័ព្ទបន្ថែមត្រូវដកឃ្លាដោយប្រើសញ្ញា</t>
        </is>
      </c>
      <c r="H1032" t="inlineStr">
        <is>
          <t>លេខទូរស័ព្ទបន្ថែមត្រូវដកឃ្លាដោយប្រើសញ្ញា</t>
        </is>
      </c>
      <c r="I1032" s="217" t="inlineStr">
        <is>
          <t>"taoDon.secondaryPhoneNumberFormat": "លេខទូរស័ព្ទបន្ថែមត្រូវដកឃ្លាដោយប្រើសញ្ញា",</t>
        </is>
      </c>
      <c r="N1032" s="3" t="inlineStr">
        <is>
          <t>លេខទូរស័ព្ទបន្ថែមបំបែកដោយ “,”</t>
        </is>
      </c>
    </row>
    <row r="1033" ht="15.75" customHeight="1" s="305">
      <c r="A1033" s="3" t="inlineStr">
        <is>
          <t>nhanHang.sodonnhanthanhcong</t>
        </is>
      </c>
      <c r="B1033" s="3" t="inlineStr">
        <is>
          <t>Số đơn nhận thành công:</t>
        </is>
      </c>
      <c r="C1033" s="3" t="inlineStr">
        <is>
          <t>Successfully received orders:</t>
        </is>
      </c>
      <c r="D1033" s="3">
        <f>IFERROR(__xludf.DUMMYFUNCTION("GOOGLETRANSLATE(B1033,""vi"",""km"")"),"ចំនួន​ពាក្យ​ស្នើសុំ​ដែល​ទទួល​បាន​ជោគជ័យ៖")</f>
        <v/>
      </c>
      <c r="E1033" s="3" t="inlineStr">
        <is>
          <t>ចំនួនបុងទទួលបានជោគជ័យ:</t>
        </is>
      </c>
      <c r="F1033" s="3" t="n"/>
      <c r="G1033" s="3" t="inlineStr">
        <is>
          <t>ចំនួនបុងទទួលបានជោគជ័យ:</t>
        </is>
      </c>
      <c r="H1033" t="inlineStr">
        <is>
          <t>ចំនួនបុងទទួលបានជោគជ័យ:</t>
        </is>
      </c>
      <c r="I1033" s="217" t="inlineStr">
        <is>
          <t>"nhanHang.sodonnhanthanhcong": "ចំនួនបុងទទួលបានជោគជ័យ:",</t>
        </is>
      </c>
      <c r="N1033" s="3" t="inlineStr"/>
    </row>
    <row r="1034" ht="15.75" customHeight="1" s="305">
      <c r="A1034" s="3" t="inlineStr">
        <is>
          <t>nhanHang.soDonTraCuoc</t>
        </is>
      </c>
      <c r="B1034" s="3" t="inlineStr">
        <is>
          <t>Số đơn trả cước</t>
        </is>
      </c>
      <c r="C1034" s="3" t="inlineStr">
        <is>
          <t>Number of prepaid orders</t>
        </is>
      </c>
      <c r="D1034" s="3">
        <f>IFERROR(__xludf.DUMMYFUNCTION("GOOGLETRANSLATE(B1034,""vi"",""km"")"),"ចំនួននៃការបញ្ជាទិញទូទាត់វិក្កយបត្រ")</f>
        <v/>
      </c>
      <c r="E1034" s="3" t="inlineStr">
        <is>
          <t>ចំនួនបុុងបញ្ញើត្រូវបង់ថ្លៃសេវា</t>
        </is>
      </c>
      <c r="F1034" s="3" t="n"/>
      <c r="G1034" s="3" t="inlineStr">
        <is>
          <t>ចំនួនបុុងបញ្ញើត្រូវបង់ថ្លៃសេវា</t>
        </is>
      </c>
      <c r="H1034" t="inlineStr">
        <is>
          <t>ចំនួនបុុងបញ្ញើត្រូវបង់ថ្លៃសេវា</t>
        </is>
      </c>
      <c r="I1034" s="217" t="inlineStr">
        <is>
          <t>"nhanHang.soDonTraCuoc": "ចំនួនបុុងបញ្ញើត្រូវបង់ថ្លៃសេវា",</t>
        </is>
      </c>
      <c r="N1034" s="3" t="inlineStr"/>
    </row>
    <row r="1035" ht="15.75" customHeight="1" s="305">
      <c r="A1035" s="3" t="inlineStr">
        <is>
          <t>common.quantity</t>
        </is>
      </c>
      <c r="B1035" s="3" t="inlineStr">
        <is>
          <t>Số lượng</t>
        </is>
      </c>
      <c r="C1035" s="3" t="inlineStr">
        <is>
          <t>Quantity</t>
        </is>
      </c>
      <c r="D1035" s="3">
        <f>IFERROR(__xludf.DUMMYFUNCTION("GOOGLETRANSLATE(B1035,""vi"",""km"")"),"បរិមាណ")</f>
        <v/>
      </c>
      <c r="E1035" s="3" t="inlineStr">
        <is>
          <t>ចំនួន៖</t>
        </is>
      </c>
      <c r="F1035" s="3" t="n"/>
      <c r="G1035" s="3" t="inlineStr">
        <is>
          <t>ចំនួន៖</t>
        </is>
      </c>
      <c r="H1035" t="inlineStr">
        <is>
          <t>ចំនួន៖</t>
        </is>
      </c>
      <c r="I1035" s="217" t="inlineStr">
        <is>
          <t>"common.quantity": "ចំនួន៖",</t>
        </is>
      </c>
      <c r="N1035" s="3" t="inlineStr">
        <is>
          <t>ចំនួន</t>
        </is>
      </c>
    </row>
    <row r="1036" ht="15.75" customHeight="1" s="305">
      <c r="A1036" s="3" t="inlineStr">
        <is>
          <t>banGiao.quantity</t>
        </is>
      </c>
      <c r="B1036" s="3" t="inlineStr">
        <is>
          <t>Số lượng</t>
        </is>
      </c>
      <c r="C1036" s="3" t="inlineStr">
        <is>
          <t>Quantity</t>
        </is>
      </c>
      <c r="D1036" s="3">
        <f>IFERROR(__xludf.DUMMYFUNCTION("GOOGLETRANSLATE(B1036,""vi"",""km"")"),"បរិមាណ")</f>
        <v/>
      </c>
      <c r="E1036" s="3" t="inlineStr">
        <is>
          <t>ចំនួន៖</t>
        </is>
      </c>
      <c r="F1036" s="3" t="n"/>
      <c r="G1036" s="3" t="inlineStr">
        <is>
          <t>ចំនួន៖</t>
        </is>
      </c>
      <c r="H1036" t="inlineStr">
        <is>
          <t>ចំនួន៖</t>
        </is>
      </c>
      <c r="I1036" s="217" t="inlineStr">
        <is>
          <t>"banGiao.quantity": "ចំនួន៖",</t>
        </is>
      </c>
      <c r="N1036" s="3" t="inlineStr">
        <is>
          <t>ចំនួន</t>
        </is>
      </c>
    </row>
    <row r="1037" ht="15.75" customHeight="1" s="305">
      <c r="A1037" s="3" t="inlineStr">
        <is>
          <t>banGiao.soLuong</t>
        </is>
      </c>
      <c r="B1037" s="3" t="inlineStr">
        <is>
          <t>Số lượng</t>
        </is>
      </c>
      <c r="C1037" s="3" t="inlineStr">
        <is>
          <t>Quantity</t>
        </is>
      </c>
      <c r="D1037" s="3">
        <f>IFERROR(__xludf.DUMMYFUNCTION("GOOGLETRANSLATE(B1037,""vi"",""km"")"),"បរិមាណ")</f>
        <v/>
      </c>
      <c r="E1037" s="3" t="inlineStr">
        <is>
          <t>ចំនួន៖</t>
        </is>
      </c>
      <c r="F1037" s="3" t="n"/>
      <c r="G1037" s="3" t="inlineStr">
        <is>
          <t>ចំនួន៖</t>
        </is>
      </c>
      <c r="H1037" t="inlineStr">
        <is>
          <t>ចំនួន៖</t>
        </is>
      </c>
      <c r="I1037" s="217" t="inlineStr">
        <is>
          <t>"banGiao.soLuong": "ចំនួន៖",</t>
        </is>
      </c>
      <c r="N1037" s="3" t="inlineStr">
        <is>
          <t>ចំនួន</t>
        </is>
      </c>
    </row>
    <row r="1038" ht="15.75" customHeight="1" s="305">
      <c r="A1038" s="3" t="inlineStr">
        <is>
          <t>debit.quantity</t>
        </is>
      </c>
      <c r="B1038" s="3" t="inlineStr">
        <is>
          <t>Số lượng</t>
        </is>
      </c>
      <c r="C1038" s="3" t="inlineStr">
        <is>
          <t>Quantity</t>
        </is>
      </c>
      <c r="D1038" s="3">
        <f>IFERROR(__xludf.DUMMYFUNCTION("GOOGLETRANSLATE(B1038,""vi"",""km"")"),"បរិមាណ")</f>
        <v/>
      </c>
      <c r="E1038" s="3" t="inlineStr">
        <is>
          <t>ចំនួន៖</t>
        </is>
      </c>
      <c r="F1038" s="3" t="n"/>
      <c r="G1038" s="3" t="inlineStr">
        <is>
          <t>ចំនួន៖</t>
        </is>
      </c>
      <c r="H1038" t="inlineStr">
        <is>
          <t>ចំនួន៖</t>
        </is>
      </c>
      <c r="I1038" s="217" t="inlineStr">
        <is>
          <t>"debit.quantity": "ចំនួន៖",</t>
        </is>
      </c>
      <c r="N1038" s="3" t="inlineStr">
        <is>
          <t>ចំនួន</t>
        </is>
      </c>
    </row>
    <row r="1039" ht="15.75" customHeight="1" s="305">
      <c r="A1039" s="3" t="inlineStr">
        <is>
          <t>dieuHanh.amount</t>
        </is>
      </c>
      <c r="B1039" s="3" t="inlineStr">
        <is>
          <t>Số lượng</t>
        </is>
      </c>
      <c r="C1039" s="3" t="inlineStr">
        <is>
          <t>Quantity</t>
        </is>
      </c>
      <c r="D1039" s="3">
        <f>IFERROR(__xludf.DUMMYFUNCTION("GOOGLETRANSLATE(B1039,""vi"",""km"")"),"បរិមាណ")</f>
        <v/>
      </c>
      <c r="E1039" s="3" t="inlineStr">
        <is>
          <t>ចំនួន៖</t>
        </is>
      </c>
      <c r="F1039" s="3" t="n"/>
      <c r="G1039" s="3" t="inlineStr">
        <is>
          <t>ចំនួន៖</t>
        </is>
      </c>
      <c r="H1039" t="inlineStr">
        <is>
          <t>ចំនួន៖</t>
        </is>
      </c>
      <c r="I1039" s="217" t="inlineStr">
        <is>
          <t>"dieuHanh.amount": "ចំនួន៖",</t>
        </is>
      </c>
      <c r="N1039" s="3" t="inlineStr">
        <is>
          <t>ចំនួន</t>
        </is>
      </c>
    </row>
    <row r="1040" ht="15.75" customHeight="1" s="305">
      <c r="A1040" s="3" t="inlineStr">
        <is>
          <t>tms.soLuong</t>
        </is>
      </c>
      <c r="B1040" s="3" t="inlineStr">
        <is>
          <t>Số lượng</t>
        </is>
      </c>
      <c r="C1040" s="3" t="inlineStr">
        <is>
          <t>Quantity</t>
        </is>
      </c>
      <c r="D1040" s="3">
        <f>IFERROR(__xludf.DUMMYFUNCTION("GOOGLETRANSLATE(B1040,""vi"",""km"")"),"បរិមាណ")</f>
        <v/>
      </c>
      <c r="E1040" s="3" t="inlineStr">
        <is>
          <t>ចំនួន៖</t>
        </is>
      </c>
      <c r="F1040" s="3" t="n"/>
      <c r="G1040" s="3" t="inlineStr">
        <is>
          <t>ចំនួន៖</t>
        </is>
      </c>
      <c r="H1040" t="inlineStr">
        <is>
          <t>ចំនួន៖</t>
        </is>
      </c>
      <c r="I1040" s="217" t="inlineStr">
        <is>
          <t>"tms.soLuong": "ចំនួន៖",</t>
        </is>
      </c>
      <c r="N1040" s="3" t="inlineStr"/>
    </row>
    <row r="1041" ht="15.75" customHeight="1" s="305">
      <c r="A1041" s="3" t="inlineStr">
        <is>
          <t>PhanCong.numBillPC</t>
        </is>
      </c>
      <c r="B1041" s="3" t="inlineStr">
        <is>
          <t>Số lượng bill:</t>
        </is>
      </c>
      <c r="C1041" s="3" t="inlineStr">
        <is>
          <t>Bill quantity:</t>
        </is>
      </c>
      <c r="D1041" s="3">
        <f>IFERROR(__xludf.DUMMYFUNCTION("GOOGLETRANSLATE(B1041,""vi"",""km"")"),"ចំនួនវិក្កយបត្រ៖")</f>
        <v/>
      </c>
      <c r="E1041" s="3" t="inlineStr">
        <is>
          <t>ចំនួនបុង៖</t>
        </is>
      </c>
      <c r="F1041" s="3" t="n"/>
      <c r="G1041" s="3" t="inlineStr">
        <is>
          <t>ចំនួនបុង៖</t>
        </is>
      </c>
      <c r="H1041" t="inlineStr">
        <is>
          <t>ចំនួនបុង៖</t>
        </is>
      </c>
      <c r="I1041" s="217" t="inlineStr">
        <is>
          <t>"PhanCong.numBillPC": "ចំនួនបុង៖",</t>
        </is>
      </c>
      <c r="N1041" s="3" t="inlineStr">
        <is>
          <t>ចំនួនបញ្ជី៖</t>
        </is>
      </c>
    </row>
    <row r="1042" ht="15.75" customHeight="1" s="305">
      <c r="A1042" s="3" t="inlineStr">
        <is>
          <t>GiaoHang.numberReceived</t>
        </is>
      </c>
      <c r="B1042" s="3" t="inlineStr">
        <is>
          <t>Số lượng đã nhận:</t>
        </is>
      </c>
      <c r="C1042" s="3" t="inlineStr">
        <is>
          <t>Quantity of received:</t>
        </is>
      </c>
      <c r="D1042" s="3">
        <f>IFERROR(__xludf.DUMMYFUNCTION("GOOGLETRANSLATE(B1042,""vi"",""km"")"),"បរិមាណដែលទទួលបាន៖")</f>
        <v/>
      </c>
      <c r="E1042" s="3" t="inlineStr">
        <is>
          <t>ចំនួនដែលបានទទួល៖</t>
        </is>
      </c>
      <c r="F1042" s="3" t="n"/>
      <c r="G1042" s="3" t="inlineStr">
        <is>
          <t>ចំនួនដែលបានទទួល៖</t>
        </is>
      </c>
      <c r="H1042" t="inlineStr">
        <is>
          <t>ចំនួនដែលបានទទួល៖</t>
        </is>
      </c>
      <c r="I1042" s="217" t="inlineStr">
        <is>
          <t>"GiaoHang.numberReceived": "ចំនួនដែលបានទទួល៖",</t>
        </is>
      </c>
      <c r="N1042" s="3" t="inlineStr">
        <is>
          <t>ចំនួនដែលបានទទួល</t>
        </is>
      </c>
    </row>
    <row r="1043" ht="15.75" customHeight="1" s="305">
      <c r="A1043" s="3" t="inlineStr">
        <is>
          <t>debit.or_num</t>
        </is>
      </c>
      <c r="B1043" s="3" t="inlineStr">
        <is>
          <t>Số lượng đơn</t>
        </is>
      </c>
      <c r="C1043" s="143" t="inlineStr">
        <is>
          <t>Number of Orders</t>
        </is>
      </c>
      <c r="D1043" s="3">
        <f>IFERROR(__xludf.DUMMYFUNCTION("GOOGLETRANSLATE(B1043,""vi"",""km"")"),"ចំនួននៃការបញ្ជាទិញ")</f>
        <v/>
      </c>
      <c r="E1043" s="3" t="inlineStr">
        <is>
          <t>ចំនួនបុង</t>
        </is>
      </c>
      <c r="F1043" s="3" t="n"/>
      <c r="G1043" s="3" t="inlineStr">
        <is>
          <t>ចំនួនបុង</t>
        </is>
      </c>
      <c r="H1043" t="inlineStr">
        <is>
          <t>ចំនួនបុង</t>
        </is>
      </c>
      <c r="I1043" s="217" t="inlineStr">
        <is>
          <t>"debit.or_num": "ចំនួនបុង",</t>
        </is>
      </c>
      <c r="N1043" s="3" t="inlineStr"/>
    </row>
    <row r="1044" ht="15.75" customHeight="1" s="305">
      <c r="A1044" s="3" t="inlineStr">
        <is>
          <t>dieuHanh.contentWarningPrint</t>
        </is>
      </c>
      <c r="B1044" s="3" t="inlineStr">
        <is>
          <t>Số lượng phiếu gửi cần in quá lớn, cần {{count}} trang in để in toàn bộ phiếu gửi.</t>
        </is>
      </c>
      <c r="C1044" s="3" t="inlineStr">
        <is>
          <t>Too many bills need printing. To print all the bills, we need {{count}} pages</t>
        </is>
      </c>
      <c r="D1044" s="3">
        <f>IFERROR(__xludf.DUMMYFUNCTION("GOOGLETRANSLATE(B1044,""vi"",""km"")"),"ចំនួនស្លាកដឹកជញ្ជូនដែលត្រូវបោះពុម្ពមានទំហំធំពេក។ ត្រូវការទំព័រ {{count}} ដើម្បីបោះពុម្ពស្លាកដឹកជញ្ជូនទាំងអស់។")</f>
        <v/>
      </c>
      <c r="E1044" s="3" t="inlineStr">
        <is>
          <t>ចំនួនបុងបញ្ញើត្រូវព្រីនច្រើនពេក, ត្រូវការ {{count}} ទំព័រព្រីនទើបព្រីនបានបុងបញ្ញើបានពេញ</t>
        </is>
      </c>
      <c r="F1044" s="3" t="n"/>
      <c r="G1044" s="3" t="inlineStr">
        <is>
          <t>ចំនួនបុងបញ្ញើត្រូវព្រីនច្រើនពេក, ត្រូវការ {{count}} ទំព័រព្រីនទើបព្រីនបានបុងបញ្ញើបានពេញ</t>
        </is>
      </c>
      <c r="H1044" t="inlineStr">
        <is>
          <t>ចំនួនបុងបញ្ញើត្រូវព្រីនច្រើនពេក, ត្រូវការ {{count}} ទំព័រព្រីនទើបព្រីនបានបុងបញ្ញើបានពេញ</t>
        </is>
      </c>
      <c r="I1044" s="217" t="inlineStr">
        <is>
          <t>"dieuHanh.contentWarningPrint": "ចំនួនបុងបញ្ញើត្រូវព្រីនច្រើនពេក, ត្រូវការ {{count}} ទំព័រព្រីនទើបព្រីនបានបុងបញ្ញើបានពេញ",</t>
        </is>
      </c>
      <c r="N1044" s="3" t="inlineStr">
        <is>
          <t>ចំនួនកាតសំណុំត្រូវបោះពុម្ពធំមើល, ត្រូវបានបោះពុម្ព{{count}} ទំព័រដើម្បីបោះពុម្ពទាំងអស់កាតសំណុំ</t>
        </is>
      </c>
    </row>
    <row r="1045" ht="15.75" customHeight="1" s="305">
      <c r="A1045" s="3" t="inlineStr">
        <is>
          <t>taoKien.soLuongPhieuGuiCanTach</t>
        </is>
      </c>
      <c r="B1045" s="3" t="inlineStr">
        <is>
          <t>Số lượng phiếu gửi cần tách</t>
        </is>
      </c>
      <c r="C1045" s="3" t="inlineStr">
        <is>
          <t>Packages to be split</t>
        </is>
      </c>
      <c r="D1045" s="3">
        <f>IFERROR(__xludf.DUMMYFUNCTION("GOOGLETRANSLATE(B1045,""vi"",""km"")"),"ចំនួនសំបុត្រដែលត្រូវបំបែក")</f>
        <v/>
      </c>
      <c r="E1045" s="3" t="inlineStr">
        <is>
          <t>ចំនួនបុងបញ្ញើត្រូវការចែកដោយឡែក</t>
        </is>
      </c>
      <c r="F1045" s="3" t="n"/>
      <c r="G1045" s="3" t="inlineStr">
        <is>
          <t>ចំនួនបុងបញ្ញើត្រូវការចែកដោយឡែក</t>
        </is>
      </c>
      <c r="H1045" t="inlineStr">
        <is>
          <t>ចំនួនបុងបញ្ញើត្រូវការចែកដោយឡែក</t>
        </is>
      </c>
      <c r="I1045" s="217" t="inlineStr">
        <is>
          <t>"taoKien.soLuongPhieuGuiCanTach": "ចំនួនបុងបញ្ញើត្រូវការចែកដោយឡែក",</t>
        </is>
      </c>
      <c r="N1045" s="3" t="inlineStr"/>
    </row>
    <row r="1046" ht="15.75" customHeight="1" s="305">
      <c r="A1046" s="3" t="inlineStr">
        <is>
          <t>banGiao.titleErr</t>
        </is>
      </c>
      <c r="B1046" s="3" t="inlineStr">
        <is>
          <t>Số lượng tải/kiện không hợp lệ</t>
        </is>
      </c>
      <c r="C1046" s="3" t="inlineStr">
        <is>
          <t>Sack/Package quantity is invalid</t>
        </is>
      </c>
      <c r="D1046" s="3">
        <f>IFERROR(__xludf.DUMMYFUNCTION("GOOGLETRANSLATE(B1046,""vi"",""km"")"),"ចំនួនកញ្ចប់/បន្ទុកមិនត្រឹមត្រូវ")</f>
        <v/>
      </c>
      <c r="E1046" s="3" t="inlineStr">
        <is>
          <t>ចំនួនជើងដឹក/កញ្ចប់អីវ៉ាន់មិនត្រឹមត្រូវ</t>
        </is>
      </c>
      <c r="F1046" s="3" t="n"/>
      <c r="G1046" s="3" t="inlineStr">
        <is>
          <t>ចំនួនកញ្ចប់ទំនិញ/អីវ៉ាន់មិនត្រឹមត្រូវ</t>
        </is>
      </c>
      <c r="H1046" t="inlineStr">
        <is>
          <t>ចំនួនកញ្ចប់ទំនិញ/អីវ៉ាន់មិនត្រឹមត្រូវ</t>
        </is>
      </c>
      <c r="I1046" s="217" t="inlineStr">
        <is>
          <t>"banGiao.titleErr": "ចំនួនកញ្ចប់ទំនិញ/អីវ៉ាន់មិនត្រឹមត្រូវ",</t>
        </is>
      </c>
      <c r="N1046" s="3" t="inlineStr">
        <is>
          <t>ចំនួនថង់/កញ្ចប់មិនត្រឹមត្រូវ</t>
        </is>
      </c>
    </row>
    <row r="1047" ht="15.75" customHeight="1" s="305">
      <c r="A1047" s="3" t="inlineStr">
        <is>
          <t>tms.odoRequired</t>
        </is>
      </c>
      <c r="B1047" s="3" t="inlineStr">
        <is>
          <t>Số odo phải từ 6 đến 7 chữ số</t>
        </is>
      </c>
      <c r="C1047" s="3" t="inlineStr">
        <is>
          <t>Odometer number must be 6 to 7 digits</t>
        </is>
      </c>
      <c r="D1047" s="3">
        <f>IFERROR(__xludf.DUMMYFUNCTION("GOOGLETRANSLATE(B1047,""vi"",""km"")"),"ការអាន​អូដូម៉ែត្រ​ត្រូវតែ​មាន​ចន្លោះ​ពី 6 ទៅ 7 ខ្ទង់។")</f>
        <v/>
      </c>
      <c r="E1047" s="3" t="inlineStr">
        <is>
          <t>លេខ odo ត្រូវតែមានចាប់ពី 6 ដល់ 7 តួលេខអក្សរ</t>
        </is>
      </c>
      <c r="F1047" s="3" t="n"/>
      <c r="G1047" s="3" t="inlineStr">
        <is>
          <t>លេខ odo ត្រូវតែមានចាប់ពី 6 ដល់ 7 តួលេខអក្សរ</t>
        </is>
      </c>
      <c r="H1047" t="inlineStr">
        <is>
          <t>លេខ odo ត្រូវតែមានចាប់ពី 6 ដល់ 7 តួលេខអក្សរ</t>
        </is>
      </c>
      <c r="I1047" s="217" t="inlineStr">
        <is>
          <t>"tms.odoRequired": "លេខ odo ត្រូវតែមានចាប់ពី 6 ដល់ 7 តួលេខអក្សរ",</t>
        </is>
      </c>
      <c r="N1047" s="3" t="inlineStr"/>
    </row>
    <row r="1048" ht="15.75" customHeight="1" s="305">
      <c r="A1048" s="3" t="inlineStr">
        <is>
          <t>thanhtoan.moneyPay</t>
        </is>
      </c>
      <c r="B1048" s="3" t="inlineStr">
        <is>
          <t>Số tiền thanh toán</t>
        </is>
      </c>
      <c r="C1048" s="3" t="inlineStr">
        <is>
          <t>Amount to pay</t>
        </is>
      </c>
      <c r="D1048" s="3">
        <f>IFERROR(__xludf.DUMMYFUNCTION("GOOGLETRANSLATE(B1048,""vi"",""km"")"),"ចំនួនទឹកប្រាក់ដែលត្រូវបង់")</f>
        <v/>
      </c>
      <c r="E1048" s="3" t="inlineStr">
        <is>
          <t>ចំនួនប្រាក់ត្រូវទូទាត់</t>
        </is>
      </c>
      <c r="F1048" s="3" t="n"/>
      <c r="G1048" s="3" t="inlineStr">
        <is>
          <t>ចំនួនប្រាក់ត្រូវទូទាត់</t>
        </is>
      </c>
      <c r="H1048" t="inlineStr">
        <is>
          <t>ចំនួនប្រាក់ត្រូវទូទាត់</t>
        </is>
      </c>
      <c r="I1048" s="217" t="inlineStr">
        <is>
          <t>"thanhtoan.moneyPay": "ចំនួនប្រាក់ត្រូវទូទាត់",</t>
        </is>
      </c>
      <c r="N1048" s="3" t="inlineStr"/>
    </row>
    <row r="1049" ht="15.75" customHeight="1" s="305">
      <c r="A1049" s="3" t="inlineStr">
        <is>
          <t>thanhtoan.money</t>
        </is>
      </c>
      <c r="B1049" s="3" t="inlineStr">
        <is>
          <t>Số tiền:</t>
        </is>
      </c>
      <c r="C1049" s="3" t="inlineStr">
        <is>
          <t>Amount:</t>
        </is>
      </c>
      <c r="D1049" s="3">
        <f>IFERROR(__xludf.DUMMYFUNCTION("GOOGLETRANSLATE(B1049,""vi"",""km"")"),"ចំនួនទឹកប្រាក់៖")</f>
        <v/>
      </c>
      <c r="E1049" s="3" t="inlineStr">
        <is>
          <t>ចំនួនប្រាក់៖</t>
        </is>
      </c>
      <c r="F1049" s="3" t="n"/>
      <c r="G1049" s="3" t="inlineStr">
        <is>
          <t>ចំនួនប្រាក់៖</t>
        </is>
      </c>
      <c r="H1049" t="inlineStr">
        <is>
          <t>ចំនួនប្រាក់៖</t>
        </is>
      </c>
      <c r="I1049" s="217" t="inlineStr">
        <is>
          <t>"thanhtoan.money": "ចំនួនប្រាក់៖",</t>
        </is>
      </c>
      <c r="N1049" s="3" t="inlineStr"/>
    </row>
    <row r="1050" ht="15.75" customHeight="1" s="305">
      <c r="A1050" s="3" t="inlineStr">
        <is>
          <t>suaDon.edit</t>
        </is>
      </c>
      <c r="B1050" s="3" t="inlineStr">
        <is>
          <t>Sửa</t>
        </is>
      </c>
      <c r="C1050" s="3" t="inlineStr">
        <is>
          <t>Modify</t>
        </is>
      </c>
      <c r="D1050" s="3">
        <f>IFERROR(__xludf.DUMMYFUNCTION("GOOGLETRANSLATE(B1050,""vi"",""km"")"),"ជួសជុល")</f>
        <v/>
      </c>
      <c r="E1050" s="3" t="inlineStr">
        <is>
          <t>កែសម្រួល</t>
        </is>
      </c>
      <c r="F1050" s="3" t="n"/>
      <c r="G1050" s="3" t="inlineStr">
        <is>
          <t>កែសម្រួល</t>
        </is>
      </c>
      <c r="H1050" t="inlineStr">
        <is>
          <t>កែសម្រួល</t>
        </is>
      </c>
      <c r="I1050" s="217" t="inlineStr">
        <is>
          <t>"suaDon.edit": "កែសម្រួល",</t>
        </is>
      </c>
      <c r="N1050" s="3" t="inlineStr">
        <is>
          <t>កែ</t>
        </is>
      </c>
    </row>
    <row r="1051" ht="15.75" customHeight="1" s="305">
      <c r="A1051" s="3" t="inlineStr">
        <is>
          <t>home.suaDon</t>
        </is>
      </c>
      <c r="B1051" s="3" t="inlineStr">
        <is>
          <t>Sửa đơn</t>
        </is>
      </c>
      <c r="C1051" s="3" t="inlineStr">
        <is>
          <t>Order modification</t>
        </is>
      </c>
      <c r="D1051" s="3">
        <f>IFERROR(__xludf.DUMMYFUNCTION("GOOGLETRANSLATE(B1051,""vi"",""km"")"),"កែសម្រួលការបញ្ជាទិញ")</f>
        <v/>
      </c>
      <c r="E1051" s="3" t="inlineStr">
        <is>
          <t>កែសម្រួលបុងបញ្ញើ</t>
        </is>
      </c>
      <c r="F1051" s="3" t="n"/>
      <c r="G1051" s="3" t="inlineStr">
        <is>
          <t>កែសម្រួលបុងបញ្ញើ</t>
        </is>
      </c>
      <c r="H1051" t="inlineStr">
        <is>
          <t>កែសម្រួលបុងបញ្ញើ</t>
        </is>
      </c>
      <c r="I1051" s="217" t="inlineStr">
        <is>
          <t>"home.suaDon": "កែសម្រួលបុងបញ្ញើ",</t>
        </is>
      </c>
      <c r="N1051" s="3" t="inlineStr">
        <is>
          <t>កែសម្រួល​លំដាប់</t>
        </is>
      </c>
    </row>
    <row r="1052" ht="15.75" customHeight="1" s="305">
      <c r="A1052" s="3" t="inlineStr">
        <is>
          <t>suaDon.title</t>
        </is>
      </c>
      <c r="B1052" s="3" t="inlineStr">
        <is>
          <t>Sửa đơn</t>
        </is>
      </c>
      <c r="C1052" s="3" t="inlineStr">
        <is>
          <t>Order modification</t>
        </is>
      </c>
      <c r="D1052" s="3">
        <f>IFERROR(__xludf.DUMMYFUNCTION("GOOGLETRANSLATE(B1052,""vi"",""km"")"),"កែសម្រួលការបញ្ជាទិញ")</f>
        <v/>
      </c>
      <c r="E1052" s="3" t="inlineStr">
        <is>
          <t>កែសម្រួលបុងបញ្ញើ</t>
        </is>
      </c>
      <c r="F1052" s="3" t="n"/>
      <c r="G1052" s="3" t="inlineStr">
        <is>
          <t>កែសម្រួលបុងបញ្ញើ</t>
        </is>
      </c>
      <c r="H1052" t="inlineStr">
        <is>
          <t>កែសម្រួលបុងបញ្ញើ</t>
        </is>
      </c>
      <c r="I1052" s="217" t="inlineStr">
        <is>
          <t>"suaDon.title": "កែសម្រួលបុងបញ្ញើ",</t>
        </is>
      </c>
      <c r="N1052" s="3" t="inlineStr">
        <is>
          <t>កែកញ្ចប់បញ្ញើ</t>
        </is>
      </c>
    </row>
    <row r="1053" ht="15.75" customHeight="1" s="305">
      <c r="A1053" s="3" t="inlineStr">
        <is>
          <t>suaDon.editting</t>
        </is>
      </c>
      <c r="B1053" s="3" t="inlineStr">
        <is>
          <t>Sửa đơn</t>
        </is>
      </c>
      <c r="C1053" s="3" t="inlineStr">
        <is>
          <t>Modify</t>
        </is>
      </c>
      <c r="D1053" s="3">
        <f>IFERROR(__xludf.DUMMYFUNCTION("GOOGLETRANSLATE(B1053,""vi"",""km"")"),"កែសម្រួលការបញ្ជាទិញ")</f>
        <v/>
      </c>
      <c r="E1053" s="3" t="inlineStr">
        <is>
          <t>កែសម្រួលបុងបញ្ញើ</t>
        </is>
      </c>
      <c r="F1053" s="3" t="n"/>
      <c r="G1053" s="3" t="inlineStr">
        <is>
          <t>កែសម្រួលបុងបញ្ញើ</t>
        </is>
      </c>
      <c r="H1053" t="inlineStr">
        <is>
          <t>កែសម្រួលបុងបញ្ញើ</t>
        </is>
      </c>
      <c r="I1053" s="217" t="inlineStr">
        <is>
          <t>"suaDon.editting": "កែសម្រួលបុងបញ្ញើ",</t>
        </is>
      </c>
      <c r="N1053" s="3" t="inlineStr">
        <is>
          <t>កែតម្រូវ</t>
        </is>
      </c>
    </row>
    <row r="1054" ht="15.75" customHeight="1" s="305">
      <c r="A1054" s="3" t="inlineStr">
        <is>
          <t>suaDon.editSuccess</t>
        </is>
      </c>
      <c r="B1054" s="3" t="inlineStr">
        <is>
          <t>Sửa đơn thành công</t>
        </is>
      </c>
      <c r="C1054" s="3" t="inlineStr">
        <is>
          <t>Modify the order successfully</t>
        </is>
      </c>
      <c r="D1054" s="3">
        <f>IFERROR(__xludf.DUMMYFUNCTION("GOOGLETRANSLATE(B1054,""vi"",""km"")"),"បានកែសម្រួលការបញ្ជាទិញដោយជោគជ័យ")</f>
        <v/>
      </c>
      <c r="E1054" s="3" t="inlineStr">
        <is>
          <t>កែសម្រួលបុងបញ្ញើបានជោគជ័យ</t>
        </is>
      </c>
      <c r="F1054" s="3" t="n"/>
      <c r="G1054" s="3" t="inlineStr">
        <is>
          <t>កែសម្រួលបុងបញ្ញើបានជោគជ័យ</t>
        </is>
      </c>
      <c r="H1054" t="inlineStr">
        <is>
          <t>កែសម្រួលបុងបញ្ញើបានជោគជ័យ</t>
        </is>
      </c>
      <c r="I1054" s="217" t="inlineStr">
        <is>
          <t>"suaDon.editSuccess": "កែសម្រួលបុងបញ្ញើបានជោគជ័យ",</t>
        </is>
      </c>
      <c r="N1054" s="3" t="inlineStr">
        <is>
          <t>កែសម្រួលដោយជោគជ័យg</t>
        </is>
      </c>
    </row>
    <row r="1055" ht="15.75" customHeight="1" s="305">
      <c r="A1055" s="3" t="inlineStr">
        <is>
          <t>suaDon.editFail</t>
        </is>
      </c>
      <c r="B1055" s="3" t="inlineStr">
        <is>
          <t>Sửa đơn thất bại</t>
        </is>
      </c>
      <c r="C1055" s="3" t="inlineStr">
        <is>
          <t>Fail to modify the order</t>
        </is>
      </c>
      <c r="D1055" s="3">
        <f>IFERROR(__xludf.DUMMYFUNCTION("GOOGLETRANSLATE(B1055,""vi"",""km"")"),"កែសម្រួលការបញ្ជាទិញដែលបរាជ័យ")</f>
        <v/>
      </c>
      <c r="E1055" s="3" t="inlineStr">
        <is>
          <t>កែសម្រួលបុងបញ្ញើបរាជ័យ</t>
        </is>
      </c>
      <c r="F1055" s="3" t="n"/>
      <c r="G1055" s="3" t="inlineStr">
        <is>
          <t>កែសម្រួលបុងបញ្ញើបរាជ័យ</t>
        </is>
      </c>
      <c r="H1055" t="inlineStr">
        <is>
          <t>កែសម្រួលបុងបញ្ញើបរាជ័យ</t>
        </is>
      </c>
      <c r="I1055" s="217" t="inlineStr">
        <is>
          <t>"suaDon.editFail": "កែសម្រួលបុងបញ្ញើបរាជ័យ",</t>
        </is>
      </c>
      <c r="N1055" s="3" t="inlineStr">
        <is>
          <t>កែសម្រួលកម្មវិធីបានបរាជ័យ</t>
        </is>
      </c>
    </row>
    <row r="1056" ht="15.75" customHeight="1" s="305">
      <c r="A1056" s="3" t="inlineStr">
        <is>
          <t>banGiao.titleTai</t>
        </is>
      </c>
      <c r="B1056" s="3" t="inlineStr">
        <is>
          <t>Tải</t>
        </is>
      </c>
      <c r="C1056" s="3" t="inlineStr">
        <is>
          <t xml:space="preserve">Sack </t>
        </is>
      </c>
      <c r="D1056" s="3">
        <f>IFERROR(__xludf.DUMMYFUNCTION("GOOGLETRANSLATE(B1056,""vi"",""km"")"),"ផ្ទុក")</f>
        <v/>
      </c>
      <c r="E1056" s="159" t="inlineStr">
        <is>
          <t>ទាញយក៖</t>
        </is>
      </c>
      <c r="F1056" s="3" t="n"/>
      <c r="G1056" s="3" t="inlineStr">
        <is>
          <t>បាវបញ្ញើ</t>
        </is>
      </c>
      <c r="H1056" t="inlineStr">
        <is>
          <t>បាវបញ្ញើ</t>
        </is>
      </c>
      <c r="I1056" s="217" t="inlineStr">
        <is>
          <t>"banGiao.titleTai": "បាវបញ្ញើ",</t>
        </is>
      </c>
      <c r="N1056" s="3" t="inlineStr">
        <is>
          <t>ថង់</t>
        </is>
      </c>
    </row>
    <row r="1057" ht="15.75" customHeight="1" s="305">
      <c r="A1057" s="3" t="inlineStr">
        <is>
          <t>banGiao.tai</t>
        </is>
      </c>
      <c r="B1057" s="3" t="inlineStr">
        <is>
          <t>tải</t>
        </is>
      </c>
      <c r="C1057" s="3" t="inlineStr">
        <is>
          <t>load</t>
        </is>
      </c>
      <c r="D1057" s="3">
        <f>IFERROR(__xludf.DUMMYFUNCTION("GOOGLETRANSLATE(B1057,""vi"",""km"")"),"ផ្ទុក")</f>
        <v/>
      </c>
      <c r="E1057" s="159" t="inlineStr">
        <is>
          <t>ទាញយក៖</t>
        </is>
      </c>
      <c r="F1057" s="3" t="n"/>
      <c r="G1057" s="3" t="inlineStr">
        <is>
          <t>កញ្ចប់ទំនិញ</t>
        </is>
      </c>
      <c r="H1057" t="inlineStr">
        <is>
          <t>កញ្ចប់ទំនិញ</t>
        </is>
      </c>
      <c r="I1057" s="217" t="inlineStr">
        <is>
          <t>"banGiao.tai": "កញ្ចប់ទំនិញ",</t>
        </is>
      </c>
      <c r="N1057" s="3" t="inlineStr"/>
    </row>
    <row r="1058" ht="15.75" customHeight="1" s="305">
      <c r="A1058" s="3" t="inlineStr">
        <is>
          <t>DongTai.titleTai</t>
        </is>
      </c>
      <c r="B1058" s="3" t="inlineStr">
        <is>
          <t>Tải</t>
        </is>
      </c>
      <c r="C1058" s="3" t="inlineStr">
        <is>
          <t>Sack</t>
        </is>
      </c>
      <c r="D1058" s="3">
        <f>IFERROR(__xludf.DUMMYFUNCTION("GOOGLETRANSLATE(B1058,""vi"",""km"")"),"ផ្ទុក")</f>
        <v/>
      </c>
      <c r="E1058" s="159" t="inlineStr">
        <is>
          <t>ទាញយក៖</t>
        </is>
      </c>
      <c r="F1058" s="3" t="n"/>
      <c r="G1058" s="3" t="inlineStr">
        <is>
          <t>បាវបញ្ញើ</t>
        </is>
      </c>
      <c r="H1058" t="inlineStr">
        <is>
          <t>បាវបញ្ញើ</t>
        </is>
      </c>
      <c r="I1058" s="217" t="inlineStr">
        <is>
          <t>"DongTai.titleTai": "បាវបញ្ញើ",</t>
        </is>
      </c>
      <c r="N1058" s="3" t="inlineStr">
        <is>
          <t>ត្រួតពិនិត្យ</t>
        </is>
      </c>
    </row>
    <row r="1059" ht="15.75" customHeight="1" s="305">
      <c r="A1059" s="3" t="inlineStr">
        <is>
          <t>DongTai.tai</t>
        </is>
      </c>
      <c r="B1059" s="3" t="inlineStr">
        <is>
          <t>tải</t>
        </is>
      </c>
      <c r="C1059" s="3" t="inlineStr">
        <is>
          <t>load</t>
        </is>
      </c>
      <c r="D1059" s="3">
        <f>IFERROR(__xludf.DUMMYFUNCTION("GOOGLETRANSLATE(B1059,""vi"",""km"")"),"ផ្ទុក")</f>
        <v/>
      </c>
      <c r="E1059" s="159" t="inlineStr">
        <is>
          <t>ទាញយក៖</t>
        </is>
      </c>
      <c r="F1059" s="3" t="n"/>
      <c r="G1059" s="3" t="inlineStr">
        <is>
          <t>កញ្ចប់ទំនិញ</t>
        </is>
      </c>
      <c r="H1059" t="inlineStr">
        <is>
          <t>កញ្ចប់ទំនិញ</t>
        </is>
      </c>
      <c r="I1059" s="217" t="inlineStr">
        <is>
          <t>"DongTai.tai": "កញ្ចប់ទំនិញ",</t>
        </is>
      </c>
      <c r="N1059" s="3" t="inlineStr"/>
    </row>
    <row r="1060" ht="15.75" customHeight="1" s="305">
      <c r="A1060" s="3" t="inlineStr">
        <is>
          <t>DongTai.taiHang</t>
        </is>
      </c>
      <c r="B1060" s="3" t="inlineStr">
        <is>
          <t>Tải hàng</t>
        </is>
      </c>
      <c r="C1060" s="3" t="inlineStr">
        <is>
          <t>Goods sack</t>
        </is>
      </c>
      <c r="D1060" s="3">
        <f>IFERROR(__xludf.DUMMYFUNCTION("GOOGLETRANSLATE(B1060,""vi"",""km"")"),"កំពុងផ្ទុក")</f>
        <v/>
      </c>
      <c r="E1060" s="31" t="inlineStr">
        <is>
          <t>ជើងដឹកអីវ៉ាន់</t>
        </is>
      </c>
      <c r="F1060" s="3" t="n"/>
      <c r="G1060" s="3" t="inlineStr">
        <is>
          <t>កញ្ចប់ទំនិញ</t>
        </is>
      </c>
      <c r="H1060" t="inlineStr">
        <is>
          <t>កញ្ចប់ទំនិញ</t>
        </is>
      </c>
      <c r="I1060" s="217" t="inlineStr">
        <is>
          <t>"DongTai.taiHang": "កញ្ចប់ទំនិញ",</t>
        </is>
      </c>
      <c r="N1060" s="3" t="inlineStr">
        <is>
          <t>ត្រួតពិនិត្យទំនិញ</t>
        </is>
      </c>
    </row>
    <row r="1061" ht="15.75" customHeight="1" s="305">
      <c r="A1061" s="3" t="inlineStr">
        <is>
          <t>tms.taiHang</t>
        </is>
      </c>
      <c r="B1061" s="3" t="inlineStr">
        <is>
          <t>Tải hàng</t>
        </is>
      </c>
      <c r="C1061" s="3" t="inlineStr">
        <is>
          <t>Goods sack</t>
        </is>
      </c>
      <c r="D1061" s="3">
        <f>IFERROR(__xludf.DUMMYFUNCTION("GOOGLETRANSLATE(B1061,""vi"",""km"")"),"កំពុងផ្ទុក")</f>
        <v/>
      </c>
      <c r="E1061" s="31" t="inlineStr">
        <is>
          <t>ជើងដឹកអីវ៉ាន់</t>
        </is>
      </c>
      <c r="F1061" s="3" t="n"/>
      <c r="G1061" s="3" t="inlineStr">
        <is>
          <t>កញ្ចប់ទំនិញ</t>
        </is>
      </c>
      <c r="H1061" t="inlineStr">
        <is>
          <t>កញ្ចប់ទំនិញ</t>
        </is>
      </c>
      <c r="I1061" s="217" t="inlineStr">
        <is>
          <t>"tms.taiHang": "កញ្ចប់ទំនិញ",</t>
        </is>
      </c>
      <c r="N1061" s="3" t="inlineStr"/>
    </row>
    <row r="1062" ht="15.75" customHeight="1" s="305">
      <c r="A1062" s="3" t="inlineStr">
        <is>
          <t>login.username</t>
        </is>
      </c>
      <c r="B1062" s="3" t="inlineStr">
        <is>
          <t>Tài khoản</t>
        </is>
      </c>
      <c r="C1062" s="3" t="inlineStr">
        <is>
          <t>Username</t>
        </is>
      </c>
      <c r="D1062" s="3">
        <f>IFERROR(__xludf.DUMMYFUNCTION("GOOGLETRANSLATE(B1062,""vi"",""km"")"),"គណនី")</f>
        <v/>
      </c>
      <c r="E1062" s="3" t="inlineStr">
        <is>
          <t>គណនី</t>
        </is>
      </c>
      <c r="F1062" s="3" t="n"/>
      <c r="G1062" s="3" t="inlineStr">
        <is>
          <t>ឈ្មោះគណនី</t>
        </is>
      </c>
      <c r="H1062" t="inlineStr">
        <is>
          <t>ឈ្មោះគណនី</t>
        </is>
      </c>
      <c r="I1062" s="217" t="inlineStr">
        <is>
          <t>"login.username": "ឈ្មោះគណនី",</t>
        </is>
      </c>
      <c r="N1062" s="3" t="inlineStr">
        <is>
          <t>នាមត្រកូល​និង​ឈ្មោះ</t>
        </is>
      </c>
    </row>
    <row r="1063" ht="15.75" customHeight="1" s="305">
      <c r="A1063" s="3" t="inlineStr">
        <is>
          <t>home.account</t>
        </is>
      </c>
      <c r="B1063" s="3" t="inlineStr">
        <is>
          <t>Tài khoản</t>
        </is>
      </c>
      <c r="C1063" s="3" t="inlineStr">
        <is>
          <t>Account</t>
        </is>
      </c>
      <c r="D1063" s="3">
        <f>IFERROR(__xludf.DUMMYFUNCTION("GOOGLETRANSLATE(B1063,""vi"",""km"")"),"គណនី")</f>
        <v/>
      </c>
      <c r="E1063" s="3" t="inlineStr">
        <is>
          <t>គណនី</t>
        </is>
      </c>
      <c r="F1063" s="3" t="n"/>
      <c r="G1063" s="3" t="inlineStr">
        <is>
          <t>គណនី</t>
        </is>
      </c>
      <c r="H1063" t="inlineStr">
        <is>
          <t>គណនី</t>
        </is>
      </c>
      <c r="I1063" s="217" t="inlineStr">
        <is>
          <t>"home.account": "គណនី",</t>
        </is>
      </c>
      <c r="N1063" s="3" t="inlineStr">
        <is>
          <t>គណនី</t>
        </is>
      </c>
    </row>
    <row r="1064" ht="15.75" customHeight="1" s="305">
      <c r="A1064" s="3" t="inlineStr">
        <is>
          <t>setting.accountLocked</t>
        </is>
      </c>
      <c r="B1064" s="3" t="inlineStr">
        <is>
          <t>Tài khoản bị khoá</t>
        </is>
      </c>
      <c r="C1064" s="3" t="inlineStr">
        <is>
          <t>Your account has been locked</t>
        </is>
      </c>
      <c r="D1064" s="3">
        <f>IFERROR(__xludf.DUMMYFUNCTION("GOOGLETRANSLATE(B1064,""vi"",""km"")"),"គណនីត្រូវបានចាក់សោ")</f>
        <v/>
      </c>
      <c r="E1064" s="3" t="inlineStr">
        <is>
          <t>គណនីត្រូវបានបិទ</t>
        </is>
      </c>
      <c r="F1064" s="3" t="n"/>
      <c r="G1064" s="3" t="inlineStr">
        <is>
          <t>គណនីត្រូវបានបិទ</t>
        </is>
      </c>
      <c r="H1064" t="inlineStr">
        <is>
          <t>គណនីត្រូវបានបិទ</t>
        </is>
      </c>
      <c r="I1064" s="217" t="inlineStr">
        <is>
          <t>"setting.accountLocked": "គណនីត្រូវបានបិទ",</t>
        </is>
      </c>
      <c r="N1064" s="3" t="inlineStr">
        <is>
          <t>Account is locked</t>
        </is>
      </c>
    </row>
    <row r="1065" ht="15.75" customHeight="1" s="305">
      <c r="A1065" s="3" t="inlineStr">
        <is>
          <t>khaiThacDen.billCode1</t>
        </is>
      </c>
      <c r="B1065" s="3" t="inlineStr">
        <is>
          <t>tải kiện</t>
        </is>
      </c>
      <c r="C1065" s="3" t="inlineStr">
        <is>
          <t>sack/package</t>
        </is>
      </c>
      <c r="D1065" s="3">
        <f>IFERROR(__xludf.DUMMYFUNCTION("GOOGLETRANSLATE(B1065,""vi"",""km"")"),"កញ្ចប់")</f>
        <v/>
      </c>
      <c r="E1065" s="3" t="inlineStr">
        <is>
          <t>ជើងដឹកអីវ៉ាន់</t>
        </is>
      </c>
      <c r="F1065" s="3" t="n"/>
      <c r="G1065" s="3" t="inlineStr">
        <is>
          <t>កញ្ចប់ទំនិញ</t>
        </is>
      </c>
      <c r="H1065" t="inlineStr">
        <is>
          <t>កញ្ចប់ទំនិញ</t>
        </is>
      </c>
      <c r="I1065" s="217" t="inlineStr">
        <is>
          <t>"khaiThacDen.billCode1": "កញ្ចប់ទំនិញ",</t>
        </is>
      </c>
      <c r="N1065" s="3" t="inlineStr">
        <is>
          <t>ទម្ងន់</t>
        </is>
      </c>
    </row>
    <row r="1066" ht="15.75" customHeight="1" s="305">
      <c r="A1066" s="3" t="inlineStr">
        <is>
          <t>khaiThacDen.billCodeUppercase</t>
        </is>
      </c>
      <c r="B1066" s="3" t="inlineStr">
        <is>
          <t>Tải kiện</t>
        </is>
      </c>
      <c r="C1066" s="3" t="inlineStr">
        <is>
          <t>Sack/package</t>
        </is>
      </c>
      <c r="D1066" s="3">
        <f>IFERROR(__xludf.DUMMYFUNCTION("GOOGLETRANSLATE(B1066,""vi"",""km"")"),"ឯកសារ")</f>
        <v/>
      </c>
      <c r="E1066" s="3" t="inlineStr">
        <is>
          <t>ជើងដឹកអីវ៉ាន់</t>
        </is>
      </c>
      <c r="F1066" s="3" t="n"/>
      <c r="G1066" s="3" t="inlineStr">
        <is>
          <t>កញ្ចប់ទំនិញ</t>
        </is>
      </c>
      <c r="H1066" t="inlineStr">
        <is>
          <t>កញ្ចប់ទំនិញ</t>
        </is>
      </c>
      <c r="I1066" s="217" t="inlineStr">
        <is>
          <t>"khaiThacDen.billCodeUppercase": "កញ្ចប់ទំនិញ",</t>
        </is>
      </c>
      <c r="N1066" s="3" t="inlineStr">
        <is>
          <t>ទម្ងន់</t>
        </is>
      </c>
    </row>
    <row r="1067" ht="15.75" customHeight="1" s="305">
      <c r="A1067" s="3" t="inlineStr">
        <is>
          <t>taoDon.document</t>
        </is>
      </c>
      <c r="B1067" s="3" t="inlineStr">
        <is>
          <t>Tài liệu</t>
        </is>
      </c>
      <c r="C1067" s="3" t="inlineStr">
        <is>
          <t>Documents</t>
        </is>
      </c>
      <c r="D1067" s="3">
        <f>IFERROR(__xludf.DUMMYFUNCTION("GOOGLETRANSLATE(B1067,""vi"",""km"")"),"ឯកសារ")</f>
        <v/>
      </c>
      <c r="E1067" s="3" t="inlineStr">
        <is>
          <t>ឯកសារ</t>
        </is>
      </c>
      <c r="F1067" s="3" t="n"/>
      <c r="G1067" s="3" t="inlineStr">
        <is>
          <t>ឯកសារ</t>
        </is>
      </c>
      <c r="H1067" t="inlineStr">
        <is>
          <t>ឯកសារ</t>
        </is>
      </c>
      <c r="I1067" s="217" t="inlineStr">
        <is>
          <t>"taoDon.document": "ឯកសារ",</t>
        </is>
      </c>
      <c r="N1067" s="3" t="inlineStr">
        <is>
          <t>ឯកសារ</t>
        </is>
      </c>
    </row>
    <row r="1068" ht="15.75" customHeight="1" s="305">
      <c r="A1068" s="3" t="inlineStr">
        <is>
          <t>tms.taiThu</t>
        </is>
      </c>
      <c r="B1068" s="3" t="inlineStr">
        <is>
          <t>Tải thư</t>
        </is>
      </c>
      <c r="C1068" s="3" t="inlineStr">
        <is>
          <t>Mail sack</t>
        </is>
      </c>
      <c r="D1068" s="3">
        <f>IFERROR(__xludf.DUMMYFUNCTION("GOOGLETRANSLATE(B1068,""vi"",""km"")"),"ទាញយកសំបុត្រ")</f>
        <v/>
      </c>
      <c r="E1068" s="3" t="inlineStr">
        <is>
          <t>ជើងដឹកកញ្ចប់ឯកសារ</t>
        </is>
      </c>
      <c r="F1068" s="3" t="n"/>
      <c r="G1068" s="3" t="inlineStr">
        <is>
          <t>បាវបញ្ញើ</t>
        </is>
      </c>
      <c r="H1068" t="inlineStr">
        <is>
          <t>បាវបញ្ញើ</t>
        </is>
      </c>
      <c r="I1068" s="217" t="inlineStr">
        <is>
          <t>"tms.taiThu": "បាវបញ្ញើ",</t>
        </is>
      </c>
      <c r="N1068" s="3" t="inlineStr"/>
    </row>
    <row r="1069" ht="15.75" customHeight="1" s="305">
      <c r="A1069" s="3" t="inlineStr">
        <is>
          <t>banGiao.taiTrucTiep</t>
        </is>
      </c>
      <c r="B1069" s="3" t="inlineStr">
        <is>
          <t>Tải trực tiếp</t>
        </is>
      </c>
      <c r="C1069" s="3" t="inlineStr">
        <is>
          <t>Direct sack</t>
        </is>
      </c>
      <c r="D1069" s="3">
        <f>IFERROR(__xludf.DUMMYFUNCTION("GOOGLETRANSLATE(B1069,""vi"",""km"")"),"ទាញយកដោយផ្ទាល់")</f>
        <v/>
      </c>
      <c r="E1069" s="3" t="inlineStr">
        <is>
          <t>ជើងដឹកដោយផ្ទាល់</t>
        </is>
      </c>
      <c r="F1069" s="3" t="n"/>
      <c r="G1069" s="3" t="inlineStr">
        <is>
          <t>បាវដឹកផ្ទាល់</t>
        </is>
      </c>
      <c r="H1069" t="inlineStr">
        <is>
          <t>បាវដឹកផ្ទាល់</t>
        </is>
      </c>
      <c r="I1069" s="217" t="inlineStr">
        <is>
          <t>"banGiao.taiTrucTiep": "បាវដឹកផ្ទាល់",</t>
        </is>
      </c>
      <c r="N1069" s="3" t="inlineStr"/>
    </row>
    <row r="1070" ht="15.75" customHeight="1" s="305">
      <c r="A1070" s="3" t="inlineStr">
        <is>
          <t>banGiao.titleTaiKien</t>
        </is>
      </c>
      <c r="B1070" s="3" t="inlineStr">
        <is>
          <t>tải/kiện</t>
        </is>
      </c>
      <c r="C1070" s="3" t="inlineStr">
        <is>
          <t>sack/package</t>
        </is>
      </c>
      <c r="D1070" s="3">
        <f>IFERROR(__xludf.DUMMYFUNCTION("GOOGLETRANSLATE(B1070,""vi"",""km"")"),"ផ្ទុក/កញ្ចប់")</f>
        <v/>
      </c>
      <c r="E1070" s="3" t="inlineStr">
        <is>
          <t>ជើងដឹក/កញ្ចប់អីវ៉ាន់</t>
        </is>
      </c>
      <c r="F1070" s="3" t="n"/>
      <c r="G1070" s="3" t="inlineStr">
        <is>
          <t>កញ្ចប់ទំនិញ/អីវ៉ាន់</t>
        </is>
      </c>
      <c r="H1070" t="inlineStr">
        <is>
          <t>កញ្ចប់ទំនិញ/អីវ៉ាន់</t>
        </is>
      </c>
      <c r="I1070" s="217" t="inlineStr">
        <is>
          <t>"banGiao.titleTaiKien": "កញ្ចប់ទំនិញ/អីវ៉ាន់",</t>
        </is>
      </c>
      <c r="N1070" s="3" t="inlineStr">
        <is>
          <t>ថង់/កញ្ចប់</t>
        </is>
      </c>
    </row>
    <row r="1071" ht="15.75" customHeight="1" s="305">
      <c r="A1071" s="3" t="inlineStr">
        <is>
          <t>banGiao.filterTai</t>
        </is>
      </c>
      <c r="B1071" s="3" t="inlineStr">
        <is>
          <t>Tải/kiện</t>
        </is>
      </c>
      <c r="C1071" s="3" t="inlineStr">
        <is>
          <t>Load</t>
        </is>
      </c>
      <c r="D1071" s="3">
        <f>IFERROR(__xludf.DUMMYFUNCTION("GOOGLETRANSLATE(B1071,""vi"",""km"")"),"ទាញយក/កញ្ចប់")</f>
        <v/>
      </c>
      <c r="E1071" s="3" t="inlineStr">
        <is>
          <t>ជើងដឹក/កញ្ចប់អីវ៉ាន់</t>
        </is>
      </c>
      <c r="F1071" s="3" t="n"/>
      <c r="G1071" s="3" t="inlineStr">
        <is>
          <t>បាវបញ្ញើ/កញ្ចប់បញ្ញើ</t>
        </is>
      </c>
      <c r="H1071" t="inlineStr">
        <is>
          <t>បាវបញ្ញើ/កញ្ចប់បញ្ញើ</t>
        </is>
      </c>
      <c r="I1071" s="217" t="inlineStr">
        <is>
          <t>"banGiao.filterTai": "បាវបញ្ញើ/កញ្ចប់បញ្ញើ",</t>
        </is>
      </c>
      <c r="N1071" s="3" t="inlineStr"/>
    </row>
    <row r="1072" ht="15.75" customHeight="1" s="305">
      <c r="A1072" s="3" t="inlineStr">
        <is>
          <t>tms.taiKien</t>
        </is>
      </c>
      <c r="B1072" s="3" t="inlineStr">
        <is>
          <t>Tải/kiện</t>
        </is>
      </c>
      <c r="C1072" s="3" t="inlineStr">
        <is>
          <t>Sack/Package</t>
        </is>
      </c>
      <c r="D1072" s="3">
        <f>IFERROR(__xludf.DUMMYFUNCTION("GOOGLETRANSLATE(B1072,""vi"",""km"")"),"ទាញយក/កញ្ចប់")</f>
        <v/>
      </c>
      <c r="E1072" s="3" t="inlineStr">
        <is>
          <t>ជើងដឹក/កញ្ចប់អីវ៉ាន់</t>
        </is>
      </c>
      <c r="F1072" s="3" t="n"/>
      <c r="G1072" s="3" t="inlineStr">
        <is>
          <t>បាវបញ្ញើ/កញ្ចប់បញ្ញើ</t>
        </is>
      </c>
      <c r="H1072" t="inlineStr">
        <is>
          <t>បាវបញ្ញើ/កញ្ចប់បញ្ញើ</t>
        </is>
      </c>
      <c r="I1072" s="217" t="inlineStr">
        <is>
          <t>"tms.taiKien": "បាវបញ្ញើ/កញ្ចប់បញ្ញើ",</t>
        </is>
      </c>
      <c r="N1072" s="3" t="inlineStr"/>
    </row>
    <row r="1073" ht="15.75" customHeight="1" s="305">
      <c r="A1073" s="3" t="inlineStr">
        <is>
          <t>banGiao.taiKienChuyenTiep</t>
        </is>
      </c>
      <c r="B1073" s="3" t="inlineStr">
        <is>
          <t>Tải/kiện chuyển tiếp</t>
        </is>
      </c>
      <c r="C1073" s="3" t="inlineStr">
        <is>
          <t>Transferred sack/package</t>
        </is>
      </c>
      <c r="D1073" s="3">
        <f>IFERROR(__xludf.DUMMYFUNCTION("GOOGLETRANSLATE(B1073,""vi"",""km"")"),"ផ្ទុក/បញ្ជូនបន្តកញ្ចប់")</f>
        <v/>
      </c>
      <c r="E1073" s="3" t="inlineStr">
        <is>
          <t>ជើងដឹក/កញ្ចប់អីវ៉ាន់ បញ្ជូនបន្ត</t>
        </is>
      </c>
      <c r="F1073" s="3" t="n"/>
      <c r="G1073" s="3" t="inlineStr">
        <is>
          <t>កញ្ចប់ទំនិញ/អីវ៉ាន់ បញ្ជូនបន្ត</t>
        </is>
      </c>
      <c r="H1073" t="inlineStr">
        <is>
          <t>កញ្ចប់ទំនិញ/អីវ៉ាន់ បញ្ជូនបន្ត</t>
        </is>
      </c>
      <c r="I1073" s="217" t="inlineStr">
        <is>
          <t>"banGiao.taiKienChuyenTiep": "កញ្ចប់ទំនិញ/អីវ៉ាន់ បញ្ជូនបន្ត",</t>
        </is>
      </c>
      <c r="N1073" s="3" t="inlineStr"/>
    </row>
    <row r="1074" ht="15.75" customHeight="1" s="305">
      <c r="A1074" s="3" t="inlineStr">
        <is>
          <t>banGiao.taiKienDonVi</t>
        </is>
      </c>
      <c r="B1074" s="3" t="inlineStr">
        <is>
          <t>Tải/kiện đơn vị</t>
        </is>
      </c>
      <c r="C1074" s="3" t="inlineStr">
        <is>
          <t>Sack/Package unit</t>
        </is>
      </c>
      <c r="D1074" s="3">
        <f>IFERROR(__xludf.DUMMYFUNCTION("GOOGLETRANSLATE(B1074,""vi"",""km"")"),"ឯកតាផ្ទុក/ផ្ទុក")</f>
        <v/>
      </c>
      <c r="E1074" s="3" t="inlineStr">
        <is>
          <t>ជើងដឹក/កញ្ចប់អីវ៉ាន់ អង្គភាព</t>
        </is>
      </c>
      <c r="F1074" s="3" t="n"/>
      <c r="G1074" s="3" t="inlineStr">
        <is>
          <t>កញ្ចប់ទំនិញ/អីវ៉ាន់ អង្គភាព</t>
        </is>
      </c>
      <c r="H1074" t="inlineStr">
        <is>
          <t>កញ្ចប់ទំនិញ/អីវ៉ាន់ អង្គភាព</t>
        </is>
      </c>
      <c r="I1074" s="217" t="inlineStr">
        <is>
          <t>"banGiao.taiKienDonVi": "កញ្ចប់ទំនិញ/អីវ៉ាន់ អង្គភាព",</t>
        </is>
      </c>
      <c r="N1074" s="3" t="inlineStr"/>
    </row>
    <row r="1075" ht="15.75" customHeight="1" s="305">
      <c r="A1075" s="3" t="inlineStr">
        <is>
          <t>banGiao.tabTaiKienDonVi</t>
        </is>
      </c>
      <c r="B1075" s="3" t="inlineStr">
        <is>
          <t>Tải/kiện đơn vị</t>
        </is>
      </c>
      <c r="C1075" s="3" t="inlineStr">
        <is>
          <t>Sack/Package unit</t>
        </is>
      </c>
      <c r="D1075" s="3">
        <f>IFERROR(__xludf.DUMMYFUNCTION("GOOGLETRANSLATE(B1075,""vi"",""km"")"),"ឯកតាផ្ទុក/ផ្ទុក")</f>
        <v/>
      </c>
      <c r="E1075" s="3" t="inlineStr">
        <is>
          <t>ជើងដឹក/កញ្ចប់អីវ៉ាន់ អង្គភាព</t>
        </is>
      </c>
      <c r="F1075" s="3" t="n"/>
      <c r="G1075" s="3" t="inlineStr">
        <is>
          <t>កញ្ចប់ទំនិញ/អីវ៉ាន់ អង្គភាព</t>
        </is>
      </c>
      <c r="H1075" t="inlineStr">
        <is>
          <t>កញ្ចប់ទំនិញ/អីវ៉ាន់ អង្គភាព</t>
        </is>
      </c>
      <c r="I1075" s="217" t="inlineStr">
        <is>
          <t>"banGiao.tabTaiKienDonVi": "កញ្ចប់ទំនិញ/អីវ៉ាន់ អង្គភាព",</t>
        </is>
      </c>
      <c r="N1075" s="3" t="inlineStr"/>
    </row>
    <row r="1076" ht="15.75" customHeight="1" s="305">
      <c r="A1076" s="3" t="inlineStr">
        <is>
          <t>tms.titleHandingOver</t>
        </is>
      </c>
      <c r="B1076" s="3" t="inlineStr">
        <is>
          <t>Tải/kiện đơn vị</t>
        </is>
      </c>
      <c r="C1076" s="3" t="inlineStr">
        <is>
          <t>Unit packages/parcels</t>
        </is>
      </c>
      <c r="D1076" s="3">
        <f>IFERROR(__xludf.DUMMYFUNCTION("GOOGLETRANSLATE(B1076,""vi"",""km"")"),"ឯកតាផ្ទុក/ផ្ទុក")</f>
        <v/>
      </c>
      <c r="E1076" s="3" t="inlineStr">
        <is>
          <t>ជើងដឹក/កញ្ចប់អីវ៉ាន់ អង្គភាព</t>
        </is>
      </c>
      <c r="F1076" s="3" t="n"/>
      <c r="G1076" s="3" t="inlineStr">
        <is>
          <t>កញ្ចប់ទំនិញ/អីវ៉ាន់ អង្គភាព</t>
        </is>
      </c>
      <c r="H1076" t="inlineStr">
        <is>
          <t>កញ្ចប់ទំនិញ/អីវ៉ាន់ អង្គភាព</t>
        </is>
      </c>
      <c r="I1076" s="217" t="inlineStr">
        <is>
          <t>"tms.titleHandingOver": "កញ្ចប់ទំនិញ/អីវ៉ាន់ អង្គភាព",</t>
        </is>
      </c>
      <c r="N1076" s="3" t="inlineStr"/>
    </row>
    <row r="1077" ht="15.75" customHeight="1" s="305">
      <c r="A1077" s="3" t="inlineStr">
        <is>
          <t>tms.quetTaiKienConfirm</t>
        </is>
      </c>
      <c r="B1077" s="3" t="inlineStr">
        <is>
          <t>Tải/kiện quét nhận không đúng đích bàn giao. Bạn có muốn nhận tải/kiện này về đơn vị không?</t>
        </is>
      </c>
      <c r="C1077" s="3" t="inlineStr">
        <is>
          <t>Scanned sack/package does not match the destination. Do you want to receive it to your unit?</t>
        </is>
      </c>
      <c r="D1077" s="3">
        <f>IFERROR(__xludf.DUMMYFUNCTION("GOOGLETRANSLATE(B1077,""vi"",""km"")"),"ទំនិញ/កញ្ចប់ដែលបានស្កេនត្រូវបានទទួលនៅគោលដៅដឹកជញ្ជូនខុស។ តើអ្នកចង់ទទួលទំនិញ/កញ្ចប់នេះត្រឡប់ទៅអង្គភាពរបស់អ្នកវិញទេ?")</f>
        <v/>
      </c>
      <c r="E1077" s="3" t="inlineStr">
        <is>
          <t>ជើងដឹក/អីវ៉ាន់ ស្កេនខុសទីតាំងប្រគល់។ អ្នកចង់ទទួលជើងដឹក/អីវ៉ាន់នេះទៅកាន់អង្គភាពវិញទេ?</t>
        </is>
      </c>
      <c r="F1077" s="3" t="n"/>
      <c r="G1077" s="3" t="inlineStr">
        <is>
          <t>កញ្ចប់ទំនិញ/អីវ៉ាន់ ស្កេនខុសទីតាំងប្រគល់។ អ្នកចង់ទទួលកញ្ចប់ទំនិញ/អីវ៉ាន់នេះទៅកាន់អង្គភាពវិញទេ?</t>
        </is>
      </c>
      <c r="H1077" t="inlineStr">
        <is>
          <t>កញ្ចប់ទំនិញ/អីវ៉ាន់ ស្កេនខុសទីតាំងប្រគល់។ អ្នកចង់ទទួលកញ្ចប់ទំនិញ/អីវ៉ាន់នេះទៅកាន់អង្គភាពវិញទេ?</t>
        </is>
      </c>
      <c r="I1077" s="217" t="inlineStr">
        <is>
          <t>"tms.quetTaiKienConfirm": "កញ្ចប់ទំនិញ/អីវ៉ាន់ ស្កេនខុសទីតាំងប្រគល់។ អ្នកចង់ទទួលកញ្ចប់ទំនិញ/អីវ៉ាន់នេះទៅកាន់អង្គភាពវិញទេ?",</t>
        </is>
      </c>
      <c r="N1077" s="3" t="inlineStr"/>
    </row>
    <row r="1078" ht="15.75" customHeight="1" s="305">
      <c r="A1078" s="3" t="inlineStr">
        <is>
          <t>mainStatus.305</t>
        </is>
      </c>
      <c r="B1078" s="3" t="inlineStr">
        <is>
          <t>Tạo bàn giao</t>
        </is>
      </c>
      <c r="C1078" s="3" t="inlineStr">
        <is>
          <t>Create a new handover</t>
        </is>
      </c>
      <c r="D1078" s="3">
        <f>IFERROR(__xludf.DUMMYFUNCTION("GOOGLETRANSLATE(B1078,""vi"",""km"")"),"បង្កើតការប្រគល់")</f>
        <v/>
      </c>
      <c r="E1078" s="3" t="inlineStr">
        <is>
          <t>បង្កើតការប្រគល់</t>
        </is>
      </c>
      <c r="F1078" s="3" t="n"/>
      <c r="G1078" s="3" t="inlineStr">
        <is>
          <t>បង្កើតការប្រគល់ទទួល</t>
        </is>
      </c>
      <c r="H1078" t="inlineStr">
        <is>
          <t>បង្កើតការប្រគល់ទទួល</t>
        </is>
      </c>
      <c r="I1078" s="217" t="inlineStr">
        <is>
          <t>"mainStatus.305": "បង្កើតការប្រគល់ទទួល",</t>
        </is>
      </c>
      <c r="N1078" s="163" t="inlineStr">
        <is>
          <t>បង្កើតការប្រគល់ថ្មី។</t>
        </is>
      </c>
    </row>
    <row r="1079" ht="15.75" customHeight="1" s="305">
      <c r="A1079" s="3" t="inlineStr">
        <is>
          <t>banGiao.titleTabCreateHandover</t>
        </is>
      </c>
      <c r="B1079" s="3" t="inlineStr">
        <is>
          <t>Tạo bàn giao</t>
        </is>
      </c>
      <c r="C1079" s="3" t="inlineStr">
        <is>
          <t>Create</t>
        </is>
      </c>
      <c r="D1079" s="3">
        <f>IFERROR(__xludf.DUMMYFUNCTION("GOOGLETRANSLATE(B1079,""vi"",""km"")"),"បង្កើតការប្រគល់")</f>
        <v/>
      </c>
      <c r="E1079" s="3" t="inlineStr">
        <is>
          <t>បង្កើតការប្រគល់</t>
        </is>
      </c>
      <c r="F1079" s="3" t="n"/>
      <c r="G1079" s="3" t="inlineStr">
        <is>
          <t>បង្កើតការប្រគល់ទទួល</t>
        </is>
      </c>
      <c r="H1079" t="inlineStr">
        <is>
          <t>បង្កើតការប្រគល់ទទួល</t>
        </is>
      </c>
      <c r="I1079" s="217" t="inlineStr">
        <is>
          <t>"banGiao.titleTabCreateHandover": "បង្កើតការប្រគល់ទទួល",</t>
        </is>
      </c>
      <c r="N1079" s="3" t="inlineStr">
        <is>
          <t>បង្កើត</t>
        </is>
      </c>
    </row>
    <row r="1080" ht="15.75" customHeight="1" s="305">
      <c r="A1080" s="3" t="inlineStr">
        <is>
          <t>banGiao.messageCreateHandover</t>
        </is>
      </c>
      <c r="B1080" s="3" t="inlineStr">
        <is>
          <t>Tạo bàn giao thành công</t>
        </is>
      </c>
      <c r="C1080" s="3" t="inlineStr">
        <is>
          <t>Create a handover successfully</t>
        </is>
      </c>
      <c r="D1080" s="3">
        <f>IFERROR(__xludf.DUMMYFUNCTION("GOOGLETRANSLATE(B1080,""vi"",""km"")"),"បានបង្កើតការប្រគល់ជូនដោយជោគជ័យ។")</f>
        <v/>
      </c>
      <c r="E1080" s="3" t="inlineStr">
        <is>
          <t>បង្កើតការប្រគល់បានជោគជ័យ</t>
        </is>
      </c>
      <c r="F1080" s="3" t="n"/>
      <c r="G1080" s="3" t="inlineStr">
        <is>
          <t>បង្កើតការប្រគល់បានជោគជ័យ</t>
        </is>
      </c>
      <c r="H1080" t="inlineStr">
        <is>
          <t>បង្កើតការប្រគល់បានជោគជ័យ</t>
        </is>
      </c>
      <c r="I1080" s="217" t="inlineStr">
        <is>
          <t>"banGiao.messageCreateHandover": "បង្កើតការប្រគល់បានជោគជ័យ",</t>
        </is>
      </c>
      <c r="N1080" s="3" t="inlineStr">
        <is>
          <t>បង្កើតការផ្ញើបានជោគជ័យ</t>
        </is>
      </c>
    </row>
    <row r="1081" ht="15.75" customHeight="1" s="305">
      <c r="A1081" s="3" t="inlineStr">
        <is>
          <t>debit.create_clear</t>
        </is>
      </c>
      <c r="B1081" s="3" t="inlineStr">
        <is>
          <t>Tạo bảng kê</t>
        </is>
      </c>
      <c r="C1081" s="3" t="inlineStr">
        <is>
          <t>Create statement</t>
        </is>
      </c>
      <c r="D1081" s="3">
        <f>IFERROR(__xludf.DUMMYFUNCTION("GOOGLETRANSLATE(B1081,""vi"",""km"")"),"បង្កើតសេចក្តីថ្លែងការណ៍មួយ")</f>
        <v/>
      </c>
      <c r="E1081" s="3" t="inlineStr">
        <is>
          <t>បង្កើតតារាង</t>
        </is>
      </c>
      <c r="F1081" s="3" t="n"/>
      <c r="G1081" s="3" t="inlineStr">
        <is>
          <t>បង្កើតតារាង</t>
        </is>
      </c>
      <c r="H1081" t="inlineStr">
        <is>
          <t>បង្កើតតារាង</t>
        </is>
      </c>
      <c r="I1081" s="217" t="inlineStr">
        <is>
          <t>"debit.create_clear": "បង្កើតតារាង",</t>
        </is>
      </c>
      <c r="N1081" s="3" t="inlineStr">
        <is>
          <t>បង្កើតបញ្ជី</t>
        </is>
      </c>
    </row>
    <row r="1082" ht="15.75" customHeight="1" s="305">
      <c r="A1082" s="3" t="inlineStr">
        <is>
          <t>debit.error_create_clear</t>
        </is>
      </c>
      <c r="B1082" s="3" t="inlineStr">
        <is>
          <t>Tạo bảng kê không thành công</t>
        </is>
      </c>
      <c r="C1082" s="3" t="inlineStr">
        <is>
          <t>Create clear failed</t>
        </is>
      </c>
      <c r="D1082" s="3">
        <f>IFERROR(__xludf.DUMMYFUNCTION("GOOGLETRANSLATE(B1082,""vi"",""km"")"),"ការបង្កើតសេចក្តីថ្លែងការណ៍បរាជ័យ")</f>
        <v/>
      </c>
      <c r="E1082" s="3" t="inlineStr">
        <is>
          <t>បង្កើតតារាងបរាជ័យ</t>
        </is>
      </c>
      <c r="F1082" s="3" t="n"/>
      <c r="G1082" s="3" t="inlineStr">
        <is>
          <t>បង្កើតតារាងបរាជ័យ</t>
        </is>
      </c>
      <c r="H1082" t="inlineStr">
        <is>
          <t>បង្កើតតារាងបរាជ័យ</t>
        </is>
      </c>
      <c r="I1082" s="217" t="inlineStr">
        <is>
          <t>"debit.error_create_clear": "បង្កើតតារាងបរាជ័យ",</t>
        </is>
      </c>
      <c r="N1082" s="3" t="inlineStr">
        <is>
          <t>បង្កើតបញ្ចីមិនជោគជ័យ</t>
        </is>
      </c>
    </row>
    <row r="1083" ht="15.75" customHeight="1" s="305">
      <c r="A1083" s="3" t="inlineStr">
        <is>
          <t>debit.success_create_clear</t>
        </is>
      </c>
      <c r="B1083" s="3" t="inlineStr">
        <is>
          <t>Tạo bảng kê thành công!</t>
        </is>
      </c>
      <c r="C1083" s="3" t="inlineStr">
        <is>
          <t>Create clear successfully</t>
        </is>
      </c>
      <c r="D1083" s="3">
        <f>IFERROR(__xludf.DUMMYFUNCTION("GOOGLETRANSLATE(B1083,""vi"",""km"")"),"សេចក្តីថ្លែងការណ៍ត្រូវបានបង្កើតឡើងដោយជោគជ័យ!")</f>
        <v/>
      </c>
      <c r="E1083" s="3" t="inlineStr">
        <is>
          <t>បង្កើតតារាងបានជោគជ័យ!</t>
        </is>
      </c>
      <c r="F1083" s="3" t="n"/>
      <c r="G1083" s="3" t="inlineStr">
        <is>
          <t>បង្កើតតារាងបានជោគជ័យ!</t>
        </is>
      </c>
      <c r="H1083" t="inlineStr">
        <is>
          <t>បង្កើតតារាងបានជោគជ័យ!</t>
        </is>
      </c>
      <c r="I1083" s="217" t="inlineStr">
        <is>
          <t>"debit.success_create_clear": "បង្កើតតារាងបានជោគជ័យ!",</t>
        </is>
      </c>
      <c r="N1083" s="3" t="inlineStr">
        <is>
          <t>បង្កើតបញ្ចីដោយជោគជ័យ</t>
        </is>
      </c>
    </row>
    <row r="1084" ht="15.75" customHeight="1" s="305">
      <c r="A1084" s="3" t="inlineStr">
        <is>
          <t>home.taodon</t>
        </is>
      </c>
      <c r="B1084" s="3" t="inlineStr">
        <is>
          <t>Tạo đơn</t>
        </is>
      </c>
      <c r="C1084" s="3" t="inlineStr">
        <is>
          <t>Create order</t>
        </is>
      </c>
      <c r="D1084" s="3">
        <f>IFERROR(__xludf.DUMMYFUNCTION("GOOGLETRANSLATE(B1084,""vi"",""km"")"),"បង្កើតការបញ្ជាទិញ")</f>
        <v/>
      </c>
      <c r="E1084" s="3" t="inlineStr">
        <is>
          <t>បង្កើតបុងបញ្ញើ</t>
        </is>
      </c>
      <c r="F1084" s="3" t="n"/>
      <c r="G1084" s="3" t="inlineStr">
        <is>
          <t>បង្កើតការបញ្ជាទិញ</t>
        </is>
      </c>
      <c r="H1084" t="inlineStr">
        <is>
          <t>បង្កើតការបញ្ជាទិញ</t>
        </is>
      </c>
      <c r="I1084" s="217" t="inlineStr">
        <is>
          <t>"home.taodon": "បង្កើតការបញ្ជាទិញ",</t>
        </is>
      </c>
      <c r="N1084" s="3" t="inlineStr">
        <is>
          <t>បង្កើត​សណ្តាប់ធ្នាប់</t>
        </is>
      </c>
    </row>
    <row r="1085" ht="15.75" customHeight="1" s="305">
      <c r="A1085" s="3" t="inlineStr">
        <is>
          <t>taoDon.title</t>
        </is>
      </c>
      <c r="B1085" s="3" t="inlineStr">
        <is>
          <t>Tạo đơn</t>
        </is>
      </c>
      <c r="C1085" s="3" t="inlineStr">
        <is>
          <t>Create order</t>
        </is>
      </c>
      <c r="D1085" s="3">
        <f>IFERROR(__xludf.DUMMYFUNCTION("GOOGLETRANSLATE(B1085,""vi"",""km"")"),"បង្កើតការបញ្ជាទិញ")</f>
        <v/>
      </c>
      <c r="E1085" s="3" t="inlineStr">
        <is>
          <t>បង្កើតបុងបញ្ញើ</t>
        </is>
      </c>
      <c r="F1085" s="3" t="n"/>
      <c r="G1085" s="3" t="inlineStr">
        <is>
          <t>បង្កើតការបញ្ជាទិញ</t>
        </is>
      </c>
      <c r="H1085" t="inlineStr">
        <is>
          <t>បង្កើតការបញ្ជាទិញ</t>
        </is>
      </c>
      <c r="I1085" s="217" t="inlineStr">
        <is>
          <t>"taoDon.title": "បង្កើតការបញ្ជាទិញ",</t>
        </is>
      </c>
      <c r="N1085" s="3" t="inlineStr">
        <is>
          <t>បង្កើតបញ្ជី</t>
        </is>
      </c>
    </row>
    <row r="1086" ht="15.75" customHeight="1" s="305">
      <c r="A1086" s="3" t="inlineStr">
        <is>
          <t>taoDon.orderCreatedSuccess</t>
        </is>
      </c>
      <c r="B1086" s="3" t="inlineStr">
        <is>
          <t>Tạo đơn hàng thành công</t>
        </is>
      </c>
      <c r="C1086" s="3" t="inlineStr">
        <is>
          <t>Order created successfully</t>
        </is>
      </c>
      <c r="D1086" s="3">
        <f>IFERROR(__xludf.DUMMYFUNCTION("GOOGLETRANSLATE(B1086,""vi"",""km"")"),"ការបញ្ជាទិញត្រូវបានបង្កើតដោយជោគជ័យ។")</f>
        <v/>
      </c>
      <c r="E1086" s="3" t="inlineStr">
        <is>
          <t>បង្កើតបុងបញ្ញើបានជោគជ័យ</t>
        </is>
      </c>
      <c r="F1086" s="3" t="n"/>
      <c r="G1086" s="3" t="inlineStr">
        <is>
          <t>បង្កើតបុងបញ្ញើបានជោគជ័យ</t>
        </is>
      </c>
      <c r="H1086" t="inlineStr">
        <is>
          <t>បង្កើតបុងបញ្ញើបានជោគជ័យ</t>
        </is>
      </c>
      <c r="I1086" s="217" t="inlineStr">
        <is>
          <t>"taoDon.orderCreatedSuccess": "បង្កើតបុងបញ្ញើបានជោគជ័យ",</t>
        </is>
      </c>
      <c r="N1086" s="3" t="inlineStr">
        <is>
          <t>បង្កើតបញ្ជីជោគជ័យ</t>
        </is>
      </c>
    </row>
    <row r="1087" ht="15.75" customHeight="1" s="305">
      <c r="A1087" s="3" t="inlineStr">
        <is>
          <t>taoDon.orderSuccess</t>
        </is>
      </c>
      <c r="B1087" s="3" t="inlineStr">
        <is>
          <t>Tạo đơn hàng thành công!</t>
        </is>
      </c>
      <c r="C1087" s="3" t="inlineStr">
        <is>
          <t>Order created successfully</t>
        </is>
      </c>
      <c r="D1087" s="3">
        <f>IFERROR(__xludf.DUMMYFUNCTION("GOOGLETRANSLATE(B1087,""vi"",""km"")"),"ការបញ្ជាទិញត្រូវបានបង្កើតដោយជោគជ័យ!")</f>
        <v/>
      </c>
      <c r="E1087" s="3" t="inlineStr">
        <is>
          <t>បង្កើតបុងបញ្ញើបានជោគជ័យ!</t>
        </is>
      </c>
      <c r="F1087" s="3" t="n"/>
      <c r="G1087" s="3" t="inlineStr">
        <is>
          <t>បង្កើតបុងបញ្ញើបានជោគជ័យ!</t>
        </is>
      </c>
      <c r="H1087" t="inlineStr">
        <is>
          <t>បង្កើតបុងបញ្ញើបានជោគជ័យ!</t>
        </is>
      </c>
      <c r="I1087" s="217" t="inlineStr">
        <is>
          <t>"taoDon.orderSuccess": "បង្កើតបុងបញ្ញើបានជោគជ័យ!",</t>
        </is>
      </c>
      <c r="N1087" s="3" t="inlineStr">
        <is>
          <t>បង្កើតបញ្ជីជោគជ័យ!</t>
        </is>
      </c>
    </row>
    <row r="1088" ht="15.75" customHeight="1" s="305">
      <c r="A1088" s="3" t="inlineStr">
        <is>
          <t>taoDon.orderFailed</t>
        </is>
      </c>
      <c r="B1088" s="3" t="inlineStr">
        <is>
          <t>Tạo đơn thất bại</t>
        </is>
      </c>
      <c r="C1088" s="3" t="inlineStr">
        <is>
          <t>Fail to create order</t>
        </is>
      </c>
      <c r="D1088" s="3">
        <f>IFERROR(__xludf.DUMMYFUNCTION("GOOGLETRANSLATE(B1088,""vi"",""km"")"),"ការបង្កើតការបញ្ជាទិញបានបរាជ័យ។")</f>
        <v/>
      </c>
      <c r="E1088" s="3" t="inlineStr">
        <is>
          <t>បង្កើតបុងបញ្ញើបរាជ័យ</t>
        </is>
      </c>
      <c r="F1088" s="3" t="n"/>
      <c r="G1088" s="3" t="inlineStr">
        <is>
          <t>បង្កើតបុងបញ្ញើបរាជ័យ</t>
        </is>
      </c>
      <c r="H1088" t="inlineStr">
        <is>
          <t>បង្កើតបុងបញ្ញើបរាជ័យ</t>
        </is>
      </c>
      <c r="I1088" s="217" t="inlineStr">
        <is>
          <t>"taoDon.orderFailed": "បង្កើតបុងបញ្ញើបរាជ័យ",</t>
        </is>
      </c>
      <c r="N1088" s="3" t="inlineStr">
        <is>
          <t>បង្កើតបញ្ជីបរាជ័យ</t>
        </is>
      </c>
    </row>
    <row r="1089" ht="15.75" customHeight="1" s="305">
      <c r="A1089" s="3" t="inlineStr">
        <is>
          <t>KiemKe.titleCreateInventory</t>
        </is>
      </c>
      <c r="B1089" s="3" t="inlineStr">
        <is>
          <t>Tạo kiểm kê</t>
        </is>
      </c>
      <c r="C1089" s="3" t="inlineStr">
        <is>
          <t>Create inventory checklist</t>
        </is>
      </c>
      <c r="D1089" s="3">
        <f>IFERROR(__xludf.DUMMYFUNCTION("GOOGLETRANSLATE(B1089,""vi"",""km"")"),"បង្កើត​សារពើភ័ណ្ឌ")</f>
        <v/>
      </c>
      <c r="E1089" s="3" t="inlineStr">
        <is>
          <t>បង្កើតការត្រួតពិនិត្យ</t>
        </is>
      </c>
      <c r="F1089" s="3" t="n"/>
      <c r="G1089" s="3" t="inlineStr">
        <is>
          <t>បង្កើតការត្រួតពិនិត្យ</t>
        </is>
      </c>
      <c r="H1089" t="inlineStr">
        <is>
          <t>បង្កើតការត្រួតពិនិត្យ</t>
        </is>
      </c>
      <c r="I1089" s="217" t="inlineStr">
        <is>
          <t>"KiemKe.titleCreateInventory": "បង្កើតការត្រួតពិនិត្យ",</t>
        </is>
      </c>
      <c r="N1089" s="163" t="inlineStr">
        <is>
          <t>បង្កើតបញ្ជីត្រួតពិនិត្យសារពើភ័ណ្ឌ</t>
        </is>
      </c>
    </row>
    <row r="1090" ht="15.75" customHeight="1" s="305">
      <c r="A1090" s="3" t="inlineStr">
        <is>
          <t>home.createPackage</t>
        </is>
      </c>
      <c r="B1090" s="3" t="inlineStr">
        <is>
          <t>Tạo kiện</t>
        </is>
      </c>
      <c r="C1090" s="143" t="inlineStr">
        <is>
          <t>Create package</t>
        </is>
      </c>
      <c r="D1090" s="3">
        <f>IFERROR(__xludf.DUMMYFUNCTION("GOOGLETRANSLATE(B1090,""vi"",""km"")"),"បង្កើតលក្ខខណ្ឌ")</f>
        <v/>
      </c>
      <c r="E1090" s="3" t="inlineStr">
        <is>
          <t>បង្កើតកញ្ចប់អីវ៉ាន់</t>
        </is>
      </c>
      <c r="F1090" s="3" t="n"/>
      <c r="G1090" s="3" t="inlineStr">
        <is>
          <t>បង្កើតកញ្ចប់អីវ៉ាន់</t>
        </is>
      </c>
      <c r="H1090" t="inlineStr">
        <is>
          <t>បង្កើតកញ្ចប់អីវ៉ាន់</t>
        </is>
      </c>
      <c r="I1090" s="217" t="inlineStr">
        <is>
          <t>"home.createPackage": "បង្កើតកញ្ចប់អីវ៉ាន់",</t>
        </is>
      </c>
      <c r="N1090" s="3" t="inlineStr"/>
    </row>
    <row r="1091" ht="15.75" customHeight="1" s="305">
      <c r="A1091" s="3" t="inlineStr">
        <is>
          <t>taoKien.taoKienHang</t>
        </is>
      </c>
      <c r="B1091" s="3" t="inlineStr">
        <is>
          <t>Tạo kiện hàng</t>
        </is>
      </c>
      <c r="C1091" s="3" t="inlineStr">
        <is>
          <t>Create package</t>
        </is>
      </c>
      <c r="D1091" s="3">
        <f>IFERROR(__xludf.DUMMYFUNCTION("GOOGLETRANSLATE(B1091,""vi"",""km"")"),"បង្កើតកញ្ចប់មួយ")</f>
        <v/>
      </c>
      <c r="E1091" s="3" t="inlineStr">
        <is>
          <t>បង្កើតកញ្ចប់អីវ៉ាន់</t>
        </is>
      </c>
      <c r="F1091" s="3" t="n"/>
      <c r="G1091" s="3" t="inlineStr">
        <is>
          <t>បង្កើតកញ្ចប់អីវ៉ាន់</t>
        </is>
      </c>
      <c r="H1091" t="inlineStr">
        <is>
          <t>បង្កើតកញ្ចប់អីវ៉ាន់</t>
        </is>
      </c>
      <c r="I1091" s="217" t="inlineStr">
        <is>
          <t>"taoKien.taoKienHang": "បង្កើតកញ្ចប់អីវ៉ាន់",</t>
        </is>
      </c>
      <c r="N1091" s="3" t="inlineStr"/>
    </row>
    <row r="1092" ht="15.75" customHeight="1" s="305">
      <c r="A1092" s="3" t="inlineStr">
        <is>
          <t>taoKien.taoKienThanhCong</t>
        </is>
      </c>
      <c r="B1092" s="3" t="inlineStr">
        <is>
          <t>Tạo kiện thành công</t>
        </is>
      </c>
      <c r="C1092" s="3" t="inlineStr">
        <is>
          <t>Package created successfully</t>
        </is>
      </c>
      <c r="D1092" s="3">
        <f>IFERROR(__xludf.DUMMYFUNCTION("GOOGLETRANSLATE(B1092,""vi"",""km"")"),"ការបង្កើតដោយជោគជ័យ")</f>
        <v/>
      </c>
      <c r="E1092" s="3" t="inlineStr">
        <is>
          <t>បង្កើតកញ្ចប់អីវ៉ាន់បានជោគជ័យ</t>
        </is>
      </c>
      <c r="F1092" s="3" t="n"/>
      <c r="G1092" s="3" t="inlineStr">
        <is>
          <t>បង្កើតកញ្ចប់អីវ៉ាន់បានជោគជ័យ</t>
        </is>
      </c>
      <c r="H1092" t="inlineStr">
        <is>
          <t>បង្កើតកញ្ចប់អីវ៉ាន់បានជោគជ័យ</t>
        </is>
      </c>
      <c r="I1092" s="217" t="inlineStr">
        <is>
          <t>"taoKien.taoKienThanhCong": "បង្កើតកញ្ចប់អីវ៉ាន់បានជោគជ័យ",</t>
        </is>
      </c>
      <c r="N1092" s="3" t="inlineStr"/>
    </row>
    <row r="1093" ht="15.75" customHeight="1" s="305">
      <c r="A1093" s="3" t="inlineStr">
        <is>
          <t>banGiao.btnCreate</t>
        </is>
      </c>
      <c r="B1093" s="3" t="inlineStr">
        <is>
          <t>Tạo mới</t>
        </is>
      </c>
      <c r="C1093" s="3" t="inlineStr">
        <is>
          <t>Create</t>
        </is>
      </c>
      <c r="D1093" s="3">
        <f>IFERROR(__xludf.DUMMYFUNCTION("GOOGLETRANSLATE(B1093,""vi"",""km"")"),"បង្កើតថ្មី")</f>
        <v/>
      </c>
      <c r="E1093" s="3" t="inlineStr">
        <is>
          <t>បង្កើតថ្មី</t>
        </is>
      </c>
      <c r="F1093" s="3" t="n"/>
      <c r="G1093" s="3" t="inlineStr">
        <is>
          <t>បង្កើតថ្មី</t>
        </is>
      </c>
      <c r="H1093" t="inlineStr">
        <is>
          <t>បង្កើតថ្មី</t>
        </is>
      </c>
      <c r="I1093" s="217" t="inlineStr">
        <is>
          <t>"banGiao.btnCreate": "បង្កើតថ្មី",</t>
        </is>
      </c>
      <c r="N1093" s="3" t="inlineStr">
        <is>
          <t>បង្កើត</t>
        </is>
      </c>
    </row>
    <row r="1094" ht="15.75" customHeight="1" s="305">
      <c r="A1094" s="3" t="inlineStr">
        <is>
          <t>banGiao.created</t>
        </is>
      </c>
      <c r="B1094" s="3" t="inlineStr">
        <is>
          <t>Tạo mới</t>
        </is>
      </c>
      <c r="C1094" s="3" t="inlineStr">
        <is>
          <t>New</t>
        </is>
      </c>
      <c r="D1094" s="3">
        <f>IFERROR(__xludf.DUMMYFUNCTION("GOOGLETRANSLATE(B1094,""vi"",""km"")"),"បង្កើតថ្មី")</f>
        <v/>
      </c>
      <c r="E1094" s="3" t="inlineStr">
        <is>
          <t>បង្កើតថ្មី</t>
        </is>
      </c>
      <c r="F1094" s="3" t="n"/>
      <c r="G1094" s="3" t="inlineStr">
        <is>
          <t>បង្កើតថ្មី</t>
        </is>
      </c>
      <c r="H1094" t="inlineStr">
        <is>
          <t>បង្កើតថ្មី</t>
        </is>
      </c>
      <c r="I1094" s="217" t="inlineStr">
        <is>
          <t>"banGiao.created": "បង្កើតថ្មី",</t>
        </is>
      </c>
      <c r="N1094" s="3" t="inlineStr"/>
    </row>
    <row r="1095" ht="15.75" customHeight="1" s="305">
      <c r="A1095" s="3" t="inlineStr">
        <is>
          <t>debit.status_new</t>
        </is>
      </c>
      <c r="B1095" s="3" t="inlineStr">
        <is>
          <t>Tạo mới</t>
        </is>
      </c>
      <c r="C1095" s="3" t="inlineStr">
        <is>
          <t>Created</t>
        </is>
      </c>
      <c r="D1095" s="3">
        <f>IFERROR(__xludf.DUMMYFUNCTION("GOOGLETRANSLATE(B1095,""vi"",""km"")"),"បង្កើតថ្មី")</f>
        <v/>
      </c>
      <c r="E1095" s="3" t="inlineStr">
        <is>
          <t>បង្កើតថ្មី</t>
        </is>
      </c>
      <c r="F1095" s="3" t="n"/>
      <c r="G1095" s="3" t="inlineStr">
        <is>
          <t>បង្កើតថ្មី</t>
        </is>
      </c>
      <c r="H1095" t="inlineStr">
        <is>
          <t>បង្កើតថ្មី</t>
        </is>
      </c>
      <c r="I1095" s="217" t="inlineStr">
        <is>
          <t>"debit.status_new": "បង្កើតថ្មី",</t>
        </is>
      </c>
      <c r="N1095" s="3" t="inlineStr">
        <is>
          <t>បង្កើតថ្មី</t>
        </is>
      </c>
    </row>
    <row r="1096" ht="15.75" customHeight="1" s="305">
      <c r="A1096" s="3" t="inlineStr">
        <is>
          <t>mainStatus.100</t>
        </is>
      </c>
      <c r="B1096" s="3" t="inlineStr">
        <is>
          <t>Tạo mới</t>
        </is>
      </c>
      <c r="C1096" s="3" t="inlineStr">
        <is>
          <t>New</t>
        </is>
      </c>
      <c r="D1096" s="3">
        <f>IFERROR(__xludf.DUMMYFUNCTION("GOOGLETRANSLATE(B1096,""vi"",""km"")"),"បង្កើតថ្មី")</f>
        <v/>
      </c>
      <c r="E1096" s="3" t="inlineStr">
        <is>
          <t>បង្កើតថ្មី</t>
        </is>
      </c>
      <c r="F1096" s="3" t="n"/>
      <c r="G1096" s="3" t="inlineStr">
        <is>
          <t>បង្កើតថ្មី</t>
        </is>
      </c>
      <c r="H1096" t="inlineStr">
        <is>
          <t>បង្កើតថ្មី</t>
        </is>
      </c>
      <c r="I1096" s="217" t="inlineStr">
        <is>
          <t>"mainStatus.100": "បង្កើតថ្មី",</t>
        </is>
      </c>
      <c r="N1096" s="3" t="inlineStr">
        <is>
          <t>បង្កើតថ្មី</t>
        </is>
      </c>
    </row>
    <row r="1097" ht="15.75" customHeight="1" s="305">
      <c r="A1097" s="3" t="inlineStr">
        <is>
          <t>PhanCong.titleCreateAssign</t>
        </is>
      </c>
      <c r="B1097" s="3" t="inlineStr">
        <is>
          <t>Tạo phân công</t>
        </is>
      </c>
      <c r="C1097" s="3" t="inlineStr">
        <is>
          <t>Give assignment</t>
        </is>
      </c>
      <c r="D1097" s="3">
        <f>IFERROR(__xludf.DUMMYFUNCTION("GOOGLETRANSLATE(B1097,""vi"",""km"")"),"បង្កើតកិច្ចការ")</f>
        <v/>
      </c>
      <c r="E1097" s="3" t="inlineStr">
        <is>
          <t>បង្កើតការប្រគល់ការងារ</t>
        </is>
      </c>
      <c r="F1097" s="3" t="n"/>
      <c r="G1097" s="3" t="inlineStr">
        <is>
          <t>បង្កើតការប្រគល់ការងារ</t>
        </is>
      </c>
      <c r="H1097" t="inlineStr">
        <is>
          <t>បង្កើតការប្រគល់ការងារ</t>
        </is>
      </c>
      <c r="I1097" s="217" t="inlineStr">
        <is>
          <t>"PhanCong.titleCreateAssign": "បង្កើតការប្រគល់ការងារ",</t>
        </is>
      </c>
      <c r="N1097" s="3" t="inlineStr">
        <is>
          <t>បង្កើតការចែកចាយ</t>
        </is>
      </c>
    </row>
    <row r="1098" ht="15.75" customHeight="1" s="305">
      <c r="A1098" s="3" t="inlineStr">
        <is>
          <t>login.btnRegister</t>
        </is>
      </c>
      <c r="B1098" s="3" t="inlineStr">
        <is>
          <t>Tạo tài khoản</t>
        </is>
      </c>
      <c r="C1098" s="3" t="inlineStr">
        <is>
          <t>Create an account</t>
        </is>
      </c>
      <c r="D1098" s="3">
        <f>IFERROR(__xludf.DUMMYFUNCTION("GOOGLETRANSLATE(B1098,""vi"",""km"")"),"បង្កើតគណនីមួយ")</f>
        <v/>
      </c>
      <c r="E1098" s="3" t="inlineStr">
        <is>
          <t>បង្កើតគណនី</t>
        </is>
      </c>
      <c r="F1098" s="3" t="n"/>
      <c r="G1098" s="3" t="inlineStr">
        <is>
          <t>បង្កើតគណនី</t>
        </is>
      </c>
      <c r="H1098" t="inlineStr">
        <is>
          <t>បង្កើតគណនី</t>
        </is>
      </c>
      <c r="I1098" s="217" t="inlineStr">
        <is>
          <t>"login.btnRegister": "បង្កើតគណនី",</t>
        </is>
      </c>
      <c r="N1098" s="3" t="inlineStr">
        <is>
          <t>បង្កើតគណនី</t>
        </is>
      </c>
    </row>
    <row r="1099" ht="15.75" customHeight="1" s="305">
      <c r="A1099" s="3" t="inlineStr">
        <is>
          <t>common.all</t>
        </is>
      </c>
      <c r="B1099" s="3" t="inlineStr">
        <is>
          <t>Tất cả</t>
        </is>
      </c>
      <c r="C1099" s="3" t="inlineStr">
        <is>
          <t>All</t>
        </is>
      </c>
      <c r="D1099" s="3">
        <f>IFERROR(__xludf.DUMMYFUNCTION("GOOGLETRANSLATE(B1099,""vi"",""km"")"),"ទាំងអស់")</f>
        <v/>
      </c>
      <c r="E1099" s="3" t="inlineStr">
        <is>
          <t>ទាំងអស់</t>
        </is>
      </c>
      <c r="F1099" s="3" t="n"/>
      <c r="G1099" s="3" t="inlineStr">
        <is>
          <t>ទាំងអស់</t>
        </is>
      </c>
      <c r="H1099" t="inlineStr">
        <is>
          <t>ទាំងអស់</t>
        </is>
      </c>
      <c r="I1099" s="217" t="inlineStr">
        <is>
          <t>"common.all": "ទាំងអស់",</t>
        </is>
      </c>
      <c r="N1099" s="3" t="inlineStr">
        <is>
          <t>ទាំងអស់</t>
        </is>
      </c>
    </row>
    <row r="1100" ht="15.75" customHeight="1" s="305">
      <c r="A1100" s="3" t="inlineStr">
        <is>
          <t>banGiao.titleAll</t>
        </is>
      </c>
      <c r="B1100" s="3" t="inlineStr">
        <is>
          <t>Tất cả</t>
        </is>
      </c>
      <c r="C1100" s="3" t="inlineStr">
        <is>
          <t>All</t>
        </is>
      </c>
      <c r="D1100" s="3">
        <f>IFERROR(__xludf.DUMMYFUNCTION("GOOGLETRANSLATE(B1100,""vi"",""km"")"),"ទាំងអស់")</f>
        <v/>
      </c>
      <c r="E1100" s="3" t="inlineStr">
        <is>
          <t>ទាំងអស់</t>
        </is>
      </c>
      <c r="F1100" s="3" t="n"/>
      <c r="G1100" s="3" t="inlineStr">
        <is>
          <t>ទាំងអស់</t>
        </is>
      </c>
      <c r="H1100" t="inlineStr">
        <is>
          <t>ទាំងអស់</t>
        </is>
      </c>
      <c r="I1100" s="217" t="inlineStr">
        <is>
          <t>"banGiao.titleAll": "ទាំងអស់",</t>
        </is>
      </c>
      <c r="N1100" s="3" t="inlineStr">
        <is>
          <t>ទាំងអស់</t>
        </is>
      </c>
    </row>
    <row r="1101" ht="15.75" customHeight="1" s="305">
      <c r="A1101" s="3" t="inlineStr">
        <is>
          <t>PhanCong.titleAll</t>
        </is>
      </c>
      <c r="B1101" s="3" t="inlineStr">
        <is>
          <t>Tất cả</t>
        </is>
      </c>
      <c r="C1101" s="3" t="inlineStr">
        <is>
          <t>All</t>
        </is>
      </c>
      <c r="D1101" s="3">
        <f>IFERROR(__xludf.DUMMYFUNCTION("GOOGLETRANSLATE(B1101,""vi"",""km"")"),"ទាំងអស់")</f>
        <v/>
      </c>
      <c r="E1101" s="3" t="inlineStr">
        <is>
          <t>ទាំងអស់</t>
        </is>
      </c>
      <c r="F1101" s="3" t="n"/>
      <c r="G1101" s="3" t="inlineStr">
        <is>
          <t>ទាំងអស់</t>
        </is>
      </c>
      <c r="H1101" t="inlineStr">
        <is>
          <t>ទាំងអស់</t>
        </is>
      </c>
      <c r="I1101" s="217" t="inlineStr">
        <is>
          <t>"PhanCong.titleAll": "ទាំងអស់",</t>
        </is>
      </c>
      <c r="N1101" s="3" t="inlineStr">
        <is>
          <t>ទាំងអស់</t>
        </is>
      </c>
    </row>
    <row r="1102" ht="15.75" customHeight="1" s="305">
      <c r="A1102" s="3" t="inlineStr">
        <is>
          <t>inDon.all</t>
        </is>
      </c>
      <c r="B1102" s="3" t="inlineStr">
        <is>
          <t>Tất cả</t>
        </is>
      </c>
      <c r="C1102" s="3" t="inlineStr">
        <is>
          <t>All</t>
        </is>
      </c>
      <c r="D1102" s="3">
        <f>IFERROR(__xludf.DUMMYFUNCTION("GOOGLETRANSLATE(B1102,""vi"",""km"")"),"ទាំងអស់")</f>
        <v/>
      </c>
      <c r="E1102" s="3" t="inlineStr">
        <is>
          <t>ទាំងអស់</t>
        </is>
      </c>
      <c r="F1102" s="3" t="n"/>
      <c r="G1102" s="3" t="inlineStr">
        <is>
          <t>ទាំងអស់</t>
        </is>
      </c>
      <c r="H1102" t="inlineStr">
        <is>
          <t>ទាំងអស់</t>
        </is>
      </c>
      <c r="I1102" s="217" t="inlineStr">
        <is>
          <t>"inDon.all": "ទាំងអស់",</t>
        </is>
      </c>
      <c r="N1102" s="3" t="inlineStr">
        <is>
          <t>ទាំងអស់</t>
        </is>
      </c>
    </row>
    <row r="1103" ht="15.75" customHeight="1" s="305">
      <c r="A1103" s="3" t="inlineStr">
        <is>
          <t>tms.tatCa</t>
        </is>
      </c>
      <c r="B1103" s="3" t="inlineStr">
        <is>
          <t>Tất cả</t>
        </is>
      </c>
      <c r="C1103" s="3" t="inlineStr">
        <is>
          <t>All</t>
        </is>
      </c>
      <c r="D1103" s="3">
        <f>IFERROR(__xludf.DUMMYFUNCTION("GOOGLETRANSLATE(B1103,""vi"",""km"")"),"ទាំងអស់")</f>
        <v/>
      </c>
      <c r="E1103" s="3" t="inlineStr">
        <is>
          <t>ទាំងអស់</t>
        </is>
      </c>
      <c r="F1103" s="3" t="n"/>
      <c r="G1103" s="3" t="inlineStr">
        <is>
          <t>ទាំងអស់</t>
        </is>
      </c>
      <c r="H1103" t="inlineStr">
        <is>
          <t>ទាំងអស់</t>
        </is>
      </c>
      <c r="I1103" s="217" t="inlineStr">
        <is>
          <t>"tms.tatCa": "ទាំងអស់",</t>
        </is>
      </c>
      <c r="N1103" s="3" t="inlineStr"/>
    </row>
    <row r="1104" ht="15.75" customHeight="1" s="305">
      <c r="A1104" s="3" t="inlineStr">
        <is>
          <t>debit.all_code</t>
        </is>
      </c>
      <c r="B1104" s="3" t="inlineStr">
        <is>
          <t>Tất cả mã KH</t>
        </is>
      </c>
      <c r="C1104" s="3" t="inlineStr">
        <is>
          <t>Tất cả mã KH</t>
        </is>
      </c>
      <c r="D1104" s="3">
        <f>IFERROR(__xludf.DUMMYFUNCTION("GOOGLETRANSLATE(B1104,""vi"",""km"")"),"លេខកូដអតិថិជនទាំងអស់")</f>
        <v/>
      </c>
      <c r="E1104" s="3" t="inlineStr">
        <is>
          <t>លេខកូដអតិថិជនទាំងអស់</t>
        </is>
      </c>
      <c r="F1104" s="3" t="n"/>
      <c r="G1104" s="3" t="inlineStr">
        <is>
          <t>លេខកូដអតិថិជនទាំងអស់</t>
        </is>
      </c>
      <c r="H1104" t="inlineStr">
        <is>
          <t>លេខកូដអតិថិជនទាំងអស់</t>
        </is>
      </c>
      <c r="I1104" s="217" t="inlineStr">
        <is>
          <t>"debit.all_code": "លេខកូដអតិថិជនទាំងអស់",</t>
        </is>
      </c>
      <c r="N1104" s="3" t="inlineStr">
        <is>
          <t>Tất cả mã KH</t>
        </is>
      </c>
    </row>
    <row r="1105" ht="15.75" customHeight="1" s="305">
      <c r="A1105" s="3" t="inlineStr">
        <is>
          <t>banGiao.tatCaLoaiTaiKien</t>
        </is>
      </c>
      <c r="B1105" s="3" t="inlineStr">
        <is>
          <t>Tất cả tải/kiện</t>
        </is>
      </c>
      <c r="C1105" s="3" t="inlineStr">
        <is>
          <t>All sack/package types</t>
        </is>
      </c>
      <c r="D1105" s="3">
        <f>IFERROR(__xludf.DUMMYFUNCTION("GOOGLETRANSLATE(B1105,""vi"",""km"")"),"បន្ទុក/កញ្ចប់ទាំងអស់")</f>
        <v/>
      </c>
      <c r="E1105" s="3" t="inlineStr">
        <is>
          <t>ជើងដឹក/កញ្ចប់អីវ៉ាន់ទាំងអស់</t>
        </is>
      </c>
      <c r="F1105" s="3" t="n"/>
      <c r="G1105" s="3" t="inlineStr">
        <is>
          <t>កញ្ចប់ទំនិញ/អីវ៉ាន់ទាំងអស់</t>
        </is>
      </c>
      <c r="H1105" t="inlineStr">
        <is>
          <t>កញ្ចប់ទំនិញ/អីវ៉ាន់ទាំងអស់</t>
        </is>
      </c>
      <c r="I1105" s="217" t="inlineStr">
        <is>
          <t>"banGiao.tatCaLoaiTaiKien": "កញ្ចប់ទំនិញ/អីវ៉ាន់ទាំងអស់",</t>
        </is>
      </c>
      <c r="N1105" s="3" t="inlineStr"/>
    </row>
    <row r="1106" ht="15.75" customHeight="1" s="305">
      <c r="A1106" s="3" t="inlineStr">
        <is>
          <t>nhanLai.statusAll</t>
        </is>
      </c>
      <c r="B1106" s="3" t="inlineStr">
        <is>
          <t>Tất cả trạng thái</t>
        </is>
      </c>
      <c r="C1106" s="3" t="inlineStr">
        <is>
          <t>All status</t>
        </is>
      </c>
      <c r="D1106" s="3">
        <f>IFERROR(__xludf.DUMMYFUNCTION("GOOGLETRANSLATE(B1106,""vi"",""km"")"),"រដ្ឋទាំងអស់")</f>
        <v/>
      </c>
      <c r="E1106" s="3" t="inlineStr">
        <is>
          <t>ស្ថានភាពទាំងអស់</t>
        </is>
      </c>
      <c r="F1106" s="3" t="n"/>
      <c r="G1106" s="3" t="inlineStr">
        <is>
          <t>ស្ថានភាពទាំងអស់</t>
        </is>
      </c>
      <c r="H1106" t="inlineStr">
        <is>
          <t>ស្ថានភាពទាំងអស់</t>
        </is>
      </c>
      <c r="I1106" s="217" t="inlineStr">
        <is>
          <t>"nhanLai.statusAll": "ស្ថានភាពទាំងអស់",</t>
        </is>
      </c>
      <c r="N1106" s="163" t="inlineStr">
        <is>
          <t>ស្ថានភាពទាំងអស់។</t>
        </is>
      </c>
    </row>
    <row r="1107" ht="15.75" customHeight="1" s="305">
      <c r="A1107" s="3" t="inlineStr">
        <is>
          <t>GiaoHang.titleAllStatus</t>
        </is>
      </c>
      <c r="B1107" s="3" t="inlineStr">
        <is>
          <t>Tất cả trạng thái</t>
        </is>
      </c>
      <c r="C1107" s="3" t="inlineStr">
        <is>
          <t>All status</t>
        </is>
      </c>
      <c r="D1107" s="3">
        <f>IFERROR(__xludf.DUMMYFUNCTION("GOOGLETRANSLATE(B1107,""vi"",""km"")"),"រដ្ឋទាំងអស់")</f>
        <v/>
      </c>
      <c r="E1107" s="3" t="inlineStr">
        <is>
          <t>ស្ថានភាពទាំងអស់</t>
        </is>
      </c>
      <c r="F1107" s="3" t="n"/>
      <c r="G1107" s="3" t="inlineStr">
        <is>
          <t>ស្ថានភាពទាំងអស់</t>
        </is>
      </c>
      <c r="H1107" t="inlineStr">
        <is>
          <t>ស្ថានភាពទាំងអស់</t>
        </is>
      </c>
      <c r="I1107" s="217" t="inlineStr">
        <is>
          <t>"GiaoHang.titleAllStatus": "ស្ថានភាពទាំងអស់",</t>
        </is>
      </c>
      <c r="N1107" s="3" t="inlineStr">
        <is>
          <t>គ្រប់ស្ថានភាព</t>
        </is>
      </c>
    </row>
    <row r="1108" ht="15.75" customHeight="1" s="305">
      <c r="A1108" s="3" t="inlineStr">
        <is>
          <t>taoDon.addressName</t>
        </is>
      </c>
      <c r="B1108" s="3" t="inlineStr">
        <is>
          <t>Tên địa chỉ</t>
        </is>
      </c>
      <c r="C1108" s="3" t="inlineStr">
        <is>
          <t>Warehouse name</t>
        </is>
      </c>
      <c r="D1108" s="3">
        <f>IFERROR(__xludf.DUMMYFUNCTION("GOOGLETRANSLATE(B1108,""vi"",""km"")"),"ឈ្មោះអាសយដ្ឋាន")</f>
        <v/>
      </c>
      <c r="E1108" s="3" t="inlineStr">
        <is>
          <t>ឈ្មោះ អាសយដ្ឋាន</t>
        </is>
      </c>
      <c r="F1108" s="3" t="n"/>
      <c r="G1108" s="3" t="inlineStr">
        <is>
          <t>ឈ្មោះ អាសយដ្ឋាន</t>
        </is>
      </c>
      <c r="H1108" t="inlineStr">
        <is>
          <t>ឈ្មោះ អាសយដ្ឋាន</t>
        </is>
      </c>
      <c r="I1108" s="217" t="inlineStr">
        <is>
          <t>"taoDon.addressName": "ឈ្មោះ អាសយដ្ឋាន",</t>
        </is>
      </c>
      <c r="N1108" s="3" t="inlineStr">
        <is>
          <t>ឈ្មោះអាសយដ្ឋាន</t>
        </is>
      </c>
    </row>
    <row r="1109" ht="15.75" customHeight="1" s="305">
      <c r="A1109" s="3" t="inlineStr">
        <is>
          <t>taoDon.addressNameRequired</t>
        </is>
      </c>
      <c r="B1109" s="3" t="inlineStr">
        <is>
          <t>Tên địa chỉ không được để trống</t>
        </is>
      </c>
      <c r="C1109" s="3" t="inlineStr">
        <is>
          <t>Warehouse name is required</t>
        </is>
      </c>
      <c r="D1109" s="3">
        <f>IFERROR(__xludf.DUMMYFUNCTION("GOOGLETRANSLATE(B1109,""vi"",""km"")"),"វាលអាសយដ្ឋានមិនអាចទុកចោលទទេបានទេ។")</f>
        <v/>
      </c>
      <c r="E1109" s="3" t="inlineStr">
        <is>
          <t>ឈ្មោះ អាសយដ្ឋានមិនអាចទុកចន្លោះបានទេ</t>
        </is>
      </c>
      <c r="F1109" s="3" t="n"/>
      <c r="G1109" s="3" t="inlineStr">
        <is>
          <t>ឈ្មោះ អាសយដ្ឋានមិនអាចទុកចន្លោះបានទេ</t>
        </is>
      </c>
      <c r="H1109" t="inlineStr">
        <is>
          <t>ឈ្មោះ អាសយដ្ឋានមិនអាចទុកចន្លោះបានទេ</t>
        </is>
      </c>
      <c r="I1109" s="217" t="inlineStr">
        <is>
          <t>"taoDon.addressNameRequired": "ឈ្មោះ អាសយដ្ឋានមិនអាចទុកចន្លោះបានទេ",</t>
        </is>
      </c>
      <c r="N1109" s="3" t="inlineStr">
        <is>
          <t>ឈ្មោះអាសយដ្ឋានមិនអាចទទេបានទេ</t>
        </is>
      </c>
    </row>
    <row r="1110" ht="15.75" customHeight="1" s="305">
      <c r="A1110" s="3" t="inlineStr">
        <is>
          <t>GiaoHang.titleNameOrder</t>
        </is>
      </c>
      <c r="B1110" s="3" t="inlineStr">
        <is>
          <t>Tên hàng</t>
        </is>
      </c>
      <c r="C1110" s="3" t="inlineStr">
        <is>
          <t>Freight</t>
        </is>
      </c>
      <c r="D1110" s="3">
        <f>IFERROR(__xludf.DUMMYFUNCTION("GOOGLETRANSLATE(B1110,""vi"",""km"")"),"ឈ្មោះផលិតផល")</f>
        <v/>
      </c>
      <c r="E1110" s="3" t="inlineStr">
        <is>
          <t>ឈ្មោះអីវ៉ាន់</t>
        </is>
      </c>
      <c r="F1110" s="3" t="n"/>
      <c r="G1110" s="3" t="inlineStr">
        <is>
          <t>ឈ្មោះអីវ៉ាន់</t>
        </is>
      </c>
      <c r="H1110" t="inlineStr">
        <is>
          <t>ឈ្មោះអីវ៉ាន់</t>
        </is>
      </c>
      <c r="I1110" s="217" t="inlineStr">
        <is>
          <t>"GiaoHang.titleNameOrder": "ឈ្មោះអីវ៉ាន់",</t>
        </is>
      </c>
      <c r="N1110" s="3" t="inlineStr">
        <is>
          <t>ឈ្មោះទំនិញ</t>
        </is>
      </c>
    </row>
    <row r="1111" ht="15.75" customHeight="1" s="305">
      <c r="A1111" s="3" t="inlineStr">
        <is>
          <t>GiaoHangNew.goodsName</t>
        </is>
      </c>
      <c r="B1111" s="3" t="inlineStr">
        <is>
          <t>Tên hàng</t>
        </is>
      </c>
      <c r="C1111" s="3" t="inlineStr">
        <is>
          <t>Goods name</t>
        </is>
      </c>
      <c r="D1111" s="3">
        <f>IFERROR(__xludf.DUMMYFUNCTION("GOOGLETRANSLATE(B1111,""vi"",""km"")"),"ឈ្មោះផលិតផល")</f>
        <v/>
      </c>
      <c r="E1111" s="3" t="inlineStr">
        <is>
          <t>ឈ្មោះអីវ៉ាន់</t>
        </is>
      </c>
      <c r="F1111" s="3" t="n"/>
      <c r="G1111" s="3" t="inlineStr">
        <is>
          <t>ឈ្មោះអីវ៉ាន់</t>
        </is>
      </c>
      <c r="H1111" t="inlineStr">
        <is>
          <t>ឈ្មោះអីវ៉ាន់</t>
        </is>
      </c>
      <c r="I1111" s="217" t="inlineStr">
        <is>
          <t>"GiaoHangNew.goodsName": "ឈ្មោះអីវ៉ាន់",</t>
        </is>
      </c>
      <c r="N1111" s="3" t="inlineStr"/>
    </row>
    <row r="1112" ht="15.75" customHeight="1" s="305">
      <c r="A1112" s="3" t="inlineStr">
        <is>
          <t>common.nameGoods</t>
        </is>
      </c>
      <c r="B1112" s="3" t="inlineStr">
        <is>
          <t>Tên hàng hoá</t>
        </is>
      </c>
      <c r="C1112" s="3" t="inlineStr">
        <is>
          <t>Goods</t>
        </is>
      </c>
      <c r="D1112" s="3">
        <f>IFERROR(__xludf.DUMMYFUNCTION("GOOGLETRANSLATE(B1112,""vi"",""km"")"),"ឈ្មោះផលិតផល")</f>
        <v/>
      </c>
      <c r="E1112" s="3" t="inlineStr">
        <is>
          <t>ឈ្មោះអីវ៉ាន់</t>
        </is>
      </c>
      <c r="F1112" s="3" t="n"/>
      <c r="G1112" s="3" t="inlineStr">
        <is>
          <t>ឈ្មោះអីវ៉ាន់</t>
        </is>
      </c>
      <c r="H1112" t="inlineStr">
        <is>
          <t>ឈ្មោះអីវ៉ាន់</t>
        </is>
      </c>
      <c r="I1112" s="217" t="inlineStr">
        <is>
          <t>"common.nameGoods": "ឈ្មោះអីវ៉ាន់",</t>
        </is>
      </c>
      <c r="N1112" s="3" t="inlineStr">
        <is>
          <t>ឈ្មោះទំនិញ</t>
        </is>
      </c>
    </row>
    <row r="1113" ht="15.75" customHeight="1" s="305">
      <c r="A1113" s="3" t="inlineStr">
        <is>
          <t>taoDon.goods</t>
        </is>
      </c>
      <c r="B1113" s="3" t="inlineStr">
        <is>
          <t>Tên hàng hoá</t>
        </is>
      </c>
      <c r="C1113" s="3" t="inlineStr">
        <is>
          <t>Goods</t>
        </is>
      </c>
      <c r="D1113" s="3">
        <f>IFERROR(__xludf.DUMMYFUNCTION("GOOGLETRANSLATE(B1113,""vi"",""km"")"),"ឈ្មោះផលិតផល")</f>
        <v/>
      </c>
      <c r="E1113" s="3" t="inlineStr">
        <is>
          <t>ឈ្មោះអីវ៉ាន់</t>
        </is>
      </c>
      <c r="F1113" s="3" t="n"/>
      <c r="G1113" s="3" t="inlineStr">
        <is>
          <t>ឈ្មោះអីវ៉ាន់</t>
        </is>
      </c>
      <c r="H1113" t="inlineStr">
        <is>
          <t>ឈ្មោះអីវ៉ាន់</t>
        </is>
      </c>
      <c r="I1113" s="217" t="inlineStr">
        <is>
          <t>"taoDon.goods": "ឈ្មោះអីវ៉ាន់",</t>
        </is>
      </c>
      <c r="N1113" s="3" t="inlineStr">
        <is>
          <t>ឈ្មោះទំនិញ</t>
        </is>
      </c>
    </row>
    <row r="1114" ht="15.75" customHeight="1" s="305">
      <c r="A1114" s="3" t="inlineStr">
        <is>
          <t>taoDon.goodsName</t>
        </is>
      </c>
      <c r="B1114" s="3" t="inlineStr">
        <is>
          <t>Tên hàng hoá</t>
        </is>
      </c>
      <c r="C1114" s="3" t="inlineStr">
        <is>
          <t>Goods</t>
        </is>
      </c>
      <c r="D1114" s="3">
        <f>IFERROR(__xludf.DUMMYFUNCTION("GOOGLETRANSLATE(B1114,""vi"",""km"")"),"ឈ្មោះផលិតផល")</f>
        <v/>
      </c>
      <c r="E1114" s="3" t="inlineStr">
        <is>
          <t>ឈ្មោះអីវ៉ាន់</t>
        </is>
      </c>
      <c r="F1114" s="3" t="n"/>
      <c r="G1114" s="3" t="inlineStr">
        <is>
          <t>ឈ្មោះអីវ៉ាន់</t>
        </is>
      </c>
      <c r="H1114" t="inlineStr">
        <is>
          <t>ឈ្មោះអីវ៉ាន់</t>
        </is>
      </c>
      <c r="I1114" s="217" t="inlineStr">
        <is>
          <t>"taoDon.goodsName": "ឈ្មោះអីវ៉ាន់",</t>
        </is>
      </c>
      <c r="N1114" s="3" t="inlineStr">
        <is>
          <t>ឈ្មោះទំនិញ</t>
        </is>
      </c>
    </row>
    <row r="1115" ht="15.75" customHeight="1" s="305">
      <c r="A1115" s="3" t="inlineStr">
        <is>
          <t>taoDon.goodsNameRequired</t>
        </is>
      </c>
      <c r="B1115" s="3" t="inlineStr">
        <is>
          <t>Tên hàng hóa không được để trống</t>
        </is>
      </c>
      <c r="C1115" s="3" t="inlineStr">
        <is>
          <t>Goods is required</t>
        </is>
      </c>
      <c r="D1115" s="3">
        <f>IFERROR(__xludf.DUMMYFUNCTION("GOOGLETRANSLATE(B1115,""vi"",""km"")"),"ឈ្មោះផលិតផលមិនអាចទុកចោលទទេបានទេ។")</f>
        <v/>
      </c>
      <c r="E1115" s="3" t="inlineStr">
        <is>
          <t>ឈ្មោះអីវ៉ាន់មិនអាចទុកទទេរបានទេ</t>
        </is>
      </c>
      <c r="F1115" s="3" t="n"/>
      <c r="G1115" s="3" t="inlineStr">
        <is>
          <t>ឈ្មោះអីវ៉ាន់មិនអាចទុកទទេរបានទេ</t>
        </is>
      </c>
      <c r="H1115" t="inlineStr">
        <is>
          <t>ឈ្មោះអីវ៉ាន់មិនអាចទុកទទេរបានទេ</t>
        </is>
      </c>
      <c r="I1115" s="217" t="inlineStr">
        <is>
          <t>"taoDon.goodsNameRequired": "ឈ្មោះអីវ៉ាន់មិនអាចទុកទទេរបានទេ",</t>
        </is>
      </c>
      <c r="N1115" s="3" t="inlineStr">
        <is>
          <t>ឈ្មោះទំនិញមិនអាចទទេបានទេ</t>
        </is>
      </c>
    </row>
    <row r="1116" ht="15.75" customHeight="1" s="305">
      <c r="A1116" s="3" t="inlineStr">
        <is>
          <t>debit.name_receiver</t>
        </is>
      </c>
      <c r="B1116" s="3" t="inlineStr">
        <is>
          <t>Tên người nhận</t>
        </is>
      </c>
      <c r="C1116" s="143" t="inlineStr">
        <is>
          <t>Receiver's full name</t>
        </is>
      </c>
      <c r="D1116" s="3">
        <f>IFERROR(__xludf.DUMMYFUNCTION("GOOGLETRANSLATE(B1116,""vi"",""km"")"),"ឈ្មោះអ្នកទទួល")</f>
        <v/>
      </c>
      <c r="E1116" s="3" t="inlineStr">
        <is>
          <t>ឈ្មោះអ្នកទទួល</t>
        </is>
      </c>
      <c r="F1116" s="3" t="n"/>
      <c r="G1116" s="3" t="inlineStr">
        <is>
          <t>ឈ្មោះអ្នកទទួល</t>
        </is>
      </c>
      <c r="H1116" t="inlineStr">
        <is>
          <t>ឈ្មោះអ្នកទទួល</t>
        </is>
      </c>
      <c r="I1116" s="217" t="inlineStr">
        <is>
          <t>"debit.name_receiver": "ឈ្មោះអ្នកទទួល",</t>
        </is>
      </c>
      <c r="N1116" s="3" t="inlineStr"/>
    </row>
    <row r="1117" ht="15.75" customHeight="1" s="305">
      <c r="A1117" s="3" t="inlineStr">
        <is>
          <t>banGiao.name/phoneEmployee</t>
        </is>
      </c>
      <c r="B1117" s="3" t="inlineStr">
        <is>
          <t>Tên/số điện thoại nhân viên</t>
        </is>
      </c>
      <c r="C1117" s="3" t="inlineStr">
        <is>
          <t xml:space="preserve">Employee's Name/Phone </t>
        </is>
      </c>
      <c r="D1117" s="3">
        <f>IFERROR(__xludf.DUMMYFUNCTION("GOOGLETRANSLATE(B1117,""vi"",""km"")"),"ឈ្មោះ/លេខទូរស័ព្ទរបស់បុគ្គលិក")</f>
        <v/>
      </c>
      <c r="E1117" s="3" t="inlineStr">
        <is>
          <t>ឈ្មោះ/លេខទូរស័ព្ទរបស់បុគ្គលិក</t>
        </is>
      </c>
      <c r="F1117" s="3" t="n"/>
      <c r="G1117" s="3" t="inlineStr">
        <is>
          <t>ឈ្មោះ/លេខទូរស័ព្ទរបស់បុគ្គលិក</t>
        </is>
      </c>
      <c r="H1117" t="inlineStr">
        <is>
          <t>ឈ្មោះ/លេខទូរស័ព្ទរបស់បុគ្គលិក</t>
        </is>
      </c>
      <c r="I1117" s="217" t="inlineStr">
        <is>
          <t>"banGiao.name/phoneEmployee": "ឈ្មោះ/លេខទូរស័ព្ទរបស់បុគ្គលិក",</t>
        </is>
      </c>
      <c r="N1117" s="3" t="inlineStr">
        <is>
          <t>ឈ្មោះ/លេខទូរស័ព្ទបុគ្គលិក</t>
        </is>
      </c>
    </row>
    <row r="1118" ht="15.75" customHeight="1" s="305">
      <c r="A1118" s="3" t="inlineStr">
        <is>
          <t>common.t1</t>
        </is>
      </c>
      <c r="B1118" s="3" t="inlineStr">
        <is>
          <t>Tháng 1</t>
        </is>
      </c>
      <c r="C1118" s="3" t="inlineStr">
        <is>
          <t>January</t>
        </is>
      </c>
      <c r="D1118" s="3">
        <f>IFERROR(__xludf.DUMMYFUNCTION("GOOGLETRANSLATE(B1118,""vi"",""km"")"),"ខែមករា")</f>
        <v/>
      </c>
      <c r="E1118" s="3" t="inlineStr">
        <is>
          <t>ខែមករា</t>
        </is>
      </c>
      <c r="F1118" s="3" t="n"/>
      <c r="G1118" s="3" t="inlineStr">
        <is>
          <t>ខែមករា</t>
        </is>
      </c>
      <c r="H1118" t="inlineStr">
        <is>
          <t>ខែមករា</t>
        </is>
      </c>
      <c r="I1118" s="217" t="inlineStr">
        <is>
          <t>"common.t1": "ខែមករា",</t>
        </is>
      </c>
      <c r="N1118" s="163" t="inlineStr">
        <is>
          <t>មករា</t>
        </is>
      </c>
    </row>
    <row r="1119" ht="15.75" customHeight="1" s="305">
      <c r="A1119" s="3" t="inlineStr">
        <is>
          <t>common.t10</t>
        </is>
      </c>
      <c r="B1119" s="3" t="inlineStr">
        <is>
          <t>Tháng 10</t>
        </is>
      </c>
      <c r="C1119" s="3" t="inlineStr">
        <is>
          <t>October</t>
        </is>
      </c>
      <c r="D1119" s="3">
        <f>IFERROR(__xludf.DUMMYFUNCTION("GOOGLETRANSLATE(B1119,""vi"",""km"")"),"ខែតុលា")</f>
        <v/>
      </c>
      <c r="E1119" s="3" t="inlineStr">
        <is>
          <t>ខែតុលា</t>
        </is>
      </c>
      <c r="F1119" s="3" t="n"/>
      <c r="G1119" s="3" t="inlineStr">
        <is>
          <t>ខែតុលា</t>
        </is>
      </c>
      <c r="H1119" t="inlineStr">
        <is>
          <t>ខែតុលា</t>
        </is>
      </c>
      <c r="I1119" s="217" t="inlineStr">
        <is>
          <t>"common.t10": "ខែតុលា",</t>
        </is>
      </c>
      <c r="N1119" s="163" t="inlineStr">
        <is>
          <t>តុលា</t>
        </is>
      </c>
    </row>
    <row r="1120" ht="15.75" customHeight="1" s="305">
      <c r="A1120" s="3" t="inlineStr">
        <is>
          <t>common.t11</t>
        </is>
      </c>
      <c r="B1120" s="3" t="inlineStr">
        <is>
          <t>Tháng 11</t>
        </is>
      </c>
      <c r="C1120" s="3" t="inlineStr">
        <is>
          <t>November</t>
        </is>
      </c>
      <c r="D1120" s="3">
        <f>IFERROR(__xludf.DUMMYFUNCTION("GOOGLETRANSLATE(B1120,""vi"",""km"")"),"ខែវិច្ឆិកា")</f>
        <v/>
      </c>
      <c r="E1120" s="3" t="inlineStr">
        <is>
          <t>ខែវិច្ឆិកា</t>
        </is>
      </c>
      <c r="F1120" s="3" t="n"/>
      <c r="G1120" s="3" t="inlineStr">
        <is>
          <t>ខែវិច្ឆិកា</t>
        </is>
      </c>
      <c r="H1120" t="inlineStr">
        <is>
          <t>ខែវិច្ឆិកា</t>
        </is>
      </c>
      <c r="I1120" s="217" t="inlineStr">
        <is>
          <t>"common.t11": "ខែវិច្ឆិកា",</t>
        </is>
      </c>
      <c r="N1120" s="163" t="inlineStr">
        <is>
          <t>​វិច្ឆិកា</t>
        </is>
      </c>
    </row>
    <row r="1121" ht="15.75" customHeight="1" s="305">
      <c r="A1121" s="3" t="inlineStr">
        <is>
          <t>common.t12</t>
        </is>
      </c>
      <c r="B1121" s="3" t="inlineStr">
        <is>
          <t>Tháng 12</t>
        </is>
      </c>
      <c r="C1121" s="3" t="inlineStr">
        <is>
          <t>December</t>
        </is>
      </c>
      <c r="D1121" s="3">
        <f>IFERROR(__xludf.DUMMYFUNCTION("GOOGLETRANSLATE(B1121,""vi"",""km"")"),"ខែធ្នូ")</f>
        <v/>
      </c>
      <c r="E1121" s="3" t="inlineStr">
        <is>
          <t>ខែធ្នូ</t>
        </is>
      </c>
      <c r="F1121" s="3" t="n"/>
      <c r="G1121" s="3" t="inlineStr">
        <is>
          <t>ខែធ្នូ</t>
        </is>
      </c>
      <c r="H1121" t="inlineStr">
        <is>
          <t>ខែធ្នូ</t>
        </is>
      </c>
      <c r="I1121" s="217" t="inlineStr">
        <is>
          <t>"common.t12": "ខែធ្នូ",</t>
        </is>
      </c>
      <c r="N1121" s="163" t="inlineStr">
        <is>
          <t>​ធ្នូ</t>
        </is>
      </c>
    </row>
    <row r="1122" ht="15.75" customHeight="1" s="305">
      <c r="A1122" s="3" t="inlineStr">
        <is>
          <t>common.t2</t>
        </is>
      </c>
      <c r="B1122" s="3" t="inlineStr">
        <is>
          <t>Tháng 2</t>
        </is>
      </c>
      <c r="C1122" s="3" t="inlineStr">
        <is>
          <t>February</t>
        </is>
      </c>
      <c r="D1122" s="3">
        <f>IFERROR(__xludf.DUMMYFUNCTION("GOOGLETRANSLATE(B1122,""vi"",""km"")"),"ខែកុម្ភៈ")</f>
        <v/>
      </c>
      <c r="E1122" s="3" t="inlineStr">
        <is>
          <t>ខែកុម្ភៈ</t>
        </is>
      </c>
      <c r="F1122" s="3" t="n"/>
      <c r="G1122" s="3" t="inlineStr">
        <is>
          <t>ខែកុម្ភៈ</t>
        </is>
      </c>
      <c r="H1122" t="inlineStr">
        <is>
          <t>ខែកុម្ភៈ</t>
        </is>
      </c>
      <c r="I1122" s="217" t="inlineStr">
        <is>
          <t>"common.t2": "ខែកុម្ភៈ",</t>
        </is>
      </c>
      <c r="N1122" s="163" t="inlineStr">
        <is>
          <t>​កុម្ភៈ</t>
        </is>
      </c>
    </row>
    <row r="1123" ht="15.75" customHeight="1" s="305">
      <c r="A1123" s="3" t="inlineStr">
        <is>
          <t>common.t3</t>
        </is>
      </c>
      <c r="B1123" s="3" t="inlineStr">
        <is>
          <t>Tháng 3</t>
        </is>
      </c>
      <c r="C1123" s="3" t="inlineStr">
        <is>
          <t>March</t>
        </is>
      </c>
      <c r="D1123" s="3">
        <f>IFERROR(__xludf.DUMMYFUNCTION("GOOGLETRANSLATE(B1123,""vi"",""km"")"),"ខែមីនា")</f>
        <v/>
      </c>
      <c r="E1123" s="3" t="inlineStr">
        <is>
          <t>ខែមីនា</t>
        </is>
      </c>
      <c r="F1123" s="3" t="n"/>
      <c r="G1123" s="3" t="inlineStr">
        <is>
          <t>ខែមីនា</t>
        </is>
      </c>
      <c r="H1123" t="inlineStr">
        <is>
          <t>ខែមីនា</t>
        </is>
      </c>
      <c r="I1123" s="217" t="inlineStr">
        <is>
          <t>"common.t3": "ខែមីនា",</t>
        </is>
      </c>
      <c r="N1123" s="163" t="inlineStr">
        <is>
          <t>​មីនា</t>
        </is>
      </c>
    </row>
    <row r="1124" ht="15.75" customHeight="1" s="305">
      <c r="A1124" s="3" t="inlineStr">
        <is>
          <t>common.t4</t>
        </is>
      </c>
      <c r="B1124" s="3" t="inlineStr">
        <is>
          <t>Tháng 4</t>
        </is>
      </c>
      <c r="C1124" s="3" t="inlineStr">
        <is>
          <t>April</t>
        </is>
      </c>
      <c r="D1124" s="3">
        <f>IFERROR(__xludf.DUMMYFUNCTION("GOOGLETRANSLATE(B1124,""vi"",""km"")"),"ខែមេសា")</f>
        <v/>
      </c>
      <c r="E1124" s="3" t="inlineStr">
        <is>
          <t>ខែមេសា</t>
        </is>
      </c>
      <c r="F1124" s="3" t="n"/>
      <c r="G1124" s="3" t="inlineStr">
        <is>
          <t>ខែមេសា</t>
        </is>
      </c>
      <c r="H1124" t="inlineStr">
        <is>
          <t>ខែមេសា</t>
        </is>
      </c>
      <c r="I1124" s="217" t="inlineStr">
        <is>
          <t>"common.t4": "ខែមេសា",</t>
        </is>
      </c>
      <c r="N1124" s="163" t="inlineStr">
        <is>
          <t>មេសា</t>
        </is>
      </c>
    </row>
    <row r="1125" ht="15.75" customHeight="1" s="305">
      <c r="A1125" s="3" t="inlineStr">
        <is>
          <t>common.t5</t>
        </is>
      </c>
      <c r="B1125" s="3" t="inlineStr">
        <is>
          <t>Tháng 5</t>
        </is>
      </c>
      <c r="C1125" s="3" t="inlineStr">
        <is>
          <t>May</t>
        </is>
      </c>
      <c r="D1125" s="3">
        <f>IFERROR(__xludf.DUMMYFUNCTION("GOOGLETRANSLATE(B1125,""vi"",""km"")"),"ឧសភា")</f>
        <v/>
      </c>
      <c r="E1125" s="3" t="inlineStr">
        <is>
          <t>ខែឧសភា</t>
        </is>
      </c>
      <c r="F1125" s="3" t="n"/>
      <c r="G1125" s="3" t="inlineStr">
        <is>
          <t>ខែឧសភា</t>
        </is>
      </c>
      <c r="H1125" t="inlineStr">
        <is>
          <t>ខែឧសភា</t>
        </is>
      </c>
      <c r="I1125" s="217" t="inlineStr">
        <is>
          <t>"common.t5": "ខែឧសភា",</t>
        </is>
      </c>
      <c r="N1125" s="163" t="inlineStr">
        <is>
          <t>ឧសភា</t>
        </is>
      </c>
    </row>
    <row r="1126" ht="15.75" customHeight="1" s="305">
      <c r="A1126" s="3" t="inlineStr">
        <is>
          <t>common.t6</t>
        </is>
      </c>
      <c r="B1126" s="3" t="inlineStr">
        <is>
          <t>Tháng 6</t>
        </is>
      </c>
      <c r="C1126" s="3" t="inlineStr">
        <is>
          <t>June</t>
        </is>
      </c>
      <c r="D1126" s="3">
        <f>IFERROR(__xludf.DUMMYFUNCTION("GOOGLETRANSLATE(B1126,""vi"",""km"")"),"ខែមិថុនា")</f>
        <v/>
      </c>
      <c r="E1126" s="3" t="inlineStr">
        <is>
          <t>ខែមិថុនា</t>
        </is>
      </c>
      <c r="F1126" s="3" t="n"/>
      <c r="G1126" s="3" t="inlineStr">
        <is>
          <t>ខែមិថុនា</t>
        </is>
      </c>
      <c r="H1126" t="inlineStr">
        <is>
          <t>ខែមិថុនា</t>
        </is>
      </c>
      <c r="I1126" s="217" t="inlineStr">
        <is>
          <t>"common.t6": "ខែមិថុនា",</t>
        </is>
      </c>
      <c r="N1126" s="163" t="inlineStr">
        <is>
          <t>​មិថុនា</t>
        </is>
      </c>
    </row>
    <row r="1127" ht="15.75" customHeight="1" s="305">
      <c r="A1127" s="3" t="inlineStr">
        <is>
          <t>common.t7</t>
        </is>
      </c>
      <c r="B1127" s="3" t="inlineStr">
        <is>
          <t>Tháng 7</t>
        </is>
      </c>
      <c r="C1127" s="3" t="inlineStr">
        <is>
          <t>July</t>
        </is>
      </c>
      <c r="D1127" s="3">
        <f>IFERROR(__xludf.DUMMYFUNCTION("GOOGLETRANSLATE(B1127,""vi"",""km"")"),"ខែកក្កដា")</f>
        <v/>
      </c>
      <c r="E1127" s="3" t="inlineStr">
        <is>
          <t>ខែកក្កដា</t>
        </is>
      </c>
      <c r="F1127" s="3" t="n"/>
      <c r="G1127" s="3" t="inlineStr">
        <is>
          <t>ខែកក្កដា</t>
        </is>
      </c>
      <c r="H1127" t="inlineStr">
        <is>
          <t>ខែកក្កដា</t>
        </is>
      </c>
      <c r="I1127" s="217" t="inlineStr">
        <is>
          <t>"common.t7": "ខែកក្កដា",</t>
        </is>
      </c>
      <c r="N1127" s="163" t="inlineStr">
        <is>
          <t>​កក្កដា</t>
        </is>
      </c>
    </row>
    <row r="1128" ht="15.75" customHeight="1" s="305">
      <c r="A1128" s="3" t="inlineStr">
        <is>
          <t>common.t8</t>
        </is>
      </c>
      <c r="B1128" s="3" t="inlineStr">
        <is>
          <t>Tháng 8</t>
        </is>
      </c>
      <c r="C1128" s="3" t="inlineStr">
        <is>
          <t>August</t>
        </is>
      </c>
      <c r="D1128" s="3">
        <f>IFERROR(__xludf.DUMMYFUNCTION("GOOGLETRANSLATE(B1128,""vi"",""km"")"),"ខែសីហា")</f>
        <v/>
      </c>
      <c r="E1128" s="3" t="inlineStr">
        <is>
          <t>ខែសីហា</t>
        </is>
      </c>
      <c r="F1128" s="3" t="n"/>
      <c r="G1128" s="3" t="inlineStr">
        <is>
          <t>ខែសីហា</t>
        </is>
      </c>
      <c r="H1128" t="inlineStr">
        <is>
          <t>ខែសីហា</t>
        </is>
      </c>
      <c r="I1128" s="217" t="inlineStr">
        <is>
          <t>"common.t8": "ខែសីហា",</t>
        </is>
      </c>
      <c r="N1128" s="163" t="inlineStr">
        <is>
          <t>សីហា</t>
        </is>
      </c>
    </row>
    <row r="1129" ht="15.75" customHeight="1" s="305">
      <c r="A1129" s="3" t="inlineStr">
        <is>
          <t>common.t9</t>
        </is>
      </c>
      <c r="B1129" s="3" t="inlineStr">
        <is>
          <t>Tháng 9</t>
        </is>
      </c>
      <c r="C1129" s="3" t="inlineStr">
        <is>
          <t>September</t>
        </is>
      </c>
      <c r="D1129" s="3">
        <f>IFERROR(__xludf.DUMMYFUNCTION("GOOGLETRANSLATE(B1129,""vi"",""km"")"),"ខែកញ្ញា")</f>
        <v/>
      </c>
      <c r="E1129" s="3" t="inlineStr">
        <is>
          <t>ខែកញ្ញា</t>
        </is>
      </c>
      <c r="F1129" s="3" t="n"/>
      <c r="G1129" s="3" t="inlineStr">
        <is>
          <t>ខែកញ្ញា</t>
        </is>
      </c>
      <c r="H1129" t="inlineStr">
        <is>
          <t>ខែកញ្ញា</t>
        </is>
      </c>
      <c r="I1129" s="217" t="inlineStr">
        <is>
          <t>"common.t9": "ខែកញ្ញា",</t>
        </is>
      </c>
      <c r="N1129" s="163" t="inlineStr">
        <is>
          <t>​កញ្ញា</t>
        </is>
      </c>
    </row>
    <row r="1130" ht="15.75" customHeight="1" s="305">
      <c r="A1130" s="3" t="inlineStr">
        <is>
          <t>common.success</t>
        </is>
      </c>
      <c r="B1130" s="3" t="inlineStr">
        <is>
          <t>Thành công</t>
        </is>
      </c>
      <c r="C1130" s="3" t="inlineStr">
        <is>
          <t>Success</t>
        </is>
      </c>
      <c r="D1130" s="3">
        <f>IFERROR(__xludf.DUMMYFUNCTION("GOOGLETRANSLATE(B1130,""vi"",""km"")"),"ជោគជ័យ")</f>
        <v/>
      </c>
      <c r="E1130" s="3" t="inlineStr">
        <is>
          <t>បានជោគជ័យ</t>
        </is>
      </c>
      <c r="F1130" s="3" t="n"/>
      <c r="G1130" s="3" t="inlineStr">
        <is>
          <t>ជោគជ័យ</t>
        </is>
      </c>
      <c r="H1130" t="inlineStr">
        <is>
          <t>ជោគជ័យ</t>
        </is>
      </c>
      <c r="I1130" s="217" t="inlineStr">
        <is>
          <t>"common.success": "ជោគជ័យ",</t>
        </is>
      </c>
      <c r="N1130" s="3" t="inlineStr">
        <is>
          <t>ជោគជ័យ</t>
        </is>
      </c>
    </row>
    <row r="1131" ht="15.75" customHeight="1" s="305">
      <c r="A1131" s="3" t="inlineStr">
        <is>
          <t>common.successLC</t>
        </is>
      </c>
      <c r="B1131" s="3" t="inlineStr">
        <is>
          <t>thành công</t>
        </is>
      </c>
      <c r="C1131" s="3" t="inlineStr">
        <is>
          <t>Success</t>
        </is>
      </c>
      <c r="D1131" s="3">
        <f>IFERROR(__xludf.DUMMYFUNCTION("GOOGLETRANSLATE(B1131,""vi"",""km"")"),"ភាពជោគជ័យ")</f>
        <v/>
      </c>
      <c r="E1131" s="3" t="inlineStr">
        <is>
          <t>បានជោគជ័យ</t>
        </is>
      </c>
      <c r="F1131" s="3" t="n"/>
      <c r="G1131" s="3" t="inlineStr">
        <is>
          <t>បានជោគជ័យ</t>
        </is>
      </c>
      <c r="H1131" t="inlineStr">
        <is>
          <t>បានជោគជ័យ</t>
        </is>
      </c>
      <c r="I1131" s="217" t="inlineStr">
        <is>
          <t>"common.successLC": "បានជោគជ័យ",</t>
        </is>
      </c>
      <c r="N1131" s="3" t="inlineStr">
        <is>
          <t>ជោគជ័យ</t>
        </is>
      </c>
    </row>
    <row r="1132" ht="15.75" customHeight="1" s="305">
      <c r="A1132" s="3" t="inlineStr">
        <is>
          <t>common.successful</t>
        </is>
      </c>
      <c r="B1132" s="3" t="inlineStr">
        <is>
          <t>Thành công</t>
        </is>
      </c>
      <c r="C1132" s="3" t="inlineStr">
        <is>
          <t>Success</t>
        </is>
      </c>
      <c r="D1132" s="3">
        <f>IFERROR(__xludf.DUMMYFUNCTION("GOOGLETRANSLATE(B1132,""vi"",""km"")"),"ជោគជ័យ")</f>
        <v/>
      </c>
      <c r="E1132" s="3" t="inlineStr">
        <is>
          <t>បានជោគជ័យ</t>
        </is>
      </c>
      <c r="F1132" s="3" t="n"/>
      <c r="G1132" s="3" t="inlineStr">
        <is>
          <t>ជោគជ័យ</t>
        </is>
      </c>
      <c r="H1132" t="inlineStr">
        <is>
          <t>ជោគជ័យ</t>
        </is>
      </c>
      <c r="I1132" s="217" t="inlineStr">
        <is>
          <t>"common.successful": "ជោគជ័យ",</t>
        </is>
      </c>
      <c r="N1132" s="3" t="inlineStr">
        <is>
          <t>ជោគជ័យ</t>
        </is>
      </c>
    </row>
    <row r="1133" ht="15.75" customHeight="1" s="305">
      <c r="A1133" s="3" t="inlineStr">
        <is>
          <t>tongGiao.thanhCong</t>
        </is>
      </c>
      <c r="B1133" s="3" t="inlineStr">
        <is>
          <t>Thành công</t>
        </is>
      </c>
      <c r="C1133" s="3" t="inlineStr">
        <is>
          <t>Success</t>
        </is>
      </c>
      <c r="D1133" s="3">
        <f>IFERROR(__xludf.DUMMYFUNCTION("GOOGLETRANSLATE(B1133,""vi"",""km"")"),"ជោគជ័យ")</f>
        <v/>
      </c>
      <c r="E1133" s="3" t="inlineStr">
        <is>
          <t>បានជោគជ័យ</t>
        </is>
      </c>
      <c r="F1133" s="3" t="n"/>
      <c r="G1133" s="3" t="inlineStr">
        <is>
          <t>ជោគជ័យ</t>
        </is>
      </c>
      <c r="H1133" t="inlineStr">
        <is>
          <t>ជោគជ័យ</t>
        </is>
      </c>
      <c r="I1133" s="217" t="inlineStr">
        <is>
          <t>"tongGiao.thanhCong": "ជោគជ័យ",</t>
        </is>
      </c>
      <c r="N1133" s="3" t="inlineStr">
        <is>
          <t>ជោគជ័យ</t>
        </is>
      </c>
    </row>
    <row r="1134" ht="15.75" customHeight="1" s="305">
      <c r="A1134" s="3" t="inlineStr">
        <is>
          <t>change_password.success</t>
        </is>
      </c>
      <c r="B1134" s="3" t="inlineStr">
        <is>
          <t>Thành công</t>
        </is>
      </c>
      <c r="C1134" s="3" t="inlineStr">
        <is>
          <t>Success</t>
        </is>
      </c>
      <c r="D1134" s="3">
        <f>IFERROR(__xludf.DUMMYFUNCTION("GOOGLETRANSLATE(B1134,""vi"",""km"")"),"ជោគជ័យ")</f>
        <v/>
      </c>
      <c r="E1134" s="3" t="inlineStr">
        <is>
          <t>បានជោគជ័យ</t>
        </is>
      </c>
      <c r="F1134" s="3" t="n"/>
      <c r="G1134" s="3" t="inlineStr">
        <is>
          <t>ជោគជ័យ</t>
        </is>
      </c>
      <c r="H1134" t="inlineStr">
        <is>
          <t>ជោគជ័យ</t>
        </is>
      </c>
      <c r="I1134" s="217" t="inlineStr">
        <is>
          <t>"change_password.success": "ជោគជ័យ",</t>
        </is>
      </c>
      <c r="N1134" s="3" t="inlineStr">
        <is>
          <t>ជោគជ័យ</t>
        </is>
      </c>
    </row>
    <row r="1135" ht="15.75" customHeight="1" s="305">
      <c r="A1135" s="3" t="inlineStr">
        <is>
          <t>thanhtoan.success</t>
        </is>
      </c>
      <c r="B1135" s="3" t="inlineStr">
        <is>
          <t>Thành công</t>
        </is>
      </c>
      <c r="C1135" s="3" t="inlineStr">
        <is>
          <t>Success</t>
        </is>
      </c>
      <c r="D1135" s="3">
        <f>IFERROR(__xludf.DUMMYFUNCTION("GOOGLETRANSLATE(B1135,""vi"",""km"")"),"ជោគជ័យ")</f>
        <v/>
      </c>
      <c r="E1135" s="3" t="inlineStr">
        <is>
          <t>បានជោគជ័យ</t>
        </is>
      </c>
      <c r="F1135" s="3" t="n"/>
      <c r="G1135" s="3" t="inlineStr">
        <is>
          <t>ជោគជ័យ</t>
        </is>
      </c>
      <c r="H1135" t="inlineStr">
        <is>
          <t>ជោគជ័យ</t>
        </is>
      </c>
      <c r="I1135" s="217" t="inlineStr">
        <is>
          <t>"thanhtoan.success": "ជោគជ័យ",</t>
        </is>
      </c>
      <c r="N1135" s="3" t="inlineStr"/>
    </row>
    <row r="1136" ht="15.75" customHeight="1" s="305">
      <c r="A1136" s="3" t="inlineStr">
        <is>
          <t>thanhtoan.payOnline</t>
        </is>
      </c>
      <c r="B1136" s="3" t="inlineStr">
        <is>
          <t>Thanh toán chuyển khoản</t>
        </is>
      </c>
      <c r="C1136" s="3" t="inlineStr">
        <is>
          <t>Bank transfer payment</t>
        </is>
      </c>
      <c r="D1136" s="3">
        <f>IFERROR(__xludf.DUMMYFUNCTION("GOOGLETRANSLATE(B1136,""vi"",""km"")"),"ការទូទាត់តាមរយៈការផ្ទេរប្រាក់តាមធនាគារ")</f>
        <v/>
      </c>
      <c r="E1136" s="3" t="inlineStr">
        <is>
          <t>ទូទាត់តាមធនាគារ</t>
        </is>
      </c>
      <c r="F1136" s="3" t="n"/>
      <c r="G1136" s="3" t="inlineStr">
        <is>
          <t>ទូទាត់តាមធនាគារ</t>
        </is>
      </c>
      <c r="H1136" t="inlineStr">
        <is>
          <t>ទូទាត់តាមធនាគារ</t>
        </is>
      </c>
      <c r="I1136" s="217" t="inlineStr">
        <is>
          <t>"thanhtoan.payOnline": "ទូទាត់តាមធនាគារ",</t>
        </is>
      </c>
      <c r="N1136" s="3" t="inlineStr"/>
    </row>
    <row r="1137" ht="15.75" customHeight="1" s="305">
      <c r="A1137" s="3" t="inlineStr">
        <is>
          <t>taoDon.instantPay</t>
        </is>
      </c>
      <c r="B1137" s="3" t="inlineStr">
        <is>
          <t>Thanh toán ngay</t>
        </is>
      </c>
      <c r="C1137" s="3" t="inlineStr">
        <is>
          <t>Instant payment</t>
        </is>
      </c>
      <c r="D1137" s="3">
        <f>IFERROR(__xludf.DUMMYFUNCTION("GOOGLETRANSLATE(B1137,""vi"",""km"")"),"បង់ប្រាក់ឥឡូវនេះ")</f>
        <v/>
      </c>
      <c r="E1137" s="3" t="inlineStr">
        <is>
          <t>ទូទាត់ភ្លាមៗ</t>
        </is>
      </c>
      <c r="F1137" s="3" t="n"/>
      <c r="G1137" s="3" t="inlineStr">
        <is>
          <t>ទូទាត់ភ្លាមៗ</t>
        </is>
      </c>
      <c r="H1137" t="inlineStr">
        <is>
          <t>ទូទាត់ភ្លាមៗ</t>
        </is>
      </c>
      <c r="I1137" s="217" t="inlineStr">
        <is>
          <t>"taoDon.instantPay": "ទូទាត់ភ្លាមៗ",</t>
        </is>
      </c>
      <c r="N1137" s="3" t="inlineStr">
        <is>
          <t>បង់ប្រាក់ភ្លាម</t>
        </is>
      </c>
    </row>
    <row r="1138" ht="15.75" customHeight="1" s="305">
      <c r="A1138" s="3" t="inlineStr">
        <is>
          <t>thanhtoan.payQR</t>
        </is>
      </c>
      <c r="B1138" s="3" t="inlineStr">
        <is>
          <t>Thanh toán QR Code</t>
        </is>
      </c>
      <c r="C1138" s="3" t="inlineStr">
        <is>
          <t>QR Code Payment</t>
        </is>
      </c>
      <c r="D1138" s="3">
        <f>IFERROR(__xludf.DUMMYFUNCTION("GOOGLETRANSLATE(B1138,""vi"",""km"")"),"ការទូទាត់តាមលេខកូដ QR")</f>
        <v/>
      </c>
      <c r="E1138" s="3" t="inlineStr">
        <is>
          <t>ការទូទាត់តាម QR Code</t>
        </is>
      </c>
      <c r="F1138" s="3" t="n"/>
      <c r="G1138" s="3" t="inlineStr">
        <is>
          <t>ការទូទាត់តាម QR Code</t>
        </is>
      </c>
      <c r="H1138" t="inlineStr">
        <is>
          <t>ការទូទាត់តាម QR Code</t>
        </is>
      </c>
      <c r="I1138" s="217" t="inlineStr">
        <is>
          <t>"thanhtoan.payQR": "ការទូទាត់តាម QR Code",</t>
        </is>
      </c>
      <c r="N1138" s="3" t="inlineStr"/>
    </row>
    <row r="1139" ht="15.75" customHeight="1" s="305">
      <c r="A1139" s="3" t="inlineStr">
        <is>
          <t>thongbao.paySuccess</t>
        </is>
      </c>
      <c r="B1139" s="3" t="inlineStr">
        <is>
          <t>Thanh toán thành công</t>
        </is>
      </c>
      <c r="C1139" s="3" t="inlineStr">
        <is>
          <t>Payment successful</t>
        </is>
      </c>
      <c r="D1139" s="3">
        <f>IFERROR(__xludf.DUMMYFUNCTION("GOOGLETRANSLATE(B1139,""vi"",""km"")"),"ការទូទាត់បានជោគជ័យ")</f>
        <v/>
      </c>
      <c r="E1139" s="3" t="inlineStr">
        <is>
          <t>ការទូូទាត់បានជោគជ័យ</t>
        </is>
      </c>
      <c r="F1139" s="3" t="n"/>
      <c r="G1139" s="3" t="inlineStr">
        <is>
          <t>ការទូទាត់ជោគជ័យ</t>
        </is>
      </c>
      <c r="H1139" t="inlineStr">
        <is>
          <t>ការទូទាត់ជោគជ័យ</t>
        </is>
      </c>
      <c r="I1139" s="217" t="inlineStr">
        <is>
          <t>"thongbao.paySuccess": "ការទូទាត់ជោគជ័យ",</t>
        </is>
      </c>
      <c r="N1139" s="3" t="inlineStr"/>
    </row>
    <row r="1140" ht="15.75" customHeight="1" s="305">
      <c r="A1140" s="3" t="inlineStr">
        <is>
          <t>taoDon.paymentContract</t>
        </is>
      </c>
      <c r="B1140" s="3" t="inlineStr">
        <is>
          <t>Thanh toán theo hợp đồng</t>
        </is>
      </c>
      <c r="C1140" s="3" t="inlineStr">
        <is>
          <t>Payment by contract</t>
        </is>
      </c>
      <c r="D1140" s="3">
        <f>IFERROR(__xludf.DUMMYFUNCTION("GOOGLETRANSLATE(B1140,""vi"",""km"")"),"ការទូទាត់តាមកិច្ចសន្យា")</f>
        <v/>
      </c>
      <c r="E1140" s="3" t="inlineStr">
        <is>
          <t>ទូទាត់តាមកិច្ចសន្យា</t>
        </is>
      </c>
      <c r="F1140" s="3" t="n"/>
      <c r="G1140" s="3" t="inlineStr">
        <is>
          <t>ទូទាត់តាមកិច្ចសន្យា</t>
        </is>
      </c>
      <c r="H1140" t="inlineStr">
        <is>
          <t>ទូទាត់តាមកិច្ចសន្យា</t>
        </is>
      </c>
      <c r="I1140" s="217" t="inlineStr">
        <is>
          <t>"taoDon.paymentContract": "ទូទាត់តាមកិច្ចសន្យា",</t>
        </is>
      </c>
      <c r="N1140" s="3" t="inlineStr">
        <is>
          <t>បង់ប្រាក់តាមកិច្ចសន្យា</t>
        </is>
      </c>
    </row>
    <row r="1141" ht="15.75" customHeight="1" s="305">
      <c r="A1141" s="3" t="inlineStr">
        <is>
          <t>thanhtoan.payCast</t>
        </is>
      </c>
      <c r="B1141" s="3" t="inlineStr">
        <is>
          <t>Thanh toán tiền mặt</t>
        </is>
      </c>
      <c r="C1141" s="3" t="inlineStr">
        <is>
          <t>Cash payment</t>
        </is>
      </c>
      <c r="D1141" s="3">
        <f>IFERROR(__xludf.DUMMYFUNCTION("GOOGLETRANSLATE(B1141,""vi"",""km"")"),"ការទូទាត់ជាសាច់ប្រាក់")</f>
        <v/>
      </c>
      <c r="E1141" s="3" t="inlineStr">
        <is>
          <t>ទូទាត់ជាសាច់ប្រាក់</t>
        </is>
      </c>
      <c r="F1141" s="3" t="n"/>
      <c r="G1141" s="3" t="inlineStr">
        <is>
          <t>ទូទាត់ជាសាច់ប្រាក់</t>
        </is>
      </c>
      <c r="H1141" t="inlineStr">
        <is>
          <t>ទូទាត់ជាសាច់ប្រាក់</t>
        </is>
      </c>
      <c r="I1141" s="217" t="inlineStr">
        <is>
          <t>"thanhtoan.payCast": "ទូទាត់ជាសាច់ប្រាក់",</t>
        </is>
      </c>
      <c r="N1141" s="3" t="inlineStr"/>
    </row>
    <row r="1142" ht="15.75" customHeight="1" s="305">
      <c r="A1142" s="3" t="inlineStr">
        <is>
          <t>taoDon.add</t>
        </is>
      </c>
      <c r="B1142" s="3" t="inlineStr">
        <is>
          <t>Thêm</t>
        </is>
      </c>
      <c r="C1142" s="3" t="inlineStr">
        <is>
          <t>Add</t>
        </is>
      </c>
      <c r="D1142" s="3">
        <f>IFERROR(__xludf.DUMMYFUNCTION("GOOGLETRANSLATE(B1142,""vi"",""km"")"),"ច្រើនទៀត")</f>
        <v/>
      </c>
      <c r="E1142" s="3" t="inlineStr">
        <is>
          <t>បន្ថែម</t>
        </is>
      </c>
      <c r="F1142" s="3" t="n"/>
      <c r="G1142" s="3" t="inlineStr">
        <is>
          <t>បន្ថែម</t>
        </is>
      </c>
      <c r="H1142" t="inlineStr">
        <is>
          <t>បន្ថែម</t>
        </is>
      </c>
      <c r="I1142" s="217" t="inlineStr">
        <is>
          <t>"taoDon.add": "បន្ថែម",</t>
        </is>
      </c>
      <c r="N1142" s="3" t="inlineStr">
        <is>
          <t>បន្ថែម</t>
        </is>
      </c>
    </row>
    <row r="1143" ht="15.75" customHeight="1" s="305">
      <c r="A1143" s="3" t="inlineStr">
        <is>
          <t>DongTai.addSuccess</t>
        </is>
      </c>
      <c r="B1143" s="3" t="inlineStr">
        <is>
          <t>Thêm bill {{maPhieuGui}} thành công!</t>
        </is>
      </c>
      <c r="C1143" s="3" t="inlineStr">
        <is>
          <t>Add postal slip {{maPhieuGui}} successfully</t>
        </is>
      </c>
      <c r="D1143" s="3">
        <f>IFERROR(__xludf.DUMMYFUNCTION("GOOGLETRANSLATE(B1143,""vi"",""km"")"),"ប៊ីល {{maPhieuGui}} បានបន្ថែមដោយជោគជ័យ!")</f>
        <v/>
      </c>
      <c r="E1143" s="3" t="inlineStr">
        <is>
          <t>បន្ថែមបុង {{maPhieuGui}} ដោយជោគជ័យ!</t>
        </is>
      </c>
      <c r="F1143" s="3" t="n"/>
      <c r="G1143" s="3" t="inlineStr">
        <is>
          <t>បន្ថែមបុង {{maPhieuGui}} ដោយជោគជ័យ!</t>
        </is>
      </c>
      <c r="H1143" t="inlineStr">
        <is>
          <t>បន្ថែមបុង {{maPhieuGui}} ដោយជោគជ័យ!</t>
        </is>
      </c>
      <c r="I1143" s="217" t="inlineStr">
        <is>
          <t>"DongTai.addSuccess": "បន្ថែមបុង {{maPhieuGui}} ដោយជោគជ័យ!",</t>
        </is>
      </c>
      <c r="N1143" s="3" t="inlineStr">
        <is>
          <t>បន្ថែមបញ្ជី {{maPhieuGui}} ជោគជ័យ!</t>
        </is>
      </c>
    </row>
    <row r="1144" ht="15.75" customHeight="1" s="305">
      <c r="A1144" s="3" t="inlineStr">
        <is>
          <t>taoDon.addAnotherWarehouse</t>
        </is>
      </c>
      <c r="B1144" s="3" t="inlineStr">
        <is>
          <t>Thêm địa chỉ gửi hàng khác</t>
        </is>
      </c>
      <c r="C1144" s="3" t="inlineStr">
        <is>
          <t>Add new shipping warehouse</t>
        </is>
      </c>
      <c r="D1144" s="3">
        <f>IFERROR(__xludf.DUMMYFUNCTION("GOOGLETRANSLATE(B1144,""vi"",""km"")"),"បន្ថែមអាសយដ្ឋានដឹកជញ្ជូនផ្សេងទៀត")</f>
        <v/>
      </c>
      <c r="E1144" s="3" t="inlineStr">
        <is>
          <t>បន្ថែមអាសយដ្ឋានដឹកជញ្ជូនផ្សេងទៀត</t>
        </is>
      </c>
      <c r="F1144" s="3" t="n"/>
      <c r="G1144" s="3" t="inlineStr">
        <is>
          <t>បន្ថែមអាសយដ្ឋានដឹកជញ្ជូនផ្សេងទៀត</t>
        </is>
      </c>
      <c r="H1144" t="inlineStr">
        <is>
          <t>បន្ថែមអាសយដ្ឋានដឹកជញ្ជូនផ្សេងទៀត</t>
        </is>
      </c>
      <c r="I1144" s="217" t="inlineStr">
        <is>
          <t>"taoDon.addAnotherWarehouse": "បន្ថែមអាសយដ្ឋានដឹកជញ្ជូនផ្សេងទៀត",</t>
        </is>
      </c>
      <c r="N1144" s="3" t="inlineStr">
        <is>
          <t>បន្ថែមអាសយដ្ឋានផ្ញើថ្មី</t>
        </is>
      </c>
    </row>
    <row r="1145" ht="15.75" customHeight="1" s="305">
      <c r="A1145" s="3" t="inlineStr">
        <is>
          <t>common.add</t>
        </is>
      </c>
      <c r="B1145" s="3" t="inlineStr">
        <is>
          <t>Thêm đơn</t>
        </is>
      </c>
      <c r="C1145" s="3" t="inlineStr">
        <is>
          <t>Add order</t>
        </is>
      </c>
      <c r="D1145" s="3">
        <f>IFERROR(__xludf.DUMMYFUNCTION("GOOGLETRANSLATE(B1145,""vi"",""km"")"),"បន្ថែមការបញ្ជាទិញ")</f>
        <v/>
      </c>
      <c r="E1145" s="3" t="inlineStr">
        <is>
          <t>បន្ថែមបុុង</t>
        </is>
      </c>
      <c r="F1145" s="3" t="n"/>
      <c r="G1145" s="3" t="inlineStr">
        <is>
          <t>បន្ថែមបុុង</t>
        </is>
      </c>
      <c r="H1145" t="inlineStr">
        <is>
          <t>បន្ថែមបុុង</t>
        </is>
      </c>
      <c r="I1145" s="217" t="inlineStr">
        <is>
          <t>"common.add": "បន្ថែមបុុង",</t>
        </is>
      </c>
      <c r="N1145" s="3" t="inlineStr">
        <is>
          <t>បន្ថែមការបញ្ជាទិញ</t>
        </is>
      </c>
    </row>
    <row r="1146" ht="15.75" customHeight="1" s="305">
      <c r="A1146" s="3" t="inlineStr">
        <is>
          <t>DongTai.titleAddBill</t>
        </is>
      </c>
      <c r="B1146" s="3" t="inlineStr">
        <is>
          <t>Thêm đơn hàng</t>
        </is>
      </c>
      <c r="C1146" s="3" t="inlineStr">
        <is>
          <t>Add more order</t>
        </is>
      </c>
      <c r="D1146" s="3">
        <f>IFERROR(__xludf.DUMMYFUNCTION("GOOGLETRANSLATE(B1146,""vi"",""km"")"),"បន្ថែមការបញ្ជាទិញ")</f>
        <v/>
      </c>
      <c r="E1146" s="3" t="inlineStr">
        <is>
          <t>បន្ថែមបុុងអីវ៉ាន់</t>
        </is>
      </c>
      <c r="F1146" s="3" t="n"/>
      <c r="G1146" s="3" t="inlineStr">
        <is>
          <t>បន្ថែមបុុងអីវ៉ាន់</t>
        </is>
      </c>
      <c r="H1146" t="inlineStr">
        <is>
          <t>បន្ថែមបុុងអីវ៉ាន់</t>
        </is>
      </c>
      <c r="I1146" s="217" t="inlineStr">
        <is>
          <t>"DongTai.titleAddBill": "បន្ថែមបុុងអីវ៉ាន់",</t>
        </is>
      </c>
      <c r="N1146" s="3" t="inlineStr">
        <is>
          <t>បន្ថែមបញ្ជី</t>
        </is>
      </c>
    </row>
    <row r="1147" ht="15.75" customHeight="1" s="305">
      <c r="A1147" s="3" t="inlineStr">
        <is>
          <t>PhanCong.titleInsertBill</t>
        </is>
      </c>
      <c r="B1147" s="3" t="inlineStr">
        <is>
          <t>Thêm mã bill</t>
        </is>
      </c>
      <c r="C1147" s="3" t="inlineStr">
        <is>
          <t>Add more postal slip's code</t>
        </is>
      </c>
      <c r="D1147" s="3">
        <f>IFERROR(__xludf.DUMMYFUNCTION("GOOGLETRANSLATE(B1147,""vi"",""km"")"),"បន្ថែមលេខកូដវិក្កយបត្រ")</f>
        <v/>
      </c>
      <c r="E1147" s="3" t="inlineStr">
        <is>
          <t>បន្ថែមលេេខកូដបុងបញ្ញើ</t>
        </is>
      </c>
      <c r="F1147" s="3" t="n"/>
      <c r="G1147" s="3" t="inlineStr">
        <is>
          <t>បន្ថែមលេេខកូដបុងបញ្ញើ</t>
        </is>
      </c>
      <c r="H1147" t="inlineStr">
        <is>
          <t>បន្ថែមលេេខកូដបុងបញ្ញើ</t>
        </is>
      </c>
      <c r="I1147" s="217" t="inlineStr">
        <is>
          <t>"PhanCong.titleInsertBill": "បន្ថែមលេេខកូដបុងបញ្ញើ",</t>
        </is>
      </c>
      <c r="N1147" s="3" t="inlineStr">
        <is>
          <t>បន្ថែមលេខបញ្ជី</t>
        </is>
      </c>
    </row>
    <row r="1148" ht="15.75" customHeight="1" s="305">
      <c r="A1148" s="3" t="inlineStr">
        <is>
          <t>taoDon.addNewDeliveryAddress</t>
        </is>
      </c>
      <c r="B1148" s="3" t="inlineStr">
        <is>
          <t>Thêm mới địa chỉ giao hàng</t>
        </is>
      </c>
      <c r="C1148" s="3" t="inlineStr">
        <is>
          <t>Add new</t>
        </is>
      </c>
      <c r="D1148" s="3">
        <f>IFERROR(__xludf.DUMMYFUNCTION("GOOGLETRANSLATE(B1148,""vi"",""km"")"),"បន្ថែមអាសយដ្ឋានដឹកជញ្ជូនថ្មី។")</f>
        <v/>
      </c>
      <c r="E1148" s="3" t="inlineStr">
        <is>
          <t>បន្ថែមអាស័យដ្ឋានប្រគល់អីវ៉ាន់ថ្មី</t>
        </is>
      </c>
      <c r="F1148" s="3" t="n"/>
      <c r="G1148" s="3" t="inlineStr">
        <is>
          <t>បន្ថែមអាសយដ្ឋានប្រគល់អីវ៉ាន់ថ្មី</t>
        </is>
      </c>
      <c r="H1148" t="inlineStr">
        <is>
          <t>បន្ថែមអាសយដ្ឋានប្រគល់អីវ៉ាន់ថ្មី</t>
        </is>
      </c>
      <c r="I1148" s="217" t="inlineStr">
        <is>
          <t>"taoDon.addNewDeliveryAddress": "បន្ថែមអាសយដ្ឋានប្រគល់អីវ៉ាន់ថ្មី",</t>
        </is>
      </c>
      <c r="N1148" s="3" t="inlineStr">
        <is>
          <t>បន្ថែមអាសយដ្ឋានដឹកជញ្ជូនថ្មី</t>
        </is>
      </c>
    </row>
    <row r="1149" ht="15.75" customHeight="1" s="305">
      <c r="A1149" s="3" t="inlineStr">
        <is>
          <t>banGiao.titleAddTaiKien</t>
        </is>
      </c>
      <c r="B1149" s="3" t="inlineStr">
        <is>
          <t>Thêm tải kiện</t>
        </is>
      </c>
      <c r="C1149" s="3" t="inlineStr">
        <is>
          <t>Add more sack or package</t>
        </is>
      </c>
      <c r="D1149" s="3">
        <f>IFERROR(__xludf.DUMMYFUNCTION("GOOGLETRANSLATE(B1149,""vi"",""km"")"),"បន្ថែមកញ្ចប់បន្ថែមទៀត")</f>
        <v/>
      </c>
      <c r="E1149" s="159" t="inlineStr">
        <is>
          <t>បន្ថែមជើងដឹកអីវ៉ាន់</t>
        </is>
      </c>
      <c r="F1149" s="3" t="n"/>
      <c r="G1149" s="31" t="inlineStr">
        <is>
          <t>បន្ថែមកញ្ចប់ទំនិញ/អីវ៉ាន់</t>
        </is>
      </c>
      <c r="H1149" t="inlineStr">
        <is>
          <t>បន្ថែមកញ្ចប់ទំនិញ/អីវ៉ាន់</t>
        </is>
      </c>
      <c r="I1149" s="217" t="inlineStr">
        <is>
          <t>"banGiao.titleAddTaiKien": "បន្ថែមកញ្ចប់ទំនិញ/អីវ៉ាន់",</t>
        </is>
      </c>
      <c r="N1149" s="3" t="inlineStr">
        <is>
          <t>បន្ថែមថង់ ឬ កញ្ចប់ទៀត</t>
        </is>
      </c>
    </row>
    <row r="1150" ht="15.75" customHeight="1" s="305">
      <c r="A1150" s="3" t="inlineStr">
        <is>
          <t>PhanCong.insertBillSuccess</t>
        </is>
      </c>
      <c r="B1150" s="3" t="inlineStr">
        <is>
          <t>Thêm thành công</t>
        </is>
      </c>
      <c r="C1150" s="3" t="inlineStr">
        <is>
          <t>Add this bill successfully</t>
        </is>
      </c>
      <c r="D1150" s="3">
        <f>IFERROR(__xludf.DUMMYFUNCTION("GOOGLETRANSLATE(B1150,""vi"",""km"")"),"ជោគជ័យបន្ថែមទៀត")</f>
        <v/>
      </c>
      <c r="E1150" s="3" t="inlineStr">
        <is>
          <t>បន្ថែមដោយជោគជ័យ</t>
        </is>
      </c>
      <c r="F1150" s="3" t="n"/>
      <c r="G1150" s="3" t="inlineStr">
        <is>
          <t>បន្ថែមដោយជោគជ័យ</t>
        </is>
      </c>
      <c r="H1150" t="inlineStr">
        <is>
          <t>បន្ថែមដោយជោគជ័យ</t>
        </is>
      </c>
      <c r="I1150" s="217" t="inlineStr">
        <is>
          <t>"PhanCong.insertBillSuccess": "បន្ថែមដោយជោគជ័យ",</t>
        </is>
      </c>
      <c r="N1150" s="3" t="inlineStr">
        <is>
          <t>បន្ថែមបានជោគជ័យ</t>
        </is>
      </c>
    </row>
    <row r="1151" ht="15.75" customHeight="1" s="305">
      <c r="A1151" s="3" t="inlineStr">
        <is>
          <t>debit.add_bill</t>
        </is>
      </c>
      <c r="B1151" s="3" t="inlineStr">
        <is>
          <t>Thêm vận đơn</t>
        </is>
      </c>
      <c r="C1151" s="3" t="inlineStr">
        <is>
          <t>Add more bill</t>
        </is>
      </c>
      <c r="D1151" s="3">
        <f>IFERROR(__xludf.DUMMYFUNCTION("GOOGLETRANSLATE(B1151,""vi"",""km"")"),"បន្ថែមវិក្កយបត្រដឹកជញ្ជូន")</f>
        <v/>
      </c>
      <c r="E1151" s="3" t="inlineStr">
        <is>
          <t>បន្ថែមបុងដឹក</t>
        </is>
      </c>
      <c r="F1151" s="3" t="n"/>
      <c r="G1151" s="3" t="inlineStr">
        <is>
          <t>បន្ថែមបុងដឹក</t>
        </is>
      </c>
      <c r="H1151" t="inlineStr">
        <is>
          <t>បន្ថែមបុងដឹក</t>
        </is>
      </c>
      <c r="I1151" s="217" t="inlineStr">
        <is>
          <t>"debit.add_bill": "បន្ថែមបុងដឹក",</t>
        </is>
      </c>
      <c r="N1151" s="3" t="inlineStr">
        <is>
          <t>ថែមកញ្ចប់បញ្ញើ</t>
        </is>
      </c>
    </row>
    <row r="1152" ht="15.75" customHeight="1" s="305">
      <c r="A1152" s="3" t="inlineStr">
        <is>
          <t>debit.add_bill_title</t>
        </is>
      </c>
      <c r="B1152" s="3" t="inlineStr">
        <is>
          <t>Thêm vận đơn cước</t>
        </is>
      </c>
      <c r="C1152" s="3" t="inlineStr">
        <is>
          <t>Add bill</t>
        </is>
      </c>
      <c r="D1152" s="3">
        <f>IFERROR(__xludf.DUMMYFUNCTION("GOOGLETRANSLATE(B1152,""vi"",""km"")"),"បន្ថែមវិក្កយបត្រដឹកជញ្ជូនទំនិញ")</f>
        <v/>
      </c>
      <c r="E1152" s="159" t="inlineStr">
        <is>
          <t>បន្ថែមថ្លៃសេវាបុងដឹក</t>
        </is>
      </c>
      <c r="F1152" s="3" t="n"/>
      <c r="G1152" s="3" t="inlineStr">
        <is>
          <t>បន្ថែមថ្លៃសេវាបុងដឹក</t>
        </is>
      </c>
      <c r="H1152" t="inlineStr">
        <is>
          <t>បន្ថែមថ្លៃសេវាបុងដឹក</t>
        </is>
      </c>
      <c r="I1152" s="217" t="inlineStr">
        <is>
          <t>"debit.add_bill_title": "បន្ថែមថ្លៃសេវាបុងដឹក",</t>
        </is>
      </c>
      <c r="N1152" s="3" t="inlineStr">
        <is>
          <t>បន្ថែមវិក័យប័ត្របញ្ញើ</t>
        </is>
      </c>
    </row>
    <row r="1153" ht="15.75" customHeight="1" s="305">
      <c r="A1153" s="3" t="inlineStr">
        <is>
          <t>debit.error_add_bill_record</t>
        </is>
      </c>
      <c r="B1153" s="3" t="inlineStr">
        <is>
          <t>Thêm vận đơn không thành công</t>
        </is>
      </c>
      <c r="C1153" s="3" t="inlineStr">
        <is>
          <t>Add more bill failed</t>
        </is>
      </c>
      <c r="D1153" s="3">
        <f>IFERROR(__xludf.DUMMYFUNCTION("GOOGLETRANSLATE(B1153,""vi"",""km"")"),"ការបន្ថែម​វិក្កយបត្រ​ដឹកជញ្ជូន​មិន​បាន​ជោគជ័យ​ទេ។")</f>
        <v/>
      </c>
      <c r="E1153" s="3" t="inlineStr">
        <is>
          <t>បន្ថែមបុងដឹកបរាជ័យ</t>
        </is>
      </c>
      <c r="F1153" s="3" t="n"/>
      <c r="G1153" s="3" t="inlineStr">
        <is>
          <t>បន្ថែមបុងដឹកបរាជ័យ</t>
        </is>
      </c>
      <c r="H1153" t="inlineStr">
        <is>
          <t>បន្ថែមបុងដឹកបរាជ័យ</t>
        </is>
      </c>
      <c r="I1153" s="217" t="inlineStr">
        <is>
          <t>"debit.error_add_bill_record": "បន្ថែមបុងដឹកបរាជ័យ",</t>
        </is>
      </c>
      <c r="N1153" s="3" t="inlineStr">
        <is>
          <t>បន្ថែមបញ្ចីមិនជោគជ័យ</t>
        </is>
      </c>
    </row>
    <row r="1154" ht="15.75" customHeight="1" s="305">
      <c r="A1154" s="3" t="inlineStr">
        <is>
          <t>debit.success_add_bill_record</t>
        </is>
      </c>
      <c r="B1154" s="3" t="inlineStr">
        <is>
          <t>Thêm vận đơn thành công</t>
        </is>
      </c>
      <c r="C1154" s="3" t="inlineStr">
        <is>
          <t>Add bill successfully</t>
        </is>
      </c>
      <c r="D1154" s="3">
        <f>IFERROR(__xludf.DUMMYFUNCTION("GOOGLETRANSLATE(B1154,""vi"",""km"")"),"បានបន្ថែមវិក្កយបត្រដឹកជញ្ជូនដោយជោគជ័យ")</f>
        <v/>
      </c>
      <c r="E1154" s="3" t="inlineStr">
        <is>
          <t>បន្ថែមបុងដឹកជោគជ័យ</t>
        </is>
      </c>
      <c r="F1154" s="3" t="n"/>
      <c r="G1154" s="3" t="inlineStr">
        <is>
          <t>បន្ថែមបុងដឹកជោគជ័យ</t>
        </is>
      </c>
      <c r="H1154" t="inlineStr">
        <is>
          <t>បន្ថែមបុងដឹកជោគជ័យ</t>
        </is>
      </c>
      <c r="I1154" s="217" t="inlineStr">
        <is>
          <t>"debit.success_add_bill_record": "បន្ថែមបុងដឹកជោគជ័យ",</t>
        </is>
      </c>
      <c r="N1154" s="3" t="inlineStr">
        <is>
          <t>បន្ថែមបញ្ចីដោយជោគជ័យ</t>
        </is>
      </c>
    </row>
    <row r="1155" ht="15.75" customHeight="1" s="305">
      <c r="A1155" s="3" t="inlineStr">
        <is>
          <t>GiaoHang.hintWardsEditAddress</t>
        </is>
      </c>
      <c r="B1155" s="3" t="inlineStr">
        <is>
          <t>Thị trấn</t>
        </is>
      </c>
      <c r="C1155" s="3" t="inlineStr">
        <is>
          <t>Ward</t>
        </is>
      </c>
      <c r="D1155" s="3">
        <f>IFERROR(__xludf.DUMMYFUNCTION("GOOGLETRANSLATE(B1155,""vi"",""km"")"),"ទីក្រុង")</f>
        <v/>
      </c>
      <c r="E1155" s="3" t="inlineStr">
        <is>
          <t>ទីរួមខេត្ត</t>
        </is>
      </c>
      <c r="F1155" s="3" t="n"/>
      <c r="G1155" s="3" t="inlineStr">
        <is>
          <t>ទីរួមខេត្ត</t>
        </is>
      </c>
      <c r="H1155" t="inlineStr">
        <is>
          <t>ទីរួមខេត្ត</t>
        </is>
      </c>
      <c r="I1155" s="217" t="inlineStr">
        <is>
          <t>"GiaoHang.hintWardsEditAddress": "ទីរួមខេត្ត",</t>
        </is>
      </c>
      <c r="N1155" s="3" t="inlineStr">
        <is>
          <t>ទីរួមស្រុក</t>
        </is>
      </c>
    </row>
    <row r="1156" ht="15.75" customHeight="1" s="305">
      <c r="A1156" s="3" t="inlineStr">
        <is>
          <t>GiaoHang.bluetoothDevice</t>
        </is>
      </c>
      <c r="B1156" s="3" t="inlineStr">
        <is>
          <t>Thiết bị Bluetooth</t>
        </is>
      </c>
      <c r="C1156" s="3" t="inlineStr">
        <is>
          <t>Bluetooth Device</t>
        </is>
      </c>
      <c r="D1156" s="3">
        <f>IFERROR(__xludf.DUMMYFUNCTION("GOOGLETRANSLATE(B1156,""vi"",""km"")"),"ឧបករណ៍ប៊្លូធូស")</f>
        <v/>
      </c>
      <c r="E1156" s="3" t="inlineStr">
        <is>
          <t>ឧបករណ៍ប៊្លូធូស</t>
        </is>
      </c>
      <c r="F1156" s="3" t="n"/>
      <c r="G1156" s="3" t="inlineStr">
        <is>
          <t>ឧបករណ៍ប៊្លូធូស</t>
        </is>
      </c>
      <c r="H1156" t="inlineStr">
        <is>
          <t>ឧបករណ៍ប៊្លូធូស</t>
        </is>
      </c>
      <c r="I1156" s="217" t="inlineStr">
        <is>
          <t>"GiaoHang.bluetoothDevice": "ឧបករណ៍ប៊្លូធូស",</t>
        </is>
      </c>
      <c r="N1156" s="3" t="inlineStr">
        <is>
          <t>ឧបករណ៍ Bluetooth</t>
        </is>
      </c>
    </row>
    <row r="1157" ht="15.75" customHeight="1" s="305">
      <c r="A1157" s="3" t="inlineStr">
        <is>
          <t>GiaoHang.deviceConnect</t>
        </is>
      </c>
      <c r="B1157" s="3" t="inlineStr">
        <is>
          <t>Thiết bị kết nối</t>
        </is>
      </c>
      <c r="C1157" s="3" t="inlineStr">
        <is>
          <t>Connect device</t>
        </is>
      </c>
      <c r="D1157" s="3">
        <f>IFERROR(__xludf.DUMMYFUNCTION("GOOGLETRANSLATE(B1157,""vi"",""km"")"),"ឧបករណ៍ភ្ជាប់")</f>
        <v/>
      </c>
      <c r="E1157" s="3" t="inlineStr">
        <is>
          <t>ឧបករណ៍ដែលបានភ្ជាប់</t>
        </is>
      </c>
      <c r="F1157" s="3" t="n"/>
      <c r="G1157" s="3" t="inlineStr">
        <is>
          <t>ឧបករណ៍ដែលបានភ្ជាប់</t>
        </is>
      </c>
      <c r="H1157" t="inlineStr">
        <is>
          <t>ឧបករណ៍ដែលបានភ្ជាប់</t>
        </is>
      </c>
      <c r="I1157" s="217" t="inlineStr">
        <is>
          <t>"GiaoHang.deviceConnect": "ឧបករណ៍ដែលបានភ្ជាប់",</t>
        </is>
      </c>
      <c r="N1157" s="3" t="inlineStr">
        <is>
          <t>ឧបករណ៍ភ្ជាប់</t>
        </is>
      </c>
    </row>
    <row r="1158" ht="15.75" customHeight="1" s="305">
      <c r="A1158" s="3" t="inlineStr">
        <is>
          <t>GiaoHang.wifiDevice</t>
        </is>
      </c>
      <c r="B1158" s="3" t="inlineStr">
        <is>
          <t>Thiết bị Wifi</t>
        </is>
      </c>
      <c r="C1158" s="3" t="inlineStr">
        <is>
          <t>Wifi Device</t>
        </is>
      </c>
      <c r="D1158" s="3">
        <f>IFERROR(__xludf.DUMMYFUNCTION("GOOGLETRANSLATE(B1158,""vi"",""km"")"),"ឧបករណ៍ Wifi")</f>
        <v/>
      </c>
      <c r="E1158" s="3" t="inlineStr">
        <is>
          <t>ឧបករណ៍វ៉ាយហ្វាយ</t>
        </is>
      </c>
      <c r="F1158" s="3" t="n"/>
      <c r="G1158" s="3" t="inlineStr">
        <is>
          <t>ឧបករណ៍វ៉ាយហ្វាយ</t>
        </is>
      </c>
      <c r="H1158" t="inlineStr">
        <is>
          <t>ឧបករណ៍វ៉ាយហ្វាយ</t>
        </is>
      </c>
      <c r="I1158" s="217" t="inlineStr">
        <is>
          <t>"GiaoHang.wifiDevice": "ឧបករណ៍វ៉ាយហ្វាយ",</t>
        </is>
      </c>
      <c r="N1158" s="3" t="inlineStr">
        <is>
          <t>ឧបករណ៍​ Wifi</t>
        </is>
      </c>
    </row>
    <row r="1159" ht="15.75" customHeight="1" s="305">
      <c r="A1159" s="3" t="inlineStr">
        <is>
          <t>change_password.set_new_passowrd</t>
        </is>
      </c>
      <c r="B1159" s="3" t="inlineStr">
        <is>
          <t>Thiết lập mật khẩu mới</t>
        </is>
      </c>
      <c r="C1159" s="3" t="inlineStr">
        <is>
          <t>Set new password</t>
        </is>
      </c>
      <c r="D1159" s="3">
        <f>IFERROR(__xludf.DUMMYFUNCTION("GOOGLETRANSLATE(B1159,""vi"",""km"")"),"កំណត់ពាក្យសម្ងាត់ថ្មី")</f>
        <v/>
      </c>
      <c r="E1159" s="3" t="inlineStr">
        <is>
          <t>កំណត់ពាក្យសម្ងាត់ថ្មី</t>
        </is>
      </c>
      <c r="F1159" s="3" t="n"/>
      <c r="G1159" s="3" t="inlineStr">
        <is>
          <t>កំណត់ពាក្យសម្ងាត់ថ្មី</t>
        </is>
      </c>
      <c r="H1159" t="inlineStr">
        <is>
          <t>កំណត់ពាក្យសម្ងាត់ថ្មី</t>
        </is>
      </c>
      <c r="I1159" s="217" t="inlineStr">
        <is>
          <t>"change_password.set_new_passowrd": "កំណត់ពាក្យសម្ងាត់ថ្មី",</t>
        </is>
      </c>
      <c r="N1159" s="3" t="inlineStr">
        <is>
          <t>កំណត់ពាក្យសម្ងាត់ថ្មី</t>
        </is>
      </c>
    </row>
    <row r="1160" ht="15.75" customHeight="1" s="305">
      <c r="A1160" s="3" t="inlineStr">
        <is>
          <t>setting.biometricSetup</t>
        </is>
      </c>
      <c r="B1160" s="3" t="inlineStr">
        <is>
          <t>Thiết lập sinh trắc học</t>
        </is>
      </c>
      <c r="C1160" s="3" t="inlineStr">
        <is>
          <t>Biometrics</t>
        </is>
      </c>
      <c r="D1160" s="3">
        <f>IFERROR(__xludf.DUMMYFUNCTION("GOOGLETRANSLATE(B1160,""vi"",""km"")"),"រៀបចំ​ជីវមាត្រ")</f>
        <v/>
      </c>
      <c r="E1160" s="3" t="inlineStr">
        <is>
          <t>កំណត់ផ្ទៃមុខ</t>
        </is>
      </c>
      <c r="F1160" s="3" t="n"/>
      <c r="G1160" s="3" t="inlineStr">
        <is>
          <t>កំណត់ផ្ទៃមុខ</t>
        </is>
      </c>
      <c r="H1160" t="inlineStr">
        <is>
          <t>កំណត់ផ្ទៃមុខ</t>
        </is>
      </c>
      <c r="I1160" s="217" t="inlineStr">
        <is>
          <t>"setting.biometricSetup": "កំណត់ផ្ទៃមុខ",</t>
        </is>
      </c>
      <c r="N1160" s="3" t="inlineStr">
        <is>
          <t>Setup biometry</t>
        </is>
      </c>
    </row>
    <row r="1161" ht="15.75" customHeight="1" s="305">
      <c r="A1161" s="3" t="inlineStr">
        <is>
          <t>KiemKe.lack</t>
        </is>
      </c>
      <c r="B1161" s="3" t="inlineStr">
        <is>
          <t>Thiếu</t>
        </is>
      </c>
      <c r="C1161" s="3" t="inlineStr">
        <is>
          <t>Missing</t>
        </is>
      </c>
      <c r="D1161" s="3">
        <f>IFERROR(__xludf.DUMMYFUNCTION("GOOGLETRANSLATE(B1161,""vi"",""km"")"),"កង្វះខាត")</f>
        <v/>
      </c>
      <c r="E1161" s="3" t="inlineStr">
        <is>
          <t>ខ្វះ</t>
        </is>
      </c>
      <c r="F1161" s="3" t="n"/>
      <c r="G1161" s="3" t="inlineStr">
        <is>
          <t>ខ្វះ</t>
        </is>
      </c>
      <c r="H1161" t="inlineStr">
        <is>
          <t>ខ្វះ</t>
        </is>
      </c>
      <c r="I1161" s="217" t="inlineStr">
        <is>
          <t>"KiemKe.lack": "ខ្វះ",</t>
        </is>
      </c>
      <c r="N1161" s="163" t="inlineStr">
        <is>
          <t>បាត់</t>
        </is>
      </c>
    </row>
    <row r="1162" ht="15.75" customHeight="1" s="305">
      <c r="A1162" s="3" t="inlineStr">
        <is>
          <t>banGiao.thoiGian</t>
        </is>
      </c>
      <c r="B1162" s="3" t="inlineStr">
        <is>
          <t>Thời gian</t>
        </is>
      </c>
      <c r="C1162" s="3" t="inlineStr">
        <is>
          <t>Time</t>
        </is>
      </c>
      <c r="D1162" s="3">
        <f>IFERROR(__xludf.DUMMYFUNCTION("GOOGLETRANSLATE(B1162,""vi"",""km"")"),"ពេលវេលា")</f>
        <v/>
      </c>
      <c r="E1162" s="3" t="inlineStr">
        <is>
          <t>ពេលវេលា</t>
        </is>
      </c>
      <c r="F1162" s="3" t="n"/>
      <c r="G1162" s="3" t="inlineStr">
        <is>
          <t>ពេលវេលា</t>
        </is>
      </c>
      <c r="H1162" t="inlineStr">
        <is>
          <t>ពេលវេលា</t>
        </is>
      </c>
      <c r="I1162" s="217" t="inlineStr">
        <is>
          <t>"banGiao.thoiGian": "ពេលវេលា",</t>
        </is>
      </c>
      <c r="N1162" s="3" t="inlineStr">
        <is>
          <t>ម៉ោង</t>
        </is>
      </c>
    </row>
    <row r="1163" ht="15.75" customHeight="1" s="305">
      <c r="A1163" s="3" t="inlineStr">
        <is>
          <t>banGiao.titleTime</t>
        </is>
      </c>
      <c r="B1163" s="3" t="inlineStr">
        <is>
          <t>Thời gian</t>
        </is>
      </c>
      <c r="C1163" s="3" t="inlineStr">
        <is>
          <t>Time</t>
        </is>
      </c>
      <c r="D1163" s="3">
        <f>IFERROR(__xludf.DUMMYFUNCTION("GOOGLETRANSLATE(B1163,""vi"",""km"")"),"ពេលវេលា")</f>
        <v/>
      </c>
      <c r="E1163" s="3" t="inlineStr">
        <is>
          <t>ពេលវេលា</t>
        </is>
      </c>
      <c r="F1163" s="3" t="n"/>
      <c r="G1163" s="3" t="inlineStr">
        <is>
          <t>ពេលវេលា</t>
        </is>
      </c>
      <c r="H1163" t="inlineStr">
        <is>
          <t>ពេលវេលា</t>
        </is>
      </c>
      <c r="I1163" s="217" t="inlineStr">
        <is>
          <t>"banGiao.titleTime": "ពេលវេលា",</t>
        </is>
      </c>
      <c r="N1163" s="3" t="inlineStr">
        <is>
          <t>ពេលវេលា</t>
        </is>
      </c>
    </row>
    <row r="1164" ht="15.75" customHeight="1" s="305">
      <c r="A1164" s="3" t="inlineStr">
        <is>
          <t>tms.thoiGian</t>
        </is>
      </c>
      <c r="B1164" s="3" t="inlineStr">
        <is>
          <t>Thời gian</t>
        </is>
      </c>
      <c r="C1164" s="3" t="inlineStr">
        <is>
          <t>Time</t>
        </is>
      </c>
      <c r="D1164" s="3">
        <f>IFERROR(__xludf.DUMMYFUNCTION("GOOGLETRANSLATE(B1164,""vi"",""km"")"),"ពេលវេលា")</f>
        <v/>
      </c>
      <c r="E1164" s="3" t="inlineStr">
        <is>
          <t>ពេលវេលា</t>
        </is>
      </c>
      <c r="F1164" s="3" t="n"/>
      <c r="G1164" s="3" t="inlineStr">
        <is>
          <t>ពេលវេលា</t>
        </is>
      </c>
      <c r="H1164" t="inlineStr">
        <is>
          <t>ពេលវេលា</t>
        </is>
      </c>
      <c r="I1164" s="217" t="inlineStr">
        <is>
          <t>"tms.thoiGian": "ពេលវេលា",</t>
        </is>
      </c>
      <c r="N1164" s="3" t="inlineStr"/>
    </row>
    <row r="1165" ht="15.75" customHeight="1" s="305">
      <c r="A1165" s="3" t="inlineStr">
        <is>
          <t>tms.thoiGianBatDau</t>
        </is>
      </c>
      <c r="B1165" s="3" t="inlineStr">
        <is>
          <t>Thời gian bắt đầu</t>
        </is>
      </c>
      <c r="C1165" s="3" t="inlineStr">
        <is>
          <t>Start time</t>
        </is>
      </c>
      <c r="D1165" s="3">
        <f>IFERROR(__xludf.DUMMYFUNCTION("GOOGLETRANSLATE(B1165,""vi"",""km"")"),"ពេលវេលាចាប់ផ្តើម")</f>
        <v/>
      </c>
      <c r="E1165" s="3" t="inlineStr">
        <is>
          <t>ពេលវេលាចាប់ផ្តើម</t>
        </is>
      </c>
      <c r="F1165" s="3" t="n"/>
      <c r="G1165" s="3" t="inlineStr">
        <is>
          <t>ពេលវេលាចាប់ផ្តើម</t>
        </is>
      </c>
      <c r="H1165" t="inlineStr">
        <is>
          <t>ពេលវេលាចាប់ផ្តើម</t>
        </is>
      </c>
      <c r="I1165" s="217" t="inlineStr">
        <is>
          <t>"tms.thoiGianBatDau": "ពេលវេលាចាប់ផ្តើម",</t>
        </is>
      </c>
      <c r="N1165" s="3" t="inlineStr"/>
    </row>
    <row r="1166" ht="15.75" customHeight="1" s="305">
      <c r="A1166" s="3" t="inlineStr">
        <is>
          <t>GiaoHang.titleTimeSendInfo</t>
        </is>
      </c>
      <c r="B1166" s="3" t="inlineStr">
        <is>
          <t>Thời gian còn phát</t>
        </is>
      </c>
      <c r="C1166" s="3" t="inlineStr">
        <is>
          <t>Estimated remaining delivery time</t>
        </is>
      </c>
      <c r="D1166" s="3">
        <f>IFERROR(__xludf.DUMMYFUNCTION("GOOGLETRANSLATE(B1166,""vi"",""km"")"),"ពេលវេលានៅតែដំណើរការ")</f>
        <v/>
      </c>
      <c r="E1166" s="3" t="inlineStr">
        <is>
          <t>ពេលវេលាដែលនៅសល់ដើម្បីប្រគល់</t>
        </is>
      </c>
      <c r="F1166" s="3" t="n"/>
      <c r="G1166" s="3" t="inlineStr">
        <is>
          <t>ពេលវេលាដែលនៅសល់ដើម្បីប្រគល់</t>
        </is>
      </c>
      <c r="H1166" t="inlineStr">
        <is>
          <t>ពេលវេលាដែលនៅសល់ដើម្បីប្រគល់</t>
        </is>
      </c>
      <c r="I1166" s="217" t="inlineStr">
        <is>
          <t>"GiaoHang.titleTimeSendInfo": "ពេលវេលាដែលនៅសល់ដើម្បីប្រគល់",</t>
        </is>
      </c>
      <c r="N1166" s="3" t="inlineStr">
        <is>
          <t>ពេលវេលាដែលនៅសល់</t>
        </is>
      </c>
    </row>
    <row r="1167" ht="15.75" customHeight="1" s="305">
      <c r="A1167" s="3" t="inlineStr">
        <is>
          <t>GiaoHang.checkTimeError</t>
        </is>
      </c>
      <c r="B1167" s="3" t="inlineStr">
        <is>
          <t>Thời gian đã chọn phải lớn hơn hơn hoặc bằng thời gian hiện tại</t>
        </is>
      </c>
      <c r="C1167" s="3" t="inlineStr">
        <is>
          <t>The selected time must not be in the past</t>
        </is>
      </c>
      <c r="D1167" s="3">
        <f>IFERROR(__xludf.DUMMYFUNCTION("GOOGLETRANSLATE(B1167,""vi"",""km"")"),"ពេលវេលាដែលបានជ្រើសរើសត្រូវតែធំជាង ឬស្មើនឹងពេលវេលាបច្ចុប្បន្ន។")</f>
        <v/>
      </c>
      <c r="E1167" s="3" t="inlineStr">
        <is>
          <t>ពេលវេលាដែលបានជ្រើសរើសត្រូវតែច្រើនជាង ឬស្មើនឹងពេលវេលាបច្ចុប្បន្ន</t>
        </is>
      </c>
      <c r="F1167" s="3" t="n"/>
      <c r="G1167" s="3" t="inlineStr">
        <is>
          <t>ពេលវេលាដែលបានជ្រើសរើសត្រូវតែច្រើនជាង ឬស្មើនឹងពេលវេលាបច្ចុប្បន្ន</t>
        </is>
      </c>
      <c r="H1167" t="inlineStr">
        <is>
          <t>ពេលវេលាដែលបានជ្រើសរើសត្រូវតែច្រើនជាង ឬស្មើនឹងពេលវេលាបច្ចុប្បន្ន</t>
        </is>
      </c>
      <c r="I1167" s="217" t="inlineStr">
        <is>
          <t>"GiaoHang.checkTimeError": "ពេលវេលាដែលបានជ្រើសរើសត្រូវតែច្រើនជាង ឬស្មើនឹងពេលវេលាបច្ចុប្បន្ន",</t>
        </is>
      </c>
      <c r="N1167" s="163" t="inlineStr">
        <is>
          <t>ពេលវេលាដែលបានជ្រើសរើសមិនត្រូវនៅអតីតកាលទេ។</t>
        </is>
      </c>
    </row>
    <row r="1168" ht="15.75" customHeight="1" s="305">
      <c r="A1168" s="3" t="inlineStr">
        <is>
          <t>taoDon.estimatedTime</t>
        </is>
      </c>
      <c r="B1168" s="3" t="inlineStr">
        <is>
          <t>Thời gian dự kiến</t>
        </is>
      </c>
      <c r="C1168" s="3" t="inlineStr">
        <is>
          <t>Expected delivery time</t>
        </is>
      </c>
      <c r="D1168" s="3">
        <f>IFERROR(__xludf.DUMMYFUNCTION("GOOGLETRANSLATE(B1168,""vi"",""km"")"),"ពេលវេលាប៉ាន់ស្មាន")</f>
        <v/>
      </c>
      <c r="E1168" s="3" t="inlineStr">
        <is>
          <t>ពេលវេលាកំណត់</t>
        </is>
      </c>
      <c r="F1168" s="3" t="n"/>
      <c r="G1168" s="3" t="inlineStr">
        <is>
          <t>ពេលវេលាកំណត់</t>
        </is>
      </c>
      <c r="H1168" t="inlineStr">
        <is>
          <t>ពេលវេលាកំណត់</t>
        </is>
      </c>
      <c r="I1168" s="217" t="inlineStr">
        <is>
          <t>"taoDon.estimatedTime": "ពេលវេលាកំណត់",</t>
        </is>
      </c>
      <c r="N1168" s="3" t="inlineStr">
        <is>
          <t>ពេលវេលាស្មានតាម</t>
        </is>
      </c>
    </row>
    <row r="1169" ht="15.75" customHeight="1" s="305">
      <c r="A1169" s="3" t="inlineStr">
        <is>
          <t>thanhtoan.payTime</t>
        </is>
      </c>
      <c r="B1169" s="3" t="inlineStr">
        <is>
          <t>Thời gian giao dịch</t>
        </is>
      </c>
      <c r="C1169" s="3" t="inlineStr">
        <is>
          <t>Payment time</t>
        </is>
      </c>
      <c r="D1169" s="3">
        <f>IFERROR(__xludf.DUMMYFUNCTION("GOOGLETRANSLATE(B1169,""vi"",""km"")"),"ម៉ោងជួញដូរ")</f>
        <v/>
      </c>
      <c r="E1169" s="3" t="inlineStr">
        <is>
          <t>ពេលវេលាប្រតិបត្តិការ</t>
        </is>
      </c>
      <c r="F1169" s="3" t="n"/>
      <c r="G1169" s="3" t="inlineStr">
        <is>
          <t>ពេលវេលាប្រតិបត្តិការ</t>
        </is>
      </c>
      <c r="H1169" t="inlineStr">
        <is>
          <t>ពេលវេលាប្រតិបត្តិការ</t>
        </is>
      </c>
      <c r="I1169" s="217" t="inlineStr">
        <is>
          <t>"thanhtoan.payTime": "ពេលវេលាប្រតិបត្តិការ",</t>
        </is>
      </c>
      <c r="N1169" s="3" t="inlineStr"/>
    </row>
    <row r="1170" ht="15.75" customHeight="1" s="305">
      <c r="A1170" s="3" t="inlineStr">
        <is>
          <t>taoDon.estimatedDeliveryTime</t>
        </is>
      </c>
      <c r="B1170" s="3" t="inlineStr">
        <is>
          <t>Thời gian giao dự kiến</t>
        </is>
      </c>
      <c r="C1170" s="3" t="inlineStr">
        <is>
          <t>Delivery time estimate</t>
        </is>
      </c>
      <c r="D1170" s="3">
        <f>IFERROR(__xludf.DUMMYFUNCTION("GOOGLETRANSLATE(B1170,""vi"",""km"")"),"ពេលវេលាដឹកជញ្ជូនប៉ាន់ស្មាន")</f>
        <v/>
      </c>
      <c r="E1170" s="3" t="inlineStr">
        <is>
          <t>ពេលវេលាប្រគល់តាមការកំណត់</t>
        </is>
      </c>
      <c r="F1170" s="3" t="n"/>
      <c r="G1170" s="3" t="inlineStr">
        <is>
          <t>ពេលវេលាប្រគល់តាមការកំណត់</t>
        </is>
      </c>
      <c r="H1170" t="inlineStr">
        <is>
          <t>ពេលវេលាប្រគល់តាមការកំណត់</t>
        </is>
      </c>
      <c r="I1170" s="217" t="inlineStr">
        <is>
          <t>"taoDon.estimatedDeliveryTime": "ពេលវេលាប្រគល់តាមការកំណត់",</t>
        </is>
      </c>
      <c r="N1170" s="3" t="inlineStr">
        <is>
          <t>ពេលវេលាដឹកជញ្ជូនស្មានតាម</t>
        </is>
      </c>
    </row>
    <row r="1171" ht="15.75" customHeight="1" s="305">
      <c r="A1171" s="3" t="inlineStr">
        <is>
          <t>traCuoc.estimatedDeliveryTime</t>
        </is>
      </c>
      <c r="B1171" s="3" t="inlineStr">
        <is>
          <t>Thời gian giao dự kiến: {{time}} ngày</t>
        </is>
      </c>
      <c r="C1171" s="3" t="inlineStr">
        <is>
          <t>Delivery time estimate: {{time}} days</t>
        </is>
      </c>
      <c r="D1171" s="3">
        <f>IFERROR(__xludf.DUMMYFUNCTION("GOOGLETRANSLATE(B1171,""vi"",""km"")"),"រយៈពេលដឹកជញ្ជូនប៉ាន់ស្មាន៖ {{time}} ថ្ងៃ")</f>
        <v/>
      </c>
      <c r="E1171" s="3" t="inlineStr">
        <is>
          <t>ពេលវេលាប្រគល់តាមការកំណត់: {{time}} ថ្ងៃ</t>
        </is>
      </c>
      <c r="F1171" s="3" t="n"/>
      <c r="G1171" s="3" t="inlineStr">
        <is>
          <t>ពេលវេលាប្រគល់តាមការកំណត់: {{time}} ថ្ងៃ</t>
        </is>
      </c>
      <c r="H1171" t="inlineStr">
        <is>
          <t>ពេលវេលាប្រគល់តាមការកំណត់: {{time}} ថ្ងៃ</t>
        </is>
      </c>
      <c r="I1171" s="217" t="inlineStr">
        <is>
          <t>"traCuoc.estimatedDeliveryTime": "ពេលវេលាប្រគល់តាមការកំណត់: {{time}} ថ្ងៃ",</t>
        </is>
      </c>
      <c r="N1171" s="3" t="inlineStr">
        <is>
          <t>ពេលវេលាដឹកជញ្ជូនស្មានប្រហែល: {{time}} ម៉ោង</t>
        </is>
      </c>
    </row>
    <row r="1172" ht="15.75" customHeight="1" s="305">
      <c r="A1172" s="3" t="inlineStr">
        <is>
          <t>taoDon.scheduled</t>
        </is>
      </c>
      <c r="B1172" s="3" t="inlineStr">
        <is>
          <t>Thời gian hẹn giao</t>
        </is>
      </c>
      <c r="C1172" s="3" t="inlineStr">
        <is>
          <t>Scheduled delivery time</t>
        </is>
      </c>
      <c r="D1172" s="3">
        <f>IFERROR(__xludf.DUMMYFUNCTION("GOOGLETRANSLATE(B1172,""vi"",""km"")"),"ពេលវេលាដឹកជញ្ជូន")</f>
        <v/>
      </c>
      <c r="E1172" s="3" t="inlineStr">
        <is>
          <t>ពេលវេលាកំណត់ប្រគល់</t>
        </is>
      </c>
      <c r="F1172" s="3" t="n"/>
      <c r="G1172" s="3" t="inlineStr">
        <is>
          <t>ពេលវេលាកំណត់ប្រគល់</t>
        </is>
      </c>
      <c r="H1172" t="inlineStr">
        <is>
          <t>ពេលវេលាកំណត់ប្រគល់</t>
        </is>
      </c>
      <c r="I1172" s="217" t="inlineStr">
        <is>
          <t>"taoDon.scheduled": "ពេលវេលាកំណត់ប្រគល់",</t>
        </is>
      </c>
      <c r="N1172" s="3" t="inlineStr">
        <is>
          <t>ពេលវេលានៅផ្តល់</t>
        </is>
      </c>
    </row>
    <row r="1173" ht="15.75" customHeight="1" s="305">
      <c r="A1173" s="3" t="inlineStr">
        <is>
          <t>taoDon.deliveryTime</t>
        </is>
      </c>
      <c r="B1173" s="3" t="inlineStr">
        <is>
          <t>Thời gian hẹn giao</t>
        </is>
      </c>
      <c r="C1173" s="3" t="inlineStr">
        <is>
          <t>Scheduled delivery time</t>
        </is>
      </c>
      <c r="D1173" s="3">
        <f>IFERROR(__xludf.DUMMYFUNCTION("GOOGLETRANSLATE(B1173,""vi"",""km"")"),"ពេលវេលាដឹកជញ្ជូន")</f>
        <v/>
      </c>
      <c r="E1173" s="3" t="inlineStr">
        <is>
          <t>ពេលវេលាកំណត់ប្រគល់</t>
        </is>
      </c>
      <c r="F1173" s="3" t="n"/>
      <c r="G1173" s="3" t="inlineStr">
        <is>
          <t>ពេលវេលាកំណត់ប្រគល់</t>
        </is>
      </c>
      <c r="H1173" t="inlineStr">
        <is>
          <t>ពេលវេលាកំណត់ប្រគល់</t>
        </is>
      </c>
      <c r="I1173" s="217" t="inlineStr">
        <is>
          <t>"taoDon.deliveryTime": "ពេលវេលាកំណត់ប្រគល់",</t>
        </is>
      </c>
      <c r="N1173" s="3" t="inlineStr">
        <is>
          <t>ពេលវេលាដឹកជញ្ជូន</t>
        </is>
      </c>
    </row>
    <row r="1174" ht="15.75" customHeight="1" s="305">
      <c r="A1174" s="3" t="inlineStr">
        <is>
          <t>PhanCong.warningTimeFilterOver</t>
        </is>
      </c>
      <c r="B1174" s="3" t="inlineStr">
        <is>
          <t>Thời gian lọc không vượt quá</t>
        </is>
      </c>
      <c r="C1174" s="3" t="inlineStr">
        <is>
          <t xml:space="preserve">The filter time is capped at </t>
        </is>
      </c>
      <c r="D1174" s="3">
        <f>IFERROR(__xludf.DUMMYFUNCTION("GOOGLETRANSLATE(B1174,""vi"",""km"")"),"ពេលវេលាច្រោះមិនត្រូវលើសពី")</f>
        <v/>
      </c>
      <c r="E1174" s="3" t="inlineStr">
        <is>
          <t>ពេលវេលាចម្រាញ់មិនអាចលើស</t>
        </is>
      </c>
      <c r="F1174" s="3" t="n"/>
      <c r="G1174" s="3" t="inlineStr">
        <is>
          <t>ពេលវេលាចម្រាញ់មិនអាចលើស</t>
        </is>
      </c>
      <c r="H1174" t="inlineStr">
        <is>
          <t>ពេលវេលាចម្រាញ់មិនអាចលើស</t>
        </is>
      </c>
      <c r="I1174" s="217" t="inlineStr">
        <is>
          <t>"PhanCong.warningTimeFilterOver": "ពេលវេលាចម្រាញ់មិនអាចលើស",</t>
        </is>
      </c>
      <c r="N1174" s="3" t="inlineStr">
        <is>
          <t>ពេលវេលាតម្រងមិនអាចលើសបានទេ</t>
        </is>
      </c>
    </row>
    <row r="1175" ht="15.75" customHeight="1" s="305">
      <c r="A1175" s="3" t="inlineStr">
        <is>
          <t>tms.thongBao</t>
        </is>
      </c>
      <c r="B1175" s="3" t="inlineStr">
        <is>
          <t>Thông báo</t>
        </is>
      </c>
      <c r="C1175" s="3" t="inlineStr">
        <is>
          <t>Notification</t>
        </is>
      </c>
      <c r="D1175" s="3">
        <f>IFERROR(__xludf.DUMMYFUNCTION("GOOGLETRANSLATE(B1175,""vi"",""km"")"),"ការជូនដំណឹង")</f>
        <v/>
      </c>
      <c r="E1175" s="3" t="inlineStr">
        <is>
          <t>ការជូនដំណឹង</t>
        </is>
      </c>
      <c r="F1175" s="3" t="n"/>
      <c r="G1175" s="3" t="inlineStr">
        <is>
          <t>ការជូនដំណឹង</t>
        </is>
      </c>
      <c r="H1175" t="inlineStr">
        <is>
          <t>ការជូនដំណឹង</t>
        </is>
      </c>
      <c r="I1175" s="217" t="inlineStr">
        <is>
          <t>"tms.thongBao": "ការជូនដំណឹង",</t>
        </is>
      </c>
      <c r="N1175" s="3" t="inlineStr"/>
    </row>
    <row r="1176" ht="15.75" customHeight="1" s="305">
      <c r="A1176" s="3" t="inlineStr">
        <is>
          <t>GiaoHang.titleUpdateStatusRefund</t>
        </is>
      </c>
      <c r="B1176" s="3" t="inlineStr">
        <is>
          <t>Thông báo chuyển hoàn</t>
        </is>
      </c>
      <c r="C1176" s="3" t="inlineStr">
        <is>
          <t>Return request</t>
        </is>
      </c>
      <c r="D1176" s="3">
        <f>IFERROR(__xludf.DUMMYFUNCTION("GOOGLETRANSLATE(B1176,""vi"",""km"")"),"ការជូនដំណឹងអំពីការសងប្រាក់វិញ")</f>
        <v/>
      </c>
      <c r="E1176" s="3" t="inlineStr">
        <is>
          <t>ការជូនដំណឹងអំពីការប្រគល់អីវ៉ាន់ត្រលប់</t>
        </is>
      </c>
      <c r="F1176" s="3" t="n"/>
      <c r="G1176" s="3" t="inlineStr">
        <is>
          <t>ជូនដំណឹងអំពីការប្រគល់ត្រឡប់</t>
        </is>
      </c>
      <c r="H1176" t="inlineStr">
        <is>
          <t>ជូនដំណឹងអំពីការប្រគល់ត្រឡប់</t>
        </is>
      </c>
      <c r="I1176" s="217" t="inlineStr">
        <is>
          <t>"GiaoHang.titleUpdateStatusRefund": "ជូនដំណឹងអំពីការប្រគល់ត្រឡប់",</t>
        </is>
      </c>
      <c r="N1176" s="163" t="inlineStr">
        <is>
          <t>សំណើត្រឡប់មកវិញ</t>
        </is>
      </c>
    </row>
    <row r="1177" ht="15.75" customHeight="1" s="305">
      <c r="A1177" s="3" t="inlineStr">
        <is>
          <t>mainStatus.460</t>
        </is>
      </c>
      <c r="B1177" s="3" t="inlineStr">
        <is>
          <t>Thông báo chuyển hoàn</t>
        </is>
      </c>
      <c r="C1177" s="3" t="inlineStr">
        <is>
          <t>Return request</t>
        </is>
      </c>
      <c r="D1177" s="3">
        <f>IFERROR(__xludf.DUMMYFUNCTION("GOOGLETRANSLATE(B1177,""vi"",""km"")"),"ការជូនដំណឹងអំពីការសងប្រាក់វិញ")</f>
        <v/>
      </c>
      <c r="E1177" s="3" t="inlineStr">
        <is>
          <t>ការជូនដំណឹងអំពីការប្រគល់អីវ៉ាន់ត្រលប់</t>
        </is>
      </c>
      <c r="F1177" s="3" t="n"/>
      <c r="G1177" s="3" t="inlineStr">
        <is>
          <t>ជូនដំណឹងអំពីការប្រគល់ត្រឡប់</t>
        </is>
      </c>
      <c r="H1177" t="inlineStr">
        <is>
          <t>ជូនដំណឹងអំពីការប្រគល់ត្រឡប់</t>
        </is>
      </c>
      <c r="I1177" s="217" t="inlineStr">
        <is>
          <t>"mainStatus.460": "ជូនដំណឹងអំពីការប្រគល់ត្រឡប់",</t>
        </is>
      </c>
      <c r="N1177" s="3" t="inlineStr">
        <is>
          <t>ជូនដំណឹងអំពីការផ្ទេរទំនិញត្រឡប់មកវិញ</t>
        </is>
      </c>
    </row>
    <row r="1178" ht="15.75" customHeight="1" s="305">
      <c r="A1178" s="3" t="inlineStr">
        <is>
          <t>traCuu.thongTin</t>
        </is>
      </c>
      <c r="B1178" s="3" t="inlineStr">
        <is>
          <t>Thông tin chung</t>
        </is>
      </c>
      <c r="C1178" s="3" t="inlineStr">
        <is>
          <t>Overview</t>
        </is>
      </c>
      <c r="D1178" s="3">
        <f>IFERROR(__xludf.DUMMYFUNCTION("GOOGLETRANSLATE(B1178,""vi"",""km"")"),"ព័ត៌មានទូទៅ")</f>
        <v/>
      </c>
      <c r="E1178" s="3" t="inlineStr">
        <is>
          <t>ព័ត៌មានទូទៅ</t>
        </is>
      </c>
      <c r="F1178" s="3" t="n"/>
      <c r="G1178" s="3" t="inlineStr">
        <is>
          <t>ព័ត៌មានទូទៅ</t>
        </is>
      </c>
      <c r="H1178" t="inlineStr">
        <is>
          <t>ព័ត៌មានទូទៅ</t>
        </is>
      </c>
      <c r="I1178" s="217" t="inlineStr">
        <is>
          <t>"traCuu.thongTin": "ព័ត៌មានទូទៅ",</t>
        </is>
      </c>
      <c r="N1178" s="3" t="inlineStr">
        <is>
          <t>ព័ត៌មាន​ទូទៅ</t>
        </is>
      </c>
    </row>
    <row r="1179" ht="15.75" customHeight="1" s="305">
      <c r="A1179" s="3" t="inlineStr">
        <is>
          <t>suaDon.titleModalCost</t>
        </is>
      </c>
      <c r="B1179" s="3" t="inlineStr">
        <is>
          <t>Thông tin cước phí</t>
        </is>
      </c>
      <c r="C1179" s="3" t="inlineStr">
        <is>
          <t>Fee details</t>
        </is>
      </c>
      <c r="D1179" s="3">
        <f>IFERROR(__xludf.DUMMYFUNCTION("GOOGLETRANSLATE(B1179,""vi"",""km"")"),"ព័ត៌មានអំពីថ្លៃសេវា")</f>
        <v/>
      </c>
      <c r="E1179" s="3" t="inlineStr">
        <is>
          <t>ព័ត៌មានថ្លៃសេវា</t>
        </is>
      </c>
      <c r="F1179" s="3" t="n"/>
      <c r="G1179" s="3" t="inlineStr">
        <is>
          <t>ព័ត៌មានថ្លៃសេវា</t>
        </is>
      </c>
      <c r="H1179" t="inlineStr">
        <is>
          <t>ព័ត៌មានថ្លៃសេវា</t>
        </is>
      </c>
      <c r="I1179" s="217" t="inlineStr">
        <is>
          <t>"suaDon.titleModalCost": "ព័ត៌មានថ្លៃសេវា",</t>
        </is>
      </c>
      <c r="N1179" s="3" t="inlineStr">
        <is>
          <t>ព័ត៌មានអំពីថ្លៃសេវា</t>
        </is>
      </c>
    </row>
    <row r="1180" ht="15.75" customHeight="1" s="305">
      <c r="A1180" s="3" t="inlineStr">
        <is>
          <t>taoDon.orderInfo2</t>
        </is>
      </c>
      <c r="B1180" s="3" t="inlineStr">
        <is>
          <t>Thông tin đơn</t>
        </is>
      </c>
      <c r="C1180" s="3" t="inlineStr">
        <is>
          <t>Order information</t>
        </is>
      </c>
      <c r="D1180" s="3">
        <f>IFERROR(__xludf.DUMMYFUNCTION("GOOGLETRANSLATE(B1180,""vi"",""km"")"),"ព័ត៌មានការបញ្ជាទិញ")</f>
        <v/>
      </c>
      <c r="E1180" s="3" t="inlineStr">
        <is>
          <t>ព័ត៌មានបុងបញ្ញើ</t>
        </is>
      </c>
      <c r="F1180" s="3" t="n"/>
      <c r="G1180" s="3" t="inlineStr">
        <is>
          <t>ព័ត៌មានបុងបញ្ញើ</t>
        </is>
      </c>
      <c r="H1180" t="inlineStr">
        <is>
          <t>ព័ត៌មានបុងបញ្ញើ</t>
        </is>
      </c>
      <c r="I1180" s="217" t="inlineStr">
        <is>
          <t>"taoDon.orderInfo2": "ព័ត៌មានបុងបញ្ញើ",</t>
        </is>
      </c>
      <c r="N1180" s="3" t="inlineStr">
        <is>
          <t>ព័ត៌មានបញ្ជី</t>
        </is>
      </c>
    </row>
    <row r="1181" ht="15.75" customHeight="1" s="305">
      <c r="A1181" s="3" t="inlineStr">
        <is>
          <t>GiaoHang.titleInfoOrder</t>
        </is>
      </c>
      <c r="B1181" s="3" t="inlineStr">
        <is>
          <t>Thông tin đơn hàng</t>
        </is>
      </c>
      <c r="C1181" s="3" t="inlineStr">
        <is>
          <t>Order information</t>
        </is>
      </c>
      <c r="D1181" s="3">
        <f>IFERROR(__xludf.DUMMYFUNCTION("GOOGLETRANSLATE(B1181,""vi"",""km"")"),"ព័ត៌មានការបញ្ជាទិញ")</f>
        <v/>
      </c>
      <c r="E1181" s="3" t="inlineStr">
        <is>
          <t>ព័ត៌មានបុងបញ្ញើ</t>
        </is>
      </c>
      <c r="F1181" s="3" t="n"/>
      <c r="G1181" s="3" t="inlineStr">
        <is>
          <t>ព័ត៌មានបុងបញ្ញើ</t>
        </is>
      </c>
      <c r="H1181" t="inlineStr">
        <is>
          <t>ព័ត៌មានបុងបញ្ញើ</t>
        </is>
      </c>
      <c r="I1181" s="217" t="inlineStr">
        <is>
          <t>"GiaoHang.titleInfoOrder": "ព័ត៌មានបុងបញ្ញើ",</t>
        </is>
      </c>
      <c r="N1181" s="3" t="inlineStr">
        <is>
          <t>ព័ត៌មានកញ្ចប់បញ្ញើ</t>
        </is>
      </c>
    </row>
    <row r="1182" ht="15.75" customHeight="1" s="305">
      <c r="A1182" s="3" t="inlineStr">
        <is>
          <t>taoDon.orderInfo</t>
        </is>
      </c>
      <c r="B1182" s="3" t="inlineStr">
        <is>
          <t>Thông tin đơn hàng</t>
        </is>
      </c>
      <c r="C1182" s="3" t="inlineStr">
        <is>
          <t>Order information</t>
        </is>
      </c>
      <c r="D1182" s="3">
        <f>IFERROR(__xludf.DUMMYFUNCTION("GOOGLETRANSLATE(B1182,""vi"",""km"")"),"ព័ត៌មានការបញ្ជាទិញ")</f>
        <v/>
      </c>
      <c r="E1182" s="3" t="inlineStr">
        <is>
          <t>ព័ត៌មានបុងបញ្ញើ</t>
        </is>
      </c>
      <c r="F1182" s="3" t="n"/>
      <c r="G1182" s="3" t="inlineStr">
        <is>
          <t>ព័ត៌មានបុងបញ្ញើ</t>
        </is>
      </c>
      <c r="H1182" t="inlineStr">
        <is>
          <t>ព័ត៌មានបុងបញ្ញើ</t>
        </is>
      </c>
      <c r="I1182" s="217" t="inlineStr">
        <is>
          <t>"taoDon.orderInfo": "ព័ត៌មានបុងបញ្ញើ",</t>
        </is>
      </c>
      <c r="N1182" s="3" t="inlineStr">
        <is>
          <t>ព័ត៌មានបញ្ជី</t>
        </is>
      </c>
    </row>
    <row r="1183" ht="15.75" customHeight="1" s="305">
      <c r="A1183" s="3" t="inlineStr">
        <is>
          <t>thanhtoan.payInfo</t>
        </is>
      </c>
      <c r="B1183" s="3" t="inlineStr">
        <is>
          <t>Thông tin giao dịch</t>
        </is>
      </c>
      <c r="C1183" s="3" t="inlineStr">
        <is>
          <t>Payment information</t>
        </is>
      </c>
      <c r="D1183" s="3">
        <f>IFERROR(__xludf.DUMMYFUNCTION("GOOGLETRANSLATE(B1183,""vi"",""km"")"),"ព័ត៌មានប្រតិបត្តិការ")</f>
        <v/>
      </c>
      <c r="E1183" s="3" t="inlineStr">
        <is>
          <t>ព័ត៌មានប្រតិបត្តិការ</t>
        </is>
      </c>
      <c r="F1183" s="3" t="n"/>
      <c r="G1183" s="3" t="inlineStr">
        <is>
          <t>ព័ត៌មានប្រតិបត្តិការ</t>
        </is>
      </c>
      <c r="H1183" t="inlineStr">
        <is>
          <t>ព័ត៌មានប្រតិបត្តិការ</t>
        </is>
      </c>
      <c r="I1183" s="217" t="inlineStr">
        <is>
          <t>"thanhtoan.payInfo": "ព័ត៌មានប្រតិបត្តិការ",</t>
        </is>
      </c>
      <c r="N1183" s="3" t="inlineStr"/>
    </row>
    <row r="1184" ht="15.75" customHeight="1" s="305">
      <c r="A1184" s="3" t="inlineStr">
        <is>
          <t>GiaoHang.titleInfoSendReceicer</t>
        </is>
      </c>
      <c r="B1184" s="3" t="inlineStr">
        <is>
          <t>Thông tin gửi nhận</t>
        </is>
      </c>
      <c r="C1184" s="3" t="inlineStr">
        <is>
          <t>Delivery details</t>
        </is>
      </c>
      <c r="D1184" s="3">
        <f>IFERROR(__xludf.DUMMYFUNCTION("GOOGLETRANSLATE(B1184,""vi"",""km"")"),"ព័ត៌មានដែលបានផ្ញើ និងទទួល")</f>
        <v/>
      </c>
      <c r="E1184" s="3" t="inlineStr">
        <is>
          <t>ព័ត៌មានផ្ញើ និងទទួល</t>
        </is>
      </c>
      <c r="F1184" s="3" t="n"/>
      <c r="G1184" s="3" t="inlineStr">
        <is>
          <t>ព័ត៌មានផ្ញើ និងទទួល</t>
        </is>
      </c>
      <c r="H1184" t="inlineStr">
        <is>
          <t>ព័ត៌មានផ្ញើ និងទទួល</t>
        </is>
      </c>
      <c r="I1184" s="217" t="inlineStr">
        <is>
          <t>"GiaoHang.titleInfoSendReceicer": "ព័ត៌មានផ្ញើ និងទទួល",</t>
        </is>
      </c>
      <c r="N1184" s="3" t="inlineStr">
        <is>
          <t>ព័ត៌មានផ្ញើនិងទទួល</t>
        </is>
      </c>
    </row>
    <row r="1185" ht="15.75" customHeight="1" s="305">
      <c r="A1185" s="3" t="inlineStr">
        <is>
          <t>traCuu.ttGuiNhan</t>
        </is>
      </c>
      <c r="B1185" s="3" t="inlineStr">
        <is>
          <t>Thông tin gửi nhận</t>
        </is>
      </c>
      <c r="C1185" s="3" t="inlineStr">
        <is>
          <t>Sender - recipient information</t>
        </is>
      </c>
      <c r="D1185" s="3">
        <f>IFERROR(__xludf.DUMMYFUNCTION("GOOGLETRANSLATE(B1185,""vi"",""km"")"),"ព័ត៌មានដែលបានផ្ញើ និងទទួល")</f>
        <v/>
      </c>
      <c r="E1185" s="3" t="inlineStr">
        <is>
          <t>ព័ត៌មានផ្ញើ និងទទួល</t>
        </is>
      </c>
      <c r="F1185" s="3" t="n"/>
      <c r="G1185" s="3" t="inlineStr">
        <is>
          <t>ព័ត៌មានផ្ញើ និងទទួល</t>
        </is>
      </c>
      <c r="H1185" t="inlineStr">
        <is>
          <t>ព័ត៌មានផ្ញើ និងទទួល</t>
        </is>
      </c>
      <c r="I1185" s="217" t="inlineStr">
        <is>
          <t>"traCuu.ttGuiNhan": "ព័ត៌មានផ្ញើ និងទទួល",</t>
        </is>
      </c>
      <c r="N1185" s="3" t="inlineStr">
        <is>
          <t>ព័ត៌មានផ្ញើ និងទទួល</t>
        </is>
      </c>
    </row>
    <row r="1186" ht="15.75" customHeight="1" s="305">
      <c r="A1186" s="3" t="inlineStr">
        <is>
          <t>GiaoHang.titleInfoOrder2</t>
        </is>
      </c>
      <c r="B1186" s="3" t="inlineStr">
        <is>
          <t>Thông tin hàng hoá</t>
        </is>
      </c>
      <c r="C1186" s="3" t="inlineStr">
        <is>
          <t>Freight information</t>
        </is>
      </c>
      <c r="D1186" s="3">
        <f>IFERROR(__xludf.DUMMYFUNCTION("GOOGLETRANSLATE(B1186,""vi"",""km"")"),"ព័ត៌មានផលិតផល")</f>
        <v/>
      </c>
      <c r="E1186" s="3" t="inlineStr">
        <is>
          <t>ព័ត៌មានអីវ៉ាន់</t>
        </is>
      </c>
      <c r="F1186" s="3" t="n"/>
      <c r="G1186" s="3" t="inlineStr">
        <is>
          <t>ព័ត៌មានអីវ៉ាន់</t>
        </is>
      </c>
      <c r="H1186" t="inlineStr">
        <is>
          <t>ព័ត៌មានអីវ៉ាន់</t>
        </is>
      </c>
      <c r="I1186" s="217" t="inlineStr">
        <is>
          <t>"GiaoHang.titleInfoOrder2": "ព័ត៌មានអីវ៉ាន់",</t>
        </is>
      </c>
      <c r="N1186" s="3" t="inlineStr">
        <is>
          <t>ព័ត៌មានទំនិញ</t>
        </is>
      </c>
    </row>
    <row r="1187" ht="15.75" customHeight="1" s="305">
      <c r="A1187" s="3" t="inlineStr">
        <is>
          <t>suaDon.thongtinHH</t>
        </is>
      </c>
      <c r="B1187" s="3" t="inlineStr">
        <is>
          <t>Thông tin hàng hoá</t>
        </is>
      </c>
      <c r="C1187" s="3" t="inlineStr">
        <is>
          <t xml:space="preserve">Freight information </t>
        </is>
      </c>
      <c r="D1187" s="3">
        <f>IFERROR(__xludf.DUMMYFUNCTION("GOOGLETRANSLATE(B1187,""vi"",""km"")"),"ព័ត៌មានផលិតផល")</f>
        <v/>
      </c>
      <c r="E1187" s="3" t="inlineStr">
        <is>
          <t>ព័ត៌មានអីវ៉ាន់</t>
        </is>
      </c>
      <c r="F1187" s="3" t="n"/>
      <c r="G1187" s="3" t="inlineStr">
        <is>
          <t>ព័ត៌មានអីវ៉ាន់</t>
        </is>
      </c>
      <c r="H1187" t="inlineStr">
        <is>
          <t>ព័ត៌មានអីវ៉ាន់</t>
        </is>
      </c>
      <c r="I1187" s="217" t="inlineStr">
        <is>
          <t>"suaDon.thongtinHH": "ព័ត៌មានអីវ៉ាន់",</t>
        </is>
      </c>
      <c r="N1187" s="3" t="inlineStr">
        <is>
          <t>ព័ត៌មានអំពីទំនិញ</t>
        </is>
      </c>
    </row>
    <row r="1188" ht="15.75" customHeight="1" s="305">
      <c r="A1188" s="3" t="inlineStr">
        <is>
          <t>traCuoc.infoGoods</t>
        </is>
      </c>
      <c r="B1188" s="3" t="inlineStr">
        <is>
          <t>Thông tin hàng hóa</t>
        </is>
      </c>
      <c r="C1188" s="3" t="inlineStr">
        <is>
          <t xml:space="preserve">Freight information </t>
        </is>
      </c>
      <c r="D1188" s="3">
        <f>IFERROR(__xludf.DUMMYFUNCTION("GOOGLETRANSLATE(B1188,""vi"",""km"")"),"ព័ត៌មានផលិតផល")</f>
        <v/>
      </c>
      <c r="E1188" s="3" t="inlineStr">
        <is>
          <t>ព័ត៌មានអីវ៉ាន់</t>
        </is>
      </c>
      <c r="F1188" s="3" t="n"/>
      <c r="G1188" s="3" t="inlineStr">
        <is>
          <t>ព័ត៌មានអីវ៉ាន់</t>
        </is>
      </c>
      <c r="H1188" t="inlineStr">
        <is>
          <t>ព័ត៌មានអីវ៉ាន់</t>
        </is>
      </c>
      <c r="I1188" s="217" t="inlineStr">
        <is>
          <t>"traCuoc.infoGoods": "ព័ត៌មានអីវ៉ាន់",</t>
        </is>
      </c>
      <c r="N1188" s="3" t="inlineStr">
        <is>
          <t>ព័ត៌មានអំពីទំនិញ</t>
        </is>
      </c>
    </row>
    <row r="1189" ht="15.75" customHeight="1" s="305">
      <c r="A1189" s="3" t="inlineStr">
        <is>
          <t>duyetHoan.infoLienLac</t>
        </is>
      </c>
      <c r="B1189" s="3" t="inlineStr">
        <is>
          <t>Thông tin liên lạc</t>
        </is>
      </c>
      <c r="C1189" s="3" t="inlineStr">
        <is>
          <t>Contacts</t>
        </is>
      </c>
      <c r="D1189" s="3">
        <f>IFERROR(__xludf.DUMMYFUNCTION("GOOGLETRANSLATE(B1189,""vi"",""km"")"),"ព័ត៌មានទំនាក់ទំនង")</f>
        <v/>
      </c>
      <c r="E1189" s="3" t="inlineStr">
        <is>
          <t>ព័ត៌មានទំនាក់ទំនង</t>
        </is>
      </c>
      <c r="F1189" s="3" t="n"/>
      <c r="G1189" s="3" t="inlineStr">
        <is>
          <t>ព័ត៌មានទំនាក់ទំនង</t>
        </is>
      </c>
      <c r="H1189" t="inlineStr">
        <is>
          <t>ព័ត៌មានទំនាក់ទំនង</t>
        </is>
      </c>
      <c r="I1189" s="217" t="inlineStr">
        <is>
          <t>"duyetHoan.infoLienLac": "ព័ត៌មានទំនាក់ទំនង",</t>
        </is>
      </c>
      <c r="N1189" s="3" t="inlineStr">
        <is>
          <t>ព័ត៌មានទំនាក់ទំនង</t>
        </is>
      </c>
    </row>
    <row r="1190" ht="15.75" customHeight="1" s="305">
      <c r="A1190" s="3" t="inlineStr">
        <is>
          <t>dieuHanh.personalInfor</t>
        </is>
      </c>
      <c r="B1190" s="3" t="inlineStr">
        <is>
          <t>Thông tin người gửi</t>
        </is>
      </c>
      <c r="C1190" s="3" t="inlineStr">
        <is>
          <t>Sender's information</t>
        </is>
      </c>
      <c r="D1190" s="3">
        <f>IFERROR(__xludf.DUMMYFUNCTION("GOOGLETRANSLATE(B1190,""vi"",""km"")"),"ព័ត៌មានអ្នកផ្ញើ")</f>
        <v/>
      </c>
      <c r="E1190" s="3" t="inlineStr">
        <is>
          <t>ព័ត៌មានអ្នកផ្ញើ</t>
        </is>
      </c>
      <c r="F1190" s="3" t="n"/>
      <c r="G1190" s="3" t="inlineStr">
        <is>
          <t>ព័ត៌មានអ្នកផ្ញើ</t>
        </is>
      </c>
      <c r="H1190" t="inlineStr">
        <is>
          <t>ព័ត៌មានអ្នកផ្ញើ</t>
        </is>
      </c>
      <c r="I1190" s="217" t="inlineStr">
        <is>
          <t>"dieuHanh.personalInfor": "ព័ត៌មានអ្នកផ្ញើ",</t>
        </is>
      </c>
      <c r="N1190" s="3" t="inlineStr">
        <is>
          <t>ព័ត៌មានអ្នកផ្ញើ</t>
        </is>
      </c>
    </row>
    <row r="1191" ht="15.75" customHeight="1" s="305">
      <c r="A1191" s="3" t="inlineStr">
        <is>
          <t>GiaoHang.titleInfoReceicer</t>
        </is>
      </c>
      <c r="B1191" s="3" t="inlineStr">
        <is>
          <t>Thông tin người nhận</t>
        </is>
      </c>
      <c r="C1191" s="3" t="inlineStr">
        <is>
          <t>Recipient information</t>
        </is>
      </c>
      <c r="D1191" s="3">
        <f>IFERROR(__xludf.DUMMYFUNCTION("GOOGLETRANSLATE(B1191,""vi"",""km"")"),"ព័ត៌មានអ្នកទទួល")</f>
        <v/>
      </c>
      <c r="E1191" s="3" t="inlineStr">
        <is>
          <t>ព័ត៌មានអ្នកទទួួល</t>
        </is>
      </c>
      <c r="F1191" s="3" t="n"/>
      <c r="G1191" s="3" t="inlineStr">
        <is>
          <t>ព័ត៌មានអ្នកទទួួល</t>
        </is>
      </c>
      <c r="H1191" t="inlineStr">
        <is>
          <t>ព័ត៌មានអ្នកទទួួល</t>
        </is>
      </c>
      <c r="I1191" s="217" t="inlineStr">
        <is>
          <t>"GiaoHang.titleInfoReceicer": "ព័ត៌មានអ្នកទទួួល",</t>
        </is>
      </c>
      <c r="N1191" s="3" t="inlineStr">
        <is>
          <t>Receicer info</t>
        </is>
      </c>
    </row>
    <row r="1192" ht="15.75" customHeight="1" s="305">
      <c r="A1192" s="3" t="inlineStr">
        <is>
          <t>suaDon.billInfo</t>
        </is>
      </c>
      <c r="B1192" s="3" t="inlineStr">
        <is>
          <t>THÔNG TIN PHIẾU GỬI</t>
        </is>
      </c>
      <c r="C1192" s="3" t="inlineStr">
        <is>
          <t xml:space="preserve">POSTAL SLIP DETAILS </t>
        </is>
      </c>
      <c r="D1192" s="3">
        <f>IFERROR(__xludf.DUMMYFUNCTION("GOOGLETRANSLATE(B1192,""vi"",""km"")"),"ព័ត៌មានអំពីបង្កាន់ដៃដឹកជញ្ជូន")</f>
        <v/>
      </c>
      <c r="E1192" s="3" t="inlineStr">
        <is>
          <t>ព័ត៌មានបុងបញ្ញើ</t>
        </is>
      </c>
      <c r="F1192" s="3" t="n"/>
      <c r="G1192" s="3" t="inlineStr">
        <is>
          <t>ព័ត៌មានបុងបញ្ញើ</t>
        </is>
      </c>
      <c r="H1192" t="inlineStr">
        <is>
          <t>ព័ត៌មានបុងបញ្ញើ</t>
        </is>
      </c>
      <c r="I1192" s="217" t="inlineStr">
        <is>
          <t>"suaDon.billInfo": "ព័ត៌មានបុងបញ្ញើ",</t>
        </is>
      </c>
      <c r="N1192" s="3" t="inlineStr">
        <is>
          <t>ព័ត៌មានកញ្ចប់បញ្ញើ</t>
        </is>
      </c>
    </row>
    <row r="1193" ht="15.75" customHeight="1" s="305">
      <c r="A1193" s="3" t="inlineStr">
        <is>
          <t>duyetHoan.infoOrder</t>
        </is>
      </c>
      <c r="B1193" s="3" t="inlineStr">
        <is>
          <t>Thông tin phiếu gửi</t>
        </is>
      </c>
      <c r="C1193" s="3" t="inlineStr">
        <is>
          <t>Postal slip information</t>
        </is>
      </c>
      <c r="D1193" s="3">
        <f>IFERROR(__xludf.DUMMYFUNCTION("GOOGLETRANSLATE(B1193,""vi"",""km"")"),"ព័ត៌មានអំពីប័ណ្ណដឹកជញ្ជូន")</f>
        <v/>
      </c>
      <c r="E1193" s="3" t="inlineStr">
        <is>
          <t>ព័ត៌មានបុងបញ្ញើ</t>
        </is>
      </c>
      <c r="F1193" s="3" t="n"/>
      <c r="G1193" s="3" t="inlineStr">
        <is>
          <t>ព័ត៌មានបុងបញ្ញើ</t>
        </is>
      </c>
      <c r="H1193" t="inlineStr">
        <is>
          <t>ព័ត៌មានបុងបញ្ញើ</t>
        </is>
      </c>
      <c r="I1193" s="217" t="inlineStr">
        <is>
          <t>"duyetHoan.infoOrder": "ព័ត៌មានបុងបញ្ញើ",</t>
        </is>
      </c>
      <c r="N1193" s="3" t="inlineStr">
        <is>
          <t>ព័ត៌មានបញ្ញើ</t>
        </is>
      </c>
    </row>
    <row r="1194" ht="15.75" customHeight="1" s="305">
      <c r="A1194" s="3" t="inlineStr">
        <is>
          <t>taoKien.thongTinTachKien</t>
        </is>
      </c>
      <c r="B1194" s="3" t="inlineStr">
        <is>
          <t>Thông tin tách kiện</t>
        </is>
      </c>
      <c r="C1194" s="3" t="inlineStr">
        <is>
          <t>Package Splitting Details</t>
        </is>
      </c>
      <c r="D1194" s="3">
        <f>IFERROR(__xludf.DUMMYFUNCTION("GOOGLETRANSLATE(B1194,""vi"",""km"")"),"ព័ត៌មានអំពីការបំបែកកញ្ចប់")</f>
        <v/>
      </c>
      <c r="E1194" s="3" t="inlineStr">
        <is>
          <t>ព័ត៌មានអំពីការបំបែកកញ្ចប់អីវ៉ាន់</t>
        </is>
      </c>
      <c r="F1194" s="3" t="n"/>
      <c r="G1194" s="3" t="inlineStr">
        <is>
          <t>ព័ត៌មានអំពីការបំបែកកញ្ចប់អីវ៉ាន់</t>
        </is>
      </c>
      <c r="H1194" t="inlineStr">
        <is>
          <t>ព័ត៌មានអំពីការបំបែកកញ្ចប់អីវ៉ាន់</t>
        </is>
      </c>
      <c r="I1194" s="217" t="inlineStr">
        <is>
          <t>"taoKien.thongTinTachKien": "ព័ត៌មានអំពីការបំបែកកញ្ចប់អីវ៉ាន់",</t>
        </is>
      </c>
      <c r="N1194" s="3" t="inlineStr"/>
    </row>
    <row r="1195" ht="15.75" customHeight="1" s="305">
      <c r="A1195" s="3" t="inlineStr">
        <is>
          <t>setting.accountinfo</t>
        </is>
      </c>
      <c r="B1195" s="3" t="inlineStr">
        <is>
          <t>Thông tin tài khoản &amp; Hợp đồng</t>
        </is>
      </c>
      <c r="C1195" s="3" t="inlineStr">
        <is>
          <t>Account &amp; Contract Details</t>
        </is>
      </c>
      <c r="D1195" s="3">
        <f>IFERROR(__xludf.DUMMYFUNCTION("GOOGLETRANSLATE(B1195,""vi"",""km"")"),"ព័ត៌មានគណនី និងកិច្ចសន្យា")</f>
        <v/>
      </c>
      <c r="E1195" s="3" t="inlineStr">
        <is>
          <t>ព័ត៌មានគណនី និងកិច្ចសន្យា</t>
        </is>
      </c>
      <c r="F1195" s="3" t="n"/>
      <c r="G1195" s="3" t="inlineStr">
        <is>
          <t>ព័ត៌មានគណនី និងកិច្ចសន្យា</t>
        </is>
      </c>
      <c r="H1195" t="inlineStr">
        <is>
          <t>ព័ត៌មានគណនី និងកិច្ចសន្យា</t>
        </is>
      </c>
      <c r="I1195" s="217" t="inlineStr">
        <is>
          <t>"setting.accountinfo": "ព័ត៌មានគណនី និងកិច្ចសន្យា",</t>
        </is>
      </c>
      <c r="N1195" s="3" t="inlineStr">
        <is>
          <t>ព័ត៌មានគណនី និងកិច្ចសន្យា</t>
        </is>
      </c>
    </row>
    <row r="1196" ht="15.75" customHeight="1" s="305">
      <c r="A1196" s="3" t="inlineStr">
        <is>
          <t>nhanHang.thu</t>
        </is>
      </c>
      <c r="B1196" s="3" t="inlineStr">
        <is>
          <t>Thư</t>
        </is>
      </c>
      <c r="C1196" s="3" t="inlineStr">
        <is>
          <t>Documents</t>
        </is>
      </c>
      <c r="D1196" s="3">
        <f>IFERROR(__xludf.DUMMYFUNCTION("GOOGLETRANSLATE(B1196,""vi"",""km"")"),"សំបុត្រ")</f>
        <v/>
      </c>
      <c r="E1196" s="3" t="inlineStr">
        <is>
          <t>សំបុត្រ</t>
        </is>
      </c>
      <c r="F1196" s="3" t="n"/>
      <c r="G1196" s="3" t="inlineStr">
        <is>
          <t>សំបុត្រ</t>
        </is>
      </c>
      <c r="H1196" t="inlineStr">
        <is>
          <t>សំបុត្រ</t>
        </is>
      </c>
      <c r="I1196" s="217" t="inlineStr">
        <is>
          <t>"nhanHang.thu": "សំបុត្រ",</t>
        </is>
      </c>
      <c r="N1196" s="3" t="inlineStr">
        <is>
          <t>សំបុត្រ</t>
        </is>
      </c>
    </row>
    <row r="1197" ht="15.75" customHeight="1" s="305">
      <c r="A1197" s="3" t="inlineStr">
        <is>
          <t>DongTai.titleMail</t>
        </is>
      </c>
      <c r="B1197" s="3" t="inlineStr">
        <is>
          <t>Thư</t>
        </is>
      </c>
      <c r="C1197" s="3" t="inlineStr">
        <is>
          <t>Documents</t>
        </is>
      </c>
      <c r="D1197" s="3">
        <f>IFERROR(__xludf.DUMMYFUNCTION("GOOGLETRANSLATE(B1197,""vi"",""km"")"),"សំបុត្រ")</f>
        <v/>
      </c>
      <c r="E1197" s="3" t="inlineStr">
        <is>
          <t>សំបុត្រ</t>
        </is>
      </c>
      <c r="F1197" s="3" t="n"/>
      <c r="G1197" s="3" t="inlineStr">
        <is>
          <t>សំបុត្រ</t>
        </is>
      </c>
      <c r="H1197" t="inlineStr">
        <is>
          <t>សំបុត្រ</t>
        </is>
      </c>
      <c r="I1197" s="217" t="inlineStr">
        <is>
          <t>"DongTai.titleMail": "សំបុត្រ",</t>
        </is>
      </c>
      <c r="N1197" s="3" t="inlineStr">
        <is>
          <t>សំបុត្រ</t>
        </is>
      </c>
    </row>
    <row r="1198" ht="15.75" customHeight="1" s="305">
      <c r="A1198" s="3" t="inlineStr">
        <is>
          <t>inDon.document</t>
        </is>
      </c>
      <c r="B1198" s="3" t="inlineStr">
        <is>
          <t>Thư</t>
        </is>
      </c>
      <c r="C1198" s="3" t="inlineStr">
        <is>
          <t>Documents</t>
        </is>
      </c>
      <c r="D1198" s="3">
        <f>IFERROR(__xludf.DUMMYFUNCTION("GOOGLETRANSLATE(B1198,""vi"",""km"")"),"សំបុត្រ")</f>
        <v/>
      </c>
      <c r="E1198" s="3" t="inlineStr">
        <is>
          <t>សំបុត្រ</t>
        </is>
      </c>
      <c r="F1198" s="3" t="n"/>
      <c r="G1198" s="3" t="inlineStr">
        <is>
          <t>សំបុត្រ</t>
        </is>
      </c>
      <c r="H1198" t="inlineStr">
        <is>
          <t>សំបុត្រ</t>
        </is>
      </c>
      <c r="I1198" s="217" t="inlineStr">
        <is>
          <t>"inDon.document": "សំបុត្រ",</t>
        </is>
      </c>
      <c r="N1198" s="3" t="inlineStr">
        <is>
          <t>ឯកសារ</t>
        </is>
      </c>
    </row>
    <row r="1199" ht="15.75" customHeight="1" s="305">
      <c r="A1199" s="3" t="inlineStr">
        <is>
          <t>traCuoc.document</t>
        </is>
      </c>
      <c r="B1199" s="3" t="inlineStr">
        <is>
          <t>Thư</t>
        </is>
      </c>
      <c r="C1199" s="3" t="inlineStr">
        <is>
          <t>Documents</t>
        </is>
      </c>
      <c r="D1199" s="3">
        <f>IFERROR(__xludf.DUMMYFUNCTION("GOOGLETRANSLATE(B1199,""vi"",""km"")"),"សំបុត្រ")</f>
        <v/>
      </c>
      <c r="E1199" s="3" t="inlineStr">
        <is>
          <t>សំបុត្រ</t>
        </is>
      </c>
      <c r="F1199" s="3" t="n"/>
      <c r="G1199" s="3" t="inlineStr">
        <is>
          <t>សំបុត្រ</t>
        </is>
      </c>
      <c r="H1199" t="inlineStr">
        <is>
          <t>សំបុត្រ</t>
        </is>
      </c>
      <c r="I1199" s="217" t="inlineStr">
        <is>
          <t>"traCuoc.document": "សំបុត្រ",</t>
        </is>
      </c>
      <c r="N1199" s="3" t="inlineStr">
        <is>
          <t>លិខិត</t>
        </is>
      </c>
    </row>
    <row r="1200" ht="15.75" customHeight="1" s="305">
      <c r="A1200" s="3" t="inlineStr">
        <is>
          <t>nhanHang.thongbaothucuocthanhcong</t>
        </is>
      </c>
      <c r="B1200" s="3" t="inlineStr">
        <is>
          <t>Thu cước {{count}} đơn hàng thành công</t>
        </is>
      </c>
      <c r="C1200" s="3" t="inlineStr">
        <is>
          <t>Successfully collected with xxx waybill</t>
        </is>
      </c>
      <c r="D1200" s="3">
        <f>IFERROR(__xludf.DUMMYFUNCTION("GOOGLETRANSLATE(B1200,""vi"",""km"")"),"ការទូទាត់សម្រាប់ការបញ្ជាទិញត្រូវបានប្រមូលដោយជោគជ័យ។")</f>
        <v/>
      </c>
      <c r="E1200" s="3" t="inlineStr">
        <is>
          <t>ការប្រមូលការទូទាត់ {{count}} បុងបញ្ញើដោយជោគជ័យ</t>
        </is>
      </c>
      <c r="F1200" s="3" t="n"/>
      <c r="G1200" s="3" t="inlineStr">
        <is>
          <t>ការប្រមូលការទូទាត់ {{count}} បុងបញ្ញើដោយជោគជ័យ</t>
        </is>
      </c>
      <c r="H1200" t="inlineStr">
        <is>
          <t>ការប្រមូលការទូទាត់ {{count}} បុងបញ្ញើដោយជោគជ័យ</t>
        </is>
      </c>
      <c r="I1200" s="217" t="inlineStr">
        <is>
          <t>"nhanHang.thongbaothucuocthanhcong": "ការប្រមូលការទូទាត់ {{count}} បុងបញ្ញើដោយជោគជ័យ",</t>
        </is>
      </c>
      <c r="N1200" s="3" t="inlineStr"/>
    </row>
    <row r="1201" ht="15.75" customHeight="1" s="305">
      <c r="A1201" s="3" t="inlineStr">
        <is>
          <t>taoDon.thuGon</t>
        </is>
      </c>
      <c r="B1201" s="3" t="inlineStr">
        <is>
          <t>Thu gọn</t>
        </is>
      </c>
      <c r="C1201" s="3" t="inlineStr">
        <is>
          <t>Collapse</t>
        </is>
      </c>
      <c r="D1201" s="3">
        <f>IFERROR(__xludf.DUMMYFUNCTION("GOOGLETRANSLATE(B1201,""vi"",""km"")"),"បង្រួម")</f>
        <v/>
      </c>
      <c r="E1201" s="3" t="inlineStr">
        <is>
          <t>បង្រួម</t>
        </is>
      </c>
      <c r="F1201" s="3" t="n"/>
      <c r="G1201" s="3" t="inlineStr">
        <is>
          <t>បង្រួម</t>
        </is>
      </c>
      <c r="H1201" t="inlineStr">
        <is>
          <t>បង្រួម</t>
        </is>
      </c>
      <c r="I1201" s="217" t="inlineStr">
        <is>
          <t>"taoDon.thuGon": "បង្រួម",</t>
        </is>
      </c>
      <c r="N1201" s="3" t="inlineStr">
        <is>
          <t>បង្រួម</t>
        </is>
      </c>
    </row>
    <row r="1202" ht="15.75" customHeight="1" s="305">
      <c r="A1202" s="3" t="inlineStr">
        <is>
          <t>debit.label_cod</t>
        </is>
      </c>
      <c r="B1202" s="3" t="inlineStr">
        <is>
          <t>Thu hộ</t>
        </is>
      </c>
      <c r="C1202" s="3" t="inlineStr">
        <is>
          <t>COD</t>
        </is>
      </c>
      <c r="D1202" s="3">
        <f>IFERROR(__xludf.DUMMYFUNCTION("GOOGLETRANSLATE(B1202,""vi"",""km"")"),"ការប្រមូល")</f>
        <v/>
      </c>
      <c r="E1202" s="3" t="inlineStr">
        <is>
          <t>ប្រមូលជំនួស</t>
        </is>
      </c>
      <c r="F1202" s="3" t="n"/>
      <c r="G1202" s="3" t="inlineStr">
        <is>
          <t>ប្រមូលប្រាក់ជំនួស</t>
        </is>
      </c>
      <c r="H1202" t="inlineStr">
        <is>
          <t>ប្រមូលប្រាក់ជំនួស</t>
        </is>
      </c>
      <c r="I1202" s="217" t="inlineStr">
        <is>
          <t>"debit.label_cod": "ប្រមូលប្រាក់ជំនួស",</t>
        </is>
      </c>
      <c r="N1202" s="3" t="inlineStr">
        <is>
          <t>ការប្រមូលប្រាក់ជំនួស</t>
        </is>
      </c>
    </row>
    <row r="1203" ht="15.75" customHeight="1" s="305">
      <c r="A1203" s="3" t="inlineStr">
        <is>
          <t>taoDon.collection</t>
        </is>
      </c>
      <c r="B1203" s="3" t="inlineStr">
        <is>
          <t>Thu hộ bằng giá trị hàng</t>
        </is>
      </c>
      <c r="C1203" s="3" t="inlineStr">
        <is>
          <t>Collection by freight value</t>
        </is>
      </c>
      <c r="D1203" s="3">
        <f>IFERROR(__xludf.DUMMYFUNCTION("GOOGLETRANSLATE(B1203,""vi"",""km"")"),"ប្រមូលការទូទាត់ដោយផ្អែកលើតម្លៃទំនិញ។")</f>
        <v/>
      </c>
      <c r="E1203" s="3" t="inlineStr">
        <is>
          <t>ប្រមូូលជំនួសស្មើតម្លៃអីវ៉ាន់</t>
        </is>
      </c>
      <c r="F1203" s="3" t="n"/>
      <c r="G1203" s="3" t="inlineStr">
        <is>
          <t>ប្រមូូលជំនួសស្មើតម្លៃអីវ៉ាន់</t>
        </is>
      </c>
      <c r="H1203" t="inlineStr">
        <is>
          <t>ប្រមូូលជំនួសស្មើតម្លៃអីវ៉ាន់</t>
        </is>
      </c>
      <c r="I1203" s="217" t="inlineStr">
        <is>
          <t>"taoDon.collection": "ប្រមូូលជំនួសស្មើតម្លៃអីវ៉ាន់",</t>
        </is>
      </c>
      <c r="N1203" s="3" t="inlineStr">
        <is>
          <t>បើកប្រាក់ទទួលតម្លៃទំនិញ</t>
        </is>
      </c>
    </row>
    <row r="1204" ht="15.75" customHeight="1" s="305">
      <c r="A1204" s="3" t="inlineStr">
        <is>
          <t>suaDon.CODCollection</t>
        </is>
      </c>
      <c r="B1204" s="3" t="inlineStr">
        <is>
          <t>Thu hộ COD</t>
        </is>
      </c>
      <c r="C1204" s="3" t="inlineStr">
        <is>
          <t>COD</t>
        </is>
      </c>
      <c r="D1204" s="3">
        <f>IFERROR(__xludf.DUMMYFUNCTION("GOOGLETRANSLATE(B1204,""vi"",""km"")"),"បង់ប្រាក់ពេលទទួលទំនិញ (COD)")</f>
        <v/>
      </c>
      <c r="E1204" s="3" t="inlineStr">
        <is>
          <t>ប្រមូលជំនួស (COD)</t>
        </is>
      </c>
      <c r="F1204" s="3" t="n"/>
      <c r="G1204" s="3" t="inlineStr">
        <is>
          <t>ប្រមូលប្រាក់ COD</t>
        </is>
      </c>
      <c r="H1204" t="inlineStr">
        <is>
          <t>ប្រមូលប្រាក់ COD</t>
        </is>
      </c>
      <c r="I1204" s="217" t="inlineStr">
        <is>
          <t>"suaDon.CODCollection": "ប្រមូលប្រាក់ COD",</t>
        </is>
      </c>
      <c r="N1204" s="3" t="inlineStr">
        <is>
          <t>ទទួលប្រាក់COD</t>
        </is>
      </c>
    </row>
    <row r="1205" ht="15.75" customHeight="1" s="305">
      <c r="A1205" s="3" t="inlineStr">
        <is>
          <t>suaDon.COD</t>
        </is>
      </c>
      <c r="B1205" s="3" t="inlineStr">
        <is>
          <t>Thu hộ COD</t>
        </is>
      </c>
      <c r="C1205" s="3" t="inlineStr">
        <is>
          <t>COD</t>
        </is>
      </c>
      <c r="D1205" s="3">
        <f>IFERROR(__xludf.DUMMYFUNCTION("GOOGLETRANSLATE(B1205,""vi"",""km"")"),"បង់ប្រាក់ពេលទទួលទំនិញ (COD)")</f>
        <v/>
      </c>
      <c r="E1205" s="3" t="inlineStr">
        <is>
          <t>ប្រមូលជំនួស (COD)</t>
        </is>
      </c>
      <c r="F1205" s="3" t="n"/>
      <c r="G1205" s="3" t="inlineStr">
        <is>
          <t>ប្រមូលប្រាក់ COD</t>
        </is>
      </c>
      <c r="H1205" t="inlineStr">
        <is>
          <t>ប្រមូលប្រាក់ COD</t>
        </is>
      </c>
      <c r="I1205" s="217" t="inlineStr">
        <is>
          <t>"suaDon.COD": "ប្រមូលប្រាក់ COD",</t>
        </is>
      </c>
      <c r="N1205" s="3" t="inlineStr">
        <is>
          <t>ទទួលប្រាក់ជំនួស COD</t>
        </is>
      </c>
    </row>
    <row r="1206" ht="15.75" customHeight="1" s="305">
      <c r="A1206" s="3" t="inlineStr">
        <is>
          <t>traCuoc.placeholderCod</t>
        </is>
      </c>
      <c r="B1206" s="3" t="inlineStr">
        <is>
          <t>Thu hộ COD</t>
        </is>
      </c>
      <c r="C1206" s="3" t="inlineStr">
        <is>
          <t>COD</t>
        </is>
      </c>
      <c r="D1206" s="3">
        <f>IFERROR(__xludf.DUMMYFUNCTION("GOOGLETRANSLATE(B1206,""vi"",""km"")"),"បង់ប្រាក់ពេលទទួលទំនិញ (COD)")</f>
        <v/>
      </c>
      <c r="E1206" s="3" t="inlineStr">
        <is>
          <t>ប្រមូលជំនួស (COD)</t>
        </is>
      </c>
      <c r="F1206" s="3" t="n"/>
      <c r="G1206" s="3" t="inlineStr">
        <is>
          <t>ប្រមូលប្រាក់ COD</t>
        </is>
      </c>
      <c r="H1206" t="inlineStr">
        <is>
          <t>ប្រមូលប្រាក់ COD</t>
        </is>
      </c>
      <c r="I1206" s="217" t="inlineStr">
        <is>
          <t>"traCuoc.placeholderCod": "ប្រមូលប្រាក់ COD",</t>
        </is>
      </c>
      <c r="N1206" s="3" t="inlineStr">
        <is>
          <t>ប្រាក់ COD</t>
        </is>
      </c>
    </row>
    <row r="1207" ht="15.75" customHeight="1" s="305">
      <c r="A1207" s="3" t="inlineStr">
        <is>
          <t>home.thunhap</t>
        </is>
      </c>
      <c r="B1207" s="3" t="inlineStr">
        <is>
          <t>Thu nhập</t>
        </is>
      </c>
      <c r="C1207" s="3" t="inlineStr">
        <is>
          <t>Income</t>
        </is>
      </c>
      <c r="D1207" s="3">
        <f>IFERROR(__xludf.DUMMYFUNCTION("GOOGLETRANSLATE(B1207,""vi"",""km"")"),"ប្រាក់ចំណូល")</f>
        <v/>
      </c>
      <c r="E1207" s="3" t="inlineStr">
        <is>
          <t>ប្រាក់ចំណូល</t>
        </is>
      </c>
      <c r="F1207" s="3" t="n"/>
      <c r="G1207" s="3" t="inlineStr">
        <is>
          <t>ចំណូល</t>
        </is>
      </c>
      <c r="H1207" t="inlineStr">
        <is>
          <t>ចំណូល</t>
        </is>
      </c>
      <c r="I1207" s="217" t="inlineStr">
        <is>
          <t>"home.thunhap": "ចំណូល",</t>
        </is>
      </c>
      <c r="N1207" s="163" t="inlineStr">
        <is>
          <t>ចំណូល</t>
        </is>
      </c>
    </row>
    <row r="1208" ht="15.75" customHeight="1" s="305">
      <c r="A1208" s="3" t="inlineStr">
        <is>
          <t>taoDon.cashOnDelivery</t>
        </is>
      </c>
      <c r="B1208" s="3" t="inlineStr">
        <is>
          <t>Thu tiền xem hàng</t>
        </is>
      </c>
      <c r="C1208" s="3" t="inlineStr">
        <is>
          <t>Cash on delivery</t>
        </is>
      </c>
      <c r="D1208" s="3">
        <f>IFERROR(__xludf.DUMMYFUNCTION("GOOGLETRANSLATE(B1208,""vi"",""km"")"),"ទទួលប្រាក់សម្រាប់ការមើលទំនិញ។")</f>
        <v/>
      </c>
      <c r="E1208" s="3" t="inlineStr">
        <is>
          <t>ប្រមូលប្រាក់មើលអីវ៉ាន់</t>
        </is>
      </c>
      <c r="F1208" s="3" t="n"/>
      <c r="G1208" s="3" t="inlineStr">
        <is>
          <t>ប្រមូលប្រាក់មើលអីវ៉ាន់</t>
        </is>
      </c>
      <c r="H1208" t="inlineStr">
        <is>
          <t>ប្រមូលប្រាក់មើលអីវ៉ាន់</t>
        </is>
      </c>
      <c r="I1208" s="217" t="inlineStr">
        <is>
          <t>"taoDon.cashOnDelivery": "ប្រមូលប្រាក់មើលអីវ៉ាន់",</t>
        </is>
      </c>
      <c r="N1208" s="3" t="inlineStr">
        <is>
          <t>ទទួលប្រាក់ទៅលើទំនិញ</t>
        </is>
      </c>
    </row>
    <row r="1209" ht="15.75" customHeight="1" s="305">
      <c r="A1209" s="3" t="inlineStr">
        <is>
          <t>KiemKe.redudant</t>
        </is>
      </c>
      <c r="B1209" s="3" t="inlineStr">
        <is>
          <t>Thừa</t>
        </is>
      </c>
      <c r="C1209" s="3" t="inlineStr">
        <is>
          <t>Surplus</t>
        </is>
      </c>
      <c r="D1209" s="3">
        <f>IFERROR(__xludf.DUMMYFUNCTION("GOOGLETRANSLATE(B1209,""vi"",""km"")"),"លើស")</f>
        <v/>
      </c>
      <c r="E1209" s="3" t="inlineStr">
        <is>
          <t>លើស</t>
        </is>
      </c>
      <c r="F1209" s="3" t="n"/>
      <c r="G1209" s="3" t="inlineStr">
        <is>
          <t>លើស</t>
        </is>
      </c>
      <c r="H1209" t="inlineStr">
        <is>
          <t>លើស</t>
        </is>
      </c>
      <c r="I1209" s="217" t="inlineStr">
        <is>
          <t>"KiemKe.redudant": "លើស",</t>
        </is>
      </c>
      <c r="N1209" s="163" t="inlineStr">
        <is>
          <t>អតិរេក</t>
        </is>
      </c>
    </row>
    <row r="1210" ht="15.75" customHeight="1" s="305">
      <c r="A1210" s="3" t="inlineStr">
        <is>
          <t>traCuu.tienCuoc</t>
        </is>
      </c>
      <c r="B1210" s="3" t="inlineStr">
        <is>
          <t>Tiền cước</t>
        </is>
      </c>
      <c r="C1210" s="3" t="inlineStr">
        <is>
          <t>Fee</t>
        </is>
      </c>
      <c r="D1210" s="3">
        <f>IFERROR(__xludf.DUMMYFUNCTION("GOOGLETRANSLATE(B1210,""vi"",""km"")"),"តម្លៃសំបុត្រ")</f>
        <v/>
      </c>
      <c r="E1210" s="3" t="inlineStr">
        <is>
          <t>ថ្លៃសេវា</t>
        </is>
      </c>
      <c r="F1210" s="3" t="n"/>
      <c r="G1210" s="3" t="inlineStr">
        <is>
          <t>ថ្លៃសេវា</t>
        </is>
      </c>
      <c r="H1210" t="inlineStr">
        <is>
          <t>ថ្លៃសេវា</t>
        </is>
      </c>
      <c r="I1210" s="217" t="inlineStr">
        <is>
          <t>"traCuu.tienCuoc": "ថ្លៃសេវា",</t>
        </is>
      </c>
      <c r="N1210" s="3" t="inlineStr">
        <is>
          <t>ថ្លៃសេវា</t>
        </is>
      </c>
    </row>
    <row r="1211" ht="15.75" customHeight="1" s="305">
      <c r="A1211" s="3" t="inlineStr">
        <is>
          <t>traCuu.tienPhaiThu</t>
        </is>
      </c>
      <c r="B1211" s="3" t="inlineStr">
        <is>
          <t>Tiền phải thu</t>
        </is>
      </c>
      <c r="C1211" s="3" t="inlineStr">
        <is>
          <t>Accounts receivable</t>
        </is>
      </c>
      <c r="D1211" s="3">
        <f>IFERROR(__xludf.DUMMYFUNCTION("GOOGLETRANSLATE(B1211,""vi"",""km"")"),"គណនី​ទទួល​បាន")</f>
        <v/>
      </c>
      <c r="E1211" s="3" t="inlineStr">
        <is>
          <t>ប្រាក់ត្រូវប្រមូល</t>
        </is>
      </c>
      <c r="F1211" s="3" t="n"/>
      <c r="G1211" s="3" t="inlineStr">
        <is>
          <t>ប្រាក់ត្រូវប្រមូល</t>
        </is>
      </c>
      <c r="H1211" t="inlineStr">
        <is>
          <t>ប្រាក់ត្រូវប្រមូល</t>
        </is>
      </c>
      <c r="I1211" s="217" t="inlineStr">
        <is>
          <t>"traCuu.tienPhaiThu": "ប្រាក់ត្រូវប្រមូល",</t>
        </is>
      </c>
      <c r="N1211" s="3" t="inlineStr">
        <is>
          <t>ថ្លៃសេវាត្រូវប្រមូល</t>
        </is>
      </c>
    </row>
    <row r="1212" ht="15.75" customHeight="1" s="305">
      <c r="A1212" s="3" t="inlineStr">
        <is>
          <t>traCuu.cod</t>
        </is>
      </c>
      <c r="B1212" s="3" t="inlineStr">
        <is>
          <t>Tiền thu hộ</t>
        </is>
      </c>
      <c r="C1212" s="3" t="inlineStr">
        <is>
          <t>COD</t>
        </is>
      </c>
      <c r="D1212" s="3">
        <f>IFERROR(__xludf.DUMMYFUNCTION("GOOGLETRANSLATE(B1212,""vi"",""km"")"),"ប្រាក់ដែលប្រមូលបានក្នុងនាមអ្នកដទៃ")</f>
        <v/>
      </c>
      <c r="E1212" s="3" t="inlineStr">
        <is>
          <t>ប្រាក់ទទួលជំនួស</t>
        </is>
      </c>
      <c r="F1212" s="3" t="n"/>
      <c r="G1212" s="3" t="inlineStr">
        <is>
          <t>ប្រាក់ប្រមូលជំនួស (COD)</t>
        </is>
      </c>
      <c r="H1212" t="inlineStr">
        <is>
          <t>ប្រាក់ប្រមូលជំនួស (COD)</t>
        </is>
      </c>
      <c r="I1212" s="217" t="inlineStr">
        <is>
          <t>"traCuu.cod": "ប្រាក់ប្រមូលជំនួស (COD)",</t>
        </is>
      </c>
      <c r="N1212" s="163" t="inlineStr">
        <is>
          <t>COD</t>
        </is>
      </c>
    </row>
    <row r="1213" ht="15.75" customHeight="1" s="305">
      <c r="A1213" s="3" t="inlineStr">
        <is>
          <t>suaDon.VATmoney</t>
        </is>
      </c>
      <c r="B1213" s="3" t="inlineStr">
        <is>
          <t>Tiền VAT</t>
        </is>
      </c>
      <c r="C1213" s="3" t="inlineStr">
        <is>
          <t>VAT</t>
        </is>
      </c>
      <c r="D1213" s="3">
        <f>IFERROR(__xludf.DUMMYFUNCTION("GOOGLETRANSLATE(B1213,""vi"",""km"")"),"អាករលើតម្លៃបន្ថែម")</f>
        <v/>
      </c>
      <c r="E1213" s="3" t="inlineStr">
        <is>
          <t>ប្រាក់ VAT</t>
        </is>
      </c>
      <c r="F1213" s="3" t="n"/>
      <c r="G1213" s="3" t="inlineStr">
        <is>
          <t>ប្រាក់ VAT</t>
        </is>
      </c>
      <c r="H1213" t="inlineStr">
        <is>
          <t>ប្រាក់ VAT</t>
        </is>
      </c>
      <c r="I1213" s="217" t="inlineStr">
        <is>
          <t>"suaDon.VATmoney": "ប្រាក់ VAT",</t>
        </is>
      </c>
      <c r="N1213" s="3" t="inlineStr">
        <is>
          <t>ថ្លៃ VAT</t>
        </is>
      </c>
    </row>
    <row r="1214" ht="15.75" customHeight="1" s="305">
      <c r="A1214" s="3" t="inlineStr">
        <is>
          <t>common.english</t>
        </is>
      </c>
      <c r="B1214" s="3" t="inlineStr">
        <is>
          <t>Tiếng Anh</t>
        </is>
      </c>
      <c r="C1214" s="3" t="inlineStr">
        <is>
          <t>English</t>
        </is>
      </c>
      <c r="D1214" s="3">
        <f>IFERROR(__xludf.DUMMYFUNCTION("GOOGLETRANSLATE(B1214,""vi"",""km"")"),"អង់គ្លេស")</f>
        <v/>
      </c>
      <c r="E1214" s="3" t="inlineStr">
        <is>
          <t>ភាសាអង់គ្លេស</t>
        </is>
      </c>
      <c r="F1214" s="3" t="n"/>
      <c r="G1214" s="3" t="inlineStr">
        <is>
          <t>ភាសាអង់គ្លេស</t>
        </is>
      </c>
      <c r="H1214" t="inlineStr">
        <is>
          <t>ភាសាអង់គ្លេស</t>
        </is>
      </c>
      <c r="I1214" s="217" t="inlineStr">
        <is>
          <t>"common.english": "ភាសាអង់គ្លេស",</t>
        </is>
      </c>
      <c r="N1214" s="3" t="inlineStr">
        <is>
          <t>ភាសាអង់គ្លេស</t>
        </is>
      </c>
    </row>
    <row r="1215" ht="15.75" customHeight="1" s="305">
      <c r="A1215" s="3" t="inlineStr">
        <is>
          <t>common.cam</t>
        </is>
      </c>
      <c r="B1215" s="3" t="inlineStr">
        <is>
          <t>Tiếng Campuchia</t>
        </is>
      </c>
      <c r="C1215" s="3" t="inlineStr">
        <is>
          <t>Khmer</t>
        </is>
      </c>
      <c r="D1215" s="3">
        <f>IFERROR(__xludf.DUMMYFUNCTION("GOOGLETRANSLATE(B1215,""vi"",""km"")"),"ភាសាខ្មែរ")</f>
        <v/>
      </c>
      <c r="E1215" s="3" t="inlineStr">
        <is>
          <t>ភាសាកម្ពុជា</t>
        </is>
      </c>
      <c r="F1215" s="3" t="n"/>
      <c r="G1215" s="3" t="inlineStr">
        <is>
          <t>ភាសាកម្ពុជា</t>
        </is>
      </c>
      <c r="H1215" t="inlineStr">
        <is>
          <t>ភាសាកម្ពុជា</t>
        </is>
      </c>
      <c r="I1215" s="217" t="inlineStr">
        <is>
          <t>"common.cam": "ភាសាកម្ពុជា",</t>
        </is>
      </c>
      <c r="N1215" s="3" t="inlineStr">
        <is>
          <t>ភາສາខ្មែរ</t>
        </is>
      </c>
    </row>
    <row r="1216" ht="15.75" customHeight="1" s="305">
      <c r="A1216" s="3" t="inlineStr">
        <is>
          <t>common.lao</t>
        </is>
      </c>
      <c r="B1216" s="3" t="inlineStr">
        <is>
          <t>Tiếng Lào</t>
        </is>
      </c>
      <c r="C1216" s="3" t="inlineStr">
        <is>
          <t>Laos</t>
        </is>
      </c>
      <c r="D1216" s="3">
        <f>IFERROR(__xludf.DUMMYFUNCTION("GOOGLETRANSLATE(B1216,""vi"",""km"")"),"ភាសាឡាវ")</f>
        <v/>
      </c>
      <c r="E1216" s="3" t="inlineStr">
        <is>
          <t>ភាសាឡាវ</t>
        </is>
      </c>
      <c r="F1216" s="3" t="n"/>
      <c r="G1216" s="3" t="inlineStr">
        <is>
          <t>ភាសាឡាវ</t>
        </is>
      </c>
      <c r="H1216" t="inlineStr">
        <is>
          <t>ភាសាឡាវ</t>
        </is>
      </c>
      <c r="I1216" s="217" t="inlineStr">
        <is>
          <t>"common.lao": "ភាសាឡាវ",</t>
        </is>
      </c>
      <c r="N1216" s="3" t="inlineStr">
        <is>
          <t>ພາສາລາວ</t>
        </is>
      </c>
    </row>
    <row r="1217" ht="15.75" customHeight="1" s="305">
      <c r="A1217" s="3" t="inlineStr">
        <is>
          <t>common.my</t>
        </is>
      </c>
      <c r="B1217" s="3" t="inlineStr">
        <is>
          <t>Tiếng Myanmar</t>
        </is>
      </c>
      <c r="C1217" s="3" t="inlineStr">
        <is>
          <t>Burmese</t>
        </is>
      </c>
      <c r="D1217" s="3">
        <f>IFERROR(__xludf.DUMMYFUNCTION("GOOGLETRANSLATE(B1217,""vi"",""km"")"),"ភាសាមីយ៉ាន់ម៉ា")</f>
        <v/>
      </c>
      <c r="E1217" s="3" t="inlineStr">
        <is>
          <t>ភាសាមីយ៉ាន់ម៉ា</t>
        </is>
      </c>
      <c r="F1217" s="3" t="n"/>
      <c r="G1217" s="3" t="inlineStr">
        <is>
          <t>ភាសាមីយ៉ាន់ម៉ា</t>
        </is>
      </c>
      <c r="H1217" t="inlineStr">
        <is>
          <t>ភាសាមីយ៉ាន់ម៉ា</t>
        </is>
      </c>
      <c r="I1217" s="217" t="inlineStr">
        <is>
          <t>"common.my": "ភាសាមីយ៉ាន់ម៉ា",</t>
        </is>
      </c>
      <c r="N1217" s="3" t="inlineStr">
        <is>
          <t>မြန်မာဘာသာ</t>
        </is>
      </c>
    </row>
    <row r="1218" ht="15.75" customHeight="1" s="305">
      <c r="A1218" s="3" t="inlineStr">
        <is>
          <t>common.vietnam</t>
        </is>
      </c>
      <c r="B1218" s="3" t="inlineStr">
        <is>
          <t>Tiếng Việt</t>
        </is>
      </c>
      <c r="C1218" s="3" t="inlineStr">
        <is>
          <t>Vietnamese</t>
        </is>
      </c>
      <c r="D1218" s="3">
        <f>IFERROR(__xludf.DUMMYFUNCTION("GOOGLETRANSLATE(B1218,""vi"",""km"")"),"វៀតណាម")</f>
        <v/>
      </c>
      <c r="E1218" s="3" t="inlineStr">
        <is>
          <t>ភាសាវៀតណាម</t>
        </is>
      </c>
      <c r="F1218" s="3" t="n"/>
      <c r="G1218" s="3" t="inlineStr">
        <is>
          <t>ភាសាវៀតណាម</t>
        </is>
      </c>
      <c r="H1218" t="inlineStr">
        <is>
          <t>ភាសាវៀតណាម</t>
        </is>
      </c>
      <c r="I1218" s="217" t="inlineStr">
        <is>
          <t>"common.vietnam": "ភាសាវៀតណាម",</t>
        </is>
      </c>
      <c r="N1218" s="3" t="inlineStr">
        <is>
          <t>ភាសាវៀតណាម</t>
        </is>
      </c>
    </row>
    <row r="1219" ht="15.75" customHeight="1" s="305">
      <c r="A1219" s="3" t="inlineStr">
        <is>
          <t>login.continue</t>
        </is>
      </c>
      <c r="B1219" s="3" t="inlineStr">
        <is>
          <t>Tiếp tục</t>
        </is>
      </c>
      <c r="C1219" s="3" t="inlineStr">
        <is>
          <t>Next</t>
        </is>
      </c>
      <c r="D1219" s="3">
        <f>IFERROR(__xludf.DUMMYFUNCTION("GOOGLETRANSLATE(B1219,""vi"",""km"")"),"បន្ត")</f>
        <v/>
      </c>
      <c r="E1219" s="3" t="inlineStr">
        <is>
          <t>បន្ត</t>
        </is>
      </c>
      <c r="F1219" s="3" t="n"/>
      <c r="G1219" s="3" t="inlineStr">
        <is>
          <t>បន្ត</t>
        </is>
      </c>
      <c r="H1219" t="inlineStr">
        <is>
          <t>បន្ត</t>
        </is>
      </c>
      <c r="I1219" s="217" t="inlineStr">
        <is>
          <t>"login.continue": "បន្ត",</t>
        </is>
      </c>
      <c r="N1219" s="3" t="inlineStr">
        <is>
          <t>ចូលទៅក្នុងapp</t>
        </is>
      </c>
    </row>
    <row r="1220" ht="15.75" customHeight="1" s="305">
      <c r="A1220" s="3" t="inlineStr">
        <is>
          <t>nhanHang.tiepTucNhan</t>
        </is>
      </c>
      <c r="B1220" s="3" t="inlineStr">
        <is>
          <t>Tiếp tục nhận</t>
        </is>
      </c>
      <c r="C1220" s="3" t="inlineStr">
        <is>
          <t>Continue receiving</t>
        </is>
      </c>
      <c r="D1220" s="3">
        <f>IFERROR(__xludf.DUMMYFUNCTION("GOOGLETRANSLATE(B1220,""vi"",""km"")"),"បន្តទទួល")</f>
        <v/>
      </c>
      <c r="E1220" s="3" t="inlineStr">
        <is>
          <t>បន្តទទួល</t>
        </is>
      </c>
      <c r="F1220" s="3" t="n"/>
      <c r="G1220" s="3" t="inlineStr">
        <is>
          <t>បន្តទទួល</t>
        </is>
      </c>
      <c r="H1220" t="inlineStr">
        <is>
          <t>បន្តទទួល</t>
        </is>
      </c>
      <c r="I1220" s="217" t="inlineStr">
        <is>
          <t>"nhanHang.tiepTucNhan": "បន្តទទួល",</t>
        </is>
      </c>
      <c r="N1220" s="3" t="inlineStr"/>
    </row>
    <row r="1221" ht="15.75" customHeight="1" s="305">
      <c r="A1221" s="3" t="inlineStr">
        <is>
          <t>taoDon.continueCreatingOrder</t>
        </is>
      </c>
      <c r="B1221" s="3" t="inlineStr">
        <is>
          <t>Tiếp tục tạo đơn</t>
        </is>
      </c>
      <c r="C1221" s="3" t="inlineStr">
        <is>
          <t>New order</t>
        </is>
      </c>
      <c r="D1221" s="3">
        <f>IFERROR(__xludf.DUMMYFUNCTION("GOOGLETRANSLATE(B1221,""vi"",""km"")"),"បន្តបង្កើតការបញ្ជាទិញ")</f>
        <v/>
      </c>
      <c r="E1221" s="3" t="inlineStr">
        <is>
          <t>បន្តបង្កើតបុងបញ្ញើ</t>
        </is>
      </c>
      <c r="F1221" s="3" t="n"/>
      <c r="G1221" s="3" t="inlineStr">
        <is>
          <t>បន្តបង្កើតបុងបញ្ញើ</t>
        </is>
      </c>
      <c r="H1221" t="inlineStr">
        <is>
          <t>បន្តបង្កើតបុងបញ្ញើ</t>
        </is>
      </c>
      <c r="I1221" s="217" t="inlineStr">
        <is>
          <t>"taoDon.continueCreatingOrder": "បន្តបង្កើតបុងបញ្ញើ",</t>
        </is>
      </c>
      <c r="N1221" s="3" t="inlineStr">
        <is>
          <t>បន្តបង្កើតបញ្ជី</t>
        </is>
      </c>
    </row>
    <row r="1222" ht="15.75" customHeight="1" s="305">
      <c r="A1222" s="3" t="inlineStr">
        <is>
          <t>common.search</t>
        </is>
      </c>
      <c r="B1222" s="3" t="inlineStr">
        <is>
          <t>Tìm kiếm</t>
        </is>
      </c>
      <c r="C1222" s="3" t="inlineStr">
        <is>
          <t>Search</t>
        </is>
      </c>
      <c r="D1222" s="3">
        <f>IFERROR(__xludf.DUMMYFUNCTION("GOOGLETRANSLATE(B1222,""vi"",""km"")"),"ស្វែងរក")</f>
        <v/>
      </c>
      <c r="E1222" s="3" t="inlineStr">
        <is>
          <t>ស្វែងរក</t>
        </is>
      </c>
      <c r="F1222" s="3" t="n"/>
      <c r="G1222" s="3" t="inlineStr">
        <is>
          <t>ស្វែងរក</t>
        </is>
      </c>
      <c r="H1222" t="inlineStr">
        <is>
          <t>ស្វែងរក</t>
        </is>
      </c>
      <c r="I1222" s="217" t="inlineStr">
        <is>
          <t>"common.search": "ស្វែងរក",</t>
        </is>
      </c>
      <c r="N1222" s="3" t="inlineStr">
        <is>
          <t>ស្វែងរក</t>
        </is>
      </c>
    </row>
    <row r="1223" ht="15.75" customHeight="1" s="305">
      <c r="A1223" s="3" t="inlineStr">
        <is>
          <t>taoDon.searchDeliveryStore</t>
        </is>
      </c>
      <c r="B1223" s="3" t="inlineStr">
        <is>
          <t>Tìm kiếm cửa hàng</t>
        </is>
      </c>
      <c r="C1223" s="3" t="inlineStr">
        <is>
          <t>Search Store</t>
        </is>
      </c>
      <c r="D1223" s="3">
        <f>IFERROR(__xludf.DUMMYFUNCTION("GOOGLETRANSLATE(B1223,""vi"",""km"")"),"ស្វែងរកហាង")</f>
        <v/>
      </c>
      <c r="E1223" s="3" t="inlineStr">
        <is>
          <t>ស្វែងរកហាង</t>
        </is>
      </c>
      <c r="F1223" s="3" t="n"/>
      <c r="G1223" s="3" t="inlineStr">
        <is>
          <t>ស្វែងរកហាង</t>
        </is>
      </c>
      <c r="H1223" t="inlineStr">
        <is>
          <t>ស្វែងរកហាង</t>
        </is>
      </c>
      <c r="I1223" s="217" t="inlineStr">
        <is>
          <t>"taoDon.searchDeliveryStore": "ស្វែងរកហាង",</t>
        </is>
      </c>
      <c r="N1223" s="3" t="inlineStr"/>
    </row>
    <row r="1224" ht="15.75" customHeight="1" s="305">
      <c r="A1224" s="3" t="inlineStr">
        <is>
          <t>taoKien.placeholderSearchTaiKien</t>
        </is>
      </c>
      <c r="B1224" s="3" t="inlineStr">
        <is>
          <t>Tìm kiếm đơn</t>
        </is>
      </c>
      <c r="C1224" s="3" t="inlineStr">
        <is>
          <t>Search</t>
        </is>
      </c>
      <c r="D1224" s="3">
        <f>IFERROR(__xludf.DUMMYFUNCTION("GOOGLETRANSLATE(B1224,""vi"",""km"")"),"ស្វែងរកការបញ្ជាទិញ")</f>
        <v/>
      </c>
      <c r="E1224" s="3" t="inlineStr">
        <is>
          <t>ស្វែងរកបុងបញ្ញើ</t>
        </is>
      </c>
      <c r="F1224" s="3" t="n"/>
      <c r="G1224" s="3" t="inlineStr">
        <is>
          <t>ស្វែងរកបុងបញ្ញើ</t>
        </is>
      </c>
      <c r="H1224" t="inlineStr">
        <is>
          <t>ស្វែងរកបុងបញ្ញើ</t>
        </is>
      </c>
      <c r="I1224" s="217" t="inlineStr">
        <is>
          <t>"taoKien.placeholderSearchTaiKien": "ស្វែងរកបុងបញ្ញើ",</t>
        </is>
      </c>
      <c r="N1224" s="3" t="inlineStr"/>
    </row>
    <row r="1225" ht="15.75" customHeight="1" s="305">
      <c r="A1225" s="3" t="inlineStr">
        <is>
          <t>home.tintuchot</t>
        </is>
      </c>
      <c r="B1225" s="3" t="inlineStr">
        <is>
          <t>Tin tức</t>
        </is>
      </c>
      <c r="C1225" s="3" t="inlineStr">
        <is>
          <t>News</t>
        </is>
      </c>
      <c r="D1225" s="3">
        <f>IFERROR(__xludf.DUMMYFUNCTION("GOOGLETRANSLATE(B1225,""vi"",""km"")"),"ព័ត៌មាន")</f>
        <v/>
      </c>
      <c r="E1225" s="3" t="inlineStr">
        <is>
          <t>ព័ត៌មាន</t>
        </is>
      </c>
      <c r="F1225" s="3" t="n"/>
      <c r="G1225" s="3" t="inlineStr">
        <is>
          <t>ព័ត៌មាន</t>
        </is>
      </c>
      <c r="H1225" t="inlineStr">
        <is>
          <t>ព័ត៌មាន</t>
        </is>
      </c>
      <c r="I1225" s="217" t="inlineStr">
        <is>
          <t>"home.tintuchot": "ព័ត៌មាន",</t>
        </is>
      </c>
      <c r="N1225" s="3" t="inlineStr">
        <is>
          <t>ព័ត៌មាន</t>
        </is>
      </c>
    </row>
    <row r="1226" ht="15.75" customHeight="1" s="305">
      <c r="A1226" s="3" t="inlineStr">
        <is>
          <t>home.tintuc</t>
        </is>
      </c>
      <c r="B1226" s="3" t="inlineStr">
        <is>
          <t>Tin tức</t>
        </is>
      </c>
      <c r="C1226" s="3" t="inlineStr">
        <is>
          <t>News</t>
        </is>
      </c>
      <c r="D1226" s="3">
        <f>IFERROR(__xludf.DUMMYFUNCTION("GOOGLETRANSLATE(B1226,""vi"",""km"")"),"ព័ត៌មាន")</f>
        <v/>
      </c>
      <c r="E1226" s="3" t="inlineStr">
        <is>
          <t>ព័ត៌មាន</t>
        </is>
      </c>
      <c r="F1226" s="3" t="n"/>
      <c r="G1226" s="3" t="inlineStr">
        <is>
          <t>ព័ត៌មាន</t>
        </is>
      </c>
      <c r="H1226" t="inlineStr">
        <is>
          <t>ព័ត៌មាន</t>
        </is>
      </c>
      <c r="I1226" s="217" t="inlineStr">
        <is>
          <t>"home.tintuc": "ព័ត៌មាន",</t>
        </is>
      </c>
      <c r="N1226" s="3" t="inlineStr">
        <is>
          <t>ព័ត៌មាន</t>
        </is>
      </c>
    </row>
    <row r="1227" ht="15.75" customHeight="1" s="305">
      <c r="A1227" s="3" t="inlineStr">
        <is>
          <t>home.news</t>
        </is>
      </c>
      <c r="B1227" s="3" t="inlineStr">
        <is>
          <t>Tin tức và khám phá</t>
        </is>
      </c>
      <c r="C1227" s="3" t="inlineStr">
        <is>
          <t>News &amp; Discovery</t>
        </is>
      </c>
      <c r="D1227" s="3">
        <f>IFERROR(__xludf.DUMMYFUNCTION("GOOGLETRANSLATE(B1227,""vi"",""km"")"),"ព័ត៌មាន និងការរកឃើញ")</f>
        <v/>
      </c>
      <c r="E1227" s="3" t="inlineStr">
        <is>
          <t>ព័ត៌មាន និង ស្វែងយល់បន្ថែម</t>
        </is>
      </c>
      <c r="F1227" s="3" t="n"/>
      <c r="G1227" s="3" t="inlineStr">
        <is>
          <t>ព័ត៌មាន និង ស្វែងយល់បន្ថែម</t>
        </is>
      </c>
      <c r="H1227" t="inlineStr">
        <is>
          <t>ព័ត៌មាន និង ស្វែងយល់បន្ថែម</t>
        </is>
      </c>
      <c r="I1227" s="217" t="inlineStr">
        <is>
          <t>"home.news": "ព័ត៌មាន និង ស្វែងយល់បន្ថែម",</t>
        </is>
      </c>
      <c r="N1227" s="3" t="inlineStr">
        <is>
          <t>ព័ត៌មាន &amp; ការរកឃើញ</t>
        </is>
      </c>
    </row>
    <row r="1228" ht="15.75" customHeight="1" s="305">
      <c r="A1228" s="3" t="inlineStr">
        <is>
          <t>common.province</t>
        </is>
      </c>
      <c r="B1228" s="3" t="inlineStr">
        <is>
          <t>Tỉnh</t>
        </is>
      </c>
      <c r="C1228" s="3" t="inlineStr">
        <is>
          <t>Province</t>
        </is>
      </c>
      <c r="D1228" s="3">
        <f>IFERROR(__xludf.DUMMYFUNCTION("GOOGLETRANSLATE(B1228,""vi"",""km"")"),"ដឹងខ្លួន")</f>
        <v/>
      </c>
      <c r="E1228" s="3" t="inlineStr">
        <is>
          <t>ខេត្ត</t>
        </is>
      </c>
      <c r="F1228" s="3" t="n"/>
      <c r="G1228" s="3" t="inlineStr">
        <is>
          <t>ខេត្ត</t>
        </is>
      </c>
      <c r="H1228" t="inlineStr">
        <is>
          <t>ខេត្ត</t>
        </is>
      </c>
      <c r="I1228" s="217" t="inlineStr">
        <is>
          <t>"common.province": "ខេត្ត",</t>
        </is>
      </c>
      <c r="N1228" s="3" t="inlineStr">
        <is>
          <t>Province</t>
        </is>
      </c>
    </row>
    <row r="1229" ht="15.75" customHeight="1" s="305">
      <c r="A1229" s="3" t="inlineStr">
        <is>
          <t>taoDon.properties</t>
        </is>
      </c>
      <c r="B1229" s="3" t="inlineStr">
        <is>
          <t>Tính chất hàng hoá</t>
        </is>
      </c>
      <c r="C1229" s="3" t="inlineStr">
        <is>
          <t>Freight characteristics</t>
        </is>
      </c>
      <c r="D1229" s="3">
        <f>IFERROR(__xludf.DUMMYFUNCTION("GOOGLETRANSLATE(B1229,""vi"",""km"")"),"លក្ខណៈផលិតផល")</f>
        <v/>
      </c>
      <c r="E1229" s="3" t="inlineStr">
        <is>
          <t>លក្ខណៈអីវ៉ាន់</t>
        </is>
      </c>
      <c r="F1229" s="3" t="n"/>
      <c r="G1229" s="3" t="inlineStr">
        <is>
          <t>លក្ខណៈអីវ៉ាន់</t>
        </is>
      </c>
      <c r="H1229" t="inlineStr">
        <is>
          <t>លក្ខណៈអីវ៉ាន់</t>
        </is>
      </c>
      <c r="I1229" s="217" t="inlineStr">
        <is>
          <t>"taoDon.properties": "លក្ខណៈអីវ៉ាន់",</t>
        </is>
      </c>
      <c r="N1229" s="3" t="inlineStr">
        <is>
          <t>លក្ខណៈទំនិញ</t>
        </is>
      </c>
    </row>
    <row r="1230" ht="15.75" customHeight="1" s="305">
      <c r="A1230" s="3" t="inlineStr">
        <is>
          <t>taoDon.goodsProperties</t>
        </is>
      </c>
      <c r="B1230" s="3" t="inlineStr">
        <is>
          <t>Tính chất hàng hoá</t>
        </is>
      </c>
      <c r="C1230" s="3" t="inlineStr">
        <is>
          <t>Freight characteristics</t>
        </is>
      </c>
      <c r="D1230" s="3">
        <f>IFERROR(__xludf.DUMMYFUNCTION("GOOGLETRANSLATE(B1230,""vi"",""km"")"),"លក្ខណៈផលិតផល")</f>
        <v/>
      </c>
      <c r="E1230" s="3" t="inlineStr">
        <is>
          <t>លក្ខណៈអីវ៉ាន់</t>
        </is>
      </c>
      <c r="F1230" s="3" t="n"/>
      <c r="G1230" s="3" t="inlineStr">
        <is>
          <t>លក្ខណៈអីវ៉ាន់</t>
        </is>
      </c>
      <c r="H1230" t="inlineStr">
        <is>
          <t>លក្ខណៈអីវ៉ាន់</t>
        </is>
      </c>
      <c r="I1230" s="217" t="inlineStr">
        <is>
          <t>"taoDon.goodsProperties": "លក្ខណៈអីវ៉ាន់",</t>
        </is>
      </c>
      <c r="N1230" s="3" t="inlineStr">
        <is>
          <t>លក្ខណៈទំនិញ</t>
        </is>
      </c>
    </row>
    <row r="1231" ht="15.75" customHeight="1" s="305">
      <c r="A1231" s="3" t="inlineStr">
        <is>
          <t>nhanHang.tinhcuoc</t>
        </is>
      </c>
      <c r="B1231" s="3" t="inlineStr">
        <is>
          <t>Tính cước</t>
        </is>
      </c>
      <c r="C1231" s="3" t="inlineStr">
        <is>
          <t>Fee</t>
        </is>
      </c>
      <c r="D1231" s="3">
        <f>IFERROR(__xludf.DUMMYFUNCTION("GOOGLETRANSLATE(B1231,""vi"",""km"")"),"គណនាថ្លៃសេវា")</f>
        <v/>
      </c>
      <c r="E1231" s="3" t="inlineStr">
        <is>
          <t>ការគណនាថ្លៃសេវា</t>
        </is>
      </c>
      <c r="F1231" s="3" t="n"/>
      <c r="G1231" s="3" t="inlineStr">
        <is>
          <t>ការគណនាថ្លៃសេវា</t>
        </is>
      </c>
      <c r="H1231" t="inlineStr">
        <is>
          <t>ការគណនាថ្លៃសេវា</t>
        </is>
      </c>
      <c r="I1231" s="217" t="inlineStr">
        <is>
          <t>"nhanHang.tinhcuoc": "ការគណនាថ្លៃសេវា",</t>
        </is>
      </c>
      <c r="N1231" s="3" t="inlineStr">
        <is>
          <t>គណនាថ្លៃដឹក</t>
        </is>
      </c>
    </row>
    <row r="1232" ht="15.75" customHeight="1" s="305">
      <c r="A1232" s="3" t="inlineStr">
        <is>
          <t>taoDon.feeCalculationFailed</t>
        </is>
      </c>
      <c r="B1232" s="3" t="inlineStr">
        <is>
          <t>Tính cước thất bại</t>
        </is>
      </c>
      <c r="C1232" s="3" t="inlineStr">
        <is>
          <t>Fail to determine the charge</t>
        </is>
      </c>
      <c r="D1232" s="3">
        <f>IFERROR(__xludf.DUMMYFUNCTION("GOOGLETRANSLATE(B1232,""vi"",""km"")"),"ការ​ចេញ​វិក្កយបត្រ​បរាជ័យ")</f>
        <v/>
      </c>
      <c r="E1232" s="3" t="inlineStr">
        <is>
          <t>ការគណនាថ្លៃសេវាបរាជ័យ</t>
        </is>
      </c>
      <c r="F1232" s="3" t="n"/>
      <c r="G1232" s="3" t="inlineStr">
        <is>
          <t>ការគណនាថ្លៃសេវាបរាជ័យ</t>
        </is>
      </c>
      <c r="H1232" t="inlineStr">
        <is>
          <t>ការគណនាថ្លៃសេវាបរាជ័យ</t>
        </is>
      </c>
      <c r="I1232" s="217" t="inlineStr">
        <is>
          <t>"taoDon.feeCalculationFailed": "ការគណនាថ្លៃសេវាបរាជ័យ",</t>
        </is>
      </c>
      <c r="N1232" s="3" t="inlineStr">
        <is>
          <t>ករណីគណនាថ្លៃបរាជ័យ</t>
        </is>
      </c>
    </row>
    <row r="1233" ht="15.75" customHeight="1" s="305">
      <c r="A1233" s="3" t="inlineStr">
        <is>
          <t>tms.tinhDen</t>
        </is>
      </c>
      <c r="B1233" s="3" t="inlineStr">
        <is>
          <t>Tỉnh đến</t>
        </is>
      </c>
      <c r="C1233" s="3" t="inlineStr">
        <is>
          <t>Destination province</t>
        </is>
      </c>
      <c r="D1233" s="3">
        <f>IFERROR(__xludf.DUMMYFUNCTION("GOOGLETRANSLATE(B1233,""vi"",""km"")"),"ខេត្ត")</f>
        <v/>
      </c>
      <c r="E1233" s="3" t="inlineStr">
        <is>
          <t>ខេត្តមកដល់</t>
        </is>
      </c>
      <c r="F1233" s="3" t="n"/>
      <c r="G1233" s="3" t="inlineStr">
        <is>
          <t>ខេត្តមកដល់</t>
        </is>
      </c>
      <c r="H1233" t="inlineStr">
        <is>
          <t>ខេត្តមកដល់</t>
        </is>
      </c>
      <c r="I1233" s="217" t="inlineStr">
        <is>
          <t>"tms.tinhDen": "ខេត្តមកដល់",</t>
        </is>
      </c>
      <c r="N1233" s="3" t="inlineStr"/>
    </row>
    <row r="1234" ht="15.75" customHeight="1" s="305">
      <c r="A1234" s="3" t="inlineStr">
        <is>
          <t>khaiThacDen.toProvince</t>
        </is>
      </c>
      <c r="B1234" s="3" t="inlineStr">
        <is>
          <t>Tỉnh đến:</t>
        </is>
      </c>
      <c r="C1234" s="3" t="inlineStr">
        <is>
          <t>Receiving province:</t>
        </is>
      </c>
      <c r="D1234" s="3">
        <f>IFERROR(__xludf.DUMMYFUNCTION("GOOGLETRANSLATE(B1234,""vi"",""km"")"),"ខេត្តទៅ៖")</f>
        <v/>
      </c>
      <c r="E1234" s="3" t="inlineStr">
        <is>
          <t>ខេត្តមកដល់៖</t>
        </is>
      </c>
      <c r="F1234" s="3" t="n"/>
      <c r="G1234" s="3" t="inlineStr">
        <is>
          <t>ខេត្តមកដល់៖</t>
        </is>
      </c>
      <c r="H1234" t="inlineStr">
        <is>
          <t>ខេត្តមកដល់៖</t>
        </is>
      </c>
      <c r="I1234" s="217" t="inlineStr">
        <is>
          <t>"khaiThacDen.toProvince": "ខេត្តមកដល់៖",</t>
        </is>
      </c>
      <c r="N1234" s="3" t="inlineStr">
        <is>
          <t>ខេត្តដល់:</t>
        </is>
      </c>
    </row>
    <row r="1235" ht="15.75" customHeight="1" s="305">
      <c r="A1235" s="3" t="inlineStr">
        <is>
          <t>suaDon.changeMoney</t>
        </is>
      </c>
      <c r="B1235" s="3" t="inlineStr">
        <is>
          <t>Tính giá thay đổi</t>
        </is>
      </c>
      <c r="C1235" s="3" t="inlineStr">
        <is>
          <t>New fee</t>
        </is>
      </c>
      <c r="D1235" s="3">
        <f>IFERROR(__xludf.DUMMYFUNCTION("GOOGLETRANSLATE(B1235,""vi"",""km"")"),"គណនាតម្លៃអថេរ")</f>
        <v/>
      </c>
      <c r="E1235" s="3" t="inlineStr">
        <is>
          <t>ការគណនាការប្រែប្រួលតម្លៃ</t>
        </is>
      </c>
      <c r="F1235" s="3" t="n"/>
      <c r="G1235" s="3" t="inlineStr">
        <is>
          <t>ការគណនាការប្រែប្រួលតម្លៃ</t>
        </is>
      </c>
      <c r="H1235" t="inlineStr">
        <is>
          <t>ការគណនាការប្រែប្រួលតម្លៃ</t>
        </is>
      </c>
      <c r="I1235" s="217" t="inlineStr">
        <is>
          <t>"suaDon.changeMoney": "ការគណនាការប្រែប្រួលតម្លៃ",</t>
        </is>
      </c>
      <c r="N1235" s="3" t="inlineStr">
        <is>
          <t>គណនាតម្លៃប្រែប្រួល</t>
        </is>
      </c>
    </row>
    <row r="1236" ht="15.75" customHeight="1" s="305">
      <c r="A1236" s="3" t="inlineStr">
        <is>
          <t>home.tinhnang</t>
        </is>
      </c>
      <c r="B1236" s="3" t="inlineStr">
        <is>
          <t>Tính năng</t>
        </is>
      </c>
      <c r="C1236" s="3" t="inlineStr">
        <is>
          <t>Feature</t>
        </is>
      </c>
      <c r="D1236" s="3">
        <f>IFERROR(__xludf.DUMMYFUNCTION("GOOGLETRANSLATE(B1236,""vi"",""km"")"),"លក្ខណៈពិសេស")</f>
        <v/>
      </c>
      <c r="E1236" s="3" t="inlineStr">
        <is>
          <t>មុខងារ</t>
        </is>
      </c>
      <c r="F1236" s="3" t="n"/>
      <c r="G1236" s="3" t="inlineStr">
        <is>
          <t>មុខងារ</t>
        </is>
      </c>
      <c r="H1236" t="inlineStr">
        <is>
          <t>មុខងារ</t>
        </is>
      </c>
      <c r="I1236" s="217" t="inlineStr">
        <is>
          <t>"home.tinhnang": "មុខងារ",</t>
        </is>
      </c>
      <c r="N1236" s="3" t="inlineStr">
        <is>
          <t>លក្ខណៈពិសេស</t>
        </is>
      </c>
    </row>
    <row r="1237" ht="15.75" customHeight="1" s="305">
      <c r="A1237" s="3" t="inlineStr">
        <is>
          <t>common.incoming</t>
        </is>
      </c>
      <c r="B1237" s="3" t="inlineStr">
        <is>
          <t>Tính năng đang phát triển</t>
        </is>
      </c>
      <c r="C1237" s="3" t="inlineStr">
        <is>
          <t>Incoming feature</t>
        </is>
      </c>
      <c r="D1237" s="3">
        <f>IFERROR(__xludf.DUMMYFUNCTION("GOOGLETRANSLATE(B1237,""vi"",""km"")"),"មុខងារកំពុងស្ថិតក្រោមការអភិវឌ្ឍ")</f>
        <v/>
      </c>
      <c r="E1237" s="3" t="inlineStr">
        <is>
          <t>មុខងារកំពុងអភិវឌ្ឍន៍</t>
        </is>
      </c>
      <c r="F1237" s="3" t="n"/>
      <c r="G1237" s="3" t="inlineStr">
        <is>
          <t>មុខងារកំពុងអភិវឌ្ឍន៍</t>
        </is>
      </c>
      <c r="H1237" t="inlineStr">
        <is>
          <t>មុខងារកំពុងអភិវឌ្ឍន៍</t>
        </is>
      </c>
      <c r="I1237" s="217" t="inlineStr">
        <is>
          <t>"common.incoming": "មុខងារកំពុងអភិវឌ្ឍន៍",</t>
        </is>
      </c>
      <c r="N1237" s="3" t="inlineStr">
        <is>
          <t>លក្ខណៈពិសេសក្នុងការអភិវឌ្ឍន៍</t>
        </is>
      </c>
    </row>
    <row r="1238" ht="15.75" customHeight="1" s="305">
      <c r="A1238" s="3" t="inlineStr">
        <is>
          <t>home.tinhnangkhac</t>
        </is>
      </c>
      <c r="B1238" s="3" t="inlineStr">
        <is>
          <t>Tính năng khác</t>
        </is>
      </c>
      <c r="C1238" s="3" t="inlineStr">
        <is>
          <t xml:space="preserve">Other </t>
        </is>
      </c>
      <c r="D1238" s="3">
        <f>IFERROR(__xludf.DUMMYFUNCTION("GOOGLETRANSLATE(B1238,""vi"",""km"")"),"លក្ខណៈពិសេសផ្សេងទៀត")</f>
        <v/>
      </c>
      <c r="E1238" s="3" t="inlineStr">
        <is>
          <t>មុខងារផ្សេងទៀត</t>
        </is>
      </c>
      <c r="F1238" s="3" t="n"/>
      <c r="G1238" s="3" t="inlineStr">
        <is>
          <t>មុខងារផ្សេងទៀត</t>
        </is>
      </c>
      <c r="H1238" t="inlineStr">
        <is>
          <t>មុខងារផ្សេងទៀត</t>
        </is>
      </c>
      <c r="I1238" s="217" t="inlineStr">
        <is>
          <t>"home.tinhnangkhac": "មុខងារផ្សេងទៀត",</t>
        </is>
      </c>
      <c r="N1238" s="3" t="inlineStr">
        <is>
          <t>លក្ខណៈ​ពិសេស​ផ្សេង​ទៀត</t>
        </is>
      </c>
    </row>
    <row r="1239" ht="15.75" customHeight="1" s="305">
      <c r="A1239" s="3" t="inlineStr">
        <is>
          <t>khaiThacDen.toProvincePostal</t>
        </is>
      </c>
      <c r="B1239" s="3" t="inlineStr">
        <is>
          <t>Tỉnh phát:</t>
        </is>
      </c>
      <c r="C1239" s="3" t="inlineStr">
        <is>
          <t>Delivery province:</t>
        </is>
      </c>
      <c r="D1239" s="3">
        <f>IFERROR(__xludf.DUMMYFUNCTION("GOOGLETRANSLATE(B1239,""vi"",""km"")"),"ខេត្តអភិវឌ្ឍន៍៖")</f>
        <v/>
      </c>
      <c r="E1239" s="3" t="inlineStr">
        <is>
          <t>ខេត្តកំពុងប្រគល់៖</t>
        </is>
      </c>
      <c r="F1239" s="3" t="n"/>
      <c r="G1239" s="3" t="inlineStr">
        <is>
          <t>ខេត្តប្រគល់៖</t>
        </is>
      </c>
      <c r="H1239" t="inlineStr">
        <is>
          <t>ខេត្តប្រគល់៖</t>
        </is>
      </c>
      <c r="I1239" s="217" t="inlineStr">
        <is>
          <t>"khaiThacDen.toProvincePostal": "ខេត្តប្រគល់៖",</t>
        </is>
      </c>
      <c r="N1239" s="3" t="inlineStr">
        <is>
          <t>ខេត្តទទួល:</t>
        </is>
      </c>
    </row>
    <row r="1240" ht="15.75" customHeight="1" s="305">
      <c r="A1240" s="3" t="inlineStr">
        <is>
          <t>traCuoc.title</t>
        </is>
      </c>
      <c r="B1240" s="3" t="inlineStr">
        <is>
          <t>Tính trước cước phí</t>
        </is>
      </c>
      <c r="C1240" s="3" t="inlineStr">
        <is>
          <t>Fee check</t>
        </is>
      </c>
      <c r="D1240" s="3">
        <f>IFERROR(__xludf.DUMMYFUNCTION("GOOGLETRANSLATE(B1240,""vi"",""km"")"),"គណនាថ្លៃដឹកជញ្ជូនជាមុន។")</f>
        <v/>
      </c>
      <c r="E1240" s="3" t="inlineStr">
        <is>
          <t>គិតសេវាមុន</t>
        </is>
      </c>
      <c r="F1240" s="3" t="n"/>
      <c r="G1240" s="3" t="inlineStr">
        <is>
          <t>គិតថ្លៃសេវាមុន</t>
        </is>
      </c>
      <c r="H1240" t="inlineStr">
        <is>
          <t>គិតថ្លៃសេវាមុន</t>
        </is>
      </c>
      <c r="I1240" s="217" t="inlineStr">
        <is>
          <t>"traCuoc.title": "គិតថ្លៃសេវាមុន",</t>
        </is>
      </c>
      <c r="N1240" s="3" t="inlineStr">
        <is>
          <t>គណនាតម្លៃដឹកជញ្ជូនជាមុន</t>
        </is>
      </c>
    </row>
    <row r="1241" ht="15.75" customHeight="1" s="305">
      <c r="A1241" s="3" t="inlineStr">
        <is>
          <t>nhanHang.cannang</t>
        </is>
      </c>
      <c r="B1241" s="3" t="inlineStr">
        <is>
          <t>TL tính cước - TL thực tế</t>
        </is>
      </c>
      <c r="C1241" s="3" t="inlineStr">
        <is>
          <t>Chargeable weight - Actual weight</t>
        </is>
      </c>
      <c r="D1241" s="3">
        <f>IFERROR(__xludf.DUMMYFUNCTION("GOOGLETRANSLATE(B1241,""vi"",""km"")"),"ចំនួនទឹកប្រាក់ដែលអាចគិតថ្លៃបាន - ចំនួនទឹកប្រាក់ជាក់ស្តែង")</f>
        <v/>
      </c>
      <c r="E1241" s="3" t="inlineStr">
        <is>
          <t>ទម្ងន់គិតថ្លៃសេវា-ទម្ងន់ជាក់ស្តែង</t>
        </is>
      </c>
      <c r="F1241" s="3" t="n"/>
      <c r="G1241" s="3" t="inlineStr">
        <is>
          <t>ទម្ងន់គិតថ្លៃសេវា-ទម្ងន់ជាក់ស្តែង</t>
        </is>
      </c>
      <c r="H1241" t="inlineStr">
        <is>
          <t>ទម្ងន់គិតថ្លៃសេវា-ទម្ងន់ជាក់ស្តែង</t>
        </is>
      </c>
      <c r="I1241" s="217" t="inlineStr">
        <is>
          <t>"nhanHang.cannang": "ទម្ងន់គិតថ្លៃសេវា-ទម្ងន់ជាក់ស្តែង",</t>
        </is>
      </c>
      <c r="N1241" s="3" t="inlineStr">
        <is>
          <t>ទំងន់គិតថ្លៃ - ទំងន់ពិត</t>
        </is>
      </c>
    </row>
    <row r="1242" ht="15.75" customHeight="1" s="305">
      <c r="A1242" s="3" t="inlineStr">
        <is>
          <t>banGiao.titleDepartment</t>
        </is>
      </c>
      <c r="B1242" s="3" t="inlineStr">
        <is>
          <t>Toàn đơn vị</t>
        </is>
      </c>
      <c r="C1242" s="3" t="inlineStr">
        <is>
          <t>Unit</t>
        </is>
      </c>
      <c r="D1242" s="3">
        <f>IFERROR(__xludf.DUMMYFUNCTION("GOOGLETRANSLATE(B1242,""vi"",""km"")"),"អង្គភាពទាំងមូល")</f>
        <v/>
      </c>
      <c r="E1242" s="3" t="inlineStr">
        <is>
          <t>អង្គភាពទាំងមូល</t>
        </is>
      </c>
      <c r="F1242" s="3" t="n"/>
      <c r="G1242" s="3" t="inlineStr">
        <is>
          <t>អង្គភាពទាំងមូល</t>
        </is>
      </c>
      <c r="H1242" t="inlineStr">
        <is>
          <t>អង្គភាពទាំងមូល</t>
        </is>
      </c>
      <c r="I1242" s="217" t="inlineStr">
        <is>
          <t>"banGiao.titleDepartment": "អង្គភាពទាំងមូល",</t>
        </is>
      </c>
      <c r="N1242" s="3" t="inlineStr">
        <is>
          <t>ឯកតា</t>
        </is>
      </c>
    </row>
    <row r="1243" ht="15.75" customHeight="1" s="305">
      <c r="A1243" s="3" t="inlineStr">
        <is>
          <t>taoDon.night</t>
        </is>
      </c>
      <c r="B1243" s="3" t="inlineStr">
        <is>
          <t>Tối 18h00 - 21h00</t>
        </is>
      </c>
      <c r="C1243" s="3" t="inlineStr">
        <is>
          <t>Night 6:00 PM - 9:00 PM</t>
        </is>
      </c>
      <c r="D1243" s="3">
        <f>IFERROR(__xludf.DUMMYFUNCTION("GOOGLETRANSLATE(B1243,""vi"",""km"")"),"ម៉ោង ៦:០០ ល្ងាច - ៩:០០ យប់")</f>
        <v/>
      </c>
      <c r="E1243" s="3" t="inlineStr">
        <is>
          <t>ម៉ោង 18:00 - 21:00</t>
        </is>
      </c>
      <c r="F1243" s="3" t="n"/>
      <c r="G1243" s="3" t="inlineStr">
        <is>
          <t>ម៉ោង 18:00 - 21:00</t>
        </is>
      </c>
      <c r="H1243" t="inlineStr">
        <is>
          <t>ម៉ោង 18:00 - 21:00</t>
        </is>
      </c>
      <c r="I1243" s="217" t="inlineStr">
        <is>
          <t>"taoDon.night": "ម៉ោង 18:00 - 21:00",</t>
        </is>
      </c>
      <c r="N1243" s="3" t="inlineStr">
        <is>
          <t>យប់ 18h00 - 21h00</t>
        </is>
      </c>
    </row>
    <row r="1244" ht="15.75" customHeight="1" s="305">
      <c r="A1244" s="3" t="inlineStr">
        <is>
          <t>register.acceptBy</t>
        </is>
      </c>
      <c r="B1244" s="3" t="inlineStr">
        <is>
          <t xml:space="preserve">Tôi đồng ý với </t>
        </is>
      </c>
      <c r="C1244" s="3" t="inlineStr">
        <is>
          <t>I agree to the</t>
        </is>
      </c>
      <c r="D1244" s="3">
        <f>IFERROR(__xludf.DUMMYFUNCTION("GOOGLETRANSLATE(B1244,""vi"",""km"")"),"ខ្ញុំយល់ស្របជាមួយ")</f>
        <v/>
      </c>
      <c r="E1244" s="3" t="inlineStr">
        <is>
          <t>ខ្ញុំយល់ស្របជាមួយ</t>
        </is>
      </c>
      <c r="F1244" s="3" t="n"/>
      <c r="G1244" s="3" t="inlineStr">
        <is>
          <t>ខ្ញុំយល់ស្របជាមួយ</t>
        </is>
      </c>
      <c r="H1244" t="inlineStr">
        <is>
          <t>ខ្ញុំយល់ស្របជាមួយ</t>
        </is>
      </c>
      <c r="I1244" s="217" t="inlineStr">
        <is>
          <t>"register.acceptBy": "ខ្ញុំយល់ស្របជាមួយ",</t>
        </is>
      </c>
      <c r="N1244" s="3" t="inlineStr">
        <is>
          <t>ខ្ញុំយល់ស្រប់</t>
        </is>
      </c>
    </row>
    <row r="1245" ht="15.75" customHeight="1" s="305">
      <c r="A1245" s="3" t="inlineStr">
        <is>
          <t>taoDon.errorMinLength</t>
        </is>
      </c>
      <c r="B1245" s="3" t="inlineStr">
        <is>
          <t>Tối thiểu phải nhập 10 ký tự</t>
        </is>
      </c>
      <c r="C1245" s="3" t="inlineStr">
        <is>
          <t>Minimum 10 characters must be entered</t>
        </is>
      </c>
      <c r="D1245" s="3">
        <f>IFERROR(__xludf.DUMMYFUNCTION("GOOGLETRANSLATE(B1245,""vi"",""km"")"),"យ៉ាងហោចណាស់ ១០ តួអក្សរត្រូវតែបញ្ចូល។")</f>
        <v/>
      </c>
      <c r="E1245" s="3" t="inlineStr">
        <is>
          <t>តម្រូវឲ្យមានតួអក្សរយ៉ាងតិច 10 តួអក្សរ</t>
        </is>
      </c>
      <c r="F1245" s="3" t="n"/>
      <c r="G1245" s="3" t="inlineStr">
        <is>
          <t>តម្រូវឲ្យមានតួអក្សរយ៉ាងតិច 10 តួអក្សរ</t>
        </is>
      </c>
      <c r="H1245" t="inlineStr">
        <is>
          <t>តម្រូវឲ្យមានតួអក្សរយ៉ាងតិច 10 តួអក្សរ</t>
        </is>
      </c>
      <c r="I1245" s="217" t="inlineStr">
        <is>
          <t>"taoDon.errorMinLength": "តម្រូវឲ្យមានតួអក្សរយ៉ាងតិច 10 តួអក្សរ",</t>
        </is>
      </c>
      <c r="N1245" s="3" t="inlineStr">
        <is>
          <t>ត្រូវបញ្ចូលយ៉ាងហោចណាស់ 10 តួអក្សរ</t>
        </is>
      </c>
    </row>
    <row r="1246" ht="15.75" customHeight="1" s="305">
      <c r="A1246" s="3" t="inlineStr">
        <is>
          <t>taoDon.minLengthPhoneNumber</t>
        </is>
      </c>
      <c r="B1246" s="3" t="inlineStr">
        <is>
          <t>Tối thiểu phải nhập 10 ký tự</t>
        </is>
      </c>
      <c r="C1246" s="3" t="inlineStr">
        <is>
          <t>Enter at least 10 characters</t>
        </is>
      </c>
      <c r="D1246" s="3">
        <f>IFERROR(__xludf.DUMMYFUNCTION("GOOGLETRANSLATE(B1246,""vi"",""km"")"),"យ៉ាងហោចណាស់ ១០ តួអក្សរត្រូវតែបញ្ចូល។")</f>
        <v/>
      </c>
      <c r="E1246" s="3" t="inlineStr">
        <is>
          <t>តម្រូវឲ្យមានតួអក្សរយ៉ាងតិច 10 តួអក្សរ</t>
        </is>
      </c>
      <c r="F1246" s="3" t="n"/>
      <c r="G1246" s="3" t="inlineStr">
        <is>
          <t>តម្រូវឲ្យមានតួអក្សរយ៉ាងតិច 10 តួអក្សរ</t>
        </is>
      </c>
      <c r="H1246" t="inlineStr">
        <is>
          <t>តម្រូវឲ្យមានតួអក្សរយ៉ាងតិច 10 តួអក្សរ</t>
        </is>
      </c>
      <c r="I1246" s="217" t="inlineStr">
        <is>
          <t>"taoDon.minLengthPhoneNumber": "តម្រូវឲ្យមានតួអក្សរយ៉ាងតិច 10 តួអក្សរ",</t>
        </is>
      </c>
      <c r="N1246" s="3" t="inlineStr">
        <is>
          <t>យ៉ាងហោចណាស់ត្រូវមាន 10 តួអក្សរ</t>
        </is>
      </c>
    </row>
    <row r="1247" ht="15.75" customHeight="1" s="305">
      <c r="A1247" s="3" t="inlineStr">
        <is>
          <t>suaDon.totalPrice</t>
        </is>
      </c>
      <c r="B1247" s="3" t="inlineStr">
        <is>
          <t>Tổng cước</t>
        </is>
      </c>
      <c r="C1247" s="3" t="inlineStr">
        <is>
          <t>Total fee</t>
        </is>
      </c>
      <c r="D1247" s="3">
        <f>IFERROR(__xludf.DUMMYFUNCTION("GOOGLETRANSLATE(B1247,""vi"",""km"")"),"ការគិតថ្លៃសរុប")</f>
        <v/>
      </c>
      <c r="E1247" s="3" t="inlineStr">
        <is>
          <t>ថ្លៃសេវាសរុប</t>
        </is>
      </c>
      <c r="F1247" s="3" t="n"/>
      <c r="G1247" s="3" t="inlineStr">
        <is>
          <t>ថ្លៃដឹកជញ្ជូនសរុប</t>
        </is>
      </c>
      <c r="H1247" t="inlineStr">
        <is>
          <t>ថ្លៃដឹកជញ្ជូនសរុប</t>
        </is>
      </c>
      <c r="I1247" s="217" t="inlineStr">
        <is>
          <t>"suaDon.totalPrice": "ថ្លៃដឹកជញ្ជូនសរុប",</t>
        </is>
      </c>
      <c r="N1247" s="3" t="inlineStr">
        <is>
          <t>ថ្លៃសរុប</t>
        </is>
      </c>
    </row>
    <row r="1248" ht="15.75" customHeight="1" s="305">
      <c r="A1248" s="3" t="inlineStr">
        <is>
          <t>taoKien.titleTotalMoneyOrder</t>
        </is>
      </c>
      <c r="B1248" s="3" t="inlineStr">
        <is>
          <t>Tổng cước</t>
        </is>
      </c>
      <c r="C1248" s="3" t="inlineStr">
        <is>
          <t>Total charge</t>
        </is>
      </c>
      <c r="D1248" s="3">
        <f>IFERROR(__xludf.DUMMYFUNCTION("GOOGLETRANSLATE(B1248,""vi"",""km"")"),"ការគិតថ្លៃសរុប")</f>
        <v/>
      </c>
      <c r="E1248" s="3" t="inlineStr">
        <is>
          <t>ថ្លៃសេវាសរុប</t>
        </is>
      </c>
      <c r="F1248" s="3" t="n"/>
      <c r="G1248" s="3" t="inlineStr">
        <is>
          <t>ថ្លៃដឹកជញ្ជូនសរុប</t>
        </is>
      </c>
      <c r="H1248" t="inlineStr">
        <is>
          <t>ថ្លៃដឹកជញ្ជូនសរុប</t>
        </is>
      </c>
      <c r="I1248" s="217" t="inlineStr">
        <is>
          <t>"taoKien.titleTotalMoneyOrder": "ថ្លៃដឹកជញ្ជូនសរុប",</t>
        </is>
      </c>
      <c r="N1248" s="3" t="inlineStr"/>
    </row>
    <row r="1249" ht="15.75" customHeight="1" s="305">
      <c r="A1249" s="3" t="inlineStr">
        <is>
          <t>nhanHang.tongcuocphaithanhtoan</t>
        </is>
      </c>
      <c r="B1249" s="3" t="inlineStr">
        <is>
          <t>Tổng cước phải thanh toán</t>
        </is>
      </c>
      <c r="C1249" s="3" t="inlineStr">
        <is>
          <t>Total payment</t>
        </is>
      </c>
      <c r="D1249" s="3">
        <f>IFERROR(__xludf.DUMMYFUNCTION("GOOGLETRANSLATE(B1249,""vi"",""km"")"),"ថ្លៃសេវាសរុបដែលត្រូវបង់")</f>
        <v/>
      </c>
      <c r="E1249" s="3" t="inlineStr">
        <is>
          <t>ថ្លៃសេវាសរុបត្រូវទូទាត់</t>
        </is>
      </c>
      <c r="F1249" s="3" t="n"/>
      <c r="G1249" s="3" t="inlineStr">
        <is>
          <t>ថ្លៃសេវាសរុបត្រូវទូទាត់</t>
        </is>
      </c>
      <c r="H1249" t="inlineStr">
        <is>
          <t>ថ្លៃសេវាសរុបត្រូវទូទាត់</t>
        </is>
      </c>
      <c r="I1249" s="217" t="inlineStr">
        <is>
          <t>"nhanHang.tongcuocphaithanhtoan": "ថ្លៃសេវាសរុបត្រូវទូទាត់",</t>
        </is>
      </c>
      <c r="N1249" s="3" t="inlineStr"/>
    </row>
    <row r="1250" ht="15.75" customHeight="1" s="305">
      <c r="A1250" s="3" t="inlineStr">
        <is>
          <t>taoDon.totalEstimatedFee</t>
        </is>
      </c>
      <c r="B1250" s="3" t="inlineStr">
        <is>
          <t>Tổng cước tạm tính</t>
        </is>
      </c>
      <c r="C1250" s="3" t="inlineStr">
        <is>
          <t>Subtotal fee</t>
        </is>
      </c>
      <c r="D1250" s="3">
        <f>IFERROR(__xludf.DUMMYFUNCTION("GOOGLETRANSLATE(B1250,""vi"",""km"")"),"តម្លៃសំបុត្រសរុបប៉ាន់ស្មាន")</f>
        <v/>
      </c>
      <c r="E1250" s="3" t="inlineStr">
        <is>
          <t>ថ្លៃសេវាសរុបត្រូវទូទាត់</t>
        </is>
      </c>
      <c r="F1250" s="3" t="n"/>
      <c r="G1250" s="3" t="inlineStr">
        <is>
          <t>ថ្លៃសេវាសរុបត្រូវទូទាត់</t>
        </is>
      </c>
      <c r="H1250" t="inlineStr">
        <is>
          <t>ថ្លៃសេវាសរុបត្រូវទូទាត់</t>
        </is>
      </c>
      <c r="I1250" s="217" t="inlineStr">
        <is>
          <t>"taoDon.totalEstimatedFee": "ថ្លៃសេវាសរុបត្រូវទូទាត់",</t>
        </is>
      </c>
      <c r="N1250" s="3" t="inlineStr">
        <is>
          <t>សរុបថ្លៃស្មានតាម</t>
        </is>
      </c>
    </row>
    <row r="1251" ht="15.75" customHeight="1" s="305">
      <c r="A1251" s="3" t="inlineStr">
        <is>
          <t>PhanCong.titleTotalMoneyOrder</t>
        </is>
      </c>
      <c r="B1251" s="3" t="inlineStr">
        <is>
          <t>Tổng cước:</t>
        </is>
      </c>
      <c r="C1251" s="3" t="inlineStr">
        <is>
          <t>Total fee:</t>
        </is>
      </c>
      <c r="D1251" s="3">
        <f>IFERROR(__xludf.DUMMYFUNCTION("GOOGLETRANSLATE(B1251,""vi"",""km"")"),"ការគិតថ្លៃសរុប៖")</f>
        <v/>
      </c>
      <c r="E1251" s="3" t="inlineStr">
        <is>
          <t>ថ្លៃសេវាសរុប៖</t>
        </is>
      </c>
      <c r="F1251" s="3" t="n"/>
      <c r="G1251" s="3" t="inlineStr">
        <is>
          <t>ថ្លៃសេវាសរុប៖</t>
        </is>
      </c>
      <c r="H1251" t="inlineStr">
        <is>
          <t>ថ្លៃសេវាសរុប៖</t>
        </is>
      </c>
      <c r="I1251" s="217" t="inlineStr">
        <is>
          <t>"PhanCong.titleTotalMoneyOrder": "ថ្លៃសេវាសរុប៖",</t>
        </is>
      </c>
      <c r="N1251" s="3" t="inlineStr">
        <is>
          <t>សរុបតម្លៃ៖</t>
        </is>
      </c>
    </row>
    <row r="1252" ht="15.75" customHeight="1" s="305">
      <c r="A1252" s="3" t="inlineStr">
        <is>
          <t>khaiThacDen.totalPrice</t>
        </is>
      </c>
      <c r="B1252" s="3" t="inlineStr">
        <is>
          <t>Tổng cước:</t>
        </is>
      </c>
      <c r="C1252" s="3" t="inlineStr">
        <is>
          <t>Total fee:</t>
        </is>
      </c>
      <c r="D1252" s="3">
        <f>IFERROR(__xludf.DUMMYFUNCTION("GOOGLETRANSLATE(B1252,""vi"",""km"")"),"ការគិតថ្លៃសរុប៖")</f>
        <v/>
      </c>
      <c r="E1252" s="3" t="inlineStr">
        <is>
          <t>ថ្លៃសេវាសរុប៖</t>
        </is>
      </c>
      <c r="F1252" s="3" t="n"/>
      <c r="G1252" s="3" t="inlineStr">
        <is>
          <t>ថ្លៃសេវាសរុប៖</t>
        </is>
      </c>
      <c r="H1252" t="inlineStr">
        <is>
          <t>ថ្លៃសេវាសរុប៖</t>
        </is>
      </c>
      <c r="I1252" s="217" t="inlineStr">
        <is>
          <t>"khaiThacDen.totalPrice": "ថ្លៃសេវាសរុប៖",</t>
        </is>
      </c>
      <c r="N1252" s="3" t="inlineStr">
        <is>
          <t>ថ្លៃសរុប:</t>
        </is>
      </c>
    </row>
    <row r="1253" ht="15.75" customHeight="1" s="305">
      <c r="A1253" s="3" t="inlineStr">
        <is>
          <t>suaDon.totalMoney</t>
        </is>
      </c>
      <c r="B1253" s="3" t="inlineStr">
        <is>
          <t>Tổng giá trị</t>
        </is>
      </c>
      <c r="C1253" s="3" t="inlineStr">
        <is>
          <t>Total value</t>
        </is>
      </c>
      <c r="D1253" s="3">
        <f>IFERROR(__xludf.DUMMYFUNCTION("GOOGLETRANSLATE(B1253,""vi"",""km"")"),"តម្លៃសរុប")</f>
        <v/>
      </c>
      <c r="E1253" s="3" t="inlineStr">
        <is>
          <t>តម្លៃសរុប</t>
        </is>
      </c>
      <c r="F1253" s="3" t="n"/>
      <c r="G1253" s="3" t="inlineStr">
        <is>
          <t>តម្លៃសរុប</t>
        </is>
      </c>
      <c r="H1253" t="inlineStr">
        <is>
          <t>តម្លៃសរុប</t>
        </is>
      </c>
      <c r="I1253" s="217" t="inlineStr">
        <is>
          <t>"suaDon.totalMoney": "តម្លៃសរុប",</t>
        </is>
      </c>
      <c r="N1253" s="3" t="inlineStr">
        <is>
          <t>តម្លៃសរុប</t>
        </is>
      </c>
    </row>
    <row r="1254" ht="15.75" customHeight="1" s="305">
      <c r="A1254" s="3" t="inlineStr">
        <is>
          <t>GiaoHang.titleTabGeneralDelivery</t>
        </is>
      </c>
      <c r="B1254" s="3" t="inlineStr">
        <is>
          <t>Tổng giao</t>
        </is>
      </c>
      <c r="C1254" s="3" t="inlineStr">
        <is>
          <t>Total deliveries</t>
        </is>
      </c>
      <c r="D1254" s="3">
        <f>IFERROR(__xludf.DUMMYFUNCTION("GOOGLETRANSLATE(B1254,""vi"",""km"")"),"អគ្គនាយកដ្ឋាន")</f>
        <v/>
      </c>
      <c r="E1254" s="3" t="inlineStr">
        <is>
          <t>ការប្រគល់សរុប</t>
        </is>
      </c>
      <c r="F1254" s="3" t="n"/>
      <c r="G1254" s="3" t="inlineStr">
        <is>
          <t>ការប្រគល់សរុប</t>
        </is>
      </c>
      <c r="H1254" t="inlineStr">
        <is>
          <t>ការប្រគល់សរុប</t>
        </is>
      </c>
      <c r="I1254" s="217" t="inlineStr">
        <is>
          <t>"GiaoHang.titleTabGeneralDelivery": "ការប្រគល់សរុប",</t>
        </is>
      </c>
      <c r="N1254" s="3" t="inlineStr">
        <is>
          <t>សរុបការប្រគល់</t>
        </is>
      </c>
    </row>
    <row r="1255" ht="15.75" customHeight="1" s="305">
      <c r="A1255" s="3" t="inlineStr">
        <is>
          <t>suaDon.totalWeight</t>
        </is>
      </c>
      <c r="B1255" s="3" t="inlineStr">
        <is>
          <t>Tổng khối lượng</t>
        </is>
      </c>
      <c r="C1255" s="3" t="inlineStr">
        <is>
          <t>Total weight</t>
        </is>
      </c>
      <c r="D1255" s="3">
        <f>IFERROR(__xludf.DUMMYFUNCTION("GOOGLETRANSLATE(B1255,""vi"",""km"")"),"ទម្ងន់សរុប")</f>
        <v/>
      </c>
      <c r="E1255" s="3" t="inlineStr">
        <is>
          <t>ទម្ងន់សរុប</t>
        </is>
      </c>
      <c r="F1255" s="3" t="n"/>
      <c r="G1255" s="3" t="inlineStr">
        <is>
          <t>ទម្ងន់សរុប</t>
        </is>
      </c>
      <c r="H1255" t="inlineStr">
        <is>
          <t>ទម្ងន់សរុប</t>
        </is>
      </c>
      <c r="I1255" s="217" t="inlineStr">
        <is>
          <t>"suaDon.totalWeight": "ទម្ងន់សរុប",</t>
        </is>
      </c>
      <c r="N1255" s="3" t="inlineStr">
        <is>
          <t>ចំនួនសរុប</t>
        </is>
      </c>
    </row>
    <row r="1256" ht="15.75" customHeight="1" s="305">
      <c r="A1256" s="3" t="inlineStr">
        <is>
          <t>GiaoHang.cod</t>
        </is>
      </c>
      <c r="B1256" s="3" t="inlineStr">
        <is>
          <t>Tổng phải thu:</t>
        </is>
      </c>
      <c r="C1256" s="3" t="inlineStr">
        <is>
          <t>Accounts receivable:</t>
        </is>
      </c>
      <c r="D1256" s="3">
        <f>IFERROR(__xludf.DUMMYFUNCTION("GOOGLETRANSLATE(B1256,""vi"",""km"")"),"សរុប​បំណុល​ដែល​ត្រូវ​ទទួល​បាន៖")</f>
        <v/>
      </c>
      <c r="E1256" s="3" t="inlineStr">
        <is>
          <t>ប្រាក់ដែលត្រូវទទួលសរុប៖</t>
        </is>
      </c>
      <c r="F1256" s="3" t="n"/>
      <c r="G1256" s="3" t="inlineStr">
        <is>
          <t>ប្រាក់ដែលត្រូវទទួលសរុប៖</t>
        </is>
      </c>
      <c r="H1256" t="inlineStr">
        <is>
          <t>ប្រាក់ដែលត្រូវទទួលសរុប៖</t>
        </is>
      </c>
      <c r="I1256" s="217" t="inlineStr">
        <is>
          <t>"GiaoHang.cod": "ប្រាក់ដែលត្រូវទទួលសរុប៖",</t>
        </is>
      </c>
      <c r="N1256" s="3" t="inlineStr">
        <is>
          <t>សរុបត្រូវទូទាត់</t>
        </is>
      </c>
    </row>
    <row r="1257" ht="15.75" customHeight="1" s="305">
      <c r="A1257" s="3" t="inlineStr">
        <is>
          <t>suaDon.totalAmount</t>
        </is>
      </c>
      <c r="B1257" s="3" t="inlineStr">
        <is>
          <t>Tổng tiền</t>
        </is>
      </c>
      <c r="C1257" s="3" t="inlineStr">
        <is>
          <t>Total amounts</t>
        </is>
      </c>
      <c r="D1257" s="3">
        <f>IFERROR(__xludf.DUMMYFUNCTION("GOOGLETRANSLATE(B1257,""vi"",""km"")"),"ចំនួនទឹកប្រាក់សរុប")</f>
        <v/>
      </c>
      <c r="E1257" s="3" t="inlineStr">
        <is>
          <t>ចំនួនទឹកប្រាក់សរុប</t>
        </is>
      </c>
      <c r="F1257" s="3" t="n"/>
      <c r="G1257" s="3" t="inlineStr">
        <is>
          <t>ចំនួនទឹកប្រាក់សរុប</t>
        </is>
      </c>
      <c r="H1257" t="inlineStr">
        <is>
          <t>ចំនួនទឹកប្រាក់សរុប</t>
        </is>
      </c>
      <c r="I1257" s="217" t="inlineStr">
        <is>
          <t>"suaDon.totalAmount": "ចំនួនទឹកប្រាក់សរុប",</t>
        </is>
      </c>
      <c r="N1257" s="3" t="inlineStr">
        <is>
          <t>តម្លៃសរុប</t>
        </is>
      </c>
    </row>
    <row r="1258" ht="15.75" customHeight="1" s="305">
      <c r="A1258" s="3" t="inlineStr">
        <is>
          <t>suaDon.sumMoney</t>
        </is>
      </c>
      <c r="B1258" s="3" t="inlineStr">
        <is>
          <t>Tổng tiền hiện tại</t>
        </is>
      </c>
      <c r="C1258" s="3" t="inlineStr">
        <is>
          <t>Total amounts</t>
        </is>
      </c>
      <c r="D1258" s="3">
        <f>IFERROR(__xludf.DUMMYFUNCTION("GOOGLETRANSLATE(B1258,""vi"",""km"")"),"សរុបបច្ចុប្បន្ន")</f>
        <v/>
      </c>
      <c r="E1258" s="3" t="inlineStr">
        <is>
          <t>ចំនួនទឹកប្រាក់បច្ចុប្បន្ន</t>
        </is>
      </c>
      <c r="F1258" s="3" t="n"/>
      <c r="G1258" s="3" t="inlineStr">
        <is>
          <t>ចំនួនទឹកប្រាក់បច្ចុប្បន្ន</t>
        </is>
      </c>
      <c r="H1258" t="inlineStr">
        <is>
          <t>ចំនួនទឹកប្រាក់បច្ចុប្បន្ន</t>
        </is>
      </c>
      <c r="I1258" s="217" t="inlineStr">
        <is>
          <t>"suaDon.sumMoney": "ចំនួនទឹកប្រាក់បច្ចុប្បន្ន",</t>
        </is>
      </c>
      <c r="N1258" s="3" t="inlineStr">
        <is>
          <t>ថ្លៃសរុបបច្ចុប្បន្ន</t>
        </is>
      </c>
    </row>
    <row r="1259" ht="15.75" customHeight="1" s="305">
      <c r="A1259" s="3" t="inlineStr">
        <is>
          <t>GiaoHang.titleTotalMoneyBillDetail</t>
        </is>
      </c>
      <c r="B1259" s="3" t="inlineStr">
        <is>
          <t>Tổng tiền phải thu</t>
        </is>
      </c>
      <c r="C1259" s="3" t="inlineStr">
        <is>
          <t xml:space="preserve">Total accounts receivable </t>
        </is>
      </c>
      <c r="D1259" s="3">
        <f>IFERROR(__xludf.DUMMYFUNCTION("GOOGLETRANSLATE(B1259,""vi"",""km"")"),"សរុប​បំណុល​ដែល​ត្រូវ​ទទួល")</f>
        <v/>
      </c>
      <c r="E1259" s="3" t="inlineStr">
        <is>
          <t>ចំនួនទឹកប្រាក់ដែលត្រូវទទួលសរុប</t>
        </is>
      </c>
      <c r="F1259" s="3" t="n"/>
      <c r="G1259" s="3" t="inlineStr">
        <is>
          <t>ចំនួនទឹកប្រាក់ដែលត្រូវទទួលសរុប</t>
        </is>
      </c>
      <c r="H1259" t="inlineStr">
        <is>
          <t>ចំនួនទឹកប្រាក់ដែលត្រូវទទួលសរុប</t>
        </is>
      </c>
      <c r="I1259" s="217" t="inlineStr">
        <is>
          <t>"GiaoHang.titleTotalMoneyBillDetail": "ចំនួនទឹកប្រាក់ដែលត្រូវទទួលសរុប",</t>
        </is>
      </c>
      <c r="N1259" s="3" t="inlineStr">
        <is>
          <t>សរុបចំនួនត្រូវទូទាត់</t>
        </is>
      </c>
    </row>
    <row r="1260" ht="15.75" customHeight="1" s="305">
      <c r="A1260" s="3" t="inlineStr">
        <is>
          <t>thanhtoan.totalMoneyReceive</t>
        </is>
      </c>
      <c r="B1260" s="3" t="inlineStr">
        <is>
          <t>Tổng tiền phải thu:</t>
        </is>
      </c>
      <c r="C1260" s="3" t="inlineStr">
        <is>
          <t>Total amount to collect:</t>
        </is>
      </c>
      <c r="D1260" s="3">
        <f>IFERROR(__xludf.DUMMYFUNCTION("GOOGLETRANSLATE(B1260,""vi"",""km"")"),"ចំនួនសរុបដែលត្រូវទទួល៖")</f>
        <v/>
      </c>
      <c r="E1260" s="3" t="inlineStr">
        <is>
          <t>ចំនួនទឹកប្រាក់ដែលត្រូវទទួលសរុប៖</t>
        </is>
      </c>
      <c r="F1260" s="3" t="n"/>
      <c r="G1260" s="3" t="inlineStr">
        <is>
          <t>ចំនួនទឹកប្រាក់ដែលត្រូវទទួលសរុប៖</t>
        </is>
      </c>
      <c r="H1260" t="inlineStr">
        <is>
          <t>ចំនួនទឹកប្រាក់ដែលត្រូវទទួលសរុប៖</t>
        </is>
      </c>
      <c r="I1260" s="217" t="inlineStr">
        <is>
          <t>"thanhtoan.totalMoneyReceive": "ចំនួនទឹកប្រាក់ដែលត្រូវទទួលសរុប៖",</t>
        </is>
      </c>
      <c r="N1260" s="3" t="inlineStr"/>
    </row>
    <row r="1261" ht="15.75" customHeight="1" s="305">
      <c r="A1261" s="3" t="inlineStr">
        <is>
          <t>taoKien.tongTrongLuongKhongDung</t>
        </is>
      </c>
      <c r="B1261" s="3" t="inlineStr">
        <is>
          <t>Tổng trọng lượng của kiện con phải bằng trong lượng thực tế của kiện cha</t>
        </is>
      </c>
      <c r="C1261" s="3" t="inlineStr">
        <is>
          <t>The total weight of sub-packages must equal the actual weight of the parent package</t>
        </is>
      </c>
      <c r="D1261" s="3">
        <f>IFERROR(__xludf.DUMMYFUNCTION("GOOGLETRANSLATE(B1261,""vi"",""km"")"),"ទម្ងន់សរុបនៃកញ្ចប់តូចជាងត្រូវតែស្មើនឹងទម្ងន់ជាក់ស្តែងនៃកញ្ចប់ធំជាង។")</f>
        <v/>
      </c>
      <c r="E1261" s="3" t="inlineStr">
        <is>
          <t>ទម្ងន់សរុបនៃកញ្ចប់តូចៗត្រូវតែស្មើនឹងទម្ងន់ជាក់ស្តែងនៃកញ្ចប់អីវ៉ាន់មេ</t>
        </is>
      </c>
      <c r="F1261" s="3" t="n"/>
      <c r="G1261" s="3" t="inlineStr">
        <is>
          <t>ទម្ងន់សរុបនៃកញ្ចប់តូចៗត្រូវតែស្មើនឹងទម្ងន់ជាក់ស្តែងនៃកញ្ចប់អីវ៉ាន់មេ</t>
        </is>
      </c>
      <c r="H1261" t="inlineStr">
        <is>
          <t>ទម្ងន់សរុបនៃកញ្ចប់តូចៗត្រូវតែស្មើនឹងទម្ងន់ជាក់ស្តែងនៃកញ្ចប់អីវ៉ាន់មេ</t>
        </is>
      </c>
      <c r="I1261" s="217" t="inlineStr">
        <is>
          <t>"taoKien.tongTrongLuongKhongDung": "ទម្ងន់សរុបនៃកញ្ចប់តូចៗត្រូវតែស្មើនឹងទម្ងន់ជាក់ស្តែងនៃកញ្ចប់អីវ៉ាន់មេ",</t>
        </is>
      </c>
      <c r="N1261" s="3" t="inlineStr"/>
    </row>
    <row r="1262" ht="15.75" customHeight="1" s="305">
      <c r="A1262" s="3" t="inlineStr">
        <is>
          <t>traCuoc.tracuucuoc</t>
        </is>
      </c>
      <c r="B1262" s="3" t="inlineStr">
        <is>
          <t>Tra cứu cước</t>
        </is>
      </c>
      <c r="C1262" s="3" t="inlineStr">
        <is>
          <t>Fee check</t>
        </is>
      </c>
      <c r="D1262" s="3">
        <f>IFERROR(__xludf.DUMMYFUNCTION("GOOGLETRANSLATE(B1262,""vi"",""km"")"),"ពិនិត្យមើលតម្លៃសំបុត្ររបស់អ្នក")</f>
        <v/>
      </c>
      <c r="E1262" s="3" t="inlineStr">
        <is>
          <t>ពិនិត្យមើលថ្លៃសេវា</t>
        </is>
      </c>
      <c r="F1262" s="3" t="n"/>
      <c r="G1262" s="3" t="inlineStr">
        <is>
          <t>ពិនិត្យមើលថ្លៃសេវា</t>
        </is>
      </c>
      <c r="H1262" t="inlineStr">
        <is>
          <t>ពិនិត្យមើលថ្លៃសេវា</t>
        </is>
      </c>
      <c r="I1262" s="217" t="inlineStr">
        <is>
          <t>"traCuoc.tracuucuoc": "ពិនិត្យមើលថ្លៃសេវា",</t>
        </is>
      </c>
      <c r="N1262" s="3" t="inlineStr">
        <is>
          <t>ស្វែងរកតម្លៃដឹកជញ្ជូន</t>
        </is>
      </c>
    </row>
    <row r="1263" ht="15.75" customHeight="1" s="305">
      <c r="A1263" s="3" t="inlineStr">
        <is>
          <t>thanhtoan.searchPay</t>
        </is>
      </c>
      <c r="B1263" s="3" t="inlineStr">
        <is>
          <t>Tra cứu giao dịch</t>
        </is>
      </c>
      <c r="C1263" s="3" t="inlineStr">
        <is>
          <t>Lookup transaction</t>
        </is>
      </c>
      <c r="D1263" s="3">
        <f>IFERROR(__xludf.DUMMYFUNCTION("GOOGLETRANSLATE(B1263,""vi"",""km"")"),"ការស្វែងរកប្រតិបត្តិការ")</f>
        <v/>
      </c>
      <c r="E1263" s="3" t="inlineStr">
        <is>
          <t>ពិនិត្យមើលប្រតិបត្តិការ</t>
        </is>
      </c>
      <c r="F1263" s="3" t="n"/>
      <c r="G1263" s="3" t="inlineStr">
        <is>
          <t>ពិនិត្យមើលប្រតិបត្តិការ</t>
        </is>
      </c>
      <c r="H1263" t="inlineStr">
        <is>
          <t>ពិនិត្យមើលប្រតិបត្តិការ</t>
        </is>
      </c>
      <c r="I1263" s="217" t="inlineStr">
        <is>
          <t>"thanhtoan.searchPay": "ពិនិត្យមើលប្រតិបត្តិការ",</t>
        </is>
      </c>
      <c r="N1263" s="3" t="inlineStr"/>
    </row>
    <row r="1264" ht="15.75" customHeight="1" s="305">
      <c r="A1264" s="3" t="inlineStr">
        <is>
          <t>traCuu.traCuuHT</t>
        </is>
      </c>
      <c r="B1264" s="3" t="inlineStr">
        <is>
          <t>Tra cứu hành trình</t>
        </is>
      </c>
      <c r="C1264" s="3" t="inlineStr">
        <is>
          <t>Tracking</t>
        </is>
      </c>
      <c r="D1264" s="3">
        <f>IFERROR(__xludf.DUMMYFUNCTION("GOOGLETRANSLATE(B1264,""vi"",""km"")"),"ស្វែងរក​ផែនការ​ធ្វើដំណើរ")</f>
        <v/>
      </c>
      <c r="E1264" s="3" t="inlineStr">
        <is>
          <t>ពិនិត្យមើលផ្លូវដឹក</t>
        </is>
      </c>
      <c r="F1264" s="3" t="n"/>
      <c r="G1264" s="3" t="inlineStr">
        <is>
          <t>ពិនិត្យមើលផ្លូវដឹក</t>
        </is>
      </c>
      <c r="H1264" t="inlineStr">
        <is>
          <t>ពិនិត្យមើលផ្លូវដឹក</t>
        </is>
      </c>
      <c r="I1264" s="217" t="inlineStr">
        <is>
          <t>"traCuu.traCuuHT": "ពិនិត្យមើលផ្លូវដឹក",</t>
        </is>
      </c>
      <c r="N1264" s="3" t="inlineStr">
        <is>
          <t>ស្វាយរកដំណើររបស់កញ្ចប់បញ្ញើ</t>
        </is>
      </c>
    </row>
    <row r="1265" ht="15.75" customHeight="1" s="305">
      <c r="A1265" s="3" t="inlineStr">
        <is>
          <t>home.trangchu</t>
        </is>
      </c>
      <c r="B1265" s="3" t="inlineStr">
        <is>
          <t>Trang chủ</t>
        </is>
      </c>
      <c r="C1265" s="3" t="inlineStr">
        <is>
          <t>Home</t>
        </is>
      </c>
      <c r="D1265" s="3">
        <f>IFERROR(__xludf.DUMMYFUNCTION("GOOGLETRANSLATE(B1265,""vi"",""km"")"),"ទំព័រដើម")</f>
        <v/>
      </c>
      <c r="E1265" s="3" t="inlineStr">
        <is>
          <t>ទំព័រដើម</t>
        </is>
      </c>
      <c r="F1265" s="3" t="n"/>
      <c r="G1265" s="3" t="inlineStr">
        <is>
          <t>ទំព័រដើម</t>
        </is>
      </c>
      <c r="H1265" t="inlineStr">
        <is>
          <t>ទំព័រដើម</t>
        </is>
      </c>
      <c r="I1265" s="217" t="inlineStr">
        <is>
          <t>"home.trangchu": "ទំព័រដើម",</t>
        </is>
      </c>
      <c r="N1265" s="3" t="inlineStr"/>
    </row>
    <row r="1266" ht="15.75" customHeight="1" s="305">
      <c r="A1266" s="3" t="inlineStr">
        <is>
          <t>dieuHanh.pagePrint</t>
        </is>
      </c>
      <c r="B1266" s="3" t="inlineStr">
        <is>
          <t xml:space="preserve">Trang in </t>
        </is>
      </c>
      <c r="C1266" s="3" t="inlineStr">
        <is>
          <t>Pages</t>
        </is>
      </c>
      <c r="D1266" s="3">
        <f>IFERROR(__xludf.DUMMYFUNCTION("GOOGLETRANSLATE(B1266,""vi"",""km"")"),"បោះពុម្ពទំព័រ")</f>
        <v/>
      </c>
      <c r="E1266" s="3" t="inlineStr">
        <is>
          <t>ទំព័រព្រីន</t>
        </is>
      </c>
      <c r="F1266" s="3" t="n"/>
      <c r="G1266" s="3" t="inlineStr">
        <is>
          <t>ទំព័រព្រីន</t>
        </is>
      </c>
      <c r="H1266" t="inlineStr">
        <is>
          <t>ទំព័រព្រីន</t>
        </is>
      </c>
      <c r="I1266" s="217" t="inlineStr">
        <is>
          <t>"dieuHanh.pagePrint": "ទំព័រព្រីន",</t>
        </is>
      </c>
      <c r="N1266" s="3" t="inlineStr">
        <is>
          <t>ទំព័របោះពុម្ព</t>
        </is>
      </c>
    </row>
    <row r="1267" ht="15.75" customHeight="1" s="305">
      <c r="A1267" s="3" t="inlineStr">
        <is>
          <t>common.status</t>
        </is>
      </c>
      <c r="B1267" s="3" t="inlineStr">
        <is>
          <t>trạng thái</t>
        </is>
      </c>
      <c r="C1267" s="3" t="inlineStr">
        <is>
          <t>status</t>
        </is>
      </c>
      <c r="D1267" s="3">
        <f>IFERROR(__xludf.DUMMYFUNCTION("GOOGLETRANSLATE(B1267,""vi"",""km"")"),"ស្ថានភាព")</f>
        <v/>
      </c>
      <c r="E1267" s="3" t="inlineStr">
        <is>
          <t>ស្ថានភាព</t>
        </is>
      </c>
      <c r="F1267" s="3" t="n"/>
      <c r="G1267" s="3" t="inlineStr">
        <is>
          <t>ស្ថានភាព</t>
        </is>
      </c>
      <c r="H1267" t="inlineStr">
        <is>
          <t>ស្ថានភាព</t>
        </is>
      </c>
      <c r="I1267" s="217" t="inlineStr">
        <is>
          <t>"common.status": "ស្ថានភាព",</t>
        </is>
      </c>
      <c r="N1267" s="3" t="inlineStr">
        <is>
          <t>ស្ថានភាព</t>
        </is>
      </c>
    </row>
    <row r="1268" ht="15.75" customHeight="1" s="305">
      <c r="A1268" s="3" t="inlineStr">
        <is>
          <t>banGiao.titleStatus</t>
        </is>
      </c>
      <c r="B1268" s="3" t="inlineStr">
        <is>
          <t>Trạng thái</t>
        </is>
      </c>
      <c r="C1268" s="3" t="inlineStr">
        <is>
          <t>Status</t>
        </is>
      </c>
      <c r="D1268" s="3">
        <f>IFERROR(__xludf.DUMMYFUNCTION("GOOGLETRANSLATE(B1268,""vi"",""km"")"),"ស្ថានភាព")</f>
        <v/>
      </c>
      <c r="E1268" s="3" t="inlineStr">
        <is>
          <t>ស្ថានភាព</t>
        </is>
      </c>
      <c r="F1268" s="3" t="n"/>
      <c r="G1268" s="3" t="inlineStr">
        <is>
          <t>ស្ថានភាព</t>
        </is>
      </c>
      <c r="H1268" t="inlineStr">
        <is>
          <t>ស្ថានភាព</t>
        </is>
      </c>
      <c r="I1268" s="217" t="inlineStr">
        <is>
          <t>"banGiao.titleStatus": "ស្ថានភាព",</t>
        </is>
      </c>
      <c r="N1268" s="3" t="inlineStr">
        <is>
          <t>ស្ថានភាព</t>
        </is>
      </c>
    </row>
    <row r="1269" ht="15.75" customHeight="1" s="305">
      <c r="A1269" s="3" t="inlineStr">
        <is>
          <t>nhanLai.statusForward</t>
        </is>
      </c>
      <c r="B1269" s="3" t="inlineStr">
        <is>
          <t>Trạng thái 450: Yêu cầu chuyển địa chỉ</t>
        </is>
      </c>
      <c r="C1269" s="3" t="inlineStr">
        <is>
          <t>Status 450: Forward request</t>
        </is>
      </c>
      <c r="D1269" s="3">
        <f>IFERROR(__xludf.DUMMYFUNCTION("GOOGLETRANSLATE(B1269,""vi"",""km"")"),"ស្ថានភាព ៤៥០៖ សំណើសុំផ្លាស់ប្តូរអាសយដ្ឋាន")</f>
        <v/>
      </c>
      <c r="E1269" s="3" t="inlineStr">
        <is>
          <t>ស្ថានភាព 450: សំណើផ្លាស់ប្តូរអាសយដ្ឋាន</t>
        </is>
      </c>
      <c r="F1269" s="3" t="n"/>
      <c r="G1269" s="3" t="inlineStr">
        <is>
          <t>ស្ថានភាព 450: សំណើផ្លាស់ប្តូរអាសយដ្ឋាន</t>
        </is>
      </c>
      <c r="H1269" t="inlineStr">
        <is>
          <t>ស្ថានភាព 450: សំណើផ្លាស់ប្តូរអាសយដ្ឋាន</t>
        </is>
      </c>
      <c r="I1269" s="217" t="inlineStr">
        <is>
          <t>"nhanLai.statusForward": "ស្ថានភាព 450: សំណើផ្លាស់ប្តូរអាសយដ្ឋាន",</t>
        </is>
      </c>
      <c r="N1269" s="163" t="inlineStr">
        <is>
          <t>ស្ថានភាព 450៖ សំណើបញ្ជូនបន្ត</t>
        </is>
      </c>
    </row>
    <row r="1270" ht="15.75" customHeight="1" s="305">
      <c r="A1270" s="3" t="inlineStr">
        <is>
          <t>nhanLai.statusCompleteApplication</t>
        </is>
      </c>
      <c r="B1270" s="3" t="inlineStr">
        <is>
          <t>Trạng thái 470: Đã duyệt hoàn</t>
        </is>
      </c>
      <c r="C1270" s="3" t="inlineStr">
        <is>
          <t>Status 470: Return aprroval</t>
        </is>
      </c>
      <c r="D1270" s="3">
        <f>IFERROR(__xludf.DUMMYFUNCTION("GOOGLETRANSLATE(B1270,""vi"",""km"")"),"ស្ថានភាព ៤៧០៖ យល់ព្រម")</f>
        <v/>
      </c>
      <c r="E1270" s="3" t="inlineStr">
        <is>
          <t>ស្ថានភាព 470: បានយល់ព្រមប្រគល់ត្រលប់</t>
        </is>
      </c>
      <c r="F1270" s="3" t="n"/>
      <c r="G1270" s="3" t="inlineStr">
        <is>
          <t>ស្ថានភាព 470: បានយល់ព្រមប្រគល់ត្រលប់</t>
        </is>
      </c>
      <c r="H1270" t="inlineStr">
        <is>
          <t>ស្ថានភាព 470: បានយល់ព្រមប្រគល់ត្រលប់</t>
        </is>
      </c>
      <c r="I1270" s="217" t="inlineStr">
        <is>
          <t>"nhanLai.statusCompleteApplication": "ស្ថានភាព 470: បានយល់ព្រមប្រគល់ត្រលប់",</t>
        </is>
      </c>
      <c r="N1270" s="163" t="inlineStr">
        <is>
          <t>ស្ថានភាព 470៖ ការយល់ព្រមត្រឡប់មកវិញ</t>
        </is>
      </c>
    </row>
    <row r="1271" ht="15.75" customHeight="1" s="305">
      <c r="A1271" s="3" t="inlineStr">
        <is>
          <t>nhanLai.status480</t>
        </is>
      </c>
      <c r="B1271" s="3" t="inlineStr">
        <is>
          <t>Trạng thái 480</t>
        </is>
      </c>
      <c r="C1271" s="3" t="inlineStr">
        <is>
          <t>Status 480</t>
        </is>
      </c>
      <c r="D1271" s="3">
        <f>IFERROR(__xludf.DUMMYFUNCTION("GOOGLETRANSLATE(B1271,""vi"",""km"")"),"ស្ថានភាព ៤៨០")</f>
        <v/>
      </c>
      <c r="E1271" s="3" t="inlineStr">
        <is>
          <t>ស្ថានភាព 480</t>
        </is>
      </c>
      <c r="F1271" s="3" t="n"/>
      <c r="G1271" s="3" t="inlineStr">
        <is>
          <t>ស្ថានភាព 480</t>
        </is>
      </c>
      <c r="H1271" t="inlineStr">
        <is>
          <t>ស្ថានភាព 480</t>
        </is>
      </c>
      <c r="I1271" s="217" t="inlineStr">
        <is>
          <t>"nhanLai.status480": "ស្ថានភាព 480",</t>
        </is>
      </c>
      <c r="N1271" s="163" t="inlineStr">
        <is>
          <t>ស្ថានភាព 480</t>
        </is>
      </c>
    </row>
    <row r="1272" ht="15.75" customHeight="1" s="305">
      <c r="A1272" s="3" t="inlineStr">
        <is>
          <t>nhanLai.status500</t>
        </is>
      </c>
      <c r="B1272" s="3" t="inlineStr">
        <is>
          <t>Trạng thái 500</t>
        </is>
      </c>
      <c r="C1272" s="3" t="inlineStr">
        <is>
          <t>Status 500</t>
        </is>
      </c>
      <c r="D1272" s="3">
        <f>IFERROR(__xludf.DUMMYFUNCTION("GOOGLETRANSLATE(B1272,""vi"",""km"")"),"ស្ថានភាព 500")</f>
        <v/>
      </c>
      <c r="E1272" s="3" t="inlineStr">
        <is>
          <t>ស្ថានភាព 500</t>
        </is>
      </c>
      <c r="F1272" s="3" t="n"/>
      <c r="G1272" s="3" t="inlineStr">
        <is>
          <t>ស្ថានភាព 500</t>
        </is>
      </c>
      <c r="H1272" t="inlineStr">
        <is>
          <t>ស្ថានភាព 500</t>
        </is>
      </c>
      <c r="I1272" s="217" t="inlineStr">
        <is>
          <t>"nhanLai.status500": "ស្ថានភាព 500",</t>
        </is>
      </c>
      <c r="N1272" s="163" t="inlineStr">
        <is>
          <t>ស្ថានភាព 500</t>
        </is>
      </c>
    </row>
    <row r="1273" ht="15.75" customHeight="1" s="305">
      <c r="A1273" s="3" t="inlineStr">
        <is>
          <t>GiaoHang.titleItemStatus</t>
        </is>
      </c>
      <c r="B1273" s="3" t="inlineStr">
        <is>
          <t>Trạng thái TT</t>
        </is>
      </c>
      <c r="C1273" s="3" t="inlineStr">
        <is>
          <t>Status</t>
        </is>
      </c>
      <c r="D1273" s="3">
        <f>IFERROR(__xludf.DUMMYFUNCTION("GOOGLETRANSLATE(B1273,""vi"",""km"")"),"ស្ថានភាព")</f>
        <v/>
      </c>
      <c r="E1273" s="3" t="inlineStr">
        <is>
          <t>ស្ថានភាព TT</t>
        </is>
      </c>
      <c r="F1273" s="3" t="n"/>
      <c r="G1273" s="3" t="inlineStr">
        <is>
          <t>ស្ថានភាព TT</t>
        </is>
      </c>
      <c r="H1273" t="inlineStr">
        <is>
          <t>ស្ថានភាព TT</t>
        </is>
      </c>
      <c r="I1273" s="217" t="inlineStr">
        <is>
          <t>"GiaoHang.titleItemStatus": "ស្ថានភាព TT",</t>
        </is>
      </c>
      <c r="N1273" s="3" t="inlineStr">
        <is>
          <t>ស្ថានភាពល្អ</t>
        </is>
      </c>
    </row>
    <row r="1274" ht="15.75" customHeight="1" s="305">
      <c r="A1274" s="3" t="inlineStr">
        <is>
          <t>thanhtoan.status</t>
        </is>
      </c>
      <c r="B1274" s="3" t="inlineStr">
        <is>
          <t>Trạng thái:</t>
        </is>
      </c>
      <c r="C1274" s="3" t="inlineStr">
        <is>
          <t>Status:</t>
        </is>
      </c>
      <c r="D1274" s="3">
        <f>IFERROR(__xludf.DUMMYFUNCTION("GOOGLETRANSLATE(B1274,""vi"",""km"")"),"ស្ថានភាព៖")</f>
        <v/>
      </c>
      <c r="E1274" s="3" t="inlineStr">
        <is>
          <t>ស្ថានភាព៖</t>
        </is>
      </c>
      <c r="F1274" s="3" t="n"/>
      <c r="G1274" s="3" t="inlineStr">
        <is>
          <t>ស្ថានភាព៖</t>
        </is>
      </c>
      <c r="H1274" t="inlineStr">
        <is>
          <t>ស្ថានភាព៖</t>
        </is>
      </c>
      <c r="I1274" s="217" t="inlineStr">
        <is>
          <t>"thanhtoan.status": "ស្ថានភាព៖",</t>
        </is>
      </c>
      <c r="N1274" s="3" t="inlineStr"/>
    </row>
    <row r="1275" ht="15.75" customHeight="1" s="305">
      <c r="A1275" s="3" t="inlineStr">
        <is>
          <t>common.weight</t>
        </is>
      </c>
      <c r="B1275" s="3" t="inlineStr">
        <is>
          <t>Trọng lượng</t>
        </is>
      </c>
      <c r="C1275" s="3" t="inlineStr">
        <is>
          <t>Weight</t>
        </is>
      </c>
      <c r="D1275" s="3">
        <f>IFERROR(__xludf.DUMMYFUNCTION("GOOGLETRANSLATE(B1275,""vi"",""km"")"),"ទម្ងន់")</f>
        <v/>
      </c>
      <c r="E1275" s="3" t="inlineStr">
        <is>
          <t>ទម្ងន់</t>
        </is>
      </c>
      <c r="F1275" s="3" t="n"/>
      <c r="G1275" s="3" t="inlineStr">
        <is>
          <t>ទម្ងន់</t>
        </is>
      </c>
      <c r="H1275" t="inlineStr">
        <is>
          <t>ទម្ងន់</t>
        </is>
      </c>
      <c r="I1275" s="217" t="inlineStr">
        <is>
          <t>"common.weight": "ទម្ងន់",</t>
        </is>
      </c>
      <c r="N1275" s="3" t="inlineStr">
        <is>
          <t>ទម្ងន់៖</t>
        </is>
      </c>
    </row>
    <row r="1276" ht="15.75" customHeight="1" s="305">
      <c r="A1276" s="3" t="inlineStr">
        <is>
          <t>banGiao.trongLuong</t>
        </is>
      </c>
      <c r="B1276" s="3" t="inlineStr">
        <is>
          <t>Trọng lượng</t>
        </is>
      </c>
      <c r="C1276" s="3" t="inlineStr">
        <is>
          <t>Weight</t>
        </is>
      </c>
      <c r="D1276" s="3">
        <f>IFERROR(__xludf.DUMMYFUNCTION("GOOGLETRANSLATE(B1276,""vi"",""km"")"),"ទម្ងន់")</f>
        <v/>
      </c>
      <c r="E1276" s="3" t="inlineStr">
        <is>
          <t>ទម្ងន់</t>
        </is>
      </c>
      <c r="F1276" s="3" t="n"/>
      <c r="G1276" s="3" t="inlineStr">
        <is>
          <t>ទម្ងន់</t>
        </is>
      </c>
      <c r="H1276" t="inlineStr">
        <is>
          <t>ទម្ងន់</t>
        </is>
      </c>
      <c r="I1276" s="217" t="inlineStr">
        <is>
          <t>"banGiao.trongLuong": "ទម្ងន់",</t>
        </is>
      </c>
      <c r="N1276" s="3" t="inlineStr">
        <is>
          <t>ទម្ងន់</t>
        </is>
      </c>
    </row>
    <row r="1277" ht="15.75" customHeight="1" s="305">
      <c r="A1277" s="3" t="inlineStr">
        <is>
          <t>DongTai.weight</t>
        </is>
      </c>
      <c r="B1277" s="3" t="inlineStr">
        <is>
          <t>Trọng lượng</t>
        </is>
      </c>
      <c r="C1277" s="3" t="inlineStr">
        <is>
          <t>Weight</t>
        </is>
      </c>
      <c r="D1277" s="3">
        <f>IFERROR(__xludf.DUMMYFUNCTION("GOOGLETRANSLATE(B1277,""vi"",""km"")"),"ទម្ងន់")</f>
        <v/>
      </c>
      <c r="E1277" s="3" t="inlineStr">
        <is>
          <t>ទម្ងន់</t>
        </is>
      </c>
      <c r="F1277" s="3" t="n"/>
      <c r="G1277" s="3" t="inlineStr">
        <is>
          <t>ទម្ងន់</t>
        </is>
      </c>
      <c r="H1277" t="inlineStr">
        <is>
          <t>ទម្ងន់</t>
        </is>
      </c>
      <c r="I1277" s="217" t="inlineStr">
        <is>
          <t>"DongTai.weight": "ទម្ងន់",</t>
        </is>
      </c>
      <c r="N1277" s="3" t="inlineStr">
        <is>
          <t>ទម្ងន់</t>
        </is>
      </c>
    </row>
    <row r="1278" ht="15.75" customHeight="1" s="305">
      <c r="A1278" s="3" t="inlineStr">
        <is>
          <t>GiaoHang.titleWeightInfo</t>
        </is>
      </c>
      <c r="B1278" s="3" t="inlineStr">
        <is>
          <t>Trọng lượng</t>
        </is>
      </c>
      <c r="C1278" s="3" t="inlineStr">
        <is>
          <t>Weight</t>
        </is>
      </c>
      <c r="D1278" s="3">
        <f>IFERROR(__xludf.DUMMYFUNCTION("GOOGLETRANSLATE(B1278,""vi"",""km"")"),"ទម្ងន់")</f>
        <v/>
      </c>
      <c r="E1278" s="3" t="inlineStr">
        <is>
          <t>ទម្ងន់</t>
        </is>
      </c>
      <c r="F1278" s="3" t="n"/>
      <c r="G1278" s="3" t="inlineStr">
        <is>
          <t>ទម្ងន់</t>
        </is>
      </c>
      <c r="H1278" t="inlineStr">
        <is>
          <t>ទម្ងន់</t>
        </is>
      </c>
      <c r="I1278" s="217" t="inlineStr">
        <is>
          <t>"GiaoHang.titleWeightInfo": "ទម្ងន់",</t>
        </is>
      </c>
      <c r="N1278" s="3" t="inlineStr">
        <is>
          <t>ទម្ងន់</t>
        </is>
      </c>
    </row>
    <row r="1279" ht="15.75" customHeight="1" s="305">
      <c r="A1279" s="3" t="inlineStr">
        <is>
          <t>tms.trongLuong</t>
        </is>
      </c>
      <c r="B1279" s="3" t="inlineStr">
        <is>
          <t>Trọng lượng</t>
        </is>
      </c>
      <c r="C1279" s="3" t="inlineStr">
        <is>
          <t>Weight</t>
        </is>
      </c>
      <c r="D1279" s="3">
        <f>IFERROR(__xludf.DUMMYFUNCTION("GOOGLETRANSLATE(B1279,""vi"",""km"")"),"ទម្ងន់")</f>
        <v/>
      </c>
      <c r="E1279" s="3" t="inlineStr">
        <is>
          <t>ទម្ងន់</t>
        </is>
      </c>
      <c r="F1279" s="3" t="n"/>
      <c r="G1279" s="3" t="inlineStr">
        <is>
          <t>ទម្ងន់</t>
        </is>
      </c>
      <c r="H1279" t="inlineStr">
        <is>
          <t>ទម្ងន់</t>
        </is>
      </c>
      <c r="I1279" s="217" t="inlineStr">
        <is>
          <t>"tms.trongLuong": "ទម្ងន់",</t>
        </is>
      </c>
      <c r="N1279" s="3" t="inlineStr"/>
    </row>
    <row r="1280" ht="15.75" customHeight="1" s="305">
      <c r="A1280" s="3" t="inlineStr">
        <is>
          <t>taoKien.weight</t>
        </is>
      </c>
      <c r="B1280" s="3" t="inlineStr">
        <is>
          <t>Trọng lượng</t>
        </is>
      </c>
      <c r="C1280" s="3" t="inlineStr">
        <is>
          <t>Weight</t>
        </is>
      </c>
      <c r="D1280" s="3">
        <f>IFERROR(__xludf.DUMMYFUNCTION("GOOGLETRANSLATE(B1280,""vi"",""km"")"),"ទម្ងន់")</f>
        <v/>
      </c>
      <c r="E1280" s="3" t="inlineStr">
        <is>
          <t>ទម្ងន់</t>
        </is>
      </c>
      <c r="F1280" s="3" t="n"/>
      <c r="G1280" s="3" t="inlineStr">
        <is>
          <t>ទម្ងន់</t>
        </is>
      </c>
      <c r="H1280" t="inlineStr">
        <is>
          <t>ទម្ងន់</t>
        </is>
      </c>
      <c r="I1280" s="217" t="inlineStr">
        <is>
          <t>"taoKien.weight": "ទម្ងន់",</t>
        </is>
      </c>
      <c r="N1280" s="3" t="inlineStr"/>
    </row>
    <row r="1281" ht="15.75" customHeight="1" s="305">
      <c r="A1281" s="3" t="inlineStr">
        <is>
          <t>traCuoc.placeholderWeight</t>
        </is>
      </c>
      <c r="B1281" s="3" t="inlineStr">
        <is>
          <t>Trọng lượng (g)</t>
        </is>
      </c>
      <c r="C1281" s="3" t="inlineStr">
        <is>
          <t>Weight (g)</t>
        </is>
      </c>
      <c r="D1281" s="3">
        <f>IFERROR(__xludf.DUMMYFUNCTION("GOOGLETRANSLATE(B1281,""vi"",""km"")"),"ទម្ងន់ (ក្រាម)")</f>
        <v/>
      </c>
      <c r="E1281" s="3" t="inlineStr">
        <is>
          <t>ទម្ងន់ (ក្រាម)</t>
        </is>
      </c>
      <c r="F1281" s="3" t="n"/>
      <c r="G1281" s="3" t="inlineStr">
        <is>
          <t>ទម្ងន់ (ក្រាម)</t>
        </is>
      </c>
      <c r="H1281" t="inlineStr">
        <is>
          <t>ទម្ងន់ (ក្រាម)</t>
        </is>
      </c>
      <c r="I1281" s="217" t="inlineStr">
        <is>
          <t>"traCuoc.placeholderWeight": "ទម្ងន់ (ក្រាម)",</t>
        </is>
      </c>
      <c r="N1281" s="3" t="inlineStr">
        <is>
          <t>ទម្ងន់ (ក្រាម)</t>
        </is>
      </c>
    </row>
    <row r="1282" ht="15.75" customHeight="1" s="305">
      <c r="A1282" s="3" t="inlineStr">
        <is>
          <t>taoKien.messageTrongLuongKhongDuDeTachKien</t>
        </is>
      </c>
      <c r="B1282" s="3" t="inlineStr">
        <is>
          <t>Trọng lượng không đủ để tách {{count}} kiện</t>
        </is>
      </c>
      <c r="C1282" s="3" t="inlineStr">
        <is>
          <t>Insufficient weight to split into {{count}} packages</t>
        </is>
      </c>
      <c r="D1282" s="3">
        <f>IFERROR(__xludf.DUMMYFUNCTION("GOOGLETRANSLATE(B1282,""vi"",""km"")"),"ទម្ងន់មិនគ្រប់គ្រាន់ដើម្បីបំបែកកញ្ចប់។")</f>
        <v/>
      </c>
      <c r="E1282" s="3" t="inlineStr">
        <is>
          <t xml:space="preserve">ទម្ងន់មិនគ្រប់ដើម្បីបែងចែកកញ្ចប់អីវ៉ាន់ {{count}} </t>
        </is>
      </c>
      <c r="F1282" s="3" t="n"/>
      <c r="G1282" s="3" t="inlineStr">
        <is>
          <t>ទម្ងន់មិនគ្រប់ដើម្បីបែងចែកកញ្ចប់អីវ៉ាន់ {{count}}</t>
        </is>
      </c>
      <c r="H1282" t="inlineStr">
        <is>
          <t>ទម្ងន់មិនគ្រប់ដើម្បីបែងចែកកញ្ចប់អីវ៉ាន់ {{count}}</t>
        </is>
      </c>
      <c r="I1282" s="217" t="inlineStr">
        <is>
          <t>"taoKien.messageTrongLuongKhongDuDeTachKien": "ទម្ងន់មិនគ្រប់ដើម្បីបែងចែកកញ្ចប់អីវ៉ាន់ {{count}}",</t>
        </is>
      </c>
      <c r="N1282" s="3" t="inlineStr"/>
    </row>
    <row r="1283" ht="15.75" customHeight="1" s="305">
      <c r="A1283" s="3" t="inlineStr">
        <is>
          <t>taoDon.weightRequired</t>
        </is>
      </c>
      <c r="B1283" s="3" t="inlineStr">
        <is>
          <t>Trọng lượng không được để trống</t>
        </is>
      </c>
      <c r="C1283" s="3" t="inlineStr">
        <is>
          <t>Weight is required</t>
        </is>
      </c>
      <c r="D1283" s="3">
        <f>IFERROR(__xludf.DUMMYFUNCTION("GOOGLETRANSLATE(B1283,""vi"",""km"")"),"វាលទម្ងន់មិនត្រូវទុកចោលឱ្យទទេទេ។")</f>
        <v/>
      </c>
      <c r="E1283" s="3" t="inlineStr">
        <is>
          <t>ទម្ងន់មិនអាចទុកចន្លោះបានទេ</t>
        </is>
      </c>
      <c r="F1283" s="3" t="n"/>
      <c r="G1283" s="3" t="inlineStr">
        <is>
          <t>ទម្ងន់មិនអាចទុកចន្លោះបានទេ</t>
        </is>
      </c>
      <c r="H1283" t="inlineStr">
        <is>
          <t>ទម្ងន់មិនអាចទុកចន្លោះបានទេ</t>
        </is>
      </c>
      <c r="I1283" s="217" t="inlineStr">
        <is>
          <t>"taoDon.weightRequired": "ទម្ងន់មិនអាចទុកចន្លោះបានទេ",</t>
        </is>
      </c>
      <c r="N1283" s="3" t="inlineStr">
        <is>
          <t>ទំងន់មិនអាចទទេបានទេ</t>
        </is>
      </c>
    </row>
    <row r="1284" ht="15.75" customHeight="1" s="305">
      <c r="A1284" s="3" t="inlineStr">
        <is>
          <t>suaDon.conversionWeight</t>
        </is>
      </c>
      <c r="B1284" s="3" t="inlineStr">
        <is>
          <t>Trọng lượng quy đổi:</t>
        </is>
      </c>
      <c r="C1284" s="3" t="inlineStr">
        <is>
          <t>Converted weight:</t>
        </is>
      </c>
      <c r="D1284" s="3">
        <f>IFERROR(__xludf.DUMMYFUNCTION("GOOGLETRANSLATE(B1284,""vi"",""km"")"),"ទម្ងន់ដែលបានបម្លែង៖")</f>
        <v/>
      </c>
      <c r="E1284" s="3" t="inlineStr">
        <is>
          <t>ទម្ងន់ត្រូវបានបម្លែង៖</t>
        </is>
      </c>
      <c r="F1284" s="3" t="n"/>
      <c r="G1284" s="3" t="inlineStr">
        <is>
          <t>ទម្ងន់ត្រូវបានបម្លែង៖</t>
        </is>
      </c>
      <c r="H1284" t="inlineStr">
        <is>
          <t>ទម្ងន់ត្រូវបានបម្លែង៖</t>
        </is>
      </c>
      <c r="I1284" s="217" t="inlineStr">
        <is>
          <t>"suaDon.conversionWeight": "ទម្ងន់ត្រូវបានបម្លែង៖",</t>
        </is>
      </c>
      <c r="N1284" s="3" t="inlineStr">
        <is>
          <t>ទម្ងន់បំប្លែង:</t>
        </is>
      </c>
    </row>
    <row r="1285" ht="15.75" customHeight="1" s="305">
      <c r="A1285" s="3" t="inlineStr">
        <is>
          <t>traCuoc.chargeableWeight</t>
        </is>
      </c>
      <c r="B1285" s="3" t="inlineStr">
        <is>
          <t>Trọng lượng tính cước:</t>
        </is>
      </c>
      <c r="C1285" s="3" t="inlineStr">
        <is>
          <t>Chargeable weight:</t>
        </is>
      </c>
      <c r="D1285" s="3">
        <f>IFERROR(__xludf.DUMMYFUNCTION("GOOGLETRANSLATE(B1285,""vi"",""km"")"),"ទម្ងន់ដែលអាចលៃតម្រូវបាន៖")</f>
        <v/>
      </c>
      <c r="E1285" s="3" t="inlineStr">
        <is>
          <t>ទម្ងន់គិតសេវា៖</t>
        </is>
      </c>
      <c r="F1285" s="3" t="n"/>
      <c r="G1285" s="3" t="inlineStr">
        <is>
          <t>ទម្ងន់គិតសេវា៖</t>
        </is>
      </c>
      <c r="H1285" t="inlineStr">
        <is>
          <t>ទម្ងន់គិតសេវា៖</t>
        </is>
      </c>
      <c r="I1285" s="217" t="inlineStr">
        <is>
          <t>"traCuoc.chargeableWeight": "ទម្ងន់គិតសេវា៖",</t>
        </is>
      </c>
      <c r="N1285" s="3" t="inlineStr">
        <is>
          <t>ទម្ងន់គិតតម្លៃ:</t>
        </is>
      </c>
    </row>
    <row r="1286" ht="15.75" customHeight="1" s="305">
      <c r="A1286" s="3" t="inlineStr">
        <is>
          <t>nhanHang.trongluong</t>
        </is>
      </c>
      <c r="B1286" s="3" t="inlineStr">
        <is>
          <t>Trọng lượng:</t>
        </is>
      </c>
      <c r="C1286" s="3" t="inlineStr">
        <is>
          <t>Weight:</t>
        </is>
      </c>
      <c r="D1286" s="3">
        <f>IFERROR(__xludf.DUMMYFUNCTION("GOOGLETRANSLATE(B1286,""vi"",""km"")"),"ទម្ងន់៖")</f>
        <v/>
      </c>
      <c r="E1286" s="3" t="inlineStr">
        <is>
          <t>ទម្ងន់៖</t>
        </is>
      </c>
      <c r="F1286" s="3" t="n"/>
      <c r="G1286" s="3" t="inlineStr">
        <is>
          <t>ទម្ងន់៖</t>
        </is>
      </c>
      <c r="H1286" t="inlineStr">
        <is>
          <t>ទម្ងន់៖</t>
        </is>
      </c>
      <c r="I1286" s="217" t="inlineStr">
        <is>
          <t>"nhanHang.trongluong": "ទម្ងន់៖",</t>
        </is>
      </c>
      <c r="N1286" s="3" t="inlineStr">
        <is>
          <t>ទំងន់៖</t>
        </is>
      </c>
    </row>
    <row r="1287" ht="15.75" customHeight="1" s="305">
      <c r="A1287" s="3" t="inlineStr">
        <is>
          <t>GiaoHang.titleWeight</t>
        </is>
      </c>
      <c r="B1287" s="3" t="inlineStr">
        <is>
          <t>Trọng lượng:</t>
        </is>
      </c>
      <c r="C1287" s="3" t="inlineStr">
        <is>
          <t>Weight:</t>
        </is>
      </c>
      <c r="D1287" s="3">
        <f>IFERROR(__xludf.DUMMYFUNCTION("GOOGLETRANSLATE(B1287,""vi"",""km"")"),"ទម្ងន់៖")</f>
        <v/>
      </c>
      <c r="E1287" s="3" t="inlineStr">
        <is>
          <t>ទម្ងន់៖</t>
        </is>
      </c>
      <c r="F1287" s="3" t="n"/>
      <c r="G1287" s="3" t="inlineStr">
        <is>
          <t>ទម្ងន់៖</t>
        </is>
      </c>
      <c r="H1287" t="inlineStr">
        <is>
          <t>ទម្ងន់៖</t>
        </is>
      </c>
      <c r="I1287" s="217" t="inlineStr">
        <is>
          <t>"GiaoHang.titleWeight": "ទម្ងន់៖",</t>
        </is>
      </c>
      <c r="N1287" s="3" t="inlineStr">
        <is>
          <t>ទម្ងន់</t>
        </is>
      </c>
    </row>
    <row r="1288" ht="15.75" customHeight="1" s="305">
      <c r="A1288" s="3" t="inlineStr">
        <is>
          <t>khaiThacDen.weight</t>
        </is>
      </c>
      <c r="B1288" s="3" t="inlineStr">
        <is>
          <t>Trọng lượng:</t>
        </is>
      </c>
      <c r="C1288" s="3" t="inlineStr">
        <is>
          <t>Weight:</t>
        </is>
      </c>
      <c r="D1288" s="3">
        <f>IFERROR(__xludf.DUMMYFUNCTION("GOOGLETRANSLATE(B1288,""vi"",""km"")"),"ទម្ងន់៖")</f>
        <v/>
      </c>
      <c r="E1288" s="3" t="inlineStr">
        <is>
          <t>ទម្ងន់៖</t>
        </is>
      </c>
      <c r="F1288" s="3" t="n"/>
      <c r="G1288" s="3" t="inlineStr">
        <is>
          <t>ទម្ងន់៖</t>
        </is>
      </c>
      <c r="H1288" t="inlineStr">
        <is>
          <t>ទម្ងន់៖</t>
        </is>
      </c>
      <c r="I1288" s="217" t="inlineStr">
        <is>
          <t>"khaiThacDen.weight": "ទម្ងន់៖",</t>
        </is>
      </c>
      <c r="N1288" s="3" t="inlineStr">
        <is>
          <t>ទម្ងន់:</t>
        </is>
      </c>
    </row>
    <row r="1289" ht="15.75" customHeight="1" s="305">
      <c r="A1289" s="3" t="inlineStr">
        <is>
          <t>traCuoc.domestic</t>
        </is>
      </c>
      <c r="B1289" s="3" t="inlineStr">
        <is>
          <t>Trong nước</t>
        </is>
      </c>
      <c r="C1289" s="3" t="inlineStr">
        <is>
          <t>Domestic</t>
        </is>
      </c>
      <c r="D1289" s="3">
        <f>IFERROR(__xludf.DUMMYFUNCTION("GOOGLETRANSLATE(B1289,""vi"",""km"")"),"ក្នុងស្រុក")</f>
        <v/>
      </c>
      <c r="E1289" s="3" t="inlineStr">
        <is>
          <t>ក្នុងស្រុក</t>
        </is>
      </c>
      <c r="F1289" s="3" t="n"/>
      <c r="G1289" s="3" t="inlineStr">
        <is>
          <t>ក្នុងស្រុក</t>
        </is>
      </c>
      <c r="H1289" t="inlineStr">
        <is>
          <t>ក្នុងស្រុក</t>
        </is>
      </c>
      <c r="I1289" s="217" t="inlineStr">
        <is>
          <t>"traCuoc.domestic": "ក្នុងស្រុក",</t>
        </is>
      </c>
      <c r="N1289" s="3" t="inlineStr">
        <is>
          <t>ក្នុងស្រុក</t>
        </is>
      </c>
    </row>
    <row r="1290" ht="15.75" customHeight="1" s="305">
      <c r="A1290" s="3" t="inlineStr">
        <is>
          <t>DongTai.direct</t>
        </is>
      </c>
      <c r="B1290" s="3" t="inlineStr">
        <is>
          <t>Trực tiếp</t>
        </is>
      </c>
      <c r="C1290" s="3" t="inlineStr">
        <is>
          <t>Direct</t>
        </is>
      </c>
      <c r="D1290" s="3">
        <f>IFERROR(__xludf.DUMMYFUNCTION("GOOGLETRANSLATE(B1290,""vi"",""km"")"),"ផ្ទាល់")</f>
        <v/>
      </c>
      <c r="E1290" s="3" t="inlineStr">
        <is>
          <t>ដោយផ្ទាល់</t>
        </is>
      </c>
      <c r="F1290" s="3" t="n"/>
      <c r="G1290" s="3" t="inlineStr">
        <is>
          <t>ដោយផ្ទាល់</t>
        </is>
      </c>
      <c r="H1290" t="inlineStr">
        <is>
          <t>ដោយផ្ទាល់</t>
        </is>
      </c>
      <c r="I1290" s="217" t="inlineStr">
        <is>
          <t>"DongTai.direct": "ដោយផ្ទាល់",</t>
        </is>
      </c>
      <c r="N1290" s="3" t="inlineStr"/>
    </row>
    <row r="1291" ht="15.75" customHeight="1" s="305">
      <c r="A1291" s="3" t="inlineStr">
        <is>
          <t>DongTai.trucTiep</t>
        </is>
      </c>
      <c r="B1291" s="3" t="inlineStr">
        <is>
          <t>Trực tiếp</t>
        </is>
      </c>
      <c r="C1291" s="143" t="inlineStr">
        <is>
          <t>Direct</t>
        </is>
      </c>
      <c r="D1291" s="3">
        <f>IFERROR(__xludf.DUMMYFUNCTION("GOOGLETRANSLATE(B1291,""vi"",""km"")"),"ផ្ទាល់")</f>
        <v/>
      </c>
      <c r="E1291" s="3" t="inlineStr">
        <is>
          <t>ដោយផ្ទាល់</t>
        </is>
      </c>
      <c r="F1291" s="3" t="n"/>
      <c r="G1291" s="3" t="inlineStr">
        <is>
          <t>ដោយផ្ទាល់</t>
        </is>
      </c>
      <c r="H1291" t="inlineStr">
        <is>
          <t>ដោយផ្ទាល់</t>
        </is>
      </c>
      <c r="I1291" s="217" t="inlineStr">
        <is>
          <t>"DongTai.trucTiep": "ដោយផ្ទាល់",</t>
        </is>
      </c>
      <c r="N1291" s="3" t="inlineStr"/>
    </row>
    <row r="1292" ht="15.75" customHeight="1" s="305">
      <c r="A1292" s="3" t="inlineStr">
        <is>
          <t>inDon.from</t>
        </is>
      </c>
      <c r="B1292" s="3" t="inlineStr">
        <is>
          <t>Từ</t>
        </is>
      </c>
      <c r="C1292" s="3" t="inlineStr">
        <is>
          <t>From</t>
        </is>
      </c>
      <c r="D1292" s="3">
        <f>IFERROR(__xludf.DUMMYFUNCTION("GOOGLETRANSLATE(B1292,""vi"",""km"")"),"ពី")</f>
        <v/>
      </c>
      <c r="E1292" s="3" t="inlineStr">
        <is>
          <t>ចាប់ពី</t>
        </is>
      </c>
      <c r="F1292" s="3" t="n"/>
      <c r="G1292" s="3" t="inlineStr">
        <is>
          <t>ចាប់ពី</t>
        </is>
      </c>
      <c r="H1292" t="inlineStr">
        <is>
          <t>ចាប់ពី</t>
        </is>
      </c>
      <c r="I1292" s="217" t="inlineStr">
        <is>
          <t>"inDon.from": "ចាប់ពី",</t>
        </is>
      </c>
      <c r="N1292" s="3" t="inlineStr">
        <is>
          <t>ពី</t>
        </is>
      </c>
    </row>
    <row r="1293" ht="15.75" customHeight="1" s="305">
      <c r="A1293" s="3" t="inlineStr">
        <is>
          <t>nhanHang.reject</t>
        </is>
      </c>
      <c r="B1293" s="3" t="inlineStr">
        <is>
          <t>Từ chối</t>
        </is>
      </c>
      <c r="C1293" s="3" t="inlineStr">
        <is>
          <t>Reject</t>
        </is>
      </c>
      <c r="D1293" s="3">
        <f>IFERROR(__xludf.DUMMYFUNCTION("GOOGLETRANSLATE(B1293,""vi"",""km"")"),"បដិសេធ")</f>
        <v/>
      </c>
      <c r="E1293" s="3" t="inlineStr">
        <is>
          <t>បដិសេដ</t>
        </is>
      </c>
      <c r="F1293" s="3" t="n"/>
      <c r="G1293" s="3" t="inlineStr">
        <is>
          <t>បដិសេធ</t>
        </is>
      </c>
      <c r="H1293" t="inlineStr">
        <is>
          <t>បដិសេធ</t>
        </is>
      </c>
      <c r="I1293" s="217" t="inlineStr">
        <is>
          <t>"nhanHang.reject": "បដិសេធ",</t>
        </is>
      </c>
      <c r="N1293" s="3" t="inlineStr">
        <is>
          <t>បដិសេធ</t>
        </is>
      </c>
    </row>
    <row r="1294" ht="15.75" customHeight="1" s="305">
      <c r="A1294" s="3" t="inlineStr">
        <is>
          <t>banGiao.refuse</t>
        </is>
      </c>
      <c r="B1294" s="3" t="inlineStr">
        <is>
          <t>Từ chối</t>
        </is>
      </c>
      <c r="C1294" s="3" t="inlineStr">
        <is>
          <t xml:space="preserve">Reject </t>
        </is>
      </c>
      <c r="D1294" s="3">
        <f>IFERROR(__xludf.DUMMYFUNCTION("GOOGLETRANSLATE(B1294,""vi"",""km"")"),"បដិសេធ")</f>
        <v/>
      </c>
      <c r="E1294" s="3" t="inlineStr">
        <is>
          <t>បដិសេធ</t>
        </is>
      </c>
      <c r="F1294" s="3" t="n"/>
      <c r="G1294" s="3" t="inlineStr">
        <is>
          <t>បដិសេធ</t>
        </is>
      </c>
      <c r="H1294" t="inlineStr">
        <is>
          <t>បដិសេធ</t>
        </is>
      </c>
      <c r="I1294" s="217" t="inlineStr">
        <is>
          <t>"banGiao.refuse": "បដិសេធ",</t>
        </is>
      </c>
      <c r="N1294" s="3" t="inlineStr">
        <is>
          <t>បដិសេធ</t>
        </is>
      </c>
    </row>
    <row r="1295" ht="15.75" customHeight="1" s="305">
      <c r="A1295" s="3" t="inlineStr">
        <is>
          <t>tms.tuChoi</t>
        </is>
      </c>
      <c r="B1295" s="3" t="inlineStr">
        <is>
          <t>Từ chối</t>
        </is>
      </c>
      <c r="C1295" s="3" t="inlineStr">
        <is>
          <t>Reject</t>
        </is>
      </c>
      <c r="D1295" s="3">
        <f>IFERROR(__xludf.DUMMYFUNCTION("GOOGLETRANSLATE(B1295,""vi"",""km"")"),"បដិសេធ")</f>
        <v/>
      </c>
      <c r="E1295" s="3" t="inlineStr">
        <is>
          <t>បដិសេធ</t>
        </is>
      </c>
      <c r="F1295" s="3" t="n"/>
      <c r="G1295" s="3" t="inlineStr">
        <is>
          <t>បដិសេធ</t>
        </is>
      </c>
      <c r="H1295" t="inlineStr">
        <is>
          <t>បដិសេធ</t>
        </is>
      </c>
      <c r="I1295" s="217" t="inlineStr">
        <is>
          <t>"tms.tuChoi": "បដិសេធ",</t>
        </is>
      </c>
      <c r="N1295" s="3" t="inlineStr"/>
    </row>
    <row r="1296" ht="15.75" customHeight="1" s="305">
      <c r="A1296" s="3" t="inlineStr">
        <is>
          <t>mainStatus.471</t>
        </is>
      </c>
      <c r="B1296" s="3" t="inlineStr">
        <is>
          <t>Từ chối hoàn</t>
        </is>
      </c>
      <c r="C1296" s="3" t="inlineStr">
        <is>
          <t>Reject return request</t>
        </is>
      </c>
      <c r="D1296" s="3">
        <f>IFERROR(__xludf.DUMMYFUNCTION("GOOGLETRANSLATE(B1296,""vi"",""km"")"),"បដិសេធការសងប្រាក់វិញ")</f>
        <v/>
      </c>
      <c r="E1296" s="3" t="inlineStr">
        <is>
          <t>បដិសេធត្រលប់</t>
        </is>
      </c>
      <c r="F1296" s="3" t="n"/>
      <c r="G1296" s="3" t="inlineStr">
        <is>
          <t>បដិសេធការប្រគល់ត្រឡប់</t>
        </is>
      </c>
      <c r="H1296" t="inlineStr">
        <is>
          <t>បដិសេធការប្រគល់ត្រឡប់</t>
        </is>
      </c>
      <c r="I1296" s="217" t="inlineStr">
        <is>
          <t>"mainStatus.471": "បដិសេធការប្រគល់ត្រឡប់",</t>
        </is>
      </c>
      <c r="N1296" s="163" t="inlineStr">
        <is>
          <t>បដិសេធសំណើរត្រឡប់មកវិញ</t>
        </is>
      </c>
    </row>
    <row r="1297" ht="15.75" customHeight="1" s="305">
      <c r="A1297" s="3" t="inlineStr">
        <is>
          <t>duyetHoan.refuseHoan</t>
        </is>
      </c>
      <c r="B1297" s="3" t="inlineStr">
        <is>
          <t>Từ chối hoàn</t>
        </is>
      </c>
      <c r="C1297" s="3" t="inlineStr">
        <is>
          <t>Reject return request</t>
        </is>
      </c>
      <c r="D1297" s="3">
        <f>IFERROR(__xludf.DUMMYFUNCTION("GOOGLETRANSLATE(B1297,""vi"",""km"")"),"បដិសេធការសងប្រាក់វិញ")</f>
        <v/>
      </c>
      <c r="E1297" s="3" t="inlineStr">
        <is>
          <t>បដិសេធត្រលប់</t>
        </is>
      </c>
      <c r="F1297" s="3" t="n"/>
      <c r="G1297" s="3" t="inlineStr">
        <is>
          <t>បដិសេធការប្រគល់ត្រឡប់</t>
        </is>
      </c>
      <c r="H1297" t="inlineStr">
        <is>
          <t>បដិសេធការប្រគល់ត្រឡប់</t>
        </is>
      </c>
      <c r="I1297" s="217" t="inlineStr">
        <is>
          <t>"duyetHoan.refuseHoan": "បដិសេធការប្រគល់ត្រឡប់",</t>
        </is>
      </c>
      <c r="N1297" s="3" t="inlineStr">
        <is>
          <t>មិនយល់ព្រម</t>
        </is>
      </c>
    </row>
    <row r="1298" ht="15.75" customHeight="1" s="305">
      <c r="A1298" s="3" t="inlineStr">
        <is>
          <t>mainStatus.307</t>
        </is>
      </c>
      <c r="B1298" s="3" t="inlineStr">
        <is>
          <t>Từ chối nhận bàn giao</t>
        </is>
      </c>
      <c r="C1298" s="3" t="inlineStr">
        <is>
          <t>Reject</t>
        </is>
      </c>
      <c r="D1298" s="3">
        <f>IFERROR(__xludf.DUMMYFUNCTION("GOOGLETRANSLATE(B1298,""vi"",""km"")"),"បដិសេធមិនទទួលយកការប្រគល់ជូន។")</f>
        <v/>
      </c>
      <c r="E1298" s="3" t="inlineStr">
        <is>
          <t>បដិសេធទទួលការប្រគល់</t>
        </is>
      </c>
      <c r="F1298" s="3" t="n"/>
      <c r="G1298" s="3" t="inlineStr">
        <is>
          <t>បដិសេធទទួលការប្រគល់</t>
        </is>
      </c>
      <c r="H1298" t="inlineStr">
        <is>
          <t>បដិសេធទទួលការប្រគល់</t>
        </is>
      </c>
      <c r="I1298" s="217" t="inlineStr">
        <is>
          <t>"mainStatus.307": "បដិសេធទទួលការប្រគល់",</t>
        </is>
      </c>
      <c r="N1298" s="163" t="inlineStr">
        <is>
          <t>បដិសេធ</t>
        </is>
      </c>
    </row>
    <row r="1299" ht="15.75" customHeight="1" s="305">
      <c r="A1299" s="3" t="inlineStr">
        <is>
          <t>nhanHang.refuseSubmission</t>
        </is>
      </c>
      <c r="B1299" s="3" t="inlineStr">
        <is>
          <t>Từ chối phiếu gửi</t>
        </is>
      </c>
      <c r="C1299" s="3" t="inlineStr">
        <is>
          <t>Reject the order</t>
        </is>
      </c>
      <c r="D1299" s="3">
        <f>IFERROR(__xludf.DUMMYFUNCTION("GOOGLETRANSLATE(B1299,""vi"",""km"")"),"បដិសេធ​ប័ណ្ណ​ដឹកជញ្ជូន។")</f>
        <v/>
      </c>
      <c r="E1299" s="3" t="inlineStr">
        <is>
          <t>បដិសេដបុងបញ្ញើ</t>
        </is>
      </c>
      <c r="F1299" s="3" t="n"/>
      <c r="G1299" s="3" t="inlineStr">
        <is>
          <t>បដិសេធបុងបញ្ញើ</t>
        </is>
      </c>
      <c r="H1299" t="inlineStr">
        <is>
          <t>បដិសេធបុងបញ្ញើ</t>
        </is>
      </c>
      <c r="I1299" s="217" t="inlineStr">
        <is>
          <t>"nhanHang.refuseSubmission": "បដិសេធបុងបញ្ញើ",</t>
        </is>
      </c>
      <c r="N1299" s="3" t="inlineStr">
        <is>
          <t>បដិសេធការដាក់បញ្ជូន</t>
        </is>
      </c>
    </row>
    <row r="1300" ht="15.75" customHeight="1" s="305">
      <c r="A1300" s="3" t="inlineStr">
        <is>
          <t>nhanHang.successfullyRejectedSubmission</t>
        </is>
      </c>
      <c r="B1300" s="3" t="inlineStr">
        <is>
          <t>Từ chối phiếu gửi thành công</t>
        </is>
      </c>
      <c r="C1300" s="3" t="inlineStr">
        <is>
          <t>Reject the order successfully</t>
        </is>
      </c>
      <c r="D1300" s="3">
        <f>IFERROR(__xludf.DUMMYFUNCTION("GOOGLETRANSLATE(B1300,""vi"",""km"")"),"បង្កាន់ដៃដឹកជញ្ជូនត្រូវបានបដិសេធដោយជោគជ័យ។")</f>
        <v/>
      </c>
      <c r="E1300" s="3" t="inlineStr">
        <is>
          <t>បដិសេដបុងបញ្ញើបានជោគជ័យ</t>
        </is>
      </c>
      <c r="F1300" s="3" t="n"/>
      <c r="G1300" s="3" t="inlineStr">
        <is>
          <t>បដិសេធបុងបញ្ញើបានជោគជ័យ</t>
        </is>
      </c>
      <c r="H1300" t="inlineStr">
        <is>
          <t>បដិសេធបុងបញ្ញើបានជោគជ័យ</t>
        </is>
      </c>
      <c r="I1300" s="217" t="inlineStr">
        <is>
          <t>"nhanHang.successfullyRejectedSubmission": "បដិសេធបុងបញ្ញើបានជោគជ័យ",</t>
        </is>
      </c>
      <c r="N1300" s="3" t="inlineStr">
        <is>
          <t>បដិសេធការបញ្ជូនដោយជោគជ័យ</t>
        </is>
      </c>
    </row>
    <row r="1301" ht="15.75" customHeight="1" s="305">
      <c r="A1301" s="3" t="inlineStr">
        <is>
          <t>nhanHang.rejectFailedSubmission</t>
        </is>
      </c>
      <c r="B1301" s="3" t="inlineStr">
        <is>
          <t>Từ chối phiếu gửi thất bại</t>
        </is>
      </c>
      <c r="C1301" s="3" t="inlineStr">
        <is>
          <t>Failed to reject the order</t>
        </is>
      </c>
      <c r="D1301" s="3">
        <f>IFERROR(__xludf.DUMMYFUNCTION("GOOGLETRANSLATE(B1301,""vi"",""km"")"),"ការបដិសេធការបញ្ជាទិញតាមប្រៃសណីយ៍ដែលបរាជ័យ។")</f>
        <v/>
      </c>
      <c r="E1301" s="3" t="inlineStr">
        <is>
          <t>បដិសេដបុងបញ្ញើបរាជ័យ</t>
        </is>
      </c>
      <c r="F1301" s="3" t="n"/>
      <c r="G1301" s="3" t="inlineStr">
        <is>
          <t>បដិសេធបុងបញ្ញើបរាជ័យ</t>
        </is>
      </c>
      <c r="H1301" t="inlineStr">
        <is>
          <t>បដិសេធបុងបញ្ញើបរាជ័យ</t>
        </is>
      </c>
      <c r="I1301" s="217" t="inlineStr">
        <is>
          <t>"nhanHang.rejectFailedSubmission": "បដិសេធបុងបញ្ញើបរាជ័យ",</t>
        </is>
      </c>
      <c r="N1301" s="3" t="inlineStr">
        <is>
          <t>បដិសេធការបញ្ជូនបរាជ័យ</t>
        </is>
      </c>
    </row>
    <row r="1302" ht="15.75" customHeight="1" s="305">
      <c r="A1302" s="3" t="inlineStr">
        <is>
          <t>dieuHanh.startDate</t>
        </is>
      </c>
      <c r="B1302" s="3" t="inlineStr">
        <is>
          <t>Từ ngày</t>
        </is>
      </c>
      <c r="C1302" s="3" t="inlineStr">
        <is>
          <t>From</t>
        </is>
      </c>
      <c r="D1302" s="3">
        <f>IFERROR(__xludf.DUMMYFUNCTION("GOOGLETRANSLATE(B1302,""vi"",""km"")"),"ចាប់ពីកាលបរិច្ឆេទ")</f>
        <v/>
      </c>
      <c r="E1302" s="3" t="inlineStr">
        <is>
          <t>ចាប់ពីថ្ងៃ</t>
        </is>
      </c>
      <c r="F1302" s="3" t="n"/>
      <c r="G1302" s="3" t="inlineStr">
        <is>
          <t>ចាប់ពីថ្ងៃ</t>
        </is>
      </c>
      <c r="H1302" t="inlineStr">
        <is>
          <t>ចាប់ពីថ្ងៃ</t>
        </is>
      </c>
      <c r="I1302" s="217" t="inlineStr">
        <is>
          <t>"dieuHanh.startDate": "ចាប់ពីថ្ងៃ",</t>
        </is>
      </c>
      <c r="N1302" s="3" t="inlineStr">
        <is>
          <t>ពីថ្ងៃ</t>
        </is>
      </c>
    </row>
    <row r="1303" ht="15.75" customHeight="1" s="305">
      <c r="A1303" s="3" t="inlineStr">
        <is>
          <t>dieuHanh.selectDate</t>
        </is>
      </c>
      <c r="B1303" s="3" t="inlineStr">
        <is>
          <t>Từ ngày - Đến ngày</t>
        </is>
      </c>
      <c r="C1303" s="3" t="inlineStr">
        <is>
          <t>From - To</t>
        </is>
      </c>
      <c r="D1303" s="3">
        <f>IFERROR(__xludf.DUMMYFUNCTION("GOOGLETRANSLATE(B1303,""vi"",""km"")"),"ចាប់ពីកាលបរិច្ឆេទ - ដល់កាលបរិច្ឆេទ")</f>
        <v/>
      </c>
      <c r="E1303" s="3" t="inlineStr">
        <is>
          <t>ចាប់ពីថ្ងៃ-ដល់ថ្ងៃ</t>
        </is>
      </c>
      <c r="F1303" s="3" t="n"/>
      <c r="G1303" s="3" t="inlineStr">
        <is>
          <t>ចាប់ពីថ្ងៃ-ដល់ថ្ងៃ</t>
        </is>
      </c>
      <c r="H1303" t="inlineStr">
        <is>
          <t>ចាប់ពីថ្ងៃ-ដល់ថ្ងៃ</t>
        </is>
      </c>
      <c r="I1303" s="217" t="inlineStr">
        <is>
          <t>"dieuHanh.selectDate": "ចាប់ពីថ្ងៃ-ដល់ថ្ងៃ",</t>
        </is>
      </c>
      <c r="N1303" s="3" t="inlineStr">
        <is>
          <t>ពីថ្ងៃទី - ដល់ថ្ងៃ</t>
        </is>
      </c>
    </row>
    <row r="1304" ht="15.75" customHeight="1" s="305">
      <c r="A1304" s="3" t="inlineStr">
        <is>
          <t>GiaoHang.formReceiver</t>
        </is>
      </c>
      <c r="B1304" s="3" t="inlineStr">
        <is>
          <t>từ người nhận</t>
        </is>
      </c>
      <c r="C1304" s="143" t="inlineStr">
        <is>
          <t>from receiver</t>
        </is>
      </c>
      <c r="D1304" s="3">
        <f>IFERROR(__xludf.DUMMYFUNCTION("GOOGLETRANSLATE(B1304,""vi"",""km"")"),"ពីអ្នកទទួល")</f>
        <v/>
      </c>
      <c r="E1304" s="3" t="inlineStr">
        <is>
          <t>ពីអ្នកទទួល</t>
        </is>
      </c>
      <c r="F1304" s="3" t="n"/>
      <c r="G1304" s="3" t="inlineStr">
        <is>
          <t>ពីអ្នកទទួល</t>
        </is>
      </c>
      <c r="H1304" t="inlineStr">
        <is>
          <t>ពីអ្នកទទួល</t>
        </is>
      </c>
      <c r="I1304" s="217" t="inlineStr">
        <is>
          <t>"GiaoHang.formReceiver": "ពីអ្នកទទួល",</t>
        </is>
      </c>
      <c r="N1304" s="3" t="inlineStr">
        <is>
          <t>ពីអ្នកទទួល</t>
        </is>
      </c>
    </row>
    <row r="1305" ht="15.75" customHeight="1" s="305">
      <c r="A1305" s="3" t="inlineStr">
        <is>
          <t>taoDon.magneticOrBattery</t>
        </is>
      </c>
      <c r="B1305" s="3" t="inlineStr">
        <is>
          <t>Từ tính, pin</t>
        </is>
      </c>
      <c r="C1305" s="3" t="inlineStr">
        <is>
          <t>Magnetic, Battery</t>
        </is>
      </c>
      <c r="D1305" s="3">
        <f>IFERROR(__xludf.DUMMYFUNCTION("GOOGLETRANSLATE(B1305,""vi"",""km"")"),"ម៉ាញេទិក, ថ្ម")</f>
        <v/>
      </c>
      <c r="E1305" s="3">
        <f>IFERROR(__xludf.DUMMYFUNCTION("GOOGLETRANSLATE(C1305,""vi"",""km"")"),"ម៉ាញេទិក, ថ្ម")</f>
        <v/>
      </c>
      <c r="F1305" s="3" t="n"/>
      <c r="G1305" s="3" t="inlineStr">
        <is>
          <t>ម៉ាញេទិក, ថ្ម</t>
        </is>
      </c>
      <c r="H1305" t="inlineStr">
        <is>
          <t>ម៉ាញេទិក, ថ្ម</t>
        </is>
      </c>
      <c r="I1305" s="217" t="inlineStr">
        <is>
          <t>"taoDon.magneticOrBattery": "ម៉ាញេទិក, ថ្ម",</t>
        </is>
      </c>
      <c r="N1305" s="3" t="inlineStr">
        <is>
          <t>មានជាតិម៉ាញេទិច ឬថ្ម</t>
        </is>
      </c>
    </row>
    <row r="1306" ht="15.75" customHeight="1" s="305">
      <c r="A1306" s="3" t="inlineStr">
        <is>
          <t>banGiao.tui</t>
        </is>
      </c>
      <c r="B1306" s="3" t="inlineStr">
        <is>
          <t>túi</t>
        </is>
      </c>
      <c r="C1306" s="3" t="inlineStr">
        <is>
          <t>bag</t>
        </is>
      </c>
      <c r="D1306" s="3">
        <f>IFERROR(__xludf.DUMMYFUNCTION("GOOGLETRANSLATE(B1306,""vi"",""km"")"),"កាបូប")</f>
        <v/>
      </c>
      <c r="E1306" s="3" t="inlineStr">
        <is>
          <t>ពីអ្នកទទួល</t>
        </is>
      </c>
      <c r="F1306" s="3" t="n"/>
      <c r="G1306" s="3" t="inlineStr">
        <is>
          <t>ពីអ្នកទទួល</t>
        </is>
      </c>
      <c r="H1306" t="inlineStr">
        <is>
          <t>ពីអ្នកទទួល</t>
        </is>
      </c>
      <c r="I1306" s="217" t="inlineStr">
        <is>
          <t>"banGiao.tui": "ពីអ្នកទទួល",</t>
        </is>
      </c>
      <c r="N1306" s="3" t="inlineStr"/>
    </row>
    <row r="1307" ht="15.75" customHeight="1" s="305">
      <c r="A1307" s="3" t="inlineStr">
        <is>
          <t>banGiao.titleOption</t>
        </is>
      </c>
      <c r="B1307" s="3" t="inlineStr">
        <is>
          <t>Tùy chọn</t>
        </is>
      </c>
      <c r="C1307" s="3" t="inlineStr">
        <is>
          <t>Options</t>
        </is>
      </c>
      <c r="D1307" s="3">
        <f>IFERROR(__xludf.DUMMYFUNCTION("GOOGLETRANSLATE(B1307,""vi"",""km"")"),"ជម្រើស")</f>
        <v/>
      </c>
      <c r="E1307" s="3" t="inlineStr">
        <is>
          <t>ជ្រើសរើស</t>
        </is>
      </c>
      <c r="F1307" s="3" t="n"/>
      <c r="G1307" s="3" t="inlineStr">
        <is>
          <t>ជ្រើសរើស</t>
        </is>
      </c>
      <c r="H1307" t="inlineStr">
        <is>
          <t>ជ្រើសរើស</t>
        </is>
      </c>
      <c r="I1307" s="217" t="inlineStr">
        <is>
          <t>"banGiao.titleOption": "ជ្រើសរើស",</t>
        </is>
      </c>
      <c r="N1307" s="3" t="inlineStr">
        <is>
          <t>ជម្រើស</t>
        </is>
      </c>
    </row>
    <row r="1308" ht="15.75" customHeight="1" s="305">
      <c r="A1308" s="3" t="inlineStr">
        <is>
          <t>common.titleModalFilterTime</t>
        </is>
      </c>
      <c r="B1308" s="3" t="inlineStr">
        <is>
          <t>Tùy chọn thời gian</t>
        </is>
      </c>
      <c r="C1308" s="3" t="inlineStr">
        <is>
          <t>Time option</t>
        </is>
      </c>
      <c r="D1308" s="3">
        <f>IFERROR(__xludf.DUMMYFUNCTION("GOOGLETRANSLATE(B1308,""vi"",""km"")"),"ជម្រើសពេលវេលា")</f>
        <v/>
      </c>
      <c r="E1308" s="3" t="inlineStr">
        <is>
          <t>ជ្រើសរើសពេលវេលា</t>
        </is>
      </c>
      <c r="F1308" s="3" t="n"/>
      <c r="G1308" s="3" t="inlineStr">
        <is>
          <t>ជ្រើសរើសពេលវេលា</t>
        </is>
      </c>
      <c r="H1308" t="inlineStr">
        <is>
          <t>ជ្រើសរើសពេលវេលា</t>
        </is>
      </c>
      <c r="I1308" s="217" t="inlineStr">
        <is>
          <t>"common.titleModalFilterTime": "ជ្រើសរើសពេលវេលា",</t>
        </is>
      </c>
      <c r="N1308" s="3" t="inlineStr">
        <is>
          <t>ជម្រើសពេលវេលា</t>
        </is>
      </c>
    </row>
    <row r="1309" ht="15.75" customHeight="1" s="305">
      <c r="A1309" s="3" t="inlineStr">
        <is>
          <t>PhanCong.titleModalFilterTime</t>
        </is>
      </c>
      <c r="B1309" s="3" t="inlineStr">
        <is>
          <t>Tùy chọn thời gian</t>
        </is>
      </c>
      <c r="C1309" s="3" t="inlineStr">
        <is>
          <t>Time option</t>
        </is>
      </c>
      <c r="D1309" s="3">
        <f>IFERROR(__xludf.DUMMYFUNCTION("GOOGLETRANSLATE(B1309,""vi"",""km"")"),"ជម្រើសពេលវេលា")</f>
        <v/>
      </c>
      <c r="E1309" s="3" t="inlineStr">
        <is>
          <t>ជ្រើសរើសពេលវេលា</t>
        </is>
      </c>
      <c r="F1309" s="3" t="n"/>
      <c r="G1309" s="3" t="inlineStr">
        <is>
          <t>ជ្រើសរើសពេលវេលា</t>
        </is>
      </c>
      <c r="H1309" t="inlineStr">
        <is>
          <t>ជ្រើសរើសពេលវេលា</t>
        </is>
      </c>
      <c r="I1309" s="217" t="inlineStr">
        <is>
          <t>"PhanCong.titleModalFilterTime": "ជ្រើសរើសពេលវេលា",</t>
        </is>
      </c>
      <c r="N1309" s="3" t="inlineStr">
        <is>
          <t>ជម្រើសពេលវេលា</t>
        </is>
      </c>
    </row>
    <row r="1310" ht="15.75" customHeight="1" s="305">
      <c r="A1310" s="3" t="inlineStr">
        <is>
          <t>PhanCong.titleGland</t>
        </is>
      </c>
      <c r="B1310" s="3" t="inlineStr">
        <is>
          <t>tuyến</t>
        </is>
      </c>
      <c r="C1310" s="3" t="inlineStr">
        <is>
          <t>route</t>
        </is>
      </c>
      <c r="D1310" s="3">
        <f>IFERROR(__xludf.DUMMYFUNCTION("GOOGLETRANSLATE(B1310,""vi"",""km"")"),"បន្ទាត់")</f>
        <v/>
      </c>
      <c r="E1310" s="3" t="inlineStr">
        <is>
          <t>ផ្លូវដឹក</t>
        </is>
      </c>
      <c r="F1310" s="3" t="n"/>
      <c r="G1310" s="3" t="inlineStr">
        <is>
          <t>ផ្លូវដឹក</t>
        </is>
      </c>
      <c r="H1310" t="inlineStr">
        <is>
          <t>ផ្លូវដឹក</t>
        </is>
      </c>
      <c r="I1310" s="217" t="inlineStr">
        <is>
          <t>"PhanCong.titleGland": "ផ្លូវដឹក",</t>
        </is>
      </c>
      <c r="N1310" s="3" t="inlineStr">
        <is>
          <t>ផ្លូវចេញ</t>
        </is>
      </c>
    </row>
    <row r="1311" ht="15.75" customHeight="1" s="305">
      <c r="A1311" s="3" t="inlineStr">
        <is>
          <t>PhanCong.titleGlandPostMan</t>
        </is>
      </c>
      <c r="B1311" s="3" t="inlineStr">
        <is>
          <t>Tuyến bưu tá</t>
        </is>
      </c>
      <c r="C1311" s="3" t="inlineStr">
        <is>
          <t>Postman's route</t>
        </is>
      </c>
      <c r="D1311" s="3">
        <f>IFERROR(__xludf.DUMMYFUNCTION("GOOGLETRANSLATE(B1311,""vi"",""km"")"),"សេវាប្រៃសណីយ៍")</f>
        <v/>
      </c>
      <c r="E1311" s="3" t="inlineStr">
        <is>
          <t>ផ្លូវដឹករបស់អ្នកដឹក</t>
        </is>
      </c>
      <c r="F1311" s="3" t="n"/>
      <c r="G1311" s="3" t="inlineStr">
        <is>
          <t>ផ្លូវដឹករបស់អ្នកដឹក</t>
        </is>
      </c>
      <c r="H1311" t="inlineStr">
        <is>
          <t>ផ្លូវដឹករបស់អ្នកដឹក</t>
        </is>
      </c>
      <c r="I1311" s="217" t="inlineStr">
        <is>
          <t>"PhanCong.titleGlandPostMan": "ផ្លូវដឹករបស់អ្នកដឹក",</t>
        </is>
      </c>
      <c r="N1311" s="3" t="inlineStr">
        <is>
          <t>ផ្លូវបញ្ជូន</t>
        </is>
      </c>
    </row>
    <row r="1312" ht="15.75" customHeight="1" s="305">
      <c r="A1312" s="3" t="inlineStr">
        <is>
          <t>traCuoc.transportRoute</t>
        </is>
      </c>
      <c r="B1312" s="3" t="inlineStr">
        <is>
          <t>Tuyến đường vận chuyển</t>
        </is>
      </c>
      <c r="C1312" s="3" t="inlineStr">
        <is>
          <t>Transport route</t>
        </is>
      </c>
      <c r="D1312" s="3">
        <f>IFERROR(__xludf.DUMMYFUNCTION("GOOGLETRANSLATE(B1312,""vi"",""km"")"),"ផ្លូវដឹកជញ្ជូន")</f>
        <v/>
      </c>
      <c r="E1312" s="3" t="inlineStr">
        <is>
          <t>ផ្លូវដឹកជញ្ជូន</t>
        </is>
      </c>
      <c r="F1312" s="3" t="n"/>
      <c r="G1312" s="3" t="inlineStr">
        <is>
          <t>ផ្លូវដឹកជញ្ជូន</t>
        </is>
      </c>
      <c r="H1312" t="inlineStr">
        <is>
          <t>ផ្លូវដឹកជញ្ជូន</t>
        </is>
      </c>
      <c r="I1312" s="217" t="inlineStr">
        <is>
          <t>"traCuoc.transportRoute": "ផ្លូវដឹកជញ្ជូន",</t>
        </is>
      </c>
      <c r="N1312" s="3" t="inlineStr">
        <is>
          <t>ផ្លូវដឹកជញ្ជូន</t>
        </is>
      </c>
    </row>
    <row r="1313" ht="15.75" customHeight="1" s="305">
      <c r="A1313" s="3" t="inlineStr">
        <is>
          <t>dieuHanh.employee</t>
        </is>
      </c>
      <c r="B1313" s="3" t="inlineStr">
        <is>
          <t>Tuyến nhận</t>
        </is>
      </c>
      <c r="C1313" s="3" t="inlineStr">
        <is>
          <t>Pick up Route</t>
        </is>
      </c>
      <c r="D1313" s="3">
        <f>IFERROR(__xludf.DUMMYFUNCTION("GOOGLETRANSLATE(B1313,""vi"",""km"")"),"ខ្សែទទួល")</f>
        <v/>
      </c>
      <c r="E1313" s="3" t="inlineStr">
        <is>
          <t>ផ្លូវទទួលអីវ៉ាន់</t>
        </is>
      </c>
      <c r="F1313" s="3" t="n"/>
      <c r="G1313" s="3" t="inlineStr">
        <is>
          <t>ផ្លូវទទួលអីវ៉ាន់</t>
        </is>
      </c>
      <c r="H1313" t="inlineStr">
        <is>
          <t>ផ្លូវទទួលអីវ៉ាន់</t>
        </is>
      </c>
      <c r="I1313" s="217" t="inlineStr">
        <is>
          <t>"dieuHanh.employee": "ផ្លូវទទួលអីវ៉ាន់",</t>
        </is>
      </c>
      <c r="N1313" s="3" t="inlineStr">
        <is>
          <t>ផ្លូវទទួល</t>
        </is>
      </c>
    </row>
    <row r="1314" ht="15.75" customHeight="1" s="305">
      <c r="A1314" s="3" t="inlineStr">
        <is>
          <t>login.forceUpdateToastMessage</t>
        </is>
      </c>
      <c r="B1314" s="3" t="inlineStr">
        <is>
          <t>Ứng dụng đã có phiên bản mới. Vui lòng cập nhật để tiếp tục.</t>
        </is>
      </c>
      <c r="C1314" s="3" t="inlineStr">
        <is>
          <t>A new version of the app is available. Please update to continue.</t>
        </is>
      </c>
      <c r="D1314" s="3">
        <f>IFERROR(__xludf.DUMMYFUNCTION("GOOGLETRANSLATE(B1314,""vi"",""km"")"),"ឥឡូវនេះ កម្មវិធីនេះអាចប្រើបានជាកំណែថ្មី។ សូមធ្វើបច្ចុប្បន្នភាពដើម្បីបន្តប្រើប្រាស់វា។")</f>
        <v/>
      </c>
      <c r="E1314" s="3" t="inlineStr">
        <is>
          <t>កម្មវិធីមានកំណែថ្មី។ សូមធ្វើការអាប់ដេតដើម្បីបន្ត។</t>
        </is>
      </c>
      <c r="F1314" s="3" t="n"/>
      <c r="G1314" s="3" t="inlineStr">
        <is>
          <t>កម្មវិធីមានកំណែថ្មី។ សូមធ្វើការអាប់ដេតដើម្បីបន្ត។</t>
        </is>
      </c>
      <c r="H1314" t="inlineStr">
        <is>
          <t>កម្មវិធីមានកំណែថ្មី។ សូមធ្វើការអាប់ដេតដើម្បីបន្ត។</t>
        </is>
      </c>
      <c r="I1314" s="217" t="inlineStr">
        <is>
          <t>"login.forceUpdateToastMessage": "កម្មវិធីមានកំណែថ្មី។ សូមធ្វើការអាប់ដេតដើម្បីបន្ត។",</t>
        </is>
      </c>
      <c r="N1314" s="3" t="inlineStr">
        <is>
          <t>មានកំណែថ្មីនៃកម្មវិធី។ សូមធ្វើបច្ចុប្បន្នភាពដើម្បីបន្ត។</t>
        </is>
      </c>
    </row>
    <row r="1315" ht="15.75" customHeight="1" s="305">
      <c r="A1315" s="3" t="inlineStr">
        <is>
          <t>home.vanchuyen</t>
        </is>
      </c>
      <c r="B1315" s="3" t="inlineStr">
        <is>
          <t>Vận chuyển</t>
        </is>
      </c>
      <c r="C1315" s="3" t="inlineStr">
        <is>
          <t>Transit</t>
        </is>
      </c>
      <c r="D1315" s="3">
        <f>IFERROR(__xludf.DUMMYFUNCTION("GOOGLETRANSLATE(B1315,""vi"",""km"")"),"ការដឹកជញ្ជូន")</f>
        <v/>
      </c>
      <c r="E1315" s="3" t="inlineStr">
        <is>
          <t>ការដឹកជញ្ជូន</t>
        </is>
      </c>
      <c r="F1315" s="3" t="n"/>
      <c r="G1315" s="3" t="inlineStr">
        <is>
          <t>ការដឹកជញ្ជូន</t>
        </is>
      </c>
      <c r="H1315" t="inlineStr">
        <is>
          <t>ការដឹកជញ្ជូន</t>
        </is>
      </c>
      <c r="I1315" s="217" t="inlineStr">
        <is>
          <t>"home.vanchuyen": "ការដឹកជញ្ជូន",</t>
        </is>
      </c>
      <c r="N1315" s="163" t="inlineStr">
        <is>
          <t>ឆ្លងកាត់</t>
        </is>
      </c>
    </row>
    <row r="1316" ht="15.75" customHeight="1" s="305">
      <c r="A1316" s="3" t="inlineStr">
        <is>
          <t>inDon.road</t>
        </is>
      </c>
      <c r="B1316" s="3" t="inlineStr">
        <is>
          <t>Vận chuyển</t>
        </is>
      </c>
      <c r="C1316" s="3" t="inlineStr">
        <is>
          <t>Shipping</t>
        </is>
      </c>
      <c r="D1316" s="3">
        <f>IFERROR(__xludf.DUMMYFUNCTION("GOOGLETRANSLATE(B1316,""vi"",""km"")"),"ការដឹកជញ្ជូន")</f>
        <v/>
      </c>
      <c r="E1316" s="3" t="inlineStr">
        <is>
          <t>ការដឹកជញ្ជូន</t>
        </is>
      </c>
      <c r="F1316" s="3" t="n"/>
      <c r="G1316" s="3" t="inlineStr">
        <is>
          <t>ការដឹកជញ្ជូន</t>
        </is>
      </c>
      <c r="H1316" t="inlineStr">
        <is>
          <t>ការដឹកជញ្ជូន</t>
        </is>
      </c>
      <c r="I1316" s="217" t="inlineStr">
        <is>
          <t>"inDon.road": "ការដឹកជញ្ជូន",</t>
        </is>
      </c>
      <c r="N1316" s="3" t="inlineStr">
        <is>
          <t>ផ្លូវ</t>
        </is>
      </c>
    </row>
    <row r="1317" ht="15.75" customHeight="1" s="305">
      <c r="A1317" s="3" t="inlineStr">
        <is>
          <t>tms.vanchuyen</t>
        </is>
      </c>
      <c r="B1317" s="3" t="inlineStr">
        <is>
          <t>Vận chuyển</t>
        </is>
      </c>
      <c r="C1317" s="3" t="inlineStr">
        <is>
          <t>Transportation</t>
        </is>
      </c>
      <c r="D1317" s="3">
        <f>IFERROR(__xludf.DUMMYFUNCTION("GOOGLETRANSLATE(B1317,""vi"",""km"")"),"ការដឹកជញ្ជូន")</f>
        <v/>
      </c>
      <c r="E1317" s="3" t="inlineStr">
        <is>
          <t>ការដឹកជញ្ជូន</t>
        </is>
      </c>
      <c r="F1317" s="3" t="n"/>
      <c r="G1317" s="3" t="inlineStr">
        <is>
          <t>ការដឹកជញ្ជូន</t>
        </is>
      </c>
      <c r="H1317" t="inlineStr">
        <is>
          <t>ការដឹកជញ្ជូន</t>
        </is>
      </c>
      <c r="I1317" s="217" t="inlineStr">
        <is>
          <t>"tms.vanchuyen": "ការដឹកជញ្ជូន",</t>
        </is>
      </c>
      <c r="N1317" s="3" t="inlineStr"/>
    </row>
    <row r="1318" ht="15.75" customHeight="1" s="305">
      <c r="A1318" s="3" t="inlineStr">
        <is>
          <t>inDon.airway</t>
        </is>
      </c>
      <c r="B1318" s="3" t="inlineStr">
        <is>
          <t>Vận chuyển hàng không</t>
        </is>
      </c>
      <c r="C1318" s="3" t="inlineStr">
        <is>
          <t>Airway</t>
        </is>
      </c>
      <c r="D1318" s="3">
        <f>IFERROR(__xludf.DUMMYFUNCTION("GOOGLETRANSLATE(B1318,""vi"",""km"")"),"ការដឹកជញ្ជូនតាមផ្លូវអាកាស")</f>
        <v/>
      </c>
      <c r="E1318" s="3" t="inlineStr">
        <is>
          <t>ការដឹកជញ្ជូនទំនិញតាមផ្លូវអាកាស</t>
        </is>
      </c>
      <c r="F1318" s="3" t="n"/>
      <c r="G1318" s="3" t="inlineStr">
        <is>
          <t>ការដឹកជញ្ជូនទំនិញតាមផ្លូវអាកាស</t>
        </is>
      </c>
      <c r="H1318" t="inlineStr">
        <is>
          <t>ការដឹកជញ្ជូនទំនិញតាមផ្លូវអាកាស</t>
        </is>
      </c>
      <c r="I1318" s="217" t="inlineStr">
        <is>
          <t>"inDon.airway": "ការដឹកជញ្ជូនទំនិញតាមផ្លូវអាកាស",</t>
        </is>
      </c>
      <c r="N1318" s="3" t="inlineStr">
        <is>
          <t>ផ្លូវអាកាស</t>
        </is>
      </c>
    </row>
    <row r="1319" ht="15.75" customHeight="1" s="305">
      <c r="A1319" s="3" t="inlineStr">
        <is>
          <t>registerSuccess.continue</t>
        </is>
      </c>
      <c r="B1319" s="3" t="inlineStr">
        <is>
          <t>Vào app</t>
        </is>
      </c>
      <c r="C1319" s="3" t="inlineStr">
        <is>
          <t>Next</t>
        </is>
      </c>
      <c r="D1319" s="3">
        <f>IFERROR(__xludf.DUMMYFUNCTION("GOOGLETRANSLATE(B1319,""vi"",""km"")"),"ចូលទៅកាន់កម្មវិធី")</f>
        <v/>
      </c>
      <c r="E1319" s="3" t="inlineStr">
        <is>
          <t>ចូលទៅកាន់កម្មវិធី</t>
        </is>
      </c>
      <c r="F1319" s="3" t="n"/>
      <c r="G1319" s="3" t="inlineStr">
        <is>
          <t>ចូលទៅកាន់កម្មវិធី</t>
        </is>
      </c>
      <c r="H1319" t="inlineStr">
        <is>
          <t>ចូលទៅកាន់កម្មវិធី</t>
        </is>
      </c>
      <c r="I1319" s="217" t="inlineStr">
        <is>
          <t>"registerSuccess.continue": "ចូលទៅកាន់កម្មវិធី",</t>
        </is>
      </c>
      <c r="N1319" s="3" t="inlineStr">
        <is>
          <t>ចូលទៅក្នុងាapp</t>
        </is>
      </c>
    </row>
    <row r="1320" ht="15.75" customHeight="1" s="305">
      <c r="A1320" s="3" t="inlineStr">
        <is>
          <t>suaDon.VAT</t>
        </is>
      </c>
      <c r="B1320" s="3" t="inlineStr">
        <is>
          <t>VAT (%)</t>
        </is>
      </c>
      <c r="C1320" s="3" t="inlineStr">
        <is>
          <t>VAT (%)</t>
        </is>
      </c>
      <c r="D1320" s="3">
        <f>IFERROR(__xludf.DUMMYFUNCTION("GOOGLETRANSLATE(B1320,""vi"",""km"")"),"អាករលើតម្លៃបន្ថែម (%)")</f>
        <v/>
      </c>
      <c r="E1320" s="3" t="inlineStr">
        <is>
          <t>ពន្ធអាករលើតម្លៃបន្ថែម (%)</t>
        </is>
      </c>
      <c r="F1320" s="3" t="n"/>
      <c r="G1320" s="3" t="inlineStr">
        <is>
          <t>ពន្ធអាករលើតម្លៃបន្ថែម (%)</t>
        </is>
      </c>
      <c r="H1320" t="inlineStr">
        <is>
          <t>ពន្ធអាករលើតម្លៃបន្ថែម (%)</t>
        </is>
      </c>
      <c r="I1320" s="217" t="inlineStr">
        <is>
          <t>"suaDon.VAT": "ពន្ធអាករលើតម្លៃបន្ថែម (%)",</t>
        </is>
      </c>
      <c r="N1320" s="3" t="inlineStr">
        <is>
          <t>VAT (%)</t>
        </is>
      </c>
    </row>
    <row r="1321" ht="15.75" customHeight="1" s="305">
      <c r="A1321" s="3" t="inlineStr">
        <is>
          <t>DongTai.veTrungTamKhaiThac</t>
        </is>
      </c>
      <c r="B1321" s="3" t="inlineStr">
        <is>
          <t>Về trung tâm khai thác</t>
        </is>
      </c>
      <c r="C1321" s="143" t="inlineStr">
        <is>
          <t>about the Operations Center</t>
        </is>
      </c>
      <c r="D1321" s="3">
        <f>IFERROR(__xludf.DUMMYFUNCTION("GOOGLETRANSLATE(B1321,""vi"",""km"")"),"អំពីមជ្ឈមណ្ឌលរុករករ៉ែ")</f>
        <v/>
      </c>
      <c r="E1321" s="3" t="inlineStr">
        <is>
          <t>មជ្ឈមណ្ឌលបែងចែកអីវ៉ាន់</t>
        </is>
      </c>
      <c r="F1321" s="3" t="n"/>
      <c r="G1321" s="3" t="inlineStr">
        <is>
          <t>មជ្ឈមណ្ឌលបែងចែកអីវ៉ាន់</t>
        </is>
      </c>
      <c r="H1321" t="inlineStr">
        <is>
          <t>មជ្ឈមណ្ឌលបែងចែកអីវ៉ាន់</t>
        </is>
      </c>
      <c r="I1321" s="217" t="inlineStr">
        <is>
          <t>"DongTai.veTrungTamKhaiThac": "មជ្ឈមណ្ឌលបែងចែកអីវ៉ាន់",</t>
        </is>
      </c>
      <c r="N1321" s="3" t="inlineStr"/>
    </row>
    <row r="1322" ht="15.75" customHeight="1" s="305">
      <c r="A1322" s="3" t="inlineStr">
        <is>
          <t>GiaoHang.requestAcceptLocationPermission</t>
        </is>
      </c>
      <c r="B1322" s="3" t="inlineStr">
        <is>
          <t>Metfone Express cần quyền truy cập địa chỉ của bạn</t>
        </is>
      </c>
      <c r="C1322" s="3" t="inlineStr">
        <is>
          <t xml:space="preserve">Metfone Express need your permission to access this device's location. </t>
        </is>
      </c>
      <c r="D1322" s="3">
        <f>IFERROR(__xludf.DUMMYFUNCTION("GOOGLETRANSLATE(B1322,""vi"",""km"")"),"Metfone Express ត្រូវការសិទ្ធិចូលប្រើអាសយដ្ឋានរបស់អ្នក។")</f>
        <v/>
      </c>
      <c r="E1322" s="3" t="inlineStr">
        <is>
          <t>Metfone Express ត្រូវការចូលប្រើអាសយដ្ឋានរបស់អ្នក</t>
        </is>
      </c>
      <c r="F1322" s="3" t="n"/>
      <c r="G1322" s="3" t="inlineStr">
        <is>
          <t>Metfone Express ត្រូវការចូលប្រើអាសយដ្ឋានរបស់អ្នក</t>
        </is>
      </c>
      <c r="H1322" t="inlineStr">
        <is>
          <t>Metfone Express ត្រូវការចូលប្រើអាសយដ្ឋានរបស់អ្នក</t>
        </is>
      </c>
      <c r="I1322" s="217" t="inlineStr">
        <is>
          <t>"GiaoHang.requestAcceptLocationPermission": "Metfone Express ត្រូវការចូលប្រើអាសយដ្ឋានរបស់អ្នក",</t>
        </is>
      </c>
      <c r="N1322" s="3" t="inlineStr">
        <is>
          <t>Metfone Express ត្រូវការចូលទៅកាន់អាសយដ្ឋានរបស់អ្នក។</t>
        </is>
      </c>
    </row>
    <row r="1323" ht="15.75" customHeight="1" s="305">
      <c r="A1323" s="3" t="inlineStr">
        <is>
          <t>dieuHanh.pleaseChooseBranch</t>
        </is>
      </c>
      <c r="B1323" s="3" t="inlineStr">
        <is>
          <t>Vui lòng chọn bưu cục</t>
        </is>
      </c>
      <c r="C1323" s="3" t="inlineStr">
        <is>
          <t>Select post office</t>
        </is>
      </c>
      <c r="D1323" s="3">
        <f>IFERROR(__xludf.DUMMYFUNCTION("GOOGLETRANSLATE(B1323,""vi"",""km"")"),"សូមជ្រើសរើសការិយាល័យប្រៃសណីយ៍។")</f>
        <v/>
      </c>
      <c r="E1323" s="3" t="inlineStr">
        <is>
          <t>សូមជ្រើសរើសការិយាល័យប្រៃសណីយ៍</t>
        </is>
      </c>
      <c r="F1323" s="3" t="n"/>
      <c r="G1323" s="3" t="inlineStr">
        <is>
          <t>សូមជ្រើសរើសការិយាល័យប្រៃសណីយ៍</t>
        </is>
      </c>
      <c r="H1323" t="inlineStr">
        <is>
          <t>សូមជ្រើសរើសការិយាល័យប្រៃសណីយ៍</t>
        </is>
      </c>
      <c r="I1323" s="217" t="inlineStr">
        <is>
          <t>"dieuHanh.pleaseChooseBranch": "សូមជ្រើសរើសការិយាល័យប្រៃសណីយ៍",</t>
        </is>
      </c>
      <c r="N1323" s="3" t="inlineStr">
        <is>
          <t>សូមជ្រើសរើសប៊ូកុមភ្ញៀវ</t>
        </is>
      </c>
    </row>
    <row r="1324" ht="15.75" customHeight="1" s="305">
      <c r="A1324" s="3" t="inlineStr">
        <is>
          <t>taoDon.pleaseSelectDeliveryStore</t>
        </is>
      </c>
      <c r="B1324" s="3" t="inlineStr">
        <is>
          <t>Vui lòng chọn cửa hàng giao</t>
        </is>
      </c>
      <c r="C1324" s="3" t="inlineStr">
        <is>
          <t>Please select a delivery store</t>
        </is>
      </c>
      <c r="D1324" s="3">
        <f>IFERROR(__xludf.DUMMYFUNCTION("GOOGLETRANSLATE(B1324,""vi"",""km"")"),"សូមជ្រើសរើសហាងដឹកជញ្ជូន។")</f>
        <v/>
      </c>
      <c r="E1324" s="3" t="inlineStr">
        <is>
          <t>សូមជ្រើសរើសហាងប្រគល់</t>
        </is>
      </c>
      <c r="F1324" s="3" t="n"/>
      <c r="G1324" s="3" t="inlineStr">
        <is>
          <t>សូមជ្រើសរើសហាងប្រគល់</t>
        </is>
      </c>
      <c r="H1324" t="inlineStr">
        <is>
          <t>សូមជ្រើសរើសហាងប្រគល់</t>
        </is>
      </c>
      <c r="I1324" s="217" t="inlineStr">
        <is>
          <t>"taoDon.pleaseSelectDeliveryStore": "សូមជ្រើសរើសហាងប្រគល់",</t>
        </is>
      </c>
      <c r="N1324" s="3" t="inlineStr"/>
    </row>
    <row r="1325" ht="15.75" customHeight="1" s="305">
      <c r="A1325" s="3" t="inlineStr">
        <is>
          <t>traCuoc.errorToAddress</t>
        </is>
      </c>
      <c r="B1325" s="3" t="inlineStr">
        <is>
          <t>Vui lòng chọn địa chỉ gửi đến!</t>
        </is>
      </c>
      <c r="C1325" s="3" t="inlineStr">
        <is>
          <t>Please select recipient's address!</t>
        </is>
      </c>
      <c r="D1325" s="3">
        <f>IFERROR(__xludf.DUMMYFUNCTION("GOOGLETRANSLATE(B1325,""vi"",""km"")"),"សូមជ្រើសរើសអាសយដ្ឋានដឹកជញ្ជូន!")</f>
        <v/>
      </c>
      <c r="E1325" s="3" t="inlineStr">
        <is>
          <t>សូមជ្រើសរើសអាសយដ្ឋានផ្ញើទៅដល់!</t>
        </is>
      </c>
      <c r="F1325" s="3" t="n"/>
      <c r="G1325" s="3" t="inlineStr">
        <is>
          <t>សូមជ្រើសរើសអាសយដ្ឋានផ្ញើទៅដល់!</t>
        </is>
      </c>
      <c r="H1325" t="inlineStr">
        <is>
          <t>សូមជ្រើសរើសអាសយដ្ឋានផ្ញើទៅដល់!</t>
        </is>
      </c>
      <c r="I1325" s="217" t="inlineStr">
        <is>
          <t>"traCuoc.errorToAddress": "សូមជ្រើសរើសអាសយដ្ឋានផ្ញើទៅដល់!",</t>
        </is>
      </c>
      <c r="N1325" s="3" t="inlineStr">
        <is>
          <t>សូមជ្រើសរើសអាសយដ្ឋានទទួល!</t>
        </is>
      </c>
    </row>
    <row r="1326" ht="15.75" customHeight="1" s="305">
      <c r="A1326" s="3" t="inlineStr">
        <is>
          <t>traCuoc.errorFromAddress</t>
        </is>
      </c>
      <c r="B1326" s="3" t="inlineStr">
        <is>
          <t>Vui lòng chọn địa chỉ gửi hàng!</t>
        </is>
      </c>
      <c r="C1326" s="3" t="inlineStr">
        <is>
          <t>Please select sender's address!</t>
        </is>
      </c>
      <c r="D1326" s="3">
        <f>IFERROR(__xludf.DUMMYFUNCTION("GOOGLETRANSLATE(B1326,""vi"",""km"")"),"សូមជ្រើសរើសអាសយដ្ឋានដឹកជញ្ជូន!")</f>
        <v/>
      </c>
      <c r="E1326" s="3" t="inlineStr">
        <is>
          <t>សូមជ្រើសរើសអាសយដ្ឋានផ្ញើអីវ៉ាន់!</t>
        </is>
      </c>
      <c r="F1326" s="3" t="n"/>
      <c r="G1326" s="3" t="inlineStr">
        <is>
          <t>សូមជ្រើសរើសអាសយដ្ឋានផ្ញើអីវ៉ាន់!</t>
        </is>
      </c>
      <c r="H1326" t="inlineStr">
        <is>
          <t>សូមជ្រើសរើសអាសយដ្ឋានផ្ញើអីវ៉ាន់!</t>
        </is>
      </c>
      <c r="I1326" s="217" t="inlineStr">
        <is>
          <t>"traCuoc.errorFromAddress": "សូមជ្រើសរើសអាសយដ្ឋានផ្ញើអីវ៉ាន់!",</t>
        </is>
      </c>
      <c r="N1326" s="3" t="inlineStr">
        <is>
          <t>សូមជ្រើសរើសអាសយដ្ឋានផ្ញើ!</t>
        </is>
      </c>
    </row>
    <row r="1327" ht="15.75" customHeight="1" s="305">
      <c r="A1327" s="3" t="inlineStr">
        <is>
          <t>inDon.errorPrint</t>
        </is>
      </c>
      <c r="B1327" s="3" t="inlineStr">
        <is>
          <t>Vui lòng chọn đơn cùng trạng thái để in nhiều</t>
        </is>
      </c>
      <c r="C1327" s="3" t="inlineStr">
        <is>
          <t>Print orders at the same status only</t>
        </is>
      </c>
      <c r="D1327" s="3">
        <f>IFERROR(__xludf.DUMMYFUNCTION("GOOGLETRANSLATE(B1327,""vi"",""km"")"),"សូមជ្រើសរើសការបញ្ជាទិញដែលមានស្ថានភាពដូចគ្នា ដើម្បីបោះពុម្ពច្បាប់ចម្លងច្រើន។")</f>
        <v/>
      </c>
      <c r="E1327" s="3" t="inlineStr">
        <is>
          <t>សូមជ្រើសរើសបុងបញ្ញើដែលមានស្ថានភាពដូចគ្នាដើម្បីព្រីនឲ្យបានច្រើន</t>
        </is>
      </c>
      <c r="F1327" s="3" t="n"/>
      <c r="G1327" s="3" t="inlineStr">
        <is>
          <t>សូមជ្រើសរើសបុងបញ្ញើដែលមានស្ថានភាពដូចគ្នាដើម្បីព្រីនឲ្យបានច្រើន</t>
        </is>
      </c>
      <c r="H1327" t="inlineStr">
        <is>
          <t>សូមជ្រើសរើសបុងបញ្ញើដែលមានស្ថានភាពដូចគ្នាដើម្បីព្រីនឲ្យបានច្រើន</t>
        </is>
      </c>
      <c r="I1327" s="217" t="inlineStr">
        <is>
          <t>"inDon.errorPrint": "សូមជ្រើសរើសបុងបញ្ញើដែលមានស្ថានភាពដូចគ្នាដើម្បីព្រីនឲ្យបានច្រើន",</t>
        </is>
      </c>
      <c r="N1327" s="163" t="inlineStr">
        <is>
          <t>បោះពុម្ពការបញ្ជាទិញនៅស្ថានភាពដូចគ្នាតែប៉ុណ្ណោះ</t>
        </is>
      </c>
    </row>
    <row r="1328" ht="15.75" customHeight="1" s="305">
      <c r="A1328" s="3" t="inlineStr">
        <is>
          <t>thanhtoan.pleaseTypePayment</t>
        </is>
      </c>
      <c r="B1328" s="3" t="inlineStr">
        <is>
          <t>Vui lòng chọn hình thức thanh toán</t>
        </is>
      </c>
      <c r="C1328" s="3" t="inlineStr">
        <is>
          <t>Please select a payment method</t>
        </is>
      </c>
      <c r="D1328" s="3">
        <f>IFERROR(__xludf.DUMMYFUNCTION("GOOGLETRANSLATE(B1328,""vi"",""km"")"),"សូមជ្រើសរើសវិធីបង់ប្រាក់។")</f>
        <v/>
      </c>
      <c r="E1328" s="3" t="inlineStr">
        <is>
          <t>សូមជ្រើសរើសវិធីបង់ប្រាក់</t>
        </is>
      </c>
      <c r="F1328" s="3" t="n"/>
      <c r="G1328" s="3" t="inlineStr">
        <is>
          <t>សូមជ្រើសរើសវិធីបង់ប្រាក់</t>
        </is>
      </c>
      <c r="H1328" t="inlineStr">
        <is>
          <t>សូមជ្រើសរើសវិធីបង់ប្រាក់</t>
        </is>
      </c>
      <c r="I1328" s="217" t="inlineStr">
        <is>
          <t>"thanhtoan.pleaseTypePayment": "សូមជ្រើសរើសវិធីបង់ប្រាក់",</t>
        </is>
      </c>
      <c r="N1328" s="3" t="inlineStr"/>
    </row>
    <row r="1329" ht="15.75" customHeight="1" s="305">
      <c r="A1329" s="3" t="inlineStr">
        <is>
          <t>traCuoc.errorDistrict</t>
        </is>
      </c>
      <c r="B1329" s="3" t="inlineStr">
        <is>
          <t>Vui lòng chọn huyện!</t>
        </is>
      </c>
      <c r="C1329" s="3" t="inlineStr">
        <is>
          <t>Select district!</t>
        </is>
      </c>
      <c r="D1329" s="3">
        <f>IFERROR(__xludf.DUMMYFUNCTION("GOOGLETRANSLATE(B1329,""vi"",""km"")"),"សូមជ្រើសរើសស្រុកមួយ!")</f>
        <v/>
      </c>
      <c r="E1329" s="3" t="inlineStr">
        <is>
          <t>សូមជ្រើសរើសស្រុក!</t>
        </is>
      </c>
      <c r="F1329" s="3" t="n"/>
      <c r="G1329" s="3" t="inlineStr">
        <is>
          <t>សូមជ្រើសរើសស្រុក!</t>
        </is>
      </c>
      <c r="H1329" t="inlineStr">
        <is>
          <t>សូមជ្រើសរើសស្រុក!</t>
        </is>
      </c>
      <c r="I1329" s="217" t="inlineStr">
        <is>
          <t>"traCuoc.errorDistrict": "សូមជ្រើសរើសស្រុក!",</t>
        </is>
      </c>
      <c r="N1329" s="3" t="inlineStr">
        <is>
          <t>សូមជ្រើសរើសស្រុក!</t>
        </is>
      </c>
    </row>
    <row r="1330" ht="15.75" customHeight="1" s="305">
      <c r="A1330" s="3" t="inlineStr">
        <is>
          <t>banGiao.contentChooseDate</t>
        </is>
      </c>
      <c r="B1330" s="3" t="inlineStr">
        <is>
          <t>Vui lòng chọn khoảng thời gian, tối đa trong {{range}} ngày</t>
        </is>
      </c>
      <c r="C1330" s="3" t="inlineStr">
        <is>
          <t>Please select a time period, maximum within {{range}} days</t>
        </is>
      </c>
      <c r="D1330" s="3">
        <f>IFERROR(__xludf.DUMMYFUNCTION("GOOGLETRANSLATE(B1330,""vi"",""km"")"),"សូមជ្រើសរើសចន្លោះពេលមួយ អតិបរមាក្នុងរយៈពេល {{range}} ថ្ងៃ")</f>
        <v/>
      </c>
      <c r="E1330" s="3" t="inlineStr">
        <is>
          <t>សូមជ្រើសរើសពេលវេលា អតិបរមា {{range}} ក្នុងថ្ងៃ</t>
        </is>
      </c>
      <c r="F1330" s="3" t="n"/>
      <c r="G1330" s="3" t="inlineStr">
        <is>
          <t>សូមជ្រើសរើសពេលវេលា អតិបរមា {{range}} ក្នុងថ្ងៃ</t>
        </is>
      </c>
      <c r="H1330" t="inlineStr">
        <is>
          <t>សូមជ្រើសរើសពេលវេលា អតិបរមា {{range}} ក្នុងថ្ងៃ</t>
        </is>
      </c>
      <c r="I1330" s="217" t="inlineStr">
        <is>
          <t>"banGiao.contentChooseDate": "សូមជ្រើសរើសពេលវេលា អតិបរមា {{range}} ក្នុងថ្ងៃ",</t>
        </is>
      </c>
      <c r="N1330" s="3" t="inlineStr">
        <is>
          <t>សូមជ្រើសរើសរយៈពេល ពីរយៈពេល {{range}} ថ្ងៃ</t>
        </is>
      </c>
    </row>
    <row r="1331" ht="15.75" customHeight="1" s="305">
      <c r="A1331" s="3" t="inlineStr">
        <is>
          <t>traCuoc.errorWards</t>
        </is>
      </c>
      <c r="B1331" s="3" t="inlineStr">
        <is>
          <t>Vui lòng chọn liên bang/vùng!</t>
        </is>
      </c>
      <c r="C1331" s="3" t="inlineStr">
        <is>
          <t>Select region!</t>
        </is>
      </c>
      <c r="D1331" s="3">
        <f>IFERROR(__xludf.DUMMYFUNCTION("GOOGLETRANSLATE(B1331,""vi"",""km"")"),"សូមជ្រើសរើសសហព័ន្ធ/តំបន់!")</f>
        <v/>
      </c>
      <c r="E1331" s="3" t="inlineStr">
        <is>
          <t>សូមជ្រើសរើសសហព័ន្ធ/តំបន់!</t>
        </is>
      </c>
      <c r="F1331" s="3" t="n"/>
      <c r="G1331" s="3" t="inlineStr">
        <is>
          <t>សូមជ្រើសរើសសហព័ន្ធ/តំបន់!</t>
        </is>
      </c>
      <c r="H1331" t="inlineStr">
        <is>
          <t>សូមជ្រើសរើសសហព័ន្ធ/តំបន់!</t>
        </is>
      </c>
      <c r="I1331" s="217" t="inlineStr">
        <is>
          <t>"traCuoc.errorWards": "សូមជ្រើសរើសសហព័ន្ធ/តំបន់!",</t>
        </is>
      </c>
      <c r="N1331" s="3" t="inlineStr">
        <is>
          <t>សូមជ្រើសរើស ខេត្ត/តំបន់!</t>
        </is>
      </c>
    </row>
    <row r="1332" ht="15.75" customHeight="1" s="305">
      <c r="A1332" s="3" t="inlineStr">
        <is>
          <t>debit.required_doctype</t>
        </is>
      </c>
      <c r="B1332" s="3" t="inlineStr">
        <is>
          <t>Vui lòng chọn loại bảng kê</t>
        </is>
      </c>
      <c r="C1332" s="3" t="inlineStr">
        <is>
          <t>Please choose document type</t>
        </is>
      </c>
      <c r="D1332" s="3">
        <f>IFERROR(__xludf.DUMMYFUNCTION("GOOGLETRANSLATE(B1332,""vi"",""km"")"),"សូមជ្រើសរើសប្រភេទសេចក្តីថ្លែងការណ៍។")</f>
        <v/>
      </c>
      <c r="E1332" s="3" t="inlineStr">
        <is>
          <t>សូមជ្រើសរើសប្រភេទតារាង</t>
        </is>
      </c>
      <c r="F1332" s="3" t="n"/>
      <c r="G1332" s="3" t="inlineStr">
        <is>
          <t>សូមជ្រើសរើសប្រភេទតារាង</t>
        </is>
      </c>
      <c r="H1332" t="inlineStr">
        <is>
          <t>សូមជ្រើសរើសប្រភេទតារាង</t>
        </is>
      </c>
      <c r="I1332" s="217" t="inlineStr">
        <is>
          <t>"debit.required_doctype": "សូមជ្រើសរើសប្រភេទតារាង",</t>
        </is>
      </c>
      <c r="N1332" s="3" t="inlineStr">
        <is>
          <t>សូមជ្រើសរើសប្រភេទនៃតារាងបញ្ញើ</t>
        </is>
      </c>
    </row>
    <row r="1333" ht="15.75" customHeight="1" s="305">
      <c r="A1333" s="3" t="inlineStr">
        <is>
          <t>login.emptyLanguage</t>
        </is>
      </c>
      <c r="B1333" s="3" t="inlineStr">
        <is>
          <t>Vui lòng chọn ngôn ngữ</t>
        </is>
      </c>
      <c r="C1333" s="3" t="inlineStr">
        <is>
          <t>Please select your languge</t>
        </is>
      </c>
      <c r="D1333" s="3">
        <f>IFERROR(__xludf.DUMMYFUNCTION("GOOGLETRANSLATE(B1333,""vi"",""km"")"),"សូមជ្រើសរើសភាសាមួយ។")</f>
        <v/>
      </c>
      <c r="E1333" s="3" t="inlineStr">
        <is>
          <t>សូមជ្រើសរើសភាសា</t>
        </is>
      </c>
      <c r="F1333" s="3" t="n"/>
      <c r="G1333" s="3" t="inlineStr">
        <is>
          <t>សូមជ្រើសរើសភាសា</t>
        </is>
      </c>
      <c r="H1333" t="inlineStr">
        <is>
          <t>សូមជ្រើសរើសភាសា</t>
        </is>
      </c>
      <c r="I1333" s="217" t="inlineStr">
        <is>
          <t>"login.emptyLanguage": "សូមជ្រើសរើសភាសា",</t>
        </is>
      </c>
      <c r="N1333" s="3" t="inlineStr">
        <is>
          <t>សូមជ្រើសរើសភាសាមួយ</t>
        </is>
      </c>
    </row>
    <row r="1334" ht="15.75" customHeight="1" s="305">
      <c r="A1334" s="3" t="inlineStr">
        <is>
          <t>khaiThacDen.warningChooseDistrict</t>
        </is>
      </c>
      <c r="B1334" s="3" t="inlineStr">
        <is>
          <t>Vui lòng chọn quận/huyện!!</t>
        </is>
      </c>
      <c r="C1334" s="3" t="inlineStr">
        <is>
          <t>Please select district!</t>
        </is>
      </c>
      <c r="D1334" s="3">
        <f>IFERROR(__xludf.DUMMYFUNCTION("GOOGLETRANSLATE(B1334,""vi"",""km"")"),"សូមជ្រើសរើសស្រុក/ខេត្ត!!")</f>
        <v/>
      </c>
      <c r="E1334" s="3" t="inlineStr">
        <is>
          <t>សូមជ្រើសរើសស្រុក/ខណ្ឌ!</t>
        </is>
      </c>
      <c r="F1334" s="3" t="n"/>
      <c r="G1334" s="3" t="inlineStr">
        <is>
          <t>សូមជ្រើសរើសស្រុក/ខណ្ឌ!</t>
        </is>
      </c>
      <c r="H1334" t="inlineStr">
        <is>
          <t>សូមជ្រើសរើសស្រុក/ខណ្ឌ!</t>
        </is>
      </c>
      <c r="I1334" s="217" t="inlineStr">
        <is>
          <t>"khaiThacDen.warningChooseDistrict": "សូមជ្រើសរើសស្រុក/ខណ្ឌ!",</t>
        </is>
      </c>
      <c r="N1334" s="3" t="inlineStr">
        <is>
          <t>សូមជ្រើសរើសស្រុក ឃុំ។!!</t>
        </is>
      </c>
    </row>
    <row r="1335" ht="15.75" customHeight="1" s="305">
      <c r="A1335" s="3" t="inlineStr">
        <is>
          <t>login.emptyCountry</t>
        </is>
      </c>
      <c r="B1335" s="3" t="inlineStr">
        <is>
          <t>Vui lòng chọn quốc gia</t>
        </is>
      </c>
      <c r="C1335" s="3" t="inlineStr">
        <is>
          <t>Please select your country</t>
        </is>
      </c>
      <c r="D1335" s="3">
        <f>IFERROR(__xludf.DUMMYFUNCTION("GOOGLETRANSLATE(B1335,""vi"",""km"")"),"សូមជ្រើសរើសប្រទេសមួយ")</f>
        <v/>
      </c>
      <c r="E1335" s="3" t="inlineStr">
        <is>
          <t>សូមជ្រើសរើសប្រទេស</t>
        </is>
      </c>
      <c r="F1335" s="3" t="n"/>
      <c r="G1335" s="3" t="inlineStr">
        <is>
          <t>សូមជ្រើសរើសប្រទេស</t>
        </is>
      </c>
      <c r="H1335" t="inlineStr">
        <is>
          <t>សូមជ្រើសរើសប្រទេស</t>
        </is>
      </c>
      <c r="I1335" s="217" t="inlineStr">
        <is>
          <t>"login.emptyCountry": "សូមជ្រើសរើសប្រទេស",</t>
        </is>
      </c>
      <c r="N1335" s="3" t="inlineStr">
        <is>
          <t>សូមជ្រើសរើសប្រទេស</t>
        </is>
      </c>
    </row>
    <row r="1336" ht="15.75" customHeight="1" s="305">
      <c r="A1336" s="3" t="inlineStr">
        <is>
          <t>khaiThacDen.warningChooseWard</t>
        </is>
      </c>
      <c r="B1336" s="3" t="inlineStr">
        <is>
          <t>Vui lòng chọn thị trấn!</t>
        </is>
      </c>
      <c r="C1336" s="3" t="inlineStr">
        <is>
          <t>Please select ward!</t>
        </is>
      </c>
      <c r="D1336" s="3">
        <f>IFERROR(__xludf.DUMMYFUNCTION("GOOGLETRANSLATE(B1336,""vi"",""km"")"),"សូមជ្រើសរើសទីក្រុងមួយ!")</f>
        <v/>
      </c>
      <c r="E1336" s="3" t="inlineStr">
        <is>
          <t>សូមជ្រើសរើសទីរួមខេត្ត!</t>
        </is>
      </c>
      <c r="F1336" s="3" t="n"/>
      <c r="G1336" s="3" t="inlineStr">
        <is>
          <t>សូមជ្រើសរើសទីរួមខេត្ត!</t>
        </is>
      </c>
      <c r="H1336" t="inlineStr">
        <is>
          <t>សូមជ្រើសរើសទីរួមខេត្ត!</t>
        </is>
      </c>
      <c r="I1336" s="217" t="inlineStr">
        <is>
          <t>"khaiThacDen.warningChooseWard": "សូមជ្រើសរើសទីរួមខេត្ត!",</t>
        </is>
      </c>
      <c r="N1336" s="3" t="inlineStr">
        <is>
          <t>សូមជ្រើសរើស ភូមិ ឃុំ!</t>
        </is>
      </c>
    </row>
    <row r="1337" ht="15.75" customHeight="1" s="305">
      <c r="A1337" s="3" t="inlineStr">
        <is>
          <t>khaiThacDen.warningChooseProvince</t>
        </is>
      </c>
      <c r="B1337" s="3" t="inlineStr">
        <is>
          <t>Vui lòng chọn tỉnh!!</t>
        </is>
      </c>
      <c r="C1337" s="3" t="inlineStr">
        <is>
          <t>Please select province!</t>
        </is>
      </c>
      <c r="D1337" s="3">
        <f>IFERROR(__xludf.DUMMYFUNCTION("GOOGLETRANSLATE(B1337,""vi"",""km"")"),"សូមជ្រើសរើសខេត្តមួយ!!")</f>
        <v/>
      </c>
      <c r="E1337" s="3" t="inlineStr">
        <is>
          <t>សូមជ្រើសរើសខេត្ត!</t>
        </is>
      </c>
      <c r="F1337" s="3" t="n"/>
      <c r="G1337" s="3" t="inlineStr">
        <is>
          <t>សូមជ្រើសរើសខេត្ត!</t>
        </is>
      </c>
      <c r="H1337" t="inlineStr">
        <is>
          <t>សូមជ្រើសរើសខេត្ត!</t>
        </is>
      </c>
      <c r="I1337" s="217" t="inlineStr">
        <is>
          <t>"khaiThacDen.warningChooseProvince": "សូមជ្រើសរើសខេត្ត!",</t>
        </is>
      </c>
      <c r="N1337" s="3" t="inlineStr">
        <is>
          <t>សូមជ្រើសរើសខេត្ត!!</t>
        </is>
      </c>
    </row>
    <row r="1338" ht="15.75" customHeight="1" s="305">
      <c r="A1338" s="3" t="inlineStr">
        <is>
          <t>dieuHanh.pleaseChooseRoute</t>
        </is>
      </c>
      <c r="B1338" s="3" t="inlineStr">
        <is>
          <t>Vui lòng chọn tuyến</t>
        </is>
      </c>
      <c r="C1338" s="3" t="inlineStr">
        <is>
          <t>Select route</t>
        </is>
      </c>
      <c r="D1338" s="3">
        <f>IFERROR(__xludf.DUMMYFUNCTION("GOOGLETRANSLATE(B1338,""vi"",""km"")"),"សូមជ្រើសរើសផ្លូវមួយ")</f>
        <v/>
      </c>
      <c r="E1338" s="3" t="inlineStr">
        <is>
          <t>សូមជ្រើសរើសផ្លូវដឹក</t>
        </is>
      </c>
      <c r="F1338" s="3" t="n"/>
      <c r="G1338" s="3" t="inlineStr">
        <is>
          <t>សូមជ្រើសរើសផ្លូវដឹក</t>
        </is>
      </c>
      <c r="H1338" t="inlineStr">
        <is>
          <t>សូមជ្រើសរើសផ្លូវដឹក</t>
        </is>
      </c>
      <c r="I1338" s="217" t="inlineStr">
        <is>
          <t>"dieuHanh.pleaseChooseRoute": "សូមជ្រើសរើសផ្លូវដឹក",</t>
        </is>
      </c>
      <c r="N1338" s="3" t="inlineStr">
        <is>
          <t>សូមជ្រើសរើសផ្លូវ</t>
        </is>
      </c>
    </row>
    <row r="1339" ht="15.75" customHeight="1" s="305">
      <c r="A1339" s="3" t="inlineStr">
        <is>
          <t>taoDon.minTwoImages</t>
        </is>
      </c>
      <c r="B1339" s="3" t="inlineStr">
        <is>
          <t>Vui lòng chụp tổi thiểu 2 ảnh</t>
        </is>
      </c>
      <c r="C1339" s="3" t="inlineStr">
        <is>
          <t>Upload at least 2 photos</t>
        </is>
      </c>
      <c r="D1339" s="3">
        <f>IFERROR(__xludf.DUMMYFUNCTION("GOOGLETRANSLATE(B1339,""vi"",""km"")"),"សូមថតរូបយ៉ាងហោចណាស់ ២ សន្លឹក។")</f>
        <v/>
      </c>
      <c r="E1339" s="3" t="inlineStr">
        <is>
          <t>សូមថតរូបយ៉ាងហោចណាស់ 2 សន្លឹក</t>
        </is>
      </c>
      <c r="F1339" s="3" t="n"/>
      <c r="G1339" s="3" t="inlineStr">
        <is>
          <t>សូមថតរូបយ៉ាងហោចណាស់ 2 សន្លឹក</t>
        </is>
      </c>
      <c r="H1339" t="inlineStr">
        <is>
          <t>សូមថតរូបយ៉ាងហោចណាស់ 2 សន្លឹក</t>
        </is>
      </c>
      <c r="I1339" s="217" t="inlineStr">
        <is>
          <t>"taoDon.minTwoImages": "សូមថតរូបយ៉ាងហោចណាស់ 2 សន្លឹក",</t>
        </is>
      </c>
      <c r="N1339" s="3" t="inlineStr">
        <is>
          <t>សូមថតយ៉ាងហោចណាស់ 2 រូបភាព</t>
        </is>
      </c>
    </row>
    <row r="1340" ht="15.75" customHeight="1" s="305">
      <c r="A1340" s="3" t="inlineStr">
        <is>
          <t>taoDon.uploadImage</t>
        </is>
      </c>
      <c r="B1340" s="3" t="inlineStr">
        <is>
          <t>Vui lòng chụp tối thiểu 2 ảnh!</t>
        </is>
      </c>
      <c r="C1340" s="3" t="inlineStr">
        <is>
          <t>Upload at least 2 photos!</t>
        </is>
      </c>
      <c r="D1340" s="3">
        <f>IFERROR(__xludf.DUMMYFUNCTION("GOOGLETRANSLATE(B1340,""vi"",""km"")"),"សូមថតរូបយ៉ាងហោចណាស់ពីរសន្លឹក!")</f>
        <v/>
      </c>
      <c r="E1340" s="3" t="inlineStr">
        <is>
          <t>សូមថតរូបយ៉ាងហោចណាស់ 2 សន្លឹក!</t>
        </is>
      </c>
      <c r="F1340" s="3" t="n"/>
      <c r="G1340" s="3" t="inlineStr">
        <is>
          <t>សូមថតរូបយ៉ាងហោចណាស់ 2 សន្លឹក!</t>
        </is>
      </c>
      <c r="H1340" t="inlineStr">
        <is>
          <t>សូមថតរូបយ៉ាងហោចណាស់ 2 សន្លឹក!</t>
        </is>
      </c>
      <c r="I1340" s="217" t="inlineStr">
        <is>
          <t>"taoDon.uploadImage": "សូមថតរូបយ៉ាងហោចណាស់ 2 សន្លឹក!",</t>
        </is>
      </c>
      <c r="N1340" s="3" t="inlineStr">
        <is>
          <t>សូមថតយ៉ាងហោចណាស់ 2 រូបភាព!</t>
        </is>
      </c>
    </row>
    <row r="1341" ht="15.75" customHeight="1" s="305">
      <c r="A1341" s="3" t="inlineStr">
        <is>
          <t>taoDon.fillDimensions</t>
        </is>
      </c>
      <c r="B1341" s="3" t="inlineStr">
        <is>
          <t>Vui lòng điền đẩy đủ thông tin Dài - Rộng - Cao</t>
        </is>
      </c>
      <c r="C1341" s="3" t="inlineStr">
        <is>
          <t>Length - Width - Height are required</t>
        </is>
      </c>
      <c r="D1341" s="3">
        <f>IFERROR(__xludf.DUMMYFUNCTION("GOOGLETRANSLATE(B1341,""vi"",""km"")"),"សូមបំពេញព័ត៌មានប្រវែង - ទទឹង - កម្ពស់ឲ្យបានពេញលេញ។")</f>
        <v/>
      </c>
      <c r="E1341" s="3" t="inlineStr">
        <is>
          <t>សូមបំពេញព័ត៌មានប្រវែង - ទទឹង - កម្ពស់ឱ្យបានពេញលេញ។</t>
        </is>
      </c>
      <c r="F1341" s="3" t="n"/>
      <c r="G1341" s="3" t="inlineStr">
        <is>
          <t>សូមបំពេញព័ត៌មានប្រវែង - ទទឹង - កម្ពស់ឱ្យបានពេញលេញ។</t>
        </is>
      </c>
      <c r="H1341" t="inlineStr">
        <is>
          <t>សូមបំពេញព័ត៌មានប្រវែង - ទទឹង - កម្ពស់ឱ្យបានពេញលេញ។</t>
        </is>
      </c>
      <c r="I1341" s="217" t="inlineStr">
        <is>
          <t>"taoDon.fillDimensions": "សូមបំពេញព័ត៌មានប្រវែង - ទទឹង - កម្ពស់ឱ្យបានពេញលេញ។",</t>
        </is>
      </c>
      <c r="N1341" s="3" t="inlineStr">
        <is>
          <t>សូមបញ្ចូលព័ត៌មានពេញលេញ (ប្រវែង - ទទឹង - កម្ពស់)</t>
        </is>
      </c>
    </row>
    <row r="1342" ht="15.75" customHeight="1" s="305">
      <c r="A1342" s="3" t="inlineStr">
        <is>
          <t>taoDon.errorThuGon</t>
        </is>
      </c>
      <c r="B1342" s="3" t="inlineStr">
        <is>
          <t>Vui lòng điền đầy đủ thông tin trước khi thu gọn</t>
        </is>
      </c>
      <c r="C1342" s="3" t="inlineStr">
        <is>
          <t>Please fill in all information before collapsing</t>
        </is>
      </c>
      <c r="D1342" s="3">
        <f>IFERROR(__xludf.DUMMYFUNCTION("GOOGLETRANSLATE(B1342,""vi"",""km"")"),"សូមបំពេញព័ត៌មានទាំងអស់មុនពេលបិទ។")</f>
        <v/>
      </c>
      <c r="E1342" s="3" t="inlineStr">
        <is>
          <t>សូមបំពេញព័ត៌មានទាំងអស់មុនពេលបង្រួម។</t>
        </is>
      </c>
      <c r="F1342" s="3" t="n"/>
      <c r="G1342" s="3" t="inlineStr">
        <is>
          <t>សូមបំពេញព័ត៌មានទាំងអស់មុនពេលបង្រួម។</t>
        </is>
      </c>
      <c r="H1342" t="inlineStr">
        <is>
          <t>សូមបំពេញព័ត៌មានទាំងអស់មុនពេលបង្រួម។</t>
        </is>
      </c>
      <c r="I1342" s="217" t="inlineStr">
        <is>
          <t>"taoDon.errorThuGon": "សូមបំពេញព័ត៌មានទាំងអស់មុនពេលបង្រួម។",</t>
        </is>
      </c>
      <c r="N1342" s="3" t="inlineStr">
        <is>
          <t>សូមបញ្ចូលព័ត៌មានពេញលេញមុនពេលបង្រួម</t>
        </is>
      </c>
    </row>
    <row r="1343" ht="15.75" customHeight="1" s="305">
      <c r="A1343" s="3" t="inlineStr">
        <is>
          <t>GiaoHang.descEmptyDetailAddress</t>
        </is>
      </c>
      <c r="B1343" s="3" t="inlineStr">
        <is>
          <t>Vui lòng điền địa chỉ chi tiết</t>
        </is>
      </c>
      <c r="C1343" s="3" t="inlineStr">
        <is>
          <t>Add address details</t>
        </is>
      </c>
      <c r="D1343" s="3">
        <f>IFERROR(__xludf.DUMMYFUNCTION("GOOGLETRANSLATE(B1343,""vi"",""km"")"),"សូមបំពេញអាសយដ្ឋានលម្អិត។")</f>
        <v/>
      </c>
      <c r="E1343" s="3" t="inlineStr">
        <is>
          <t>សូមបំពេញអាសយដ្ឋានលម្អិត។</t>
        </is>
      </c>
      <c r="F1343" s="3" t="n"/>
      <c r="G1343" s="3" t="inlineStr">
        <is>
          <t>សូមបំពេញអាសយដ្ឋានលម្អិត។</t>
        </is>
      </c>
      <c r="H1343" t="inlineStr">
        <is>
          <t>សូមបំពេញអាសយដ្ឋានលម្អិត។</t>
        </is>
      </c>
      <c r="I1343" s="217" t="inlineStr">
        <is>
          <t>"GiaoHang.descEmptyDetailAddress": "សូមបំពេញអាសយដ្ឋានលម្អិត។",</t>
        </is>
      </c>
      <c r="N1343" s="3" t="inlineStr">
        <is>
          <t>សូមបំពេញអាសយដ្ឋានលម្អិត</t>
        </is>
      </c>
    </row>
    <row r="1344" ht="15.75" customHeight="1" s="305">
      <c r="A1344" s="3" t="inlineStr">
        <is>
          <t>taoDon.emptyService</t>
        </is>
      </c>
      <c r="B1344" s="3" t="inlineStr">
        <is>
          <t>Vui lòng điền đủ thông tin để xem dịch vụ</t>
        </is>
      </c>
      <c r="C1344" s="3" t="inlineStr">
        <is>
          <t>Please fill in all information to view the service</t>
        </is>
      </c>
      <c r="D1344" s="3">
        <f>IFERROR(__xludf.DUMMYFUNCTION("GOOGLETRANSLATE(B1344,""vi"",""km"")"),"សូមបំពេញព័ត៌មានទាំងអស់ដើម្បីមើលសេវាកម្ម។")</f>
        <v/>
      </c>
      <c r="E1344" s="3" t="inlineStr">
        <is>
          <t>សូមបំពេញព័ត៌មានទាំងអស់ដើម្បីមើលសេវាកម្ម។</t>
        </is>
      </c>
      <c r="F1344" s="3" t="n"/>
      <c r="G1344" s="3" t="inlineStr">
        <is>
          <t>សូមបំពេញព័ត៌មានទាំងអស់ដើម្បីមើលសេវាកម្ម។</t>
        </is>
      </c>
      <c r="H1344" t="inlineStr">
        <is>
          <t>សូមបំពេញព័ត៌មានទាំងអស់ដើម្បីមើលសេវាកម្ម។</t>
        </is>
      </c>
      <c r="I1344" s="217" t="inlineStr">
        <is>
          <t>"taoDon.emptyService": "សូមបំពេញព័ត៌មានទាំងអស់ដើម្បីមើលសេវាកម្ម។",</t>
        </is>
      </c>
      <c r="N1344" s="3" t="inlineStr">
        <is>
          <t>សូមបញ្ចូលព័ត៌មានពេញលេញដើម្បីមើលសេវាកម្ម</t>
        </is>
      </c>
    </row>
    <row r="1345" ht="15.75" customHeight="1" s="305">
      <c r="A1345" s="3" t="inlineStr">
        <is>
          <t>banGiao.titleContentScanSearch</t>
        </is>
      </c>
      <c r="B1345" s="3" t="inlineStr">
        <is>
          <t>Vui lòng đưa mã bàn giao vào camera để quét</t>
        </is>
      </c>
      <c r="C1345" s="3" t="inlineStr">
        <is>
          <t>Please place sack/package code in front of the camera to scan</t>
        </is>
      </c>
      <c r="D1345" s="3">
        <f>IFERROR(__xludf.DUMMYFUNCTION("GOOGLETRANSLATE(B1345,""vi"",""km"")"),"សូមចង្អុលលេខកូដដឹកជញ្ជូនទៅកាមេរ៉ាសម្រាប់ស្កេន។")</f>
        <v/>
      </c>
      <c r="E1345" s="3" t="inlineStr">
        <is>
          <t>សូមចង្អុលលេខកូដដឹកជញ្ជូនទៅកាមេរ៉ាដើម្បីស្កេន។</t>
        </is>
      </c>
      <c r="F1345" s="3" t="n"/>
      <c r="G1345" s="3" t="inlineStr">
        <is>
          <t>សូមចង្អុលលេខកូដដឹកជញ្ជូនទៅកាមេរ៉ាដើម្បីស្កេន។</t>
        </is>
      </c>
      <c r="H1345" t="inlineStr">
        <is>
          <t>សូមចង្អុលលេខកូដដឹកជញ្ជូនទៅកាមេរ៉ាដើម្បីស្កេន។</t>
        </is>
      </c>
      <c r="I1345" s="217" t="inlineStr">
        <is>
          <t>"banGiao.titleContentScanSearch": "សូមចង្អុលលេខកូដដឹកជញ្ជូនទៅកាមេរ៉ាដើម្បីស្កេន។",</t>
        </is>
      </c>
      <c r="N1345" s="3" t="inlineStr">
        <is>
          <t>សូមបង្ហាញកាមេរ៉ានៅលើកូដការផ្ញើ</t>
        </is>
      </c>
    </row>
    <row r="1346" ht="15.75" customHeight="1" s="305">
      <c r="A1346" s="3" t="inlineStr">
        <is>
          <t>GiaoHang.titleContentScanSearch1</t>
        </is>
      </c>
      <c r="B1346" s="3" t="inlineStr">
        <is>
          <t>Vui lòng đưa mã bưu phẩm vào camera để quét</t>
        </is>
      </c>
      <c r="C1346" s="3" t="inlineStr">
        <is>
          <t>Point the camera at the postal slip's code</t>
        </is>
      </c>
      <c r="D1346" s="3">
        <f>IFERROR(__xludf.DUMMYFUNCTION("GOOGLETRANSLATE(B1346,""vi"",""km"")"),"សូមចង្អុលលេខកូដកញ្ចប់ទៅកាមេរ៉ាដើម្បីស្កេនវា។")</f>
        <v/>
      </c>
      <c r="E1346" s="3" t="inlineStr">
        <is>
          <t>សូមយកកូដបុងបញ្ញើចូលក្នុងកាមេរ៉ាដើម្បីស្កេន</t>
        </is>
      </c>
      <c r="F1346" s="3" t="n"/>
      <c r="G1346" s="3" t="inlineStr">
        <is>
          <t>សូមយកកូដបុងបញ្ញើចូលក្នុងកាមេរ៉ាដើម្បីស្កេន</t>
        </is>
      </c>
      <c r="H1346" t="inlineStr">
        <is>
          <t>សូមយកកូដបុងបញ្ញើចូលក្នុងកាមេរ៉ាដើម្បីស្កេន</t>
        </is>
      </c>
      <c r="I1346" s="217" t="inlineStr">
        <is>
          <t>"GiaoHang.titleContentScanSearch1": "សូមយកកូដបុងបញ្ញើចូលក្នុងកាមេរ៉ាដើម្បីស្កេន",</t>
        </is>
      </c>
      <c r="N1346" s="163" t="inlineStr">
        <is>
          <t>ចង្អុលកាមេរ៉ាទៅលេខកូដប្រៃសណីយ៍</t>
        </is>
      </c>
    </row>
    <row r="1347" ht="15.75" customHeight="1" s="305">
      <c r="A1347" s="3" t="inlineStr">
        <is>
          <t>error.contentQRCode</t>
        </is>
      </c>
      <c r="B1347" s="3" t="inlineStr">
        <is>
          <t>Vui lòng đưa mã bưu phẩm vào camera để quét</t>
        </is>
      </c>
      <c r="C1347" s="3" t="inlineStr">
        <is>
          <t>Point your camera at the QR code</t>
        </is>
      </c>
      <c r="D1347" s="3">
        <f>IFERROR(__xludf.DUMMYFUNCTION("GOOGLETRANSLATE(B1347,""vi"",""km"")"),"សូមចង្អុលលេខកូដកញ្ចប់ទៅកាមេរ៉ាដើម្បីស្កេនវា។")</f>
        <v/>
      </c>
      <c r="E1347" s="3" t="inlineStr">
        <is>
          <t>សូមយកកូដបុងបញ្ញើចូលក្នុងកាមេរ៉ាដើម្បីស្កេន</t>
        </is>
      </c>
      <c r="F1347" s="3" t="n"/>
      <c r="G1347" s="3" t="inlineStr">
        <is>
          <t>សូមយកកូដបុងបញ្ញើចូលក្នុងកាមេរ៉ាដើម្បីស្កេន</t>
        </is>
      </c>
      <c r="H1347" t="inlineStr">
        <is>
          <t>សូមយកកូដបុងបញ្ញើចូលក្នុងកាមេរ៉ាដើម្បីស្កេន</t>
        </is>
      </c>
      <c r="I1347" s="217" t="inlineStr">
        <is>
          <t>"error.contentQRCode": "សូមយកកូដបុងបញ្ញើចូលក្នុងកាមេរ៉ាដើម្បីស្កេន",</t>
        </is>
      </c>
      <c r="N1347" s="3" t="inlineStr">
        <is>
          <t>សូមចង្អុលលេខកូដកញ្ចប់ទៅកាមេរ៉ាដើម្បីស្កេន</t>
        </is>
      </c>
    </row>
    <row r="1348" ht="15.75" customHeight="1" s="305">
      <c r="A1348" s="3" t="inlineStr">
        <is>
          <t>DongTai.titleNoDataScan</t>
        </is>
      </c>
      <c r="B1348" s="3" t="inlineStr">
        <is>
          <t>Vui lòng đưa mã bưu phẩm vào camera để quét</t>
        </is>
      </c>
      <c r="C1348" s="3" t="inlineStr">
        <is>
          <t>Point the camera at the code.</t>
        </is>
      </c>
      <c r="D1348" s="3">
        <f>IFERROR(__xludf.DUMMYFUNCTION("GOOGLETRANSLATE(B1348,""vi"",""km"")"),"សូមចង្អុលលេខកូដកញ្ចប់ទៅកាមេរ៉ាដើម្បីស្កេនវា។")</f>
        <v/>
      </c>
      <c r="E1348" s="3" t="inlineStr">
        <is>
          <t>សូមយកកូដបុងបញ្ញើចូលក្នុងកាមេរ៉ាដើម្បីស្កេន</t>
        </is>
      </c>
      <c r="F1348" s="3" t="n"/>
      <c r="G1348" s="3" t="inlineStr">
        <is>
          <t>សូមយកកូដបុងបញ្ញើចូលក្នុងកាមេរ៉ាដើម្បីស្កេន</t>
        </is>
      </c>
      <c r="H1348" t="inlineStr">
        <is>
          <t>សូមយកកូដបុងបញ្ញើចូលក្នុងកាមេរ៉ាដើម្បីស្កេន</t>
        </is>
      </c>
      <c r="I1348" s="217" t="inlineStr">
        <is>
          <t>"DongTai.titleNoDataScan": "សូមយកកូដបុងបញ្ញើចូលក្នុងកាមេរ៉ាដើម្បីស្កេន",</t>
        </is>
      </c>
      <c r="N1348" s="3" t="inlineStr">
        <is>
          <t>សូមដាក់លេខកូដសំបុត្រ/កញ្ចប់ចូលក្នុងកាមេរ៉ាសម្រាប់ស្កេន</t>
        </is>
      </c>
    </row>
    <row r="1349" ht="15.75" customHeight="1" s="305">
      <c r="A1349" s="3" t="inlineStr">
        <is>
          <t>tongGiao.warningScanOrder</t>
        </is>
      </c>
      <c r="B1349" s="3" t="inlineStr">
        <is>
          <t>Vui lòng đưa mã bưu phẩm vào camera để quét</t>
        </is>
      </c>
      <c r="C1349" s="3" t="inlineStr">
        <is>
          <t>Point your camera at the postal slip's code</t>
        </is>
      </c>
      <c r="D1349" s="3">
        <f>IFERROR(__xludf.DUMMYFUNCTION("GOOGLETRANSLATE(B1349,""vi"",""km"")"),"សូមចង្អុលលេខកូដកញ្ចប់ទៅកាមេរ៉ាដើម្បីស្កេនវា។")</f>
        <v/>
      </c>
      <c r="E1349" s="3" t="inlineStr">
        <is>
          <t>សូមយកកូដបុងបញ្ញើចូលក្នុងកាមេរ៉ាដើម្បីស្កេន</t>
        </is>
      </c>
      <c r="F1349" s="3" t="n"/>
      <c r="G1349" s="3" t="inlineStr">
        <is>
          <t>សូមយកកូដបុងបញ្ញើចូលក្នុងកាមេរ៉ាដើម្បីស្កេន</t>
        </is>
      </c>
      <c r="H1349" t="inlineStr">
        <is>
          <t>សូមយកកូដបុងបញ្ញើចូលក្នុងកាមេរ៉ាដើម្បីស្កេន</t>
        </is>
      </c>
      <c r="I1349" s="217" t="inlineStr">
        <is>
          <t>"tongGiao.warningScanOrder": "សូមយកកូដបុងបញ្ញើចូលក្នុងកាមេរ៉ាដើម្បីស្កេន",</t>
        </is>
      </c>
      <c r="N1349" s="3" t="inlineStr">
        <is>
          <t>សូមបញ្ចូលលេខកូដកញ្ចប់បញ្ញើទៅមុខកាមេរ៉ាដើម្បីស្កេន</t>
        </is>
      </c>
    </row>
    <row r="1350" ht="15.75" customHeight="1" s="305">
      <c r="A1350" s="3" t="inlineStr">
        <is>
          <t>nhanHang.titleContentScanSearch</t>
        </is>
      </c>
      <c r="B1350" s="3" t="inlineStr">
        <is>
          <t>Vui lòng đưa mã đơn vào camera để quét</t>
        </is>
      </c>
      <c r="C1350" s="3" t="inlineStr">
        <is>
          <t>Please place sack/package code in front of the camera to scan</t>
        </is>
      </c>
      <c r="D1350" s="3">
        <f>IFERROR(__xludf.DUMMYFUNCTION("GOOGLETRANSLATE(B1350,""vi"",""km"")"),"សូមចង្អុលលេខកូដបញ្ជាទិញទៅកាមេរ៉ាដើម្បីស្កេនវា។")</f>
        <v/>
      </c>
      <c r="E1350" s="3" t="inlineStr">
        <is>
          <t>សូមយកកូដបុងបញ្ញើចូលក្នុងកាមេរ៉ាដើម្បីស្កេន</t>
        </is>
      </c>
      <c r="F1350" s="3" t="n"/>
      <c r="G1350" s="3" t="inlineStr">
        <is>
          <t>សូមយកកូដបុងបញ្ញើចូលក្នុងកាមេរ៉ាដើម្បីស្កេន</t>
        </is>
      </c>
      <c r="H1350" t="inlineStr">
        <is>
          <t>សូមយកកូដបុងបញ្ញើចូលក្នុងកាមេរ៉ាដើម្បីស្កេន</t>
        </is>
      </c>
      <c r="I1350" s="217" t="inlineStr">
        <is>
          <t>"nhanHang.titleContentScanSearch": "សូមយកកូដបុងបញ្ញើចូលក្នុងកាមេរ៉ាដើម្បីស្កេន",</t>
        </is>
      </c>
      <c r="N1350" s="3" t="inlineStr">
        <is>
          <t>សូមដាក់លេខកូដបញ្ជាទិញចូលក្នុងកាមេរ៉ាសម្រាប់ស្កេន</t>
        </is>
      </c>
    </row>
    <row r="1351" ht="15.75" customHeight="1" s="305">
      <c r="A1351" s="3" t="inlineStr">
        <is>
          <t>banGiao.titleNoDataScan2</t>
        </is>
      </c>
      <c r="B1351" s="3" t="inlineStr">
        <is>
          <t>Vui lòng đưa mã tải vào camera để quét</t>
        </is>
      </c>
      <c r="C1351" s="3" t="inlineStr">
        <is>
          <t>Point your camera at the code</t>
        </is>
      </c>
      <c r="D1351" s="3">
        <f>IFERROR(__xludf.DUMMYFUNCTION("GOOGLETRANSLATE(B1351,""vi"",""km"")"),"សូមចង្អុលលេខកូដទាញយកទៅកាមេរ៉ាដើម្បីស្កេន។")</f>
        <v/>
      </c>
      <c r="E1351" s="3" t="inlineStr">
        <is>
          <t>សូមយកកូដជើងដឹក ចូលក្នុងកាមេរ៉ាដើម្បីស្កេន</t>
        </is>
      </c>
      <c r="F1351" s="3" t="n"/>
      <c r="G1351" s="3" t="inlineStr">
        <is>
          <t>សូមយកកូដកញ្ចប់ទំនិញ ចូលក្នុងកាមេរ៉ាដើម្បីស្កេន</t>
        </is>
      </c>
      <c r="H1351" t="inlineStr">
        <is>
          <t>សូមយកកូដកញ្ចប់ទំនិញ ចូលក្នុងកាមេរ៉ាដើម្បីស្កេន</t>
        </is>
      </c>
      <c r="I1351" s="217" t="inlineStr">
        <is>
          <t>"banGiao.titleNoDataScan2": "សូមយកកូដកញ្ចប់ទំនិញ ចូលក្នុងកាមេរ៉ាដើម្បីស្កេន",</t>
        </is>
      </c>
      <c r="N1351" s="3" t="inlineStr">
        <is>
          <t>សូមបង្ហាញកាមេរ៉ានៅលើកូដ</t>
        </is>
      </c>
    </row>
    <row r="1352" ht="15.75" customHeight="1" s="305">
      <c r="A1352" s="3" t="inlineStr">
        <is>
          <t>GiaoHangNew.scanTaiContent</t>
        </is>
      </c>
      <c r="B1352" s="3" t="inlineStr">
        <is>
          <t>Vui lòng đưa mã tải vào camera để quét</t>
        </is>
      </c>
      <c r="C1352" s="3" t="inlineStr">
        <is>
          <t>Please place the load code in front of the camera to scan</t>
        </is>
      </c>
      <c r="D1352" s="3">
        <f>IFERROR(__xludf.DUMMYFUNCTION("GOOGLETRANSLATE(B1352,""vi"",""km"")"),"សូមចង្អុលលេខកូដទាញយកទៅកាមេរ៉ាដើម្បីស្កេន។")</f>
        <v/>
      </c>
      <c r="E1352" s="3" t="inlineStr">
        <is>
          <t>សូមយកកូដជើងដឹក ចូលក្នុងកាមេរ៉ាដើម្បីស្កេន</t>
        </is>
      </c>
      <c r="F1352" s="3" t="n"/>
      <c r="G1352" s="3" t="inlineStr">
        <is>
          <t>សូមយកកូដកញ្ចប់អីវ៉ាន់ ចូលក្នុងកាមេរ៉ាដើម្បីស្កេន</t>
        </is>
      </c>
      <c r="H1352" t="inlineStr">
        <is>
          <t>សូមយកកូដកញ្ចប់អីវ៉ាន់ ចូលក្នុងកាមេរ៉ាដើម្បីស្កេន</t>
        </is>
      </c>
      <c r="I1352" s="217" t="inlineStr">
        <is>
          <t>"GiaoHangNew.scanTaiContent": "សូមយកកូដកញ្ចប់អីវ៉ាន់ ចូលក្នុងកាមេរ៉ាដើម្បីស្កេន",</t>
        </is>
      </c>
      <c r="N1352" s="3" t="inlineStr"/>
    </row>
    <row r="1353" ht="15.75" customHeight="1" s="305">
      <c r="A1353" s="3" t="inlineStr">
        <is>
          <t>DongTai.titleContentScanSearch</t>
        </is>
      </c>
      <c r="B1353" s="3" t="inlineStr">
        <is>
          <t>Vui lòng đưa mã tải/kiện vào camera để quét</t>
        </is>
      </c>
      <c r="C1353" s="3" t="inlineStr">
        <is>
          <t>Please place sack/package code in front of the camera to scan</t>
        </is>
      </c>
      <c r="D1353" s="3">
        <f>IFERROR(__xludf.DUMMYFUNCTION("GOOGLETRANSLATE(B1353,""vi"",""km"")"),"សូមចង្អុលលេខកូដកញ្ចប់/ដឹកជញ្ជូនទៅកាមេរ៉ាសម្រាប់ស្កេន។")</f>
        <v/>
      </c>
      <c r="E1353" s="3" t="inlineStr">
        <is>
          <t>សូមយកកូដជើងដឹក/កញ្ចប់អីវ៉ាន់ ចូលក្នុងកាមេរ៉ាដើម្បីស្កេន</t>
        </is>
      </c>
      <c r="F1353" s="3" t="n"/>
      <c r="G1353" s="3" t="inlineStr">
        <is>
          <t>សូមយកកូដកញ្ចប់ទំនិញ/អីវ៉ាន់ ចូលក្នុងកាមេរ៉ាដើម្បីស្កេន</t>
        </is>
      </c>
      <c r="H1353" t="inlineStr">
        <is>
          <t>សូមយកកូដកញ្ចប់ទំនិញ/អីវ៉ាន់ ចូលក្នុងកាមេរ៉ាដើម្បីស្កេន</t>
        </is>
      </c>
      <c r="I1353" s="217" t="inlineStr">
        <is>
          <t>"DongTai.titleContentScanSearch": "សូមយកកូដកញ្ចប់ទំនិញ/អីវ៉ាន់ ចូលក្នុងកាមេរ៉ាដើម្បីស្កេន",</t>
        </is>
      </c>
      <c r="N1353" s="3" t="inlineStr">
        <is>
          <t>សូមដាក់លេខកូដត្រួតពិនិត្យ/កញ្ចប់ចូលក្នុងកាមេរ៉ាសម្រាប់ស្កេន</t>
        </is>
      </c>
    </row>
    <row r="1354" ht="15.75" customHeight="1" s="305">
      <c r="A1354" s="3" t="inlineStr">
        <is>
          <t>tms.scanQRPlaceholder</t>
        </is>
      </c>
      <c r="B1354" s="3" t="inlineStr">
        <is>
          <t>Vui lòng đưa mã tải/kiện vào camera để quét</t>
        </is>
      </c>
      <c r="C1354" s="3" t="inlineStr">
        <is>
          <t>Please put the load/package code in the camera to scan</t>
        </is>
      </c>
      <c r="D1354" s="3">
        <f>IFERROR(__xludf.DUMMYFUNCTION("GOOGLETRANSLATE(B1354,""vi"",""km"")"),"សូមចង្អុលលេខកូដកញ្ចប់/ដឹកជញ្ជូនទៅកាមេរ៉ាសម្រាប់ស្កេន។")</f>
        <v/>
      </c>
      <c r="E1354" s="3" t="inlineStr">
        <is>
          <t>សូមយកកូដជើងដឹក/កញ្ចប់អីវ៉ាន់ ចូលក្នុងកាមេរ៉ាដើម្បីស្កេន</t>
        </is>
      </c>
      <c r="F1354" s="3" t="n"/>
      <c r="G1354" s="3" t="inlineStr">
        <is>
          <t>សូមយកកូដកញ្ចប់ទំនិញ/អីវ៉ាន់ ចូលក្នុងកាមេរ៉ាដើម្បីស្កេន</t>
        </is>
      </c>
      <c r="H1354" t="inlineStr">
        <is>
          <t>សូមយកកូដកញ្ចប់ទំនិញ/អីវ៉ាន់ ចូលក្នុងកាមេរ៉ាដើម្បីស្កេន</t>
        </is>
      </c>
      <c r="I1354" s="217" t="inlineStr">
        <is>
          <t>"tms.scanQRPlaceholder": "សូមយកកូដកញ្ចប់ទំនិញ/អីវ៉ាន់ ចូលក្នុងកាមេរ៉ាដើម្បីស្កេន",</t>
        </is>
      </c>
      <c r="N1354" s="3" t="inlineStr"/>
    </row>
    <row r="1355" ht="15.75" customHeight="1" s="305">
      <c r="A1355" s="3" t="inlineStr">
        <is>
          <t>common.scanQRContent</t>
        </is>
      </c>
      <c r="B1355" s="3" t="inlineStr">
        <is>
          <t>Vui lòng đữa mã vạch vào khung hình</t>
        </is>
      </c>
      <c r="C1355" s="3" t="inlineStr">
        <is>
          <t>Point your camera at the QR code</t>
        </is>
      </c>
      <c r="D1355" s="3">
        <f>IFERROR(__xludf.DUMMYFUNCTION("GOOGLETRANSLATE(B1355,""vi"",""km"")"),"សូមដាក់បាកូដនៅក្នុងស៊ុម។")</f>
        <v/>
      </c>
      <c r="E1355" s="3" t="inlineStr">
        <is>
          <t>សូមបញ្ចូលបាកូដទៅក្នុងស៊ុម។</t>
        </is>
      </c>
      <c r="F1355" s="3" t="n"/>
      <c r="G1355" s="3" t="inlineStr">
        <is>
          <t>សូមបញ្ចូលបាកូដទៅក្នុងស៊ុម។</t>
        </is>
      </c>
      <c r="H1355" t="inlineStr">
        <is>
          <t>សូមបញ្ចូលបាកូដទៅក្នុងស៊ុម។</t>
        </is>
      </c>
      <c r="I1355" s="217" t="inlineStr">
        <is>
          <t>"common.scanQRContent": "សូមបញ្ចូលបាកូដទៅក្នុងស៊ុម។",</t>
        </is>
      </c>
      <c r="N1355" s="3" t="inlineStr">
        <is>
          <t>សូមបញ្ចូលបាកូដទៅក្នុងស៊ុម</t>
        </is>
      </c>
    </row>
    <row r="1356" ht="15.75" customHeight="1" s="305">
      <c r="A1356" s="3" t="inlineStr">
        <is>
          <t>khaiThacDen.warningEmptyDetailAddress</t>
        </is>
      </c>
      <c r="B1356" s="3" t="inlineStr">
        <is>
          <t>Vui lòng nhập địa chỉ chi tiết!!</t>
        </is>
      </c>
      <c r="C1356" s="3" t="inlineStr">
        <is>
          <t>Please enter address details!</t>
        </is>
      </c>
      <c r="D1356" s="3">
        <f>IFERROR(__xludf.DUMMYFUNCTION("GOOGLETRANSLATE(B1356,""vi"",""km"")"),"សូមបញ្ចូលអាសយដ្ឋានលម្អិតរបស់អ្នក!!")</f>
        <v/>
      </c>
      <c r="E1356" s="3" t="inlineStr">
        <is>
          <t>សូមបញ្ចូលអាសយដ្ឋានលម្អិត!</t>
        </is>
      </c>
      <c r="F1356" s="3" t="n"/>
      <c r="G1356" s="3" t="inlineStr">
        <is>
          <t>សូមបញ្ចូលអាសយដ្ឋានលម្អិត!</t>
        </is>
      </c>
      <c r="H1356" t="inlineStr">
        <is>
          <t>សូមបញ្ចូលអាសយដ្ឋានលម្អិត!</t>
        </is>
      </c>
      <c r="I1356" s="217" t="inlineStr">
        <is>
          <t>"khaiThacDen.warningEmptyDetailAddress": "សូមបញ្ចូលអាសយដ្ឋានលម្អិត!",</t>
        </is>
      </c>
      <c r="N1356" s="3" t="inlineStr">
        <is>
          <t>សូមបញ្ចូលអាសយដ្ឋានលម្អិត!!</t>
        </is>
      </c>
    </row>
    <row r="1357" ht="15.75" customHeight="1" s="305">
      <c r="A1357" s="3" t="inlineStr">
        <is>
          <t>suaDon.contentEditGoods</t>
        </is>
      </c>
      <c r="B1357" s="3" t="inlineStr">
        <is>
          <t>Vui lòng nhập kích thước Dài x Rộng x Cao (đơn vị cm)</t>
        </is>
      </c>
      <c r="C1357" s="3" t="inlineStr">
        <is>
          <t>Please enter Length x Width x Height (cm)</t>
        </is>
      </c>
      <c r="D1357" s="3">
        <f>IFERROR(__xludf.DUMMYFUNCTION("GOOGLETRANSLATE(B1357,""vi"",""km"")"),"សូមបញ្ចូលវិមាត្រ (បណ្តោយ x ទទឹង x កម្ពស់) ជាសង់ទីម៉ែត្រ។")</f>
        <v/>
      </c>
      <c r="E1357" s="3">
        <f>IFERROR(__xludf.DUMMYFUNCTION("GOOGLETRANSLATE(C1357,""vi"",""km"")"),"សូមបញ្ចូលប្រវែង x ទទឹង x កម្ពស់ (សង់ទីម៉ែត្រ)")</f>
        <v/>
      </c>
      <c r="F1357" s="3" t="n"/>
      <c r="G1357" s="3" t="inlineStr">
        <is>
          <t>សូមបញ្ចូលប្រវែង x ទទឹង x កម្ពស់ (សង់ទីម៉ែត្រ)</t>
        </is>
      </c>
      <c r="H1357" t="inlineStr">
        <is>
          <t>សូមបញ្ចូលប្រវែង x ទទឹង x កម្ពស់ (សង់ទីម៉ែត្រ)</t>
        </is>
      </c>
      <c r="I1357" s="217" t="inlineStr">
        <is>
          <t>"suaDon.contentEditGoods": "សូមបញ្ចូលប្រវែង x ទទឹង x កម្ពស់ (សង់ទីម៉ែត្រ)",</t>
        </is>
      </c>
      <c r="N1357" s="3" t="inlineStr">
        <is>
          <t>សូមបញ្ចូលវិមាត្រ បណ្តោយ x ទទឹង x កម្ពស់ (ឯកតាសង់ទីម៉ែត្រ)</t>
        </is>
      </c>
    </row>
    <row r="1358" ht="15.75" customHeight="1" s="305">
      <c r="A1358" s="3" t="inlineStr">
        <is>
          <t>change_password.re_new_password_required</t>
        </is>
      </c>
      <c r="B1358" s="3" t="inlineStr">
        <is>
          <t>Vui lòng nhập lại mật khẩu mới</t>
        </is>
      </c>
      <c r="C1358" s="3" t="inlineStr">
        <is>
          <t>Please re-enter the new password</t>
        </is>
      </c>
      <c r="D1358" s="3">
        <f>IFERROR(__xludf.DUMMYFUNCTION("GOOGLETRANSLATE(B1358,""vi"",""km"")"),"សូមបញ្ចូលពាក្យសម្ងាត់ថ្មីរបស់អ្នកឡើងវិញ។")</f>
        <v/>
      </c>
      <c r="E1358" s="3" t="inlineStr">
        <is>
          <t>សូមបញ្ចូលពាក្យសម្ងាត់ថ្មីរបស់អ្នកឡើងវិញ។</t>
        </is>
      </c>
      <c r="F1358" s="3" t="n"/>
      <c r="G1358" s="3" t="inlineStr">
        <is>
          <t>សូមបញ្ចូលពាក្យសម្ងាត់ថ្មីរបស់អ្នកឡើងវិញ។</t>
        </is>
      </c>
      <c r="H1358" t="inlineStr">
        <is>
          <t>សូមបញ្ចូលពាក្យសម្ងាត់ថ្មីរបស់អ្នកឡើងវិញ។</t>
        </is>
      </c>
      <c r="I1358" s="217" t="inlineStr">
        <is>
          <t>"change_password.re_new_password_required": "សូមបញ្ចូលពាក្យសម្ងាត់ថ្មីរបស់អ្នកឡើងវិញ។",</t>
        </is>
      </c>
      <c r="N1358" s="3" t="inlineStr">
        <is>
          <t>សូមបញ្ចូលពាក្យសម្ងាត់ថ្មីម្ដងទៀត</t>
        </is>
      </c>
    </row>
    <row r="1359" ht="15.75" customHeight="1" s="305">
      <c r="A1359" s="3" t="inlineStr">
        <is>
          <t>suaDon.contentEdit</t>
        </is>
      </c>
      <c r="B1359" s="3" t="inlineStr">
        <is>
          <t>Vui lòng nhập mã đơn hàng hoặc quét để tìm kiếm đơn cần sửa!</t>
        </is>
      </c>
      <c r="C1359" s="3" t="inlineStr">
        <is>
          <t>Please enter or scan the order ID to search!</t>
        </is>
      </c>
      <c r="D1359" s="3">
        <f>IFERROR(__xludf.DUMMYFUNCTION("GOOGLETRANSLATE(B1359,""vi"",""km"")"),"សូមបញ្ចូលលេខបញ្ជាទិញរបស់អ្នក ឬស្កេនវាដើម្បីស្វែងរកការបញ្ជាទិញដែលអ្នកត្រូវការកែសម្រួល!")</f>
        <v/>
      </c>
      <c r="E1359" s="3" t="inlineStr">
        <is>
          <t>សូមបញ្ចូលលេខកូដបុងបញ្ញើ ឬស្កេនដើម្បីស្វែងរកបុងបញ្ញើ ដែលអ្នកត្រូវកែសម្រួល!</t>
        </is>
      </c>
      <c r="F1359" s="3" t="n"/>
      <c r="G1359" s="3" t="inlineStr">
        <is>
          <t>សូមបញ្ចូលលេខកូដបុងបញ្ញើ ឬស្កេនដើម្បីស្វែងរកបុងបញ្ញើ ដែលអ្នកត្រូវកែសម្រួល!</t>
        </is>
      </c>
      <c r="H1359" t="inlineStr">
        <is>
          <t>សូមបញ្ចូលលេខកូដបុងបញ្ញើ ឬស្កេនដើម្បីស្វែងរកបុងបញ្ញើ ដែលអ្នកត្រូវកែសម្រួល!</t>
        </is>
      </c>
      <c r="I1359" s="217" t="inlineStr">
        <is>
          <t>"suaDon.contentEdit": "សូមបញ្ចូលលេខកូដបុងបញ្ញើ ឬស្កេនដើម្បីស្វែងរកបុងបញ្ញើ ដែលអ្នកត្រូវកែសម្រួល!",</t>
        </is>
      </c>
      <c r="N1359" s="3" t="inlineStr">
        <is>
          <t>សូមបញ្ចូលលេខកូដបញ្ញើ ឬស្កេនដើម្បីស្វែងរកកញ្ចប់បញ្ញើដែលត្រូវការកែសម្រួល!</t>
        </is>
      </c>
    </row>
    <row r="1360" ht="15.75" customHeight="1" s="305">
      <c r="A1360" s="3" t="inlineStr">
        <is>
          <t>change_password.please_enter_phone</t>
        </is>
      </c>
      <c r="B1360" s="3" t="inlineStr">
        <is>
          <t>Vui lòng nhập số điện thoại</t>
        </is>
      </c>
      <c r="C1360" s="3" t="inlineStr">
        <is>
          <t>Please enter phone number</t>
        </is>
      </c>
      <c r="D1360" s="3">
        <f>IFERROR(__xludf.DUMMYFUNCTION("GOOGLETRANSLATE(B1360,""vi"",""km"")"),"សូមបញ្ចូលលេខទូរស័ព្ទរបស់អ្នក។")</f>
        <v/>
      </c>
      <c r="E1360" s="3" t="inlineStr">
        <is>
          <t>សូមបញ្ចូលលេខទូូរស័ព្ទ</t>
        </is>
      </c>
      <c r="F1360" s="3" t="n"/>
      <c r="G1360" s="3" t="inlineStr">
        <is>
          <t>សូមបញ្ចូលលេខទូូរស័ព្ទ</t>
        </is>
      </c>
      <c r="H1360" t="inlineStr">
        <is>
          <t>សូមបញ្ចូលលេខទូូរស័ព្ទ</t>
        </is>
      </c>
      <c r="I1360" s="217" t="inlineStr">
        <is>
          <t>"change_password.please_enter_phone": "សូមបញ្ចូលលេខទូូរស័ព្ទ",</t>
        </is>
      </c>
      <c r="N1360" s="3" t="inlineStr">
        <is>
          <t>សូមបញ្ចូលលេខទូរស័ព្ទ</t>
        </is>
      </c>
    </row>
    <row r="1361" ht="15.75" customHeight="1" s="305">
      <c r="A1361" s="3" t="inlineStr">
        <is>
          <t>taoKien.messageInputCountKien</t>
        </is>
      </c>
      <c r="B1361" s="3" t="inlineStr">
        <is>
          <t>Vui lòng nhập số lượng kiện</t>
        </is>
      </c>
      <c r="C1361" s="3" t="inlineStr">
        <is>
          <t>Please enter the number of packages</t>
        </is>
      </c>
      <c r="D1361" s="3">
        <f>IFERROR(__xludf.DUMMYFUNCTION("GOOGLETRANSLATE(B1361,""vi"",""km"")"),"សូមបញ្ចូលចំនួនកញ្ចប់។")</f>
        <v/>
      </c>
      <c r="E1361" s="3" t="inlineStr">
        <is>
          <t>សូមបញ្ចូលចំនួនកញ្ចប់</t>
        </is>
      </c>
      <c r="F1361" s="3" t="n"/>
      <c r="G1361" s="3" t="inlineStr">
        <is>
          <t>សូមបញ្ចូលចំនួនកញ្ចប់</t>
        </is>
      </c>
      <c r="H1361" t="inlineStr">
        <is>
          <t>សូមបញ្ចូលចំនួនកញ្ចប់</t>
        </is>
      </c>
      <c r="I1361" s="217" t="inlineStr">
        <is>
          <t>"taoKien.messageInputCountKien": "សូមបញ្ចូលចំនួនកញ្ចប់",</t>
        </is>
      </c>
      <c r="N1361" s="3" t="inlineStr"/>
    </row>
    <row r="1362" ht="15.75" customHeight="1" s="305">
      <c r="A1362" s="3" t="inlineStr">
        <is>
          <t>error.errorLogin</t>
        </is>
      </c>
      <c r="B1362" s="3" t="inlineStr">
        <is>
          <t>Vui lòng nhập tên đăng nhập hoặc số điện thoại</t>
        </is>
      </c>
      <c r="C1362" s="3" t="inlineStr">
        <is>
          <t>Please enter your username or phone number</t>
        </is>
      </c>
      <c r="D1362" s="3">
        <f>IFERROR(__xludf.DUMMYFUNCTION("GOOGLETRANSLATE(B1362,""vi"",""km"")"),"សូមបញ្ចូលឈ្មោះអ្នកប្រើប្រាស់ ឬលេខទូរស័ព្ទរបស់អ្នក។")</f>
        <v/>
      </c>
      <c r="E1362" s="3" t="inlineStr">
        <is>
          <t>សូមបញ្ចូលឈ្មោះអ្នកប្រើប្រាស់ ឬលេខទូរស័ព្ទ</t>
        </is>
      </c>
      <c r="F1362" s="3" t="n"/>
      <c r="G1362" s="3" t="inlineStr">
        <is>
          <t>សូមបញ្ចូលឈ្មោះអ្នកប្រើប្រាស់ ឬលេខទូរស័ព្ទ</t>
        </is>
      </c>
      <c r="H1362" t="inlineStr">
        <is>
          <t>សូមបញ្ចូលឈ្មោះអ្នកប្រើប្រាស់ ឬលេខទូរស័ព្ទ</t>
        </is>
      </c>
      <c r="I1362" s="217" t="inlineStr">
        <is>
          <t>"error.errorLogin": "សូមបញ្ចូលឈ្មោះអ្នកប្រើប្រាស់ ឬលេខទូរស័ព្ទ",</t>
        </is>
      </c>
      <c r="N1362" s="3" t="inlineStr">
        <is>
          <t>សូមបញ្ចូលឈ្មោះអ្នកប្រើប្រាស់ ឬលេខទូរស័ព្ទ</t>
        </is>
      </c>
    </row>
    <row r="1363" ht="15.75" customHeight="1" s="305">
      <c r="A1363" s="3" t="inlineStr">
        <is>
          <t>suaDon.validateNameParcel</t>
        </is>
      </c>
      <c r="B1363" s="3" t="inlineStr">
        <is>
          <t>Vui lòng nhập tên sản phẩm</t>
        </is>
      </c>
      <c r="C1363" s="3" t="inlineStr">
        <is>
          <t>Please enter freight name</t>
        </is>
      </c>
      <c r="D1363" s="3">
        <f>IFERROR(__xludf.DUMMYFUNCTION("GOOGLETRANSLATE(B1363,""vi"",""km"")"),"សូមបញ្ចូលឈ្មោះផលិតផល។")</f>
        <v/>
      </c>
      <c r="E1363" s="3" t="inlineStr">
        <is>
          <t>សូមបញ្ចូលឈ្មោះអីវ៉ាន់</t>
        </is>
      </c>
      <c r="F1363" s="3" t="n"/>
      <c r="G1363" s="3" t="inlineStr">
        <is>
          <t>សូមបញ្ចូលឈ្មោះអីវ៉ាន់</t>
        </is>
      </c>
      <c r="H1363" t="inlineStr">
        <is>
          <t>សូមបញ្ចូលឈ្មោះអីវ៉ាន់</t>
        </is>
      </c>
      <c r="I1363" s="217" t="inlineStr">
        <is>
          <t>"suaDon.validateNameParcel": "សូមបញ្ចូលឈ្មោះអីវ៉ាន់",</t>
        </is>
      </c>
      <c r="N1363" s="3" t="inlineStr">
        <is>
          <t>សូមបញ្ចូលឈ្មោះផលិតផល</t>
        </is>
      </c>
    </row>
    <row r="1364" ht="15.75" customHeight="1" s="305">
      <c r="A1364" s="3" t="inlineStr">
        <is>
          <t>traCuoc.errorCod</t>
        </is>
      </c>
      <c r="B1364" s="3" t="inlineStr">
        <is>
          <t>Vui lòng nhập tiền thu hộ lớn hơn 0!</t>
        </is>
      </c>
      <c r="C1364" s="3" t="inlineStr">
        <is>
          <t>COD must be greater than 0!</t>
        </is>
      </c>
      <c r="D1364" s="3">
        <f>IFERROR(__xludf.DUMMYFUNCTION("GOOGLETRANSLATE(B1364,""vi"",""km"")"),"សូមបញ្ចូលចំនួនទឹកប្រាក់ប្រមូលប្រាក់ដែលធំជាង ០!")</f>
        <v/>
      </c>
      <c r="E1364" s="3" t="inlineStr">
        <is>
          <t>សូមបញ្ចូលចំនួនទឹកប្រាក់ទទួលជំនួសដែលធំជាង 0!</t>
        </is>
      </c>
      <c r="F1364" s="3" t="n"/>
      <c r="G1364" s="3" t="inlineStr">
        <is>
          <t>សូមបញ្ចូលចំនួនទឹកប្រាក់ទទួលជំនួសដែលធំជាង 0!</t>
        </is>
      </c>
      <c r="H1364" t="inlineStr">
        <is>
          <t>សូមបញ្ចូលចំនួនទឹកប្រាក់ទទួលជំនួសដែលធំជាង 0!</t>
        </is>
      </c>
      <c r="I1364" s="217" t="inlineStr">
        <is>
          <t>"traCuoc.errorCod": "សូមបញ្ចូលចំនួនទឹកប្រាក់ទទួលជំនួសដែលធំជាង 0!",</t>
        </is>
      </c>
      <c r="N1364" s="3" t="inlineStr">
        <is>
          <t>សូមបញ្ចូលចំនួនប្រាក់ COD ឲ្យធំជាង 0!</t>
        </is>
      </c>
    </row>
    <row r="1365" ht="15.75" customHeight="1" s="305">
      <c r="A1365" s="3" t="inlineStr">
        <is>
          <t>traCuoc.errorEmptyCod</t>
        </is>
      </c>
      <c r="B1365" s="3" t="inlineStr">
        <is>
          <t>Vui lòng nhập tiền thu hộ!</t>
        </is>
      </c>
      <c r="C1365" s="3" t="inlineStr">
        <is>
          <t>Please enter the COD!</t>
        </is>
      </c>
      <c r="D1365" s="3">
        <f>IFERROR(__xludf.DUMMYFUNCTION("GOOGLETRANSLATE(B1365,""vi"",""km"")"),"សូមបញ្ចូលចំនួនទឹកប្រាក់ដែលត្រូវប្រមូល!")</f>
        <v/>
      </c>
      <c r="E1365" s="3" t="inlineStr">
        <is>
          <t>សូមបញ្ចូលចំនួនទឹកប្រាក់ជំនួស!</t>
        </is>
      </c>
      <c r="F1365" s="3" t="n"/>
      <c r="G1365" s="3" t="inlineStr">
        <is>
          <t>សូមបញ្ចូលចំនួនទឹកប្រាក់ជំនួស!</t>
        </is>
      </c>
      <c r="H1365" t="inlineStr">
        <is>
          <t>សូមបញ្ចូលចំនួនទឹកប្រាក់ជំនួស!</t>
        </is>
      </c>
      <c r="I1365" s="217" t="inlineStr">
        <is>
          <t>"traCuoc.errorEmptyCod": "សូមបញ្ចូលចំនួនទឹកប្រាក់ជំនួស!",</t>
        </is>
      </c>
      <c r="N1365" s="3" t="inlineStr">
        <is>
          <t>សូមបញ្ចូលចំនួនប្រាក់ COD!</t>
        </is>
      </c>
    </row>
    <row r="1366" ht="15.75" customHeight="1" s="305">
      <c r="A1366" s="3" t="inlineStr">
        <is>
          <t>traCuoc.errorWeight</t>
        </is>
      </c>
      <c r="B1366" s="3" t="inlineStr">
        <is>
          <t>Vui lòng nhập trọng lượng bưu phẩm lớn hơn 0!</t>
        </is>
      </c>
      <c r="C1366" s="3" t="inlineStr">
        <is>
          <t>Weight must be greater then 0!</t>
        </is>
      </c>
      <c r="D1366" s="3">
        <f>IFERROR(__xludf.DUMMYFUNCTION("GOOGLETRANSLATE(B1366,""vi"",""km"")"),"សូមបញ្ចូលទម្ងន់កញ្ចប់ដែលធំជាង ០!")</f>
        <v/>
      </c>
      <c r="E1366" s="3" t="inlineStr">
        <is>
          <t>សូមបញ្ចូលចំនួនទម្ងន់អីវ៉ាន់ឲ្យលើសពី 0</t>
        </is>
      </c>
      <c r="F1366" s="3" t="n"/>
      <c r="G1366" s="3" t="inlineStr">
        <is>
          <t>សូមបញ្ចូលចំនួនទម្ងន់អីវ៉ាន់ឲ្យលើសពី 0</t>
        </is>
      </c>
      <c r="H1366" t="inlineStr">
        <is>
          <t>សូមបញ្ចូលចំនួនទម្ងន់អីវ៉ាន់ឲ្យលើសពី 0</t>
        </is>
      </c>
      <c r="I1366" s="217" t="inlineStr">
        <is>
          <t>"traCuoc.errorWeight": "សូមបញ្ចូលចំនួនទម្ងន់អីវ៉ាន់ឲ្យលើសពី 0",</t>
        </is>
      </c>
      <c r="N1366" s="3" t="inlineStr">
        <is>
          <t>សូមបញ្ចូលទម្ងន់បញ្ជូនដែលធំជាង 0!</t>
        </is>
      </c>
    </row>
    <row r="1367" ht="15.75" customHeight="1" s="305">
      <c r="A1367" s="3" t="inlineStr">
        <is>
          <t>traCuoc.errorEmptyWeight</t>
        </is>
      </c>
      <c r="B1367" s="3" t="inlineStr">
        <is>
          <t>Vui lòng nhập trọng lượng bưu phẩm!</t>
        </is>
      </c>
      <c r="C1367" s="3" t="inlineStr">
        <is>
          <t>Please enter weight!</t>
        </is>
      </c>
      <c r="D1367" s="3">
        <f>IFERROR(__xludf.DUMMYFUNCTION("GOOGLETRANSLATE(B1367,""vi"",""km"")"),"សូមបញ្ចូលទម្ងន់កញ្ចប់!")</f>
        <v/>
      </c>
      <c r="E1367" s="3" t="inlineStr">
        <is>
          <t>សូមបញ្ចូលចំនួនទម្ងន់អីវ៉ាន់!</t>
        </is>
      </c>
      <c r="F1367" s="3" t="n"/>
      <c r="G1367" s="3" t="inlineStr">
        <is>
          <t>សូមបញ្ចូលចំនួនទម្ងន់អីវ៉ាន់!</t>
        </is>
      </c>
      <c r="H1367" t="inlineStr">
        <is>
          <t>សូមបញ្ចូលចំនួនទម្ងន់អីវ៉ាន់!</t>
        </is>
      </c>
      <c r="I1367" s="217" t="inlineStr">
        <is>
          <t>"traCuoc.errorEmptyWeight": "សូមបញ្ចូលចំនួនទម្ងន់អីវ៉ាន់!",</t>
        </is>
      </c>
      <c r="N1367" s="3" t="inlineStr">
        <is>
          <t>សូមបញ្ចូលទម្ងន់បញ្ជូន!</t>
        </is>
      </c>
    </row>
    <row r="1368" ht="15.75" customHeight="1" s="305">
      <c r="A1368" s="3" t="inlineStr">
        <is>
          <t>DongTai.errorWeight</t>
        </is>
      </c>
      <c r="B1368" s="3" t="inlineStr">
        <is>
          <t>Vui lòng nhập trọng lượng lớn hơn 0!</t>
        </is>
      </c>
      <c r="C1368" s="3" t="inlineStr">
        <is>
          <t>Please enter a weight greater than 0!</t>
        </is>
      </c>
      <c r="D1368" s="3">
        <f>IFERROR(__xludf.DUMMYFUNCTION("GOOGLETRANSLATE(B1368,""vi"",""km"")"),"សូមបញ្ចូលទម្ងន់ធំជាង ០!")</f>
        <v/>
      </c>
      <c r="E1368" s="3" t="inlineStr">
        <is>
          <t>សូមបញ្ចូលចំនួនទម្ងន់អីវ៉ាន់ឲ្យលើសពី 0!</t>
        </is>
      </c>
      <c r="F1368" s="3" t="n"/>
      <c r="G1368" s="3" t="inlineStr">
        <is>
          <t>សូមបញ្ចូលចំនួនទម្ងន់អីវ៉ាន់ឲ្យលើសពី 0!</t>
        </is>
      </c>
      <c r="H1368" t="inlineStr">
        <is>
          <t>សូមបញ្ចូលចំនួនទម្ងន់អីវ៉ាន់ឲ្យលើសពី 0!</t>
        </is>
      </c>
      <c r="I1368" s="217" t="inlineStr">
        <is>
          <t>"DongTai.errorWeight": "សូមបញ្ចូលចំនួនទម្ងន់អីវ៉ាន់ឲ្យលើសពី 0!",</t>
        </is>
      </c>
      <c r="N1368" s="3" t="inlineStr">
        <is>
          <t>សូមបញ្ចូលទម្ងន់ធំជាង 0!</t>
        </is>
      </c>
    </row>
    <row r="1369" ht="15.75" customHeight="1" s="305">
      <c r="A1369" s="3" t="inlineStr">
        <is>
          <t>suaDon.validateWeightParcel</t>
        </is>
      </c>
      <c r="B1369" s="3" t="inlineStr">
        <is>
          <t>Vui lòng nhập trọng lượng!</t>
        </is>
      </c>
      <c r="C1369" s="3" t="inlineStr">
        <is>
          <t>Please enter the weight!</t>
        </is>
      </c>
      <c r="D1369" s="3">
        <f>IFERROR(__xludf.DUMMYFUNCTION("GOOGLETRANSLATE(B1369,""vi"",""km"")"),"សូមបញ្ចូលទម្ងន់!")</f>
        <v/>
      </c>
      <c r="E1369" s="3" t="inlineStr">
        <is>
          <t>សូមបញ្ចូលទម្ងន់!</t>
        </is>
      </c>
      <c r="F1369" s="3" t="n"/>
      <c r="G1369" s="3" t="inlineStr">
        <is>
          <t>សូមបញ្ចូលទម្ងន់!</t>
        </is>
      </c>
      <c r="H1369" t="inlineStr">
        <is>
          <t>សូមបញ្ចូលទម្ងន់!</t>
        </is>
      </c>
      <c r="I1369" s="217" t="inlineStr">
        <is>
          <t>"suaDon.validateWeightParcel": "សូមបញ្ចូលទម្ងន់!",</t>
        </is>
      </c>
      <c r="N1369" s="3" t="inlineStr">
        <is>
          <t>សូមបញ្ចូលទម្ងន់!</t>
        </is>
      </c>
    </row>
    <row r="1370" ht="15.75" customHeight="1" s="305">
      <c r="A1370" s="3" t="inlineStr">
        <is>
          <t>GiaoHangNew.useScannerToAdd</t>
        </is>
      </c>
      <c r="B1370" s="3" t="inlineStr">
        <is>
          <t>Vui lòng sử dụng đầu quét để thêm đơn.</t>
        </is>
      </c>
      <c r="C1370" s="3" t="inlineStr">
        <is>
          <t>Please use scanner to add orders.</t>
        </is>
      </c>
      <c r="D1370" s="3">
        <f>IFERROR(__xludf.DUMMYFUNCTION("GOOGLETRANSLATE(B1370,""vi"",""km"")"),"សូមប្រើម៉ាស៊ីនស្កេនដើម្បីបន្ថែមការបញ្ជាទិញ។")</f>
        <v/>
      </c>
      <c r="E1370" s="3" t="inlineStr">
        <is>
          <t>សូមប្រើម៉ាស៊ីនស្កេនដើម្បីបន្ថែមបុងបញ្ញើ</t>
        </is>
      </c>
      <c r="F1370" s="3" t="n"/>
      <c r="G1370" s="3" t="inlineStr">
        <is>
          <t>សូមប្រើម៉ាស៊ីនស្កេនដើម្បីបន្ថែមបុងបញ្ញើ</t>
        </is>
      </c>
      <c r="H1370" t="inlineStr">
        <is>
          <t>សូមប្រើម៉ាស៊ីនស្កេនដើម្បីបន្ថែមបុងបញ្ញើ</t>
        </is>
      </c>
      <c r="I1370" s="217" t="inlineStr">
        <is>
          <t>"GiaoHangNew.useScannerToAdd": "សូមប្រើម៉ាស៊ីនស្កេនដើម្បីបន្ថែមបុងបញ្ញើ",</t>
        </is>
      </c>
      <c r="N1370" s="3" t="inlineStr"/>
    </row>
    <row r="1371" ht="15.75" customHeight="1" s="305">
      <c r="A1371" s="3" t="inlineStr">
        <is>
          <t>PhanCong.descWarningAddBill</t>
        </is>
      </c>
      <c r="B1371" s="3" t="inlineStr">
        <is>
          <t>Vui lòng thêm mã bill!</t>
        </is>
      </c>
      <c r="C1371" s="3" t="inlineStr">
        <is>
          <t>Please add more bill</t>
        </is>
      </c>
      <c r="D1371" s="3">
        <f>IFERROR(__xludf.DUMMYFUNCTION("GOOGLETRANSLATE(B1371,""vi"",""km"")"),"សូមបន្ថែមលេខវិក្កយបត្រ!")</f>
        <v/>
      </c>
      <c r="E1371" s="3" t="inlineStr">
        <is>
          <t>សូមបន្ថែមលេខកូូដបុងបញ្ញើ</t>
        </is>
      </c>
      <c r="F1371" s="3" t="n"/>
      <c r="G1371" s="3" t="inlineStr">
        <is>
          <t>សូមបន្ថែមលេខកូូដបុងបញ្ញើ</t>
        </is>
      </c>
      <c r="H1371" t="inlineStr">
        <is>
          <t>សូមបន្ថែមលេខកូូដបុងបញ្ញើ</t>
        </is>
      </c>
      <c r="I1371" s="217" t="inlineStr">
        <is>
          <t>"PhanCong.descWarningAddBill": "សូមបន្ថែមលេខកូូដបុងបញ្ញើ",</t>
        </is>
      </c>
      <c r="N1371" s="3" t="inlineStr">
        <is>
          <t>សូមបន្ថែមលេខបញ្ជី!</t>
        </is>
      </c>
    </row>
    <row r="1372" ht="15.75" customHeight="1" s="305">
      <c r="A1372" s="3" t="inlineStr">
        <is>
          <t>change_password.please_enter_phone_register</t>
        </is>
      </c>
      <c r="B1372" s="3" t="inlineStr">
        <is>
          <t>Vui lòng xác nhận SĐT bạn đã đăng ký</t>
        </is>
      </c>
      <c r="C1372" s="3" t="inlineStr">
        <is>
          <t>Please confirm the phone number you registered</t>
        </is>
      </c>
      <c r="D1372" s="3">
        <f>IFERROR(__xludf.DUMMYFUNCTION("GOOGLETRANSLATE(B1372,""vi"",""km"")"),"សូមបញ្ជាក់លេខទូរស័ព្ទដែលអ្នកបានចុះឈ្មោះ។")</f>
        <v/>
      </c>
      <c r="E1372" s="3" t="inlineStr">
        <is>
          <t>សូមបញ្ជាក់លេខទូរស័ព្ទដែលអ្នកបានចុះឈ្មោះ</t>
        </is>
      </c>
      <c r="F1372" s="3" t="n"/>
      <c r="G1372" s="3" t="inlineStr">
        <is>
          <t>សូមបញ្ជាក់លេខទូរស័ព្ទដែលអ្នកបានចុះឈ្មោះ</t>
        </is>
      </c>
      <c r="H1372" t="inlineStr">
        <is>
          <t>សូមបញ្ជាក់លេខទូរស័ព្ទដែលអ្នកបានចុះឈ្មោះ</t>
        </is>
      </c>
      <c r="I1372" s="217" t="inlineStr">
        <is>
          <t>"change_password.please_enter_phone_register": "សូមបញ្ជាក់លេខទូរស័ព្ទដែលអ្នកបានចុះឈ្មោះ",</t>
        </is>
      </c>
      <c r="N1372" s="3" t="inlineStr">
        <is>
          <t>សូមបញ្ជាក់លេខទូរស័ព្ទដែលអ្នកបានចុះឈ្មោះ</t>
        </is>
      </c>
    </row>
    <row r="1373" ht="15.75" customHeight="1" s="305">
      <c r="A1373" s="3" t="inlineStr">
        <is>
          <t>forgotPassword.pleaseEnterYourPhoneNumber</t>
        </is>
      </c>
      <c r="B1373" s="3" t="inlineStr">
        <is>
          <t>Vui lòng xác nhận SĐT bạn đăng ký để nhận mã xác nhận</t>
        </is>
      </c>
      <c r="C1373" s="3" t="inlineStr">
        <is>
          <t>Please enter your phone number</t>
        </is>
      </c>
      <c r="D1373" s="3">
        <f>IFERROR(__xludf.DUMMYFUNCTION("GOOGLETRANSLATE(B1373,""vi"",""km"")"),"សូមបញ្ជាក់លេខទូរស័ព្ទដែលអ្នកបានចុះឈ្មោះ ដើម្បីទទួលបានលេខកូដផ្ទៀងផ្ទាត់។")</f>
        <v/>
      </c>
      <c r="E1373" s="3" t="inlineStr">
        <is>
          <t>សូមបញ្ជាក់លេខទូរស័ព្ទដែលអ្នកបានចុះឈ្មោះដើម្បីទទួលបានកូដផ្ទៀងផ្ទាត់</t>
        </is>
      </c>
      <c r="F1373" s="3" t="n"/>
      <c r="G1373" s="3" t="inlineStr">
        <is>
          <t>សូមបញ្ជាក់លេខទូរស័ព្ទដែលអ្នកបានចុះឈ្មោះដើម្បីទទួលបានកូដផ្ទៀងផ្ទាត់</t>
        </is>
      </c>
      <c r="H1373" t="inlineStr">
        <is>
          <t>សូមបញ្ជាក់លេខទូរស័ព្ទដែលអ្នកបានចុះឈ្មោះដើម្បីទទួលបានកូដផ្ទៀងផ្ទាត់</t>
        </is>
      </c>
      <c r="I1373" s="217" t="inlineStr">
        <is>
          <t>"forgotPassword.pleaseEnterYourPhoneNumber": "សូមបញ្ជាក់លេខទូរស័ព្ទដែលអ្នកបានចុះឈ្មោះដើម្បីទទួលបានកូដផ្ទៀងផ្ទាត់",</t>
        </is>
      </c>
      <c r="N1373" s="3" t="inlineStr">
        <is>
          <t>សូមបញ្ចូលលេខទូរស័ព្ទរបស់អ្នក</t>
        </is>
      </c>
    </row>
    <row r="1374" ht="15.75" customHeight="1" s="305">
      <c r="A1374" s="3" t="inlineStr">
        <is>
          <t>error.titleErrorInstall</t>
        </is>
      </c>
      <c r="B1374" s="3" t="inlineStr">
        <is>
          <t>WhatsApp chưa được cài đặt</t>
        </is>
      </c>
      <c r="C1374" s="3" t="inlineStr">
        <is>
          <t>WhatsApp not installed</t>
        </is>
      </c>
      <c r="D1374" s="3">
        <f>IFERROR(__xludf.DUMMYFUNCTION("GOOGLETRANSLATE(B1374,""vi"",""km"")"),"WhatsApp មិនត្រូវបានដំឡើងទេ។")</f>
        <v/>
      </c>
      <c r="E1374" s="3" t="inlineStr">
        <is>
          <t>WhatsApp មិនទាន់បានដំឡើង</t>
        </is>
      </c>
      <c r="F1374" s="3" t="n"/>
      <c r="G1374" s="3" t="inlineStr">
        <is>
          <t>WhatsApp មិនទាន់បានដំឡើង</t>
        </is>
      </c>
      <c r="H1374" t="inlineStr">
        <is>
          <t>WhatsApp មិនទាន់បានដំឡើង</t>
        </is>
      </c>
      <c r="I1374" s="217" t="inlineStr">
        <is>
          <t>"error.titleErrorInstall": "WhatsApp មិនទាន់បានដំឡើង",</t>
        </is>
      </c>
      <c r="N1374" s="3" t="inlineStr">
        <is>
          <t>កម្មវិធី WhatsApp មិនបានដំឡើង</t>
        </is>
      </c>
    </row>
    <row r="1375" ht="15.75" customHeight="1" s="305">
      <c r="A1375" s="3" t="inlineStr">
        <is>
          <t>common.commune</t>
        </is>
      </c>
      <c r="B1375" s="3" t="inlineStr">
        <is>
          <t>Xã</t>
        </is>
      </c>
      <c r="C1375" s="3" t="inlineStr">
        <is>
          <t>Commune</t>
        </is>
      </c>
      <c r="D1375" s="3">
        <f>IFERROR(__xludf.DUMMYFUNCTION("GOOGLETRANSLATE(B1375,""vi"",""km"")"),"ឃុំ")</f>
        <v/>
      </c>
      <c r="E1375" s="3" t="inlineStr">
        <is>
          <t>ឃុំ</t>
        </is>
      </c>
      <c r="F1375" s="3" t="n"/>
      <c r="G1375" s="3" t="inlineStr">
        <is>
          <t>ឃុំ</t>
        </is>
      </c>
      <c r="H1375" t="inlineStr">
        <is>
          <t>ឃុំ</t>
        </is>
      </c>
      <c r="I1375" s="217" t="inlineStr">
        <is>
          <t>"common.commune": "ឃុំ",</t>
        </is>
      </c>
      <c r="N1375" s="3" t="inlineStr">
        <is>
          <t>Commune</t>
        </is>
      </c>
    </row>
    <row r="1376" ht="15.75" customHeight="1" s="305">
      <c r="A1376" s="3" t="inlineStr">
        <is>
          <t>common.confirm</t>
        </is>
      </c>
      <c r="B1376" s="3" t="inlineStr">
        <is>
          <t>Xác nhận</t>
        </is>
      </c>
      <c r="C1376" s="3" t="inlineStr">
        <is>
          <t>Confirm</t>
        </is>
      </c>
      <c r="D1376" s="3">
        <f>IFERROR(__xludf.DUMMYFUNCTION("GOOGLETRANSLATE(B1376,""vi"",""km"")"),"បញ្ជាក់")</f>
        <v/>
      </c>
      <c r="E1376" s="3" t="inlineStr">
        <is>
          <t>បញ្ជាក់</t>
        </is>
      </c>
      <c r="F1376" s="3" t="n"/>
      <c r="G1376" s="3" t="inlineStr">
        <is>
          <t>បញ្ជាក់</t>
        </is>
      </c>
      <c r="H1376" t="inlineStr">
        <is>
          <t>បញ្ជាក់</t>
        </is>
      </c>
      <c r="I1376" s="217" t="inlineStr">
        <is>
          <t>"common.confirm": "បញ្ជាក់",</t>
        </is>
      </c>
      <c r="N1376" s="3" t="inlineStr">
        <is>
          <t>បញ្ចាក់</t>
        </is>
      </c>
    </row>
    <row r="1377" ht="15.75" customHeight="1" s="305">
      <c r="A1377" s="3" t="inlineStr">
        <is>
          <t>nhanHang.xacnhan</t>
        </is>
      </c>
      <c r="B1377" s="3" t="inlineStr">
        <is>
          <t>Xác nhận</t>
        </is>
      </c>
      <c r="C1377" s="3" t="inlineStr">
        <is>
          <t>Confirmation</t>
        </is>
      </c>
      <c r="D1377" s="3">
        <f>IFERROR(__xludf.DUMMYFUNCTION("GOOGLETRANSLATE(B1377,""vi"",""km"")"),"បញ្ជាក់")</f>
        <v/>
      </c>
      <c r="E1377" s="3" t="inlineStr">
        <is>
          <t>បញ្ជាក់</t>
        </is>
      </c>
      <c r="F1377" s="3" t="n"/>
      <c r="G1377" s="3" t="inlineStr">
        <is>
          <t>បញ្ជាក់</t>
        </is>
      </c>
      <c r="H1377" t="inlineStr">
        <is>
          <t>បញ្ជាក់</t>
        </is>
      </c>
      <c r="I1377" s="217" t="inlineStr">
        <is>
          <t>"nhanHang.xacnhan": "បញ្ជាក់",</t>
        </is>
      </c>
      <c r="N1377" s="3" t="inlineStr"/>
    </row>
    <row r="1378" ht="15.75" customHeight="1" s="305">
      <c r="A1378" s="3" t="inlineStr">
        <is>
          <t>banGiao.confirm</t>
        </is>
      </c>
      <c r="B1378" s="3" t="inlineStr">
        <is>
          <t>Xác nhận</t>
        </is>
      </c>
      <c r="C1378" s="3" t="inlineStr">
        <is>
          <t>Confirm</t>
        </is>
      </c>
      <c r="D1378" s="3">
        <f>IFERROR(__xludf.DUMMYFUNCTION("GOOGLETRANSLATE(B1378,""vi"",""km"")"),"បញ្ជាក់")</f>
        <v/>
      </c>
      <c r="E1378" s="3" t="inlineStr">
        <is>
          <t>បញ្ជាក់</t>
        </is>
      </c>
      <c r="F1378" s="3" t="n"/>
      <c r="G1378" s="3" t="inlineStr">
        <is>
          <t>បញ្ជាក់</t>
        </is>
      </c>
      <c r="H1378" t="inlineStr">
        <is>
          <t>បញ្ជាក់</t>
        </is>
      </c>
      <c r="I1378" s="217" t="inlineStr">
        <is>
          <t>"banGiao.confirm": "បញ្ជាក់",</t>
        </is>
      </c>
      <c r="N1378" s="3" t="inlineStr">
        <is>
          <t>បញ្ជាក់</t>
        </is>
      </c>
    </row>
    <row r="1379" ht="15.75" customHeight="1" s="305">
      <c r="A1379" s="3" t="inlineStr">
        <is>
          <t>GiaoHang.confirm</t>
        </is>
      </c>
      <c r="B1379" s="3" t="inlineStr">
        <is>
          <t>Xác nhận</t>
        </is>
      </c>
      <c r="C1379" s="3" t="inlineStr">
        <is>
          <t>Confirm</t>
        </is>
      </c>
      <c r="D1379" s="3">
        <f>IFERROR(__xludf.DUMMYFUNCTION("GOOGLETRANSLATE(B1379,""vi"",""km"")"),"បញ្ជាក់")</f>
        <v/>
      </c>
      <c r="E1379" s="3" t="inlineStr">
        <is>
          <t>បញ្ជាក់</t>
        </is>
      </c>
      <c r="F1379" s="3" t="n"/>
      <c r="G1379" s="3" t="inlineStr">
        <is>
          <t>បញ្ជាក់</t>
        </is>
      </c>
      <c r="H1379" t="inlineStr">
        <is>
          <t>បញ្ជាក់</t>
        </is>
      </c>
      <c r="I1379" s="217" t="inlineStr">
        <is>
          <t>"GiaoHang.confirm": "បញ្ជាក់",</t>
        </is>
      </c>
      <c r="N1379" s="3" t="inlineStr">
        <is>
          <t>បញ្ចាក់</t>
        </is>
      </c>
    </row>
    <row r="1380" ht="15.75" customHeight="1" s="305">
      <c r="A1380" s="3" t="inlineStr">
        <is>
          <t>taoDon.confirm</t>
        </is>
      </c>
      <c r="B1380" s="3" t="inlineStr">
        <is>
          <t>Xác nhận</t>
        </is>
      </c>
      <c r="C1380" s="3" t="inlineStr">
        <is>
          <t>Confirm</t>
        </is>
      </c>
      <c r="D1380" s="3">
        <f>IFERROR(__xludf.DUMMYFUNCTION("GOOGLETRANSLATE(B1380,""vi"",""km"")"),"បញ្ជាក់")</f>
        <v/>
      </c>
      <c r="E1380" s="3" t="inlineStr">
        <is>
          <t>បញ្ជាក់</t>
        </is>
      </c>
      <c r="F1380" s="3" t="n"/>
      <c r="G1380" s="3" t="inlineStr">
        <is>
          <t>បញ្ជាក់</t>
        </is>
      </c>
      <c r="H1380" t="inlineStr">
        <is>
          <t>បញ្ជាក់</t>
        </is>
      </c>
      <c r="I1380" s="217" t="inlineStr">
        <is>
          <t>"taoDon.confirm": "បញ្ជាក់",</t>
        </is>
      </c>
      <c r="N1380" s="3" t="inlineStr">
        <is>
          <t>បញ្ជាក់</t>
        </is>
      </c>
    </row>
    <row r="1381" ht="15.75" customHeight="1" s="305">
      <c r="A1381" s="3" t="inlineStr">
        <is>
          <t>tms.confirm</t>
        </is>
      </c>
      <c r="B1381" s="3" t="inlineStr">
        <is>
          <t>Xác nhận</t>
        </is>
      </c>
      <c r="C1381" s="3" t="inlineStr">
        <is>
          <t>Confirm</t>
        </is>
      </c>
      <c r="D1381" s="3">
        <f>IFERROR(__xludf.DUMMYFUNCTION("GOOGLETRANSLATE(B1381,""vi"",""km"")"),"បញ្ជាក់")</f>
        <v/>
      </c>
      <c r="E1381" s="3" t="inlineStr">
        <is>
          <t>បញ្ជាក់</t>
        </is>
      </c>
      <c r="F1381" s="3" t="n"/>
      <c r="G1381" s="3" t="inlineStr">
        <is>
          <t>បញ្ជាក់</t>
        </is>
      </c>
      <c r="H1381" t="inlineStr">
        <is>
          <t>បញ្ជាក់</t>
        </is>
      </c>
      <c r="I1381" s="217" t="inlineStr">
        <is>
          <t>"tms.confirm": "បញ្ជាក់",</t>
        </is>
      </c>
      <c r="N1381" s="3" t="inlineStr"/>
    </row>
    <row r="1382" ht="15.75" customHeight="1" s="305">
      <c r="A1382" s="3" t="inlineStr">
        <is>
          <t>tms.confirmTripSuccess</t>
        </is>
      </c>
      <c r="B1382" s="3" t="inlineStr">
        <is>
          <t>Xác nhận chuyến thành công</t>
        </is>
      </c>
      <c r="C1382" s="3" t="inlineStr">
        <is>
          <t>Trip confirmed successfully</t>
        </is>
      </c>
      <c r="D1382" s="3">
        <f>IFERROR(__xludf.DUMMYFUNCTION("GOOGLETRANSLATE(B1382,""vi"",""km"")"),"ការហោះហើរត្រូវបានបញ្ជាក់ថាទទួលបានជោគជ័យ")</f>
        <v/>
      </c>
      <c r="E1382" s="3" t="inlineStr">
        <is>
          <t>បញ្ជាក់ជើងដឹកបានជោគជ័យ</t>
        </is>
      </c>
      <c r="F1382" s="3" t="n"/>
      <c r="G1382" s="3" t="inlineStr">
        <is>
          <t>បញ្ជាក់ជើងដឹកបានជោគជ័យ</t>
        </is>
      </c>
      <c r="H1382" t="inlineStr">
        <is>
          <t>បញ្ជាក់ជើងដឹកបានជោគជ័យ</t>
        </is>
      </c>
      <c r="I1382" s="217" t="inlineStr">
        <is>
          <t>"tms.confirmTripSuccess": "បញ្ជាក់ជើងដឹកបានជោគជ័យ",</t>
        </is>
      </c>
      <c r="N1382" s="3" t="inlineStr"/>
    </row>
    <row r="1383" ht="15.75" customHeight="1" s="305">
      <c r="A1383" s="3" t="inlineStr">
        <is>
          <t>mainStatus.304</t>
        </is>
      </c>
      <c r="B1383" s="3" t="inlineStr">
        <is>
          <t>Xác nhận đến đơn vị (checkin)</t>
        </is>
      </c>
      <c r="C1383" s="3" t="inlineStr">
        <is>
          <t>Confirm arrival at unit</t>
        </is>
      </c>
      <c r="D1383" s="3">
        <f>IFERROR(__xludf.DUMMYFUNCTION("GOOGLETRANSLATE(B1383,""vi"",""km"")"),"ការបញ្ជាក់ពីការមកដល់អង្គភាព (ការចុះឈ្មោះចូល)")</f>
        <v/>
      </c>
      <c r="E1383" s="3" t="inlineStr">
        <is>
          <t>បញ្ជាក់ទៅដល់អង្គភាព</t>
        </is>
      </c>
      <c r="F1383" s="3" t="n"/>
      <c r="G1383" s="3" t="inlineStr">
        <is>
          <t>បញ្ជាក់ទៅដល់អង្គភាព</t>
        </is>
      </c>
      <c r="H1383" t="inlineStr">
        <is>
          <t>បញ្ជាក់ទៅដល់អង្គភាព</t>
        </is>
      </c>
      <c r="I1383" s="217" t="inlineStr">
        <is>
          <t>"mainStatus.304": "បញ្ជាក់ទៅដល់អង្គភាព",</t>
        </is>
      </c>
      <c r="N1383" s="163" t="inlineStr">
        <is>
          <t>បញ្ជាក់ការមកដល់នៅអង្គភាព</t>
        </is>
      </c>
    </row>
    <row r="1384" ht="15.75" customHeight="1" s="305">
      <c r="A1384" s="3" t="inlineStr">
        <is>
          <t>GiaoHang.titleTabConfirmDelivery</t>
        </is>
      </c>
      <c r="B1384" s="3" t="inlineStr">
        <is>
          <t>Xác nhận giao</t>
        </is>
      </c>
      <c r="C1384" s="3" t="inlineStr">
        <is>
          <t>Delivery confirmation</t>
        </is>
      </c>
      <c r="D1384" s="3">
        <f>IFERROR(__xludf.DUMMYFUNCTION("GOOGLETRANSLATE(B1384,""vi"",""km"")"),"បញ្ជាក់ការដឹកជញ្ជូន")</f>
        <v/>
      </c>
      <c r="E1384" s="3" t="inlineStr">
        <is>
          <t>បញ្ជាក់ការប្រគល់</t>
        </is>
      </c>
      <c r="F1384" s="3" t="n"/>
      <c r="G1384" s="3" t="inlineStr">
        <is>
          <t>បញ្ជាក់ការប្រគល់</t>
        </is>
      </c>
      <c r="H1384" t="inlineStr">
        <is>
          <t>បញ្ជាក់ការប្រគល់</t>
        </is>
      </c>
      <c r="I1384" s="217" t="inlineStr">
        <is>
          <t>"GiaoHang.titleTabConfirmDelivery": "បញ្ជាក់ការប្រគល់",</t>
        </is>
      </c>
      <c r="N1384" s="3" t="inlineStr">
        <is>
          <t>បញ្ចាក់ការប្រគល់</t>
        </is>
      </c>
    </row>
    <row r="1385" ht="15.75" customHeight="1" s="305">
      <c r="A1385" s="3" t="inlineStr">
        <is>
          <t>PhanCong.titleConfirmBill</t>
        </is>
      </c>
      <c r="B1385" s="3" t="inlineStr">
        <is>
          <t>Xác nhận mã phiếu gửi</t>
        </is>
      </c>
      <c r="C1385" s="3" t="inlineStr">
        <is>
          <t>Postal slip code confirmation</t>
        </is>
      </c>
      <c r="D1385" s="3">
        <f>IFERROR(__xludf.DUMMYFUNCTION("GOOGLETRANSLATE(B1385,""vi"",""km"")"),"បញ្ជាក់លេខកូដប័ណ្ណដឹកជញ្ជូន។")</f>
        <v/>
      </c>
      <c r="E1385" s="3" t="inlineStr">
        <is>
          <t>បញ្ជាក់កូដបុងបញ្ញើ</t>
        </is>
      </c>
      <c r="F1385" s="3" t="n"/>
      <c r="G1385" s="3" t="inlineStr">
        <is>
          <t>បញ្ជាក់កូដបុងបញ្ញើ</t>
        </is>
      </c>
      <c r="H1385" t="inlineStr">
        <is>
          <t>បញ្ជាក់កូដបុងបញ្ញើ</t>
        </is>
      </c>
      <c r="I1385" s="217" t="inlineStr">
        <is>
          <t>"PhanCong.titleConfirmBill": "បញ្ជាក់កូដបុងបញ្ញើ",</t>
        </is>
      </c>
      <c r="N1385" s="3" t="inlineStr">
        <is>
          <t>បញ្ជាក់លេខបញ្ជី</t>
        </is>
      </c>
    </row>
    <row r="1386" ht="15.75" customHeight="1" s="305">
      <c r="A1386" s="3" t="inlineStr">
        <is>
          <t>forgotPassword.rePassword</t>
        </is>
      </c>
      <c r="B1386" s="3" t="inlineStr">
        <is>
          <t>Xác nhận mật khẩu</t>
        </is>
      </c>
      <c r="C1386" s="3" t="inlineStr">
        <is>
          <t>Password confirmation</t>
        </is>
      </c>
      <c r="D1386" s="3">
        <f>IFERROR(__xludf.DUMMYFUNCTION("GOOGLETRANSLATE(B1386,""vi"",""km"")"),"បញ្ជាក់ពាក្យសម្ងាត់")</f>
        <v/>
      </c>
      <c r="E1386" s="3" t="inlineStr">
        <is>
          <t>បញ្ជាក់លេខកូូដសម្ងាត់</t>
        </is>
      </c>
      <c r="F1386" s="3" t="n"/>
      <c r="G1386" s="3" t="inlineStr">
        <is>
          <t>បញ្ជាក់លេខកូូដសម្ងាត់</t>
        </is>
      </c>
      <c r="H1386" t="inlineStr">
        <is>
          <t>បញ្ជាក់លេខកូូដសម្ងាត់</t>
        </is>
      </c>
      <c r="I1386" s="217" t="inlineStr">
        <is>
          <t>"forgotPassword.rePassword": "បញ្ជាក់លេខកូូដសម្ងាត់",</t>
        </is>
      </c>
      <c r="N1386" s="3" t="inlineStr">
        <is>
          <t>បញ្ចូលពាក្យសម្ងាត់ម្តងទៀត</t>
        </is>
      </c>
    </row>
    <row r="1387" ht="15.75" customHeight="1" s="305">
      <c r="A1387" s="3" t="inlineStr">
        <is>
          <t>change_password.confirm_password</t>
        </is>
      </c>
      <c r="B1387" s="3" t="inlineStr">
        <is>
          <t>Xác nhận mật khẩu</t>
        </is>
      </c>
      <c r="C1387" s="3" t="inlineStr">
        <is>
          <t>Confirm password</t>
        </is>
      </c>
      <c r="D1387" s="3">
        <f>IFERROR(__xludf.DUMMYFUNCTION("GOOGLETRANSLATE(B1387,""vi"",""km"")"),"បញ្ជាក់ពាក្យសម្ងាត់")</f>
        <v/>
      </c>
      <c r="E1387" s="3" t="inlineStr">
        <is>
          <t>បញ្ជាក់លេខកូូដសម្ងាត់</t>
        </is>
      </c>
      <c r="F1387" s="3" t="n"/>
      <c r="G1387" s="3" t="inlineStr">
        <is>
          <t>បញ្ជាក់លេខកូូដសម្ងាត់</t>
        </is>
      </c>
      <c r="H1387" t="inlineStr">
        <is>
          <t>បញ្ជាក់លេខកូូដសម្ងាត់</t>
        </is>
      </c>
      <c r="I1387" s="217" t="inlineStr">
        <is>
          <t>"change_password.confirm_password": "បញ្ជាក់លេខកូូដសម្ងាត់",</t>
        </is>
      </c>
      <c r="N1387" s="3" t="inlineStr">
        <is>
          <t>បញ្ជាក់ពាក្យសម្ងាត់</t>
        </is>
      </c>
    </row>
    <row r="1388" ht="15.75" customHeight="1" s="305">
      <c r="A1388" s="3" t="inlineStr">
        <is>
          <t>change_password.password_not_match</t>
        </is>
      </c>
      <c r="B1388" s="3" t="inlineStr">
        <is>
          <t>Xác nhận mật khẩu không chính xác</t>
        </is>
      </c>
      <c r="C1388" s="3" t="inlineStr">
        <is>
          <t>Password confirmation does not match</t>
        </is>
      </c>
      <c r="D1388" s="3">
        <f>IFERROR(__xludf.DUMMYFUNCTION("GOOGLETRANSLATE(B1388,""vi"",""km"")"),"ការបញ្ជាក់ពាក្យសម្ងាត់មិនត្រឹមត្រូវ។")</f>
        <v/>
      </c>
      <c r="E1388" s="3" t="inlineStr">
        <is>
          <t>បញ្ជាក់ពាក្យសម្ងាត់មិនត្រឹមត្រូវ</t>
        </is>
      </c>
      <c r="F1388" s="3" t="n"/>
      <c r="G1388" s="3" t="inlineStr">
        <is>
          <t>បញ្ជាក់ពាក្យសម្ងាត់មិនត្រឹមត្រូវ</t>
        </is>
      </c>
      <c r="H1388" t="inlineStr">
        <is>
          <t>បញ្ជាក់ពាក្យសម្ងាត់មិនត្រឹមត្រូវ</t>
        </is>
      </c>
      <c r="I1388" s="217" t="inlineStr">
        <is>
          <t>"change_password.password_not_match": "បញ្ជាក់ពាក្យសម្ងាត់មិនត្រឹមត្រូវ",</t>
        </is>
      </c>
      <c r="N1388" s="3" t="inlineStr">
        <is>
          <t>ការបញ្ជាក់ពាក្យសម្ងាត់មិនត្រូវគ្នា</t>
        </is>
      </c>
    </row>
    <row r="1389" ht="15.75" customHeight="1" s="305">
      <c r="A1389" s="3" t="inlineStr">
        <is>
          <t>setting.rulePassword11</t>
        </is>
      </c>
      <c r="B1389" s="3" t="inlineStr">
        <is>
          <t>Xác nhận mật khẩu không chính xác!</t>
        </is>
      </c>
      <c r="C1389" s="3" t="inlineStr">
        <is>
          <t>Password confirmation incorrect</t>
        </is>
      </c>
      <c r="D1389" s="3">
        <f>IFERROR(__xludf.DUMMYFUNCTION("GOOGLETRANSLATE(B1389,""vi"",""km"")"),"ការបញ្ជាក់ពាក្យសម្ងាត់មិនត្រឹមត្រូវ!")</f>
        <v/>
      </c>
      <c r="E1389" s="3" t="inlineStr">
        <is>
          <t>បញ្ជាក់ពាក្យសម្ងាត់មិនត្រឹមត្រូវ!</t>
        </is>
      </c>
      <c r="F1389" s="3" t="n"/>
      <c r="G1389" s="3" t="inlineStr">
        <is>
          <t>បញ្ជាក់ពាក្យសម្ងាត់មិនត្រឹមត្រូវ!</t>
        </is>
      </c>
      <c r="H1389" t="inlineStr">
        <is>
          <t>បញ្ជាក់ពាក្យសម្ងាត់មិនត្រឹមត្រូវ!</t>
        </is>
      </c>
      <c r="I1389" s="217" t="inlineStr">
        <is>
          <t>"setting.rulePassword11": "បញ្ជាក់ពាក្យសម្ងាត់មិនត្រឹមត្រូវ!",</t>
        </is>
      </c>
      <c r="N1389" s="3" t="inlineStr">
        <is>
          <t>Confirm password is incorrect!</t>
        </is>
      </c>
    </row>
    <row r="1390" ht="15.75" customHeight="1" s="305">
      <c r="A1390" s="3" t="inlineStr">
        <is>
          <t>change_password.confirm_password_not_blank</t>
        </is>
      </c>
      <c r="B1390" s="3" t="inlineStr">
        <is>
          <t>Xác nhận mật khẩu không được để trống</t>
        </is>
      </c>
      <c r="C1390" s="3" t="inlineStr">
        <is>
          <t>Password confirmation cannot be empty</t>
        </is>
      </c>
      <c r="D1390" s="3">
        <f>IFERROR(__xludf.DUMMYFUNCTION("GOOGLETRANSLATE(B1390,""vi"",""km"")"),"វាលបញ្ជាក់ពាក្យសម្ងាត់មិនអាចទុកចោលទទេបានទេ។")</f>
        <v/>
      </c>
      <c r="E1390" s="3" t="inlineStr">
        <is>
          <t>បញ្ជាក់ពាក្យសម្ងាត់មិនអាចទុកចន្លោះបានទេ</t>
        </is>
      </c>
      <c r="F1390" s="3" t="n"/>
      <c r="G1390" s="3" t="inlineStr">
        <is>
          <t>បញ្ជាក់ពាក្យសម្ងាត់មិនអាចទុកចន្លោះបានទេ</t>
        </is>
      </c>
      <c r="H1390" t="inlineStr">
        <is>
          <t>បញ្ជាក់ពាក្យសម្ងាត់មិនអាចទុកចន្លោះបានទេ</t>
        </is>
      </c>
      <c r="I1390" s="217" t="inlineStr">
        <is>
          <t>"change_password.confirm_password_not_blank": "បញ្ជាក់ពាក្យសម្ងាត់មិនអាចទុកចន្លោះបានទេ",</t>
        </is>
      </c>
      <c r="N1390" s="3" t="inlineStr">
        <is>
          <t>ការបញ្ជាក់ពាក្យសម្ងាត់មិនអាចទទេ</t>
        </is>
      </c>
    </row>
    <row r="1391" ht="15.75" customHeight="1" s="305">
      <c r="A1391" s="3" t="inlineStr">
        <is>
          <t>mainStatus.402</t>
        </is>
      </c>
      <c r="B1391" s="3" t="inlineStr">
        <is>
          <t>Xác nhận phân công</t>
        </is>
      </c>
      <c r="C1391" s="3" t="inlineStr">
        <is>
          <t>Assignment confirmation</t>
        </is>
      </c>
      <c r="D1391" s="3">
        <f>IFERROR(__xludf.DUMMYFUNCTION("GOOGLETRANSLATE(B1391,""vi"",""km"")"),"បញ្ជាក់​ការចាត់តាំង")</f>
        <v/>
      </c>
      <c r="E1391" s="3" t="inlineStr">
        <is>
          <t>បញ្ជាក់ការប្រគល់ការងារ</t>
        </is>
      </c>
      <c r="F1391" s="3" t="n"/>
      <c r="G1391" s="3" t="inlineStr">
        <is>
          <t>បញ្ជាក់ការចាត់តាំងការងារ</t>
        </is>
      </c>
      <c r="H1391" t="inlineStr">
        <is>
          <t>បញ្ជាក់ការចាត់តាំងការងារ</t>
        </is>
      </c>
      <c r="I1391" s="217" t="inlineStr">
        <is>
          <t>"mainStatus.402": "បញ្ជាក់ការចាត់តាំងការងារ",</t>
        </is>
      </c>
      <c r="N1391" s="163" t="inlineStr">
        <is>
          <t>ការបញ្ជាក់ការងារ</t>
        </is>
      </c>
    </row>
    <row r="1392" ht="15.75" customHeight="1" s="305">
      <c r="A1392" s="3" t="inlineStr">
        <is>
          <t>GiaoHang.titleConfirmAssign</t>
        </is>
      </c>
      <c r="B1392" s="3" t="inlineStr">
        <is>
          <t>Xác nhận phân công</t>
        </is>
      </c>
      <c r="C1392" s="3" t="inlineStr">
        <is>
          <t>Assignment confirmation</t>
        </is>
      </c>
      <c r="D1392" s="3">
        <f>IFERROR(__xludf.DUMMYFUNCTION("GOOGLETRANSLATE(B1392,""vi"",""km"")"),"បញ្ជាក់​ការចាត់តាំង")</f>
        <v/>
      </c>
      <c r="E1392" s="3" t="inlineStr">
        <is>
          <t>បញ្ជាក់ការប្រគល់ការងារ</t>
        </is>
      </c>
      <c r="F1392" s="3" t="n"/>
      <c r="G1392" s="3" t="inlineStr">
        <is>
          <t>បញ្ជាក់ការចាត់តាំងការងារ</t>
        </is>
      </c>
      <c r="H1392" t="inlineStr">
        <is>
          <t>បញ្ជាក់ការចាត់តាំងការងារ</t>
        </is>
      </c>
      <c r="I1392" s="217" t="inlineStr">
        <is>
          <t>"GiaoHang.titleConfirmAssign": "បញ្ជាក់ការចាត់តាំងការងារ",</t>
        </is>
      </c>
      <c r="N1392" s="3" t="inlineStr">
        <is>
          <t>បញ្ចាក់ការបែងចែកការងារ</t>
        </is>
      </c>
    </row>
    <row r="1393" ht="15.75" customHeight="1" s="305">
      <c r="A1393" s="3" t="inlineStr">
        <is>
          <t>mainStatus.512</t>
        </is>
      </c>
      <c r="B1393" s="3" t="inlineStr">
        <is>
          <t>Xác nhận phân công hoàn</t>
        </is>
      </c>
      <c r="C1393" s="3" t="inlineStr">
        <is>
          <t>Return assignment confirmation</t>
        </is>
      </c>
      <c r="D1393" s="3">
        <f>IFERROR(__xludf.DUMMYFUNCTION("GOOGLETRANSLATE(B1393,""vi"",""km"")"),"បញ្ជាក់ថាកិច្ចការបានបញ្ចប់")</f>
        <v/>
      </c>
      <c r="E1393" s="3" t="inlineStr">
        <is>
          <t>បញ្ជាក់ការប្រគល់ការងារត្រលប់</t>
        </is>
      </c>
      <c r="F1393" s="3" t="n"/>
      <c r="G1393" s="3" t="inlineStr">
        <is>
          <t>បញ្ជាក់ការចាត់តាំងប្រគល់ត្រឡប់</t>
        </is>
      </c>
      <c r="H1393" t="inlineStr">
        <is>
          <t>បញ្ជាក់ការចាត់តាំងប្រគល់ត្រឡប់</t>
        </is>
      </c>
      <c r="I1393" s="217" t="inlineStr">
        <is>
          <t>"mainStatus.512": "បញ្ជាក់ការចាត់តាំងប្រគល់ត្រឡប់",</t>
        </is>
      </c>
      <c r="N1393" s="163" t="inlineStr">
        <is>
          <t>ត្រឡប់ការបញ្ជាក់ការងារ</t>
        </is>
      </c>
    </row>
    <row r="1394" ht="15.75" customHeight="1" s="305">
      <c r="A1394" s="3" t="inlineStr">
        <is>
          <t>taoKien.messageConfirmPhieuGuiKienThanhCong</t>
        </is>
      </c>
      <c r="B1394" s="3" t="inlineStr">
        <is>
          <t>Xác nhận phiếu gửi {{code_kien}} thành công!</t>
        </is>
      </c>
      <c r="C1394" s="143" t="inlineStr">
        <is>
          <t>Shipment {{code_kien}} confirmed successful!</t>
        </is>
      </c>
      <c r="D1394" s="3">
        <f>IFERROR(__xludf.DUMMYFUNCTION("GOOGLETRANSLATE(B1394,""vi"",""km"")"),"ការបញ្ជាក់ថាការដាក់ស្នើរបស់ {{code_kien}} បានជោគជ័យ!")</f>
        <v/>
      </c>
      <c r="E1394" s="3" t="inlineStr">
        <is>
          <t>បញ្ជាក់បុងបញ្ញើ {{code_kien}} បានជោគជ័យ!</t>
        </is>
      </c>
      <c r="F1394" s="3" t="n"/>
      <c r="G1394" s="3" t="inlineStr">
        <is>
          <t>បញ្ជាក់បុងបញ្ញើ {{code_kien}} បានជោគជ័យ!</t>
        </is>
      </c>
      <c r="H1394" t="inlineStr">
        <is>
          <t>បញ្ជាក់បុងបញ្ញើ {{code_kien}} បានជោគជ័យ!</t>
        </is>
      </c>
      <c r="I1394" s="217" t="inlineStr">
        <is>
          <t>"taoKien.messageConfirmPhieuGuiKienThanhCong": "បញ្ជាក់បុងបញ្ញើ {{code_kien}} បានជោគជ័យ!",</t>
        </is>
      </c>
      <c r="N1394" s="3" t="inlineStr"/>
    </row>
    <row r="1395" ht="15.75" customHeight="1" s="305">
      <c r="A1395" s="3" t="inlineStr">
        <is>
          <t>mainStatus.308</t>
        </is>
      </c>
      <c r="B1395" s="3" t="inlineStr">
        <is>
          <t>Xác nhận rời đơn vị (checkout)</t>
        </is>
      </c>
      <c r="C1395" s="3" t="inlineStr">
        <is>
          <t>Confirm departure from unit</t>
        </is>
      </c>
      <c r="D1395" s="3">
        <f>IFERROR(__xludf.DUMMYFUNCTION("GOOGLETRANSLATE(B1395,""vi"",""km"")"),"ការបញ្ជាក់ពីការចាកចេញពីអង្គភាព (ទូទាត់ប្រាក់)")</f>
        <v/>
      </c>
      <c r="E1395" s="3" t="inlineStr">
        <is>
          <t>បញ្ជាក់ការចាកចេញពីអង្គភាព  (checkout)</t>
        </is>
      </c>
      <c r="F1395" s="3" t="n"/>
      <c r="G1395" s="3" t="inlineStr">
        <is>
          <t>បញ្ជាក់ការចាកចេញពីអង្គភាព (checkout)</t>
        </is>
      </c>
      <c r="H1395" t="inlineStr">
        <is>
          <t>បញ្ជាក់ការចាកចេញពីអង្គភាព (checkout)</t>
        </is>
      </c>
      <c r="I1395" s="217" t="inlineStr">
        <is>
          <t>"mainStatus.308": "បញ្ជាក់ការចាកចេញពីអង្គភាព (checkout)",</t>
        </is>
      </c>
      <c r="N1395" s="163" t="inlineStr">
        <is>
          <t>បញ្ជាក់ការចាកចេញពីអង្គភាព</t>
        </is>
      </c>
    </row>
    <row r="1396" ht="15.75" customHeight="1" s="305">
      <c r="A1396" s="3" t="inlineStr">
        <is>
          <t>suaDon.confirmChange</t>
        </is>
      </c>
      <c r="B1396" s="3" t="inlineStr">
        <is>
          <t>Xác nhận thay đổi</t>
        </is>
      </c>
      <c r="C1396" s="3" t="inlineStr">
        <is>
          <t>Change confirmation</t>
        </is>
      </c>
      <c r="D1396" s="3">
        <f>IFERROR(__xludf.DUMMYFUNCTION("GOOGLETRANSLATE(B1396,""vi"",""km"")"),"បញ្ជាក់ការផ្លាស់ប្តូរ")</f>
        <v/>
      </c>
      <c r="E1396" s="3" t="inlineStr">
        <is>
          <t>បញ្ជាក់ការផ្លាស់ប្តូរ</t>
        </is>
      </c>
      <c r="F1396" s="3" t="n"/>
      <c r="G1396" s="3" t="inlineStr">
        <is>
          <t>បញ្ជាក់ការផ្លាស់ប្តូរ</t>
        </is>
      </c>
      <c r="H1396" t="inlineStr">
        <is>
          <t>បញ្ជាក់ការផ្លាស់ប្តូរ</t>
        </is>
      </c>
      <c r="I1396" s="217" t="inlineStr">
        <is>
          <t>"suaDon.confirmChange": "បញ្ជាក់ការផ្លាស់ប្តូរ",</t>
        </is>
      </c>
      <c r="N1396" s="3" t="inlineStr">
        <is>
          <t>បញ្ចាក់ការផ្លាស់ប្តូរ</t>
        </is>
      </c>
    </row>
    <row r="1397" ht="15.75" customHeight="1" s="305">
      <c r="A1397" s="3" t="inlineStr">
        <is>
          <t>register.create</t>
        </is>
      </c>
      <c r="B1397" s="3" t="inlineStr">
        <is>
          <t>Xác nhận thông tin</t>
        </is>
      </c>
      <c r="C1397" s="3" t="inlineStr">
        <is>
          <t>Confirm</t>
        </is>
      </c>
      <c r="D1397" s="3">
        <f>IFERROR(__xludf.DUMMYFUNCTION("GOOGLETRANSLATE(B1397,""vi"",""km"")"),"បញ្ជាក់ព័ត៌មាន។")</f>
        <v/>
      </c>
      <c r="E1397" s="3" t="inlineStr">
        <is>
          <t>បញ្ជាក់ព័ត៌មាន</t>
        </is>
      </c>
      <c r="F1397" s="3" t="n"/>
      <c r="G1397" s="3" t="inlineStr">
        <is>
          <t>បញ្ជាក់ព័ត៌មាន</t>
        </is>
      </c>
      <c r="H1397" t="inlineStr">
        <is>
          <t>បញ្ជាក់ព័ត៌មាន</t>
        </is>
      </c>
      <c r="I1397" s="217" t="inlineStr">
        <is>
          <t>"register.create": "បញ្ជាក់ព័ត៌មាន",</t>
        </is>
      </c>
      <c r="N1397" s="3" t="inlineStr">
        <is>
          <t>បញ្ចាក់</t>
        </is>
      </c>
    </row>
    <row r="1398" ht="15.75" customHeight="1" s="305">
      <c r="A1398" s="3" t="inlineStr">
        <is>
          <t>nhanHang.xacnhanthucuoc</t>
        </is>
      </c>
      <c r="B1398" s="3" t="inlineStr">
        <is>
          <t>Xác nhận thu cước</t>
        </is>
      </c>
      <c r="C1398" s="3" t="inlineStr">
        <is>
          <t>Confirmation of payment</t>
        </is>
      </c>
      <c r="D1398" s="3">
        <f>IFERROR(__xludf.DUMMYFUNCTION("GOOGLETRANSLATE(B1398,""vi"",""km"")"),"ការបញ្ជាក់ពីការទូទាត់")</f>
        <v/>
      </c>
      <c r="E1398" s="3" t="inlineStr">
        <is>
          <t>បញ្ជាក់ការបង់ថ្លៃសេវា</t>
        </is>
      </c>
      <c r="F1398" s="3" t="n"/>
      <c r="G1398" s="3" t="inlineStr">
        <is>
          <t>បញ្ជាក់ការបង់ថ្លៃសេវា</t>
        </is>
      </c>
      <c r="H1398" t="inlineStr">
        <is>
          <t>បញ្ជាក់ការបង់ថ្លៃសេវា</t>
        </is>
      </c>
      <c r="I1398" s="217" t="inlineStr">
        <is>
          <t>"nhanHang.xacnhanthucuoc": "បញ្ជាក់ការបង់ថ្លៃសេវា",</t>
        </is>
      </c>
      <c r="N1398" s="3" t="inlineStr"/>
    </row>
    <row r="1399" ht="15.75" customHeight="1" s="305">
      <c r="A1399" s="3" t="inlineStr">
        <is>
          <t>nhanHang.xacnhanthutienmat</t>
        </is>
      </c>
      <c r="B1399" s="3" t="inlineStr">
        <is>
          <t>Xác nhận thu tiền mặt</t>
        </is>
      </c>
      <c r="C1399" s="3" t="inlineStr">
        <is>
          <t>Confirmation of cash collection</t>
        </is>
      </c>
      <c r="D1399" s="3">
        <f>IFERROR(__xludf.DUMMYFUNCTION("GOOGLETRANSLATE(B1399,""vi"",""km"")"),"បញ្ជាក់ការទូទាត់ជាសាច់ប្រាក់")</f>
        <v/>
      </c>
      <c r="E1399" s="3" t="inlineStr">
        <is>
          <t>បញ្ជាក់ការទូទាត់ជាសាច់ប្រាក់</t>
        </is>
      </c>
      <c r="F1399" s="3" t="n"/>
      <c r="G1399" s="3" t="inlineStr">
        <is>
          <t>បញ្ជាក់ការទូទាត់ជាសាច់ប្រាក់</t>
        </is>
      </c>
      <c r="H1399" t="inlineStr">
        <is>
          <t>បញ្ជាក់ការទូទាត់ជាសាច់ប្រាក់</t>
        </is>
      </c>
      <c r="I1399" s="217" t="inlineStr">
        <is>
          <t>"nhanHang.xacnhanthutienmat": "បញ្ជាក់ការទូទាត់ជាសាច់ប្រាក់",</t>
        </is>
      </c>
      <c r="N1399" s="3" t="inlineStr"/>
    </row>
    <row r="1400" ht="15.75" customHeight="1" s="305">
      <c r="A1400" s="3" t="inlineStr">
        <is>
          <t>DongTai.titleConfirmWeight</t>
        </is>
      </c>
      <c r="B1400" s="3" t="inlineStr">
        <is>
          <t>Xác nhận trọng lượng</t>
        </is>
      </c>
      <c r="C1400" s="3" t="inlineStr">
        <is>
          <t>Weight confirmation</t>
        </is>
      </c>
      <c r="D1400" s="3">
        <f>IFERROR(__xludf.DUMMYFUNCTION("GOOGLETRANSLATE(B1400,""vi"",""km"")"),"បញ្ជាក់ទម្ងន់")</f>
        <v/>
      </c>
      <c r="E1400" s="3" t="inlineStr">
        <is>
          <t>បញ្ជាក់ទម្ងន់</t>
        </is>
      </c>
      <c r="F1400" s="3" t="n"/>
      <c r="G1400" s="3" t="inlineStr">
        <is>
          <t>បញ្ជាក់ទម្ងន់</t>
        </is>
      </c>
      <c r="H1400" t="inlineStr">
        <is>
          <t>បញ្ជាក់ទម្ងន់</t>
        </is>
      </c>
      <c r="I1400" s="217" t="inlineStr">
        <is>
          <t>"DongTai.titleConfirmWeight": "បញ្ជាក់ទម្ងន់",</t>
        </is>
      </c>
      <c r="N1400" s="3" t="inlineStr">
        <is>
          <t>បញ្ជាក់ទម្ងន់</t>
        </is>
      </c>
    </row>
    <row r="1401" ht="15.75" customHeight="1" s="305">
      <c r="A1401" s="3" t="inlineStr">
        <is>
          <t>tongGiao.xemAnh</t>
        </is>
      </c>
      <c r="B1401" s="3" t="inlineStr">
        <is>
          <t>Xem ảnh</t>
        </is>
      </c>
      <c r="C1401" s="3" t="inlineStr">
        <is>
          <t>See photo</t>
        </is>
      </c>
      <c r="D1401" s="3">
        <f>IFERROR(__xludf.DUMMYFUNCTION("GOOGLETRANSLATE(B1401,""vi"",""km"")"),"មើលរូបថត")</f>
        <v/>
      </c>
      <c r="E1401" s="3" t="inlineStr">
        <is>
          <t>មើលរូប</t>
        </is>
      </c>
      <c r="F1401" s="3" t="n"/>
      <c r="G1401" s="3" t="inlineStr">
        <is>
          <t>មើលរូប</t>
        </is>
      </c>
      <c r="H1401" t="inlineStr">
        <is>
          <t>មើលរូប</t>
        </is>
      </c>
      <c r="I1401" s="217" t="inlineStr">
        <is>
          <t>"tongGiao.xemAnh": "មើលរូប",</t>
        </is>
      </c>
      <c r="N1401" s="3" t="inlineStr">
        <is>
          <t>មើលរូបភាព</t>
        </is>
      </c>
    </row>
    <row r="1402" ht="15.75" customHeight="1" s="305">
      <c r="A1402" s="3" t="inlineStr">
        <is>
          <t>nhanHang.seeDetail</t>
        </is>
      </c>
      <c r="B1402" s="3" t="inlineStr">
        <is>
          <t>Xem chi tiết</t>
        </is>
      </c>
      <c r="C1402" s="3" t="inlineStr">
        <is>
          <t>Details</t>
        </is>
      </c>
      <c r="D1402" s="3">
        <f>IFERROR(__xludf.DUMMYFUNCTION("GOOGLETRANSLATE(B1402,""vi"",""km"")"),"មើលព័ត៌មានលម្អិត")</f>
        <v/>
      </c>
      <c r="E1402" s="3" t="inlineStr">
        <is>
          <t>មើលព័ត៌មានលម្អិត</t>
        </is>
      </c>
      <c r="F1402" s="3" t="n"/>
      <c r="G1402" s="3" t="inlineStr">
        <is>
          <t>មើលព័ត៌មានលម្អិត</t>
        </is>
      </c>
      <c r="H1402" t="inlineStr">
        <is>
          <t>មើលព័ត៌មានលម្អិត</t>
        </is>
      </c>
      <c r="I1402" s="217" t="inlineStr">
        <is>
          <t>"nhanHang.seeDetail": "មើលព័ត៌មានលម្អិត",</t>
        </is>
      </c>
      <c r="N1402" s="3" t="inlineStr">
        <is>
          <t>មើលព័ត៌មានលម្អិត</t>
        </is>
      </c>
    </row>
    <row r="1403" ht="15.75" customHeight="1" s="305">
      <c r="A1403" s="3" t="inlineStr">
        <is>
          <t>GiaoHang.seeQr</t>
        </is>
      </c>
      <c r="B1403" s="3" t="inlineStr">
        <is>
          <t>Xem QR</t>
        </is>
      </c>
      <c r="C1403" s="3" t="inlineStr">
        <is>
          <t>See the QR code</t>
        </is>
      </c>
      <c r="D1403" s="3">
        <f>IFERROR(__xludf.DUMMYFUNCTION("GOOGLETRANSLATE(B1403,""vi"",""km"")"),"មើលលេខកូដ QR")</f>
        <v/>
      </c>
      <c r="E1403" s="3" t="inlineStr">
        <is>
          <t>មើលលេខកូដ QR</t>
        </is>
      </c>
      <c r="F1403" s="3" t="n"/>
      <c r="G1403" s="3" t="inlineStr">
        <is>
          <t>មើលលេខកូដ QR</t>
        </is>
      </c>
      <c r="H1403" t="inlineStr">
        <is>
          <t>មើលលេខកូដ QR</t>
        </is>
      </c>
      <c r="I1403" s="217" t="inlineStr">
        <is>
          <t>"GiaoHang.seeQr": "មើលលេខកូដ QR",</t>
        </is>
      </c>
      <c r="N1403" s="163" t="inlineStr">
        <is>
          <t>មើលលេខកូដ QR</t>
        </is>
      </c>
    </row>
    <row r="1404" ht="15.75" customHeight="1" s="305">
      <c r="A1404" s="3" t="inlineStr">
        <is>
          <t>common.seeMore</t>
        </is>
      </c>
      <c r="B1404" s="3" t="inlineStr">
        <is>
          <t>Xem thêm</t>
        </is>
      </c>
      <c r="C1404" s="3" t="inlineStr">
        <is>
          <t>More</t>
        </is>
      </c>
      <c r="D1404" s="3">
        <f>IFERROR(__xludf.DUMMYFUNCTION("GOOGLETRANSLATE(B1404,""vi"",""km"")"),"មើលបន្ថែម")</f>
        <v/>
      </c>
      <c r="E1404" s="3" t="inlineStr">
        <is>
          <t>មើលបន្ថែម</t>
        </is>
      </c>
      <c r="F1404" s="3" t="n"/>
      <c r="G1404" s="3" t="inlineStr">
        <is>
          <t>មើលបន្ថែម</t>
        </is>
      </c>
      <c r="H1404" t="inlineStr">
        <is>
          <t>មើលបន្ថែម</t>
        </is>
      </c>
      <c r="I1404" s="217" t="inlineStr">
        <is>
          <t>"common.seeMore": "មើលបន្ថែម",</t>
        </is>
      </c>
      <c r="N1404" s="3" t="inlineStr">
        <is>
          <t>មើល​បន្ថែម​ទៀត</t>
        </is>
      </c>
    </row>
    <row r="1405" ht="15.75" customHeight="1" s="305">
      <c r="A1405" s="3" t="inlineStr">
        <is>
          <t>taoDon.viewMoreRegulations</t>
        </is>
      </c>
      <c r="B1405" s="3" t="inlineStr">
        <is>
          <t>Xem thêm quy định</t>
        </is>
      </c>
      <c r="C1405" s="3" t="inlineStr">
        <is>
          <t>See more regulations</t>
        </is>
      </c>
      <c r="D1405" s="3">
        <f>IFERROR(__xludf.DUMMYFUNCTION("GOOGLETRANSLATE(B1405,""vi"",""km"")"),"សូមមើលបទប្បញ្ញត្តិបន្ថែម។")</f>
        <v/>
      </c>
      <c r="E1405" s="3" t="inlineStr">
        <is>
          <t>មើលបទប្បញ្ញត្តិបន្ថែម</t>
        </is>
      </c>
      <c r="F1405" s="3" t="n"/>
      <c r="G1405" s="3" t="inlineStr">
        <is>
          <t>មើលបទប្បញ្ញត្តិបន្ថែម</t>
        </is>
      </c>
      <c r="H1405" t="inlineStr">
        <is>
          <t>មើលបទប្បញ្ញត្តិបន្ថែម</t>
        </is>
      </c>
      <c r="I1405" s="217" t="inlineStr">
        <is>
          <t>"taoDon.viewMoreRegulations": "មើលបទប្បញ្ញត្តិបន្ថែម",</t>
        </is>
      </c>
      <c r="N1405" s="3" t="inlineStr">
        <is>
          <t>មើលបន្ថែមអំពីបទបញ្ជា</t>
        </is>
      </c>
    </row>
    <row r="1406" ht="15.75" customHeight="1" s="305">
      <c r="A1406" s="3" t="inlineStr">
        <is>
          <t>password.hello</t>
        </is>
      </c>
      <c r="B1406" s="3" t="inlineStr">
        <is>
          <t>Xin chào,</t>
        </is>
      </c>
      <c r="C1406" s="3" t="inlineStr">
        <is>
          <t>Hello,</t>
        </is>
      </c>
      <c r="D1406" s="3">
        <f>IFERROR(__xludf.DUMMYFUNCTION("GOOGLETRANSLATE(B1406,""vi"",""km"")"),"សួស្តី,")</f>
        <v/>
      </c>
      <c r="E1406" s="3" t="inlineStr">
        <is>
          <t>ជំរាបសួរ,</t>
        </is>
      </c>
      <c r="F1406" s="3" t="n"/>
      <c r="G1406" s="3" t="inlineStr">
        <is>
          <t>ជំរាបសួរ,</t>
        </is>
      </c>
      <c r="H1406" t="inlineStr">
        <is>
          <t>ជំរាបសួរ,</t>
        </is>
      </c>
      <c r="I1406" s="217" t="inlineStr">
        <is>
          <t>"password.hello": "ជំរាបសួរ,",</t>
        </is>
      </c>
      <c r="N1406" s="3" t="inlineStr">
        <is>
          <t>សួស្តី</t>
        </is>
      </c>
    </row>
    <row r="1407" ht="15.75" customHeight="1" s="305">
      <c r="A1407" s="3" t="inlineStr">
        <is>
          <t>khaiThacDen.delete</t>
        </is>
      </c>
      <c r="B1407" s="3" t="inlineStr">
        <is>
          <t>Xoá</t>
        </is>
      </c>
      <c r="C1407" s="3" t="inlineStr">
        <is>
          <t>Delete</t>
        </is>
      </c>
      <c r="D1407" s="3">
        <f>IFERROR(__xludf.DUMMYFUNCTION("GOOGLETRANSLATE(B1407,""vi"",""km"")"),"លុប")</f>
        <v/>
      </c>
      <c r="E1407" s="3" t="inlineStr">
        <is>
          <t>លុបចោល</t>
        </is>
      </c>
      <c r="F1407" s="3" t="n"/>
      <c r="G1407" s="3" t="inlineStr">
        <is>
          <t>លុប</t>
        </is>
      </c>
      <c r="H1407" t="inlineStr">
        <is>
          <t>លុប</t>
        </is>
      </c>
      <c r="I1407" s="217" t="inlineStr">
        <is>
          <t>"khaiThacDen.delete": "លុប",</t>
        </is>
      </c>
      <c r="N1407" s="3" t="inlineStr">
        <is>
          <t>លប់</t>
        </is>
      </c>
    </row>
    <row r="1408" ht="15.75" customHeight="1" s="305">
      <c r="A1408" s="3" t="inlineStr">
        <is>
          <t>taoKien.xoaKien</t>
        </is>
      </c>
      <c r="B1408" s="3" t="inlineStr">
        <is>
          <t>Xóa Kiện</t>
        </is>
      </c>
      <c r="C1408" s="3" t="inlineStr">
        <is>
          <t>Cancel package</t>
        </is>
      </c>
      <c r="D1408" s="3">
        <f>IFERROR(__xludf.DUMMYFUNCTION("GOOGLETRANSLATE(B1408,""vi"",""km"")"),"លុបករណី")</f>
        <v/>
      </c>
      <c r="E1408" s="3" t="inlineStr">
        <is>
          <t>លុបកញ្ចប់អីវ៉ាន់</t>
        </is>
      </c>
      <c r="F1408" s="3" t="n"/>
      <c r="G1408" s="3" t="inlineStr">
        <is>
          <t>លុបកញ្ចប់អីវ៉ាន់</t>
        </is>
      </c>
      <c r="H1408" t="inlineStr">
        <is>
          <t>លុបកញ្ចប់អីវ៉ាន់</t>
        </is>
      </c>
      <c r="I1408" s="217" t="inlineStr">
        <is>
          <t>"taoKien.xoaKien": "លុបកញ្ចប់អីវ៉ាន់",</t>
        </is>
      </c>
      <c r="N1408" s="3" t="inlineStr"/>
    </row>
    <row r="1409" ht="15.75" customHeight="1" s="305">
      <c r="A1409" s="3" t="inlineStr">
        <is>
          <t>setting.deleteAccount</t>
        </is>
      </c>
      <c r="B1409" s="3" t="inlineStr">
        <is>
          <t>Xoá tài khoản</t>
        </is>
      </c>
      <c r="C1409" s="3" t="inlineStr">
        <is>
          <t>Delete account</t>
        </is>
      </c>
      <c r="D1409" s="3">
        <f>IFERROR(__xludf.DUMMYFUNCTION("GOOGLETRANSLATE(B1409,""vi"",""km"")"),"លុបគណនី")</f>
        <v/>
      </c>
      <c r="E1409" s="3" t="inlineStr">
        <is>
          <t>លុបគណនី</t>
        </is>
      </c>
      <c r="F1409" s="3" t="n"/>
      <c r="G1409" s="3" t="inlineStr">
        <is>
          <t>លុបគណនី</t>
        </is>
      </c>
      <c r="H1409" t="inlineStr">
        <is>
          <t>លុបគណនី</t>
        </is>
      </c>
      <c r="I1409" s="217" t="inlineStr">
        <is>
          <t>"setting.deleteAccount": "លុបគណនី",</t>
        </is>
      </c>
      <c r="N1409" s="3" t="inlineStr"/>
    </row>
    <row r="1410" ht="15.75" customHeight="1" s="305">
      <c r="A1410" s="3" t="inlineStr">
        <is>
          <t>setting.deleteAccountSuccess</t>
        </is>
      </c>
      <c r="B1410" s="3" t="inlineStr">
        <is>
          <t>Xoá tài khoản thành công</t>
        </is>
      </c>
      <c r="C1410" s="3" t="inlineStr">
        <is>
          <t>Account deletion requested successfully</t>
        </is>
      </c>
      <c r="D1410" s="3">
        <f>IFERROR(__xludf.DUMMYFUNCTION("GOOGLETRANSLATE(B1410,""vi"",""km"")"),"បានលុបគណនីដោយជោគជ័យ។")</f>
        <v/>
      </c>
      <c r="E1410" s="3" t="inlineStr">
        <is>
          <t>លុបគណនីបានជោគជ័យ</t>
        </is>
      </c>
      <c r="F1410" s="3" t="n"/>
      <c r="G1410" s="3" t="inlineStr">
        <is>
          <t>លុបគណនីបានជោគជ័យ</t>
        </is>
      </c>
      <c r="H1410" t="inlineStr">
        <is>
          <t>លុបគណនីបានជោគជ័យ</t>
        </is>
      </c>
      <c r="I1410" s="217" t="inlineStr">
        <is>
          <t>"setting.deleteAccountSuccess": "លុបគណនីបានជោគជ័យ",</t>
        </is>
      </c>
      <c r="N1410" s="3" t="inlineStr"/>
    </row>
    <row r="1411" ht="15.75" customHeight="1" s="305">
      <c r="A1411" s="3" t="inlineStr">
        <is>
          <t>setting.deleteAccountFailed</t>
        </is>
      </c>
      <c r="B1411" s="3" t="inlineStr">
        <is>
          <t>Xoá tài khoản thất bại</t>
        </is>
      </c>
      <c r="C1411" s="3" t="inlineStr">
        <is>
          <t>Account deletion failed</t>
        </is>
      </c>
      <c r="D1411" s="3">
        <f>IFERROR(__xludf.DUMMYFUNCTION("GOOGLETRANSLATE(B1411,""vi"",""km"")"),"ការលុបគណនីបរាជ័យ។")</f>
        <v/>
      </c>
      <c r="E1411" s="3" t="inlineStr">
        <is>
          <t>លុបគណនីបានបរាជ័យ</t>
        </is>
      </c>
      <c r="F1411" s="3" t="n"/>
      <c r="G1411" s="3" t="inlineStr">
        <is>
          <t>លុបគណនីបានបរាជ័យ</t>
        </is>
      </c>
      <c r="H1411" t="inlineStr">
        <is>
          <t>លុបគណនីបានបរាជ័យ</t>
        </is>
      </c>
      <c r="I1411" s="217" t="inlineStr">
        <is>
          <t>"setting.deleteAccountFailed": "លុបគណនីបានបរាជ័យ",</t>
        </is>
      </c>
      <c r="N1411" s="3" t="inlineStr"/>
    </row>
    <row r="1412" ht="15.75" customHeight="1" s="305">
      <c r="A1412" s="3" t="inlineStr">
        <is>
          <t>nhanHang.deleteAll</t>
        </is>
      </c>
      <c r="B1412" s="3" t="inlineStr">
        <is>
          <t>Xoá tất cả</t>
        </is>
      </c>
      <c r="C1412" s="3" t="inlineStr">
        <is>
          <t>Delete all</t>
        </is>
      </c>
      <c r="D1412" s="3">
        <f>IFERROR(__xludf.DUMMYFUNCTION("GOOGLETRANSLATE(B1412,""vi"",""km"")"),"លុបទាំងអស់")</f>
        <v/>
      </c>
      <c r="E1412" s="3" t="inlineStr">
        <is>
          <t>លុបទាំងអស់</t>
        </is>
      </c>
      <c r="F1412" s="3" t="n"/>
      <c r="G1412" s="3" t="inlineStr">
        <is>
          <t>លុបទាំងអស់</t>
        </is>
      </c>
      <c r="H1412" t="inlineStr">
        <is>
          <t>លុបទាំងអស់</t>
        </is>
      </c>
      <c r="I1412" s="217" t="inlineStr">
        <is>
          <t>"nhanHang.deleteAll": "លុបទាំងអស់",</t>
        </is>
      </c>
      <c r="N1412" s="3" t="inlineStr">
        <is>
          <t>លុបទាំងអស់</t>
        </is>
      </c>
    </row>
    <row r="1413" ht="15.75" customHeight="1" s="305">
      <c r="A1413" s="3" t="inlineStr">
        <is>
          <t>taoDon.deleteAll</t>
        </is>
      </c>
      <c r="B1413" s="3" t="inlineStr">
        <is>
          <t>Xoá tất cả</t>
        </is>
      </c>
      <c r="C1413" s="3" t="inlineStr">
        <is>
          <t>Delete all</t>
        </is>
      </c>
      <c r="D1413" s="3">
        <f>IFERROR(__xludf.DUMMYFUNCTION("GOOGLETRANSLATE(B1413,""vi"",""km"")"),"លុបទាំងអស់")</f>
        <v/>
      </c>
      <c r="E1413" s="3" t="inlineStr">
        <is>
          <t>លុបទាំងអស់</t>
        </is>
      </c>
      <c r="F1413" s="3" t="n"/>
      <c r="G1413" s="3" t="inlineStr">
        <is>
          <t>លុបទាំងអស់</t>
        </is>
      </c>
      <c r="H1413" t="inlineStr">
        <is>
          <t>លុបទាំងអស់</t>
        </is>
      </c>
      <c r="I1413" s="217" t="inlineStr">
        <is>
          <t>"taoDon.deleteAll": "លុបទាំងអស់",</t>
        </is>
      </c>
      <c r="N1413" s="3" t="inlineStr">
        <is>
          <t>លុបទាំងអស់</t>
        </is>
      </c>
    </row>
    <row r="1414" ht="15.75" customHeight="1" s="305">
      <c r="A1414" s="3" t="inlineStr">
        <is>
          <t>debit.error_del_bill_record</t>
        </is>
      </c>
      <c r="B1414" s="3" t="inlineStr">
        <is>
          <t>Xóa vận đơn không thành công</t>
        </is>
      </c>
      <c r="C1414" s="3" t="inlineStr">
        <is>
          <t>Delete bill failed</t>
        </is>
      </c>
      <c r="D1414" s="3">
        <f>IFERROR(__xludf.DUMMYFUNCTION("GOOGLETRANSLATE(B1414,""vi"",""km"")"),"ការលុប​វិក្កយបត្រ​ដឹកជញ្ជូន​បរាជ័យ។")</f>
        <v/>
      </c>
      <c r="E1414" s="3" t="inlineStr">
        <is>
          <t>លុបការដឹកជញ្ជូនមិនបានជោគជ័យ</t>
        </is>
      </c>
      <c r="F1414" s="3" t="n"/>
      <c r="G1414" s="3" t="inlineStr">
        <is>
          <t>លុបការដឹកជញ្ជូនមិនបានជោគជ័យ</t>
        </is>
      </c>
      <c r="H1414" t="inlineStr">
        <is>
          <t>លុបការដឹកជញ្ជូនមិនបានជោគជ័យ</t>
        </is>
      </c>
      <c r="I1414" s="217" t="inlineStr">
        <is>
          <t>"debit.error_del_bill_record": "លុបការដឹកជញ្ជូនមិនបានជោគជ័យ",</t>
        </is>
      </c>
      <c r="N1414" s="3" t="inlineStr">
        <is>
          <t>លប់បញ្ចីមិនជោគជ័យ</t>
        </is>
      </c>
    </row>
    <row r="1415" ht="15.75" customHeight="1" s="305">
      <c r="A1415" s="3" t="inlineStr">
        <is>
          <t>debit.success_del_bill_record</t>
        </is>
      </c>
      <c r="B1415" s="3" t="inlineStr">
        <is>
          <t>Xóa vận đơn thành công</t>
        </is>
      </c>
      <c r="C1415" s="3" t="inlineStr">
        <is>
          <t>Delete bill successfully</t>
        </is>
      </c>
      <c r="D1415" s="3">
        <f>IFERROR(__xludf.DUMMYFUNCTION("GOOGLETRANSLATE(B1415,""vi"",""km"")"),"បានលុបការបញ្ជាទិញដឹកជញ្ជូនដោយជោគជ័យ។")</f>
        <v/>
      </c>
      <c r="E1415" s="3" t="inlineStr">
        <is>
          <t>លុបការដឹកជញ្ជូនបានជោគជ័យ</t>
        </is>
      </c>
      <c r="F1415" s="3" t="n"/>
      <c r="G1415" s="3" t="inlineStr">
        <is>
          <t>លុបការដឹកជញ្ជូនបានជោគជ័យ</t>
        </is>
      </c>
      <c r="H1415" t="inlineStr">
        <is>
          <t>លុបការដឹកជញ្ជូនបានជោគជ័យ</t>
        </is>
      </c>
      <c r="I1415" s="217" t="inlineStr">
        <is>
          <t>"debit.success_del_bill_record": "លុបការដឹកជញ្ជូនបានជោគជ័យ",</t>
        </is>
      </c>
      <c r="N1415" s="3" t="inlineStr">
        <is>
          <t>លប់បញ្ចីដោយជោគជ័យ</t>
        </is>
      </c>
    </row>
    <row r="1416" ht="15.75" customHeight="1" s="305">
      <c r="A1416" s="3" t="inlineStr">
        <is>
          <t>login.forceUpdateTitle</t>
        </is>
      </c>
      <c r="B1416" s="3" t="inlineStr">
        <is>
          <t>Yêu cầu cập nhật</t>
        </is>
      </c>
      <c r="C1416" s="3" t="inlineStr">
        <is>
          <t>Update Required</t>
        </is>
      </c>
      <c r="D1416" s="3">
        <f>IFERROR(__xludf.DUMMYFUNCTION("GOOGLETRANSLATE(B1416,""vi"",""km"")"),"សំណើសុំធ្វើបច្ចុប្បន្នភាព")</f>
        <v/>
      </c>
      <c r="E1416" s="3" t="inlineStr">
        <is>
          <t>ស្នើសុំការអាប់ដេត</t>
        </is>
      </c>
      <c r="F1416" s="3" t="n"/>
      <c r="G1416" s="3" t="inlineStr">
        <is>
          <t>ស្នើសុំការអាប់ដេត</t>
        </is>
      </c>
      <c r="H1416" t="inlineStr">
        <is>
          <t>ស្នើសុំការអាប់ដេត</t>
        </is>
      </c>
      <c r="I1416" s="217" t="inlineStr">
        <is>
          <t>"login.forceUpdateTitle": "ស្នើសុំការអាប់ដេត",</t>
        </is>
      </c>
      <c r="N1416" s="3" t="inlineStr">
        <is>
          <t>ត្រូវការធ្វើបច្ចុប្បន្នភាព</t>
        </is>
      </c>
    </row>
    <row r="1417" ht="15.75" customHeight="1" s="305">
      <c r="A1417" s="3" t="inlineStr">
        <is>
          <t>GiaoHang.titleUpdateStatusEditAddress</t>
        </is>
      </c>
      <c r="B1417" s="3" t="inlineStr">
        <is>
          <t>Yêu cầu chuyển địa chỉ</t>
        </is>
      </c>
      <c r="C1417" s="3" t="inlineStr">
        <is>
          <t>Forward request</t>
        </is>
      </c>
      <c r="D1417" s="3">
        <f>IFERROR(__xludf.DUMMYFUNCTION("GOOGLETRANSLATE(B1417,""vi"",""km"")"),"សំណើសុំផ្លាស់ប្តូរអាសយដ្ឋាន")</f>
        <v/>
      </c>
      <c r="E1417" s="3" t="inlineStr">
        <is>
          <t>ស្នើសុំការផ្លាស់ប្តូរអាសយដ្ឋាន</t>
        </is>
      </c>
      <c r="F1417" s="3" t="n"/>
      <c r="G1417" s="3" t="inlineStr">
        <is>
          <t>ស្នើសុំប្តូរអាសយដ្ឋានដឹកជញ្ជូន</t>
        </is>
      </c>
      <c r="H1417" t="inlineStr">
        <is>
          <t>ស្នើសុំប្តូរអាសយដ្ឋានដឹកជញ្ជូន</t>
        </is>
      </c>
      <c r="I1417" s="217" t="inlineStr">
        <is>
          <t>"GiaoHang.titleUpdateStatusEditAddress": "ស្នើសុំប្តូរអាសយដ្ឋានដឹកជញ្ជូន",</t>
        </is>
      </c>
      <c r="N1417" s="3" t="inlineStr">
        <is>
          <t>បញ្ជូនបន្តទៅការិយាល័យបញ្ញើរផ្សេងទៀត។</t>
        </is>
      </c>
    </row>
    <row r="1418" ht="15.75" customHeight="1" s="305">
      <c r="A1418" s="3" t="inlineStr">
        <is>
          <t>mainStatus.450</t>
        </is>
      </c>
      <c r="B1418" s="3" t="inlineStr">
        <is>
          <t>Yêu cầu chuyển địa chỉ</t>
        </is>
      </c>
      <c r="C1418" s="3" t="inlineStr">
        <is>
          <t>Forward request</t>
        </is>
      </c>
      <c r="D1418" s="3">
        <f>IFERROR(__xludf.DUMMYFUNCTION("GOOGLETRANSLATE(B1418,""vi"",""km"")"),"សំណើសុំផ្លាស់ប្តូរអាសយដ្ឋាន")</f>
        <v/>
      </c>
      <c r="E1418" s="3" t="inlineStr">
        <is>
          <t>ស្នើសុំការផ្លាស់ប្តូរអាសយដ្ឋាន</t>
        </is>
      </c>
      <c r="F1418" s="3" t="n"/>
      <c r="G1418" s="3" t="inlineStr">
        <is>
          <t>ស្នើសុំប្តូរអាសយដ្ឋានដឹកជញ្ជូន</t>
        </is>
      </c>
      <c r="H1418" t="inlineStr">
        <is>
          <t>ស្នើសុំប្តូរអាសយដ្ឋានដឹកជញ្ជូន</t>
        </is>
      </c>
      <c r="I1418" s="217" t="inlineStr">
        <is>
          <t>"mainStatus.450": "ស្នើសុំប្តូរអាសយដ្ឋានដឹកជញ្ជូន",</t>
        </is>
      </c>
      <c r="N1418" s="3" t="inlineStr">
        <is>
          <t>ស្នើសុំផ្លាស់ប្តូរអាសយដ្ឋាន</t>
        </is>
      </c>
    </row>
    <row r="1419" ht="15.75" customHeight="1" s="305">
      <c r="A1419" s="3" t="inlineStr">
        <is>
          <t>GiaoHang.descEditAddressSuccess</t>
        </is>
      </c>
      <c r="B1419" s="3" t="inlineStr">
        <is>
          <t>yêu cầu chuyển địa chỉ thành công.</t>
        </is>
      </c>
      <c r="C1419" s="3" t="inlineStr">
        <is>
          <t>request to change address successfully</t>
        </is>
      </c>
      <c r="D1419" s="3">
        <f>IFERROR(__xludf.DUMMYFUNCTION("GOOGLETRANSLATE(B1419,""vi"",""km"")"),"សំណើសុំផ្លាស់ប្តូរអាសយដ្ឋានបានជោគជ័យ។")</f>
        <v/>
      </c>
      <c r="E1419" s="3" t="inlineStr">
        <is>
          <t>ស្នើសុំការផ្លាស់ប្តូរអាសយដ្ឋានបានជោគជ័យ។</t>
        </is>
      </c>
      <c r="F1419" s="3" t="n"/>
      <c r="G1419" s="3" t="inlineStr">
        <is>
          <t>ស្នើសុំការផ្លាស់ប្តូរអាសយដ្ឋានបានជោគជ័យ។</t>
        </is>
      </c>
      <c r="H1419" t="inlineStr">
        <is>
          <t>ស្នើសុំការផ្លាស់ប្តូរអាសយដ្ឋានបានជោគជ័យ។</t>
        </is>
      </c>
      <c r="I1419" s="217" t="inlineStr">
        <is>
          <t>"GiaoHang.descEditAddressSuccess": "ស្នើសុំការផ្លាស់ប្តូរអាសយដ្ឋានបានជោគជ័យ។",</t>
        </is>
      </c>
      <c r="N1419" s="3" t="inlineStr">
        <is>
          <t>ត្រូវបានបញ្ជូនបន្តដោយជោគជ័យ។</t>
        </is>
      </c>
    </row>
    <row r="1420" ht="15.75" customHeight="1" s="305">
      <c r="A1420" s="3" t="inlineStr">
        <is>
          <t>mainStatus.440</t>
        </is>
      </c>
      <c r="B1420" s="3" t="inlineStr">
        <is>
          <t>Yêu cầu giao 1 phần</t>
        </is>
      </c>
      <c r="C1420" s="3" t="inlineStr">
        <is>
          <t>Partial ship request</t>
        </is>
      </c>
      <c r="D1420" s="3">
        <f>IFERROR(__xludf.DUMMYFUNCTION("GOOGLETRANSLATE(B1420,""vi"",""km"")"),"ស្នើសុំការដឹកជញ្ជូន ១ ចំណែក")</f>
        <v/>
      </c>
      <c r="E1420" s="3" t="inlineStr">
        <is>
          <t>ស្នើសុំការដឹកជញ្ជូនមួយផ្នែក</t>
        </is>
      </c>
      <c r="F1420" s="3" t="n"/>
      <c r="G1420" s="3" t="inlineStr">
        <is>
          <t>ស្នើសុំដឹកជញ្ជូនមួយផ្នែក</t>
        </is>
      </c>
      <c r="H1420" t="inlineStr">
        <is>
          <t>ស្នើសុំដឹកជញ្ជូនមួយផ្នែក</t>
        </is>
      </c>
      <c r="I1420" s="217" t="inlineStr">
        <is>
          <t>"mainStatus.440": "ស្នើសុំដឹកជញ្ជូនមួយផ្នែក",</t>
        </is>
      </c>
      <c r="N1420" s="3" t="inlineStr">
        <is>
          <t>ស្នើសុំប្រគល់១ផ្នែក</t>
        </is>
      </c>
    </row>
    <row r="1421" ht="15.75" customHeight="1" s="305">
      <c r="A1421" s="203" t="inlineStr">
        <is>
          <t>DongTai.printPack</t>
        </is>
      </c>
      <c r="B1421" s="203" t="inlineStr">
        <is>
          <t>In mã kiện</t>
        </is>
      </c>
      <c r="C1421" s="203" t="inlineStr">
        <is>
          <t>Print package</t>
        </is>
      </c>
      <c r="D1421" s="216">
        <f>IFERROR(__xludf.DUMMYFUNCTION("GOOGLETRANSLATE(B1421,""vi"",""km"")"),"បោះពុម្ពលេខកូដកញ្ចប់")</f>
        <v/>
      </c>
      <c r="E1421" s="3" t="inlineStr">
        <is>
          <t>ព្រីនកូដកញ្ចប់អីវ៉ាន់</t>
        </is>
      </c>
      <c r="F1421" s="3" t="n"/>
      <c r="G1421" s="3" t="inlineStr">
        <is>
          <t>ព្រីនកូដកញ្ចប់អីវ៉ាន់</t>
        </is>
      </c>
      <c r="H1421" t="inlineStr">
        <is>
          <t>ព្រីនកូដកញ្ចប់អីវ៉ាន់</t>
        </is>
      </c>
      <c r="I1421" s="217" t="inlineStr">
        <is>
          <t>"DongTai.printPack": "ព្រីនកូដកញ្ចប់អីវ៉ាន់",</t>
        </is>
      </c>
      <c r="N1421" s="163" t="n"/>
    </row>
    <row r="1422" ht="15.75" customHeight="1" s="305">
      <c r="A1422" s="203" t="inlineStr">
        <is>
          <t>common.note</t>
        </is>
      </c>
      <c r="B1422" s="203" t="inlineStr">
        <is>
          <t>Ghi chú</t>
        </is>
      </c>
      <c r="C1422" s="203" t="inlineStr">
        <is>
          <t>Note</t>
        </is>
      </c>
      <c r="D1422" s="216">
        <f>IFERROR(__xludf.DUMMYFUNCTION("GOOGLETRANSLATE(B1422,""vi"",""km"")"),"កំណត់ចំណាំ")</f>
        <v/>
      </c>
      <c r="E1422" s="3" t="inlineStr">
        <is>
          <t>កត់ចំណាំ</t>
        </is>
      </c>
      <c r="F1422" s="3" t="n"/>
      <c r="G1422" s="3" t="inlineStr">
        <is>
          <t>ចំណាំ</t>
        </is>
      </c>
      <c r="H1422" t="inlineStr">
        <is>
          <t>ចំណាំ</t>
        </is>
      </c>
      <c r="I1422" s="217" t="inlineStr">
        <is>
          <t>"common.note": "ចំណាំ",</t>
        </is>
      </c>
      <c r="N1422" s="163" t="n"/>
    </row>
    <row r="1423" ht="15.75" customHeight="1" s="305">
      <c r="A1423" s="203" t="inlineStr">
        <is>
          <t>debit.cash</t>
        </is>
      </c>
      <c r="B1423" s="203" t="inlineStr">
        <is>
          <t>Thu tiền mặt</t>
        </is>
      </c>
      <c r="C1423" s="203" t="inlineStr">
        <is>
          <t>Collect cash</t>
        </is>
      </c>
      <c r="D1423" s="216">
        <f>IFERROR(__xludf.DUMMYFUNCTION("GOOGLETRANSLATE(B1423,""vi"",""km"")"),"ការទូទាត់ជាសាច់ប្រាក់")</f>
        <v/>
      </c>
      <c r="E1423" s="3" t="inlineStr">
        <is>
          <t>ទូទាត់ជាសាច់ប្រាក់</t>
        </is>
      </c>
      <c r="F1423" s="3" t="n"/>
      <c r="G1423" s="3" t="inlineStr">
        <is>
          <t>ទូទាត់ជាសាច់ប្រាក់</t>
        </is>
      </c>
      <c r="H1423" t="inlineStr">
        <is>
          <t>ទូទាត់ជាសាច់ប្រាក់</t>
        </is>
      </c>
      <c r="I1423" s="217" t="inlineStr">
        <is>
          <t>"debit.cash": "ទូទាត់ជាសាច់ប្រាក់",</t>
        </is>
      </c>
      <c r="N1423" s="163" t="n"/>
    </row>
    <row r="1424" ht="15.75" customHeight="1" s="305">
      <c r="A1424" s="203" t="inlineStr">
        <is>
          <t>debit.payment_method</t>
        </is>
      </c>
      <c r="B1424" s="203" t="inlineStr">
        <is>
          <t>Phương thức thanh toán</t>
        </is>
      </c>
      <c r="C1424" s="203" t="inlineStr">
        <is>
          <t>Payment method</t>
        </is>
      </c>
      <c r="D1424" s="216">
        <f>IFERROR(__xludf.DUMMYFUNCTION("GOOGLETRANSLATE(B1424,""vi"",""km"")"),"វិធីសាស្ត្រទូទាត់")</f>
        <v/>
      </c>
      <c r="E1424" s="3" t="inlineStr">
        <is>
          <t>វិធីសាស្រ្តទូទាត់</t>
        </is>
      </c>
      <c r="F1424" s="3" t="n"/>
      <c r="G1424" s="3" t="inlineStr">
        <is>
          <t>វិធីសាស្រ្តទូទាត់</t>
        </is>
      </c>
      <c r="H1424" t="inlineStr">
        <is>
          <t>វិធីសាស្រ្តទូទាត់</t>
        </is>
      </c>
      <c r="I1424" s="217" t="inlineStr">
        <is>
          <t>"debit.payment_method": "វិធីសាស្រ្តទូទាត់",</t>
        </is>
      </c>
      <c r="N1424" s="163" t="n"/>
    </row>
    <row r="1425" ht="15.75" customHeight="1" s="305">
      <c r="A1425" s="203" t="inlineStr">
        <is>
          <t>debit.qr</t>
        </is>
      </c>
      <c r="B1425" s="203" t="inlineStr">
        <is>
          <t>QR</t>
        </is>
      </c>
      <c r="C1425" s="203" t="inlineStr">
        <is>
          <t>QR</t>
        </is>
      </c>
      <c r="D1425" s="216">
        <f>IFERROR(__xludf.DUMMYFUNCTION("GOOGLETRANSLATE(B1425,""vi"",""km"")"),"លេខកូដ QR")</f>
        <v/>
      </c>
      <c r="E1425" s="3" t="inlineStr">
        <is>
          <t>QR</t>
        </is>
      </c>
      <c r="F1425" s="3" t="n"/>
      <c r="G1425" s="3" t="inlineStr">
        <is>
          <t>QR</t>
        </is>
      </c>
      <c r="H1425" t="inlineStr">
        <is>
          <t>QR</t>
        </is>
      </c>
      <c r="I1425" s="217" t="inlineStr">
        <is>
          <t>"debit.qr": "QR",</t>
        </is>
      </c>
      <c r="N1425" s="163" t="n"/>
    </row>
    <row r="1426" ht="15.75" customHeight="1" s="305">
      <c r="A1426" s="203" t="inlineStr">
        <is>
          <t>nhanHang.cashPayment</t>
        </is>
      </c>
      <c r="B1426" s="203" t="inlineStr">
        <is>
          <t>Thanh toán tiền mặt</t>
        </is>
      </c>
      <c r="C1426" s="203" t="inlineStr">
        <is>
          <t>Cash payment</t>
        </is>
      </c>
      <c r="D1426" s="216">
        <f>IFERROR(__xludf.DUMMYFUNCTION("GOOGLETRANSLATE(B1426,""vi"",""km"")"),"ការទូទាត់ជាសាច់ប្រាក់")</f>
        <v/>
      </c>
      <c r="E1426" s="3" t="inlineStr">
        <is>
          <t>ទូូទាត់ជាសាច់ប្រាក់</t>
        </is>
      </c>
      <c r="F1426" s="3" t="n"/>
      <c r="G1426" s="3" t="inlineStr">
        <is>
          <t>ទូូទាត់ជាសាច់ប្រាក់</t>
        </is>
      </c>
      <c r="H1426" t="inlineStr">
        <is>
          <t>ទូូទាត់ជាសាច់ប្រាក់</t>
        </is>
      </c>
      <c r="I1426" s="217" t="inlineStr">
        <is>
          <t>"nhanHang.cashPayment": "ទូូទាត់ជាសាច់ប្រាក់",</t>
        </is>
      </c>
      <c r="N1426" s="163" t="n"/>
    </row>
    <row r="1427" ht="15.75" customHeight="1" s="305">
      <c r="A1427" s="203" t="inlineStr">
        <is>
          <t>nhanHang.checkResult</t>
        </is>
      </c>
      <c r="B1427" s="203" t="inlineStr">
        <is>
          <t>Tra cứu kết quả</t>
        </is>
      </c>
      <c r="C1427" s="203" t="inlineStr">
        <is>
          <t>Check result</t>
        </is>
      </c>
      <c r="D1427" s="216">
        <f>IFERROR(__xludf.DUMMYFUNCTION("GOOGLETRANSLATE(B1427,""vi"",""km"")"),"ពិនិត្យមើលលទ្ធផល")</f>
        <v/>
      </c>
      <c r="E1427" s="3" t="inlineStr">
        <is>
          <t>ស្វែងរកលទ្ធផល</t>
        </is>
      </c>
      <c r="F1427" s="3" t="n"/>
      <c r="G1427" s="3" t="inlineStr">
        <is>
          <t>ស្វែងរកលទ្ធផល</t>
        </is>
      </c>
      <c r="H1427" t="inlineStr">
        <is>
          <t>ស្វែងរកលទ្ធផល</t>
        </is>
      </c>
      <c r="I1427" s="217" t="inlineStr">
        <is>
          <t>"nhanHang.checkResult": "ស្វែងរកលទ្ធផល",</t>
        </is>
      </c>
      <c r="N1427" s="163" t="n"/>
    </row>
    <row r="1428" ht="15.75" customHeight="1" s="305">
      <c r="A1428" s="203" t="inlineStr">
        <is>
          <t>nhanHang.choosePaymentMethod</t>
        </is>
      </c>
      <c r="B1428" s="203" t="inlineStr">
        <is>
          <t>Chọn phương thức thanh toán</t>
        </is>
      </c>
      <c r="C1428" s="203" t="inlineStr">
        <is>
          <t>Choose payment method</t>
        </is>
      </c>
      <c r="D1428" s="216">
        <f>IFERROR(__xludf.DUMMYFUNCTION("GOOGLETRANSLATE(B1428,""vi"",""km"")"),"ជ្រើសរើសវិធីបង់ប្រាក់")</f>
        <v/>
      </c>
      <c r="E1428" s="3" t="inlineStr">
        <is>
          <t>ជ្រើសរើសវិធីសាស្រ្តទូទាត់</t>
        </is>
      </c>
      <c r="F1428" s="3" t="n"/>
      <c r="G1428" s="3" t="inlineStr">
        <is>
          <t>ជ្រើសរើសវិធីសាស្រ្តទូទាត់</t>
        </is>
      </c>
      <c r="H1428" t="inlineStr">
        <is>
          <t>ជ្រើសរើសវិធីសាស្រ្តទូទាត់</t>
        </is>
      </c>
      <c r="I1428" s="217" t="inlineStr">
        <is>
          <t>"nhanHang.choosePaymentMethod": "ជ្រើសរើសវិធីសាស្រ្តទូទាត់",</t>
        </is>
      </c>
      <c r="N1428" s="163" t="n"/>
    </row>
    <row r="1429" ht="15.75" customHeight="1" s="305">
      <c r="A1429" s="203" t="inlineStr">
        <is>
          <t>nhanHang.cuocphaitthu</t>
        </is>
      </c>
      <c r="B1429" s="203" t="inlineStr">
        <is>
          <t>Cước phải thu</t>
        </is>
      </c>
      <c r="C1429" s="203" t="inlineStr">
        <is>
          <t>Fee to collect</t>
        </is>
      </c>
      <c r="D1429" s="216">
        <f>IFERROR(__xludf.DUMMYFUNCTION("GOOGLETRANSLATE(B1429,""vi"",""km"")"),"ថ្លៃសេវាដែលត្រូវប្រមូល")</f>
        <v/>
      </c>
      <c r="E1429" s="3" t="inlineStr">
        <is>
          <t>សេវាដែលត្រូវប្រមូល</t>
        </is>
      </c>
      <c r="F1429" s="3" t="n"/>
      <c r="G1429" s="3" t="inlineStr">
        <is>
          <t>ថ្លៃសេវាត្រូវទូទាត់</t>
        </is>
      </c>
      <c r="H1429" t="inlineStr">
        <is>
          <t>ថ្លៃសេវាត្រូវទូទាត់</t>
        </is>
      </c>
      <c r="I1429" s="217" t="inlineStr">
        <is>
          <t>"nhanHang.cuocphaitthu": "ថ្លៃសេវាត្រូវទូទាត់",</t>
        </is>
      </c>
      <c r="N1429" s="163" t="n"/>
    </row>
    <row r="1430" ht="15.75" customHeight="1" s="305">
      <c r="A1430" s="203" t="inlineStr">
        <is>
          <t>nhanHang.lookupPayment</t>
        </is>
      </c>
      <c r="B1430" s="203" t="inlineStr">
        <is>
          <t>Tra cứu giao dịch</t>
        </is>
      </c>
      <c r="C1430" s="203" t="inlineStr">
        <is>
          <t>Lookup transaction</t>
        </is>
      </c>
      <c r="D1430" s="216">
        <f>IFERROR(__xludf.DUMMYFUNCTION("GOOGLETRANSLATE(B1430,""vi"",""km"")"),"ការស្វែងរកប្រតិបត្តិការ")</f>
        <v/>
      </c>
      <c r="E1430" s="3" t="inlineStr">
        <is>
          <t>ស្វែងរកការធ្វើប្រតិបត្តិការ</t>
        </is>
      </c>
      <c r="F1430" s="3" t="n"/>
      <c r="G1430" s="3" t="inlineStr">
        <is>
          <t>ស្វែងរកការធ្វើប្រតិបត្តិការ</t>
        </is>
      </c>
      <c r="H1430" t="inlineStr">
        <is>
          <t>ស្វែងរកការធ្វើប្រតិបត្តិការ</t>
        </is>
      </c>
      <c r="I1430" s="217" t="inlineStr">
        <is>
          <t>"nhanHang.lookupPayment": "ស្វែងរកការធ្វើប្រតិបត្តិការ",</t>
        </is>
      </c>
      <c r="N1430" s="163" t="n"/>
    </row>
    <row r="1431" ht="15.75" customHeight="1" s="305">
      <c r="A1431" s="203" t="inlineStr">
        <is>
          <t>nhanHang.orderCode</t>
        </is>
      </c>
      <c r="B1431" s="203" t="inlineStr">
        <is>
          <t>Mã đơn hàng:</t>
        </is>
      </c>
      <c r="C1431" s="203" t="inlineStr">
        <is>
          <t>Order code:</t>
        </is>
      </c>
      <c r="D1431" s="216">
        <f>IFERROR(__xludf.DUMMYFUNCTION("GOOGLETRANSLATE(B1431,""vi"",""km"")"),"លេខបញ្ជាទិញ៖")</f>
        <v/>
      </c>
      <c r="E1431" s="3" t="inlineStr">
        <is>
          <t>លេខកូដបុងបញ្ញើ</t>
        </is>
      </c>
      <c r="F1431" s="3" t="n"/>
      <c r="G1431" s="3" t="inlineStr">
        <is>
          <t>លេខកូដបុងបញ្ញើ</t>
        </is>
      </c>
      <c r="H1431" t="inlineStr">
        <is>
          <t>លេខកូដបុងបញ្ញើ</t>
        </is>
      </c>
      <c r="I1431" s="217" t="inlineStr">
        <is>
          <t>"nhanHang.orderCode": "លេខកូដបុងបញ្ញើ",</t>
        </is>
      </c>
      <c r="N1431" s="163" t="n"/>
    </row>
    <row r="1432" ht="15.75" customHeight="1" s="305">
      <c r="A1432" s="203" t="inlineStr">
        <is>
          <t>nhanHang.paidButton</t>
        </is>
      </c>
      <c r="B1432" s="203" t="inlineStr">
        <is>
          <t>Đã thanh toán</t>
        </is>
      </c>
      <c r="C1432" s="203" t="inlineStr">
        <is>
          <t>Paid</t>
        </is>
      </c>
      <c r="D1432" s="216">
        <f>IFERROR(__xludf.DUMMYFUNCTION("GOOGLETRANSLATE(B1432,""vi"",""km"")"),"ការទូទាត់ត្រូវបានធ្វើឡើង។")</f>
        <v/>
      </c>
      <c r="E1432" s="3" t="inlineStr">
        <is>
          <t>បានទូទាត់</t>
        </is>
      </c>
      <c r="F1432" s="3" t="n"/>
      <c r="G1432" s="3" t="inlineStr">
        <is>
          <t>បានទូទាត់</t>
        </is>
      </c>
      <c r="H1432" t="inlineStr">
        <is>
          <t>បានទូទាត់</t>
        </is>
      </c>
      <c r="I1432" s="217" t="inlineStr">
        <is>
          <t>"nhanHang.paidButton": "បានទូទាត់",</t>
        </is>
      </c>
      <c r="N1432" s="163" t="n"/>
    </row>
    <row r="1433" ht="15.75" customHeight="1" s="305">
      <c r="A1433" s="203" t="inlineStr">
        <is>
          <t>nhanHang.paymentAmount</t>
        </is>
      </c>
      <c r="B1433" s="203" t="inlineStr">
        <is>
          <t>Số tiền thanh toán</t>
        </is>
      </c>
      <c r="C1433" s="203" t="inlineStr">
        <is>
          <t>Payment amount</t>
        </is>
      </c>
      <c r="D1433" s="216">
        <f>IFERROR(__xludf.DUMMYFUNCTION("GOOGLETRANSLATE(B1433,""vi"",""km"")"),"ចំនួនទឹកប្រាក់ដែលត្រូវបង់")</f>
        <v/>
      </c>
      <c r="E1433" s="3" t="inlineStr">
        <is>
          <t>ចំនួនប្រាក់ដែលបានទូទាត់</t>
        </is>
      </c>
      <c r="F1433" s="3" t="n"/>
      <c r="G1433" s="3" t="inlineStr">
        <is>
          <t>ចំនួនប្រាក់ដែលបានទូទាត់</t>
        </is>
      </c>
      <c r="H1433" t="inlineStr">
        <is>
          <t>ចំនួនប្រាក់ដែលបានទូទាត់</t>
        </is>
      </c>
      <c r="I1433" s="217" t="inlineStr">
        <is>
          <t>"nhanHang.paymentAmount": "ចំនួនប្រាក់ដែលបានទូទាត់",</t>
        </is>
      </c>
      <c r="N1433" s="163" t="n"/>
    </row>
    <row r="1434" ht="15.75" customHeight="1" s="305">
      <c r="A1434" s="203" t="inlineStr">
        <is>
          <t>nhanHang.paymentSuccessTitle</t>
        </is>
      </c>
      <c r="B1434" s="203" t="inlineStr">
        <is>
          <t>Thành công</t>
        </is>
      </c>
      <c r="C1434" s="203" t="inlineStr">
        <is>
          <t>Success</t>
        </is>
      </c>
      <c r="D1434" s="216">
        <f>IFERROR(__xludf.DUMMYFUNCTION("GOOGLETRANSLATE(B1434,""vi"",""km"")"),"ជោគជ័យ")</f>
        <v/>
      </c>
      <c r="E1434" s="3" t="inlineStr">
        <is>
          <t>បានជោគជ័យ</t>
        </is>
      </c>
      <c r="F1434" s="3" t="n"/>
      <c r="G1434" s="3" t="inlineStr">
        <is>
          <t>ជោគជ័យ</t>
        </is>
      </c>
      <c r="H1434" t="inlineStr">
        <is>
          <t>ជោគជ័យ</t>
        </is>
      </c>
      <c r="I1434" s="217" t="inlineStr">
        <is>
          <t>"nhanHang.paymentSuccessTitle": "ជោគជ័យ",</t>
        </is>
      </c>
      <c r="N1434" s="163" t="n"/>
    </row>
    <row r="1435" ht="15.75" customHeight="1" s="305">
      <c r="A1435" s="203" t="inlineStr">
        <is>
          <t>nhanHang.qrInstruction</t>
        </is>
      </c>
      <c r="B1435" s="203" t="inlineStr">
        <is>
          <t>Vui lòng sử dụng ứng dụng ngân hàng bất kỳ để thanh toán và không tắt app cho đến khi nhận được kết quả giao dịch</t>
        </is>
      </c>
      <c r="C1435" s="203" t="inlineStr">
        <is>
          <t>Please use any banking app to pay and do not close the app until you receive the transaction result</t>
        </is>
      </c>
      <c r="D1435" s="216">
        <f>IFERROR(__xludf.DUMMYFUNCTION("GOOGLETRANSLATE(B1435,""vi"",""km"")"),"សូមប្រើប្រាស់កម្មវិធីធនាគារណាមួយដើម្បីធ្វើការទូទាត់ ហើយកុំបិទកម្មវិធីរហូតដល់អ្នកទទួលបានការបញ្ជាក់ប្រតិបត្តិការ។")</f>
        <v/>
      </c>
      <c r="E1435" s="3" t="inlineStr">
        <is>
          <t>សូមប្រើប្រាស់សេវាកម្មធនាគារណាមួយដើម្បីទូទាត់និងមិនត្រូវបិទកម្មវិធីរហូតដល់ពេលអ្នកបានទទួលលទ្ធផលពីប្រតិបត្តិការនេះ</t>
        </is>
      </c>
      <c r="F1435" s="3" t="n"/>
      <c r="G1435" s="3" t="inlineStr">
        <is>
          <t>សូមប្រើប្រាស់សេវាកម្មធនាគារណាមួយដើម្បីទូទាត់និងមិនត្រូវបិទកម្មវិធីរហូតដល់ពេលអ្នកបានទទួលលទ្ធផលពីប្រតិបត្តិការនេះ</t>
        </is>
      </c>
      <c r="H1435" t="inlineStr">
        <is>
          <t>សូមប្រើប្រាស់សេវាកម្មធនាគារណាមួយដើម្បីទូទាត់និងមិនត្រូវបិទកម្មវិធីរហូតដល់ពេលអ្នកបានទទួលលទ្ធផលពីប្រតិបត្តិការនេះ</t>
        </is>
      </c>
      <c r="I1435" s="217" t="inlineStr">
        <is>
          <t>"nhanHang.qrInstruction": "សូមប្រើប្រាស់សេវាកម្មធនាគារណាមួយដើម្បីទូទាត់និងមិនត្រូវបិទកម្មវិធីរហូតដល់ពេលអ្នកបានទទួលលទ្ធផលពីប្រតិបត្តិការនេះ",</t>
        </is>
      </c>
      <c r="N1435" s="163" t="n"/>
    </row>
    <row r="1436" ht="15.75" customHeight="1" s="305">
      <c r="A1436" s="203" t="inlineStr">
        <is>
          <t>nhanHang.qrPayment</t>
        </is>
      </c>
      <c r="B1436" s="203" t="inlineStr">
        <is>
          <t>QR code</t>
        </is>
      </c>
      <c r="C1436" s="203" t="inlineStr">
        <is>
          <t>QR code</t>
        </is>
      </c>
      <c r="D1436" s="216">
        <f>IFERROR(__xludf.DUMMYFUNCTION("GOOGLETRANSLATE(B1436,""vi"",""km"")"),"លេខកូដ QR")</f>
        <v/>
      </c>
      <c r="E1436" s="3" t="inlineStr">
        <is>
          <t>កូដ QR</t>
        </is>
      </c>
      <c r="F1436" s="3" t="n"/>
      <c r="G1436" s="3" t="inlineStr">
        <is>
          <t>កូដ QR</t>
        </is>
      </c>
      <c r="H1436" t="inlineStr">
        <is>
          <t>កូដ QR</t>
        </is>
      </c>
      <c r="I1436" s="217" t="inlineStr">
        <is>
          <t>"nhanHang.qrPayment": "កូដ QR",</t>
        </is>
      </c>
      <c r="N1436" s="163" t="n"/>
    </row>
    <row r="1437" ht="15.75" customHeight="1" s="305">
      <c r="A1437" s="203" t="inlineStr">
        <is>
          <t>nhanHang.qrTitle</t>
        </is>
      </c>
      <c r="B1437" s="203" t="inlineStr">
        <is>
          <t>Thanh toán bằng mã QR</t>
        </is>
      </c>
      <c r="C1437" s="203" t="inlineStr">
        <is>
          <t>Pay with QR code</t>
        </is>
      </c>
      <c r="D1437" s="216">
        <f>IFERROR(__xludf.DUMMYFUNCTION("GOOGLETRANSLATE(B1437,""vi"",""km"")"),"បង់ប្រាក់ដោយប្រើលេខកូដ QR")</f>
        <v/>
      </c>
      <c r="E1437" s="3" t="inlineStr">
        <is>
          <t>ទូទាត់តាមលេខកូដ QR</t>
        </is>
      </c>
      <c r="F1437" s="3" t="n"/>
      <c r="G1437" s="3" t="inlineStr">
        <is>
          <t>ទូទាត់តាមលេខកូដ QR</t>
        </is>
      </c>
      <c r="H1437" t="inlineStr">
        <is>
          <t>ទូទាត់តាមលេខកូដ QR</t>
        </is>
      </c>
      <c r="I1437" s="217" t="inlineStr">
        <is>
          <t>"nhanHang.qrTitle": "ទូទាត់តាមលេខកូដ QR",</t>
        </is>
      </c>
      <c r="N1437" s="163" t="n"/>
    </row>
    <row r="1438" ht="15.75" customHeight="1" s="305">
      <c r="A1438" s="203" t="inlineStr">
        <is>
          <t>nhanHang.totalFeeToCollect</t>
        </is>
      </c>
      <c r="B1438" s="203" t="inlineStr">
        <is>
          <t>Tổng tiền phải thu</t>
        </is>
      </c>
      <c r="C1438" s="203" t="inlineStr">
        <is>
          <t>Total amount to collect</t>
        </is>
      </c>
      <c r="D1438" s="216">
        <f>IFERROR(__xludf.DUMMYFUNCTION("GOOGLETRANSLATE(B1438,""vi"",""km"")"),"សរុប​បំណុល​ដែល​ត្រូវ​ទទួល")</f>
        <v/>
      </c>
      <c r="E1438" s="3" t="inlineStr">
        <is>
          <t>សរុបប្រាក់ដែលត្រូវទទួល</t>
        </is>
      </c>
      <c r="F1438" s="3" t="n"/>
      <c r="G1438" s="3" t="inlineStr">
        <is>
          <t>សរុបប្រាក់ដែលត្រូវទទួល</t>
        </is>
      </c>
      <c r="H1438" t="inlineStr">
        <is>
          <t>សរុបប្រាក់ដែលត្រូវទទួល</t>
        </is>
      </c>
      <c r="I1438" s="217" t="inlineStr">
        <is>
          <t>"nhanHang.totalFeeToCollect": "សរុបប្រាក់ដែលត្រូវទទួល",</t>
        </is>
      </c>
      <c r="N1438" s="163" t="n"/>
    </row>
    <row r="1439" ht="15.75" customHeight="1" s="305">
      <c r="A1439" s="203" t="inlineStr">
        <is>
          <t>splitPackage.maxChuVi</t>
        </is>
      </c>
      <c r="B1439" s="204" t="inlineStr">
        <is>
          <t>Tổng kích thước 3 chiều không vượt quá {{value}}cm</t>
        </is>
      </c>
      <c r="C1439" s="203" t="inlineStr">
        <is>
          <t>Total 3D dimensions must not exceed {{value}}cm</t>
        </is>
      </c>
      <c r="D1439" s="216">
        <f>IFERROR(__xludf.DUMMYFUNCTION("GOOGLETRANSLATE(B1439,""vi"",""km"")"),"ទំហំបីវិមាត្រសរុបមិនលើសពី {{value}}សង់ទីម៉ែត្រទេ")</f>
        <v/>
      </c>
      <c r="E1439" s="3" t="inlineStr">
        <is>
          <t>សរុុបទំហំទាំង៣មិនអាចទុកចន្លោះបានទេ {{value}} សង់ទីម៉ែត</t>
        </is>
      </c>
      <c r="F1439" s="3" t="n"/>
      <c r="G1439" s="3" t="inlineStr">
        <is>
          <t>សរុុបទំហំទាំង៣មិនអាចទុកចន្លោះបានទេ {{value}} សង់ទីម៉ែត</t>
        </is>
      </c>
      <c r="H1439" t="inlineStr">
        <is>
          <t>សរុុបទំហំទាំង៣មិនអាចទុកចន្លោះបានទេ {{value}} សង់ទីម៉ែត</t>
        </is>
      </c>
      <c r="I1439" s="217" t="inlineStr">
        <is>
          <t>"splitPackage.maxChuVi": "សរុុបទំហំទាំង៣មិនអាចទុកចន្លោះបានទេ {{value}} សង់ទីម៉ែត",</t>
        </is>
      </c>
      <c r="N1439" s="163" t="n"/>
    </row>
    <row r="1440" ht="15.75" customHeight="1" s="305">
      <c r="A1440" s="203" t="inlineStr">
        <is>
          <t>splitPackage.packageNotExist</t>
        </is>
      </c>
      <c r="B1440" s="203" t="inlineStr">
        <is>
          <t>Bưu phẩm không tồn tại</t>
        </is>
      </c>
      <c r="C1440" s="203" t="inlineStr">
        <is>
          <t>Package does not exist</t>
        </is>
      </c>
      <c r="D1440" s="216">
        <f>IFERROR(__xludf.DUMMYFUNCTION("GOOGLETRANSLATE(B1440,""vi"",""km"")"),"កញ្ចប់នេះមិនមានទេ។")</f>
        <v/>
      </c>
      <c r="E1440" s="3" t="inlineStr">
        <is>
          <t>អីវ៉ាន់មិនទាន់មាន</t>
        </is>
      </c>
      <c r="F1440" s="3" t="n"/>
      <c r="G1440" s="3" t="inlineStr">
        <is>
          <t>អីវ៉ាន់មិនទាន់មាន</t>
        </is>
      </c>
      <c r="H1440" t="inlineStr">
        <is>
          <t>អីវ៉ាន់មិនទាន់មាន</t>
        </is>
      </c>
      <c r="I1440" s="217" t="inlineStr">
        <is>
          <t>"splitPackage.packageNotExist": "អីវ៉ាន់មិនទាន់មាន",</t>
        </is>
      </c>
      <c r="N1440" s="163" t="n"/>
    </row>
    <row r="1441" ht="15.75" customHeight="1" s="305">
      <c r="A1441" s="203" t="inlineStr">
        <is>
          <t>splitPackage.title</t>
        </is>
      </c>
      <c r="B1441" s="203" t="inlineStr">
        <is>
          <t>Tách kiện</t>
        </is>
      </c>
      <c r="C1441" s="203" t="inlineStr">
        <is>
          <t>Split package</t>
        </is>
      </c>
      <c r="D1441" s="216">
        <f>IFERROR(__xludf.DUMMYFUNCTION("GOOGLETRANSLATE(B1441,""vi"",""km"")"),"ការបំបែកកញ្ចប់")</f>
        <v/>
      </c>
      <c r="E1441" s="3" t="inlineStr">
        <is>
          <t>ដាក់កញ្ចប់ដោយឡែក</t>
        </is>
      </c>
      <c r="F1441" s="3" t="n"/>
      <c r="G1441" s="3" t="inlineStr">
        <is>
          <t>ដាក់កញ្ចប់ដោយឡែក</t>
        </is>
      </c>
      <c r="H1441" t="inlineStr">
        <is>
          <t>ដាក់កញ្ចប់ដោយឡែក</t>
        </is>
      </c>
      <c r="I1441" s="217" t="inlineStr">
        <is>
          <t>"splitPackage.title": "ដាក់កញ្ចប់ដោយឡែក",</t>
        </is>
      </c>
      <c r="N1441" s="163" t="n"/>
    </row>
    <row r="1442" ht="15.75" customHeight="1" s="305">
      <c r="A1442" s="203" t="inlineStr">
        <is>
          <t>splitPackage.titleCheckBoxSplit</t>
        </is>
      </c>
      <c r="B1442" s="204" t="inlineStr">
        <is>
          <t>Tách kiện (không đóng tải)</t>
        </is>
      </c>
      <c r="C1442" s="203" t="inlineStr">
        <is>
          <t>Split package (do not close load)</t>
        </is>
      </c>
      <c r="D1442" s="216">
        <f>IFERROR(__xludf.DUMMYFUNCTION("GOOGLETRANSLATE(B1442,""vi"",""km"")"),"កញ្ចប់ដាច់ដោយឡែក (កុំផ្ទុក)")</f>
        <v/>
      </c>
      <c r="E1442" s="3" t="inlineStr">
        <is>
          <t>ដាក់កញ្ចប់ដោយឡែក (មិនបិទជើងដឹក)</t>
        </is>
      </c>
      <c r="F1442" s="3" t="n"/>
      <c r="G1442" s="3" t="inlineStr">
        <is>
          <t>បែងចែកអីវ៉ាន់ដោយឡែក (មិនបិទកញ្ចប់)</t>
        </is>
      </c>
      <c r="H1442" t="inlineStr">
        <is>
          <t>បែងចែកអីវ៉ាន់ដោយឡែក (មិនបិទកញ្ចប់)</t>
        </is>
      </c>
      <c r="I1442" s="217" t="inlineStr">
        <is>
          <t>"splitPackage.titleCheckBoxSplit": "បែងចែកអីវ៉ាន់ដោយឡែក (មិនបិទកញ្ចប់)",</t>
        </is>
      </c>
      <c r="N1442" s="163" t="n"/>
    </row>
    <row r="1443" ht="15.75" customHeight="1" s="305">
      <c r="A1443" s="204" t="inlineStr">
        <is>
          <t>suaDon.billFeeLabel</t>
        </is>
      </c>
      <c r="B1443" s="203" t="inlineStr">
        <is>
          <t>Cước phí:</t>
        </is>
      </c>
      <c r="C1443" s="203" t="inlineStr">
        <is>
          <t>Fee:</t>
        </is>
      </c>
      <c r="D1443" s="216">
        <f>IFERROR(__xludf.DUMMYFUNCTION("GOOGLETRANSLATE(B1443,""vi"",""km"")"),"ថ្លៃដឹកជញ្ជូន៖")</f>
        <v/>
      </c>
      <c r="E1443" s="3" t="inlineStr">
        <is>
          <t>ថ្លៃសេវា</t>
        </is>
      </c>
      <c r="F1443" s="3" t="n"/>
      <c r="G1443" s="3" t="inlineStr">
        <is>
          <t>ថ្លៃសេវា៖</t>
        </is>
      </c>
      <c r="H1443" t="inlineStr">
        <is>
          <t>ថ្លៃសេវា៖</t>
        </is>
      </c>
      <c r="I1443" s="217" t="inlineStr">
        <is>
          <t>"suaDon.billFeeLabel": "ថ្លៃសេវា៖",</t>
        </is>
      </c>
      <c r="N1443" s="163" t="n"/>
    </row>
    <row r="1444" ht="15.75" customHeight="1" s="305">
      <c r="A1444" s="204" t="inlineStr">
        <is>
          <t>suaDon.calculateChangeFee</t>
        </is>
      </c>
      <c r="B1444" s="203" t="inlineStr">
        <is>
          <t>Tính giá thay đổi</t>
        </is>
      </c>
      <c r="C1444" s="203" t="inlineStr">
        <is>
          <t>Calculate change fee</t>
        </is>
      </c>
      <c r="D1444" s="216">
        <f>IFERROR(__xludf.DUMMYFUNCTION("GOOGLETRANSLATE(B1444,""vi"",""km"")"),"គណនាតម្លៃអថេរ")</f>
        <v/>
      </c>
      <c r="E1444" s="3" t="inlineStr">
        <is>
          <t>គណនាតម្លៃផ្លាស់ប្តូរ</t>
        </is>
      </c>
      <c r="F1444" s="3" t="n"/>
      <c r="G1444" s="3" t="inlineStr">
        <is>
          <t>គណនាតម្លៃផ្លាស់ប្តូរ</t>
        </is>
      </c>
      <c r="H1444" t="inlineStr">
        <is>
          <t>គណនាតម្លៃផ្លាស់ប្តូរ</t>
        </is>
      </c>
      <c r="I1444" s="217" t="inlineStr">
        <is>
          <t>"suaDon.calculateChangeFee": "គណនាតម្លៃផ្លាស់ប្តូរ",</t>
        </is>
      </c>
      <c r="N1444" s="163" t="n"/>
    </row>
    <row r="1445" ht="15.75" customHeight="1" s="305">
      <c r="A1445" s="203" t="inlineStr">
        <is>
          <t>suaDon.cancelConfirm</t>
        </is>
      </c>
      <c r="B1445" s="203" t="inlineStr">
        <is>
          <t>Xác nhận</t>
        </is>
      </c>
      <c r="C1445" s="203" t="inlineStr">
        <is>
          <t>Confirm</t>
        </is>
      </c>
      <c r="D1445" s="216">
        <f>IFERROR(__xludf.DUMMYFUNCTION("GOOGLETRANSLATE(B1445,""vi"",""km"")"),"បញ្ជាក់")</f>
        <v/>
      </c>
      <c r="E1445" s="3" t="inlineStr">
        <is>
          <t>បញ្ជាក់</t>
        </is>
      </c>
      <c r="F1445" s="3" t="n"/>
      <c r="G1445" s="3" t="inlineStr">
        <is>
          <t>បញ្ជាក់</t>
        </is>
      </c>
      <c r="H1445" t="inlineStr">
        <is>
          <t>បញ្ជាក់</t>
        </is>
      </c>
      <c r="I1445" s="217" t="inlineStr">
        <is>
          <t>"suaDon.cancelConfirm": "បញ្ជាក់",</t>
        </is>
      </c>
      <c r="N1445" s="163" t="n"/>
    </row>
    <row r="1446" ht="15.75" customHeight="1" s="305">
      <c r="A1446" s="203" t="inlineStr">
        <is>
          <t>suaDon.cancelReasonCustomerRequest</t>
        </is>
      </c>
      <c r="B1446" s="203" t="inlineStr">
        <is>
          <t>Huỷ theo khách hàng yêu cầu</t>
        </is>
      </c>
      <c r="C1446" s="203" t="inlineStr">
        <is>
          <t>Cancelled per customer's request</t>
        </is>
      </c>
      <c r="D1446" s="216">
        <f>IFERROR(__xludf.DUMMYFUNCTION("GOOGLETRANSLATE(B1446,""vi"",""km"")"),"ការលុបចោលតាមការស្នើសុំរបស់អតិថិជន")</f>
        <v/>
      </c>
      <c r="E1446" s="3" t="inlineStr">
        <is>
          <t>លុបចោលតាមការស្នើសុំរបស់អតិថិជន</t>
        </is>
      </c>
      <c r="F1446" s="3" t="n"/>
      <c r="G1446" s="3" t="inlineStr">
        <is>
          <t>លុបចោលតាមការស្នើសុំរបស់អតិថិជន</t>
        </is>
      </c>
      <c r="H1446" t="inlineStr">
        <is>
          <t>លុបចោលតាមការស្នើសុំរបស់អតិថិជន</t>
        </is>
      </c>
      <c r="I1446" s="217" t="inlineStr">
        <is>
          <t>"suaDon.cancelReasonCustomerRequest": "លុបចោលតាមការស្នើសុំរបស់អតិថិជន",</t>
        </is>
      </c>
      <c r="N1446" s="163" t="n"/>
    </row>
    <row r="1447" ht="15.75" customHeight="1" s="305">
      <c r="A1447" s="203" t="inlineStr">
        <is>
          <t>suaDon.cancelReasonInvalidContent</t>
        </is>
      </c>
      <c r="B1447" s="203" t="inlineStr">
        <is>
          <t>Nội dung không hợp lệ</t>
        </is>
      </c>
      <c r="C1447" s="203" t="inlineStr">
        <is>
          <t>Invalid content</t>
        </is>
      </c>
      <c r="D1447" s="216">
        <f>IFERROR(__xludf.DUMMYFUNCTION("GOOGLETRANSLATE(B1447,""vi"",""km"")"),"ខ្លឹមសារមិនត្រឹមត្រូវ")</f>
        <v/>
      </c>
      <c r="E1447" s="3" t="inlineStr">
        <is>
          <t>ខ្លឹមសារមិនសមស្រប</t>
        </is>
      </c>
      <c r="F1447" s="3" t="n"/>
      <c r="G1447" s="3" t="inlineStr">
        <is>
          <t>ខ្លឹមសារមិនសមស្រប</t>
        </is>
      </c>
      <c r="H1447" t="inlineStr">
        <is>
          <t>ខ្លឹមសារមិនសមស្រប</t>
        </is>
      </c>
      <c r="I1447" s="217" t="inlineStr">
        <is>
          <t>"suaDon.cancelReasonInvalidContent": "ខ្លឹមសារមិនសមស្រប",</t>
        </is>
      </c>
      <c r="N1447" s="163" t="n"/>
    </row>
    <row r="1448" ht="15.75" customHeight="1" s="305">
      <c r="A1448" s="203" t="inlineStr">
        <is>
          <t>suaDon.cancelReasonOther</t>
        </is>
      </c>
      <c r="B1448" s="203" t="inlineStr">
        <is>
          <t>Lý do khác</t>
        </is>
      </c>
      <c r="C1448" s="203" t="inlineStr">
        <is>
          <t>Other reason</t>
        </is>
      </c>
      <c r="D1448" s="216">
        <f>IFERROR(__xludf.DUMMYFUNCTION("GOOGLETRANSLATE(B1448,""vi"",""km"")"),"ហេតុផលផ្សេងទៀត")</f>
        <v/>
      </c>
      <c r="E1448" s="3" t="inlineStr">
        <is>
          <t>ហេតុផលផ្សេង</t>
        </is>
      </c>
      <c r="F1448" s="3" t="n"/>
      <c r="G1448" s="3" t="inlineStr">
        <is>
          <t>ហេតុផលផ្សេង</t>
        </is>
      </c>
      <c r="H1448" t="inlineStr">
        <is>
          <t>ហេតុផលផ្សេង</t>
        </is>
      </c>
      <c r="I1448" s="217" t="inlineStr">
        <is>
          <t>"suaDon.cancelReasonOther": "ហេតុផលផ្សេង",</t>
        </is>
      </c>
      <c r="N1448" s="163" t="n"/>
    </row>
    <row r="1449" ht="15.75" customHeight="1" s="305">
      <c r="A1449" s="203" t="inlineStr">
        <is>
          <t>suaDon.cancelReasonOtherError</t>
        </is>
      </c>
      <c r="B1449" s="203" t="inlineStr">
        <is>
          <t>Vui lòng nhập lý do khác</t>
        </is>
      </c>
      <c r="C1449" s="203" t="inlineStr">
        <is>
          <t>Please enter other reason</t>
        </is>
      </c>
      <c r="D1449" s="216">
        <f>IFERROR(__xludf.DUMMYFUNCTION("GOOGLETRANSLATE(B1449,""vi"",""km"")"),"សូមបញ្ចូលហេតុផលផ្សេងទៀត។")</f>
        <v/>
      </c>
      <c r="E1449" s="3" t="inlineStr">
        <is>
          <t>សូមបំពេញហេតុផលផ្សេង</t>
        </is>
      </c>
      <c r="F1449" s="3" t="n"/>
      <c r="G1449" s="3" t="inlineStr">
        <is>
          <t>សូមបំពេញហេតុផលផ្សេង</t>
        </is>
      </c>
      <c r="H1449" t="inlineStr">
        <is>
          <t>សូមបំពេញហេតុផលផ្សេង</t>
        </is>
      </c>
      <c r="I1449" s="217" t="inlineStr">
        <is>
          <t>"suaDon.cancelReasonOtherError": "សូមបំពេញហេតុផលផ្សេង",</t>
        </is>
      </c>
      <c r="N1449" s="163" t="n"/>
    </row>
    <row r="1450" ht="15.75" customHeight="1" s="305">
      <c r="A1450" s="203" t="inlineStr">
        <is>
          <t>suaDon.cancelReasonOtherPlaceholder</t>
        </is>
      </c>
      <c r="B1450" s="203" t="inlineStr">
        <is>
          <t>Nội dung lý do huỷ đơn</t>
        </is>
      </c>
      <c r="C1450" s="203" t="inlineStr">
        <is>
          <t>Cancellation reason content</t>
        </is>
      </c>
      <c r="D1450" s="216">
        <f>IFERROR(__xludf.DUMMYFUNCTION("GOOGLETRANSLATE(B1450,""vi"",""km"")"),"មូលហេតុនៃការលុបចោលការបញ្ជាទិញ")</f>
        <v/>
      </c>
      <c r="E1450" s="3" t="inlineStr">
        <is>
          <t>ខ្លឹមសារពីហេតុផលដែលលុបបុងចោល</t>
        </is>
      </c>
      <c r="F1450" s="3" t="n"/>
      <c r="G1450" s="3" t="inlineStr">
        <is>
          <t>ខ្លឹមសារពីហេតុផលដែលលុបបុងចោល</t>
        </is>
      </c>
      <c r="H1450" t="inlineStr">
        <is>
          <t>ខ្លឹមសារពីហេតុផលដែលលុបបុងចោល</t>
        </is>
      </c>
      <c r="I1450" s="217" t="inlineStr">
        <is>
          <t>"suaDon.cancelReasonOtherPlaceholder": "ខ្លឹមសារពីហេតុផលដែលលុបបុងចោល",</t>
        </is>
      </c>
      <c r="N1450" s="163" t="n"/>
    </row>
    <row r="1451" ht="15.75" customHeight="1" s="305">
      <c r="A1451" s="203" t="inlineStr">
        <is>
          <t>suaDon.cancelReasonProhibitedGoods</t>
        </is>
      </c>
      <c r="B1451" s="203" t="inlineStr">
        <is>
          <t>Hàng cấm gửi/không được phép vận chuyển</t>
        </is>
      </c>
      <c r="C1451" s="203" t="inlineStr">
        <is>
          <t>Prohibited goods/not allowed for transport</t>
        </is>
      </c>
      <c r="D1451" s="216">
        <f>IFERROR(__xludf.DUMMYFUNCTION("GOOGLETRANSLATE(B1451,""vi"",""km"")"),"វត្ថុហាមឃាត់/គ្មានការអនុញ្ញាត")</f>
        <v/>
      </c>
      <c r="E1451" s="3" t="inlineStr">
        <is>
          <t>អីវ៉ាន់ហាមឃាត់ផ្ញើ/មិនអនុញ្ញាត្តិឲ្យដឹកជញ្ជូនឡើយ</t>
        </is>
      </c>
      <c r="F1451" s="3" t="n"/>
      <c r="G1451" s="3" t="inlineStr">
        <is>
          <t>អីវ៉ាន់ហាមឃាត់ផ្ញើ/មិនអនុញ្ញាត្តិឲ្យដឹកជញ្ជូនឡើយ</t>
        </is>
      </c>
      <c r="H1451" t="inlineStr">
        <is>
          <t>អីវ៉ាន់ហាមឃាត់ផ្ញើ/មិនអនុញ្ញាត្តិឲ្យដឹកជញ្ជូនឡើយ</t>
        </is>
      </c>
      <c r="I1451" s="217" t="inlineStr">
        <is>
          <t>"suaDon.cancelReasonProhibitedGoods": "អីវ៉ាន់ហាមឃាត់ផ្ញើ/មិនអនុញ្ញាត្តិឲ្យដឹកជញ្ជូនឡើយ",</t>
        </is>
      </c>
      <c r="N1451" s="163" t="n"/>
    </row>
    <row r="1452" ht="15.75" customHeight="1" s="305">
      <c r="A1452" s="203" t="inlineStr">
        <is>
          <t>suaDon.cancelReasonTitle</t>
        </is>
      </c>
      <c r="B1452" s="203" t="inlineStr">
        <is>
          <t>Lý do huỷ đơn</t>
        </is>
      </c>
      <c r="C1452" s="203" t="inlineStr">
        <is>
          <t>Cancellation reason</t>
        </is>
      </c>
      <c r="D1452" s="216">
        <f>IFERROR(__xludf.DUMMYFUNCTION("GOOGLETRANSLATE(B1452,""vi"",""km"")"),"មូលហេតុនៃការលុបចោលការបញ្ជាទិញ")</f>
        <v/>
      </c>
      <c r="E1452" s="3" t="inlineStr">
        <is>
          <t>ហេតុផលលុបបុងបញ្ញើ</t>
        </is>
      </c>
      <c r="F1452" s="3" t="n"/>
      <c r="G1452" s="3" t="inlineStr">
        <is>
          <t>ហេតុផលលុបបុងបញ្ញើ</t>
        </is>
      </c>
      <c r="H1452" t="inlineStr">
        <is>
          <t>ហេតុផលលុបបុងបញ្ញើ</t>
        </is>
      </c>
      <c r="I1452" s="217" t="inlineStr">
        <is>
          <t>"suaDon.cancelReasonTitle": "ហេតុផលលុបបុងបញ្ញើ",</t>
        </is>
      </c>
      <c r="N1452" s="163" t="n"/>
    </row>
    <row r="1453" ht="15.75" customHeight="1" s="305">
      <c r="A1453" s="203" t="inlineStr">
        <is>
          <t>suaDon.cancelSuccess</t>
        </is>
      </c>
      <c r="B1453" s="203" t="inlineStr">
        <is>
          <t>Huỷ đơn hàng {{value}} thành công</t>
        </is>
      </c>
      <c r="C1453" s="203" t="inlineStr">
        <is>
          <t>Order {{value}} cancelled successfully</t>
        </is>
      </c>
      <c r="D1453" s="216">
        <f>IFERROR(__xludf.DUMMYFUNCTION("GOOGLETRANSLATE(B1453,""vi"",""km"")"),"ការបញ្ជាទិញ {{value}} ត្រូវបានលុបចោលដោយជោគជ័យ។")</f>
        <v/>
      </c>
      <c r="E1453" s="204" t="inlineStr">
        <is>
          <t>លុបបុងបញ្ញើ {{value}} បានជោគជ័យ</t>
        </is>
      </c>
      <c r="F1453" s="3" t="n"/>
      <c r="G1453" s="3" t="inlineStr">
        <is>
          <t>លុបបុងបញ្ញើ {{value}} បានជោគជ័យ</t>
        </is>
      </c>
      <c r="H1453" t="inlineStr">
        <is>
          <t>លុបបុងបញ្ញើ {{value}} បានជោគជ័យ</t>
        </is>
      </c>
      <c r="I1453" s="217" t="inlineStr">
        <is>
          <t>"suaDon.cancelSuccess": "លុបបុងបញ្ញើ {{value}} បានជោគជ័យ",</t>
        </is>
      </c>
      <c r="N1453" s="163" t="n"/>
    </row>
    <row r="1454" ht="15.75" customHeight="1" s="305">
      <c r="A1454" s="203" t="inlineStr">
        <is>
          <t>suaDon.cannotCancelOrder</t>
        </is>
      </c>
      <c r="B1454" s="203" t="inlineStr">
        <is>
          <t>Không thể hủy đơn</t>
        </is>
      </c>
      <c r="C1454" s="203" t="inlineStr">
        <is>
          <t>Cannot cancel order</t>
        </is>
      </c>
      <c r="D1454" s="216">
        <f>IFERROR(__xludf.DUMMYFUNCTION("GOOGLETRANSLATE(B1454,""vi"",""km"")"),"ការបញ្ជាទិញមិនអាចលុបចោលបានទេ។")</f>
        <v/>
      </c>
      <c r="E1454" s="3" t="inlineStr">
        <is>
          <t>មិនអាចលុបបុងបញ្ញើនេះបាន</t>
        </is>
      </c>
      <c r="F1454" s="3" t="n"/>
      <c r="G1454" s="3" t="inlineStr">
        <is>
          <t>មិនអាចលុបបុងបញ្ញើនេះបាន</t>
        </is>
      </c>
      <c r="H1454" t="inlineStr">
        <is>
          <t>មិនអាចលុបបុងបញ្ញើនេះបាន</t>
        </is>
      </c>
      <c r="I1454" s="217" t="inlineStr">
        <is>
          <t>"suaDon.cannotCancelOrder": "មិនអាចលុបបុងបញ្ញើនេះបាន",</t>
        </is>
      </c>
      <c r="N1454" s="163" t="n"/>
    </row>
    <row r="1455" ht="15.75" customHeight="1" s="305">
      <c r="A1455" s="203" t="inlineStr">
        <is>
          <t>suaDon.cannotEditMessage</t>
        </is>
      </c>
      <c r="B1455" s="203" t="inlineStr">
        <is>
          <t>Đơn hàng này không được phép sửa</t>
        </is>
      </c>
      <c r="C1455" s="203" t="inlineStr">
        <is>
          <t>This order cannot be edited</t>
        </is>
      </c>
      <c r="D1455" s="216">
        <f>IFERROR(__xludf.DUMMYFUNCTION("GOOGLETRANSLATE(B1455,""vi"",""km"")"),"ការបញ្ជាទិញនេះមិនអាចកែសម្រួលបានទេ។")</f>
        <v/>
      </c>
      <c r="E1455" s="3" t="inlineStr">
        <is>
          <t>បុងបញ្ញើនេះមិនអនុញ្ញាត្តិឲ្យកែសម្រួលបាន</t>
        </is>
      </c>
      <c r="F1455" s="3" t="n"/>
      <c r="G1455" s="3" t="inlineStr">
        <is>
          <t>បុងបញ្ញើនេះមិនអនុញ្ញាត្តិឲ្យកែសម្រួលបាន</t>
        </is>
      </c>
      <c r="H1455" t="inlineStr">
        <is>
          <t>បុងបញ្ញើនេះមិនអនុញ្ញាត្តិឲ្យកែសម្រួលបាន</t>
        </is>
      </c>
      <c r="I1455" s="217" t="inlineStr">
        <is>
          <t>"suaDon.cannotEditMessage": "បុងបញ្ញើនេះមិនអនុញ្ញាត្តិឲ្យកែសម្រួលបាន",</t>
        </is>
      </c>
      <c r="N1455" s="163" t="n"/>
    </row>
    <row r="1456" ht="15.75" customHeight="1" s="305">
      <c r="A1456" s="203" t="inlineStr">
        <is>
          <t>suaDon.cannotEditTitle</t>
        </is>
      </c>
      <c r="B1456" s="203" t="inlineStr">
        <is>
          <t>Không thể sửa đơn</t>
        </is>
      </c>
      <c r="C1456" s="203" t="inlineStr">
        <is>
          <t>Cannot edit order</t>
        </is>
      </c>
      <c r="D1456" s="216">
        <f>IFERROR(__xludf.DUMMYFUNCTION("GOOGLETRANSLATE(B1456,""vi"",""km"")"),"មិនអាចកែសម្រួលការបញ្ជាទិញបានទេ។")</f>
        <v/>
      </c>
      <c r="E1456" s="3" t="inlineStr">
        <is>
          <t>មិនអាចកែសម្រួលបុងបញ្ញើបានទេ</t>
        </is>
      </c>
      <c r="F1456" s="3" t="n"/>
      <c r="G1456" s="3" t="inlineStr">
        <is>
          <t>មិនអាចកែសម្រួលបុងបញ្ញើបានទេ</t>
        </is>
      </c>
      <c r="H1456" t="inlineStr">
        <is>
          <t>មិនអាចកែសម្រួលបុងបញ្ញើបានទេ</t>
        </is>
      </c>
      <c r="I1456" s="217" t="inlineStr">
        <is>
          <t>"suaDon.cannotEditTitle": "មិនអាចកែសម្រួលបុងបញ្ញើបានទេ",</t>
        </is>
      </c>
      <c r="N1456" s="163" t="n"/>
    </row>
    <row r="1457" ht="15.75" customHeight="1" s="305">
      <c r="A1457" s="203" t="inlineStr">
        <is>
          <t>suaDon.confirmCancelOrder</t>
        </is>
      </c>
      <c r="B1457" s="203" t="inlineStr">
        <is>
          <t>Bạn có chắc chắn muốn hủy đơn hàng</t>
        </is>
      </c>
      <c r="C1457" s="203" t="inlineStr">
        <is>
          <t>Are you sure you want to cancel the order?</t>
        </is>
      </c>
      <c r="D1457" s="216">
        <f>IFERROR(__xludf.DUMMYFUNCTION("GOOGLETRANSLATE(B1457,""vi"",""km"")"),"តើអ្នកប្រាកដថាចង់លុបចោលការបញ្ជាទិញមែនទេ?")</f>
        <v/>
      </c>
      <c r="E1457" s="3" t="inlineStr">
        <is>
          <t>តើអ្នកពិតជាចង់លុបបុងបញ្ញើនេះចេញមែនទេ?</t>
        </is>
      </c>
      <c r="F1457" s="3" t="n"/>
      <c r="G1457" s="3" t="inlineStr">
        <is>
          <t>តើអ្នកពិតជាចង់លុបបុងបញ្ញើនេះចេញមែនទេ?</t>
        </is>
      </c>
      <c r="H1457" t="inlineStr">
        <is>
          <t>តើអ្នកពិតជាចង់លុបបុងបញ្ញើនេះចេញមែនទេ?</t>
        </is>
      </c>
      <c r="I1457" s="217" t="inlineStr">
        <is>
          <t>"suaDon.confirmCancelOrder": "តើអ្នកពិតជាចង់លុបបុងបញ្ញើនេះចេញមែនទេ?",</t>
        </is>
      </c>
      <c r="N1457" s="163" t="n"/>
    </row>
    <row r="1458" ht="15.75" customHeight="1" s="305">
      <c r="A1458" s="203" t="inlineStr">
        <is>
          <t>suaDon.tracuoc</t>
        </is>
      </c>
      <c r="B1458" s="203" t="inlineStr">
        <is>
          <t>Hình thức trả cước</t>
        </is>
      </c>
      <c r="C1458" s="203" t="inlineStr">
        <is>
          <t>Payment type</t>
        </is>
      </c>
      <c r="D1458" s="216">
        <f>IFERROR(__xludf.DUMMYFUNCTION("GOOGLETRANSLATE(B1458,""vi"",""km"")"),"វិធីសាស្ត្រទូទាត់")</f>
        <v/>
      </c>
      <c r="E1458" s="3" t="inlineStr">
        <is>
          <t>វិធីសាស្រ្តបង់ថ្លៃសេវា</t>
        </is>
      </c>
      <c r="F1458" s="3" t="n"/>
      <c r="G1458" s="3" t="inlineStr">
        <is>
          <t>វិធីសាស្រ្តបង់ថ្លៃសេវា</t>
        </is>
      </c>
      <c r="H1458" t="inlineStr">
        <is>
          <t>វិធីសាស្រ្តបង់ថ្លៃសេវា</t>
        </is>
      </c>
      <c r="I1458" s="217" t="inlineStr">
        <is>
          <t>"suaDon.tracuoc": "វិធីសាស្រ្តបង់ថ្លៃសេវា",</t>
        </is>
      </c>
      <c r="N1458" s="163" t="n"/>
    </row>
    <row r="1459" ht="15.75" customHeight="1" s="305">
      <c r="A1459" s="203" t="inlineStr">
        <is>
          <t>taoKien.confirmXoaAllKienCon</t>
        </is>
      </c>
      <c r="B1459" s="203" t="inlineStr">
        <is>
          <t>Bưu gửi {{value}} thuộc đơn tách kiện, bạn có muốn xóa cả {{count_kien}} kiện không?</t>
        </is>
      </c>
      <c r="C1459" s="203" t="inlineStr">
        <is>
          <t>Shipment {{value}} belongs to a split order, do you want to delete all {{count_kien}} packages?</t>
        </is>
      </c>
      <c r="D1459" s="216">
        <f>IFERROR(__xludf.DUMMYFUNCTION("GOOGLETRANSLATE(B1459,""vi"",""km"")"),"ការដឹកជញ្ជូន {{value}} ជាកម្មសិទ្ធិរបស់ការបញ្ជាទិញកញ្ចប់បំបែក។ តើអ្នកចង់លុបកញ្ចប់ {{count_kien}} ទាំងមូលទេ?")</f>
        <v/>
      </c>
      <c r="E1459" s="204" t="inlineStr">
        <is>
          <t>អីវ៉ាន់បញ្ញើ{{value}} ស្ថិតក្នុងស្ថានភាពដាក់អីវ៉ាន់ដាច់ដោយឡែក, តើអ្នកចង់លុបបុងទាំងអស់ទេ {{count_kien}} ?</t>
        </is>
      </c>
      <c r="F1459" s="3" t="n"/>
      <c r="G1459" s="3" t="inlineStr">
        <is>
          <t>អីវ៉ាន់បញ្ញើ{{value}} ស្ថិតក្នុងស្ថានភាពដាក់អីវ៉ាន់ដាច់ដោយឡែក, តើអ្នកចង់លុបបុងទាំងអស់ទេ {{count_kien}} ?</t>
        </is>
      </c>
      <c r="H1459" t="inlineStr">
        <is>
          <t>អីវ៉ាន់បញ្ញើ{{value}} ស្ថិតក្នុងស្ថានភាពដាក់អីវ៉ាន់ដាច់ដោយឡែក, តើអ្នកចង់លុបបុងទាំងអស់ទេ {{count_kien}} ?</t>
        </is>
      </c>
      <c r="I1459" s="217" t="inlineStr">
        <is>
          <t>"taoKien.confirmXoaAllKienCon": "អីវ៉ាន់បញ្ញើ{{value}} ស្ថិតក្នុងស្ថានភាពដាក់អីវ៉ាន់ដាច់ដោយឡែក, តើអ្នកចង់លុបបុងទាំងអស់ទេ {{count_kien}} ?",</t>
        </is>
      </c>
      <c r="N1459" s="163" t="n"/>
    </row>
    <row r="1460" ht="15.75" customHeight="1" s="305">
      <c r="A1460" s="203" t="inlineStr">
        <is>
          <t>taoKien.donHangDaDuocBanGiao</t>
        </is>
      </c>
      <c r="B1460" s="203" t="inlineStr">
        <is>
          <t>Đơn hàng đã được bàn giao</t>
        </is>
      </c>
      <c r="C1460" s="203" t="inlineStr">
        <is>
          <t>Order has been handed over</t>
        </is>
      </c>
      <c r="D1460" s="216">
        <f>IFERROR(__xludf.DUMMYFUNCTION("GOOGLETRANSLATE(B1460,""vi"",""km"")"),"ការបញ្ជាទិញត្រូវបានដឹកជញ្ជូនហើយ។")</f>
        <v/>
      </c>
      <c r="E1460" s="3" t="inlineStr">
        <is>
          <t>បុងបញ្ញើត្រូវបានប្រគល់</t>
        </is>
      </c>
      <c r="F1460" s="3" t="n"/>
      <c r="G1460" s="3" t="inlineStr">
        <is>
          <t>បុងបញ្ញើត្រូវបានប្រគល់</t>
        </is>
      </c>
      <c r="H1460" t="inlineStr">
        <is>
          <t>បុងបញ្ញើត្រូវបានប្រគល់</t>
        </is>
      </c>
      <c r="I1460" s="217" t="inlineStr">
        <is>
          <t>"taoKien.donHangDaDuocBanGiao": "បុងបញ្ញើត្រូវបានប្រគល់",</t>
        </is>
      </c>
      <c r="N1460" s="163" t="n"/>
    </row>
    <row r="1461" ht="15.75" customHeight="1" s="305">
      <c r="A1461" s="203" t="inlineStr">
        <is>
          <t>taoKien.messageChangeStatusSoLuongKien</t>
        </is>
      </c>
      <c r="B1461" s="203" t="inlineStr">
        <is>
          <t>Bưu gửi {{code_kien}} gồm {{count}} kiện con, bạn có muốn cập nhật trạng thái cho {{count}} kiện không?</t>
        </is>
      </c>
      <c r="C1461" s="203" t="inlineStr">
        <is>
          <t>Shipment {{code_kien}} contains {{count}} sub-packages, do you want to update the status for all {{count}} packages?</t>
        </is>
      </c>
      <c r="D1461" s="216">
        <f>IFERROR(__xludf.DUMMYFUNCTION("GOOGLETRANSLATE(B1461,""vi"",""km"")"),"ការដឹកជញ្ជូន {{code_kien}} មានកញ្ចប់រង {{count}}។ តើអ្នកចង់ធ្វើបច្ចុប្បន្នភាពស្ថានភាពសម្រាប់កញ្ចប់ {{count}} ដែរឬទេ?")</f>
        <v/>
      </c>
      <c r="E1461" s="204" t="inlineStr">
        <is>
          <t>អីវ៉ាន់បញ្ញើ {{code_kien}} បញ្ចូល {{count}}កញ្ចប់តូចៗ, តើអ្នកចង់អាប់ដេតស្ថានភាពឲ្យ {{count}} កញ្ចប់អីវ៉ាន់ទេ?</t>
        </is>
      </c>
      <c r="F1461" s="3" t="n"/>
      <c r="G1461" s="3" t="inlineStr">
        <is>
          <t>អីវ៉ាន់បញ្ញើ {{code_kien}} បញ្ចូល {{count}}កញ្ចប់តូចៗ, តើអ្នកចង់អាប់ដេតស្ថានភាពឲ្យ {{count}} កញ្ចប់អីវ៉ាន់ទេ?</t>
        </is>
      </c>
      <c r="H1461" t="inlineStr">
        <is>
          <t>អីវ៉ាន់បញ្ញើ {{code_kien}} បញ្ចូល {{count}}កញ្ចប់តូចៗ, តើអ្នកចង់អាប់ដេតស្ថានភាពឲ្យ {{count}} កញ្ចប់អីវ៉ាន់ទេ?</t>
        </is>
      </c>
      <c r="I1461" s="217" t="inlineStr">
        <is>
          <t>"taoKien.messageChangeStatusSoLuongKien": "អីវ៉ាន់បញ្ញើ {{code_kien}} បញ្ចូល {{count}}កញ្ចប់តូចៗ, តើអ្នកចង់អាប់ដេតស្ថានភាពឲ្យ {{count}} កញ្ចប់អីវ៉ាន់ទេ?",</t>
        </is>
      </c>
      <c r="N1461" s="163" t="n"/>
    </row>
    <row r="1462" ht="15.75" customHeight="1" s="305">
      <c r="A1462" s="203" t="inlineStr">
        <is>
          <t>taoKien.messageChieuCaoPhaiLonHonKhong</t>
        </is>
      </c>
      <c r="B1462" s="203" t="inlineStr">
        <is>
          <t>Chiều cao phải &gt; 0</t>
        </is>
      </c>
      <c r="C1462" s="203" t="inlineStr">
        <is>
          <t>Height must be &gt; 0</t>
        </is>
      </c>
      <c r="D1462" s="216">
        <f>IFERROR(__xludf.DUMMYFUNCTION("GOOGLETRANSLATE(B1462,""vi"",""km"")"),"កម្ពស់ត្រូវតែ &gt; 0")</f>
        <v/>
      </c>
      <c r="E1462" s="3" t="inlineStr">
        <is>
          <t>កម្ពស់ត្រូវតែ &gt;0</t>
        </is>
      </c>
      <c r="F1462" s="3" t="n"/>
      <c r="G1462" s="3" t="inlineStr">
        <is>
          <t>កម្ពស់ត្រូវតែ &gt;0</t>
        </is>
      </c>
      <c r="H1462" t="inlineStr">
        <is>
          <t>កម្ពស់ត្រូវតែ &gt;0</t>
        </is>
      </c>
      <c r="I1462" s="217" t="inlineStr">
        <is>
          <t>"taoKien.messageChieuCaoPhaiLonHonKhong": "កម្ពស់ត្រូវតែ &gt;0",</t>
        </is>
      </c>
      <c r="N1462" s="163" t="n"/>
    </row>
    <row r="1463" ht="15.75" customHeight="1" s="305">
      <c r="A1463" s="203" t="inlineStr">
        <is>
          <t>taoKien.messageChieuDaiPhaiLonHonKhong</t>
        </is>
      </c>
      <c r="B1463" s="203" t="inlineStr">
        <is>
          <t>Chiều dài phải &gt; 0</t>
        </is>
      </c>
      <c r="C1463" s="203" t="inlineStr">
        <is>
          <t>Length must be &gt; 0</t>
        </is>
      </c>
      <c r="D1463" s="216">
        <f>IFERROR(__xludf.DUMMYFUNCTION("GOOGLETRANSLATE(B1463,""vi"",""km"")"),"ប្រវែងត្រូវតែ &gt; 0")</f>
        <v/>
      </c>
      <c r="E1463" s="3" t="inlineStr">
        <is>
          <t>ប្រវែងត្រូវតែ &gt;0</t>
        </is>
      </c>
      <c r="F1463" s="3" t="n"/>
      <c r="G1463" s="3" t="inlineStr">
        <is>
          <t>ប្រវែងត្រូវតែ &gt;0</t>
        </is>
      </c>
      <c r="H1463" t="inlineStr">
        <is>
          <t>ប្រវែងត្រូវតែ &gt;0</t>
        </is>
      </c>
      <c r="I1463" s="217" t="inlineStr">
        <is>
          <t>"taoKien.messageChieuDaiPhaiLonHonKhong": "ប្រវែងត្រូវតែ &gt;0",</t>
        </is>
      </c>
      <c r="N1463" s="163" t="n"/>
    </row>
    <row r="1464" ht="15.75" customHeight="1" s="305">
      <c r="A1464" s="203" t="inlineStr">
        <is>
          <t>taoKien.messageChieuRongPhaiLonHonKhong</t>
        </is>
      </c>
      <c r="B1464" s="203" t="inlineStr">
        <is>
          <t>Chiều rộng phải &gt; 0</t>
        </is>
      </c>
      <c r="C1464" s="203" t="inlineStr">
        <is>
          <t>Width must be &gt; 0</t>
        </is>
      </c>
      <c r="D1464" s="216">
        <f>IFERROR(__xludf.DUMMYFUNCTION("GOOGLETRANSLATE(B1464,""vi"",""km"")"),"ទទឹងត្រូវតែ &gt; 0")</f>
        <v/>
      </c>
      <c r="E1464" s="3" t="inlineStr">
        <is>
          <t>ទទឹងត្រូវតែ&gt;0</t>
        </is>
      </c>
      <c r="F1464" s="3" t="n"/>
      <c r="G1464" s="3" t="inlineStr">
        <is>
          <t>ទទឹងត្រូវតែ&gt;0</t>
        </is>
      </c>
      <c r="H1464" t="inlineStr">
        <is>
          <t>ទទឹងត្រូវតែ&gt;0</t>
        </is>
      </c>
      <c r="I1464" s="217" t="inlineStr">
        <is>
          <t>"taoKien.messageChieuRongPhaiLonHonKhong": "ទទឹងត្រូវតែ&gt;0",</t>
        </is>
      </c>
      <c r="N1464" s="163" t="n"/>
    </row>
    <row r="1465" ht="15.75" customHeight="1" s="305">
      <c r="A1465" s="203" t="inlineStr">
        <is>
          <t>taoKien.messageConfirmNhanAllKien</t>
        </is>
      </c>
      <c r="B1465" s="203" t="inlineStr">
        <is>
          <t>Bưu gửi &lt;b&gt;{{code_kien}}&lt;/b&gt; gồm &lt;b&gt;{{count}}&lt;/b&gt; kiện con, bạn có muốn nhận cả &lt;b&gt;{{count}}&lt;/b&gt; kiện không?</t>
        </is>
      </c>
      <c r="C1465" s="203" t="inlineStr">
        <is>
          <t>Shipment &lt;b&gt;{{code_kien}}&lt;/b&gt; contains &lt;b&gt;{{count}}&lt;/b&gt; sub-packages, do you want to receive all &lt;b&gt;{{count}}&lt;/b&gt; packages?</t>
        </is>
      </c>
      <c r="D1465" s="216">
        <f>IFERROR(__xludf.DUMMYFUNCTION("GOOGLETRANSLATE(B1465,""vi"",""km"")"),"កញ្ចប់ &lt;b&gt;{{code_kien}&lt;/b&gt; មានកញ្ចប់តូចៗចំនួន &lt;b&gt;{{count}&lt;/b&gt; តើអ្នកចង់ទទួលកញ្ចប់ &lt;b&gt;{{count}&lt;/b&gt; ទាំងមូលទេ?")</f>
        <v/>
      </c>
      <c r="E1465" s="204" t="inlineStr">
        <is>
          <t>អីវ៉ាន់បញ្ញើ &lt;b&gt;{{កូដ_កញ្ចប់}}&lt;/b&gt; បញ្ចូល &lt;b&gt;{{count}}&lt;/b&gt; កញ្ចប់តូចៗ, តេីអ្នកចង់ទទួលទាំងអស់នូវ &lt;b&gt;{{count}}&lt;/b&gt; កញ្ចប់អីវ៉ាន់ទេ?</t>
        </is>
      </c>
      <c r="F1465" s="3" t="n"/>
      <c r="G1465" s="3" t="inlineStr">
        <is>
          <t>អីវ៉ាន់បញ្ញើ &lt;b&gt;{{កូដ_កញ្ចប់}}&lt;/b&gt; បញ្ចូល &lt;b&gt;{{count}}&lt;/b&gt; កញ្ចប់តូចៗ, តេីអ្នកចង់ទទួលទាំងអស់នូវ &lt;b&gt;{{count}}&lt;/b&gt; កញ្ចប់អីវ៉ាន់ទេ?</t>
        </is>
      </c>
      <c r="H1465" t="inlineStr">
        <is>
          <t>អីវ៉ាន់បញ្ញើ &lt;b&gt;{{កូដ_កញ្ចប់}}&lt;/b&gt; បញ្ចូល &lt;b&gt;{{count}}&lt;/b&gt; កញ្ចប់តូចៗ, តេីអ្នកចង់ទទួលទាំងអស់នូវ &lt;b&gt;{{count}}&lt;/b&gt; កញ្ចប់អីវ៉ាន់ទេ?</t>
        </is>
      </c>
      <c r="I1465" s="217" t="inlineStr">
        <is>
          <t>"taoKien.messageConfirmNhanAllKien": "អីវ៉ាន់បញ្ញើ &lt;b&gt;{{កូដ_កញ្ចប់}}&lt;/b&gt; បញ្ចូល &lt;b&gt;{{count}}&lt;/b&gt; កញ្ចប់តូចៗ, តេីអ្នកចង់ទទួលទាំងអស់នូវ &lt;b&gt;{{count}}&lt;/b&gt; កញ្ចប់អីវ៉ាន់ទេ?",</t>
        </is>
      </c>
      <c r="N1465" s="163" t="n"/>
    </row>
    <row r="1466" ht="15.75" customHeight="1" s="305">
      <c r="A1466" s="203" t="inlineStr">
        <is>
          <t>taoKien.messageConfirmPhanCongSoLuongKien2</t>
        </is>
      </c>
      <c r="B1466" s="203" t="inlineStr">
        <is>
          <t>Bưu gửi &lt;a&gt;{{code_kien}}&lt;/a&gt; gồm &lt;b&gt;{{count}}&lt;/b&gt; kiện con, bạn có muốn phân công phát cả &lt;b&gt;{{count}}&lt;/b&gt; kiện không?</t>
        </is>
      </c>
      <c r="C1466" s="203" t="inlineStr">
        <is>
          <t>Shipment &lt;a&gt;{{code_kien}}&lt;/a&gt; contains &lt;b&gt;{{count}}&lt;/b&gt; sub-packages, do you want to assign delivery for all &lt;b&gt;{{count}}&lt;/b&gt; packages?</t>
        </is>
      </c>
      <c r="D1466" s="216">
        <f>IFERROR(__xludf.DUMMYFUNCTION("GOOGLETRANSLATE(B1466,""vi"",""km"")"),"ការដឹកជញ្ជូន &lt;a&gt;{{code_kien}&lt;/a&gt; រួមមានកញ្ចប់តូចៗចំនួន &lt;b&gt;{{count}&lt;/b&gt;។ តើអ្នកចង់កំណត់ការដឹកជញ្ជូនទៅកញ្ចប់ទាំងអស់របស់ &lt;b&gt;{{count}&lt;/b&gt; ដែរឬទេ?")</f>
        <v/>
      </c>
      <c r="E1466" s="204" t="inlineStr">
        <is>
          <t>អីវ៉ាន់បញ្ញើ &lt;b&gt;{{កូដ_កញ្ចប់}}&lt;/b&gt; បញ្ចូល &lt;b&gt;{{count}}&lt;/b&gt; កញ្ចប់តូចៗ, តេីអ្នកចង់បែងចែកហើយប្រគល់ &lt;b&gt;{{count}}&lt;/b&gt; កញ្ចប់អីវ៉ាន់ទេ?</t>
        </is>
      </c>
      <c r="F1466" s="3" t="n"/>
      <c r="G1466" s="3" t="inlineStr">
        <is>
          <t>អីវ៉ាន់បញ្ញើ &lt;b&gt;{{កូដ_កញ្ចប់}}&lt;/b&gt; បញ្ចូល &lt;b&gt;{{count}}&lt;/b&gt; កញ្ចប់តូចៗ, តេីអ្នកចង់បែងចែកហើយប្រគល់ &lt;b&gt;{{count}}&lt;/b&gt; កញ្ចប់អីវ៉ាន់ទេ?</t>
        </is>
      </c>
      <c r="H1466" t="inlineStr">
        <is>
          <t>អីវ៉ាន់បញ្ញើ &lt;b&gt;{{កូដ_កញ្ចប់}}&lt;/b&gt; បញ្ចូល &lt;b&gt;{{count}}&lt;/b&gt; កញ្ចប់តូចៗ, តេីអ្នកចង់បែងចែកហើយប្រគល់ &lt;b&gt;{{count}}&lt;/b&gt; កញ្ចប់អីវ៉ាន់ទេ?</t>
        </is>
      </c>
      <c r="I1466" s="217" t="inlineStr">
        <is>
          <t>"taoKien.messageConfirmPhanCongSoLuongKien2": "អីវ៉ាន់បញ្ញើ &lt;b&gt;{{កូដ_កញ្ចប់}}&lt;/b&gt; បញ្ចូល &lt;b&gt;{{count}}&lt;/b&gt; កញ្ចប់តូចៗ, តេីអ្នកចង់បែងចែកហើយប្រគល់ &lt;b&gt;{{count}}&lt;/b&gt; កញ្ចប់អីវ៉ាន់ទេ?",</t>
        </is>
      </c>
      <c r="N1466" s="163" t="n"/>
    </row>
    <row r="1467" ht="15.75" customHeight="1" s="305">
      <c r="A1467" s="203" t="inlineStr">
        <is>
          <t>taoKien.messageConfirmXoaSoLuongKien</t>
        </is>
      </c>
      <c r="B1467" s="203" t="inlineStr">
        <is>
          <t>Bưu gửi {{code_kien}} gồm {{count}} kiện con, bạn có muốn xóa nhận bàn giao cả {{count}} kiện không?</t>
        </is>
      </c>
      <c r="C1467" s="203" t="inlineStr">
        <is>
          <t>Shipment {{code_kien}} contains {{count}} sub-packages, do you want to delete the reception of all {{count}} packages?</t>
        </is>
      </c>
      <c r="D1467" s="216">
        <f>IFERROR(__xludf.DUMMYFUNCTION("GOOGLETRANSLATE(B1467,""vi"",""km"")"),"ការដឹកជញ្ជូន {{code_kien}} មានកញ្ចប់រង {{count}}។ តើអ្នកចង់លុបបង្កាន់ដៃដឹកជញ្ជូនសម្រាប់កញ្ចប់ {{count}} ទាំងអស់ដែរឬទេ?")</f>
        <v/>
      </c>
      <c r="E1467" s="204" t="inlineStr">
        <is>
          <t>អីវ៉ាន់បញ្ញើ {{code_kien}} បញ្ចូល {{count}} អីវ៉ាន់តូចៗ, តើអ្នកចង់លុបទទួលការប្រគល់អីវ៉ាន់ទាំងអស់ទេ {{count}}?</t>
        </is>
      </c>
      <c r="F1467" s="3" t="n"/>
      <c r="G1467" s="3" t="inlineStr">
        <is>
          <t>អីវ៉ាន់បញ្ញើ {{code_kien}} បញ្ចូល {{count}} អីវ៉ាន់តូចៗ, តើអ្នកចង់លុបទទួលការប្រគល់អីវ៉ាន់ទាំងអស់ទេ {{count}}?</t>
        </is>
      </c>
      <c r="H1467" t="inlineStr">
        <is>
          <t>អីវ៉ាន់បញ្ញើ {{code_kien}} បញ្ចូល {{count}} អីវ៉ាន់តូចៗ, តើអ្នកចង់លុបទទួលការប្រគល់អីវ៉ាន់ទាំងអស់ទេ {{count}}?</t>
        </is>
      </c>
      <c r="I1467" s="217" t="inlineStr">
        <is>
          <t>"taoKien.messageConfirmXoaSoLuongKien": "អីវ៉ាន់បញ្ញើ {{code_kien}} បញ្ចូល {{count}} អីវ៉ាន់តូចៗ, តើអ្នកចង់លុបទទួលការប្រគល់អីវ៉ាន់ទាំងអស់ទេ {{count}}?",</t>
        </is>
      </c>
      <c r="N1467" s="163" t="n"/>
    </row>
    <row r="1468" ht="15.75" customHeight="1" s="305">
      <c r="A1468" s="203" t="inlineStr">
        <is>
          <t>taoKien.messageScanPhieuGuiCha</t>
        </is>
      </c>
      <c r="B1468" s="203" t="inlineStr">
        <is>
          <t>Không được quét phiếu gửi cha "&lt;b&gt;{{val}}&lt;/b&gt;"</t>
        </is>
      </c>
      <c r="C1468" s="203" t="inlineStr">
        <is>
          <t>Do not scan parent waybill "&lt;b&gt;{{val}}&lt;/b&gt;"</t>
        </is>
      </c>
      <c r="D1468" s="216">
        <f>IFERROR(__xludf.DUMMYFUNCTION("GOOGLETRANSLATE(B1468,""vi"",""km"")"),"កុំស្កេនសំបុត្រផ្ញើសំបុត្រសម្រាប់ឪពុករបស់អ្នក ""&lt;b&gt;{{val}&lt;/b&gt;""")</f>
        <v/>
      </c>
      <c r="E1468" s="204" t="inlineStr">
        <is>
          <t>មិនអាចស្កេនបុងបញ្ញើបាន "&lt;b&gt;{{val}}&lt;/b&gt;"</t>
        </is>
      </c>
      <c r="F1468" s="3" t="n"/>
      <c r="G1468" s="3" t="inlineStr">
        <is>
          <t>មិនអាចស្កេនបុងបញ្ញើបាន "&lt;b&gt;{{val}}&lt;/b&gt;"</t>
        </is>
      </c>
      <c r="H1468" t="inlineStr">
        <is>
          <t>មិនអាចស្កេនបុងបញ្ញើបាន "&lt;b&gt;{{val}}&lt;/b&gt;"</t>
        </is>
      </c>
      <c r="I1468" s="217" t="inlineStr">
        <is>
          <t>"taoKien.messageScanPhieuGuiCha": "មិនអាចស្កេនបុងបញ្ញើបាន "&lt;b&gt;{{val}}&lt;/b&gt;"",</t>
        </is>
      </c>
      <c r="N1468" s="163" t="n"/>
    </row>
    <row r="1469" ht="15.75" customHeight="1" s="305">
      <c r="A1469" s="203" t="inlineStr">
        <is>
          <t>taoKien.messageSoLuongKienTachKhongVuotQua10</t>
        </is>
      </c>
      <c r="B1469" s="203" t="inlineStr">
        <is>
          <t>Số lượng kiện tách không vượt quá 10 kiện</t>
        </is>
      </c>
      <c r="C1469" s="203" t="inlineStr">
        <is>
          <t>Number of split packages must not exceed 10</t>
        </is>
      </c>
      <c r="D1469" s="216">
        <f>IFERROR(__xludf.DUMMYFUNCTION("GOOGLETRANSLATE(B1469,""vi"",""km"")"),"ចំនួនកញ្ចប់ដែលត្រូវបំបែកមិនគួរលើសពី 10 ទេ។")</f>
        <v/>
      </c>
      <c r="E1469" s="3" t="inlineStr">
        <is>
          <t>ចំនួនកញ្ចប់អីវ៉ាន់ដែលដាក់ដោយឡែកពីគ្នាមិនអាចលើសពី 10បានទេ</t>
        </is>
      </c>
      <c r="F1469" s="3" t="n"/>
      <c r="G1469" s="3" t="inlineStr">
        <is>
          <t>ចំនួនកញ្ចប់អីវ៉ាន់ដែលដាក់ដោយឡែកពីគ្នាមិនអាចលើសពី 10បានទេ</t>
        </is>
      </c>
      <c r="H1469" t="inlineStr">
        <is>
          <t>ចំនួនកញ្ចប់អីវ៉ាន់ដែលដាក់ដោយឡែកពីគ្នាមិនអាចលើសពី 10បានទេ</t>
        </is>
      </c>
      <c r="I1469" s="217" t="inlineStr">
        <is>
          <t>"taoKien.messageSoLuongKienTachKhongVuotQua10": "ចំនួនកញ្ចប់អីវ៉ាន់ដែលដាក់ដោយឡែកពីគ្នាមិនអាចលើសពី 10បានទេ",</t>
        </is>
      </c>
      <c r="N1469" s="163" t="n"/>
    </row>
    <row r="1470" ht="15.75" customHeight="1" s="305">
      <c r="A1470" s="203" t="inlineStr">
        <is>
          <t>taoKien.messageSoLuongKienTachKhongVuotQua100</t>
        </is>
      </c>
      <c r="B1470" s="203" t="inlineStr">
        <is>
          <t>Số lượng kiện tách không vượt quá 100 kiện</t>
        </is>
      </c>
      <c r="C1470" s="203" t="inlineStr">
        <is>
          <t>Number of split packages must not exceed 100</t>
        </is>
      </c>
      <c r="D1470" s="216">
        <f>IFERROR(__xludf.DUMMYFUNCTION("GOOGLETRANSLATE(B1470,""vi"",""km"")"),"ចំនួនកញ្ចប់ដែលបំបែកមិនត្រូវលើសពី 100 កញ្ចប់ទេ។")</f>
        <v/>
      </c>
      <c r="E1470" s="3" t="inlineStr">
        <is>
          <t>ចំនួនកញ្ចប់អីវ៉ាន់ដែលដាក់ដោយឡែកពីគ្នាមិនអាចលើសពី 10០ បានទេ</t>
        </is>
      </c>
      <c r="F1470" s="3" t="n"/>
      <c r="G1470" s="3" t="inlineStr">
        <is>
          <t>ចំនួនកញ្ចប់អីវ៉ាន់ដែលដាក់ដោយឡែកពីគ្នាមិនអាចលើសពី 10០ បានទេ</t>
        </is>
      </c>
      <c r="H1470" t="inlineStr">
        <is>
          <t>ចំនួនកញ្ចប់អីវ៉ាន់ដែលដាក់ដោយឡែកពីគ្នាមិនអាចលើសពី 10០ បានទេ</t>
        </is>
      </c>
      <c r="I1470" s="217" t="inlineStr">
        <is>
          <t>"taoKien.messageSoLuongKienTachKhongVuotQua100": "ចំនួនកញ្ចប់អីវ៉ាន់ដែលដាក់ដោយឡែកពីគ្នាមិនអាចលើសពី 10០ បានទេ",</t>
        </is>
      </c>
      <c r="N1470" s="163" t="n"/>
    </row>
    <row r="1471" ht="15.75" customHeight="1" s="305">
      <c r="A1471" s="203" t="inlineStr">
        <is>
          <t>taoKien.messageTrongLuongLonHonHoacBang</t>
        </is>
      </c>
      <c r="B1471" s="203" t="inlineStr">
        <is>
          <t>Trọng lượng lớn hơn hoặc bằng {{value}}</t>
        </is>
      </c>
      <c r="C1471" s="203" t="inlineStr">
        <is>
          <t>Weight greater than or equal to {{value}}</t>
        </is>
      </c>
      <c r="D1471" s="216">
        <f>IFERROR(__xludf.DUMMYFUNCTION("GOOGLETRANSLATE(B1471,""vi"",""km"")"),"ទម្ងន់ធំជាង ឬស្មើនឹង {{value}}")</f>
        <v/>
      </c>
      <c r="E1471" s="3" t="inlineStr">
        <is>
          <t>ទម្ងន់ធំជាង ឬស្មើនឹង {{value}}</t>
        </is>
      </c>
      <c r="F1471" s="3" t="n"/>
      <c r="G1471" s="3" t="inlineStr">
        <is>
          <t>ទម្ងន់ធំជាង ឬស្មើនឹង {{value}}</t>
        </is>
      </c>
      <c r="H1471" t="inlineStr">
        <is>
          <t>ទម្ងន់ធំជាង ឬស្មើនឹង {{value}}</t>
        </is>
      </c>
      <c r="I1471" s="217" t="inlineStr">
        <is>
          <t>"taoKien.messageTrongLuongLonHonHoacBang": "ទម្ងន់ធំជាង ឬស្មើនឹង {{value}}",</t>
        </is>
      </c>
      <c r="N1471" s="163" t="n"/>
    </row>
    <row r="1472" ht="15.75" customHeight="1" s="305">
      <c r="A1472" s="203" t="inlineStr">
        <is>
          <t>taoKien.messageWarningBoXacNhanGiaoAllKien</t>
        </is>
      </c>
      <c r="B1472" s="203" t="inlineStr">
        <is>
          <t>Bưu gửi &lt;b&gt;{{code_kien}}&lt;/b&gt; gồm &lt;b&gt;{{count}}&lt;/b&gt; kiện con, bạn có muốn bỏ xác nhận giao cả &lt;b&gt;{{count}}&lt;/b&gt; kiện không?</t>
        </is>
      </c>
      <c r="C1472" s="203" t="inlineStr">
        <is>
          <t>Shipment &lt;b&gt;{{code_kien}}&lt;/b&gt; contains &lt;b&gt;{{count}}&lt;/b&gt; sub-packages, do you want to unconfirm delivery for all &lt;b&gt;{{count}}&lt;/b&gt; packages?</t>
        </is>
      </c>
      <c r="D1472" s="216">
        <f>IFERROR(__xludf.DUMMYFUNCTION("GOOGLETRANSLATE(B1472,""vi"",""km"")"),"ការដឹកជញ្ជូន &lt;b&gt;{{code_kien}&lt;/b&gt; រួមមានកញ្ចប់តូចៗចំនួន &lt;b&gt;{{count}&lt;/b&gt;។ តើអ្នកចង់លុបចោលការបញ្ជាក់ការដឹកជញ្ជូនសម្រាប់កញ្ចប់ &lt;b&gt;{{count}&lt;/b&gt; ទាំងមូលដែរឬទេ?")</f>
        <v/>
      </c>
      <c r="E1472" s="3" t="inlineStr">
        <is>
          <t>ការដឹកជញ្ជូន &lt;b&gt;{{code_kien}&lt;/b&gt; មានកញ្ចប់តូច &lt;b&gt;{{count}&lt;/b&gt;។ តើអ្នកចង់លុបចោលការបញ្ជាក់ការដឹកជញ្ជូនសម្រាប់កញ្ចប់ &lt;b&gt;{{count}&lt;/b&gt; ទាំងអស់ទេ?</t>
        </is>
      </c>
      <c r="F1472" s="3" t="n"/>
      <c r="G1472" s="3" t="inlineStr">
        <is>
          <t>ការដឹកជញ្ជូន &lt;b&gt;{{code_kien}&lt;/b&gt; មានកញ្ចប់តូច &lt;b&gt;{{count}&lt;/b&gt;។ តើអ្នកចង់លុបចោលការបញ្ជាក់ការដឹកជញ្ជូនសម្រាប់កញ្ចប់ &lt;b&gt;{{count}&lt;/b&gt; ទាំងអស់ទេ?</t>
        </is>
      </c>
      <c r="H1472" t="inlineStr">
        <is>
          <t>ការដឹកជញ្ជូន &lt;b&gt;{{code_kien}&lt;/b&gt; មានកញ្ចប់តូច &lt;b&gt;{{count}&lt;/b&gt;។ តើអ្នកចង់លុបចោលការបញ្ជាក់ការដឹកជញ្ជូនសម្រាប់កញ្ចប់ &lt;b&gt;{{count}&lt;/b&gt; ទាំងអស់ទេ?</t>
        </is>
      </c>
      <c r="I1472" s="217" t="inlineStr">
        <is>
          <t>"taoKien.messageWarningBoXacNhanGiaoAllKien": "ការដឹកជញ្ជូន &lt;b&gt;{{code_kien}&lt;/b&gt; មានកញ្ចប់តូច &lt;b&gt;{{count}&lt;/b&gt;។ តើអ្នកចង់លុបចោលការបញ្ជាក់ការដឹកជញ្ជូនសម្រាប់កញ្ចប់ &lt;b&gt;{{count}&lt;/b&gt; ទាំងអស់ទេ?",</t>
        </is>
      </c>
      <c r="N1472" s="163" t="n"/>
    </row>
    <row r="1473" ht="15.75" customHeight="1" s="305">
      <c r="A1473" s="203" t="inlineStr">
        <is>
          <t>taoKien.messageWarningXacNhanChuyenTrangThaiAllKien</t>
        </is>
      </c>
      <c r="B1473" s="203" t="inlineStr">
        <is>
          <t>Bưu gửi &lt;b&gt;{{code_kien}}&lt;/b&gt; gồm &lt;b&gt;{{count}}&lt;/b&gt; kiện con, bạn có muốn chuyển trạng thái cả &lt;b&gt;{{count}}&lt;/b&gt; kiện không?</t>
        </is>
      </c>
      <c r="C1473" s="203" t="inlineStr">
        <is>
          <t>Shipment &lt;b&gt;{{code_kien}}&lt;/b&gt; contains &lt;b&gt;{{count}}&lt;/b&gt; sub-packages, do you want to change the status of all &lt;b&gt;{{count}}&lt;/b&gt; packages?</t>
        </is>
      </c>
      <c r="D1473" s="216">
        <f>IFERROR(__xludf.DUMMYFUNCTION("GOOGLETRANSLATE(B1473,""vi"",""km"")"),"ការដឹកជញ្ជូន &lt;b&gt;{{code_kien}&lt;/b&gt; រួមមានកញ្ចប់រង &lt;b&gt;{{count}&lt;/b&gt;។ តើអ្នកចង់ផ្លាស់ប្តូរស្ថានភាពនៃកញ្ចប់ &lt;b&gt;{{count}&lt;/b&gt; ទាំងអស់ដែរឬទេ?")</f>
        <v/>
      </c>
      <c r="E1473" s="3" t="inlineStr">
        <is>
          <t>ការដឹកជញ្ជូន &lt;b&gt;{{code_kien}&lt;/b&gt; មានកញ្ចប់តូច &lt;b&gt;{{count}&lt;/b&gt;។ តើអ្នកចង់ផ្លាស់ប្តូរស្ថានភាពនៃកញ្ចប់ &lt;b&gt;{{count}&lt;/b&gt; ទាំងអស់ទេ?</t>
        </is>
      </c>
      <c r="F1473" s="3" t="n"/>
      <c r="G1473" s="3" t="inlineStr">
        <is>
          <t>ការដឹកជញ្ជូន &lt;b&gt;{{code_kien}&lt;/b&gt; មានកញ្ចប់តូច &lt;b&gt;{{count}&lt;/b&gt;។ តើអ្នកចង់ផ្លាស់ប្តូរស្ថានភាពនៃកញ្ចប់ &lt;b&gt;{{count}&lt;/b&gt; ទាំងអស់ទេ?</t>
        </is>
      </c>
      <c r="H1473" t="inlineStr">
        <is>
          <t>ការដឹកជញ្ជូន &lt;b&gt;{{code_kien}&lt;/b&gt; មានកញ្ចប់តូច &lt;b&gt;{{count}&lt;/b&gt;។ តើអ្នកចង់ផ្លាស់ប្តូរស្ថានភាពនៃកញ្ចប់ &lt;b&gt;{{count}&lt;/b&gt; ទាំងអស់ទេ?</t>
        </is>
      </c>
      <c r="I1473" s="217" t="inlineStr">
        <is>
          <t>"taoKien.messageWarningXacNhanChuyenTrangThaiAllKien": "ការដឹកជញ្ជូន &lt;b&gt;{{code_kien}&lt;/b&gt; មានកញ្ចប់តូច &lt;b&gt;{{count}&lt;/b&gt;។ តើអ្នកចង់ផ្លាស់ប្តូរស្ថានភាពនៃកញ្ចប់ &lt;b&gt;{{count}&lt;/b&gt; ទាំងអស់ទេ?",</t>
        </is>
      </c>
      <c r="N1473" s="163" t="n"/>
    </row>
    <row r="1474" ht="15.75" customHeight="1" s="305">
      <c r="A1474" s="203" t="inlineStr">
        <is>
          <t>taoKien.messageWarningXacNhanGiaoAllKien</t>
        </is>
      </c>
      <c r="B1474" s="203" t="inlineStr">
        <is>
          <t>Bưu gửi &lt;b&gt;{{code_kien}}&lt;/b&gt; gồm &lt;b&gt;{{count}}&lt;/b&gt; kiện con, bạn có muốn xác nhận giao cả &lt;b&gt;{{count}}&lt;/b&gt; kiện không?</t>
        </is>
      </c>
      <c r="C1474" s="203" t="inlineStr">
        <is>
          <t>Shipment &lt;b&gt;{{code_kien}}&lt;/b&gt; contains &lt;b&gt;{{count}}&lt;/b&gt; sub-packages, do you want to confirm delivery of all &lt;b&gt;{{count}}&lt;/b&gt; packages?</t>
        </is>
      </c>
      <c r="D1474" s="216">
        <f>IFERROR(__xludf.DUMMYFUNCTION("GOOGLETRANSLATE(B1474,""vi"",""km"")"),"ការដឹកជញ្ជូន &lt;b&gt;{{code_kien}&lt;/b&gt; រួមមានកញ្ចប់តូចៗចំនួន &lt;b&gt;{{count}&lt;/b&gt;។ តើអ្នកចង់បញ្ជាក់ការដឹកជញ្ជូនកញ្ចប់ &lt;b&gt;{{count}&lt;/b&gt; ទាំងអស់ដែរឬទេ?")</f>
        <v/>
      </c>
      <c r="E1474" s="3" t="inlineStr">
        <is>
          <t>ការដឹកជញ្ជូន &lt;b&gt;{{code_kien}&lt;/b&gt; មានកញ្ចប់តូច &lt;b&gt;{{count}&lt;/b&gt;។ តើអ្នកចង់បញ្ជាក់ការដឹកជញ្ជូនសម្រាប់កញ្ចប់ &lt;b&gt;{{count}&lt;/b&gt; ទាំងអស់ទេ?</t>
        </is>
      </c>
      <c r="F1474" s="3" t="n"/>
      <c r="G1474" s="3" t="inlineStr">
        <is>
          <t>ការដឹកជញ្ជូន &lt;b&gt;{{code_kien}&lt;/b&gt; មានកញ្ចប់តូច &lt;b&gt;{{count}&lt;/b&gt;។ តើអ្នកចង់បញ្ជាក់ការដឹកជញ្ជូនសម្រាប់កញ្ចប់ &lt;b&gt;{{count}&lt;/b&gt; ទាំងអស់ទេ?</t>
        </is>
      </c>
      <c r="H1474" t="inlineStr">
        <is>
          <t>ការដឹកជញ្ជូន &lt;b&gt;{{code_kien}&lt;/b&gt; មានកញ្ចប់តូច &lt;b&gt;{{count}&lt;/b&gt;។ តើអ្នកចង់បញ្ជាក់ការដឹកជញ្ជូនសម្រាប់កញ្ចប់ &lt;b&gt;{{count}&lt;/b&gt; ទាំងអស់ទេ?</t>
        </is>
      </c>
      <c r="I1474" s="217" t="inlineStr">
        <is>
          <t>"taoKien.messageWarningXacNhanGiaoAllKien": "ការដឹកជញ្ជូន &lt;b&gt;{{code_kien}&lt;/b&gt; មានកញ្ចប់តូច &lt;b&gt;{{count}&lt;/b&gt;។ តើអ្នកចង់បញ្ជាក់ការដឹកជញ្ជូនសម្រាប់កញ្ចប់ &lt;b&gt;{{count}&lt;/b&gt; ទាំងអស់ទេ?",</t>
        </is>
      </c>
      <c r="N1474" s="163" t="n"/>
    </row>
    <row r="1475" ht="15.75" customHeight="1" s="305">
      <c r="A1475" s="203" t="inlineStr">
        <is>
          <t>taoKien.messageWarningXacNhanGiaoThanhCongAllKien</t>
        </is>
      </c>
      <c r="B1475" s="203" t="inlineStr">
        <is>
          <t>Bưu gửi &lt;b&gt;{{code_kien}}&lt;/b&gt; gồm &lt;b&gt;{{count}}&lt;/b&gt; kiện con, bạn có muốn xác nhận giao thành công cả &lt;b&gt;{{count}}&lt;/b&gt; kiện không?</t>
        </is>
      </c>
      <c r="C1475" s="203" t="inlineStr">
        <is>
          <t>Shipment &lt;b&gt;{{code_kien}}&lt;/b&gt; contains &lt;b&gt;{{count}}&lt;/b&gt; sub-packages, do you want to confirm successful delivery of all &lt;b&gt;{{count}}&lt;/b&gt; packages?</t>
        </is>
      </c>
      <c r="D1475" s="216">
        <f>IFERROR(__xludf.DUMMYFUNCTION("GOOGLETRANSLATE(B1475,""vi"",""km"")"),"ការដឹកជញ្ជូន &lt;b&gt;{{code_kien}&lt;/b&gt; មានកញ្ចប់តូចៗចំនួន &lt;b&gt;{{count}&lt;/b&gt;។ តើអ្នកចង់បញ្ជាក់ពីការដឹកជញ្ជូនកញ្ចប់ &lt;b&gt;{{count}&lt;/b&gt; ទាំងអស់ដោយជោគជ័យដែរឬទេ?")</f>
        <v/>
      </c>
      <c r="E1475" s="3" t="inlineStr">
        <is>
          <t>ការដឹកជញ្ជូន &lt;b&gt;{{code_kien}&lt;/b&gt; មានកញ្ចប់តូច &lt;b&gt;{{count}&lt;/b&gt;។ តើអ្នកចង់បញ្ជាក់ការដឹកជញ្ជូនដោយជោគជ័យសម្រាប់កញ្ចប់ &lt;b&gt;{{count}&lt;/b&gt; ទាំងអស់ទេ?</t>
        </is>
      </c>
      <c r="F1475" s="3" t="n"/>
      <c r="G1475" s="3" t="inlineStr">
        <is>
          <t>ការដឹកជញ្ជូន &lt;b&gt;{{code_kien}&lt;/b&gt; មានកញ្ចប់តូច &lt;b&gt;{{count}&lt;/b&gt;។ តើអ្នកចង់បញ្ជាក់ការដឹកជញ្ជូនដោយជោគជ័យសម្រាប់កញ្ចប់ &lt;b&gt;{{count}&lt;/b&gt; ទាំងអស់ទេ?</t>
        </is>
      </c>
      <c r="H1475" t="inlineStr">
        <is>
          <t>ការដឹកជញ្ជូន &lt;b&gt;{{code_kien}&lt;/b&gt; មានកញ្ចប់តូច &lt;b&gt;{{count}&lt;/b&gt;។ តើអ្នកចង់បញ្ជាក់ការដឹកជញ្ជូនដោយជោគជ័យសម្រាប់កញ្ចប់ &lt;b&gt;{{count}&lt;/b&gt; ទាំងអស់ទេ?</t>
        </is>
      </c>
      <c r="I1475" s="217" t="inlineStr">
        <is>
          <t>"taoKien.messageWarningXacNhanGiaoThanhCongAllKien": "ការដឹកជញ្ជូន &lt;b&gt;{{code_kien}&lt;/b&gt; មានកញ្ចប់តូច &lt;b&gt;{{count}&lt;/b&gt;។ តើអ្នកចង់បញ្ជាក់ការដឹកជញ្ជូនដោយជោគជ័យសម្រាប់កញ្ចប់ &lt;b&gt;{{count}&lt;/b&gt; ទាំងអស់ទេ?",</t>
        </is>
      </c>
      <c r="N1475" s="163" t="n"/>
    </row>
    <row r="1476" ht="15.75" customHeight="1" s="305">
      <c r="A1476" s="203" t="inlineStr">
        <is>
          <t>taoKien.phieuGuiDaTonTai</t>
        </is>
      </c>
      <c r="B1476" s="203" t="inlineStr">
        <is>
          <t>Phiếu gửi đã tồn tại trong đanh sách tải/kiện</t>
        </is>
      </c>
      <c r="C1476" s="203" t="inlineStr">
        <is>
          <t>Waybill already exists in the load/package list</t>
        </is>
      </c>
      <c r="D1476" s="216">
        <f>IFERROR(__xludf.DUMMYFUNCTION("GOOGLETRANSLATE(B1476,""vi"",""km"")"),"សន្លឹកដឹកជញ្ជូនមានរួចហើយនៅក្នុងបញ្ជីទាញយក/កញ្ចប់។")</f>
        <v/>
      </c>
      <c r="E1476" s="3" t="inlineStr">
        <is>
          <t>សន្លឹកដឹកជញ្ជូនមានរួចហើយនៅក្នុងបញ្ជី ជើងដឹក/កញ្ចប់</t>
        </is>
      </c>
      <c r="F1476" s="3" t="n"/>
      <c r="G1476" s="3" t="inlineStr">
        <is>
          <t>បុងបញ្ញើមានរួចហើយនៅក្នុងបញ្ជី កញ្ចប់ទំនិញ/អីវ៉ាន់</t>
        </is>
      </c>
      <c r="H1476" t="inlineStr">
        <is>
          <t>បុងបញ្ញើមានរួចហើយនៅក្នុងបញ្ជី កញ្ចប់ទំនិញ/អីវ៉ាន់</t>
        </is>
      </c>
      <c r="I1476" s="217" t="inlineStr">
        <is>
          <t>"taoKien.phieuGuiDaTonTai": "បុងបញ្ញើមានរួចហើយនៅក្នុងបញ្ជី កញ្ចប់ទំនិញ/អីវ៉ាន់",</t>
        </is>
      </c>
      <c r="N1476" s="163" t="n"/>
    </row>
    <row r="1477" ht="15.75" customHeight="1" s="305">
      <c r="A1477" s="203" t="inlineStr">
        <is>
          <t>taoKien.phieuGuiKhongHopLe</t>
        </is>
      </c>
      <c r="B1477" s="203" t="inlineStr">
        <is>
          <t>Phiếu gửi không hợp lệ</t>
        </is>
      </c>
      <c r="C1477" s="203" t="inlineStr">
        <is>
          <t>Invalid waybill</t>
        </is>
      </c>
      <c r="D1477" s="216">
        <f>IFERROR(__xludf.DUMMYFUNCTION("GOOGLETRANSLATE(B1477,""vi"",""km"")"),"បង្កាន់ដៃដឹកជញ្ជូនមិនត្រឹមត្រូវ")</f>
        <v/>
      </c>
      <c r="E1477" s="3" t="inlineStr">
        <is>
          <t>បុងបញ្ញើមិនត្រឹមត្រូវ</t>
        </is>
      </c>
      <c r="F1477" s="3" t="n"/>
      <c r="G1477" s="3" t="inlineStr">
        <is>
          <t>បុងបញ្ញើមិនត្រឹមត្រូវ</t>
        </is>
      </c>
      <c r="H1477" t="inlineStr">
        <is>
          <t>បុងបញ្ញើមិនត្រឹមត្រូវ</t>
        </is>
      </c>
      <c r="I1477" s="217" t="inlineStr">
        <is>
          <t>"taoKien.phieuGuiKhongHopLe": "បុងបញ្ញើមិនត្រឹមត្រូវ",</t>
        </is>
      </c>
      <c r="N1477" s="163" t="n"/>
    </row>
    <row r="1478" ht="15.75" customHeight="1" s="305">
      <c r="A1478" s="203" t="inlineStr">
        <is>
          <t>taoKien.phieuGuiKhongTonTai</t>
        </is>
      </c>
      <c r="B1478" s="203" t="inlineStr">
        <is>
          <t>Phiếu gửi không tồn tại</t>
        </is>
      </c>
      <c r="C1478" s="203" t="inlineStr">
        <is>
          <t>Waybill does not exist</t>
        </is>
      </c>
      <c r="D1478" s="216">
        <f>IFERROR(__xludf.DUMMYFUNCTION("GOOGLETRANSLATE(B1478,""vi"",""km"")"),"ស្លាក​ដឹកជញ្ជូន​មិនមានទេ។")</f>
        <v/>
      </c>
      <c r="E1478" s="3" t="inlineStr">
        <is>
          <t>មិនមានបុងបញ្ញើ</t>
        </is>
      </c>
      <c r="F1478" s="3" t="n"/>
      <c r="G1478" s="3" t="inlineStr">
        <is>
          <t>មិនមានបុងបញ្ញើ</t>
        </is>
      </c>
      <c r="H1478" t="inlineStr">
        <is>
          <t>មិនមានបុងបញ្ញើ</t>
        </is>
      </c>
      <c r="I1478" s="217" t="inlineStr">
        <is>
          <t>"taoKien.phieuGuiKhongTonTai": "មិនមានបុងបញ្ញើ",</t>
        </is>
      </c>
      <c r="N1478" s="163" t="n"/>
    </row>
    <row r="1479" ht="15.75" customHeight="1" s="305">
      <c r="A1479" s="203" t="inlineStr">
        <is>
          <t>taoKien.taoKienThatBai</t>
        </is>
      </c>
      <c r="B1479" s="203" t="inlineStr">
        <is>
          <t>Tạo kiện thất bại</t>
        </is>
      </c>
      <c r="C1479" s="203" t="inlineStr">
        <is>
          <t>Create package failed</t>
        </is>
      </c>
      <c r="D1479" s="216">
        <f>IFERROR(__xludf.DUMMYFUNCTION("GOOGLETRANSLATE(B1479,""vi"",""km"")"),"ការបង្កើតលក្ខខណ្ឌសម្រាប់ការបរាជ័យ")</f>
        <v/>
      </c>
      <c r="E1479" s="3" t="inlineStr">
        <is>
          <t>បង្កើតកញ្ចប់អីវ៉ាន់បរាជ័យ</t>
        </is>
      </c>
      <c r="F1479" s="3" t="n"/>
      <c r="G1479" s="3" t="inlineStr">
        <is>
          <t>បង្កើតកញ្ចប់អីវ៉ាន់បរាជ័យ</t>
        </is>
      </c>
      <c r="H1479" t="inlineStr">
        <is>
          <t>បង្កើតកញ្ចប់អីវ៉ាន់បរាជ័យ</t>
        </is>
      </c>
      <c r="I1479" s="217" t="inlineStr">
        <is>
          <t>"taoKien.taoKienThatBai": "បង្កើតកញ្ចប់អីវ៉ាន់បរាជ័យ",</t>
        </is>
      </c>
      <c r="N1479" s="163" t="n"/>
    </row>
    <row r="1480" ht="15.75" customHeight="1" s="305">
      <c r="A1480" s="203" t="inlineStr">
        <is>
          <t>taoKien.tatCaLoaiTaiKien</t>
        </is>
      </c>
      <c r="B1480" s="203" t="inlineStr">
        <is>
          <t>Tất cả tải/kiện</t>
        </is>
      </c>
      <c r="C1480" s="203" t="inlineStr">
        <is>
          <t>All loads/packages</t>
        </is>
      </c>
      <c r="D1480" s="216">
        <f>IFERROR(__xludf.DUMMYFUNCTION("GOOGLETRANSLATE(B1480,""vi"",""km"")"),"បន្ទុក/កញ្ចប់ទាំងអស់")</f>
        <v/>
      </c>
      <c r="E1480" s="3" t="inlineStr">
        <is>
          <t>ជើងដឹក/កញ្ចប់ទាំងអស់</t>
        </is>
      </c>
      <c r="F1480" s="3" t="n"/>
      <c r="G1480" s="3" t="inlineStr">
        <is>
          <t>កញ្ចប់ទំនិញ/អីវ៉ាន់ទាំងអស់</t>
        </is>
      </c>
      <c r="H1480" t="inlineStr">
        <is>
          <t>កញ្ចប់ទំនិញ/អីវ៉ាន់ទាំងអស់</t>
        </is>
      </c>
      <c r="I1480" s="217" t="inlineStr">
        <is>
          <t>"taoKien.tatCaLoaiTaiKien": "កញ្ចប់ទំនិញ/អីវ៉ាន់ទាំងអស់",</t>
        </is>
      </c>
      <c r="N1480" s="163" t="n"/>
    </row>
    <row r="1481" ht="15.75" customHeight="1" s="305">
      <c r="A1481" s="203" t="inlineStr">
        <is>
          <t>taoKien.titleIndividualUnit</t>
        </is>
      </c>
      <c r="B1481" s="203" t="inlineStr">
        <is>
          <t>Cá nhân/ Đơn vị</t>
        </is>
      </c>
      <c r="C1481" s="203" t="inlineStr">
        <is>
          <t>Individual / Unit</t>
        </is>
      </c>
      <c r="D1481" s="216">
        <f>IFERROR(__xludf.DUMMYFUNCTION("GOOGLETRANSLATE(B1481,""vi"",""km"")"),"បុគ្គល/អង្គការ")</f>
        <v/>
      </c>
      <c r="E1481" s="3" t="inlineStr">
        <is>
          <t>ផ្ទាល់ខ្លួន/អង្គភាព</t>
        </is>
      </c>
      <c r="F1481" s="3" t="n"/>
      <c r="G1481" s="3" t="inlineStr">
        <is>
          <t>ផ្ទាល់ខ្លួន/អង្គភាព</t>
        </is>
      </c>
      <c r="H1481" t="inlineStr">
        <is>
          <t>ផ្ទាល់ខ្លួន/អង្គភាព</t>
        </is>
      </c>
      <c r="I1481" s="217" t="inlineStr">
        <is>
          <t>"taoKien.titleIndividualUnit": "ផ្ទាល់ខ្លួន/អង្គភាព",</t>
        </is>
      </c>
      <c r="N1481" s="163" t="n"/>
    </row>
    <row r="1482" ht="15.75" customHeight="1" s="305">
      <c r="A1482" s="203" t="inlineStr">
        <is>
          <t>taoKien.vuotQuaTrongLuong</t>
        </is>
      </c>
      <c r="B1482" s="203" t="inlineStr">
        <is>
          <t>Tổng trọng lượng của kiện tách không được quá trọng lượng của phiếu gửi.</t>
        </is>
      </c>
      <c r="C1482" s="203" t="inlineStr">
        <is>
          <t>The total weight of the split packages must not exceed the waybill's weight.</t>
        </is>
      </c>
      <c r="D1482" s="216">
        <f>IFERROR(__xludf.DUMMYFUNCTION("GOOGLETRANSLATE(B1482,""vi"",""km"")"),"ទម្ងន់សរុបនៃកញ្ចប់ដែលបានបំបែកមិនត្រូវលើសពីទម្ងន់នៃស្លាកដឹកជញ្ជូនឡើយ។")</f>
        <v/>
      </c>
      <c r="E1482" s="3" t="inlineStr">
        <is>
          <t>ទម្ងន់សរុបនៃកញ្ចប់បំបែកមិនត្រូវលើសពីទម្ងន់នៃបុងបញ្ញើទេ</t>
        </is>
      </c>
      <c r="F1482" s="3" t="n"/>
      <c r="G1482" s="3" t="inlineStr">
        <is>
          <t>ទម្ងន់សរុបនៃកញ្ចប់បំបែកមិនត្រូវលើសពីទម្ងន់នៃបុងបញ្ញើទេ</t>
        </is>
      </c>
      <c r="H1482" t="inlineStr">
        <is>
          <t>ទម្ងន់សរុបនៃកញ្ចប់បំបែកមិនត្រូវលើសពីទម្ងន់នៃបុងបញ្ញើទេ</t>
        </is>
      </c>
      <c r="I1482" s="217" t="inlineStr">
        <is>
          <t>"taoKien.vuotQuaTrongLuong": "ទម្ងន់សរុបនៃកញ្ចប់បំបែកមិនត្រូវលើសពីទម្ងន់នៃបុងបញ្ញើទេ",</t>
        </is>
      </c>
      <c r="N1482" s="163" t="n"/>
    </row>
    <row r="1483" ht="15.75" customHeight="1" s="305">
      <c r="A1483" s="203" t="inlineStr">
        <is>
          <t>taoKien.xoaKienThanhCong</t>
        </is>
      </c>
      <c r="B1483" s="203" t="inlineStr">
        <is>
          <t>Xóa kiện thành công</t>
        </is>
      </c>
      <c r="C1483" s="204" t="inlineStr">
        <is>
          <t>Package deleted successfully</t>
        </is>
      </c>
      <c r="D1483" s="216">
        <f>IFERROR(__xludf.DUMMYFUNCTION("GOOGLETRANSLATE(B1483,""vi"",""km"")"),"ករណីនេះត្រូវបានទម្លាក់ចោលដោយជោគជ័យ។")</f>
        <v/>
      </c>
      <c r="E1483" s="3" t="inlineStr">
        <is>
          <t>លុបចោលបុងបញ្ញើបានជោគជ័យ</t>
        </is>
      </c>
      <c r="F1483" s="3" t="n"/>
      <c r="G1483" s="3" t="inlineStr">
        <is>
          <t>លុបចោលបុងបញ្ញើបានជោគជ័យ</t>
        </is>
      </c>
      <c r="H1483" t="inlineStr">
        <is>
          <t>លុបចោលបុងបញ្ញើបានជោគជ័យ</t>
        </is>
      </c>
      <c r="I1483" s="217" t="inlineStr">
        <is>
          <t>"taoKien.xoaKienThanhCong": "លុបចោលបុងបញ្ញើបានជោគជ័យ",</t>
        </is>
      </c>
      <c r="N1483" s="163" t="n"/>
    </row>
    <row r="1484" ht="15.75" customHeight="1" s="305">
      <c r="A1484" s="203" t="inlineStr">
        <is>
          <t>taoKien.xoaKienThatBai</t>
        </is>
      </c>
      <c r="B1484" s="203" t="inlineStr">
        <is>
          <t>Xóa kiện thất bại</t>
        </is>
      </c>
      <c r="C1484" s="203" t="inlineStr">
        <is>
          <t>Failed to delete package</t>
        </is>
      </c>
      <c r="D1484" s="216">
        <f>IFERROR(__xludf.DUMMYFUNCTION("GOOGLETRANSLATE(B1484,""vi"",""km"")"),"ការលុបចោលបណ្តឹង")</f>
        <v/>
      </c>
      <c r="E1484" s="3" t="inlineStr">
        <is>
          <t>លុបចោលកញ្ចប់អីវ៉ាន់បានជោគជ័យ</t>
        </is>
      </c>
      <c r="F1484" s="3" t="n"/>
      <c r="G1484" s="3" t="inlineStr">
        <is>
          <t>លុបចោលកញ្ចប់អីវ៉ាន់បានជោគជ័យ</t>
        </is>
      </c>
      <c r="H1484" t="inlineStr">
        <is>
          <t>លុបចោលកញ្ចប់អីវ៉ាន់បានជោគជ័យ</t>
        </is>
      </c>
      <c r="I1484" s="217" t="inlineStr">
        <is>
          <t>"taoKien.xoaKienThatBai": "លុបចោលកញ្ចប់អីវ៉ាន់បានជោគជ័យ",</t>
        </is>
      </c>
      <c r="N1484" s="163" t="n"/>
    </row>
    <row r="1485" ht="15.75" customHeight="1" s="305">
      <c r="A1485" s="203" t="inlineStr">
        <is>
          <t>thanhtoan.paymentNotRecorded</t>
        </is>
      </c>
      <c r="B1485" s="203" t="inlineStr">
        <is>
          <t>Giao dịch chưa được ghi nhận!</t>
        </is>
      </c>
      <c r="C1485" s="203" t="inlineStr">
        <is>
          <t>Transaction not recorded!</t>
        </is>
      </c>
      <c r="D1485" s="216">
        <f>IFERROR(__xludf.DUMMYFUNCTION("GOOGLETRANSLATE(B1485,""vi"",""km"")"),"ប្រតិបត្តិការមិនទាន់ត្រូវបានកត់ត្រាទុកទេ!")</f>
        <v/>
      </c>
      <c r="E1485" s="3" t="inlineStr">
        <is>
          <t>ប្រតិបត្តិការមិនត្រូវបានកត់ត្រាទេ!</t>
        </is>
      </c>
      <c r="F1485" s="3" t="n"/>
      <c r="G1485" s="3" t="inlineStr">
        <is>
          <t>ប្រតិបត្តិការមិនត្រូវបានកត់ត្រាទេ!</t>
        </is>
      </c>
      <c r="H1485" t="inlineStr">
        <is>
          <t>ប្រតិបត្តិការមិនត្រូវបានកត់ត្រាទេ!</t>
        </is>
      </c>
      <c r="I1485" s="217" t="inlineStr">
        <is>
          <t>"thanhtoan.paymentNotRecorded": "ប្រតិបត្តិការមិនត្រូវបានកត់ត្រាទេ!",</t>
        </is>
      </c>
      <c r="N1485" s="163" t="n"/>
    </row>
    <row r="1486" ht="15.75" customHeight="1" s="305">
      <c r="A1486" s="203" t="inlineStr">
        <is>
          <t>thanhtoan.paymentSuccessTitle</t>
        </is>
      </c>
      <c r="B1486" s="203" t="inlineStr">
        <is>
          <t>Thanh toán thành công!</t>
        </is>
      </c>
      <c r="C1486" s="203" t="inlineStr">
        <is>
          <t>Payment successful!</t>
        </is>
      </c>
      <c r="D1486" s="216">
        <f>IFERROR(__xludf.DUMMYFUNCTION("GOOGLETRANSLATE(B1486,""vi"",""km"")"),"ការទូទាត់បានជោគជ័យ!")</f>
        <v/>
      </c>
      <c r="E1486" s="3" t="inlineStr">
        <is>
          <t>ការទូទាត់បានជោគជ័យ!</t>
        </is>
      </c>
      <c r="F1486" s="3" t="n"/>
      <c r="G1486" s="3" t="inlineStr">
        <is>
          <t>ការទូទាត់បានជោគជ័យ!</t>
        </is>
      </c>
      <c r="H1486" t="inlineStr">
        <is>
          <t>ការទូទាត់បានជោគជ័យ!</t>
        </is>
      </c>
      <c r="I1486" s="217" t="inlineStr">
        <is>
          <t>"thanhtoan.paymentSuccessTitle": "ការទូទាត់បានជោគជ័យ!",</t>
        </is>
      </c>
      <c r="N1486" s="163" t="n"/>
    </row>
    <row r="1487" ht="15.75" customHeight="1" s="305">
      <c r="A1487" s="203" t="inlineStr">
        <is>
          <t>thanhtoan.pending</t>
        </is>
      </c>
      <c r="B1487" s="203" t="inlineStr">
        <is>
          <t>Chưa xác định</t>
        </is>
      </c>
      <c r="C1487" s="203" t="inlineStr">
        <is>
          <t>Pending</t>
        </is>
      </c>
      <c r="D1487" s="216">
        <f>IFERROR(__xludf.DUMMYFUNCTION("GOOGLETRANSLATE(B1487,""vi"",""km"")"),"មិន​ទាន់​កំណត់")</f>
        <v/>
      </c>
      <c r="E1487" s="3" t="inlineStr">
        <is>
          <t>មិនទាន់បញ្ជាក់</t>
        </is>
      </c>
      <c r="F1487" s="3" t="n"/>
      <c r="G1487" s="3" t="inlineStr">
        <is>
          <t>មិនទាន់កំណត់</t>
        </is>
      </c>
      <c r="H1487" t="inlineStr">
        <is>
          <t>មិនទាន់កំណត់</t>
        </is>
      </c>
      <c r="I1487" s="217" t="inlineStr">
        <is>
          <t>"thanhtoan.pending": "មិនទាន់កំណត់",</t>
        </is>
      </c>
      <c r="N1487" s="163" t="n"/>
    </row>
    <row r="1488" ht="15.75" customHeight="1" s="305">
      <c r="A1488" s="203" t="inlineStr">
        <is>
          <t>thanhtoan.pleaseTryAgain</t>
        </is>
      </c>
      <c r="B1488" s="203" t="inlineStr">
        <is>
          <t>Vui lòng thực hiện lại</t>
        </is>
      </c>
      <c r="C1488" s="203" t="inlineStr">
        <is>
          <t>Please try again</t>
        </is>
      </c>
      <c r="D1488" s="216">
        <f>IFERROR(__xludf.DUMMYFUNCTION("GOOGLETRANSLATE(B1488,""vi"",""km"")"),"សូមព្យាយាមម្តងទៀត។")</f>
        <v/>
      </c>
      <c r="E1488" s="3" t="inlineStr">
        <is>
          <t>សូមព្យាយាមម្តងទៀត</t>
        </is>
      </c>
      <c r="F1488" s="3" t="n"/>
      <c r="G1488" s="3" t="inlineStr">
        <is>
          <t>សូមព្យាយាមម្តងទៀត</t>
        </is>
      </c>
      <c r="H1488" t="inlineStr">
        <is>
          <t>សូមព្យាយាមម្តងទៀត</t>
        </is>
      </c>
      <c r="I1488" s="217" t="inlineStr">
        <is>
          <t>"thanhtoan.pleaseTryAgain": "សូមព្យាយាមម្តងទៀត",</t>
        </is>
      </c>
      <c r="N1488" s="163" t="n"/>
    </row>
    <row r="1489" ht="15.75" customHeight="1" s="305">
      <c r="A1489" s="203" t="inlineStr">
        <is>
          <t>thanhtoan.totalPaymentAmount</t>
        </is>
      </c>
      <c r="B1489" s="203" t="inlineStr">
        <is>
          <t>Tổng tiền thanh toán:</t>
        </is>
      </c>
      <c r="C1489" s="204" t="inlineStr">
        <is>
          <t>Total payment amount:</t>
        </is>
      </c>
      <c r="D1489" s="216">
        <f>IFERROR(__xludf.DUMMYFUNCTION("GOOGLETRANSLATE(B1489,""vi"",""km"")"),"ចំនួនទឹកប្រាក់សរុបដែលត្រូវបង់៖")</f>
        <v/>
      </c>
      <c r="E1489" s="3" t="inlineStr">
        <is>
          <t>ចំនួនទឹកប្រាក់ទូទាត់សរុប៖</t>
        </is>
      </c>
      <c r="F1489" s="3" t="n"/>
      <c r="G1489" s="3" t="inlineStr">
        <is>
          <t>ចំនួនទឹកប្រាក់ទូទាត់សរុប៖</t>
        </is>
      </c>
      <c r="H1489" t="inlineStr">
        <is>
          <t>ចំនួនទឹកប្រាក់ទូទាត់សរុប៖</t>
        </is>
      </c>
      <c r="I1489" s="217" t="inlineStr">
        <is>
          <t>"thanhtoan.totalPaymentAmount": "ចំនួនទឹកប្រាក់ទូទាត់សរុប៖",</t>
        </is>
      </c>
      <c r="N1489" s="163" t="n"/>
    </row>
    <row r="1490" ht="15.75" customHeight="1" s="305">
      <c r="A1490" s="204" t="inlineStr">
        <is>
          <t>GiaoHang.noWifiPrinter</t>
        </is>
      </c>
      <c r="B1490" s="3" t="inlineStr">
        <is>
          <t>Chưa có máy in wifi nào được kết nối</t>
        </is>
      </c>
      <c r="C1490" s="3" t="inlineStr">
        <is>
          <t>No WiFi printer connected</t>
        </is>
      </c>
      <c r="D1490" s="216">
        <f>IFERROR(__xludf.DUMMYFUNCTION("GOOGLETRANSLATE(B1490,""vi"",""km"")"),"មិនទាន់មានម៉ាស៊ីនបោះពុម្ព Wi-Fi ត្រូវបានភ្ជាប់នៅឡើយទេ។")</f>
        <v/>
      </c>
      <c r="E1490" s="3" t="inlineStr">
        <is>
          <t xml:space="preserve">មិនមានការភ្ជាប់ម៉ាស៊ីនព្រី​នWi-Fi </t>
        </is>
      </c>
      <c r="F1490" s="3" t="n"/>
      <c r="G1490" s="3" t="inlineStr">
        <is>
          <t>មិនមានការភ្ជាប់ម៉ាស៊ីនព្រីនWi-Fi</t>
        </is>
      </c>
      <c r="H1490" t="inlineStr">
        <is>
          <t>មិនមានការភ្ជាប់ម៉ាស៊ីនព្រីនWi-Fi</t>
        </is>
      </c>
      <c r="I1490" s="217" t="inlineStr">
        <is>
          <t>"GiaoHang.noWifiPrinter": "មិនមានការភ្ជាប់ម៉ាស៊ីនព្រីនWi-Fi",</t>
        </is>
      </c>
      <c r="N1490" s="163" t="n"/>
    </row>
    <row r="1491" ht="15.75" customHeight="1" s="305">
      <c r="A1491" s="3" t="inlineStr">
        <is>
          <t>GiaoHang.addedWifiPrinter</t>
        </is>
      </c>
      <c r="B1491" s="3" t="inlineStr">
        <is>
          <t>Đã thêm máy in WiFi {{ip}}</t>
        </is>
      </c>
      <c r="C1491" s="3" t="inlineStr">
        <is>
          <t>Added WiFi printer {{ip}}</t>
        </is>
      </c>
      <c r="D1491" s="216">
        <f>IFERROR(__xludf.DUMMYFUNCTION("GOOGLETRANSLATE(B1491,""vi"",""km"")"),"ម៉ាស៊ីនបោះពុម្ព WiFi {{ip}} ត្រូវបានបន្ថែម។")</f>
        <v/>
      </c>
      <c r="E1491" s="3" t="inlineStr">
        <is>
          <t xml:space="preserve">បានបន្ថែមម៉ាសុីនព្រី​នWi-Fi </t>
        </is>
      </c>
      <c r="F1491" s="3" t="n"/>
      <c r="G1491" s="3" t="inlineStr">
        <is>
          <t>បានបន្ថែមម៉ាសុីនព្រីនWi-Fi</t>
        </is>
      </c>
      <c r="H1491" t="inlineStr">
        <is>
          <t>បានបន្ថែមម៉ាសុីនព្រីនWi-Fi</t>
        </is>
      </c>
      <c r="I1491" s="217" t="inlineStr">
        <is>
          <t>"GiaoHang.addedWifiPrinter": "បានបន្ថែមម៉ាសុីនព្រីនWi-Fi",</t>
        </is>
      </c>
      <c r="N1491" s="163" t="n"/>
    </row>
    <row r="1492" ht="15.75" customHeight="1" s="305">
      <c r="A1492" s="219" t="inlineStr">
        <is>
          <t>suaDon.tailieu</t>
        </is>
      </c>
      <c r="B1492" s="219" t="inlineStr">
        <is>
          <t>Tài liệu</t>
        </is>
      </c>
      <c r="C1492" s="219" t="inlineStr">
        <is>
          <t>Documents</t>
        </is>
      </c>
      <c r="D1492" s="216">
        <f>IFERROR(__xludf.DUMMYFUNCTION("GOOGLETRANSLATE(B1492,""vi"",""km"")"),"ឯកសារ")</f>
        <v/>
      </c>
      <c r="E1492" s="3" t="inlineStr">
        <is>
          <t>ឯកសារ</t>
        </is>
      </c>
      <c r="F1492" s="3" t="n"/>
      <c r="G1492" s="3" t="inlineStr">
        <is>
          <t>ឯកសារ</t>
        </is>
      </c>
      <c r="H1492" t="inlineStr">
        <is>
          <t>ឯកសារ</t>
        </is>
      </c>
      <c r="I1492" s="217" t="inlineStr">
        <is>
          <t>"suaDon.tailieu": "ឯកសារ",</t>
        </is>
      </c>
      <c r="N1492" s="163" t="n"/>
    </row>
    <row r="1493" ht="15.75" customHeight="1" s="305">
      <c r="A1493" s="219" t="inlineStr">
        <is>
          <t>suaDon.discount</t>
        </is>
      </c>
      <c r="B1493" s="219" t="inlineStr">
        <is>
          <t>Giảm giá</t>
        </is>
      </c>
      <c r="C1493" s="219" t="inlineStr">
        <is>
          <t>Discount</t>
        </is>
      </c>
      <c r="D1493" s="216">
        <f>IFERROR(__xludf.DUMMYFUNCTION("GOOGLETRANSLATE(B1493,""vi"",""km"")"),"បញ្ចុះតម្លៃ")</f>
        <v/>
      </c>
      <c r="E1493" s="3" t="inlineStr">
        <is>
          <t>បញ្ចុះតម្លៃ</t>
        </is>
      </c>
      <c r="F1493" s="3" t="n"/>
      <c r="G1493" s="3" t="inlineStr">
        <is>
          <t>បញ្ចុះតម្លៃ</t>
        </is>
      </c>
      <c r="H1493" t="inlineStr">
        <is>
          <t>បញ្ចុះតម្លៃ</t>
        </is>
      </c>
      <c r="I1493" s="217" t="inlineStr">
        <is>
          <t>"suaDon.discount": "បញ្ចុះតម្លៃ",</t>
        </is>
      </c>
      <c r="N1493" s="163" t="n"/>
    </row>
    <row r="1494" ht="15.75" customHeight="1" s="305">
      <c r="A1494" s="219" t="inlineStr">
        <is>
          <t>suaDon.discountInfo</t>
        </is>
      </c>
      <c r="B1494" s="219" t="inlineStr">
        <is>
          <t>Giảm {{discount}} cho mọi đơn hàng trước ngày {{day}}/{{month}}/{{year}}</t>
        </is>
      </c>
      <c r="C1494" s="219" t="inlineStr">
        <is>
          <t>Discount {{discount}} for all orders before {{day}}/{{month}}/{{year}}</t>
        </is>
      </c>
      <c r="D1494" s="216">
        <f>IFERROR(__xludf.DUMMYFUNCTION("GOOGLETRANSLATE(B1494,""vi"",""km"")"),"បញ្ចុះតម្លៃលើការបញ្ជាទិញទាំងអស់ដែលធ្វើឡើងមុនថ្ងៃ/ខែ/ឆ្នាំ។")</f>
        <v/>
      </c>
      <c r="E1494" s="3" t="inlineStr">
        <is>
          <t>បញ្ចុះតម្លៃ {{discount}} គ្រប់ការកុម្ម៉ង់អីវ៉ាន់ មុនថ្ងៃទី {{day}}/{{month}}/{{year}}</t>
        </is>
      </c>
      <c r="F1494" s="3" t="n"/>
      <c r="G1494" s="3" t="inlineStr">
        <is>
          <t>បញ្ចុះតម្លៃ {{discount}} គ្រប់ការកុម្ម៉ង់អីវ៉ាន់ មុនថ្ងៃទី {{day}}/{{month}}/{{year}}</t>
        </is>
      </c>
      <c r="H1494" t="inlineStr">
        <is>
          <t>បញ្ចុះតម្លៃ {{discount}} គ្រប់ការកុម្ម៉ង់អីវ៉ាន់ មុនថ្ងៃទី {{day}}/{{month}}/{{year}}</t>
        </is>
      </c>
      <c r="I1494" s="217" t="inlineStr">
        <is>
          <t>"suaDon.discountInfo": "បញ្ចុះតម្លៃ {{discount}} គ្រប់ការកុម្ម៉ង់អីវ៉ាន់ មុនថ្ងៃទី {{day}}/{{month}}/{{year}}",</t>
        </is>
      </c>
      <c r="N1494" s="163" t="n"/>
    </row>
    <row r="1495" ht="15.75" customHeight="1" s="305">
      <c r="A1495" s="219" t="inlineStr">
        <is>
          <t>debit.assignment_limit_detail</t>
        </is>
      </c>
      <c r="B1495" s="219" t="inlineStr">
        <is>
          <t>Chi tiết tồn phân công</t>
        </is>
      </c>
      <c r="C1495" s="219" t="inlineStr">
        <is>
          <t>Assignment outstanding details</t>
        </is>
      </c>
      <c r="D1495" s="216">
        <f>IFERROR(__xludf.DUMMYFUNCTION("GOOGLETRANSLATE(B1495,""vi"",""km"")"),"ព័ត៌មានលម្អិតនៃការបែងចែកសារពើភ័ណ្ឌ")</f>
        <v/>
      </c>
      <c r="E1495" s="3" t="n"/>
      <c r="F1495" s="3" t="n"/>
      <c r="G1495" s="3" t="inlineStr">
        <is>
          <t>ព័ត៌មានលម្អិតនៃការបែងចែកសារពើភ័ណ្ឌ</t>
        </is>
      </c>
      <c r="H1495" t="inlineStr">
        <is>
          <t>ព័ត៌មានលម្អិតនៃការបែងចែកសារពើភ័ណ្ឌ</t>
        </is>
      </c>
      <c r="I1495" s="217" t="inlineStr">
        <is>
          <t>"debit.assignment_limit_detail": "ព័ត៌មានលម្អិតនៃការបែងចែកសារពើភ័ណ្ឌ",</t>
        </is>
      </c>
      <c r="N1495" s="163" t="n"/>
    </row>
    <row r="1496" ht="15.75" customHeight="1" s="305">
      <c r="A1496" s="219" t="inlineStr">
        <is>
          <t>debit.declare</t>
        </is>
      </c>
      <c r="B1496" s="219" t="inlineStr">
        <is>
          <t>Khai báo</t>
        </is>
      </c>
      <c r="C1496" s="219" t="inlineStr">
        <is>
          <t>Declaration</t>
        </is>
      </c>
      <c r="D1496" s="216">
        <f>IFERROR(__xludf.DUMMYFUNCTION("GOOGLETRANSLATE(B1496,""vi"",""km"")"),"សេចក្តីប្រកាស")</f>
        <v/>
      </c>
      <c r="E1496" s="3" t="inlineStr">
        <is>
          <t>ប្រកាស</t>
        </is>
      </c>
      <c r="F1496" s="3" t="n"/>
      <c r="G1496" s="3" t="inlineStr">
        <is>
          <t>ប្រកាស</t>
        </is>
      </c>
      <c r="H1496" t="inlineStr">
        <is>
          <t>ប្រកាស</t>
        </is>
      </c>
      <c r="I1496" s="217" t="inlineStr">
        <is>
          <t>"debit.declare": "ប្រកាស",</t>
        </is>
      </c>
      <c r="N1496" s="163" t="n"/>
    </row>
    <row r="1497" ht="15.75" customHeight="1" s="305">
      <c r="A1497" s="219" t="inlineStr">
        <is>
          <t>debit.debt_to_process</t>
        </is>
      </c>
      <c r="B1497" s="219" t="inlineStr">
        <is>
          <t>Nợ cần xử lý</t>
        </is>
      </c>
      <c r="C1497" s="219" t="inlineStr">
        <is>
          <t>Debt pending processing</t>
        </is>
      </c>
      <c r="D1497" s="216">
        <f>IFERROR(__xludf.DUMMYFUNCTION("GOOGLETRANSLATE(B1497,""vi"",""km"")"),"បំណុលដែលត្រូវការដោះស្រាយ")</f>
        <v/>
      </c>
      <c r="E1497" s="3" t="inlineStr">
        <is>
          <t>បំណុលត្រូវទូទាត់</t>
        </is>
      </c>
      <c r="F1497" s="3" t="n"/>
      <c r="G1497" s="3" t="inlineStr">
        <is>
          <t>បំណុលត្រូវទូទាត់</t>
        </is>
      </c>
      <c r="H1497" t="inlineStr">
        <is>
          <t>បំណុលត្រូវទូទាត់</t>
        </is>
      </c>
      <c r="I1497" s="217" t="inlineStr">
        <is>
          <t>"debit.debt_to_process": "បំណុលត្រូវទូទាត់",</t>
        </is>
      </c>
      <c r="N1497" s="163" t="n"/>
    </row>
    <row r="1498" ht="15.75" customHeight="1" s="305">
      <c r="A1498" s="219" t="inlineStr">
        <is>
          <t>debit.not_used</t>
        </is>
      </c>
      <c r="B1498" s="219" t="inlineStr">
        <is>
          <t>Chưa sử dụng</t>
        </is>
      </c>
      <c r="C1498" s="219" t="inlineStr">
        <is>
          <t>Unused</t>
        </is>
      </c>
      <c r="D1498" s="216">
        <f>IFERROR(__xludf.DUMMYFUNCTION("GOOGLETRANSLATE(B1498,""vi"",""km"")"),"មិនទាន់ប្រើ")</f>
        <v/>
      </c>
      <c r="E1498" s="3" t="inlineStr">
        <is>
          <t>មិនទាន់ប្រើ</t>
        </is>
      </c>
      <c r="F1498" s="3" t="n"/>
      <c r="G1498" s="3" t="inlineStr">
        <is>
          <t>មិនទាន់ប្រើ</t>
        </is>
      </c>
      <c r="H1498" t="inlineStr">
        <is>
          <t>មិនទាន់ប្រើ</t>
        </is>
      </c>
      <c r="I1498" s="217" t="inlineStr">
        <is>
          <t>"debit.not_used": "មិនទាន់ប្រើ",</t>
        </is>
      </c>
      <c r="N1498" s="163" t="n"/>
    </row>
    <row r="1499" ht="15.75" customHeight="1" s="305">
      <c r="A1499" s="219" t="inlineStr">
        <is>
          <t>debit.cod_collection</t>
        </is>
      </c>
      <c r="B1499" s="219" t="inlineStr">
        <is>
          <t>Thu hộ</t>
        </is>
      </c>
      <c r="C1499" s="219" t="inlineStr">
        <is>
          <t>COD</t>
        </is>
      </c>
      <c r="D1499" s="216">
        <f>IFERROR(__xludf.DUMMYFUNCTION("GOOGLETRANSLATE(B1499,""vi"",""km"")"),"ការប្រមូល")</f>
        <v/>
      </c>
      <c r="E1499" s="3" t="inlineStr">
        <is>
          <t>ប្រមូលប្រាក់ជំនួស</t>
        </is>
      </c>
      <c r="F1499" s="3" t="n"/>
      <c r="G1499" s="3" t="inlineStr">
        <is>
          <t>ប្រមូលប្រាក់ជំនួស</t>
        </is>
      </c>
      <c r="H1499" t="inlineStr">
        <is>
          <t>ប្រមូលប្រាក់ជំនួស</t>
        </is>
      </c>
      <c r="I1499" s="217" t="inlineStr">
        <is>
          <t>"debit.cod_collection": "ប្រមូលប្រាក់ជំនួស",</t>
        </is>
      </c>
      <c r="N1499" s="163" t="n"/>
    </row>
    <row r="1500" ht="15.75" customHeight="1" s="305">
      <c r="A1500" s="219" t="inlineStr">
        <is>
          <t>debit.shipping_fee_label</t>
        </is>
      </c>
      <c r="B1500" s="219" t="inlineStr">
        <is>
          <t>Cước</t>
        </is>
      </c>
      <c r="C1500" s="219" t="inlineStr">
        <is>
          <t>Fee</t>
        </is>
      </c>
      <c r="D1500" s="216">
        <f>IFERROR(__xludf.DUMMYFUNCTION("GOOGLETRANSLATE(B1500,""vi"",""km"")"),"ថ្លៃសេវា")</f>
        <v/>
      </c>
      <c r="E1500" s="3" t="inlineStr">
        <is>
          <t>ថ្លៃសេវា</t>
        </is>
      </c>
      <c r="F1500" s="3" t="n"/>
      <c r="G1500" s="3" t="inlineStr">
        <is>
          <t>ថ្លៃសេវា</t>
        </is>
      </c>
      <c r="H1500" t="inlineStr">
        <is>
          <t>ថ្លៃសេវា</t>
        </is>
      </c>
      <c r="I1500" s="217" t="inlineStr">
        <is>
          <t>"debit.shipping_fee_label": "ថ្លៃសេវា",</t>
        </is>
      </c>
      <c r="N1500" s="163" t="n"/>
    </row>
    <row r="1501" ht="15.75" customHeight="1" s="305">
      <c r="A1501" s="219" t="inlineStr">
        <is>
          <t>debit.cod_debt_detail</t>
        </is>
      </c>
      <c r="B1501" s="219" t="inlineStr">
        <is>
          <t>Chi tiết công nợ thu hộ</t>
        </is>
      </c>
      <c r="C1501" s="219" t="inlineStr">
        <is>
          <t>COD debt details</t>
        </is>
      </c>
      <c r="D1501" s="216">
        <f>IFERROR(__xludf.DUMMYFUNCTION("GOOGLETRANSLATE(B1501,""vi"",""km"")"),"ព័ត៌មានលម្អិតនៃគណនីដែលត្រូវទទួល")</f>
        <v/>
      </c>
      <c r="E1501" s="3" t="inlineStr">
        <is>
          <t>ព័ត៌មានលម្អិតអំពីបំណុលប្រមូលប្រាក់ជំនួស</t>
        </is>
      </c>
      <c r="F1501" s="3" t="n"/>
      <c r="G1501" s="3" t="inlineStr">
        <is>
          <t>ព័ត៌មានលម្អិតអំពីបំណុលប្រមូលប្រាក់ជំនួស</t>
        </is>
      </c>
      <c r="H1501" t="inlineStr">
        <is>
          <t>ព័ត៌មានលម្អិតអំពីបំណុលប្រមូលប្រាក់ជំនួស</t>
        </is>
      </c>
      <c r="I1501" s="217" t="inlineStr">
        <is>
          <t>"debit.cod_debt_detail": "ព័ត៌មានលម្អិតអំពីបំណុលប្រមូលប្រាក់ជំនួស",</t>
        </is>
      </c>
      <c r="N1501" s="163" t="n"/>
    </row>
    <row r="1502" ht="15.75" customHeight="1" s="305">
      <c r="A1502" s="219" t="inlineStr">
        <is>
          <t>debit.freight_debt_detail</t>
        </is>
      </c>
      <c r="B1502" s="219" t="inlineStr">
        <is>
          <t>Chi tiết công nợ cước</t>
        </is>
      </c>
      <c r="C1502" s="219" t="inlineStr">
        <is>
          <t>Fee debt details</t>
        </is>
      </c>
      <c r="D1502" s="216">
        <f>IFERROR(__xludf.DUMMYFUNCTION("GOOGLETRANSLATE(B1502,""vi"",""km"")"),"ព័ត៌មានលម្អិតនៃថ្លៃដឹកជញ្ជូនដែលនៅសេសសល់")</f>
        <v/>
      </c>
      <c r="E1502" s="3" t="inlineStr">
        <is>
          <t>ព័ត៌មានលម្អិតអំពីបំណុលសេវា</t>
        </is>
      </c>
      <c r="F1502" s="3" t="n"/>
      <c r="G1502" s="3" t="inlineStr">
        <is>
          <t>ព័ត៌មានលម្អិតអំពីបំណុលសេវា</t>
        </is>
      </c>
      <c r="H1502" t="inlineStr">
        <is>
          <t>ព័ត៌មានលម្អិតអំពីបំណុលសេវា</t>
        </is>
      </c>
      <c r="I1502" s="217" t="inlineStr">
        <is>
          <t>"debit.freight_debt_detail": "ព័ត៌មានលម្អិតអំពីបំណុលសេវា",</t>
        </is>
      </c>
      <c r="N1502" s="163" t="n"/>
    </row>
    <row r="1503" ht="15.75" customHeight="1" s="305">
      <c r="A1503" s="219" t="inlineStr">
        <is>
          <t>debit.cod_amount</t>
        </is>
      </c>
      <c r="B1503" s="219" t="inlineStr">
        <is>
          <t>Tiền cước</t>
        </is>
      </c>
      <c r="C1503" s="219" t="inlineStr">
        <is>
          <t>COD amount</t>
        </is>
      </c>
      <c r="D1503" s="216">
        <f>IFERROR(__xludf.DUMMYFUNCTION("GOOGLETRANSLATE(B1503,""vi"",""km"")"),"តម្លៃសំបុត្រ")</f>
        <v/>
      </c>
      <c r="E1503" s="3" t="inlineStr">
        <is>
          <t>តម្លៃសេវា</t>
        </is>
      </c>
      <c r="F1503" s="3" t="n"/>
      <c r="G1503" s="3" t="inlineStr">
        <is>
          <t>តម្លៃសេវា</t>
        </is>
      </c>
      <c r="H1503" t="inlineStr">
        <is>
          <t>តម្លៃសេវា</t>
        </is>
      </c>
      <c r="I1503" s="217" t="inlineStr">
        <is>
          <t>"debit.cod_amount": "តម្លៃសេវា",</t>
        </is>
      </c>
      <c r="N1503" s="163" t="n"/>
    </row>
    <row r="1504" ht="15.75" customHeight="1" s="305">
      <c r="A1504" s="219" t="inlineStr">
        <is>
          <t>debit.delivery_success_date</t>
        </is>
      </c>
      <c r="B1504" s="219" t="inlineStr">
        <is>
          <t>Ngày nhập doanh thu</t>
        </is>
      </c>
      <c r="C1504" s="219" t="inlineStr">
        <is>
          <t>Successful delivery date</t>
        </is>
      </c>
      <c r="D1504" s="216">
        <f>IFERROR(__xludf.DUMMYFUNCTION("GOOGLETRANSLATE(B1504,""vi"",""km"")"),"កាលបរិច្ឆេទបញ្ចូលចំណូល")</f>
        <v/>
      </c>
      <c r="E1504" s="3" t="inlineStr">
        <is>
          <t>ថ្ងៃបញ្ចូលចំណូល</t>
        </is>
      </c>
      <c r="F1504" s="3" t="n"/>
      <c r="G1504" s="3" t="inlineStr">
        <is>
          <t>ថ្ងៃបញ្ចូលចំណូល</t>
        </is>
      </c>
      <c r="H1504" t="inlineStr">
        <is>
          <t>ថ្ងៃបញ្ចូលចំណូល</t>
        </is>
      </c>
      <c r="I1504" s="217" t="inlineStr">
        <is>
          <t>"debit.delivery_success_date": "ថ្ងៃបញ្ចូលចំណូល",</t>
        </is>
      </c>
      <c r="N1504" s="163" t="n"/>
    </row>
    <row r="1505" ht="15.75" customHeight="1" s="305">
      <c r="A1505" s="219" t="inlineStr">
        <is>
          <t>debit.search</t>
        </is>
      </c>
      <c r="B1505" s="219" t="inlineStr">
        <is>
          <t>Tra cứu</t>
        </is>
      </c>
      <c r="C1505" s="219" t="inlineStr">
        <is>
          <t>Search</t>
        </is>
      </c>
      <c r="D1505" s="216">
        <f>IFERROR(__xludf.DUMMYFUNCTION("GOOGLETRANSLATE(B1505,""vi"",""km"")"),"ស្វែងរក")</f>
        <v/>
      </c>
      <c r="E1505" s="3" t="inlineStr">
        <is>
          <t>ស្វែងរក</t>
        </is>
      </c>
      <c r="F1505" s="3" t="n"/>
      <c r="G1505" s="3" t="inlineStr">
        <is>
          <t>ស្វែងរក</t>
        </is>
      </c>
      <c r="H1505" t="inlineStr">
        <is>
          <t>ស្វែងរក</t>
        </is>
      </c>
      <c r="I1505" s="217" t="inlineStr">
        <is>
          <t>"debit.search": "ស្វែងរក",</t>
        </is>
      </c>
      <c r="N1505" s="163" t="n"/>
    </row>
    <row r="1506" ht="15.75" customHeight="1" s="305">
      <c r="A1506" s="219" t="inlineStr">
        <is>
          <t>debit.management</t>
        </is>
      </c>
      <c r="B1506" s="219" t="inlineStr">
        <is>
          <t>Quản lý</t>
        </is>
      </c>
      <c r="C1506" s="219" t="inlineStr">
        <is>
          <t>Management</t>
        </is>
      </c>
      <c r="D1506" s="216">
        <f>IFERROR(__xludf.DUMMYFUNCTION("GOOGLETRANSLATE(B1506,""vi"",""km"")"),"គ្រប់គ្រង")</f>
        <v/>
      </c>
      <c r="E1506" s="3" t="inlineStr">
        <is>
          <t>គ្រប់គ្រង</t>
        </is>
      </c>
      <c r="F1506" s="3" t="n"/>
      <c r="G1506" s="3" t="inlineStr">
        <is>
          <t>ការគ្រប់គ្រង</t>
        </is>
      </c>
      <c r="H1506" t="inlineStr">
        <is>
          <t>ការគ្រប់គ្រង</t>
        </is>
      </c>
      <c r="I1506" s="217" t="inlineStr">
        <is>
          <t>"debit.management": "ការគ្រប់គ្រង",</t>
        </is>
      </c>
      <c r="N1506" s="163" t="n"/>
    </row>
    <row r="1507" ht="15.75" customHeight="1" s="305">
      <c r="A1507" s="219" t="inlineStr">
        <is>
          <t>debit.messageCheckDebit</t>
        </is>
      </c>
      <c r="B1507" s="219" t="inlineStr">
        <is>
          <t>Đã vượt quá hạn mức công nợ cước, yêu cầu xử lý công nợ !</t>
        </is>
      </c>
      <c r="C1507" s="219" t="inlineStr">
        <is>
          <t>Fee receivable limit exceeded, debt processing is required</t>
        </is>
      </c>
      <c r="D1507" s="216">
        <f>IFERROR(__xludf.DUMMYFUNCTION("GOOGLETRANSLATE(B1507,""vi"",""km"")"),"ដែនកំណត់ឥណទានសម្រាប់ការចំណាយដែលមិនទាន់បានបង់ត្រូវបានលើស។ សូមដំណើរការបំណុលដែលមិនទាន់បានបង់!")</f>
        <v/>
      </c>
      <c r="E1507" s="3" t="inlineStr">
        <is>
          <t>លើសកម្រិតបំណុលថ្លៃសេវាហើយ សូមទូទាត់បំណុល!</t>
        </is>
      </c>
      <c r="F1507" s="3" t="n"/>
      <c r="G1507" s="3" t="inlineStr">
        <is>
          <t>លើសកម្រិតបំណុលថ្លៃសេវាហើយ សូមទូទាត់បំណុល!</t>
        </is>
      </c>
      <c r="H1507" t="inlineStr">
        <is>
          <t>លើសកម្រិតបំណុលថ្លៃសេវាហើយ សូមទូទាត់បំណុល!</t>
        </is>
      </c>
      <c r="I1507" s="217" t="inlineStr">
        <is>
          <t>"debit.messageCheckDebit": "លើសកម្រិតបំណុលថ្លៃសេវាហើយ សូមទូទាត់បំណុល!",</t>
        </is>
      </c>
      <c r="N1507" s="163" t="n"/>
    </row>
    <row r="1508" ht="15.75" customHeight="1" s="305">
      <c r="A1508" s="219" t="inlineStr">
        <is>
          <t>debit.messageCheckDebitContinue</t>
        </is>
      </c>
      <c r="B1508" s="219" t="inlineStr">
        <is>
          <t>Đã vượt quá hạn mức phân công, yêu cầu xử lý hàng tồn để tiếp tục !</t>
        </is>
      </c>
      <c r="C1508" s="219" t="inlineStr">
        <is>
          <t>Fee receivable limit exceeded, please process the debt to continue</t>
        </is>
      </c>
      <c r="D1508" s="216">
        <f>IFERROR(__xludf.DUMMYFUNCTION("GOOGLETRANSLATE(B1508,""vi"",""km"")"),"កូតាដែលបានកំណត់ត្រូវបានលើស។ សូមដំណើរការសារពើភ័ណ្ឌដែលនៅសល់ដើម្បីបន្ត!")</f>
        <v/>
      </c>
      <c r="E1508" s="3" t="inlineStr">
        <is>
          <t>លើសកម្រិតកំណត់នៃការបែងចែកហើយ សូមដោះស្រាយអីវ៉ាន់ក្នុងស្តុកដើម្បីបន្ត!</t>
        </is>
      </c>
      <c r="F1508" s="3" t="n"/>
      <c r="G1508" s="3" t="inlineStr">
        <is>
          <t>លើសកម្រិតកំណត់នៃការបែងចែកហើយ សូមដោះស្រាយអីវ៉ាន់ក្នុងស្តុកដើម្បីបន្ត!</t>
        </is>
      </c>
      <c r="H1508" t="inlineStr">
        <is>
          <t>លើសកម្រិតកំណត់នៃការបែងចែកហើយ សូមដោះស្រាយអីវ៉ាន់ក្នុងស្តុកដើម្បីបន្ត!</t>
        </is>
      </c>
      <c r="I1508" s="217" t="inlineStr">
        <is>
          <t>"debit.messageCheckDebitContinue": "លើសកម្រិតកំណត់នៃការបែងចែកហើយ សូមដោះស្រាយអីវ៉ាន់ក្នុងស្តុកដើម្បីបន្ត!",</t>
        </is>
      </c>
      <c r="N1508" s="163" t="n"/>
    </row>
    <row r="1509" ht="15.75" customHeight="1" s="305">
      <c r="A1509" s="219" t="inlineStr">
        <is>
          <t>debit.messageCheckDebitCOD</t>
        </is>
      </c>
      <c r="B1509" s="219" t="inlineStr">
        <is>
          <t>Đã vượt quá hạn mức công nợ COD, yêu cầu xử lý công nợ !</t>
        </is>
      </c>
      <c r="C1509" s="219" t="inlineStr">
        <is>
          <t>COD receivable limit exceeded, debt processing is required</t>
        </is>
      </c>
      <c r="D1509" s="216">
        <f>IFERROR(__xludf.DUMMYFUNCTION("GOOGLETRANSLATE(B1509,""vi"",""km"")"),"ដែនកំណត់ការទូទាត់ COD (បង់ប្រាក់ពេលទទួលទំនិញ) ត្រូវបានលើសហើយ។ សូមដំណើរការបំណុលដែលនៅសេសសល់!")</f>
        <v/>
      </c>
      <c r="E1509" s="3" t="inlineStr">
        <is>
          <t>លើសកម្រិតបំណុលCOD ហើយ សូមទូទាត់បំណុល!</t>
        </is>
      </c>
      <c r="F1509" s="3" t="n"/>
      <c r="G1509" s="3" t="inlineStr">
        <is>
          <t>លើសកម្រិតបំណុលCOD ហើយ សូមទូទាត់បំណុល!</t>
        </is>
      </c>
      <c r="H1509" t="inlineStr">
        <is>
          <t>លើសកម្រិតបំណុលCOD ហើយ សូមទូទាត់បំណុល!</t>
        </is>
      </c>
      <c r="I1509" s="217" t="inlineStr">
        <is>
          <t>"debit.messageCheckDebitCOD": "លើសកម្រិតបំណុលCOD ហើយ សូមទូទាត់បំណុល!",</t>
        </is>
      </c>
      <c r="N1509" s="163" t="n"/>
    </row>
    <row r="1510" ht="15.75" customHeight="1" s="305">
      <c r="A1510" s="219" t="inlineStr">
        <is>
          <t>debit.assignment_limit</t>
        </is>
      </c>
      <c r="B1510" s="219" t="inlineStr">
        <is>
          <t>Hạn mức phân công</t>
        </is>
      </c>
      <c r="C1510" s="219" t="inlineStr">
        <is>
          <t>Assignment limit</t>
        </is>
      </c>
      <c r="D1510" s="216">
        <f>IFERROR(__xludf.DUMMYFUNCTION("GOOGLETRANSLATE(B1510,""vi"",""km"")"),"ដែនកំណត់នៃការចាត់តាំង")</f>
        <v/>
      </c>
      <c r="E1510" s="3" t="inlineStr">
        <is>
          <t>កម្រិតបែងចែក</t>
        </is>
      </c>
      <c r="F1510" s="3" t="n"/>
      <c r="G1510" s="3" t="inlineStr">
        <is>
          <t>កម្រិតបែងចែក</t>
        </is>
      </c>
      <c r="H1510" t="inlineStr">
        <is>
          <t>កម្រិតបែងចែក</t>
        </is>
      </c>
      <c r="I1510" s="217" t="inlineStr">
        <is>
          <t>"debit.assignment_limit": "កម្រិតបែងចែក",</t>
        </is>
      </c>
      <c r="N1510" s="163" t="n"/>
    </row>
    <row r="1511" ht="15.75" customHeight="1" s="305">
      <c r="A1511" s="219" t="inlineStr">
        <is>
          <t>debit.debt_imit</t>
        </is>
      </c>
      <c r="B1511" s="219" t="inlineStr">
        <is>
          <t>Hạn mức công nợ</t>
        </is>
      </c>
      <c r="C1511" s="219" t="inlineStr">
        <is>
          <t>Debt imit</t>
        </is>
      </c>
      <c r="D1511" s="216">
        <f>IFERROR(__xludf.DUMMYFUNCTION("GOOGLETRANSLATE(B1511,""vi"",""km"")"),"ដែនកំណត់ឥណទាន")</f>
        <v/>
      </c>
      <c r="E1511" s="3" t="inlineStr">
        <is>
          <t>កម្រិតបំណុល</t>
        </is>
      </c>
      <c r="F1511" s="3" t="n"/>
      <c r="G1511" s="3" t="inlineStr">
        <is>
          <t>កម្រិតបំណុល</t>
        </is>
      </c>
      <c r="H1511" t="inlineStr">
        <is>
          <t>កម្រិតបំណុល</t>
        </is>
      </c>
      <c r="I1511" s="217" t="inlineStr">
        <is>
          <t>"debit.debt_imit": "កម្រិតបំណុល",</t>
        </is>
      </c>
      <c r="N1511" s="163" t="n"/>
    </row>
    <row r="1512" ht="15.75" customHeight="1" s="305">
      <c r="A1512" s="219" t="inlineStr">
        <is>
          <t>debit.create_clear_client</t>
        </is>
      </c>
      <c r="B1512" s="219" t="inlineStr">
        <is>
          <t>Tạo bảng kê KH</t>
        </is>
      </c>
      <c r="C1512" s="219" t="inlineStr">
        <is>
          <t>Create customer statement</t>
        </is>
      </c>
      <c r="D1512" s="216">
        <f>IFERROR(__xludf.DUMMYFUNCTION("GOOGLETRANSLATE(B1512,""vi"",""km"")"),"បង្កើតបញ្ជីអតិថិជន")</f>
        <v/>
      </c>
      <c r="E1512" s="3" t="inlineStr">
        <is>
          <t>បង្កើតតារាងបញ្ជីអតិថិជន</t>
        </is>
      </c>
      <c r="F1512" s="3" t="n"/>
      <c r="G1512" s="3" t="inlineStr">
        <is>
          <t>បង្កើតតារាងបញ្ជីអតិថិជន</t>
        </is>
      </c>
      <c r="H1512" t="inlineStr">
        <is>
          <t>បង្កើតតារាងបញ្ជីអតិថិជន</t>
        </is>
      </c>
      <c r="I1512" s="217" t="inlineStr">
        <is>
          <t>"debit.create_clear_client": "បង្កើតតារាងបញ្ជីអតិថិជន",</t>
        </is>
      </c>
      <c r="N1512" s="163" t="n"/>
    </row>
    <row r="1513" ht="15.75" customHeight="1" s="305">
      <c r="A1513" s="219" t="inlineStr">
        <is>
          <t>debit.create_list_postman</t>
        </is>
      </c>
      <c r="B1513" s="219" t="inlineStr">
        <is>
          <t>Tạo bảng kê BT</t>
        </is>
      </c>
      <c r="C1513" s="219" t="inlineStr">
        <is>
          <t>Create postman statement</t>
        </is>
      </c>
      <c r="D1513" s="216">
        <f>IFERROR(__xludf.DUMMYFUNCTION("GOOGLETRANSLATE(B1513,""vi"",""km"")"),"បង្កើតបញ្ជីនៃធាតុ")</f>
        <v/>
      </c>
      <c r="E1513" s="3" t="n"/>
      <c r="F1513" s="3" t="n"/>
      <c r="G1513" s="3" t="inlineStr">
        <is>
          <t>បង្កើតបញ្ជីនៃធាតុ</t>
        </is>
      </c>
      <c r="H1513" t="inlineStr">
        <is>
          <t>បង្កើតបញ្ជីនៃធាតុ</t>
        </is>
      </c>
      <c r="I1513" s="217" t="inlineStr">
        <is>
          <t>"debit.create_list_postman": "បង្កើតបញ្ជីនៃធាតុ",</t>
        </is>
      </c>
      <c r="N1513" s="163" t="n"/>
    </row>
    <row r="1514" ht="15.75" customHeight="1" s="305">
      <c r="A1514" s="219" t="inlineStr">
        <is>
          <t>debit.hint_search_list-client</t>
        </is>
      </c>
      <c r="B1514" s="219" t="inlineStr">
        <is>
          <t>Nhập mã đơn/TênKH/Địa chỉ</t>
        </is>
      </c>
      <c r="C1514" s="219" t="inlineStr">
        <is>
          <t>Enter order ID / customer name / address</t>
        </is>
      </c>
      <c r="D1514" s="216">
        <f>IFERROR(__xludf.DUMMYFUNCTION("GOOGLETRANSLATE(B1514,""vi"",""km"")"),"បញ្ចូលលេខកូដបញ្ជាទិញ/ឈ្មោះអតិថិជន/អាសយដ្ឋាន")</f>
        <v/>
      </c>
      <c r="E1514" s="3" t="inlineStr">
        <is>
          <t>បំពេញលេខកូដវិក្កយបត្រ/ឈ្មោះអតិថិជន/អាសយដ្ឋាន</t>
        </is>
      </c>
      <c r="F1514" s="3" t="n"/>
      <c r="G1514" s="3" t="inlineStr">
        <is>
          <t>បំពេញលេខកូដវិក្កយបត្រ/ឈ្មោះអតិថិជន/អាសយដ្ឋាន</t>
        </is>
      </c>
      <c r="H1514" t="inlineStr">
        <is>
          <t>បំពេញលេខកូដវិក្កយបត្រ/ឈ្មោះអតិថិជន/អាសយដ្ឋាន</t>
        </is>
      </c>
      <c r="I1514" s="217" t="inlineStr">
        <is>
          <t>"debit.hint_search_list-client": "បំពេញលេខកូដវិក្កយបត្រ/ឈ្មោះអតិថិជន/អាសយដ្ឋាន",</t>
        </is>
      </c>
      <c r="N1514" s="163" t="n"/>
    </row>
    <row r="1515" ht="15.75" customHeight="1" s="305">
      <c r="A1515" s="219" t="inlineStr">
        <is>
          <t>debit.postageFee</t>
        </is>
      </c>
      <c r="B1515" s="219" t="inlineStr">
        <is>
          <t>Cước bưu tá</t>
        </is>
      </c>
      <c r="C1515" s="219" t="inlineStr">
        <is>
          <t>Postage fee</t>
        </is>
      </c>
      <c r="D1515" s="216">
        <f>IFERROR(__xludf.DUMMYFUNCTION("GOOGLETRANSLATE(B1515,""vi"",""km"")"),"ថ្លៃប្រៃសណីយ៍")</f>
        <v/>
      </c>
      <c r="E1515" s="3" t="inlineStr">
        <is>
          <t>កម្រៃសេវាបញ្ជូន</t>
        </is>
      </c>
      <c r="F1515" s="3" t="n"/>
      <c r="G1515" s="3" t="inlineStr">
        <is>
          <t>កម្រៃសេវាបញ្ជូន</t>
        </is>
      </c>
      <c r="H1515" t="inlineStr">
        <is>
          <t>កម្រៃសេវាបញ្ជូន</t>
        </is>
      </c>
      <c r="I1515" s="217" t="inlineStr">
        <is>
          <t>"debit.postageFee": "កម្រៃសេវាបញ្ជូន",</t>
        </is>
      </c>
      <c r="N1515" s="163" t="n"/>
    </row>
    <row r="1516" ht="15.75" customHeight="1" s="305">
      <c r="A1516" s="219" t="inlineStr">
        <is>
          <t>debit.customerFees</t>
        </is>
      </c>
      <c r="B1516" s="219" t="inlineStr">
        <is>
          <t>Cước khách hàng</t>
        </is>
      </c>
      <c r="C1516" s="219" t="inlineStr">
        <is>
          <t>Customer fee</t>
        </is>
      </c>
      <c r="D1516" s="216">
        <f>IFERROR(__xludf.DUMMYFUNCTION("GOOGLETRANSLATE(B1516,""vi"",""km"")"),"ការគិតថ្លៃរបស់អតិថិជន")</f>
        <v/>
      </c>
      <c r="E1516" s="3" t="inlineStr">
        <is>
          <t>កម្រៃអតិថិជន</t>
        </is>
      </c>
      <c r="F1516" s="3" t="n"/>
      <c r="G1516" s="3" t="inlineStr">
        <is>
          <t>កម្រៃអតិថិជន</t>
        </is>
      </c>
      <c r="H1516" t="inlineStr">
        <is>
          <t>កម្រៃអតិថិជន</t>
        </is>
      </c>
      <c r="I1516" s="217" t="inlineStr">
        <is>
          <t>"debit.customerFees": "កម្រៃអតិថិជន",</t>
        </is>
      </c>
      <c r="N1516" s="163" t="n"/>
    </row>
    <row r="1517" ht="15.75" customHeight="1" s="305">
      <c r="A1517" s="219" t="inlineStr">
        <is>
          <t>traCuoc.widthHeightLength</t>
        </is>
      </c>
      <c r="B1517" s="219" t="inlineStr">
        <is>
          <t>Rộng x cao x dài</t>
        </is>
      </c>
      <c r="C1517" s="219" t="inlineStr">
        <is>
          <t>Width x Height x Length</t>
        </is>
      </c>
      <c r="D1517" s="216">
        <f>IFERROR(__xludf.DUMMYFUNCTION("GOOGLETRANSLATE(B1517,""vi"",""km"")"),"ទទឹង x កម្ពស់ x បណ្តោយ")</f>
        <v/>
      </c>
      <c r="E1517" s="3" t="inlineStr">
        <is>
          <t>ទទឹង x កម្ពស់ x បណ្តោយ</t>
        </is>
      </c>
      <c r="F1517" s="3" t="n"/>
      <c r="G1517" s="3" t="inlineStr">
        <is>
          <t>ទទឹង x កម្ពស់ x បណ្តោយ</t>
        </is>
      </c>
      <c r="H1517" t="inlineStr">
        <is>
          <t>ទទឹង x កម្ពស់ x បណ្តោយ</t>
        </is>
      </c>
      <c r="I1517" s="217" t="inlineStr">
        <is>
          <t>"traCuoc.widthHeightLength": "ទទឹង x កម្ពស់ x បណ្តោយ",</t>
        </is>
      </c>
      <c r="N1517" s="163" t="n"/>
    </row>
    <row r="1518" ht="15.75" customHeight="1" s="305">
      <c r="A1518" s="219" t="inlineStr">
        <is>
          <t>traCuoc.sizeRequired</t>
        </is>
      </c>
      <c r="B1518" s="219" t="inlineStr">
        <is>
          <t>Kích thước không được để trống</t>
        </is>
      </c>
      <c r="C1518" s="219" t="inlineStr">
        <is>
          <t>Please enter dimensions</t>
        </is>
      </c>
      <c r="D1518" s="216">
        <f>IFERROR(__xludf.DUMMYFUNCTION("GOOGLETRANSLATE(B1518,""vi"",""km"")"),"ចន្លោះមិនត្រូវទុកចោលទទេឡើយ។")</f>
        <v/>
      </c>
      <c r="E1518" s="3" t="inlineStr">
        <is>
          <t>ទំហំមិនអាចទុកចោលទេ</t>
        </is>
      </c>
      <c r="F1518" s="3" t="n"/>
      <c r="G1518" s="3" t="inlineStr">
        <is>
          <t>ទំហំមិនអាចទុកចោលទេ</t>
        </is>
      </c>
      <c r="H1518" t="inlineStr">
        <is>
          <t>ទំហំមិនអាចទុកចោលទេ</t>
        </is>
      </c>
      <c r="I1518" s="217" t="inlineStr">
        <is>
          <t>"traCuoc.sizeRequired": "ទំហំមិនអាចទុកចោលទេ",</t>
        </is>
      </c>
      <c r="N1518" s="163" t="n"/>
    </row>
    <row r="1519" ht="15.75" customHeight="1" s="305">
      <c r="A1519" s="219" t="inlineStr">
        <is>
          <t>traCuoc.sizeInteger</t>
        </is>
      </c>
      <c r="B1519" s="219" t="inlineStr">
        <is>
          <t>Nhập số nguyên dương &gt; 0</t>
        </is>
      </c>
      <c r="C1519" s="219" t="inlineStr">
        <is>
          <t>Positive integer (&gt; 0) required</t>
        </is>
      </c>
      <c r="D1519" s="216">
        <f>IFERROR(__xludf.DUMMYFUNCTION("GOOGLETRANSLATE(B1519,""vi"",""km"")"),"បញ្ចូលចំនួនគត់វិជ្ជមាន &gt; 0")</f>
        <v/>
      </c>
      <c r="E1519" s="3" t="inlineStr">
        <is>
          <t>សូមបញ្ចូលលេខគត់វិជ្ជមានដែលធំជាង ០</t>
        </is>
      </c>
      <c r="F1519" s="3" t="n"/>
      <c r="G1519" s="3" t="inlineStr">
        <is>
          <t>សូមបញ្ចូលលេខគត់វិជ្ជមានដែលធំជាង ០</t>
        </is>
      </c>
      <c r="H1519" t="inlineStr">
        <is>
          <t>សូមបញ្ចូលលេខគត់វិជ្ជមានដែលធំជាង ០</t>
        </is>
      </c>
      <c r="I1519" s="217" t="inlineStr">
        <is>
          <t>"traCuoc.sizeInteger": "សូមបញ្ចូលលេខគត់វិជ្ជមានដែលធំជាង ០",</t>
        </is>
      </c>
      <c r="N1519" s="163" t="n"/>
    </row>
    <row r="1520" ht="15.75" customHeight="1" s="305">
      <c r="A1520" s="219" t="inlineStr">
        <is>
          <t>traCuoc.inputSize</t>
        </is>
      </c>
      <c r="B1520" s="219" t="inlineStr">
        <is>
          <t>Vui lòng nhập kích thước</t>
        </is>
      </c>
      <c r="C1520" s="219" t="inlineStr">
        <is>
          <t>Vui lòng nhập kích thước</t>
        </is>
      </c>
      <c r="D1520" s="216">
        <f>IFERROR(__xludf.DUMMYFUNCTION("GOOGLETRANSLATE(B1520,""vi"",""km"")"),"សូមបញ្ចូលវិមាត្រ។")</f>
        <v/>
      </c>
      <c r="E1520" s="3" t="inlineStr">
        <is>
          <t>សូមបំពេញទំហំ</t>
        </is>
      </c>
      <c r="F1520" s="3" t="n"/>
      <c r="G1520" s="3" t="inlineStr">
        <is>
          <t>សូមបំពេញទំហំ</t>
        </is>
      </c>
      <c r="H1520" t="inlineStr">
        <is>
          <t>សូមបំពេញទំហំ</t>
        </is>
      </c>
      <c r="I1520" s="217" t="inlineStr">
        <is>
          <t>"traCuoc.inputSize": "សូមបំពេញទំហំ",</t>
        </is>
      </c>
      <c r="N1520" s="163" t="n"/>
    </row>
    <row r="1521" ht="15.75" customHeight="1" s="305">
      <c r="A1521" s="219" t="inlineStr">
        <is>
          <t>taoDon.weightMax80</t>
        </is>
      </c>
      <c r="B1521" s="219" t="inlineStr">
        <is>
          <t>Trọng lượng không vượt quá 80kg</t>
        </is>
      </c>
      <c r="C1521" s="219" t="inlineStr">
        <is>
          <t>Weight must not exceed 80kg</t>
        </is>
      </c>
      <c r="D1521" s="216">
        <f>IFERROR(__xludf.DUMMYFUNCTION("GOOGLETRANSLATE(B1521,""vi"",""km"")"),"ទម្ងន់មិនត្រូវលើសពី 80 គីឡូក្រាម")</f>
        <v/>
      </c>
      <c r="E1521" s="3" t="inlineStr">
        <is>
          <t>ទម្ងន់មិនត្រូវលើសពី 80kg</t>
        </is>
      </c>
      <c r="F1521" s="3" t="n"/>
      <c r="G1521" s="3" t="inlineStr">
        <is>
          <t>ទម្ងន់មិនត្រូវលើសពី 80kg</t>
        </is>
      </c>
      <c r="H1521" t="inlineStr">
        <is>
          <t>ទម្ងន់មិនត្រូវលើសពី 80kg</t>
        </is>
      </c>
      <c r="I1521" s="217" t="inlineStr">
        <is>
          <t>"taoDon.weightMax80": "ទម្ងន់មិនត្រូវលើសពី 80kg",</t>
        </is>
      </c>
      <c r="N1521" s="163" t="n"/>
    </row>
    <row r="1522" ht="15.75" customHeight="1" s="305">
      <c r="A1522" s="219" t="inlineStr">
        <is>
          <t>taoDon.sizeRequired</t>
        </is>
      </c>
      <c r="B1522" s="219" t="inlineStr">
        <is>
          <t>Kích thước không được để trống</t>
        </is>
      </c>
      <c r="C1522" s="219" t="inlineStr">
        <is>
          <t>Dimensions are required</t>
        </is>
      </c>
      <c r="D1522" s="216">
        <f>IFERROR(__xludf.DUMMYFUNCTION("GOOGLETRANSLATE(B1522,""vi"",""km"")"),"ចន្លោះមិនត្រូវទុកចោលទទេឡើយ។")</f>
        <v/>
      </c>
      <c r="E1522" s="3" t="inlineStr">
        <is>
          <t>ទំហំមិនអាចទុកចោលទេ</t>
        </is>
      </c>
      <c r="F1522" s="3" t="n"/>
      <c r="G1522" s="3" t="inlineStr">
        <is>
          <t>ទំហំមិនអាចទុកចោលទេ</t>
        </is>
      </c>
      <c r="H1522" t="inlineStr">
        <is>
          <t>ទំហំមិនអាចទុកចោលទេ</t>
        </is>
      </c>
      <c r="I1522" s="217" t="inlineStr">
        <is>
          <t>"taoDon.sizeRequired": "ទំហំមិនអាចទុកចោលទេ",</t>
        </is>
      </c>
      <c r="N1522" s="163" t="n"/>
    </row>
    <row r="1523" ht="15.75" customHeight="1" s="305">
      <c r="A1523" s="219" t="inlineStr">
        <is>
          <t>taoDon.sizeInteger</t>
        </is>
      </c>
      <c r="B1523" s="219" t="inlineStr">
        <is>
          <t>Nhập số nguyên dương &gt; 0</t>
        </is>
      </c>
      <c r="C1523" s="219" t="inlineStr">
        <is>
          <t>Positive integer (&gt; 0) required</t>
        </is>
      </c>
      <c r="D1523" s="216">
        <f>IFERROR(__xludf.DUMMYFUNCTION("GOOGLETRANSLATE(B1523,""vi"",""km"")"),"បញ្ចូលចំនួនគត់វិជ្ជមាន &gt; 0")</f>
        <v/>
      </c>
      <c r="E1523" s="3" t="inlineStr">
        <is>
          <t>សូមបំពេញលេខគត់វិជ្ជមានដែលធំជាង ០</t>
        </is>
      </c>
      <c r="F1523" s="3" t="n"/>
      <c r="G1523" s="3" t="inlineStr">
        <is>
          <t>សូមបំពេញលេខគត់វិជ្ជមានដែលធំជាង ០</t>
        </is>
      </c>
      <c r="H1523" t="inlineStr">
        <is>
          <t>សូមបំពេញលេខគត់វិជ្ជមានដែលធំជាង ០</t>
        </is>
      </c>
      <c r="I1523" s="217" t="inlineStr">
        <is>
          <t>"taoDon.sizeInteger": "សូមបំពេញលេខគត់វិជ្ជមានដែលធំជាង ០",</t>
        </is>
      </c>
      <c r="N1523" s="163" t="n"/>
    </row>
    <row r="1524" ht="15.75" customHeight="1" s="305">
      <c r="A1524" s="219" t="inlineStr">
        <is>
          <t>taoDon.promo</t>
        </is>
      </c>
      <c r="B1524" s="219" t="inlineStr">
        <is>
          <t>Giảm &lt;bold&gt;{{percent}}&lt;/bold&gt; mọi đơn hàng trước ngày {{endDate}}</t>
        </is>
      </c>
      <c r="C1524" s="219" t="inlineStr">
        <is>
          <t>Get &lt;bold&gt;{{percent}}&lt;/bold&gt; off all orders before {{endDate}}</t>
        </is>
      </c>
      <c r="D1524" s="216">
        <f>IFERROR(__xludf.DUMMYFUNCTION("GOOGLETRANSLATE(B1524,""vi"",""km"")"),"បញ្ចុះតម្លៃ &lt;bold&gt;{{percent}}&lt;/bold&gt; លើការបញ្ជាទិញទាំងអស់ដែលបានធ្វើឡើងមុន {{endDate}}")</f>
        <v/>
      </c>
      <c r="E1524" s="3" t="inlineStr">
        <is>
          <t>បញ្ចុះតម្លៃ &lt;bold&gt;{{percent}}&lt;/bold&gt; រាល់ការកុម្ម៉ង់ដឹក​អីវ៉ាន់ទាំងអស់ មុនថ្ងៃទី {{endDate}}"</t>
        </is>
      </c>
      <c r="F1524" s="3" t="n"/>
      <c r="G1524" s="3" t="inlineStr">
        <is>
          <t>បញ្ចុះតម្លៃ &lt;bold&gt;{{percent}}&lt;/bold&gt; រាល់ការកុម្ម៉ង់ដឹកអីវ៉ាន់ទាំងអស់ មុនថ្ងៃទី {{endDate}}"</t>
        </is>
      </c>
      <c r="H1524" t="inlineStr">
        <is>
          <t>បញ្ចុះតម្លៃ &lt;bold&gt;{{percent}}&lt;/bold&gt; រាល់ការកុម្ម៉ង់ដឹកអីវ៉ាន់ទាំងអស់ មុនថ្ងៃទី {{endDate}}"</t>
        </is>
      </c>
      <c r="I1524" s="217" t="inlineStr">
        <is>
          <t>"taoDon.promo": "បញ្ចុះតម្លៃ &lt;bold&gt;{{percent}}&lt;/bold&gt; រាល់ការកុម្ម៉ង់ដឹកអីវ៉ាន់ទាំងអស់ មុនថ្ងៃទី {{endDate}}"",</t>
        </is>
      </c>
      <c r="N1524" s="163" t="n"/>
    </row>
    <row r="1525" ht="15.75" customHeight="1" s="305">
      <c r="A1525" s="219" t="inlineStr">
        <is>
          <t>thanhtoan.notPaySuccess</t>
        </is>
      </c>
      <c r="B1525" s="219" t="inlineStr">
        <is>
          <t>Đơn vị tính toán không thành công. Vui lòng thử lại thanh toán.</t>
        </is>
      </c>
      <c r="C1525" s="219" t="inlineStr">
        <is>
          <t>Unit not calculated successfully. Please retry payment.</t>
        </is>
      </c>
      <c r="D1525" s="216">
        <f>IFERROR(__xludf.DUMMYFUNCTION("GOOGLETRANSLATE(B1525,""vi"",""km"")"),"ការគណនាបរាជ័យ។ សូមសាកល្បងការទូទាត់ម្តងទៀត។")</f>
        <v/>
      </c>
      <c r="E1525" s="3" t="inlineStr">
        <is>
          <t>អង្គភាពគណនាបរាជ័យ។ សូមព្យាយាមទូទាត់ម្តងទៀត។</t>
        </is>
      </c>
      <c r="F1525" s="3" t="n"/>
      <c r="G1525" s="3" t="inlineStr">
        <is>
          <t>អង្គភាពគណនាបរាជ័យ។ សូមព្យាយាមទូទាត់ម្តងទៀត។</t>
        </is>
      </c>
      <c r="H1525" t="inlineStr">
        <is>
          <t>អង្គភាពគណនាបរាជ័យ។ សូមព្យាយាមទូទាត់ម្តងទៀត។</t>
        </is>
      </c>
      <c r="I1525" s="217" t="inlineStr">
        <is>
          <t>"thanhtoan.notPaySuccess": "អង្គភាពគណនាបរាជ័យ។ សូមព្យាយាមទូទាត់ម្តងទៀត។",</t>
        </is>
      </c>
      <c r="N1525" s="163" t="n"/>
    </row>
    <row r="1526" ht="15.75" customHeight="1" s="305">
      <c r="A1526" s="219" t="inlineStr">
        <is>
          <t>POST_OFFICE_LOOKUP.TITLE</t>
        </is>
      </c>
      <c r="B1526" s="219" t="inlineStr">
        <is>
          <t>Điểm gửi/nhận hàng</t>
        </is>
      </c>
      <c r="C1526" s="219" t="inlineStr">
        <is>
          <t>Pickup/Drop-off point</t>
        </is>
      </c>
      <c r="D1526" s="216">
        <f>IFERROR(__xludf.DUMMYFUNCTION("GOOGLETRANSLATE(B1526,""vi"",""km"")"),"ចំណុចដឹកជញ្ជូន/ទទួល")</f>
        <v/>
      </c>
      <c r="E1526" s="3" t="inlineStr">
        <is>
          <t>ទីតាំង ផ្ញើ/ទទួល អីវ៉ាន់</t>
        </is>
      </c>
      <c r="F1526" s="3" t="n"/>
      <c r="G1526" s="3" t="inlineStr">
        <is>
          <t>ទីតាំង ផ្ញើ/ទទួល អីវ៉ាន់</t>
        </is>
      </c>
      <c r="H1526" t="inlineStr">
        <is>
          <t>ទីតាំង ផ្ញើ/ទទួល អីវ៉ាន់</t>
        </is>
      </c>
      <c r="I1526" s="217" t="inlineStr">
        <is>
          <t>"POST_OFFICE_LOOKUP.TITLE": "ទីតាំង ផ្ញើ/ទទួល អីវ៉ាន់",</t>
        </is>
      </c>
      <c r="N1526" s="163" t="n"/>
    </row>
    <row r="1527" ht="15.75" customHeight="1" s="305">
      <c r="A1527" s="219" t="inlineStr">
        <is>
          <t>POST_OFFICE_LOOKUP.ENTER_TRADE_ADDRESS</t>
        </is>
      </c>
      <c r="B1527" s="219" t="inlineStr">
        <is>
          <t>Nhập tên, địa chỉ điểm gửi/nhận hàng</t>
        </is>
      </c>
      <c r="C1527" s="219" t="inlineStr">
        <is>
          <t>Enter service point</t>
        </is>
      </c>
      <c r="D1527" s="216">
        <f>IFERROR(__xludf.DUMMYFUNCTION("GOOGLETRANSLATE(B1527,""vi"",""km"")"),"បញ្ចូលឈ្មោះ និងអាសយដ្ឋានរបស់អ្នកផ្ញើ/អ្នកទទួល។")</f>
        <v/>
      </c>
      <c r="E1527" s="3" t="inlineStr">
        <is>
          <t>បំពេញឈ្មោះ អាសយដ្ឋានទីតាំងផ្ញើ/ទទួលអីវ៉ាន់</t>
        </is>
      </c>
      <c r="F1527" s="3" t="n"/>
      <c r="G1527" s="3" t="inlineStr">
        <is>
          <t>បំពេញឈ្មោះ អាសយដ្ឋានទីតាំងផ្ញើ/ទទួលអីវ៉ាន់</t>
        </is>
      </c>
      <c r="H1527" t="inlineStr">
        <is>
          <t>បំពេញឈ្មោះ អាសយដ្ឋានទីតាំងផ្ញើ/ទទួលអីវ៉ាន់</t>
        </is>
      </c>
      <c r="I1527" s="217" t="inlineStr">
        <is>
          <t>"POST_OFFICE_LOOKUP.ENTER_TRADE_ADDRESS": "បំពេញឈ្មោះ អាសយដ្ឋានទីតាំងផ្ញើ/ទទួលអីវ៉ាន់",</t>
        </is>
      </c>
      <c r="N1527" s="163" t="n"/>
    </row>
    <row r="1528" ht="15.75" customHeight="1" s="305">
      <c r="A1528" s="219" t="inlineStr">
        <is>
          <t>POST_OFFICE_LOOKUP.DISTANCE</t>
        </is>
      </c>
      <c r="B1528" s="219" t="inlineStr">
        <is>
          <t>Cách {{distance}}km</t>
        </is>
      </c>
      <c r="C1528" s="219" t="inlineStr">
        <is>
          <t>{{distance}}km away</t>
        </is>
      </c>
      <c r="D1528" s="216">
        <f>IFERROR(__xludf.DUMMYFUNCTION("GOOGLETRANSLATE(B1528,""vi"",""km"")"),"ចម្ងាយគីឡូម៉ែត្រ")</f>
        <v/>
      </c>
      <c r="E1528" s="3" t="inlineStr">
        <is>
          <t>ចម្ងាយ​{{distance}}km</t>
        </is>
      </c>
      <c r="F1528" s="3" t="n"/>
      <c r="G1528" s="3" t="inlineStr">
        <is>
          <t>ចម្ងាយ{{distance}}km</t>
        </is>
      </c>
      <c r="H1528" t="inlineStr">
        <is>
          <t>ចម្ងាយ{{distance}}km</t>
        </is>
      </c>
      <c r="I1528" s="217" t="inlineStr">
        <is>
          <t>"POST_OFFICE_LOOKUP.DISTANCE": "ចម្ងាយ{{distance}}km",</t>
        </is>
      </c>
      <c r="N1528" s="163" t="n"/>
    </row>
    <row r="1529" ht="15.75" customHeight="1" s="305">
      <c r="A1529" s="219" t="inlineStr">
        <is>
          <t>POST_OFFICE_LOOKUP.SHOW_MAP</t>
        </is>
      </c>
      <c r="B1529" s="219" t="inlineStr">
        <is>
          <t>Chỉ đường</t>
        </is>
      </c>
      <c r="C1529" s="219" t="inlineStr">
        <is>
          <t>Show directions</t>
        </is>
      </c>
      <c r="D1529" s="216">
        <f>IFERROR(__xludf.DUMMYFUNCTION("GOOGLETRANSLATE(B1529,""vi"",""km"")"),"ទិសដៅ")</f>
        <v/>
      </c>
      <c r="E1529" s="3" t="inlineStr">
        <is>
          <t>នាំផ្លូវ</t>
        </is>
      </c>
      <c r="F1529" s="3" t="n"/>
      <c r="G1529" s="3" t="inlineStr">
        <is>
          <t>នាំផ្លូវ</t>
        </is>
      </c>
      <c r="H1529" t="inlineStr">
        <is>
          <t>នាំផ្លូវ</t>
        </is>
      </c>
      <c r="I1529" s="217" t="inlineStr">
        <is>
          <t>"POST_OFFICE_LOOKUP.SHOW_MAP": "នាំផ្លូវ",</t>
        </is>
      </c>
      <c r="N1529" s="163" t="n"/>
    </row>
    <row r="1530" ht="15.75" customHeight="1" s="305">
      <c r="A1530" s="219" t="inlineStr">
        <is>
          <t>POST_OFFICE_LOOKUP.OFFICE_HEADMAN</t>
        </is>
      </c>
      <c r="B1530" s="219" t="inlineStr">
        <is>
          <t>Trưởng bưu cục: {{headName}}</t>
        </is>
      </c>
      <c r="C1530" s="219" t="inlineStr">
        <is>
          <t>Head of post office: {{headName}}</t>
        </is>
      </c>
      <c r="D1530" s="216">
        <f>IFERROR(__xludf.DUMMYFUNCTION("GOOGLETRANSLATE(B1530,""vi"",""km"")"),"អ្នកគ្រប់គ្រងប្រៃសណីយ៍៖ {{headName}}")</f>
        <v/>
      </c>
      <c r="E1530" s="3" t="inlineStr">
        <is>
          <t>ប្រធាន​ប្រៃសណីយ៍៖ {{headName}}</t>
        </is>
      </c>
      <c r="F1530" s="3" t="n"/>
      <c r="G1530" s="3" t="inlineStr">
        <is>
          <t>ប្រធានប្រៃសណីយ៍៖ {{headName}}</t>
        </is>
      </c>
      <c r="H1530" t="inlineStr">
        <is>
          <t>ប្រធានប្រៃសណីយ៍៖ {{headName}}</t>
        </is>
      </c>
      <c r="I1530" s="217" t="inlineStr">
        <is>
          <t>"POST_OFFICE_LOOKUP.OFFICE_HEADMAN": "ប្រធានប្រៃសណីយ៍៖ {{headName}}",</t>
        </is>
      </c>
      <c r="N1530" s="163" t="n"/>
    </row>
    <row r="1531" ht="15.75" customHeight="1" s="305">
      <c r="A1531" s="219" t="inlineStr">
        <is>
          <t>POST_OFFICE_LOOKUP.COUNT_LIST_POST</t>
        </is>
      </c>
      <c r="B1531" s="219" t="inlineStr">
        <is>
          <t>Danh sách bưu cục</t>
        </is>
      </c>
      <c r="C1531" s="219" t="inlineStr">
        <is>
          <t>List of post offices</t>
        </is>
      </c>
      <c r="D1531" s="216" t="inlineStr">
        <is>
          <t>បញ្ជីការិយាល័យប្រៃសណីយ៍</t>
        </is>
      </c>
      <c r="E1531" s="3" t="inlineStr">
        <is>
          <t>បញ្ជីការិយាល័យប្រៃសណីយ៍</t>
        </is>
      </c>
      <c r="F1531" s="3" t="n"/>
      <c r="G1531" s="3" t="inlineStr">
        <is>
          <t>បញ្ជីការិយាល័យប្រៃសណីយ៍</t>
        </is>
      </c>
      <c r="H1531" t="inlineStr">
        <is>
          <t>បញ្ជីការិយាល័យប្រៃសណីយ៍</t>
        </is>
      </c>
      <c r="I1531" s="217" t="inlineStr">
        <is>
          <t>"POST_OFFICE_LOOKUP.COUNT_LIST_POST": "បញ្ជីការិយាល័យប្រៃសណីយ៍",</t>
        </is>
      </c>
      <c r="N1531" s="163" t="n"/>
    </row>
    <row r="1532" ht="15.75" customHeight="1" s="305">
      <c r="A1532" s="219" t="inlineStr">
        <is>
          <t>POST_OFFICE_LOOKUP.EMPTY_LIST_POST</t>
        </is>
      </c>
      <c r="B1532" s="219" t="inlineStr">
        <is>
          <t>Khu vực này chưa có bưu cục!</t>
        </is>
      </c>
      <c r="C1532" s="219" t="inlineStr">
        <is>
          <t>There is no post office in this area!</t>
        </is>
      </c>
      <c r="D1532" s="216">
        <f>IFERROR(__xludf.DUMMYFUNCTION("GOOGLETRANSLATE(B1532,""vi"",""km"")"),"មិនមានការិយាល័យប្រៃសណីយ៍នៅក្នុងតំបន់នេះទេ!")</f>
        <v/>
      </c>
      <c r="E1532" s="3" t="inlineStr">
        <is>
          <t>តំបន់នេះមិនទាន់មានសាខាប្រៃសណីយ៍នៅឡើយទេ</t>
        </is>
      </c>
      <c r="F1532" s="3" t="n"/>
      <c r="G1532" s="3" t="inlineStr">
        <is>
          <t>តំបន់នេះមិនទាន់មានសាខាប្រៃសណីយ៍នៅឡើយទេ</t>
        </is>
      </c>
      <c r="H1532" t="inlineStr">
        <is>
          <t>តំបន់នេះមិនទាន់មានសាខាប្រៃសណីយ៍នៅឡើយទេ</t>
        </is>
      </c>
      <c r="I1532" s="217" t="inlineStr">
        <is>
          <t>"POST_OFFICE_LOOKUP.EMPTY_LIST_POST": "តំបន់នេះមិនទាន់មានសាខាប្រៃសណីយ៍នៅឡើយទេ",</t>
        </is>
      </c>
      <c r="N1532" s="163" t="n"/>
    </row>
    <row r="1533" ht="15.75" customHeight="1" s="305">
      <c r="A1533" s="219" t="inlineStr">
        <is>
          <t>POST_OFFICE_LOOKUP.SEARCH</t>
        </is>
      </c>
      <c r="B1533" s="219" t="inlineStr">
        <is>
          <t>Chọn địa chỉ điểm giao dịch</t>
        </is>
      </c>
      <c r="C1533" s="219" t="inlineStr">
        <is>
          <t>Select service point</t>
        </is>
      </c>
      <c r="D1533" s="216">
        <f>IFERROR(__xludf.DUMMYFUNCTION("GOOGLETRANSLATE(B1533,""vi"",""km"")"),"ជ្រើសរើសអាសយដ្ឋានសាខា")</f>
        <v/>
      </c>
      <c r="E1533" s="3" t="inlineStr">
        <is>
          <t>ជ្រើសរើសអាសយដ្ឋានប្រតិបត្តិការ</t>
        </is>
      </c>
      <c r="F1533" s="3" t="n"/>
      <c r="G1533" s="3" t="inlineStr">
        <is>
          <t>ជ្រើសរើសអាសយដ្ឋានប្រតិបត្តិការ</t>
        </is>
      </c>
      <c r="H1533" t="inlineStr">
        <is>
          <t>ជ្រើសរើសអាសយដ្ឋានប្រតិបត្តិការ</t>
        </is>
      </c>
      <c r="I1533" s="217" t="inlineStr">
        <is>
          <t>"POST_OFFICE_LOOKUP.SEARCH": "ជ្រើសរើសអាសយដ្ឋានប្រតិបត្តិការ",</t>
        </is>
      </c>
      <c r="N1533" s="163" t="n"/>
    </row>
    <row r="1534" ht="15.75" customHeight="1" s="305">
      <c r="A1534" s="219" t="inlineStr">
        <is>
          <t>POST_OFFICE_LOOKUP.SHOW_DIRECTION</t>
        </is>
      </c>
      <c r="B1534" s="219" t="inlineStr">
        <is>
          <t>Chỉ đường</t>
        </is>
      </c>
      <c r="C1534" s="219" t="inlineStr">
        <is>
          <t>Show directions</t>
        </is>
      </c>
      <c r="D1534" s="216">
        <f>IFERROR(__xludf.DUMMYFUNCTION("GOOGLETRANSLATE(B1534,""vi"",""km"")"),"ទិសដៅ")</f>
        <v/>
      </c>
      <c r="E1534" s="3" t="inlineStr">
        <is>
          <t>បង្ហាញផ្លូវ</t>
        </is>
      </c>
      <c r="F1534" s="3" t="n"/>
      <c r="G1534" s="3" t="inlineStr">
        <is>
          <t>បង្ហាញផ្លូវ</t>
        </is>
      </c>
      <c r="H1534" t="inlineStr">
        <is>
          <t>បង្ហាញផ្លូវ</t>
        </is>
      </c>
      <c r="I1534" s="217" t="inlineStr">
        <is>
          <t>"POST_OFFICE_LOOKUP.SHOW_DIRECTION": "បង្ហាញផ្លូវ",</t>
        </is>
      </c>
      <c r="N1534" s="163" t="n"/>
    </row>
    <row r="1535" ht="15.75" customHeight="1" s="305">
      <c r="A1535" s="219" t="inlineStr">
        <is>
          <t>POST_OFFICE_LOOKUP.TIME_WORK</t>
        </is>
      </c>
      <c r="B1535" s="219" t="inlineStr">
        <is>
          <t>Thời gian làm việc</t>
        </is>
      </c>
      <c r="C1535" s="219" t="inlineStr">
        <is>
          <t>Operating hours</t>
        </is>
      </c>
      <c r="D1535" s="216">
        <f>IFERROR(__xludf.DUMMYFUNCTION("GOOGLETRANSLATE(B1535,""vi"",""km"")"),"ម៉ោងធ្វើការ")</f>
        <v/>
      </c>
      <c r="E1535" s="3" t="inlineStr">
        <is>
          <t>ម៉ោងធ្វើការ</t>
        </is>
      </c>
      <c r="F1535" s="3" t="n"/>
      <c r="G1535" s="3" t="inlineStr">
        <is>
          <t>ម៉ោងធ្វើការ</t>
        </is>
      </c>
      <c r="H1535" t="inlineStr">
        <is>
          <t>ម៉ោងធ្វើការ</t>
        </is>
      </c>
      <c r="I1535" s="217" t="inlineStr">
        <is>
          <t>"POST_OFFICE_LOOKUP.TIME_WORK": "ម៉ោងធ្វើការ",</t>
        </is>
      </c>
      <c r="N1535" s="163" t="n"/>
    </row>
    <row r="1536" ht="15.75" customHeight="1" s="305">
      <c r="A1536" s="219" t="inlineStr">
        <is>
          <t>POST_OFFICE_LOOKUP.POST_MASTER</t>
        </is>
      </c>
      <c r="B1536" s="219" t="inlineStr">
        <is>
          <t>Trưởng bưu cục</t>
        </is>
      </c>
      <c r="C1536" s="219" t="inlineStr">
        <is>
          <t>Head of post office</t>
        </is>
      </c>
      <c r="D1536" s="216">
        <f>IFERROR(__xludf.DUMMYFUNCTION("GOOGLETRANSLATE(B1536,""vi"",""km"")"),"អ្នកគ្រប់គ្រងការិយាល័យប្រៃសណីយ៍")</f>
        <v/>
      </c>
      <c r="E1536" s="3" t="inlineStr">
        <is>
          <t>ប្រធាន​ប្រៃសណីយ៍</t>
        </is>
      </c>
      <c r="F1536" s="3" t="n"/>
      <c r="G1536" s="3" t="inlineStr">
        <is>
          <t>ប្រធានប្រៃសណីយ៍</t>
        </is>
      </c>
      <c r="H1536" t="inlineStr">
        <is>
          <t>ប្រធានប្រៃសណីយ៍</t>
        </is>
      </c>
      <c r="I1536" s="217" t="inlineStr">
        <is>
          <t>"POST_OFFICE_LOOKUP.POST_MASTER": "ប្រធានប្រៃសណីយ៍",</t>
        </is>
      </c>
      <c r="N1536" s="163" t="n"/>
    </row>
    <row r="1537" ht="15.75" customHeight="1" s="305">
      <c r="A1537" s="219" t="inlineStr">
        <is>
          <t>POST_OFFICE_LOOKUP.MO-SA</t>
        </is>
      </c>
      <c r="B1537" s="219" t="inlineStr">
        <is>
          <t>Thứ 2-Thứ 7: 7:30-21:00</t>
        </is>
      </c>
      <c r="C1537" s="219" t="inlineStr">
        <is>
          <t>Monday-Saturday: 7:30-21:00</t>
        </is>
      </c>
      <c r="D1537" s="216">
        <f>IFERROR(__xludf.DUMMYFUNCTION("GOOGLETRANSLATE(B1537,""vi"",""km"")"),"ច័ន្ទ - សៅរ៍: ៧:៣០ ព្រឹក - ៩:០០ យប់")</f>
        <v/>
      </c>
      <c r="E1537" s="3" t="inlineStr">
        <is>
          <t>ច័ន្ទ - សៅរ៍: ៧:៣០ ព្រឹក - ៩:០០ យប់</t>
        </is>
      </c>
      <c r="F1537" s="3" t="n"/>
      <c r="G1537" s="3" t="inlineStr">
        <is>
          <t>ច័ន្ទ - សៅរ៍: ៧:៣០ ព្រឹក - ៩:០០ យប់</t>
        </is>
      </c>
      <c r="H1537" t="inlineStr">
        <is>
          <t>ច័ន្ទ - សៅរ៍: ៧:៣០ ព្រឹក - ៩:០០ យប់</t>
        </is>
      </c>
      <c r="I1537" s="217" t="inlineStr">
        <is>
          <t>"POST_OFFICE_LOOKUP.MO-SA": "ច័ន្ទ - សៅរ៍: ៧:៣០ ព្រឹក - ៩:០០ យប់",</t>
        </is>
      </c>
      <c r="N1537" s="163" t="n"/>
    </row>
    <row r="1538" ht="15.75" customHeight="1" s="305">
      <c r="A1538" s="219" t="inlineStr">
        <is>
          <t>POST_OFFICE_LOOKUP.SU</t>
        </is>
      </c>
      <c r="B1538" s="219" t="inlineStr">
        <is>
          <t>Chủ nhật: 7:30-17:00</t>
        </is>
      </c>
      <c r="C1538" s="219" t="inlineStr">
        <is>
          <t>Sunday: 7:30-17:00</t>
        </is>
      </c>
      <c r="D1538" s="216">
        <f>IFERROR(__xludf.DUMMYFUNCTION("GOOGLETRANSLATE(B1538,""vi"",""km"")"),"ថ្ងៃអាទិត្យ៖ ម៉ោង ៧:៣០ ព្រឹក - ៥:០០ ល្ងាច")</f>
        <v/>
      </c>
      <c r="E1538" s="3" t="inlineStr">
        <is>
          <t>ថ្ងៃអាទិត្យ៖ ម៉ោង ៧:៣០ ព្រឹក - ៥:០០ ល្ងាច</t>
        </is>
      </c>
      <c r="F1538" s="3" t="n"/>
      <c r="G1538" s="3" t="inlineStr">
        <is>
          <t>ថ្ងៃអាទិត្យ៖ ម៉ោង ៧:៣០ ព្រឹក - ៥:០០ ល្ងាច</t>
        </is>
      </c>
      <c r="H1538" t="inlineStr">
        <is>
          <t>ថ្ងៃអាទិត្យ៖ ម៉ោង ៧:៣០ ព្រឹក - ៥:០០ ល្ងាច</t>
        </is>
      </c>
      <c r="I1538" s="217" t="inlineStr">
        <is>
          <t>"POST_OFFICE_LOOKUP.SU": "ថ្ងៃអាទិត្យ៖ ម៉ោង ៧:៣០ ព្រឹក - ៥:០០ ល្ងាច",</t>
        </is>
      </c>
      <c r="N1538" s="163" t="n"/>
    </row>
    <row r="1539" ht="15.75" customHeight="1" s="305">
      <c r="A1539" s="219" t="inlineStr">
        <is>
          <t>POST_OFFICE_LOOKUP.PHONE</t>
        </is>
      </c>
      <c r="B1539" s="219" t="inlineStr">
        <is>
          <t>Điện thoại</t>
        </is>
      </c>
      <c r="C1539" s="219" t="inlineStr">
        <is>
          <t>Phone Number</t>
        </is>
      </c>
      <c r="D1539" s="216">
        <f>IFERROR(__xludf.DUMMYFUNCTION("GOOGLETRANSLATE(B1539,""vi"",""km"")"),"ទូរស័ព្ទ")</f>
        <v/>
      </c>
      <c r="E1539" s="3" t="inlineStr">
        <is>
          <t>ទូរស័ព្ទ</t>
        </is>
      </c>
      <c r="F1539" s="3" t="n"/>
      <c r="G1539" s="3" t="inlineStr">
        <is>
          <t>ទូរស័ព្ទ</t>
        </is>
      </c>
      <c r="H1539" t="inlineStr">
        <is>
          <t>ទូរស័ព្ទ</t>
        </is>
      </c>
      <c r="I1539" s="217" t="inlineStr">
        <is>
          <t>"POST_OFFICE_LOOKUP.PHONE": "ទូរស័ព្ទ",</t>
        </is>
      </c>
      <c r="N1539" s="163" t="n"/>
    </row>
    <row r="1540" ht="15.75" customHeight="1" s="305">
      <c r="A1540" s="219" t="inlineStr">
        <is>
          <t>POST_OFFICE_LOOKUP.CALL_PHONE</t>
        </is>
      </c>
      <c r="B1540" s="219" t="inlineStr">
        <is>
          <t>Gọi điện thoại</t>
        </is>
      </c>
      <c r="C1540" s="219" t="inlineStr">
        <is>
          <t>Call</t>
        </is>
      </c>
      <c r="D1540" s="216">
        <f>IFERROR(__xludf.DUMMYFUNCTION("GOOGLETRANSLATE(B1540,""vi"",""km"")"),"ទូរស័ព្ទ")</f>
        <v/>
      </c>
      <c r="E1540" s="3" t="inlineStr">
        <is>
          <t>ទាយទូរស័ព្ទ</t>
        </is>
      </c>
      <c r="F1540" s="3" t="n"/>
      <c r="G1540" s="3" t="inlineStr">
        <is>
          <t>ទាយទូរស័ព្ទ</t>
        </is>
      </c>
      <c r="H1540" t="inlineStr">
        <is>
          <t>ទាយទូរស័ព្ទ</t>
        </is>
      </c>
      <c r="I1540" s="217" t="inlineStr">
        <is>
          <t>"POST_OFFICE_LOOKUP.CALL_PHONE": "ទាយទូរស័ព្ទ",</t>
        </is>
      </c>
      <c r="N1540" s="163" t="n"/>
    </row>
    <row r="1541" ht="15.75" customHeight="1" s="305">
      <c r="A1541" s="219" t="inlineStr">
        <is>
          <t>POST_OFFICE_LOOKUP.IS_CLOSED</t>
        </is>
      </c>
      <c r="B1541" s="219" t="inlineStr">
        <is>
          <t>Đang đóng cửa</t>
        </is>
      </c>
      <c r="C1541" s="219" t="inlineStr">
        <is>
          <t>Closed</t>
        </is>
      </c>
      <c r="D1541" s="216">
        <f>IFERROR(__xludf.DUMMYFUNCTION("GOOGLETRANSLATE(B1541,""vi"",""km"")"),"បច្ចុប្បន្នបិទ")</f>
        <v/>
      </c>
      <c r="E1541" s="3" t="inlineStr">
        <is>
          <t>កំពុងបិទ</t>
        </is>
      </c>
      <c r="F1541" s="3" t="n"/>
      <c r="G1541" s="3" t="inlineStr">
        <is>
          <t>កំពុងបិទ</t>
        </is>
      </c>
      <c r="H1541" t="inlineStr">
        <is>
          <t>កំពុងបិទ</t>
        </is>
      </c>
      <c r="I1541" s="217" t="inlineStr">
        <is>
          <t>"POST_OFFICE_LOOKUP.IS_CLOSED": "កំពុងបិទ",</t>
        </is>
      </c>
      <c r="N1541" s="163" t="n"/>
    </row>
    <row r="1542" ht="15.75" customHeight="1" s="305">
      <c r="A1542" s="219" t="inlineStr">
        <is>
          <t>POST_OFFICE_LOOKUP.IS_OPENED</t>
        </is>
      </c>
      <c r="B1542" s="219" t="inlineStr">
        <is>
          <t>Đang mở cửa</t>
        </is>
      </c>
      <c r="C1542" s="219" t="inlineStr">
        <is>
          <t>Open</t>
        </is>
      </c>
      <c r="D1542" s="216">
        <f>IFERROR(__xludf.DUMMYFUNCTION("GOOGLETRANSLATE(B1542,""vi"",""km"")"),"ឥឡូវនេះបើកហើយ")</f>
        <v/>
      </c>
      <c r="E1542" s="3" t="inlineStr">
        <is>
          <t>កំពុងបើក</t>
        </is>
      </c>
      <c r="F1542" s="3" t="n"/>
      <c r="G1542" s="3" t="inlineStr">
        <is>
          <t>កំពុងបើក</t>
        </is>
      </c>
      <c r="H1542" t="inlineStr">
        <is>
          <t>កំពុងបើក</t>
        </is>
      </c>
      <c r="I1542" s="217" t="inlineStr">
        <is>
          <t>"POST_OFFICE_LOOKUP.IS_OPENED": "កំពុងបើក",</t>
        </is>
      </c>
      <c r="N1542" s="163" t="n"/>
    </row>
    <row r="1543" ht="15.75" customHeight="1" s="305">
      <c r="A1543" s="219" t="inlineStr">
        <is>
          <t>POST_OFFICE_LOOKUP.NOT_FOUND</t>
        </is>
      </c>
      <c r="B1543" s="219" t="inlineStr">
        <is>
          <t>Không tìm thấy điểm giao dịch!</t>
        </is>
      </c>
      <c r="C1543" s="219" t="inlineStr">
        <is>
          <t>No service point found.</t>
        </is>
      </c>
      <c r="D1543" s="216">
        <f>IFERROR(__xludf.DUMMYFUNCTION("GOOGLETRANSLATE(B1543,""vi"",""km"")"),"រកមិនឃើញចំណុចប្រតិបត្តិការទេ!")</f>
        <v/>
      </c>
      <c r="E1543" s="3" t="inlineStr">
        <is>
          <t>មិនរកឃើញទីតាំងប្រតិបត្តិការ</t>
        </is>
      </c>
      <c r="F1543" s="3" t="n"/>
      <c r="G1543" s="3" t="inlineStr">
        <is>
          <t>មិនរកឃើញទីតាំងប្រតិបត្តិការ</t>
        </is>
      </c>
      <c r="H1543" t="inlineStr">
        <is>
          <t>មិនរកឃើញទីតាំងប្រតិបត្តិការ</t>
        </is>
      </c>
      <c r="I1543" s="217" t="inlineStr">
        <is>
          <t>"POST_OFFICE_LOOKUP.NOT_FOUND": "មិនរកឃើញទីតាំងប្រតិបត្តិការ",</t>
        </is>
      </c>
      <c r="N1543" s="163" t="n"/>
    </row>
    <row r="1544" ht="15.75" customHeight="1" s="305">
      <c r="A1544" s="219" t="inlineStr">
        <is>
          <t>POST_OFFICE_LOOKUP.HINT_INPUT_PROVINCE</t>
        </is>
      </c>
      <c r="B1544" s="219" t="inlineStr">
        <is>
          <t>Nhập tên tỉnh</t>
        </is>
      </c>
      <c r="C1544" s="219" t="inlineStr">
        <is>
          <t>Search Province</t>
        </is>
      </c>
      <c r="D1544" s="216">
        <f>IFERROR(__xludf.DUMMYFUNCTION("GOOGLETRANSLATE(B1544,""vi"",""km"")"),"បញ្ចូលឈ្មោះខេត្ត")</f>
        <v/>
      </c>
      <c r="E1544" s="3" t="inlineStr">
        <is>
          <t>បំពេញឈ្មោះខេត្ត</t>
        </is>
      </c>
      <c r="F1544" s="3" t="n"/>
      <c r="G1544" s="3" t="inlineStr">
        <is>
          <t>បំពេញឈ្មោះខេត្ត</t>
        </is>
      </c>
      <c r="H1544" t="inlineStr">
        <is>
          <t>បំពេញឈ្មោះខេត្ត</t>
        </is>
      </c>
      <c r="I1544" s="217" t="inlineStr">
        <is>
          <t>"POST_OFFICE_LOOKUP.HINT_INPUT_PROVINCE": "បំពេញឈ្មោះខេត្ត",</t>
        </is>
      </c>
      <c r="N1544" s="163" t="n"/>
    </row>
    <row r="1545" ht="15.75" customHeight="1" s="305">
      <c r="A1545" s="219" t="inlineStr">
        <is>
          <t>POST_OFFICE_LOOKUP.HINT_INPUT_DISTRICT</t>
        </is>
      </c>
      <c r="B1545" s="219" t="inlineStr">
        <is>
          <t>Nhập tên huyện</t>
        </is>
      </c>
      <c r="C1545" s="219" t="inlineStr">
        <is>
          <t>Search District</t>
        </is>
      </c>
      <c r="D1545" s="216">
        <f>IFERROR(__xludf.DUMMYFUNCTION("GOOGLETRANSLATE(B1545,""vi"",""km"")"),"បញ្ចូលឈ្មោះស្រុក")</f>
        <v/>
      </c>
      <c r="E1545" s="3" t="inlineStr">
        <is>
          <t>បំពេញឈ្មោះស្រុក</t>
        </is>
      </c>
      <c r="F1545" s="3" t="n"/>
      <c r="G1545" s="3" t="inlineStr">
        <is>
          <t>បំពេញឈ្មោះស្រុក</t>
        </is>
      </c>
      <c r="H1545" t="inlineStr">
        <is>
          <t>បំពេញឈ្មោះស្រុក</t>
        </is>
      </c>
      <c r="I1545" s="217" t="inlineStr">
        <is>
          <t>"POST_OFFICE_LOOKUP.HINT_INPUT_DISTRICT": "បំពេញឈ្មោះស្រុក",</t>
        </is>
      </c>
      <c r="N1545" s="163" t="n"/>
    </row>
    <row r="1546" ht="15.75" customHeight="1" s="305">
      <c r="A1546" s="219" t="inlineStr">
        <is>
          <t>POST_OFFICE_LOOKUP.HINT_INPUT_VILLAGE</t>
        </is>
      </c>
      <c r="B1546" s="219" t="inlineStr">
        <is>
          <t>Nhập tên bản</t>
        </is>
      </c>
      <c r="C1546" s="219" t="inlineStr">
        <is>
          <t>Search Village</t>
        </is>
      </c>
      <c r="D1546" s="216">
        <f>IFERROR(__xludf.DUMMYFUNCTION("GOOGLETRANSLATE(B1546,""vi"",""km"")"),"បញ្ចូលចំណងជើង")</f>
        <v/>
      </c>
      <c r="E1546" s="3" t="inlineStr">
        <is>
          <t>បំពេញឈ្មោះភូមិ</t>
        </is>
      </c>
      <c r="F1546" s="3" t="n"/>
      <c r="G1546" s="3" t="inlineStr">
        <is>
          <t>បំពេញឈ្មោះភូមិ</t>
        </is>
      </c>
      <c r="H1546" t="inlineStr">
        <is>
          <t>បំពេញឈ្មោះភូមិ</t>
        </is>
      </c>
      <c r="I1546" s="217" t="inlineStr">
        <is>
          <t>"POST_OFFICE_LOOKUP.HINT_INPUT_VILLAGE": "បំពេញឈ្មោះភូមិ",</t>
        </is>
      </c>
      <c r="N1546" s="163" t="n"/>
    </row>
    <row r="1547" ht="15.75" customHeight="1" s="305">
      <c r="A1547" s="219" t="inlineStr">
        <is>
          <t>POST_OFFICE_LOOKUP.TITLE_PROVINCE</t>
        </is>
      </c>
      <c r="B1547" s="219" t="inlineStr">
        <is>
          <t>Tỉnh</t>
        </is>
      </c>
      <c r="C1547" s="219" t="inlineStr">
        <is>
          <t>Province</t>
        </is>
      </c>
      <c r="D1547" s="216">
        <f>IFERROR(__xludf.DUMMYFUNCTION("GOOGLETRANSLATE(B1547,""vi"",""km"")"),"ដឹងខ្លួន")</f>
        <v/>
      </c>
      <c r="E1547" s="3" t="inlineStr">
        <is>
          <t>ខេត្ត</t>
        </is>
      </c>
      <c r="F1547" s="3" t="n"/>
      <c r="G1547" s="3" t="inlineStr">
        <is>
          <t>ខេត្ត</t>
        </is>
      </c>
      <c r="H1547" t="inlineStr">
        <is>
          <t>ខេត្ត</t>
        </is>
      </c>
      <c r="I1547" s="217" t="inlineStr">
        <is>
          <t>"POST_OFFICE_LOOKUP.TITLE_PROVINCE": "ខេត្ត",</t>
        </is>
      </c>
      <c r="N1547" s="163" t="n"/>
    </row>
    <row r="1548" ht="15.75" customHeight="1" s="305">
      <c r="A1548" s="219" t="inlineStr">
        <is>
          <t>POST_OFFICE_LOOKUP.TITLE_DISTRICT</t>
        </is>
      </c>
      <c r="B1548" s="219" t="inlineStr">
        <is>
          <t>Huyện</t>
        </is>
      </c>
      <c r="C1548" s="219" t="inlineStr">
        <is>
          <t>District</t>
        </is>
      </c>
      <c r="D1548" s="216">
        <f>IFERROR(__xludf.DUMMYFUNCTION("GOOGLETRANSLATE(B1548,""vi"",""km"")"),"ស្រុក")</f>
        <v/>
      </c>
      <c r="E1548" s="3" t="inlineStr">
        <is>
          <t>ស្រុក</t>
        </is>
      </c>
      <c r="F1548" s="3" t="n"/>
      <c r="G1548" s="3" t="inlineStr">
        <is>
          <t>ស្រុក</t>
        </is>
      </c>
      <c r="H1548" t="inlineStr">
        <is>
          <t>ស្រុក</t>
        </is>
      </c>
      <c r="I1548" s="217" t="inlineStr">
        <is>
          <t>"POST_OFFICE_LOOKUP.TITLE_DISTRICT": "ស្រុក",</t>
        </is>
      </c>
      <c r="N1548" s="163" t="n"/>
    </row>
    <row r="1549" ht="15.75" customHeight="1" s="305">
      <c r="A1549" s="219" t="inlineStr">
        <is>
          <t>POST_OFFICE_LOOKUP.TITLE_VILLAGE</t>
        </is>
      </c>
      <c r="B1549" s="219" t="inlineStr">
        <is>
          <t>Bản</t>
        </is>
      </c>
      <c r="C1549" s="219" t="inlineStr">
        <is>
          <t>Village</t>
        </is>
      </c>
      <c r="D1549" s="216">
        <f>IFERROR(__xludf.DUMMYFUNCTION("GOOGLETRANSLATE(B1549,""vi"",""km"")"),"ចម្លង")</f>
        <v/>
      </c>
      <c r="E1549" s="3" t="inlineStr">
        <is>
          <t>ភូមិ</t>
        </is>
      </c>
      <c r="F1549" s="3" t="n"/>
      <c r="G1549" s="3" t="inlineStr">
        <is>
          <t>ភូមិ</t>
        </is>
      </c>
      <c r="H1549" t="inlineStr">
        <is>
          <t>ភូមិ</t>
        </is>
      </c>
      <c r="I1549" s="217" t="inlineStr">
        <is>
          <t>"POST_OFFICE_LOOKUP.TITLE_VILLAGE": "ភូមិ",</t>
        </is>
      </c>
      <c r="N1549" s="163" t="n"/>
    </row>
    <row r="1550" ht="15.75" customHeight="1" s="305">
      <c r="A1550" s="219" t="inlineStr">
        <is>
          <t>POST_OFFICE_LOOKUP.HINT_SEARCH</t>
        </is>
      </c>
      <c r="B1550" s="219" t="inlineStr">
        <is>
          <t>Tìm kiếm tên hoặc địa chỉ điểm giao dịch</t>
        </is>
      </c>
      <c r="C1550" s="219" t="inlineStr">
        <is>
          <t>Search service point by name or address</t>
        </is>
      </c>
      <c r="D1550" s="216">
        <f>IFERROR(__xludf.DUMMYFUNCTION("GOOGLETRANSLATE(B1550,""vi"",""km"")"),"ស្វែងរកឈ្មោះ ឬអាសយដ្ឋាននៃចំណុចប្រតិបត្តិការ។")</f>
        <v/>
      </c>
      <c r="E1550" s="3" t="inlineStr">
        <is>
          <t>ស្វែងរកឈ្មោះ ឬអាសយដ្ឋានប្រតិបត្តិការ</t>
        </is>
      </c>
      <c r="F1550" s="3" t="n"/>
      <c r="G1550" s="3" t="inlineStr">
        <is>
          <t>ស្វែងរកឈ្មោះ ឬអាសយដ្ឋានប្រតិបត្តិការ</t>
        </is>
      </c>
      <c r="H1550" t="inlineStr">
        <is>
          <t>ស្វែងរកឈ្មោះ ឬអាសយដ្ឋានប្រតិបត្តិការ</t>
        </is>
      </c>
      <c r="I1550" s="217" t="inlineStr">
        <is>
          <t>"POST_OFFICE_LOOKUP.HINT_SEARCH": "ស្វែងរកឈ្មោះ ឬអាសយដ្ឋានប្រតិបត្តិការ",</t>
        </is>
      </c>
      <c r="N1550" s="163" t="n"/>
    </row>
    <row r="1551" ht="15.75" customHeight="1" s="305">
      <c r="A1551" s="219" t="inlineStr">
        <is>
          <t>ADDRESS_FILTER.TITLE</t>
        </is>
      </c>
      <c r="B1551" s="219" t="inlineStr">
        <is>
          <t>Bộ lọc</t>
        </is>
      </c>
      <c r="C1551" s="219" t="inlineStr">
        <is>
          <t>Filter</t>
        </is>
      </c>
      <c r="D1551" s="216">
        <f>IFERROR(__xludf.DUMMYFUNCTION("GOOGLETRANSLATE(B1551,""vi"",""km"")"),"តម្រង")</f>
        <v/>
      </c>
      <c r="E1551" s="3" t="inlineStr">
        <is>
          <t>ឧបករណ៍ចម្រាញ់</t>
        </is>
      </c>
      <c r="F1551" s="3" t="n"/>
      <c r="G1551" s="3" t="inlineStr">
        <is>
          <t>ឧបករណ៍ចម្រាញ់</t>
        </is>
      </c>
      <c r="H1551" t="inlineStr">
        <is>
          <t>ឧបករណ៍ចម្រាញ់</t>
        </is>
      </c>
      <c r="I1551" s="217" t="inlineStr">
        <is>
          <t>"ADDRESS_FILTER.TITLE": "ឧបករណ៍ចម្រាញ់",</t>
        </is>
      </c>
      <c r="N1551" s="163" t="n"/>
    </row>
    <row r="1552" ht="15.75" customHeight="1" s="305">
      <c r="A1552" s="219" t="inlineStr">
        <is>
          <t>ADDRESS_FILTER.RESET_FILTER</t>
        </is>
      </c>
      <c r="B1552" s="219" t="inlineStr">
        <is>
          <t>Thiết lập lại</t>
        </is>
      </c>
      <c r="C1552" s="219" t="inlineStr">
        <is>
          <t>Reset</t>
        </is>
      </c>
      <c r="D1552" s="216">
        <f>IFERROR(__xludf.DUMMYFUNCTION("GOOGLETRANSLATE(B1552,""vi"",""km"")"),"កំណត់ឡើងវិញ")</f>
        <v/>
      </c>
      <c r="E1552" s="3" t="inlineStr">
        <is>
          <t>កំណត់ឡើងវិញ</t>
        </is>
      </c>
      <c r="F1552" s="3" t="n"/>
      <c r="G1552" s="3" t="inlineStr">
        <is>
          <t>កំណត់ឡើងវិញ</t>
        </is>
      </c>
      <c r="H1552" t="inlineStr">
        <is>
          <t>កំណត់ឡើងវិញ</t>
        </is>
      </c>
      <c r="I1552" s="217" t="inlineStr">
        <is>
          <t>"ADDRESS_FILTER.RESET_FILTER": "កំណត់ឡើងវិញ",</t>
        </is>
      </c>
      <c r="N1552" s="163" t="n"/>
    </row>
    <row r="1553" ht="15.75" customHeight="1" s="305">
      <c r="A1553" s="219" t="inlineStr">
        <is>
          <t>ADDRESS_FILTER.SAVE_FILTER</t>
        </is>
      </c>
      <c r="B1553" s="219" t="inlineStr">
        <is>
          <t>Lưu bộ lọc</t>
        </is>
      </c>
      <c r="C1553" s="219" t="inlineStr">
        <is>
          <t>Save Filter</t>
        </is>
      </c>
      <c r="D1553" s="216">
        <f>IFERROR(__xludf.DUMMYFUNCTION("GOOGLETRANSLATE(B1553,""vi"",""km"")"),"រក្សាទុកតម្រង")</f>
        <v/>
      </c>
      <c r="E1553" s="3" t="inlineStr">
        <is>
          <t>រក្សាទុកការចម្រាញ់</t>
        </is>
      </c>
      <c r="F1553" s="3" t="n"/>
      <c r="G1553" s="3" t="inlineStr">
        <is>
          <t>រក្សាទុកការចម្រាញ់</t>
        </is>
      </c>
      <c r="H1553" t="inlineStr">
        <is>
          <t>រក្សាទុកការចម្រាញ់</t>
        </is>
      </c>
      <c r="I1553" s="217" t="inlineStr">
        <is>
          <t>"ADDRESS_FILTER.SAVE_FILTER": "រក្សាទុកការចម្រាញ់",</t>
        </is>
      </c>
      <c r="N1553" s="163" t="n"/>
    </row>
    <row r="1554" ht="15.75" customHeight="1" s="305">
      <c r="A1554" s="219" t="inlineStr">
        <is>
          <t>DongTai.contentPrintKienNhanHang</t>
        </is>
      </c>
      <c r="B1554" s="219" t="inlineStr">
        <is>
          <t>Đã chọn {{count}} kiện</t>
        </is>
      </c>
      <c r="C1554" s="219" t="inlineStr">
        <is>
          <t>Selected {{count}} parcels</t>
        </is>
      </c>
      <c r="D1554" s="216">
        <f>IFERROR(__xludf.DUMMYFUNCTION("GOOGLETRANSLATE(B1554,""vi"",""km"")"),"ព្រឹត្តិការណ៍ដែលបានរាប់ត្រូវបានជ្រើសរើស។")</f>
        <v/>
      </c>
      <c r="E1554" s="3" t="inlineStr">
        <is>
          <t>បាន​ជ្រើសរើស​{{count}} កញ្ចាប់</t>
        </is>
      </c>
      <c r="F1554" s="3" t="n"/>
      <c r="G1554" s="3" t="inlineStr">
        <is>
          <t>បានជ្រើសរើស{{count}} កញ្ចាប់</t>
        </is>
      </c>
      <c r="H1554" t="inlineStr">
        <is>
          <t>បានជ្រើសរើស{{count}} កញ្ចាប់</t>
        </is>
      </c>
      <c r="I1554" s="217" t="inlineStr">
        <is>
          <t>"DongTai.contentPrintKienNhanHang": "បានជ្រើសរើស{{count}} កញ្ចាប់",</t>
        </is>
      </c>
      <c r="N1554" s="163" t="n"/>
    </row>
    <row r="1555" ht="15.75" customHeight="1" s="305">
      <c r="A1555" s="219" t="inlineStr">
        <is>
          <t>DongTai.selectSameStatusToPrint</t>
        </is>
      </c>
      <c r="B1555" s="219" t="inlineStr">
        <is>
          <t>Vui lòng chọn đơn hàng cùng trạng thái để in nhiều</t>
        </is>
      </c>
      <c r="C1555" s="219" t="inlineStr">
        <is>
          <t>Please select orders with the same status to print</t>
        </is>
      </c>
      <c r="D1555" s="216">
        <f>IFERROR(__xludf.DUMMYFUNCTION("GOOGLETRANSLATE(B1555,""vi"",""km"")"),"សូមជ្រើសរើសការបញ្ជាទិញដែលមានស្ថានភាពដូចគ្នា ដើម្បីបោះពុម្ពច្បាប់ចម្លងច្រើន។")</f>
        <v/>
      </c>
      <c r="E1555" s="3" t="inlineStr">
        <is>
          <t>សូមជ្រើសរើសបញ្ជាអីវ៉ាន់ដែលមានស្ថានភាពដូចគ្នា ដើម្បីព្រីនច្រើនក្នុងពេលតែមួយ។</t>
        </is>
      </c>
      <c r="F1555" s="3" t="n"/>
      <c r="G1555" s="3" t="inlineStr">
        <is>
          <t>សូមជ្រើសរើសបញ្ជាអីវ៉ាន់ដែលមានស្ថានភាពដូចគ្នា ដើម្បីព្រីនច្រើនក្នុងពេលតែមួយ។</t>
        </is>
      </c>
      <c r="H1555" t="inlineStr">
        <is>
          <t>សូមជ្រើសរើសបញ្ជាអីវ៉ាន់ដែលមានស្ថានភាពដូចគ្នា ដើម្បីព្រីនច្រើនក្នុងពេលតែមួយ។</t>
        </is>
      </c>
      <c r="I1555" s="217" t="inlineStr">
        <is>
          <t>"DongTai.selectSameStatusToPrint": "សូមជ្រើសរើសបញ្ជាអីវ៉ាន់ដែលមានស្ថានភាពដូចគ្នា ដើម្បីព្រីនច្រើនក្នុងពេលតែមួយ។",</t>
        </is>
      </c>
      <c r="N1555" s="163" t="n"/>
    </row>
    <row r="1556" ht="15.75" customHeight="1" s="305">
      <c r="A1556" s="219" t="inlineStr">
        <is>
          <t>GiaoHang.descUpdateStatusForceReturn</t>
        </is>
      </c>
      <c r="B1556" s="219" t="inlineStr">
        <is>
          <t>Chuyển hoàn</t>
        </is>
      </c>
      <c r="C1556" s="219" t="inlineStr">
        <is>
          <t>Force return</t>
        </is>
      </c>
      <c r="D1556" s="216">
        <f>IFERROR(__xludf.DUMMYFUNCTION("GOOGLETRANSLATE(B1556,""vi"",""km"")"),"ត្រឡប់មកវិញ")</f>
        <v/>
      </c>
      <c r="E1556" s="3" t="inlineStr">
        <is>
          <t>ត្រឡប់មកវិញ</t>
        </is>
      </c>
      <c r="F1556" s="3" t="n"/>
      <c r="G1556" s="3" t="inlineStr">
        <is>
          <t>ត្រឡប់មកវិញ</t>
        </is>
      </c>
      <c r="H1556" t="inlineStr">
        <is>
          <t>ត្រឡប់មកវិញ</t>
        </is>
      </c>
      <c r="I1556" s="217" t="inlineStr">
        <is>
          <t>"GiaoHang.descUpdateStatusForceReturn": "ត្រឡប់មកវិញ",</t>
        </is>
      </c>
      <c r="N1556" s="163" t="n"/>
    </row>
    <row r="1557" ht="15.75" customHeight="1" s="305">
      <c r="A1557" s="219" t="inlineStr">
        <is>
          <t>GiaoHang.printOrder</t>
        </is>
      </c>
      <c r="B1557" s="219" t="inlineStr">
        <is>
          <t>In đơn</t>
        </is>
      </c>
      <c r="C1557" s="219" t="inlineStr">
        <is>
          <t>Print order</t>
        </is>
      </c>
      <c r="D1557" s="216">
        <f>IFERROR(__xludf.DUMMYFUNCTION("GOOGLETRANSLATE(B1557,""vi"",""km"")"),"ការបញ្ជាទិញបោះពុម្ព")</f>
        <v/>
      </c>
      <c r="E1557" s="3" t="inlineStr">
        <is>
          <t>ព្រីនបញ្ជាអីវ៉ាន់</t>
        </is>
      </c>
      <c r="F1557" s="3" t="n"/>
      <c r="G1557" s="3" t="inlineStr">
        <is>
          <t>ព្រីនបញ្ជាអីវ៉ាន់</t>
        </is>
      </c>
      <c r="H1557" t="inlineStr">
        <is>
          <t>ព្រីនបញ្ជាអីវ៉ាន់</t>
        </is>
      </c>
      <c r="I1557" s="217" t="inlineStr">
        <is>
          <t>"GiaoHang.printOrder": "ព្រីនបញ្ជាអីវ៉ាន់",</t>
        </is>
      </c>
      <c r="N1557" s="163" t="n"/>
    </row>
    <row r="1558" ht="15.75" customHeight="1" s="305">
      <c r="A1558" s="219" t="inlineStr">
        <is>
          <t>GiaoHang.printPackage</t>
        </is>
      </c>
      <c r="B1558" s="219" t="inlineStr">
        <is>
          <t>In kiện</t>
        </is>
      </c>
      <c r="C1558" s="219" t="inlineStr">
        <is>
          <t>Print package</t>
        </is>
      </c>
      <c r="D1558" s="216">
        <f>IFERROR(__xludf.DUMMYFUNCTION("GOOGLETRANSLATE(B1558,""vi"",""km"")"),"បោះពុម្ពកញ្ចប់")</f>
        <v/>
      </c>
      <c r="E1558" s="3" t="inlineStr">
        <is>
          <t>ព្រីនកញ្ចប់អីវ៉ាន់</t>
        </is>
      </c>
      <c r="F1558" s="3" t="n"/>
      <c r="G1558" s="3" t="inlineStr">
        <is>
          <t>ព្រីនកញ្ចប់អីវ៉ាន់</t>
        </is>
      </c>
      <c r="H1558" t="inlineStr">
        <is>
          <t>ព្រីនកញ្ចប់អីវ៉ាន់</t>
        </is>
      </c>
      <c r="I1558" s="217" t="inlineStr">
        <is>
          <t>"GiaoHang.printPackage": "ព្រីនកញ្ចប់អីវ៉ាន់",</t>
        </is>
      </c>
      <c r="N1558" s="163" t="n"/>
    </row>
    <row r="1559" ht="15.75" customHeight="1" s="305">
      <c r="A1559" s="219" t="inlineStr">
        <is>
          <t>GiaoHang.refundSuccessDescription</t>
        </is>
      </c>
      <c r="B1559" s="219" t="inlineStr">
        <is>
          <t>Vui lòng in mã đơn hoàn</t>
        </is>
      </c>
      <c r="C1559" s="219" t="inlineStr">
        <is>
          <t>Please print the return label</t>
        </is>
      </c>
      <c r="D1559" s="216">
        <f>IFERROR(__xludf.DUMMYFUNCTION("GOOGLETRANSLATE(B1559,""vi"",""km"")"),"សូមបោះពុម្ពលេខកូដបញ្ជាក់ការបញ្ជាទិញ។")</f>
        <v/>
      </c>
      <c r="E1559" s="3" t="inlineStr">
        <is>
          <t>សូមព្រីនលេខកូដបញ្ជាក់អីវ៉ាន់សងមកវិញ</t>
        </is>
      </c>
      <c r="F1559" s="3" t="n"/>
      <c r="G1559" s="3" t="inlineStr">
        <is>
          <t>សូមព្រីនលេខកូដបញ្ជាក់អីវ៉ាន់សងមកវិញ</t>
        </is>
      </c>
      <c r="H1559" t="inlineStr">
        <is>
          <t>សូមព្រីនលេខកូដបញ្ជាក់អីវ៉ាន់សងមកវិញ</t>
        </is>
      </c>
      <c r="I1559" s="217" t="inlineStr">
        <is>
          <t>"GiaoHang.refundSuccessDescription": "សូមព្រីនលេខកូដបញ្ជាក់អីវ៉ាន់សងមកវិញ",</t>
        </is>
      </c>
      <c r="N1559" s="163" t="n"/>
    </row>
    <row r="1560" ht="15.75" customHeight="1" s="305">
      <c r="A1560" s="219" t="inlineStr">
        <is>
          <t>GiaoHang.refundSuccessDescriptionPackage</t>
        </is>
      </c>
      <c r="B1560" s="219" t="inlineStr">
        <is>
          <t>Vui lòng in mã kiện hoàn</t>
        </is>
      </c>
      <c r="C1560" s="219" t="inlineStr">
        <is>
          <t>Please print the return package codes</t>
        </is>
      </c>
      <c r="D1560" s="216">
        <f>IFERROR(__xludf.DUMMYFUNCTION("GOOGLETRANSLATE(B1560,""vi"",""km"")"),"សូមបោះពុម្ពលេខកូដកញ្ចប់ត្រឡប់មកវិញ។")</f>
        <v/>
      </c>
      <c r="E1560" s="3" t="inlineStr">
        <is>
          <t>សូមព្រីនលេខកូដបញ្ជាក់អីវ៉ាន់សងមកវិញ</t>
        </is>
      </c>
      <c r="F1560" s="3" t="n"/>
      <c r="G1560" s="3" t="inlineStr">
        <is>
          <t>សូមព្រីនលេខកូដបញ្ជាក់អីវ៉ាន់សងមកវិញ</t>
        </is>
      </c>
      <c r="H1560" t="inlineStr">
        <is>
          <t>សូមព្រីនលេខកូដបញ្ជាក់អីវ៉ាន់សងមកវិញ</t>
        </is>
      </c>
      <c r="I1560" s="217" t="inlineStr">
        <is>
          <t>"GiaoHang.refundSuccessDescriptionPackage": "សូមព្រីនលេខកូដបញ្ជាក់អីវ៉ាន់សងមកវិញ",</t>
        </is>
      </c>
      <c r="N1560" s="163" t="n"/>
    </row>
    <row r="1561" ht="15.75" customHeight="1" s="305">
      <c r="A1561" s="219" t="inlineStr">
        <is>
          <t>GiaoHang.refundSuccessTitle</t>
        </is>
      </c>
      <c r="B1561" s="219" t="inlineStr">
        <is>
          <t>Chuyển hoàn thành công đơn hàng</t>
        </is>
      </c>
      <c r="C1561" s="219" t="inlineStr">
        <is>
          <t>Successfully returned order</t>
        </is>
      </c>
      <c r="D1561" s="216">
        <f>IFERROR(__xludf.DUMMYFUNCTION("GOOGLETRANSLATE(B1561,""vi"",""km"")"),"ការបញ្ជាទិញបានបញ្ចប់។")</f>
        <v/>
      </c>
      <c r="E1561" s="3" t="inlineStr">
        <is>
          <t>ការកាដឹកជញ្ចូនអីវ៉ាន់ត្រឡប់មកវិញទទួលបានជោគជ័យ</t>
        </is>
      </c>
      <c r="F1561" s="3" t="n"/>
      <c r="G1561" s="3" t="inlineStr">
        <is>
          <t>ការកាដឹកជញ្ចូនអីវ៉ាន់ត្រឡប់មកវិញទទួលបានជោគជ័យ</t>
        </is>
      </c>
      <c r="H1561" t="inlineStr">
        <is>
          <t>ការកាដឹកជញ្ចូនអីវ៉ាន់ត្រឡប់មកវិញទទួលបានជោគជ័យ</t>
        </is>
      </c>
      <c r="I1561" s="217" t="inlineStr">
        <is>
          <t>"GiaoHang.refundSuccessTitle": "ការកាដឹកជញ្ចូនអីវ៉ាន់ត្រឡប់មកវិញទទួលបានជោគជ័យ",</t>
        </is>
      </c>
      <c r="N1561" s="163" t="n"/>
    </row>
    <row r="1562" ht="15.75" customHeight="1" s="305">
      <c r="A1562" s="219" t="inlineStr">
        <is>
          <t>GiaoHang.refundSuccessTitlePackage</t>
        </is>
      </c>
      <c r="B1562" s="219" t="inlineStr">
        <is>
          <t>Chuyển hoàn thành công {{count}} kiện hàng</t>
        </is>
      </c>
      <c r="C1562" s="219" t="inlineStr">
        <is>
          <t>Successfully returned {{count}} packages</t>
        </is>
      </c>
      <c r="D1562" s="216">
        <f>IFERROR(__xludf.DUMMYFUNCTION("GOOGLETRANSLATE(B1562,""vi"",""km"")"),"បានដឹកជញ្ជូនកញ្ចប់ {{count}} ដោយជោគជ័យ")</f>
        <v/>
      </c>
      <c r="E1562" s="3" t="inlineStr">
        <is>
          <t>ការកាដឹកជញ្ចូនត្រឡប់មកវិញទទួលបានជោគជ័យ​{{count}} ​កញ្ចប់អីវ៉ាន់</t>
        </is>
      </c>
      <c r="F1562" s="3" t="n"/>
      <c r="G1562" s="3" t="inlineStr">
        <is>
          <t>ការកាដឹកជញ្ចូនត្រឡប់មកវិញទទួលបានជោគជ័យ{{count}} កញ្ចប់អីវ៉ាន់</t>
        </is>
      </c>
      <c r="H1562" t="inlineStr">
        <is>
          <t>ការកាដឹកជញ្ចូនត្រឡប់មកវិញទទួលបានជោគជ័យ{{count}} កញ្ចប់អីវ៉ាន់</t>
        </is>
      </c>
      <c r="I1562" s="217" t="inlineStr">
        <is>
          <t>"GiaoHang.refundSuccessTitlePackage": "ការកាដឹកជញ្ចូនត្រឡប់មកវិញទទួលបានជោគជ័យ{{count}} កញ្ចប់អីវ៉ាន់",</t>
        </is>
      </c>
      <c r="N1562" s="163" t="n"/>
    </row>
    <row r="1563" ht="15.75" customHeight="1" s="305">
      <c r="A1563" s="219" t="inlineStr">
        <is>
          <t>GiaoHang.requestChangeAddress</t>
        </is>
      </c>
      <c r="B1563" s="219" t="inlineStr">
        <is>
          <t>Yêu cầu chuyển địa chỉ</t>
        </is>
      </c>
      <c r="C1563" s="219" t="inlineStr">
        <is>
          <t>Request address change</t>
        </is>
      </c>
      <c r="D1563" s="216">
        <f>IFERROR(__xludf.DUMMYFUNCTION("GOOGLETRANSLATE(B1563,""vi"",""km"")"),"សំណើសុំផ្លាស់ប្តូរអាសយដ្ឋាន")</f>
        <v/>
      </c>
      <c r="E1563" s="3" t="inlineStr">
        <is>
          <t>សំណើសុំផ្លាស់ប្តូរអាសយដ្ឋាន</t>
        </is>
      </c>
      <c r="F1563" s="3" t="n"/>
      <c r="G1563" s="3" t="inlineStr">
        <is>
          <t>ស្នើសុំប្តូរអាសយដ្ឋានដឹកជញ្ជូន</t>
        </is>
      </c>
      <c r="H1563" t="inlineStr">
        <is>
          <t>ស្នើសុំប្តូរអាសយដ្ឋានដឹកជញ្ជូន</t>
        </is>
      </c>
      <c r="I1563" s="217" t="inlineStr">
        <is>
          <t>"GiaoHang.requestChangeAddress": "ស្នើសុំប្តូរអាសយដ្ឋានដឹកជញ្ជូន",</t>
        </is>
      </c>
      <c r="N1563" s="163" t="n"/>
    </row>
    <row r="1564" ht="15.75" customHeight="1" s="305">
      <c r="A1564" s="219" t="inlineStr">
        <is>
          <t>GiaoHangNew.confirmReturnBetween</t>
        </is>
      </c>
      <c r="B1564" s="219" t="inlineStr">
        <is>
          <t>gồm</t>
        </is>
      </c>
      <c r="C1564" s="219" t="inlineStr">
        <is>
          <t>contains</t>
        </is>
      </c>
      <c r="D1564" s="216">
        <f>IFERROR(__xludf.DUMMYFUNCTION("GOOGLETRANSLATE(B1564,""vi"",""km"")"),"រួមទាំង")</f>
        <v/>
      </c>
      <c r="E1564" s="3" t="inlineStr">
        <is>
          <t>រួមជាមួយ</t>
        </is>
      </c>
      <c r="F1564" s="3" t="n"/>
      <c r="G1564" s="3" t="inlineStr">
        <is>
          <t>រួមជាមួយ</t>
        </is>
      </c>
      <c r="H1564" t="inlineStr">
        <is>
          <t>រួមជាមួយ</t>
        </is>
      </c>
      <c r="I1564" s="217" t="inlineStr">
        <is>
          <t>"GiaoHangNew.confirmReturnBetween": "រួមជាមួយ",</t>
        </is>
      </c>
      <c r="N1564" s="163" t="n"/>
    </row>
    <row r="1565" ht="15.75" customHeight="1" s="305">
      <c r="A1565" s="219" t="inlineStr">
        <is>
          <t>GiaoHangNew.confirmReturnMessage</t>
        </is>
      </c>
      <c r="B1565" s="219" t="inlineStr">
        <is>
          <t>Bưu gửi &lt;b&gt;{{code}}&lt;/b&gt; gồm &lt;b&gt;{{count}}&lt;/b&gt; kiện con, bạn cần quét đủ &lt;b&gt;{{count}}&lt;/b&gt; kiện</t>
        </is>
      </c>
      <c r="C1565" s="219" t="inlineStr">
        <is>
          <t>Parcel {{code}} contains {{count}} child parcels. Please confirm to return all {{count}} parcels.</t>
        </is>
      </c>
      <c r="D1565" s="216">
        <f>IFERROR(__xludf.DUMMYFUNCTION("GOOGLETRANSLATE(B1565,""vi"",""km"")"),"ការដឹកជញ្ជូន &lt;b&gt;{{code}}&lt;/b&gt; មានកញ្ចប់តូចៗចំនួន &lt;b&gt;{{count}&lt;/b&gt; អ្នកត្រូវស្កេនកញ្ចប់ &lt;b&gt;{{count}&lt;/b&gt; ទាំងអស់។")</f>
        <v/>
      </c>
      <c r="E1565" s="3" t="inlineStr">
        <is>
          <t>អីវ៉ាន់{{code}} រួមជាមួយ {{count}} កញ្ចប់អីវ៉ាន់តួច​​  ​​​​សូមស្កេនគ្រប់{{count}} កញ្ចប់អីវ៉ាន់។</t>
        </is>
      </c>
      <c r="F1565" s="3" t="n"/>
      <c r="G1565" s="3" t="inlineStr">
        <is>
          <t>អីវ៉ាន់{{code}} រួមជាមួយ {{count}} កញ្ចប់អីវ៉ាន់តួច សូមស្កេនគ្រប់{{count}} កញ្ចប់អីវ៉ាន់។</t>
        </is>
      </c>
      <c r="H1565" t="inlineStr">
        <is>
          <t>អីវ៉ាន់{{code}} រួមជាមួយ {{count}} កញ្ចប់អីវ៉ាន់តួច សូមស្កេនគ្រប់{{count}} កញ្ចប់អីវ៉ាន់។</t>
        </is>
      </c>
      <c r="I1565" s="217" t="inlineStr">
        <is>
          <t>"GiaoHangNew.confirmReturnMessage": "អីវ៉ាន់{{code}} រួមជាមួយ {{count}} កញ្ចប់អីវ៉ាន់តួច សូមស្កេនគ្រប់{{count}} កញ្ចប់អីវ៉ាន់។",</t>
        </is>
      </c>
      <c r="N1565" s="163" t="n"/>
    </row>
    <row r="1566" ht="15.75" customHeight="1" s="305">
      <c r="A1566" s="219" t="inlineStr">
        <is>
          <t>GiaoHangNew.confirmReturnPost</t>
        </is>
      </c>
      <c r="B1566" s="219" t="inlineStr">
        <is>
          <t>kiện con, bạn cần quét đủ</t>
        </is>
      </c>
      <c r="C1566" s="219" t="inlineStr">
        <is>
          <t>child parcels. Please confirm to return all</t>
        </is>
      </c>
      <c r="D1566" s="216">
        <f>IFERROR(__xludf.DUMMYFUNCTION("GOOGLETRANSLATE(B1566,""vi"",""km"")"),"ដើម្បីប្តឹងកូនរបស់អ្នក អ្នកត្រូវស្កេនឲ្យបានហ្មត់ចត់។")</f>
        <v/>
      </c>
      <c r="E1566" s="3" t="inlineStr">
        <is>
          <t>កញ្ចប់អីវ៉ាន់តួច​​  ​​​​សូមស្កែនគ្រប់គ្រាន់</t>
        </is>
      </c>
      <c r="F1566" s="3" t="n"/>
      <c r="G1566" s="3" t="inlineStr">
        <is>
          <t>កញ្ចប់អីវ៉ាន់តួច សូមស្កែនគ្រប់គ្រាន់</t>
        </is>
      </c>
      <c r="H1566" t="inlineStr">
        <is>
          <t>កញ្ចប់អីវ៉ាន់តួច សូមស្កែនគ្រប់គ្រាន់</t>
        </is>
      </c>
      <c r="I1566" s="217" t="inlineStr">
        <is>
          <t>"GiaoHangNew.confirmReturnPost": "កញ្ចប់អីវ៉ាន់តួច សូមស្កែនគ្រប់គ្រាន់",</t>
        </is>
      </c>
      <c r="N1566" s="163" t="n"/>
    </row>
    <row r="1567" ht="15.75" customHeight="1" s="305">
      <c r="A1567" s="219" t="inlineStr">
        <is>
          <t>GiaoHangNew.confirmReturnPrefix</t>
        </is>
      </c>
      <c r="B1567" s="219" t="inlineStr">
        <is>
          <t>Bưu gửi</t>
        </is>
      </c>
      <c r="C1567" s="219" t="inlineStr">
        <is>
          <t>Parcel</t>
        </is>
      </c>
      <c r="D1567" s="216">
        <f>IFERROR(__xludf.DUMMYFUNCTION("GOOGLETRANSLATE(B1567,""vi"",""km"")"),"វត្ថុប្រៃសណីយ៍")</f>
        <v/>
      </c>
      <c r="E1567" s="3" t="inlineStr">
        <is>
          <t>អីវ៉ាន់</t>
        </is>
      </c>
      <c r="F1567" s="3" t="n"/>
      <c r="G1567" s="3" t="inlineStr">
        <is>
          <t>អីវ៉ាន់</t>
        </is>
      </c>
      <c r="H1567" t="inlineStr">
        <is>
          <t>អីវ៉ាន់</t>
        </is>
      </c>
      <c r="I1567" s="217" t="inlineStr">
        <is>
          <t>"GiaoHangNew.confirmReturnPrefix": "អីវ៉ាន់",</t>
        </is>
      </c>
      <c r="N1567" s="163" t="n"/>
    </row>
    <row r="1568" ht="15.75" customHeight="1" s="305">
      <c r="A1568" s="219" t="inlineStr">
        <is>
          <t>GiaoHangNew.confirmReturnSuffix</t>
        </is>
      </c>
      <c r="B1568" s="219" t="inlineStr">
        <is>
          <t>kiện con</t>
        </is>
      </c>
      <c r="C1568" s="219" t="inlineStr">
        <is>
          <t>parcels.</t>
        </is>
      </c>
      <c r="D1568" s="216">
        <f>IFERROR(__xludf.DUMMYFUNCTION("GOOGLETRANSLATE(B1568,""vi"",""km"")"),"ប្តឹងកូនប្រុសរបស់អ្នក")</f>
        <v/>
      </c>
      <c r="E1568" s="3" t="inlineStr">
        <is>
          <t xml:space="preserve">កញ្ចប់អីវ៉ាន់តួច​​ </t>
        </is>
      </c>
      <c r="F1568" s="3" t="n"/>
      <c r="G1568" s="3" t="inlineStr">
        <is>
          <t>កញ្ចប់អីវ៉ាន់តួច</t>
        </is>
      </c>
      <c r="H1568" t="inlineStr">
        <is>
          <t>កញ្ចប់អីវ៉ាន់តួច</t>
        </is>
      </c>
      <c r="I1568" s="217" t="inlineStr">
        <is>
          <t>"GiaoHangNew.confirmReturnSuffix": "កញ្ចប់អីវ៉ាន់តួច",</t>
        </is>
      </c>
      <c r="N1568" s="163" t="n"/>
    </row>
    <row r="1569" ht="15.75" customHeight="1" s="305">
      <c r="A1569" s="219" t="inlineStr">
        <is>
          <t>GiaoHangNew.confirmReturnTitle</t>
        </is>
      </c>
      <c r="B1569" s="219" t="inlineStr">
        <is>
          <t>Xác nhận chuyển hoàn</t>
        </is>
      </c>
      <c r="C1569" s="219" t="inlineStr">
        <is>
          <t>Confirm return</t>
        </is>
      </c>
      <c r="D1569" s="216">
        <f>IFERROR(__xludf.DUMMYFUNCTION("GOOGLETRANSLATE(B1569,""vi"",""km"")"),"បញ្ជាក់ការសងប្រាក់វិញ")</f>
        <v/>
      </c>
      <c r="E1569" s="3" t="inlineStr">
        <is>
          <t>បញ្ជាក់ការដឹកត្រឡប់មកវិញ</t>
        </is>
      </c>
      <c r="F1569" s="3" t="n"/>
      <c r="G1569" s="3" t="inlineStr">
        <is>
          <t>បញ្ជាក់ការដឹកត្រឡប់មកវិញ</t>
        </is>
      </c>
      <c r="H1569" t="inlineStr">
        <is>
          <t>បញ្ជាក់ការដឹកត្រឡប់មកវិញ</t>
        </is>
      </c>
      <c r="I1569" s="217" t="inlineStr">
        <is>
          <t>"GiaoHangNew.confirmReturnTitle": "បញ្ជាក់ការដឹកត្រឡប់មកវិញ",</t>
        </is>
      </c>
      <c r="N1569" s="163" t="n"/>
    </row>
    <row r="1570" ht="15.75" customHeight="1" s="305">
      <c r="A1570" s="219" t="inlineStr">
        <is>
          <t>GiaoHangNew.enterOrScanToAddParcel</t>
        </is>
      </c>
      <c r="B1570" s="219" t="inlineStr">
        <is>
          <t>Nhập hoặc scan để thêm kiện</t>
        </is>
      </c>
      <c r="C1570" s="219" t="inlineStr">
        <is>
          <t>Enter or scan to add parcel</t>
        </is>
      </c>
      <c r="D1570" s="216">
        <f>IFERROR(__xludf.DUMMYFUNCTION("GOOGLETRANSLATE(B1570,""vi"",""km"")"),"នាំចូល ឬស្កេនដើម្បីបន្ថែមធាតុ")</f>
        <v/>
      </c>
      <c r="E1570" s="3" t="inlineStr">
        <is>
          <t>បំពេ​​​ញ ឬ ស្កែន ដើម្បីបន្ថែមកញ្ចប់អីវ៉ាន់</t>
        </is>
      </c>
      <c r="F1570" s="3" t="n"/>
      <c r="G1570" s="3" t="inlineStr">
        <is>
          <t>បំពេញ ឬ ស្កែន ដើម្បីបន្ថែមកញ្ចប់អីវ៉ាន់</t>
        </is>
      </c>
      <c r="H1570" t="inlineStr">
        <is>
          <t>បំពេញ ឬ ស្កែន ដើម្បីបន្ថែមកញ្ចប់អីវ៉ាន់</t>
        </is>
      </c>
      <c r="I1570" s="217" t="inlineStr">
        <is>
          <t>"GiaoHangNew.enterOrScanToAddParcel": "បំពេញ ឬ ស្កែន ដើម្បីបន្ថែមកញ្ចប់អីវ៉ាន់",</t>
        </is>
      </c>
      <c r="N1570" s="163" t="n"/>
    </row>
    <row r="1571" ht="15.75" customHeight="1" s="305">
      <c r="A1571" s="219" t="inlineStr">
        <is>
          <t>GiaoHangNew.missingChildDetails</t>
        </is>
      </c>
      <c r="B1571" s="219" t="inlineStr">
        <is>
          <t>Thiếu thông tin kiện con. Vui lòng truyền 'expectedChildItems' khi điều hướng vào màn này.</t>
        </is>
      </c>
      <c r="C1571" s="219" t="inlineStr">
        <is>
          <t>Missing child item details. Please pass 'expectedChildItems' when navigating to this screen.</t>
        </is>
      </c>
      <c r="D1571" s="216">
        <f>IFERROR(__xludf.DUMMYFUNCTION("GOOGLETRANSLATE(B1571,""vi"",""km"")"),"បាត់ព័ត៌មានទាក់ទងនឹងកុមារ។ សូមបញ្ចូល 'expectedChildItems' នៅពេលរុករកទៅកាន់អេក្រង់នេះ។")</f>
        <v/>
      </c>
      <c r="E1571" s="3" t="n"/>
      <c r="F1571" s="3" t="n"/>
      <c r="G1571" s="3" t="inlineStr">
        <is>
          <t>បាត់ព័ត៌មានទាក់ទងនឹងកុមារ។ សូមបញ្ចូល 'expectedChildItems' នៅពេលរុករកទៅកាន់អេក្រង់នេះ។</t>
        </is>
      </c>
      <c r="H1571" t="inlineStr">
        <is>
          <t>បាត់ព័ត៌មានទាក់ទងនឹងកុមារ។ សូមបញ្ចូល 'expectedChildItems' នៅពេលរុករកទៅកាន់អេក្រង់នេះ។</t>
        </is>
      </c>
      <c r="I1571" s="217" t="inlineStr">
        <is>
          <t>"GiaoHangNew.missingChildDetails": "បាត់ព័ត៌មានទាក់ទងនឹងកុមារ។ សូមបញ្ចូល 'expectedChildItems' នៅពេលរុករកទៅកាន់អេក្រង់នេះ។",</t>
        </is>
      </c>
      <c r="N1571" s="163" t="n"/>
    </row>
    <row r="1572" ht="15.75" customHeight="1" s="305">
      <c r="A1572" s="219" t="inlineStr">
        <is>
          <t>GiaoHangNew.noParcelsYet</t>
        </is>
      </c>
      <c r="B1572" s="219" t="inlineStr">
        <is>
          <t>Bạn chưa có kiện nào</t>
        </is>
      </c>
      <c r="C1572" s="219" t="inlineStr">
        <is>
          <t>You don't have any parcels yet</t>
        </is>
      </c>
      <c r="D1572" s="216">
        <f>IFERROR(__xludf.DUMMYFUNCTION("GOOGLETRANSLATE(B1572,""vi"",""km"")"),"អ្នកមិនទាន់មានបណ្តឹងណាមួយនៅឡើយទេ។")</f>
        <v/>
      </c>
      <c r="E1572" s="3" t="n"/>
      <c r="F1572" s="3" t="n"/>
      <c r="G1572" s="3" t="inlineStr">
        <is>
          <t>អ្នកមិនទាន់មានបណ្តឹងណាមួយនៅឡើយទេ។</t>
        </is>
      </c>
      <c r="H1572" t="inlineStr">
        <is>
          <t>អ្នកមិនទាន់មានបណ្តឹងណាមួយនៅឡើយទេ។</t>
        </is>
      </c>
      <c r="I1572" s="217" t="inlineStr">
        <is>
          <t>"GiaoHangNew.noParcelsYet": "អ្នកមិនទាន់មានបណ្តឹងណាមួយនៅឡើយទេ។",</t>
        </is>
      </c>
      <c r="N1572" s="163" t="n"/>
    </row>
    <row r="1573" ht="15.75" customHeight="1" s="305">
      <c r="A1573" s="219" t="inlineStr">
        <is>
          <t>GiaoHangNew.scanChildParcels</t>
        </is>
      </c>
      <c r="B1573" s="219" t="inlineStr">
        <is>
          <t>Quét kiện con</t>
        </is>
      </c>
      <c r="C1573" s="219" t="inlineStr">
        <is>
          <t>Scan child parcels</t>
        </is>
      </c>
      <c r="D1573" s="216">
        <f>IFERROR(__xludf.DUMMYFUNCTION("GOOGLETRANSLATE(B1573,""vi"",""km"")"),"ការស្កេនសម្រាប់បណ្តឹង")</f>
        <v/>
      </c>
      <c r="E1573" s="3" t="n"/>
      <c r="F1573" s="3" t="n"/>
      <c r="G1573" s="3" t="inlineStr">
        <is>
          <t>ការស្កេនសម្រាប់បណ្តឹង</t>
        </is>
      </c>
      <c r="H1573" t="inlineStr">
        <is>
          <t>ការស្កេនសម្រាប់បណ្តឹង</t>
        </is>
      </c>
      <c r="I1573" s="217" t="inlineStr">
        <is>
          <t>"GiaoHangNew.scanChildParcels": "ការស្កេនសម្រាប់បណ្តឹង",</t>
        </is>
      </c>
      <c r="N1573" s="163" t="n"/>
    </row>
    <row r="1574" ht="15.75" customHeight="1" s="305">
      <c r="A1574" s="219" t="inlineStr">
        <is>
          <t>GiaoHangNew.scanOrderContent</t>
        </is>
      </c>
      <c r="B1574" s="219" t="inlineStr">
        <is>
          <t>Vui lòng đưa mã đơn vào camera</t>
        </is>
      </c>
      <c r="C1574" s="219" t="inlineStr">
        <is>
          <t>Please present the order code to the camera</t>
        </is>
      </c>
      <c r="D1574" s="216">
        <f>IFERROR(__xludf.DUMMYFUNCTION("GOOGLETRANSLATE(B1574,""vi"",""km"")"),"សូមចង្អុលលេខកូដបញ្ជាទិញទៅកាមេរ៉ា។")</f>
        <v/>
      </c>
      <c r="E1574" s="3" t="n"/>
      <c r="F1574" s="3" t="n"/>
      <c r="G1574" s="3" t="inlineStr">
        <is>
          <t>សូមចង្អុលលេខកូដបញ្ជាទិញទៅកាមេរ៉ា។</t>
        </is>
      </c>
      <c r="H1574" t="inlineStr">
        <is>
          <t>សូមចង្អុលលេខកូដបញ្ជាទិញទៅកាមេរ៉ា។</t>
        </is>
      </c>
      <c r="I1574" s="217" t="inlineStr">
        <is>
          <t>"GiaoHangNew.scanOrderContent": "សូមចង្អុលលេខកូដបញ្ជាទិញទៅកាមេរ៉ា។",</t>
        </is>
      </c>
      <c r="N1574" s="163" t="n"/>
    </row>
    <row r="1575" ht="15.75" customHeight="1" s="305">
      <c r="A1575" s="219" t="inlineStr">
        <is>
          <t>GiaoHangNew.scanned</t>
        </is>
      </c>
      <c r="B1575" s="219" t="inlineStr">
        <is>
          <t>Đã quét</t>
        </is>
      </c>
      <c r="C1575" s="219" t="inlineStr">
        <is>
          <t>Scanned</t>
        </is>
      </c>
      <c r="D1575" s="216">
        <f>IFERROR(__xludf.DUMMYFUNCTION("GOOGLETRANSLATE(B1575,""vi"",""km"")"),"បានស្កេន")</f>
        <v/>
      </c>
      <c r="E1575" s="3" t="inlineStr">
        <is>
          <t>បានស្កេន</t>
        </is>
      </c>
      <c r="F1575" s="3" t="n"/>
      <c r="G1575" s="3" t="inlineStr">
        <is>
          <t>បានស្កេន</t>
        </is>
      </c>
      <c r="H1575" t="inlineStr">
        <is>
          <t>បានស្កេន</t>
        </is>
      </c>
      <c r="I1575" s="217" t="inlineStr">
        <is>
          <t>"GiaoHangNew.scanned": "បានស្កេន",</t>
        </is>
      </c>
      <c r="N1575" s="163" t="n"/>
    </row>
    <row r="1576" ht="15.75" customHeight="1" s="305">
      <c r="A1576" s="219" t="inlineStr">
        <is>
          <t>GiaoHangNew.useScannerToAddParcels</t>
        </is>
      </c>
      <c r="B1576" s="219" t="inlineStr">
        <is>
          <t>Vui lòng sử dụng đầu quét để thêm kiện.</t>
        </is>
      </c>
      <c r="C1576" s="219" t="inlineStr">
        <is>
          <t>Please use scanner to add parcels.</t>
        </is>
      </c>
      <c r="D1576" s="216">
        <f>IFERROR(__xludf.DUMMYFUNCTION("GOOGLETRANSLATE(B1576,""vi"",""km"")"),"សូមប្រើក្បាលម៉ាស៊ីនស្កេនដើម្បីបន្ថែមកញ្ចប់។")</f>
        <v/>
      </c>
      <c r="E1576" s="3" t="n"/>
      <c r="F1576" s="3" t="n"/>
      <c r="G1576" s="3" t="inlineStr">
        <is>
          <t>សូមប្រើក្បាលម៉ាស៊ីនស្កេនដើម្បីបន្ថែមកញ្ចប់។</t>
        </is>
      </c>
      <c r="H1576" t="inlineStr">
        <is>
          <t>សូមប្រើក្បាលម៉ាស៊ីនស្កេនដើម្បីបន្ថែមកញ្ចប់។</t>
        </is>
      </c>
      <c r="I1576" s="217" t="inlineStr">
        <is>
          <t>"GiaoHangNew.useScannerToAddParcels": "សូមប្រើក្បាលម៉ាស៊ីនស្កេនដើម្បីបន្ថែមកញ្ចប់។",</t>
        </is>
      </c>
      <c r="N1576" s="163" t="n"/>
    </row>
    <row r="1577" ht="15.75" customHeight="1" s="305">
      <c r="A1577" s="219" t="inlineStr">
        <is>
          <t>banGiao.filterStatus</t>
        </is>
      </c>
      <c r="B1577" s="219" t="inlineStr">
        <is>
          <t>Lọc trạng thái</t>
        </is>
      </c>
      <c r="C1577" s="219" t="inlineStr">
        <is>
          <t>Filter Status</t>
        </is>
      </c>
      <c r="D1577" s="216">
        <f>IFERROR(__xludf.DUMMYFUNCTION("GOOGLETRANSLATE(B1577,""vi"",""km"")"),"ការត្រងស្ថានភាព")</f>
        <v/>
      </c>
      <c r="E1577" s="3" t="n"/>
      <c r="F1577" s="3" t="n"/>
      <c r="G1577" s="3" t="inlineStr">
        <is>
          <t>ការត្រងស្ថានភាព</t>
        </is>
      </c>
      <c r="H1577" t="inlineStr">
        <is>
          <t>ការត្រងស្ថានភាព</t>
        </is>
      </c>
      <c r="I1577" s="217" t="inlineStr">
        <is>
          <t>"banGiao.filterStatus": "ការត្រងស្ថានភាព",</t>
        </is>
      </c>
      <c r="N1577" s="163" t="n"/>
    </row>
    <row r="1578" ht="15.75" customHeight="1" s="305">
      <c r="A1578" s="219" t="inlineStr">
        <is>
          <t>banGiao.statusClosed</t>
        </is>
      </c>
      <c r="B1578" s="219" t="inlineStr">
        <is>
          <t>Đóng</t>
        </is>
      </c>
      <c r="C1578" s="219" t="inlineStr">
        <is>
          <t>Closed</t>
        </is>
      </c>
      <c r="D1578" s="216">
        <f>IFERROR(__xludf.DUMMYFUNCTION("GOOGLETRANSLATE(B1578,""vi"",""km"")"),"បិទ")</f>
        <v/>
      </c>
      <c r="E1578" s="3" t="n"/>
      <c r="F1578" s="3" t="n"/>
      <c r="G1578" s="3" t="inlineStr">
        <is>
          <t>បិទ</t>
        </is>
      </c>
      <c r="H1578" t="inlineStr">
        <is>
          <t>បិទ</t>
        </is>
      </c>
      <c r="I1578" s="217" t="inlineStr">
        <is>
          <t>"banGiao.statusClosed": "បិទ",</t>
        </is>
      </c>
      <c r="N1578" s="163" t="n"/>
    </row>
    <row r="1579" ht="15.75" customHeight="1" s="305">
      <c r="A1579" s="219" t="inlineStr">
        <is>
          <t>banGiao.statusOpen</t>
        </is>
      </c>
      <c r="B1579" s="219" t="inlineStr">
        <is>
          <t>Mở</t>
        </is>
      </c>
      <c r="C1579" s="219" t="inlineStr">
        <is>
          <t>Open</t>
        </is>
      </c>
      <c r="D1579" s="216">
        <f>IFERROR(__xludf.DUMMYFUNCTION("GOOGLETRANSLATE(B1579,""vi"",""km"")"),"បើក")</f>
        <v/>
      </c>
      <c r="E1579" s="3" t="n"/>
      <c r="F1579" s="3" t="n"/>
      <c r="G1579" s="3" t="inlineStr">
        <is>
          <t>បើក</t>
        </is>
      </c>
      <c r="H1579" t="inlineStr">
        <is>
          <t>បើក</t>
        </is>
      </c>
      <c r="I1579" s="217" t="inlineStr">
        <is>
          <t>"banGiao.statusOpen": "បើក",</t>
        </is>
      </c>
      <c r="N1579" s="163" t="n"/>
    </row>
    <row r="1580" ht="15.75" customHeight="1" s="305">
      <c r="A1580" s="219" t="inlineStr">
        <is>
          <t>common.continue</t>
        </is>
      </c>
      <c r="B1580" s="219" t="inlineStr">
        <is>
          <t>Tiếp tục</t>
        </is>
      </c>
      <c r="C1580" s="219" t="inlineStr">
        <is>
          <t>Continue</t>
        </is>
      </c>
      <c r="D1580" s="216">
        <f>IFERROR(__xludf.DUMMYFUNCTION("GOOGLETRANSLATE(B1580,""vi"",""km"")"),"បន្ត")</f>
        <v/>
      </c>
      <c r="E1580" s="3" t="n"/>
      <c r="F1580" s="3" t="n"/>
      <c r="G1580" s="3" t="inlineStr">
        <is>
          <t>បន្ត</t>
        </is>
      </c>
      <c r="H1580" t="inlineStr">
        <is>
          <t>បន្ត</t>
        </is>
      </c>
      <c r="I1580" s="217" t="inlineStr">
        <is>
          <t>"common.continue": "បន្ត",</t>
        </is>
      </c>
      <c r="N1580" s="163" t="n"/>
    </row>
    <row r="1581" ht="15.75" customHeight="1" s="305">
      <c r="A1581" s="219" t="inlineStr">
        <is>
          <t>common.delete</t>
        </is>
      </c>
      <c r="B1581" s="219" t="inlineStr">
        <is>
          <t>Xóa</t>
        </is>
      </c>
      <c r="C1581" s="219" t="inlineStr">
        <is>
          <t>Delete</t>
        </is>
      </c>
      <c r="D1581" s="216">
        <f>IFERROR(__xludf.DUMMYFUNCTION("GOOGLETRANSLATE(B1581,""vi"",""km"")"),"លុប")</f>
        <v/>
      </c>
      <c r="E1581" s="3" t="n"/>
      <c r="F1581" s="3" t="n"/>
      <c r="G1581" s="3" t="inlineStr">
        <is>
          <t>លុប</t>
        </is>
      </c>
      <c r="H1581" t="inlineStr">
        <is>
          <t>លុប</t>
        </is>
      </c>
      <c r="I1581" s="217" t="inlineStr">
        <is>
          <t>"common.delete": "លុប",</t>
        </is>
      </c>
      <c r="N1581" s="163" t="n"/>
    </row>
    <row r="1582" ht="15.75" customHeight="1" s="305">
      <c r="A1582" s="219" t="inlineStr">
        <is>
          <t>common.invalidOrder</t>
        </is>
      </c>
      <c r="B1582" s="219" t="inlineStr">
        <is>
          <t>Đơn hàng không hợp lệ</t>
        </is>
      </c>
      <c r="C1582" s="219" t="inlineStr">
        <is>
          <t>Đơn hàng không hợp lệ</t>
        </is>
      </c>
      <c r="D1582" s="216">
        <f>IFERROR(__xludf.DUMMYFUNCTION("GOOGLETRANSLATE(B1582,""vi"",""km"")"),"ការបញ្ជាទិញមិនត្រឹមត្រូវ")</f>
        <v/>
      </c>
      <c r="E1582" s="3" t="inlineStr">
        <is>
          <t>ការបញ្ជាអីវ៉ាន់មិនត្រឹមត្រូវ</t>
        </is>
      </c>
      <c r="F1582" s="3" t="n"/>
      <c r="G1582" s="3" t="inlineStr">
        <is>
          <t>ការបញ្ជាអីវ៉ាន់មិនត្រឹមត្រូវ</t>
        </is>
      </c>
      <c r="H1582" t="inlineStr">
        <is>
          <t>ការបញ្ជាអីវ៉ាន់មិនត្រឹមត្រូវ</t>
        </is>
      </c>
      <c r="I1582" s="217" t="inlineStr">
        <is>
          <t>"common.invalidOrder": "ការបញ្ជាអីវ៉ាន់មិនត្រឹមត្រូវ",</t>
        </is>
      </c>
      <c r="N1582" s="163" t="n"/>
    </row>
    <row r="1583" ht="15.75" customHeight="1" s="305">
      <c r="A1583" s="219" t="inlineStr">
        <is>
          <t>debit.total_money_must_gt_zero</t>
        </is>
      </c>
      <c r="B1583" s="219" t="inlineStr">
        <is>
          <t>Tổng tiền thu phải lớn hơn 0</t>
        </is>
      </c>
      <c r="C1583" s="219" t="inlineStr">
        <is>
          <t>Total amount must be greater than 0</t>
        </is>
      </c>
      <c r="D1583" s="216">
        <f>IFERROR(__xludf.DUMMYFUNCTION("GOOGLETRANSLATE(B1583,""vi"",""km"")"),"ចំនួនសរុបដែលប្រមូលបានត្រូវតែធំជាង ០។")</f>
        <v/>
      </c>
      <c r="E1583" s="3" t="inlineStr">
        <is>
          <t>សរុបទឹកប្រាក់ត្រូវតែធំជាង ០</t>
        </is>
      </c>
      <c r="F1583" s="3" t="n"/>
      <c r="G1583" s="3" t="inlineStr">
        <is>
          <t>សរុបទឹកប្រាក់ត្រូវតែធំជាង ០</t>
        </is>
      </c>
      <c r="H1583" t="inlineStr">
        <is>
          <t>សរុបទឹកប្រាក់ត្រូវតែធំជាង ០</t>
        </is>
      </c>
      <c r="I1583" s="217" t="inlineStr">
        <is>
          <t>"debit.total_money_must_gt_zero": "សរុបទឹកប្រាក់ត្រូវតែធំជាង ០",</t>
        </is>
      </c>
      <c r="N1583" s="163" t="n"/>
    </row>
    <row r="1584" ht="15.75" customHeight="1" s="305">
      <c r="A1584" s="219" t="inlineStr">
        <is>
          <t>nhanHang.tailieu</t>
        </is>
      </c>
      <c r="B1584" s="219" t="inlineStr">
        <is>
          <t>Tài liệu</t>
        </is>
      </c>
      <c r="C1584" s="219" t="inlineStr">
        <is>
          <t>Documents</t>
        </is>
      </c>
      <c r="D1584" s="216">
        <f>IFERROR(__xludf.DUMMYFUNCTION("GOOGLETRANSLATE(B1584,""vi"",""km"")"),"ឯកសារ")</f>
        <v/>
      </c>
      <c r="E1584" s="3" t="inlineStr">
        <is>
          <t>ឯកសារ</t>
        </is>
      </c>
      <c r="F1584" s="3" t="n"/>
      <c r="G1584" s="3" t="inlineStr">
        <is>
          <t>ឯកសារ</t>
        </is>
      </c>
      <c r="H1584" t="inlineStr">
        <is>
          <t>ឯកសារ</t>
        </is>
      </c>
      <c r="I1584" s="217" t="inlineStr">
        <is>
          <t>"nhanHang.tailieu": "ឯកសារ",</t>
        </is>
      </c>
      <c r="N1584" s="163" t="n"/>
    </row>
    <row r="1585" ht="15.75" customHeight="1" s="305">
      <c r="A1585" s="219" t="inlineStr">
        <is>
          <t>suaDon.formInvalid</t>
        </is>
      </c>
      <c r="B1585" s="219" t="inlineStr">
        <is>
          <t>Thông tin không hợp lệ, vui lòng kiểm tra lại</t>
        </is>
      </c>
      <c r="C1585" s="219" t="inlineStr">
        <is>
          <t>Invalid information. Please check again</t>
        </is>
      </c>
      <c r="D1585" s="216">
        <f>IFERROR(__xludf.DUMMYFUNCTION("GOOGLETRANSLATE(B1585,""vi"",""km"")"),"ព័ត៌មានមិនត្រឹមត្រូវទេ សូមពិនិត្យឡើងវិញ។")</f>
        <v/>
      </c>
      <c r="E1585" s="3" t="inlineStr">
        <is>
          <t>ព័ត៌មានមិនត្រឹមត្រូវ សូមពិនិត្យឡើងវិញ</t>
        </is>
      </c>
      <c r="F1585" s="3" t="n"/>
      <c r="G1585" s="3" t="inlineStr">
        <is>
          <t>ព័ត៌មានមិនត្រឹមត្រូវ សូមពិនិត្យឡើងវិញ</t>
        </is>
      </c>
      <c r="H1585" t="inlineStr">
        <is>
          <t>ព័ត៌មានមិនត្រឹមត្រូវ សូមពិនិត្យឡើងវិញ</t>
        </is>
      </c>
      <c r="I1585" s="217" t="inlineStr">
        <is>
          <t>"suaDon.formInvalid": "ព័ត៌មានមិនត្រឹមត្រូវ សូមពិនិត្យឡើងវិញ",</t>
        </is>
      </c>
      <c r="N1585" s="163" t="n"/>
    </row>
    <row r="1586" ht="15.75" customHeight="1" s="305">
      <c r="A1586" s="219" t="inlineStr">
        <is>
          <t>suaDon.hang</t>
        </is>
      </c>
      <c r="B1586" s="219" t="inlineStr">
        <is>
          <t>Hàng</t>
        </is>
      </c>
      <c r="C1586" s="219" t="inlineStr">
        <is>
          <t>Goods</t>
        </is>
      </c>
      <c r="D1586" s="216">
        <f>IFERROR(__xludf.DUMMYFUNCTION("GOOGLETRANSLATE(B1586,""vi"",""km"")"),"ជួរ")</f>
        <v/>
      </c>
      <c r="E1586" s="3" t="inlineStr">
        <is>
          <t>ទំនិញ</t>
        </is>
      </c>
      <c r="F1586" s="3" t="n"/>
      <c r="G1586" s="3" t="inlineStr">
        <is>
          <t>ទំនិញ</t>
        </is>
      </c>
      <c r="H1586" t="inlineStr">
        <is>
          <t>ទំនិញ</t>
        </is>
      </c>
      <c r="I1586" s="217" t="inlineStr">
        <is>
          <t>"suaDon.hang": "ទំនិញ",</t>
        </is>
      </c>
      <c r="N1586" s="163" t="n"/>
    </row>
    <row r="1587" ht="15.75" customHeight="1" s="305">
      <c r="A1587" s="219" t="inlineStr">
        <is>
          <t>suaDon.receiveAtStore</t>
        </is>
      </c>
      <c r="B1587" s="219" t="inlineStr">
        <is>
          <t>Nhận tại Cửa hàng</t>
        </is>
      </c>
      <c r="C1587" s="219" t="inlineStr">
        <is>
          <t>Pick up at store</t>
        </is>
      </c>
      <c r="D1587" s="216">
        <f>IFERROR(__xludf.DUMMYFUNCTION("GOOGLETRANSLATE(B1587,""vi"",""km"")"),"មកយកនៅហាង។")</f>
        <v/>
      </c>
      <c r="E1587" s="3" t="inlineStr">
        <is>
          <t xml:space="preserve"> ទទួលអីវ៉ាន់នៅហាង</t>
        </is>
      </c>
      <c r="F1587" s="3" t="n"/>
      <c r="G1587" s="3" t="inlineStr">
        <is>
          <t>ទទួលអីវ៉ាន់នៅហាង</t>
        </is>
      </c>
      <c r="H1587" t="inlineStr">
        <is>
          <t>ទទួលអីវ៉ាន់នៅហាង</t>
        </is>
      </c>
      <c r="I1587" s="217" t="inlineStr">
        <is>
          <t>"suaDon.receiveAtStore": "ទទួលអីវ៉ាន់នៅហាង",</t>
        </is>
      </c>
      <c r="N1587" s="163" t="n"/>
    </row>
    <row r="1588" ht="15.75" customHeight="1" s="305">
      <c r="A1588" s="219" t="inlineStr">
        <is>
          <t>suaDon.updateOrder</t>
        </is>
      </c>
      <c r="B1588" s="219" t="inlineStr">
        <is>
          <t>Cập nhật thông tin sửa đơn</t>
        </is>
      </c>
      <c r="C1588" s="219" t="inlineStr">
        <is>
          <t>Update order modification information</t>
        </is>
      </c>
      <c r="D1588" s="216">
        <f>IFERROR(__xludf.DUMMYFUNCTION("GOOGLETRANSLATE(B1588,""vi"",""km"")"),"ធ្វើបច្ចុប្បន្នភាពព័ត៌មានកែប្រែការបញ្ជាទិញ")</f>
        <v/>
      </c>
      <c r="E1588" s="3" t="inlineStr">
        <is>
          <t>កែសម្រួលការបញ្ជាទិញ</t>
        </is>
      </c>
      <c r="F1588" s="3" t="n"/>
      <c r="G1588" s="3" t="inlineStr">
        <is>
          <t>កែសម្រួលការបញ្ជាទិញ</t>
        </is>
      </c>
      <c r="H1588" t="inlineStr">
        <is>
          <t>កែសម្រួលការបញ្ជាទិញ</t>
        </is>
      </c>
      <c r="I1588" s="217" t="inlineStr">
        <is>
          <t>"suaDon.updateOrder": "កែសម្រួលការបញ្ជាទិញ",</t>
        </is>
      </c>
      <c r="N1588" s="163" t="n"/>
    </row>
    <row r="1589" ht="15.75" customHeight="1" s="305">
      <c r="A1589" s="219" t="inlineStr">
        <is>
          <t>taoDon.chooseAddService</t>
        </is>
      </c>
      <c r="B1589" s="219" t="inlineStr">
        <is>
          <t>Chọn dịch vụ cộng thêm</t>
        </is>
      </c>
      <c r="C1589" s="219" t="inlineStr">
        <is>
          <t>Select extra services</t>
        </is>
      </c>
      <c r="D1589" s="216">
        <f>IFERROR(__xludf.DUMMYFUNCTION("GOOGLETRANSLATE(B1589,""vi"",""km"")"),"ជ្រើសរើសសេវាកម្មបន្ថែម")</f>
        <v/>
      </c>
      <c r="E1589" s="3" t="n"/>
      <c r="F1589" s="3" t="n"/>
      <c r="G1589" s="3" t="inlineStr">
        <is>
          <t>ជ្រើសរើសសេវាកម្មបន្ថែម</t>
        </is>
      </c>
      <c r="H1589" t="inlineStr">
        <is>
          <t>ជ្រើសរើសសេវាកម្មបន្ថែម</t>
        </is>
      </c>
      <c r="I1589" s="217" t="inlineStr">
        <is>
          <t>"taoDon.chooseAddService": "ជ្រើសរើសសេវាកម្មបន្ថែម",</t>
        </is>
      </c>
      <c r="N1589" s="163" t="n"/>
    </row>
    <row r="1590" ht="15.75" customHeight="1" s="305">
      <c r="A1590" s="219" t="inlineStr">
        <is>
          <t>taoKien.errorCountMustBePositive</t>
        </is>
      </c>
      <c r="B1590" s="219" t="inlineStr">
        <is>
          <t>số lượng phải lớn hơn 0</t>
        </is>
      </c>
      <c r="C1590" s="219" t="inlineStr">
        <is>
          <t>Quantity must be greater than 0</t>
        </is>
      </c>
      <c r="D1590" s="216">
        <f>IFERROR(__xludf.DUMMYFUNCTION("GOOGLETRANSLATE(B1590,""vi"",""km"")"),"ចំនួន​ត្រូវតែ​ធំជាង ០។")</f>
        <v/>
      </c>
      <c r="E1590" s="3" t="n"/>
      <c r="F1590" s="3" t="n"/>
      <c r="G1590" s="3" t="inlineStr">
        <is>
          <t>ចំនួនត្រូវតែធំជាង ០។</t>
        </is>
      </c>
      <c r="H1590" t="inlineStr">
        <is>
          <t>ចំនួនត្រូវតែធំជាង ០។</t>
        </is>
      </c>
      <c r="I1590" s="217" t="inlineStr">
        <is>
          <t>"taoKien.errorCountMustBePositive": "ចំនួនត្រូវតែធំជាង ០។",</t>
        </is>
      </c>
      <c r="N1590" s="163" t="n"/>
    </row>
    <row r="1591" ht="15.75" customHeight="1" s="305">
      <c r="A1591" s="219" t="inlineStr">
        <is>
          <t>taoKien.errorTotalWeightMustBeNonNegative</t>
        </is>
      </c>
      <c r="B1591" s="219" t="inlineStr">
        <is>
          <t>tổng trọng lượng phải là số không âm</t>
        </is>
      </c>
      <c r="C1591" s="219" t="inlineStr">
        <is>
          <t>Total weight must be a non-negative number</t>
        </is>
      </c>
      <c r="D1591" s="216">
        <f>IFERROR(__xludf.DUMMYFUNCTION("GOOGLETRANSLATE(B1591,""vi"",""km"")"),"ទម្ងន់សរុបត្រូវតែជាចំនួនមិនអវិជ្ជមាន។")</f>
        <v/>
      </c>
      <c r="E1591" s="3" t="n"/>
      <c r="F1591" s="3" t="n"/>
      <c r="G1591" s="3" t="inlineStr">
        <is>
          <t>ទម្ងន់សរុបត្រូវតែជាចំនួនមិនអវិជ្ជមាន។</t>
        </is>
      </c>
      <c r="H1591" t="inlineStr">
        <is>
          <t>ទម្ងន់សរុបត្រូវតែជាចំនួនមិនអវិជ្ជមាន។</t>
        </is>
      </c>
      <c r="I1591" s="217" t="inlineStr">
        <is>
          <t>"taoKien.errorTotalWeightMustBeNonNegative": "ទម្ងន់សរុបត្រូវតែជាចំនួនមិនអវិជ្ជមាន។",</t>
        </is>
      </c>
      <c r="N1591" s="163" t="n"/>
    </row>
    <row r="1592" ht="15.75" customHeight="1" s="305">
      <c r="A1592" s="219" t="inlineStr">
        <is>
          <t>taoKien.messageAssignmentSoLuongKien</t>
        </is>
      </c>
      <c r="B1592" s="219" t="inlineStr">
        <is>
          <t>Bưu gửi &lt;b&gt;{{code_kien}}&lt;/b&gt; gồm &lt;b&gt;{{count}}&lt;/b&gt; kiện con, bạn có muốn phân công cho &lt;b&gt;{{count}}&lt;/b&gt; kiện không?</t>
        </is>
      </c>
      <c r="C1592" s="219" t="inlineStr">
        <is>
          <t>Shipment &lt;b&gt;{{code_kien}}&lt;/b&gt; has &lt;b&gt;{{count}}&lt;/b&gt; sub-packages, do you want to assign all &lt;b&gt;{{count}}&lt;/b&gt; packages?</t>
        </is>
      </c>
      <c r="D1592" s="216">
        <f>IFERROR(__xludf.DUMMYFUNCTION("GOOGLETRANSLATE(B1592,""vi"",""km"")"),"ការដឹកជញ្ជូន &lt;b&gt;{{code_kien}&lt;/b&gt; មានកញ្ចប់រង &lt;b&gt;{{count}&lt;/b&gt;។ តើអ្នកចង់កំណត់ &lt;b&gt;{{count}&lt;/b&gt; ទៅកញ្ចប់រងនីមួយៗដែរឬទេ?")</f>
        <v/>
      </c>
      <c r="E1592" s="3" t="n"/>
      <c r="F1592" s="3" t="n"/>
      <c r="G1592" s="3" t="inlineStr">
        <is>
          <t>ការដឹកជញ្ជូន &lt;b&gt;{{code_kien}&lt;/b&gt; មានកញ្ចប់រង &lt;b&gt;{{count}&lt;/b&gt;។ តើអ្នកចង់កំណត់ &lt;b&gt;{{count}&lt;/b&gt; ទៅកញ្ចប់រងនីមួយៗដែរឬទេ?</t>
        </is>
      </c>
      <c r="H1592" t="inlineStr">
        <is>
          <t>ការដឹកជញ្ជូន &lt;b&gt;{{code_kien}&lt;/b&gt; មានកញ្ចប់រង &lt;b&gt;{{count}&lt;/b&gt;។ តើអ្នកចង់កំណត់ &lt;b&gt;{{count}&lt;/b&gt; ទៅកញ្ចប់រងនីមួយៗដែរឬទេ?</t>
        </is>
      </c>
      <c r="I1592" s="217" t="inlineStr">
        <is>
          <t>"taoKien.messageAssignmentSoLuongKien": "ការដឹកជញ្ជូន &lt;b&gt;{{code_kien}&lt;/b&gt; មានកញ្ចប់រង &lt;b&gt;{{count}&lt;/b&gt;។ តើអ្នកចង់កំណត់ &lt;b&gt;{{count}&lt;/b&gt; ទៅកញ្ចប់រងនីមួយៗដែរឬទេ?",</t>
        </is>
      </c>
      <c r="N1592" s="163" t="n"/>
    </row>
    <row r="1593" ht="15.75" customHeight="1" s="305">
      <c r="A1593" s="219" t="inlineStr">
        <is>
          <t>change_password.default_password_warning</t>
        </is>
      </c>
      <c r="B1593" s="219" t="inlineStr">
        <is>
          <t>Tài khoản đăng nhập sử dụng mật khẩu mặc định. Vui lòng thiết lập mật khẩu mới để sử dụng!</t>
        </is>
      </c>
      <c r="C1593" s="219" t="inlineStr">
        <is>
          <t>Account is using default password. Please set a new password to continue!</t>
        </is>
      </c>
      <c r="D1593" s="216">
        <f>IFERROR(__xludf.DUMMYFUNCTION("GOOGLETRANSLATE(B1593,""vi"",""km"")"),"គណនីចូលប្រើប្រាស់ពាក្យសម្ងាត់លំនាំដើម។ សូមកំណត់ពាក្យសម្ងាត់ថ្មីដើម្បីប្រើ!")</f>
        <v/>
      </c>
      <c r="E1593" s="3" t="inlineStr">
        <is>
          <t>គណនីនេះកំពុងប្រើប្រាស់លេខសម្ងាត់ដើម។ សូមកំណត់លេខសម្ងាត់ថ្មី ដើម្បីបន្តប្រើប្រាស់!</t>
        </is>
      </c>
      <c r="F1593" s="3" t="n"/>
      <c r="G1593" s="3" t="inlineStr">
        <is>
          <t>គណនីនេះកំពុងប្រើប្រាស់លេខសម្ងាត់ដើម។ សូមកំណត់លេខសម្ងាត់ថ្មី ដើម្បីបន្តប្រើប្រាស់!</t>
        </is>
      </c>
      <c r="H1593" t="inlineStr">
        <is>
          <t>គណនីនេះកំពុងប្រើប្រាស់លេខសម្ងាត់ដើម។ សូមកំណត់លេខសម្ងាត់ថ្មី ដើម្បីបន្តប្រើប្រាស់!</t>
        </is>
      </c>
      <c r="I1593" s="217" t="inlineStr">
        <is>
          <t>"change_password.default_password_warning": "គណនីនេះកំពុងប្រើប្រាស់លេខសម្ងាត់ដើម។ សូមកំណត់លេខសម្ងាត់ថ្មី ដើម្បីបន្តប្រើប្រាស់!",</t>
        </is>
      </c>
      <c r="N1593" s="163" t="n"/>
    </row>
    <row r="1594" ht="15.75" customHeight="1" s="305">
      <c r="A1594" s="219" t="inlineStr">
        <is>
          <t>debit.customerList</t>
        </is>
      </c>
      <c r="B1594" s="219" t="inlineStr">
        <is>
          <t>Bảng kê thu cước khách hàng [{{cusId}}] đã được tạo:</t>
        </is>
      </c>
      <c r="C1594" s="219" t="inlineStr">
        <is>
          <t>The customer [{{cusId}}] billing statement has been created:</t>
        </is>
      </c>
      <c r="D1594" s="216">
        <f>IFERROR(__xludf.DUMMYFUNCTION("GOOGLETRANSLATE(B1594,""vi"",""km"")"),"របាយការណ៍​វិក្កយបត្រ​របស់​អតិថិជន [{{cusId}}] ត្រូវ​បាន​បង្កើត​ឡើង​ហើយ៖")</f>
        <v/>
      </c>
      <c r="E1594" s="3" t="inlineStr">
        <is>
          <t>តារាងសង្ខេបការប្រមូលថ្លៃសេវាអតិថិជន [{{cusId}}] ត្រូវបានបង្កើត៖</t>
        </is>
      </c>
      <c r="F1594" s="3" t="n"/>
      <c r="G1594" s="3" t="inlineStr">
        <is>
          <t>តារាងសង្ខេបការប្រមូលថ្លៃសេវាអតិថិជន [{{cusId}}] ត្រូវបានបង្កើត៖</t>
        </is>
      </c>
      <c r="H1594" t="inlineStr">
        <is>
          <t>តារាងសង្ខេបការប្រមូលថ្លៃសេវាអតិថិជន [{{cusId}}] ត្រូវបានបង្កើត៖</t>
        </is>
      </c>
      <c r="I1594" s="217" t="inlineStr">
        <is>
          <t>"debit.customerList": "តារាងសង្ខេបការប្រមូលថ្លៃសេវាអតិថិជន [{{cusId}}] ត្រូវបានបង្កើត៖",</t>
        </is>
      </c>
      <c r="N1594" s="163" t="n"/>
    </row>
    <row r="1595" ht="15.75" customHeight="1" s="305">
      <c r="A1595" s="219" t="inlineStr">
        <is>
          <t>nhanHang.cannotSelectTimeInThePast</t>
        </is>
      </c>
      <c r="B1595" s="219" t="inlineStr">
        <is>
          <t>Không thể chọn thời gian trong quá khứ</t>
        </is>
      </c>
      <c r="C1595" s="219" t="inlineStr">
        <is>
          <t>Not possible to choose a time in the past</t>
        </is>
      </c>
      <c r="D1595" s="216">
        <f>IFERROR(__xludf.DUMMYFUNCTION("GOOGLETRANSLATE(B1595,""vi"",""km"")"),"វាមិនអាចទៅរួចទេក្នុងការជ្រើសរើសពេលវេលាក្នុងអតីតកាល។")</f>
        <v/>
      </c>
      <c r="E1595" s="3" t="inlineStr">
        <is>
          <t>មិនអាចជ្រើសរើសពេលវេលាក្នុងអតីតកាលបានទេ</t>
        </is>
      </c>
      <c r="F1595" s="3" t="n"/>
      <c r="G1595" s="3" t="inlineStr">
        <is>
          <t>មិនអាចជ្រើសរើសពេលវេលាក្នុងអតីតកាលបានទេ</t>
        </is>
      </c>
      <c r="H1595" t="inlineStr">
        <is>
          <t>មិនអាចជ្រើសរើសពេលវេលាក្នុងអតីតកាលបានទេ</t>
        </is>
      </c>
      <c r="I1595" s="217" t="inlineStr">
        <is>
          <t>"nhanHang.cannotSelectTimeInThePast": "មិនអាចជ្រើសរើសពេលវេលាក្នុងអតីតកាលបានទេ",</t>
        </is>
      </c>
      <c r="N1595" s="163" t="n"/>
    </row>
    <row r="1596" ht="15.75" customHeight="1" s="305">
      <c r="A1596" s="219" t="inlineStr">
        <is>
          <t>nhanHang.clientCancelOrder</t>
        </is>
      </c>
      <c r="B1596" s="219" t="inlineStr">
        <is>
          <t>Khách hàng huỷ đơn</t>
        </is>
      </c>
      <c r="C1596" s="219" t="inlineStr">
        <is>
          <t>Customer cancel order</t>
        </is>
      </c>
      <c r="D1596" s="216">
        <f>IFERROR(__xludf.DUMMYFUNCTION("GOOGLETRANSLATE(B1596,""vi"",""km"")"),"អតិថិជនលុបចោលការបញ្ជាទិញ។")</f>
        <v/>
      </c>
      <c r="E1596" s="3" t="n"/>
      <c r="F1596" s="3" t="n"/>
      <c r="G1596" s="3" t="inlineStr">
        <is>
          <t>អតិថិជនលុបបុងចោល។</t>
        </is>
      </c>
      <c r="H1596" t="inlineStr">
        <is>
          <t>អតិថិជនលុបបុងចោល។</t>
        </is>
      </c>
      <c r="I1596" s="217" t="inlineStr">
        <is>
          <t>"nhanHang.clientCancelOrder": "អតិថិជនលុបបុងចោល។",</t>
        </is>
      </c>
      <c r="N1596" s="163" t="n"/>
    </row>
    <row r="1597" ht="15.75" customHeight="1" s="305">
      <c r="A1597" s="219" t="inlineStr">
        <is>
          <t>nhanHang.clientHasNotPreparedGood</t>
        </is>
      </c>
      <c r="B1597" s="219" t="inlineStr">
        <is>
          <t>Khách hàng chưa chuẩn bị hàng</t>
        </is>
      </c>
      <c r="C1597" s="219" t="inlineStr">
        <is>
          <t>Customer not ready</t>
        </is>
      </c>
      <c r="D1597" s="216">
        <f>IFERROR(__xludf.DUMMYFUNCTION("GOOGLETRANSLATE(B1597,""vi"",""km"")"),"អតិថិជនមិនបានរៀបចំទំនិញទេ។")</f>
        <v/>
      </c>
      <c r="E1597" s="3" t="inlineStr">
        <is>
          <t>អតិថិជនមិនទាន់បានរៀបចំនៅឡើយទេ។</t>
        </is>
      </c>
      <c r="F1597" s="3" t="n"/>
      <c r="G1597" s="3" t="inlineStr">
        <is>
          <t>អតិថិជនមិនទាន់បានរៀបចំនៅឡើយទេ។</t>
        </is>
      </c>
      <c r="H1597" t="inlineStr">
        <is>
          <t>អតិថិជនមិនទាន់បានរៀបចំនៅឡើយទេ។</t>
        </is>
      </c>
      <c r="I1597" s="217" t="inlineStr">
        <is>
          <t>"nhanHang.clientHasNotPreparedGood": "អតិថិជនមិនទាន់បានរៀបចំនៅឡើយទេ។",</t>
        </is>
      </c>
      <c r="N1597" s="163" t="n"/>
    </row>
    <row r="1598" ht="15.75" customHeight="1" s="305">
      <c r="A1598" s="219" t="inlineStr">
        <is>
          <t>nhanHang.enterReason</t>
        </is>
      </c>
      <c r="B1598" s="219" t="inlineStr">
        <is>
          <t>Nhập lý do</t>
        </is>
      </c>
      <c r="C1598" s="219" t="inlineStr">
        <is>
          <t>Enter reason</t>
        </is>
      </c>
      <c r="D1598" s="216">
        <f>IFERROR(__xludf.DUMMYFUNCTION("GOOGLETRANSLATE(B1598,""vi"",""km"")"),"បញ្ចូលហេតុផល")</f>
        <v/>
      </c>
      <c r="E1598" s="3" t="n"/>
      <c r="F1598" s="3" t="n"/>
      <c r="G1598" s="3" t="inlineStr">
        <is>
          <t>បញ្ចូលហេតុផល</t>
        </is>
      </c>
      <c r="H1598" t="inlineStr">
        <is>
          <t>បញ្ចូលហេតុផល</t>
        </is>
      </c>
      <c r="I1598" s="217" t="inlineStr">
        <is>
          <t>"nhanHang.enterReason": "បញ្ចូលហេតុផល",</t>
        </is>
      </c>
      <c r="N1598" s="163" t="n"/>
    </row>
    <row r="1599" ht="15.75" customHeight="1" s="305">
      <c r="A1599" s="219" t="inlineStr">
        <is>
          <t>nhanHang.explanationSuccess</t>
        </is>
      </c>
      <c r="B1599" s="219" t="inlineStr">
        <is>
          <t>Giải trình thành công!</t>
        </is>
      </c>
      <c r="C1599" s="219" t="inlineStr">
        <is>
          <t>Explanation successful!</t>
        </is>
      </c>
      <c r="D1599" s="216">
        <f>IFERROR(__xludf.DUMMYFUNCTION("GOOGLETRANSLATE(B1599,""vi"",""km"")"),"ការពន្យល់បានជោគជ័យ!")</f>
        <v/>
      </c>
      <c r="E1599" s="3" t="inlineStr">
        <is>
          <t>ការបកស្រាយទទួលបានជោគជ័យ!</t>
        </is>
      </c>
      <c r="F1599" s="3" t="n"/>
      <c r="G1599" s="3" t="inlineStr">
        <is>
          <t>ការបកស្រាយទទួលបានជោគជ័យ!</t>
        </is>
      </c>
      <c r="H1599" t="inlineStr">
        <is>
          <t>ការបកស្រាយទទួលបានជោគជ័យ!</t>
        </is>
      </c>
      <c r="I1599" s="217" t="inlineStr">
        <is>
          <t>"nhanHang.explanationSuccess": "ការបកស្រាយទទួលបានជោគជ័យ!",</t>
        </is>
      </c>
      <c r="N1599" s="163" t="n"/>
    </row>
    <row r="1600" ht="15.75" customHeight="1" s="305">
      <c r="A1600" s="219" t="inlineStr">
        <is>
          <t>nhanHang.incorrectWeightOrSize</t>
        </is>
      </c>
      <c r="B1600" s="219" t="inlineStr">
        <is>
          <t>Sai cân nặng/kích thước</t>
        </is>
      </c>
      <c r="C1600" s="219" t="inlineStr">
        <is>
          <t>Wrong weight/size</t>
        </is>
      </c>
      <c r="D1600" s="216" t="inlineStr">
        <is>
          <t>ទម្ងន់/ទំហំមិនត្រឹមត្រូវ</t>
        </is>
      </c>
      <c r="E1600" s="3" t="inlineStr">
        <is>
          <t>ទម្ងន់/ទំហំមិនត្រឹមត្រូវ</t>
        </is>
      </c>
      <c r="F1600" s="3" t="n"/>
      <c r="G1600" s="3" t="inlineStr">
        <is>
          <t>ទម្ងន់/ទំហំមិនត្រឹមត្រូវ</t>
        </is>
      </c>
      <c r="H1600" t="inlineStr">
        <is>
          <t>ទម្ងន់/ទំហំមិនត្រឹមត្រូវ</t>
        </is>
      </c>
      <c r="I1600" s="217" t="inlineStr">
        <is>
          <t>"nhanHang.incorrectWeightOrSize": "ទម្ងន់/ទំហំមិនត្រឹមត្រូវ",</t>
        </is>
      </c>
      <c r="N1600" s="163" t="n"/>
    </row>
    <row r="1601" ht="15.75" customHeight="1" s="305">
      <c r="A1601" s="219" t="inlineStr">
        <is>
          <t>nhanHang.maxLength250</t>
        </is>
      </c>
      <c r="B1601" s="219" t="inlineStr">
        <is>
          <t>Tối đa 250 ký tự</t>
        </is>
      </c>
      <c r="C1601" s="219" t="inlineStr">
        <is>
          <t>Maximum 250 characters</t>
        </is>
      </c>
      <c r="D1601" s="216">
        <f>IFERROR(__xludf.DUMMYFUNCTION("GOOGLETRANSLATE(B1601,""vi"",""km"")"),"អតិបរមា 250 តួអក្សរ")</f>
        <v/>
      </c>
      <c r="E1601" s="3" t="inlineStr">
        <is>
          <t>អតិបរមា 250 តួអក្សរ</t>
        </is>
      </c>
      <c r="F1601" s="3" t="n"/>
      <c r="G1601" s="3" t="inlineStr">
        <is>
          <t>អតិបរមា 250 តួអក្សរ</t>
        </is>
      </c>
      <c r="H1601" t="inlineStr">
        <is>
          <t>អតិបរមា 250 តួអក្សរ</t>
        </is>
      </c>
      <c r="I1601" s="217" t="inlineStr">
        <is>
          <t>"nhanHang.maxLength250": "អតិបរមា 250 តួអក្សរ",</t>
        </is>
      </c>
      <c r="N1601" s="163" t="n"/>
    </row>
    <row r="1602" ht="15.75" customHeight="1" s="305">
      <c r="A1602" s="219" t="inlineStr">
        <is>
          <t>nhanHang.rejectOder</t>
        </is>
      </c>
      <c r="B1602" s="219" t="inlineStr">
        <is>
          <t>Từ chối đơn hàng</t>
        </is>
      </c>
      <c r="C1602" s="219" t="inlineStr">
        <is>
          <t>Reject shipment</t>
        </is>
      </c>
      <c r="D1602" s="216">
        <f>IFERROR(__xludf.DUMMYFUNCTION("GOOGLETRANSLATE(B1602,""vi"",""km"")"),"បដិសេធការបញ្ជាទិញ។")</f>
        <v/>
      </c>
      <c r="E1602" s="3" t="inlineStr">
        <is>
          <t>បដិសេធ</t>
        </is>
      </c>
      <c r="F1602" s="3" t="n"/>
      <c r="G1602" s="3" t="inlineStr">
        <is>
          <t>បដិសេធ</t>
        </is>
      </c>
      <c r="H1602" t="inlineStr">
        <is>
          <t>បដិសេធ</t>
        </is>
      </c>
      <c r="I1602" s="217" t="inlineStr">
        <is>
          <t>"nhanHang.rejectOder": "បដិសេធ",</t>
        </is>
      </c>
      <c r="N1602" s="163" t="n"/>
    </row>
    <row r="1603" ht="15.75" customHeight="1" s="305">
      <c r="A1603" s="219" t="inlineStr">
        <is>
          <t>nhanHang.rejectOderSuccess</t>
        </is>
      </c>
      <c r="B1603" s="219" t="inlineStr">
        <is>
          <t>Từ chối đơn hàng thành công</t>
        </is>
      </c>
      <c r="C1603" s="219" t="inlineStr">
        <is>
          <t>Rejection successful</t>
        </is>
      </c>
      <c r="D1603" s="216">
        <f>IFERROR(__xludf.DUMMYFUNCTION("GOOGLETRANSLATE(B1603,""vi"",""km"")"),"ការបញ្ជាទិញត្រូវបានបដិសេធដោយជោគជ័យ។")</f>
        <v/>
      </c>
      <c r="E1603" s="3" t="n"/>
      <c r="F1603" s="3" t="n"/>
      <c r="G1603" s="3" t="inlineStr">
        <is>
          <t>ការបញ្ជាទិញត្រូវបានបដិសេធដោយជោគជ័យ។</t>
        </is>
      </c>
      <c r="H1603" t="inlineStr">
        <is>
          <t>ការបញ្ជាទិញត្រូវបានបដិសេធដោយជោគជ័យ។</t>
        </is>
      </c>
      <c r="I1603" s="217" t="inlineStr">
        <is>
          <t>"nhanHang.rejectOderSuccess": "ការបញ្ជាទិញត្រូវបានបដិសេធដោយជោគជ័យ។",</t>
        </is>
      </c>
      <c r="N1603" s="163" t="n"/>
    </row>
    <row r="1604" ht="15.75" customHeight="1" s="305">
      <c r="A1604" s="219" t="inlineStr">
        <is>
          <t>nhanHang.theCustomerScheduledAPickup</t>
        </is>
      </c>
      <c r="B1604" s="219" t="inlineStr">
        <is>
          <t>Khách hàng hẹn lấy lại</t>
        </is>
      </c>
      <c r="C1604" s="219" t="inlineStr">
        <is>
          <t>Reschedule pickup</t>
        </is>
      </c>
      <c r="D1604" s="216">
        <f>IFERROR(__xludf.DUMMYFUNCTION("GOOGLETRANSLATE(B1604,""vi"",""km"")"),"អតិថិជនបានកំណត់ពេលទទួល។")</f>
        <v/>
      </c>
      <c r="E1604" s="3" t="inlineStr">
        <is>
          <t>អតិថិជនណាត់មកយកវិញ</t>
        </is>
      </c>
      <c r="F1604" s="3" t="n"/>
      <c r="G1604" s="3" t="inlineStr">
        <is>
          <t>អតិថិជនណាត់មកយកវិញ</t>
        </is>
      </c>
      <c r="H1604" t="inlineStr">
        <is>
          <t>អតិថិជនណាត់មកយកវិញ</t>
        </is>
      </c>
      <c r="I1604" s="217" t="inlineStr">
        <is>
          <t>"nhanHang.theCustomerScheduledAPickup": "អតិថិជនណាត់មកយកវិញ",</t>
        </is>
      </c>
      <c r="N1604" s="163" t="n"/>
    </row>
    <row r="1605" ht="15.75" customHeight="1" s="305">
      <c r="A1605" s="219" t="inlineStr">
        <is>
          <t>nhanHang.titleReject</t>
        </is>
      </c>
      <c r="B1605" s="219" t="inlineStr">
        <is>
          <t>Bạn có xác nhận từ chối đơn hàng {{code}} không ?</t>
        </is>
      </c>
      <c r="C1605" s="219" t="inlineStr">
        <is>
          <t>Confirm reject shipment [{{code}}]?</t>
        </is>
      </c>
      <c r="D1605" s="216">
        <f>IFERROR(__xludf.DUMMYFUNCTION("GOOGLETRANSLATE(B1605,""vi"",""km"")"),"តើអ្នកបញ្ជាក់ពីការបដិសេធការបញ្ជាទិញ {{code}} ដែរឬទេ?")</f>
        <v/>
      </c>
      <c r="E1605" s="3" t="n"/>
      <c r="F1605" s="3" t="n"/>
      <c r="G1605" s="3" t="inlineStr">
        <is>
          <t>តើអ្នកបញ្ជាក់ពីការបដិសេធការបញ្ជាទិញ {{code}} ដែរឬទេ?</t>
        </is>
      </c>
      <c r="H1605" t="inlineStr">
        <is>
          <t>តើអ្នកបញ្ជាក់ពីការបដិសេធការបញ្ជាទិញ {{code}} ដែរឬទេ?</t>
        </is>
      </c>
      <c r="I1605" s="217" t="inlineStr">
        <is>
          <t>"nhanHang.titleReject": "តើអ្នកបញ្ជាក់ពីការបដិសេធការបញ្ជាទិញ {{code}} ដែរឬទេ?",</t>
        </is>
      </c>
      <c r="N1605" s="163" t="n"/>
    </row>
    <row r="1606" ht="15.75" customHeight="1" s="305">
      <c r="A1606" s="219" t="inlineStr">
        <is>
          <t>nhanHang.youNeedTakePhoto</t>
        </is>
      </c>
      <c r="B1606" s="219" t="inlineStr">
        <is>
          <t>Bạn cần chụp ảnh hàng từ chối</t>
        </is>
      </c>
      <c r="C1606" s="219" t="inlineStr">
        <is>
          <t>You need to take a photo of the rejected goods</t>
        </is>
      </c>
      <c r="D1606" s="216">
        <f>IFERROR(__xludf.DUMMYFUNCTION("GOOGLETRANSLATE(B1606,""vi"",""km"")"),"អ្នកត្រូវថតរូបវត្ថុដែលត្រូវបានបដិសេធ។")</f>
        <v/>
      </c>
      <c r="E1606" s="3" t="inlineStr">
        <is>
          <t>អ្នកត្រូវថតរូបអីវ៉ាន់ដែលបានបដិសេធ</t>
        </is>
      </c>
      <c r="F1606" s="3" t="n"/>
      <c r="G1606" s="3" t="inlineStr">
        <is>
          <t>អ្នកត្រូវថតរូបអីវ៉ាន់ដែលបានបដិសេធ</t>
        </is>
      </c>
      <c r="H1606" t="inlineStr">
        <is>
          <t>អ្នកត្រូវថតរូបអីវ៉ាន់ដែលបានបដិសេធ</t>
        </is>
      </c>
      <c r="I1606" s="217" t="inlineStr">
        <is>
          <t>"nhanHang.youNeedTakePhoto": "អ្នកត្រូវថតរូបអីវ៉ាន់ដែលបានបដិសេធ",</t>
        </is>
      </c>
      <c r="N1606" s="163" t="n"/>
    </row>
    <row r="1607" ht="15.75" customHeight="1" s="305">
      <c r="A1607" s="219" t="inlineStr">
        <is>
          <t>tms.checkoutConfirm</t>
        </is>
      </c>
      <c r="B1607" s="219" t="inlineStr">
        <is>
          <t>Bạn có muốn checkout điểm {{name}} này không?</t>
        </is>
      </c>
      <c r="C1607" s="219" t="inlineStr">
        <is>
          <t>Do you want to check out of {{name}}?</t>
        </is>
      </c>
      <c r="D1607" s="216">
        <f>IFERROR(__xludf.DUMMYFUNCTION("GOOGLETRANSLATE(B1607,""vi"",""km"")"),"តើអ្នកចង់ទូទាត់ប្រាក់ពីចំណុច {{name}} នេះទេ?")</f>
        <v/>
      </c>
      <c r="E1607" s="3" t="n"/>
      <c r="F1607" s="3" t="n"/>
      <c r="G1607" s="3" t="inlineStr">
        <is>
          <t>តើអ្នកចង់ទូទាត់ប្រាក់ពីចំណុច {{name}} នេះទេ?</t>
        </is>
      </c>
      <c r="H1607" t="inlineStr">
        <is>
          <t>តើអ្នកចង់ទូទាត់ប្រាក់ពីចំណុច {{name}} នេះទេ?</t>
        </is>
      </c>
      <c r="I1607" s="217" t="inlineStr">
        <is>
          <t>"tms.checkoutConfirm": "តើអ្នកចង់ទូទាត់ប្រាក់ពីចំណុច {{name}} នេះទេ?",</t>
        </is>
      </c>
      <c r="N1607" s="163" t="n"/>
    </row>
    <row r="1608" ht="15.75" customHeight="1" s="305">
      <c r="A1608" s="219" t="inlineStr">
        <is>
          <t>tms.checkoutWarning</t>
        </is>
      </c>
      <c r="B1608" s="219" t="inlineStr">
        <is>
          <t>Trên lộ trình chuyến của bạn vẫn còn {{count}} chưa thực hiện checkin/ checkout. Vui lòng checkin và checkout đầy đủ!</t>
        </is>
      </c>
      <c r="C1608" s="219" t="inlineStr">
        <is>
          <t>In your delivery route, there are still {{count}} locations that have not been checked in/out. Please complete all check-ins and check-outs.</t>
        </is>
      </c>
      <c r="D1608" s="216">
        <f>IFERROR(__xludf.DUMMYFUNCTION("GOOGLETRANSLATE(B1608,""vi"",""km"")"),"នៅមានជើងហោះហើររបស់អ្នកដែលនៅសល់ចំនួន {{count}} ដែលមិនទាន់បានចូល/ចេញនៅឡើយ។ សូមបំពេញដំណើរការចូល និងចេញ!")</f>
        <v/>
      </c>
      <c r="E1608" s="3" t="inlineStr">
        <is>
          <t>នៅក្នុងផែនទីធ្វើដំណើររបស់អ្នក នៅសល់ {{count}} ដែលមិនទាន់បាន Check-in/Check-out។ សូមមេត្តាធ្វើការ Check-in និង Check-out ឱ្យបានគ្រប់ជ្រុងជ្រោយ!</t>
        </is>
      </c>
      <c r="F1608" s="3" t="n"/>
      <c r="G1608" s="3" t="inlineStr">
        <is>
          <t>នៅក្នុងផែនទីធ្វើដំណើររបស់អ្នក នៅសល់ {{count}} ដែលមិនទាន់បាន Check-in/Check-out។ សូមមេត្តាធ្វើការ Check-in និង Check-out ឱ្យបានគ្រប់ជ្រុងជ្រោយ!</t>
        </is>
      </c>
      <c r="H1608" t="inlineStr">
        <is>
          <t>នៅក្នុងផែនទីធ្វើដំណើររបស់អ្នក នៅសល់ {{count}} ដែលមិនទាន់បាន Check-in/Check-out។ សូមមេត្តាធ្វើការ Check-in និង Check-out ឱ្យបានគ្រប់ជ្រុងជ្រោយ!</t>
        </is>
      </c>
      <c r="I1608" s="217" t="inlineStr">
        <is>
          <t>"tms.checkoutWarning": "នៅក្នុងផែនទីធ្វើដំណើររបស់អ្នក នៅសល់ {{count}} ដែលមិនទាន់បាន Check-in/Check-out។ សូមមេត្តាធ្វើការ Check-in និង Check-out ឱ្យបានគ្រប់ជ្រុងជ្រោយ!",</t>
        </is>
      </c>
      <c r="N1608" s="163" t="n"/>
    </row>
    <row r="1609" ht="15.75" customHeight="1" s="305">
      <c r="A1609" s="219" t="inlineStr">
        <is>
          <t>tms.taiTrucTiep</t>
        </is>
      </c>
      <c r="B1609" s="219" t="inlineStr">
        <is>
          <t>Tải trực tiếp</t>
        </is>
      </c>
      <c r="C1609" s="219" t="inlineStr">
        <is>
          <t>Direct sack</t>
        </is>
      </c>
      <c r="D1609" s="216">
        <f>IFERROR(__xludf.DUMMYFUNCTION("GOOGLETRANSLATE(B1609,""vi"",""km"")"),"ទាញយកដោយផ្ទាល់")</f>
        <v/>
      </c>
      <c r="E1609" s="3" t="inlineStr">
        <is>
          <t>ទាញយកដោយផ្ទាល់</t>
        </is>
      </c>
      <c r="F1609" s="3" t="n"/>
      <c r="G1609" s="3" t="inlineStr">
        <is>
          <t>បាវដឹកផ្ទាល់</t>
        </is>
      </c>
      <c r="H1609" t="inlineStr">
        <is>
          <t>បាវដឹកផ្ទាល់</t>
        </is>
      </c>
      <c r="I1609" s="217" t="inlineStr">
        <is>
          <t>"tms.taiTrucTiep": "បាវដឹកផ្ទាល់",</t>
        </is>
      </c>
      <c r="N1609" s="163" t="n"/>
    </row>
    <row r="1610" ht="15.75" customHeight="1" s="305">
      <c r="A1610" s="219" t="inlineStr">
        <is>
          <t>thunhap.buuCucGoc</t>
        </is>
      </c>
      <c r="B1610" s="219" t="inlineStr">
        <is>
          <t>Bưu cục gốc:</t>
        </is>
      </c>
      <c r="C1610" s="219" t="inlineStr">
        <is>
          <t>Origin post office:</t>
        </is>
      </c>
      <c r="D1610" s="216">
        <f>IFERROR(__xludf.DUMMYFUNCTION("GOOGLETRANSLATE(B1610,""vi"",""km"")"),"ការិយាល័យប្រៃសណីយ៍ដើម៖")</f>
        <v/>
      </c>
      <c r="E1610" s="3" t="inlineStr">
        <is>
          <t>ការិយាល័យប្រៃសណីយ៍ដើម៖</t>
        </is>
      </c>
      <c r="F1610" s="3" t="n"/>
      <c r="G1610" s="3" t="inlineStr">
        <is>
          <t>ការិយាល័យប្រៃសណីយ៍ដើម៖</t>
        </is>
      </c>
      <c r="H1610" t="inlineStr">
        <is>
          <t>ការិយាល័យប្រៃសណីយ៍ដើម៖</t>
        </is>
      </c>
      <c r="I1610" s="217" t="inlineStr">
        <is>
          <t>"thunhap.buuCucGoc": "ការិយាល័យប្រៃសណីយ៍ដើម៖",</t>
        </is>
      </c>
      <c r="N1610" s="163" t="n"/>
    </row>
    <row r="1611" ht="15.75" customHeight="1" s="305">
      <c r="A1611" s="219" t="inlineStr">
        <is>
          <t>thunhap.buuCucPhat</t>
        </is>
      </c>
      <c r="B1611" s="219" t="inlineStr">
        <is>
          <t>Bưu cục phát:</t>
        </is>
      </c>
      <c r="C1611" s="219" t="inlineStr">
        <is>
          <t>Delivery post office:</t>
        </is>
      </c>
      <c r="D1611" s="216">
        <f>IFERROR(__xludf.DUMMYFUNCTION("GOOGLETRANSLATE(B1611,""vi"",""km"")"),"ការិយាល័យប្រៃសណីយ៍ដឹកជញ្ជូន៖")</f>
        <v/>
      </c>
      <c r="E1611" s="3" t="inlineStr">
        <is>
          <t>ការិយាល័យប្រៃសណីយ៍ដឹកជញ្ជូន៖</t>
        </is>
      </c>
      <c r="F1611" s="3" t="n"/>
      <c r="G1611" s="3" t="inlineStr">
        <is>
          <t>ការិយាល័យប្រៃសណីយ៍ដឹកជញ្ជូន៖</t>
        </is>
      </c>
      <c r="H1611" t="inlineStr">
        <is>
          <t>ការិយាល័យប្រៃសណីយ៍ដឹកជញ្ជូន៖</t>
        </is>
      </c>
      <c r="I1611" s="217" t="inlineStr">
        <is>
          <t>"thunhap.buuCucPhat": "ការិយាល័យប្រៃសណីយ៍ដឹកជញ្ជូន៖",</t>
        </is>
      </c>
      <c r="N1611" s="163" t="n"/>
    </row>
    <row r="1612" ht="15.75" customHeight="1" s="305">
      <c r="A1612" s="219" t="inlineStr">
        <is>
          <t>thunhap.cod</t>
        </is>
      </c>
      <c r="B1612" s="219" t="inlineStr">
        <is>
          <t>Thu hộ:</t>
        </is>
      </c>
      <c r="C1612" s="219" t="inlineStr">
        <is>
          <t>COD:</t>
        </is>
      </c>
      <c r="D1612" s="216">
        <f>IFERROR(__xludf.DUMMYFUNCTION("GOOGLETRANSLATE(B1612,""vi"",""km"")"),"ការប្រមូលការទូទាត់៖")</f>
        <v/>
      </c>
      <c r="E1612" s="3" t="inlineStr">
        <is>
          <t>សេវាប្រមូលប្រាក់ជំនួស</t>
        </is>
      </c>
      <c r="F1612" s="3" t="n"/>
      <c r="G1612" s="3" t="inlineStr">
        <is>
          <t>សេវាប្រមូលប្រាក់ជំនួស</t>
        </is>
      </c>
      <c r="H1612" t="inlineStr">
        <is>
          <t>សេវាប្រមូលប្រាក់ជំនួស</t>
        </is>
      </c>
      <c r="I1612" s="217" t="inlineStr">
        <is>
          <t>"thunhap.cod": "សេវាប្រមូលប្រាក់ជំនួស",</t>
        </is>
      </c>
      <c r="N1612" s="163" t="n"/>
    </row>
    <row r="1613" ht="15.75" customHeight="1" s="305">
      <c r="A1613" s="219" t="inlineStr">
        <is>
          <t>thunhap.cuocSauThue</t>
        </is>
      </c>
      <c r="B1613" s="219" t="inlineStr">
        <is>
          <t>Cước sau thuế:</t>
        </is>
      </c>
      <c r="C1613" s="219" t="inlineStr">
        <is>
          <t>Fee after tax:</t>
        </is>
      </c>
      <c r="D1613" s="216">
        <f>IFERROR(__xludf.DUMMYFUNCTION("GOOGLETRANSLATE(B1613,""vi"",""km"")"),"ថ្លៃសេវាបន្ទាប់ពីបង់ពន្ធ៖")</f>
        <v/>
      </c>
      <c r="E1613" s="3" t="inlineStr">
        <is>
          <t>ថ្លៃសេវាបន្ទាប់ពីបង់ពន្ធ៖</t>
        </is>
      </c>
      <c r="F1613" s="3" t="n"/>
      <c r="G1613" s="3" t="inlineStr">
        <is>
          <t>ថ្លៃសេវាបន្ទាប់ពីបង់ពន្ធ៖</t>
        </is>
      </c>
      <c r="H1613" t="inlineStr">
        <is>
          <t>ថ្លៃសេវាបន្ទាប់ពីបង់ពន្ធ៖</t>
        </is>
      </c>
      <c r="I1613" s="217" t="inlineStr">
        <is>
          <t>"thunhap.cuocSauThue": "ថ្លៃសេវាបន្ទាប់ពីបង់ពន្ធ៖",</t>
        </is>
      </c>
      <c r="N1613" s="163" t="n"/>
    </row>
    <row r="1614" ht="15.75" customHeight="1" s="305">
      <c r="A1614" s="219" t="inlineStr">
        <is>
          <t>thunhap.cuocTruocThue</t>
        </is>
      </c>
      <c r="B1614" s="219" t="inlineStr">
        <is>
          <t>Cước trước thuế:</t>
        </is>
      </c>
      <c r="C1614" s="219" t="inlineStr">
        <is>
          <t>Fee before tax:</t>
        </is>
      </c>
      <c r="D1614" s="216">
        <f>IFERROR(__xludf.DUMMYFUNCTION("GOOGLETRANSLATE(B1614,""vi"",""km"")"),"តម្លៃមុនពន្ធ៖")</f>
        <v/>
      </c>
      <c r="E1614" s="3" t="inlineStr">
        <is>
          <t>ថ្លៃសេវាមុនពន្ធ៖</t>
        </is>
      </c>
      <c r="F1614" s="3" t="n"/>
      <c r="G1614" s="3" t="inlineStr">
        <is>
          <t>ថ្លៃសេវាមុនពន្ធ៖</t>
        </is>
      </c>
      <c r="H1614" t="inlineStr">
        <is>
          <t>ថ្លៃសេវាមុនពន្ធ៖</t>
        </is>
      </c>
      <c r="I1614" s="217" t="inlineStr">
        <is>
          <t>"thunhap.cuocTruocThue": "ថ្លៃសេវាមុនពន្ធ៖",</t>
        </is>
      </c>
      <c r="N1614" s="163" t="n"/>
    </row>
    <row r="1615" ht="15.75" customHeight="1" s="305">
      <c r="A1615" s="219" t="inlineStr">
        <is>
          <t>thunhap.customRangeTooLong</t>
        </is>
      </c>
      <c r="B1615" s="219" t="inlineStr">
        <is>
          <t>Khoảng thời gian không được vượt quá 31 ngày</t>
        </is>
      </c>
      <c r="C1615" s="219" t="inlineStr">
        <is>
          <t>Time range must not exceed 31 days</t>
        </is>
      </c>
      <c r="D1615" s="216">
        <f>IFERROR(__xludf.DUMMYFUNCTION("GOOGLETRANSLATE(B1615,""vi"",""km"")"),"រយៈពេលនេះមិនត្រូវលើសពី 31 ថ្ងៃ។")</f>
        <v/>
      </c>
      <c r="E1615" s="3" t="inlineStr">
        <is>
          <t>រយៈពេលមិនត្រូវលើសពី ៣១ ថ្ងៃឡើយ។</t>
        </is>
      </c>
      <c r="F1615" s="3" t="n"/>
      <c r="G1615" s="3" t="inlineStr">
        <is>
          <t>រយៈពេលមិនត្រូវលើសពី ៣១ ថ្ងៃឡើយ។</t>
        </is>
      </c>
      <c r="H1615" t="inlineStr">
        <is>
          <t>រយៈពេលមិនត្រូវលើសពី ៣១ ថ្ងៃឡើយ។</t>
        </is>
      </c>
      <c r="I1615" s="217" t="inlineStr">
        <is>
          <t>"thunhap.customRangeTooLong": "រយៈពេលមិនត្រូវលើសពី ៣១ ថ្ងៃឡើយ។",</t>
        </is>
      </c>
      <c r="N1615" s="163" t="n"/>
    </row>
    <row r="1616" ht="15.75" customHeight="1" s="305">
      <c r="A1616" s="219" t="inlineStr">
        <is>
          <t>thunhap.customTimeHint</t>
        </is>
      </c>
      <c r="B1616" s="219" t="inlineStr">
        <is>
          <t>Vui lòng chọn khoảng thời gian, tối đa trong 31 ngày</t>
        </is>
      </c>
      <c r="C1616" s="219" t="inlineStr">
        <is>
          <t>Please select a time range, maximum 31 days</t>
        </is>
      </c>
      <c r="D1616" s="216">
        <f>IFERROR(__xludf.DUMMYFUNCTION("GOOGLETRANSLATE(B1616,""vi"",""km"")"),"សូមជ្រើសរើសរយៈពេលមួយ រហូតដល់អតិបរមា 31 ថ្ងៃ។")</f>
        <v/>
      </c>
      <c r="E1616" s="3" t="inlineStr">
        <is>
          <t>សូមជ្រើសរើសចពេលវាលា យ៉ាងយូរត្រឹម ៣១ ថ្ងៃ។</t>
        </is>
      </c>
      <c r="F1616" s="3" t="n"/>
      <c r="G1616" s="3" t="inlineStr">
        <is>
          <t>សូមជ្រើសរើសចពេលវាលា យ៉ាងយូរត្រឹម ៣១ ថ្ងៃ។</t>
        </is>
      </c>
      <c r="H1616" t="inlineStr">
        <is>
          <t>សូមជ្រើសរើសចពេលវាលា យ៉ាងយូរត្រឹម ៣១ ថ្ងៃ។</t>
        </is>
      </c>
      <c r="I1616" s="217" t="inlineStr">
        <is>
          <t>"thunhap.customTimeHint": "សូមជ្រើសរើសចពេលវាលា យ៉ាងយូរត្រឹម ៣១ ថ្ងៃ។",</t>
        </is>
      </c>
      <c r="N1616" s="163" t="n"/>
    </row>
    <row r="1617" ht="15.75" customHeight="1" s="305">
      <c r="A1617" s="219" t="inlineStr">
        <is>
          <t>thunhap.customTimeTitle</t>
        </is>
      </c>
      <c r="B1617" s="219" t="inlineStr">
        <is>
          <t>Tuỳ chọn thời gian</t>
        </is>
      </c>
      <c r="C1617" s="219" t="inlineStr">
        <is>
          <t>Custom Time Range</t>
        </is>
      </c>
      <c r="D1617" s="216">
        <f>IFERROR(__xludf.DUMMYFUNCTION("GOOGLETRANSLATE(B1617,""vi"",""km"")"),"ជម្រើសពេលវេលា")</f>
        <v/>
      </c>
      <c r="E1617" s="3" t="inlineStr">
        <is>
          <t>ជម្រើសពេលវេលា</t>
        </is>
      </c>
      <c r="F1617" s="3" t="n"/>
      <c r="G1617" s="3" t="inlineStr">
        <is>
          <t>ជម្រើសពេលវេលា</t>
        </is>
      </c>
      <c r="H1617" t="inlineStr">
        <is>
          <t>ជម្រើសពេលវេលា</t>
        </is>
      </c>
      <c r="I1617" s="217" t="inlineStr">
        <is>
          <t>"thunhap.customTimeTitle": "ជម្រើសពេលវេលា",</t>
        </is>
      </c>
      <c r="N1617" s="163" t="n"/>
    </row>
    <row r="1618" ht="15.75" customHeight="1" s="305">
      <c r="A1618" s="219" t="inlineStr">
        <is>
          <t>thunhap.deliveryListSummary</t>
        </is>
      </c>
      <c r="B1618" s="219" t="inlineStr">
        <is>
          <t>{{count}} bản ghi - {{amount}}</t>
        </is>
      </c>
      <c r="C1618" s="219" t="inlineStr">
        <is>
          <t>{{count}} records - {{amount}}</t>
        </is>
      </c>
      <c r="D1618" s="216">
        <f>IFERROR(__xludf.DUMMYFUNCTION("GOOGLETRANSLATE(B1618,""vi"",""km"")"),"កំណត់ត្រា {{count}} - {{amount}}")</f>
        <v/>
      </c>
      <c r="E1618" s="3" t="inlineStr">
        <is>
          <t xml:space="preserve">
{{count}} កំណត់ត្រា - {{amount}}</t>
        </is>
      </c>
      <c r="F1618" s="3" t="n"/>
      <c r="G1618" s="3" t="inlineStr">
        <is>
          <t>{{count}} កំណត់ត្រា - {{amount}}</t>
        </is>
      </c>
      <c r="H1618" t="inlineStr">
        <is>
          <t>{{count}} កំណត់ត្រា - {{amount}}</t>
        </is>
      </c>
      <c r="I1618" s="217" t="inlineStr">
        <is>
          <t>"thunhap.deliveryListSummary": "{{count}} កំណត់ត្រា - {{amount}}",</t>
        </is>
      </c>
      <c r="N1618" s="163" t="n"/>
    </row>
    <row r="1619" ht="15.75" customHeight="1" s="305">
      <c r="A1619" s="219" t="inlineStr">
        <is>
          <t>thunhap.dichVuChinh</t>
        </is>
      </c>
      <c r="B1619" s="219" t="inlineStr">
        <is>
          <t>Dịch vụ chính:</t>
        </is>
      </c>
      <c r="C1619" s="219" t="inlineStr">
        <is>
          <t>Main service:</t>
        </is>
      </c>
      <c r="D1619" s="216">
        <f>IFERROR(__xludf.DUMMYFUNCTION("GOOGLETRANSLATE(B1619,""vi"",""km"")"),"សេវាកម្មសំខាន់ៗ៖")</f>
        <v/>
      </c>
      <c r="E1619" s="3" t="inlineStr">
        <is>
          <t>សេវាកម្មចម្បង៖</t>
        </is>
      </c>
      <c r="F1619" s="3" t="n"/>
      <c r="G1619" s="3" t="inlineStr">
        <is>
          <t>សេវាកម្មចម្បង៖</t>
        </is>
      </c>
      <c r="H1619" t="inlineStr">
        <is>
          <t>សេវាកម្មចម្បង៖</t>
        </is>
      </c>
      <c r="I1619" s="217" t="inlineStr">
        <is>
          <t>"thunhap.dichVuChinh": "សេវាកម្មចម្បង៖",</t>
        </is>
      </c>
      <c r="N1619" s="163" t="n"/>
    </row>
    <row r="1620" ht="15.75" customHeight="1" s="305">
      <c r="A1620" s="219" t="inlineStr">
        <is>
          <t>thunhap.dichVuKhac</t>
        </is>
      </c>
      <c r="B1620" s="219" t="inlineStr">
        <is>
          <t>Dịch vụ khác:</t>
        </is>
      </c>
      <c r="C1620" s="219" t="inlineStr">
        <is>
          <t>Other services:</t>
        </is>
      </c>
      <c r="D1620" s="216">
        <f>IFERROR(__xludf.DUMMYFUNCTION("GOOGLETRANSLATE(B1620,""vi"",""km"")"),"សេវាកម្មផ្សេងទៀត៖")</f>
        <v/>
      </c>
      <c r="E1620" s="3" t="inlineStr">
        <is>
          <t>សេវាកម្មផ្សេងៗទៀត៖</t>
        </is>
      </c>
      <c r="F1620" s="3" t="n"/>
      <c r="G1620" s="3" t="inlineStr">
        <is>
          <t>សេវាកម្មផ្សេងៗទៀត៖</t>
        </is>
      </c>
      <c r="H1620" t="inlineStr">
        <is>
          <t>សេវាកម្មផ្សេងៗទៀត៖</t>
        </is>
      </c>
      <c r="I1620" s="217" t="inlineStr">
        <is>
          <t>"thunhap.dichVuKhac": "សេវាកម្មផ្សេងៗទៀត៖",</t>
        </is>
      </c>
      <c r="N1620" s="163" t="n"/>
    </row>
    <row r="1621" ht="15.75" customHeight="1" s="305">
      <c r="A1621" s="219" t="inlineStr">
        <is>
          <t>thunhap.don</t>
        </is>
      </c>
      <c r="B1621" s="219" t="inlineStr">
        <is>
          <t>{{value}} đơn</t>
        </is>
      </c>
      <c r="C1621" s="219" t="inlineStr">
        <is>
          <t>{{value}} orders</t>
        </is>
      </c>
      <c r="D1621" s="216">
        <f>IFERROR(__xludf.DUMMYFUNCTION("GOOGLETRANSLATE(B1621,""vi"",""km"")"),"តែមួយ {{value}}")</f>
        <v/>
      </c>
      <c r="E1621" s="3" t="inlineStr">
        <is>
          <t>{{value}} អីវ៉ាន់</t>
        </is>
      </c>
      <c r="F1621" s="3" t="n"/>
      <c r="G1621" s="3" t="inlineStr">
        <is>
          <t>{{value}} អីវ៉ាន់</t>
        </is>
      </c>
      <c r="H1621" t="inlineStr">
        <is>
          <t>{{value}} អីវ៉ាន់</t>
        </is>
      </c>
      <c r="I1621" s="217" t="inlineStr">
        <is>
          <t>"thunhap.don": "{{value}} អីវ៉ាន់",</t>
        </is>
      </c>
      <c r="N1621" s="163" t="n"/>
    </row>
    <row r="1622" ht="15.75" customHeight="1" s="305">
      <c r="A1622" s="219" t="inlineStr">
        <is>
          <t>thunhap.filterTimeTitle</t>
        </is>
      </c>
      <c r="B1622" s="219" t="inlineStr">
        <is>
          <t>Bộ lọc thời gian</t>
        </is>
      </c>
      <c r="C1622" s="219" t="inlineStr">
        <is>
          <t>Time Filter</t>
        </is>
      </c>
      <c r="D1622" s="216">
        <f>IFERROR(__xludf.DUMMYFUNCTION("GOOGLETRANSLATE(B1622,""vi"",""km"")"),"តម្រងពេលវេលា")</f>
        <v/>
      </c>
      <c r="E1622" s="3" t="inlineStr">
        <is>
          <t>ចម្រាញ់ពេលវេលា</t>
        </is>
      </c>
      <c r="F1622" s="3" t="n"/>
      <c r="G1622" s="3" t="inlineStr">
        <is>
          <t>ចម្រាញ់ពេលវេលា</t>
        </is>
      </c>
      <c r="H1622" t="inlineStr">
        <is>
          <t>ចម្រាញ់ពេលវេលា</t>
        </is>
      </c>
      <c r="I1622" s="217" t="inlineStr">
        <is>
          <t>"thunhap.filterTimeTitle": "ចម្រាញ់ពេលវេលា",</t>
        </is>
      </c>
      <c r="N1622" s="163" t="n"/>
    </row>
    <row r="1623" ht="15.75" customHeight="1" s="305">
      <c r="A1623" s="219" t="inlineStr">
        <is>
          <t>thunhap.giao</t>
        </is>
      </c>
      <c r="B1623" s="219" t="inlineStr">
        <is>
          <t>Giao:</t>
        </is>
      </c>
      <c r="C1623" s="219" t="inlineStr">
        <is>
          <t>Delivery:</t>
        </is>
      </c>
      <c r="D1623" s="216">
        <f>IFERROR(__xludf.DUMMYFUNCTION("GOOGLETRANSLATE(B1623,""vi"",""km"")"),"ដឹកជញ្ជូន៖")</f>
        <v/>
      </c>
      <c r="E1623" s="3" t="inlineStr">
        <is>
          <t>ដឹកជញ្ជូន៖</t>
        </is>
      </c>
      <c r="F1623" s="3" t="n"/>
      <c r="G1623" s="3" t="inlineStr">
        <is>
          <t>ដឹកជញ្ជូន៖</t>
        </is>
      </c>
      <c r="H1623" t="inlineStr">
        <is>
          <t>ដឹកជញ្ជូន៖</t>
        </is>
      </c>
      <c r="I1623" s="217" t="inlineStr">
        <is>
          <t>"thunhap.giao": "ដឹកជញ្ជូន៖",</t>
        </is>
      </c>
      <c r="N1623" s="163" t="n"/>
    </row>
    <row r="1624" ht="15.75" customHeight="1" s="305">
      <c r="A1624" s="219" t="inlineStr">
        <is>
          <t>thunhap.giaoHang</t>
        </is>
      </c>
      <c r="B1624" s="219" t="inlineStr">
        <is>
          <t>Giao hàng</t>
        </is>
      </c>
      <c r="C1624" s="219" t="inlineStr">
        <is>
          <t>Delivery</t>
        </is>
      </c>
      <c r="D1624" s="216">
        <f>IFERROR(__xludf.DUMMYFUNCTION("GOOGLETRANSLATE(B1624,""vi"",""km"")"),"ការដឹកជញ្ជូន")</f>
        <v/>
      </c>
      <c r="E1624" s="3" t="inlineStr">
        <is>
          <t>ការដឹកជញ្ជូន</t>
        </is>
      </c>
      <c r="F1624" s="3" t="n"/>
      <c r="G1624" s="3" t="inlineStr">
        <is>
          <t>ការដឹកជញ្ជូន</t>
        </is>
      </c>
      <c r="H1624" t="inlineStr">
        <is>
          <t>ការដឹកជញ្ជូន</t>
        </is>
      </c>
      <c r="I1624" s="217" t="inlineStr">
        <is>
          <t>"thunhap.giaoHang": "ការដឹកជញ្ជូន",</t>
        </is>
      </c>
      <c r="N1624" s="163" t="n"/>
    </row>
    <row r="1625" ht="15.75" customHeight="1" s="305">
      <c r="A1625" s="219" t="inlineStr">
        <is>
          <t>thunhap.income</t>
        </is>
      </c>
      <c r="B1625" s="219" t="inlineStr">
        <is>
          <t>Thu nhập của tôi</t>
        </is>
      </c>
      <c r="C1625" s="219" t="inlineStr">
        <is>
          <t>My Income</t>
        </is>
      </c>
      <c r="D1625" s="216">
        <f>IFERROR(__xludf.DUMMYFUNCTION("GOOGLETRANSLATE(B1625,""vi"",""km"")"),"ប្រាក់ចំណូលរបស់ខ្ញុំ")</f>
        <v/>
      </c>
      <c r="E1625" s="3" t="inlineStr">
        <is>
          <t>ប្រាក់ចំណូលរបស់ខ្ញុំ</t>
        </is>
      </c>
      <c r="F1625" s="3" t="n"/>
      <c r="G1625" s="3" t="inlineStr">
        <is>
          <t>ប្រាក់ចំណូលរបស់ខ្ញុំ</t>
        </is>
      </c>
      <c r="H1625" t="inlineStr">
        <is>
          <t>ប្រាក់ចំណូលរបស់ខ្ញុំ</t>
        </is>
      </c>
      <c r="I1625" s="217" t="inlineStr">
        <is>
          <t>"thunhap.income": "ប្រាក់ចំណូលរបស់ខ្ញុំ",</t>
        </is>
      </c>
      <c r="N1625" s="163" t="n"/>
    </row>
    <row r="1626" ht="15.75" customHeight="1" s="305">
      <c r="A1626" s="219" t="inlineStr">
        <is>
          <t>thunhap.incomeDayDetail</t>
        </is>
      </c>
      <c r="B1626" s="219" t="inlineStr">
        <is>
          <t>Thu nhập ngày {{date}}</t>
        </is>
      </c>
      <c r="C1626" s="219" t="inlineStr">
        <is>
          <t>Income on {{date}}</t>
        </is>
      </c>
      <c r="D1626" s="216">
        <f>IFERROR(__xludf.DUMMYFUNCTION("GOOGLETRANSLATE(B1626,""vi"",""km"")"),"ប្រាក់ចំណូលនៅថ្ងៃទី {{date}}")</f>
        <v/>
      </c>
      <c r="E1626" s="3" t="inlineStr">
        <is>
          <t>ប្រាក់ចំណូលនៅថ្ងៃទី {{date}}</t>
        </is>
      </c>
      <c r="F1626" s="3" t="n"/>
      <c r="G1626" s="3" t="inlineStr">
        <is>
          <t>ប្រាក់ចំណូលនៅថ្ងៃទី {{date}}</t>
        </is>
      </c>
      <c r="H1626" t="inlineStr">
        <is>
          <t>ប្រាក់ចំណូលនៅថ្ងៃទី {{date}}</t>
        </is>
      </c>
      <c r="I1626" s="217" t="inlineStr">
        <is>
          <t>"thunhap.incomeDayDetail": "ប្រាក់ចំណូលនៅថ្ងៃទី {{date}}",</t>
        </is>
      </c>
      <c r="N1626" s="163" t="n"/>
    </row>
    <row r="1627" ht="15.75" customHeight="1" s="305">
      <c r="A1627" s="219" t="inlineStr">
        <is>
          <t>thunhap.incomeDetail</t>
        </is>
      </c>
      <c r="B1627" s="219" t="inlineStr">
        <is>
          <t>Chi tiết thu nhập</t>
        </is>
      </c>
      <c r="C1627" s="219" t="inlineStr">
        <is>
          <t>Income Details</t>
        </is>
      </c>
      <c r="D1627" s="216">
        <f>IFERROR(__xludf.DUMMYFUNCTION("GOOGLETRANSLATE(B1627,""vi"",""km"")"),"ព័ត៌មានលម្អិតអំពីប្រាក់ចំណូល")</f>
        <v/>
      </c>
      <c r="E1627" s="3" t="inlineStr">
        <is>
          <t>ព័ត៌មានលម្អិតអំពីប្រាក់ចំណូល</t>
        </is>
      </c>
      <c r="F1627" s="3" t="n"/>
      <c r="G1627" s="3" t="inlineStr">
        <is>
          <t>ព័ត៌មានលម្អិតអំពីប្រាក់ចំណូល</t>
        </is>
      </c>
      <c r="H1627" t="inlineStr">
        <is>
          <t>ព័ត៌មានលម្អិតអំពីប្រាក់ចំណូល</t>
        </is>
      </c>
      <c r="I1627" s="217" t="inlineStr">
        <is>
          <t>"thunhap.incomeDetail": "ព័ត៌មានលម្អិតអំពីប្រាក់ចំណូល",</t>
        </is>
      </c>
      <c r="N1627" s="163" t="n"/>
    </row>
    <row r="1628" ht="15.75" customHeight="1" s="305">
      <c r="A1628" s="219" t="inlineStr">
        <is>
          <t>thunhap.lastMonth</t>
        </is>
      </c>
      <c r="B1628" s="219" t="inlineStr">
        <is>
          <t>Tháng trước</t>
        </is>
      </c>
      <c r="C1628" s="219" t="inlineStr">
        <is>
          <t>Last Month</t>
        </is>
      </c>
      <c r="D1628" s="216">
        <f>IFERROR(__xludf.DUMMYFUNCTION("GOOGLETRANSLATE(B1628,""vi"",""km"")"),"ខែមុន")</f>
        <v/>
      </c>
      <c r="E1628" s="3" t="inlineStr">
        <is>
          <t>ខែមុន</t>
        </is>
      </c>
      <c r="F1628" s="3" t="n"/>
      <c r="G1628" s="3" t="inlineStr">
        <is>
          <t>ខែមុន</t>
        </is>
      </c>
      <c r="H1628" t="inlineStr">
        <is>
          <t>ខែមុន</t>
        </is>
      </c>
      <c r="I1628" s="217" t="inlineStr">
        <is>
          <t>"thunhap.lastMonth": "ខែមុន",</t>
        </is>
      </c>
      <c r="N1628" s="163" t="n"/>
    </row>
    <row r="1629" ht="15.75" customHeight="1" s="305">
      <c r="A1629" s="219" t="inlineStr">
        <is>
          <t>thunhap.lastWeek</t>
        </is>
      </c>
      <c r="B1629" s="219" t="inlineStr">
        <is>
          <t>Tuần trước</t>
        </is>
      </c>
      <c r="C1629" s="219" t="inlineStr">
        <is>
          <t>Last Week</t>
        </is>
      </c>
      <c r="D1629" s="216">
        <f>IFERROR(__xludf.DUMMYFUNCTION("GOOGLETRANSLATE(B1629,""vi"",""km"")"),"សប្តាហ៍មុន")</f>
        <v/>
      </c>
      <c r="E1629" s="3" t="inlineStr">
        <is>
          <t>សប្តាហ៍មុន</t>
        </is>
      </c>
      <c r="F1629" s="3" t="n"/>
      <c r="G1629" s="3" t="inlineStr">
        <is>
          <t>សប្តាហ៍មុន</t>
        </is>
      </c>
      <c r="H1629" t="inlineStr">
        <is>
          <t>សប្តាហ៍មុន</t>
        </is>
      </c>
      <c r="I1629" s="217" t="inlineStr">
        <is>
          <t>"thunhap.lastWeek": "សប្តាហ៍មុន",</t>
        </is>
      </c>
      <c r="N1629" s="163" t="n"/>
    </row>
    <row r="1630" ht="15.75" customHeight="1" s="305">
      <c r="A1630" s="219" t="inlineStr">
        <is>
          <t>thunhap.loaiHangHoa</t>
        </is>
      </c>
      <c r="B1630" s="219" t="inlineStr">
        <is>
          <t>Loại hàng hóa:</t>
        </is>
      </c>
      <c r="C1630" s="219" t="inlineStr">
        <is>
          <t>Freight type:</t>
        </is>
      </c>
      <c r="D1630" s="216">
        <f>IFERROR(__xludf.DUMMYFUNCTION("GOOGLETRANSLATE(B1630,""vi"",""km"")"),"ប្រភេទទំនិញ៖")</f>
        <v/>
      </c>
      <c r="E1630" s="3" t="inlineStr">
        <is>
          <t>ប្រភេទអីវ៉ាន់</t>
        </is>
      </c>
      <c r="F1630" s="3" t="n"/>
      <c r="G1630" s="3" t="inlineStr">
        <is>
          <t>ប្រភេទអីវ៉ាន់</t>
        </is>
      </c>
      <c r="H1630" t="inlineStr">
        <is>
          <t>ប្រភេទអីវ៉ាន់</t>
        </is>
      </c>
      <c r="I1630" s="217" t="inlineStr">
        <is>
          <t>"thunhap.loaiHangHoa": "ប្រភេទអីវ៉ាន់",</t>
        </is>
      </c>
      <c r="N1630" s="163" t="n"/>
    </row>
    <row r="1631" ht="15.75" customHeight="1" s="305">
      <c r="A1631" s="219" t="inlineStr">
        <is>
          <t>thunhap.luongCung</t>
        </is>
      </c>
      <c r="B1631" s="219" t="inlineStr">
        <is>
          <t>Lương cứng</t>
        </is>
      </c>
      <c r="C1631" s="219" t="inlineStr">
        <is>
          <t>Base Salary</t>
        </is>
      </c>
      <c r="D1631" s="216">
        <f>IFERROR(__xludf.DUMMYFUNCTION("GOOGLETRANSLATE(B1631,""vi"",""km"")"),"ប្រាក់ខែថេរ")</f>
        <v/>
      </c>
      <c r="E1631" s="3" t="inlineStr">
        <is>
          <t xml:space="preserve">ប្រាក់ខែគោល </t>
        </is>
      </c>
      <c r="F1631" s="3" t="n"/>
      <c r="G1631" s="3" t="inlineStr">
        <is>
          <t>ប្រាក់ខែគោល</t>
        </is>
      </c>
      <c r="H1631" t="inlineStr">
        <is>
          <t>ប្រាក់ខែគោល</t>
        </is>
      </c>
      <c r="I1631" s="217" t="inlineStr">
        <is>
          <t>"thunhap.luongCung": "ប្រាក់ខែគោល",</t>
        </is>
      </c>
      <c r="N1631" s="163" t="n"/>
    </row>
    <row r="1632" ht="15.75" customHeight="1" s="305">
      <c r="A1632" s="219" t="inlineStr">
        <is>
          <t>thunhap.maPhieuGui</t>
        </is>
      </c>
      <c r="B1632" s="219" t="inlineStr">
        <is>
          <t>Mã phiếu gửi:</t>
        </is>
      </c>
      <c r="C1632" s="219" t="inlineStr">
        <is>
          <t>Waybill code:</t>
        </is>
      </c>
      <c r="D1632" s="216">
        <f>IFERROR(__xludf.DUMMYFUNCTION("GOOGLETRANSLATE(B1632,""vi"",""km"")"),"លេខបង្កាន់ដៃ៖")</f>
        <v/>
      </c>
      <c r="E1632" s="3" t="inlineStr">
        <is>
          <t>លេខកូដបណ្ណផ្ញើ៖</t>
        </is>
      </c>
      <c r="F1632" s="3" t="n"/>
      <c r="G1632" s="3" t="inlineStr">
        <is>
          <t>លេខកូដបណ្ណផ្ញើ៖</t>
        </is>
      </c>
      <c r="H1632" t="inlineStr">
        <is>
          <t>លេខកូដបណ្ណផ្ញើ៖</t>
        </is>
      </c>
      <c r="I1632" s="217" t="inlineStr">
        <is>
          <t>"thunhap.maPhieuGui": "លេខកូដបណ្ណផ្ញើ៖",</t>
        </is>
      </c>
      <c r="N1632" s="163" t="n"/>
    </row>
    <row r="1633" ht="15.75" customHeight="1" s="305">
      <c r="A1633" s="219" t="inlineStr">
        <is>
          <t>thunhap.ngayBaoCao</t>
        </is>
      </c>
      <c r="B1633" s="219" t="inlineStr">
        <is>
          <t>Ngày báo cáo:</t>
        </is>
      </c>
      <c r="C1633" s="219" t="inlineStr">
        <is>
          <t>Report date:</t>
        </is>
      </c>
      <c r="D1633" s="216">
        <f>IFERROR(__xludf.DUMMYFUNCTION("GOOGLETRANSLATE(B1633,""vi"",""km"")"),"កាលបរិច្ឆេទរាយការណ៍៖")</f>
        <v/>
      </c>
      <c r="E1633" s="3" t="inlineStr">
        <is>
          <t>ថ្ងៃរាយការណ៍៖</t>
        </is>
      </c>
      <c r="F1633" s="3" t="n"/>
      <c r="G1633" s="3" t="inlineStr">
        <is>
          <t>ថ្ងៃរាយការណ៍៖</t>
        </is>
      </c>
      <c r="H1633" t="inlineStr">
        <is>
          <t>ថ្ងៃរាយការណ៍៖</t>
        </is>
      </c>
      <c r="I1633" s="217" t="inlineStr">
        <is>
          <t>"thunhap.ngayBaoCao": "ថ្ងៃរាយការណ៍៖",</t>
        </is>
      </c>
      <c r="N1633" s="163" t="n"/>
    </row>
    <row r="1634" ht="15.75" customHeight="1" s="305">
      <c r="A1634" s="219" t="inlineStr">
        <is>
          <t>thunhap.nguoiDuyet</t>
        </is>
      </c>
      <c r="B1634" s="219" t="inlineStr">
        <is>
          <t>Người duyệt:</t>
        </is>
      </c>
      <c r="C1634" s="219" t="inlineStr">
        <is>
          <t>Approver:</t>
        </is>
      </c>
      <c r="D1634" s="216">
        <f>IFERROR(__xludf.DUMMYFUNCTION("GOOGLETRANSLATE(B1634,""vi"",""km"")"),"អ្នកវាយតម្លៃ៖")</f>
        <v/>
      </c>
      <c r="E1634" s="3" t="inlineStr">
        <is>
          <t>អ្នកវាយតម្លៃ៖</t>
        </is>
      </c>
      <c r="F1634" s="3" t="n"/>
      <c r="G1634" s="3" t="inlineStr">
        <is>
          <t>អ្នកវាយតម្លៃ៖</t>
        </is>
      </c>
      <c r="H1634" t="inlineStr">
        <is>
          <t>អ្នកវាយតម្លៃ៖</t>
        </is>
      </c>
      <c r="I1634" s="217" t="inlineStr">
        <is>
          <t>"thunhap.nguoiDuyet": "អ្នកវាយតម្លៃ៖",</t>
        </is>
      </c>
      <c r="N1634" s="163" t="n"/>
    </row>
    <row r="1635" ht="15.75" customHeight="1" s="305">
      <c r="A1635" s="219" t="inlineStr">
        <is>
          <t>thunhap.nguoiGioiThieu</t>
        </is>
      </c>
      <c r="B1635" s="219" t="inlineStr">
        <is>
          <t>Người giới thiệu:</t>
        </is>
      </c>
      <c r="C1635" s="219" t="inlineStr">
        <is>
          <t>Referrer:</t>
        </is>
      </c>
      <c r="D1635" s="216">
        <f>IFERROR(__xludf.DUMMYFUNCTION("GOOGLETRANSLATE(B1635,""vi"",""km"")"),"អ្នក​យោង៖")</f>
        <v/>
      </c>
      <c r="E1635" s="3" t="inlineStr">
        <is>
          <t>អ្នកណែនាំ</t>
        </is>
      </c>
      <c r="F1635" s="3" t="n"/>
      <c r="G1635" s="3" t="inlineStr">
        <is>
          <t>អ្នកណែនាំ</t>
        </is>
      </c>
      <c r="H1635" t="inlineStr">
        <is>
          <t>អ្នកណែនាំ</t>
        </is>
      </c>
      <c r="I1635" s="217" t="inlineStr">
        <is>
          <t>"thunhap.nguoiGioiThieu": "អ្នកណែនាំ",</t>
        </is>
      </c>
      <c r="N1635" s="163" t="n"/>
    </row>
    <row r="1636" ht="15.75" customHeight="1" s="305">
      <c r="A1636" s="219" t="inlineStr">
        <is>
          <t>thunhap.nhan</t>
        </is>
      </c>
      <c r="B1636" s="219" t="inlineStr">
        <is>
          <t>Nhận:</t>
        </is>
      </c>
      <c r="C1636" s="219" t="inlineStr">
        <is>
          <t>Pickup:</t>
        </is>
      </c>
      <c r="D1636" s="216">
        <f>IFERROR(__xludf.DUMMYFUNCTION("GOOGLETRANSLATE(B1636,""vi"",""km"")"),"ទទួល៖")</f>
        <v/>
      </c>
      <c r="E1636" s="3" t="inlineStr">
        <is>
          <t>ទទួល</t>
        </is>
      </c>
      <c r="F1636" s="3" t="n"/>
      <c r="G1636" s="3" t="inlineStr">
        <is>
          <t>ទទួល</t>
        </is>
      </c>
      <c r="H1636" t="inlineStr">
        <is>
          <t>ទទួល</t>
        </is>
      </c>
      <c r="I1636" s="217" t="inlineStr">
        <is>
          <t>"thunhap.nhan": "ទទួល",</t>
        </is>
      </c>
      <c r="N1636" s="163" t="n"/>
    </row>
    <row r="1637" ht="15.75" customHeight="1" s="305">
      <c r="A1637" s="219" t="inlineStr">
        <is>
          <t>thunhap.nhanHang</t>
        </is>
      </c>
      <c r="B1637" s="219" t="inlineStr">
        <is>
          <t>Nhận hàng</t>
        </is>
      </c>
      <c r="C1637" s="219" t="inlineStr">
        <is>
          <t>Pickup</t>
        </is>
      </c>
      <c r="D1637" s="216">
        <f>IFERROR(__xludf.DUMMYFUNCTION("GOOGLETRANSLATE(B1637,""vi"",""km"")"),"ទទួល")</f>
        <v/>
      </c>
      <c r="E1637" s="3" t="inlineStr">
        <is>
          <t>ទទួលអីវ៉ាន់</t>
        </is>
      </c>
      <c r="F1637" s="3" t="n"/>
      <c r="G1637" s="3" t="inlineStr">
        <is>
          <t>ទទួលអីវ៉ាន់</t>
        </is>
      </c>
      <c r="H1637" t="inlineStr">
        <is>
          <t>ទទួលអីវ៉ាន់</t>
        </is>
      </c>
      <c r="I1637" s="217" t="inlineStr">
        <is>
          <t>"thunhap.nhanHang": "ទទួលអីវ៉ាន់",</t>
        </is>
      </c>
      <c r="N1637" s="163" t="n"/>
    </row>
    <row r="1638" ht="15.75" customHeight="1" s="305">
      <c r="A1638" s="219" t="inlineStr">
        <is>
          <t>thunhap.other</t>
        </is>
      </c>
      <c r="B1638" s="219" t="inlineStr">
        <is>
          <t>Khác</t>
        </is>
      </c>
      <c r="C1638" s="219" t="inlineStr">
        <is>
          <t>Custom</t>
        </is>
      </c>
      <c r="D1638" s="216">
        <f>IFERROR(__xludf.DUMMYFUNCTION("GOOGLETRANSLATE(B1638,""vi"",""km"")"),"ផ្សេងៗ")</f>
        <v/>
      </c>
      <c r="E1638" s="3" t="inlineStr">
        <is>
          <t>ផ្សេងៗ</t>
        </is>
      </c>
      <c r="F1638" s="3" t="n"/>
      <c r="G1638" s="3" t="inlineStr">
        <is>
          <t>ផ្សេងៗ</t>
        </is>
      </c>
      <c r="H1638" t="inlineStr">
        <is>
          <t>ផ្សេងៗ</t>
        </is>
      </c>
      <c r="I1638" s="217" t="inlineStr">
        <is>
          <t>"thunhap.other": "ផ្សេងៗ",</t>
        </is>
      </c>
      <c r="N1638" s="163" t="n"/>
    </row>
    <row r="1639" ht="15.75" customHeight="1" s="305">
      <c r="A1639" s="219" t="inlineStr">
        <is>
          <t>thunhap.phanLoai</t>
        </is>
      </c>
      <c r="B1639" s="219" t="inlineStr">
        <is>
          <t>Phân loại:</t>
        </is>
      </c>
      <c r="C1639" s="219" t="inlineStr">
        <is>
          <t>Category:</t>
        </is>
      </c>
      <c r="D1639" s="216">
        <f>IFERROR(__xludf.DUMMYFUNCTION("GOOGLETRANSLATE(B1639,""vi"",""km"")"),"ចាត់ថ្នាក់៖")</f>
        <v/>
      </c>
      <c r="E1639" s="3" t="inlineStr">
        <is>
          <t>បែងចែកប្រភេទ</t>
        </is>
      </c>
      <c r="F1639" s="3" t="n"/>
      <c r="G1639" s="3" t="inlineStr">
        <is>
          <t>បែងចែកប្រភេទ</t>
        </is>
      </c>
      <c r="H1639" t="inlineStr">
        <is>
          <t>បែងចែកប្រភេទ</t>
        </is>
      </c>
      <c r="I1639" s="217" t="inlineStr">
        <is>
          <t>"thunhap.phanLoai": "បែងចែកប្រភេទ",</t>
        </is>
      </c>
      <c r="N1639" s="163" t="n"/>
    </row>
    <row r="1640" ht="15.75" customHeight="1" s="305">
      <c r="A1640" s="219" t="inlineStr">
        <is>
          <t>thunhap.phat</t>
        </is>
      </c>
      <c r="B1640" s="219" t="inlineStr">
        <is>
          <t>Phạt</t>
        </is>
      </c>
      <c r="C1640" s="219" t="inlineStr">
        <is>
          <t>Penalty</t>
        </is>
      </c>
      <c r="D1640" s="216">
        <f>IFERROR(__xludf.DUMMYFUNCTION("GOOGLETRANSLATE(B1640,""vi"",""km"")"),"ដាក់ទោស")</f>
        <v/>
      </c>
      <c r="E1640" s="3" t="inlineStr">
        <is>
          <t>ពិន័យ</t>
        </is>
      </c>
      <c r="F1640" s="3" t="n"/>
      <c r="G1640" s="3" t="inlineStr">
        <is>
          <t>ពិន័យ</t>
        </is>
      </c>
      <c r="H1640" t="inlineStr">
        <is>
          <t>ពិន័យ</t>
        </is>
      </c>
      <c r="I1640" s="217" t="inlineStr">
        <is>
          <t>"thunhap.phat": "ពិន័យ",</t>
        </is>
      </c>
      <c r="N1640" s="163" t="n"/>
    </row>
    <row r="1641" ht="15.75" customHeight="1" s="305">
      <c r="A1641" s="219" t="inlineStr">
        <is>
          <t>thunhap.phatTrienKH</t>
        </is>
      </c>
      <c r="B1641" s="219" t="inlineStr">
        <is>
          <t>Phát triển khách hàng</t>
        </is>
      </c>
      <c r="C1641" s="219" t="inlineStr">
        <is>
          <t>Customer Development</t>
        </is>
      </c>
      <c r="D1641" s="216">
        <f>IFERROR(__xludf.DUMMYFUNCTION("GOOGLETRANSLATE(B1641,""vi"",""km"")"),"ការអភិវឌ្ឍអតិថិជន")</f>
        <v/>
      </c>
      <c r="E1641" s="3" t="inlineStr">
        <is>
          <t>ការអភិវឌ្ឍអតិថិជន</t>
        </is>
      </c>
      <c r="F1641" s="3" t="n"/>
      <c r="G1641" s="3" t="inlineStr">
        <is>
          <t>ការអភិវឌ្ឍអតិថិជន</t>
        </is>
      </c>
      <c r="H1641" t="inlineStr">
        <is>
          <t>ការអភិវឌ្ឍអតិថិជន</t>
        </is>
      </c>
      <c r="I1641" s="217" t="inlineStr">
        <is>
          <t>"thunhap.phatTrienKH": "ការអភិវឌ្ឍអតិថិជន",</t>
        </is>
      </c>
      <c r="N1641" s="163" t="n"/>
    </row>
    <row r="1642" ht="15.75" customHeight="1" s="305">
      <c r="A1642" s="219" t="inlineStr">
        <is>
          <t>thunhap.phucVu</t>
        </is>
      </c>
      <c r="B1642" s="219" t="inlineStr">
        <is>
          <t>Phục vụ đại lý</t>
        </is>
      </c>
      <c r="C1642" s="219" t="inlineStr">
        <is>
          <t>Agent Service</t>
        </is>
      </c>
      <c r="D1642" s="216">
        <f>IFERROR(__xludf.DUMMYFUNCTION("GOOGLETRANSLATE(B1642,""vi"",""km"")"),"បម្រើអ្នកចែកចាយ")</f>
        <v/>
      </c>
      <c r="E1642" s="3" t="inlineStr">
        <is>
          <t>បម្រើភ្នាក់ងារចែកចាយ</t>
        </is>
      </c>
      <c r="F1642" s="3" t="n"/>
      <c r="G1642" s="3" t="inlineStr">
        <is>
          <t>បម្រើភ្នាក់ងារចែកចាយ</t>
        </is>
      </c>
      <c r="H1642" t="inlineStr">
        <is>
          <t>បម្រើភ្នាក់ងារចែកចាយ</t>
        </is>
      </c>
      <c r="I1642" s="217" t="inlineStr">
        <is>
          <t>"thunhap.phucVu": "បម្រើភ្នាក់ងារចែកចាយ",</t>
        </is>
      </c>
      <c r="N1642" s="163" t="n"/>
    </row>
    <row r="1643" ht="15.75" customHeight="1" s="305">
      <c r="A1643" s="219" t="inlineStr">
        <is>
          <t>thunhap.searchOrderCode</t>
        </is>
      </c>
      <c r="B1643" s="219" t="inlineStr">
        <is>
          <t>Nhập từ khóa để tìm kiếm</t>
        </is>
      </c>
      <c r="C1643" s="219" t="inlineStr">
        <is>
          <t>Enter keywords to search</t>
        </is>
      </c>
      <c r="D1643" s="216">
        <f>IFERROR(__xludf.DUMMYFUNCTION("GOOGLETRANSLATE(B1643,""vi"",""km"")"),"បញ្ចូលពាក្យគន្លឹះដើម្បីស្វែងរក")</f>
        <v/>
      </c>
      <c r="E1643" s="3" t="inlineStr">
        <is>
          <t>បំពេញលេខកូដអីវ៉ាន់</t>
        </is>
      </c>
      <c r="F1643" s="3" t="n"/>
      <c r="G1643" s="3" t="inlineStr">
        <is>
          <t>បំពេញលេខកូដអីវ៉ាន់</t>
        </is>
      </c>
      <c r="H1643" t="inlineStr">
        <is>
          <t>បំពេញលេខកូដអីវ៉ាន់</t>
        </is>
      </c>
      <c r="I1643" s="217" t="inlineStr">
        <is>
          <t>"thunhap.searchOrderCode": "បំពេញលេខកូដអីវ៉ាន់",</t>
        </is>
      </c>
      <c r="N1643" s="163" t="n"/>
    </row>
    <row r="1644" ht="15.75" customHeight="1" s="305">
      <c r="A1644" s="219" t="inlineStr">
        <is>
          <t>thunhap.tabPhat</t>
        </is>
      </c>
      <c r="B1644" s="219" t="inlineStr">
        <is>
          <t>Phạt</t>
        </is>
      </c>
      <c r="C1644" s="219" t="inlineStr">
        <is>
          <t>Penalty</t>
        </is>
      </c>
      <c r="D1644" s="216">
        <f>IFERROR(__xludf.DUMMYFUNCTION("GOOGLETRANSLATE(B1644,""vi"",""km"")"),"ដាក់ទោស")</f>
        <v/>
      </c>
      <c r="E1644" s="3" t="inlineStr">
        <is>
          <t>ពិន័យ</t>
        </is>
      </c>
      <c r="F1644" s="3" t="n"/>
      <c r="G1644" s="3" t="inlineStr">
        <is>
          <t>ពិន័យ</t>
        </is>
      </c>
      <c r="H1644" t="inlineStr">
        <is>
          <t>ពិន័យ</t>
        </is>
      </c>
      <c r="I1644" s="217" t="inlineStr">
        <is>
          <t>"thunhap.tabPhat": "ពិន័យ",</t>
        </is>
      </c>
      <c r="N1644" s="163" t="n"/>
    </row>
    <row r="1645" ht="15.75" customHeight="1" s="305">
      <c r="A1645" s="219" t="inlineStr">
        <is>
          <t>thunhap.tabThuong</t>
        </is>
      </c>
      <c r="B1645" s="219" t="inlineStr">
        <is>
          <t>Thưởng</t>
        </is>
      </c>
      <c r="C1645" s="219" t="inlineStr">
        <is>
          <t>Bonus</t>
        </is>
      </c>
      <c r="D1645" s="216">
        <f>IFERROR(__xludf.DUMMYFUNCTION("GOOGLETRANSLATE(B1645,""vi"",""km"")"),"រង្វាន់")</f>
        <v/>
      </c>
      <c r="E1645" s="3" t="inlineStr">
        <is>
          <t>រង្វាន់</t>
        </is>
      </c>
      <c r="F1645" s="3" t="n"/>
      <c r="G1645" s="3" t="inlineStr">
        <is>
          <t>រង្វាន់</t>
        </is>
      </c>
      <c r="H1645" t="inlineStr">
        <is>
          <t>រង្វាន់</t>
        </is>
      </c>
      <c r="I1645" s="217" t="inlineStr">
        <is>
          <t>"thunhap.tabThuong": "រង្វាន់",</t>
        </is>
      </c>
      <c r="N1645" s="163" t="n"/>
    </row>
    <row r="1646" ht="15.75" customHeight="1" s="305">
      <c r="A1646" s="219" t="inlineStr">
        <is>
          <t>thunhap.thisMonth</t>
        </is>
      </c>
      <c r="B1646" s="219" t="inlineStr">
        <is>
          <t>Tháng này</t>
        </is>
      </c>
      <c r="C1646" s="219" t="inlineStr">
        <is>
          <t>This Month</t>
        </is>
      </c>
      <c r="D1646" s="216">
        <f>IFERROR(__xludf.DUMMYFUNCTION("GOOGLETRANSLATE(B1646,""vi"",""km"")"),"ខែនេះ")</f>
        <v/>
      </c>
      <c r="E1646" s="3" t="inlineStr">
        <is>
          <t>ខែនេះ</t>
        </is>
      </c>
      <c r="F1646" s="3" t="n"/>
      <c r="G1646" s="3" t="inlineStr">
        <is>
          <t>ខែនេះ</t>
        </is>
      </c>
      <c r="H1646" t="inlineStr">
        <is>
          <t>ខែនេះ</t>
        </is>
      </c>
      <c r="I1646" s="217" t="inlineStr">
        <is>
          <t>"thunhap.thisMonth": "ខែនេះ",</t>
        </is>
      </c>
      <c r="N1646" s="163" t="n"/>
    </row>
    <row r="1647" ht="15.75" customHeight="1" s="305">
      <c r="A1647" s="219" t="inlineStr">
        <is>
          <t>thunhap.thisWeek</t>
        </is>
      </c>
      <c r="B1647" s="219" t="inlineStr">
        <is>
          <t>Tuần này</t>
        </is>
      </c>
      <c r="C1647" s="219" t="inlineStr">
        <is>
          <t>This Week</t>
        </is>
      </c>
      <c r="D1647" s="216">
        <f>IFERROR(__xludf.DUMMYFUNCTION("GOOGLETRANSLATE(B1647,""vi"",""km"")"),"សប្តាហ៍នេះ")</f>
        <v/>
      </c>
      <c r="E1647" s="3" t="inlineStr">
        <is>
          <t>សប្តាហ៍នេះ</t>
        </is>
      </c>
      <c r="F1647" s="3" t="n"/>
      <c r="G1647" s="3" t="inlineStr">
        <is>
          <t>សប្តាហ៍នេះ</t>
        </is>
      </c>
      <c r="H1647" t="inlineStr">
        <is>
          <t>សប្តាហ៍នេះ</t>
        </is>
      </c>
      <c r="I1647" s="217" t="inlineStr">
        <is>
          <t>"thunhap.thisWeek": "សប្តាហ៍នេះ",</t>
        </is>
      </c>
      <c r="N1647" s="163" t="n"/>
    </row>
    <row r="1648" ht="15.75" customHeight="1" s="305">
      <c r="A1648" s="219" t="inlineStr">
        <is>
          <t>thunhap.thoiGian</t>
        </is>
      </c>
      <c r="B1648" s="219" t="inlineStr">
        <is>
          <t>Thời gian:</t>
        </is>
      </c>
      <c r="C1648" s="219" t="inlineStr">
        <is>
          <t>Time:</t>
        </is>
      </c>
      <c r="D1648" s="216">
        <f>IFERROR(__xludf.DUMMYFUNCTION("GOOGLETRANSLATE(B1648,""vi"",""km"")"),"ពេលវេលា៖")</f>
        <v/>
      </c>
      <c r="E1648" s="3" t="inlineStr">
        <is>
          <t>ពេលវេលា៖</t>
        </is>
      </c>
      <c r="F1648" s="3" t="n"/>
      <c r="G1648" s="3" t="inlineStr">
        <is>
          <t>ពេលវេលា៖</t>
        </is>
      </c>
      <c r="H1648" t="inlineStr">
        <is>
          <t>ពេលវេលា៖</t>
        </is>
      </c>
      <c r="I1648" s="217" t="inlineStr">
        <is>
          <t>"thunhap.thoiGian": "ពេលវេលា៖",</t>
        </is>
      </c>
      <c r="N1648" s="163" t="n"/>
    </row>
    <row r="1649" ht="15.75" customHeight="1" s="305">
      <c r="A1649" s="219" t="inlineStr">
        <is>
          <t>thunhap.thuong</t>
        </is>
      </c>
      <c r="B1649" s="219" t="inlineStr">
        <is>
          <t>Thưởng</t>
        </is>
      </c>
      <c r="C1649" s="219" t="inlineStr">
        <is>
          <t>Bonus</t>
        </is>
      </c>
      <c r="D1649" s="216">
        <f>IFERROR(__xludf.DUMMYFUNCTION("GOOGLETRANSLATE(B1649,""vi"",""km"")"),"រង្វាន់")</f>
        <v/>
      </c>
      <c r="E1649" s="3" t="inlineStr">
        <is>
          <t>រង្វាន់</t>
        </is>
      </c>
      <c r="F1649" s="3" t="n"/>
      <c r="G1649" s="3" t="inlineStr">
        <is>
          <t>រង្វាន់</t>
        </is>
      </c>
      <c r="H1649" t="inlineStr">
        <is>
          <t>រង្វាន់</t>
        </is>
      </c>
      <c r="I1649" s="217" t="inlineStr">
        <is>
          <t>"thunhap.thuong": "រង្វាន់",</t>
        </is>
      </c>
      <c r="N1649" s="163" t="n"/>
    </row>
    <row r="1650" ht="15.75" customHeight="1" s="305">
      <c r="A1650" s="219" t="inlineStr">
        <is>
          <t>thunhap.thuongPhat</t>
        </is>
      </c>
      <c r="B1650" s="219" t="inlineStr">
        <is>
          <t>Thưởng/ phạt</t>
        </is>
      </c>
      <c r="C1650" s="219" t="inlineStr">
        <is>
          <t>Bonus / Penalty</t>
        </is>
      </c>
      <c r="D1650" s="216">
        <f>IFERROR(__xludf.DUMMYFUNCTION("GOOGLETRANSLATE(B1650,""vi"",""km"")"),"រង្វាន់/ពិន័យ")</f>
        <v/>
      </c>
      <c r="E1650" s="3" t="inlineStr">
        <is>
          <t>រង្វាន់/ពិន័យ</t>
        </is>
      </c>
      <c r="F1650" s="3" t="n"/>
      <c r="G1650" s="3" t="inlineStr">
        <is>
          <t>រង្វាន់/ពិន័យ</t>
        </is>
      </c>
      <c r="H1650" t="inlineStr">
        <is>
          <t>រង្វាន់/ពិន័យ</t>
        </is>
      </c>
      <c r="I1650" s="217" t="inlineStr">
        <is>
          <t>"thunhap.thuongPhat": "រង្វាន់/ពិន័យ",</t>
        </is>
      </c>
      <c r="N1650" s="163" t="n"/>
    </row>
    <row r="1651" ht="15.75" customHeight="1" s="305">
      <c r="A1651" s="219" t="inlineStr">
        <is>
          <t>thunhap.title</t>
        </is>
      </c>
      <c r="B1651" s="219" t="inlineStr">
        <is>
          <t>Thu nhập</t>
        </is>
      </c>
      <c r="C1651" s="219" t="inlineStr">
        <is>
          <t>Income</t>
        </is>
      </c>
      <c r="D1651" s="216">
        <f>IFERROR(__xludf.DUMMYFUNCTION("GOOGLETRANSLATE(B1651,""vi"",""km"")"),"ប្រាក់ចំណូល")</f>
        <v/>
      </c>
      <c r="E1651" s="3" t="inlineStr">
        <is>
          <t>ប្រាក់ចំណូល</t>
        </is>
      </c>
      <c r="F1651" s="3" t="n"/>
      <c r="G1651" s="3" t="inlineStr">
        <is>
          <t>ប្រាក់ចំណូល</t>
        </is>
      </c>
      <c r="H1651" t="inlineStr">
        <is>
          <t>ប្រាក់ចំណូល</t>
        </is>
      </c>
      <c r="I1651" s="217" t="inlineStr">
        <is>
          <t>"thunhap.title": "ប្រាក់ចំណូល",</t>
        </is>
      </c>
      <c r="N1651" s="163" t="n"/>
    </row>
    <row r="1652" ht="15.75" customHeight="1" s="305">
      <c r="A1652" s="219" t="inlineStr">
        <is>
          <t>thunhap.today</t>
        </is>
      </c>
      <c r="B1652" s="219" t="inlineStr">
        <is>
          <t>Hôm nay</t>
        </is>
      </c>
      <c r="C1652" s="219" t="inlineStr">
        <is>
          <t>Today</t>
        </is>
      </c>
      <c r="D1652" s="216">
        <f>IFERROR(__xludf.DUMMYFUNCTION("GOOGLETRANSLATE(B1652,""vi"",""km"")"),"ថ្ងៃនេះ")</f>
        <v/>
      </c>
      <c r="E1652" s="3" t="inlineStr">
        <is>
          <t>ថ្ងៃនេះ</t>
        </is>
      </c>
      <c r="F1652" s="3" t="n"/>
      <c r="G1652" s="3" t="inlineStr">
        <is>
          <t>ថ្ងៃនេះ</t>
        </is>
      </c>
      <c r="H1652" t="inlineStr">
        <is>
          <t>ថ្ងៃនេះ</t>
        </is>
      </c>
      <c r="I1652" s="217" t="inlineStr">
        <is>
          <t>"thunhap.today": "ថ្ងៃនេះ",</t>
        </is>
      </c>
      <c r="N1652" s="163" t="n"/>
    </row>
    <row r="1653" ht="15.75" customHeight="1" s="305">
      <c r="A1653" s="219" t="inlineStr">
        <is>
          <t>thunhap.transactionAmount</t>
        </is>
      </c>
      <c r="B1653" s="219" t="inlineStr">
        <is>
          <t>Số tiền:</t>
        </is>
      </c>
      <c r="C1653" s="219" t="inlineStr">
        <is>
          <t>Amount:</t>
        </is>
      </c>
      <c r="D1653" s="216" t="inlineStr">
        <is>
          <t>ចំនួនទឹកប្រាក់៖</t>
        </is>
      </c>
      <c r="E1653" s="3" t="inlineStr">
        <is>
          <t>ចំនួនទឹកប្រាក់៖</t>
        </is>
      </c>
      <c r="F1653" s="3" t="n"/>
      <c r="G1653" s="3" t="inlineStr">
        <is>
          <t>ចំនួនទឹកប្រាក់៖</t>
        </is>
      </c>
      <c r="H1653" t="inlineStr">
        <is>
          <t>ចំនួនទឹកប្រាក់៖</t>
        </is>
      </c>
      <c r="I1653" s="217" t="inlineStr">
        <is>
          <t>"thunhap.transactionAmount": "ចំនួនទឹកប្រាក់៖",</t>
        </is>
      </c>
      <c r="N1653" s="163" t="n"/>
    </row>
    <row r="1654" ht="15.75" customHeight="1" s="305">
      <c r="A1654" s="219" t="inlineStr">
        <is>
          <t>thunhap.transactionDetail</t>
        </is>
      </c>
      <c r="B1654" s="219" t="inlineStr">
        <is>
          <t>Thông tin chung</t>
        </is>
      </c>
      <c r="C1654" s="219" t="inlineStr">
        <is>
          <t>General Information</t>
        </is>
      </c>
      <c r="D1654" s="216">
        <f>IFERROR(__xludf.DUMMYFUNCTION("GOOGLETRANSLATE(B1654,""vi"",""km"")"),"ព័ត៌មានទូទៅ")</f>
        <v/>
      </c>
      <c r="E1654" s="3" t="inlineStr">
        <is>
          <t>ព័ត៌មានទូទៅ</t>
        </is>
      </c>
      <c r="F1654" s="3" t="n"/>
      <c r="G1654" s="3" t="inlineStr">
        <is>
          <t>ព័ត៌មានទូទៅ</t>
        </is>
      </c>
      <c r="H1654" t="inlineStr">
        <is>
          <t>ព័ត៌មានទូទៅ</t>
        </is>
      </c>
      <c r="I1654" s="217" t="inlineStr">
        <is>
          <t>"thunhap.transactionDetail": "ព័ត៌មានទូទៅ",</t>
        </is>
      </c>
      <c r="N1654" s="163" t="n"/>
    </row>
    <row r="1655" ht="15.75" customHeight="1" s="305">
      <c r="A1655" s="219" t="inlineStr">
        <is>
          <t>thunhap.transactionDetailSection</t>
        </is>
      </c>
      <c r="B1655" s="219" t="inlineStr">
        <is>
          <t>Thông tin chi tiết</t>
        </is>
      </c>
      <c r="C1655" s="219" t="inlineStr">
        <is>
          <t>Detail Information</t>
        </is>
      </c>
      <c r="D1655" s="216">
        <f>IFERROR(__xludf.DUMMYFUNCTION("GOOGLETRANSLATE(B1655,""vi"",""km"")"),"ព័ត៌មានលម្អិត")</f>
        <v/>
      </c>
      <c r="E1655" s="3" t="inlineStr">
        <is>
          <t>ព័ត៌មានលម្អិត</t>
        </is>
      </c>
      <c r="F1655" s="3" t="n"/>
      <c r="G1655" s="3" t="inlineStr">
        <is>
          <t>ព័ត៌មានលម្អិត</t>
        </is>
      </c>
      <c r="H1655" t="inlineStr">
        <is>
          <t>ព័ត៌មានលម្អិត</t>
        </is>
      </c>
      <c r="I1655" s="217" t="inlineStr">
        <is>
          <t>"thunhap.transactionDetailSection": "ព័ត៌មានលម្អិត",</t>
        </is>
      </c>
      <c r="N1655" s="163" t="n"/>
    </row>
    <row r="1656" ht="15.75" customHeight="1" s="305">
      <c r="A1656" s="219" t="inlineStr">
        <is>
          <t>thunhap.transactionEvent</t>
        </is>
      </c>
      <c r="B1656" s="219" t="inlineStr">
        <is>
          <t>Sự kiện:</t>
        </is>
      </c>
      <c r="C1656" s="219" t="inlineStr">
        <is>
          <t>Event:</t>
        </is>
      </c>
      <c r="D1656" s="216">
        <f>IFERROR(__xludf.DUMMYFUNCTION("GOOGLETRANSLATE(B1656,""vi"",""km"")"),"ព្រឹត្តិការណ៍៖")</f>
        <v/>
      </c>
      <c r="E1656" s="3" t="inlineStr">
        <is>
          <t>ព្រឹត្តិការណ៍៖</t>
        </is>
      </c>
      <c r="F1656" s="3" t="n"/>
      <c r="G1656" s="3" t="inlineStr">
        <is>
          <t>ព្រឹត្តិការណ៍៖</t>
        </is>
      </c>
      <c r="H1656" t="inlineStr">
        <is>
          <t>ព្រឹត្តិការណ៍៖</t>
        </is>
      </c>
      <c r="I1656" s="217" t="inlineStr">
        <is>
          <t>"thunhap.transactionEvent": "ព្រឹត្តិការណ៍៖",</t>
        </is>
      </c>
      <c r="N1656" s="163" t="n"/>
    </row>
    <row r="1657" ht="15.75" customHeight="1" s="305">
      <c r="A1657" s="219" t="inlineStr">
        <is>
          <t>thunhap.transactionTime</t>
        </is>
      </c>
      <c r="B1657" s="219" t="inlineStr">
        <is>
          <t>Thời gian</t>
        </is>
      </c>
      <c r="C1657" s="219" t="inlineStr">
        <is>
          <t>Time</t>
        </is>
      </c>
      <c r="D1657" s="216">
        <f>IFERROR(__xludf.DUMMYFUNCTION("GOOGLETRANSLATE(B1657,""vi"",""km"")"),"ពេលវេលា")</f>
        <v/>
      </c>
      <c r="E1657" s="3" t="inlineStr">
        <is>
          <t>ពេលវេលា</t>
        </is>
      </c>
      <c r="F1657" s="3" t="n"/>
      <c r="G1657" s="3" t="inlineStr">
        <is>
          <t>ពេលវេលា</t>
        </is>
      </c>
      <c r="H1657" t="inlineStr">
        <is>
          <t>ពេលវេលា</t>
        </is>
      </c>
      <c r="I1657" s="217" t="inlineStr">
        <is>
          <t>"thunhap.transactionTime": "ពេលវេលា",</t>
        </is>
      </c>
      <c r="N1657" s="163" t="n"/>
    </row>
    <row r="1658" ht="15.75" customHeight="1" s="305">
      <c r="A1658" s="219" t="inlineStr">
        <is>
          <t>thunhap.trongLuong</t>
        </is>
      </c>
      <c r="B1658" s="219" t="inlineStr">
        <is>
          <t>Trọng lượng:</t>
        </is>
      </c>
      <c r="C1658" s="219" t="inlineStr">
        <is>
          <t>Weight:</t>
        </is>
      </c>
      <c r="D1658" s="216">
        <f>IFERROR(__xludf.DUMMYFUNCTION("GOOGLETRANSLATE(B1658,""vi"",""km"")"),"ទម្ងន់៖")</f>
        <v/>
      </c>
      <c r="E1658" s="3" t="inlineStr">
        <is>
          <t>ទម្ងន់៖</t>
        </is>
      </c>
      <c r="F1658" s="3" t="n"/>
      <c r="G1658" s="3" t="inlineStr">
        <is>
          <t>ទម្ងន់៖</t>
        </is>
      </c>
      <c r="H1658" t="inlineStr">
        <is>
          <t>ទម្ងន់៖</t>
        </is>
      </c>
      <c r="I1658" s="217" t="inlineStr">
        <is>
          <t>"thunhap.trongLuong": "ទម្ងន់៖",</t>
        </is>
      </c>
      <c r="N1658" s="163" t="n"/>
    </row>
    <row r="1659" ht="15.75" customHeight="1" s="305">
      <c r="A1659" s="219" t="inlineStr">
        <is>
          <t>thunhap.weightGram</t>
        </is>
      </c>
      <c r="B1659" s="219" t="inlineStr">
        <is>
          <t>{{value}} g</t>
        </is>
      </c>
      <c r="C1659" s="219" t="inlineStr">
        <is>
          <t>{{value}} g</t>
        </is>
      </c>
      <c r="D1659" s="216">
        <f>IFERROR(__xludf.DUMMYFUNCTION("GOOGLETRANSLATE(B1659,""vi"",""km"")"),"{{value}} ក្រាម")</f>
        <v/>
      </c>
      <c r="E1659" s="219" t="inlineStr">
        <is>
          <t>{{value}} g</t>
        </is>
      </c>
      <c r="F1659" s="3" t="n"/>
      <c r="G1659" s="3" t="inlineStr">
        <is>
          <t>{{value}} g</t>
        </is>
      </c>
      <c r="H1659" t="inlineStr">
        <is>
          <t>{{value}} g</t>
        </is>
      </c>
      <c r="I1659" s="217" t="inlineStr">
        <is>
          <t>"thunhap.weightGram": "{{value}} g",</t>
        </is>
      </c>
      <c r="N1659" s="163" t="n"/>
    </row>
    <row r="1660" ht="15.75" customHeight="1" s="305">
      <c r="A1660" s="219" t="inlineStr">
        <is>
          <t>thunhap.yesterday</t>
        </is>
      </c>
      <c r="B1660" s="219" t="inlineStr">
        <is>
          <t>Hôm qua</t>
        </is>
      </c>
      <c r="C1660" s="219" t="inlineStr">
        <is>
          <t>Yesterday</t>
        </is>
      </c>
      <c r="D1660" s="216">
        <f>IFERROR(__xludf.DUMMYFUNCTION("GOOGLETRANSLATE(B1660,""vi"",""km"")"),"ម្សិលមិញ")</f>
        <v/>
      </c>
      <c r="E1660" s="3" t="inlineStr">
        <is>
          <t>ម្សិលមិញ</t>
        </is>
      </c>
      <c r="F1660" s="3" t="n"/>
      <c r="G1660" s="3" t="inlineStr">
        <is>
          <t>ម្សិលមិញ</t>
        </is>
      </c>
      <c r="H1660" t="inlineStr">
        <is>
          <t>ម្សិលមិញ</t>
        </is>
      </c>
      <c r="I1660" s="217" t="inlineStr">
        <is>
          <t>"thunhap.yesterday": "ម្សិលមិញ",</t>
        </is>
      </c>
      <c r="N1660" s="163" t="n"/>
    </row>
    <row r="1661" ht="15.75" customHeight="1" s="305">
      <c r="A1661" s="219" t="inlineStr">
        <is>
          <t>thunhap.thang</t>
        </is>
      </c>
      <c r="B1661" s="219" t="inlineStr">
        <is>
          <t>Chốt doanh thu nhập tháng</t>
        </is>
      </c>
      <c r="C1661" s="219" t="inlineStr">
        <is>
          <t>Close monthly revenue</t>
        </is>
      </c>
      <c r="D1661" s="216">
        <f>IFERROR(__xludf.DUMMYFUNCTION("GOOGLETRANSLATE(B1661,""vi"",""km"")"),"បញ្ចប់ប្រាក់ចំណូលប្រចាំខែ")</f>
        <v/>
      </c>
      <c r="E1661" s="3" t="inlineStr">
        <is>
          <t>បញ្ចប់ប្រាក់ចំណូលប្រចាំខែ</t>
        </is>
      </c>
      <c r="F1661" s="3" t="n"/>
      <c r="G1661" s="3" t="inlineStr">
        <is>
          <t>បញ្ចប់ប្រាក់ចំណូលប្រចាំខែ</t>
        </is>
      </c>
      <c r="H1661" t="inlineStr">
        <is>
          <t>បញ្ចប់ប្រាក់ចំណូលប្រចាំខែ</t>
        </is>
      </c>
      <c r="I1661" s="217" t="inlineStr">
        <is>
          <t>"thunhap.thang": "បញ្ចប់ប្រាក់ចំណូលប្រចាំខែ",</t>
        </is>
      </c>
      <c r="N1661" s="163" t="n"/>
    </row>
    <row r="1662" ht="15.75" customHeight="1" s="305">
      <c r="A1662" s="219" t="inlineStr">
        <is>
          <t>debit.file_attachment</t>
        </is>
      </c>
      <c r="B1662" s="3" t="inlineStr">
        <is>
          <t>File đính kèm</t>
        </is>
      </c>
      <c r="C1662" s="219" t="inlineStr">
        <is>
          <t>Attached files</t>
        </is>
      </c>
      <c r="D1662" s="216">
        <f>IFERROR(__xludf.DUMMYFUNCTION("GOOGLETRANSLATE(B1662,""vi"",""km"")"),"ឯកសារភ្ជាប់")</f>
        <v/>
      </c>
      <c r="E1662" s="3" t="inlineStr">
        <is>
          <t>ឯកសារភ្ជាប់</t>
        </is>
      </c>
      <c r="F1662" s="3" t="n"/>
      <c r="G1662" s="3" t="inlineStr">
        <is>
          <t>ឯកសារភ្ជាប់</t>
        </is>
      </c>
      <c r="H1662" t="inlineStr">
        <is>
          <t>ឯកសារភ្ជាប់</t>
        </is>
      </c>
      <c r="I1662" s="217" t="inlineStr">
        <is>
          <t>"debit.file_attachment": "ឯកសារភ្ជាប់",</t>
        </is>
      </c>
      <c r="N1662" s="163" t="n"/>
    </row>
    <row r="1663" ht="15.75" customHeight="1" s="305">
      <c r="A1663" s="219" t="inlineStr">
        <is>
          <t>debit.page_indicator</t>
        </is>
      </c>
      <c r="B1663" s="219" t="inlineStr">
        <is>
          <t>Trang {{current}} / {{total}}</t>
        </is>
      </c>
      <c r="C1663" s="219" t="inlineStr">
        <is>
          <t>Page {{current}} / {{total}}</t>
        </is>
      </c>
      <c r="D1663" s="216">
        <f>IFERROR(__xludf.DUMMYFUNCTION("GOOGLETRANSLATE(B1663,""vi"",""km"")"),"ទំព័រ {{current}} / {{total}}")</f>
        <v/>
      </c>
      <c r="E1663" s="3" t="inlineStr">
        <is>
          <t>ផេក{{current}} / {{total}}</t>
        </is>
      </c>
      <c r="F1663" s="3" t="n"/>
      <c r="G1663" s="3" t="inlineStr">
        <is>
          <t>ផេក{{current}} / {{total}}</t>
        </is>
      </c>
      <c r="H1663" t="inlineStr">
        <is>
          <t>ផេក{{current}} / {{total}}</t>
        </is>
      </c>
      <c r="I1663" s="217" t="inlineStr">
        <is>
          <t>"debit.page_indicator": "ផេក{{current}} / {{total}}",</t>
        </is>
      </c>
      <c r="N1663" s="163" t="n"/>
    </row>
    <row r="1664" ht="15.75" customHeight="1" s="305">
      <c r="A1664" s="219" t="inlineStr">
        <is>
          <t>debit.upload_action_camera</t>
        </is>
      </c>
      <c r="B1664" s="219" t="inlineStr">
        <is>
          <t>Chụp ảnh</t>
        </is>
      </c>
      <c r="C1664" s="219" t="inlineStr">
        <is>
          <t>Take photo</t>
        </is>
      </c>
      <c r="D1664" s="216">
        <f>IFERROR(__xludf.DUMMYFUNCTION("GOOGLETRANSLATE(B1664,""vi"",""km"")"),"ថតរូបមួយ")</f>
        <v/>
      </c>
      <c r="E1664" s="3" t="inlineStr">
        <is>
          <t>ថតរូប</t>
        </is>
      </c>
      <c r="F1664" s="3" t="n"/>
      <c r="G1664" s="3" t="inlineStr">
        <is>
          <t>ថតរូបភាព</t>
        </is>
      </c>
      <c r="H1664" t="inlineStr">
        <is>
          <t>ថតរូបភាព</t>
        </is>
      </c>
      <c r="I1664" s="217" t="inlineStr">
        <is>
          <t>"debit.upload_action_camera": "ថតរូបភាព",</t>
        </is>
      </c>
      <c r="N1664" s="163" t="n"/>
    </row>
    <row r="1665" ht="15.75" customHeight="1" s="305">
      <c r="A1665" s="219" t="inlineStr">
        <is>
          <t>debit.upload_action_file</t>
        </is>
      </c>
      <c r="B1665" s="219" t="inlineStr">
        <is>
          <t>Chọn file</t>
        </is>
      </c>
      <c r="C1665" s="219" t="inlineStr">
        <is>
          <t>Choose file</t>
        </is>
      </c>
      <c r="D1665" s="216">
        <f>IFERROR(__xludf.DUMMYFUNCTION("GOOGLETRANSLATE(B1665,""vi"",""km"")"),"ជ្រើសរើសឯកសារ")</f>
        <v/>
      </c>
      <c r="E1665" s="3" t="inlineStr">
        <is>
          <t>ជ្រើសរើសឯកសារ</t>
        </is>
      </c>
      <c r="F1665" s="3" t="n"/>
      <c r="G1665" s="3" t="inlineStr">
        <is>
          <t>ជ្រើសរើសឯកសារ</t>
        </is>
      </c>
      <c r="H1665" t="inlineStr">
        <is>
          <t>ជ្រើសរើសឯកសារ</t>
        </is>
      </c>
      <c r="I1665" s="217" t="inlineStr">
        <is>
          <t>"debit.upload_action_file": "ជ្រើសរើសឯកសារ",</t>
        </is>
      </c>
      <c r="N1665" s="163" t="n"/>
    </row>
    <row r="1666" ht="15.75" customHeight="1" s="305">
      <c r="A1666" s="219" t="inlineStr">
        <is>
          <t>debit.upload_action_library</t>
        </is>
      </c>
      <c r="B1666" s="219" t="inlineStr">
        <is>
          <t>Chọn từ thư viện</t>
        </is>
      </c>
      <c r="C1666" s="219" t="inlineStr">
        <is>
          <t>Choose from library</t>
        </is>
      </c>
      <c r="D1666" s="216">
        <f>IFERROR(__xludf.DUMMYFUNCTION("GOOGLETRANSLATE(B1666,""vi"",""km"")"),"ជ្រើសរើសពីបណ្ណាល័យ")</f>
        <v/>
      </c>
      <c r="E1666" s="3" t="inlineStr">
        <is>
          <t>ជ្រើសរើសពីបណ្ណាល័យ</t>
        </is>
      </c>
      <c r="F1666" s="3" t="n"/>
      <c r="G1666" s="3" t="inlineStr">
        <is>
          <t>ជ្រើសរើសពីបណ្ណាល័យ</t>
        </is>
      </c>
      <c r="H1666" t="inlineStr">
        <is>
          <t>ជ្រើសរើសពីបណ្ណាល័យ</t>
        </is>
      </c>
      <c r="I1666" s="217" t="inlineStr">
        <is>
          <t>"debit.upload_action_library": "ជ្រើសរើសពីបណ្ណាល័យ",</t>
        </is>
      </c>
      <c r="N1666" s="163" t="n"/>
    </row>
    <row r="1667" ht="15.75" customHeight="1" s="305">
      <c r="A1667" s="219" t="inlineStr">
        <is>
          <t>debit.upload_error_file_type</t>
        </is>
      </c>
      <c r="B1667" s="219" t="inlineStr">
        <is>
          <t>Chỉ chấp nhận file PDF, DOC, DOCX</t>
        </is>
      </c>
      <c r="C1667" s="219" t="inlineStr">
        <is>
          <t>Only PDF, DOC, DOCX files are accepted</t>
        </is>
      </c>
      <c r="D1667" s="216">
        <f>IFERROR(__xludf.DUMMYFUNCTION("GOOGLETRANSLATE(B1667,""vi"",""km"")"),"មានតែឯកសារ PDF, DOC និង DOCX ប៉ុណ្ណោះដែលត្រូវបានទទួលយក។")</f>
        <v/>
      </c>
      <c r="E1667" s="3" t="inlineStr">
        <is>
          <t>មានតែឯកសារ PDF, DOC និង DOCX ប៉ុណ្ណោះបានទទួលយក។</t>
        </is>
      </c>
      <c r="F1667" s="3" t="n"/>
      <c r="G1667" s="3" t="inlineStr">
        <is>
          <t>មានតែឯកសារ PDF, DOC និង DOCX ប៉ុណ្ណោះបានទទួលយក។</t>
        </is>
      </c>
      <c r="H1667" t="inlineStr">
        <is>
          <t>មានតែឯកសារ PDF, DOC និង DOCX ប៉ុណ្ណោះបានទទួលយក។</t>
        </is>
      </c>
      <c r="I1667" s="217" t="inlineStr">
        <is>
          <t>"debit.upload_error_file_type": "មានតែឯកសារ PDF, DOC និង DOCX ប៉ុណ្ណោះបានទទួលយក។",</t>
        </is>
      </c>
      <c r="N1667" s="163" t="n"/>
    </row>
    <row r="1668" ht="15.75" customHeight="1" s="305">
      <c r="A1668" s="219" t="inlineStr">
        <is>
          <t>debit.upload_error_max_size</t>
        </is>
      </c>
      <c r="B1668" s="219" t="inlineStr">
        <is>
          <t>Tổng dung lượng file không được vượt quá 5MB</t>
        </is>
      </c>
      <c r="C1668" s="219" t="inlineStr">
        <is>
          <t>Total file size must not exceed 5MB</t>
        </is>
      </c>
      <c r="D1668" s="216">
        <f>IFERROR(__xludf.DUMMYFUNCTION("GOOGLETRANSLATE(B1668,""vi"",""km"")"),"ទំហំឯកសារសរុបមិនត្រូវលើសពី 5MB ទេ។")</f>
        <v/>
      </c>
      <c r="E1668" s="3" t="inlineStr">
        <is>
          <t>ទំហំឯកសារសរុបមិនត្រូវលើសពី 5MB ទេ។</t>
        </is>
      </c>
      <c r="F1668" s="3" t="n"/>
      <c r="G1668" s="3" t="inlineStr">
        <is>
          <t>ទំហំឯកសារសរុបមិនត្រូវលើសពី 5MB ទេ។</t>
        </is>
      </c>
      <c r="H1668" t="inlineStr">
        <is>
          <t>ទំហំឯកសារសរុបមិនត្រូវលើសពី 5MB ទេ។</t>
        </is>
      </c>
      <c r="I1668" s="217" t="inlineStr">
        <is>
          <t>"debit.upload_error_max_size": "ទំហំឯកសារសរុបមិនត្រូវលើសពី 5MB ទេ។",</t>
        </is>
      </c>
      <c r="N1668" s="163" t="n"/>
    </row>
    <row r="1669" ht="15.75" customHeight="1" s="305">
      <c r="A1669" s="219" t="inlineStr">
        <is>
          <t>debit.upload_modal_subtitle</t>
        </is>
      </c>
      <c r="B1669" s="219" t="inlineStr">
        <is>
          <t>Tối đa 5MB</t>
        </is>
      </c>
      <c r="C1669" s="219" t="inlineStr">
        <is>
          <t>Maximum 5MB</t>
        </is>
      </c>
      <c r="D1669" s="216">
        <f>IFERROR(__xludf.DUMMYFUNCTION("GOOGLETRANSLATE(B1669,""vi"",""km"")"),"អតិបរមា 5MB")</f>
        <v/>
      </c>
      <c r="E1669" s="3" t="inlineStr">
        <is>
          <t>អតិបរមា 5MB</t>
        </is>
      </c>
      <c r="F1669" s="3" t="n"/>
      <c r="G1669" s="3" t="inlineStr">
        <is>
          <t>អតិបរមា 5MB</t>
        </is>
      </c>
      <c r="H1669" t="inlineStr">
        <is>
          <t>អតិបរមា 5MB</t>
        </is>
      </c>
      <c r="I1669" s="217" t="inlineStr">
        <is>
          <t>"debit.upload_modal_subtitle": "អតិបរមា 5MB",</t>
        </is>
      </c>
      <c r="N1669" s="163" t="n"/>
    </row>
    <row r="1670" ht="15.75" customHeight="1" s="305">
      <c r="A1670" s="219" t="inlineStr">
        <is>
          <t>debit.upload_modal_title</t>
        </is>
      </c>
      <c r="B1670" s="219" t="inlineStr">
        <is>
          <t>Hình ảnh hoặc file pdf</t>
        </is>
      </c>
      <c r="C1670" s="219" t="inlineStr">
        <is>
          <t>Images or PDF file</t>
        </is>
      </c>
      <c r="D1670" s="216">
        <f>IFERROR(__xludf.DUMMYFUNCTION("GOOGLETRANSLATE(B1670,""vi"",""km"")"),"រូបភាព ឬឯកសារ PDF")</f>
        <v/>
      </c>
      <c r="E1670" s="3" t="inlineStr">
        <is>
          <t>រូបភាព ឬឯកសារ PDF</t>
        </is>
      </c>
      <c r="F1670" s="3" t="n"/>
      <c r="G1670" s="3" t="inlineStr">
        <is>
          <t>រូបភាព ឬឯកសារ PDF</t>
        </is>
      </c>
      <c r="H1670" t="inlineStr">
        <is>
          <t>រូបភាព ឬឯកសារ PDF</t>
        </is>
      </c>
      <c r="I1670" s="217" t="inlineStr">
        <is>
          <t>"debit.upload_modal_title": "រូបភាព ឬឯកសារ PDF",</t>
        </is>
      </c>
      <c r="N1670" s="163" t="n"/>
    </row>
    <row r="1671" ht="15.75" customHeight="1" s="305">
      <c r="A1671" s="219" t="inlineStr">
        <is>
          <t>PhanCong.codeAlreadyScanned</t>
        </is>
      </c>
      <c r="B1671" s="219" t="inlineStr">
        <is>
          <t>Mã này đã được quét</t>
        </is>
      </c>
      <c r="C1671" s="219" t="inlineStr">
        <is>
          <t>This code has already been scanned</t>
        </is>
      </c>
      <c r="D1671" s="216">
        <f>IFERROR(__xludf.DUMMYFUNCTION("GOOGLETRANSLATE(B1671,""vi"",""km"")"),"លេខកូដនេះត្រូវបានស្កេនហើយ។")</f>
        <v/>
      </c>
      <c r="E1671" s="3" t="inlineStr">
        <is>
          <t>លេខកូដនេះត្រូវបានស្កេនហើយ។</t>
        </is>
      </c>
      <c r="F1671" s="3" t="n"/>
      <c r="G1671" s="3" t="inlineStr">
        <is>
          <t>លេខកូដនេះត្រូវបានស្កេនហើយ។</t>
        </is>
      </c>
      <c r="H1671" t="inlineStr">
        <is>
          <t>លេខកូដនេះត្រូវបានស្កេនហើយ។</t>
        </is>
      </c>
      <c r="I1671" s="217" t="inlineStr">
        <is>
          <t>"PhanCong.codeAlreadyScanned": "លេខកូដនេះត្រូវបានស្កេនហើយ។",</t>
        </is>
      </c>
      <c r="N1671" s="163" t="n"/>
    </row>
    <row r="1672" ht="15.75" customHeight="1" s="305">
      <c r="A1672" s="219" t="inlineStr">
        <is>
          <t>PhanCong.complete</t>
        </is>
      </c>
      <c r="B1672" s="219" t="inlineStr">
        <is>
          <t>Hoàn thành</t>
        </is>
      </c>
      <c r="C1672" s="219" t="inlineStr">
        <is>
          <t>Complete</t>
        </is>
      </c>
      <c r="D1672" s="216">
        <f>IFERROR(__xludf.DUMMYFUNCTION("GOOGLETRANSLATE(B1672,""vi"",""km"")"),"ពេញលេញ")</f>
        <v/>
      </c>
      <c r="E1672" s="3" t="inlineStr">
        <is>
          <t>បានសម្រេច</t>
        </is>
      </c>
      <c r="F1672" s="3" t="n"/>
      <c r="G1672" s="3" t="inlineStr">
        <is>
          <t>បានបញ្ចប់</t>
        </is>
      </c>
      <c r="H1672" t="inlineStr">
        <is>
          <t>បានបញ្ចប់</t>
        </is>
      </c>
      <c r="I1672" s="217" t="inlineStr">
        <is>
          <t>"PhanCong.complete": "បានបញ្ចប់",</t>
        </is>
      </c>
      <c r="N1672" s="163" t="n"/>
    </row>
    <row r="1673" ht="15.75" customHeight="1" s="305">
      <c r="A1673" s="219" t="inlineStr">
        <is>
          <t>PhanCong.complete_assign_success</t>
        </is>
      </c>
      <c r="B1673" s="219" t="inlineStr">
        <is>
          <t>Bạn đã hoàn thành lượt phân công</t>
        </is>
      </c>
      <c r="C1673" s="219" t="inlineStr">
        <is>
          <t>You have completed the assignment</t>
        </is>
      </c>
      <c r="D1673" s="216">
        <f>IFERROR(__xludf.DUMMYFUNCTION("GOOGLETRANSLATE(B1673,""vi"",""km"")"),"អ្នកបានបញ្ចប់កិច្ចការរបស់អ្នកហើយ។")</f>
        <v/>
      </c>
      <c r="E1673" s="3" t="inlineStr">
        <is>
          <t>អ្នកបានបញ្ចប់កិច្ចការរបស់អ្នកហើយ</t>
        </is>
      </c>
      <c r="F1673" s="3" t="n"/>
      <c r="G1673" s="3" t="inlineStr">
        <is>
          <t>អ្នកបានបញ្ចប់កិច្ចការរបស់អ្នកហើយ</t>
        </is>
      </c>
      <c r="H1673" t="inlineStr">
        <is>
          <t>អ្នកបានបញ្ចប់កិច្ចការរបស់អ្នកហើយ</t>
        </is>
      </c>
      <c r="I1673" s="217" t="inlineStr">
        <is>
          <t>"PhanCong.complete_assign_success": "អ្នកបានបញ្ចប់កិច្ចការរបស់អ្នកហើយ",</t>
        </is>
      </c>
      <c r="N1673" s="163" t="n"/>
    </row>
    <row r="1674" ht="15.75" customHeight="1" s="305">
      <c r="A1674" s="219" t="inlineStr">
        <is>
          <t>PhanCong.confirm</t>
        </is>
      </c>
      <c r="B1674" s="219" t="inlineStr">
        <is>
          <t>Xác nhận</t>
        </is>
      </c>
      <c r="C1674" s="219" t="inlineStr">
        <is>
          <t>Confirm</t>
        </is>
      </c>
      <c r="D1674" s="216">
        <f>IFERROR(__xludf.DUMMYFUNCTION("GOOGLETRANSLATE(B1674,""vi"",""km"")"),"បញ្ជាក់")</f>
        <v/>
      </c>
      <c r="E1674" s="3" t="inlineStr">
        <is>
          <t>បញ្ជាក់</t>
        </is>
      </c>
      <c r="F1674" s="3" t="n"/>
      <c r="G1674" s="3" t="inlineStr">
        <is>
          <t>បញ្ជាក់</t>
        </is>
      </c>
      <c r="H1674" t="inlineStr">
        <is>
          <t>បញ្ជាក់</t>
        </is>
      </c>
      <c r="I1674" s="217" t="inlineStr">
        <is>
          <t>"PhanCong.confirm": "បញ្ជាក់",</t>
        </is>
      </c>
      <c r="N1674" s="163" t="n"/>
    </row>
    <row r="1675" ht="15.75" customHeight="1" s="305">
      <c r="A1675" s="219" t="inlineStr">
        <is>
          <t>PhanCong.donHang</t>
        </is>
      </c>
      <c r="B1675" s="219" t="inlineStr">
        <is>
          <t>đơn hàng</t>
        </is>
      </c>
      <c r="C1675" s="219" t="inlineStr">
        <is>
          <t>orders</t>
        </is>
      </c>
      <c r="D1675" s="216">
        <f>IFERROR(__xludf.DUMMYFUNCTION("GOOGLETRANSLATE(B1675,""vi"",""km"")"),"លំដាប់")</f>
        <v/>
      </c>
      <c r="E1675" s="3" t="inlineStr">
        <is>
          <t>អីវ៉ាន់</t>
        </is>
      </c>
      <c r="F1675" s="3" t="n"/>
      <c r="G1675" s="3" t="inlineStr">
        <is>
          <t>អីវ៉ាន់</t>
        </is>
      </c>
      <c r="H1675" t="inlineStr">
        <is>
          <t>អីវ៉ាន់</t>
        </is>
      </c>
      <c r="I1675" s="217" t="inlineStr">
        <is>
          <t>"PhanCong.donHang": "អីវ៉ាន់",</t>
        </is>
      </c>
      <c r="N1675" s="163" t="n"/>
    </row>
    <row r="1676" ht="15.75" customHeight="1" s="305">
      <c r="A1676" s="219" t="inlineStr">
        <is>
          <t>PhanCong.goiDien</t>
        </is>
      </c>
      <c r="B1676" s="219" t="inlineStr">
        <is>
          <t>Gọi điện</t>
        </is>
      </c>
      <c r="C1676" s="219" t="inlineStr">
        <is>
          <t>Call</t>
        </is>
      </c>
      <c r="D1676" s="216">
        <f>IFERROR(__xludf.DUMMYFUNCTION("GOOGLETRANSLATE(B1676,""vi"",""km"")"),"ធ្វើការហៅទូរស័ព្ទ")</f>
        <v/>
      </c>
      <c r="E1676" s="3" t="inlineStr">
        <is>
          <t>ហៅទូរស័ព្ទ</t>
        </is>
      </c>
      <c r="F1676" s="3" t="n"/>
      <c r="G1676" s="3" t="inlineStr">
        <is>
          <t>ហៅទូរស័ព្ទ</t>
        </is>
      </c>
      <c r="H1676" t="inlineStr">
        <is>
          <t>ហៅទូរស័ព្ទ</t>
        </is>
      </c>
      <c r="I1676" s="217" t="inlineStr">
        <is>
          <t>"PhanCong.goiDien": "ហៅទូរស័ព្ទ",</t>
        </is>
      </c>
      <c r="N1676" s="163" t="n"/>
    </row>
    <row r="1677" ht="15.75" customHeight="1" s="305">
      <c r="A1677" s="219" t="inlineStr">
        <is>
          <t>PhanCong.hangHoa</t>
        </is>
      </c>
      <c r="B1677" s="219" t="inlineStr">
        <is>
          <t>Hàng hoá</t>
        </is>
      </c>
      <c r="C1677" s="219" t="inlineStr">
        <is>
          <t>Goods</t>
        </is>
      </c>
      <c r="D1677" s="216">
        <f>IFERROR(__xludf.DUMMYFUNCTION("GOOGLETRANSLATE(B1677,""vi"",""km"")"),"ទំនិញ")</f>
        <v/>
      </c>
      <c r="E1677" s="3" t="inlineStr">
        <is>
          <t>អីវ៉ាន់</t>
        </is>
      </c>
      <c r="F1677" s="3" t="n"/>
      <c r="G1677" s="3" t="inlineStr">
        <is>
          <t>អីវ៉ាន់</t>
        </is>
      </c>
      <c r="H1677" t="inlineStr">
        <is>
          <t>អីវ៉ាន់</t>
        </is>
      </c>
      <c r="I1677" s="217" t="inlineStr">
        <is>
          <t>"PhanCong.hangHoa": "អីវ៉ាន់",</t>
        </is>
      </c>
      <c r="N1677" s="163" t="n"/>
    </row>
    <row r="1678" ht="15.75" customHeight="1" s="305">
      <c r="A1678" s="219" t="inlineStr">
        <is>
          <t>PhanCong.kien</t>
        </is>
      </c>
      <c r="B1678" s="219" t="inlineStr">
        <is>
          <t>kiện</t>
        </is>
      </c>
      <c r="C1678" s="219" t="inlineStr">
        <is>
          <t>packages</t>
        </is>
      </c>
      <c r="D1678" s="216">
        <f>IFERROR(__xludf.DUMMYFUNCTION("GOOGLETRANSLATE(B1678,""vi"",""km"")"),"បណ្តឹង")</f>
        <v/>
      </c>
      <c r="E1678" s="3" t="inlineStr">
        <is>
          <t>កញ្ចប់អីវ៉ាន់</t>
        </is>
      </c>
      <c r="F1678" s="3" t="n"/>
      <c r="G1678" s="3" t="inlineStr">
        <is>
          <t>កញ្ចប់អីវ៉ាន់</t>
        </is>
      </c>
      <c r="H1678" t="inlineStr">
        <is>
          <t>កញ្ចប់អីវ៉ាន់</t>
        </is>
      </c>
      <c r="I1678" s="217" t="inlineStr">
        <is>
          <t>"PhanCong.kien": "កញ្ចប់អីវ៉ាន់",</t>
        </is>
      </c>
      <c r="N1678" s="163" t="n"/>
    </row>
    <row r="1679" ht="15.75" customHeight="1" s="305">
      <c r="A1679" s="219" t="inlineStr">
        <is>
          <t>PhanCong.labelNguoiPhanCong</t>
        </is>
      </c>
      <c r="B1679" s="219" t="inlineStr">
        <is>
          <t>Người phân công</t>
        </is>
      </c>
      <c r="C1679" s="219" t="inlineStr">
        <is>
          <t>Assigned by</t>
        </is>
      </c>
      <c r="D1679" s="216">
        <f>IFERROR(__xludf.DUMMYFUNCTION("GOOGLETRANSLATE(B1679,""vi"",""km"")"),"អ្នកគ្រប់គ្រងភារកិច្ច")</f>
        <v/>
      </c>
      <c r="E1679" s="3" t="inlineStr">
        <is>
          <t>អ្នកចាត់ចែង</t>
        </is>
      </c>
      <c r="F1679" s="3" t="n"/>
      <c r="G1679" s="3" t="inlineStr">
        <is>
          <t>អ្នកចាត់ចែង</t>
        </is>
      </c>
      <c r="H1679" t="inlineStr">
        <is>
          <t>អ្នកចាត់ចែង</t>
        </is>
      </c>
      <c r="I1679" s="217" t="inlineStr">
        <is>
          <t>"PhanCong.labelNguoiPhanCong": "អ្នកចាត់ចែង",</t>
        </is>
      </c>
      <c r="N1679" s="163" t="n"/>
    </row>
    <row r="1680" ht="15.75" customHeight="1" s="305">
      <c r="A1680" s="219" t="inlineStr">
        <is>
          <t>PhanCong.maDonHang</t>
        </is>
      </c>
      <c r="B1680" s="219" t="inlineStr">
        <is>
          <t>Mã đơn hàng:</t>
        </is>
      </c>
      <c r="C1680" s="219" t="inlineStr">
        <is>
          <t>Order code:</t>
        </is>
      </c>
      <c r="D1680" s="216">
        <f>IFERROR(__xludf.DUMMYFUNCTION("GOOGLETRANSLATE(B1680,""vi"",""km"")"),"លេខបញ្ជាទិញ៖")</f>
        <v/>
      </c>
      <c r="E1680" s="3" t="inlineStr">
        <is>
          <t xml:space="preserve"> លេខកូដអីវ៉ាន់</t>
        </is>
      </c>
      <c r="F1680" s="3" t="n"/>
      <c r="G1680" s="3" t="inlineStr">
        <is>
          <t>លេខកូដអីវ៉ាន់</t>
        </is>
      </c>
      <c r="H1680" t="inlineStr">
        <is>
          <t>លេខកូដអីវ៉ាន់</t>
        </is>
      </c>
      <c r="I1680" s="217" t="inlineStr">
        <is>
          <t>"PhanCong.maDonHang": "លេខកូដអីវ៉ាន់",</t>
        </is>
      </c>
      <c r="N1680" s="163" t="n"/>
    </row>
    <row r="1681" ht="15.75" customHeight="1" s="305">
      <c r="A1681" s="219" t="inlineStr">
        <is>
          <t>PhanCong.ngayGioPhanCong</t>
        </is>
      </c>
      <c r="B1681" s="219" t="inlineStr">
        <is>
          <t>Ngày giờ phân công:</t>
        </is>
      </c>
      <c r="C1681" s="219" t="inlineStr">
        <is>
          <t>Assignment date &amp; time:</t>
        </is>
      </c>
      <c r="D1681" s="216">
        <f>IFERROR(__xludf.DUMMYFUNCTION("GOOGLETRANSLATE(B1681,""vi"",""km"")"),"កាលបរិច្ឆេទ និងពេលវេលានៃការចាត់តាំង៖")</f>
        <v/>
      </c>
      <c r="E1681" s="3" t="inlineStr">
        <is>
          <t>ពេលវេលានៃការចាត់ចែង</t>
        </is>
      </c>
      <c r="F1681" s="3" t="n"/>
      <c r="G1681" s="3" t="inlineStr">
        <is>
          <t>ពេលវេលានៃការចាត់ចែង</t>
        </is>
      </c>
      <c r="H1681" t="inlineStr">
        <is>
          <t>ពេលវេលានៃការចាត់ចែង</t>
        </is>
      </c>
      <c r="I1681" s="217" t="inlineStr">
        <is>
          <t>"PhanCong.ngayGioPhanCong": "ពេលវេលានៃការចាត់ចែង",</t>
        </is>
      </c>
      <c r="N1681" s="163" t="n"/>
    </row>
    <row r="1682" ht="15.75" customHeight="1" s="305">
      <c r="A1682" s="219" t="inlineStr">
        <is>
          <t>PhanCong.ngayPhanCong</t>
        </is>
      </c>
      <c r="B1682" s="219" t="inlineStr">
        <is>
          <t>Ngày phân công:</t>
        </is>
      </c>
      <c r="C1682" s="219" t="inlineStr">
        <is>
          <t>Assignment date:</t>
        </is>
      </c>
      <c r="D1682" s="216">
        <f>IFERROR(__xludf.DUMMYFUNCTION("GOOGLETRANSLATE(B1682,""vi"",""km"")"),"កាលបរិច្ឆេទនៃការចាត់តាំង៖")</f>
        <v/>
      </c>
      <c r="E1682" s="3" t="inlineStr">
        <is>
          <t>ថ្ងៃចាត់ចែង</t>
        </is>
      </c>
      <c r="F1682" s="3" t="n"/>
      <c r="G1682" s="3" t="inlineStr">
        <is>
          <t>ថ្ងៃចាត់ចែង</t>
        </is>
      </c>
      <c r="H1682" t="inlineStr">
        <is>
          <t>ថ្ងៃចាត់ចែង</t>
        </is>
      </c>
      <c r="I1682" s="217" t="inlineStr">
        <is>
          <t>"PhanCong.ngayPhanCong": "ថ្ងៃចាត់ចែង",</t>
        </is>
      </c>
      <c r="N1682" s="163" t="n"/>
    </row>
    <row r="1683" ht="15.75" customHeight="1" s="305">
      <c r="A1683" s="219" t="inlineStr">
        <is>
          <t>PhanCong.ngayTao</t>
        </is>
      </c>
      <c r="B1683" s="219" t="inlineStr">
        <is>
          <t>Ngày tạo</t>
        </is>
      </c>
      <c r="C1683" s="219" t="inlineStr">
        <is>
          <t>Created date</t>
        </is>
      </c>
      <c r="D1683" s="216">
        <f>IFERROR(__xludf.DUMMYFUNCTION("GOOGLETRANSLATE(B1683,""vi"",""km"")"),"កាលបរិច្ឆេទបង្កើត")</f>
        <v/>
      </c>
      <c r="E1683" s="3" t="inlineStr">
        <is>
          <t>ថ្ងៃបង្កើត</t>
        </is>
      </c>
      <c r="F1683" s="3" t="n"/>
      <c r="G1683" s="3" t="inlineStr">
        <is>
          <t>កាលបរិច្ឆេទបង្កើត</t>
        </is>
      </c>
      <c r="H1683" t="inlineStr">
        <is>
          <t>កាលបរិច្ឆេទបង្កើត</t>
        </is>
      </c>
      <c r="I1683" s="217" t="inlineStr">
        <is>
          <t>"PhanCong.ngayTao": "កាលបរិច្ឆេទបង្កើត",</t>
        </is>
      </c>
      <c r="N1683" s="163" t="n"/>
    </row>
    <row r="1684" ht="15.75" customHeight="1" s="305">
      <c r="A1684" s="219" t="inlineStr">
        <is>
          <t>PhanCong.nguoiPhanCong</t>
        </is>
      </c>
      <c r="B1684" s="219" t="inlineStr">
        <is>
          <t>Người phân công:</t>
        </is>
      </c>
      <c r="C1684" s="219" t="inlineStr">
        <is>
          <t>Assigned by:</t>
        </is>
      </c>
      <c r="D1684" s="216">
        <f>IFERROR(__xludf.DUMMYFUNCTION("GOOGLETRANSLATE(B1684,""vi"",""km"")"),"អ្នកគ្រប់គ្រងភារកិច្ច៖")</f>
        <v/>
      </c>
      <c r="E1684" s="3" t="inlineStr">
        <is>
          <t>អ្នកចាត់ចែង</t>
        </is>
      </c>
      <c r="F1684" s="3" t="n"/>
      <c r="G1684" s="3" t="inlineStr">
        <is>
          <t>អ្នកចាត់ចែង</t>
        </is>
      </c>
      <c r="H1684" t="inlineStr">
        <is>
          <t>អ្នកចាត់ចែង</t>
        </is>
      </c>
      <c r="I1684" s="217" t="inlineStr">
        <is>
          <t>"PhanCong.nguoiPhanCong": "អ្នកចាត់ចែង",</t>
        </is>
      </c>
      <c r="N1684" s="163" t="n"/>
    </row>
    <row r="1685" ht="15.75" customHeight="1" s="305">
      <c r="A1685" s="219" t="inlineStr">
        <is>
          <t>PhanCong.nhanThanhCong</t>
        </is>
      </c>
      <c r="B1685" s="219" t="inlineStr">
        <is>
          <t>Nhận thành công</t>
        </is>
      </c>
      <c r="C1685" s="219" t="inlineStr">
        <is>
          <t>Received successfully</t>
        </is>
      </c>
      <c r="D1685" s="216">
        <f>IFERROR(__xludf.DUMMYFUNCTION("GOOGLETRANSLATE(B1685,""vi"",""km"")"),"សម្រេចបានជោគជ័យ")</f>
        <v/>
      </c>
      <c r="E1685" s="3" t="inlineStr">
        <is>
          <t>ទទួលបានជោគជ័យ</t>
        </is>
      </c>
      <c r="F1685" s="3" t="n"/>
      <c r="G1685" s="3" t="inlineStr">
        <is>
          <t>ទទួលបានជោគជ័យ</t>
        </is>
      </c>
      <c r="H1685" t="inlineStr">
        <is>
          <t>ទទួលបានជោគជ័យ</t>
        </is>
      </c>
      <c r="I1685" s="217" t="inlineStr">
        <is>
          <t>"PhanCong.nhanThanhCong": "ទទួលបានជោគជ័យ",</t>
        </is>
      </c>
      <c r="N1685" s="163" t="n"/>
    </row>
    <row r="1686" ht="15.75" customHeight="1" s="305">
      <c r="A1686" s="219" t="inlineStr">
        <is>
          <t>PhanCong.nhanTin</t>
        </is>
      </c>
      <c r="B1686" s="219" t="inlineStr">
        <is>
          <t>Nhắn tin</t>
        </is>
      </c>
      <c r="C1686" s="219" t="inlineStr">
        <is>
          <t>Message</t>
        </is>
      </c>
      <c r="D1686" s="216">
        <f>IFERROR(__xludf.DUMMYFUNCTION("GOOGLETRANSLATE(B1686,""vi"",""km"")"),"ការផ្ញើសារជាអក្សរ")</f>
        <v/>
      </c>
      <c r="E1686" s="3" t="inlineStr">
        <is>
          <t>ផ្ញើសារ</t>
        </is>
      </c>
      <c r="F1686" s="3" t="n"/>
      <c r="G1686" s="3" t="inlineStr">
        <is>
          <t>ផ្ញើសារ</t>
        </is>
      </c>
      <c r="H1686" t="inlineStr">
        <is>
          <t>ផ្ញើសារ</t>
        </is>
      </c>
      <c r="I1686" s="217" t="inlineStr">
        <is>
          <t>"PhanCong.nhanTin": "ផ្ញើសារ",</t>
        </is>
      </c>
      <c r="N1686" s="163" t="n"/>
    </row>
    <row r="1687" ht="15.75" customHeight="1" s="305">
      <c r="A1687" s="219" t="inlineStr">
        <is>
          <t>PhanCong.processing</t>
        </is>
      </c>
      <c r="B1687" s="219" t="inlineStr">
        <is>
          <t>Đang xử lý, vui lòng chờ</t>
        </is>
      </c>
      <c r="C1687" s="219" t="inlineStr">
        <is>
          <t>Processing, please wait</t>
        </is>
      </c>
      <c r="D1687" s="216">
        <f>IFERROR(__xludf.DUMMYFUNCTION("GOOGLETRANSLATE(B1687,""vi"",""km"")"),"កំពុងដំណើរការ សូមរង់ចាំ។")</f>
        <v/>
      </c>
      <c r="E1687" s="3" t="inlineStr">
        <is>
          <t>កំពុងដំណើរការ សូមរង់ចាំ</t>
        </is>
      </c>
      <c r="F1687" s="3" t="n"/>
      <c r="G1687" s="3" t="inlineStr">
        <is>
          <t>កំពុងដំណើរការ សូមរង់ចាំ</t>
        </is>
      </c>
      <c r="H1687" t="inlineStr">
        <is>
          <t>កំពុងដំណើរការ សូមរង់ចាំ</t>
        </is>
      </c>
      <c r="I1687" s="217" t="inlineStr">
        <is>
          <t>"PhanCong.processing": "កំពុងដំណើរការ សូមរង់ចាំ",</t>
        </is>
      </c>
      <c r="N1687" s="163" t="n"/>
    </row>
    <row r="1688" ht="15.75" customHeight="1" s="305">
      <c r="A1688" s="219" t="inlineStr">
        <is>
          <t>PhanCong.quetXacNhan</t>
        </is>
      </c>
      <c r="B1688" s="219" t="inlineStr">
        <is>
          <t>Quét xác nhận</t>
        </is>
      </c>
      <c r="C1688" s="219" t="inlineStr">
        <is>
          <t>Scan to confirm</t>
        </is>
      </c>
      <c r="D1688" s="216">
        <f>IFERROR(__xludf.DUMMYFUNCTION("GOOGLETRANSLATE(B1688,""vi"",""km"")"),"ស្កេនដើម្បីបញ្ជាក់")</f>
        <v/>
      </c>
      <c r="E1688" s="3" t="inlineStr">
        <is>
          <t>ស្កេនដើម្បីបញ្ជាក់</t>
        </is>
      </c>
      <c r="F1688" s="3" t="n"/>
      <c r="G1688" s="3" t="inlineStr">
        <is>
          <t>ស្កេនដើម្បីបញ្ជាក់</t>
        </is>
      </c>
      <c r="H1688" t="inlineStr">
        <is>
          <t>ស្កេនដើម្បីបញ្ជាក់</t>
        </is>
      </c>
      <c r="I1688" s="217" t="inlineStr">
        <is>
          <t>"PhanCong.quetXacNhan": "ស្កេនដើម្បីបញ្ជាក់",</t>
        </is>
      </c>
      <c r="N1688" s="163" t="n"/>
    </row>
    <row r="1689" ht="15.75" customHeight="1" s="305">
      <c r="A1689" s="219" t="inlineStr">
        <is>
          <t>PhanCong.scanCode</t>
        </is>
      </c>
      <c r="B1689" s="219" t="inlineStr">
        <is>
          <t>Quét mã</t>
        </is>
      </c>
      <c r="C1689" s="219" t="inlineStr">
        <is>
          <t>Scan code</t>
        </is>
      </c>
      <c r="D1689" s="216">
        <f>IFERROR(__xludf.DUMMYFUNCTION("GOOGLETRANSLATE(B1689,""vi"",""km"")"),"ស្កេនលេខកូដ")</f>
        <v/>
      </c>
      <c r="E1689" s="3" t="inlineStr">
        <is>
          <t>ស្កេនលេខកូដ</t>
        </is>
      </c>
      <c r="F1689" s="3" t="n"/>
      <c r="G1689" s="3" t="inlineStr">
        <is>
          <t>ស្កេន</t>
        </is>
      </c>
      <c r="H1689" t="inlineStr">
        <is>
          <t>ស្កេន</t>
        </is>
      </c>
      <c r="I1689" s="217" t="inlineStr">
        <is>
          <t>"PhanCong.scanCode": "ស្កេន",</t>
        </is>
      </c>
      <c r="N1689" s="163" t="n"/>
    </row>
    <row r="1690" ht="15.75" customHeight="1" s="305">
      <c r="A1690" s="219" t="inlineStr">
        <is>
          <t>PhanCong.scanQRToAdd</t>
        </is>
      </c>
      <c r="B1690" s="219" t="inlineStr">
        <is>
          <t>Quét mã QR để thêm đơn</t>
        </is>
      </c>
      <c r="C1690" s="219" t="inlineStr">
        <is>
          <t>Scan QR code to add order</t>
        </is>
      </c>
      <c r="D1690" s="216">
        <f>IFERROR(__xludf.DUMMYFUNCTION("GOOGLETRANSLATE(B1690,""vi"",""km"")"),"ស្កេនលេខកូដ QR ដើម្បីបន្ថែមការបញ្ជាទិញ។")</f>
        <v/>
      </c>
      <c r="E1690" s="3" t="inlineStr">
        <is>
          <t>ស្កេនលេខកូដ QR ដើម្បីបន្ថែមការបញ្ជាអីវ៉ាន់</t>
        </is>
      </c>
      <c r="F1690" s="3" t="n"/>
      <c r="G1690" s="3" t="inlineStr">
        <is>
          <t>ស្កេនលេខកូដ QR ដើម្បីបន្ថែមការបញ្ជាអីវ៉ាន់</t>
        </is>
      </c>
      <c r="H1690" t="inlineStr">
        <is>
          <t>ស្កេនលេខកូដ QR ដើម្បីបន្ថែមការបញ្ជាអីវ៉ាន់</t>
        </is>
      </c>
      <c r="I1690" s="217" t="inlineStr">
        <is>
          <t>"PhanCong.scanQRToAdd": "ស្កេនលេខកូដ QR ដើម្បីបន្ថែមការបញ្ជាអីវ៉ាន់",</t>
        </is>
      </c>
      <c r="N1690" s="163" t="n"/>
    </row>
    <row r="1691" ht="15.75" customHeight="1" s="305">
      <c r="A1691" s="219" t="inlineStr">
        <is>
          <t>PhanCong.scanSuccess</t>
        </is>
      </c>
      <c r="B1691" s="219" t="inlineStr">
        <is>
          <t>Quét thành công:</t>
        </is>
      </c>
      <c r="C1691" s="219" t="inlineStr">
        <is>
          <t>Scan successful:</t>
        </is>
      </c>
      <c r="D1691" s="216">
        <f>IFERROR(__xludf.DUMMYFUNCTION("GOOGLETRANSLATE(B1691,""vi"",""km"")"),"ការស្កេនបានជោគជ័យ៖")</f>
        <v/>
      </c>
      <c r="E1691" s="3" t="inlineStr">
        <is>
          <t>ការស្កេនបានជោគជ័យ៖</t>
        </is>
      </c>
      <c r="F1691" s="3" t="n"/>
      <c r="G1691" s="3" t="inlineStr">
        <is>
          <t>ការស្កេនបានជោគជ័យ៖</t>
        </is>
      </c>
      <c r="H1691" t="inlineStr">
        <is>
          <t>ការស្កេនបានជោគជ័យ៖</t>
        </is>
      </c>
      <c r="I1691" s="217" t="inlineStr">
        <is>
          <t>"PhanCong.scanSuccess": "ការស្កេនបានជោគជ័យ៖",</t>
        </is>
      </c>
      <c r="N1691" s="163" t="n"/>
    </row>
    <row r="1692" ht="15.75" customHeight="1" s="305">
      <c r="A1692" s="219" t="inlineStr">
        <is>
          <t>PhanCong.sdtDuocPhanCong</t>
        </is>
      </c>
      <c r="B1692" s="219" t="inlineStr">
        <is>
          <t>SĐT được phân công</t>
        </is>
      </c>
      <c r="C1692" s="219" t="inlineStr">
        <is>
          <t>Assigned phone number</t>
        </is>
      </c>
      <c r="D1692" s="216">
        <f>IFERROR(__xludf.DUMMYFUNCTION("GOOGLETRANSLATE(B1692,""vi"",""km"")"),"លេខទូរស័ព្ទដែលបានកំណត់")</f>
        <v/>
      </c>
      <c r="E1692" s="3" t="inlineStr">
        <is>
          <t>លេខទូរស័ព្ទដែលបានចាត់ចែង</t>
        </is>
      </c>
      <c r="F1692" s="3" t="n"/>
      <c r="G1692" s="3" t="inlineStr">
        <is>
          <t>លេខទូរស័ព្ទដែលបានចាត់ចែង</t>
        </is>
      </c>
      <c r="H1692" t="inlineStr">
        <is>
          <t>លេខទូរស័ព្ទដែលបានចាត់ចែង</t>
        </is>
      </c>
      <c r="I1692" s="217" t="inlineStr">
        <is>
          <t>"PhanCong.sdtDuocPhanCong": "លេខទូរស័ព្ទដែលបានចាត់ចែង",</t>
        </is>
      </c>
      <c r="N1692" s="163" t="n"/>
    </row>
    <row r="1693" ht="15.75" customHeight="1" s="305">
      <c r="A1693" s="219" t="inlineStr">
        <is>
          <t>PhanCong.soLuongDaNhan</t>
        </is>
      </c>
      <c r="B1693" s="219" t="inlineStr">
        <is>
          <t>Số lượng đã nhận:</t>
        </is>
      </c>
      <c r="C1693" s="219" t="inlineStr">
        <is>
          <t>Received quantity:</t>
        </is>
      </c>
      <c r="D1693" s="216">
        <f>IFERROR(__xludf.DUMMYFUNCTION("GOOGLETRANSLATE(B1693,""vi"",""km"")"),"បរិមាណដែលទទួលបាន៖")</f>
        <v/>
      </c>
      <c r="E1693" s="3" t="inlineStr">
        <is>
          <t>បរិមាណដែលទទួលបាន៖</t>
        </is>
      </c>
      <c r="F1693" s="3" t="n"/>
      <c r="G1693" s="3" t="inlineStr">
        <is>
          <t>បរិមាណដែលទទួលបាន៖</t>
        </is>
      </c>
      <c r="H1693" t="inlineStr">
        <is>
          <t>បរិមាណដែលទទួលបាន៖</t>
        </is>
      </c>
      <c r="I1693" s="217" t="inlineStr">
        <is>
          <t>"PhanCong.soLuongDaNhan": "បរិមាណដែលទទួលបាន៖",</t>
        </is>
      </c>
      <c r="N1693" s="163" t="n"/>
    </row>
    <row r="1694" ht="15.75" customHeight="1" s="305">
      <c r="A1694" s="219" t="inlineStr">
        <is>
          <t>PhanCong.soLuongDonHang</t>
        </is>
      </c>
      <c r="B1694" s="219" t="inlineStr">
        <is>
          <t>Số lượng đơn hàng</t>
        </is>
      </c>
      <c r="C1694" s="219" t="inlineStr">
        <is>
          <t>Number of orders</t>
        </is>
      </c>
      <c r="D1694" s="216">
        <f>IFERROR(__xludf.DUMMYFUNCTION("GOOGLETRANSLATE(B1694,""vi"",""km"")"),"ចំនួននៃការបញ្ជាទិញ")</f>
        <v/>
      </c>
      <c r="E1694" s="3" t="inlineStr">
        <is>
          <t>ចំនួនអីវ៉ាន់</t>
        </is>
      </c>
      <c r="F1694" s="3" t="n"/>
      <c r="G1694" s="3" t="inlineStr">
        <is>
          <t>ចំនួនអីវ៉ាន់</t>
        </is>
      </c>
      <c r="H1694" t="inlineStr">
        <is>
          <t>ចំនួនអីវ៉ាន់</t>
        </is>
      </c>
      <c r="I1694" s="217" t="inlineStr">
        <is>
          <t>"PhanCong.soLuongDonHang": "ចំនួនអីវ៉ាន់",</t>
        </is>
      </c>
      <c r="N1694" s="163" t="n"/>
    </row>
    <row r="1695" ht="15.75" customHeight="1" s="305">
      <c r="A1695" s="219" t="inlineStr">
        <is>
          <t>PhanCong.tenHang</t>
        </is>
      </c>
      <c r="B1695" s="219" t="inlineStr">
        <is>
          <t>Tên hàng</t>
        </is>
      </c>
      <c r="C1695" s="219" t="inlineStr">
        <is>
          <t>Item name</t>
        </is>
      </c>
      <c r="D1695" s="216">
        <f>IFERROR(__xludf.DUMMYFUNCTION("GOOGLETRANSLATE(B1695,""vi"",""km"")"),"ឈ្មោះផលិតផល")</f>
        <v/>
      </c>
      <c r="E1695" s="3" t="inlineStr">
        <is>
          <t>ឈ្មោះអីវ៉ាន់</t>
        </is>
      </c>
      <c r="F1695" s="3" t="n"/>
      <c r="G1695" s="3" t="inlineStr">
        <is>
          <t>ឈ្មោះអីវ៉ាន់</t>
        </is>
      </c>
      <c r="H1695" t="inlineStr">
        <is>
          <t>ឈ្មោះអីវ៉ាន់</t>
        </is>
      </c>
      <c r="I1695" s="217" t="inlineStr">
        <is>
          <t>"PhanCong.tenHang": "ឈ្មោះអីវ៉ាន់",</t>
        </is>
      </c>
      <c r="N1695" s="163" t="n"/>
    </row>
    <row r="1696" ht="15.75" customHeight="1" s="305">
      <c r="A1696" s="219" t="inlineStr">
        <is>
          <t>PhanCong.thongTinDonHang</t>
        </is>
      </c>
      <c r="B1696" s="219" t="inlineStr">
        <is>
          <t>Thông tin đơn hàng</t>
        </is>
      </c>
      <c r="C1696" s="219" t="inlineStr">
        <is>
          <t>Order information</t>
        </is>
      </c>
      <c r="D1696" s="216">
        <f>IFERROR(__xludf.DUMMYFUNCTION("GOOGLETRANSLATE(B1696,""vi"",""km"")"),"ព័ត៌មានការបញ្ជាទិញ")</f>
        <v/>
      </c>
      <c r="E1696" s="3" t="inlineStr">
        <is>
          <t>ព័ត៌មានអីវ៉ាន់</t>
        </is>
      </c>
      <c r="F1696" s="3" t="n"/>
      <c r="G1696" s="3" t="inlineStr">
        <is>
          <t>ព័ត៌មានអីវ៉ាន់</t>
        </is>
      </c>
      <c r="H1696" t="inlineStr">
        <is>
          <t>ព័ត៌មានអីវ៉ាន់</t>
        </is>
      </c>
      <c r="I1696" s="217" t="inlineStr">
        <is>
          <t>"PhanCong.thongTinDonHang": "ព័ត៌មានអីវ៉ាន់",</t>
        </is>
      </c>
      <c r="N1696" s="163" t="n"/>
    </row>
    <row r="1697" ht="15.75" customHeight="1" s="305">
      <c r="A1697" s="219" t="inlineStr">
        <is>
          <t>PhanCong.titleCustomFilter</t>
        </is>
      </c>
      <c r="B1697" s="219" t="inlineStr">
        <is>
          <t>Tùy chọn</t>
        </is>
      </c>
      <c r="C1697" s="219" t="inlineStr">
        <is>
          <t>Custom</t>
        </is>
      </c>
      <c r="D1697" s="216">
        <f>IFERROR(__xludf.DUMMYFUNCTION("GOOGLETRANSLATE(B1697,""vi"",""km"")"),"ជម្រើស")</f>
        <v/>
      </c>
      <c r="E1697" s="3" t="inlineStr">
        <is>
          <t>ជម្រើស</t>
        </is>
      </c>
      <c r="F1697" s="3" t="n"/>
      <c r="G1697" s="3" t="inlineStr">
        <is>
          <t>ជម្រើស</t>
        </is>
      </c>
      <c r="H1697" t="inlineStr">
        <is>
          <t>ជម្រើស</t>
        </is>
      </c>
      <c r="I1697" s="217" t="inlineStr">
        <is>
          <t>"PhanCong.titleCustomFilter": "ជម្រើស",</t>
        </is>
      </c>
      <c r="N1697" s="163" t="n"/>
    </row>
    <row r="1698" ht="15.75" customHeight="1" s="305">
      <c r="A1698" s="219" t="inlineStr">
        <is>
          <t>PhanCong.titleLast14Days</t>
        </is>
      </c>
      <c r="B1698" s="219" t="inlineStr">
        <is>
          <t>14 ngày trước</t>
        </is>
      </c>
      <c r="C1698" s="219" t="inlineStr">
        <is>
          <t>Last 14 days</t>
        </is>
      </c>
      <c r="D1698" s="216">
        <f>IFERROR(__xludf.DUMMYFUNCTION("GOOGLETRANSLATE(B1698,""vi"",""km"")"),"១៤ថ្ងៃមុន")</f>
        <v/>
      </c>
      <c r="E1698" s="3" t="inlineStr">
        <is>
          <t>១៤ថ្ងៃមុន</t>
        </is>
      </c>
      <c r="F1698" s="3" t="n"/>
      <c r="G1698" s="3" t="inlineStr">
        <is>
          <t>១៤ថ្ងៃមុន</t>
        </is>
      </c>
      <c r="H1698" t="inlineStr">
        <is>
          <t>១៤ថ្ងៃមុន</t>
        </is>
      </c>
      <c r="I1698" s="217" t="inlineStr">
        <is>
          <t>"PhanCong.titleLast14Days": "១៤ថ្ងៃមុន",</t>
        </is>
      </c>
      <c r="N1698" s="163" t="n"/>
    </row>
    <row r="1699" ht="15.75" customHeight="1" s="305">
      <c r="A1699" s="219" t="inlineStr">
        <is>
          <t>PhanCong.titleLast30Days</t>
        </is>
      </c>
      <c r="B1699" s="219" t="inlineStr">
        <is>
          <t>30 ngày trước</t>
        </is>
      </c>
      <c r="C1699" s="219" t="inlineStr">
        <is>
          <t>Last 30 days</t>
        </is>
      </c>
      <c r="D1699" s="216">
        <f>IFERROR(__xludf.DUMMYFUNCTION("GOOGLETRANSLATE(B1699,""vi"",""km"")"),"៣០ថ្ងៃមុន")</f>
        <v/>
      </c>
      <c r="E1699" s="3" t="inlineStr">
        <is>
          <t>៣០ថ្ងៃមុន</t>
        </is>
      </c>
      <c r="F1699" s="3" t="n"/>
      <c r="G1699" s="3" t="inlineStr">
        <is>
          <t>៣០ថ្ងៃមុន</t>
        </is>
      </c>
      <c r="H1699" t="inlineStr">
        <is>
          <t>៣០ថ្ងៃមុន</t>
        </is>
      </c>
      <c r="I1699" s="217" t="inlineStr">
        <is>
          <t>"PhanCong.titleLast30Days": "៣០ថ្ងៃមុន",</t>
        </is>
      </c>
      <c r="N1699" s="163" t="n"/>
    </row>
    <row r="1700" ht="15.75" customHeight="1" s="305">
      <c r="A1700" s="219" t="inlineStr">
        <is>
          <t>PhanCong.titleLast7Days</t>
        </is>
      </c>
      <c r="B1700" s="219" t="inlineStr">
        <is>
          <t>7 ngày trước</t>
        </is>
      </c>
      <c r="C1700" s="219" t="inlineStr">
        <is>
          <t>Last 7 days</t>
        </is>
      </c>
      <c r="D1700" s="216">
        <f>IFERROR(__xludf.DUMMYFUNCTION("GOOGLETRANSLATE(B1700,""vi"",""km"")"),"៧ ថ្ងៃមុន")</f>
        <v/>
      </c>
      <c r="E1700" s="3" t="inlineStr">
        <is>
          <t>៧ ថ្ងៃមុន</t>
        </is>
      </c>
      <c r="F1700" s="3" t="n"/>
      <c r="G1700" s="3" t="inlineStr">
        <is>
          <t>៧ ថ្ងៃមុន</t>
        </is>
      </c>
      <c r="H1700" t="inlineStr">
        <is>
          <t>៧ ថ្ងៃមុន</t>
        </is>
      </c>
      <c r="I1700" s="217" t="inlineStr">
        <is>
          <t>"PhanCong.titleLast7Days": "៧ ថ្ងៃមុន",</t>
        </is>
      </c>
      <c r="N1700" s="163" t="n"/>
    </row>
    <row r="1701" ht="15.75" customHeight="1" s="305">
      <c r="A1701" s="219" t="inlineStr">
        <is>
          <t>PhanCong.titleLastMonth</t>
        </is>
      </c>
      <c r="B1701" s="219" t="inlineStr">
        <is>
          <t>Tháng trước</t>
        </is>
      </c>
      <c r="C1701" s="219" t="inlineStr">
        <is>
          <t>Last month</t>
        </is>
      </c>
      <c r="D1701" s="216">
        <f>IFERROR(__xludf.DUMMYFUNCTION("GOOGLETRANSLATE(B1701,""vi"",""km"")"),"ខែមុន")</f>
        <v/>
      </c>
      <c r="E1701" s="3" t="inlineStr">
        <is>
          <t>ខែមុន</t>
        </is>
      </c>
      <c r="F1701" s="3" t="n"/>
      <c r="G1701" s="3" t="inlineStr">
        <is>
          <t>ខែមុន</t>
        </is>
      </c>
      <c r="H1701" t="inlineStr">
        <is>
          <t>ខែមុន</t>
        </is>
      </c>
      <c r="I1701" s="217" t="inlineStr">
        <is>
          <t>"PhanCong.titleLastMonth": "ខែមុន",</t>
        </is>
      </c>
      <c r="N1701" s="163" t="n"/>
    </row>
    <row r="1702" ht="15.75" customHeight="1" s="305">
      <c r="A1702" s="219" t="inlineStr">
        <is>
          <t>PhanCong.titleYesterday</t>
        </is>
      </c>
      <c r="B1702" s="219" t="inlineStr">
        <is>
          <t>Hôm qua</t>
        </is>
      </c>
      <c r="C1702" s="219" t="inlineStr">
        <is>
          <t>Yesterday</t>
        </is>
      </c>
      <c r="D1702" s="216">
        <f>IFERROR(__xludf.DUMMYFUNCTION("GOOGLETRANSLATE(B1702,""vi"",""km"")"),"ម្សិលមិញ")</f>
        <v/>
      </c>
      <c r="E1702" s="3" t="inlineStr">
        <is>
          <t>ម្សិលមិញ</t>
        </is>
      </c>
      <c r="F1702" s="3" t="n"/>
      <c r="G1702" s="3" t="inlineStr">
        <is>
          <t>ម្សិលមិញ</t>
        </is>
      </c>
      <c r="H1702" t="inlineStr">
        <is>
          <t>ម្សិលមិញ</t>
        </is>
      </c>
      <c r="I1702" s="217" t="inlineStr">
        <is>
          <t>"PhanCong.titleYesterday": "ម្សិលមិញ",</t>
        </is>
      </c>
      <c r="N1702" s="163" t="n"/>
    </row>
    <row r="1703" ht="15.75" customHeight="1" s="305">
      <c r="A1703" s="219" t="inlineStr">
        <is>
          <t>PhanCong.tongPhaiThu</t>
        </is>
      </c>
      <c r="B1703" s="219" t="inlineStr">
        <is>
          <t>Tổng phải thu:</t>
        </is>
      </c>
      <c r="C1703" s="219" t="inlineStr">
        <is>
          <t>Total collectible:</t>
        </is>
      </c>
      <c r="D1703" s="216">
        <f>IFERROR(__xludf.DUMMYFUNCTION("GOOGLETRANSLATE(B1703,""vi"",""km"")"),"សរុប​បំណុល​ដែល​ត្រូវ​ទទួល​បាន៖")</f>
        <v/>
      </c>
      <c r="E1703" s="3" t="inlineStr">
        <is>
          <t>សរុប​ដែល​ត្រូវ​ទទួល​បាន៖</t>
        </is>
      </c>
      <c r="F1703" s="3" t="n"/>
      <c r="G1703" s="3" t="inlineStr">
        <is>
          <t>សរុបដែលត្រូវទទួលបាន៖</t>
        </is>
      </c>
      <c r="H1703" t="inlineStr">
        <is>
          <t>សរុបដែលត្រូវទទួលបាន៖</t>
        </is>
      </c>
      <c r="I1703" s="217" t="inlineStr">
        <is>
          <t>"PhanCong.tongPhaiThu": "សរុបដែលត្រូវទទួលបាន៖",</t>
        </is>
      </c>
      <c r="N1703" s="163" t="n"/>
    </row>
    <row r="1704" ht="15.75" customHeight="1" s="305">
      <c r="A1704" s="219" t="inlineStr">
        <is>
          <t>PhanCong.tongTienPhaiThu</t>
        </is>
      </c>
      <c r="B1704" s="219" t="inlineStr">
        <is>
          <t>Tổng tiền phải thu:</t>
        </is>
      </c>
      <c r="C1704" s="219" t="inlineStr">
        <is>
          <t>Total amount collectible:</t>
        </is>
      </c>
      <c r="D1704" s="216">
        <f>IFERROR(__xludf.DUMMYFUNCTION("GOOGLETRANSLATE(B1704,""vi"",""km"")"),"ចំនួនសរុបដែលត្រូវទទួល៖")</f>
        <v/>
      </c>
      <c r="E1704" s="3" t="inlineStr">
        <is>
          <t>សរុបទឹកប្រាក់ត្រូវទទួល៖</t>
        </is>
      </c>
      <c r="F1704" s="3" t="n"/>
      <c r="G1704" s="3" t="inlineStr">
        <is>
          <t>សរុបទឹកប្រាក់ត្រូវទទួល៖</t>
        </is>
      </c>
      <c r="H1704" t="inlineStr">
        <is>
          <t>សរុបទឹកប្រាក់ត្រូវទទួល៖</t>
        </is>
      </c>
      <c r="I1704" s="217" t="inlineStr">
        <is>
          <t>"PhanCong.tongTienPhaiThu": "សរុបទឹកប្រាក់ត្រូវទទួល៖",</t>
        </is>
      </c>
      <c r="N1704" s="163" t="n"/>
    </row>
    <row r="1705" ht="15.75" customHeight="1" s="305">
      <c r="A1705" s="219" t="inlineStr">
        <is>
          <t>PhanCong.trongLuong</t>
        </is>
      </c>
      <c r="B1705" s="219" t="inlineStr">
        <is>
          <t>Trọng lượng:</t>
        </is>
      </c>
      <c r="C1705" s="219" t="inlineStr">
        <is>
          <t>Weight:</t>
        </is>
      </c>
      <c r="D1705" s="216">
        <f>IFERROR(__xludf.DUMMYFUNCTION("GOOGLETRANSLATE(B1705,""vi"",""km"")"),"ទម្ងន់៖")</f>
        <v/>
      </c>
      <c r="E1705" s="3" t="inlineStr">
        <is>
          <t>ទម្ងន់៖</t>
        </is>
      </c>
      <c r="F1705" s="3" t="n"/>
      <c r="G1705" s="3" t="inlineStr">
        <is>
          <t>ទម្ងន់៖</t>
        </is>
      </c>
      <c r="H1705" t="inlineStr">
        <is>
          <t>ទម្ងន់៖</t>
        </is>
      </c>
      <c r="I1705" s="217" t="inlineStr">
        <is>
          <t>"PhanCong.trongLuong": "ទម្ងន់៖",</t>
        </is>
      </c>
      <c r="N1705" s="163" t="n"/>
    </row>
    <row r="1706" ht="15.75" customHeight="1" s="305">
      <c r="A1706" s="219" t="inlineStr">
        <is>
          <t>PhanCong.xacNhanGiao</t>
        </is>
      </c>
      <c r="B1706" s="219" t="inlineStr">
        <is>
          <t>Xác nhận giao</t>
        </is>
      </c>
      <c r="C1706" s="219" t="inlineStr">
        <is>
          <t>Confirm delivery</t>
        </is>
      </c>
      <c r="D1706" s="216">
        <f>IFERROR(__xludf.DUMMYFUNCTION("GOOGLETRANSLATE(B1706,""vi"",""km"")"),"បញ្ជាក់ការដឹកជញ្ជូន")</f>
        <v/>
      </c>
      <c r="E1706" s="3" t="inlineStr">
        <is>
          <t>បញ្ជាក់ការដឹកជញ្ជូន</t>
        </is>
      </c>
      <c r="F1706" s="3" t="n"/>
      <c r="G1706" s="3" t="inlineStr">
        <is>
          <t>បញ្ជាក់ការដឹកជញ្ជូន</t>
        </is>
      </c>
      <c r="H1706" t="inlineStr">
        <is>
          <t>បញ្ជាក់ការដឹកជញ្ជូន</t>
        </is>
      </c>
      <c r="I1706" s="217" t="inlineStr">
        <is>
          <t>"PhanCong.xacNhanGiao": "បញ្ជាក់ការដឹកជញ្ជូន",</t>
        </is>
      </c>
      <c r="N1706" s="163" t="n"/>
    </row>
    <row r="1707" ht="15.75" customHeight="1" s="305">
      <c r="A1707" s="219" t="inlineStr">
        <is>
          <t>PhanCong.xacNhanGiaoCount</t>
        </is>
      </c>
      <c r="B1707" s="219" t="inlineStr">
        <is>
          <t>xác nhận giao</t>
        </is>
      </c>
      <c r="C1707" s="219" t="inlineStr">
        <is>
          <t>confirm delivery</t>
        </is>
      </c>
      <c r="D1707" s="216">
        <f>IFERROR(__xludf.DUMMYFUNCTION("GOOGLETRANSLATE(B1707,""vi"",""km"")"),"បញ្ជាក់ការដឹកជញ្ជូន")</f>
        <v/>
      </c>
      <c r="E1707" s="3" t="inlineStr">
        <is>
          <t>បញ្ជាក់ការដឹកជញ្ជូន</t>
        </is>
      </c>
      <c r="F1707" s="3" t="n"/>
      <c r="G1707" s="3" t="inlineStr">
        <is>
          <t>បញ្ជាក់ការដឹកជញ្ជូន</t>
        </is>
      </c>
      <c r="H1707" t="inlineStr">
        <is>
          <t>បញ្ជាក់ការដឹកជញ្ជូន</t>
        </is>
      </c>
      <c r="I1707" s="217" t="inlineStr">
        <is>
          <t>"PhanCong.xacNhanGiaoCount": "បញ្ជាក់ការដឹកជញ្ជូន",</t>
        </is>
      </c>
      <c r="N1707" s="163" t="n"/>
    </row>
    <row r="1708" ht="15.75" customHeight="1" s="305">
      <c r="A1708" s="219" t="inlineStr">
        <is>
          <t>common.boxCode</t>
        </is>
      </c>
      <c r="B1708" s="219" t="inlineStr">
        <is>
          <t>Số hộp</t>
        </is>
      </c>
      <c r="C1708" s="219" t="inlineStr">
        <is>
          <t>Box code</t>
        </is>
      </c>
      <c r="D1708" s="216">
        <f>IFERROR(__xludf.DUMMYFUNCTION("GOOGLETRANSLATE(B1708,""vi"",""km"")"),"ចំនួនប្រអប់")</f>
        <v/>
      </c>
      <c r="E1708" s="3" t="n"/>
      <c r="F1708" s="3" t="n"/>
      <c r="G1708" s="3" t="inlineStr">
        <is>
          <t>ចំនួនប្រអប់</t>
        </is>
      </c>
      <c r="H1708" t="inlineStr">
        <is>
          <t>ចំនួនប្រអប់</t>
        </is>
      </c>
      <c r="I1708" s="217" t="inlineStr">
        <is>
          <t>"common.boxCode": "ចំនួនប្រអប់",</t>
        </is>
      </c>
      <c r="N1708" s="163" t="n"/>
    </row>
    <row r="1709" ht="15.75" customHeight="1" s="305">
      <c r="A1709" s="219" t="inlineStr">
        <is>
          <t>common.thongBao</t>
        </is>
      </c>
      <c r="B1709" s="219" t="inlineStr">
        <is>
          <t>Thông báo</t>
        </is>
      </c>
      <c r="C1709" s="219" t="inlineStr">
        <is>
          <t>Notification</t>
        </is>
      </c>
      <c r="D1709" s="216">
        <f>IFERROR(__xludf.DUMMYFUNCTION("GOOGLETRANSLATE(B1709,""vi"",""km"")"),"ការជូនដំណឹង")</f>
        <v/>
      </c>
      <c r="E1709" s="3" t="n"/>
      <c r="F1709" s="3" t="n"/>
      <c r="G1709" s="3" t="inlineStr">
        <is>
          <t>ការជូនដំណឹង</t>
        </is>
      </c>
      <c r="H1709" t="inlineStr">
        <is>
          <t>ការជូនដំណឹង</t>
        </is>
      </c>
      <c r="I1709" s="217" t="inlineStr">
        <is>
          <t>"common.thongBao": "ការជូនដំណឹង",</t>
        </is>
      </c>
      <c r="N1709" s="163" t="n"/>
    </row>
    <row r="1710" ht="15.75" customHeight="1" s="305">
      <c r="A1710" s="219" t="inlineStr">
        <is>
          <t>thunhap.tongDoanhThuThang</t>
        </is>
      </c>
      <c r="B1710" s="219" t="inlineStr">
        <is>
          <t>Tổng doanh thu nhận tháng:</t>
        </is>
      </c>
      <c r="C1710" s="219" t="inlineStr">
        <is>
          <t>Total revenue received in the month:</t>
        </is>
      </c>
      <c r="D1710" s="216">
        <f>IFERROR(__xludf.DUMMYFUNCTION("GOOGLETRANSLATE(B1710,""vi"",""km"")"),"ចំណូលសរុបដែលទទួលបានក្នុងខែនេះ៖")</f>
        <v/>
      </c>
      <c r="E1710" s="3" t="n"/>
      <c r="F1710" s="3" t="n"/>
      <c r="G1710" s="3" t="inlineStr">
        <is>
          <t>ចំណូលសរុបដែលទទួលបានក្នុងខែនេះ៖</t>
        </is>
      </c>
      <c r="H1710" t="inlineStr">
        <is>
          <t>ចំណូលសរុបដែលទទួលបានក្នុងខែនេះ៖</t>
        </is>
      </c>
      <c r="I1710" s="217" t="inlineStr">
        <is>
          <t>"thunhap.tongDoanhThuThang": "ចំណូលសរុបដែលទទួលបានក្នុងខែនេះ៖",</t>
        </is>
      </c>
      <c r="N1710" s="163" t="n"/>
    </row>
    <row r="1711" ht="15.75" customHeight="1" s="305">
      <c r="A1711" s="219" t="inlineStr">
        <is>
          <t>PhanCong.allKienScannedAssignSuccess</t>
        </is>
      </c>
      <c r="B1711" s="219" t="inlineStr">
        <is>
          <t>Đã quét đủ kiện con, đơn hàng đã được thêm vào lượt phân công thành công</t>
        </is>
      </c>
      <c r="C1711" s="219" t="inlineStr">
        <is>
          <t>All packages scanned, order added to assignment successfully</t>
        </is>
      </c>
      <c r="D1711" s="216">
        <f>IFERROR(__xludf.DUMMYFUNCTION("GOOGLETRANSLATE(B1711,""vi"",""km"")"),"កញ្ចប់រងទាំងអស់ត្រូវបានស្កេន; លំដាប់ត្រូវបានបន្ថែមទៅក្នុងបញ្ជីកិច្ចការដែលទទួលបានជោគជ័យ។")</f>
        <v/>
      </c>
      <c r="E1711" s="3" t="inlineStr">
        <is>
          <t>កញ្ចប់រងទាំងអស់ត្រូវបានស្កេន; លំដាប់ត្រូវបានបន្ថែមទៅក្នុងបញ្ជីកិច្ចការដែលទទួលបានជោគជ័យ។</t>
        </is>
      </c>
      <c r="F1711" s="3" t="n"/>
      <c r="G1711" s="3" t="inlineStr">
        <is>
          <t>កញ្ចប់រងទាំងអស់ត្រូវបានស្កេន; លំដាប់ត្រូវបានបន្ថែមទៅក្នុងបញ្ជីកិច្ចការដែលទទួលបានជោគជ័យ។</t>
        </is>
      </c>
      <c r="H1711" t="inlineStr">
        <is>
          <t>កញ្ចប់រងទាំងអស់ត្រូវបានស្កេន; លំដាប់ត្រូវបានបន្ថែមទៅក្នុងបញ្ជីកិច្ចការដែលទទួលបានជោគជ័យ។</t>
        </is>
      </c>
      <c r="I1711" s="217" t="inlineStr">
        <is>
          <t>"PhanCong.allKienScannedAssignSuccess": "កញ្ចប់រងទាំងអស់ត្រូវបានស្កេន; លំដាប់ត្រូវបានបន្ថែមទៅក្នុងបញ្ជីកិច្ចការដែលទទួលបានជោគជ័យ។",</t>
        </is>
      </c>
      <c r="N1711" s="163" t="n"/>
    </row>
    <row r="1712" ht="15.75" customHeight="1" s="305">
      <c r="A1712" s="219" t="inlineStr">
        <is>
          <t>PhanCong.allKienScannedConfirmSuccess</t>
        </is>
      </c>
      <c r="B1712" s="219" t="inlineStr">
        <is>
          <t>Đã quét đủ kiện con, xác nhận giao thành công</t>
        </is>
      </c>
      <c r="C1712" s="219" t="inlineStr">
        <is>
          <t>All packages scanned, delivery confirmed successfully</t>
        </is>
      </c>
      <c r="D1712" s="216">
        <f>IFERROR(__xludf.DUMMYFUNCTION("GOOGLETRANSLATE(B1712,""vi"",""km"")"),"កញ្ចប់ទាំងអស់ត្រូវបានស្កេន ហើយការដឹកជញ្ជូនត្រូវបានបញ្ជាក់។")</f>
        <v/>
      </c>
      <c r="E1712" s="3" t="n"/>
      <c r="F1712" s="3" t="n"/>
      <c r="G1712" s="3" t="inlineStr">
        <is>
          <t>កញ្ចប់ទាំងអស់ត្រូវបានស្កេន ហើយការដឹកជញ្ជូនត្រូវបានបញ្ជាក់។</t>
        </is>
      </c>
      <c r="H1712" t="inlineStr">
        <is>
          <t>កញ្ចប់ទាំងអស់ត្រូវបានស្កេន ហើយការដឹកជញ្ជូនត្រូវបានបញ្ជាក់។</t>
        </is>
      </c>
      <c r="I1712" s="217" t="inlineStr">
        <is>
          <t>"PhanCong.allKienScannedConfirmSuccess": "កញ្ចប់ទាំងអស់ត្រូវបានស្កេន ហើយការដឹកជញ្ជូនត្រូវបានបញ្ជាក់។",</t>
        </is>
      </c>
      <c r="N1712" s="163" t="n"/>
    </row>
    <row r="1713" ht="15.75" customHeight="1" s="305">
      <c r="A1713" s="219" t="inlineStr">
        <is>
          <t>PhanCong.confirmDeleteKien</t>
        </is>
      </c>
      <c r="B1713" s="219" t="inlineStr">
        <is>
          <t>Đang trong quá trình quét kiện, bạn có muốn hủy và xóa toàn bộ kiện không?</t>
        </is>
      </c>
      <c r="C1713" s="219" t="inlineStr">
        <is>
          <t>You are currently scanning packages. Do you want to cancel and delete all packages?</t>
        </is>
      </c>
      <c r="D1713" s="216">
        <f>IFERROR(__xludf.DUMMYFUNCTION("GOOGLETRANSLATE(B1713,""vi"",""km"")"),"ខណៈពេលដែលកញ្ចប់កំពុងត្រូវបានស្កេន តើអ្នកចង់លុបចោល និងលុបកញ្ចប់ទាំងមូលដែរឬទេ?")</f>
        <v/>
      </c>
      <c r="E1713" s="3" t="n"/>
      <c r="F1713" s="3" t="n"/>
      <c r="G1713" s="3" t="inlineStr">
        <is>
          <t>ខណៈពេលដែលកញ្ចប់កំពុងត្រូវបានស្កេន តើអ្នកចង់លុបចោល និងលុបកញ្ចប់ទាំងមូលដែរឬទេ?</t>
        </is>
      </c>
      <c r="H1713" t="inlineStr">
        <is>
          <t>ខណៈពេលដែលកញ្ចប់កំពុងត្រូវបានស្កេន តើអ្នកចង់លុបចោល និងលុបកញ្ចប់ទាំងមូលដែរឬទេ?</t>
        </is>
      </c>
      <c r="I1713" s="217" t="inlineStr">
        <is>
          <t>"PhanCong.confirmDeleteKien": "ខណៈពេលដែលកញ្ចប់កំពុងត្រូវបានស្កេន តើអ្នកចង់លុបចោល និងលុបកញ្ចប់ទាំងមូលដែរឬទេ?",</t>
        </is>
      </c>
      <c r="N1713" s="163" t="n"/>
    </row>
    <row r="1714" ht="15.75" customHeight="1" s="305">
      <c r="A1714" s="219" t="inlineStr">
        <is>
          <t>PhanCong.deleteFailed</t>
        </is>
      </c>
      <c r="B1714" s="219" t="inlineStr">
        <is>
          <t>Xóa thất bại</t>
        </is>
      </c>
      <c r="C1714" s="219" t="inlineStr">
        <is>
          <t>Failed to delete</t>
        </is>
      </c>
      <c r="D1714" s="216">
        <f>IFERROR(__xludf.DUMMYFUNCTION("GOOGLETRANSLATE(B1714,""vi"",""km"")"),"ការលុបបរាជ័យ")</f>
        <v/>
      </c>
      <c r="E1714" s="3" t="n"/>
      <c r="F1714" s="3" t="n"/>
      <c r="G1714" s="3" t="inlineStr">
        <is>
          <t>ការលុបបរាជ័យ</t>
        </is>
      </c>
      <c r="H1714" t="inlineStr">
        <is>
          <t>ការលុបបរាជ័យ</t>
        </is>
      </c>
      <c r="I1714" s="217" t="inlineStr">
        <is>
          <t>"PhanCong.deleteFailed": "ការលុបបរាជ័យ",</t>
        </is>
      </c>
      <c r="N1714" s="163" t="n"/>
    </row>
    <row r="1715" ht="15.75" customHeight="1" s="305">
      <c r="A1715" s="219" t="inlineStr">
        <is>
          <t>PhanCong.fetchKienListError</t>
        </is>
      </c>
      <c r="B1715" s="219" t="inlineStr">
        <is>
          <t>Lỗi khi lấy danh sách kiện con</t>
        </is>
      </c>
      <c r="C1715" s="219" t="inlineStr">
        <is>
          <t>Error fetching child package list</t>
        </is>
      </c>
      <c r="D1715" s="216">
        <f>IFERROR(__xludf.DUMMYFUNCTION("GOOGLETRANSLATE(B1715,""vi"",""km"")"),"កំហុសនៅពេលទាញយកបញ្ជីបណ្តឹងប្រឆាំងនឹងកុមារ។")</f>
        <v/>
      </c>
      <c r="E1715" s="3" t="n"/>
      <c r="F1715" s="3" t="n"/>
      <c r="G1715" s="3" t="inlineStr">
        <is>
          <t>កំហុសក្នុងការទាញយកបញ្ជីកញ្ចប់រង។</t>
        </is>
      </c>
      <c r="H1715" t="inlineStr">
        <is>
          <t>កំហុសក្នុងការទាញយកបញ្ជីកញ្ចប់រង។</t>
        </is>
      </c>
      <c r="I1715" s="217" t="inlineStr">
        <is>
          <t>"PhanCong.fetchKienListError": "កំហុសក្នុងការទាញយកបញ្ជីកញ្ចប់រង។",</t>
        </is>
      </c>
      <c r="N1715" s="163" t="n"/>
    </row>
    <row r="1716" ht="15.75" customHeight="1" s="305">
      <c r="A1716" s="219" t="inlineStr">
        <is>
          <t>PhanCong.invalidKienCode</t>
        </is>
      </c>
      <c r="B1716" s="219" t="inlineStr">
        <is>
          <t>Mã quét không thuộc danh sách kiện con</t>
        </is>
      </c>
      <c r="C1716" s="219" t="inlineStr">
        <is>
          <t>Scanned code does not belong to child packages</t>
        </is>
      </c>
      <c r="D1716" s="216">
        <f>IFERROR(__xludf.DUMMYFUNCTION("GOOGLETRANSLATE(B1716,""vi"",""km"")"),"លេខកូដ QR មិនមាននៅក្នុងបញ្ជីនៃអនុច្បាប់ទេ។")</f>
        <v/>
      </c>
      <c r="E1716" s="3" t="n"/>
      <c r="F1716" s="3" t="n"/>
      <c r="G1716" s="3" t="inlineStr">
        <is>
          <t>លេខកូដ QR មិនមាននៅក្នុងបញ្ជីនៃអនុច្បាប់ទេ។</t>
        </is>
      </c>
      <c r="H1716" t="inlineStr">
        <is>
          <t>លេខកូដ QR មិនមាននៅក្នុងបញ្ជីនៃអនុច្បាប់ទេ។</t>
        </is>
      </c>
      <c r="I1716" s="217" t="inlineStr">
        <is>
          <t>"PhanCong.invalidKienCode": "លេខកូដ QR មិនមាននៅក្នុងបញ្ជីនៃអនុច្បាប់ទេ។",</t>
        </is>
      </c>
      <c r="N1716" s="163" t="n"/>
    </row>
    <row r="1717" ht="15.75" customHeight="1" s="305">
      <c r="A1717" s="219" t="inlineStr">
        <is>
          <t>PhanCong.kienModalAfter</t>
        </is>
      </c>
      <c r="B1717" s="219" t="inlineStr">
        <is>
          <t>gồm {{count}} kiện con, bạn có muốn xác nhận giao cả {{count}} kiện không?</t>
        </is>
      </c>
      <c r="C1717" s="219" t="inlineStr">
        <is>
          <t>includes {{count}} child packages. Do you want to confirm delivery of all {{count}} packages?</t>
        </is>
      </c>
      <c r="D1717" s="216">
        <f>IFERROR(__xludf.DUMMYFUNCTION("GOOGLETRANSLATE(B1717,""vi"",""km"")"),"រួមទាំងកញ្ចប់រង {{count}} តើអ្នកចង់បញ្ជាក់ការដឹកជញ្ជូនកញ្ចប់ {{count}} ទាំងអស់ដែរឬទេ?")</f>
        <v/>
      </c>
      <c r="E1717" s="3" t="n"/>
      <c r="F1717" s="3" t="n"/>
      <c r="G1717" s="3" t="inlineStr">
        <is>
          <t>រួមទាំងកញ្ចប់រង {{count}} តើអ្នកចង់បញ្ជាក់ការដឹកជញ្ជូនកញ្ចប់ {{count}} ទាំងអស់ដែរឬទេ?</t>
        </is>
      </c>
      <c r="H1717" t="inlineStr">
        <is>
          <t>រួមទាំងកញ្ចប់រង {{count}} តើអ្នកចង់បញ្ជាក់ការដឹកជញ្ជូនកញ្ចប់ {{count}} ទាំងអស់ដែរឬទេ?</t>
        </is>
      </c>
      <c r="I1717" s="217" t="inlineStr">
        <is>
          <t>"PhanCong.kienModalAfter": "រួមទាំងកញ្ចប់រង {{count}} តើអ្នកចង់បញ្ជាក់ការដឹកជញ្ជូនកញ្ចប់ {{count}} ទាំងអស់ដែរឬទេ?",</t>
        </is>
      </c>
      <c r="N1717" s="163" t="n"/>
    </row>
    <row r="1718" ht="15.75" customHeight="1" s="305">
      <c r="A1718" s="219" t="inlineStr">
        <is>
          <t>PhanCong.kienModalAfterAssign</t>
        </is>
      </c>
      <c r="B1718" s="219" t="inlineStr">
        <is>
          <t>gồm {{count}} kiện con, bạn có muốn phân công phát cả {{count}} kiện không?</t>
        </is>
      </c>
      <c r="C1718" s="219" t="inlineStr">
        <is>
          <t>includes {{count}} child packages. Do you want to assign all {{count}} packages for delivery?</t>
        </is>
      </c>
      <c r="D1718" s="216">
        <f>IFERROR(__xludf.DUMMYFUNCTION("GOOGLETRANSLATE(B1718,""vi"",""km"")"),"វារួមបញ្ចូលទាំងកញ្ចប់រង {{count}}។ តើអ្នកចង់ចាត់តាំងការដឹកជញ្ជូនកញ្ចប់ {{count}} ទាំងអស់ដែរឬទេ?")</f>
        <v/>
      </c>
      <c r="E1718" s="3" t="n"/>
      <c r="F1718" s="3" t="n"/>
      <c r="G1718" s="3" t="inlineStr">
        <is>
          <t>វារួមបញ្ចូលទាំងកញ្ចប់រង {{count}}។ តើអ្នកចង់ចាត់តាំងការដឹកជញ្ជូនកញ្ចប់ {{count}} ទាំងអស់ដែរឬទេ?</t>
        </is>
      </c>
      <c r="H1718" t="inlineStr">
        <is>
          <t>វារួមបញ្ចូលទាំងកញ្ចប់រង {{count}}។ តើអ្នកចង់ចាត់តាំងការដឹកជញ្ជូនកញ្ចប់ {{count}} ទាំងអស់ដែរឬទេ?</t>
        </is>
      </c>
      <c r="I1718" s="217" t="inlineStr">
        <is>
          <t>"PhanCong.kienModalAfterAssign": "វារួមបញ្ចូលទាំងកញ្ចប់រង {{count}}។ តើអ្នកចង់ចាត់តាំងការដឹកជញ្ជូនកញ្ចប់ {{count}} ទាំងអស់ដែរឬទេ?",</t>
        </is>
      </c>
      <c r="N1718" s="163" t="n"/>
    </row>
    <row r="1719" ht="15.75" customHeight="1" s="305">
      <c r="A1719" s="219" t="inlineStr">
        <is>
          <t>PhanCong.kienModalBefore</t>
        </is>
      </c>
      <c r="B1719" s="219" t="inlineStr">
        <is>
          <t>Bưu gửi</t>
        </is>
      </c>
      <c r="C1719" s="219" t="inlineStr">
        <is>
          <t>This shipment has</t>
        </is>
      </c>
      <c r="D1719" s="216">
        <f>IFERROR(__xludf.DUMMYFUNCTION("GOOGLETRANSLATE(B1719,""vi"",""km"")"),"វត្ថុប្រៃសណីយ៍")</f>
        <v/>
      </c>
      <c r="E1719" s="3" t="n"/>
      <c r="F1719" s="3" t="n"/>
      <c r="G1719" s="3" t="inlineStr">
        <is>
          <t>វត្ថុប្រៃសណីយ៍</t>
        </is>
      </c>
      <c r="H1719" t="inlineStr">
        <is>
          <t>វត្ថុប្រៃសណីយ៍</t>
        </is>
      </c>
      <c r="I1719" s="217" t="inlineStr">
        <is>
          <t>"PhanCong.kienModalBefore": "វត្ថុប្រៃសណីយ៍",</t>
        </is>
      </c>
      <c r="N1719" s="163" t="n"/>
    </row>
    <row r="1720" ht="15.75" customHeight="1" s="305">
      <c r="A1720" s="219" t="inlineStr">
        <is>
          <t>PhanCong.removeSuccess</t>
        </is>
      </c>
      <c r="B1720" s="219" t="inlineStr">
        <is>
          <t>Xóa đơn hàng thành công</t>
        </is>
      </c>
      <c r="C1720" s="219" t="inlineStr">
        <is>
          <t>Order removed successfully</t>
        </is>
      </c>
      <c r="D1720" s="216">
        <f>IFERROR(__xludf.DUMMYFUNCTION("GOOGLETRANSLATE(B1720,""vi"",""km"")"),"បានលុបការបញ្ជាទិញដោយជោគជ័យ។")</f>
        <v/>
      </c>
      <c r="E1720" s="3" t="n"/>
      <c r="F1720" s="3" t="n"/>
      <c r="G1720" s="3" t="inlineStr">
        <is>
          <t>បានលុបការបញ្ជាទិញដោយជោគជ័យ។</t>
        </is>
      </c>
      <c r="H1720" t="inlineStr">
        <is>
          <t>បានលុបការបញ្ជាទិញដោយជោគជ័យ។</t>
        </is>
      </c>
      <c r="I1720" s="217" t="inlineStr">
        <is>
          <t>"PhanCong.removeSuccess": "បានលុបការបញ្ជាទិញដោយជោគជ័យ។",</t>
        </is>
      </c>
      <c r="N1720" s="163" t="n"/>
    </row>
    <row r="1721" ht="15.75" customHeight="1" s="305">
      <c r="A1721" s="219" t="inlineStr">
        <is>
          <t>PhanCong.warningAllKienRequired</t>
        </is>
      </c>
      <c r="B1721" s="219" t="inlineStr">
        <is>
          <t>Vui lòng quét đủ kiện con trước khi hoàn thành</t>
        </is>
      </c>
      <c r="C1721" s="219" t="inlineStr">
        <is>
          <t>Please scan all child packages before completi</t>
        </is>
      </c>
      <c r="D1721" s="216">
        <f>IFERROR(__xludf.DUMMYFUNCTION("GOOGLETRANSLATE(B1721,""vi"",""km"")"),"សូមស្កេនធាតុកូនទាំងអស់មុនពេលបញ្ចប់។")</f>
        <v/>
      </c>
      <c r="E1721" s="3" t="n"/>
      <c r="F1721" s="3" t="n"/>
      <c r="G1721" s="3" t="inlineStr">
        <is>
          <t>សូមស្កេនធាតុកូនទាំងអស់មុនពេលបញ្ចប់។</t>
        </is>
      </c>
      <c r="H1721" t="inlineStr">
        <is>
          <t>សូមស្កេនធាតុកូនទាំងអស់មុនពេលបញ្ចប់។</t>
        </is>
      </c>
      <c r="I1721" s="217" t="inlineStr">
        <is>
          <t>"PhanCong.warningAllKienRequired": "សូមស្កេនធាតុកូនទាំងអស់មុនពេលបញ្ចប់។",</t>
        </is>
      </c>
      <c r="N1721" s="163" t="n"/>
    </row>
    <row r="1722" ht="15.75" customHeight="1" s="305">
      <c r="A1722" s="219" t="inlineStr">
        <is>
          <t>DongTai.addOrderToAnotherPgk</t>
        </is>
      </c>
      <c r="B1722" s="219" t="inlineStr">
        <is>
          <t>Lưu ý: Đơn hàng {{scannedBill}} đã được thêm vào tải {{actualParcelCode}}!</t>
        </is>
      </c>
      <c r="C1722" s="219" t="inlineStr">
        <is>
          <t>Note: Order {{scannedBill}} has been added to {{actualParcelCode}}!</t>
        </is>
      </c>
      <c r="D1722" s="216">
        <f>IFERROR(__xludf.DUMMYFUNCTION("GOOGLETRANSLATE(B1722,""vi"",""km"")"),"ចំណាំ៖ ការបញ្ជាទិញ {{scannedBill}} ត្រូវបានបន្ថែមទៅក្នុងបន្ទុក {{actualParcelCode}}!")</f>
        <v/>
      </c>
      <c r="E1722" s="3" t="inlineStr">
        <is>
          <t>សូមចំណាំ: បញ្ជាអីវ៉ាន់ {{scannedBill}} ត្រូវបានបន្ថែមទៅ {{actualParcelCode}}!</t>
        </is>
      </c>
      <c r="F1722" s="3" t="n"/>
      <c r="G1722" s="3" t="inlineStr">
        <is>
          <t>សូមចំណាំ: បញ្ជាអីវ៉ាន់ {{scannedBill}} ត្រូវបានបន្ថែមទៅ {{actualParcelCode}}!</t>
        </is>
      </c>
      <c r="H1722" t="inlineStr">
        <is>
          <t>សូមចំណាំ: បញ្ជាអីវ៉ាន់ {{scannedBill}} ត្រូវបានបន្ថែមទៅ {{actualParcelCode}}!</t>
        </is>
      </c>
      <c r="I1722" s="217" t="inlineStr">
        <is>
          <t>"DongTai.addOrderToAnotherPgk": "សូមចំណាំ: បញ្ជាអីវ៉ាន់ {{scannedBill}} ត្រូវបានបន្ថែមទៅ {{actualParcelCode}}!",</t>
        </is>
      </c>
      <c r="N1722" s="163" t="n"/>
    </row>
    <row r="1723" ht="15.75" customHeight="1" s="305">
      <c r="A1723" s="215" t="inlineStr">
        <is>
          <t>nhanTay.complete</t>
        </is>
      </c>
      <c r="B1723" s="215" t="inlineStr">
        <is>
          <t>Nhận thành công!</t>
        </is>
      </c>
      <c r="C1723" s="215" t="inlineStr">
        <is>
          <t>Received successfully!</t>
        </is>
      </c>
      <c r="D1723" s="216">
        <f>IFERROR(__xludf.DUMMYFUNCTION("GOOGLETRANSLATE(B1723,""vi"",""km"")"),"ទទួលបានជោគជ័យ!")</f>
        <v/>
      </c>
      <c r="G1723" s="3" t="inlineStr">
        <is>
          <t>ទទួលបានជោគជ័យ!</t>
        </is>
      </c>
      <c r="H1723" t="inlineStr">
        <is>
          <t>ទទួលបានជោគជ័យ!</t>
        </is>
      </c>
      <c r="I1723" s="217" t="inlineStr">
        <is>
          <t>"nhanTay.complete": "ទទួលបានជោគជ័យ!",</t>
        </is>
      </c>
      <c r="N1723" s="163" t="n"/>
    </row>
    <row r="1724" ht="15.75" customHeight="1" s="305">
      <c r="A1724" s="215" t="inlineStr">
        <is>
          <t>nhanTay.donNhan</t>
        </is>
      </c>
      <c r="B1724" s="215" t="inlineStr">
        <is>
          <t>Đơn hàng {{id}}</t>
        </is>
      </c>
      <c r="C1724" s="215" t="inlineStr">
        <is>
          <t>Order {{id}}</t>
        </is>
      </c>
      <c r="D1724" s="216">
        <f>IFERROR(__xludf.DUMMYFUNCTION("GOOGLETRANSLATE(B1724,""vi"",""km"")"),"លំដាប់ {{id}}")</f>
        <v/>
      </c>
      <c r="G1724" s="3" t="inlineStr">
        <is>
          <t>លំដាប់ {{id}}</t>
        </is>
      </c>
      <c r="H1724" t="inlineStr">
        <is>
          <t>លំដាប់ {{id}}</t>
        </is>
      </c>
      <c r="I1724" s="217" t="inlineStr">
        <is>
          <t>"nhanTay.donNhan": "លំដាប់ {{id}}",</t>
        </is>
      </c>
      <c r="N1724" s="163" t="n"/>
    </row>
    <row r="1725" ht="15.75" customHeight="1" s="305">
      <c r="A1725" s="215" t="inlineStr">
        <is>
          <t>nhanTay.emptyOrderDesc</t>
        </is>
      </c>
      <c r="B1725" s="215" t="inlineStr">
        <is>
          <t>Vui lòng sử dụng dấu quét để thêm đơn.</t>
        </is>
      </c>
      <c r="C1725" s="215" t="inlineStr">
        <is>
          <t>Please use the scan function to add orders.</t>
        </is>
      </c>
      <c r="D1725" s="216">
        <f>IFERROR(__xludf.DUMMYFUNCTION("GOOGLETRANSLATE(B1725,""vi"",""km"")"),"សូមប្រើប៊ូតុងស្កេនដើម្បីបន្ថែមការបញ្ជាទិញរបស់អ្នក។")</f>
        <v/>
      </c>
      <c r="G1725" s="3" t="inlineStr">
        <is>
          <t>សូមប្រើប៊ូតុងស្កេនដើម្បីបន្ថែមការបញ្ជាទិញរបស់អ្នក។</t>
        </is>
      </c>
      <c r="H1725" t="inlineStr">
        <is>
          <t>សូមប្រើប៊ូតុងស្កេនដើម្បីបន្ថែមការបញ្ជាទិញរបស់អ្នក។</t>
        </is>
      </c>
      <c r="I1725" s="217" t="inlineStr">
        <is>
          <t>"nhanTay.emptyOrderDesc": "សូមប្រើប៊ូតុងស្កេនដើម្បីបន្ថែមការបញ្ជាទិញរបស់អ្នក។",</t>
        </is>
      </c>
      <c r="N1725" s="163" t="n"/>
    </row>
    <row r="1726" ht="15.75" customHeight="1" s="305">
      <c r="A1726" s="215" t="inlineStr">
        <is>
          <t>nhanTay.emptyOrderTitle</t>
        </is>
      </c>
      <c r="B1726" s="215" t="inlineStr">
        <is>
          <t>Bạn chưa có đơn nào</t>
        </is>
      </c>
      <c r="C1726" s="215" t="inlineStr">
        <is>
          <t>You have no orders yet</t>
        </is>
      </c>
      <c r="D1726" s="216">
        <f>IFERROR(__xludf.DUMMYFUNCTION("GOOGLETRANSLATE(B1726,""vi"",""km"")"),"អ្នកមិនទាន់មានការបញ្ជាទិញនៅឡើយទេ។")</f>
        <v/>
      </c>
      <c r="G1726" s="3" t="inlineStr">
        <is>
          <t>អ្នកមិនទាន់មានការបញ្ជាទិញនៅឡើយទេ។</t>
        </is>
      </c>
      <c r="H1726" t="inlineStr">
        <is>
          <t>អ្នកមិនទាន់មានការបញ្ជាទិញនៅឡើយទេ។</t>
        </is>
      </c>
      <c r="I1726" s="217" t="inlineStr">
        <is>
          <t>"nhanTay.emptyOrderTitle": "អ្នកមិនទាន់មានការបញ្ជាទិញនៅឡើយទេ។",</t>
        </is>
      </c>
      <c r="N1726" s="163" t="n"/>
    </row>
    <row r="1727" ht="15.75" customHeight="1" s="305">
      <c r="A1727" s="215" t="inlineStr">
        <is>
          <t>nhanTay.quetDon</t>
        </is>
      </c>
      <c r="B1727" s="215" t="inlineStr">
        <is>
          <t>Quét đơn</t>
        </is>
      </c>
      <c r="C1727" s="215" t="inlineStr">
        <is>
          <t>Scan order</t>
        </is>
      </c>
      <c r="D1727" s="216">
        <f>IFERROR(__xludf.DUMMYFUNCTION("GOOGLETRANSLATE(B1727,""vi"",""km"")"),"លំដាប់ស្កេន")</f>
        <v/>
      </c>
      <c r="G1727" s="3" t="inlineStr">
        <is>
          <t>លំដាប់ស្កេន</t>
        </is>
      </c>
      <c r="H1727" t="inlineStr">
        <is>
          <t>លំដាប់ស្កេន</t>
        </is>
      </c>
      <c r="I1727" s="217" t="inlineStr">
        <is>
          <t>"nhanTay.quetDon": "លំដាប់ស្កេន",</t>
        </is>
      </c>
      <c r="N1727" s="163" t="n"/>
    </row>
    <row r="1728" ht="15.75" customHeight="1" s="305">
      <c r="A1728" s="215" t="inlineStr">
        <is>
          <t>nhanTay.tenHang</t>
        </is>
      </c>
      <c r="B1728" s="215" t="inlineStr">
        <is>
          <t>Tên hàng: {{name}}</t>
        </is>
      </c>
      <c r="C1728" s="215" t="inlineStr">
        <is>
          <t>Item name: {{name}}</t>
        </is>
      </c>
      <c r="D1728" s="216">
        <f>IFERROR(__xludf.DUMMYFUNCTION("GOOGLETRANSLATE(B1728,""vi"",""km"")"),"ឈ្មោះផលិតផល៖ {{name}}")</f>
        <v/>
      </c>
      <c r="G1728" s="3" t="inlineStr">
        <is>
          <t>ឈ្មោះផលិតផល៖ {{name}}</t>
        </is>
      </c>
      <c r="H1728" t="inlineStr">
        <is>
          <t>ឈ្មោះផលិតផល៖ {{name}}</t>
        </is>
      </c>
      <c r="I1728" s="217" t="inlineStr">
        <is>
          <t>"nhanTay.tenHang": "ឈ្មោះផលិតផល៖ {{name}}",</t>
        </is>
      </c>
      <c r="N1728" s="163" t="n"/>
    </row>
    <row r="1729" ht="15.75" customHeight="1" s="305">
      <c r="A1729" s="215" t="inlineStr">
        <is>
          <t>nhanTay.title</t>
        </is>
      </c>
      <c r="B1729" s="215" t="inlineStr">
        <is>
          <t>Nhận tay</t>
        </is>
      </c>
      <c r="C1729" s="215" t="inlineStr">
        <is>
          <t>Manual receiving</t>
        </is>
      </c>
      <c r="D1729" s="216">
        <f>IFERROR(__xludf.DUMMYFUNCTION("GOOGLETRANSLATE(B1729,""vi"",""km"")"),"ដៃ")</f>
        <v/>
      </c>
      <c r="G1729" s="3" t="inlineStr">
        <is>
          <t>ដៃ</t>
        </is>
      </c>
      <c r="H1729" t="inlineStr">
        <is>
          <t>ដៃ</t>
        </is>
      </c>
      <c r="I1729" s="217" t="inlineStr">
        <is>
          <t>"nhanTay.title": "ដៃ",</t>
        </is>
      </c>
      <c r="N1729" s="163" t="n"/>
    </row>
    <row r="1730" ht="15.75" customHeight="1" s="305">
      <c r="A1730" s="215" t="inlineStr">
        <is>
          <t>nhanTay.trongLuong</t>
        </is>
      </c>
      <c r="B1730" s="215" t="inlineStr">
        <is>
          <t>Trọng lượng: {{weight}}</t>
        </is>
      </c>
      <c r="C1730" s="215" t="inlineStr">
        <is>
          <t>Weight: {{weight}}</t>
        </is>
      </c>
      <c r="D1730" s="216">
        <f>IFERROR(__xludf.DUMMYFUNCTION("GOOGLETRANSLATE(B1730,""vi"",""km"")"),"ទម្ងន់៖ {{weight}}")</f>
        <v/>
      </c>
      <c r="G1730" s="3" t="inlineStr">
        <is>
          <t>ទម្ងន់៖ {{weight}}</t>
        </is>
      </c>
      <c r="H1730" t="inlineStr">
        <is>
          <t>ទម្ងន់៖ {{weight}}</t>
        </is>
      </c>
      <c r="I1730" s="217" t="inlineStr">
        <is>
          <t>"nhanTay.trongLuong": "ទម្ងន់៖ {{weight}}",</t>
        </is>
      </c>
      <c r="N1730" s="163" t="n"/>
    </row>
    <row r="1731" ht="15.75" customHeight="1" s="305">
      <c r="A1731" s="215" t="inlineStr">
        <is>
          <t>nhanHang.errorScanWrongProvince</t>
        </is>
      </c>
      <c r="B1731" s="215" t="inlineStr">
        <is>
          <t>Đơn hàng {{orderCode}} thuộc tỉnh {{senderProvince}}. Vui lòng quét nhận tại bưu cục cùng tỉnh.</t>
        </is>
      </c>
      <c r="C1731" s="215" t="inlineStr">
        <is>
          <t>Order {{orderCode}} belongs to {{senderProvince}}. Please scan at the post office in the same province.</t>
        </is>
      </c>
      <c r="D1731" s="216">
        <f>IFERROR(__xludf.DUMMYFUNCTION("GOOGLETRANSLATE(B1731,""vi"",""km"")"),"លេខបញ្ជាទិញ {{orderCode}} គឺមកពី {{senderProvince}}។ សូមស្កេន ហើយទៅយកនៅការិយាល័យប្រៃសណីយ៍ក្នុងខេត្តតែមួយ។")</f>
        <v/>
      </c>
      <c r="E1731" s="217" t="inlineStr">
        <is>
          <t>បុងបញ្ញើអីវ៉ាន់  {{orderCode}} ស្ថិតក្នុងខេត្ត {{senderProvince}}។ សូមស្កែនទទួលនៅសាខាប្រៃសណីយ៍ក្នុងខេត្តតែមួយ។</t>
        </is>
      </c>
      <c r="G1731" s="3" t="inlineStr">
        <is>
          <t>បុងបញ្ញើអីវ៉ាន់ {{orderCode}} ស្ថិតក្នុងខេត្ត {{senderProvince}}។ សូមស្កែនទទួលនៅសាខាប្រៃសណីយ៍ក្នុងខេត្តតែមួយ។</t>
        </is>
      </c>
      <c r="H1731" t="inlineStr">
        <is>
          <t>បុងបញ្ញើអីវ៉ាន់ {{orderCode}} ស្ថិតក្នុងខេត្ត {{senderProvince}}។ សូមស្កែនទទួលនៅសាខាប្រៃសណីយ៍ក្នុងខេត្តតែមួយ។</t>
        </is>
      </c>
      <c r="I1731" s="217" t="inlineStr">
        <is>
          <t>"nhanHang.errorScanWrongProvince": "បុងបញ្ញើអីវ៉ាន់ {{orderCode}} ស្ថិតក្នុងខេត្ត {{senderProvince}}។ សូមស្កែនទទួលនៅសាខាប្រៃសណីយ៍ក្នុងខេត្តតែមួយ។",</t>
        </is>
      </c>
      <c r="N1731" s="163" t="n"/>
    </row>
    <row r="1732" ht="15.75" customHeight="1" s="305">
      <c r="A1732" s="215" t="inlineStr">
        <is>
          <t>GiaoHang.featureInDevelopment</t>
        </is>
      </c>
      <c r="B1732" s="215" t="inlineStr">
        <is>
          <t>Chức năng Lưu kho đang được phát triển</t>
        </is>
      </c>
      <c r="C1732" s="215" t="inlineStr">
        <is>
          <t>Storage feature is under development</t>
        </is>
      </c>
      <c r="D1732" s="216">
        <f>IFERROR(__xludf.DUMMYFUNCTION("GOOGLETRANSLATE(B1732,""vi"",""km"")"),"មុខងារ​សារពើភ័ណ្ឌ​កំពុង​ស្ថិត​ក្រោម​ការ​អភិវឌ្ឍ។")</f>
        <v/>
      </c>
      <c r="G1732" s="3" t="inlineStr">
        <is>
          <t>មុខងារសារពើភ័ណ្ឌកំពុងស្ថិតក្រោមការអភិវឌ្ឍ។</t>
        </is>
      </c>
      <c r="H1732" t="inlineStr">
        <is>
          <t>មុខងារសារពើភ័ណ្ឌកំពុងស្ថិតក្រោមការអភិវឌ្ឍ។</t>
        </is>
      </c>
      <c r="I1732" s="217" t="inlineStr">
        <is>
          <t>"GiaoHang.featureInDevelopment": "មុខងារសារពើភ័ណ្ឌកំពុងស្ថិតក្រោមការអភិវឌ្ឍ។",</t>
        </is>
      </c>
      <c r="N1732" s="163" t="n"/>
    </row>
    <row r="1733" ht="15.75" customHeight="1" s="305">
      <c r="A1733" s="215" t="inlineStr">
        <is>
          <t>GiaoHang.maxDaysError</t>
        </is>
      </c>
      <c r="B1733" s="215" t="inlineStr">
        <is>
          <t>Tối đa 10 ngày</t>
        </is>
      </c>
      <c r="C1733" s="215" t="inlineStr">
        <is>
          <t>Maximum 10 days</t>
        </is>
      </c>
      <c r="D1733" s="216">
        <f>IFERROR(__xludf.DUMMYFUNCTION("GOOGLETRANSLATE(B1733,""vi"",""km"")"),"អតិបរមា ១០ ថ្ងៃ")</f>
        <v/>
      </c>
      <c r="G1733" s="3" t="inlineStr">
        <is>
          <t>អតិបរមា ១០ ថ្ងៃ</t>
        </is>
      </c>
      <c r="H1733" t="inlineStr">
        <is>
          <t>អតិបរមា ១០ ថ្ងៃ</t>
        </is>
      </c>
      <c r="I1733" s="217" t="inlineStr">
        <is>
          <t>"GiaoHang.maxDaysError": "អតិបរមា ១០ ថ្ងៃ",</t>
        </is>
      </c>
      <c r="N1733" s="163" t="n"/>
    </row>
    <row r="1734" ht="15.75" customHeight="1" s="305">
      <c r="A1734" s="215" t="inlineStr">
        <is>
          <t>GiaoHang.orderCode</t>
        </is>
      </c>
      <c r="B1734" s="215" t="inlineStr">
        <is>
          <t>Mã đơn hàng:</t>
        </is>
      </c>
      <c r="C1734" s="215" t="inlineStr">
        <is>
          <t>Order code:</t>
        </is>
      </c>
      <c r="D1734" s="216">
        <f>IFERROR(__xludf.DUMMYFUNCTION("GOOGLETRANSLATE(B1734,""vi"",""km"")"),"លេខបញ្ជាទិញ៖")</f>
        <v/>
      </c>
      <c r="G1734" s="3" t="inlineStr">
        <is>
          <t>លេខបញ្ជាទិញ៖</t>
        </is>
      </c>
      <c r="H1734" t="inlineStr">
        <is>
          <t>លេខបញ្ជាទិញ៖</t>
        </is>
      </c>
      <c r="I1734" s="217" t="inlineStr">
        <is>
          <t>"GiaoHang.orderCode": "លេខបញ្ជាទិញ៖",</t>
        </is>
      </c>
      <c r="N1734" s="163" t="n"/>
    </row>
    <row r="1735" ht="15.75" customHeight="1" s="305">
      <c r="A1735" s="215" t="inlineStr">
        <is>
          <t>GiaoHang.placeholderInputDays</t>
        </is>
      </c>
      <c r="B1735" s="215" t="inlineStr">
        <is>
          <t>Nhập số ngày</t>
        </is>
      </c>
      <c r="C1735" s="215" t="inlineStr">
        <is>
          <t>Enter number of days</t>
        </is>
      </c>
      <c r="D1735" s="216">
        <f>IFERROR(__xludf.DUMMYFUNCTION("GOOGLETRANSLATE(B1735,""vi"",""km"")"),"បញ្ចូលចំនួនថ្ងៃ")</f>
        <v/>
      </c>
      <c r="G1735" s="3" t="inlineStr">
        <is>
          <t>បញ្ចូលចំនួនថ្ងៃ</t>
        </is>
      </c>
      <c r="H1735" t="inlineStr">
        <is>
          <t>បញ្ចូលចំនួនថ្ងៃ</t>
        </is>
      </c>
      <c r="I1735" s="217" t="inlineStr">
        <is>
          <t>"GiaoHang.placeholderInputDays": "បញ្ចូលចំនួនថ្ងៃ",</t>
        </is>
      </c>
      <c r="N1735" s="163" t="n"/>
    </row>
    <row r="1736" ht="15.75" customHeight="1" s="305">
      <c r="A1736" s="215" t="inlineStr">
        <is>
          <t>GiaoHang.saveStorage</t>
        </is>
      </c>
      <c r="B1736" s="215" t="inlineStr">
        <is>
          <t>Lưu kho</t>
        </is>
      </c>
      <c r="C1736" s="215" t="inlineStr">
        <is>
          <t>Store in warehouse</t>
        </is>
      </c>
      <c r="D1736" s="216">
        <f>IFERROR(__xludf.DUMMYFUNCTION("GOOGLETRANSLATE(B1736,""vi"",""km"")"),"ការផ្ទុក")</f>
        <v/>
      </c>
      <c r="G1736" s="3" t="inlineStr">
        <is>
          <t>រក្សាទុកក្នុងឃ្លាំង</t>
        </is>
      </c>
      <c r="H1736" t="inlineStr">
        <is>
          <t>រក្សាទុកក្នុងឃ្លាំង</t>
        </is>
      </c>
      <c r="I1736" s="217" t="inlineStr">
        <is>
          <t>"GiaoHang.saveStorage": "រក្សាទុកក្នុងឃ្លាំង",</t>
        </is>
      </c>
      <c r="N1736" s="163" t="n"/>
    </row>
    <row r="1737" ht="15.75" customHeight="1" s="305">
      <c r="A1737" s="215" t="inlineStr">
        <is>
          <t>GiaoHang.titleStorageDays</t>
        </is>
      </c>
      <c r="B1737" s="215" t="inlineStr">
        <is>
          <t>Số ngày lưu kho</t>
        </is>
      </c>
      <c r="C1737" s="215" t="inlineStr">
        <is>
          <t>Storage days</t>
        </is>
      </c>
      <c r="D1737" s="216">
        <f>IFERROR(__xludf.DUMMYFUNCTION("GOOGLETRANSLATE(B1737,""vi"",""km"")"),"ចំនួនថ្ងៃក្នុងការផ្ទុក")</f>
        <v/>
      </c>
      <c r="G1737" s="3" t="inlineStr">
        <is>
          <t>ចំនួនថ្ងៃក្នុងការផ្ទុក</t>
        </is>
      </c>
      <c r="H1737" t="inlineStr">
        <is>
          <t>ចំនួនថ្ងៃក្នុងការផ្ទុក</t>
        </is>
      </c>
      <c r="I1737" s="217" t="inlineStr">
        <is>
          <t>"GiaoHang.titleStorageDays": "ចំនួនថ្ងៃក្នុងការផ្ទុក",</t>
        </is>
      </c>
      <c r="N1737" s="163" t="n"/>
    </row>
    <row r="1738" ht="15.75" customHeight="1" s="305">
      <c r="A1738" s="215" t="inlineStr">
        <is>
          <t>tongGiao.storageStartTime</t>
        </is>
      </c>
      <c r="B1738" s="215" t="inlineStr">
        <is>
          <t>Hết thời gian lưu kho</t>
        </is>
      </c>
      <c r="C1738" s="215" t="inlineStr">
        <is>
          <t>Storage start time</t>
        </is>
      </c>
      <c r="D1738" s="216">
        <f>IFERROR(__xludf.DUMMYFUNCTION("GOOGLETRANSLATE(B1738,""vi"",""km"")"),"រយៈពេលផ្ទុកបានផុតកំណត់ហើយ។")</f>
        <v/>
      </c>
      <c r="G1738" s="3" t="inlineStr">
        <is>
          <t>រយៈពេលផ្ទុកបានផុតកំណត់ហើយ។</t>
        </is>
      </c>
      <c r="H1738" t="inlineStr">
        <is>
          <t>រយៈពេលផ្ទុកបានផុតកំណត់ហើយ។</t>
        </is>
      </c>
      <c r="I1738" s="217" t="inlineStr">
        <is>
          <t>"tongGiao.storageStartTime": "រយៈពេលផ្ទុកបានផុតកំណត់ហើយ។",</t>
        </is>
      </c>
      <c r="N1738" s="163" t="n"/>
    </row>
    <row r="1739" ht="15.75" customHeight="1" s="305">
      <c r="A1739" s="215" t="inlineStr">
        <is>
          <t>warningLabel.agricultural</t>
        </is>
      </c>
      <c r="B1739" s="215" t="inlineStr">
        <is>
          <t>Nông sản</t>
        </is>
      </c>
      <c r="C1739" s="215" t="inlineStr">
        <is>
          <t>AGRICULTURAL PRODUCTS</t>
        </is>
      </c>
      <c r="D1739" s="216">
        <f>IFERROR(__xludf.DUMMYFUNCTION("GOOGLETRANSLATE(B1739,""vi"",""km"")"),"ផលិតផលកសិកម្ម")</f>
        <v/>
      </c>
      <c r="E1739" s="217" t="inlineStr">
        <is>
          <t>កសិផល</t>
        </is>
      </c>
      <c r="G1739" s="3" t="inlineStr">
        <is>
          <t>កសិផល</t>
        </is>
      </c>
      <c r="H1739" t="inlineStr">
        <is>
          <t>កសិផល</t>
        </is>
      </c>
      <c r="I1739" s="217" t="inlineStr">
        <is>
          <t>"warningLabel.agricultural": "កសិផល",</t>
        </is>
      </c>
      <c r="N1739" s="163" t="n"/>
    </row>
    <row r="1740" ht="15.75" customHeight="1" s="305">
      <c r="A1740" s="215" t="inlineStr">
        <is>
          <t>warningLabel.cancel</t>
        </is>
      </c>
      <c r="B1740" s="215" t="inlineStr">
        <is>
          <t>Hủy</t>
        </is>
      </c>
      <c r="C1740" s="215" t="inlineStr">
        <is>
          <t>Cancel</t>
        </is>
      </c>
      <c r="D1740" s="216">
        <f>IFERROR(__xludf.DUMMYFUNCTION("GOOGLETRANSLATE(B1740,""vi"",""km"")"),"បោះបង់")</f>
        <v/>
      </c>
      <c r="E1740" s="217" t="inlineStr">
        <is>
          <t>បោះបង់</t>
        </is>
      </c>
      <c r="G1740" s="3" t="inlineStr">
        <is>
          <t>លុបចោល</t>
        </is>
      </c>
      <c r="H1740" t="inlineStr">
        <is>
          <t>លុបចោល</t>
        </is>
      </c>
      <c r="I1740" s="217" t="inlineStr">
        <is>
          <t>"warningLabel.cancel": "លុបចោល",</t>
        </is>
      </c>
      <c r="N1740" s="163" t="n"/>
    </row>
    <row r="1741" ht="15.75" customHeight="1" s="305">
      <c r="A1741" s="215" t="inlineStr">
        <is>
          <t>warningLabel.confirm</t>
        </is>
      </c>
      <c r="B1741" s="215" t="inlineStr">
        <is>
          <t>Xác nhận</t>
        </is>
      </c>
      <c r="C1741" s="215" t="inlineStr">
        <is>
          <t>Confirm</t>
        </is>
      </c>
      <c r="D1741" s="216">
        <f>IFERROR(__xludf.DUMMYFUNCTION("GOOGLETRANSLATE(B1741,""vi"",""km"")"),"បញ្ជាក់")</f>
        <v/>
      </c>
      <c r="E1741" s="217" t="inlineStr">
        <is>
          <t>បញ្ជាក់</t>
        </is>
      </c>
      <c r="G1741" s="3" t="inlineStr">
        <is>
          <t>បញ្ជាក់</t>
        </is>
      </c>
      <c r="H1741" t="inlineStr">
        <is>
          <t>បញ្ជាក់</t>
        </is>
      </c>
      <c r="I1741" s="217" t="inlineStr">
        <is>
          <t>"warningLabel.confirm": "បញ្ជាក់",</t>
        </is>
      </c>
      <c r="N1741" s="163" t="n"/>
    </row>
    <row r="1742" ht="15.75" customHeight="1" s="305">
      <c r="A1742" s="215" t="inlineStr">
        <is>
          <t>warningLabel.containsBatteries</t>
        </is>
      </c>
      <c r="B1742" s="215" t="inlineStr">
        <is>
          <t>Hàng có pin</t>
        </is>
      </c>
      <c r="C1742" s="215" t="inlineStr">
        <is>
          <t>CONTAINS BATTERIES</t>
        </is>
      </c>
      <c r="D1742" s="216">
        <f>IFERROR(__xludf.DUMMYFUNCTION("GOOGLETRANSLATE(B1742,""vi"",""km"")"),"វត្ថុដែលមានថ្ម")</f>
        <v/>
      </c>
      <c r="E1742" s="217" t="inlineStr">
        <is>
          <t>អីវ៉ាន់មានថ្ម</t>
        </is>
      </c>
      <c r="G1742" s="3" t="inlineStr">
        <is>
          <t>អីវ៉ាន់មានថ្ម</t>
        </is>
      </c>
      <c r="H1742" t="inlineStr">
        <is>
          <t>អីវ៉ាន់មានថ្ម</t>
        </is>
      </c>
      <c r="I1742" s="217" t="inlineStr">
        <is>
          <t>"warningLabel.containsBatteries": "អីវ៉ាន់មានថ្ម",</t>
        </is>
      </c>
      <c r="N1742" s="163" t="n"/>
    </row>
    <row r="1743" ht="15.75" customHeight="1" s="305">
      <c r="A1743" s="215" t="inlineStr">
        <is>
          <t>warningLabel.doNotStack</t>
        </is>
      </c>
      <c r="B1743" s="215" t="inlineStr">
        <is>
          <t>Không xếp chồng</t>
        </is>
      </c>
      <c r="C1743" s="215" t="inlineStr">
        <is>
          <t>DON'T STACK</t>
        </is>
      </c>
      <c r="D1743" s="216">
        <f>IFERROR(__xludf.DUMMYFUNCTION("GOOGLETRANSLATE(B1743,""vi"",""km"")"),"កុំដាក់ជង់។")</f>
        <v/>
      </c>
      <c r="E1743" s="217" t="inlineStr">
        <is>
          <t>កុំដាក់ជាន់ពីលើគ្នា</t>
        </is>
      </c>
      <c r="G1743" s="3" t="inlineStr">
        <is>
          <t>កុំដាក់ជាន់ពីលើគ្នា</t>
        </is>
      </c>
      <c r="H1743" t="inlineStr">
        <is>
          <t>កុំដាក់ជាន់ពីលើគ្នា</t>
        </is>
      </c>
      <c r="I1743" s="217" t="inlineStr">
        <is>
          <t>"warningLabel.doNotStack": "កុំដាក់ជាន់ពីលើគ្នា",</t>
        </is>
      </c>
      <c r="N1743" s="163" t="n"/>
    </row>
    <row r="1744" ht="15.75" customHeight="1" s="305">
      <c r="A1744" s="215" t="inlineStr">
        <is>
          <t>warningLabel.doNotStep</t>
        </is>
      </c>
      <c r="B1744" s="215" t="inlineStr">
        <is>
          <t>Không dẫm lên</t>
        </is>
      </c>
      <c r="C1744" s="215" t="inlineStr">
        <is>
          <t>DON'T STEP ON</t>
        </is>
      </c>
      <c r="D1744" s="216">
        <f>IFERROR(__xludf.DUMMYFUNCTION("GOOGLETRANSLATE(B1744,""vi"",""km"")"),"កុំ​ជាន់​លើ​វា។")</f>
        <v/>
      </c>
      <c r="E1744" s="217" t="inlineStr">
        <is>
          <t>សូមកុំឡើងជាន់</t>
        </is>
      </c>
      <c r="G1744" s="3" t="inlineStr">
        <is>
          <t>សូមកុំឡើងជាន់</t>
        </is>
      </c>
      <c r="H1744" t="inlineStr">
        <is>
          <t>សូមកុំឡើងជាន់</t>
        </is>
      </c>
      <c r="I1744" s="217" t="inlineStr">
        <is>
          <t>"warningLabel.doNotStep": "សូមកុំឡើងជាន់",</t>
        </is>
      </c>
      <c r="N1744" s="163" t="n"/>
    </row>
    <row r="1745" ht="15.75" customHeight="1" s="305">
      <c r="A1745" s="215" t="inlineStr">
        <is>
          <t>warningLabel.flammable</t>
        </is>
      </c>
      <c r="B1745" s="215" t="inlineStr">
        <is>
          <t>Hàng dễ cháy</t>
        </is>
      </c>
      <c r="C1745" s="215" t="inlineStr">
        <is>
          <t>FLAMMABLE GOODS</t>
        </is>
      </c>
      <c r="D1745" s="216">
        <f>IFERROR(__xludf.DUMMYFUNCTION("GOOGLETRANSLATE(B1745,""vi"",""km"")"),"ទំនិញងាយឆេះ")</f>
        <v/>
      </c>
      <c r="E1745" s="217" t="inlineStr">
        <is>
          <t>អីវ៉ាន់ងាយឆេះ</t>
        </is>
      </c>
      <c r="G1745" s="3" t="inlineStr">
        <is>
          <t>អីវ៉ាន់ងាយឆេះ</t>
        </is>
      </c>
      <c r="H1745" t="inlineStr">
        <is>
          <t>អីវ៉ាន់ងាយឆេះ</t>
        </is>
      </c>
      <c r="I1745" s="217" t="inlineStr">
        <is>
          <t>"warningLabel.flammable": "អីវ៉ាន់ងាយឆេះ",</t>
        </is>
      </c>
      <c r="N1745" s="163" t="n"/>
    </row>
    <row r="1746" ht="15.75" customHeight="1" s="305">
      <c r="A1746" s="215" t="inlineStr">
        <is>
          <t>warningLabel.fragile</t>
        </is>
      </c>
      <c r="B1746" s="215" t="inlineStr">
        <is>
          <t>Hàng dễ vỡ xin nhẹ tay</t>
        </is>
      </c>
      <c r="C1746" s="215" t="inlineStr">
        <is>
          <t>FRAGILE - HANDLE WITH CARE</t>
        </is>
      </c>
      <c r="D1746" s="216">
        <f>IFERROR(__xludf.DUMMYFUNCTION("GOOGLETRANSLATE(B1746,""vi"",""km"")"),"វត្ថុ​ងាយ​ខូច សូម​កាន់​ដោយ​ប្រុង​ប្រយ័ត្ន។")</f>
        <v/>
      </c>
      <c r="E1746" s="217" t="inlineStr">
        <is>
          <t>អីវ៉ាន់ងាយបែក\nសូមលើកដាក់ថ្នមៗ</t>
        </is>
      </c>
      <c r="G1746" s="3" t="inlineStr">
        <is>
          <t>អីវ៉ាន់ងាយបែក\nសូមលើកដាក់ថ្នមៗ</t>
        </is>
      </c>
      <c r="H1746" t="inlineStr">
        <is>
          <t>អីវ៉ាន់ងាយបែក\nសូមលើកដាក់ថ្នមៗ</t>
        </is>
      </c>
      <c r="I1746" s="217" t="inlineStr">
        <is>
          <t>"warningLabel.fragile": "អីវ៉ាន់ងាយបែក\nសូមលើកដាក់ថ្នមៗ",</t>
        </is>
      </c>
      <c r="N1746" s="163" t="n"/>
    </row>
    <row r="1747" ht="15.75" customHeight="1" s="305">
      <c r="A1747" s="215" t="inlineStr">
        <is>
          <t>warningLabel.handleWithCare</t>
        </is>
      </c>
      <c r="B1747" s="215" t="inlineStr">
        <is>
          <t>Cẩn thận khi xếp dỡ</t>
        </is>
      </c>
      <c r="C1747" s="215" t="inlineStr">
        <is>
          <t>HANDLE WITH CARE</t>
        </is>
      </c>
      <c r="D1747" s="216">
        <f>IFERROR(__xludf.DUMMYFUNCTION("GOOGLETRANSLATE(B1747,""vi"",""km"")"),"ដោះស្រាយដោយប្រុងប្រយ័ត្នក្នុងពេលផ្ទុក និងដោះចេញ។")</f>
        <v/>
      </c>
      <c r="E1747" s="217" t="inlineStr">
        <is>
          <t>សូមប្រុងប្រយ័ត្ន\nពេលលើកដាក់</t>
        </is>
      </c>
      <c r="G1747" s="3" t="inlineStr">
        <is>
          <t>សូមប្រុងប្រយ័ត្ន\nពេលលើកដាក់</t>
        </is>
      </c>
      <c r="H1747" t="inlineStr">
        <is>
          <t>សូមប្រុងប្រយ័ត្ន\nពេលលើកដាក់</t>
        </is>
      </c>
      <c r="I1747" s="217" t="inlineStr">
        <is>
          <t>"warningLabel.handleWithCare": "សូមប្រុងប្រយ័ត្ន\nពេលលើកដាក់",</t>
        </is>
      </c>
      <c r="N1747" s="163" t="n"/>
    </row>
    <row r="1748" ht="15.75" customHeight="1" s="305">
      <c r="A1748" s="215" t="inlineStr">
        <is>
          <t>warningLabel.highValue</t>
        </is>
      </c>
      <c r="B1748" s="215" t="inlineStr">
        <is>
          <t>Hàng giá trị cao</t>
        </is>
      </c>
      <c r="C1748" s="215" t="inlineStr">
        <is>
          <t>HIGH VALUE GOODS</t>
        </is>
      </c>
      <c r="D1748" s="216">
        <f>IFERROR(__xludf.DUMMYFUNCTION("GOOGLETRANSLATE(B1748,""vi"",""km"")"),"ទំនិញដែលមានតម្លៃខ្ពស់")</f>
        <v/>
      </c>
      <c r="E1748" s="217" t="inlineStr">
        <is>
          <t>អីវ៉ាន់មានតម្លៃខ្ពស់</t>
        </is>
      </c>
      <c r="G1748" s="3" t="inlineStr">
        <is>
          <t>អីវ៉ាន់មានតម្លៃខ្ពស់</t>
        </is>
      </c>
      <c r="H1748" t="inlineStr">
        <is>
          <t>អីវ៉ាន់មានតម្លៃខ្ពស់</t>
        </is>
      </c>
      <c r="I1748" s="217" t="inlineStr">
        <is>
          <t>"warningLabel.highValue": "អីវ៉ាន់មានតម្លៃខ្ពស់",</t>
        </is>
      </c>
      <c r="N1748" s="163" t="n"/>
    </row>
    <row r="1749" ht="15.75" customHeight="1" s="305">
      <c r="A1749" s="215" t="inlineStr">
        <is>
          <t>warningLabel.invoiceCert</t>
        </is>
      </c>
      <c r="B1749" s="215" t="inlineStr">
        <is>
          <t>Hóa đơn, Giấy chứng nhận</t>
        </is>
      </c>
      <c r="C1749" s="215" t="inlineStr">
        <is>
          <t>INVOICE, CERTIFICATE</t>
        </is>
      </c>
      <c r="D1749" s="216">
        <f>IFERROR(__xludf.DUMMYFUNCTION("GOOGLETRANSLATE(B1749,""vi"",""km"")"),"វិក្កយបត្រ និងវិញ្ញាបនបត្រ")</f>
        <v/>
      </c>
      <c r="E1749" s="217" t="inlineStr">
        <is>
          <t>វិក្កយបត្រ\nវិញ្ញាបនបត្រ</t>
        </is>
      </c>
      <c r="G1749" s="3" t="inlineStr">
        <is>
          <t>វិក្កយបត្រ\nវិញ្ញាបនបត្រ</t>
        </is>
      </c>
      <c r="H1749" t="inlineStr">
        <is>
          <t>វិក្កយបត្រ\nវិញ្ញាបនបត្រ</t>
        </is>
      </c>
      <c r="I1749" s="217" t="inlineStr">
        <is>
          <t>"warningLabel.invoiceCert": "វិក្កយបត្រ\nវិញ្ញាបនបត្រ",</t>
        </is>
      </c>
      <c r="N1749" s="163" t="n"/>
    </row>
    <row r="1750" ht="15.75" customHeight="1" s="305">
      <c r="A1750" s="215" t="inlineStr">
        <is>
          <t>warningLabel.keepAwayFromHeat</t>
        </is>
      </c>
      <c r="B1750" s="215" t="inlineStr">
        <is>
          <t>Tránh xa nhiệt</t>
        </is>
      </c>
      <c r="C1750" s="215" t="inlineStr">
        <is>
          <t>KEEP AWAY FROM HEAT</t>
        </is>
      </c>
      <c r="D1750" s="216">
        <f>IFERROR(__xludf.DUMMYFUNCTION("GOOGLETRANSLATE(B1750,""vi"",""km"")"),"ទុកឱ្យឆ្ងាយពីកំដៅ។")</f>
        <v/>
      </c>
      <c r="E1750" s="217" t="inlineStr">
        <is>
          <t>ជៀសវាងឆ្ងាយពីកម្ដៅ</t>
        </is>
      </c>
      <c r="G1750" s="3" t="inlineStr">
        <is>
          <t>ជៀសវាងឆ្ងាយពីកម្ដៅ</t>
        </is>
      </c>
      <c r="H1750" t="inlineStr">
        <is>
          <t>ជៀសវាងឆ្ងាយពីកម្ដៅ</t>
        </is>
      </c>
      <c r="I1750" s="217" t="inlineStr">
        <is>
          <t>"warningLabel.keepAwayFromHeat": "ជៀសវាងឆ្ងាយពីកម្ដៅ",</t>
        </is>
      </c>
      <c r="N1750" s="163" t="n"/>
    </row>
    <row r="1751" ht="15.75" customHeight="1" s="305">
      <c r="A1751" s="215" t="inlineStr">
        <is>
          <t>warningLabel.keepDry</t>
        </is>
      </c>
      <c r="B1751" s="215" t="inlineStr">
        <is>
          <t>Hàng cần giữ khô</t>
        </is>
      </c>
      <c r="C1751" s="215" t="inlineStr">
        <is>
          <t>KEEP DRY</t>
        </is>
      </c>
      <c r="D1751" s="216">
        <f>IFERROR(__xludf.DUMMYFUNCTION("GOOGLETRANSLATE(B1751,""vi"",""km"")"),"វត្ថុត្រូវទុកឱ្យស្ងួត។")</f>
        <v/>
      </c>
      <c r="E1751" s="217" t="inlineStr">
        <is>
          <t>អីវ៉ាន់ត្រូវរក្សាភាពស្ងួត</t>
        </is>
      </c>
      <c r="G1751" s="3" t="inlineStr">
        <is>
          <t>អីវ៉ាន់ត្រូវរក្សាភាពស្ងួត</t>
        </is>
      </c>
      <c r="H1751" t="inlineStr">
        <is>
          <t>អីវ៉ាន់ត្រូវរក្សាភាពស្ងួត</t>
        </is>
      </c>
      <c r="I1751" s="217" t="inlineStr">
        <is>
          <t>"warningLabel.keepDry": "អីវ៉ាន់ត្រូវរក្សាភាពស្ងួត",</t>
        </is>
      </c>
      <c r="N1751" s="163" t="n"/>
    </row>
    <row r="1752" ht="15.75" customHeight="1" s="305">
      <c r="A1752" s="215" t="inlineStr">
        <is>
          <t>warningLabel.limitQuantityMsg</t>
        </is>
      </c>
      <c r="B1752" s="215" t="inlineStr">
        <is>
          <t>Số lượng từng nhãn in không vượt quá 1000</t>
        </is>
      </c>
      <c r="C1752" s="215" t="inlineStr">
        <is>
          <t>The quantity of each label must not exceed 1,000</t>
        </is>
      </c>
      <c r="D1752" s="216">
        <f>IFERROR(__xludf.DUMMYFUNCTION("GOOGLETRANSLATE(B1752,""vi"",""km"")"),"ចំនួន​ស្លាក​ដែល​បាន​បោះពុម្ព​នីមួយៗ​មិន​ត្រូវ​លើស​ពី 1000 ទេ។")</f>
        <v/>
      </c>
      <c r="E1752" s="217" t="inlineStr">
        <is>
          <t>ចំនួនស្លាកព្រីននីមួយៗ មិនត្រូវលើសពី ១០០០ ឡើយ។</t>
        </is>
      </c>
      <c r="G1752" s="3" t="inlineStr">
        <is>
          <t>ចំនួនស្លាកព្រីននីមួយៗ មិនត្រូវលើសពី ១០០០ ឡើយ។</t>
        </is>
      </c>
      <c r="H1752" t="inlineStr">
        <is>
          <t>ចំនួនស្លាកព្រីននីមួយៗ មិនត្រូវលើសពី ១០០០ ឡើយ។</t>
        </is>
      </c>
      <c r="I1752" s="217" t="inlineStr">
        <is>
          <t>"warningLabel.limitQuantityMsg": "ចំនួនស្លាកព្រីននីមួយៗ មិនត្រូវលើសពី ១០០០ ឡើយ។",</t>
        </is>
      </c>
      <c r="N1752" s="163" t="n"/>
    </row>
    <row r="1753" ht="15.75" customHeight="1" s="305">
      <c r="A1753" s="215" t="inlineStr">
        <is>
          <t>warningLabel.liquid</t>
        </is>
      </c>
      <c r="B1753" s="215" t="inlineStr">
        <is>
          <t>Chất lỏng</t>
        </is>
      </c>
      <c r="C1753" s="215" t="inlineStr">
        <is>
          <t>LIQUID</t>
        </is>
      </c>
      <c r="D1753" s="216">
        <f>IFERROR(__xludf.DUMMYFUNCTION("GOOGLETRANSLATE(B1753,""vi"",""km"")"),"រាវ")</f>
        <v/>
      </c>
      <c r="E1753" s="217" t="inlineStr">
        <is>
          <t>សារធាតុរាវ</t>
        </is>
      </c>
      <c r="G1753" s="3" t="inlineStr">
        <is>
          <t>សារធាតុរាវ</t>
        </is>
      </c>
      <c r="H1753" t="inlineStr">
        <is>
          <t>សារធាតុរាវ</t>
        </is>
      </c>
      <c r="I1753" s="217" t="inlineStr">
        <is>
          <t>"warningLabel.liquid": "សារធាតុរាវ",</t>
        </is>
      </c>
      <c r="N1753" s="163" t="n"/>
    </row>
    <row r="1754" ht="15.75" customHeight="1" s="305">
      <c r="A1754" s="215" t="inlineStr">
        <is>
          <t>warningLabel.oversized</t>
        </is>
      </c>
      <c r="B1754" s="215" t="inlineStr">
        <is>
          <t>Hàng cồng kềnh</t>
        </is>
      </c>
      <c r="C1754" s="215" t="inlineStr">
        <is>
          <t>OVERSIZED GOODS</t>
        </is>
      </c>
      <c r="D1754" s="216">
        <f>IFERROR(__xludf.DUMMYFUNCTION("GOOGLETRANSLATE(B1754,""vi"",""km"")"),"វត្ថុធំៗ")</f>
        <v/>
      </c>
      <c r="E1754" s="217" t="inlineStr">
        <is>
          <t>អីវ៉ាន់មានទំហំធំ</t>
        </is>
      </c>
      <c r="G1754" s="3" t="inlineStr">
        <is>
          <t>អីវ៉ាន់មានទំហំធំ</t>
        </is>
      </c>
      <c r="H1754" t="inlineStr">
        <is>
          <t>អីវ៉ាន់មានទំហំធំ</t>
        </is>
      </c>
      <c r="I1754" s="217" t="inlineStr">
        <is>
          <t>"warningLabel.oversized": "អីវ៉ាន់មានទំហំធំ",</t>
        </is>
      </c>
      <c r="N1754" s="163" t="n"/>
    </row>
    <row r="1755" ht="15.75" customHeight="1" s="305">
      <c r="A1755" s="215" t="inlineStr">
        <is>
          <t>warningLabel.perishable</t>
        </is>
      </c>
      <c r="B1755" s="215" t="inlineStr">
        <is>
          <t>Hàng lạnh</t>
        </is>
      </c>
      <c r="C1755" s="215" t="inlineStr">
        <is>
          <t>PERISHABLE GOODS</t>
        </is>
      </c>
      <c r="D1755" s="216">
        <f>IFERROR(__xludf.DUMMYFUNCTION("GOOGLETRANSLATE(B1755,""vi"",""km"")"),"ទំនិញត្រជាក់")</f>
        <v/>
      </c>
      <c r="E1755" s="217" t="inlineStr">
        <is>
          <t>អីវ៉ាន់ត្រជាក់</t>
        </is>
      </c>
      <c r="G1755" s="3" t="inlineStr">
        <is>
          <t>អីវ៉ាន់ត្រជាក់</t>
        </is>
      </c>
      <c r="H1755" t="inlineStr">
        <is>
          <t>អីវ៉ាន់ត្រជាក់</t>
        </is>
      </c>
      <c r="I1755" s="217" t="inlineStr">
        <is>
          <t>"warningLabel.perishable": "អីវ៉ាន់ត្រជាក់",</t>
        </is>
      </c>
      <c r="N1755" s="163" t="n"/>
    </row>
    <row r="1756" ht="15.75" customHeight="1" s="305">
      <c r="A1756" s="215" t="inlineStr">
        <is>
          <t>warningLabel.printA6</t>
        </is>
      </c>
      <c r="B1756" s="215" t="inlineStr">
        <is>
          <t>In A6</t>
        </is>
      </c>
      <c r="C1756" s="215" t="inlineStr">
        <is>
          <t>Print A6</t>
        </is>
      </c>
      <c r="D1756" s="216">
        <f>IFERROR(__xludf.DUMMYFUNCTION("GOOGLETRANSLATE(B1756,""vi"",""km"")"),"ក្នុង A6")</f>
        <v/>
      </c>
      <c r="E1756" s="217" t="inlineStr">
        <is>
          <t>ព្រីនA6</t>
        </is>
      </c>
      <c r="G1756" s="3" t="inlineStr">
        <is>
          <t>ព្រីនA6</t>
        </is>
      </c>
      <c r="H1756" t="inlineStr">
        <is>
          <t>ព្រីនA6</t>
        </is>
      </c>
      <c r="I1756" s="217" t="inlineStr">
        <is>
          <t>"warningLabel.printA6": "ព្រីនA6",</t>
        </is>
      </c>
      <c r="N1756" s="163" t="n"/>
    </row>
    <row r="1757" ht="15.75" customHeight="1" s="305">
      <c r="A1757" s="215" t="inlineStr">
        <is>
          <t>warningLabel.printA7</t>
        </is>
      </c>
      <c r="B1757" s="215" t="inlineStr">
        <is>
          <t>In A7</t>
        </is>
      </c>
      <c r="C1757" s="215" t="inlineStr">
        <is>
          <t>Print A7</t>
        </is>
      </c>
      <c r="D1757" s="216">
        <f>IFERROR(__xludf.DUMMYFUNCTION("GOOGLETRANSLATE(B1757,""vi"",""km"")"),"នៅក្នុង A7")</f>
        <v/>
      </c>
      <c r="E1757" s="217" t="inlineStr">
        <is>
          <t>ព្រីនA7</t>
        </is>
      </c>
      <c r="G1757" s="3" t="inlineStr">
        <is>
          <t>ព្រីនA7</t>
        </is>
      </c>
      <c r="H1757" t="inlineStr">
        <is>
          <t>ព្រីនA7</t>
        </is>
      </c>
      <c r="I1757" s="217" t="inlineStr">
        <is>
          <t>"warningLabel.printA7": "ព្រីនA7",</t>
        </is>
      </c>
      <c r="N1757" s="163" t="n"/>
    </row>
    <row r="1758" ht="15.75" customHeight="1" s="305">
      <c r="A1758" s="215" t="inlineStr">
        <is>
          <t>warningLabel.printLabel</t>
        </is>
      </c>
      <c r="B1758" s="215" t="inlineStr">
        <is>
          <t>In nhãn</t>
        </is>
      </c>
      <c r="C1758" s="215" t="inlineStr">
        <is>
          <t>Print labels</t>
        </is>
      </c>
      <c r="D1758" s="216">
        <f>IFERROR(__xludf.DUMMYFUNCTION("GOOGLETRANSLATE(B1758,""vi"",""km"")"),"ការបោះពុម្ពស្លាក")</f>
        <v/>
      </c>
      <c r="E1758" s="217" t="inlineStr">
        <is>
          <t>ព្រីនស្លាក</t>
        </is>
      </c>
      <c r="G1758" s="3" t="inlineStr">
        <is>
          <t>ព្រីនផ្លាកបុង</t>
        </is>
      </c>
      <c r="H1758" t="inlineStr">
        <is>
          <t>ព្រីនផ្លាកបុង</t>
        </is>
      </c>
      <c r="I1758" s="217" t="inlineStr">
        <is>
          <t>"warningLabel.printLabel": "ព្រីនផ្លាកបុង",</t>
        </is>
      </c>
      <c r="N1758" s="163" t="n"/>
    </row>
    <row r="1759" ht="15.75" customHeight="1" s="305">
      <c r="A1759" s="215" t="inlineStr">
        <is>
          <t>warningLabel.printSettingTitle</t>
        </is>
      </c>
      <c r="B1759" s="215" t="inlineStr">
        <is>
          <t>Cài đặt in nhãn cảnh báo</t>
        </is>
      </c>
      <c r="C1759" s="215" t="inlineStr">
        <is>
          <t>Warning label print settings</t>
        </is>
      </c>
      <c r="D1759" s="216">
        <f>IFERROR(__xludf.DUMMYFUNCTION("GOOGLETRANSLATE(B1759,""vi"",""km"")"),"រៀបចំការបោះពុម្ពស្លាកសញ្ញាព្រមាន")</f>
        <v/>
      </c>
      <c r="E1759" s="217" t="inlineStr">
        <is>
          <t>ការកំណត់ព្រីនស្លាកព្រមាន</t>
        </is>
      </c>
      <c r="G1759" s="3" t="inlineStr">
        <is>
          <t>ការកំណត់ព្រីនស្លាកព្រមាន</t>
        </is>
      </c>
      <c r="H1759" t="inlineStr">
        <is>
          <t>ការកំណត់ព្រីនស្លាកព្រមាន</t>
        </is>
      </c>
      <c r="I1759" s="217" t="inlineStr">
        <is>
          <t>"warningLabel.printSettingTitle": "ការកំណត់ព្រីនស្លាកព្រមាន",</t>
        </is>
      </c>
      <c r="N1759" s="163" t="n"/>
    </row>
    <row r="1760" ht="15.75" customHeight="1" s="305">
      <c r="A1760" s="215" t="inlineStr">
        <is>
          <t>warningLabel.printSize</t>
        </is>
      </c>
      <c r="B1760" s="215" t="inlineStr">
        <is>
          <t>Loại nhãn in</t>
        </is>
      </c>
      <c r="C1760" s="215" t="inlineStr">
        <is>
          <t>Label type</t>
        </is>
      </c>
      <c r="D1760" s="216">
        <f>IFERROR(__xludf.DUMMYFUNCTION("GOOGLETRANSLATE(B1760,""vi"",""km"")"),"ប្រភេទស្លាកដែលបានបោះពុម្ព")</f>
        <v/>
      </c>
      <c r="E1760" s="217" t="inlineStr">
        <is>
          <t>ប្រភេទស្លាកព្រីន</t>
        </is>
      </c>
      <c r="G1760" s="3" t="inlineStr">
        <is>
          <t>ប្រភេទស្លាកព្រីន</t>
        </is>
      </c>
      <c r="H1760" t="inlineStr">
        <is>
          <t>ប្រភេទស្លាកព្រីន</t>
        </is>
      </c>
      <c r="I1760" s="217" t="inlineStr">
        <is>
          <t>"warningLabel.printSize": "ប្រភេទស្លាកព្រីន",</t>
        </is>
      </c>
      <c r="N1760" s="163" t="n"/>
    </row>
    <row r="1761" ht="15.75" customHeight="1" s="305">
      <c r="A1761" s="215" t="inlineStr">
        <is>
          <t>warningLabel.priorityGoods</t>
        </is>
      </c>
      <c r="B1761" s="215" t="inlineStr">
        <is>
          <t>Hàng hóa ưu tiên</t>
        </is>
      </c>
      <c r="C1761" s="215" t="inlineStr">
        <is>
          <t>PRIORITY GOODS</t>
        </is>
      </c>
      <c r="D1761" s="216">
        <f>IFERROR(__xludf.DUMMYFUNCTION("GOOGLETRANSLATE(B1761,""vi"",""km"")"),"ទំនិញអាទិភាព")</f>
        <v/>
      </c>
      <c r="E1761" s="217" t="inlineStr">
        <is>
          <t>អីវ៉ាន់អាទិភាព</t>
        </is>
      </c>
      <c r="G1761" s="3" t="inlineStr">
        <is>
          <t>អីវ៉ាន់អាទិភាព</t>
        </is>
      </c>
      <c r="H1761" t="inlineStr">
        <is>
          <t>អីវ៉ាន់អាទិភាព</t>
        </is>
      </c>
      <c r="I1761" s="217" t="inlineStr">
        <is>
          <t>"warningLabel.priorityGoods": "អីវ៉ាន់អាទិភាព",</t>
        </is>
      </c>
      <c r="N1761" s="163" t="n"/>
    </row>
    <row r="1762" ht="15.75" customHeight="1" s="305">
      <c r="A1762" s="215" t="inlineStr">
        <is>
          <t>warningLabel.quantity</t>
        </is>
      </c>
      <c r="B1762" s="215" t="inlineStr">
        <is>
          <t>Số lượng</t>
        </is>
      </c>
      <c r="C1762" s="215" t="inlineStr">
        <is>
          <t>Quantity</t>
        </is>
      </c>
      <c r="D1762" s="216">
        <f>IFERROR(__xludf.DUMMYFUNCTION("GOOGLETRANSLATE(B1762,""vi"",""km"")"),"បរិមាណ")</f>
        <v/>
      </c>
      <c r="E1762" s="217" t="inlineStr">
        <is>
          <t>បរិមាណ</t>
        </is>
      </c>
      <c r="G1762" s="3" t="inlineStr">
        <is>
          <t>បរិមាណ</t>
        </is>
      </c>
      <c r="H1762" t="inlineStr">
        <is>
          <t>បរិមាណ</t>
        </is>
      </c>
      <c r="I1762" s="217" t="inlineStr">
        <is>
          <t>"warningLabel.quantity": "បរិមាណ",</t>
        </is>
      </c>
      <c r="N1762" s="163" t="n"/>
    </row>
    <row r="1763" ht="15.75" customHeight="1" s="305">
      <c r="A1763" s="215" t="inlineStr">
        <is>
          <t>warningLabel.requireSelectLabel</t>
        </is>
      </c>
      <c r="B1763" s="215" t="inlineStr">
        <is>
          <t>Vui lòng chọn nhãn in!</t>
        </is>
      </c>
      <c r="C1763" s="215" t="inlineStr">
        <is>
          <t>Please select labels to print!</t>
        </is>
      </c>
      <c r="D1763" s="216">
        <f>IFERROR(__xludf.DUMMYFUNCTION("GOOGLETRANSLATE(B1763,""vi"",""km"")"),"សូមជ្រើសរើសស្លាកដើម្បីបោះពុម្ព!")</f>
        <v/>
      </c>
      <c r="E1763" s="217" t="inlineStr">
        <is>
          <t>សូមជ្រើសរើសស្លាកសម្រាប់ព្រីន</t>
        </is>
      </c>
      <c r="G1763" s="3" t="inlineStr">
        <is>
          <t>សូមជ្រើសរើសស្លាកសម្រាប់ព្រីន</t>
        </is>
      </c>
      <c r="H1763" t="inlineStr">
        <is>
          <t>សូមជ្រើសរើសស្លាកសម្រាប់ព្រីន</t>
        </is>
      </c>
      <c r="I1763" s="217" t="inlineStr">
        <is>
          <t>"warningLabel.requireSelectLabel": "សូមជ្រើសរើសស្លាកសម្រាប់ព្រីន",</t>
        </is>
      </c>
      <c r="N1763" s="163" t="n"/>
    </row>
    <row r="1764" ht="15.75" customHeight="1" s="305">
      <c r="A1764" s="215" t="inlineStr">
        <is>
          <t>warningLabel.selectAll</t>
        </is>
      </c>
      <c r="B1764" s="215" t="inlineStr">
        <is>
          <t>Chọn tất cả</t>
        </is>
      </c>
      <c r="C1764" s="215" t="inlineStr">
        <is>
          <t>Select all</t>
        </is>
      </c>
      <c r="D1764" s="216">
        <f>IFERROR(__xludf.DUMMYFUNCTION("GOOGLETRANSLATE(B1764,""vi"",""km"")"),"ជ្រើសរើសទាំងអស់")</f>
        <v/>
      </c>
      <c r="E1764" s="217" t="inlineStr">
        <is>
          <t>ជ្រើសរើសទាំងអស់</t>
        </is>
      </c>
      <c r="G1764" s="3" t="inlineStr">
        <is>
          <t>ជ្រើសរើសទាំងអស់</t>
        </is>
      </c>
      <c r="H1764" t="inlineStr">
        <is>
          <t>ជ្រើសរើសទាំងអស់</t>
        </is>
      </c>
      <c r="I1764" s="217" t="inlineStr">
        <is>
          <t>"warningLabel.selectAll": "ជ្រើសរើសទាំងអស់",</t>
        </is>
      </c>
      <c r="N1764" s="163" t="n"/>
    </row>
    <row r="1765" ht="15.75" customHeight="1" s="305">
      <c r="A1765" s="215" t="inlineStr">
        <is>
          <t>warningLabel.solidGoods</t>
        </is>
      </c>
      <c r="B1765" s="215" t="inlineStr">
        <is>
          <t>Hàng nguyên khối</t>
        </is>
      </c>
      <c r="C1765" s="215" t="inlineStr">
        <is>
          <t>SOLID GOODS</t>
        </is>
      </c>
      <c r="D1765" s="216">
        <f>IFERROR(__xludf.DUMMYFUNCTION("GOOGLETRANSLATE(B1765,""vi"",""km"")"),"ប្លុករឹង")</f>
        <v/>
      </c>
      <c r="E1765" s="217" t="inlineStr">
        <is>
          <t>អីវ៉ាន់ដុំតែមួយ</t>
        </is>
      </c>
      <c r="G1765" s="3" t="inlineStr">
        <is>
          <t>អីវ៉ាន់ដុំតែមួយ</t>
        </is>
      </c>
      <c r="H1765" t="inlineStr">
        <is>
          <t>អីវ៉ាន់ដុំតែមួយ</t>
        </is>
      </c>
      <c r="I1765" s="217" t="inlineStr">
        <is>
          <t>"warningLabel.solidGoods": "អីវ៉ាន់ដុំតែមួយ",</t>
        </is>
      </c>
      <c r="N1765" s="163" t="n"/>
    </row>
    <row r="1766" ht="15.75" customHeight="1" s="305">
      <c r="A1766" s="215" t="inlineStr">
        <is>
          <t>warningLabel.specialPriority</t>
        </is>
      </c>
      <c r="B1766" s="215" t="inlineStr">
        <is>
          <t>Ưu tiên đặc biệt</t>
        </is>
      </c>
      <c r="C1766" s="215" t="inlineStr">
        <is>
          <t>SPECIAL PRIORITY</t>
        </is>
      </c>
      <c r="D1766" s="216">
        <f>IFERROR(__xludf.DUMMYFUNCTION("GOOGLETRANSLATE(B1766,""vi"",""km"")"),"អាទិភាពពិសេស")</f>
        <v/>
      </c>
      <c r="E1766" s="217" t="inlineStr">
        <is>
          <t>អាទិភាពពិសេស</t>
        </is>
      </c>
      <c r="G1766" s="3" t="inlineStr">
        <is>
          <t>អាទិភាពពិសេស</t>
        </is>
      </c>
      <c r="H1766" t="inlineStr">
        <is>
          <t>អាទិភាពពិសេស</t>
        </is>
      </c>
      <c r="I1766" s="217" t="inlineStr">
        <is>
          <t>"warningLabel.specialPriority": "អាទិភាពពិសេស",</t>
        </is>
      </c>
      <c r="N1766" s="163" t="n"/>
    </row>
    <row r="1767" ht="15.75" customHeight="1" s="305">
      <c r="A1767" s="215" t="inlineStr">
        <is>
          <t>warningLabel.tenderDocs</t>
        </is>
      </c>
      <c r="B1767" s="215" t="inlineStr">
        <is>
          <t>Hồ sơ thầu</t>
        </is>
      </c>
      <c r="C1767" s="215" t="inlineStr">
        <is>
          <t>TENDER DOCUMENTS</t>
        </is>
      </c>
      <c r="D1767" s="216">
        <f>IFERROR(__xludf.DUMMYFUNCTION("GOOGLETRANSLATE(B1767,""vi"",""km"")"),"ឯកសារដេញថ្លៃ")</f>
        <v/>
      </c>
      <c r="E1767" s="217" t="inlineStr">
        <is>
          <t>ឯកសារ</t>
        </is>
      </c>
      <c r="G1767" s="3" t="inlineStr">
        <is>
          <t>ឯកសារ</t>
        </is>
      </c>
      <c r="H1767" t="inlineStr">
        <is>
          <t>ឯកសារ</t>
        </is>
      </c>
      <c r="I1767" s="217" t="inlineStr">
        <is>
          <t>"warningLabel.tenderDocs": "ឯកសារ",</t>
        </is>
      </c>
      <c r="N1767" s="163" t="n"/>
    </row>
    <row r="1768" ht="15.75" customHeight="1" s="305">
      <c r="A1768" s="215" t="inlineStr">
        <is>
          <t>warningLabel.thisSideUp</t>
        </is>
      </c>
      <c r="B1768" s="215" t="inlineStr">
        <is>
          <t>Để thẳng theo chiều mũi tên</t>
        </is>
      </c>
      <c r="C1768" s="215" t="inlineStr">
        <is>
          <t>THIS SIDE UP</t>
        </is>
      </c>
      <c r="D1768" s="216">
        <f>IFERROR(__xludf.DUMMYFUNCTION("GOOGLETRANSLATE(B1768,""vi"",""km"")"),"ដើម្បីរក្សាវាឱ្យត្រង់ សូមធ្វើតាមព្រួញ។")</f>
        <v/>
      </c>
      <c r="E1768" s="217" t="inlineStr">
        <is>
          <t>ដាក់អីវ៉ាន់\nតាមទិសដៅសញ្ញាព្រួញ</t>
        </is>
      </c>
      <c r="G1768" s="3" t="inlineStr">
        <is>
          <t>ដាក់អីវ៉ាន់\nតាមទិសដៅសញ្ញាព្រួញ</t>
        </is>
      </c>
      <c r="H1768" t="inlineStr">
        <is>
          <t>ដាក់អីវ៉ាន់\nតាមទិសដៅសញ្ញាព្រួញ</t>
        </is>
      </c>
      <c r="I1768" s="217" t="inlineStr">
        <is>
          <t>"warningLabel.thisSideUp": "ដាក់អីវ៉ាន់\nតាមទិសដៅសញ្ញាព្រួញ",</t>
        </is>
      </c>
      <c r="N1768" s="163" t="n"/>
    </row>
    <row r="1769" ht="15.75" customHeight="1" s="305">
      <c r="A1769" s="215" t="inlineStr">
        <is>
          <t>warningLabel.title</t>
        </is>
      </c>
      <c r="B1769" s="215" t="inlineStr">
        <is>
          <t>In nhãn cảnh báo</t>
        </is>
      </c>
      <c r="C1769" s="215" t="inlineStr">
        <is>
          <t>Print warning labels</t>
        </is>
      </c>
      <c r="D1769" s="216">
        <f>IFERROR(__xludf.DUMMYFUNCTION("GOOGLETRANSLATE(B1769,""vi"",""km"")"),"បោះពុម្ពស្លាកសញ្ញាព្រមាន")</f>
        <v/>
      </c>
      <c r="E1769" s="217" t="inlineStr">
        <is>
          <t>ព្រីនស្លាកព្រមាន</t>
        </is>
      </c>
      <c r="G1769" s="3" t="inlineStr">
        <is>
          <t>ព្រីនស្លាកព្រមាន</t>
        </is>
      </c>
      <c r="H1769" t="inlineStr">
        <is>
          <t>ព្រីនស្លាកព្រមាន</t>
        </is>
      </c>
      <c r="I1769" s="217" t="inlineStr">
        <is>
          <t>"warningLabel.title": "ព្រីនស្លាកព្រមាន",</t>
        </is>
      </c>
      <c r="N1769" s="163" t="n"/>
    </row>
    <row r="1770" ht="15.75" customHeight="1" s="305">
      <c r="A1770" s="215" t="inlineStr">
        <is>
          <t>warningLabel.warningLabelA6</t>
        </is>
      </c>
      <c r="B1770" s="215" t="inlineStr">
        <is>
          <t>Nhãn cảnh báo A6</t>
        </is>
      </c>
      <c r="C1770" s="215" t="inlineStr">
        <is>
          <t>Warning label A6</t>
        </is>
      </c>
      <c r="D1770" s="216">
        <f>IFERROR(__xludf.DUMMYFUNCTION("GOOGLETRANSLATE(B1770,""vi"",""km"")"),"ស្លាកសញ្ញាព្រមាន A6")</f>
        <v/>
      </c>
      <c r="E1770" s="217" t="inlineStr">
        <is>
          <t>ស្លាកព្រមាន A6</t>
        </is>
      </c>
      <c r="G1770" s="3" t="inlineStr">
        <is>
          <t>ស្លាកព្រមាន A6</t>
        </is>
      </c>
      <c r="H1770" t="inlineStr">
        <is>
          <t>ស្លាកព្រមាន A6</t>
        </is>
      </c>
      <c r="I1770" s="217" t="inlineStr">
        <is>
          <t>"warningLabel.warningLabelA6": "ស្លាកព្រមាន A6",</t>
        </is>
      </c>
      <c r="N1770" s="163" t="n"/>
    </row>
    <row r="1771" ht="15.75" customHeight="1" s="305">
      <c r="A1771" s="215" t="inlineStr">
        <is>
          <t>warningLabel.warningLabelA7</t>
        </is>
      </c>
      <c r="B1771" s="215" t="inlineStr">
        <is>
          <t>Nhãn cảnh báo A7</t>
        </is>
      </c>
      <c r="C1771" s="215" t="inlineStr">
        <is>
          <t>Warning label A7</t>
        </is>
      </c>
      <c r="D1771" s="216">
        <f>IFERROR(__xludf.DUMMYFUNCTION("GOOGLETRANSLATE(B1771,""vi"",""km"")"),"ស្លាកសញ្ញាព្រមាន A7")</f>
        <v/>
      </c>
      <c r="E1771" s="217" t="inlineStr">
        <is>
          <t>ស្លាកព្រមាន A7</t>
        </is>
      </c>
      <c r="G1771" s="3" t="inlineStr">
        <is>
          <t>ស្លាកព្រមាន A7</t>
        </is>
      </c>
      <c r="H1771" t="inlineStr">
        <is>
          <t>ស្លាកព្រមាន A7</t>
        </is>
      </c>
      <c r="I1771" s="217" t="inlineStr">
        <is>
          <t>"warningLabel.warningLabelA7": "ស្លាកព្រមាន A7",</t>
        </is>
      </c>
      <c r="N1771" s="163" t="n"/>
    </row>
    <row r="1772" ht="15.75" customHeight="1" s="305">
      <c r="A1772" s="215" t="inlineStr">
        <is>
          <t>setting.printLabel</t>
        </is>
      </c>
      <c r="B1772" s="215" t="inlineStr">
        <is>
          <t>In nhãn cảnh báo</t>
        </is>
      </c>
      <c r="C1772" s="215" t="inlineStr">
        <is>
          <t>Print warning label</t>
        </is>
      </c>
      <c r="D1772" s="216">
        <f>IFERROR(__xludf.DUMMYFUNCTION("GOOGLETRANSLATE(B1772,""vi"",""km"")"),"បោះពុម្ពស្លាកសញ្ញាព្រមាន")</f>
        <v/>
      </c>
      <c r="G1772" s="3" t="inlineStr">
        <is>
          <t>ព្រីនស្លាកសញ្ញាព្រមាន</t>
        </is>
      </c>
      <c r="H1772" t="inlineStr">
        <is>
          <t>ព្រីនស្លាកសញ្ញាព្រមាន</t>
        </is>
      </c>
      <c r="I1772" s="217" t="inlineStr">
        <is>
          <t>"setting.printLabel": "ព្រីនស្លាកសញ្ញាព្រមាន",</t>
        </is>
      </c>
      <c r="N1772" s="163" t="n"/>
    </row>
    <row r="1773" ht="15.75" customHeight="1" s="305">
      <c r="A1773" s="238" t="inlineStr">
        <is>
          <t>mainStatus.310</t>
        </is>
      </c>
      <c r="B1773" s="215" t="inlineStr">
        <is>
          <t>Đóng kiện</t>
        </is>
      </c>
      <c r="C1773" s="215" t="inlineStr">
        <is>
          <t>Package closed</t>
        </is>
      </c>
      <c r="D1773" s="216">
        <f>IFERROR(__xludf.DUMMYFUNCTION("GOOGLETRANSLATE(B1773,""vi"",""km"")"),"ការវេចខ្ចប់")</f>
        <v/>
      </c>
      <c r="E1773" s="217" t="inlineStr">
        <is>
          <t>បិទកញ្ចប់</t>
        </is>
      </c>
      <c r="G1773" s="3" t="inlineStr">
        <is>
          <t>បិទកញ្ចប់</t>
        </is>
      </c>
      <c r="H1773" t="inlineStr">
        <is>
          <t>បិទកញ្ចប់</t>
        </is>
      </c>
      <c r="I1773" s="217" t="inlineStr">
        <is>
          <t>"mainStatus.310": "បិទកញ្ចប់",</t>
        </is>
      </c>
      <c r="N1773" s="163" t="n"/>
    </row>
    <row r="1774" ht="15.75" customHeight="1" s="305">
      <c r="A1774" s="215" t="inlineStr">
        <is>
          <t>mainStatus.311</t>
        </is>
      </c>
      <c r="B1774" s="215" t="inlineStr">
        <is>
          <t>Nhận tay</t>
        </is>
      </c>
      <c r="C1774" s="215" t="inlineStr">
        <is>
          <t>Manual receiving</t>
        </is>
      </c>
      <c r="D1774" s="216">
        <f>IFERROR(__xludf.DUMMYFUNCTION("GOOGLETRANSLATE(B1774,""vi"",""km"")"),"ដៃ")</f>
        <v/>
      </c>
      <c r="E1774" s="217" t="inlineStr">
        <is>
          <t>ទទួលដោយដៃ</t>
        </is>
      </c>
      <c r="G1774" s="3" t="inlineStr">
        <is>
          <t>ទទួលដោយដៃ</t>
        </is>
      </c>
      <c r="H1774" t="inlineStr">
        <is>
          <t>ទទួលដោយដៃ</t>
        </is>
      </c>
      <c r="I1774" s="217" t="inlineStr">
        <is>
          <t>"mainStatus.311": "ទទួលដោយដៃ",</t>
        </is>
      </c>
      <c r="N1774" s="163" t="n"/>
    </row>
    <row r="1775" ht="15.75" customHeight="1" s="305">
      <c r="A1775" s="215" t="inlineStr">
        <is>
          <t>GiaoHang.changeAddressSuccessDescriptionPackage</t>
        </is>
      </c>
      <c r="B1775" s="215" t="inlineStr">
        <is>
          <t>Vui lòng in mã kiện hàng</t>
        </is>
      </c>
      <c r="C1775" s="215" t="inlineStr">
        <is>
          <t>Please print the package codes</t>
        </is>
      </c>
      <c r="D1775" s="216">
        <f>IFERROR(__xludf.DUMMYFUNCTION("GOOGLETRANSLATE(B1775,""vi"",""km"")"),"សូមបោះពុម្ពលេខកូដកញ្ចប់។")</f>
        <v/>
      </c>
      <c r="G1775" s="3" t="inlineStr">
        <is>
          <t>សូមព្រីនលេខកូដកញ្ចប់។</t>
        </is>
      </c>
      <c r="H1775" t="inlineStr">
        <is>
          <t>សូមព្រីនលេខកូដកញ្ចប់។</t>
        </is>
      </c>
      <c r="I1775" s="217" t="inlineStr">
        <is>
          <t>"GiaoHang.changeAddressSuccessDescriptionPackage": "សូមព្រីនលេខកូដកញ្ចប់។",</t>
        </is>
      </c>
      <c r="N1775" s="163" t="n"/>
    </row>
    <row r="1776" ht="15.75" customHeight="1" s="305">
      <c r="A1776" s="215" t="inlineStr">
        <is>
          <t>GiaoHang.changeAddressSuccessTitlePackage</t>
        </is>
      </c>
      <c r="B1776" s="215" t="inlineStr">
        <is>
          <t>Chuyển địa chỉ thành công {{count}} kiện hàng</t>
        </is>
      </c>
      <c r="C1776" s="215" t="inlineStr">
        <is>
          <t>Successfully changed address for {{count}} packages</t>
        </is>
      </c>
      <c r="D1776" s="216">
        <f>IFERROR(__xludf.DUMMYFUNCTION("GOOGLETRANSLATE(B1776,""vi"",""km"")"),"អាសយដ្ឋានត្រូវបានផ្ទេរទៅកញ្ចប់ {{count}} ដោយជោគជ័យ")</f>
        <v/>
      </c>
      <c r="G1776" s="3" t="inlineStr">
        <is>
          <t>អាសយដ្ឋានត្រូវបានផ្ទេរទៅកញ្ចប់ {{count}} ដោយជោគជ័យ</t>
        </is>
      </c>
      <c r="H1776" t="inlineStr">
        <is>
          <t>អាសយដ្ឋានត្រូវបានផ្ទេរទៅកញ្ចប់ {{count}} ដោយជោគជ័យ</t>
        </is>
      </c>
      <c r="I1776" s="217" t="inlineStr">
        <is>
          <t>"GiaoHang.changeAddressSuccessTitlePackage": "អាសយដ្ឋានត្រូវបានផ្ទេរទៅកញ្ចប់ {{count}} ដោយជោគជ័យ",</t>
        </is>
      </c>
      <c r="N1776" s="163" t="n"/>
    </row>
    <row r="1777" ht="15.75" customHeight="1" s="305">
      <c r="A1777" s="215" t="inlineStr">
        <is>
          <t>GiaoHang.deliveryStore</t>
        </is>
      </c>
      <c r="B1777" s="215" t="inlineStr">
        <is>
          <t>Cửa hàng giao</t>
        </is>
      </c>
      <c r="C1777" s="215" t="inlineStr">
        <is>
          <t>Delivery Store</t>
        </is>
      </c>
      <c r="D1777" s="216">
        <f>IFERROR(__xludf.DUMMYFUNCTION("GOOGLETRANSLATE(B1777,""vi"",""km"")"),"ហាងនេះដឹកជញ្ជូន")</f>
        <v/>
      </c>
      <c r="G1777" s="3" t="inlineStr">
        <is>
          <t>ហាងនេះដឹកជញ្ជូន</t>
        </is>
      </c>
      <c r="H1777" t="inlineStr">
        <is>
          <t>ហាងនេះដឹកជញ្ជូន</t>
        </is>
      </c>
      <c r="I1777" s="217" t="inlineStr">
        <is>
          <t>"GiaoHang.deliveryStore": "ហាងនេះដឹកជញ្ជូន",</t>
        </is>
      </c>
      <c r="N1777" s="163" t="n"/>
    </row>
    <row r="1778" ht="15.75" customHeight="1" s="305">
      <c r="A1778" s="215" t="inlineStr">
        <is>
          <t>GiaoHang.printForwardOrder</t>
        </is>
      </c>
      <c r="B1778" s="215" t="inlineStr">
        <is>
          <t>Vui lòng in mã đơn chuyển tiếp</t>
        </is>
      </c>
      <c r="C1778" s="215" t="inlineStr">
        <is>
          <t>Please print the forwarding order code</t>
        </is>
      </c>
      <c r="D1778" s="216">
        <f>IFERROR(__xludf.DUMMYFUNCTION("GOOGLETRANSLATE(B1778,""vi"",""km"")"),"សូមបោះពុម្ពលេខកូដបញ្ជាទិញបញ្ជូនបន្ត។")</f>
        <v/>
      </c>
      <c r="E1778" s="217" t="inlineStr">
        <is>
          <t>សូមបោះពុម្ពលេខកូដបញ្ជូនបន្តការបញ្ជាទិញ។</t>
        </is>
      </c>
      <c r="G1778" s="3" t="inlineStr">
        <is>
          <t>សូមព្រីនលេខកូដបញ្ជូនបន្តការបញ្ជាទិញ។</t>
        </is>
      </c>
      <c r="H1778" t="inlineStr">
        <is>
          <t>សូមព្រីនលេខកូដបញ្ជូនបន្តការបញ្ជាទិញ។</t>
        </is>
      </c>
      <c r="I1778" s="217" t="inlineStr">
        <is>
          <t>"GiaoHang.printForwardOrder": "សូមព្រីនលេខកូដបញ្ជូនបន្តការបញ្ជាទិញ។",</t>
        </is>
      </c>
      <c r="N1778" s="163" t="n"/>
    </row>
    <row r="1779" ht="15.75" customHeight="1" s="305">
      <c r="A1779" s="215" t="inlineStr">
        <is>
          <t>GiaoHang.successUpdateAddress</t>
        </is>
      </c>
      <c r="B1779" s="215" t="inlineStr">
        <is>
          <t>Chuyển địa chỉ thành công đơn hàng</t>
        </is>
      </c>
      <c r="C1779" s="215" t="inlineStr">
        <is>
          <t>Address updated successfully for the order</t>
        </is>
      </c>
      <c r="D1779" s="216">
        <f>IFERROR(__xludf.DUMMYFUNCTION("GOOGLETRANSLATE(B1779,""vi"",""km"")"),"អាសយដ្ឋានបញ្ជាទិញត្រូវបានផ្លាស់ប្តូរដោយជោគជ័យ។")</f>
        <v/>
      </c>
      <c r="G1779" s="3" t="inlineStr">
        <is>
          <t>អាសយដ្ឋានបញ្ជាទិញត្រូវបានផ្លាស់ប្តូរដោយជោគជ័យ។</t>
        </is>
      </c>
      <c r="H1779" t="inlineStr">
        <is>
          <t>អាសយដ្ឋានបញ្ជាទិញត្រូវបានផ្លាស់ប្តូរដោយជោគជ័យ។</t>
        </is>
      </c>
      <c r="I1779" s="217" t="inlineStr">
        <is>
          <t>"GiaoHang.successUpdateAddress": "អាសយដ្ឋានបញ្ជាទិញត្រូវបានផ្លាស់ប្តូរដោយជោគជ័យ។",</t>
        </is>
      </c>
      <c r="N1779" s="163" t="n"/>
    </row>
    <row r="1780" ht="15.75" customHeight="1" s="305">
      <c r="A1780" s="215" t="inlineStr">
        <is>
          <t>GiaoHang.warningSelectDeliveryStore</t>
        </is>
      </c>
      <c r="B1780" s="215" t="inlineStr">
        <is>
          <t>Vui lòng chọn Cửa hàng giao hàng</t>
        </is>
      </c>
      <c r="C1780" s="215" t="inlineStr">
        <is>
          <t>Please select a delivery store</t>
        </is>
      </c>
      <c r="D1780" s="216">
        <f>IFERROR(__xludf.DUMMYFUNCTION("GOOGLETRANSLATE(B1780,""vi"",""km"")"),"សូមជ្រើសរើសហាងដឹកជញ្ជូន។")</f>
        <v/>
      </c>
      <c r="G1780" s="3" t="inlineStr">
        <is>
          <t>សូមជ្រើសរើសហាងដឹកជញ្ជូន។</t>
        </is>
      </c>
      <c r="H1780" t="inlineStr">
        <is>
          <t>សូមជ្រើសរើសហាងដឹកជញ្ជូន។</t>
        </is>
      </c>
      <c r="I1780" s="217" t="inlineStr">
        <is>
          <t>"GiaoHang.warningSelectDeliveryStore": "សូមជ្រើសរើសហាងដឹកជញ្ជូន។",</t>
        </is>
      </c>
      <c r="N1780" s="163" t="n"/>
    </row>
    <row r="1781" ht="15.75" customHeight="1" s="305">
      <c r="A1781" s="215" t="inlineStr">
        <is>
          <t>KiemKe.allRoutesChip</t>
        </is>
      </c>
      <c r="B1781" s="215" t="inlineStr">
        <is>
          <t>Tất cả</t>
        </is>
      </c>
      <c r="C1781" s="215" t="inlineStr">
        <is>
          <t>All</t>
        </is>
      </c>
      <c r="D1781" s="216">
        <f>IFERROR(__xludf.DUMMYFUNCTION("GOOGLETRANSLATE(B1781,""vi"",""km"")"),"ទាំងអស់")</f>
        <v/>
      </c>
      <c r="E1781" s="217" t="inlineStr">
        <is>
          <t>ទាំងអស់</t>
        </is>
      </c>
      <c r="G1781" s="3" t="inlineStr">
        <is>
          <t>ទាំងអស់</t>
        </is>
      </c>
      <c r="H1781" t="inlineStr">
        <is>
          <t>ទាំងអស់</t>
        </is>
      </c>
      <c r="I1781" s="217" t="inlineStr">
        <is>
          <t>"KiemKe.allRoutesChip": "ទាំងអស់",</t>
        </is>
      </c>
      <c r="N1781" s="163" t="n"/>
    </row>
    <row r="1782" ht="15.75" customHeight="1" s="305">
      <c r="A1782" s="215" t="inlineStr">
        <is>
          <t>KiemKe.allRoutesOption</t>
        </is>
      </c>
      <c r="B1782" s="215" t="inlineStr">
        <is>
          <t>Tất cả tuyến</t>
        </is>
      </c>
      <c r="C1782" s="215" t="inlineStr">
        <is>
          <t>All routes</t>
        </is>
      </c>
      <c r="D1782" s="216">
        <f>IFERROR(__xludf.DUMMYFUNCTION("GOOGLETRANSLATE(B1782,""vi"",""km"")"),"ផ្លូវទាំងអស់")</f>
        <v/>
      </c>
      <c r="E1782" s="217" t="inlineStr">
        <is>
          <t>ផ្លូវទាំងអស់</t>
        </is>
      </c>
      <c r="G1782" s="3" t="inlineStr">
        <is>
          <t>ផ្លូវទាំងអស់</t>
        </is>
      </c>
      <c r="H1782" t="inlineStr">
        <is>
          <t>ផ្លូវទាំងអស់</t>
        </is>
      </c>
      <c r="I1782" s="217" t="inlineStr">
        <is>
          <t>"KiemKe.allRoutesOption": "ផ្លូវទាំងអស់",</t>
        </is>
      </c>
      <c r="N1782" s="163" t="n"/>
    </row>
    <row r="1783" ht="15.75" customHeight="1" s="305">
      <c r="A1783" s="215" t="inlineStr">
        <is>
          <t>KiemKe.boLocTuyen</t>
        </is>
      </c>
      <c r="B1783" s="215" t="inlineStr">
        <is>
          <t>Bộ lọc tuyến</t>
        </is>
      </c>
      <c r="C1783" s="215" t="inlineStr">
        <is>
          <t>Route filter</t>
        </is>
      </c>
      <c r="D1783" s="216">
        <f>IFERROR(__xludf.DUMMYFUNCTION("GOOGLETRANSLATE(B1783,""vi"",""km"")"),"តម្រងលីនេអ៊ែរ")</f>
        <v/>
      </c>
      <c r="E1783" s="217" t="inlineStr">
        <is>
          <t>តម្រងផ្លូវ</t>
        </is>
      </c>
      <c r="G1783" s="3" t="inlineStr">
        <is>
          <t>តម្រងផ្លូវ</t>
        </is>
      </c>
      <c r="H1783" t="inlineStr">
        <is>
          <t>តម្រងផ្លូវ</t>
        </is>
      </c>
      <c r="I1783" s="217" t="inlineStr">
        <is>
          <t>"KiemKe.boLocTuyen": "តម្រងផ្លូវ",</t>
        </is>
      </c>
      <c r="N1783" s="163" t="n"/>
    </row>
    <row r="1784" ht="15.75" customHeight="1" s="305">
      <c r="A1784" s="215" t="inlineStr">
        <is>
          <t>KiemKe.chunhat</t>
        </is>
      </c>
      <c r="B1784" s="215" t="inlineStr">
        <is>
          <t>Chủ nhật</t>
        </is>
      </c>
      <c r="C1784" s="215" t="inlineStr">
        <is>
          <t>Sunday</t>
        </is>
      </c>
      <c r="D1784" s="216">
        <f>IFERROR(__xludf.DUMMYFUNCTION("GOOGLETRANSLATE(B1784,""vi"",""km"")"),"ថ្ងៃអាទិត្យ")</f>
        <v/>
      </c>
      <c r="E1784" s="217" t="inlineStr">
        <is>
          <t>ថ្ងៃអាទិត្យ</t>
        </is>
      </c>
      <c r="G1784" s="3" t="inlineStr">
        <is>
          <t>ថ្ងៃអាទិត្យ</t>
        </is>
      </c>
      <c r="H1784" t="inlineStr">
        <is>
          <t>ថ្ងៃអាទិត្យ</t>
        </is>
      </c>
      <c r="I1784" s="217" t="inlineStr">
        <is>
          <t>"KiemKe.chunhat": "ថ្ងៃអាទិត្យ",</t>
        </is>
      </c>
      <c r="N1784" s="163" t="n"/>
    </row>
    <row r="1785" ht="15.75" customHeight="1" s="305">
      <c r="A1785" s="215" t="inlineStr">
        <is>
          <t>KiemKe.emptyScan</t>
        </is>
      </c>
      <c r="B1785" s="215" t="inlineStr">
        <is>
          <t>Bạn chưa có đơn hàng nào.\nVui lòng sử dụng đầu quét để thêm đơn hàng</t>
        </is>
      </c>
      <c r="C1785" s="215" t="inlineStr">
        <is>
          <t>No orders available.\nPlease scan to add orders</t>
        </is>
      </c>
      <c r="D1785" s="216">
        <f>IFERROR(__xludf.DUMMYFUNCTION("GOOGLETRANSLATE(B1785,""vi"",""km"")"),"អ្នកមិនទាន់មានការបញ្ជាទិញនៅឡើយទេ។ សូមប្រើម៉ាស៊ីនស្កេនដើម្បីបន្ថែមការបញ្ជាទិញ។")</f>
        <v/>
      </c>
      <c r="E1785" s="217" t="inlineStr">
        <is>
          <t>អ្នកមិនទាន់មានអីវ៉ាន់ណាមួយទេ។\nសូមប្រើម៉ាស៊ីនស្កេនដើម្បីបន្ថែមអីវ៉ាន់</t>
        </is>
      </c>
      <c r="G1785" s="3" t="inlineStr">
        <is>
          <t>អ្នកមិនទាន់មានអីវ៉ាន់ណាមួយទេ។\nសូមប្រើម៉ាស៊ីនស្កេនដើម្បីបន្ថែមអីវ៉ាន់</t>
        </is>
      </c>
      <c r="H1785" t="inlineStr">
        <is>
          <t>អ្នកមិនទាន់មានអីវ៉ាន់ណាមួយទេ។\nសូមប្រើម៉ាស៊ីនស្កេនដើម្បីបន្ថែមអីវ៉ាន់</t>
        </is>
      </c>
      <c r="I1785" s="217" t="inlineStr">
        <is>
          <t>"KiemKe.emptyScan": "អ្នកមិនទាន់មានអីវ៉ាន់ណាមួយទេ។\nសូមប្រើម៉ាស៊ីនស្កេនដើម្បីបន្ថែមអីវ៉ាន់",</t>
        </is>
      </c>
      <c r="N1785" s="163" t="n"/>
    </row>
    <row r="1786" ht="15.75" customHeight="1" s="305">
      <c r="A1786" s="215" t="inlineStr">
        <is>
          <t>KiemKe.emptyScanCamera</t>
        </is>
      </c>
      <c r="B1786" s="215" t="inlineStr">
        <is>
          <t>Bạn chưa có đơn hàng nào.\nVui lòng đưa mã bưu phẩm vào camera để quét</t>
        </is>
      </c>
      <c r="C1786" s="215" t="inlineStr">
        <is>
          <t>No orders available.\nPlease place the parcel code in front of the camera to scan.</t>
        </is>
      </c>
      <c r="D1786" s="216">
        <f>IFERROR(__xludf.DUMMYFUNCTION("GOOGLETRANSLATE(B1786,""vi"",""km"")"),"អ្នកមិនទាន់មានការបញ្ជាទិញនៅឡើយទេ។ សូមចង្អុលលេខតាមដានទៅកាមេរ៉ាដើម្បីស្កេន។")</f>
        <v/>
      </c>
      <c r="E1786" s="217" t="inlineStr">
        <is>
          <t>អ្នកមិនទាន់មានអីវ៉ាន់ណាមួយទេ។\nសូមដាក់លេខកូដអីវ៉ាន់មុខកាមេរ៉ាដើម្បីស្កេន</t>
        </is>
      </c>
      <c r="G1786" s="3" t="inlineStr">
        <is>
          <t>អ្នកមិនទាន់មានអីវ៉ាន់ណាមួយទេ។\nសូមដាក់លេខកូដអីវ៉ាន់មុខកាមេរ៉ាដើម្បីស្កេន</t>
        </is>
      </c>
      <c r="H1786" t="inlineStr">
        <is>
          <t>អ្នកមិនទាន់មានអីវ៉ាន់ណាមួយទេ។\nសូមដាក់លេខកូដអីវ៉ាន់មុខកាមេរ៉ាដើម្បីស្កេន</t>
        </is>
      </c>
      <c r="I1786" s="217" t="inlineStr">
        <is>
          <t>"KiemKe.emptyScanCamera": "អ្នកមិនទាន់មានអីវ៉ាន់ណាមួយទេ។\nសូមដាក់លេខកូដអីវ៉ាន់មុខកាមេរ៉ាដើម្បីស្កេន",</t>
        </is>
      </c>
      <c r="N1786" s="163" t="n"/>
    </row>
    <row r="1787" ht="15.75" customHeight="1" s="305">
      <c r="A1787" s="215" t="inlineStr">
        <is>
          <t>KiemKe.emptyScanOrder</t>
        </is>
      </c>
      <c r="B1787" s="215" t="inlineStr">
        <is>
          <t>Bạn chưa có đơn hàng nào. Vui lòng sử dụng đầu quét để thêm đơn hàng</t>
        </is>
      </c>
      <c r="C1787" s="215" t="inlineStr">
        <is>
          <t>No orders available. Please scan to add orders</t>
        </is>
      </c>
      <c r="D1787" s="216">
        <f>IFERROR(__xludf.DUMMYFUNCTION("GOOGLETRANSLATE(B1787,""vi"",""km"")"),"អ្នកមិនទាន់មានការបញ្ជាទិញនៅឡើយទេ។ សូមប្រើម៉ាស៊ីនស្កេនដើម្បីបន្ថែមការបញ្ជាទិញ។")</f>
        <v/>
      </c>
      <c r="E1787" s="217" t="inlineStr">
        <is>
          <t>អ្នកមិនទាន់មានអីវ៉ាន់ណាមួយទេ។ សូមប្រើម៉ាស៊ីនស្កេនដើម្បីបន្ថែមអីវ៉ាន់</t>
        </is>
      </c>
      <c r="G1787" s="3" t="inlineStr">
        <is>
          <t>អ្នកមិនទាន់មានអីវ៉ាន់ណាមួយទេ។ សូមប្រើម៉ាស៊ីនស្កេនដើម្បីបន្ថែមអីវ៉ាន់</t>
        </is>
      </c>
      <c r="H1787" t="inlineStr">
        <is>
          <t>អ្នកមិនទាន់មានអីវ៉ាន់ណាមួយទេ។ សូមប្រើម៉ាស៊ីនស្កេនដើម្បីបន្ថែមអីវ៉ាន់</t>
        </is>
      </c>
      <c r="I1787" s="217" t="inlineStr">
        <is>
          <t>"KiemKe.emptyScanOrder": "អ្នកមិនទាន់មានអីវ៉ាន់ណាមួយទេ។ សូមប្រើម៉ាស៊ីនស្កេនដើម្បីបន្ថែមអីវ៉ាន់",</t>
        </is>
      </c>
      <c r="N1787" s="163" t="n"/>
    </row>
    <row r="1788" ht="15.75" customHeight="1" s="305">
      <c r="A1788" s="215" t="inlineStr">
        <is>
          <t>KiemKe.homnay</t>
        </is>
      </c>
      <c r="B1788" s="215" t="inlineStr">
        <is>
          <t>Hôm nay</t>
        </is>
      </c>
      <c r="C1788" s="215" t="inlineStr">
        <is>
          <t>Today</t>
        </is>
      </c>
      <c r="D1788" s="216">
        <f>IFERROR(__xludf.DUMMYFUNCTION("GOOGLETRANSLATE(B1788,""vi"",""km"")"),"ថ្ងៃនេះ")</f>
        <v/>
      </c>
      <c r="E1788" s="217" t="inlineStr">
        <is>
          <t>ថ្ងៃនេះ</t>
        </is>
      </c>
      <c r="G1788" s="3" t="inlineStr">
        <is>
          <t>ថ្ងៃនេះ</t>
        </is>
      </c>
      <c r="H1788" t="inlineStr">
        <is>
          <t>ថ្ងៃនេះ</t>
        </is>
      </c>
      <c r="I1788" s="217" t="inlineStr">
        <is>
          <t>"KiemKe.homnay": "ថ្ងៃនេះ",</t>
        </is>
      </c>
      <c r="N1788" s="163" t="n"/>
    </row>
    <row r="1789" ht="15.75" customHeight="1" s="305">
      <c r="A1789" s="215" t="inlineStr">
        <is>
          <t>KiemKe.kepQuaPhuHop</t>
        </is>
      </c>
      <c r="B1789" s="215" t="inlineStr">
        <is>
          <t>{{count}} kết quả phù hợp</t>
        </is>
      </c>
      <c r="C1789" s="215" t="inlineStr">
        <is>
          <t>{{count}} matching results</t>
        </is>
      </c>
      <c r="D1789" s="216">
        <f>IFERROR(__xludf.DUMMYFUNCTION("GOOGLETRANSLATE(B1789,""vi"",""km"")"),"លទ្ធផល​ដែលត្រូវគ្នា {{count}}")</f>
        <v/>
      </c>
      <c r="E1789" s="217" t="inlineStr">
        <is>
          <t>លទ្ធផលផ្គូផ្គង {{count}}</t>
        </is>
      </c>
      <c r="G1789" s="3" t="inlineStr">
        <is>
          <t>លទ្ធផលផ្គូផ្គង {{count}}</t>
        </is>
      </c>
      <c r="H1789" t="inlineStr">
        <is>
          <t>លទ្ធផលផ្គូផ្គង {{count}}</t>
        </is>
      </c>
      <c r="I1789" s="217" t="inlineStr">
        <is>
          <t>"KiemKe.kepQuaPhuHop": "លទ្ធផលផ្គូផ្គង {{count}}",</t>
        </is>
      </c>
      <c r="N1789" s="163" t="n"/>
    </row>
    <row r="1790" ht="15.75" customHeight="1" s="305">
      <c r="A1790" s="215" t="inlineStr">
        <is>
          <t>KiemKe.matchingResultsCount</t>
        </is>
      </c>
      <c r="B1790" s="215" t="inlineStr">
        <is>
          <t>{{count}} kết quả phù hợp</t>
        </is>
      </c>
      <c r="C1790" s="215" t="inlineStr">
        <is>
          <t>{{count}} matching results</t>
        </is>
      </c>
      <c r="D1790" s="216">
        <f>IFERROR(__xludf.DUMMYFUNCTION("GOOGLETRANSLATE(B1790,""vi"",""km"")"),"លទ្ធផល​ដែលត្រូវគ្នា {{count}}")</f>
        <v/>
      </c>
      <c r="E1790" s="217" t="inlineStr">
        <is>
          <t>លទ្ធផលផ្គូផ្គង {{count}}</t>
        </is>
      </c>
      <c r="G1790" s="3" t="inlineStr">
        <is>
          <t>លទ្ធផលផ្គូផ្គង {{count}}</t>
        </is>
      </c>
      <c r="H1790" t="inlineStr">
        <is>
          <t>លទ្ធផលផ្គូផ្គង {{count}}</t>
        </is>
      </c>
      <c r="I1790" s="217" t="inlineStr">
        <is>
          <t>"KiemKe.matchingResultsCount": "លទ្ធផលផ្គូផ្គង {{count}}",</t>
        </is>
      </c>
      <c r="N1790" s="163" t="n"/>
    </row>
    <row r="1791" ht="15.75" customHeight="1" s="305">
      <c r="A1791" s="215" t="inlineStr">
        <is>
          <t>KiemKe.nguyenVen</t>
        </is>
      </c>
      <c r="B1791" s="215" t="inlineStr">
        <is>
          <t>Nguyên vẹn</t>
        </is>
      </c>
      <c r="C1791" s="215" t="inlineStr">
        <is>
          <t>Intact</t>
        </is>
      </c>
      <c r="D1791" s="216">
        <f>IFERROR(__xludf.DUMMYFUNCTION("GOOGLETRANSLATE(B1791,""vi"",""km"")"),"នៅដដែល")</f>
        <v/>
      </c>
      <c r="E1791" s="217" t="inlineStr">
        <is>
          <t>នៅស្អាត</t>
        </is>
      </c>
      <c r="G1791" s="3" t="inlineStr">
        <is>
          <t>នៅស្អាត</t>
        </is>
      </c>
      <c r="H1791" t="inlineStr">
        <is>
          <t>នៅស្អាត</t>
        </is>
      </c>
      <c r="I1791" s="217" t="inlineStr">
        <is>
          <t>"KiemKe.nguyenVen": "នៅស្អាត",</t>
        </is>
      </c>
      <c r="N1791" s="163" t="n"/>
    </row>
    <row r="1792" ht="15.75" customHeight="1" s="305">
      <c r="A1792" s="215" t="inlineStr">
        <is>
          <t>KiemKe.nhapMaTenTuyen</t>
        </is>
      </c>
      <c r="B1792" s="215" t="inlineStr">
        <is>
          <t>Nhập mã, tên tuyến</t>
        </is>
      </c>
      <c r="C1792" s="215" t="inlineStr">
        <is>
          <t>Enter route code or name</t>
        </is>
      </c>
      <c r="D1792" s="216">
        <f>IFERROR(__xludf.DUMMYFUNCTION("GOOGLETRANSLATE(B1792,""vi"",""km"")"),"បញ្ចូលលេខកូដ និងឈ្មោះផ្លូវ។")</f>
        <v/>
      </c>
      <c r="E1792" s="217" t="inlineStr">
        <is>
          <t>បញ្ចូលលេខកូដ ឬឈ្មោះផ្លូវ</t>
        </is>
      </c>
      <c r="G1792" s="3" t="inlineStr">
        <is>
          <t>បញ្ចូលលេខកូដ ឬឈ្មោះផ្លូវ</t>
        </is>
      </c>
      <c r="H1792" t="inlineStr">
        <is>
          <t>បញ្ចូលលេខកូដ ឬឈ្មោះផ្លូវ</t>
        </is>
      </c>
      <c r="I1792" s="217" t="inlineStr">
        <is>
          <t>"KiemKe.nhapMaTenTuyen": "បញ្ចូលលេខកូដ ឬឈ្មោះផ្លូវ",</t>
        </is>
      </c>
      <c r="N1792" s="163" t="n"/>
    </row>
    <row r="1793" ht="15.75" customHeight="1" s="305">
      <c r="A1793" s="215" t="inlineStr">
        <is>
          <t>KiemKe.quetMaTaiKien</t>
        </is>
      </c>
      <c r="B1793" s="215" t="inlineStr">
        <is>
          <t>Quét mã tải/kiện</t>
        </is>
      </c>
      <c r="C1793" s="215" t="inlineStr">
        <is>
          <t>Scan sack/package code</t>
        </is>
      </c>
      <c r="D1793" s="216">
        <f>IFERROR(__xludf.DUMMYFUNCTION("GOOGLETRANSLATE(B1793,""vi"",""km"")"),"ស្កេនលេខកូដកញ្ចប់/ការជាវ។")</f>
        <v/>
      </c>
      <c r="E1793" s="217" t="inlineStr">
        <is>
          <t>ស្កេនលេខកូដថង់/កញ្ចប់</t>
        </is>
      </c>
      <c r="G1793" s="3" t="inlineStr">
        <is>
          <t>ស្កេនលេខកូដថង់/កញ្ចប់</t>
        </is>
      </c>
      <c r="H1793" t="inlineStr">
        <is>
          <t>ស្កេនលេខកូដថង់/កញ្ចប់</t>
        </is>
      </c>
      <c r="I1793" s="217" t="inlineStr">
        <is>
          <t>"KiemKe.quetMaTaiKien": "ស្កេនលេខកូដថង់/កញ្ចប់",</t>
        </is>
      </c>
      <c r="N1793" s="163" t="n"/>
    </row>
    <row r="1794" ht="15.75" customHeight="1" s="305">
      <c r="A1794" s="215" t="inlineStr">
        <is>
          <t>KiemKe.quetThanhCong</t>
        </is>
      </c>
      <c r="B1794" s="215" t="inlineStr">
        <is>
          <t>Quét thành công</t>
        </is>
      </c>
      <c r="C1794" s="215" t="inlineStr">
        <is>
          <t>Scan successful</t>
        </is>
      </c>
      <c r="D1794" s="216">
        <f>IFERROR(__xludf.DUMMYFUNCTION("GOOGLETRANSLATE(B1794,""vi"",""km"")"),"ការស្កេនបានជោគជ័យ")</f>
        <v/>
      </c>
      <c r="E1794" s="217" t="inlineStr">
        <is>
          <t>ស្កេនបានជោគជ័យ</t>
        </is>
      </c>
      <c r="G1794" s="3" t="inlineStr">
        <is>
          <t>ស្កេនបានជោគជ័យ</t>
        </is>
      </c>
      <c r="H1794" t="inlineStr">
        <is>
          <t>ស្កេនបានជោគជ័យ</t>
        </is>
      </c>
      <c r="I1794" s="217" t="inlineStr">
        <is>
          <t>"KiemKe.quetThanhCong": "ស្កេនបានជោគជ័យ",</t>
        </is>
      </c>
      <c r="N1794" s="163" t="n"/>
    </row>
    <row r="1795" ht="15.75" customHeight="1" s="305">
      <c r="A1795" s="215" t="inlineStr">
        <is>
          <t>KiemKe.rachCuocPhi</t>
        </is>
      </c>
      <c r="B1795" s="215" t="inlineStr">
        <is>
          <t>Cước phí</t>
        </is>
      </c>
      <c r="C1795" s="215" t="inlineStr">
        <is>
          <t>Shipping fee</t>
        </is>
      </c>
      <c r="D1795" s="216">
        <f>IFERROR(__xludf.DUMMYFUNCTION("GOOGLETRANSLATE(B1795,""vi"",""km"")"),"ថ្លៃដឹកជញ្ជូន")</f>
        <v/>
      </c>
      <c r="E1795" s="217" t="inlineStr">
        <is>
          <t>ថ្លៃដឹកជញ្ជូន</t>
        </is>
      </c>
      <c r="G1795" s="3" t="inlineStr">
        <is>
          <t>ថ្លៃដឹកជញ្ជូន</t>
        </is>
      </c>
      <c r="H1795" t="inlineStr">
        <is>
          <t>ថ្លៃដឹកជញ្ជូន</t>
        </is>
      </c>
      <c r="I1795" s="217" t="inlineStr">
        <is>
          <t>"KiemKe.rachCuocPhi": "ថ្លៃដឹកជញ្ជូន",</t>
        </is>
      </c>
      <c r="N1795" s="163" t="n"/>
    </row>
    <row r="1796" ht="15.75" customHeight="1" s="305">
      <c r="A1796" s="215" t="inlineStr">
        <is>
          <t>KiemKe.rachMucMeo</t>
        </is>
      </c>
      <c r="B1796" s="215" t="inlineStr">
        <is>
          <t>Rách, mục, méo</t>
        </is>
      </c>
      <c r="C1796" s="215" t="inlineStr">
        <is>
          <t>Torn, damaged, deformed</t>
        </is>
      </c>
      <c r="D1796" s="216">
        <f>IFERROR(__xludf.DUMMYFUNCTION("GOOGLETRANSLATE(B1796,""vi"",""km"")"),"រហែក, រលួយ, បង្ខូចទ្រង់ទ្រាយ")</f>
        <v/>
      </c>
      <c r="E1796" s="217" t="inlineStr">
        <is>
          <t>រហែក ខូច ឬខូចទ្រង់ទ្រាយ</t>
        </is>
      </c>
      <c r="G1796" s="3" t="inlineStr">
        <is>
          <t>រហែក ខូច ឬខូចទ្រង់ទ្រាយ</t>
        </is>
      </c>
      <c r="H1796" t="inlineStr">
        <is>
          <t>រហែក ខូច ឬខូចទ្រង់ទ្រាយ</t>
        </is>
      </c>
      <c r="I1796" s="217" t="inlineStr">
        <is>
          <t>"KiemKe.rachMucMeo": "រហែក ខូច ឬខូចទ្រង់ទ្រាយ",</t>
        </is>
      </c>
      <c r="N1796" s="163" t="n"/>
    </row>
    <row r="1797" ht="15.75" customHeight="1" s="305">
      <c r="A1797" s="215" t="inlineStr">
        <is>
          <t>KiemKe.routesSelectedChip</t>
        </is>
      </c>
      <c r="B1797" s="215" t="inlineStr">
        <is>
          <t>{{count}} tuyến</t>
        </is>
      </c>
      <c r="C1797" s="215" t="inlineStr">
        <is>
          <t>{{count}} routes</t>
        </is>
      </c>
      <c r="D1797" s="216">
        <f>IFERROR(__xludf.DUMMYFUNCTION("GOOGLETRANSLATE(B1797,""vi"",""km"")"),"ជួរ {{count}}")</f>
        <v/>
      </c>
      <c r="E1797" s="217" t="inlineStr">
        <is>
          <t>ផ្លូវ {{count}}</t>
        </is>
      </c>
      <c r="G1797" s="3" t="inlineStr">
        <is>
          <t>ផ្លូវ {{count}}</t>
        </is>
      </c>
      <c r="H1797" t="inlineStr">
        <is>
          <t>ផ្លូវ {{count}}</t>
        </is>
      </c>
      <c r="I1797" s="217" t="inlineStr">
        <is>
          <t>"KiemKe.routesSelectedChip": "ផ្លូវ {{count}}",</t>
        </is>
      </c>
      <c r="N1797" s="163" t="n"/>
    </row>
    <row r="1798" ht="15.75" customHeight="1" s="305">
      <c r="A1798" s="215" t="inlineStr">
        <is>
          <t>KiemKe.scanAddedContinue</t>
        </is>
      </c>
      <c r="B1798" s="215" t="inlineStr">
        <is>
          <t>Tiếp tục quét</t>
        </is>
      </c>
      <c r="C1798" s="215" t="inlineStr">
        <is>
          <t>Continue scanning</t>
        </is>
      </c>
      <c r="D1798" s="216">
        <f>IFERROR(__xludf.DUMMYFUNCTION("GOOGLETRANSLATE(B1798,""vi"",""km"")"),"បន្តស្កេន")</f>
        <v/>
      </c>
      <c r="E1798" s="217" t="inlineStr">
        <is>
          <t>បន្តស្កេន</t>
        </is>
      </c>
      <c r="G1798" s="3" t="inlineStr">
        <is>
          <t>បន្តស្កេន</t>
        </is>
      </c>
      <c r="H1798" t="inlineStr">
        <is>
          <t>បន្តស្កេន</t>
        </is>
      </c>
      <c r="I1798" s="217" t="inlineStr">
        <is>
          <t>"KiemKe.scanAddedContinue": "បន្តស្កេន",</t>
        </is>
      </c>
      <c r="N1798" s="163" t="n"/>
    </row>
    <row r="1799" ht="15.75" customHeight="1" s="305">
      <c r="A1799" s="215" t="inlineStr">
        <is>
          <t>KiemKe.scanAddedTitle</t>
        </is>
      </c>
      <c r="B1799" s="215" t="inlineStr">
        <is>
          <t>Đã thêm đơn kiểm kê</t>
        </is>
      </c>
      <c r="C1799" s="215" t="inlineStr">
        <is>
          <t>Bill added to inventory</t>
        </is>
      </c>
      <c r="D1799" s="216">
        <f>IFERROR(__xludf.DUMMYFUNCTION("GOOGLETRANSLATE(B1799,""vi"",""km"")"),"ការបញ្ជាទិញសារពើភ័ណ្ឌត្រូវបានបន្ថែម។")</f>
        <v/>
      </c>
      <c r="E1799" s="217" t="inlineStr">
        <is>
          <t>បានបន្ថែមអីវ៉ាន់ទៅក្នុងការត្រួតពិនិត្យ</t>
        </is>
      </c>
      <c r="G1799" s="3" t="inlineStr">
        <is>
          <t>បានបន្ថែមអីវ៉ាន់ទៅក្នុងការត្រួតពិនិត្យ</t>
        </is>
      </c>
      <c r="H1799" t="inlineStr">
        <is>
          <t>បានបន្ថែមអីវ៉ាន់ទៅក្នុងការត្រួតពិនិត្យ</t>
        </is>
      </c>
      <c r="I1799" s="217" t="inlineStr">
        <is>
          <t>"KiemKe.scanAddedTitle": "បានបន្ថែមអីវ៉ាន់ទៅក្នុងការត្រួតពិនិត្យ",</t>
        </is>
      </c>
      <c r="N1799" s="163" t="n"/>
    </row>
    <row r="1800" ht="15.75" customHeight="1" s="305">
      <c r="A1800" s="215" t="inlineStr">
        <is>
          <t>KiemKe.scanBillAddress</t>
        </is>
      </c>
      <c r="B1800" s="215" t="inlineStr">
        <is>
          <t>Địa chỉ:</t>
        </is>
      </c>
      <c r="C1800" s="215" t="inlineStr">
        <is>
          <t>Address:</t>
        </is>
      </c>
      <c r="D1800" s="216">
        <f>IFERROR(__xludf.DUMMYFUNCTION("GOOGLETRANSLATE(B1800,""vi"",""km"")"),"អាសយដ្ឋាន៖")</f>
        <v/>
      </c>
      <c r="E1800" s="217" t="inlineStr">
        <is>
          <t>អាសយដ្ឋាន៖</t>
        </is>
      </c>
      <c r="G1800" s="3" t="inlineStr">
        <is>
          <t>អាសយដ្ឋាន៖</t>
        </is>
      </c>
      <c r="H1800" t="inlineStr">
        <is>
          <t>អាសយដ្ឋាន៖</t>
        </is>
      </c>
      <c r="I1800" s="217" t="inlineStr">
        <is>
          <t>"KiemKe.scanBillAddress": "អាសយដ្ឋាន៖",</t>
        </is>
      </c>
      <c r="N1800" s="163" t="n"/>
    </row>
    <row r="1801" ht="15.75" customHeight="1" s="305">
      <c r="A1801" s="215" t="inlineStr">
        <is>
          <t>KiemKe.scanBillCondition</t>
        </is>
      </c>
      <c r="B1801" s="215" t="inlineStr">
        <is>
          <t>Tình trạng:</t>
        </is>
      </c>
      <c r="C1801" s="215" t="inlineStr">
        <is>
          <t>Condition:</t>
        </is>
      </c>
      <c r="D1801" s="216">
        <f>IFERROR(__xludf.DUMMYFUNCTION("GOOGLETRANSLATE(B1801,""vi"",""km"")"),"ស្ថានភាព៖")</f>
        <v/>
      </c>
      <c r="E1801" s="217" t="inlineStr">
        <is>
          <t>ស្ថានភាព៖</t>
        </is>
      </c>
      <c r="G1801" s="3" t="inlineStr">
        <is>
          <t>ស្ថានភាព៖</t>
        </is>
      </c>
      <c r="H1801" t="inlineStr">
        <is>
          <t>ស្ថានភាព៖</t>
        </is>
      </c>
      <c r="I1801" s="217" t="inlineStr">
        <is>
          <t>"KiemKe.scanBillCondition": "ស្ថានភាព៖",</t>
        </is>
      </c>
      <c r="N1801" s="163" t="n"/>
    </row>
    <row r="1802" ht="15.75" customHeight="1" s="305">
      <c r="A1802" s="215" t="inlineStr">
        <is>
          <t>KiemKe.scanBillConditionDamaged</t>
        </is>
      </c>
      <c r="B1802" s="215" t="inlineStr">
        <is>
          <t>Rách, mục, méo</t>
        </is>
      </c>
      <c r="C1802" s="215" t="inlineStr">
        <is>
          <t>Torn, damaged</t>
        </is>
      </c>
      <c r="D1802" s="216">
        <f>IFERROR(__xludf.DUMMYFUNCTION("GOOGLETRANSLATE(B1802,""vi"",""km"")"),"រហែក, រលួយ, បង្ខូចទ្រង់ទ្រាយ")</f>
        <v/>
      </c>
      <c r="E1802" s="217" t="inlineStr">
        <is>
          <t>រហែក ខូច ឬខូចទ្រង់ទ្រាយ</t>
        </is>
      </c>
      <c r="G1802" s="3" t="inlineStr">
        <is>
          <t>រហែក ខូច ឬខូចទ្រង់ទ្រាយ</t>
        </is>
      </c>
      <c r="H1802" t="inlineStr">
        <is>
          <t>រហែក ខូច ឬខូចទ្រង់ទ្រាយ</t>
        </is>
      </c>
      <c r="I1802" s="217" t="inlineStr">
        <is>
          <t>"KiemKe.scanBillConditionDamaged": "រហែក ខូច ឬខូចទ្រង់ទ្រាយ",</t>
        </is>
      </c>
      <c r="N1802" s="163" t="n"/>
    </row>
    <row r="1803" ht="15.75" customHeight="1" s="305">
      <c r="A1803" s="215" t="inlineStr">
        <is>
          <t>KiemKe.scanBillConditionIntact</t>
        </is>
      </c>
      <c r="B1803" s="215" t="inlineStr">
        <is>
          <t>Nguyên vẹn</t>
        </is>
      </c>
      <c r="C1803" s="215" t="inlineStr">
        <is>
          <t>Intact</t>
        </is>
      </c>
      <c r="D1803" s="216">
        <f>IFERROR(__xludf.DUMMYFUNCTION("GOOGLETRANSLATE(B1803,""vi"",""km"")"),"នៅដដែល")</f>
        <v/>
      </c>
      <c r="E1803" s="217" t="inlineStr">
        <is>
          <t>នៅស្អាត</t>
        </is>
      </c>
      <c r="G1803" s="3" t="inlineStr">
        <is>
          <t>នៅស្អាត</t>
        </is>
      </c>
      <c r="H1803" t="inlineStr">
        <is>
          <t>នៅស្អាត</t>
        </is>
      </c>
      <c r="I1803" s="217" t="inlineStr">
        <is>
          <t>"KiemKe.scanBillConditionIntact": "នៅស្អាត",</t>
        </is>
      </c>
      <c r="N1803" s="163" t="n"/>
    </row>
    <row r="1804" ht="15.75" customHeight="1" s="305">
      <c r="A1804" s="215" t="inlineStr">
        <is>
          <t>KiemKe.scanBillConditionMissingContent</t>
        </is>
      </c>
      <c r="B1804" s="215" t="inlineStr">
        <is>
          <t>Thiếu nội dung</t>
        </is>
      </c>
      <c r="C1804" s="215" t="inlineStr">
        <is>
          <t>Missing content</t>
        </is>
      </c>
      <c r="D1804" s="216">
        <f>IFERROR(__xludf.DUMMYFUNCTION("GOOGLETRANSLATE(B1804,""vi"",""km"")"),"ខ្លឹមសារដែលបាត់")</f>
        <v/>
      </c>
      <c r="E1804" s="217" t="inlineStr">
        <is>
          <t>ខ្វះមាតិកា</t>
        </is>
      </c>
      <c r="G1804" s="3" t="inlineStr">
        <is>
          <t>ខ្វះមាតិកា</t>
        </is>
      </c>
      <c r="H1804" t="inlineStr">
        <is>
          <t>ខ្វះមាតិកា</t>
        </is>
      </c>
      <c r="I1804" s="217" t="inlineStr">
        <is>
          <t>"KiemKe.scanBillConditionMissingContent": "ខ្វះមាតិកា",</t>
        </is>
      </c>
      <c r="N1804" s="163" t="n"/>
    </row>
    <row r="1805" ht="15.75" customHeight="1" s="305">
      <c r="A1805" s="215" t="inlineStr">
        <is>
          <t>KiemKe.scanBillFee</t>
        </is>
      </c>
      <c r="B1805" s="215" t="inlineStr">
        <is>
          <t>Cước phí:</t>
        </is>
      </c>
      <c r="C1805" s="215" t="inlineStr">
        <is>
          <t>Shipping fee:</t>
        </is>
      </c>
      <c r="D1805" s="216">
        <f>IFERROR(__xludf.DUMMYFUNCTION("GOOGLETRANSLATE(B1805,""vi"",""km"")"),"ថ្លៃដឹកជញ្ជូន៖")</f>
        <v/>
      </c>
      <c r="E1805" s="217" t="inlineStr">
        <is>
          <t>ថ្លៃដឹកជញ្ជូន៖</t>
        </is>
      </c>
      <c r="G1805" s="3" t="inlineStr">
        <is>
          <t>ថ្លៃដឹកជញ្ជូន៖</t>
        </is>
      </c>
      <c r="H1805" t="inlineStr">
        <is>
          <t>ថ្លៃដឹកជញ្ជូន៖</t>
        </is>
      </c>
      <c r="I1805" s="217" t="inlineStr">
        <is>
          <t>"KiemKe.scanBillFee": "ថ្លៃដឹកជញ្ជូន៖",</t>
        </is>
      </c>
      <c r="N1805" s="163" t="n"/>
    </row>
    <row r="1806" ht="15.75" customHeight="1" s="305">
      <c r="A1806" s="215" t="inlineStr">
        <is>
          <t>KiemKe.scanBillOrderStatus</t>
        </is>
      </c>
      <c r="B1806" s="215" t="inlineStr">
        <is>
          <t>Trạng thái đơn:</t>
        </is>
      </c>
      <c r="C1806" s="215" t="inlineStr">
        <is>
          <t>Order status:</t>
        </is>
      </c>
      <c r="D1806" s="216">
        <f>IFERROR(__xludf.DUMMYFUNCTION("GOOGLETRANSLATE(B1806,""vi"",""km"")"),"រដ្ឋតែមួយ៖")</f>
        <v/>
      </c>
      <c r="E1806" s="217" t="inlineStr">
        <is>
          <t>ស្ថានភាពអីវ៉ាន់៖</t>
        </is>
      </c>
      <c r="G1806" s="3" t="inlineStr">
        <is>
          <t>ស្ថានភាពអីវ៉ាន់៖</t>
        </is>
      </c>
      <c r="H1806" t="inlineStr">
        <is>
          <t>ស្ថានភាពអីវ៉ាន់៖</t>
        </is>
      </c>
      <c r="I1806" s="217" t="inlineStr">
        <is>
          <t>"KiemKe.scanBillOrderStatus": "ស្ថានភាពអីវ៉ាន់៖",</t>
        </is>
      </c>
      <c r="N1806" s="163" t="n"/>
    </row>
    <row r="1807" ht="15.75" customHeight="1" s="305">
      <c r="A1807" s="215" t="inlineStr">
        <is>
          <t>KiemKe.scanBillReason</t>
        </is>
      </c>
      <c r="B1807" s="215" t="inlineStr">
        <is>
          <t>Lý do:</t>
        </is>
      </c>
      <c r="C1807" s="215" t="inlineStr">
        <is>
          <t>Reason:</t>
        </is>
      </c>
      <c r="D1807" s="216">
        <f>IFERROR(__xludf.DUMMYFUNCTION("GOOGLETRANSLATE(B1807,""vi"",""km"")"),"ហេតុផល៖")</f>
        <v/>
      </c>
      <c r="E1807" s="217" t="inlineStr">
        <is>
          <t>មូលហេតុ៖</t>
        </is>
      </c>
      <c r="G1807" s="3" t="inlineStr">
        <is>
          <t>មូលហេតុ៖</t>
        </is>
      </c>
      <c r="H1807" t="inlineStr">
        <is>
          <t>មូលហេតុ៖</t>
        </is>
      </c>
      <c r="I1807" s="217" t="inlineStr">
        <is>
          <t>"KiemKe.scanBillReason": "មូលហេតុ៖",</t>
        </is>
      </c>
      <c r="N1807" s="163" t="n"/>
    </row>
    <row r="1808" ht="15.75" customHeight="1" s="305">
      <c r="A1808" s="215" t="inlineStr">
        <is>
          <t>KiemKe.searchRoutePlaceholder</t>
        </is>
      </c>
      <c r="B1808" s="215" t="inlineStr">
        <is>
          <t>Tìm kiếm tuyến kiểm kê</t>
        </is>
      </c>
      <c r="C1808" s="215" t="inlineStr">
        <is>
          <t>Search inventory route</t>
        </is>
      </c>
      <c r="D1808" s="216">
        <f>IFERROR(__xludf.DUMMYFUNCTION("GOOGLETRANSLATE(B1808,""vi"",""km"")"),"ស្វែងរកផ្លូវស្តុកទំនិញ")</f>
        <v/>
      </c>
      <c r="E1808" s="217" t="inlineStr">
        <is>
          <t>ស្វែងរកផ្លូវដឹកដើម្បីពិនិត្យ</t>
        </is>
      </c>
      <c r="G1808" s="3" t="inlineStr">
        <is>
          <t>ស្វែងរកផ្លូវដឹកដើម្បីពិនិត្យ</t>
        </is>
      </c>
      <c r="H1808" t="inlineStr">
        <is>
          <t>ស្វែងរកផ្លូវដឹកដើម្បីពិនិត្យ</t>
        </is>
      </c>
      <c r="I1808" s="217" t="inlineStr">
        <is>
          <t>"KiemKe.searchRoutePlaceholder": "ស្វែងរកផ្លូវដឹកដើម្បីពិនិត្យ",</t>
        </is>
      </c>
      <c r="N1808" s="163" t="n"/>
    </row>
    <row r="1809" ht="15.75" customHeight="1" s="305">
      <c r="A1809" s="215" t="inlineStr">
        <is>
          <t>KiemKe.statusInventory</t>
        </is>
      </c>
      <c r="B1809" s="215" t="inlineStr">
        <is>
          <t>Trạng thái kiểm kê</t>
        </is>
      </c>
      <c r="C1809" s="215" t="inlineStr">
        <is>
          <t>Inventory status</t>
        </is>
      </c>
      <c r="D1809" s="216">
        <f>IFERROR(__xludf.DUMMYFUNCTION("GOOGLETRANSLATE(B1809,""vi"",""km"")"),"ស្ថានភាពសារពើភ័ណ្ឌ")</f>
        <v/>
      </c>
      <c r="E1809" s="217" t="inlineStr">
        <is>
          <t>ស្ថានភាពត្រួតពិនិត្យ</t>
        </is>
      </c>
      <c r="G1809" s="3" t="inlineStr">
        <is>
          <t>ស្ថានភាពត្រួតពិនិត្យ</t>
        </is>
      </c>
      <c r="H1809" t="inlineStr">
        <is>
          <t>ស្ថានភាពត្រួតពិនិត្យ</t>
        </is>
      </c>
      <c r="I1809" s="217" t="inlineStr">
        <is>
          <t>"KiemKe.statusInventory": "ស្ថានភាពត្រួតពិនិត្យ",</t>
        </is>
      </c>
      <c r="N1809" s="163" t="n"/>
    </row>
    <row r="1810" ht="15.75" customHeight="1" s="305">
      <c r="A1810" s="215" t="inlineStr">
        <is>
          <t>KiemKe.t2</t>
        </is>
      </c>
      <c r="B1810" s="215" t="inlineStr">
        <is>
          <t>T2</t>
        </is>
      </c>
      <c r="C1810" s="215" t="inlineStr">
        <is>
          <t>Monday</t>
        </is>
      </c>
      <c r="D1810" s="216">
        <f>IFERROR(__xludf.DUMMYFUNCTION("GOOGLETRANSLATE(B1810,""vi"",""km"")"),"ស្ថានីយទី 2")</f>
        <v/>
      </c>
      <c r="E1810" s="217" t="inlineStr">
        <is>
          <t>ចន្ទ</t>
        </is>
      </c>
      <c r="G1810" s="3" t="inlineStr">
        <is>
          <t>ចន្ទ</t>
        </is>
      </c>
      <c r="H1810" t="inlineStr">
        <is>
          <t>ចន្ទ</t>
        </is>
      </c>
      <c r="I1810" s="217" t="inlineStr">
        <is>
          <t>"KiemKe.t2": "ចន្ទ",</t>
        </is>
      </c>
      <c r="N1810" s="163" t="n"/>
    </row>
    <row r="1811" ht="15.75" customHeight="1" s="305">
      <c r="A1811" s="215" t="inlineStr">
        <is>
          <t>KiemKe.t3</t>
        </is>
      </c>
      <c r="B1811" s="215" t="inlineStr">
        <is>
          <t>T3</t>
        </is>
      </c>
      <c r="C1811" s="215" t="inlineStr">
        <is>
          <t>Tuesday</t>
        </is>
      </c>
      <c r="D1811" s="216">
        <f>IFERROR(__xludf.DUMMYFUNCTION("GOOGLETRANSLATE(B1811,""vi"",""km"")"),"T3")</f>
        <v/>
      </c>
      <c r="E1811" s="217" t="inlineStr">
        <is>
          <t>អង្គារ</t>
        </is>
      </c>
      <c r="G1811" s="3" t="inlineStr">
        <is>
          <t>អង្គារ</t>
        </is>
      </c>
      <c r="H1811" t="inlineStr">
        <is>
          <t>អង្គារ</t>
        </is>
      </c>
      <c r="I1811" s="217" t="inlineStr">
        <is>
          <t>"KiemKe.t3": "អង្គារ",</t>
        </is>
      </c>
      <c r="N1811" s="163" t="n"/>
    </row>
    <row r="1812" ht="15.75" customHeight="1" s="305">
      <c r="A1812" s="215" t="inlineStr">
        <is>
          <t>KiemKe.t4</t>
        </is>
      </c>
      <c r="B1812" s="215" t="inlineStr">
        <is>
          <t>T4</t>
        </is>
      </c>
      <c r="C1812" s="215" t="inlineStr">
        <is>
          <t>Wednesday</t>
        </is>
      </c>
      <c r="D1812" s="216">
        <f>IFERROR(__xludf.DUMMYFUNCTION("GOOGLETRANSLATE(B1812,""vi"",""km"")"),"T4")</f>
        <v/>
      </c>
      <c r="E1812" s="217" t="inlineStr">
        <is>
          <t>ពុធ</t>
        </is>
      </c>
      <c r="G1812" s="3" t="inlineStr">
        <is>
          <t>ពុធ</t>
        </is>
      </c>
      <c r="H1812" t="inlineStr">
        <is>
          <t>ពុធ</t>
        </is>
      </c>
      <c r="I1812" s="217" t="inlineStr">
        <is>
          <t>"KiemKe.t4": "ពុធ",</t>
        </is>
      </c>
      <c r="N1812" s="163" t="n"/>
    </row>
    <row r="1813" ht="15.75" customHeight="1" s="305">
      <c r="A1813" s="215" t="inlineStr">
        <is>
          <t>KiemKe.t5</t>
        </is>
      </c>
      <c r="B1813" s="215" t="inlineStr">
        <is>
          <t>T5</t>
        </is>
      </c>
      <c r="C1813" s="215" t="inlineStr">
        <is>
          <t>Thursday</t>
        </is>
      </c>
      <c r="D1813" s="216">
        <f>IFERROR(__xludf.DUMMYFUNCTION("GOOGLETRANSLATE(B1813,""vi"",""km"")"),"T5")</f>
        <v/>
      </c>
      <c r="E1813" s="217" t="inlineStr">
        <is>
          <t>ព្រហស្បតិ៍</t>
        </is>
      </c>
      <c r="G1813" s="3" t="inlineStr">
        <is>
          <t>ព្រហស្បតិ៍</t>
        </is>
      </c>
      <c r="H1813" t="inlineStr">
        <is>
          <t>ព្រហស្បតិ៍</t>
        </is>
      </c>
      <c r="I1813" s="217" t="inlineStr">
        <is>
          <t>"KiemKe.t5": "ព្រហស្បតិ៍",</t>
        </is>
      </c>
      <c r="N1813" s="163" t="n"/>
    </row>
    <row r="1814" ht="15.75" customHeight="1" s="305">
      <c r="A1814" s="215" t="inlineStr">
        <is>
          <t>KiemKe.t6</t>
        </is>
      </c>
      <c r="B1814" s="215" t="inlineStr">
        <is>
          <t>T6</t>
        </is>
      </c>
      <c r="C1814" s="215" t="inlineStr">
        <is>
          <t>Friday</t>
        </is>
      </c>
      <c r="D1814" s="216">
        <f>IFERROR(__xludf.DUMMYFUNCTION("GOOGLETRANSLATE(B1814,""vi"",""km"")"),"ថ្ងៃសុក្រ")</f>
        <v/>
      </c>
      <c r="E1814" s="217" t="inlineStr">
        <is>
          <t>សុក្រ</t>
        </is>
      </c>
      <c r="G1814" s="3" t="inlineStr">
        <is>
          <t>សុក្រ</t>
        </is>
      </c>
      <c r="H1814" t="inlineStr">
        <is>
          <t>សុក្រ</t>
        </is>
      </c>
      <c r="I1814" s="217" t="inlineStr">
        <is>
          <t>"KiemKe.t6": "សុក្រ",</t>
        </is>
      </c>
      <c r="N1814" s="163" t="n"/>
    </row>
    <row r="1815" ht="15.75" customHeight="1" s="305">
      <c r="A1815" s="215" t="inlineStr">
        <is>
          <t>KiemKe.t7</t>
        </is>
      </c>
      <c r="B1815" s="215" t="inlineStr">
        <is>
          <t>T7</t>
        </is>
      </c>
      <c r="C1815" s="215" t="inlineStr">
        <is>
          <t>Saturday</t>
        </is>
      </c>
      <c r="D1815" s="216">
        <f>IFERROR(__xludf.DUMMYFUNCTION("GOOGLETRANSLATE(B1815,""vi"",""km"")"),"ធី៧")</f>
        <v/>
      </c>
      <c r="E1815" s="217" t="inlineStr">
        <is>
          <t>សៅរ៍</t>
        </is>
      </c>
      <c r="G1815" s="3" t="inlineStr">
        <is>
          <t>សៅរ៍</t>
        </is>
      </c>
      <c r="H1815" t="inlineStr">
        <is>
          <t>សៅរ៍</t>
        </is>
      </c>
      <c r="I1815" s="217" t="inlineStr">
        <is>
          <t>"KiemKe.t7": "សៅរ៍",</t>
        </is>
      </c>
      <c r="N1815" s="163" t="n"/>
    </row>
    <row r="1816" ht="15.75" customHeight="1" s="305">
      <c r="A1816" s="215" t="inlineStr">
        <is>
          <t>KiemKe.taoKiemKeThatBai</t>
        </is>
      </c>
      <c r="B1816" s="215" t="inlineStr">
        <is>
          <t>Tạo kiểm kê thất bại</t>
        </is>
      </c>
      <c r="C1816" s="215" t="inlineStr">
        <is>
          <t>Failed to create inventory check</t>
        </is>
      </c>
      <c r="D1816" s="216">
        <f>IFERROR(__xludf.DUMMYFUNCTION("GOOGLETRANSLATE(B1816,""vi"",""km"")"),"បង្កើតសារពើភ័ណ្ឌនៃការបរាជ័យ។")</f>
        <v/>
      </c>
      <c r="E1816" s="217" t="inlineStr">
        <is>
          <t>បង្កើតការត្រួតពិនិត្យបរាជ័យ</t>
        </is>
      </c>
      <c r="G1816" s="3" t="inlineStr">
        <is>
          <t>បង្កើតការត្រួតពិនិត្យបរាជ័យ</t>
        </is>
      </c>
      <c r="H1816" t="inlineStr">
        <is>
          <t>បង្កើតការត្រួតពិនិត្យបរាជ័យ</t>
        </is>
      </c>
      <c r="I1816" s="217" t="inlineStr">
        <is>
          <t>"KiemKe.taoKiemKeThatBai": "បង្កើតការត្រួតពិនិត្យបរាជ័យ",</t>
        </is>
      </c>
      <c r="N1816" s="163" t="n"/>
    </row>
    <row r="1817" ht="15.75" customHeight="1" s="305">
      <c r="A1817" s="215" t="inlineStr">
        <is>
          <t>KiemKe.thang1</t>
        </is>
      </c>
      <c r="B1817" s="215" t="inlineStr">
        <is>
          <t>Tháng 1</t>
        </is>
      </c>
      <c r="C1817" s="215" t="inlineStr">
        <is>
          <t>January</t>
        </is>
      </c>
      <c r="D1817" s="216">
        <f>IFERROR(__xludf.DUMMYFUNCTION("GOOGLETRANSLATE(B1817,""vi"",""km"")"),"ខែមករា")</f>
        <v/>
      </c>
      <c r="E1817" s="217" t="inlineStr">
        <is>
          <t>ខែមករា</t>
        </is>
      </c>
      <c r="G1817" s="3" t="inlineStr">
        <is>
          <t>ខែមករា</t>
        </is>
      </c>
      <c r="H1817" t="inlineStr">
        <is>
          <t>ខែមករា</t>
        </is>
      </c>
      <c r="I1817" s="217" t="inlineStr">
        <is>
          <t>"KiemKe.thang1": "ខែមករា",</t>
        </is>
      </c>
      <c r="N1817" s="163" t="n"/>
    </row>
    <row r="1818" ht="15.75" customHeight="1" s="305">
      <c r="A1818" s="215" t="inlineStr">
        <is>
          <t>KiemKe.thang10</t>
        </is>
      </c>
      <c r="B1818" s="215" t="inlineStr">
        <is>
          <t>Tháng 10</t>
        </is>
      </c>
      <c r="C1818" s="215" t="inlineStr">
        <is>
          <t>October</t>
        </is>
      </c>
      <c r="D1818" s="216">
        <f>IFERROR(__xludf.DUMMYFUNCTION("GOOGLETRANSLATE(B1818,""vi"",""km"")"),"ខែតុលា")</f>
        <v/>
      </c>
      <c r="E1818" s="217" t="inlineStr">
        <is>
          <t>ខែតុលា</t>
        </is>
      </c>
      <c r="G1818" s="3" t="inlineStr">
        <is>
          <t>ខែតុលា</t>
        </is>
      </c>
      <c r="H1818" t="inlineStr">
        <is>
          <t>ខែតុលា</t>
        </is>
      </c>
      <c r="I1818" s="217" t="inlineStr">
        <is>
          <t>"KiemKe.thang10": "ខែតុលា",</t>
        </is>
      </c>
      <c r="N1818" s="163" t="n"/>
    </row>
    <row r="1819" ht="15.75" customHeight="1" s="305">
      <c r="A1819" s="215" t="inlineStr">
        <is>
          <t>KiemKe.thang11</t>
        </is>
      </c>
      <c r="B1819" s="215" t="inlineStr">
        <is>
          <t>Tháng 11</t>
        </is>
      </c>
      <c r="C1819" s="215" t="inlineStr">
        <is>
          <t>November</t>
        </is>
      </c>
      <c r="D1819" s="216">
        <f>IFERROR(__xludf.DUMMYFUNCTION("GOOGLETRANSLATE(B1819,""vi"",""km"")"),"ខែវិច្ឆិកា")</f>
        <v/>
      </c>
      <c r="E1819" s="217" t="inlineStr">
        <is>
          <t>ខែវិច្ឆិកា</t>
        </is>
      </c>
      <c r="G1819" s="3" t="inlineStr">
        <is>
          <t>ខែវិច្ឆិកា</t>
        </is>
      </c>
      <c r="H1819" t="inlineStr">
        <is>
          <t>ខែវិច្ឆិកា</t>
        </is>
      </c>
      <c r="I1819" s="217" t="inlineStr">
        <is>
          <t>"KiemKe.thang11": "ខែវិច្ឆិកា",</t>
        </is>
      </c>
      <c r="N1819" s="163" t="n"/>
    </row>
    <row r="1820" ht="15.75" customHeight="1" s="305">
      <c r="A1820" s="215" t="inlineStr">
        <is>
          <t>KiemKe.thang12</t>
        </is>
      </c>
      <c r="B1820" s="215" t="inlineStr">
        <is>
          <t>Tháng 12</t>
        </is>
      </c>
      <c r="C1820" s="215" t="inlineStr">
        <is>
          <t>December</t>
        </is>
      </c>
      <c r="D1820" s="216">
        <f>IFERROR(__xludf.DUMMYFUNCTION("GOOGLETRANSLATE(B1820,""vi"",""km"")"),"ខែធ្នូ")</f>
        <v/>
      </c>
      <c r="E1820" s="217" t="inlineStr">
        <is>
          <t>ខែធ្នូ</t>
        </is>
      </c>
      <c r="G1820" s="3" t="inlineStr">
        <is>
          <t>ខែធ្នូ</t>
        </is>
      </c>
      <c r="H1820" t="inlineStr">
        <is>
          <t>ខែធ្នូ</t>
        </is>
      </c>
      <c r="I1820" s="217" t="inlineStr">
        <is>
          <t>"KiemKe.thang12": "ខែធ្នូ",</t>
        </is>
      </c>
      <c r="N1820" s="163" t="n"/>
    </row>
    <row r="1821" ht="15.75" customHeight="1" s="305">
      <c r="A1821" s="215" t="inlineStr">
        <is>
          <t>KiemKe.thang2</t>
        </is>
      </c>
      <c r="B1821" s="215" t="inlineStr">
        <is>
          <t>Tháng 2</t>
        </is>
      </c>
      <c r="C1821" s="215" t="inlineStr">
        <is>
          <t>February</t>
        </is>
      </c>
      <c r="D1821" s="216">
        <f>IFERROR(__xludf.DUMMYFUNCTION("GOOGLETRANSLATE(B1821,""vi"",""km"")"),"ខែកុម្ភៈ")</f>
        <v/>
      </c>
      <c r="E1821" s="217" t="inlineStr">
        <is>
          <t>ខែកុម្ភៈ</t>
        </is>
      </c>
      <c r="G1821" s="3" t="inlineStr">
        <is>
          <t>ខែកុម្ភៈ</t>
        </is>
      </c>
      <c r="H1821" t="inlineStr">
        <is>
          <t>ខែកុម្ភៈ</t>
        </is>
      </c>
      <c r="I1821" s="217" t="inlineStr">
        <is>
          <t>"KiemKe.thang2": "ខែកុម្ភៈ",</t>
        </is>
      </c>
      <c r="N1821" s="163" t="n"/>
    </row>
    <row r="1822" ht="15.75" customHeight="1" s="305">
      <c r="A1822" s="215" t="inlineStr">
        <is>
          <t>KiemKe.thang3</t>
        </is>
      </c>
      <c r="B1822" s="215" t="inlineStr">
        <is>
          <t>Tháng 3</t>
        </is>
      </c>
      <c r="C1822" s="215" t="inlineStr">
        <is>
          <t>March</t>
        </is>
      </c>
      <c r="D1822" s="216">
        <f>IFERROR(__xludf.DUMMYFUNCTION("GOOGLETRANSLATE(B1822,""vi"",""km"")"),"ខែមីនា")</f>
        <v/>
      </c>
      <c r="E1822" s="217" t="inlineStr">
        <is>
          <t>ខែមីនា</t>
        </is>
      </c>
      <c r="G1822" s="3" t="inlineStr">
        <is>
          <t>ខែមីនា</t>
        </is>
      </c>
      <c r="H1822" t="inlineStr">
        <is>
          <t>ខែមីនា</t>
        </is>
      </c>
      <c r="I1822" s="217" t="inlineStr">
        <is>
          <t>"KiemKe.thang3": "ខែមីនា",</t>
        </is>
      </c>
      <c r="N1822" s="163" t="n"/>
    </row>
    <row r="1823" ht="15.75" customHeight="1" s="305">
      <c r="A1823" s="215" t="inlineStr">
        <is>
          <t>KiemKe.thang4</t>
        </is>
      </c>
      <c r="B1823" s="215" t="inlineStr">
        <is>
          <t>Tháng 4</t>
        </is>
      </c>
      <c r="C1823" s="215" t="inlineStr">
        <is>
          <t>April</t>
        </is>
      </c>
      <c r="D1823" s="216">
        <f>IFERROR(__xludf.DUMMYFUNCTION("GOOGLETRANSLATE(B1823,""vi"",""km"")"),"ខែមេសា")</f>
        <v/>
      </c>
      <c r="E1823" s="217" t="inlineStr">
        <is>
          <t>ខែមេសា</t>
        </is>
      </c>
      <c r="G1823" s="3" t="inlineStr">
        <is>
          <t>ខែមេសា</t>
        </is>
      </c>
      <c r="H1823" t="inlineStr">
        <is>
          <t>ខែមេសា</t>
        </is>
      </c>
      <c r="I1823" s="217" t="inlineStr">
        <is>
          <t>"KiemKe.thang4": "ខែមេសា",</t>
        </is>
      </c>
      <c r="N1823" s="163" t="n"/>
    </row>
    <row r="1824" ht="15.75" customHeight="1" s="305">
      <c r="A1824" s="215" t="inlineStr">
        <is>
          <t>KiemKe.thang5</t>
        </is>
      </c>
      <c r="B1824" s="215" t="inlineStr">
        <is>
          <t>Tháng 5</t>
        </is>
      </c>
      <c r="C1824" s="215" t="inlineStr">
        <is>
          <t>May</t>
        </is>
      </c>
      <c r="D1824" s="216">
        <f>IFERROR(__xludf.DUMMYFUNCTION("GOOGLETRANSLATE(B1824,""vi"",""km"")"),"ឧសភា")</f>
        <v/>
      </c>
      <c r="E1824" s="217" t="inlineStr">
        <is>
          <t>ខែឧសភា</t>
        </is>
      </c>
      <c r="G1824" s="3" t="inlineStr">
        <is>
          <t>ខែឧសភា</t>
        </is>
      </c>
      <c r="H1824" t="inlineStr">
        <is>
          <t>ខែឧសភា</t>
        </is>
      </c>
      <c r="I1824" s="217" t="inlineStr">
        <is>
          <t>"KiemKe.thang5": "ខែឧសភា",</t>
        </is>
      </c>
      <c r="N1824" s="163" t="n"/>
    </row>
    <row r="1825" ht="15.75" customHeight="1" s="305">
      <c r="A1825" s="215" t="inlineStr">
        <is>
          <t>KiemKe.thang6</t>
        </is>
      </c>
      <c r="B1825" s="215" t="inlineStr">
        <is>
          <t>Tháng 6</t>
        </is>
      </c>
      <c r="C1825" s="215" t="inlineStr">
        <is>
          <t>June</t>
        </is>
      </c>
      <c r="D1825" s="216">
        <f>IFERROR(__xludf.DUMMYFUNCTION("GOOGLETRANSLATE(B1825,""vi"",""km"")"),"ខែមិថុនា")</f>
        <v/>
      </c>
      <c r="E1825" s="217" t="inlineStr">
        <is>
          <t>ខែមិថុនា</t>
        </is>
      </c>
      <c r="G1825" s="3" t="inlineStr">
        <is>
          <t>ខែមិថុនា</t>
        </is>
      </c>
      <c r="H1825" t="inlineStr">
        <is>
          <t>ខែមិថុនា</t>
        </is>
      </c>
      <c r="I1825" s="217" t="inlineStr">
        <is>
          <t>"KiemKe.thang6": "ខែមិថុនា",</t>
        </is>
      </c>
      <c r="N1825" s="163" t="n"/>
    </row>
    <row r="1826" ht="15.75" customHeight="1" s="305">
      <c r="A1826" s="215" t="inlineStr">
        <is>
          <t>KiemKe.thang7</t>
        </is>
      </c>
      <c r="B1826" s="215" t="inlineStr">
        <is>
          <t>Tháng 7</t>
        </is>
      </c>
      <c r="C1826" s="215" t="inlineStr">
        <is>
          <t>July</t>
        </is>
      </c>
      <c r="D1826" s="216">
        <f>IFERROR(__xludf.DUMMYFUNCTION("GOOGLETRANSLATE(B1826,""vi"",""km"")"),"ខែកក្កដា")</f>
        <v/>
      </c>
      <c r="E1826" s="217" t="inlineStr">
        <is>
          <t>ខែកក្កដា</t>
        </is>
      </c>
      <c r="G1826" s="3" t="inlineStr">
        <is>
          <t>ខែកក្កដា</t>
        </is>
      </c>
      <c r="H1826" t="inlineStr">
        <is>
          <t>ខែកក្កដា</t>
        </is>
      </c>
      <c r="I1826" s="217" t="inlineStr">
        <is>
          <t>"KiemKe.thang7": "ខែកក្កដា",</t>
        </is>
      </c>
      <c r="N1826" s="163" t="n"/>
    </row>
    <row r="1827" ht="15.75" customHeight="1" s="305">
      <c r="A1827" s="215" t="inlineStr">
        <is>
          <t>KiemKe.thang8</t>
        </is>
      </c>
      <c r="B1827" s="215" t="inlineStr">
        <is>
          <t>Tháng 8</t>
        </is>
      </c>
      <c r="C1827" s="215" t="inlineStr">
        <is>
          <t>August</t>
        </is>
      </c>
      <c r="D1827" s="216">
        <f>IFERROR(__xludf.DUMMYFUNCTION("GOOGLETRANSLATE(B1827,""vi"",""km"")"),"ខែសីហា")</f>
        <v/>
      </c>
      <c r="E1827" s="217" t="inlineStr">
        <is>
          <t>ខែសីហា</t>
        </is>
      </c>
      <c r="G1827" s="3" t="inlineStr">
        <is>
          <t>ខែសីហា</t>
        </is>
      </c>
      <c r="H1827" t="inlineStr">
        <is>
          <t>ខែសីហា</t>
        </is>
      </c>
      <c r="I1827" s="217" t="inlineStr">
        <is>
          <t>"KiemKe.thang8": "ខែសីហា",</t>
        </is>
      </c>
      <c r="N1827" s="163" t="n"/>
    </row>
    <row r="1828" ht="15.75" customHeight="1" s="305">
      <c r="A1828" s="215" t="inlineStr">
        <is>
          <t>KiemKe.thang9</t>
        </is>
      </c>
      <c r="B1828" s="215" t="inlineStr">
        <is>
          <t>Tháng 9</t>
        </is>
      </c>
      <c r="C1828" s="215" t="inlineStr">
        <is>
          <t>September</t>
        </is>
      </c>
      <c r="D1828" s="216">
        <f>IFERROR(__xludf.DUMMYFUNCTION("GOOGLETRANSLATE(B1828,""vi"",""km"")"),"ខែកញ្ញា")</f>
        <v/>
      </c>
      <c r="E1828" s="217" t="inlineStr">
        <is>
          <t>ខែកញ្ញា</t>
        </is>
      </c>
      <c r="G1828" s="3" t="inlineStr">
        <is>
          <t>ខែកញ្ញា</t>
        </is>
      </c>
      <c r="H1828" t="inlineStr">
        <is>
          <t>ខែកញ្ញា</t>
        </is>
      </c>
      <c r="I1828" s="217" t="inlineStr">
        <is>
          <t>"KiemKe.thang9": "ខែកញ្ញា",</t>
        </is>
      </c>
      <c r="N1828" s="163" t="n"/>
    </row>
    <row r="1829" ht="15.75" customHeight="1" s="305">
      <c r="A1829" s="215" t="inlineStr">
        <is>
          <t>KiemKe.thieuNoiDung</t>
        </is>
      </c>
      <c r="B1829" s="215" t="inlineStr">
        <is>
          <t>Thiếu nội dung</t>
        </is>
      </c>
      <c r="C1829" s="215" t="inlineStr">
        <is>
          <t>Missing content</t>
        </is>
      </c>
      <c r="D1829" s="216">
        <f>IFERROR(__xludf.DUMMYFUNCTION("GOOGLETRANSLATE(B1829,""vi"",""km"")"),"ខ្លឹមសារដែលបាត់")</f>
        <v/>
      </c>
      <c r="E1829" s="217" t="inlineStr">
        <is>
          <t>ខ្វះមាតិកា</t>
        </is>
      </c>
      <c r="G1829" s="3" t="inlineStr">
        <is>
          <t>ខ្វះមាតិកា</t>
        </is>
      </c>
      <c r="H1829" t="inlineStr">
        <is>
          <t>ខ្វះមាតិកា</t>
        </is>
      </c>
      <c r="I1829" s="217" t="inlineStr">
        <is>
          <t>"KiemKe.thieuNoiDung": "ខ្វះមាតិកា",</t>
        </is>
      </c>
      <c r="N1829" s="163" t="n"/>
    </row>
    <row r="1830" ht="15.75" customHeight="1" s="305">
      <c r="A1830" s="215" t="inlineStr">
        <is>
          <t>KiemKe.thuba</t>
        </is>
      </c>
      <c r="B1830" s="215" t="inlineStr">
        <is>
          <t>Thứ ba</t>
        </is>
      </c>
      <c r="C1830" s="215" t="inlineStr">
        <is>
          <t>Tuesday</t>
        </is>
      </c>
      <c r="D1830" s="216">
        <f>IFERROR(__xludf.DUMMYFUNCTION("GOOGLETRANSLATE(B1830,""vi"",""km"")"),"ថ្ងៃអង្គារ")</f>
        <v/>
      </c>
      <c r="E1830" s="217" t="inlineStr">
        <is>
          <t>ថ្ងៃអង្គារ</t>
        </is>
      </c>
      <c r="G1830" s="3" t="inlineStr">
        <is>
          <t>ថ្ងៃអង្គារ</t>
        </is>
      </c>
      <c r="H1830" t="inlineStr">
        <is>
          <t>ថ្ងៃអង្គារ</t>
        </is>
      </c>
      <c r="I1830" s="217" t="inlineStr">
        <is>
          <t>"KiemKe.thuba": "ថ្ងៃអង្គារ",</t>
        </is>
      </c>
      <c r="N1830" s="163" t="n"/>
    </row>
    <row r="1831" ht="15.75" customHeight="1" s="305">
      <c r="A1831" s="215" t="inlineStr">
        <is>
          <t>KiemKe.thubay</t>
        </is>
      </c>
      <c r="B1831" s="215" t="inlineStr">
        <is>
          <t>Thứ bảy</t>
        </is>
      </c>
      <c r="C1831" s="215" t="inlineStr">
        <is>
          <t>Saturday</t>
        </is>
      </c>
      <c r="D1831" s="216">
        <f>IFERROR(__xludf.DUMMYFUNCTION("GOOGLETRANSLATE(B1831,""vi"",""km"")"),"ថ្ងៃសៅរ៍")</f>
        <v/>
      </c>
      <c r="E1831" s="217" t="inlineStr">
        <is>
          <t>ថ្ងៃសៅរ៍</t>
        </is>
      </c>
      <c r="G1831" s="3" t="inlineStr">
        <is>
          <t>ថ្ងៃសៅរ៍</t>
        </is>
      </c>
      <c r="H1831" t="inlineStr">
        <is>
          <t>ថ្ងៃសៅរ៍</t>
        </is>
      </c>
      <c r="I1831" s="217" t="inlineStr">
        <is>
          <t>"KiemKe.thubay": "ថ្ងៃសៅរ៍",</t>
        </is>
      </c>
      <c r="N1831" s="163" t="n"/>
    </row>
    <row r="1832" ht="15.75" customHeight="1" s="305">
      <c r="A1832" s="215" t="inlineStr">
        <is>
          <t>KiemKe.thuhai</t>
        </is>
      </c>
      <c r="B1832" s="215" t="inlineStr">
        <is>
          <t>Thứ hai</t>
        </is>
      </c>
      <c r="C1832" s="215" t="inlineStr">
        <is>
          <t>Monday</t>
        </is>
      </c>
      <c r="D1832" s="216">
        <f>IFERROR(__xludf.DUMMYFUNCTION("GOOGLETRANSLATE(B1832,""vi"",""km"")"),"ថ្ងៃច័ន្ទ")</f>
        <v/>
      </c>
      <c r="E1832" s="217" t="inlineStr">
        <is>
          <t>ថ្ងៃចន្ទ</t>
        </is>
      </c>
      <c r="G1832" s="3" t="inlineStr">
        <is>
          <t>ថ្ងៃចន្ទ</t>
        </is>
      </c>
      <c r="H1832" t="inlineStr">
        <is>
          <t>ថ្ងៃចន្ទ</t>
        </is>
      </c>
      <c r="I1832" s="217" t="inlineStr">
        <is>
          <t>"KiemKe.thuhai": "ថ្ងៃចន្ទ",</t>
        </is>
      </c>
      <c r="N1832" s="163" t="n"/>
    </row>
    <row r="1833" ht="15.75" customHeight="1" s="305">
      <c r="A1833" s="215" t="inlineStr">
        <is>
          <t>KiemKe.thunam</t>
        </is>
      </c>
      <c r="B1833" s="215" t="inlineStr">
        <is>
          <t>Thứ năm</t>
        </is>
      </c>
      <c r="C1833" s="215" t="inlineStr">
        <is>
          <t>Thursday</t>
        </is>
      </c>
      <c r="D1833" s="216">
        <f>IFERROR(__xludf.DUMMYFUNCTION("GOOGLETRANSLATE(B1833,""vi"",""km"")"),"ថ្ងៃព្រហស្បតិ៍")</f>
        <v/>
      </c>
      <c r="E1833" s="217" t="inlineStr">
        <is>
          <t>ថ្ងៃព្រហស្បតិ៍</t>
        </is>
      </c>
      <c r="G1833" s="3" t="inlineStr">
        <is>
          <t>ថ្ងៃព្រហស្បតិ៍</t>
        </is>
      </c>
      <c r="H1833" t="inlineStr">
        <is>
          <t>ថ្ងៃព្រហស្បតិ៍</t>
        </is>
      </c>
      <c r="I1833" s="217" t="inlineStr">
        <is>
          <t>"KiemKe.thunam": "ថ្ងៃព្រហស្បតិ៍",</t>
        </is>
      </c>
      <c r="N1833" s="163" t="n"/>
    </row>
    <row r="1834" ht="15.75" customHeight="1" s="305">
      <c r="A1834" s="215" t="inlineStr">
        <is>
          <t>KiemKe.thusau</t>
        </is>
      </c>
      <c r="B1834" s="215" t="inlineStr">
        <is>
          <t>Thứ sáu</t>
        </is>
      </c>
      <c r="C1834" s="215" t="inlineStr">
        <is>
          <t>Friday</t>
        </is>
      </c>
      <c r="D1834" s="216">
        <f>IFERROR(__xludf.DUMMYFUNCTION("GOOGLETRANSLATE(B1834,""vi"",""km"")"),"ថ្ងៃសុក្រ")</f>
        <v/>
      </c>
      <c r="E1834" s="217" t="inlineStr">
        <is>
          <t>ថ្ងៃសុក្រ</t>
        </is>
      </c>
      <c r="G1834" s="3" t="inlineStr">
        <is>
          <t>ថ្ងៃសុក្រ</t>
        </is>
      </c>
      <c r="H1834" t="inlineStr">
        <is>
          <t>ថ្ងៃសុក្រ</t>
        </is>
      </c>
      <c r="I1834" s="217" t="inlineStr">
        <is>
          <t>"KiemKe.thusau": "ថ្ងៃសុក្រ",</t>
        </is>
      </c>
      <c r="N1834" s="163" t="n"/>
    </row>
    <row r="1835" ht="15.75" customHeight="1" s="305">
      <c r="A1835" s="215" t="inlineStr">
        <is>
          <t>KiemKe.thutu</t>
        </is>
      </c>
      <c r="B1835" s="215" t="inlineStr">
        <is>
          <t>Thứ tư</t>
        </is>
      </c>
      <c r="C1835" s="215" t="inlineStr">
        <is>
          <t>Wednesday</t>
        </is>
      </c>
      <c r="D1835" s="216">
        <f>IFERROR(__xludf.DUMMYFUNCTION("GOOGLETRANSLATE(B1835,""vi"",""km"")"),"ថ្ងៃពុធ")</f>
        <v/>
      </c>
      <c r="E1835" s="217" t="inlineStr">
        <is>
          <t>ថ្ងៃពុធ</t>
        </is>
      </c>
      <c r="G1835" s="3" t="inlineStr">
        <is>
          <t>ថ្ងៃពុធ</t>
        </is>
      </c>
      <c r="H1835" t="inlineStr">
        <is>
          <t>ថ្ងៃពុធ</t>
        </is>
      </c>
      <c r="I1835" s="217" t="inlineStr">
        <is>
          <t>"KiemKe.thutu": "ថ្ងៃពុធ",</t>
        </is>
      </c>
      <c r="N1835" s="163" t="n"/>
    </row>
    <row r="1836" ht="15.75" customHeight="1" s="305">
      <c r="A1836" s="215" t="inlineStr">
        <is>
          <t>taoDon.sellerPayerWarning</t>
        </is>
      </c>
      <c r="B1836" s="215" t="inlineStr">
        <is>
          <t>Hướng dẫn khách hàng tạo đơn trên app Metfone Express!</t>
        </is>
      </c>
      <c r="C1836" s="215" t="inlineStr">
        <is>
          <t>Instructions for customers creating orders on the Metfone Express app!</t>
        </is>
      </c>
      <c r="D1836" s="216">
        <f>IFERROR(__xludf.DUMMYFUNCTION("GOOGLETRANSLATE(B1836,""vi"",""km"")"),"ការណែនាំសម្រាប់អតិថិជនក្នុងការបង្កើតការបញ្ជាទិញនៅលើកម្មវិធី Metfone Express!")</f>
        <v/>
      </c>
      <c r="E1836" s="217" t="inlineStr">
        <is>
          <t>ណែនាំអតិថិជនឱ្យបង្កើតបុងបញ្ញើនៅលើកម្មវិធី Metfone Express!</t>
        </is>
      </c>
      <c r="G1836" s="3" t="inlineStr">
        <is>
          <t>ណែនាំអតិថិជនឱ្យបង្កើតបុងបញ្ញើនៅលើកម្មវិធី Metfone Express!</t>
        </is>
      </c>
      <c r="H1836" t="inlineStr">
        <is>
          <t>ណែនាំអតិថិជនឱ្យបង្កើតបុងបញ្ញើនៅលើកម្មវិធី Metfone Express!</t>
        </is>
      </c>
      <c r="I1836" s="217" t="inlineStr">
        <is>
          <t>"taoDon.sellerPayerWarning": "ណែនាំអតិថិជនឱ្យបង្កើតបុងបញ្ញើនៅលើកម្មវិធី Metfone Express!",</t>
        </is>
      </c>
      <c r="N1836" s="163" t="n"/>
    </row>
    <row r="1837" ht="15.75" customHeight="1" s="305">
      <c r="A1837" s="215" t="inlineStr">
        <is>
          <t>traCuu.chiTietPhieuChuyenTiep</t>
        </is>
      </c>
      <c r="B1837" s="215" t="inlineStr">
        <is>
          <t>Chi tiết phiếu chuyển tiếp</t>
        </is>
      </c>
      <c r="C1837" s="215" t="inlineStr">
        <is>
          <t>Forward parcel detail</t>
        </is>
      </c>
      <c r="D1837" s="216">
        <f>IFERROR(__xludf.DUMMYFUNCTION("GOOGLETRANSLATE(B1837,""vi"",""km"")"),"ព័ត៌មានលម្អិតនៃសន្លឹកផ្ទេរ")</f>
        <v/>
      </c>
      <c r="G1837" s="3" t="inlineStr">
        <is>
          <t>ព័ត៌មានលម្អិតនៃសន្លឹកផ្ទេរ</t>
        </is>
      </c>
      <c r="H1837" t="inlineStr">
        <is>
          <t>ព័ត៌មានលម្អិតនៃសន្លឹកផ្ទេរ</t>
        </is>
      </c>
      <c r="I1837" s="217" t="inlineStr">
        <is>
          <t>"traCuu.chiTietPhieuChuyenTiep": "ព័ត៌មានលម្អិតនៃសន្លឹកផ្ទេរ",</t>
        </is>
      </c>
      <c r="N1837" s="163" t="n"/>
    </row>
    <row r="1838" ht="15.75" customHeight="1" s="305">
      <c r="A1838" s="215" t="inlineStr">
        <is>
          <t>traCuu.lan</t>
        </is>
      </c>
      <c r="B1838" s="215" t="inlineStr">
        <is>
          <t>lần</t>
        </is>
      </c>
      <c r="C1838" s="215" t="inlineStr">
        <is>
          <t>No.</t>
        </is>
      </c>
      <c r="D1838" s="216">
        <f>IFERROR(__xludf.DUMMYFUNCTION("GOOGLETRANSLATE(B1838,""vi"",""km"")"),"ពេលវេលា")</f>
        <v/>
      </c>
      <c r="G1838" s="3" t="inlineStr">
        <is>
          <t>ពេលវេលា</t>
        </is>
      </c>
      <c r="H1838" t="inlineStr">
        <is>
          <t>ពេលវេលា</t>
        </is>
      </c>
      <c r="I1838" s="217" t="inlineStr">
        <is>
          <t>"traCuu.lan": "ពេលវេលា",</t>
        </is>
      </c>
      <c r="N1838" s="163" t="n"/>
    </row>
    <row r="1839" ht="15.75" customHeight="1" s="305">
      <c r="A1839" s="215" t="inlineStr">
        <is>
          <t>traCuu.maPhieuChuyenTiep</t>
        </is>
      </c>
      <c r="B1839" s="215" t="inlineStr">
        <is>
          <t>Mã phiếu chuyển tiếp</t>
        </is>
      </c>
      <c r="C1839" s="215" t="inlineStr">
        <is>
          <t>Forward parcel code</t>
        </is>
      </c>
      <c r="D1839" s="216">
        <f>IFERROR(__xludf.DUMMYFUNCTION("GOOGLETRANSLATE(B1839,""vi"",""km"")"),"លេខកូដប័ណ្ណផ្ទេរ")</f>
        <v/>
      </c>
      <c r="G1839" s="3" t="inlineStr">
        <is>
          <t>លេខកូដបុងបញ្ជូនបន្ត</t>
        </is>
      </c>
      <c r="H1839" t="inlineStr">
        <is>
          <t>លេខកូដបុងបញ្ជូនបន្ត</t>
        </is>
      </c>
      <c r="I1839" s="217" t="inlineStr">
        <is>
          <t>"traCuu.maPhieuChuyenTiep": "លេខកូដបុងបញ្ជូនបន្ត",</t>
        </is>
      </c>
      <c r="N1839" s="163" t="n"/>
    </row>
    <row r="1840" ht="15.75" customHeight="1" s="305">
      <c r="A1840" s="215" t="inlineStr">
        <is>
          <t>KiemKe.donhang</t>
        </is>
      </c>
      <c r="B1840" s="215" t="inlineStr">
        <is>
          <t>Đơn hàng {{id}}</t>
        </is>
      </c>
      <c r="C1840" s="215" t="inlineStr">
        <is>
          <t>Order {{id}}</t>
        </is>
      </c>
      <c r="D1840" s="216">
        <f>IFERROR(__xludf.DUMMYFUNCTION("GOOGLETRANSLATE(B1840,""vi"",""km"")"),"លំដាប់ {{id}}")</f>
        <v/>
      </c>
      <c r="G1840" s="3" t="inlineStr">
        <is>
          <t>លំដាប់ {{id}}</t>
        </is>
      </c>
      <c r="H1840" t="inlineStr">
        <is>
          <t>លំដាប់ {{id}}</t>
        </is>
      </c>
      <c r="I1840" s="217" t="inlineStr">
        <is>
          <t>"KiemKe.donhang": "លំដាប់ {{id}}",</t>
        </is>
      </c>
      <c r="N1840" s="163" t="n"/>
    </row>
    <row r="1841" ht="15.75" customHeight="1" s="305">
      <c r="A1841" s="215" t="inlineStr">
        <is>
          <t>thunhap.hoaHongGiao</t>
        </is>
      </c>
      <c r="B1841" s="215" t="inlineStr">
        <is>
          <t>Hoa hồng giao</t>
        </is>
      </c>
      <c r="C1841" s="215" t="inlineStr">
        <is>
          <t>Delivery Commission</t>
        </is>
      </c>
      <c r="D1841" s="216">
        <f>IFERROR(__xludf.DUMMYFUNCTION("GOOGLETRANSLATE(B1841,""vi"",""km"")"),"ផ្កាកុលាប")</f>
        <v/>
      </c>
      <c r="G1841" s="3" t="inlineStr">
        <is>
          <t>ផ្កាកុលាប</t>
        </is>
      </c>
      <c r="H1841" t="inlineStr">
        <is>
          <t>ផ្កាកុលាប</t>
        </is>
      </c>
      <c r="I1841" s="217" t="inlineStr">
        <is>
          <t>"thunhap.hoaHongGiao": "ផ្កាកុលាប",</t>
        </is>
      </c>
      <c r="N1841" s="163" t="n"/>
    </row>
    <row r="1842" ht="15.75" customHeight="1" s="305">
      <c r="A1842" s="215" t="inlineStr">
        <is>
          <t>thunhap.hoaHongNhan</t>
        </is>
      </c>
      <c r="B1842" s="215" t="inlineStr">
        <is>
          <t>Hoa hồng nhận</t>
        </is>
      </c>
      <c r="C1842" s="215" t="inlineStr">
        <is>
          <t>Pickup Commission</t>
        </is>
      </c>
      <c r="D1842" s="216">
        <f>IFERROR(__xludf.DUMMYFUNCTION("GOOGLETRANSLATE(B1842,""vi"",""km"")"),"ផ្កាកុលាបបានទទួល")</f>
        <v/>
      </c>
      <c r="G1842" s="3" t="inlineStr">
        <is>
          <t>ផ្កាកុលាបបានទទួល</t>
        </is>
      </c>
      <c r="H1842" t="inlineStr">
        <is>
          <t>ផ្កាកុលាបបានទទួល</t>
        </is>
      </c>
      <c r="I1842" s="217" t="inlineStr">
        <is>
          <t>"thunhap.hoaHongNhan": "ផ្កាកុលាបបានទទួល",</t>
        </is>
      </c>
      <c r="N1842" s="163" t="n"/>
    </row>
    <row r="1843" ht="15.75" customHeight="1" s="305">
      <c r="A1843" s="215" t="inlineStr">
        <is>
          <t>thunhap.hoanThanhKip</t>
        </is>
      </c>
      <c r="B1843" s="213" t="inlineStr">
        <is>
          <t>Hoàn thành KPI</t>
        </is>
      </c>
      <c r="C1843" s="219" t="inlineStr">
        <is>
          <t>KPI Completion</t>
        </is>
      </c>
      <c r="D1843" s="216">
        <f>IFERROR(__xludf.DUMMYFUNCTION("GOOGLETRANSLATE(B1843,""vi"",""km"")"),"សម្រេចបាន KPIs")</f>
        <v/>
      </c>
      <c r="E1843" s="3" t="n"/>
      <c r="G1843" s="3" t="inlineStr">
        <is>
          <t>សម្រេចបាន KPIs</t>
        </is>
      </c>
      <c r="H1843" t="inlineStr">
        <is>
          <t>សម្រេចបាន KPIs</t>
        </is>
      </c>
      <c r="I1843" s="217" t="inlineStr">
        <is>
          <t>"thunhap.hoanThanhKip": "សម្រេចបាន KPIs",</t>
        </is>
      </c>
      <c r="N1843" s="163" t="n"/>
    </row>
    <row r="1844" ht="15.75" customHeight="1" s="305">
      <c r="A1844" s="215" t="inlineStr">
        <is>
          <t>thunhap.chotKPI</t>
        </is>
      </c>
      <c r="B1844" s="213" t="inlineStr">
        <is>
          <t>Chốt KPI</t>
        </is>
      </c>
      <c r="C1844" s="219" t="inlineStr">
        <is>
          <t>Closing KPIs</t>
        </is>
      </c>
      <c r="D1844" s="216">
        <f>IFERROR(__xludf.DUMMYFUNCTION("GOOGLETRANSLATE(B1844,""vi"",""km"")"),"បញ្ចប់ KPIs")</f>
        <v/>
      </c>
      <c r="E1844" s="3" t="n"/>
      <c r="G1844" s="3" t="inlineStr">
        <is>
          <t>បញ្ចប់ KPIs</t>
        </is>
      </c>
      <c r="H1844" t="inlineStr">
        <is>
          <t>បញ្ចប់ KPIs</t>
        </is>
      </c>
      <c r="I1844" s="217" t="inlineStr">
        <is>
          <t>"thunhap.chotKPI": "បញ្ចប់ KPIs",</t>
        </is>
      </c>
      <c r="N1844" s="163" t="n"/>
    </row>
    <row r="1845" ht="15.75" customHeight="1" s="305">
      <c r="A1845" s="207" t="inlineStr">
        <is>
          <t>thanhtoan.selectPaymentMethod</t>
        </is>
      </c>
      <c r="B1845" s="213" t="inlineStr">
        <is>
          <t>Chọn hình thức thanh toán</t>
        </is>
      </c>
      <c r="C1845" s="219" t="inlineStr">
        <is>
          <t>Select payment method</t>
        </is>
      </c>
      <c r="D1845" s="216">
        <f>IFERROR(__xludf.DUMMYFUNCTION("GOOGLETRANSLATE(B1845,""vi"",""km"")"),"ជ្រើសរើសវិធីបង់ប្រាក់")</f>
        <v/>
      </c>
      <c r="E1845" s="3" t="n"/>
      <c r="G1845" s="3" t="inlineStr">
        <is>
          <t>ជ្រើសរើសវិធីបង់ប្រាក់</t>
        </is>
      </c>
      <c r="H1845" t="inlineStr">
        <is>
          <t>ជ្រើសរើសវិធីបង់ប្រាក់</t>
        </is>
      </c>
      <c r="I1845" s="217" t="inlineStr">
        <is>
          <t>"thanhtoan.selectPaymentMethod": "ជ្រើសរើសវិធីបង់ប្រាក់",</t>
        </is>
      </c>
      <c r="N1845" s="163" t="n"/>
    </row>
    <row r="1846" ht="15.75" customHeight="1" s="305">
      <c r="A1846" s="207" t="inlineStr">
        <is>
          <t>thanhtoan.paymentCollectionSuccess</t>
        </is>
      </c>
      <c r="B1846" s="213" t="inlineStr">
        <is>
          <t>Xác nhận thu tiền thành công!</t>
        </is>
      </c>
      <c r="C1846" s="219" t="inlineStr">
        <is>
          <t>Collection successful!</t>
        </is>
      </c>
      <c r="D1846" s="216">
        <f>IFERROR(__xludf.DUMMYFUNCTION("GOOGLETRANSLATE(B1846,""vi"",""km"")"),"ការទូទាត់ត្រូវបានបញ្ជាក់!")</f>
        <v/>
      </c>
      <c r="E1846" s="3" t="n"/>
      <c r="G1846" s="3" t="inlineStr">
        <is>
          <t>ការទូទាត់ត្រូវបានបញ្ជាក់!</t>
        </is>
      </c>
      <c r="H1846" t="inlineStr">
        <is>
          <t>ការទូទាត់ត្រូវបានបញ្ជាក់!</t>
        </is>
      </c>
      <c r="I1846" s="217" t="inlineStr">
        <is>
          <t>"thanhtoan.paymentCollectionSuccess": "ការទូទាត់ត្រូវបានបញ្ជាក់!",</t>
        </is>
      </c>
      <c r="N1846" s="163" t="n"/>
    </row>
    <row r="1847" ht="15.75" customHeight="1" s="305">
      <c r="A1847" s="207" t="inlineStr">
        <is>
          <t>thanhtoan.transactionPending</t>
        </is>
      </c>
      <c r="B1847" s="213" t="inlineStr">
        <is>
          <t>Giao dịch đang chờ kết quả thanh toán!</t>
        </is>
      </c>
      <c r="C1847" s="219" t="inlineStr">
        <is>
          <t>Transaction is pending payment results!</t>
        </is>
      </c>
      <c r="D1847" s="216">
        <f>IFERROR(__xludf.DUMMYFUNCTION("GOOGLETRANSLATE(B1847,""vi"",""km"")"),"ប្រតិបត្តិការកំពុងរង់ចាំការបញ្ជាក់ការទូទាត់!")</f>
        <v/>
      </c>
      <c r="E1847" s="3" t="n"/>
      <c r="G1847" s="3" t="inlineStr">
        <is>
          <t>ប្រតិបត្តិការកំពុងរង់ចាំការបញ្ជាក់ការទូទាត់!</t>
        </is>
      </c>
      <c r="H1847" t="inlineStr">
        <is>
          <t>ប្រតិបត្តិការកំពុងរង់ចាំការបញ្ជាក់ការទូទាត់!</t>
        </is>
      </c>
      <c r="I1847" s="217" t="inlineStr">
        <is>
          <t>"thanhtoan.transactionPending": "ប្រតិបត្តិការកំពុងរង់ចាំការបញ្ជាក់ការទូទាត់!",</t>
        </is>
      </c>
      <c r="N1847" s="163" t="n"/>
    </row>
    <row r="1848" ht="15.75" customHeight="1" s="305">
      <c r="A1848" s="207" t="inlineStr">
        <is>
          <t>thanhtoan.invalidPaymentStatus</t>
        </is>
      </c>
      <c r="B1848" s="213" t="inlineStr">
        <is>
          <t>Thanh toán không hợp lệ, vui lòng kiểm tra lại trạng thái thanh toán của đơn</t>
        </is>
      </c>
      <c r="C1848" s="219" t="inlineStr">
        <is>
          <t>Invalid payment. Please re-check the payment status of the order</t>
        </is>
      </c>
      <c r="D1848" s="216">
        <f>IFERROR(__xludf.DUMMYFUNCTION("GOOGLETRANSLATE(B1848,""vi"",""km"")"),"ការទូទាត់មិនត្រឹមត្រូវទេ សូមពិនិត្យមើលស្ថានភាពការទូទាត់នៃការបញ្ជាទិញរបស់អ្នកម្តងទៀត។")</f>
        <v/>
      </c>
      <c r="E1848" s="3" t="inlineStr">
        <is>
          <t>ការទូទាត់មិនត្រឹមត្រូវ សូមពិនិត្យមើលស្ថានភាពទូទាត់នៃបុងបញ្ញើឡើងវិញ.</t>
        </is>
      </c>
      <c r="G1848" s="3" t="inlineStr">
        <is>
          <t>ការទូទាត់មិនត្រឹមត្រូវ សូមពិនិត្យមើលស្ថានភាពទូទាត់នៃបុងបញ្ញើឡើងវិញ.</t>
        </is>
      </c>
      <c r="H1848" t="inlineStr">
        <is>
          <t>ការទូទាត់មិនត្រឹមត្រូវ សូមពិនិត្យមើលស្ថានភាពទូទាត់នៃបុងបញ្ញើឡើងវិញ.</t>
        </is>
      </c>
      <c r="I1848" s="217" t="inlineStr">
        <is>
          <t>"thanhtoan.invalidPaymentStatus": "ការទូទាត់មិនត្រឹមត្រូវ សូមពិនិត្យមើលស្ថានភាពទូទាត់នៃបុងបញ្ញើឡើងវិញ.",</t>
        </is>
      </c>
      <c r="N1848" s="163" t="n"/>
    </row>
    <row r="1849" ht="15.75" customHeight="1" s="305">
      <c r="A1849" s="207" t="inlineStr">
        <is>
          <t>taoDon.createOrderFailed</t>
        </is>
      </c>
      <c r="B1849" s="213" t="inlineStr">
        <is>
          <t>Tạo đơn không thành công!</t>
        </is>
      </c>
      <c r="C1849" s="219" t="inlineStr">
        <is>
          <t>Order creation failed!</t>
        </is>
      </c>
      <c r="D1849" s="216">
        <f>IFERROR(__xludf.DUMMYFUNCTION("GOOGLETRANSLATE(B1849,""vi"",""km"")"),"ការបង្កើតការបញ្ជាទិញបរាជ័យ!")</f>
        <v/>
      </c>
      <c r="E1849" s="3" t="n"/>
      <c r="G1849" s="3" t="inlineStr">
        <is>
          <t>ការបង្កើតការបញ្ជាទិញបរាជ័យ!</t>
        </is>
      </c>
      <c r="H1849" t="inlineStr">
        <is>
          <t>ការបង្កើតការបញ្ជាទិញបរាជ័យ!</t>
        </is>
      </c>
      <c r="I1849" s="217" t="inlineStr">
        <is>
          <t>"taoDon.createOrderFailed": "ការបង្កើតការបញ្ជាទិញបរាជ័យ!",</t>
        </is>
      </c>
      <c r="N1849" s="163" t="n"/>
    </row>
    <row r="1850" ht="15.75" customHeight="1" s="305">
      <c r="A1850" s="207" t="inlineStr">
        <is>
          <t>taoDon.invalidPayment</t>
        </is>
      </c>
      <c r="B1850" s="213" t="inlineStr">
        <is>
          <t>Thanh toán không hợp lệ, kiểm tra lại trạng thái thanh toán của đơn.</t>
        </is>
      </c>
      <c r="C1850" s="219" t="inlineStr">
        <is>
          <t>Invalid payment, please check the order payment statu</t>
        </is>
      </c>
      <c r="D1850" s="216">
        <f>IFERROR(__xludf.DUMMYFUNCTION("GOOGLETRANSLATE(B1850,""vi"",""km"")"),"ការទូទាត់មិនត្រឹមត្រូវទេ សូមពិនិត្យមើលស្ថានភាពការទូទាត់នៃការបញ្ជាទិញរបស់អ្នក។")</f>
        <v/>
      </c>
      <c r="E1850" s="3" t="n"/>
      <c r="G1850" s="3" t="inlineStr">
        <is>
          <t>ការទូទាត់មិនត្រឹមត្រូវទេ សូមពិនិត្យមើលស្ថានភាពការទូទាត់នៃការបញ្ជាទិញរបស់អ្នក។</t>
        </is>
      </c>
      <c r="H1850" t="inlineStr">
        <is>
          <t>ការទូទាត់មិនត្រឹមត្រូវទេ សូមពិនិត្យមើលស្ថានភាពការទូទាត់នៃការបញ្ជាទិញរបស់អ្នក។</t>
        </is>
      </c>
      <c r="I1850" s="217" t="inlineStr">
        <is>
          <t>"taoDon.invalidPayment": "ការទូទាត់មិនត្រឹមត្រូវទេ សូមពិនិត្យមើលស្ថានភាពការទូទាត់នៃការបញ្ជាទិញរបស់អ្នក។",</t>
        </is>
      </c>
      <c r="N1850" s="163" t="n"/>
    </row>
    <row r="1851" ht="15.75" customHeight="1" s="305">
      <c r="A1851" s="207" t="inlineStr">
        <is>
          <t>taoDon.backToHome</t>
        </is>
      </c>
      <c r="B1851" s="213" t="inlineStr">
        <is>
          <t>Về trang chủ</t>
        </is>
      </c>
      <c r="C1851" s="219" t="inlineStr">
        <is>
          <t>Back to home</t>
        </is>
      </c>
      <c r="D1851" s="216">
        <f>IFERROR(__xludf.DUMMYFUNCTION("GOOGLETRANSLATE(B1851,""vi"",""km"")"),"ត្រឡប់ទៅទំព័រដើមវិញ")</f>
        <v/>
      </c>
      <c r="E1851" s="3" t="n"/>
      <c r="G1851" s="3" t="inlineStr">
        <is>
          <t>ត្រឡប់ទៅទំព័រដើម</t>
        </is>
      </c>
      <c r="H1851" t="inlineStr">
        <is>
          <t>ត្រឡប់ទៅទំព័រដើម</t>
        </is>
      </c>
      <c r="I1851" s="217" t="inlineStr">
        <is>
          <t>"taoDon.backToHome": "ត្រឡប់ទៅទំព័រដើម",</t>
        </is>
      </c>
      <c r="N1851" s="163" t="n"/>
    </row>
    <row r="1852" ht="15.75" customHeight="1" s="305">
      <c r="A1852" s="207" t="inlineStr">
        <is>
          <t>common.createOrderSuccess</t>
        </is>
      </c>
      <c r="B1852" s="207" t="inlineStr">
        <is>
          <t>Tạo đơn thành công!</t>
        </is>
      </c>
      <c r="C1852" s="215" t="inlineStr">
        <is>
          <t>Order created successfully</t>
        </is>
      </c>
      <c r="D1852" s="216">
        <f>IFERROR(__xludf.DUMMYFUNCTION("GOOGLETRANSLATE(B1852,""vi"",""km"")"),"ការបញ្ជាទិញត្រូវបានបង្កើតឡើងដោយជោគជ័យ!")</f>
        <v/>
      </c>
      <c r="G1852" s="3" t="inlineStr">
        <is>
          <t>ការបញ្ជាទិញត្រូវបានបង្កើតឡើងដោយជោគជ័យ!</t>
        </is>
      </c>
      <c r="H1852" t="inlineStr">
        <is>
          <t>ការបញ្ជាទិញត្រូវបានបង្កើតឡើងដោយជោគជ័យ!</t>
        </is>
      </c>
      <c r="I1852" s="217" t="inlineStr">
        <is>
          <t>"common.createOrderSuccess": "ការបញ្ជាទិញត្រូវបានបង្កើតឡើងដោយជោគជ័យ!",</t>
        </is>
      </c>
      <c r="N1852" s="163" t="n"/>
    </row>
    <row r="1853" ht="15.75" customHeight="1" s="305">
      <c r="A1853" s="215" t="inlineStr">
        <is>
          <t>splitPackage.titleTachKien</t>
        </is>
      </c>
      <c r="B1853" s="215" t="inlineStr">
        <is>
          <t>Tách kiện</t>
        </is>
      </c>
      <c r="C1853" s="215" t="inlineStr">
        <is>
          <t>Split package</t>
        </is>
      </c>
      <c r="D1853" s="216">
        <f>IFERROR(__xludf.DUMMYFUNCTION("GOOGLETRANSLATE(B1853,""vi"",""km"")"),"ការបំបែកកញ្ចប់")</f>
        <v/>
      </c>
      <c r="G1853" s="3" t="inlineStr">
        <is>
          <t>ការបំបែកកញ្ចប់</t>
        </is>
      </c>
      <c r="H1853" t="inlineStr">
        <is>
          <t>ការបំបែកកញ្ចប់</t>
        </is>
      </c>
      <c r="I1853" s="217" t="inlineStr">
        <is>
          <t>"splitPackage.titleTachKien": "ការបំបែកកញ្ចប់",</t>
        </is>
      </c>
      <c r="N1853" s="163" t="n"/>
    </row>
    <row r="1854" ht="15.75" customHeight="1" s="305">
      <c r="A1854" s="215" t="inlineStr">
        <is>
          <t>splitPackage.titleTaoKien</t>
        </is>
      </c>
      <c r="B1854" s="215" t="inlineStr">
        <is>
          <t>Tạo kiện</t>
        </is>
      </c>
      <c r="C1854" s="215" t="inlineStr">
        <is>
          <t>Create package</t>
        </is>
      </c>
      <c r="D1854" s="216">
        <f>IFERROR(__xludf.DUMMYFUNCTION("GOOGLETRANSLATE(B1854,""vi"",""km"")"),"បង្កើតលក្ខខណ្ឌ")</f>
        <v/>
      </c>
      <c r="G1854" s="3" t="inlineStr">
        <is>
          <t>បង្កើតលក្ខខណ្ឌ</t>
        </is>
      </c>
      <c r="H1854" t="inlineStr">
        <is>
          <t>បង្កើតលក្ខខណ្ឌ</t>
        </is>
      </c>
      <c r="I1854" s="217" t="inlineStr">
        <is>
          <t>"splitPackage.titleTaoKien": "បង្កើតលក្ខខណ្ឌ",</t>
        </is>
      </c>
      <c r="N1854" s="163" t="n"/>
    </row>
    <row r="1855" ht="15.75" customHeight="1" s="305">
      <c r="A1855" s="215" t="inlineStr">
        <is>
          <t>taoKien.thongTinTaoKien</t>
        </is>
      </c>
      <c r="B1855" s="215" t="inlineStr">
        <is>
          <t>Thông tin tạo kiện</t>
        </is>
      </c>
      <c r="C1855" s="215" t="inlineStr">
        <is>
          <t>Package Creation Details</t>
        </is>
      </c>
      <c r="D1855" s="216">
        <f>IFERROR(__xludf.DUMMYFUNCTION("GOOGLETRANSLATE(B1855,""vi"",""km"")"),"ព័ត៌មានសម្រាប់បង្កើតលក្ខខណ្ឌ")</f>
        <v/>
      </c>
      <c r="G1855" s="3" t="inlineStr">
        <is>
          <t>ព័ត៌មានសម្រាប់បង្កើតលក្ខខណ្ឌ</t>
        </is>
      </c>
      <c r="H1855" t="inlineStr">
        <is>
          <t>ព័ត៌មានសម្រាប់បង្កើតលក្ខខណ្ឌ</t>
        </is>
      </c>
      <c r="I1855" s="217" t="inlineStr">
        <is>
          <t>"taoKien.thongTinTaoKien": "ព័ត៌មានសម្រាប់បង្កើតលក្ខខណ្ឌ",</t>
        </is>
      </c>
      <c r="N1855" s="163" t="n"/>
    </row>
    <row r="1856" ht="15.75" customHeight="1" s="305">
      <c r="A1856" s="215" t="inlineStr">
        <is>
          <t>change_password.phone_number</t>
        </is>
      </c>
      <c r="B1856" s="215" t="inlineStr">
        <is>
          <t>Số điện thoại</t>
        </is>
      </c>
      <c r="C1856" s="215" t="inlineStr">
        <is>
          <t>Phone number</t>
        </is>
      </c>
      <c r="D1856" s="216">
        <f>IFERROR(__xludf.DUMMYFUNCTION("GOOGLETRANSLATE(B1856,""vi"",""km"")"),"លេខទូរស័ព្ទ")</f>
        <v/>
      </c>
      <c r="G1856" s="3" t="inlineStr">
        <is>
          <t>លេខទូរស័ព្ទ</t>
        </is>
      </c>
      <c r="H1856" t="inlineStr">
        <is>
          <t>លេខទូរស័ព្ទ</t>
        </is>
      </c>
      <c r="I1856" s="217" t="inlineStr">
        <is>
          <t>"change_password.phone_number": "លេខទូរស័ព្ទ",</t>
        </is>
      </c>
      <c r="N1856" s="163" t="n"/>
    </row>
    <row r="1857" ht="15.75" customHeight="1" s="305">
      <c r="A1857" s="215" t="inlineStr">
        <is>
          <t>debtLookup.codDebt</t>
        </is>
      </c>
      <c r="B1857" s="215" t="inlineStr">
        <is>
          <t>COD</t>
        </is>
      </c>
      <c r="C1857" s="215" t="inlineStr">
        <is>
          <t>COD</t>
        </is>
      </c>
      <c r="D1857" s="216">
        <f>IFERROR(__xludf.DUMMYFUNCTION("GOOGLETRANSLATE(B1857,""vi"",""km"")"),"ប្រតិបត្តិការ​ទូទាត់​ថ្លៃ​សេវា​ (COD)")</f>
        <v/>
      </c>
      <c r="G1857" s="3" t="inlineStr">
        <is>
          <t>ប្រតិបត្តិការទូទាត់ថ្លៃសេវា (COD)</t>
        </is>
      </c>
      <c r="H1857" t="inlineStr">
        <is>
          <t>ប្រតិបត្តិការទូទាត់ថ្លៃសេវា (COD)</t>
        </is>
      </c>
      <c r="I1857" s="217" t="inlineStr">
        <is>
          <t>"debtLookup.codDebt": "ប្រតិបត្តិការទូទាត់ថ្លៃសេវា (COD)",</t>
        </is>
      </c>
      <c r="N1857" s="163" t="n"/>
    </row>
    <row r="1858" ht="15.75" customHeight="1" s="305">
      <c r="A1858" s="215" t="inlineStr">
        <is>
          <t>debtLookup.cusID</t>
        </is>
      </c>
      <c r="B1858" s="215" t="inlineStr">
        <is>
          <t>Cus ID</t>
        </is>
      </c>
      <c r="C1858" s="215" t="inlineStr">
        <is>
          <t>Cus ID</t>
        </is>
      </c>
      <c r="D1858" s="216">
        <f>IFERROR(__xludf.DUMMYFUNCTION("GOOGLETRANSLATE(B1858,""vi"",""km"")"),"លេខសម្គាល់ Cus")</f>
        <v/>
      </c>
      <c r="G1858" s="3" t="inlineStr">
        <is>
          <t>លេខសម្គាល់ Cus</t>
        </is>
      </c>
      <c r="H1858" t="inlineStr">
        <is>
          <t>លេខសម្គាល់ Cus</t>
        </is>
      </c>
      <c r="I1858" s="217" t="inlineStr">
        <is>
          <t>"debtLookup.cusID": "លេខសម្គាល់ Cus",</t>
        </is>
      </c>
      <c r="N1858" s="163" t="n"/>
    </row>
    <row r="1859" ht="15.75" customHeight="1" s="305">
      <c r="A1859" s="215" t="inlineStr">
        <is>
          <t>debtLookup.customerName</t>
        </is>
      </c>
      <c r="B1859" s="215" t="inlineStr">
        <is>
          <t>Tên KH</t>
        </is>
      </c>
      <c r="C1859" s="215" t="inlineStr">
        <is>
          <t>Customer name</t>
        </is>
      </c>
      <c r="D1859" s="216">
        <f>IFERROR(__xludf.DUMMYFUNCTION("GOOGLETRANSLATE(B1859,""vi"",""km"")"),"ឈ្មោះអតិថិជន")</f>
        <v/>
      </c>
      <c r="G1859" s="3" t="inlineStr">
        <is>
          <t>ឈ្មោះអតិថិជន</t>
        </is>
      </c>
      <c r="H1859" t="inlineStr">
        <is>
          <t>ឈ្មោះអតិថិជន</t>
        </is>
      </c>
      <c r="I1859" s="217" t="inlineStr">
        <is>
          <t>"debtLookup.customerName": "ឈ្មោះអតិថិជន",</t>
        </is>
      </c>
      <c r="N1859" s="163" t="n"/>
    </row>
    <row r="1860" ht="15.75" customHeight="1" s="305">
      <c r="A1860" s="215" t="inlineStr">
        <is>
          <t>debtLookup.daThanhToan</t>
        </is>
      </c>
      <c r="B1860" s="215" t="inlineStr">
        <is>
          <t>Đã thanh toán</t>
        </is>
      </c>
      <c r="C1860" s="215" t="inlineStr">
        <is>
          <t>Paid</t>
        </is>
      </c>
      <c r="D1860" s="216">
        <f>IFERROR(__xludf.DUMMYFUNCTION("GOOGLETRANSLATE(B1860,""vi"",""km"")"),"ការទូទាត់ត្រូវបានធ្វើឡើង។")</f>
        <v/>
      </c>
      <c r="G1860" s="3" t="inlineStr">
        <is>
          <t>ការទូទាត់ត្រូវបានធ្វើឡើង។</t>
        </is>
      </c>
      <c r="H1860" t="inlineStr">
        <is>
          <t>ការទូទាត់ត្រូវបានធ្វើឡើង។</t>
        </is>
      </c>
      <c r="I1860" s="217" t="inlineStr">
        <is>
          <t>"debtLookup.daThanhToan": "ការទូទាត់ត្រូវបានធ្វើឡើង។",</t>
        </is>
      </c>
      <c r="N1860" s="163" t="n"/>
    </row>
    <row r="1861" ht="15.75" customHeight="1" s="305">
      <c r="A1861" s="215" t="inlineStr">
        <is>
          <t>debtLookup.paymentTypePostPaid</t>
        </is>
      </c>
      <c r="B1861" s="215" t="inlineStr">
        <is>
          <t>Trả sau</t>
        </is>
      </c>
      <c r="C1861" s="215" t="inlineStr">
        <is>
          <t>Postpaid</t>
        </is>
      </c>
      <c r="D1861" s="216">
        <f>IFERROR(__xludf.DUMMYFUNCTION("GOOGLETRANSLATE(B1861,""vi"",""km"")"),"បង់ប្រាក់ពេលក្រោយ")</f>
        <v/>
      </c>
      <c r="G1861" s="3" t="inlineStr">
        <is>
          <t>ទូទាត់ប្រាក់ពេលក្រោយ</t>
        </is>
      </c>
      <c r="H1861" t="inlineStr">
        <is>
          <t>ទូទាត់ប្រាក់ពេលក្រោយ</t>
        </is>
      </c>
      <c r="I1861" s="217" t="inlineStr">
        <is>
          <t>"debtLookup.paymentTypePostPaid": "ទូទាត់ប្រាក់ពេលក្រោយ",</t>
        </is>
      </c>
      <c r="N1861" s="163" t="n"/>
    </row>
    <row r="1862" ht="15.75" customHeight="1" s="305">
      <c r="A1862" s="215" t="inlineStr">
        <is>
          <t>debtLookup.sendDate</t>
        </is>
      </c>
      <c r="B1862" s="215" t="inlineStr">
        <is>
          <t>Ngày gửi</t>
        </is>
      </c>
      <c r="C1862" s="215" t="inlineStr">
        <is>
          <t>Sent date</t>
        </is>
      </c>
      <c r="D1862" s="216">
        <f>IFERROR(__xludf.DUMMYFUNCTION("GOOGLETRANSLATE(B1862,""vi"",""km"")"),"កាលបរិច្ឆេទដែលបានផ្ញើ")</f>
        <v/>
      </c>
      <c r="G1862" s="3" t="inlineStr">
        <is>
          <t>កាលបរិច្ឆេទផ្ញើ</t>
        </is>
      </c>
      <c r="H1862" t="inlineStr">
        <is>
          <t>កាលបរិច្ឆេទផ្ញើ</t>
        </is>
      </c>
      <c r="I1862" s="217" t="inlineStr">
        <is>
          <t>"debtLookup.sendDate": "កាលបរិច្ឆេទផ្ញើ",</t>
        </is>
      </c>
      <c r="N1862" s="163" t="n"/>
    </row>
    <row r="1863" ht="15.75" customHeight="1" s="305">
      <c r="A1863" s="215" t="inlineStr">
        <is>
          <t>debtLookup.shippingDebt</t>
        </is>
      </c>
      <c r="B1863" s="215" t="inlineStr">
        <is>
          <t>Công nợ cước</t>
        </is>
      </c>
      <c r="C1863" s="215" t="inlineStr">
        <is>
          <t>Shipping fee debt</t>
        </is>
      </c>
      <c r="D1863" s="216">
        <f>IFERROR(__xludf.DUMMYFUNCTION("GOOGLETRANSLATE(B1863,""vi"",""km"")"),"ថ្លៃដឹកជញ្ជូនដែលមិនទាន់បានបង់")</f>
        <v/>
      </c>
      <c r="G1863" s="3" t="inlineStr">
        <is>
          <t>បំណុលថ្លៃដឹកជញ្ជូន</t>
        </is>
      </c>
      <c r="H1863" t="inlineStr">
        <is>
          <t>បំណុលថ្លៃដឹកជញ្ជូន</t>
        </is>
      </c>
      <c r="I1863" s="217" t="inlineStr">
        <is>
          <t>"debtLookup.shippingDebt": "បំណុលថ្លៃដឹកជញ្ជូន",</t>
        </is>
      </c>
      <c r="N1863" s="163" t="n"/>
    </row>
    <row r="1864" ht="15.75" customHeight="1" s="305">
      <c r="A1864" s="215" t="inlineStr">
        <is>
          <t>debtLookup.tienCOD</t>
        </is>
      </c>
      <c r="B1864" s="215" t="inlineStr">
        <is>
          <t>Tiền COD</t>
        </is>
      </c>
      <c r="C1864" s="215" t="inlineStr">
        <is>
          <t>COD</t>
        </is>
      </c>
      <c r="D1864" s="216">
        <f>IFERROR(__xludf.DUMMYFUNCTION("GOOGLETRANSLATE(B1864,""vi"",""km"")"),"បង់ប្រាក់ពេលទទួលទំនិញ (COD)")</f>
        <v/>
      </c>
      <c r="G1864" s="3" t="inlineStr">
        <is>
          <t>ប្រាក់ COD</t>
        </is>
      </c>
      <c r="H1864" t="inlineStr">
        <is>
          <t>ប្រាក់ COD</t>
        </is>
      </c>
      <c r="I1864" s="217" t="inlineStr">
        <is>
          <t>"debtLookup.tienCOD": "ប្រាក់ COD",</t>
        </is>
      </c>
      <c r="N1864" s="163" t="n"/>
    </row>
    <row r="1865" ht="15.75" customHeight="1" s="305">
      <c r="A1865" s="215" t="inlineStr">
        <is>
          <t>debtLookup.tienCuoc</t>
        </is>
      </c>
      <c r="B1865" s="215" t="inlineStr">
        <is>
          <t>Tiền cước</t>
        </is>
      </c>
      <c r="C1865" s="215" t="inlineStr">
        <is>
          <t>Fee</t>
        </is>
      </c>
      <c r="D1865" s="216">
        <f>IFERROR(__xludf.DUMMYFUNCTION("GOOGLETRANSLATE(B1865,""vi"",""km"")"),"តម្លៃសំបុត្រ")</f>
        <v/>
      </c>
      <c r="G1865" s="3" t="inlineStr">
        <is>
          <t>តម្លៃសំបុត្រ</t>
        </is>
      </c>
      <c r="H1865" t="inlineStr">
        <is>
          <t>តម្លៃសំបុត្រ</t>
        </is>
      </c>
      <c r="I1865" s="217" t="inlineStr">
        <is>
          <t>"debtLookup.tienCuoc": "តម្លៃសំបុត្រ",</t>
        </is>
      </c>
      <c r="N1865" s="163" t="n"/>
    </row>
    <row r="1866" ht="15.75" customHeight="1" s="305">
      <c r="A1866" s="215" t="inlineStr">
        <is>
          <t>debtLookup.tienGiamGia</t>
        </is>
      </c>
      <c r="B1866" s="215" t="inlineStr">
        <is>
          <t>Tiền giảm giá</t>
        </is>
      </c>
      <c r="C1866" s="215" t="inlineStr">
        <is>
          <t>Discount amount</t>
        </is>
      </c>
      <c r="D1866" s="216">
        <f>IFERROR(__xludf.DUMMYFUNCTION("GOOGLETRANSLATE(B1866,""vi"",""km"")"),"បញ្ចុះតម្លៃ")</f>
        <v/>
      </c>
      <c r="G1866" s="3" t="inlineStr">
        <is>
          <t>ប្រាក់បញ្ចុះតម្លៃ</t>
        </is>
      </c>
      <c r="H1866" t="inlineStr">
        <is>
          <t>ប្រាក់បញ្ចុះតម្លៃ</t>
        </is>
      </c>
      <c r="I1866" s="217" t="inlineStr">
        <is>
          <t>"debtLookup.tienGiamGia": "ប្រាក់បញ្ចុះតម្លៃ",</t>
        </is>
      </c>
      <c r="N1866" s="163" t="n"/>
    </row>
    <row r="1867" ht="15.75" customHeight="1" s="305">
      <c r="A1867" s="215" t="inlineStr">
        <is>
          <t>debtLookup.titleBuuCuc</t>
        </is>
      </c>
      <c r="B1867" s="215" t="inlineStr">
        <is>
          <t>Bưu cục</t>
        </is>
      </c>
      <c r="C1867" s="215" t="inlineStr">
        <is>
          <t>Post office</t>
        </is>
      </c>
      <c r="D1867" s="216">
        <f>IFERROR(__xludf.DUMMYFUNCTION("GOOGLETRANSLATE(B1867,""vi"",""km"")"),"ការិយាល័យប្រៃសណីយ៍")</f>
        <v/>
      </c>
      <c r="G1867" s="3" t="inlineStr">
        <is>
          <t>ការិយាល័យប្រៃសណីយ៍</t>
        </is>
      </c>
      <c r="H1867" t="inlineStr">
        <is>
          <t>ការិយាល័យប្រៃសណីយ៍</t>
        </is>
      </c>
      <c r="I1867" s="217" t="inlineStr">
        <is>
          <t>"debtLookup.titleBuuCuc": "ការិយាល័យប្រៃសណីយ៍",</t>
        </is>
      </c>
      <c r="N1867" s="163" t="n"/>
    </row>
    <row r="1868" ht="15.75" customHeight="1" s="305">
      <c r="A1868" s="215" t="inlineStr">
        <is>
          <t>debtLookup.titleBuuCucCongNo</t>
        </is>
      </c>
      <c r="B1868" s="215" t="inlineStr">
        <is>
          <t>Bưu cục công nợ</t>
        </is>
      </c>
      <c r="C1868" s="215" t="inlineStr">
        <is>
          <t>Debt post office</t>
        </is>
      </c>
      <c r="D1868" s="216">
        <f>IFERROR(__xludf.DUMMYFUNCTION("GOOGLETRANSLATE(B1868,""vi"",""km"")"),"ការិយាល័យប្រៃសណីយ៍ប្រមូលបំណុល")</f>
        <v/>
      </c>
      <c r="G1868" s="3" t="inlineStr">
        <is>
          <t>ការិយាល័យប្រៃសណីយ៍ប្រមូលបំណុល</t>
        </is>
      </c>
      <c r="H1868" t="inlineStr">
        <is>
          <t>ការិយាល័យប្រៃសណីយ៍ប្រមូលបំណុល</t>
        </is>
      </c>
      <c r="I1868" s="217" t="inlineStr">
        <is>
          <t>"debtLookup.titleBuuCucCongNo": "ការិយាល័យប្រៃសណីយ៍ប្រមូលបំណុល",</t>
        </is>
      </c>
      <c r="N1868" s="163" t="n"/>
    </row>
    <row r="1869" ht="15.75" customHeight="1" s="305">
      <c r="A1869" s="215" t="inlineStr">
        <is>
          <t>debtLookup.titleChungTu</t>
        </is>
      </c>
      <c r="B1869" s="215" t="inlineStr">
        <is>
          <t>chứng từ {{value}}</t>
        </is>
      </c>
      <c r="C1869" s="215" t="inlineStr">
        <is>
          <t>Document {{value}}</t>
        </is>
      </c>
      <c r="D1869" s="216">
        <f>IFERROR(__xludf.DUMMYFUNCTION("GOOGLETRANSLATE(B1869,""vi"",""km"")"),"វិញ្ញាបនបត្រតម្លៃ")</f>
        <v/>
      </c>
      <c r="G1869" s="3" t="inlineStr">
        <is>
          <t>វិញ្ញាបនបត្រតម្លៃ</t>
        </is>
      </c>
      <c r="H1869" t="inlineStr">
        <is>
          <t>វិញ្ញាបនបត្រតម្លៃ</t>
        </is>
      </c>
      <c r="I1869" s="217" t="inlineStr">
        <is>
          <t>"debtLookup.titleChungTu": "វិញ្ញាបនបត្រតម្លៃ",</t>
        </is>
      </c>
      <c r="N1869" s="163" t="n"/>
    </row>
    <row r="1870" ht="15.75" customHeight="1" s="305">
      <c r="A1870" s="215" t="inlineStr">
        <is>
          <t>debtLookup.titleCourierReceivable</t>
        </is>
      </c>
      <c r="B1870" s="215" t="inlineStr">
        <is>
          <t>Phải thu bưu tá</t>
        </is>
      </c>
      <c r="C1870" s="215" t="inlineStr">
        <is>
          <t>Staff receivable</t>
        </is>
      </c>
      <c r="D1870" s="216">
        <f>IFERROR(__xludf.DUMMYFUNCTION("GOOGLETRANSLATE(B1870,""vi"",""km"")"),"បុគ្គលិកប្រៃសណីយ៍ត្រូវតែទទួលប្រាក់។")</f>
        <v/>
      </c>
      <c r="G1870" s="3" t="inlineStr">
        <is>
          <t>បុគ្គលិកប្រៃសណីយ៍ត្រូវតែទទួលប្រាក់។</t>
        </is>
      </c>
      <c r="H1870" t="inlineStr">
        <is>
          <t>បុគ្គលិកប្រៃសណីយ៍ត្រូវតែទទួលប្រាក់។</t>
        </is>
      </c>
      <c r="I1870" s="217" t="inlineStr">
        <is>
          <t>"debtLookup.titleCourierReceivable": "បុគ្គលិកប្រៃសណីយ៍ត្រូវតែទទួលប្រាក់។",</t>
        </is>
      </c>
      <c r="N1870" s="163" t="n"/>
    </row>
    <row r="1871" ht="15.75" customHeight="1" s="305">
      <c r="A1871" s="215" t="inlineStr">
        <is>
          <t>debtLookup.titleEnterTrackingCode</t>
        </is>
      </c>
      <c r="B1871" s="215" t="inlineStr">
        <is>
          <t>Nhập mã vận đơn</t>
        </is>
      </c>
      <c r="C1871" s="215" t="inlineStr">
        <is>
          <t>Enter order ID</t>
        </is>
      </c>
      <c r="D1871" s="216">
        <f>IFERROR(__xludf.DUMMYFUNCTION("GOOGLETRANSLATE(B1871,""vi"",""km"")"),"បញ្ចូលលេខតាមដាន")</f>
        <v/>
      </c>
      <c r="G1871" s="3" t="inlineStr">
        <is>
          <t>បញ្ចូលលេខតាមដាន</t>
        </is>
      </c>
      <c r="H1871" t="inlineStr">
        <is>
          <t>បញ្ចូលលេខតាមដាន</t>
        </is>
      </c>
      <c r="I1871" s="217" t="inlineStr">
        <is>
          <t>"debtLookup.titleEnterTrackingCode": "បញ្ចូលលេខតាមដាន",</t>
        </is>
      </c>
      <c r="N1871" s="163" t="n"/>
    </row>
    <row r="1872" ht="15.75" customHeight="1" s="305">
      <c r="A1872" s="215" t="inlineStr">
        <is>
          <t>debtLookup.titleGiamGia</t>
        </is>
      </c>
      <c r="B1872" s="215" t="inlineStr">
        <is>
          <t>Giảm giá</t>
        </is>
      </c>
      <c r="C1872" s="215" t="inlineStr">
        <is>
          <t>Discount</t>
        </is>
      </c>
      <c r="D1872" s="216">
        <f>IFERROR(__xludf.DUMMYFUNCTION("GOOGLETRANSLATE(B1872,""vi"",""km"")"),"បញ្ចុះតម្លៃ")</f>
        <v/>
      </c>
      <c r="G1872" s="3" t="inlineStr">
        <is>
          <t>បញ្ចុះតម្លៃ</t>
        </is>
      </c>
      <c r="H1872" t="inlineStr">
        <is>
          <t>បញ្ចុះតម្លៃ</t>
        </is>
      </c>
      <c r="I1872" s="217" t="inlineStr">
        <is>
          <t>"debtLookup.titleGiamGia": "បញ្ចុះតម្លៃ",</t>
        </is>
      </c>
      <c r="N1872" s="163" t="n"/>
    </row>
    <row r="1873" ht="15.75" customHeight="1" s="305">
      <c r="A1873" s="215" t="inlineStr">
        <is>
          <t>debtLookup.titleGlandPostMan</t>
        </is>
      </c>
      <c r="B1873" s="215" t="inlineStr">
        <is>
          <t>Tuyến bưu tá</t>
        </is>
      </c>
      <c r="C1873" s="215" t="inlineStr">
        <is>
          <t>Postman route</t>
        </is>
      </c>
      <c r="D1873" s="216">
        <f>IFERROR(__xludf.DUMMYFUNCTION("GOOGLETRANSLATE(B1873,""vi"",""km"")"),"សេវាប្រៃសណីយ៍")</f>
        <v/>
      </c>
      <c r="G1873" s="3" t="inlineStr">
        <is>
          <t>សេវាប្រៃសណីយ៍</t>
        </is>
      </c>
      <c r="H1873" t="inlineStr">
        <is>
          <t>សេវាប្រៃសណីយ៍</t>
        </is>
      </c>
      <c r="I1873" s="217" t="inlineStr">
        <is>
          <t>"debtLookup.titleGlandPostMan": "សេវាប្រៃសណីយ៍",</t>
        </is>
      </c>
      <c r="N1873" s="163" t="n"/>
    </row>
    <row r="1874" ht="15.75" customHeight="1" s="305">
      <c r="A1874" s="215" t="inlineStr">
        <is>
          <t>debtLookup.titleKhachHang</t>
        </is>
      </c>
      <c r="B1874" s="215" t="inlineStr">
        <is>
          <t>Khách hàng</t>
        </is>
      </c>
      <c r="C1874" s="215" t="inlineStr">
        <is>
          <t>Customer</t>
        </is>
      </c>
      <c r="D1874" s="216">
        <f>IFERROR(__xludf.DUMMYFUNCTION("GOOGLETRANSLATE(B1874,""vi"",""km"")"),"អតិថិជន")</f>
        <v/>
      </c>
      <c r="G1874" s="3" t="inlineStr">
        <is>
          <t>អតិថិជន</t>
        </is>
      </c>
      <c r="H1874" t="inlineStr">
        <is>
          <t>អតិថិជន</t>
        </is>
      </c>
      <c r="I1874" s="217" t="inlineStr">
        <is>
          <t>"debtLookup.titleKhachHang": "អតិថិជន",</t>
        </is>
      </c>
      <c r="N1874" s="163" t="n"/>
    </row>
    <row r="1875" ht="15.75" customHeight="1" s="305">
      <c r="A1875" s="215" t="inlineStr">
        <is>
          <t>debtLookup.titleLoaiDon</t>
        </is>
      </c>
      <c r="B1875" s="215" t="inlineStr">
        <is>
          <t>Loại đơn</t>
        </is>
      </c>
      <c r="C1875" s="215" t="inlineStr">
        <is>
          <t>Order type</t>
        </is>
      </c>
      <c r="D1875" s="216">
        <f>IFERROR(__xludf.DUMMYFUNCTION("GOOGLETRANSLATE(B1875,""vi"",""km"")"),"ប្រភេទការបញ្ជាទិញ")</f>
        <v/>
      </c>
      <c r="G1875" s="3" t="inlineStr">
        <is>
          <t>ប្រភេទការបញ្ជាទិញ</t>
        </is>
      </c>
      <c r="H1875" t="inlineStr">
        <is>
          <t>ប្រភេទការបញ្ជាទិញ</t>
        </is>
      </c>
      <c r="I1875" s="217" t="inlineStr">
        <is>
          <t>"debtLookup.titleLoaiDon": "ប្រភេទការបញ្ជាទិញ",</t>
        </is>
      </c>
      <c r="N1875" s="163" t="n"/>
    </row>
    <row r="1876" ht="15.75" customHeight="1" s="305">
      <c r="A1876" s="215" t="inlineStr">
        <is>
          <t>debtLookup.titleNgayCapNhat</t>
        </is>
      </c>
      <c r="B1876" s="215" t="inlineStr">
        <is>
          <t>Ngày cập nhật</t>
        </is>
      </c>
      <c r="C1876" s="215" t="inlineStr">
        <is>
          <t>Updated date</t>
        </is>
      </c>
      <c r="D1876" s="216">
        <f>IFERROR(__xludf.DUMMYFUNCTION("GOOGLETRANSLATE(B1876,""vi"",""km"")"),"កាលបរិច្ឆេទ​ដែលបានធ្វើបច្ចុប្បន្នភាព")</f>
        <v/>
      </c>
      <c r="G1876" s="3" t="inlineStr">
        <is>
          <t>កាលបរិច្ឆេទដែលបានធ្វើបច្ចុប្បន្នភាព</t>
        </is>
      </c>
      <c r="H1876" t="inlineStr">
        <is>
          <t>កាលបរិច្ឆេទដែលបានធ្វើបច្ចុប្បន្នភាព</t>
        </is>
      </c>
      <c r="I1876" s="217" t="inlineStr">
        <is>
          <t>"debtLookup.titleNgayCapNhat": "កាលបរិច្ឆេទដែលបានធ្វើបច្ចុប្បន្នភាព",</t>
        </is>
      </c>
      <c r="N1876" s="163" t="n"/>
    </row>
    <row r="1877" ht="15.75" customHeight="1" s="305">
      <c r="A1877" s="215" t="inlineStr">
        <is>
          <t>debtLookup.titleNgayPTC</t>
        </is>
      </c>
      <c r="B1877" s="215" t="inlineStr">
        <is>
          <t>Ngày phát thành công</t>
        </is>
      </c>
      <c r="C1877" s="215" t="inlineStr">
        <is>
          <t>Successful delivery date</t>
        </is>
      </c>
      <c r="D1877" s="216">
        <f>IFERROR(__xludf.DUMMYFUNCTION("GOOGLETRANSLATE(B1877,""vi"",""km"")"),"កាលបរិច្ឆេទចេញផ្សាយដោយជោគជ័យ")</f>
        <v/>
      </c>
      <c r="G1877" s="3" t="inlineStr">
        <is>
          <t>កាលបរិច្ឆេទដឹកជញ្ជូនជោគជ័យ</t>
        </is>
      </c>
      <c r="H1877" t="inlineStr">
        <is>
          <t>កាលបរិច្ឆេទដឹកជញ្ជូនជោគជ័យ</t>
        </is>
      </c>
      <c r="I1877" s="217" t="inlineStr">
        <is>
          <t>"debtLookup.titleNgayPTC": "កាលបរិច្ឆេទដឹកជញ្ជូនជោគជ័យ",</t>
        </is>
      </c>
      <c r="N1877" s="163" t="n"/>
    </row>
    <row r="1878" ht="15.75" customHeight="1" s="305">
      <c r="A1878" s="215" t="inlineStr">
        <is>
          <t>debtLookup.titleNgayTao</t>
        </is>
      </c>
      <c r="B1878" s="215" t="inlineStr">
        <is>
          <t>Ngày tạo</t>
        </is>
      </c>
      <c r="C1878" s="215" t="inlineStr">
        <is>
          <t>Created date</t>
        </is>
      </c>
      <c r="D1878" s="216">
        <f>IFERROR(__xludf.DUMMYFUNCTION("GOOGLETRANSLATE(B1878,""vi"",""km"")"),"កាលបរិច្ឆេទបង្កើត")</f>
        <v/>
      </c>
      <c r="G1878" s="3" t="inlineStr">
        <is>
          <t>កាលបរិច្ឆេទបង្កើត</t>
        </is>
      </c>
      <c r="H1878" t="inlineStr">
        <is>
          <t>កាលបរិច្ឆេទបង្កើត</t>
        </is>
      </c>
      <c r="I1878" s="217" t="inlineStr">
        <is>
          <t>"debtLookup.titleNgayTao": "កាលបរិច្ឆេទបង្កើត",</t>
        </is>
      </c>
      <c r="N1878" s="163" t="n"/>
    </row>
    <row r="1879" ht="15.75" customHeight="1" s="305">
      <c r="A1879" s="215" t="inlineStr">
        <is>
          <t>debtLookup.titleNoSearchInfo</t>
        </is>
      </c>
      <c r="B1879" s="215" t="inlineStr">
        <is>
          <t>Chưa có thông tin tìm kiếm</t>
        </is>
      </c>
      <c r="C1879" s="215" t="inlineStr">
        <is>
          <t>No search information</t>
        </is>
      </c>
      <c r="D1879" s="216">
        <f>IFERROR(__xludf.DUMMYFUNCTION("GOOGLETRANSLATE(B1879,""vi"",""km"")"),"គ្មានលទ្ធផលស្វែងរកទេ។")</f>
        <v/>
      </c>
      <c r="G1879" s="3" t="inlineStr">
        <is>
          <t>គ្មានលទ្ធផលស្វែងរកទេ។</t>
        </is>
      </c>
      <c r="H1879" t="inlineStr">
        <is>
          <t>គ្មានលទ្ធផលស្វែងរកទេ។</t>
        </is>
      </c>
      <c r="I1879" s="217" t="inlineStr">
        <is>
          <t>"debtLookup.titleNoSearchInfo": "គ្មានលទ្ធផលស្វែងរកទេ។",</t>
        </is>
      </c>
      <c r="N1879" s="163" t="n"/>
    </row>
    <row r="1880" ht="15.75" customHeight="1" s="305">
      <c r="A1880" s="215" t="inlineStr">
        <is>
          <t>debtLookup.titleNoiDungHuongDanQuet</t>
        </is>
      </c>
      <c r="B1880" s="215" t="inlineStr">
        <is>
          <t>Vui lòng đưa mã đơn vào camera để quét</t>
        </is>
      </c>
      <c r="C1880" s="215" t="inlineStr">
        <is>
          <t>Please place the order code in front of the camera to scan</t>
        </is>
      </c>
      <c r="D1880" s="216">
        <f>IFERROR(__xludf.DUMMYFUNCTION("GOOGLETRANSLATE(B1880,""vi"",""km"")"),"សូមចង្អុលលេខកូដបញ្ជាទិញទៅកាមេរ៉ាដើម្បីស្កេនវា។")</f>
        <v/>
      </c>
      <c r="G1880" s="3" t="inlineStr">
        <is>
          <t>សូមចង្អុលលេខកូដបញ្ជាទិញទៅកាមេរ៉ាដើម្បីស្កេនវា។</t>
        </is>
      </c>
      <c r="H1880" t="inlineStr">
        <is>
          <t>សូមចង្អុលលេខកូដបញ្ជាទិញទៅកាមេរ៉ាដើម្បីស្កេនវា។</t>
        </is>
      </c>
      <c r="I1880" s="217" t="inlineStr">
        <is>
          <t>"debtLookup.titleNoiDungHuongDanQuet": "សូមចង្អុលលេខកូដបញ្ជាទិញទៅកាមេរ៉ាដើម្បីស្កេនវា។",</t>
        </is>
      </c>
      <c r="N1880" s="163" t="n"/>
    </row>
    <row r="1881" ht="15.75" customHeight="1" s="305">
      <c r="A1881" s="215" t="inlineStr">
        <is>
          <t>debtLookup.titlePaymentTrackingSearch</t>
        </is>
      </c>
      <c r="B1881" s="215" t="inlineStr">
        <is>
          <t>Tra cứu vận đơn thanh toán</t>
        </is>
      </c>
      <c r="C1881" s="215" t="inlineStr">
        <is>
          <t>Payment shipment tracking</t>
        </is>
      </c>
      <c r="D1881" s="216">
        <f>IFERROR(__xludf.DUMMYFUNCTION("GOOGLETRANSLATE(B1881,""vi"",""km"")"),"តាមដានការដឹកជញ្ជូនទូទាត់")</f>
        <v/>
      </c>
      <c r="G1881" s="3" t="inlineStr">
        <is>
          <t>តាមដានការដឹកជញ្ជូនទូទាត់</t>
        </is>
      </c>
      <c r="H1881" t="inlineStr">
        <is>
          <t>តាមដានការដឹកជញ្ជូនទូទាត់</t>
        </is>
      </c>
      <c r="I1881" s="217" t="inlineStr">
        <is>
          <t>"debtLookup.titlePaymentTrackingSearch": "តាមដានការដឹកជញ្ជូនទូទាត់",</t>
        </is>
      </c>
      <c r="N1881" s="163" t="n"/>
    </row>
    <row r="1882" ht="15.75" customHeight="1" s="305">
      <c r="A1882" s="215" t="inlineStr">
        <is>
          <t>debtLookup.titlePaymentType</t>
        </is>
      </c>
      <c r="B1882" s="215" t="inlineStr">
        <is>
          <t>Loại thanh toán</t>
        </is>
      </c>
      <c r="C1882" s="215" t="inlineStr">
        <is>
          <t>Payment type</t>
        </is>
      </c>
      <c r="D1882" s="216">
        <f>IFERROR(__xludf.DUMMYFUNCTION("GOOGLETRANSLATE(B1882,""vi"",""km"")"),"ប្រភេទនៃការបង់ប្រាក់")</f>
        <v/>
      </c>
      <c r="G1882" s="3" t="inlineStr">
        <is>
          <t>ប្រភេទនៃការបង់ប្រាក់</t>
        </is>
      </c>
      <c r="H1882" t="inlineStr">
        <is>
          <t>ប្រភេទនៃការបង់ប្រាក់</t>
        </is>
      </c>
      <c r="I1882" s="217" t="inlineStr">
        <is>
          <t>"debtLookup.titlePaymentType": "ប្រភេទនៃការបង់ប្រាក់",</t>
        </is>
      </c>
      <c r="N1882" s="163" t="n"/>
    </row>
    <row r="1883" ht="15.75" customHeight="1" s="305">
      <c r="A1883" s="215" t="inlineStr">
        <is>
          <t>debtLookup.titlePhaiTra</t>
        </is>
      </c>
      <c r="B1883" s="215" t="inlineStr">
        <is>
          <t>Phải trả</t>
        </is>
      </c>
      <c r="C1883" s="215" t="inlineStr">
        <is>
          <t>Payable</t>
        </is>
      </c>
      <c r="D1883" s="216">
        <f>IFERROR(__xludf.DUMMYFUNCTION("GOOGLETRANSLATE(B1883,""vi"",""km"")"),"អាចបង់បាន")</f>
        <v/>
      </c>
      <c r="G1883" s="3" t="inlineStr">
        <is>
          <t>ត្រូវទូទាត់</t>
        </is>
      </c>
      <c r="H1883" t="inlineStr">
        <is>
          <t>ត្រូវទូទាត់</t>
        </is>
      </c>
      <c r="I1883" s="217" t="inlineStr">
        <is>
          <t>"debtLookup.titlePhaiTra": "ត្រូវទូទាត់",</t>
        </is>
      </c>
      <c r="N1883" s="163" t="n"/>
    </row>
    <row r="1884" ht="15.75" customHeight="1" s="305">
      <c r="A1884" s="215" t="inlineStr">
        <is>
          <t>debtLookup.titlePostman</t>
        </is>
      </c>
      <c r="B1884" s="215" t="inlineStr">
        <is>
          <t>Bưu tá</t>
        </is>
      </c>
      <c r="C1884" s="215" t="inlineStr">
        <is>
          <t>Postman</t>
        </is>
      </c>
      <c r="D1884" s="216">
        <f>IFERROR(__xludf.DUMMYFUNCTION("GOOGLETRANSLATE(B1884,""vi"",""km"")"),"អ្នករត់សំបុត្រ")</f>
        <v/>
      </c>
      <c r="G1884" s="3" t="inlineStr">
        <is>
          <t>បុគ្គលិកដឹកជញ្ជូន</t>
        </is>
      </c>
      <c r="H1884" t="inlineStr">
        <is>
          <t>បុគ្គលិកដឹកជញ្ជូន</t>
        </is>
      </c>
      <c r="I1884" s="217" t="inlineStr">
        <is>
          <t>"debtLookup.titlePostman": "បុគ្គលិកដឹកជញ្ជូន",</t>
        </is>
      </c>
      <c r="N1884" s="163" t="n"/>
    </row>
    <row r="1885" ht="15.75" customHeight="1" s="305">
      <c r="A1885" s="215" t="inlineStr">
        <is>
          <t>debtLookup.titleQuetMaDon</t>
        </is>
      </c>
      <c r="B1885" s="215" t="inlineStr">
        <is>
          <t>Quét mã đơn</t>
        </is>
      </c>
      <c r="C1885" s="215" t="inlineStr">
        <is>
          <t>Scan order code</t>
        </is>
      </c>
      <c r="D1885" s="216">
        <f>IFERROR(__xludf.DUMMYFUNCTION("GOOGLETRANSLATE(B1885,""vi"",""km"")"),"ស្កេនលេខកូដបញ្ជាទិញ")</f>
        <v/>
      </c>
      <c r="G1885" s="3" t="inlineStr">
        <is>
          <t>ស្កេនលេខកូដបញ្ជាទិញ</t>
        </is>
      </c>
      <c r="H1885" t="inlineStr">
        <is>
          <t>ស្កេនលេខកូដបញ្ជាទិញ</t>
        </is>
      </c>
      <c r="I1885" s="217" t="inlineStr">
        <is>
          <t>"debtLookup.titleQuetMaDon": "ស្កេនលេខកូដបញ្ជាទិញ",</t>
        </is>
      </c>
      <c r="N1885" s="163" t="n"/>
    </row>
    <row r="1886" ht="15.75" customHeight="1" s="305">
      <c r="A1886" s="215" t="inlineStr">
        <is>
          <t>debtLookup.titleSenderPayable</t>
        </is>
      </c>
      <c r="B1886" s="215" t="inlineStr">
        <is>
          <t>Phải trả khách hàng</t>
        </is>
      </c>
      <c r="C1886" s="215" t="inlineStr">
        <is>
          <t>Payable to customer</t>
        </is>
      </c>
      <c r="D1886" s="216">
        <f>IFERROR(__xludf.DUMMYFUNCTION("GOOGLETRANSLATE(B1886,""vi"",""km"")"),"អតិថិជនត្រូវតែទទួលបានប្រាក់។")</f>
        <v/>
      </c>
      <c r="G1886" s="3" t="inlineStr">
        <is>
          <t>អតិថិជនត្រូវតែទទួលបានប្រាក់។</t>
        </is>
      </c>
      <c r="H1886" t="inlineStr">
        <is>
          <t>អតិថិជនត្រូវតែទទួលបានប្រាក់។</t>
        </is>
      </c>
      <c r="I1886" s="217" t="inlineStr">
        <is>
          <t>"debtLookup.titleSenderPayable": "អតិថិជនត្រូវតែទទួលបានប្រាក់។",</t>
        </is>
      </c>
      <c r="N1886" s="163" t="n"/>
    </row>
    <row r="1887" ht="15.75" customHeight="1" s="305">
      <c r="A1887" s="215" t="inlineStr">
        <is>
          <t>debtLookup.titleService</t>
        </is>
      </c>
      <c r="B1887" s="215" t="inlineStr">
        <is>
          <t>Dịch vụ</t>
        </is>
      </c>
      <c r="C1887" s="215" t="inlineStr">
        <is>
          <t>Service</t>
        </is>
      </c>
      <c r="D1887" s="216">
        <f>IFERROR(__xludf.DUMMYFUNCTION("GOOGLETRANSLATE(B1887,""vi"",""km"")"),"សេវាកម្ម")</f>
        <v/>
      </c>
      <c r="G1887" s="3" t="inlineStr">
        <is>
          <t>សេវាកម្ម</t>
        </is>
      </c>
      <c r="H1887" t="inlineStr">
        <is>
          <t>សេវាកម្ម</t>
        </is>
      </c>
      <c r="I1887" s="217" t="inlineStr">
        <is>
          <t>"debtLookup.titleService": "សេវាកម្ម",</t>
        </is>
      </c>
      <c r="N1887" s="163" t="n"/>
    </row>
    <row r="1888" ht="15.75" customHeight="1" s="305">
      <c r="A1888" s="215" t="inlineStr">
        <is>
          <t>debtLookup.titleStatementCode</t>
        </is>
      </c>
      <c r="B1888" s="215" t="inlineStr">
        <is>
          <t>Mã bảng kê</t>
        </is>
      </c>
      <c r="C1888" s="215" t="inlineStr">
        <is>
          <t>Statement code</t>
        </is>
      </c>
      <c r="D1888" s="216">
        <f>IFERROR(__xludf.DUMMYFUNCTION("GOOGLETRANSLATE(B1888,""vi"",""km"")"),"កូដ​សេចក្តីថ្លែងការណ៍")</f>
        <v/>
      </c>
      <c r="G1888" s="3" t="inlineStr">
        <is>
          <t>កូដសេចក្តីថ្លែងការណ៍</t>
        </is>
      </c>
      <c r="H1888" t="inlineStr">
        <is>
          <t>កូដសេចក្តីថ្លែងការណ៍</t>
        </is>
      </c>
      <c r="I1888" s="217" t="inlineStr">
        <is>
          <t>"debtLookup.titleStatementCode": "កូដសេចក្តីថ្លែងការណ៍",</t>
        </is>
      </c>
      <c r="N1888" s="163" t="n"/>
    </row>
    <row r="1889" ht="15.75" customHeight="1" s="305">
      <c r="A1889" s="215" t="inlineStr">
        <is>
          <t>debtLookup.titleStatementState</t>
        </is>
      </c>
      <c r="B1889" s="215" t="inlineStr">
        <is>
          <t>Trạng thái bảng kê</t>
        </is>
      </c>
      <c r="C1889" s="215" t="inlineStr">
        <is>
          <t>Statement status</t>
        </is>
      </c>
      <c r="D1889" s="216">
        <f>IFERROR(__xludf.DUMMYFUNCTION("GOOGLETRANSLATE(B1889,""vi"",""km"")"),"ស្ថានភាព​សេចក្តីថ្លែងការណ៍")</f>
        <v/>
      </c>
      <c r="G1889" s="3" t="inlineStr">
        <is>
          <t>ស្ថានភាពសេចក្តីថ្លែងការណ៍</t>
        </is>
      </c>
      <c r="H1889" t="inlineStr">
        <is>
          <t>ស្ថានភាពសេចក្តីថ្លែងការណ៍</t>
        </is>
      </c>
      <c r="I1889" s="217" t="inlineStr">
        <is>
          <t>"debtLookup.titleStatementState": "ស្ថានភាពសេចក្តីថ្លែងការណ៍",</t>
        </is>
      </c>
      <c r="N1889" s="163" t="n"/>
    </row>
    <row r="1890" ht="15.75" customHeight="1" s="305">
      <c r="A1890" s="215" t="inlineStr">
        <is>
          <t>debtLookup.titleThongTinCongNo</t>
        </is>
      </c>
      <c r="B1890" s="215" t="inlineStr">
        <is>
          <t>Thông tin công nợ</t>
        </is>
      </c>
      <c r="C1890" s="215" t="inlineStr">
        <is>
          <t>Debt information</t>
        </is>
      </c>
      <c r="D1890" s="216">
        <f>IFERROR(__xludf.DUMMYFUNCTION("GOOGLETRANSLATE(B1890,""vi"",""km"")"),"ព័ត៌មាន​គណនី​ទទួល​បាន")</f>
        <v/>
      </c>
      <c r="G1890" s="3" t="inlineStr">
        <is>
          <t>ព័ត៌មានគណនីទទួលបាន</t>
        </is>
      </c>
      <c r="H1890" t="inlineStr">
        <is>
          <t>ព័ត៌មានគណនីទទួលបាន</t>
        </is>
      </c>
      <c r="I1890" s="217" t="inlineStr">
        <is>
          <t>"debtLookup.titleThongTinCongNo": "ព័ត៌មានគណនីទទួលបាន",</t>
        </is>
      </c>
      <c r="N1890" s="163" t="n"/>
    </row>
    <row r="1891" ht="15.75" customHeight="1" s="305">
      <c r="A1891" s="215" t="inlineStr">
        <is>
          <t>debtLookup.titleThongTinPhieuChi</t>
        </is>
      </c>
      <c r="B1891" s="215" t="inlineStr">
        <is>
          <t>Thông tin phiếu chi</t>
        </is>
      </c>
      <c r="C1891" s="215" t="inlineStr">
        <is>
          <t>Disbursement voucher information</t>
        </is>
      </c>
      <c r="D1891" s="216">
        <f>IFERROR(__xludf.DUMMYFUNCTION("GOOGLETRANSLATE(B1891,""vi"",""km"")"),"ព័ត៌មានប័ណ្ណទូទាត់")</f>
        <v/>
      </c>
      <c r="G1891" s="3" t="inlineStr">
        <is>
          <t>ព័ត៌មានបុងចំណាយ</t>
        </is>
      </c>
      <c r="H1891" t="inlineStr">
        <is>
          <t>ព័ត៌មានបុងចំណាយ</t>
        </is>
      </c>
      <c r="I1891" s="217" t="inlineStr">
        <is>
          <t>"debtLookup.titleThongTinPhieuChi": "ព័ត៌មានបុងចំណាយ",</t>
        </is>
      </c>
      <c r="N1891" s="163" t="n"/>
    </row>
    <row r="1892" ht="15.75" customHeight="1" s="305">
      <c r="A1892" s="215" t="inlineStr">
        <is>
          <t>debtLookup.titleTotalAmount</t>
        </is>
      </c>
      <c r="B1892" s="215" t="inlineStr">
        <is>
          <t>Tổng tiền</t>
        </is>
      </c>
      <c r="C1892" s="215" t="inlineStr">
        <is>
          <t>Total amount</t>
        </is>
      </c>
      <c r="D1892" s="216">
        <f>IFERROR(__xludf.DUMMYFUNCTION("GOOGLETRANSLATE(B1892,""vi"",""km"")"),"ចំនួនទឹកប្រាក់សរុប")</f>
        <v/>
      </c>
      <c r="G1892" s="3" t="inlineStr">
        <is>
          <t>ចំនួនទឹកប្រាក់សរុប</t>
        </is>
      </c>
      <c r="H1892" t="inlineStr">
        <is>
          <t>ចំនួនទឹកប្រាក់សរុប</t>
        </is>
      </c>
      <c r="I1892" s="217" t="inlineStr">
        <is>
          <t>"debtLookup.titleTotalAmount": "ចំនួនទឹកប្រាក់សរុប",</t>
        </is>
      </c>
      <c r="N1892" s="163" t="n"/>
    </row>
    <row r="1893" ht="15.75" customHeight="1" s="305">
      <c r="A1893" s="215" t="inlineStr">
        <is>
          <t>debtLookup.titleTotalReceived</t>
        </is>
      </c>
      <c r="B1893" s="215" t="inlineStr">
        <is>
          <t>Tổng thu</t>
        </is>
      </c>
      <c r="C1893" s="215" t="inlineStr">
        <is>
          <t>Total collected</t>
        </is>
      </c>
      <c r="D1893" s="216">
        <f>IFERROR(__xludf.DUMMYFUNCTION("GOOGLETRANSLATE(B1893,""vi"",""km"")"),"ប្រាក់ចំណូលសរុប")</f>
        <v/>
      </c>
      <c r="G1893" s="3" t="inlineStr">
        <is>
          <t>ចំណូលសរុប</t>
        </is>
      </c>
      <c r="H1893" t="inlineStr">
        <is>
          <t>ចំណូលសរុប</t>
        </is>
      </c>
      <c r="I1893" s="217" t="inlineStr">
        <is>
          <t>"debtLookup.titleTotalReceived": "ចំណូលសរុប",</t>
        </is>
      </c>
      <c r="N1893" s="163" t="n"/>
    </row>
    <row r="1894" ht="15.75" customHeight="1" s="305">
      <c r="A1894" s="215" t="inlineStr">
        <is>
          <t>debtLookup.titleTrangThai</t>
        </is>
      </c>
      <c r="B1894" s="215" t="inlineStr">
        <is>
          <t>Trạng thái</t>
        </is>
      </c>
      <c r="C1894" s="215" t="inlineStr">
        <is>
          <t>Status</t>
        </is>
      </c>
      <c r="D1894" s="216">
        <f>IFERROR(__xludf.DUMMYFUNCTION("GOOGLETRANSLATE(B1894,""vi"",""km"")"),"ស្ថានភាព")</f>
        <v/>
      </c>
      <c r="G1894" s="3" t="inlineStr">
        <is>
          <t>ស្ថានភាព</t>
        </is>
      </c>
      <c r="H1894" t="inlineStr">
        <is>
          <t>ស្ថានភាព</t>
        </is>
      </c>
      <c r="I1894" s="217" t="inlineStr">
        <is>
          <t>"debtLookup.titleTrangThai": "ស្ថានភាព",</t>
        </is>
      </c>
      <c r="N1894" s="163" t="n"/>
    </row>
    <row r="1895" ht="15.75" customHeight="1" s="305">
      <c r="A1895" s="215" t="inlineStr">
        <is>
          <t>debtLookup.trongLuong</t>
        </is>
      </c>
      <c r="B1895" s="215" t="inlineStr">
        <is>
          <t>Trọng lượng</t>
        </is>
      </c>
      <c r="C1895" s="215" t="inlineStr">
        <is>
          <t>Weight</t>
        </is>
      </c>
      <c r="D1895" s="216">
        <f>IFERROR(__xludf.DUMMYFUNCTION("GOOGLETRANSLATE(B1895,""vi"",""km"")"),"ទម្ងន់")</f>
        <v/>
      </c>
      <c r="G1895" s="3" t="inlineStr">
        <is>
          <t>ទម្ងន់</t>
        </is>
      </c>
      <c r="H1895" t="inlineStr">
        <is>
          <t>ទម្ងន់</t>
        </is>
      </c>
      <c r="I1895" s="217" t="inlineStr">
        <is>
          <t>"debtLookup.trongLuong": "ទម្ងន់",</t>
        </is>
      </c>
      <c r="N1895" s="163" t="n"/>
    </row>
    <row r="1896" ht="15.75" customHeight="1" s="305">
      <c r="A1896" s="215" t="inlineStr">
        <is>
          <t>debtLookup.valueCollectCOD</t>
        </is>
      </c>
      <c r="B1896" s="215" t="inlineStr">
        <is>
          <t>Có thu hộ COD</t>
        </is>
      </c>
      <c r="C1896" s="215" t="inlineStr">
        <is>
          <t>Collect COD</t>
        </is>
      </c>
      <c r="D1896" s="216">
        <f>IFERROR(__xludf.DUMMYFUNCTION("GOOGLETRANSLATE(B1896,""vi"",""km"")"),"ការទូទាត់ប្រាក់ពេលទទួលទំនិញ (COD) មាន។")</f>
        <v/>
      </c>
      <c r="G1896" s="3" t="inlineStr">
        <is>
          <t>មានប្រមូលប្រាក់ COD</t>
        </is>
      </c>
      <c r="H1896" t="inlineStr">
        <is>
          <t>មានប្រមូលប្រាក់ COD</t>
        </is>
      </c>
      <c r="I1896" s="217" t="inlineStr">
        <is>
          <t>"debtLookup.valueCollectCOD": "មានប្រមូលប្រាក់ COD",</t>
        </is>
      </c>
      <c r="N1896" s="163" t="n"/>
    </row>
    <row r="1897" ht="15.75" customHeight="1" s="305">
      <c r="A1897" s="215" t="inlineStr">
        <is>
          <t>debtLookup.valueCollectCodAndFee</t>
        </is>
      </c>
      <c r="B1897" s="215" t="inlineStr">
        <is>
          <t>Có thu hộ COD và cước</t>
        </is>
      </c>
      <c r="C1897" s="215" t="inlineStr">
        <is>
          <t>Collect COD and shipping fee</t>
        </is>
      </c>
      <c r="D1897" s="216">
        <f>IFERROR(__xludf.DUMMYFUNCTION("GOOGLETRANSLATE(B1897,""vi"",""km"")"),"មានសេវាបង់ប្រាក់ពេលទទួលទំនិញ (COD) និងថ្លៃដឹកជញ្ជូន។")</f>
        <v/>
      </c>
      <c r="G1897" s="3" t="inlineStr">
        <is>
          <t>មានប្រមូលប្រាក់ COD និងថ្លៃដឹកជញ្ជូន</t>
        </is>
      </c>
      <c r="H1897" t="inlineStr">
        <is>
          <t>មានប្រមូលប្រាក់ COD និងថ្លៃដឹកជញ្ជូន</t>
        </is>
      </c>
      <c r="I1897" s="217" t="inlineStr">
        <is>
          <t>"debtLookup.valueCollectCodAndFee": "មានប្រមូលប្រាក់ COD និងថ្លៃដឹកជញ្ជូន",</t>
        </is>
      </c>
      <c r="N1897" s="163" t="n"/>
    </row>
    <row r="1898" ht="15.75" customHeight="1" s="305">
      <c r="A1898" s="215" t="inlineStr">
        <is>
          <t>debtLookup.valueCollectShippingFee</t>
        </is>
      </c>
      <c r="B1898" s="215" t="inlineStr">
        <is>
          <t>Có thu hộ cước</t>
        </is>
      </c>
      <c r="C1898" s="215" t="inlineStr">
        <is>
          <t>Collect shipping fee</t>
        </is>
      </c>
      <c r="D1898" s="216">
        <f>IFERROR(__xludf.DUMMYFUNCTION("GOOGLETRANSLATE(B1898,""vi"",""km"")"),"មានសេវាបង់ប្រាក់ពេលទទួលទំនិញ")</f>
        <v/>
      </c>
      <c r="G1898" s="3" t="inlineStr">
        <is>
          <t>មានប្រមូលថ្លៃដឹកជញ្ជូន</t>
        </is>
      </c>
      <c r="H1898" t="inlineStr">
        <is>
          <t>មានប្រមូលថ្លៃដឹកជញ្ជូន</t>
        </is>
      </c>
      <c r="I1898" s="217" t="inlineStr">
        <is>
          <t>"debtLookup.valueCollectShippingFee": "មានប្រមូលថ្លៃដឹកជញ្ជូន",</t>
        </is>
      </c>
      <c r="N1898" s="163" t="n"/>
    </row>
    <row r="1899" ht="15.75" customHeight="1" s="305">
      <c r="A1899" s="215" t="inlineStr">
        <is>
          <t>debtLookup.valueCollected</t>
        </is>
      </c>
      <c r="B1899" s="215" t="inlineStr">
        <is>
          <t>Đã thu</t>
        </is>
      </c>
      <c r="C1899" s="215" t="inlineStr">
        <is>
          <t>Collected</t>
        </is>
      </c>
      <c r="D1899" s="216">
        <f>IFERROR(__xludf.DUMMYFUNCTION("GOOGLETRANSLATE(B1899,""vi"",""km"")"),"បានទទួល")</f>
        <v/>
      </c>
      <c r="G1899" s="3" t="inlineStr">
        <is>
          <t>បានប្រមូលរួចរាល់</t>
        </is>
      </c>
      <c r="H1899" t="inlineStr">
        <is>
          <t>បានប្រមូលរួចរាល់</t>
        </is>
      </c>
      <c r="I1899" s="217" t="inlineStr">
        <is>
          <t>"debtLookup.valueCollected": "បានប្រមូលរួចរាល់",</t>
        </is>
      </c>
      <c r="N1899" s="163" t="n"/>
    </row>
    <row r="1900" ht="15.75" customHeight="1" s="305">
      <c r="A1900" s="215" t="inlineStr">
        <is>
          <t>debtLookup.valueConfirmed</t>
        </is>
      </c>
      <c r="B1900" s="215" t="inlineStr">
        <is>
          <t>Đã xác nhận</t>
        </is>
      </c>
      <c r="C1900" s="215" t="inlineStr">
        <is>
          <t>Confirmed</t>
        </is>
      </c>
      <c r="D1900" s="216">
        <f>IFERROR(__xludf.DUMMYFUNCTION("GOOGLETRANSLATE(B1900,""vi"",""km"")"),"បានបញ្ជាក់")</f>
        <v/>
      </c>
      <c r="G1900" s="3" t="inlineStr">
        <is>
          <t>បានបញ្ជាក់</t>
        </is>
      </c>
      <c r="H1900" t="inlineStr">
        <is>
          <t>បានបញ្ជាក់</t>
        </is>
      </c>
      <c r="I1900" s="217" t="inlineStr">
        <is>
          <t>"debtLookup.valueConfirmed": "បានបញ្ជាក់",</t>
        </is>
      </c>
      <c r="N1900" s="163" t="n"/>
    </row>
    <row r="1901" ht="15.75" customHeight="1" s="305">
      <c r="A1901" s="215" t="inlineStr">
        <is>
          <t>debtLookup.valueCreateCashReceipt</t>
        </is>
      </c>
      <c r="B1901" s="215" t="inlineStr">
        <is>
          <t>Tạo PTTM</t>
        </is>
      </c>
      <c r="C1901" s="215" t="inlineStr">
        <is>
          <t>Create cash receipt</t>
        </is>
      </c>
      <c r="D1901" s="216">
        <f>IFERROR(__xludf.DUMMYFUNCTION("GOOGLETRANSLATE(B1901,""vi"",""km"")"),"បង្កើត PTTM")</f>
        <v/>
      </c>
      <c r="G1901" s="3" t="inlineStr">
        <is>
          <t>បង្កើត PTTM</t>
        </is>
      </c>
      <c r="H1901" t="inlineStr">
        <is>
          <t>បង្កើត PTTM</t>
        </is>
      </c>
      <c r="I1901" s="217" t="inlineStr">
        <is>
          <t>"debtLookup.valueCreateCashReceipt": "បង្កើត PTTM",</t>
        </is>
      </c>
      <c r="N1901" s="163" t="n"/>
    </row>
    <row r="1902" ht="15.75" customHeight="1" s="305">
      <c r="A1902" s="215" t="inlineStr">
        <is>
          <t>debtLookup.valueCreated</t>
        </is>
      </c>
      <c r="B1902" s="215" t="inlineStr">
        <is>
          <t>Tạo mới</t>
        </is>
      </c>
      <c r="C1902" s="215" t="inlineStr">
        <is>
          <t>Created</t>
        </is>
      </c>
      <c r="D1902" s="216">
        <f>IFERROR(__xludf.DUMMYFUNCTION("GOOGLETRANSLATE(B1902,""vi"",""km"")"),"បង្កើតថ្មី")</f>
        <v/>
      </c>
      <c r="G1902" s="3" t="inlineStr">
        <is>
          <t>បង្កើតថ្មី</t>
        </is>
      </c>
      <c r="H1902" t="inlineStr">
        <is>
          <t>បង្កើតថ្មី</t>
        </is>
      </c>
      <c r="I1902" s="217" t="inlineStr">
        <is>
          <t>"debtLookup.valueCreated": "បង្កើតថ្មី",</t>
        </is>
      </c>
      <c r="N1902" s="163" t="n"/>
    </row>
    <row r="1903" ht="15.75" customHeight="1" s="305">
      <c r="A1903" s="215" t="inlineStr">
        <is>
          <t>debtLookup.valueDisbursedSuccessfully</t>
        </is>
      </c>
      <c r="B1903" s="215" t="inlineStr">
        <is>
          <t>Chi thành công</t>
        </is>
      </c>
      <c r="C1903" s="215" t="inlineStr">
        <is>
          <t>Payment successful</t>
        </is>
      </c>
      <c r="D1903" s="216">
        <f>IFERROR(__xludf.DUMMYFUNCTION("GOOGLETRANSLATE(B1903,""vi"",""km"")"),"ជោគជ័យ")</f>
        <v/>
      </c>
      <c r="G1903" s="3" t="inlineStr">
        <is>
          <t>ទូទាត់ជោគជ័យ</t>
        </is>
      </c>
      <c r="H1903" t="inlineStr">
        <is>
          <t>ទូទាត់ជោគជ័យ</t>
        </is>
      </c>
      <c r="I1903" s="217" t="inlineStr">
        <is>
          <t>"debtLookup.valueDisbursedSuccessfully": "ទូទាត់ជោគជ័យ",</t>
        </is>
      </c>
      <c r="N1903" s="163" t="n"/>
    </row>
    <row r="1904" ht="15.75" customHeight="1" s="305">
      <c r="A1904" s="215" t="inlineStr">
        <is>
          <t>debtLookup.valueDisbursementFailed</t>
        </is>
      </c>
      <c r="B1904" s="215" t="inlineStr">
        <is>
          <t>Chi thất bại</t>
        </is>
      </c>
      <c r="C1904" s="215" t="inlineStr">
        <is>
          <t>Payment failed</t>
        </is>
      </c>
      <c r="D1904" s="216">
        <f>IFERROR(__xludf.DUMMYFUNCTION("GOOGLETRANSLATE(B1904,""vi"",""km"")"),"ការចំណាយបានបរាជ័យ។")</f>
        <v/>
      </c>
      <c r="G1904" s="3" t="inlineStr">
        <is>
          <t>ទូទាត់មិនបានសម្រេច</t>
        </is>
      </c>
      <c r="H1904" t="inlineStr">
        <is>
          <t>ទូទាត់មិនបានសម្រេច</t>
        </is>
      </c>
      <c r="I1904" s="217" t="inlineStr">
        <is>
          <t>"debtLookup.valueDisbursementFailed": "ទូទាត់មិនបានសម្រេច",</t>
        </is>
      </c>
      <c r="N1904" s="163" t="n"/>
    </row>
    <row r="1905" ht="15.75" customHeight="1" s="305">
      <c r="A1905" s="215" t="inlineStr">
        <is>
          <t>debtLookup.valueDisbursementFinalized</t>
        </is>
      </c>
      <c r="B1905" s="215" t="inlineStr">
        <is>
          <t>Chốt chi</t>
        </is>
      </c>
      <c r="C1905" s="215" t="inlineStr">
        <is>
          <t>Payment finalized</t>
        </is>
      </c>
      <c r="D1905" s="216">
        <f>IFERROR(__xludf.DUMMYFUNCTION("GOOGLETRANSLATE(B1905,""vi"",""km"")"),"បញ្ចប់ការទូទាត់")</f>
        <v/>
      </c>
      <c r="G1905" s="3" t="inlineStr">
        <is>
          <t>បិទបញ្ជីទូទាត់</t>
        </is>
      </c>
      <c r="H1905" t="inlineStr">
        <is>
          <t>បិទបញ្ជីទូទាត់</t>
        </is>
      </c>
      <c r="I1905" s="217" t="inlineStr">
        <is>
          <t>"debtLookup.valueDisbursementFinalized": "បិទបញ្ជីទូទាត់",</t>
        </is>
      </c>
      <c r="N1905" s="163" t="n"/>
    </row>
    <row r="1906" ht="15.75" customHeight="1" s="305">
      <c r="A1906" s="215" t="inlineStr">
        <is>
          <t>debtLookup.valueDisbursing</t>
        </is>
      </c>
      <c r="B1906" s="215" t="inlineStr">
        <is>
          <t>Đang chi</t>
        </is>
      </c>
      <c r="C1906" s="215" t="inlineStr">
        <is>
          <t>Processing payment</t>
        </is>
      </c>
      <c r="D1906" s="216">
        <f>IFERROR(__xludf.DUMMYFUNCTION("GOOGLETRANSLATE(B1906,""vi"",""km"")"),"កំពុងចំណាយ")</f>
        <v/>
      </c>
      <c r="G1906" s="3" t="inlineStr">
        <is>
          <t>កំពុងដំណើរការទូទាត់</t>
        </is>
      </c>
      <c r="H1906" t="inlineStr">
        <is>
          <t>កំពុងដំណើរការទូទាត់</t>
        </is>
      </c>
      <c r="I1906" s="217" t="inlineStr">
        <is>
          <t>"debtLookup.valueDisbursing": "កំពុងដំណើរការទូទាត់",</t>
        </is>
      </c>
      <c r="N1906" s="163" t="n"/>
    </row>
    <row r="1907" ht="15.75" customHeight="1" s="305">
      <c r="A1907" s="215" t="inlineStr">
        <is>
          <t>debtLookup.valueFailed</t>
        </is>
      </c>
      <c r="B1907" s="215" t="inlineStr">
        <is>
          <t>Thất bại</t>
        </is>
      </c>
      <c r="C1907" s="215" t="inlineStr">
        <is>
          <t>Failed</t>
        </is>
      </c>
      <c r="D1907" s="216">
        <f>IFERROR(__xludf.DUMMYFUNCTION("GOOGLETRANSLATE(B1907,""vi"",""km"")"),"ការបរាជ័យ")</f>
        <v/>
      </c>
      <c r="G1907" s="3" t="inlineStr">
        <is>
          <t>បរាជ័យ</t>
        </is>
      </c>
      <c r="H1907" t="inlineStr">
        <is>
          <t>បរាជ័យ</t>
        </is>
      </c>
      <c r="I1907" s="217" t="inlineStr">
        <is>
          <t>"debtLookup.valueFailed": "បរាជ័យ",</t>
        </is>
      </c>
      <c r="N1907" s="163" t="n"/>
    </row>
    <row r="1908" ht="15.75" customHeight="1" s="305">
      <c r="A1908" s="215" t="inlineStr">
        <is>
          <t>debtLookup.valueFailedPendingRetry</t>
        </is>
      </c>
      <c r="B1908" s="215" t="inlineStr">
        <is>
          <t>Thất bại chờ chi lại</t>
        </is>
      </c>
      <c r="C1908" s="215" t="inlineStr">
        <is>
          <t>Failed - pending retry</t>
        </is>
      </c>
      <c r="D1908" s="216">
        <f>IFERROR(__xludf.DUMMYFUNCTION("GOOGLETRANSLATE(B1908,""vi"",""km"")"),"ការបរាជ័យកំពុងរង់ចាំម្តងទៀត។")</f>
        <v/>
      </c>
      <c r="G1908" s="3" t="inlineStr">
        <is>
          <t>ការបរាជ័យកំពុងរង់ចាំម្តងទៀត។</t>
        </is>
      </c>
      <c r="H1908" t="inlineStr">
        <is>
          <t>ការបរាជ័យកំពុងរង់ចាំម្តងទៀត។</t>
        </is>
      </c>
      <c r="I1908" s="217" t="inlineStr">
        <is>
          <t>"debtLookup.valueFailedPendingRetry": "ការបរាជ័យកំពុងរង់ចាំម្តងទៀត។",</t>
        </is>
      </c>
      <c r="N1908" s="163" t="n"/>
    </row>
    <row r="1909" ht="15.75" customHeight="1" s="305">
      <c r="A1909" s="215" t="inlineStr">
        <is>
          <t>debtLookup.valueNoCollection</t>
        </is>
      </c>
      <c r="B1909" s="215" t="inlineStr">
        <is>
          <t>Không thu hộ</t>
        </is>
      </c>
      <c r="C1909" s="215" t="inlineStr">
        <is>
          <t>No collection</t>
        </is>
      </c>
      <c r="D1909" s="216">
        <f>IFERROR(__xludf.DUMMYFUNCTION("GOOGLETRANSLATE(B1909,""vi"",""km"")"),"គ្មានការប្រមូលប្រាក់សុទ្ធ")</f>
        <v/>
      </c>
      <c r="G1909" s="3" t="inlineStr">
        <is>
          <t>មិនប្រមូលប្រាក់ជំនួស (គ្មាន COD)</t>
        </is>
      </c>
      <c r="H1909" t="inlineStr">
        <is>
          <t>មិនប្រមូលប្រាក់ជំនួស (គ្មាន COD)</t>
        </is>
      </c>
      <c r="I1909" s="217" t="inlineStr">
        <is>
          <t>"debtLookup.valueNoCollection": "មិនប្រមូលប្រាក់ជំនួស (គ្មាន COD)",</t>
        </is>
      </c>
      <c r="N1909" s="163" t="n"/>
    </row>
    <row r="1910" ht="15.75" customHeight="1" s="305">
      <c r="A1910" s="215" t="inlineStr">
        <is>
          <t>debtLookup.valueNotSubmited</t>
        </is>
      </c>
      <c r="B1910" s="215" t="inlineStr">
        <is>
          <t>Chưa nộp</t>
        </is>
      </c>
      <c r="C1910" s="215" t="inlineStr">
        <is>
          <t>Not submitted</t>
        </is>
      </c>
      <c r="D1910" s="216">
        <f>IFERROR(__xludf.DUMMYFUNCTION("GOOGLETRANSLATE(B1910,""vi"",""km"")"),"មិនទាន់បានដាក់ស្នើនៅឡើយទេ")</f>
        <v/>
      </c>
      <c r="G1910" s="3" t="inlineStr">
        <is>
          <t>មិនទាន់បង់ប្រាក់</t>
        </is>
      </c>
      <c r="H1910" t="inlineStr">
        <is>
          <t>មិនទាន់បង់ប្រាក់</t>
        </is>
      </c>
      <c r="I1910" s="217" t="inlineStr">
        <is>
          <t>"debtLookup.valueNotSubmited": "មិនទាន់បង់ប្រាក់",</t>
        </is>
      </c>
      <c r="N1910" s="163" t="n"/>
    </row>
    <row r="1911" ht="15.75" customHeight="1" s="305">
      <c r="A1911" s="215" t="inlineStr">
        <is>
          <t>debtLookup.valueOrderCod</t>
        </is>
      </c>
      <c r="B1911" s="215" t="inlineStr">
        <is>
          <t>Thu hộ đơn</t>
        </is>
      </c>
      <c r="C1911" s="215" t="inlineStr">
        <is>
          <t>Order cod collection</t>
        </is>
      </c>
      <c r="D1911" s="216">
        <f>IFERROR(__xludf.DUMMYFUNCTION("GOOGLETRANSLATE(B1911,""vi"",""km"")"),"ការប្រមូលការទូទាត់")</f>
        <v/>
      </c>
      <c r="G1911" s="3" t="inlineStr">
        <is>
          <t>ការប្រមូលការទូទាត់</t>
        </is>
      </c>
      <c r="H1911" t="inlineStr">
        <is>
          <t>ការប្រមូលការទូទាត់</t>
        </is>
      </c>
      <c r="I1911" s="217" t="inlineStr">
        <is>
          <t>"debtLookup.valueOrderCod": "ការប្រមូលការទូទាត់",</t>
        </is>
      </c>
      <c r="N1911" s="163" t="n"/>
    </row>
    <row r="1912" ht="15.75" customHeight="1" s="305">
      <c r="A1912" s="215" t="inlineStr">
        <is>
          <t>debtLookup.valuePaid</t>
        </is>
      </c>
      <c r="B1912" s="215" t="inlineStr">
        <is>
          <t>Đã thanh toán</t>
        </is>
      </c>
      <c r="C1912" s="215" t="inlineStr">
        <is>
          <t>Paid</t>
        </is>
      </c>
      <c r="D1912" s="216">
        <f>IFERROR(__xludf.DUMMYFUNCTION("GOOGLETRANSLATE(B1912,""vi"",""km"")"),"ការទូទាត់ត្រូវបានធ្វើឡើង។")</f>
        <v/>
      </c>
      <c r="G1912" s="3" t="inlineStr">
        <is>
          <t>ការទូទាត់ត្រូវបានធ្វើឡើង។</t>
        </is>
      </c>
      <c r="H1912" t="inlineStr">
        <is>
          <t>ការទូទាត់ត្រូវបានធ្វើឡើង។</t>
        </is>
      </c>
      <c r="I1912" s="217" t="inlineStr">
        <is>
          <t>"debtLookup.valuePaid": "ការទូទាត់ត្រូវបានធ្វើឡើង។",</t>
        </is>
      </c>
      <c r="N1912" s="163" t="n"/>
    </row>
    <row r="1913" ht="15.75" customHeight="1" s="305">
      <c r="A1913" s="215" t="inlineStr">
        <is>
          <t>debtLookup.valuePaid1</t>
        </is>
      </c>
      <c r="B1913" s="215" t="inlineStr">
        <is>
          <t>Đã trả</t>
        </is>
      </c>
      <c r="C1913" s="215" t="inlineStr">
        <is>
          <t>Paid</t>
        </is>
      </c>
      <c r="D1913" s="216">
        <f>IFERROR(__xludf.DUMMYFUNCTION("GOOGLETRANSLATE(B1913,""vi"",""km"")"),"បានបង់ប្រាក់")</f>
        <v/>
      </c>
      <c r="G1913" s="3" t="inlineStr">
        <is>
          <t>បានទូទាត់រួចរាល់</t>
        </is>
      </c>
      <c r="H1913" t="inlineStr">
        <is>
          <t>បានទូទាត់រួចរាល់</t>
        </is>
      </c>
      <c r="I1913" s="217" t="inlineStr">
        <is>
          <t>"debtLookup.valuePaid1": "បានទូទាត់រួចរាល់",</t>
        </is>
      </c>
      <c r="N1913" s="163" t="n"/>
    </row>
    <row r="1914" ht="15.75" customHeight="1" s="305">
      <c r="A1914" s="215" t="inlineStr">
        <is>
          <t>debtLookup.valuePaidOut</t>
        </is>
      </c>
      <c r="B1914" s="215" t="inlineStr">
        <is>
          <t>Đã chi</t>
        </is>
      </c>
      <c r="C1914" s="215" t="inlineStr">
        <is>
          <t>Paid out</t>
        </is>
      </c>
      <c r="D1914" s="216">
        <f>IFERROR(__xludf.DUMMYFUNCTION("GOOGLETRANSLATE(B1914,""vi"",""km"")"),"បានបង់ប្រាក់")</f>
        <v/>
      </c>
      <c r="G1914" s="3" t="inlineStr">
        <is>
          <t>បានទូទាត់ចំណាយ</t>
        </is>
      </c>
      <c r="H1914" t="inlineStr">
        <is>
          <t>បានទូទាត់ចំណាយ</t>
        </is>
      </c>
      <c r="I1914" s="217" t="inlineStr">
        <is>
          <t>"debtLookup.valuePaidOut": "បានទូទាត់ចំណាយ",</t>
        </is>
      </c>
      <c r="N1914" s="163" t="n"/>
    </row>
    <row r="1915" ht="15.75" customHeight="1" s="305">
      <c r="A1915" s="215" t="inlineStr">
        <is>
          <t>debtLookup.valuePendingConfirmation</t>
        </is>
      </c>
      <c r="B1915" s="215" t="inlineStr">
        <is>
          <t>Chờ xác nhận</t>
        </is>
      </c>
      <c r="C1915" s="215" t="inlineStr">
        <is>
          <t>Pending confirmation</t>
        </is>
      </c>
      <c r="D1915" s="216">
        <f>IFERROR(__xludf.DUMMYFUNCTION("GOOGLETRANSLATE(B1915,""vi"",""km"")"),"កំពុងរង់ចាំការបញ្ជាក់")</f>
        <v/>
      </c>
      <c r="G1915" s="3" t="inlineStr">
        <is>
          <t>កំពុងរង់ចាំការបញ្ជាក់</t>
        </is>
      </c>
      <c r="H1915" t="inlineStr">
        <is>
          <t>កំពុងរង់ចាំការបញ្ជាក់</t>
        </is>
      </c>
      <c r="I1915" s="217" t="inlineStr">
        <is>
          <t>"debtLookup.valuePendingConfirmation": "កំពុងរង់ចាំការបញ្ជាក់",</t>
        </is>
      </c>
      <c r="N1915" s="163" t="n"/>
    </row>
    <row r="1916" ht="15.75" customHeight="1" s="305">
      <c r="A1916" s="215" t="inlineStr">
        <is>
          <t>debtLookup.valuePendingDisbursement</t>
        </is>
      </c>
      <c r="B1916" s="215" t="inlineStr">
        <is>
          <t>Chờ chi</t>
        </is>
      </c>
      <c r="C1916" s="215" t="inlineStr">
        <is>
          <t>Pending payment</t>
        </is>
      </c>
      <c r="D1916" s="216">
        <f>IFERROR(__xludf.DUMMYFUNCTION("GOOGLETRANSLATE(B1916,""vi"",""km"")"),"តើអ្នកកំពុងរង់ចាំអ្វី?")</f>
        <v/>
      </c>
      <c r="G1916" s="3" t="inlineStr">
        <is>
          <t>រង់ចាំទូទាត់</t>
        </is>
      </c>
      <c r="H1916" t="inlineStr">
        <is>
          <t>រង់ចាំទូទាត់</t>
        </is>
      </c>
      <c r="I1916" s="217" t="inlineStr">
        <is>
          <t>"debtLookup.valuePendingDisbursement": "រង់ចាំទូទាត់",</t>
        </is>
      </c>
      <c r="N1916" s="163" t="n"/>
    </row>
    <row r="1917" ht="15.75" customHeight="1" s="305">
      <c r="A1917" s="215" t="inlineStr">
        <is>
          <t>debtLookup.valuePostmanCashCollection</t>
        </is>
      </c>
      <c r="B1917" s="215" t="inlineStr">
        <is>
          <t>Thu tiền mặt bưu tá</t>
        </is>
      </c>
      <c r="C1917" s="215" t="inlineStr">
        <is>
          <t>Postman cash collection</t>
        </is>
      </c>
      <c r="D1917" s="216">
        <f>IFERROR(__xludf.DUMMYFUNCTION("GOOGLETRANSLATE(B1917,""vi"",""km"")"),"ប្រមូលប្រាក់ពីបុគ្គលិកប្រៃសណីយ៍។")</f>
        <v/>
      </c>
      <c r="G1917" s="3" t="inlineStr">
        <is>
          <t>ប្រមូលប្រាក់ពីបុគ្គលិកប្រៃសណីយ៍។</t>
        </is>
      </c>
      <c r="H1917" t="inlineStr">
        <is>
          <t>ប្រមូលប្រាក់ពីបុគ្គលិកប្រៃសណីយ៍។</t>
        </is>
      </c>
      <c r="I1917" s="217" t="inlineStr">
        <is>
          <t>"debtLookup.valuePostmanCashCollection": "ប្រមូលប្រាក់ពីបុគ្គលិកប្រៃសណីយ៍។",</t>
        </is>
      </c>
      <c r="N1917" s="163" t="n"/>
    </row>
    <row r="1918" ht="15.75" customHeight="1" s="305">
      <c r="A1918" s="215" t="inlineStr">
        <is>
          <t>debtLookup.valueProcessing</t>
        </is>
      </c>
      <c r="B1918" s="215" t="inlineStr">
        <is>
          <t>Đang xử lý</t>
        </is>
      </c>
      <c r="C1918" s="215" t="inlineStr">
        <is>
          <t>Processing</t>
        </is>
      </c>
      <c r="D1918" s="216">
        <f>IFERROR(__xludf.DUMMYFUNCTION("GOOGLETRANSLATE(B1918,""vi"",""km"")"),"កំពុងដំណើរការ")</f>
        <v/>
      </c>
      <c r="G1918" s="3" t="inlineStr">
        <is>
          <t>កំពុងដំណើរការ</t>
        </is>
      </c>
      <c r="H1918" t="inlineStr">
        <is>
          <t>កំពុងដំណើរការ</t>
        </is>
      </c>
      <c r="I1918" s="217" t="inlineStr">
        <is>
          <t>"debtLookup.valueProcessing": "កំពុងដំណើរការ",</t>
        </is>
      </c>
      <c r="N1918" s="163" t="n"/>
    </row>
    <row r="1919" ht="15.75" customHeight="1" s="305">
      <c r="A1919" s="215" t="inlineStr">
        <is>
          <t>debtLookup.valueReconciling</t>
        </is>
      </c>
      <c r="B1919" s="215" t="inlineStr">
        <is>
          <t>Đang đối soát</t>
        </is>
      </c>
      <c r="C1919" s="215" t="inlineStr">
        <is>
          <t>Reconciling</t>
        </is>
      </c>
      <c r="D1919" s="216">
        <f>IFERROR(__xludf.DUMMYFUNCTION("GOOGLETRANSLATE(B1919,""vi"",""km"")"),"កំពុងស្ថិតក្រោមការផ្ទៀងផ្ទាត់។")</f>
        <v/>
      </c>
      <c r="G1919" s="3" t="inlineStr">
        <is>
          <t>កំពុងផ្ទៀងផ្ទាត់បញ្ជី</t>
        </is>
      </c>
      <c r="H1919" t="inlineStr">
        <is>
          <t>កំពុងផ្ទៀងផ្ទាត់បញ្ជី</t>
        </is>
      </c>
      <c r="I1919" s="217" t="inlineStr">
        <is>
          <t>"debtLookup.valueReconciling": "កំពុងផ្ទៀងផ្ទាត់បញ្ជី",</t>
        </is>
      </c>
      <c r="N1919" s="163" t="n"/>
    </row>
    <row r="1920" ht="15.75" customHeight="1" s="305">
      <c r="A1920" s="215" t="inlineStr">
        <is>
          <t>debtLookup.valueRejected</t>
        </is>
      </c>
      <c r="B1920" s="215" t="inlineStr">
        <is>
          <t>Từ chối</t>
        </is>
      </c>
      <c r="C1920" s="215" t="inlineStr">
        <is>
          <t>Rejected</t>
        </is>
      </c>
      <c r="D1920" s="216">
        <f>IFERROR(__xludf.DUMMYFUNCTION("GOOGLETRANSLATE(B1920,""vi"",""km"")"),"បដិសេធ")</f>
        <v/>
      </c>
      <c r="G1920" s="3" t="inlineStr">
        <is>
          <t>បដិសេធ</t>
        </is>
      </c>
      <c r="H1920" t="inlineStr">
        <is>
          <t>បដិសេធ</t>
        </is>
      </c>
      <c r="I1920" s="217" t="inlineStr">
        <is>
          <t>"debtLookup.valueRejected": "បដិសេធ",</t>
        </is>
      </c>
      <c r="N1920" s="163" t="n"/>
    </row>
    <row r="1921" ht="15.75" customHeight="1" s="305">
      <c r="A1921" s="215" t="inlineStr">
        <is>
          <t>debtLookup.valueStatementClosed</t>
        </is>
      </c>
      <c r="B1921" s="215" t="inlineStr">
        <is>
          <t>Chốt bảng kê</t>
        </is>
      </c>
      <c r="C1921" s="215" t="inlineStr">
        <is>
          <t>Statement closed</t>
        </is>
      </c>
      <c r="D1921" s="216">
        <f>IFERROR(__xludf.DUMMYFUNCTION("GOOGLETRANSLATE(B1921,""vi"",""km"")"),"បញ្ចប់បញ្ជី")</f>
        <v/>
      </c>
      <c r="G1921" s="3" t="inlineStr">
        <is>
          <t>បិទបញ្ជីផ្ទៀងផ្ទាត់</t>
        </is>
      </c>
      <c r="H1921" t="inlineStr">
        <is>
          <t>បិទបញ្ជីផ្ទៀងផ្ទាត់</t>
        </is>
      </c>
      <c r="I1921" s="217" t="inlineStr">
        <is>
          <t>"debtLookup.valueStatementClosed": "បិទបញ្ជីផ្ទៀងផ្ទាត់",</t>
        </is>
      </c>
      <c r="N1921" s="163" t="n"/>
    </row>
    <row r="1922" ht="15.75" customHeight="1" s="305">
      <c r="A1922" s="215" t="inlineStr">
        <is>
          <t>debtLookup.valueSubmited</t>
        </is>
      </c>
      <c r="B1922" s="215" t="inlineStr">
        <is>
          <t>Đã nộp</t>
        </is>
      </c>
      <c r="C1922" s="215" t="inlineStr">
        <is>
          <t>Submitted</t>
        </is>
      </c>
      <c r="D1922" s="216">
        <f>IFERROR(__xludf.DUMMYFUNCTION("GOOGLETRANSLATE(B1922,""vi"",""km"")"),"បានដាក់ស្នើ")</f>
        <v/>
      </c>
      <c r="G1922" s="3" t="inlineStr">
        <is>
          <t>បានបង់ប្រាក់រួចរាល់</t>
        </is>
      </c>
      <c r="H1922" t="inlineStr">
        <is>
          <t>បានបង់ប្រាក់រួចរាល់</t>
        </is>
      </c>
      <c r="I1922" s="217" t="inlineStr">
        <is>
          <t>"debtLookup.valueSubmited": "បានបង់ប្រាក់រួចរាល់",</t>
        </is>
      </c>
      <c r="N1922" s="163" t="n"/>
    </row>
    <row r="1923" ht="15.75" customHeight="1" s="305">
      <c r="A1923" s="215" t="inlineStr">
        <is>
          <t>debtLookup.valueUnpaid</t>
        </is>
      </c>
      <c r="B1923" s="215" t="inlineStr">
        <is>
          <t>Chưa thanh toán</t>
        </is>
      </c>
      <c r="C1923" s="215" t="inlineStr">
        <is>
          <t>Unpaid</t>
        </is>
      </c>
      <c r="D1923" s="216">
        <f>IFERROR(__xludf.DUMMYFUNCTION("GOOGLETRANSLATE(B1923,""vi"",""km"")"),"មិនទាន់បានបង់ប្រាក់")</f>
        <v/>
      </c>
      <c r="G1923" s="3" t="inlineStr">
        <is>
          <t>មិនទាន់បានបង់ប្រាក់</t>
        </is>
      </c>
      <c r="H1923" t="inlineStr">
        <is>
          <t>មិនទាន់បានបង់ប្រាក់</t>
        </is>
      </c>
      <c r="I1923" s="217" t="inlineStr">
        <is>
          <t>"debtLookup.valueUnpaid": "មិនទាន់បានបង់ប្រាក់",</t>
        </is>
      </c>
      <c r="N1923" s="163" t="n"/>
    </row>
    <row r="1924" ht="15.75" customHeight="1" s="305">
      <c r="A1924" s="215" t="inlineStr">
        <is>
          <t>debtLookup.valueUnpay</t>
        </is>
      </c>
      <c r="B1924" s="215" t="inlineStr">
        <is>
          <t>Chưa trả</t>
        </is>
      </c>
      <c r="C1924" s="215" t="inlineStr">
        <is>
          <t>Not paid</t>
        </is>
      </c>
      <c r="D1924" s="216">
        <f>IFERROR(__xludf.DUMMYFUNCTION("GOOGLETRANSLATE(B1924,""vi"",""km"")"),"មិនទាន់បានបង់ប្រាក់នៅឡើយទេ")</f>
        <v/>
      </c>
      <c r="G1924" s="3" t="inlineStr">
        <is>
          <t>មិនទាន់ទូទាត់</t>
        </is>
      </c>
      <c r="H1924" t="inlineStr">
        <is>
          <t>មិនទាន់ទូទាត់</t>
        </is>
      </c>
      <c r="I1924" s="217" t="inlineStr">
        <is>
          <t>"debtLookup.valueUnpay": "មិនទាន់ទូទាត់",</t>
        </is>
      </c>
      <c r="N1924" s="163" t="n"/>
    </row>
    <row r="1925" ht="15.75" customHeight="1" s="305">
      <c r="A1925" s="215" t="inlineStr">
        <is>
          <t>debtLookup.valueWaiting</t>
        </is>
      </c>
      <c r="B1925" s="215" t="inlineStr">
        <is>
          <t>Chờ xác nhận</t>
        </is>
      </c>
      <c r="C1925" s="215" t="inlineStr">
        <is>
          <t>Waiting for confirmation</t>
        </is>
      </c>
      <c r="D1925" s="216">
        <f>IFERROR(__xludf.DUMMYFUNCTION("GOOGLETRANSLATE(B1925,""vi"",""km"")"),"កំពុងរង់ចាំការបញ្ជាក់")</f>
        <v/>
      </c>
      <c r="G1925" s="3" t="inlineStr">
        <is>
          <t>កំពុងរង់ចាំការបញ្ជាក់</t>
        </is>
      </c>
      <c r="H1925" t="inlineStr">
        <is>
          <t>កំពុងរង់ចាំការបញ្ជាក់</t>
        </is>
      </c>
      <c r="I1925" s="217" t="inlineStr">
        <is>
          <t>"debtLookup.valueWaiting": "កំពុងរង់ចាំការបញ្ជាក់",</t>
        </is>
      </c>
      <c r="N1925" s="163" t="n"/>
    </row>
    <row r="1926" ht="15.75" customHeight="1" s="305">
      <c r="A1926" s="215" t="inlineStr">
        <is>
          <t>thunhap.bienSoXe</t>
        </is>
      </c>
      <c r="B1926" s="215" t="inlineStr">
        <is>
          <t>Biển số xe:</t>
        </is>
      </c>
      <c r="C1926" s="215" t="inlineStr">
        <is>
          <t>License plate:</t>
        </is>
      </c>
      <c r="D1926" s="216">
        <f>IFERROR(__xludf.DUMMYFUNCTION("GOOGLETRANSLATE(B1926,""vi"",""km"")"),"លេខ​ផ្លាកលេខ៖")</f>
        <v/>
      </c>
      <c r="G1926" s="3" t="inlineStr">
        <is>
          <t>លេខផ្លាកលេខ៖</t>
        </is>
      </c>
      <c r="H1926" t="inlineStr">
        <is>
          <t>លេខផ្លាកលេខ៖</t>
        </is>
      </c>
      <c r="I1926" s="217" t="inlineStr">
        <is>
          <t>"thunhap.bienSoXe": "លេខផ្លាកលេខ៖",</t>
        </is>
      </c>
      <c r="N1926" s="163" t="n"/>
    </row>
    <row r="1927" ht="15.75" customHeight="1" s="305">
      <c r="A1927" s="215" t="inlineStr">
        <is>
          <t>thunhap.chieu</t>
        </is>
      </c>
      <c r="B1927" s="215" t="inlineStr">
        <is>
          <t>Chiều:</t>
        </is>
      </c>
      <c r="C1927" s="215" t="inlineStr">
        <is>
          <t>Direction:</t>
        </is>
      </c>
      <c r="D1927" s="216">
        <f>IFERROR(__xludf.DUMMYFUNCTION("GOOGLETRANSLATE(B1927,""vi"",""km"")"),"ពេលរសៀល៖")</f>
        <v/>
      </c>
      <c r="G1927" s="3" t="inlineStr">
        <is>
          <t>ពេលរសៀល៖</t>
        </is>
      </c>
      <c r="H1927" t="inlineStr">
        <is>
          <t>ពេលរសៀល៖</t>
        </is>
      </c>
      <c r="I1927" s="217" t="inlineStr">
        <is>
          <t>"thunhap.chieu": "ពេលរសៀល៖",</t>
        </is>
      </c>
      <c r="N1927" s="163" t="n"/>
    </row>
    <row r="1928" ht="15.75" customHeight="1" s="305">
      <c r="A1928" s="215" t="inlineStr">
        <is>
          <t>thunhap.chieuDi</t>
        </is>
      </c>
      <c r="B1928" s="215" t="inlineStr">
        <is>
          <t>Chiều đi</t>
        </is>
      </c>
      <c r="C1928" s="215" t="inlineStr">
        <is>
          <t>Outbound</t>
        </is>
      </c>
      <c r="D1928" s="216">
        <f>IFERROR(__xludf.DUMMYFUNCTION("GOOGLETRANSLATE(B1928,""vi"",""km"")"),"ចេញដំណើរ")</f>
        <v/>
      </c>
      <c r="G1928" s="3" t="inlineStr">
        <is>
          <t>ចេញដំណើរ</t>
        </is>
      </c>
      <c r="H1928" t="inlineStr">
        <is>
          <t>ចេញដំណើរ</t>
        </is>
      </c>
      <c r="I1928" s="217" t="inlineStr">
        <is>
          <t>"thunhap.chieuDi": "ចេញដំណើរ",</t>
        </is>
      </c>
      <c r="N1928" s="163" t="n"/>
    </row>
    <row r="1929" ht="15.75" customHeight="1" s="305">
      <c r="A1929" s="215" t="inlineStr">
        <is>
          <t>thunhap.chieuVe</t>
        </is>
      </c>
      <c r="B1929" s="215" t="inlineStr">
        <is>
          <t>Chiều về</t>
        </is>
      </c>
      <c r="C1929" s="215" t="inlineStr">
        <is>
          <t>Return</t>
        </is>
      </c>
      <c r="D1929" s="216">
        <f>IFERROR(__xludf.DUMMYFUNCTION("GOOGLETRANSLATE(B1929,""vi"",""km"")"),"ល្ងាច")</f>
        <v/>
      </c>
      <c r="G1929" s="3" t="inlineStr">
        <is>
          <t>ល្ងាច</t>
        </is>
      </c>
      <c r="H1929" t="inlineStr">
        <is>
          <t>ល្ងាច</t>
        </is>
      </c>
      <c r="I1929" s="217" t="inlineStr">
        <is>
          <t>"thunhap.chieuVe": "ល្ងាច",</t>
        </is>
      </c>
      <c r="N1929" s="163" t="n"/>
    </row>
    <row r="1930" ht="15.75" customHeight="1" s="305">
      <c r="A1930" s="215" t="inlineStr">
        <is>
          <t>thunhap.chuyen</t>
        </is>
      </c>
      <c r="B1930" s="215" t="inlineStr">
        <is>
          <t>{{value}} chuyến</t>
        </is>
      </c>
      <c r="C1930" s="215" t="inlineStr">
        <is>
          <t>{{value}} trips</t>
        </is>
      </c>
      <c r="D1930" s="216">
        <f>IFERROR(__xludf.DUMMYFUNCTION("GOOGLETRANSLATE(B1930,""vi"",""km"")"),"ដំណើរកម្សាន្ត {{value}}")</f>
        <v/>
      </c>
      <c r="G1930" s="3" t="inlineStr">
        <is>
          <t>ដំណើរកម្សាន្ត {{value}}</t>
        </is>
      </c>
      <c r="H1930" t="inlineStr">
        <is>
          <t>ដំណើរកម្សាន្ត {{value}}</t>
        </is>
      </c>
      <c r="I1930" s="217" t="inlineStr">
        <is>
          <t>"thunhap.chuyen": "ដំណើរកម្សាន្ត {{value}}",</t>
        </is>
      </c>
      <c r="N1930" s="163" t="n"/>
    </row>
    <row r="1931" ht="15.75" customHeight="1" s="305">
      <c r="A1931" s="215" t="inlineStr">
        <is>
          <t>thunhap.chuyenXe</t>
        </is>
      </c>
      <c r="B1931" s="215" t="inlineStr">
        <is>
          <t>Số chuyến xe:</t>
        </is>
      </c>
      <c r="C1931" s="215" t="inlineStr">
        <is>
          <t>Vehicle trips:</t>
        </is>
      </c>
      <c r="D1931" s="216">
        <f>IFERROR(__xludf.DUMMYFUNCTION("GOOGLETRANSLATE(B1931,""vi"",""km"")"),"ចំនួន​នៃ​ការ​ធ្វើ​ដំណើរ៖")</f>
        <v/>
      </c>
      <c r="G1931" s="3" t="inlineStr">
        <is>
          <t>ចំនួននៃការធ្វើដំណើរ៖</t>
        </is>
      </c>
      <c r="H1931" t="inlineStr">
        <is>
          <t>ចំនួននៃការធ្វើដំណើរ៖</t>
        </is>
      </c>
      <c r="I1931" s="217" t="inlineStr">
        <is>
          <t>"thunhap.chuyenXe": "ចំនួននៃការធ្វើដំណើរ៖",</t>
        </is>
      </c>
      <c r="N1931" s="163" t="n"/>
    </row>
    <row r="1932" ht="15.75" customHeight="1" s="305">
      <c r="A1932" s="215" t="inlineStr">
        <is>
          <t>thunhap.deliveryListSummary</t>
        </is>
      </c>
      <c r="B1932" s="215" t="inlineStr">
        <is>
          <t>{{count}} bản ghi – {{amount}}</t>
        </is>
      </c>
      <c r="C1932" s="215" t="inlineStr">
        <is>
          <t>{{count}} records – {{amount}}</t>
        </is>
      </c>
      <c r="D1932" s="216">
        <f>IFERROR(__xludf.DUMMYFUNCTION("GOOGLETRANSLATE(B1932,""vi"",""km"")"),"កំណត់ត្រា {{count}} – {{amount}}")</f>
        <v/>
      </c>
      <c r="G1932" s="3" t="inlineStr">
        <is>
          <t>កំណត់ត្រា {{count}} – {{amount}}</t>
        </is>
      </c>
      <c r="H1932" t="inlineStr">
        <is>
          <t>កំណត់ត្រា {{count}} – {{amount}}</t>
        </is>
      </c>
      <c r="I1932" s="217" t="inlineStr">
        <is>
          <t>"thunhap.deliveryListSummary": "កំណត់ត្រា {{count}} – {{amount}}",</t>
        </is>
      </c>
      <c r="N1932" s="163" t="n"/>
    </row>
    <row r="1933" ht="15.75" customHeight="1" s="305">
      <c r="A1933" s="215" t="inlineStr">
        <is>
          <t>thunhap.doiTac</t>
        </is>
      </c>
      <c r="B1933" s="215" t="inlineStr">
        <is>
          <t>Đối tác:</t>
        </is>
      </c>
      <c r="C1933" s="215" t="inlineStr">
        <is>
          <t>Partner:</t>
        </is>
      </c>
      <c r="D1933" s="216">
        <f>IFERROR(__xludf.DUMMYFUNCTION("GOOGLETRANSLATE(B1933,""vi"",""km"")"),"ដៃគូ៖")</f>
        <v/>
      </c>
      <c r="G1933" s="3" t="inlineStr">
        <is>
          <t>ដៃគូ៖</t>
        </is>
      </c>
      <c r="H1933" t="inlineStr">
        <is>
          <t>ដៃគូ៖</t>
        </is>
      </c>
      <c r="I1933" s="217" t="inlineStr">
        <is>
          <t>"thunhap.doiTac": "ដៃគូ៖",</t>
        </is>
      </c>
      <c r="N1933" s="163" t="n"/>
    </row>
    <row r="1934" ht="15.75" customHeight="1" s="305">
      <c r="A1934" s="215" t="inlineStr">
        <is>
          <t>thunhap.donViNhanVien</t>
        </is>
      </c>
      <c r="B1934" s="215" t="inlineStr">
        <is>
          <t>Đơn vị nhân viên:</t>
        </is>
      </c>
      <c r="C1934" s="215" t="inlineStr">
        <is>
          <t>Employee unit:</t>
        </is>
      </c>
      <c r="D1934" s="216">
        <f>IFERROR(__xludf.DUMMYFUNCTION("GOOGLETRANSLATE(B1934,""vi"",""km"")"),"អង្គភាពបុគ្គលិក៖")</f>
        <v/>
      </c>
      <c r="G1934" s="3" t="inlineStr">
        <is>
          <t>អង្គភាពបុគ្គលិក៖</t>
        </is>
      </c>
      <c r="H1934" t="inlineStr">
        <is>
          <t>អង្គភាពបុគ្គលិក៖</t>
        </is>
      </c>
      <c r="I1934" s="217" t="inlineStr">
        <is>
          <t>"thunhap.donViNhanVien": "អង្គភាពបុគ្គលិក៖",</t>
        </is>
      </c>
      <c r="N1934" s="163" t="n"/>
    </row>
    <row r="1935" ht="15.75" customHeight="1" s="305">
      <c r="A1935" s="215" t="inlineStr">
        <is>
          <t>thunhap.donViVanChuyen</t>
        </is>
      </c>
      <c r="B1935" s="215" t="inlineStr">
        <is>
          <t>Đơn vị vận chuyển:</t>
        </is>
      </c>
      <c r="C1935" s="215" t="inlineStr">
        <is>
          <t>Transport unit:</t>
        </is>
      </c>
      <c r="D1935" s="216">
        <f>IFERROR(__xludf.DUMMYFUNCTION("GOOGLETRANSLATE(B1935,""vi"",""km"")"),"ក្រុមហ៊ុនដឹកជញ្ជូន៖")</f>
        <v/>
      </c>
      <c r="G1935" s="3" t="inlineStr">
        <is>
          <t>ក្រុមហ៊ុនដឹកជញ្ជូន៖</t>
        </is>
      </c>
      <c r="H1935" t="inlineStr">
        <is>
          <t>ក្រុមហ៊ុនដឹកជញ្ជូន៖</t>
        </is>
      </c>
      <c r="I1935" s="217" t="inlineStr">
        <is>
          <t>"thunhap.donViVanChuyen": "ក្រុមហ៊ុនដឹកជញ្ជូន៖",</t>
        </is>
      </c>
      <c r="N1935" s="163" t="n"/>
    </row>
    <row r="1936" ht="15.75" customHeight="1" s="305">
      <c r="A1936" s="215" t="inlineStr">
        <is>
          <t>thunhap.hoanThanhKpi</t>
        </is>
      </c>
      <c r="B1936" s="215" t="inlineStr">
        <is>
          <t>Hoàn thành KPI</t>
        </is>
      </c>
      <c r="C1936" s="215" t="inlineStr">
        <is>
          <t>KPI Completion</t>
        </is>
      </c>
      <c r="D1936" s="216">
        <f>IFERROR(__xludf.DUMMYFUNCTION("GOOGLETRANSLATE(B1936,""vi"",""km"")"),"សម្រេចបាន KPIs")</f>
        <v/>
      </c>
      <c r="G1936" s="3" t="inlineStr">
        <is>
          <t>សម្រេចបាន KPIs</t>
        </is>
      </c>
      <c r="H1936" t="inlineStr">
        <is>
          <t>សម្រេចបាន KPIs</t>
        </is>
      </c>
      <c r="I1936" s="217" t="inlineStr">
        <is>
          <t>"thunhap.hoanThanhKpi": "សម្រេចបាន KPIs",</t>
        </is>
      </c>
      <c r="N1936" s="163" t="n"/>
    </row>
    <row r="1937" ht="15.75" customHeight="1" s="305">
      <c r="A1937" s="215" t="inlineStr">
        <is>
          <t>thunhap.ketNoi</t>
        </is>
      </c>
      <c r="B1937" s="215" t="inlineStr">
        <is>
          <t>Kết nối</t>
        </is>
      </c>
      <c r="C1937" s="215" t="inlineStr">
        <is>
          <t>Connection</t>
        </is>
      </c>
      <c r="D1937" s="216">
        <f>IFERROR(__xludf.DUMMYFUNCTION("GOOGLETRANSLATE(B1937,""vi"",""km"")"),"ភ្ជាប់")</f>
        <v/>
      </c>
      <c r="G1937" s="3" t="inlineStr">
        <is>
          <t>ភ្ជាប់</t>
        </is>
      </c>
      <c r="H1937" t="inlineStr">
        <is>
          <t>ភ្ជាប់</t>
        </is>
      </c>
      <c r="I1937" s="217" t="inlineStr">
        <is>
          <t>"thunhap.ketNoi": "ភ្ជាប់",</t>
        </is>
      </c>
      <c r="N1937" s="163" t="n"/>
    </row>
    <row r="1938" ht="15.75" customHeight="1" s="305">
      <c r="A1938" s="215" t="inlineStr">
        <is>
          <t>thunhap.khac</t>
        </is>
      </c>
      <c r="B1938" s="215" t="inlineStr">
        <is>
          <t>Khác</t>
        </is>
      </c>
      <c r="C1938" s="215" t="inlineStr">
        <is>
          <t>Other</t>
        </is>
      </c>
      <c r="D1938" s="216">
        <f>IFERROR(__xludf.DUMMYFUNCTION("GOOGLETRANSLATE(B1938,""vi"",""km"")"),"ផ្សេងៗ")</f>
        <v/>
      </c>
      <c r="G1938" s="3" t="inlineStr">
        <is>
          <t>ផ្សេងៗ</t>
        </is>
      </c>
      <c r="H1938" t="inlineStr">
        <is>
          <t>ផ្សេងៗ</t>
        </is>
      </c>
      <c r="I1938" s="217" t="inlineStr">
        <is>
          <t>"thunhap.khac": "ផ្សេងៗ",</t>
        </is>
      </c>
      <c r="N1938" s="163" t="n"/>
    </row>
    <row r="1939" ht="15.75" customHeight="1" s="305">
      <c r="A1939" s="215" t="inlineStr">
        <is>
          <t>thunhap.khachHangMoi</t>
        </is>
      </c>
      <c r="B1939" s="215" t="inlineStr">
        <is>
          <t>Khách hàng mới</t>
        </is>
      </c>
      <c r="C1939" s="215" t="inlineStr">
        <is>
          <t>New Customers</t>
        </is>
      </c>
      <c r="D1939" s="216">
        <f>IFERROR(__xludf.DUMMYFUNCTION("GOOGLETRANSLATE(B1939,""vi"",""km"")"),"អតិថិជនថ្មី")</f>
        <v/>
      </c>
      <c r="G1939" s="3" t="inlineStr">
        <is>
          <t>អតិថិជនថ្មី</t>
        </is>
      </c>
      <c r="H1939" t="inlineStr">
        <is>
          <t>អតិថិជនថ្មី</t>
        </is>
      </c>
      <c r="I1939" s="217" t="inlineStr">
        <is>
          <t>"thunhap.khachHangMoi": "អតិថិជនថ្មី",</t>
        </is>
      </c>
      <c r="N1939" s="163" t="n"/>
    </row>
    <row r="1940" ht="15.75" customHeight="1" s="305">
      <c r="A1940" s="215" t="inlineStr">
        <is>
          <t>thunhap.khaiThac</t>
        </is>
      </c>
      <c r="B1940" s="215" t="inlineStr">
        <is>
          <t>Khai thác</t>
        </is>
      </c>
      <c r="C1940" s="215" t="inlineStr">
        <is>
          <t>Handling</t>
        </is>
      </c>
      <c r="D1940" s="216">
        <f>IFERROR(__xludf.DUMMYFUNCTION("GOOGLETRANSLATE(B1940,""vi"",""km"")"),"កេងប្រវ័ញ្ច")</f>
        <v/>
      </c>
      <c r="G1940" s="3" t="inlineStr">
        <is>
          <t>ប្រតិបត្តិការចាត់ចែងបញ្ញើ</t>
        </is>
      </c>
      <c r="H1940" t="inlineStr">
        <is>
          <t>ប្រតិបត្តិការចាត់ចែងបញ្ញើ</t>
        </is>
      </c>
      <c r="I1940" s="217" t="inlineStr">
        <is>
          <t>"thunhap.khaiThac": "ប្រតិបត្តិការចាត់ចែងបញ្ញើ",</t>
        </is>
      </c>
      <c r="N1940" s="163" t="n"/>
    </row>
    <row r="1941" ht="15.75" customHeight="1" s="305">
      <c r="A1941" s="215" t="inlineStr">
        <is>
          <t>thunhap.loaiHanhTrinh</t>
        </is>
      </c>
      <c r="B1941" s="215" t="inlineStr">
        <is>
          <t>Loại hành trình:</t>
        </is>
      </c>
      <c r="C1941" s="215" t="inlineStr">
        <is>
          <t>Route type:</t>
        </is>
      </c>
      <c r="D1941" s="216">
        <f>IFERROR(__xludf.DUMMYFUNCTION("GOOGLETRANSLATE(B1941,""vi"",""km"")"),"ប្រភេទនៃដំណើរកម្សាន្ត៖")</f>
        <v/>
      </c>
      <c r="G1941" s="3" t="inlineStr">
        <is>
          <t>ប្រភេទនៃដំណើរកម្សាន្ត៖</t>
        </is>
      </c>
      <c r="H1941" t="inlineStr">
        <is>
          <t>ប្រភេទនៃដំណើរកម្សាន្ត៖</t>
        </is>
      </c>
      <c r="I1941" s="217" t="inlineStr">
        <is>
          <t>"thunhap.loaiHanhTrinh": "ប្រភេទនៃដំណើរកម្សាន្ត៖",</t>
        </is>
      </c>
      <c r="N1941" s="163" t="n"/>
    </row>
    <row r="1942" ht="15.75" customHeight="1" s="305">
      <c r="A1942" s="215" t="inlineStr">
        <is>
          <t>thunhap.loaiPhuongTien</t>
        </is>
      </c>
      <c r="B1942" s="215" t="inlineStr">
        <is>
          <t>Loại phương tiện:</t>
        </is>
      </c>
      <c r="C1942" s="215" t="inlineStr">
        <is>
          <t>Vehicle type:</t>
        </is>
      </c>
      <c r="D1942" s="216">
        <f>IFERROR(__xludf.DUMMYFUNCTION("GOOGLETRANSLATE(B1942,""vi"",""km"")"),"ប្រភេទយានយន្ត៖")</f>
        <v/>
      </c>
      <c r="G1942" s="3" t="inlineStr">
        <is>
          <t>ប្រភេទយានយន្ត៖</t>
        </is>
      </c>
      <c r="H1942" t="inlineStr">
        <is>
          <t>ប្រភេទយានយន្ត៖</t>
        </is>
      </c>
      <c r="I1942" s="217" t="inlineStr">
        <is>
          <t>"thunhap.loaiPhuongTien": "ប្រភេទយានយន្ត៖",</t>
        </is>
      </c>
      <c r="N1942" s="163" t="n"/>
    </row>
    <row r="1943" ht="15.75" customHeight="1" s="305">
      <c r="A1943" s="215" t="inlineStr">
        <is>
          <t>thunhap.loaiSoHuu</t>
        </is>
      </c>
      <c r="B1943" s="215" t="inlineStr">
        <is>
          <t>Loại sở hữu:</t>
        </is>
      </c>
      <c r="C1943" s="215" t="inlineStr">
        <is>
          <t>Ownership type:</t>
        </is>
      </c>
      <c r="D1943" s="216">
        <f>IFERROR(__xludf.DUMMYFUNCTION("GOOGLETRANSLATE(B1943,""vi"",""km"")"),"ប្រភេទនៃភាពជាម្ចាស់៖")</f>
        <v/>
      </c>
      <c r="G1943" s="3" t="inlineStr">
        <is>
          <t>ប្រភេទនៃភាពជាម្ចាស់៖</t>
        </is>
      </c>
      <c r="H1943" t="inlineStr">
        <is>
          <t>ប្រភេទនៃភាពជាម្ចាស់៖</t>
        </is>
      </c>
      <c r="I1943" s="217" t="inlineStr">
        <is>
          <t>"thunhap.loaiSoHuu": "ប្រភេទនៃភាពជាម្ចាស់៖",</t>
        </is>
      </c>
      <c r="N1943" s="163" t="n"/>
    </row>
    <row r="1944" ht="15.75" customHeight="1" s="305">
      <c r="A1944" s="215" t="inlineStr">
        <is>
          <t>thunhap.luongKhoan</t>
        </is>
      </c>
      <c r="B1944" s="215" t="inlineStr">
        <is>
          <t>Lương khoán</t>
        </is>
      </c>
      <c r="C1944" s="215" t="inlineStr">
        <is>
          <t>Piecework Salary</t>
        </is>
      </c>
      <c r="D1944" s="216">
        <f>IFERROR(__xludf.DUMMYFUNCTION("GOOGLETRANSLATE(B1944,""vi"",""km"")"),"ប្រាក់ខែថេរ")</f>
        <v/>
      </c>
      <c r="G1944" s="3" t="inlineStr">
        <is>
          <t>ប្រាក់ខែថេរ</t>
        </is>
      </c>
      <c r="H1944" t="inlineStr">
        <is>
          <t>ប្រាក់ខែថេរ</t>
        </is>
      </c>
      <c r="I1944" s="217" t="inlineStr">
        <is>
          <t>"thunhap.luongKhoan": "ប្រាក់ខែថេរ",</t>
        </is>
      </c>
      <c r="N1944" s="163" t="n"/>
    </row>
    <row r="1945" ht="15.75" customHeight="1" s="305">
      <c r="A1945" s="215" t="inlineStr">
        <is>
          <t>thunhap.maChuyenXe</t>
        </is>
      </c>
      <c r="B1945" s="215" t="inlineStr">
        <is>
          <t>Mã chuyến xe:</t>
        </is>
      </c>
      <c r="C1945" s="215" t="inlineStr">
        <is>
          <t>Trip code:</t>
        </is>
      </c>
      <c r="D1945" s="216">
        <f>IFERROR(__xludf.DUMMYFUNCTION("GOOGLETRANSLATE(B1945,""vi"",""km"")"),"លេខកូដធ្វើដំណើរ៖")</f>
        <v/>
      </c>
      <c r="G1945" s="3" t="inlineStr">
        <is>
          <t>លេខកូដធ្វើដំណើរ៖</t>
        </is>
      </c>
      <c r="H1945" t="inlineStr">
        <is>
          <t>លេខកូដធ្វើដំណើរ៖</t>
        </is>
      </c>
      <c r="I1945" s="217" t="inlineStr">
        <is>
          <t>"thunhap.maChuyenXe": "លេខកូដធ្វើដំណើរ៖",</t>
        </is>
      </c>
      <c r="N1945" s="163" t="n"/>
    </row>
    <row r="1946" ht="15.75" customHeight="1" s="305">
      <c r="A1946" s="215" t="inlineStr">
        <is>
          <t>thunhap.maHanhTrinh</t>
        </is>
      </c>
      <c r="B1946" s="215" t="inlineStr">
        <is>
          <t>Mã hành trình:</t>
        </is>
      </c>
      <c r="C1946" s="215" t="inlineStr">
        <is>
          <t>Route code:</t>
        </is>
      </c>
      <c r="D1946" s="216">
        <f>IFERROR(__xludf.DUMMYFUNCTION("GOOGLETRANSLATE(B1946,""vi"",""km"")"),"លេខកូដធ្វើដំណើរ៖")</f>
        <v/>
      </c>
      <c r="G1946" s="3" t="inlineStr">
        <is>
          <t>លេខកូដធ្វើដំណើរ៖</t>
        </is>
      </c>
      <c r="H1946" t="inlineStr">
        <is>
          <t>លេខកូដធ្វើដំណើរ៖</t>
        </is>
      </c>
      <c r="I1946" s="217" t="inlineStr">
        <is>
          <t>"thunhap.maHanhTrinh": "លេខកូដធ្វើដំណើរ៖",</t>
        </is>
      </c>
      <c r="N1946" s="163" t="n"/>
    </row>
    <row r="1947" ht="15.75" customHeight="1" s="305">
      <c r="A1947" s="215" t="inlineStr">
        <is>
          <t>thunhap.phuCap</t>
        </is>
      </c>
      <c r="B1947" s="215" t="inlineStr">
        <is>
          <t>Phụ cấp</t>
        </is>
      </c>
      <c r="C1947" s="215" t="inlineStr">
        <is>
          <t>Allowance</t>
        </is>
      </c>
      <c r="D1947" s="216">
        <f>IFERROR(__xludf.DUMMYFUNCTION("GOOGLETRANSLATE(B1947,""vi"",""km"")"),"ប្រាក់ឧបត្ថម្ភ")</f>
        <v/>
      </c>
      <c r="G1947" s="3" t="inlineStr">
        <is>
          <t>ប្រាក់ឧបត្ថម្ភ</t>
        </is>
      </c>
      <c r="H1947" t="inlineStr">
        <is>
          <t>ប្រាក់ឧបត្ថម្ភ</t>
        </is>
      </c>
      <c r="I1947" s="217" t="inlineStr">
        <is>
          <t>"thunhap.phuCap": "ប្រាក់ឧបត្ថម្ភ",</t>
        </is>
      </c>
      <c r="N1947" s="163" t="n"/>
    </row>
    <row r="1948" ht="15.75" customHeight="1" s="305">
      <c r="A1948" s="215" t="inlineStr">
        <is>
          <t>thunhap.sanLuongKien</t>
        </is>
      </c>
      <c r="B1948" s="215" t="inlineStr">
        <is>
          <t>Sản lượng kiện:</t>
        </is>
      </c>
      <c r="C1948" s="215" t="inlineStr">
        <is>
          <t>Parcel count:</t>
        </is>
      </c>
      <c r="D1948" s="216">
        <f>IFERROR(__xludf.DUMMYFUNCTION("GOOGLETRANSLATE(B1948,""vi"",""km"")"),"លទ្ធផលកញ្ចប់៖")</f>
        <v/>
      </c>
      <c r="G1948" s="3" t="inlineStr">
        <is>
          <t>លទ្ធផលកញ្ចប់៖</t>
        </is>
      </c>
      <c r="H1948" t="inlineStr">
        <is>
          <t>លទ្ធផលកញ្ចប់៖</t>
        </is>
      </c>
      <c r="I1948" s="217" t="inlineStr">
        <is>
          <t>"thunhap.sanLuongKien": "លទ្ធផលកញ្ចប់៖",</t>
        </is>
      </c>
      <c r="N1948" s="163" t="n"/>
    </row>
    <row r="1949" ht="15.75" customHeight="1" s="305">
      <c r="A1949" s="215" t="inlineStr">
        <is>
          <t>thunhap.sanLuongTai</t>
        </is>
      </c>
      <c r="B1949" s="215" t="inlineStr">
        <is>
          <t>Sản lượng tải:</t>
        </is>
      </c>
      <c r="C1949" s="215" t="inlineStr">
        <is>
          <t>Load count:</t>
        </is>
      </c>
      <c r="D1949" s="216">
        <f>IFERROR(__xludf.DUMMYFUNCTION("GOOGLETRANSLATE(B1949,""vi"",""km"")"),"សមត្ថភាពផ្ទុក៖")</f>
        <v/>
      </c>
      <c r="G1949" s="3" t="inlineStr">
        <is>
          <t>សមត្ថភាពផ្ទុក៖</t>
        </is>
      </c>
      <c r="H1949" t="inlineStr">
        <is>
          <t>សមត្ថភាពផ្ទុក៖</t>
        </is>
      </c>
      <c r="I1949" s="217" t="inlineStr">
        <is>
          <t>"thunhap.sanLuongTai": "សមត្ថភាពផ្ទុក៖",</t>
        </is>
      </c>
      <c r="N1949" s="163" t="n"/>
    </row>
    <row r="1950" ht="15.75" customHeight="1" s="305">
      <c r="A1950" s="215" t="inlineStr">
        <is>
          <t>thunhap.tenTuyen</t>
        </is>
      </c>
      <c r="B1950" s="215" t="inlineStr">
        <is>
          <t>Tên tuyến:</t>
        </is>
      </c>
      <c r="C1950" s="215" t="inlineStr">
        <is>
          <t>Route name:</t>
        </is>
      </c>
      <c r="D1950" s="216">
        <f>IFERROR(__xludf.DUMMYFUNCTION("GOOGLETRANSLATE(B1950,""vi"",""km"")"),"ឈ្មោះផ្លូវ៖")</f>
        <v/>
      </c>
      <c r="G1950" s="3" t="inlineStr">
        <is>
          <t>ឈ្មោះផ្លូវ៖</t>
        </is>
      </c>
      <c r="H1950" t="inlineStr">
        <is>
          <t>ឈ្មោះផ្លូវ៖</t>
        </is>
      </c>
      <c r="I1950" s="217" t="inlineStr">
        <is>
          <t>"thunhap.tenTuyen": "ឈ្មោះផ្លូវ៖",</t>
        </is>
      </c>
      <c r="N1950" s="163" t="n"/>
    </row>
    <row r="1951" ht="15.75" customHeight="1" s="305">
      <c r="A1951" s="215" t="inlineStr">
        <is>
          <t>thunhap.thuLaoKetNoi</t>
        </is>
      </c>
      <c r="B1951" s="215" t="inlineStr">
        <is>
          <t>Thù lao kết nối</t>
        </is>
      </c>
      <c r="C1951" s="215" t="inlineStr">
        <is>
          <t>Connection pay</t>
        </is>
      </c>
      <c r="D1951" s="216">
        <f>IFERROR(__xludf.DUMMYFUNCTION("GOOGLETRANSLATE(B1951,""vi"",""km"")"),"ថ្លៃសេវាណែនាំ")</f>
        <v/>
      </c>
      <c r="G1951" s="3" t="inlineStr">
        <is>
          <t>ថ្លៃសេវាណែនាំ</t>
        </is>
      </c>
      <c r="H1951" t="inlineStr">
        <is>
          <t>ថ្លៃសេវាណែនាំ</t>
        </is>
      </c>
      <c r="I1951" s="217" t="inlineStr">
        <is>
          <t>"thunhap.thuLaoKetNoi": "ថ្លៃសេវាណែនាំ",</t>
        </is>
      </c>
      <c r="N1951" s="163" t="n"/>
    </row>
    <row r="1952" ht="15.75" customHeight="1" s="305">
      <c r="A1952" s="215" t="inlineStr">
        <is>
          <t>thunhap.thuLaoKhachHangMoi</t>
        </is>
      </c>
      <c r="B1952" s="215" t="inlineStr">
        <is>
          <t>Thù lao khách hàng mới</t>
        </is>
      </c>
      <c r="C1952" s="215" t="inlineStr">
        <is>
          <t>New customer pay</t>
        </is>
      </c>
      <c r="D1952" s="216">
        <f>IFERROR(__xludf.DUMMYFUNCTION("GOOGLETRANSLATE(B1952,""vi"",""km"")"),"កម្រៃជើងសារអតិថិជនថ្មី")</f>
        <v/>
      </c>
      <c r="G1952" s="3" t="inlineStr">
        <is>
          <t>កម្រៃជើងសារអតិថិជនថ្មី</t>
        </is>
      </c>
      <c r="H1952" t="inlineStr">
        <is>
          <t>កម្រៃជើងសារអតិថិជនថ្មី</t>
        </is>
      </c>
      <c r="I1952" s="217" t="inlineStr">
        <is>
          <t>"thunhap.thuLaoKhachHangMoi": "កម្រៃជើងសារអតិថិជនថ្មី",</t>
        </is>
      </c>
      <c r="N1952" s="163" t="n"/>
    </row>
    <row r="1953" ht="15.75" customHeight="1" s="305">
      <c r="A1953" s="215" t="inlineStr">
        <is>
          <t>thunhap.thuLaoKhaiThac</t>
        </is>
      </c>
      <c r="B1953" s="215" t="inlineStr">
        <is>
          <t>Thù lao khai thác</t>
        </is>
      </c>
      <c r="C1953" s="215" t="inlineStr">
        <is>
          <t>Handling pay</t>
        </is>
      </c>
      <c r="D1953" s="216">
        <f>IFERROR(__xludf.DUMMYFUNCTION("GOOGLETRANSLATE(B1953,""vi"",""km"")"),"ថ្លៃ​រ៉ែ")</f>
        <v/>
      </c>
      <c r="G1953" s="3" t="inlineStr">
        <is>
          <t>ថ្លៃរ៉ែ</t>
        </is>
      </c>
      <c r="H1953" t="inlineStr">
        <is>
          <t>ថ្លៃរ៉ែ</t>
        </is>
      </c>
      <c r="I1953" s="217" t="inlineStr">
        <is>
          <t>"thunhap.thuLaoKhaiThac": "ថ្លៃរ៉ែ",</t>
        </is>
      </c>
      <c r="N1953" s="163" t="n"/>
    </row>
    <row r="1954" ht="15.75" customHeight="1" s="305">
      <c r="A1954" s="215" t="inlineStr">
        <is>
          <t>thunhap.thuLaoSanLuong</t>
        </is>
      </c>
      <c r="B1954" s="215" t="inlineStr">
        <is>
          <t>Thù lao sản lượng</t>
        </is>
      </c>
      <c r="C1954" s="215" t="inlineStr">
        <is>
          <t>Volume pay</t>
        </is>
      </c>
      <c r="D1954" s="216">
        <f>IFERROR(__xludf.DUMMYFUNCTION("GOOGLETRANSLATE(B1954,""vi"",""km"")"),"សំណងផ្អែកលើផលិតកម្ម")</f>
        <v/>
      </c>
      <c r="G1954" s="3" t="inlineStr">
        <is>
          <t>សំណងផ្អែកលើផលិតកម្ម</t>
        </is>
      </c>
      <c r="H1954" t="inlineStr">
        <is>
          <t>សំណងផ្អែកលើផលិតកម្ម</t>
        </is>
      </c>
      <c r="I1954" s="217" t="inlineStr">
        <is>
          <t>"thunhap.thuLaoSanLuong": "សំណងផ្អែកលើផលិតកម្ម",</t>
        </is>
      </c>
      <c r="N1954" s="163" t="n"/>
    </row>
    <row r="1955" ht="15.75" customHeight="1" s="305">
      <c r="A1955" s="215" t="inlineStr">
        <is>
          <t>thunhap.thuLaoVuotTrongLuong</t>
        </is>
      </c>
      <c r="B1955" s="215" t="inlineStr">
        <is>
          <t>Thù lao vượt trọng lượng</t>
        </is>
      </c>
      <c r="C1955" s="215" t="inlineStr">
        <is>
          <t>Excess weight pay</t>
        </is>
      </c>
      <c r="D1955" s="216">
        <f>IFERROR(__xludf.DUMMYFUNCTION("GOOGLETRANSLATE(B1955,""vi"",""km"")"),"សំណងលើសទម្ងន់")</f>
        <v/>
      </c>
      <c r="G1955" s="3" t="inlineStr">
        <is>
          <t>សំណងលើសទម្ងន់</t>
        </is>
      </c>
      <c r="H1955" t="inlineStr">
        <is>
          <t>សំណងលើសទម្ងន់</t>
        </is>
      </c>
      <c r="I1955" s="217" t="inlineStr">
        <is>
          <t>"thunhap.thuLaoVuotTrongLuong": "សំណងលើសទម្ងន់",</t>
        </is>
      </c>
      <c r="N1955" s="163" t="n"/>
    </row>
    <row r="1956" ht="15.75" customHeight="1" s="305">
      <c r="A1956" s="215" t="inlineStr">
        <is>
          <t>thunhap.tongSanLuong</t>
        </is>
      </c>
      <c r="B1956" s="215" t="inlineStr">
        <is>
          <t>Tổng sản lượng:</t>
        </is>
      </c>
      <c r="C1956" s="215" t="inlineStr">
        <is>
          <t>Total quantity:</t>
        </is>
      </c>
      <c r="D1956" s="216">
        <f>IFERROR(__xludf.DUMMYFUNCTION("GOOGLETRANSLATE(B1956,""vi"",""km"")"),"ទិន្នផលសរុប៖")</f>
        <v/>
      </c>
      <c r="G1956" s="3" t="inlineStr">
        <is>
          <t>ទិន្នផលសរុប៖</t>
        </is>
      </c>
      <c r="H1956" t="inlineStr">
        <is>
          <t>ទិន្នផលសរុប៖</t>
        </is>
      </c>
      <c r="I1956" s="217" t="inlineStr">
        <is>
          <t>"thunhap.tongSanLuong": "ទិន្នផលសរុប៖",</t>
        </is>
      </c>
      <c r="N1956" s="163" t="n"/>
    </row>
    <row r="1957" ht="15.75" customHeight="1" s="305">
      <c r="A1957" s="215" t="inlineStr">
        <is>
          <t>thunhap.trongLuongKien</t>
        </is>
      </c>
      <c r="B1957" s="215" t="inlineStr">
        <is>
          <t>Trọng lượng kiện:</t>
        </is>
      </c>
      <c r="C1957" s="215" t="inlineStr">
        <is>
          <t>Parcel weight:</t>
        </is>
      </c>
      <c r="D1957" s="216">
        <f>IFERROR(__xludf.DUMMYFUNCTION("GOOGLETRANSLATE(B1957,""vi"",""km"")"),"ទម្ងន់កញ្ចប់៖")</f>
        <v/>
      </c>
      <c r="G1957" s="3" t="inlineStr">
        <is>
          <t>ទម្ងន់កញ្ចប់៖</t>
        </is>
      </c>
      <c r="H1957" t="inlineStr">
        <is>
          <t>ទម្ងន់កញ្ចប់៖</t>
        </is>
      </c>
      <c r="I1957" s="217" t="inlineStr">
        <is>
          <t>"thunhap.trongLuongKien": "ទម្ងន់កញ្ចប់៖",</t>
        </is>
      </c>
      <c r="N1957" s="163" t="n"/>
    </row>
    <row r="1958" ht="15.75" customHeight="1" s="305">
      <c r="A1958" s="215" t="inlineStr">
        <is>
          <t>thunhap.trongLuongTai</t>
        </is>
      </c>
      <c r="B1958" s="215" t="inlineStr">
        <is>
          <t>Trọng lượng tải:</t>
        </is>
      </c>
      <c r="C1958" s="215" t="inlineStr">
        <is>
          <t>Load weight:</t>
        </is>
      </c>
      <c r="D1958" s="216">
        <f>IFERROR(__xludf.DUMMYFUNCTION("GOOGLETRANSLATE(B1958,""vi"",""km"")"),"ទម្ងន់ផ្ទុក៖")</f>
        <v/>
      </c>
      <c r="G1958" s="3" t="inlineStr">
        <is>
          <t>ទម្ងន់ផ្ទុក៖</t>
        </is>
      </c>
      <c r="H1958" t="inlineStr">
        <is>
          <t>ទម្ងន់ផ្ទុក៖</t>
        </is>
      </c>
      <c r="I1958" s="217" t="inlineStr">
        <is>
          <t>"thunhap.trongLuongTai": "ទម្ងន់ផ្ទុក៖",</t>
        </is>
      </c>
      <c r="N1958" s="163" t="n"/>
    </row>
    <row r="1959" ht="15.75" customHeight="1" s="305">
      <c r="A1959" s="215" t="inlineStr">
        <is>
          <t>thunhap.trongTai</t>
        </is>
      </c>
      <c r="B1959" s="215" t="inlineStr">
        <is>
          <t>Trọng tải:</t>
        </is>
      </c>
      <c r="C1959" s="215" t="inlineStr">
        <is>
          <t>Capacity:</t>
        </is>
      </c>
      <c r="D1959" s="216">
        <f>IFERROR(__xludf.DUMMYFUNCTION("GOOGLETRANSLATE(B1959,""vi"",""km"")"),"បន្ទុក៖")</f>
        <v/>
      </c>
      <c r="G1959" s="3" t="inlineStr">
        <is>
          <t>បន្ទុក៖</t>
        </is>
      </c>
      <c r="H1959" t="inlineStr">
        <is>
          <t>បន្ទុក៖</t>
        </is>
      </c>
      <c r="I1959" s="217" t="inlineStr">
        <is>
          <t>"thunhap.trongTai": "បន្ទុក៖",</t>
        </is>
      </c>
      <c r="N1959" s="163" t="n"/>
    </row>
    <row r="1960" ht="15.75" customHeight="1" s="305">
      <c r="A1960" s="215" t="inlineStr">
        <is>
          <t>thunhap.suKienThang</t>
        </is>
      </c>
      <c r="B1960" s="215" t="inlineStr">
        <is>
          <t>Chốt thù lao tháng</t>
        </is>
      </c>
      <c r="C1960" s="215" t="inlineStr">
        <is>
          <t>Close monthly salary</t>
        </is>
      </c>
      <c r="D1960" s="216">
        <f>IFERROR(__xludf.DUMMYFUNCTION("GOOGLETRANSLATE(B1960,""vi"",""km"")"),"ការបញ្ចប់ប្រាក់ខែប្រចាំខែ")</f>
        <v/>
      </c>
      <c r="G1960" s="3" t="inlineStr">
        <is>
          <t>ការបញ្ចប់ប្រាក់ខែប្រចាំខែ</t>
        </is>
      </c>
      <c r="H1960" t="inlineStr">
        <is>
          <t>ការបញ្ចប់ប្រាក់ខែប្រចាំខែ</t>
        </is>
      </c>
      <c r="I1960" s="217" t="inlineStr">
        <is>
          <t>"thunhap.suKienThang": "ការបញ្ចប់ប្រាក់ខែប្រចាំខែ",</t>
        </is>
      </c>
      <c r="N1960" s="163" t="n"/>
    </row>
    <row r="1961" ht="15.75" customHeight="1" s="305">
      <c r="A1961" s="215" t="inlineStr">
        <is>
          <t>thunhap.hoanThanhChuyenXe</t>
        </is>
      </c>
      <c r="B1961" s="215" t="inlineStr">
        <is>
          <t>Hoàn thành chuyến xe</t>
        </is>
      </c>
      <c r="C1961" s="215" t="inlineStr">
        <is>
          <t>Complete trip</t>
        </is>
      </c>
      <c r="D1961" s="216">
        <f>IFERROR(__xludf.DUMMYFUNCTION("GOOGLETRANSLATE(B1961,""vi"",""km"")"),"បញ្ចប់ការជិះ។")</f>
        <v/>
      </c>
      <c r="G1961" s="3" t="inlineStr">
        <is>
          <t>បញ្ចប់ការជិះ។</t>
        </is>
      </c>
      <c r="H1961" t="inlineStr">
        <is>
          <t>បញ្ចប់ការជិះ។</t>
        </is>
      </c>
      <c r="I1961" s="217" t="inlineStr">
        <is>
          <t>"thunhap.hoanThanhChuyenXe": "បញ្ចប់ការជិះ។",</t>
        </is>
      </c>
      <c r="N1961" s="163" t="n"/>
    </row>
    <row r="1962" ht="15.75" customHeight="1" s="305">
      <c r="A1962" s="215" t="inlineStr">
        <is>
          <t>thunhap.weightKg</t>
        </is>
      </c>
      <c r="B1962" s="215" t="inlineStr">
        <is>
          <t>{{value}} kg</t>
        </is>
      </c>
      <c r="C1962" s="215" t="inlineStr">
        <is>
          <t>{{value}} kg</t>
        </is>
      </c>
      <c r="D1962" s="216">
        <f>IFERROR(__xludf.DUMMYFUNCTION("GOOGLETRANSLATE(B1962,""vi"",""km"")"),"គីឡូក្រាម")</f>
        <v/>
      </c>
      <c r="G1962" s="3" t="inlineStr">
        <is>
          <t>គីឡូក្រាម</t>
        </is>
      </c>
      <c r="H1962" t="inlineStr">
        <is>
          <t>គីឡូក្រាម</t>
        </is>
      </c>
      <c r="I1962" s="217" t="inlineStr">
        <is>
          <t>"thunhap.weightKg": "គីឡូក្រាម",</t>
        </is>
      </c>
      <c r="N1962" s="163" t="n"/>
    </row>
    <row r="1963" ht="15.75" customHeight="1" s="305">
      <c r="A1963" s="215" t="inlineStr">
        <is>
          <t>taoDon.bulkyGoods</t>
        </is>
      </c>
      <c r="B1963" s="215" t="inlineStr">
        <is>
          <t>Cồng kềnh</t>
        </is>
      </c>
      <c r="C1963" s="215" t="inlineStr">
        <is>
          <t>Bulky goods</t>
        </is>
      </c>
      <c r="D1963" s="216">
        <f>IFERROR(__xludf.DUMMYFUNCTION("GOOGLETRANSLATE(B1963,""vi"",""km"")"),"ធំសម្បើម")</f>
        <v/>
      </c>
      <c r="G1963" s="3" t="inlineStr">
        <is>
          <t>ធំសម្បើម</t>
        </is>
      </c>
      <c r="H1963" t="inlineStr">
        <is>
          <t>ធំសម្បើម</t>
        </is>
      </c>
      <c r="I1963" s="217" t="inlineStr">
        <is>
          <t>"taoDon.bulkyGoods": "ធំសម្បើម",</t>
        </is>
      </c>
      <c r="N1963" s="163" t="n"/>
    </row>
    <row r="1964" ht="15.75" customHeight="1" s="305">
      <c r="A1964" s="215" t="inlineStr">
        <is>
          <t>taoDon.bulkyMinSize</t>
        </is>
      </c>
      <c r="B1964" s="215" t="inlineStr">
        <is>
          <t>Tổng kích thước (D + R + C) của hàng hóa cồng kềnh phải lớn hơn hoặc bằng 130 cm.</t>
        </is>
      </c>
      <c r="C1964" s="215" t="inlineStr">
        <is>
          <t>Total dimensions (L + W + H) of bulky goods must be at least 130 cm.</t>
        </is>
      </c>
      <c r="D1964" s="216">
        <f>IFERROR(__xludf.DUMMYFUNCTION("GOOGLETRANSLATE(B1964,""vi"",""km"")"),"វិមាត្រសរុប (បណ្តោយ + ទទឹង + កម្ពស់) នៃទំនិញធំៗត្រូវតែធំជាង ឬស្មើនឹង 130 សង់ទីម៉ែត្រ។")</f>
        <v/>
      </c>
      <c r="G1964" s="3" t="inlineStr">
        <is>
          <t>វិមាត្រសរុប (បណ្តោយ + ទទឹង + កម្ពស់) នៃទំនិញធំៗត្រូវតែធំជាង ឬស្មើនឹង 130 សង់ទីម៉ែត្រ។</t>
        </is>
      </c>
      <c r="H1964" t="inlineStr">
        <is>
          <t>វិមាត្រសរុប (បណ្តោយ + ទទឹង + កម្ពស់) នៃទំនិញធំៗត្រូវតែធំជាង ឬស្មើនឹង 130 សង់ទីម៉ែត្រ។</t>
        </is>
      </c>
      <c r="I1964" s="217" t="inlineStr">
        <is>
          <t>"taoDon.bulkyMinSize": "វិមាត្រសរុប (បណ្តោយ + ទទឹង + កម្ពស់) នៃទំនិញធំៗត្រូវតែធំជាង ឬស្មើនឹង 130 សង់ទីម៉ែត្រ។",</t>
        </is>
      </c>
      <c r="N1964" s="163" t="n"/>
    </row>
    <row r="1965" ht="15.75" customHeight="1" s="305">
      <c r="A1965" s="215" t="inlineStr">
        <is>
          <t>taoDon.bulkyOneFieldMin</t>
        </is>
      </c>
      <c r="B1965" s="215" t="inlineStr">
        <is>
          <t>Hàng hóa cồng kềnh cần có ít nhất 1 chiều &gt;120cm</t>
        </is>
      </c>
      <c r="C1965" s="215" t="inlineStr">
        <is>
          <t>Bulky goods must have at least one dimension &gt;= 120 cm.</t>
        </is>
      </c>
      <c r="D1965" s="216">
        <f>IFERROR(__xludf.DUMMYFUNCTION("GOOGLETRANSLATE(B1965,""vi"",""km"")"),"ទំនិញ​ធំៗ​ត្រូវតែ​មាន​វិមាត្រ​យ៉ាងហោចណាស់​មួយ​ដែល​ធំជាង 120 សង់ទីម៉ែត្រ។")</f>
        <v/>
      </c>
      <c r="G1965" s="3" t="inlineStr">
        <is>
          <t>ទំនិញធំៗត្រូវតែមានវិមាត្រយ៉ាងហោចណាស់មួយដែលធំជាង 120 សង់ទីម៉ែត្រ។</t>
        </is>
      </c>
      <c r="H1965" t="inlineStr">
        <is>
          <t>ទំនិញធំៗត្រូវតែមានវិមាត្រយ៉ាងហោចណាស់មួយដែលធំជាង 120 សង់ទីម៉ែត្រ។</t>
        </is>
      </c>
      <c r="I1965" s="217" t="inlineStr">
        <is>
          <t>"taoDon.bulkyOneFieldMin": "ទំនិញធំៗត្រូវតែមានវិមាត្រយ៉ាងហោចណាស់មួយដែលធំជាង 120 សង់ទីម៉ែត្រ។",</t>
        </is>
      </c>
      <c r="N1965" s="163" t="n"/>
    </row>
    <row r="1966" ht="15.75" customHeight="1" s="305">
      <c r="A1966" s="215" t="inlineStr">
        <is>
          <t>taoDon.maxTotalSize</t>
        </is>
      </c>
      <c r="B1966" s="215" t="inlineStr">
        <is>
          <t>Tổng 3 kích thước không được vượt quá 352cm</t>
        </is>
      </c>
      <c r="C1966" s="215" t="inlineStr">
        <is>
          <t>Total dimensions must not exceed 352 cm</t>
        </is>
      </c>
      <c r="D1966" s="216">
        <f>IFERROR(__xludf.DUMMYFUNCTION("GOOGLETRANSLATE(B1966,""vi"",""km"")"),"សរុបនៃវិមាត្រទាំងបីមិនត្រូវលើសពី 352 សង់ទីម៉ែត្រទេ។")</f>
        <v/>
      </c>
      <c r="G1966" s="3" t="inlineStr">
        <is>
          <t>សរុបនៃវិមាត្រទាំងបីមិនត្រូវលើសពី 352 សង់ទីម៉ែត្រទេ។</t>
        </is>
      </c>
      <c r="H1966" t="inlineStr">
        <is>
          <t>សរុបនៃវិមាត្រទាំងបីមិនត្រូវលើសពី 352 សង់ទីម៉ែត្រទេ។</t>
        </is>
      </c>
      <c r="I1966" s="217" t="inlineStr">
        <is>
          <t>"taoDon.maxTotalSize": "សរុបនៃវិមាត្រទាំងបីមិនត្រូវលើសពី 352 សង់ទីម៉ែត្រទេ។",</t>
        </is>
      </c>
      <c r="N1966" s="163" t="n"/>
    </row>
    <row r="1967" ht="15.75" customHeight="1" s="305">
      <c r="A1967" s="215" t="inlineStr">
        <is>
          <t>taoDon.normalBulkyMismatch</t>
        </is>
      </c>
      <c r="B1967" s="215" t="inlineStr">
        <is>
          <t>Đây là hàng hóa cồng kềnh, vui lòng chọn lại loại hàng hóa!</t>
        </is>
      </c>
      <c r="C1967" s="215" t="inlineStr">
        <is>
          <t>This is a bulky item, please reselect the item type!</t>
        </is>
      </c>
      <c r="D1967" s="216">
        <f>IFERROR(__xludf.DUMMYFUNCTION("GOOGLETRANSLATE(B1967,""vi"",""km"")"),"នេះ​ជា​វត្ថុ​ធំ​មួយ សូម​ជ្រើសរើស​វត្ថុ​ផ្សេង!")</f>
        <v/>
      </c>
      <c r="G1967" s="3" t="inlineStr">
        <is>
          <t>នេះជាវត្ថុធំមួយ សូមជ្រើសរើសវត្ថុផ្សេង!</t>
        </is>
      </c>
      <c r="H1967" t="inlineStr">
        <is>
          <t>នេះជាវត្ថុធំមួយ សូមជ្រើសរើសវត្ថុផ្សេង!</t>
        </is>
      </c>
      <c r="I1967" s="217" t="inlineStr">
        <is>
          <t>"taoDon.normalBulkyMismatch": "នេះជាវត្ថុធំមួយ សូមជ្រើសរើសវត្ថុផ្សេង!",</t>
        </is>
      </c>
      <c r="N1967" s="163" t="n"/>
    </row>
    <row r="1968" ht="15.75" customHeight="1" s="305">
      <c r="A1968" s="215" t="inlineStr">
        <is>
          <t>taoDon.normalGoods</t>
        </is>
      </c>
      <c r="B1968" s="215" t="inlineStr">
        <is>
          <t>Thông thường</t>
        </is>
      </c>
      <c r="C1968" s="215" t="inlineStr">
        <is>
          <t>Normal</t>
        </is>
      </c>
      <c r="D1968" s="216">
        <f>IFERROR(__xludf.DUMMYFUNCTION("GOOGLETRANSLATE(B1968,""vi"",""km"")"),"ជាធម្មតា")</f>
        <v/>
      </c>
      <c r="G1968" s="3" t="inlineStr">
        <is>
          <t>ជាធម្មតា</t>
        </is>
      </c>
      <c r="H1968" t="inlineStr">
        <is>
          <t>ជាធម្មតា</t>
        </is>
      </c>
      <c r="I1968" s="217" t="inlineStr">
        <is>
          <t>"taoDon.normalGoods": "ជាធម្មតា",</t>
        </is>
      </c>
      <c r="N1968" s="163" t="n"/>
    </row>
    <row r="1969" ht="15.75" customHeight="1" s="305">
      <c r="A1969" s="215" t="inlineStr">
        <is>
          <t>taoDon.ntnServiceNotAvailable</t>
        </is>
      </c>
      <c r="B1969" s="215" t="inlineStr">
        <is>
          <t>Rất tiếc, địa chỉ này chưa hỗ trợ giao tại nhà. Bạn có thể chọn điểm nhận gần nhất hoặc điều chỉnh lại địa chỉ.</t>
        </is>
      </c>
      <c r="C1969" s="215" t="inlineStr">
        <is>
          <t>Sorry, home delivery is not available for this address. You can choose the nearest pickup point or adjust the address.</t>
        </is>
      </c>
      <c r="D1969" s="216">
        <f>IFERROR(__xludf.DUMMYFUNCTION("GOOGLETRANSLATE(B1969,""vi"",""km"")"),"ជាអកុសល អាសយដ្ឋាននេះមិនផ្តល់ជូនការដឹកជញ្ជូនដល់ផ្ទះទេ។ អ្នកអាចជ្រើសរើសទីតាំងទទួលដែលនៅជិតបំផុត ឬកែតម្រូវអាសយដ្ឋាន។")</f>
        <v/>
      </c>
      <c r="G1969" s="3" t="inlineStr">
        <is>
          <t>ជាអកុសល អាសយដ្ឋាននេះមិនផ្តល់ជូនការដឹកជញ្ជូនដល់ផ្ទះទេ។ អ្នកអាចជ្រើសរើសទីតាំងទទួលដែលនៅជិតបំផុត ឬកែតម្រូវអាសយដ្ឋាន។</t>
        </is>
      </c>
      <c r="H1969" t="inlineStr">
        <is>
          <t>ជាអកុសល អាសយដ្ឋាននេះមិនផ្តល់ជូនការដឹកជញ្ជូនដល់ផ្ទះទេ។ អ្នកអាចជ្រើសរើសទីតាំងទទួលដែលនៅជិតបំផុត ឬកែតម្រូវអាសយដ្ឋាន។</t>
        </is>
      </c>
      <c r="I1969" s="217" t="inlineStr">
        <is>
          <t>"taoDon.ntnServiceNotAvailable": "ជាអកុសល អាសយដ្ឋាននេះមិនផ្តល់ជូនការដឹកជញ្ជូនដល់ផ្ទះទេ។ អ្នកអាចជ្រើសរើសទីតាំងទទួលដែលនៅជិតបំផុត ឬកែតម្រូវអាសយដ្ឋាន។",</t>
        </is>
      </c>
      <c r="N1969" s="163" t="n"/>
    </row>
    <row r="1970" ht="15.75" customHeight="1" s="305">
      <c r="A1970" s="215" t="inlineStr">
        <is>
          <t>taoDon.searchSpecificGoods</t>
        </is>
      </c>
      <c r="B1970" s="215" t="inlineStr">
        <is>
          <t>Nhập tên sản phẩm</t>
        </is>
      </c>
      <c r="C1970" s="215" t="inlineStr">
        <is>
          <t>Enter product name</t>
        </is>
      </c>
      <c r="D1970" s="216">
        <f>IFERROR(__xludf.DUMMYFUNCTION("GOOGLETRANSLATE(B1970,""vi"",""km"")"),"បញ្ចូលឈ្មោះផលិតផល")</f>
        <v/>
      </c>
      <c r="G1970" s="3" t="inlineStr">
        <is>
          <t>បញ្ចូលឈ្មោះផលិតផល</t>
        </is>
      </c>
      <c r="H1970" t="inlineStr">
        <is>
          <t>បញ្ចូលឈ្មោះផលិតផល</t>
        </is>
      </c>
      <c r="I1970" s="217" t="inlineStr">
        <is>
          <t>"taoDon.searchSpecificGoods": "បញ្ចូលឈ្មោះផលិតផល",</t>
        </is>
      </c>
      <c r="N1970" s="163" t="n"/>
    </row>
    <row r="1971" ht="15.75" customHeight="1" s="305">
      <c r="A1971" s="215" t="inlineStr">
        <is>
          <t>taoDon.selectSpecificGoods</t>
        </is>
      </c>
      <c r="B1971" s="215" t="inlineStr">
        <is>
          <t>Sản phẩm hàng đặc thù</t>
        </is>
      </c>
      <c r="C1971" s="215" t="inlineStr">
        <is>
          <t>Select specific goods</t>
        </is>
      </c>
      <c r="D1971" s="216">
        <f>IFERROR(__xludf.DUMMYFUNCTION("GOOGLETRANSLATE(B1971,""vi"",""km"")"),"ផលិតផលពិសេស")</f>
        <v/>
      </c>
      <c r="G1971" s="3" t="inlineStr">
        <is>
          <t>ផលិតផលពិសេស</t>
        </is>
      </c>
      <c r="H1971" t="inlineStr">
        <is>
          <t>ផលិតផលពិសេស</t>
        </is>
      </c>
      <c r="I1971" s="217" t="inlineStr">
        <is>
          <t>"taoDon.selectSpecificGoods": "ផលិតផលពិសេស",</t>
        </is>
      </c>
      <c r="N1971" s="163" t="n"/>
    </row>
    <row r="1972" ht="15.75" customHeight="1" s="305">
      <c r="A1972" s="215" t="inlineStr">
        <is>
          <t>taoDon.shipping_fee</t>
        </is>
      </c>
      <c r="B1972" s="215" t="inlineStr">
        <is>
          <t>Cước vận chuyển (Đã bao gồm thuế VAT)</t>
        </is>
      </c>
      <c r="C1972" s="215" t="inlineStr">
        <is>
          <t>Shipping fee (VAT included)</t>
        </is>
      </c>
      <c r="D1972" s="216">
        <f>IFERROR(__xludf.DUMMYFUNCTION("GOOGLETRANSLATE(B1972,""vi"",""km"")"),"ថ្លៃដឹកជញ្ជូន (រួមបញ្ចូលអាករលើតម្លៃបន្ថែម)")</f>
        <v/>
      </c>
      <c r="G1972" s="3" t="inlineStr">
        <is>
          <t>ថ្លៃដឹកជញ្ជូន (រួមបញ្ចូលអាករលើតម្លៃបន្ថែម)</t>
        </is>
      </c>
      <c r="H1972" t="inlineStr">
        <is>
          <t>ថ្លៃដឹកជញ្ជូន (រួមបញ្ចូលអាករលើតម្លៃបន្ថែម)</t>
        </is>
      </c>
      <c r="I1972" s="217" t="inlineStr">
        <is>
          <t>"taoDon.shipping_fee": "ថ្លៃដឹកជញ្ជូន (រួមបញ្ចូលអាករលើតម្លៃបន្ថែម)",</t>
        </is>
      </c>
      <c r="N1972" s="163" t="n"/>
    </row>
    <row r="1973" ht="15.75" customHeight="1" s="305">
      <c r="A1973" s="215" t="inlineStr">
        <is>
          <t>taoDon.sizeRequireField</t>
        </is>
      </c>
      <c r="B1973" s="215" t="inlineStr">
        <is>
          <t>Vui lòng nhập đủ kích thước 3 chiều</t>
        </is>
      </c>
      <c r="C1973" s="215" t="inlineStr">
        <is>
          <t>Please enter all three dimensions</t>
        </is>
      </c>
      <c r="D1973" s="216">
        <f>IFERROR(__xludf.DUMMYFUNCTION("GOOGLETRANSLATE(B1973,""vi"",""km"")"),"សូមបញ្ចូលវិមាត្រទាំងបី។")</f>
        <v/>
      </c>
      <c r="G1973" s="3" t="inlineStr">
        <is>
          <t>សូមបញ្ចូលវិមាត្រទាំងបី។</t>
        </is>
      </c>
      <c r="H1973" t="inlineStr">
        <is>
          <t>សូមបញ្ចូលវិមាត្រទាំងបី។</t>
        </is>
      </c>
      <c r="I1973" s="217" t="inlineStr">
        <is>
          <t>"taoDon.sizeRequireField": "សូមបញ្ចូលវិមាត្រទាំងបី។",</t>
        </is>
      </c>
      <c r="N1973" s="163" t="n"/>
    </row>
    <row r="1974" ht="15.75" customHeight="1" s="305">
      <c r="A1974" s="215" t="inlineStr">
        <is>
          <t>taoDon.specificGoods</t>
        </is>
      </c>
      <c r="B1974" s="215" t="inlineStr">
        <is>
          <t>Đặc thù</t>
        </is>
      </c>
      <c r="C1974" s="215" t="inlineStr">
        <is>
          <t>Specific</t>
        </is>
      </c>
      <c r="D1974" s="216">
        <f>IFERROR(__xludf.DUMMYFUNCTION("GOOGLETRANSLATE(B1974,""vi"",""km"")"),"ជាក់លាក់")</f>
        <v/>
      </c>
      <c r="G1974" s="3" t="inlineStr">
        <is>
          <t>ជាក់លាក់</t>
        </is>
      </c>
      <c r="H1974" t="inlineStr">
        <is>
          <t>ជាក់លាក់</t>
        </is>
      </c>
      <c r="I1974" s="217" t="inlineStr">
        <is>
          <t>"taoDon.specificGoods": "ជាក់លាក់",</t>
        </is>
      </c>
      <c r="N1974" s="163" t="n"/>
    </row>
    <row r="1975" ht="15.75" customHeight="1" s="305">
      <c r="A1975" s="215" t="inlineStr">
        <is>
          <t>tms.gpsIntergation</t>
        </is>
      </c>
      <c r="B1975" s="215" t="inlineStr">
        <is>
          <t>Xe chưa được lắp đặt thiết bị GPS</t>
        </is>
      </c>
      <c r="C1975" s="215" t="inlineStr">
        <is>
          <t>Vehicle is not equipped with a GPS device</t>
        </is>
      </c>
      <c r="D1975" s="216">
        <f>IFERROR(__xludf.DUMMYFUNCTION("GOOGLETRANSLATE(B1975,""vi"",""km"")"),"រថយន្តនេះមិនត្រូវបានបំពាក់ដោយឧបករណ៍ GPS ទេ។")</f>
        <v/>
      </c>
      <c r="G1975" s="3" t="inlineStr">
        <is>
          <t>រថយន្តនេះមិនត្រូវបានបំពាក់ដោយឧបករណ៍ GPS ទេ។</t>
        </is>
      </c>
      <c r="H1975" t="inlineStr">
        <is>
          <t>រថយន្តនេះមិនត្រូវបានបំពាក់ដោយឧបករណ៍ GPS ទេ។</t>
        </is>
      </c>
      <c r="I1975" s="217" t="inlineStr">
        <is>
          <t>"tms.gpsIntergation": "រថយន្តនេះមិនត្រូវបានបំពាក់ដោយឧបករណ៍ GPS ទេ។",</t>
        </is>
      </c>
      <c r="N1975" s="163" t="n"/>
    </row>
    <row r="1976" ht="15.75" customHeight="1" s="305">
      <c r="A1976" s="215" t="inlineStr">
        <is>
          <t>tms.gpsInvalid</t>
        </is>
      </c>
      <c r="B1976" s="215" t="inlineStr">
        <is>
          <t>Dữ liệu GPS không hợp lệ</t>
        </is>
      </c>
      <c r="C1976" s="215" t="inlineStr">
        <is>
          <t>Invalid GPS data</t>
        </is>
      </c>
      <c r="D1976" s="216">
        <f>IFERROR(__xludf.DUMMYFUNCTION("GOOGLETRANSLATE(B1976,""vi"",""km"")"),"ទិន្នន័យ GPS មិនត្រឹមត្រូវ")</f>
        <v/>
      </c>
      <c r="G1976" s="3" t="inlineStr">
        <is>
          <t>ទិន្នន័យ GPS មិនត្រឹមត្រូវ</t>
        </is>
      </c>
      <c r="H1976" t="inlineStr">
        <is>
          <t>ទិន្នន័យ GPS មិនត្រឹមត្រូវ</t>
        </is>
      </c>
      <c r="I1976" s="217" t="inlineStr">
        <is>
          <t>"tms.gpsInvalid": "ទិន្នន័យ GPS មិនត្រឹមត្រូវ",</t>
        </is>
      </c>
      <c r="N1976" s="163" t="n"/>
    </row>
    <row r="1977" ht="15.75" customHeight="1" s="305">
      <c r="A1977" s="215" t="inlineStr">
        <is>
          <t>tms.locationPermissionToUse</t>
        </is>
      </c>
      <c r="B1977" s="215" t="inlineStr">
        <is>
          <t>Bạn cần chia sẻ vị trí để sử dụng tính năng chỉ đường</t>
        </is>
      </c>
      <c r="C1977" s="215" t="inlineStr">
        <is>
          <t>You need to share your location to use the navigation feature</t>
        </is>
      </c>
      <c r="D1977" s="216">
        <f>IFERROR(__xludf.DUMMYFUNCTION("GOOGLETRANSLATE(B1977,""vi"",""km"")"),"អ្នកត្រូវចែករំលែកទីតាំងរបស់អ្នកដើម្បីប្រើមុខងារទិសដៅ។")</f>
        <v/>
      </c>
      <c r="G1977" s="3" t="inlineStr">
        <is>
          <t>អ្នកត្រូវចែករំលែកទីតាំងរបស់អ្នកដើម្បីប្រើមុខងារទិសដៅ។</t>
        </is>
      </c>
      <c r="H1977" t="inlineStr">
        <is>
          <t>អ្នកត្រូវចែករំលែកទីតាំងរបស់អ្នកដើម្បីប្រើមុខងារទិសដៅ។</t>
        </is>
      </c>
      <c r="I1977" s="217" t="inlineStr">
        <is>
          <t>"tms.locationPermissionToUse": "អ្នកត្រូវចែករំលែកទីតាំងរបស់អ្នកដើម្បីប្រើមុខងារទិសដៅ។",</t>
        </is>
      </c>
      <c r="N1977" s="163" t="n"/>
    </row>
    <row r="1978" ht="15.75" customHeight="1" s="305">
      <c r="A1978" s="215" t="inlineStr">
        <is>
          <t>tms.cantOpenGoogleMap</t>
        </is>
      </c>
      <c r="B1978" s="215" t="inlineStr">
        <is>
          <t>Không mở được Google Map. Vui lòng kiểm tra lại thiết bị hoặc kết nối mạng</t>
        </is>
      </c>
      <c r="C1978" s="215" t="inlineStr">
        <is>
          <t>Cannot open Google Maps. Please check your device or network connection</t>
        </is>
      </c>
      <c r="D1978" s="216">
        <f>IFERROR(__xludf.DUMMYFUNCTION("GOOGLETRANSLATE(B1978,""vi"",""km"")"),"មិនអាចបើក Google Maps បានទេ។ សូមពិនិត្យមើលឧបករណ៍ ឬការតភ្ជាប់បណ្តាញរបស់អ្នក។")</f>
        <v/>
      </c>
      <c r="G1978" s="3" t="inlineStr">
        <is>
          <t>មិនអាចបើក Google Maps បានទេ។ សូមពិនិត្យមើលឧបករណ៍ ឬការតភ្ជាប់បណ្តាញរបស់អ្នក។</t>
        </is>
      </c>
      <c r="H1978" t="inlineStr">
        <is>
          <t>មិនអាចបើក Google Maps បានទេ។ សូមពិនិត្យមើលឧបករណ៍ ឬការតភ្ជាប់បណ្តាញរបស់អ្នក។</t>
        </is>
      </c>
      <c r="I1978" s="217" t="inlineStr">
        <is>
          <t>"tms.cantOpenGoogleMap": "មិនអាចបើក Google Maps បានទេ។ សូមពិនិត្យមើលឧបករណ៍ ឬការតភ្ជាប់បណ្តាញរបស់អ្នក។",</t>
        </is>
      </c>
      <c r="N1978" s="163" t="n"/>
    </row>
    <row r="1979" ht="15.75" customHeight="1" s="305">
      <c r="A1979" s="215" t="inlineStr">
        <is>
          <t>tms.currentLocation</t>
        </is>
      </c>
      <c r="B1979" s="215" t="inlineStr">
        <is>
          <t>Vị trí hiện tại</t>
        </is>
      </c>
      <c r="C1979" s="215" t="inlineStr">
        <is>
          <t>Current location</t>
        </is>
      </c>
      <c r="D1979" s="216">
        <f>IFERROR(__xludf.DUMMYFUNCTION("GOOGLETRANSLATE(B1979,""vi"",""km"")"),"ទីតាំងបច្ចុប្បន្ន")</f>
        <v/>
      </c>
      <c r="G1979" s="3" t="inlineStr">
        <is>
          <t>ទីតាំងបច្ចុប្បន្ន</t>
        </is>
      </c>
      <c r="H1979" t="inlineStr">
        <is>
          <t>ទីតាំងបច្ចុប្បន្ន</t>
        </is>
      </c>
      <c r="I1979" s="217" t="inlineStr">
        <is>
          <t>"tms.currentLocation": "ទីតាំងបច្ចុប្បន្ន",</t>
        </is>
      </c>
      <c r="N1979" s="163" t="n"/>
    </row>
    <row r="1980" ht="15.75" customHeight="1" s="305">
      <c r="A1980" s="215" t="inlineStr">
        <is>
          <t>tms.phoneGPS</t>
        </is>
      </c>
      <c r="B1980" s="215" t="inlineStr">
        <is>
          <t>Định vị trên điện thoại</t>
        </is>
      </c>
      <c r="C1980" s="215" t="inlineStr">
        <is>
          <t>Phone GPS</t>
        </is>
      </c>
      <c r="D1980" s="216">
        <f>IFERROR(__xludf.DUMMYFUNCTION("GOOGLETRANSLATE(B1980,""vi"",""km"")"),"តាមដានទីតាំងនៅលើទូរស័ព្ទរបស់អ្នក។")</f>
        <v/>
      </c>
      <c r="G1980" s="3" t="inlineStr">
        <is>
          <t>តាមដានទីតាំងនៅលើទូរស័ព្ទរបស់អ្នក។</t>
        </is>
      </c>
      <c r="H1980" t="inlineStr">
        <is>
          <t>តាមដានទីតាំងនៅលើទូរស័ព្ទរបស់អ្នក។</t>
        </is>
      </c>
      <c r="I1980" s="217" t="inlineStr">
        <is>
          <t>"tms.phoneGPS": "តាមដានទីតាំងនៅលើទូរស័ព្ទរបស់អ្នក។",</t>
        </is>
      </c>
      <c r="N1980" s="163" t="n"/>
    </row>
    <row r="1981" ht="15.75" customHeight="1" s="305">
      <c r="A1981" s="215" t="inlineStr">
        <is>
          <t>tms.vehicleGPS</t>
        </is>
      </c>
      <c r="B1981" s="215" t="inlineStr">
        <is>
          <t>GPS theo xe</t>
        </is>
      </c>
      <c r="C1981" s="215" t="inlineStr">
        <is>
          <t>Vehicle GPS</t>
        </is>
      </c>
      <c r="D1981" s="216">
        <f>IFERROR(__xludf.DUMMYFUNCTION("GOOGLETRANSLATE(B1981,""vi"",""km"")"),"ប្រព័ន្ធ GPS ក្នុងរថយន្ត")</f>
        <v/>
      </c>
      <c r="G1981" s="3" t="inlineStr">
        <is>
          <t>ប្រព័ន្ធ GPS ក្នុងរថយន្ត</t>
        </is>
      </c>
      <c r="H1981" t="inlineStr">
        <is>
          <t>ប្រព័ន្ធ GPS ក្នុងរថយន្ត</t>
        </is>
      </c>
      <c r="I1981" s="217" t="inlineStr">
        <is>
          <t>"tms.vehicleGPS": "ប្រព័ន្ធ GPS ក្នុងរថយន្ត",</t>
        </is>
      </c>
      <c r="N1981" s="163" t="n"/>
    </row>
    <row r="1982" ht="15.75" customHeight="1" s="305">
      <c r="A1982" s="215" t="inlineStr">
        <is>
          <t>tms.openGoogleMap</t>
        </is>
      </c>
      <c r="B1982" s="215" t="inlineStr">
        <is>
          <t>Mở Google Maps</t>
        </is>
      </c>
      <c r="C1982" s="215" t="inlineStr">
        <is>
          <t>Open Google Maps</t>
        </is>
      </c>
      <c r="D1982" s="216">
        <f>IFERROR(__xludf.DUMMYFUNCTION("GOOGLETRANSLATE(B1982,""vi"",""km"")"),"បើក Google ផែនទី")</f>
        <v/>
      </c>
      <c r="G1982" s="3" t="inlineStr">
        <is>
          <t>បើក Google ផែនទី</t>
        </is>
      </c>
      <c r="H1982" t="inlineStr">
        <is>
          <t>បើក Google ផែនទី</t>
        </is>
      </c>
      <c r="I1982" s="217" t="inlineStr">
        <is>
          <t>"tms.openGoogleMap": "បើក Google ផែនទី",</t>
        </is>
      </c>
      <c r="N1982" s="163" t="n"/>
    </row>
    <row r="1983" ht="15.75" customHeight="1" s="305">
      <c r="A1983" s="215" t="inlineStr">
        <is>
          <t>tms.cantOpenGoogleMapTitle</t>
        </is>
      </c>
      <c r="B1983" s="215" t="inlineStr">
        <is>
          <t>Không mở được bản đồ</t>
        </is>
      </c>
      <c r="C1983" s="215" t="inlineStr">
        <is>
          <t>Cannot open map</t>
        </is>
      </c>
      <c r="D1983" s="216">
        <f>IFERROR(__xludf.DUMMYFUNCTION("GOOGLETRANSLATE(B1983,""vi"",""km"")"),"ផែនទីនឹងមិនបើកទេ។")</f>
        <v/>
      </c>
      <c r="G1983" s="3" t="inlineStr">
        <is>
          <t>ផែនទីនឹងមិនបើកទេ។</t>
        </is>
      </c>
      <c r="H1983" t="inlineStr">
        <is>
          <t>ផែនទីនឹងមិនបើកទេ។</t>
        </is>
      </c>
      <c r="I1983" s="217" t="inlineStr">
        <is>
          <t>"tms.cantOpenGoogleMapTitle": "ផែនទីនឹងមិនបើកទេ។",</t>
        </is>
      </c>
      <c r="N1983" s="163" t="n"/>
    </row>
    <row r="1984" ht="15.75" customHeight="1" s="305">
      <c r="A1984" s="215" t="inlineStr">
        <is>
          <t>nhanHang.orderCodeInvalid</t>
        </is>
      </c>
      <c r="B1984" s="215" t="inlineStr">
        <is>
          <t>Mã đơn không hợp lệ!</t>
        </is>
      </c>
      <c r="C1984" s="215" t="inlineStr">
        <is>
          <t>Invalid order code!</t>
        </is>
      </c>
      <c r="D1984" s="216">
        <f>IFERROR(__xludf.DUMMYFUNCTION("GOOGLETRANSLATE(B1984,""vi"",""km"")"),"លេខកូដបញ្ជាទិញមិនត្រឹមត្រូវ!")</f>
        <v/>
      </c>
      <c r="G1984" s="3" t="inlineStr">
        <is>
          <t>លេខកូដបញ្ជាទិញមិនត្រឹមត្រូវ!</t>
        </is>
      </c>
      <c r="H1984" t="inlineStr">
        <is>
          <t>លេខកូដបញ្ជាទិញមិនត្រឹមត្រូវ!</t>
        </is>
      </c>
      <c r="I1984" s="217" t="inlineStr">
        <is>
          <t>"nhanHang.orderCodeInvalid": "លេខកូដបញ្ជាទិញមិនត្រឹមត្រូវ!",</t>
        </is>
      </c>
      <c r="N1984" s="163" t="n"/>
    </row>
    <row r="1985" ht="15.75" customHeight="1" s="305">
      <c r="A1985" s="215" t="inlineStr">
        <is>
          <t>nhanHang.orderNotExist</t>
        </is>
      </c>
      <c r="B1985" s="215" t="inlineStr">
        <is>
          <t>Đơn hàng không tồn tại!</t>
        </is>
      </c>
      <c r="C1985" s="215" t="inlineStr">
        <is>
          <t>Order does not exist!</t>
        </is>
      </c>
      <c r="D1985" s="216">
        <f>IFERROR(__xludf.DUMMYFUNCTION("GOOGLETRANSLATE(B1985,""vi"",""km"")"),"ការបញ្ជាទិញនេះមិនមានទេ!")</f>
        <v/>
      </c>
      <c r="G1985" s="3" t="inlineStr">
        <is>
          <t>ការបញ្ជាទិញនេះមិនមានទេ!</t>
        </is>
      </c>
      <c r="H1985" t="inlineStr">
        <is>
          <t>ការបញ្ជាទិញនេះមិនមានទេ!</t>
        </is>
      </c>
      <c r="I1985" s="217" t="inlineStr">
        <is>
          <t>"nhanHang.orderNotExist": "ការបញ្ជាទិញនេះមិនមានទេ!",</t>
        </is>
      </c>
      <c r="N1985" s="163" t="n"/>
    </row>
    <row r="1986" ht="15.75" customHeight="1" s="305">
      <c r="A1986" s="215" t="inlineStr">
        <is>
          <t>nhanTay.orderExisted</t>
        </is>
      </c>
      <c r="B1986" s="215" t="inlineStr">
        <is>
          <t>Đơn hàng đã được quét nhận</t>
        </is>
      </c>
      <c r="C1986" s="215" t="inlineStr">
        <is>
          <t>Order has already been scanned</t>
        </is>
      </c>
      <c r="D1986" s="216">
        <f>IFERROR(__xludf.DUMMYFUNCTION("GOOGLETRANSLATE(B1986,""vi"",""km"")"),"ការបញ្ជាទិញត្រូវបានស្កេនហើយ។")</f>
        <v/>
      </c>
      <c r="G1986" s="3" t="inlineStr">
        <is>
          <t>ការបញ្ជាទិញត្រូវបានស្កេនហើយ។</t>
        </is>
      </c>
      <c r="H1986" t="inlineStr">
        <is>
          <t>ការបញ្ជាទិញត្រូវបានស្កេនហើយ។</t>
        </is>
      </c>
      <c r="I1986" s="217" t="inlineStr">
        <is>
          <t>"nhanTay.orderExisted": "ការបញ្ជាទិញត្រូវបានស្កេនហើយ។",</t>
        </is>
      </c>
      <c r="N1986" s="163" t="n"/>
    </row>
    <row r="1987" ht="15.75" customHeight="1" s="305">
      <c r="A1987" s="215" t="inlineStr">
        <is>
          <t>thanhtoan.noPaymentMethod</t>
        </is>
      </c>
      <c r="B1987" s="215" t="inlineStr">
        <is>
          <t>Không tìm thấy phương thức thanh toán</t>
        </is>
      </c>
      <c r="C1987" s="215" t="inlineStr">
        <is>
          <t>Payment method could not be found.</t>
        </is>
      </c>
      <c r="D1987" s="216">
        <f>IFERROR(__xludf.DUMMYFUNCTION("GOOGLETRANSLATE(B1987,""vi"",""km"")"),"រកមិនឃើញវិធីសាស្ត្រទូទាត់ទេ។")</f>
        <v/>
      </c>
      <c r="G1987" s="3" t="inlineStr">
        <is>
          <t>រកមិនឃើញវិធីសាស្ត្រទូទាត់ទេ។</t>
        </is>
      </c>
      <c r="H1987" t="inlineStr">
        <is>
          <t>រកមិនឃើញវិធីសាស្ត្រទូទាត់ទេ។</t>
        </is>
      </c>
      <c r="I1987" s="217" t="inlineStr">
        <is>
          <t>"thanhtoan.noPaymentMethod": "រកមិនឃើញវិធីសាស្ត្រទូទាត់ទេ។",</t>
        </is>
      </c>
      <c r="N1987" s="163" t="n"/>
    </row>
    <row r="1988" ht="15.75" customHeight="1" s="305">
      <c r="A1988" s="215" t="inlineStr">
        <is>
          <t>login.phoneNotExist</t>
        </is>
      </c>
      <c r="B1988" s="215" t="inlineStr">
        <is>
          <t>Số điện thoại không tồn tại trong hệ thống</t>
        </is>
      </c>
      <c r="C1988" s="215" t="inlineStr">
        <is>
          <t>Phone number does not exist in the system</t>
        </is>
      </c>
      <c r="D1988" s="216">
        <f>IFERROR(__xludf.DUMMYFUNCTION("GOOGLETRANSLATE(B1988,""vi"",""km"")"),"លេខទូរស័ព្ទនេះមិនមាននៅក្នុងប្រព័ន្ធទេ។")</f>
        <v/>
      </c>
      <c r="G1988" s="3" t="inlineStr">
        <is>
          <t>លេខទូរស័ព្ទនេះមិនមាននៅក្នុងប្រព័ន្ធទេ។</t>
        </is>
      </c>
      <c r="H1988" t="inlineStr">
        <is>
          <t>លេខទូរស័ព្ទនេះមិនមាននៅក្នុងប្រព័ន្ធទេ។</t>
        </is>
      </c>
      <c r="I1988" s="217" t="inlineStr">
        <is>
          <t>"login.phoneNotExist": "លេខទូរស័ព្ទនេះមិនមាននៅក្នុងប្រព័ន្ធទេ។",</t>
        </is>
      </c>
      <c r="N1988" s="163" t="n"/>
    </row>
    <row r="1989" ht="15.75" customHeight="1" s="305">
      <c r="A1989" s="215" t="inlineStr">
        <is>
          <t>taoDon.addressMaxLength</t>
        </is>
      </c>
      <c r="B1989" s="215" t="inlineStr">
        <is>
          <t>Tối đa {{maxLength}} ký tự</t>
        </is>
      </c>
      <c r="C1989" s="215" t="inlineStr">
        <is>
          <t>Maximum {{maxLength}} characters.</t>
        </is>
      </c>
      <c r="D1989" s="216">
        <f>IFERROR(__xludf.DUMMYFUNCTION("GOOGLETRANSLATE(B1989,""vi"",""km"")"),"តួអក្សរអតិបរមា {{maxLength}}")</f>
        <v/>
      </c>
      <c r="G1989" s="3" t="inlineStr">
        <is>
          <t>តួអក្សរអតិបរមា {{maxLength}}</t>
        </is>
      </c>
      <c r="H1989" t="inlineStr">
        <is>
          <t>តួអក្សរអតិបរមា {{maxLength}}</t>
        </is>
      </c>
      <c r="I1989" s="217" t="inlineStr">
        <is>
          <t>"taoDon.addressMaxLength": "តួអក្សរអតិបរមា {{maxLength}}",</t>
        </is>
      </c>
      <c r="N1989" s="163" t="n"/>
    </row>
    <row r="1990" ht="15.75" customHeight="1" s="305">
      <c r="A1990" s="215" t="n"/>
      <c r="B1990" s="215" t="inlineStr">
        <is>
          <t>Thông báo thành công</t>
        </is>
      </c>
      <c r="C1990" s="215" t="n"/>
      <c r="D1990" s="216">
        <f>IFERROR(__xludf.DUMMYFUNCTION("GOOGLETRANSLATE(B1990,""vi"",""km"")"),"ការជូនដំណឹងអំពីភាពជោគជ័យ")</f>
        <v/>
      </c>
      <c r="G1990" s="3" t="inlineStr">
        <is>
          <t>ការជូនដំណឹងអំពីភាពជោគជ័យ</t>
        </is>
      </c>
      <c r="H1990" t="inlineStr">
        <is>
          <t>ការជូនដំណឹងអំពីភាពជោគជ័យ</t>
        </is>
      </c>
      <c r="I1990" s="217" t="inlineStr"/>
      <c r="N1990" s="163" t="n"/>
    </row>
    <row r="1991" ht="15.75" customHeight="1" s="305">
      <c r="A1991" s="215" t="n"/>
      <c r="B1991" s="215" t="inlineStr">
        <is>
          <t xml:space="preserve">
Tối đa 10 file, tổng dung lượng không quá 100MB</t>
        </is>
      </c>
      <c r="C1991" s="215" t="inlineStr">
        <is>
          <t>Maximum 10 files, total size must not exceed 100 MB</t>
        </is>
      </c>
      <c r="D1991" s="216">
        <f>IFERROR(__xludf.DUMMYFUNCTION("GOOGLETRANSLATE(B1991,""vi"",""km"")"),"ឯកសារអតិបរមា ១០ ឯកសារ ទំហំសរុបមិនលើសពី ១០០មេកាបៃ")</f>
        <v/>
      </c>
      <c r="G1991" s="3" t="inlineStr">
        <is>
          <t>ឯកសារអតិបរមា ១០ ឯកសារ ទំហំសរុបមិនលើសពី ១០០មេកាបៃ</t>
        </is>
      </c>
      <c r="H1991" t="inlineStr">
        <is>
          <t>ឯកសារអតិបរមា ១០ ឯកសារ ទំហំសរុបមិនលើសពី ១០០មេកាបៃ</t>
        </is>
      </c>
      <c r="I1991" s="217" t="inlineStr"/>
      <c r="N1991" s="163" t="n"/>
    </row>
    <row r="1992" ht="15.75" customHeight="1" s="305">
      <c r="A1992" s="215" t="inlineStr">
        <is>
          <t>nhanHang.qrExpireCountdown</t>
        </is>
      </c>
      <c r="B1992" s="215" t="inlineStr">
        <is>
          <t>QR hết hạn sau: {{time}}</t>
        </is>
      </c>
      <c r="C1992" s="215" t="inlineStr">
        <is>
          <t>QR expires in: {{time}}</t>
        </is>
      </c>
      <c r="D1992" s="216">
        <f>IFERROR(__xludf.DUMMYFUNCTION("GOOGLETRANSLATE(B1992,""vi"",""km"")"),"លេខកូដ QR ផុតកំណត់បន្ទាប់ពី៖ {{time}}")</f>
        <v/>
      </c>
      <c r="E1992" s="217" t="inlineStr">
        <is>
          <t>QR នឹងផុតកំណត់ក្នុងរយៈពេល: {{time}}</t>
        </is>
      </c>
      <c r="G1992" s="3" t="inlineStr">
        <is>
          <t>QR នឹងផុតកំណត់ក្នុងរយៈពេល: {{time}}</t>
        </is>
      </c>
      <c r="H1992" t="inlineStr">
        <is>
          <t>QR នឹងផុតកំណត់ក្នុងរយៈពេល: {{time}}</t>
        </is>
      </c>
      <c r="I1992" s="217" t="inlineStr">
        <is>
          <t>"nhanHang.qrExpireCountdown": "QR នឹងផុតកំណត់ក្នុងរយៈពេល: {{time}}",</t>
        </is>
      </c>
      <c r="N1992" s="163" t="n"/>
    </row>
    <row r="1993" ht="15.75" customHeight="1" s="305">
      <c r="A1993" s="215" t="inlineStr">
        <is>
          <t>nhanHang.qrExpireWarning</t>
        </is>
      </c>
      <c r="B1993" s="215" t="inlineStr">
        <is>
          <t>Vui lòng hoàn tất thanh toán</t>
        </is>
      </c>
      <c r="C1993" s="215" t="inlineStr">
        <is>
          <t>Please complete payment</t>
        </is>
      </c>
      <c r="D1993" s="216">
        <f>IFERROR(__xludf.DUMMYFUNCTION("GOOGLETRANSLATE(B1993,""vi"",""km"")"),"សូមបញ្ចប់ការទូទាត់។")</f>
        <v/>
      </c>
      <c r="E1993" s="217" t="inlineStr">
        <is>
          <t>សូមបញ្ចប់ការទូទាត់</t>
        </is>
      </c>
      <c r="G1993" s="3" t="inlineStr">
        <is>
          <t>សូមបញ្ចប់ការទូទាត់</t>
        </is>
      </c>
      <c r="H1993" t="inlineStr">
        <is>
          <t>សូមបញ្ចប់ការទូទាត់</t>
        </is>
      </c>
      <c r="I1993" s="217" t="inlineStr">
        <is>
          <t>"nhanHang.qrExpireWarning": "សូមបញ្ចប់ការទូទាត់",</t>
        </is>
      </c>
      <c r="N1993" s="163" t="n"/>
    </row>
    <row r="1994" ht="15.75" customHeight="1" s="305">
      <c r="A1994" s="215" t="inlineStr">
        <is>
          <t>nhanHang.qrExpiredWaiting</t>
        </is>
      </c>
      <c r="B1994" s="215" t="inlineStr">
        <is>
          <t>QR đã hết hạn. Đang chờ xác nhận kết quả cuối cùng sau: {{time}}</t>
        </is>
      </c>
      <c r="C1994" s="215" t="inlineStr">
        <is>
          <t>QR has expired. Waiting for final result in: {{time}}</t>
        </is>
      </c>
      <c r="D1994" s="216">
        <f>IFERROR(__xludf.DUMMYFUNCTION("GOOGLETRANSLATE(B1994,""vi"",""km"")"),"លេខកូដ QR ផុតកំណត់ហើយ។ កំពុងរង់ចាំការបញ្ជាក់ពីលទ្ធផលចុងក្រោយបន្ទាប់ពី៖ {{time}}")</f>
        <v/>
      </c>
      <c r="E1994" s="217" t="inlineStr">
        <is>
          <t>QR បានផុតកំណត់។ កំពុងរង់ចាំលទ្ធផលចុងក្រោយក្នុងរយៈពេល: {{time}}</t>
        </is>
      </c>
      <c r="G1994" s="3" t="inlineStr">
        <is>
          <t>QR បានផុតកំណត់។ កំពុងរង់ចាំលទ្ធផលចុងក្រោយក្នុងរយៈពេល: {{time}}</t>
        </is>
      </c>
      <c r="H1994" t="inlineStr">
        <is>
          <t>QR បានផុតកំណត់។ កំពុងរង់ចាំលទ្ធផលចុងក្រោយក្នុងរយៈពេល: {{time}}</t>
        </is>
      </c>
      <c r="I1994" s="217" t="inlineStr">
        <is>
          <t>"nhanHang.qrExpiredWaiting": "QR បានផុតកំណត់។ កំពុងរង់ចាំលទ្ធផលចុងក្រោយក្នុងរយៈពេល: {{time}}",</t>
        </is>
      </c>
      <c r="N1994" s="163" t="n"/>
    </row>
    <row r="1995" ht="15.75" customHeight="1" s="305">
      <c r="A1995" s="215" t="inlineStr">
        <is>
          <t>nhanHang.qrExpiredFinal</t>
        </is>
      </c>
      <c r="B1995" s="215" t="inlineStr">
        <is>
          <t>QR đã hết hạn, vui lòng tạo mã mới để tiếp tục thanh toán</t>
        </is>
      </c>
      <c r="C1995" s="215" t="inlineStr">
        <is>
          <t>QR has expired. Please create a new code to continue payment</t>
        </is>
      </c>
      <c r="D1995" s="216">
        <f>IFERROR(__xludf.DUMMYFUNCTION("GOOGLETRANSLATE(B1995,""vi"",""km"")"),"លេខកូដ QR ផុតកំណត់ហើយ សូមបង្កើតលេខកូដថ្មីដើម្បីបន្តការទូទាត់។")</f>
        <v/>
      </c>
      <c r="E1995" s="217" t="inlineStr">
        <is>
          <t>QR បានផុតកំណត់។ សូមបង្កើតលេខកូដថ្មីដើម្បីបន្តការទូទាត់</t>
        </is>
      </c>
      <c r="G1995" s="3" t="inlineStr">
        <is>
          <t>QR បានផុតកំណត់។ សូមបង្កើតលេខកូដថ្មីដើម្បីបន្តការទូទាត់</t>
        </is>
      </c>
      <c r="H1995" t="inlineStr">
        <is>
          <t>QR បានផុតកំណត់។ សូមបង្កើតលេខកូដថ្មីដើម្បីបន្តការទូទាត់</t>
        </is>
      </c>
      <c r="I1995" s="217" t="inlineStr">
        <is>
          <t>"nhanHang.qrExpiredFinal": "QR បានផុតកំណត់។ សូមបង្កើតលេខកូដថ្មីដើម្បីបន្តការទូទាត់",</t>
        </is>
      </c>
      <c r="N1995" s="163" t="n"/>
    </row>
    <row r="1996" ht="15.75" customHeight="1" s="305">
      <c r="A1996" s="215" t="inlineStr">
        <is>
          <t>nhanHang.qrRefresh</t>
        </is>
      </c>
      <c r="B1996" s="215" t="inlineStr">
        <is>
          <t>Làm mới</t>
        </is>
      </c>
      <c r="C1996" s="215" t="inlineStr">
        <is>
          <t>Refresh</t>
        </is>
      </c>
      <c r="D1996" s="216">
        <f>IFERROR(__xludf.DUMMYFUNCTION("GOOGLETRANSLATE(B1996,""vi"",""km"")"),"ធ្វើឱ្យស្រស់ឡើងវិញ")</f>
        <v/>
      </c>
      <c r="E1996" s="217" t="inlineStr">
        <is>
          <t>ធ្វើឱ្យស្រស់</t>
        </is>
      </c>
      <c r="G1996" s="3" t="inlineStr">
        <is>
          <t>ផ្ទុកឡើងវិញ</t>
        </is>
      </c>
      <c r="H1996" t="inlineStr">
        <is>
          <t>ផ្ទុកឡើងវិញ</t>
        </is>
      </c>
      <c r="I1996" s="217" t="inlineStr">
        <is>
          <t>"nhanHang.qrRefresh": "ផ្ទុកឡើងវិញ",</t>
        </is>
      </c>
      <c r="N1996" s="163" t="n"/>
    </row>
    <row r="1997" ht="15.75" customHeight="1" s="305">
      <c r="A1997" s="215" t="inlineStr">
        <is>
          <t>DongTai.selectSameTypeToPrint</t>
        </is>
      </c>
      <c r="B1997" s="215" t="inlineStr">
        <is>
          <t>Vui lòng chỉ chọn cùng loại tải hoặc kiện để in</t>
        </is>
      </c>
      <c r="C1997" s="215" t="inlineStr">
        <is>
          <t>Please select only the same type (bag or parcel) to print</t>
        </is>
      </c>
      <c r="D1997" s="216">
        <f>IFERROR(__xludf.DUMMYFUNCTION("GOOGLETRANSLATE(B1997,""vi"",""km"")"),"សូមជ្រើសរើសតែប្រភេទបន្ទុក ឬកញ្ចប់ដូចគ្នាសម្រាប់ការបោះពុម្ព។")</f>
        <v/>
      </c>
      <c r="G1997" s="3" t="inlineStr">
        <is>
          <t>សូមជ្រើសរើសតែប្រភេទបន្ទុក ឬកញ្ចប់ដូចគ្នាសម្រាប់ការព្រីន។</t>
        </is>
      </c>
      <c r="H1997" t="inlineStr">
        <is>
          <t>សូមជ្រើសរើសតែប្រភេទបន្ទុក ឬកញ្ចប់ដូចគ្នាសម្រាប់ការព្រីន។</t>
        </is>
      </c>
      <c r="I1997" s="217" t="inlineStr">
        <is>
          <t>"DongTai.selectSameTypeToPrint": "សូមជ្រើសរើសតែប្រភេទបន្ទុក ឬកញ្ចប់ដូចគ្នាសម្រាប់ការព្រីន។",</t>
        </is>
      </c>
      <c r="N1997" s="163" t="n"/>
    </row>
    <row r="1998" ht="15.75" customHeight="1" s="305">
      <c r="A1998" s="215" t="inlineStr">
        <is>
          <t>nhanHang.immediateFeeCollection</t>
        </is>
      </c>
      <c r="B1998" s="215" t="inlineStr">
        <is>
          <t>Thu cước ngay</t>
        </is>
      </c>
      <c r="C1998" s="215" t="inlineStr">
        <is>
          <t>Immediate fee collection</t>
        </is>
      </c>
      <c r="D1998" s="216">
        <f>IFERROR(__xludf.DUMMYFUNCTION("GOOGLETRANSLATE(B1998,""vi"",""km"")"),"ប្រមូលប្រាក់ភ្លាមៗ។")</f>
        <v/>
      </c>
      <c r="E1998" s="217" t="inlineStr">
        <is>
          <t>ប្រមូលថ្លៃដឹកជញ្ជូនភ្លាមៗ</t>
        </is>
      </c>
      <c r="G1998" s="3" t="inlineStr">
        <is>
          <t>ប្រមូលថ្លៃដឹកជញ្ជូនភ្លាមៗ</t>
        </is>
      </c>
      <c r="H1998" t="inlineStr">
        <is>
          <t>ប្រមូលថ្លៃដឹកជញ្ជូនភ្លាមៗ</t>
        </is>
      </c>
      <c r="I1998" s="217" t="inlineStr">
        <is>
          <t>"nhanHang.immediateFeeCollection": "ប្រមូលថ្លៃដឹកជញ្ជូនភ្លាមៗ",</t>
        </is>
      </c>
      <c r="N1998" s="163" t="n"/>
    </row>
    <row r="1999" ht="15.75" customHeight="1" s="305">
      <c r="A1999" s="215" t="inlineStr">
        <is>
          <t>nhanHang.postpaidFeeCollection</t>
        </is>
      </c>
      <c r="B1999" s="215" t="inlineStr">
        <is>
          <t>Thu cước sau</t>
        </is>
      </c>
      <c r="C1999" s="215" t="inlineStr">
        <is>
          <t>Postpaid fee collection</t>
        </is>
      </c>
      <c r="D1999" s="216">
        <f>IFERROR(__xludf.DUMMYFUNCTION("GOOGLETRANSLATE(B1999,""vi"",""km"")"),"ប្រមូលប្រាក់នៅពេលក្រោយ។")</f>
        <v/>
      </c>
      <c r="E1999" s="217" t="inlineStr">
        <is>
          <t>ប្រមូលថ្លៃដឹកជញ្ជូនតាមក្រោយ</t>
        </is>
      </c>
      <c r="G1999" s="3" t="inlineStr">
        <is>
          <t>ប្រមូលថ្លៃដឹកជញ្ជូនតាមក្រោយ</t>
        </is>
      </c>
      <c r="H1999" t="inlineStr">
        <is>
          <t>ប្រមូលថ្លៃដឹកជញ្ជូនតាមក្រោយ</t>
        </is>
      </c>
      <c r="I1999" s="217" t="inlineStr">
        <is>
          <t>"nhanHang.postpaidFeeCollection": "ប្រមូលថ្លៃដឹកជញ្ជូនតាមក្រោយ",</t>
        </is>
      </c>
      <c r="N1999" s="163" t="n"/>
    </row>
    <row r="2000" ht="15.75" customHeight="1" s="305">
      <c r="A2000" s="215" t="inlineStr">
        <is>
          <t>nhanHang.recordOrderOnlyAfterSuccessfulQRPayment</t>
        </is>
      </c>
      <c r="B2000" s="215" t="inlineStr">
        <is>
          <t>Thanh toán thành công QR mới ghi nhận đơn</t>
        </is>
      </c>
      <c r="C2000" s="215" t="inlineStr">
        <is>
          <t>Record order only after successful QR payment</t>
        </is>
      </c>
      <c r="D2000" s="216">
        <f>IFERROR(__xludf.DUMMYFUNCTION("GOOGLETRANSLATE(B2000,""vi"",""km"")"),"ការទូទាត់បានជោគជ័យ។ លេខកូដ QR នឹងកត់ត្រាការបញ្ជាទិញ។")</f>
        <v/>
      </c>
      <c r="E2000" s="217" t="inlineStr">
        <is>
          <t>ទូទាត់តាម QR បានជោគជ័យ ទើបកត់ត្រាការបញ្ជាទិញ</t>
        </is>
      </c>
      <c r="G2000" s="3" t="inlineStr">
        <is>
          <t>ទូទាត់តាម QR បានជោគជ័យ ទើបកត់ត្រាការបញ្ជាទិញ</t>
        </is>
      </c>
      <c r="H2000" t="inlineStr">
        <is>
          <t>ទូទាត់តាម QR បានជោគជ័យ ទើបកត់ត្រាការបញ្ជាទិញ</t>
        </is>
      </c>
      <c r="I2000" s="217" t="inlineStr">
        <is>
          <t>"nhanHang.recordOrderOnlyAfterSuccessfulQRPayment": "ទូទាត់តាម QR បានជោគជ័យ ទើបកត់ត្រាការបញ្ជាទិញ",</t>
        </is>
      </c>
      <c r="N2000" s="163" t="n"/>
    </row>
    <row r="2001" ht="15.75" customHeight="1" s="305">
      <c r="A2001" s="215" t="inlineStr">
        <is>
          <t>nhanHang.recordOrderUponConfirmationWithoutQR</t>
        </is>
      </c>
      <c r="B2001" s="215" t="inlineStr">
        <is>
          <t>Ghi nhận đơn ngay khi xác nhận,\nkhông phụ thuộc kết quả QR</t>
        </is>
      </c>
      <c r="C2001" s="215" t="inlineStr">
        <is>
          <t>Record order immediately upon confirmation, regardless of QR status</t>
        </is>
      </c>
      <c r="D2001" s="216">
        <f>IFERROR(__xludf.DUMMYFUNCTION("GOOGLETRANSLATE(B2001,""vi"",""km"")"),"ការបញ្ជាទិញនឹងត្រូវបានកត់ត្រាភ្លាមៗនៅពេលមានការបញ្ជាក់ ដោយមិនគិតពីលទ្ធផលកូដ QR ឡើយ។")</f>
        <v/>
      </c>
      <c r="E2001" s="217" t="inlineStr">
        <is>
          <t>កត់ត្រាការបញ្ជាទិញភ្លាមៗនៅពេលបញ្ជាក់ ដោយមិនរង់ចាំលទ្ធផល QR</t>
        </is>
      </c>
      <c r="G2001" s="3" t="inlineStr">
        <is>
          <t>កត់ត្រាការបញ្ជាទិញភ្លាមៗនៅពេលបញ្ជាក់ ដោយមិនរង់ចាំលទ្ធផល QR</t>
        </is>
      </c>
      <c r="H2001" t="inlineStr">
        <is>
          <t>កត់ត្រាការបញ្ជាទិញភ្លាមៗនៅពេលបញ្ជាក់ ដោយមិនរង់ចាំលទ្ធផល QR</t>
        </is>
      </c>
      <c r="I2001" s="217" t="inlineStr">
        <is>
          <t>"nhanHang.recordOrderUponConfirmationWithoutQR": "កត់ត្រាការបញ្ជាទិញភ្លាមៗនៅពេលបញ្ជាក់ ដោយមិនរង់ចាំលទ្ធផល QR",</t>
        </is>
      </c>
      <c r="N2001" s="163" t="n"/>
    </row>
    <row r="2002" ht="15.75" customHeight="1" s="305">
      <c r="A2002" s="215" t="inlineStr">
        <is>
          <t>nhanHang.totalImmediateFeeCollection</t>
        </is>
      </c>
      <c r="B2002" s="215" t="inlineStr">
        <is>
          <t>Tổng cước thu ngay</t>
        </is>
      </c>
      <c r="C2002" s="215" t="inlineStr">
        <is>
          <t>Total immediate fee collection</t>
        </is>
      </c>
      <c r="D2002" s="216">
        <f>IFERROR(__xludf.DUMMYFUNCTION("GOOGLETRANSLATE(B2002,""vi"",""km"")"),"ថ្លៃសេវាសរុបដែលប្រមូលបានភ្លាមៗ")</f>
        <v/>
      </c>
      <c r="E2002" s="217" t="inlineStr">
        <is>
          <t>ថ្លៃដឹកជញ្ជូនសរុបត្រូវប្រមូលភ្លាមៗ</t>
        </is>
      </c>
      <c r="G2002" s="3" t="inlineStr">
        <is>
          <t>ថ្លៃដឹកជញ្ជូនសរុបត្រូវប្រមូលភ្លាមៗ</t>
        </is>
      </c>
      <c r="H2002" t="inlineStr">
        <is>
          <t>ថ្លៃដឹកជញ្ជូនសរុបត្រូវប្រមូលភ្លាមៗ</t>
        </is>
      </c>
      <c r="I2002" s="217" t="inlineStr">
        <is>
          <t>"nhanHang.totalImmediateFeeCollection": "ថ្លៃដឹកជញ្ជូនសរុបត្រូវប្រមូលភ្លាមៗ",</t>
        </is>
      </c>
      <c r="N2002" s="163" t="n"/>
    </row>
    <row r="2003" ht="15.75" customHeight="1" s="305">
      <c r="A2003" s="215" t="inlineStr">
        <is>
          <t>taoDon.createOrderSuccess</t>
        </is>
      </c>
      <c r="B2003" s="215" t="inlineStr">
        <is>
          <t>Tạo đơn thành công!</t>
        </is>
      </c>
      <c r="C2003" s="215" t="inlineStr">
        <is>
          <t>Order created successfully</t>
        </is>
      </c>
      <c r="D2003" s="216">
        <f>IFERROR(__xludf.DUMMYFUNCTION("GOOGLETRANSLATE(B2003,""vi"",""km"")"),"ការបញ្ជាទិញត្រូវបានបង្កើតឡើងដោយជោគជ័យ!")</f>
        <v/>
      </c>
      <c r="E2003" s="217" t="inlineStr">
        <is>
          <t>បង្កើតបុងបញ្ញើបានជោគជ័យ!</t>
        </is>
      </c>
      <c r="G2003" s="3" t="inlineStr">
        <is>
          <t>បង្កើតបុងបញ្ញើបានជោគជ័យ!</t>
        </is>
      </c>
      <c r="H2003" t="inlineStr">
        <is>
          <t>បង្កើតបុងបញ្ញើបានជោគជ័យ!</t>
        </is>
      </c>
      <c r="I2003" s="217" t="inlineStr">
        <is>
          <t>"taoDon.createOrderSuccess": "បង្កើតបុងបញ្ញើបានជោគជ័យ!",</t>
        </is>
      </c>
      <c r="N2003" s="163" t="n"/>
    </row>
    <row r="2004" ht="15.75" customHeight="1" s="305">
      <c r="A2004" s="215" t="inlineStr">
        <is>
          <t>traCuu.printParcel</t>
        </is>
      </c>
      <c r="B2004" s="215" t="inlineStr">
        <is>
          <t>In kiện</t>
        </is>
      </c>
      <c r="C2004" s="215" t="inlineStr">
        <is>
          <t>Print parcel</t>
        </is>
      </c>
      <c r="D2004" s="216">
        <f>IFERROR(__xludf.DUMMYFUNCTION("GOOGLETRANSLATE(B2004,""vi"",""km"")"),"បោះពុម្ពកញ្ចប់")</f>
        <v/>
      </c>
      <c r="E2004" s="217" t="inlineStr">
        <is>
          <t>ព្រីនកញ្ចប់</t>
        </is>
      </c>
      <c r="G2004" s="3" t="inlineStr">
        <is>
          <t>ព្រីនកញ្ចប់</t>
        </is>
      </c>
      <c r="H2004" t="inlineStr">
        <is>
          <t>ព្រីនកញ្ចប់</t>
        </is>
      </c>
      <c r="I2004" s="217" t="inlineStr">
        <is>
          <t>"traCuu.printParcel": "ព្រីនកញ្ចប់",</t>
        </is>
      </c>
      <c r="N2004" s="163" t="n"/>
    </row>
    <row r="2005" ht="15.75" customHeight="1" s="305">
      <c r="A2005" s="215" t="inlineStr">
        <is>
          <t>traCuu.printParcelReturn</t>
        </is>
      </c>
      <c r="B2005" s="215" t="inlineStr">
        <is>
          <t>In kiện hoàn</t>
        </is>
      </c>
      <c r="C2005" s="215" t="inlineStr">
        <is>
          <t>Print return parcel</t>
        </is>
      </c>
      <c r="D2005" s="216">
        <f>IFERROR(__xludf.DUMMYFUNCTION("GOOGLETRANSLATE(B2005,""vi"",""km"")"),"បោះពុម្ពកញ្ចប់ពេញលេញ")</f>
        <v/>
      </c>
      <c r="E2005" s="217" t="inlineStr">
        <is>
          <t>ព្រីនកញ្ចប់ត្រឡប់</t>
        </is>
      </c>
      <c r="G2005" s="3" t="inlineStr">
        <is>
          <t>ព្រីនកញ្ចប់ត្រឡប់</t>
        </is>
      </c>
      <c r="H2005" t="inlineStr">
        <is>
          <t>ព្រីនកញ្ចប់ត្រឡប់</t>
        </is>
      </c>
      <c r="I2005" s="217" t="inlineStr">
        <is>
          <t>"traCuu.printParcelReturn": "ព្រីនកញ្ចប់ត្រឡប់",</t>
        </is>
      </c>
      <c r="N2005" s="163" t="n"/>
    </row>
    <row r="2006" ht="15.75" customHeight="1" s="305">
      <c r="A2006" s="215" t="n"/>
      <c r="B2006" s="215" t="n"/>
      <c r="C2006" s="215" t="n"/>
      <c r="D2006" s="216">
        <f>IFERROR(__xludf.DUMMYFUNCTION("GOOGLETRANSLATE(B2006,""vi"",""km"")"),"#VALUE!")</f>
        <v/>
      </c>
      <c r="G2006" s="3" t="inlineStr"/>
      <c r="H2006" t="inlineStr"/>
      <c r="I2006" s="217" t="inlineStr"/>
      <c r="N2006" s="163" t="n"/>
    </row>
    <row r="2007" ht="15.75" customHeight="1" s="305">
      <c r="A2007" s="215" t="n"/>
      <c r="B2007" s="215" t="n"/>
      <c r="C2007" s="215" t="n"/>
      <c r="D2007" s="216" t="n"/>
      <c r="G2007" s="3" t="inlineStr"/>
      <c r="H2007" t="inlineStr"/>
      <c r="I2007" s="217" t="inlineStr"/>
      <c r="N2007" s="163" t="n"/>
    </row>
    <row r="2008" ht="15.75" customHeight="1" s="305">
      <c r="A2008" s="215" t="n"/>
      <c r="B2008" s="215" t="n"/>
      <c r="C2008" s="215" t="n"/>
      <c r="D2008" s="216" t="n"/>
      <c r="G2008" s="3" t="inlineStr"/>
      <c r="H2008" t="inlineStr"/>
      <c r="I2008" s="217" t="inlineStr"/>
      <c r="N2008" s="163" t="n"/>
    </row>
    <row r="2009" ht="15.75" customHeight="1" s="305">
      <c r="A2009" s="215" t="n"/>
      <c r="B2009" s="215" t="n"/>
      <c r="C2009" s="215" t="n"/>
      <c r="D2009" s="216" t="n"/>
      <c r="G2009" s="3" t="inlineStr"/>
      <c r="H2009" t="inlineStr"/>
      <c r="I2009" s="217" t="inlineStr"/>
      <c r="N2009" s="163" t="n"/>
    </row>
    <row r="2010" ht="15.75" customHeight="1" s="305">
      <c r="A2010" s="215" t="n"/>
      <c r="B2010" s="215" t="n"/>
      <c r="C2010" s="215" t="n"/>
      <c r="D2010" s="216" t="n"/>
      <c r="G2010" s="3" t="inlineStr"/>
      <c r="H2010" t="inlineStr"/>
      <c r="I2010" s="217" t="inlineStr"/>
      <c r="N2010" s="163" t="n"/>
    </row>
    <row r="2011" ht="15.75" customHeight="1" s="305">
      <c r="A2011" s="215" t="n"/>
      <c r="B2011" s="215" t="n"/>
      <c r="C2011" s="215" t="n"/>
      <c r="D2011" s="216" t="n"/>
      <c r="G2011" s="3" t="inlineStr"/>
      <c r="H2011" t="inlineStr"/>
      <c r="I2011" s="217" t="inlineStr"/>
      <c r="N2011" s="163" t="n"/>
    </row>
    <row r="2012" ht="15.75" customHeight="1" s="305">
      <c r="A2012" s="215" t="n"/>
      <c r="B2012" s="215" t="n"/>
      <c r="C2012" s="215" t="n"/>
      <c r="D2012" s="216" t="n"/>
      <c r="G2012" s="3" t="inlineStr"/>
      <c r="H2012" t="inlineStr"/>
      <c r="I2012" s="217" t="inlineStr"/>
      <c r="N2012" s="163" t="n"/>
    </row>
    <row r="2013" ht="15.75" customHeight="1" s="305">
      <c r="A2013" s="215" t="n"/>
      <c r="B2013" s="215" t="n"/>
      <c r="C2013" s="215" t="n"/>
      <c r="D2013" s="216" t="n"/>
      <c r="G2013" s="3" t="inlineStr"/>
      <c r="H2013" t="inlineStr"/>
      <c r="I2013" s="217" t="inlineStr"/>
      <c r="N2013" s="163" t="n"/>
    </row>
    <row r="2014" ht="15.75" customHeight="1" s="305">
      <c r="A2014" s="215" t="n"/>
      <c r="B2014" s="215" t="n"/>
      <c r="C2014" s="215" t="n"/>
      <c r="D2014" s="216" t="n"/>
      <c r="G2014" s="3" t="inlineStr"/>
      <c r="H2014" t="inlineStr"/>
      <c r="I2014" s="217" t="inlineStr"/>
      <c r="N2014" s="163" t="n"/>
    </row>
    <row r="2015" ht="15.75" customHeight="1" s="305">
      <c r="A2015" s="215" t="n"/>
      <c r="B2015" s="215" t="n"/>
      <c r="C2015" s="215" t="n"/>
      <c r="D2015" s="216" t="n"/>
      <c r="G2015" s="3" t="inlineStr"/>
      <c r="H2015" t="inlineStr"/>
      <c r="I2015" s="217" t="inlineStr"/>
      <c r="N2015" s="163" t="n"/>
    </row>
    <row r="2016" ht="15.75" customHeight="1" s="305">
      <c r="A2016" s="215" t="n"/>
      <c r="B2016" s="215" t="n"/>
      <c r="C2016" s="215" t="n"/>
      <c r="D2016" s="216" t="n"/>
      <c r="G2016" s="3" t="inlineStr"/>
      <c r="H2016" t="inlineStr"/>
      <c r="I2016" s="217" t="inlineStr"/>
      <c r="N2016" s="163" t="n"/>
    </row>
    <row r="2017" ht="15.75" customHeight="1" s="305">
      <c r="A2017" s="215" t="n"/>
      <c r="B2017" s="215" t="n"/>
      <c r="C2017" s="215" t="n"/>
      <c r="D2017" s="216" t="n"/>
      <c r="G2017" s="3" t="inlineStr"/>
      <c r="H2017" t="inlineStr"/>
      <c r="I2017" s="217" t="inlineStr"/>
      <c r="N2017" s="163" t="n"/>
    </row>
    <row r="2018" ht="15.75" customHeight="1" s="305">
      <c r="A2018" s="215" t="n"/>
      <c r="B2018" s="215" t="n"/>
      <c r="C2018" s="215" t="n"/>
      <c r="D2018" s="216" t="n"/>
      <c r="G2018" s="3" t="inlineStr"/>
      <c r="H2018" t="inlineStr"/>
      <c r="I2018" s="217" t="inlineStr"/>
      <c r="N2018" s="163" t="n"/>
    </row>
    <row r="2019" ht="15.75" customHeight="1" s="305">
      <c r="A2019" s="215" t="n"/>
      <c r="B2019" s="215" t="n"/>
      <c r="C2019" s="215" t="n"/>
      <c r="D2019" s="216" t="n"/>
      <c r="G2019" s="3" t="inlineStr"/>
      <c r="H2019" t="inlineStr"/>
      <c r="I2019" s="217" t="inlineStr"/>
      <c r="N2019" s="163" t="n"/>
    </row>
    <row r="2020" ht="15.75" customHeight="1" s="305">
      <c r="A2020" s="215" t="n"/>
      <c r="B2020" s="215" t="n"/>
      <c r="C2020" s="215" t="n"/>
      <c r="D2020" s="216" t="n"/>
      <c r="G2020" s="3" t="inlineStr"/>
      <c r="H2020" t="inlineStr"/>
      <c r="I2020" s="217" t="inlineStr"/>
      <c r="N2020" s="163" t="n"/>
    </row>
    <row r="2021" ht="15.75" customHeight="1" s="305">
      <c r="A2021" s="215" t="n"/>
      <c r="B2021" s="215" t="n"/>
      <c r="C2021" s="215" t="n"/>
      <c r="D2021" s="216" t="n"/>
      <c r="G2021" s="3" t="inlineStr"/>
      <c r="H2021" t="inlineStr"/>
      <c r="I2021" s="217" t="inlineStr"/>
      <c r="N2021" s="163" t="n"/>
    </row>
    <row r="2022" ht="15.75" customHeight="1" s="305">
      <c r="A2022" s="215" t="n"/>
      <c r="B2022" s="215" t="n"/>
      <c r="C2022" s="215" t="n"/>
      <c r="D2022" s="216" t="n"/>
      <c r="G2022" s="3" t="inlineStr"/>
      <c r="H2022" t="inlineStr"/>
      <c r="I2022" s="217" t="inlineStr"/>
      <c r="N2022" s="163" t="n"/>
    </row>
    <row r="2023" ht="15.75" customHeight="1" s="305">
      <c r="A2023" s="215" t="n"/>
      <c r="B2023" s="215" t="n"/>
      <c r="C2023" s="215" t="n"/>
      <c r="D2023" s="216" t="n"/>
      <c r="G2023" s="3" t="inlineStr"/>
      <c r="H2023" t="inlineStr"/>
      <c r="I2023" s="217" t="inlineStr"/>
      <c r="N2023" s="163" t="n"/>
    </row>
    <row r="2024" ht="15.75" customHeight="1" s="305">
      <c r="A2024" s="215" t="n"/>
      <c r="B2024" s="215" t="n"/>
      <c r="C2024" s="215" t="n"/>
      <c r="D2024" s="216" t="n"/>
      <c r="G2024" s="3" t="inlineStr"/>
      <c r="H2024" t="inlineStr"/>
      <c r="I2024" s="217" t="inlineStr"/>
      <c r="N2024" s="163" t="n"/>
    </row>
    <row r="2025" ht="15.75" customHeight="1" s="305">
      <c r="A2025" s="215" t="n"/>
      <c r="B2025" s="215" t="n"/>
      <c r="C2025" s="215" t="n"/>
      <c r="D2025" s="216" t="n"/>
      <c r="G2025" s="3" t="inlineStr"/>
      <c r="H2025" t="inlineStr"/>
      <c r="I2025" s="217" t="inlineStr"/>
      <c r="N2025" s="163" t="n"/>
    </row>
    <row r="2026" ht="15.75" customHeight="1" s="305">
      <c r="A2026" s="215" t="n"/>
      <c r="B2026" s="215" t="n"/>
      <c r="C2026" s="215" t="n"/>
      <c r="D2026" s="216" t="n"/>
      <c r="G2026" s="3" t="inlineStr"/>
      <c r="H2026" t="inlineStr"/>
      <c r="I2026" s="217" t="inlineStr"/>
      <c r="N2026" s="163" t="n"/>
    </row>
    <row r="2027" ht="15.75" customHeight="1" s="305">
      <c r="A2027" s="215" t="n"/>
      <c r="B2027" s="215" t="n"/>
      <c r="C2027" s="215" t="n"/>
      <c r="D2027" s="216" t="n"/>
      <c r="G2027" s="3" t="inlineStr"/>
      <c r="H2027" t="inlineStr"/>
      <c r="I2027" s="217" t="inlineStr"/>
      <c r="N2027" s="163" t="n"/>
    </row>
    <row r="2028" ht="15.75" customHeight="1" s="305">
      <c r="A2028" s="215" t="n"/>
      <c r="B2028" s="215" t="n"/>
      <c r="C2028" s="215" t="n"/>
      <c r="D2028" s="216" t="n"/>
      <c r="G2028" s="3" t="inlineStr"/>
      <c r="H2028" t="inlineStr"/>
      <c r="I2028" s="217" t="inlineStr"/>
      <c r="N2028" s="163" t="n"/>
    </row>
    <row r="2029" ht="15.75" customHeight="1" s="305">
      <c r="A2029" s="215" t="n"/>
      <c r="B2029" s="215" t="n"/>
      <c r="C2029" s="215" t="n"/>
      <c r="D2029" s="216" t="n"/>
      <c r="G2029" s="3" t="inlineStr"/>
      <c r="H2029" t="inlineStr"/>
      <c r="I2029" s="217" t="inlineStr"/>
      <c r="N2029" s="163" t="n"/>
    </row>
    <row r="2030" ht="15.75" customHeight="1" s="305">
      <c r="A2030" s="215" t="n"/>
      <c r="B2030" s="215" t="n"/>
      <c r="C2030" s="215" t="n"/>
      <c r="D2030" s="216" t="n"/>
      <c r="G2030" s="3" t="inlineStr"/>
      <c r="H2030" t="inlineStr"/>
      <c r="I2030" s="217" t="inlineStr"/>
      <c r="N2030" s="163" t="n"/>
    </row>
    <row r="2031" ht="15.75" customHeight="1" s="305">
      <c r="A2031" s="215" t="n"/>
      <c r="B2031" s="215" t="n"/>
      <c r="C2031" s="215" t="n"/>
      <c r="D2031" s="216" t="n"/>
      <c r="G2031" s="3" t="inlineStr"/>
      <c r="H2031" t="inlineStr"/>
      <c r="I2031" s="217" t="inlineStr"/>
      <c r="N2031" s="163" t="n"/>
    </row>
    <row r="2032" ht="15.75" customHeight="1" s="305">
      <c r="A2032" s="215" t="n"/>
      <c r="B2032" s="215" t="n"/>
      <c r="C2032" s="215" t="n"/>
      <c r="D2032" s="216" t="n"/>
      <c r="G2032" s="3" t="inlineStr"/>
      <c r="H2032" t="inlineStr"/>
      <c r="I2032" s="217" t="inlineStr"/>
      <c r="N2032" s="163" t="n"/>
    </row>
    <row r="2033" ht="15.75" customHeight="1" s="305">
      <c r="A2033" s="215" t="n"/>
      <c r="B2033" s="215" t="n"/>
      <c r="C2033" s="215" t="n"/>
      <c r="D2033" s="216" t="n"/>
      <c r="G2033" s="3" t="inlineStr"/>
      <c r="H2033" t="inlineStr"/>
      <c r="I2033" s="217" t="inlineStr"/>
      <c r="N2033" s="163" t="n"/>
    </row>
    <row r="2034" ht="15.75" customHeight="1" s="305">
      <c r="A2034" s="215" t="n"/>
      <c r="B2034" s="215" t="n"/>
      <c r="C2034" s="215" t="n"/>
      <c r="D2034" s="216" t="n"/>
      <c r="G2034" s="3" t="inlineStr"/>
      <c r="H2034" t="inlineStr"/>
      <c r="I2034" s="217" t="inlineStr"/>
      <c r="N2034" s="163" t="n"/>
    </row>
    <row r="2035" ht="15.75" customHeight="1" s="305">
      <c r="A2035" s="215" t="n"/>
      <c r="B2035" s="215" t="n"/>
      <c r="C2035" s="215" t="n"/>
      <c r="D2035" s="216" t="n"/>
      <c r="G2035" s="3" t="inlineStr"/>
      <c r="H2035" t="inlineStr"/>
      <c r="I2035" s="217" t="inlineStr"/>
      <c r="N2035" s="163" t="n"/>
    </row>
    <row r="2036" ht="15.75" customHeight="1" s="305">
      <c r="A2036" s="215" t="n"/>
      <c r="B2036" s="215" t="n"/>
      <c r="C2036" s="215" t="n"/>
      <c r="D2036" s="216" t="n"/>
      <c r="G2036" s="3" t="inlineStr"/>
      <c r="H2036" t="inlineStr"/>
      <c r="I2036" s="217" t="inlineStr"/>
      <c r="N2036" s="163" t="n"/>
    </row>
    <row r="2037" ht="15.75" customHeight="1" s="305">
      <c r="A2037" s="215" t="n"/>
      <c r="B2037" s="215" t="n"/>
      <c r="C2037" s="215" t="n"/>
      <c r="D2037" s="216" t="n"/>
      <c r="G2037" s="3" t="inlineStr"/>
      <c r="H2037" t="inlineStr"/>
      <c r="I2037" s="217" t="inlineStr"/>
      <c r="N2037" s="163" t="n"/>
    </row>
    <row r="2038" ht="15.75" customHeight="1" s="305">
      <c r="A2038" s="215" t="n"/>
      <c r="B2038" s="215" t="n"/>
      <c r="C2038" s="215" t="n"/>
      <c r="D2038" s="216" t="n"/>
      <c r="G2038" s="3" t="inlineStr"/>
      <c r="H2038" t="inlineStr"/>
      <c r="I2038" s="217" t="inlineStr"/>
      <c r="N2038" s="163" t="n"/>
    </row>
    <row r="2039" ht="15.75" customHeight="1" s="305">
      <c r="A2039" s="215" t="n"/>
      <c r="B2039" s="215" t="n"/>
      <c r="C2039" s="215" t="n"/>
      <c r="D2039" s="216" t="n"/>
      <c r="G2039" s="3" t="inlineStr"/>
      <c r="H2039" t="inlineStr"/>
      <c r="I2039" s="217" t="inlineStr"/>
      <c r="N2039" s="163" t="n"/>
    </row>
    <row r="2040" ht="15.75" customHeight="1" s="305">
      <c r="A2040" s="215" t="n"/>
      <c r="B2040" s="215" t="n"/>
      <c r="C2040" s="215" t="n"/>
      <c r="D2040" s="216" t="n"/>
      <c r="G2040" s="3" t="inlineStr"/>
      <c r="H2040" t="inlineStr"/>
      <c r="I2040" s="217" t="inlineStr"/>
      <c r="N2040" s="163" t="n"/>
    </row>
    <row r="2041" ht="15.75" customHeight="1" s="305">
      <c r="A2041" s="215" t="n"/>
      <c r="B2041" s="215" t="n"/>
      <c r="C2041" s="215" t="n"/>
      <c r="D2041" s="216" t="n"/>
      <c r="G2041" s="3" t="inlineStr"/>
      <c r="H2041" t="inlineStr"/>
      <c r="I2041" s="217" t="inlineStr"/>
      <c r="N2041" s="163" t="n"/>
    </row>
    <row r="2042" ht="15.75" customHeight="1" s="305">
      <c r="A2042" s="215" t="n"/>
      <c r="B2042" s="215" t="n"/>
      <c r="C2042" s="215" t="n"/>
      <c r="D2042" s="216" t="n"/>
      <c r="G2042" s="3" t="inlineStr"/>
      <c r="H2042" t="inlineStr"/>
      <c r="I2042" s="217" t="inlineStr"/>
      <c r="N2042" s="163" t="n"/>
    </row>
    <row r="2043" ht="15.75" customHeight="1" s="305">
      <c r="A2043" s="215" t="n"/>
      <c r="B2043" s="215" t="n"/>
      <c r="C2043" s="215" t="n"/>
      <c r="D2043" s="216" t="n"/>
      <c r="G2043" s="3" t="inlineStr"/>
      <c r="H2043" t="inlineStr"/>
      <c r="I2043" s="217" t="inlineStr"/>
      <c r="N2043" s="163" t="n"/>
    </row>
    <row r="2044" ht="15.75" customHeight="1" s="305">
      <c r="A2044" s="215" t="n"/>
      <c r="B2044" s="215" t="n"/>
      <c r="C2044" s="215" t="n"/>
      <c r="D2044" s="216" t="n"/>
      <c r="G2044" s="3" t="inlineStr"/>
      <c r="H2044" t="inlineStr"/>
      <c r="I2044" s="217" t="inlineStr"/>
      <c r="N2044" s="163" t="n"/>
    </row>
    <row r="2045" ht="15.75" customHeight="1" s="305">
      <c r="A2045" s="215" t="n"/>
      <c r="B2045" s="215" t="n"/>
      <c r="C2045" s="215" t="n"/>
      <c r="D2045" s="216" t="n"/>
      <c r="G2045" s="3" t="inlineStr"/>
      <c r="H2045" t="inlineStr"/>
      <c r="I2045" s="217" t="inlineStr"/>
      <c r="N2045" s="163" t="n"/>
    </row>
    <row r="2046" ht="15.75" customHeight="1" s="305">
      <c r="A2046" s="215" t="n"/>
      <c r="B2046" s="215" t="n"/>
      <c r="C2046" s="215" t="n"/>
      <c r="D2046" s="216" t="n"/>
      <c r="G2046" s="3" t="inlineStr"/>
      <c r="H2046" t="inlineStr"/>
      <c r="I2046" s="217" t="inlineStr"/>
      <c r="N2046" s="163" t="n"/>
    </row>
    <row r="2047" ht="15.75" customHeight="1" s="305">
      <c r="A2047" s="215" t="n"/>
      <c r="B2047" s="215" t="n"/>
      <c r="C2047" s="215" t="n"/>
      <c r="D2047" s="216" t="n"/>
      <c r="G2047" s="3" t="inlineStr"/>
      <c r="H2047" t="inlineStr"/>
      <c r="I2047" s="217" t="inlineStr"/>
      <c r="N2047" s="163" t="n"/>
    </row>
    <row r="2048" ht="15.75" customHeight="1" s="305">
      <c r="A2048" s="215" t="n"/>
      <c r="B2048" s="215" t="n"/>
      <c r="C2048" s="215" t="n"/>
      <c r="D2048" s="216" t="n"/>
      <c r="G2048" s="3" t="inlineStr"/>
      <c r="H2048" t="inlineStr"/>
      <c r="I2048" s="217" t="inlineStr"/>
      <c r="N2048" s="163" t="n"/>
    </row>
    <row r="2049" ht="15.75" customHeight="1" s="305">
      <c r="A2049" s="215" t="n"/>
      <c r="B2049" s="215" t="n"/>
      <c r="C2049" s="215" t="n"/>
      <c r="D2049" s="216" t="n"/>
      <c r="G2049" s="3" t="inlineStr"/>
      <c r="H2049" t="inlineStr"/>
      <c r="I2049" s="217" t="inlineStr"/>
      <c r="N2049" s="163" t="n"/>
    </row>
    <row r="2050" ht="15.75" customHeight="1" s="305">
      <c r="A2050" s="215" t="n"/>
      <c r="B2050" s="215" t="n"/>
      <c r="C2050" s="215" t="n"/>
      <c r="D2050" s="216" t="n"/>
      <c r="G2050" s="3" t="inlineStr"/>
      <c r="H2050" t="inlineStr"/>
      <c r="I2050" s="217" t="inlineStr"/>
      <c r="N2050" s="163" t="n"/>
    </row>
    <row r="2051" ht="15.75" customHeight="1" s="305">
      <c r="A2051" s="215" t="n"/>
      <c r="B2051" s="215" t="n"/>
      <c r="C2051" s="215" t="n"/>
      <c r="D2051" s="216" t="n"/>
      <c r="G2051" s="3" t="inlineStr"/>
      <c r="H2051" t="inlineStr"/>
      <c r="I2051" s="217" t="inlineStr"/>
      <c r="N2051" s="163" t="n"/>
    </row>
    <row r="2052" ht="15.75" customHeight="1" s="305">
      <c r="A2052" s="215" t="n"/>
      <c r="B2052" s="215" t="n"/>
      <c r="C2052" s="215" t="n"/>
      <c r="D2052" s="216" t="n"/>
      <c r="G2052" s="3" t="inlineStr"/>
      <c r="H2052" t="inlineStr"/>
      <c r="I2052" s="217" t="inlineStr"/>
      <c r="N2052" s="163" t="n"/>
    </row>
    <row r="2053" ht="15.75" customHeight="1" s="305">
      <c r="A2053" s="215" t="n"/>
      <c r="B2053" s="215" t="n"/>
      <c r="C2053" s="215" t="n"/>
      <c r="D2053" s="216" t="n"/>
      <c r="G2053" s="3" t="inlineStr"/>
      <c r="H2053" t="inlineStr"/>
      <c r="I2053" s="217" t="inlineStr"/>
      <c r="N2053" s="163" t="n"/>
    </row>
    <row r="2054" ht="15.75" customHeight="1" s="305">
      <c r="A2054" s="215" t="n"/>
      <c r="B2054" s="215" t="n"/>
      <c r="C2054" s="215" t="n"/>
      <c r="D2054" s="216" t="n"/>
      <c r="G2054" s="3" t="inlineStr"/>
      <c r="H2054" t="inlineStr"/>
      <c r="I2054" s="217" t="inlineStr"/>
      <c r="N2054" s="163" t="n"/>
    </row>
    <row r="2055" ht="15.75" customHeight="1" s="305">
      <c r="A2055" s="215" t="n"/>
      <c r="B2055" s="215" t="n"/>
      <c r="C2055" s="215" t="n"/>
      <c r="D2055" s="216" t="n"/>
      <c r="G2055" s="3" t="inlineStr"/>
      <c r="H2055" t="inlineStr"/>
      <c r="I2055" s="217" t="inlineStr"/>
      <c r="N2055" s="163" t="n"/>
    </row>
    <row r="2056" ht="15.75" customHeight="1" s="305">
      <c r="A2056" s="215" t="n"/>
      <c r="B2056" s="215" t="n"/>
      <c r="C2056" s="215" t="n"/>
      <c r="D2056" s="216" t="n"/>
      <c r="G2056" s="3" t="inlineStr"/>
      <c r="H2056" t="inlineStr"/>
      <c r="I2056" s="217" t="inlineStr"/>
      <c r="N2056" s="163" t="n"/>
    </row>
    <row r="2057" ht="15.75" customHeight="1" s="305">
      <c r="A2057" s="215" t="n"/>
      <c r="B2057" s="215" t="n"/>
      <c r="C2057" s="215" t="n"/>
      <c r="D2057" s="216" t="n"/>
      <c r="G2057" s="3" t="inlineStr"/>
      <c r="H2057" t="inlineStr"/>
      <c r="I2057" s="217" t="inlineStr"/>
      <c r="N2057" s="163" t="n"/>
    </row>
    <row r="2058" ht="15.75" customHeight="1" s="305">
      <c r="A2058" s="215" t="n"/>
      <c r="B2058" s="215" t="n"/>
      <c r="C2058" s="215" t="n"/>
      <c r="D2058" s="216" t="n"/>
      <c r="G2058" s="3" t="inlineStr"/>
      <c r="H2058" t="inlineStr"/>
      <c r="I2058" s="217" t="inlineStr"/>
      <c r="N2058" s="163" t="n"/>
    </row>
    <row r="2059" ht="15.75" customHeight="1" s="305">
      <c r="A2059" s="215" t="n"/>
      <c r="B2059" s="215" t="n"/>
      <c r="C2059" s="215" t="n"/>
      <c r="D2059" s="216" t="n"/>
      <c r="G2059" s="3" t="inlineStr"/>
      <c r="H2059" t="inlineStr"/>
      <c r="I2059" s="217" t="inlineStr"/>
      <c r="N2059" s="163" t="n"/>
    </row>
    <row r="2060" ht="15.75" customHeight="1" s="305">
      <c r="A2060" s="215" t="n"/>
      <c r="B2060" s="215" t="n"/>
      <c r="C2060" s="215" t="n"/>
      <c r="D2060" s="216" t="n"/>
      <c r="G2060" s="3" t="inlineStr"/>
      <c r="H2060" t="inlineStr"/>
      <c r="I2060" s="217" t="inlineStr"/>
      <c r="N2060" s="163" t="n"/>
    </row>
    <row r="2061" ht="15.75" customHeight="1" s="305">
      <c r="A2061" s="215" t="n"/>
      <c r="B2061" s="215" t="n"/>
      <c r="C2061" s="215" t="n"/>
      <c r="D2061" s="216" t="n"/>
      <c r="G2061" s="3" t="inlineStr"/>
      <c r="H2061" t="inlineStr"/>
      <c r="I2061" s="217" t="inlineStr"/>
      <c r="N2061" s="163" t="n"/>
    </row>
    <row r="2062" ht="15.75" customHeight="1" s="305">
      <c r="A2062" s="215" t="n"/>
      <c r="B2062" s="215" t="n"/>
      <c r="C2062" s="215" t="n"/>
      <c r="D2062" s="216" t="n"/>
      <c r="G2062" s="3" t="inlineStr"/>
      <c r="H2062" t="inlineStr"/>
      <c r="I2062" s="217" t="inlineStr"/>
      <c r="N2062" s="163" t="n"/>
    </row>
    <row r="2063" ht="15.75" customHeight="1" s="305">
      <c r="A2063" s="215" t="n"/>
      <c r="B2063" s="215" t="n"/>
      <c r="C2063" s="215" t="n"/>
      <c r="D2063" s="216" t="n"/>
      <c r="G2063" s="3" t="inlineStr"/>
      <c r="H2063" t="inlineStr"/>
      <c r="I2063" s="217" t="inlineStr"/>
      <c r="N2063" s="163" t="n"/>
    </row>
    <row r="2064" ht="15.75" customHeight="1" s="305">
      <c r="A2064" s="215" t="n"/>
      <c r="B2064" s="215" t="n"/>
      <c r="C2064" s="215" t="n"/>
      <c r="D2064" s="216" t="n"/>
      <c r="G2064" s="3" t="inlineStr"/>
      <c r="H2064" t="inlineStr"/>
      <c r="I2064" s="217" t="inlineStr"/>
      <c r="N2064" s="163" t="n"/>
    </row>
    <row r="2065" ht="15.75" customHeight="1" s="305">
      <c r="A2065" s="215" t="n"/>
      <c r="B2065" s="215" t="n"/>
      <c r="C2065" s="215" t="n"/>
      <c r="D2065" s="216" t="n"/>
      <c r="G2065" s="3" t="inlineStr"/>
      <c r="H2065" t="inlineStr"/>
      <c r="I2065" s="217" t="inlineStr"/>
      <c r="N2065" s="163" t="n"/>
    </row>
    <row r="2066" ht="15.75" customHeight="1" s="305">
      <c r="A2066" s="215" t="n"/>
      <c r="B2066" s="215" t="n"/>
      <c r="C2066" s="215" t="n"/>
      <c r="D2066" s="216" t="n"/>
      <c r="G2066" s="3" t="inlineStr"/>
      <c r="H2066" t="inlineStr"/>
      <c r="I2066" s="217" t="inlineStr"/>
      <c r="N2066" s="163" t="n"/>
    </row>
    <row r="2067" ht="15.75" customHeight="1" s="305">
      <c r="A2067" s="215" t="n"/>
      <c r="B2067" s="215" t="n"/>
      <c r="C2067" s="215" t="n"/>
      <c r="D2067" s="216" t="n"/>
      <c r="G2067" s="3" t="inlineStr"/>
      <c r="H2067" t="inlineStr"/>
      <c r="I2067" s="217" t="inlineStr"/>
      <c r="N2067" s="163" t="n"/>
    </row>
    <row r="2068" ht="15.75" customHeight="1" s="305">
      <c r="A2068" s="215" t="n"/>
      <c r="B2068" s="215" t="n"/>
      <c r="C2068" s="215" t="n"/>
      <c r="D2068" s="216" t="n"/>
      <c r="G2068" s="3" t="inlineStr"/>
      <c r="H2068" t="inlineStr"/>
      <c r="I2068" s="217" t="inlineStr"/>
      <c r="N2068" s="163" t="n"/>
    </row>
    <row r="2069" ht="15.75" customHeight="1" s="305">
      <c r="A2069" s="215" t="n"/>
      <c r="B2069" s="215" t="n"/>
      <c r="C2069" s="215" t="n"/>
      <c r="D2069" s="216" t="n"/>
      <c r="G2069" s="3" t="inlineStr"/>
      <c r="H2069" t="inlineStr"/>
      <c r="I2069" s="217" t="inlineStr"/>
      <c r="N2069" s="163" t="n"/>
    </row>
    <row r="2070" ht="15.75" customHeight="1" s="305">
      <c r="A2070" s="215" t="n"/>
      <c r="B2070" s="215" t="n"/>
      <c r="C2070" s="215" t="n"/>
      <c r="D2070" s="216" t="n"/>
      <c r="G2070" s="3" t="inlineStr"/>
      <c r="H2070" t="inlineStr"/>
      <c r="I2070" s="217" t="inlineStr"/>
      <c r="N2070" s="163" t="n"/>
    </row>
    <row r="2071" ht="15.75" customHeight="1" s="305">
      <c r="A2071" s="215" t="n"/>
      <c r="B2071" s="215" t="n"/>
      <c r="C2071" s="215" t="n"/>
      <c r="D2071" s="216" t="n"/>
      <c r="G2071" s="3" t="inlineStr"/>
      <c r="H2071" t="inlineStr"/>
      <c r="I2071" s="217" t="inlineStr"/>
      <c r="N2071" s="163" t="n"/>
    </row>
    <row r="2072" ht="15.75" customHeight="1" s="305">
      <c r="A2072" s="215" t="n"/>
      <c r="B2072" s="215" t="n"/>
      <c r="C2072" s="215" t="n"/>
      <c r="D2072" s="216" t="n"/>
      <c r="G2072" s="3" t="inlineStr"/>
      <c r="H2072" t="inlineStr"/>
      <c r="I2072" s="217" t="inlineStr"/>
      <c r="N2072" s="163" t="n"/>
    </row>
    <row r="2073" ht="15.75" customHeight="1" s="305">
      <c r="A2073" s="215" t="n"/>
      <c r="B2073" s="215" t="n"/>
      <c r="C2073" s="215" t="n"/>
      <c r="D2073" s="216" t="n"/>
      <c r="G2073" s="3" t="inlineStr"/>
      <c r="H2073" t="inlineStr"/>
      <c r="I2073" s="217" t="inlineStr"/>
      <c r="N2073" s="163" t="n"/>
    </row>
    <row r="2074" ht="15.75" customHeight="1" s="305">
      <c r="A2074" s="215" t="n"/>
      <c r="B2074" s="215" t="n"/>
      <c r="C2074" s="215" t="n"/>
      <c r="D2074" s="216" t="n"/>
      <c r="G2074" s="3" t="inlineStr"/>
      <c r="H2074" t="inlineStr"/>
      <c r="I2074" s="217" t="inlineStr"/>
      <c r="N2074" s="163" t="n"/>
    </row>
    <row r="2075" ht="15.75" customHeight="1" s="305">
      <c r="A2075" s="215" t="n"/>
      <c r="B2075" s="215" t="n"/>
      <c r="C2075" s="215" t="n"/>
      <c r="D2075" s="216" t="n"/>
      <c r="G2075" s="3" t="inlineStr"/>
      <c r="H2075" t="inlineStr"/>
      <c r="I2075" s="217" t="inlineStr"/>
      <c r="N2075" s="163" t="n"/>
    </row>
    <row r="2076" ht="15.75" customHeight="1" s="305">
      <c r="A2076" s="215" t="n"/>
      <c r="B2076" s="215" t="n"/>
      <c r="C2076" s="215" t="n"/>
      <c r="D2076" s="216" t="n"/>
      <c r="G2076" s="3" t="inlineStr"/>
      <c r="H2076" t="inlineStr"/>
      <c r="I2076" s="217" t="inlineStr"/>
      <c r="N2076" s="163" t="n"/>
    </row>
    <row r="2077" ht="15.75" customHeight="1" s="305">
      <c r="A2077" s="215" t="n"/>
      <c r="B2077" s="215" t="n"/>
      <c r="C2077" s="215" t="n"/>
      <c r="D2077" s="216" t="n"/>
      <c r="G2077" s="3" t="inlineStr"/>
      <c r="H2077" t="inlineStr"/>
      <c r="I2077" s="217" t="inlineStr"/>
      <c r="N2077" s="163" t="n"/>
    </row>
    <row r="2078" ht="15.75" customHeight="1" s="305">
      <c r="A2078" s="215" t="n"/>
      <c r="B2078" s="215" t="n"/>
      <c r="C2078" s="215" t="n"/>
      <c r="D2078" s="216" t="n"/>
      <c r="G2078" s="3" t="inlineStr"/>
      <c r="H2078" t="inlineStr"/>
      <c r="I2078" s="217" t="inlineStr"/>
      <c r="N2078" s="163" t="n"/>
    </row>
    <row r="2079" ht="15.75" customHeight="1" s="305">
      <c r="A2079" s="215" t="n"/>
      <c r="B2079" s="215" t="n"/>
      <c r="C2079" s="215" t="n"/>
      <c r="D2079" s="216" t="n"/>
      <c r="G2079" s="3" t="inlineStr"/>
      <c r="H2079" t="inlineStr"/>
      <c r="I2079" s="217" t="inlineStr"/>
      <c r="N2079" s="163" t="n"/>
    </row>
    <row r="2080" ht="15.75" customHeight="1" s="305">
      <c r="A2080" s="215" t="n"/>
      <c r="B2080" s="215" t="n"/>
      <c r="C2080" s="215" t="n"/>
      <c r="D2080" s="216" t="n"/>
      <c r="G2080" s="3" t="inlineStr"/>
      <c r="H2080" t="inlineStr"/>
      <c r="I2080" s="217" t="inlineStr"/>
      <c r="N2080" s="163" t="n"/>
    </row>
    <row r="2081" ht="15.75" customHeight="1" s="305">
      <c r="A2081" s="215" t="n"/>
      <c r="B2081" s="215" t="n"/>
      <c r="C2081" s="215" t="n"/>
      <c r="D2081" s="216" t="n"/>
      <c r="G2081" s="3" t="inlineStr"/>
      <c r="H2081" t="inlineStr"/>
      <c r="I2081" s="217" t="inlineStr"/>
      <c r="N2081" s="163" t="n"/>
    </row>
    <row r="2082" ht="15.75" customHeight="1" s="305">
      <c r="A2082" s="215" t="n"/>
      <c r="B2082" s="215" t="n"/>
      <c r="C2082" s="215" t="n"/>
      <c r="D2082" s="216" t="n"/>
      <c r="G2082" s="3" t="inlineStr"/>
      <c r="H2082" t="inlineStr"/>
      <c r="I2082" s="217" t="inlineStr"/>
      <c r="N2082" s="163" t="n"/>
    </row>
    <row r="2083" ht="15.75" customHeight="1" s="305">
      <c r="A2083" s="215" t="n"/>
      <c r="B2083" s="215" t="n"/>
      <c r="C2083" s="215" t="n"/>
      <c r="D2083" s="216" t="n"/>
      <c r="G2083" s="3" t="inlineStr"/>
      <c r="H2083" t="inlineStr"/>
      <c r="I2083" s="217" t="inlineStr"/>
      <c r="N2083" s="163" t="n"/>
    </row>
    <row r="2084" ht="15.75" customHeight="1" s="305">
      <c r="A2084" s="215" t="n"/>
      <c r="B2084" s="215" t="n"/>
      <c r="C2084" s="215" t="n"/>
      <c r="D2084" s="216" t="n"/>
      <c r="G2084" s="3" t="inlineStr"/>
      <c r="H2084" t="inlineStr"/>
      <c r="I2084" s="217" t="inlineStr"/>
      <c r="N2084" s="163" t="n"/>
    </row>
    <row r="2085" ht="15.75" customHeight="1" s="305">
      <c r="A2085" s="215" t="n"/>
      <c r="B2085" s="215" t="n"/>
      <c r="C2085" s="215" t="n"/>
      <c r="D2085" s="216" t="n"/>
      <c r="G2085" s="3" t="inlineStr"/>
      <c r="H2085" t="inlineStr"/>
      <c r="I2085" s="217" t="inlineStr"/>
      <c r="N2085" s="163" t="n"/>
    </row>
    <row r="2086" ht="15.75" customHeight="1" s="305">
      <c r="A2086" s="215" t="n"/>
      <c r="B2086" s="215" t="n"/>
      <c r="C2086" s="215" t="n"/>
      <c r="D2086" s="216" t="n"/>
      <c r="G2086" s="3" t="inlineStr"/>
      <c r="H2086" t="inlineStr"/>
      <c r="I2086" s="217" t="inlineStr"/>
      <c r="N2086" s="163" t="n"/>
    </row>
    <row r="2087" ht="15.75" customHeight="1" s="305">
      <c r="A2087" s="215" t="n"/>
      <c r="B2087" s="215" t="n"/>
      <c r="C2087" s="215" t="n"/>
      <c r="D2087" s="216" t="n"/>
      <c r="G2087" s="3" t="inlineStr"/>
      <c r="H2087" t="inlineStr"/>
      <c r="I2087" s="217" t="inlineStr"/>
      <c r="N2087" s="163" t="n"/>
    </row>
    <row r="2088" ht="15.75" customHeight="1" s="305">
      <c r="A2088" s="215" t="n"/>
      <c r="B2088" s="215" t="n"/>
      <c r="C2088" s="215" t="n"/>
      <c r="D2088" s="216" t="n"/>
      <c r="G2088" s="3" t="inlineStr"/>
      <c r="H2088" t="inlineStr"/>
      <c r="I2088" s="217" t="inlineStr"/>
      <c r="N2088" s="163" t="n"/>
    </row>
    <row r="2089" ht="15.75" customHeight="1" s="305">
      <c r="A2089" s="215" t="n"/>
      <c r="B2089" s="215" t="n"/>
      <c r="C2089" s="215" t="n"/>
      <c r="D2089" s="216" t="n"/>
      <c r="G2089" s="3" t="inlineStr"/>
      <c r="H2089" t="inlineStr"/>
      <c r="I2089" s="217" t="inlineStr"/>
      <c r="N2089" s="163" t="n"/>
    </row>
    <row r="2090" ht="15.75" customHeight="1" s="305">
      <c r="A2090" s="215" t="n"/>
      <c r="B2090" s="215" t="n"/>
      <c r="C2090" s="215" t="n"/>
      <c r="D2090" s="216" t="n"/>
      <c r="G2090" s="3" t="inlineStr"/>
      <c r="H2090" t="inlineStr"/>
      <c r="I2090" s="217" t="inlineStr"/>
      <c r="N2090" s="163" t="n"/>
    </row>
    <row r="2091" ht="15.75" customHeight="1" s="305">
      <c r="A2091" s="215" t="n"/>
      <c r="B2091" s="215" t="n"/>
      <c r="C2091" s="215" t="n"/>
      <c r="D2091" s="216" t="n"/>
      <c r="G2091" s="3" t="inlineStr"/>
      <c r="H2091" t="inlineStr"/>
      <c r="I2091" s="217" t="inlineStr"/>
      <c r="N2091" s="163" t="n"/>
    </row>
    <row r="2092" ht="15.75" customHeight="1" s="305">
      <c r="A2092" s="215" t="n"/>
      <c r="B2092" s="215" t="n"/>
      <c r="C2092" s="215" t="n"/>
      <c r="D2092" s="216" t="n"/>
      <c r="G2092" s="3" t="inlineStr"/>
      <c r="H2092" t="inlineStr"/>
      <c r="I2092" s="217" t="inlineStr"/>
      <c r="N2092" s="163" t="n"/>
    </row>
    <row r="2093" ht="15.75" customHeight="1" s="305">
      <c r="A2093" s="215" t="n"/>
      <c r="B2093" s="215" t="n"/>
      <c r="C2093" s="215" t="n"/>
      <c r="D2093" s="216" t="n"/>
      <c r="G2093" s="3" t="inlineStr"/>
      <c r="H2093" t="inlineStr"/>
      <c r="I2093" s="217" t="inlineStr"/>
      <c r="N2093" s="163" t="n"/>
    </row>
    <row r="2094" ht="15.75" customHeight="1" s="305">
      <c r="A2094" s="215" t="n"/>
      <c r="B2094" s="215" t="n"/>
      <c r="C2094" s="215" t="n"/>
      <c r="D2094" s="216" t="n"/>
      <c r="G2094" s="3" t="inlineStr"/>
      <c r="H2094" t="inlineStr"/>
      <c r="I2094" s="217" t="inlineStr"/>
      <c r="N2094" s="163" t="n"/>
    </row>
    <row r="2095" ht="15.75" customHeight="1" s="305">
      <c r="A2095" s="215" t="n"/>
      <c r="B2095" s="215" t="n"/>
      <c r="C2095" s="215" t="n"/>
      <c r="D2095" s="216" t="n"/>
      <c r="G2095" s="3" t="inlineStr"/>
      <c r="H2095" t="inlineStr"/>
      <c r="I2095" s="217" t="inlineStr"/>
      <c r="N2095" s="163" t="n"/>
    </row>
    <row r="2096" ht="15.75" customHeight="1" s="305">
      <c r="A2096" s="215" t="n"/>
      <c r="B2096" s="215" t="n"/>
      <c r="C2096" s="215" t="n"/>
      <c r="D2096" s="216" t="n"/>
      <c r="G2096" s="3" t="inlineStr"/>
      <c r="H2096" t="inlineStr"/>
      <c r="I2096" s="217" t="inlineStr"/>
      <c r="N2096" s="163" t="n"/>
    </row>
    <row r="2097" ht="15.75" customHeight="1" s="305">
      <c r="A2097" s="215" t="n"/>
      <c r="B2097" s="215" t="n"/>
      <c r="C2097" s="215" t="n"/>
      <c r="D2097" s="216" t="n"/>
      <c r="G2097" s="3" t="inlineStr"/>
      <c r="H2097" t="inlineStr"/>
      <c r="I2097" s="217" t="inlineStr"/>
      <c r="N2097" s="163" t="n"/>
    </row>
    <row r="2098" ht="15.75" customHeight="1" s="305">
      <c r="A2098" s="215" t="n"/>
      <c r="B2098" s="215" t="n"/>
      <c r="C2098" s="215" t="n"/>
      <c r="D2098" s="216" t="n"/>
      <c r="G2098" s="3" t="inlineStr"/>
      <c r="H2098" t="inlineStr"/>
      <c r="I2098" s="217" t="inlineStr"/>
      <c r="N2098" s="163" t="n"/>
    </row>
    <row r="2099" ht="15.75" customHeight="1" s="305">
      <c r="A2099" s="215" t="n"/>
      <c r="B2099" s="215" t="n"/>
      <c r="C2099" s="215" t="n"/>
      <c r="D2099" s="216" t="n"/>
      <c r="G2099" s="3" t="inlineStr"/>
      <c r="H2099" t="inlineStr"/>
      <c r="I2099" s="217" t="inlineStr"/>
      <c r="N2099" s="163" t="n"/>
    </row>
    <row r="2100" ht="15.75" customHeight="1" s="305">
      <c r="A2100" s="215" t="n"/>
      <c r="B2100" s="215" t="n"/>
      <c r="C2100" s="215" t="n"/>
      <c r="D2100" s="216" t="n"/>
      <c r="G2100" s="3" t="inlineStr"/>
      <c r="H2100" t="inlineStr"/>
      <c r="I2100" s="217" t="inlineStr"/>
      <c r="N2100" s="163" t="n"/>
    </row>
    <row r="2101" ht="15.75" customHeight="1" s="305">
      <c r="A2101" s="215" t="n"/>
      <c r="B2101" s="215" t="n"/>
      <c r="C2101" s="215" t="n"/>
      <c r="D2101" s="216" t="n"/>
      <c r="G2101" s="3" t="inlineStr"/>
      <c r="H2101" t="inlineStr"/>
      <c r="I2101" s="217" t="inlineStr"/>
      <c r="N2101" s="163" t="n"/>
    </row>
    <row r="2102" ht="15.75" customHeight="1" s="305">
      <c r="A2102" s="215" t="n"/>
      <c r="B2102" s="215" t="n"/>
      <c r="C2102" s="215" t="n"/>
      <c r="D2102" s="216" t="n"/>
      <c r="G2102" s="3" t="inlineStr"/>
      <c r="H2102" t="inlineStr"/>
      <c r="I2102" s="217" t="inlineStr"/>
      <c r="N2102" s="163" t="n"/>
    </row>
    <row r="2103" ht="15.75" customHeight="1" s="305">
      <c r="A2103" s="215" t="n"/>
      <c r="B2103" s="215" t="n"/>
      <c r="C2103" s="215" t="n"/>
      <c r="D2103" s="216" t="n"/>
      <c r="G2103" s="3" t="inlineStr"/>
      <c r="H2103" t="inlineStr"/>
      <c r="I2103" s="217" t="inlineStr"/>
      <c r="N2103" s="163" t="n"/>
    </row>
    <row r="2104" ht="15.75" customHeight="1" s="305">
      <c r="A2104" s="215" t="n"/>
      <c r="B2104" s="215" t="n"/>
      <c r="C2104" s="215" t="n"/>
      <c r="D2104" s="216" t="n"/>
      <c r="G2104" s="3" t="inlineStr"/>
      <c r="H2104" t="inlineStr"/>
      <c r="I2104" s="217" t="inlineStr"/>
      <c r="N2104" s="163" t="n"/>
    </row>
    <row r="2105" ht="15.75" customHeight="1" s="305">
      <c r="A2105" s="215" t="n"/>
      <c r="B2105" s="215" t="n"/>
      <c r="C2105" s="215" t="n"/>
      <c r="D2105" s="216" t="n"/>
      <c r="G2105" s="3" t="inlineStr"/>
      <c r="H2105" t="inlineStr"/>
      <c r="I2105" s="217" t="inlineStr"/>
      <c r="N2105" s="163" t="n"/>
    </row>
    <row r="2106" ht="15.75" customHeight="1" s="305">
      <c r="A2106" s="215" t="n"/>
      <c r="B2106" s="215" t="n"/>
      <c r="C2106" s="215" t="n"/>
      <c r="D2106" s="216" t="n"/>
      <c r="G2106" s="3" t="inlineStr"/>
      <c r="H2106" t="inlineStr"/>
      <c r="I2106" s="217" t="inlineStr"/>
      <c r="N2106" s="163" t="n"/>
    </row>
    <row r="2107" ht="15.75" customHeight="1" s="305">
      <c r="A2107" s="215" t="n"/>
      <c r="B2107" s="215" t="n"/>
      <c r="C2107" s="215" t="n"/>
      <c r="D2107" s="216" t="n"/>
      <c r="G2107" s="3" t="inlineStr"/>
      <c r="H2107" t="inlineStr"/>
      <c r="I2107" s="217" t="inlineStr"/>
      <c r="N2107" s="163" t="n"/>
    </row>
    <row r="2108" ht="15.75" customHeight="1" s="305">
      <c r="A2108" s="215" t="n"/>
      <c r="B2108" s="215" t="n"/>
      <c r="C2108" s="215" t="n"/>
      <c r="D2108" s="216" t="n"/>
      <c r="G2108" s="3" t="inlineStr"/>
      <c r="H2108" t="inlineStr"/>
      <c r="I2108" s="217" t="inlineStr"/>
      <c r="N2108" s="163" t="n"/>
    </row>
    <row r="2109" ht="15.75" customHeight="1" s="305">
      <c r="A2109" s="215" t="n"/>
      <c r="B2109" s="215" t="n"/>
      <c r="C2109" s="215" t="n"/>
      <c r="D2109" s="216" t="n"/>
      <c r="G2109" s="3" t="inlineStr"/>
      <c r="H2109" t="inlineStr"/>
      <c r="I2109" s="217" t="inlineStr"/>
      <c r="N2109" s="163" t="n"/>
    </row>
    <row r="2110" ht="15.75" customHeight="1" s="305">
      <c r="A2110" s="215" t="n"/>
      <c r="B2110" s="215" t="n"/>
      <c r="C2110" s="215" t="n"/>
      <c r="D2110" s="216" t="n"/>
      <c r="G2110" s="3" t="inlineStr"/>
      <c r="H2110" t="inlineStr"/>
      <c r="I2110" s="217" t="inlineStr"/>
      <c r="N2110" s="163" t="n"/>
    </row>
    <row r="2111" ht="15.75" customHeight="1" s="305">
      <c r="A2111" s="215" t="n"/>
      <c r="B2111" s="215" t="n"/>
      <c r="C2111" s="215" t="n"/>
      <c r="D2111" s="216" t="n"/>
      <c r="G2111" s="3" t="inlineStr"/>
      <c r="H2111" t="inlineStr"/>
      <c r="I2111" s="217" t="inlineStr"/>
      <c r="N2111" s="163" t="n"/>
    </row>
    <row r="2112" ht="15.75" customHeight="1" s="305">
      <c r="A2112" s="215" t="n"/>
      <c r="B2112" s="215" t="n"/>
      <c r="C2112" s="215" t="n"/>
      <c r="D2112" s="216" t="n"/>
      <c r="G2112" s="3" t="inlineStr"/>
      <c r="H2112" t="inlineStr"/>
      <c r="I2112" s="217" t="inlineStr"/>
      <c r="N2112" s="163" t="n"/>
    </row>
    <row r="2113" ht="15.75" customHeight="1" s="305">
      <c r="A2113" s="215" t="n"/>
      <c r="B2113" s="215" t="n"/>
      <c r="C2113" s="215" t="n"/>
      <c r="D2113" s="216" t="n"/>
      <c r="G2113" s="3" t="inlineStr"/>
      <c r="H2113" t="inlineStr"/>
      <c r="I2113" s="217" t="inlineStr"/>
      <c r="N2113" s="163" t="n"/>
    </row>
    <row r="2114" ht="15.75" customHeight="1" s="305">
      <c r="A2114" s="215" t="n"/>
      <c r="B2114" s="215" t="n"/>
      <c r="C2114" s="215" t="n"/>
      <c r="D2114" s="216" t="n"/>
      <c r="G2114" s="3" t="inlineStr"/>
      <c r="H2114" t="inlineStr"/>
      <c r="I2114" s="217" t="inlineStr"/>
      <c r="N2114" s="163" t="n"/>
    </row>
    <row r="2115" ht="15.75" customHeight="1" s="305">
      <c r="A2115" s="215" t="n"/>
      <c r="B2115" s="215" t="n"/>
      <c r="C2115" s="215" t="n"/>
      <c r="D2115" s="216" t="n"/>
      <c r="G2115" s="3" t="inlineStr"/>
      <c r="H2115" t="inlineStr"/>
      <c r="I2115" s="217" t="inlineStr"/>
      <c r="N2115" s="163" t="n"/>
    </row>
    <row r="2116" ht="15.75" customHeight="1" s="305">
      <c r="A2116" s="215" t="n"/>
      <c r="B2116" s="215" t="n"/>
      <c r="C2116" s="215" t="n"/>
      <c r="D2116" s="216" t="n"/>
      <c r="G2116" s="3" t="inlineStr"/>
      <c r="H2116" t="inlineStr"/>
      <c r="I2116" s="217" t="inlineStr"/>
      <c r="N2116" s="163" t="n"/>
    </row>
    <row r="2117" ht="15.75" customHeight="1" s="305">
      <c r="A2117" s="215" t="n"/>
      <c r="B2117" s="215" t="n"/>
      <c r="C2117" s="215" t="n"/>
      <c r="D2117" s="216" t="n"/>
      <c r="G2117" s="3" t="inlineStr"/>
      <c r="H2117" t="inlineStr"/>
      <c r="I2117" s="217" t="inlineStr"/>
      <c r="N2117" s="163" t="n"/>
    </row>
    <row r="2118" ht="15.75" customHeight="1" s="305">
      <c r="A2118" s="215" t="n"/>
      <c r="B2118" s="215" t="n"/>
      <c r="C2118" s="215" t="n"/>
      <c r="D2118" s="216" t="n"/>
      <c r="G2118" s="3" t="inlineStr"/>
      <c r="H2118" t="inlineStr"/>
      <c r="I2118" s="217" t="inlineStr"/>
      <c r="N2118" s="163" t="n"/>
    </row>
    <row r="2119" ht="15.75" customHeight="1" s="305">
      <c r="A2119" s="215" t="n"/>
      <c r="B2119" s="215" t="n"/>
      <c r="C2119" s="215" t="n"/>
      <c r="D2119" s="216" t="n"/>
      <c r="G2119" s="3" t="inlineStr"/>
      <c r="H2119" t="inlineStr"/>
      <c r="I2119" s="217" t="inlineStr"/>
      <c r="N2119" s="163" t="n"/>
    </row>
    <row r="2120" ht="15.75" customHeight="1" s="305">
      <c r="A2120" s="215" t="n"/>
      <c r="B2120" s="215" t="n"/>
      <c r="C2120" s="215" t="n"/>
      <c r="D2120" s="216" t="n"/>
      <c r="G2120" s="3" t="inlineStr"/>
      <c r="H2120" t="inlineStr"/>
      <c r="I2120" s="217" t="inlineStr"/>
      <c r="N2120" s="163" t="n"/>
    </row>
    <row r="2121" ht="15.75" customHeight="1" s="305">
      <c r="A2121" s="215" t="n"/>
      <c r="B2121" s="215" t="n"/>
      <c r="C2121" s="215" t="n"/>
      <c r="D2121" s="216" t="n"/>
      <c r="G2121" s="3" t="inlineStr"/>
      <c r="H2121" t="inlineStr"/>
      <c r="I2121" s="217" t="inlineStr"/>
      <c r="N2121" s="163" t="n"/>
    </row>
    <row r="2122" ht="15.75" customHeight="1" s="305">
      <c r="A2122" s="215" t="n"/>
      <c r="B2122" s="215" t="n"/>
      <c r="C2122" s="215" t="n"/>
      <c r="D2122" s="216" t="n"/>
      <c r="G2122" s="3" t="inlineStr"/>
      <c r="H2122" t="inlineStr"/>
      <c r="I2122" s="217" t="inlineStr"/>
      <c r="N2122" s="163" t="n"/>
    </row>
    <row r="2123" ht="15.75" customHeight="1" s="305">
      <c r="A2123" s="215" t="n"/>
      <c r="B2123" s="215" t="n"/>
      <c r="C2123" s="215" t="n"/>
      <c r="D2123" s="216" t="n"/>
      <c r="G2123" s="3" t="inlineStr"/>
      <c r="H2123" t="inlineStr"/>
      <c r="I2123" s="217" t="inlineStr"/>
      <c r="N2123" s="163" t="n"/>
    </row>
    <row r="2124" ht="15.75" customHeight="1" s="305">
      <c r="A2124" s="215" t="n"/>
      <c r="B2124" s="215" t="n"/>
      <c r="C2124" s="215" t="n"/>
      <c r="D2124" s="216" t="n"/>
      <c r="G2124" s="3" t="inlineStr"/>
      <c r="H2124" t="inlineStr"/>
      <c r="I2124" s="217" t="inlineStr"/>
      <c r="N2124" s="163" t="n"/>
    </row>
    <row r="2125" ht="15.75" customHeight="1" s="305">
      <c r="A2125" s="215" t="n"/>
      <c r="B2125" s="215" t="n"/>
      <c r="C2125" s="215" t="n"/>
      <c r="D2125" s="216" t="n"/>
      <c r="G2125" s="3" t="inlineStr"/>
      <c r="H2125" t="inlineStr"/>
      <c r="I2125" s="217" t="inlineStr"/>
      <c r="N2125" s="163" t="n"/>
    </row>
    <row r="2126" ht="15.75" customHeight="1" s="305">
      <c r="A2126" s="215" t="n"/>
      <c r="B2126" s="215" t="n"/>
      <c r="C2126" s="215" t="n"/>
      <c r="D2126" s="216" t="n"/>
      <c r="G2126" s="3" t="inlineStr"/>
      <c r="H2126" t="inlineStr"/>
      <c r="I2126" s="217" t="inlineStr"/>
      <c r="N2126" s="163" t="n"/>
    </row>
    <row r="2127" ht="15.75" customHeight="1" s="305">
      <c r="A2127" s="215" t="n"/>
      <c r="B2127" s="215" t="n"/>
      <c r="C2127" s="215" t="n"/>
      <c r="D2127" s="216" t="n"/>
      <c r="G2127" s="3" t="inlineStr"/>
      <c r="H2127" t="inlineStr"/>
      <c r="I2127" s="217" t="inlineStr"/>
      <c r="N2127" s="163" t="n"/>
    </row>
    <row r="2128" ht="15.75" customHeight="1" s="305">
      <c r="A2128" s="215" t="n"/>
      <c r="B2128" s="215" t="n"/>
      <c r="C2128" s="215" t="n"/>
      <c r="D2128" s="216" t="n"/>
      <c r="G2128" s="3" t="inlineStr"/>
      <c r="H2128" t="inlineStr"/>
      <c r="I2128" s="217" t="inlineStr"/>
      <c r="N2128" s="163" t="n"/>
    </row>
    <row r="2129" ht="15.75" customHeight="1" s="305">
      <c r="A2129" s="215" t="n"/>
      <c r="B2129" s="215" t="n"/>
      <c r="C2129" s="215" t="n"/>
      <c r="D2129" s="216" t="n"/>
      <c r="G2129" s="3" t="inlineStr"/>
      <c r="H2129" t="inlineStr"/>
      <c r="I2129" s="217" t="inlineStr"/>
      <c r="N2129" s="163" t="n"/>
    </row>
    <row r="2130" ht="15.75" customHeight="1" s="305">
      <c r="A2130" s="215" t="n"/>
      <c r="B2130" s="215" t="n"/>
      <c r="C2130" s="215" t="n"/>
      <c r="D2130" s="216" t="n"/>
      <c r="G2130" s="3" t="inlineStr"/>
      <c r="H2130" t="inlineStr"/>
      <c r="I2130" s="217" t="inlineStr"/>
      <c r="N2130" s="163" t="n"/>
    </row>
    <row r="2131" ht="15.75" customHeight="1" s="305">
      <c r="A2131" s="215" t="n"/>
      <c r="B2131" s="215" t="n"/>
      <c r="C2131" s="215" t="n"/>
      <c r="D2131" s="216" t="n"/>
      <c r="G2131" s="3" t="inlineStr"/>
      <c r="H2131" t="inlineStr"/>
      <c r="I2131" s="217" t="inlineStr"/>
      <c r="N2131" s="163" t="n"/>
    </row>
    <row r="2132" ht="15.75" customHeight="1" s="305">
      <c r="A2132" s="215" t="n"/>
      <c r="B2132" s="215" t="n"/>
      <c r="C2132" s="215" t="n"/>
      <c r="D2132" s="216" t="n"/>
      <c r="G2132" s="3" t="inlineStr"/>
      <c r="H2132" t="inlineStr"/>
      <c r="I2132" s="217" t="inlineStr"/>
      <c r="N2132" s="163" t="n"/>
    </row>
    <row r="2133" ht="15.75" customHeight="1" s="305">
      <c r="A2133" s="215" t="n"/>
      <c r="B2133" s="215" t="n"/>
      <c r="C2133" s="215" t="n"/>
      <c r="D2133" s="216" t="n"/>
      <c r="G2133" s="3" t="inlineStr"/>
      <c r="H2133" t="inlineStr"/>
      <c r="I2133" s="217" t="inlineStr"/>
      <c r="N2133" s="163" t="n"/>
    </row>
    <row r="2134" ht="15.75" customHeight="1" s="305">
      <c r="A2134" s="215" t="n"/>
      <c r="B2134" s="215" t="n"/>
      <c r="C2134" s="215" t="n"/>
      <c r="D2134" s="216" t="n"/>
      <c r="G2134" s="3" t="inlineStr"/>
      <c r="H2134" t="inlineStr"/>
      <c r="I2134" s="217" t="inlineStr"/>
      <c r="N2134" s="163" t="n"/>
    </row>
    <row r="2135" ht="15.75" customHeight="1" s="305">
      <c r="A2135" s="215" t="n"/>
      <c r="B2135" s="215" t="n"/>
      <c r="C2135" s="215" t="n"/>
      <c r="D2135" s="216" t="n"/>
      <c r="G2135" s="3" t="inlineStr"/>
      <c r="H2135" t="inlineStr"/>
      <c r="I2135" s="217" t="inlineStr"/>
      <c r="N2135" s="163" t="n"/>
    </row>
    <row r="2136" ht="15.75" customHeight="1" s="305">
      <c r="A2136" s="215" t="n"/>
      <c r="B2136" s="215" t="n"/>
      <c r="C2136" s="215" t="n"/>
      <c r="D2136" s="216" t="n"/>
      <c r="G2136" s="3" t="inlineStr"/>
      <c r="H2136" t="inlineStr"/>
      <c r="I2136" s="217" t="inlineStr"/>
      <c r="N2136" s="163" t="n"/>
    </row>
    <row r="2137" ht="15.75" customHeight="1" s="305">
      <c r="A2137" s="215" t="n"/>
      <c r="B2137" s="215" t="n"/>
      <c r="C2137" s="215" t="n"/>
      <c r="D2137" s="216" t="n"/>
      <c r="G2137" s="3" t="inlineStr"/>
      <c r="H2137" t="inlineStr"/>
      <c r="I2137" s="217" t="inlineStr"/>
      <c r="N2137" s="163" t="n"/>
    </row>
    <row r="2138" ht="15.75" customHeight="1" s="305">
      <c r="A2138" s="215" t="n"/>
      <c r="B2138" s="215" t="n"/>
      <c r="C2138" s="215" t="n"/>
      <c r="D2138" s="216" t="n"/>
      <c r="G2138" s="3" t="inlineStr"/>
      <c r="H2138" t="inlineStr"/>
      <c r="I2138" s="217" t="inlineStr"/>
      <c r="N2138" s="163" t="n"/>
    </row>
    <row r="2139" ht="15.75" customHeight="1" s="305">
      <c r="A2139" s="215" t="n"/>
      <c r="B2139" s="215" t="n"/>
      <c r="C2139" s="215" t="n"/>
      <c r="D2139" s="216" t="n"/>
      <c r="G2139" s="3" t="inlineStr"/>
      <c r="H2139" t="inlineStr"/>
      <c r="I2139" s="217" t="inlineStr"/>
      <c r="N2139" s="163" t="n"/>
    </row>
    <row r="2140" ht="15.75" customHeight="1" s="305">
      <c r="A2140" s="215" t="n"/>
      <c r="B2140" s="215" t="n"/>
      <c r="C2140" s="215" t="n"/>
      <c r="D2140" s="216" t="n"/>
      <c r="G2140" s="3" t="inlineStr"/>
      <c r="H2140" t="inlineStr"/>
      <c r="I2140" s="217" t="inlineStr"/>
      <c r="N2140" s="163" t="n"/>
    </row>
    <row r="2141" ht="15.75" customHeight="1" s="305">
      <c r="A2141" s="215" t="n"/>
      <c r="B2141" s="215" t="n"/>
      <c r="C2141" s="215" t="n"/>
      <c r="D2141" s="216" t="n"/>
      <c r="G2141" s="3" t="inlineStr"/>
      <c r="H2141" t="inlineStr"/>
      <c r="I2141" s="217" t="inlineStr"/>
      <c r="N2141" s="163" t="n"/>
    </row>
    <row r="2142" ht="15.75" customHeight="1" s="305">
      <c r="A2142" s="215" t="n"/>
      <c r="B2142" s="215" t="n"/>
      <c r="C2142" s="215" t="n"/>
      <c r="D2142" s="216" t="n"/>
      <c r="G2142" s="3" t="inlineStr"/>
      <c r="H2142" t="inlineStr"/>
      <c r="I2142" s="217" t="inlineStr"/>
      <c r="N2142" s="163" t="n"/>
    </row>
    <row r="2143" ht="15.75" customHeight="1" s="305">
      <c r="A2143" s="215" t="n"/>
      <c r="B2143" s="215" t="n"/>
      <c r="C2143" s="215" t="n"/>
      <c r="D2143" s="216" t="n"/>
      <c r="G2143" s="3" t="inlineStr"/>
      <c r="H2143" t="inlineStr"/>
      <c r="I2143" s="217" t="inlineStr"/>
      <c r="N2143" s="163" t="n"/>
    </row>
    <row r="2144" ht="15.75" customHeight="1" s="305">
      <c r="A2144" s="215" t="n"/>
      <c r="B2144" s="215" t="n"/>
      <c r="C2144" s="215" t="n"/>
      <c r="D2144" s="216" t="n"/>
      <c r="G2144" s="3" t="inlineStr"/>
      <c r="H2144" t="inlineStr"/>
      <c r="I2144" s="217" t="inlineStr"/>
      <c r="N2144" s="163" t="n"/>
    </row>
    <row r="2145" ht="15.75" customHeight="1" s="305">
      <c r="A2145" s="215" t="n"/>
      <c r="B2145" s="215" t="n"/>
      <c r="C2145" s="215" t="n"/>
      <c r="D2145" s="216" t="n"/>
      <c r="G2145" s="3" t="inlineStr"/>
      <c r="H2145" t="inlineStr"/>
      <c r="I2145" s="217" t="inlineStr"/>
      <c r="N2145" s="163" t="n"/>
    </row>
    <row r="2146" ht="15.75" customHeight="1" s="305">
      <c r="A2146" s="215" t="n"/>
      <c r="B2146" s="215" t="n"/>
      <c r="C2146" s="215" t="n"/>
      <c r="D2146" s="216" t="n"/>
      <c r="G2146" s="3" t="inlineStr"/>
      <c r="H2146" t="inlineStr"/>
      <c r="I2146" s="217" t="inlineStr"/>
      <c r="N2146" s="163" t="n"/>
    </row>
    <row r="2147" ht="15.75" customHeight="1" s="305">
      <c r="A2147" s="215" t="n"/>
      <c r="B2147" s="215" t="n"/>
      <c r="C2147" s="215" t="n"/>
      <c r="D2147" s="216" t="n"/>
      <c r="G2147" s="3" t="inlineStr"/>
      <c r="H2147" t="inlineStr"/>
      <c r="I2147" s="217" t="inlineStr"/>
      <c r="N2147" s="163" t="n"/>
    </row>
    <row r="2148" ht="15.75" customHeight="1" s="305">
      <c r="A2148" s="215" t="n"/>
      <c r="B2148" s="215" t="n"/>
      <c r="C2148" s="215" t="n"/>
      <c r="D2148" s="216" t="n"/>
      <c r="G2148" s="3" t="inlineStr"/>
      <c r="H2148" t="inlineStr"/>
      <c r="I2148" s="217" t="inlineStr"/>
      <c r="N2148" s="163" t="n"/>
    </row>
    <row r="2149" ht="15.75" customHeight="1" s="305">
      <c r="A2149" s="215" t="n"/>
      <c r="B2149" s="215" t="n"/>
      <c r="C2149" s="215" t="n"/>
      <c r="D2149" s="216" t="n"/>
      <c r="G2149" s="3" t="inlineStr"/>
      <c r="H2149" t="inlineStr"/>
      <c r="I2149" s="217" t="inlineStr"/>
      <c r="N2149" s="163" t="n"/>
    </row>
    <row r="2150" ht="15.75" customHeight="1" s="305">
      <c r="A2150" s="215" t="n"/>
      <c r="B2150" s="215" t="n"/>
      <c r="C2150" s="215" t="n"/>
      <c r="D2150" s="216" t="n"/>
      <c r="G2150" s="3" t="inlineStr"/>
      <c r="H2150" t="inlineStr"/>
      <c r="I2150" s="217" t="inlineStr"/>
      <c r="N2150" s="163" t="n"/>
    </row>
    <row r="2151" ht="15.75" customHeight="1" s="305">
      <c r="A2151" s="215" t="n"/>
      <c r="B2151" s="215" t="n"/>
      <c r="C2151" s="215" t="n"/>
      <c r="D2151" s="216" t="n"/>
      <c r="G2151" s="3" t="inlineStr"/>
      <c r="H2151" t="inlineStr"/>
      <c r="I2151" s="217" t="inlineStr"/>
      <c r="N2151" s="163" t="n"/>
    </row>
    <row r="2152" ht="15.75" customHeight="1" s="305">
      <c r="A2152" s="215" t="n"/>
      <c r="B2152" s="215" t="n"/>
      <c r="C2152" s="215" t="n"/>
      <c r="D2152" s="216" t="n"/>
      <c r="G2152" s="3" t="inlineStr"/>
      <c r="H2152" t="inlineStr"/>
      <c r="I2152" s="217" t="inlineStr"/>
      <c r="N2152" s="163" t="n"/>
    </row>
    <row r="2153" ht="15.75" customHeight="1" s="305">
      <c r="A2153" s="215" t="n"/>
      <c r="B2153" s="215" t="n"/>
      <c r="C2153" s="215" t="n"/>
      <c r="D2153" s="216" t="n"/>
      <c r="G2153" s="3" t="inlineStr"/>
      <c r="H2153" t="inlineStr"/>
      <c r="I2153" s="217" t="inlineStr"/>
      <c r="N2153" s="163" t="n"/>
    </row>
    <row r="2154" ht="15.75" customHeight="1" s="305">
      <c r="A2154" s="215" t="n"/>
      <c r="B2154" s="215" t="n"/>
      <c r="C2154" s="215" t="n"/>
      <c r="D2154" s="216" t="n"/>
      <c r="G2154" s="3" t="inlineStr"/>
      <c r="H2154" t="inlineStr"/>
      <c r="I2154" s="217" t="inlineStr"/>
      <c r="N2154" s="163" t="n"/>
    </row>
    <row r="2155" ht="15.75" customHeight="1" s="305">
      <c r="A2155" s="215" t="n"/>
      <c r="B2155" s="215" t="n"/>
      <c r="C2155" s="215" t="n"/>
      <c r="D2155" s="216" t="n"/>
      <c r="G2155" s="3" t="inlineStr"/>
      <c r="H2155" t="inlineStr"/>
      <c r="I2155" s="217" t="inlineStr"/>
      <c r="N2155" s="163" t="n"/>
    </row>
    <row r="2156" ht="15.75" customHeight="1" s="305">
      <c r="A2156" s="215" t="n"/>
      <c r="B2156" s="215" t="n"/>
      <c r="C2156" s="215" t="n"/>
      <c r="D2156" s="216" t="n"/>
      <c r="G2156" s="3" t="inlineStr"/>
      <c r="H2156" t="inlineStr"/>
      <c r="I2156" s="217" t="inlineStr"/>
      <c r="N2156" s="163" t="n"/>
    </row>
    <row r="2157" ht="15.75" customHeight="1" s="305">
      <c r="A2157" s="215" t="n"/>
      <c r="B2157" s="215" t="n"/>
      <c r="C2157" s="215" t="n"/>
      <c r="D2157" s="216" t="n"/>
      <c r="G2157" s="3" t="inlineStr"/>
      <c r="H2157" t="inlineStr"/>
      <c r="I2157" s="217" t="inlineStr"/>
      <c r="N2157" s="163" t="n"/>
    </row>
    <row r="2158" ht="15.75" customHeight="1" s="305">
      <c r="A2158" s="215" t="n"/>
      <c r="B2158" s="215" t="n"/>
      <c r="C2158" s="215" t="n"/>
      <c r="D2158" s="216" t="n"/>
      <c r="G2158" s="3" t="inlineStr"/>
      <c r="H2158" t="inlineStr"/>
      <c r="I2158" s="217" t="inlineStr"/>
      <c r="N2158" s="163" t="n"/>
    </row>
    <row r="2159" ht="15.75" customHeight="1" s="305">
      <c r="A2159" s="215" t="n"/>
      <c r="B2159" s="215" t="n"/>
      <c r="C2159" s="215" t="n"/>
      <c r="D2159" s="216" t="n"/>
      <c r="G2159" s="3" t="inlineStr"/>
      <c r="H2159" t="inlineStr"/>
      <c r="I2159" s="217" t="inlineStr"/>
      <c r="N2159" s="163" t="n"/>
    </row>
    <row r="2160" ht="15.75" customHeight="1" s="305">
      <c r="A2160" s="215" t="n"/>
      <c r="B2160" s="215" t="n"/>
      <c r="C2160" s="215" t="n"/>
      <c r="D2160" s="216" t="n"/>
      <c r="G2160" s="3" t="inlineStr"/>
      <c r="H2160" t="inlineStr"/>
      <c r="I2160" s="217" t="inlineStr"/>
      <c r="N2160" s="163" t="n"/>
    </row>
    <row r="2161" ht="15.75" customHeight="1" s="305">
      <c r="A2161" s="215" t="n"/>
      <c r="B2161" s="215" t="n"/>
      <c r="C2161" s="215" t="n"/>
      <c r="D2161" s="216" t="n"/>
      <c r="G2161" s="3" t="inlineStr"/>
      <c r="H2161" t="inlineStr"/>
      <c r="I2161" s="217" t="inlineStr"/>
      <c r="N2161" s="163" t="n"/>
    </row>
    <row r="2162" ht="15.75" customHeight="1" s="305">
      <c r="A2162" s="215" t="n"/>
      <c r="B2162" s="215" t="n"/>
      <c r="C2162" s="215" t="n"/>
      <c r="D2162" s="216" t="n"/>
      <c r="G2162" s="3" t="inlineStr"/>
      <c r="H2162" t="inlineStr"/>
      <c r="I2162" s="217" t="inlineStr"/>
      <c r="N2162" s="163" t="n"/>
    </row>
    <row r="2163" ht="15.75" customHeight="1" s="305">
      <c r="A2163" s="215" t="n"/>
      <c r="B2163" s="215" t="n"/>
      <c r="C2163" s="215" t="n"/>
      <c r="D2163" s="216" t="n"/>
      <c r="G2163" s="3" t="inlineStr"/>
      <c r="H2163" t="inlineStr"/>
      <c r="I2163" s="217" t="inlineStr"/>
      <c r="N2163" s="163" t="n"/>
    </row>
    <row r="2164" ht="15.75" customHeight="1" s="305">
      <c r="A2164" s="215" t="n"/>
      <c r="B2164" s="215" t="n"/>
      <c r="C2164" s="215" t="n"/>
      <c r="D2164" s="216" t="n"/>
      <c r="G2164" s="3" t="inlineStr"/>
      <c r="H2164" t="inlineStr"/>
      <c r="I2164" s="217" t="inlineStr"/>
      <c r="N2164" s="163" t="n"/>
    </row>
    <row r="2165" ht="15.75" customHeight="1" s="305">
      <c r="A2165" s="215" t="n"/>
      <c r="B2165" s="215" t="n"/>
      <c r="C2165" s="215" t="n"/>
      <c r="D2165" s="216" t="n"/>
      <c r="G2165" s="3" t="inlineStr"/>
      <c r="H2165" t="inlineStr"/>
      <c r="I2165" s="217" t="inlineStr"/>
      <c r="N2165" s="163" t="n"/>
    </row>
    <row r="2166" ht="15.75" customHeight="1" s="305">
      <c r="A2166" s="215" t="n"/>
      <c r="B2166" s="215" t="n"/>
      <c r="C2166" s="215" t="n"/>
      <c r="D2166" s="216" t="n"/>
      <c r="G2166" s="3" t="inlineStr"/>
      <c r="H2166" t="inlineStr"/>
      <c r="I2166" s="217" t="inlineStr"/>
      <c r="N2166" s="163" t="n"/>
    </row>
    <row r="2167" ht="15.75" customHeight="1" s="305">
      <c r="A2167" s="215" t="n"/>
      <c r="B2167" s="215" t="n"/>
      <c r="C2167" s="215" t="n"/>
      <c r="D2167" s="216" t="n"/>
      <c r="G2167" s="3" t="inlineStr"/>
      <c r="H2167" t="inlineStr"/>
      <c r="I2167" s="217" t="inlineStr"/>
      <c r="N2167" s="163" t="n"/>
    </row>
    <row r="2168" ht="15.75" customHeight="1" s="305">
      <c r="A2168" s="215" t="n"/>
      <c r="B2168" s="215" t="n"/>
      <c r="C2168" s="215" t="n"/>
      <c r="D2168" s="216" t="n"/>
      <c r="G2168" s="3" t="inlineStr"/>
      <c r="H2168" t="inlineStr"/>
      <c r="I2168" s="217" t="inlineStr"/>
      <c r="N2168" s="163" t="n"/>
    </row>
    <row r="2169" ht="15.75" customHeight="1" s="305">
      <c r="A2169" s="215" t="n"/>
      <c r="B2169" s="215" t="n"/>
      <c r="C2169" s="215" t="n"/>
      <c r="D2169" s="216" t="n"/>
      <c r="G2169" s="3" t="inlineStr"/>
      <c r="H2169" t="inlineStr"/>
      <c r="I2169" s="217" t="inlineStr"/>
      <c r="N2169" s="163" t="n"/>
    </row>
    <row r="2170" ht="15.75" customHeight="1" s="305">
      <c r="A2170" s="215" t="n"/>
      <c r="B2170" s="215" t="n"/>
      <c r="C2170" s="215" t="n"/>
      <c r="D2170" s="216" t="n"/>
      <c r="G2170" s="3" t="inlineStr"/>
      <c r="H2170" t="inlineStr"/>
      <c r="I2170" s="217" t="inlineStr"/>
      <c r="N2170" s="163" t="n"/>
    </row>
    <row r="2171" ht="15.75" customHeight="1" s="305">
      <c r="A2171" s="215" t="n"/>
      <c r="B2171" s="215" t="n"/>
      <c r="C2171" s="215" t="n"/>
      <c r="D2171" s="216" t="n"/>
      <c r="G2171" s="3" t="inlineStr"/>
      <c r="H2171" t="inlineStr"/>
      <c r="I2171" s="217" t="inlineStr"/>
      <c r="N2171" s="163" t="n"/>
    </row>
    <row r="2172" ht="15.75" customHeight="1" s="305">
      <c r="A2172" s="215" t="n"/>
      <c r="B2172" s="215" t="n"/>
      <c r="C2172" s="215" t="n"/>
      <c r="D2172" s="216" t="n"/>
      <c r="G2172" s="3" t="inlineStr"/>
      <c r="H2172" t="inlineStr"/>
      <c r="I2172" s="217" t="inlineStr"/>
      <c r="N2172" s="163" t="n"/>
    </row>
    <row r="2173" ht="15.75" customHeight="1" s="305">
      <c r="A2173" s="215" t="n"/>
      <c r="B2173" s="215" t="n"/>
      <c r="C2173" s="215" t="n"/>
      <c r="D2173" s="216" t="n"/>
      <c r="G2173" s="3" t="inlineStr"/>
      <c r="H2173" t="inlineStr"/>
      <c r="I2173" s="217" t="inlineStr"/>
      <c r="N2173" s="163" t="n"/>
    </row>
    <row r="2174" ht="15.75" customHeight="1" s="305">
      <c r="A2174" s="215" t="n"/>
      <c r="B2174" s="215" t="n"/>
      <c r="C2174" s="215" t="n"/>
      <c r="D2174" s="216" t="n"/>
      <c r="G2174" s="3" t="inlineStr"/>
      <c r="H2174" t="inlineStr"/>
      <c r="I2174" s="217" t="inlineStr"/>
      <c r="N2174" s="163" t="n"/>
    </row>
    <row r="2175" ht="15.75" customHeight="1" s="305">
      <c r="A2175" s="215" t="n"/>
      <c r="B2175" s="215" t="n"/>
      <c r="C2175" s="215" t="n"/>
      <c r="D2175" s="216" t="n"/>
      <c r="G2175" s="3" t="inlineStr"/>
      <c r="H2175" t="inlineStr"/>
      <c r="I2175" s="217" t="inlineStr"/>
      <c r="N2175" s="163" t="n"/>
    </row>
    <row r="2176" ht="15.75" customHeight="1" s="305">
      <c r="A2176" s="215" t="n"/>
      <c r="B2176" s="215" t="n"/>
      <c r="C2176" s="215" t="n"/>
      <c r="D2176" s="216" t="n"/>
      <c r="G2176" s="3" t="inlineStr"/>
      <c r="H2176" t="inlineStr"/>
      <c r="I2176" s="217" t="inlineStr"/>
      <c r="N2176" s="163" t="n"/>
    </row>
    <row r="2177" ht="15.75" customHeight="1" s="305">
      <c r="A2177" s="215" t="n"/>
      <c r="B2177" s="215" t="n"/>
      <c r="C2177" s="215" t="n"/>
      <c r="D2177" s="216" t="n"/>
      <c r="G2177" s="3" t="inlineStr"/>
      <c r="H2177" t="inlineStr"/>
      <c r="I2177" s="217" t="inlineStr"/>
      <c r="N2177" s="163" t="n"/>
    </row>
    <row r="2178" ht="15.75" customHeight="1" s="305">
      <c r="A2178" s="215" t="n"/>
      <c r="B2178" s="215" t="n"/>
      <c r="C2178" s="215" t="n"/>
      <c r="D2178" s="216" t="n"/>
      <c r="G2178" s="3" t="inlineStr"/>
      <c r="H2178" t="inlineStr"/>
      <c r="I2178" s="217" t="inlineStr"/>
      <c r="N2178" s="163" t="n"/>
    </row>
    <row r="2179" ht="15.75" customHeight="1" s="305">
      <c r="A2179" s="215" t="n"/>
      <c r="B2179" s="215" t="n"/>
      <c r="C2179" s="215" t="n"/>
      <c r="D2179" s="216" t="n"/>
      <c r="G2179" s="3" t="inlineStr"/>
      <c r="H2179" t="inlineStr"/>
      <c r="I2179" s="217" t="inlineStr"/>
      <c r="N2179" s="163" t="n"/>
    </row>
    <row r="2180" ht="15.75" customHeight="1" s="305">
      <c r="A2180" s="215" t="n"/>
      <c r="B2180" s="215" t="n"/>
      <c r="C2180" s="215" t="n"/>
      <c r="D2180" s="216" t="n"/>
      <c r="G2180" s="3" t="inlineStr"/>
      <c r="H2180" t="inlineStr"/>
      <c r="I2180" s="217" t="inlineStr"/>
      <c r="N2180" s="163" t="n"/>
    </row>
    <row r="2181" ht="15.75" customHeight="1" s="305">
      <c r="A2181" s="215" t="n"/>
      <c r="B2181" s="215" t="n"/>
      <c r="C2181" s="215" t="n"/>
      <c r="D2181" s="216" t="n"/>
      <c r="G2181" s="3" t="inlineStr"/>
      <c r="H2181" t="inlineStr"/>
      <c r="I2181" s="217" t="inlineStr"/>
      <c r="N2181" s="163" t="n"/>
    </row>
    <row r="2182" ht="15.75" customHeight="1" s="305">
      <c r="A2182" s="215" t="n"/>
      <c r="B2182" s="215" t="n"/>
      <c r="C2182" s="215" t="n"/>
      <c r="D2182" s="216" t="n"/>
      <c r="G2182" s="3" t="inlineStr"/>
      <c r="H2182" t="inlineStr"/>
      <c r="I2182" s="217" t="inlineStr"/>
      <c r="N2182" s="163" t="n"/>
    </row>
    <row r="2183" ht="15.75" customHeight="1" s="305">
      <c r="A2183" s="215" t="n"/>
      <c r="B2183" s="215" t="n"/>
      <c r="C2183" s="215" t="n"/>
      <c r="D2183" s="216" t="n"/>
      <c r="G2183" s="3" t="inlineStr"/>
      <c r="H2183" t="inlineStr"/>
      <c r="I2183" s="217" t="inlineStr"/>
      <c r="N2183" s="163" t="n"/>
    </row>
    <row r="2184" ht="15.75" customHeight="1" s="305">
      <c r="A2184" s="215" t="n"/>
      <c r="B2184" s="215" t="n"/>
      <c r="C2184" s="215" t="n"/>
      <c r="D2184" s="216" t="n"/>
      <c r="G2184" s="3" t="inlineStr"/>
      <c r="H2184" t="inlineStr"/>
      <c r="I2184" s="217" t="inlineStr"/>
      <c r="N2184" s="163" t="n"/>
    </row>
    <row r="2185" ht="15.75" customHeight="1" s="305">
      <c r="A2185" s="215" t="n"/>
      <c r="B2185" s="215" t="n"/>
      <c r="C2185" s="215" t="n"/>
      <c r="D2185" s="216" t="n"/>
      <c r="G2185" s="3" t="inlineStr"/>
      <c r="H2185" t="inlineStr"/>
      <c r="I2185" s="217" t="inlineStr"/>
      <c r="N2185" s="163" t="n"/>
    </row>
    <row r="2186" ht="15.75" customHeight="1" s="305">
      <c r="A2186" s="215" t="n"/>
      <c r="B2186" s="215" t="n"/>
      <c r="C2186" s="215" t="n"/>
      <c r="D2186" s="216" t="n"/>
      <c r="G2186" s="3" t="inlineStr"/>
      <c r="H2186" t="inlineStr"/>
      <c r="I2186" s="217" t="inlineStr"/>
      <c r="N2186" s="163" t="n"/>
    </row>
    <row r="2187" ht="15.75" customHeight="1" s="305">
      <c r="A2187" s="215" t="n"/>
      <c r="B2187" s="215" t="n"/>
      <c r="C2187" s="215" t="n"/>
      <c r="D2187" s="216" t="n"/>
      <c r="G2187" s="3" t="inlineStr"/>
      <c r="H2187" t="inlineStr"/>
      <c r="I2187" s="217" t="inlineStr"/>
      <c r="N2187" s="163" t="n"/>
    </row>
    <row r="2188" ht="15.75" customHeight="1" s="305">
      <c r="A2188" s="215" t="n"/>
      <c r="B2188" s="215" t="n"/>
      <c r="C2188" s="215" t="n"/>
      <c r="D2188" s="216" t="n"/>
      <c r="G2188" s="3" t="inlineStr"/>
      <c r="H2188" t="inlineStr"/>
      <c r="I2188" s="217" t="inlineStr"/>
      <c r="N2188" s="163" t="n"/>
    </row>
    <row r="2189" ht="15.75" customHeight="1" s="305">
      <c r="A2189" s="215" t="n"/>
      <c r="B2189" s="215" t="n"/>
      <c r="C2189" s="215" t="n"/>
      <c r="D2189" s="216" t="n"/>
      <c r="G2189" s="3" t="inlineStr"/>
      <c r="H2189" t="inlineStr"/>
      <c r="I2189" s="217" t="inlineStr"/>
      <c r="N2189" s="163" t="n"/>
    </row>
    <row r="2190" ht="15.75" customHeight="1" s="305">
      <c r="A2190" s="215" t="n"/>
      <c r="B2190" s="215" t="n"/>
      <c r="C2190" s="215" t="n"/>
      <c r="D2190" s="216" t="n"/>
      <c r="G2190" s="3" t="inlineStr"/>
      <c r="H2190" t="inlineStr"/>
      <c r="I2190" s="217" t="inlineStr"/>
      <c r="N2190" s="163" t="n"/>
    </row>
    <row r="2191" ht="15.75" customHeight="1" s="305">
      <c r="A2191" s="215" t="n"/>
      <c r="B2191" s="215" t="n"/>
      <c r="C2191" s="215" t="n"/>
      <c r="D2191" s="216" t="n"/>
      <c r="G2191" s="3" t="inlineStr"/>
      <c r="H2191" t="inlineStr"/>
      <c r="I2191" s="217" t="inlineStr"/>
      <c r="N2191" s="163" t="n"/>
    </row>
    <row r="2192" ht="15.75" customHeight="1" s="305">
      <c r="A2192" s="215" t="n"/>
      <c r="B2192" s="215" t="n"/>
      <c r="C2192" s="215" t="n"/>
      <c r="D2192" s="216" t="n"/>
      <c r="G2192" s="3" t="inlineStr"/>
      <c r="H2192" t="inlineStr"/>
      <c r="I2192" s="217" t="inlineStr"/>
      <c r="N2192" s="163" t="n"/>
    </row>
    <row r="2193" ht="15.75" customHeight="1" s="305">
      <c r="A2193" s="215" t="n"/>
      <c r="B2193" s="215" t="n"/>
      <c r="C2193" s="215" t="n"/>
      <c r="D2193" s="216" t="n"/>
      <c r="G2193" s="3" t="inlineStr"/>
      <c r="H2193" t="inlineStr"/>
      <c r="I2193" s="217" t="inlineStr"/>
      <c r="N2193" s="163" t="n"/>
    </row>
    <row r="2194" ht="15.75" customHeight="1" s="305">
      <c r="A2194" s="215" t="n"/>
      <c r="B2194" s="215" t="n"/>
      <c r="C2194" s="215" t="n"/>
      <c r="D2194" s="216" t="n"/>
      <c r="G2194" s="3" t="inlineStr"/>
      <c r="H2194" t="inlineStr"/>
      <c r="I2194" s="217" t="inlineStr"/>
      <c r="N2194" s="163" t="n"/>
    </row>
    <row r="2195" ht="15.75" customHeight="1" s="305">
      <c r="A2195" s="215" t="n"/>
      <c r="B2195" s="215" t="n"/>
      <c r="C2195" s="215" t="n"/>
      <c r="D2195" s="216" t="n"/>
      <c r="G2195" s="3" t="inlineStr"/>
      <c r="H2195" t="inlineStr"/>
      <c r="I2195" s="217" t="inlineStr"/>
      <c r="N2195" s="163" t="n"/>
    </row>
    <row r="2196" ht="15.75" customHeight="1" s="305">
      <c r="A2196" s="215" t="n"/>
      <c r="B2196" s="215" t="n"/>
      <c r="C2196" s="215" t="n"/>
      <c r="D2196" s="216" t="n"/>
      <c r="G2196" s="3" t="inlineStr"/>
      <c r="H2196" t="inlineStr"/>
      <c r="I2196" s="217" t="inlineStr"/>
      <c r="N2196" s="163" t="n"/>
    </row>
    <row r="2197" ht="15.75" customHeight="1" s="305">
      <c r="A2197" s="215" t="n"/>
      <c r="B2197" s="215" t="n"/>
      <c r="C2197" s="215" t="n"/>
      <c r="D2197" s="216" t="n"/>
      <c r="G2197" s="3" t="inlineStr"/>
      <c r="H2197" t="inlineStr"/>
      <c r="I2197" s="217" t="inlineStr"/>
      <c r="N2197" s="163" t="n"/>
    </row>
    <row r="2198" ht="15.75" customHeight="1" s="305">
      <c r="A2198" s="215" t="n"/>
      <c r="B2198" s="215" t="n"/>
      <c r="C2198" s="215" t="n"/>
      <c r="D2198" s="216" t="n"/>
      <c r="G2198" s="3" t="inlineStr"/>
      <c r="H2198" t="inlineStr"/>
      <c r="I2198" s="217" t="inlineStr"/>
      <c r="N2198" s="163" t="n"/>
    </row>
    <row r="2199" ht="15.75" customHeight="1" s="305">
      <c r="A2199" s="215" t="n"/>
      <c r="B2199" s="215" t="n"/>
      <c r="C2199" s="215" t="n"/>
      <c r="D2199" s="216" t="n"/>
      <c r="G2199" s="3" t="inlineStr"/>
      <c r="H2199" t="inlineStr"/>
      <c r="I2199" s="217" t="inlineStr"/>
      <c r="N2199" s="163" t="n"/>
    </row>
    <row r="2200" ht="15.75" customHeight="1" s="305">
      <c r="A2200" s="215" t="n"/>
      <c r="B2200" s="215" t="n"/>
      <c r="C2200" s="215" t="n"/>
      <c r="D2200" s="216" t="n"/>
      <c r="G2200" s="3" t="inlineStr"/>
      <c r="H2200" t="inlineStr"/>
      <c r="I2200" s="217" t="inlineStr"/>
      <c r="N2200" s="163" t="n"/>
    </row>
    <row r="2201" ht="15.75" customHeight="1" s="305">
      <c r="A2201" s="215" t="n"/>
      <c r="B2201" s="215" t="n"/>
      <c r="C2201" s="215" t="n"/>
      <c r="D2201" s="216" t="n"/>
      <c r="G2201" s="3" t="inlineStr"/>
      <c r="H2201" t="inlineStr"/>
      <c r="I2201" s="217" t="inlineStr"/>
      <c r="N2201" s="163" t="n"/>
    </row>
    <row r="2202" ht="15.75" customHeight="1" s="305">
      <c r="A2202" s="215" t="n"/>
      <c r="B2202" s="215" t="n"/>
      <c r="C2202" s="215" t="n"/>
      <c r="D2202" s="216" t="n"/>
      <c r="G2202" s="3" t="inlineStr"/>
      <c r="H2202" t="inlineStr"/>
      <c r="I2202" s="217" t="inlineStr"/>
      <c r="N2202" s="163" t="n"/>
    </row>
    <row r="2203" ht="15.75" customHeight="1" s="305">
      <c r="A2203" s="215" t="n"/>
      <c r="B2203" s="215" t="n"/>
      <c r="C2203" s="215" t="n"/>
      <c r="D2203" s="216" t="n"/>
      <c r="G2203" s="3" t="inlineStr"/>
      <c r="H2203" t="inlineStr"/>
      <c r="I2203" s="217" t="inlineStr"/>
      <c r="N2203" s="163" t="n"/>
    </row>
    <row r="2204" ht="15.75" customHeight="1" s="305">
      <c r="A2204" s="215" t="n"/>
      <c r="B2204" s="215" t="n"/>
      <c r="C2204" s="215" t="n"/>
      <c r="D2204" s="216" t="n"/>
      <c r="G2204" s="3" t="inlineStr"/>
      <c r="H2204" t="inlineStr"/>
      <c r="I2204" s="217" t="inlineStr"/>
      <c r="N2204" s="163" t="n"/>
    </row>
    <row r="2205" ht="15.75" customHeight="1" s="305">
      <c r="A2205" s="215" t="n"/>
      <c r="B2205" s="215" t="n"/>
      <c r="C2205" s="215" t="n"/>
      <c r="D2205" s="216" t="n"/>
      <c r="G2205" s="3" t="inlineStr"/>
      <c r="H2205" t="inlineStr"/>
      <c r="I2205" s="217" t="inlineStr"/>
      <c r="N2205" s="163" t="n"/>
    </row>
    <row r="2206" ht="15.75" customHeight="1" s="305">
      <c r="A2206" s="215" t="n"/>
      <c r="B2206" s="215" t="n"/>
      <c r="C2206" s="215" t="n"/>
      <c r="D2206" s="216" t="n"/>
      <c r="G2206" s="3" t="inlineStr"/>
      <c r="H2206" t="inlineStr"/>
      <c r="I2206" s="217" t="inlineStr"/>
      <c r="N2206" s="163" t="n"/>
    </row>
    <row r="2207" ht="15.75" customHeight="1" s="305">
      <c r="A2207" s="215" t="n"/>
      <c r="B2207" s="215" t="n"/>
      <c r="C2207" s="215" t="n"/>
      <c r="D2207" s="216" t="n"/>
      <c r="G2207" s="3" t="inlineStr"/>
      <c r="H2207" t="inlineStr"/>
      <c r="I2207" s="217" t="inlineStr"/>
      <c r="N2207" s="163" t="n"/>
    </row>
    <row r="2208" ht="15.75" customHeight="1" s="305">
      <c r="A2208" s="215" t="n"/>
      <c r="B2208" s="215" t="n"/>
      <c r="C2208" s="215" t="n"/>
      <c r="D2208" s="216" t="n"/>
      <c r="G2208" s="3" t="inlineStr"/>
      <c r="H2208" t="inlineStr"/>
      <c r="I2208" s="217" t="inlineStr"/>
      <c r="N2208" s="163" t="n"/>
    </row>
    <row r="2209" ht="15.75" customHeight="1" s="305">
      <c r="A2209" s="215" t="n"/>
      <c r="B2209" s="215" t="n"/>
      <c r="C2209" s="215" t="n"/>
      <c r="D2209" s="216" t="n"/>
      <c r="G2209" s="3" t="inlineStr"/>
      <c r="H2209" t="inlineStr"/>
      <c r="I2209" s="217" t="inlineStr"/>
      <c r="N2209" s="163" t="n"/>
    </row>
    <row r="2210" ht="15.75" customHeight="1" s="305">
      <c r="A2210" s="215" t="n"/>
      <c r="B2210" s="215" t="n"/>
      <c r="C2210" s="215" t="n"/>
      <c r="D2210" s="216" t="n"/>
      <c r="G2210" s="3" t="inlineStr"/>
      <c r="H2210" t="inlineStr"/>
      <c r="I2210" s="217" t="inlineStr"/>
      <c r="N2210" s="163" t="n"/>
    </row>
    <row r="2211" ht="15.75" customHeight="1" s="305">
      <c r="A2211" s="215" t="n"/>
      <c r="B2211" s="215" t="n"/>
      <c r="C2211" s="215" t="n"/>
      <c r="D2211" s="216" t="n"/>
      <c r="G2211" s="3" t="inlineStr"/>
      <c r="H2211" t="inlineStr"/>
      <c r="I2211" s="217" t="inlineStr"/>
      <c r="N2211" s="163" t="n"/>
    </row>
    <row r="2212" ht="15.75" customHeight="1" s="305">
      <c r="A2212" s="215" t="n"/>
      <c r="B2212" s="215" t="n"/>
      <c r="C2212" s="215" t="n"/>
      <c r="D2212" s="216" t="n"/>
      <c r="G2212" s="3" t="inlineStr"/>
      <c r="H2212" t="inlineStr"/>
      <c r="I2212" s="217" t="inlineStr"/>
      <c r="N2212" s="163" t="n"/>
    </row>
    <row r="2213" ht="15.75" customHeight="1" s="305">
      <c r="A2213" s="215" t="n"/>
      <c r="B2213" s="215" t="n"/>
      <c r="C2213" s="215" t="n"/>
      <c r="D2213" s="216" t="n"/>
      <c r="G2213" s="3" t="inlineStr"/>
      <c r="H2213" t="inlineStr"/>
      <c r="I2213" s="217" t="inlineStr"/>
      <c r="N2213" s="163" t="n"/>
    </row>
    <row r="2214" ht="15.75" customHeight="1" s="305">
      <c r="A2214" s="215" t="n"/>
      <c r="B2214" s="215" t="n"/>
      <c r="C2214" s="215" t="n"/>
      <c r="D2214" s="216" t="n"/>
      <c r="G2214" s="3" t="inlineStr"/>
      <c r="H2214" t="inlineStr"/>
      <c r="I2214" s="217" t="inlineStr"/>
      <c r="N2214" s="163" t="n"/>
    </row>
    <row r="2215" ht="15.75" customHeight="1" s="305">
      <c r="A2215" s="215" t="n"/>
      <c r="B2215" s="215" t="n"/>
      <c r="C2215" s="215" t="n"/>
      <c r="D2215" s="216" t="n"/>
      <c r="G2215" s="3" t="inlineStr"/>
      <c r="H2215" t="inlineStr"/>
      <c r="I2215" s="217" t="inlineStr"/>
      <c r="N2215" s="163" t="n"/>
    </row>
    <row r="2216" ht="15.75" customHeight="1" s="305">
      <c r="A2216" s="215" t="n"/>
      <c r="B2216" s="215" t="n"/>
      <c r="C2216" s="215" t="n"/>
      <c r="D2216" s="216" t="n"/>
      <c r="G2216" s="3" t="inlineStr"/>
      <c r="H2216" t="inlineStr"/>
      <c r="I2216" s="217" t="inlineStr"/>
      <c r="N2216" s="163" t="n"/>
    </row>
    <row r="2217" ht="15.75" customHeight="1" s="305">
      <c r="A2217" s="215" t="n"/>
      <c r="B2217" s="215" t="n"/>
      <c r="C2217" s="215" t="n"/>
      <c r="D2217" s="216" t="n"/>
      <c r="G2217" s="3" t="inlineStr"/>
      <c r="H2217" t="inlineStr"/>
      <c r="I2217" s="217" t="inlineStr"/>
      <c r="N2217" s="163" t="n"/>
    </row>
    <row r="2218" ht="15.75" customHeight="1" s="305">
      <c r="A2218" s="215" t="n"/>
      <c r="B2218" s="215" t="n"/>
      <c r="C2218" s="215" t="n"/>
      <c r="D2218" s="216" t="n"/>
      <c r="G2218" s="3" t="inlineStr"/>
      <c r="H2218" t="inlineStr"/>
      <c r="I2218" s="217" t="inlineStr"/>
      <c r="N2218" s="163" t="n"/>
    </row>
    <row r="2219" ht="15.75" customHeight="1" s="305">
      <c r="A2219" s="215" t="n"/>
      <c r="B2219" s="215" t="n"/>
      <c r="C2219" s="215" t="n"/>
      <c r="D2219" s="216" t="n"/>
      <c r="G2219" s="3" t="inlineStr"/>
      <c r="H2219" t="inlineStr"/>
      <c r="I2219" s="217" t="inlineStr"/>
      <c r="N2219" s="163" t="n"/>
    </row>
    <row r="2220" ht="15.75" customHeight="1" s="305">
      <c r="A2220" s="215" t="n"/>
      <c r="B2220" s="215" t="n"/>
      <c r="C2220" s="215" t="n"/>
      <c r="D2220" s="216" t="n"/>
      <c r="G2220" s="3" t="inlineStr"/>
      <c r="H2220" t="inlineStr"/>
      <c r="I2220" s="217" t="inlineStr"/>
      <c r="N2220" s="163" t="n"/>
    </row>
    <row r="2221" ht="15.75" customHeight="1" s="305">
      <c r="A2221" s="215" t="n"/>
      <c r="B2221" s="215" t="n"/>
      <c r="C2221" s="215" t="n"/>
      <c r="D2221" s="216" t="n"/>
      <c r="G2221" s="3" t="inlineStr"/>
      <c r="H2221" t="inlineStr"/>
      <c r="I2221" s="217" t="inlineStr"/>
      <c r="N2221" s="163" t="n"/>
    </row>
    <row r="2222" ht="15.75" customHeight="1" s="305">
      <c r="A2222" s="215" t="n"/>
      <c r="B2222" s="215" t="n"/>
      <c r="C2222" s="215" t="n"/>
      <c r="D2222" s="216" t="n"/>
      <c r="G2222" s="3" t="inlineStr"/>
      <c r="H2222" t="inlineStr"/>
      <c r="I2222" s="217" t="inlineStr"/>
      <c r="N2222" s="163" t="n"/>
    </row>
    <row r="2223" ht="15.75" customHeight="1" s="305">
      <c r="A2223" s="215" t="n"/>
      <c r="B2223" s="215" t="n"/>
      <c r="C2223" s="215" t="n"/>
      <c r="D2223" s="216" t="n"/>
      <c r="G2223" s="3" t="inlineStr"/>
      <c r="H2223" t="inlineStr"/>
      <c r="I2223" s="217" t="inlineStr"/>
      <c r="N2223" s="163" t="n"/>
    </row>
    <row r="2224" ht="15.75" customHeight="1" s="305">
      <c r="A2224" s="215" t="n"/>
      <c r="B2224" s="215" t="n"/>
      <c r="C2224" s="215" t="n"/>
      <c r="D2224" s="216" t="n"/>
      <c r="G2224" s="3" t="inlineStr"/>
      <c r="H2224" t="inlineStr"/>
      <c r="I2224" s="217" t="inlineStr"/>
      <c r="N2224" s="163" t="n"/>
    </row>
    <row r="2225" ht="15.75" customHeight="1" s="305">
      <c r="A2225" s="215" t="n"/>
      <c r="B2225" s="215" t="n"/>
      <c r="C2225" s="215" t="n"/>
      <c r="D2225" s="216" t="n"/>
      <c r="G2225" s="3" t="inlineStr"/>
      <c r="H2225" t="inlineStr"/>
      <c r="I2225" s="217" t="inlineStr"/>
      <c r="N2225" s="163" t="n"/>
    </row>
    <row r="2226" ht="15.75" customHeight="1" s="305">
      <c r="A2226" s="215" t="n"/>
      <c r="B2226" s="215" t="n"/>
      <c r="C2226" s="215" t="n"/>
      <c r="D2226" s="216" t="n"/>
      <c r="G2226" s="3" t="inlineStr"/>
      <c r="H2226" t="inlineStr"/>
      <c r="I2226" s="217" t="inlineStr"/>
      <c r="N2226" s="163" t="n"/>
    </row>
    <row r="2227" ht="15.75" customHeight="1" s="305">
      <c r="A2227" s="215" t="n"/>
      <c r="B2227" s="215" t="n"/>
      <c r="C2227" s="215" t="n"/>
      <c r="D2227" s="216" t="n"/>
      <c r="G2227" s="3" t="inlineStr"/>
      <c r="H2227" t="inlineStr"/>
      <c r="I2227" s="217" t="inlineStr"/>
      <c r="N2227" s="163" t="n"/>
    </row>
    <row r="2228" ht="15.75" customHeight="1" s="305">
      <c r="A2228" s="215" t="n"/>
      <c r="B2228" s="215" t="n"/>
      <c r="C2228" s="215" t="n"/>
      <c r="D2228" s="216" t="n"/>
      <c r="G2228" s="3" t="inlineStr"/>
      <c r="H2228" t="inlineStr"/>
      <c r="I2228" s="217" t="inlineStr"/>
      <c r="N2228" s="163" t="n"/>
    </row>
    <row r="2229" ht="15.75" customHeight="1" s="305">
      <c r="A2229" s="215" t="n"/>
      <c r="B2229" s="215" t="n"/>
      <c r="C2229" s="215" t="n"/>
      <c r="D2229" s="216" t="n"/>
      <c r="G2229" s="3" t="inlineStr"/>
      <c r="H2229" t="inlineStr"/>
      <c r="I2229" s="217" t="inlineStr"/>
      <c r="N2229" s="163" t="n"/>
    </row>
    <row r="2230" ht="15.75" customHeight="1" s="305">
      <c r="A2230" s="215" t="n"/>
      <c r="B2230" s="215" t="n"/>
      <c r="C2230" s="215" t="n"/>
      <c r="D2230" s="216" t="n"/>
      <c r="G2230" s="3" t="inlineStr"/>
      <c r="H2230" t="inlineStr"/>
      <c r="I2230" s="217" t="inlineStr"/>
      <c r="N2230" s="163" t="n"/>
    </row>
    <row r="2231" ht="15.75" customHeight="1" s="305">
      <c r="A2231" s="215" t="n"/>
      <c r="B2231" s="215" t="n"/>
      <c r="C2231" s="215" t="n"/>
      <c r="D2231" s="216" t="n"/>
      <c r="G2231" s="3" t="inlineStr"/>
      <c r="H2231" t="inlineStr"/>
      <c r="I2231" s="217" t="inlineStr"/>
      <c r="N2231" s="163" t="n"/>
    </row>
    <row r="2232" ht="15.75" customHeight="1" s="305">
      <c r="A2232" s="215" t="n"/>
      <c r="B2232" s="215" t="n"/>
      <c r="C2232" s="215" t="n"/>
      <c r="D2232" s="216" t="n"/>
      <c r="G2232" s="3" t="inlineStr"/>
      <c r="H2232" t="inlineStr"/>
      <c r="I2232" s="217" t="inlineStr"/>
      <c r="N2232" s="163" t="n"/>
    </row>
    <row r="2233" ht="15.75" customHeight="1" s="305">
      <c r="A2233" s="215" t="n"/>
      <c r="B2233" s="215" t="n"/>
      <c r="C2233" s="215" t="n"/>
      <c r="D2233" s="216" t="n"/>
      <c r="G2233" s="3" t="inlineStr"/>
      <c r="H2233" t="inlineStr"/>
      <c r="I2233" s="217" t="inlineStr"/>
      <c r="N2233" s="163" t="n"/>
    </row>
    <row r="2234" ht="15.75" customHeight="1" s="305">
      <c r="A2234" s="215" t="n"/>
      <c r="B2234" s="215" t="n"/>
      <c r="C2234" s="215" t="n"/>
      <c r="D2234" s="216" t="n"/>
      <c r="G2234" s="3" t="inlineStr"/>
      <c r="H2234" t="inlineStr"/>
      <c r="I2234" s="217" t="inlineStr"/>
      <c r="N2234" s="163" t="n"/>
    </row>
    <row r="2235" ht="15.75" customHeight="1" s="305">
      <c r="A2235" s="215" t="n"/>
      <c r="B2235" s="215" t="n"/>
      <c r="C2235" s="215" t="n"/>
      <c r="D2235" s="216" t="n"/>
      <c r="G2235" s="3" t="inlineStr"/>
      <c r="H2235" t="inlineStr"/>
      <c r="I2235" s="217" t="inlineStr"/>
      <c r="N2235" s="163" t="n"/>
    </row>
    <row r="2236" ht="15.75" customHeight="1" s="305">
      <c r="A2236" s="215" t="n"/>
      <c r="B2236" s="215" t="n"/>
      <c r="C2236" s="215" t="n"/>
      <c r="D2236" s="216" t="n"/>
      <c r="G2236" s="3" t="inlineStr"/>
      <c r="H2236" t="inlineStr"/>
      <c r="I2236" s="217" t="inlineStr"/>
      <c r="N2236" s="163" t="n"/>
    </row>
    <row r="2237" ht="15.75" customHeight="1" s="305">
      <c r="A2237" s="215" t="n"/>
      <c r="B2237" s="215" t="n"/>
      <c r="C2237" s="215" t="n"/>
      <c r="D2237" s="216" t="n"/>
      <c r="G2237" s="3" t="inlineStr"/>
      <c r="H2237" t="inlineStr"/>
      <c r="I2237" s="217" t="inlineStr"/>
      <c r="N2237" s="163" t="n"/>
    </row>
    <row r="2238" ht="15.75" customHeight="1" s="305">
      <c r="A2238" s="215" t="n"/>
      <c r="B2238" s="215" t="n"/>
      <c r="C2238" s="215" t="n"/>
      <c r="D2238" s="216" t="n"/>
      <c r="G2238" s="3" t="inlineStr"/>
      <c r="H2238" t="inlineStr"/>
      <c r="I2238" s="217" t="inlineStr"/>
      <c r="N2238" s="163" t="n"/>
    </row>
    <row r="2239" ht="15.75" customHeight="1" s="305">
      <c r="A2239" s="215" t="n"/>
      <c r="B2239" s="215" t="n"/>
      <c r="C2239" s="215" t="n"/>
      <c r="D2239" s="216" t="n"/>
      <c r="G2239" s="3" t="inlineStr"/>
      <c r="H2239" t="inlineStr"/>
      <c r="I2239" s="217" t="inlineStr"/>
      <c r="N2239" s="163" t="n"/>
    </row>
    <row r="2240" ht="15.75" customHeight="1" s="305">
      <c r="A2240" s="215" t="n"/>
      <c r="B2240" s="215" t="n"/>
      <c r="C2240" s="215" t="n"/>
      <c r="D2240" s="216" t="n"/>
      <c r="G2240" s="3" t="inlineStr"/>
      <c r="H2240" t="inlineStr"/>
      <c r="I2240" s="217" t="inlineStr"/>
      <c r="N2240" s="163" t="n"/>
    </row>
    <row r="2241" ht="15.75" customHeight="1" s="305">
      <c r="A2241" s="215" t="n"/>
      <c r="B2241" s="215" t="n"/>
      <c r="C2241" s="215" t="n"/>
      <c r="D2241" s="216" t="n"/>
      <c r="G2241" s="3" t="inlineStr"/>
      <c r="H2241" t="inlineStr"/>
      <c r="I2241" s="217" t="inlineStr"/>
      <c r="N2241" s="163" t="n"/>
    </row>
    <row r="2242" ht="15.75" customHeight="1" s="305">
      <c r="A2242" s="215" t="n"/>
      <c r="B2242" s="215" t="n"/>
      <c r="C2242" s="215" t="n"/>
      <c r="D2242" s="216" t="n"/>
      <c r="G2242" s="3" t="inlineStr"/>
      <c r="H2242" t="inlineStr"/>
      <c r="I2242" s="217" t="inlineStr"/>
      <c r="N2242" s="163" t="n"/>
    </row>
    <row r="2243" ht="15.75" customHeight="1" s="305">
      <c r="A2243" s="215" t="n"/>
      <c r="B2243" s="215" t="n"/>
      <c r="C2243" s="215" t="n"/>
      <c r="D2243" s="216" t="n"/>
      <c r="G2243" s="3" t="inlineStr"/>
      <c r="H2243" t="inlineStr"/>
      <c r="I2243" s="217" t="inlineStr"/>
      <c r="N2243" s="163" t="n"/>
    </row>
    <row r="2244" ht="15.75" customHeight="1" s="305">
      <c r="A2244" s="215" t="n"/>
      <c r="B2244" s="215" t="n"/>
      <c r="C2244" s="215" t="n"/>
      <c r="D2244" s="216" t="n"/>
      <c r="G2244" s="3" t="inlineStr"/>
      <c r="H2244" t="inlineStr"/>
      <c r="I2244" s="217" t="inlineStr"/>
      <c r="N2244" s="163" t="n"/>
    </row>
    <row r="2245" ht="15.75" customHeight="1" s="305">
      <c r="A2245" s="215" t="n"/>
      <c r="B2245" s="215" t="n"/>
      <c r="C2245" s="215" t="n"/>
      <c r="D2245" s="216" t="n"/>
      <c r="G2245" s="3" t="inlineStr"/>
      <c r="H2245" t="inlineStr"/>
      <c r="I2245" s="217" t="inlineStr"/>
      <c r="N2245" s="163" t="n"/>
    </row>
    <row r="2246" ht="15.75" customHeight="1" s="305">
      <c r="A2246" s="215" t="n"/>
      <c r="B2246" s="215" t="n"/>
      <c r="C2246" s="215" t="n"/>
      <c r="D2246" s="216" t="n"/>
      <c r="G2246" s="3" t="inlineStr"/>
      <c r="H2246" t="inlineStr"/>
      <c r="I2246" s="217" t="inlineStr"/>
      <c r="N2246" s="163" t="n"/>
    </row>
    <row r="2247" ht="15.75" customHeight="1" s="305">
      <c r="A2247" s="215" t="n"/>
      <c r="B2247" s="215" t="n"/>
      <c r="C2247" s="215" t="n"/>
      <c r="D2247" s="216" t="n"/>
      <c r="G2247" s="3" t="inlineStr"/>
      <c r="H2247" t="inlineStr"/>
      <c r="I2247" s="217" t="inlineStr"/>
      <c r="N2247" s="163" t="n"/>
    </row>
    <row r="2248" ht="15.75" customHeight="1" s="305">
      <c r="A2248" s="215" t="n"/>
      <c r="B2248" s="215" t="n"/>
      <c r="C2248" s="215" t="n"/>
      <c r="D2248" s="216" t="n"/>
      <c r="G2248" s="3" t="inlineStr"/>
      <c r="H2248" t="inlineStr"/>
      <c r="I2248" s="217" t="inlineStr"/>
      <c r="N2248" s="163" t="n"/>
    </row>
    <row r="2249" ht="15.75" customHeight="1" s="305">
      <c r="A2249" s="215" t="n"/>
      <c r="B2249" s="215" t="n"/>
      <c r="C2249" s="215" t="n"/>
      <c r="D2249" s="216" t="n"/>
      <c r="G2249" s="3" t="inlineStr"/>
      <c r="H2249" t="inlineStr"/>
      <c r="I2249" s="217" t="inlineStr"/>
      <c r="N2249" s="163" t="n"/>
    </row>
    <row r="2250" ht="15.75" customHeight="1" s="305">
      <c r="A2250" s="215" t="n"/>
      <c r="B2250" s="215" t="n"/>
      <c r="C2250" s="215" t="n"/>
      <c r="D2250" s="216" t="n"/>
      <c r="G2250" s="3" t="inlineStr"/>
      <c r="H2250" t="inlineStr"/>
      <c r="I2250" s="217" t="inlineStr"/>
      <c r="N2250" s="163" t="n"/>
    </row>
    <row r="2251" ht="15.75" customHeight="1" s="305">
      <c r="A2251" s="215" t="n"/>
      <c r="B2251" s="215" t="n"/>
      <c r="C2251" s="215" t="n"/>
      <c r="D2251" s="216" t="n"/>
      <c r="G2251" s="3" t="inlineStr"/>
      <c r="H2251" t="inlineStr"/>
      <c r="I2251" s="217" t="inlineStr"/>
      <c r="N2251" s="163" t="n"/>
    </row>
    <row r="2252" ht="15.75" customHeight="1" s="305">
      <c r="A2252" s="215" t="n"/>
      <c r="B2252" s="215" t="n"/>
      <c r="C2252" s="215" t="n"/>
      <c r="D2252" s="216" t="n"/>
      <c r="G2252" s="3" t="inlineStr"/>
      <c r="H2252" t="inlineStr"/>
      <c r="I2252" s="217" t="inlineStr"/>
      <c r="N2252" s="163" t="n"/>
    </row>
    <row r="2253" ht="15.75" customHeight="1" s="305">
      <c r="A2253" s="215" t="n"/>
      <c r="B2253" s="215" t="n"/>
      <c r="C2253" s="215" t="n"/>
      <c r="D2253" s="216" t="n"/>
      <c r="G2253" s="3" t="inlineStr"/>
      <c r="H2253" t="inlineStr"/>
      <c r="I2253" s="217" t="inlineStr"/>
      <c r="N2253" s="163" t="n"/>
    </row>
    <row r="2254" ht="15.75" customHeight="1" s="305">
      <c r="A2254" s="215" t="n"/>
      <c r="B2254" s="215" t="n"/>
      <c r="C2254" s="215" t="n"/>
      <c r="D2254" s="216" t="n"/>
      <c r="G2254" s="3" t="inlineStr"/>
      <c r="H2254" t="inlineStr"/>
      <c r="I2254" s="217" t="inlineStr"/>
      <c r="N2254" s="163" t="n"/>
    </row>
    <row r="2255" ht="15.75" customHeight="1" s="305">
      <c r="A2255" s="215" t="n"/>
      <c r="B2255" s="215" t="n"/>
      <c r="C2255" s="215" t="n"/>
      <c r="D2255" s="216" t="n"/>
      <c r="G2255" s="3" t="inlineStr"/>
      <c r="H2255" t="inlineStr"/>
      <c r="I2255" s="217" t="inlineStr"/>
      <c r="N2255" s="163" t="n"/>
    </row>
    <row r="2256" ht="15.75" customHeight="1" s="305">
      <c r="A2256" s="215" t="n"/>
      <c r="B2256" s="215" t="n"/>
      <c r="C2256" s="215" t="n"/>
      <c r="D2256" s="216" t="n"/>
      <c r="G2256" s="3" t="inlineStr"/>
      <c r="H2256" t="inlineStr"/>
      <c r="I2256" s="217" t="inlineStr"/>
      <c r="N2256" s="163" t="n"/>
    </row>
    <row r="2257" ht="15.75" customHeight="1" s="305">
      <c r="A2257" s="215" t="n"/>
      <c r="B2257" s="215" t="n"/>
      <c r="C2257" s="215" t="n"/>
      <c r="D2257" s="216" t="n"/>
      <c r="G2257" s="3" t="inlineStr"/>
      <c r="H2257" t="inlineStr"/>
      <c r="I2257" s="217" t="inlineStr"/>
      <c r="N2257" s="163" t="n"/>
    </row>
    <row r="2258" ht="15.75" customHeight="1" s="305">
      <c r="A2258" s="215" t="n"/>
      <c r="B2258" s="215" t="n"/>
      <c r="C2258" s="215" t="n"/>
      <c r="D2258" s="216" t="n"/>
      <c r="G2258" s="3" t="inlineStr"/>
      <c r="H2258" t="inlineStr"/>
      <c r="I2258" s="217" t="inlineStr"/>
      <c r="N2258" s="163" t="n"/>
    </row>
    <row r="2259" ht="15.75" customHeight="1" s="305">
      <c r="A2259" s="215" t="n"/>
      <c r="B2259" s="215" t="n"/>
      <c r="C2259" s="215" t="n"/>
      <c r="D2259" s="216" t="n"/>
      <c r="G2259" s="3" t="inlineStr"/>
      <c r="H2259" t="inlineStr"/>
      <c r="I2259" s="217" t="inlineStr"/>
      <c r="N2259" s="163" t="n"/>
    </row>
    <row r="2260" ht="15.75" customHeight="1" s="305">
      <c r="A2260" s="215" t="n"/>
      <c r="B2260" s="215" t="n"/>
      <c r="C2260" s="215" t="n"/>
      <c r="D2260" s="216" t="n"/>
      <c r="G2260" s="3" t="inlineStr"/>
      <c r="H2260" t="inlineStr"/>
      <c r="I2260" s="217" t="inlineStr"/>
      <c r="N2260" s="163" t="n"/>
    </row>
    <row r="2261" ht="15.75" customHeight="1" s="305">
      <c r="A2261" s="215" t="n"/>
      <c r="B2261" s="215" t="n"/>
      <c r="C2261" s="215" t="n"/>
      <c r="D2261" s="216" t="n"/>
      <c r="G2261" s="3" t="inlineStr"/>
      <c r="H2261" t="inlineStr"/>
      <c r="I2261" s="217" t="inlineStr"/>
      <c r="N2261" s="163" t="n"/>
    </row>
    <row r="2262" ht="15.75" customHeight="1" s="305">
      <c r="A2262" s="215" t="n"/>
      <c r="B2262" s="215" t="n"/>
      <c r="C2262" s="215" t="n"/>
      <c r="D2262" s="216" t="n"/>
      <c r="G2262" s="3" t="inlineStr"/>
      <c r="H2262" t="inlineStr"/>
      <c r="I2262" s="217" t="inlineStr"/>
      <c r="N2262" s="163" t="n"/>
    </row>
    <row r="2263" ht="15.75" customHeight="1" s="305">
      <c r="A2263" s="215" t="n"/>
      <c r="B2263" s="215" t="n"/>
      <c r="C2263" s="215" t="n"/>
      <c r="D2263" s="216" t="n"/>
      <c r="G2263" s="3" t="inlineStr"/>
      <c r="H2263" t="inlineStr"/>
      <c r="I2263" s="217" t="inlineStr"/>
      <c r="N2263" s="163" t="n"/>
    </row>
    <row r="2264" ht="15.75" customHeight="1" s="305">
      <c r="A2264" s="215" t="n"/>
      <c r="B2264" s="215" t="n"/>
      <c r="C2264" s="215" t="n"/>
      <c r="D2264" s="216" t="n"/>
      <c r="G2264" s="3" t="inlineStr"/>
      <c r="H2264" t="inlineStr"/>
      <c r="I2264" s="217" t="inlineStr"/>
      <c r="N2264" s="163" t="n"/>
    </row>
    <row r="2265" ht="15.75" customHeight="1" s="305">
      <c r="A2265" s="215" t="n"/>
      <c r="B2265" s="215" t="n"/>
      <c r="C2265" s="215" t="n"/>
      <c r="D2265" s="216" t="n"/>
      <c r="G2265" s="3" t="inlineStr"/>
      <c r="H2265" t="inlineStr"/>
      <c r="I2265" s="217" t="inlineStr"/>
      <c r="N2265" s="163" t="n"/>
    </row>
    <row r="2266" ht="15.75" customHeight="1" s="305">
      <c r="A2266" s="215" t="n"/>
      <c r="B2266" s="215" t="n"/>
      <c r="C2266" s="215" t="n"/>
      <c r="D2266" s="216" t="n"/>
      <c r="G2266" s="3" t="inlineStr"/>
      <c r="H2266" t="inlineStr"/>
      <c r="I2266" s="217" t="inlineStr"/>
      <c r="N2266" s="163" t="n"/>
    </row>
    <row r="2267" ht="15.75" customHeight="1" s="305">
      <c r="A2267" s="215" t="n"/>
      <c r="B2267" s="215" t="n"/>
      <c r="C2267" s="215" t="n"/>
      <c r="D2267" s="216" t="n"/>
      <c r="G2267" s="3" t="inlineStr"/>
      <c r="H2267" t="inlineStr"/>
      <c r="I2267" s="217" t="inlineStr"/>
      <c r="N2267" s="163" t="n"/>
    </row>
    <row r="2268" ht="15.75" customHeight="1" s="305">
      <c r="A2268" s="215" t="n"/>
      <c r="B2268" s="215" t="n"/>
      <c r="C2268" s="215" t="n"/>
      <c r="D2268" s="216" t="n"/>
      <c r="G2268" s="3" t="inlineStr"/>
      <c r="H2268" t="inlineStr"/>
      <c r="I2268" s="217" t="inlineStr"/>
      <c r="N2268" s="163" t="n"/>
    </row>
    <row r="2269" ht="15.75" customHeight="1" s="305">
      <c r="A2269" s="215" t="n"/>
      <c r="B2269" s="215" t="n"/>
      <c r="C2269" s="215" t="n"/>
      <c r="D2269" s="216" t="n"/>
      <c r="G2269" s="3" t="inlineStr"/>
      <c r="H2269" t="inlineStr"/>
      <c r="I2269" s="217" t="inlineStr"/>
      <c r="N2269" s="163" t="n"/>
    </row>
    <row r="2270" ht="15.75" customHeight="1" s="305">
      <c r="A2270" s="215" t="n"/>
      <c r="B2270" s="215" t="n"/>
      <c r="C2270" s="215" t="n"/>
      <c r="D2270" s="216" t="n"/>
      <c r="G2270" s="3" t="inlineStr"/>
      <c r="H2270" t="inlineStr"/>
      <c r="I2270" s="217" t="inlineStr"/>
      <c r="N2270" s="163" t="n"/>
    </row>
    <row r="2271" ht="15.75" customHeight="1" s="305">
      <c r="A2271" s="215" t="n"/>
      <c r="B2271" s="215" t="n"/>
      <c r="C2271" s="215" t="n"/>
      <c r="D2271" s="216" t="n"/>
      <c r="G2271" s="3" t="inlineStr"/>
      <c r="H2271" t="inlineStr"/>
      <c r="I2271" s="217" t="inlineStr"/>
      <c r="N2271" s="163" t="n"/>
    </row>
    <row r="2272" ht="15.75" customHeight="1" s="305">
      <c r="A2272" s="215" t="n"/>
      <c r="B2272" s="215" t="n"/>
      <c r="C2272" s="215" t="n"/>
      <c r="D2272" s="216" t="n"/>
      <c r="G2272" s="3" t="inlineStr"/>
      <c r="H2272" t="inlineStr"/>
      <c r="I2272" s="217" t="inlineStr"/>
      <c r="N2272" s="163" t="n"/>
    </row>
    <row r="2273" ht="15.75" customHeight="1" s="305">
      <c r="A2273" s="215" t="n"/>
      <c r="B2273" s="215" t="n"/>
      <c r="C2273" s="215" t="n"/>
      <c r="D2273" s="216" t="n"/>
      <c r="G2273" s="3" t="inlineStr"/>
      <c r="H2273" t="inlineStr"/>
      <c r="I2273" s="217" t="inlineStr"/>
      <c r="N2273" s="163" t="n"/>
    </row>
    <row r="2274" ht="15.75" customHeight="1" s="305">
      <c r="A2274" s="215" t="n"/>
      <c r="B2274" s="215" t="n"/>
      <c r="C2274" s="215" t="n"/>
      <c r="D2274" s="216" t="n"/>
      <c r="G2274" s="3" t="inlineStr"/>
      <c r="H2274" t="inlineStr"/>
      <c r="I2274" s="217" t="inlineStr"/>
      <c r="N2274" s="163" t="n"/>
    </row>
    <row r="2275" ht="15.75" customHeight="1" s="305">
      <c r="A2275" s="215" t="n"/>
      <c r="B2275" s="215" t="n"/>
      <c r="C2275" s="215" t="n"/>
      <c r="D2275" s="216" t="n"/>
      <c r="G2275" s="3" t="inlineStr"/>
      <c r="H2275" t="inlineStr"/>
      <c r="I2275" s="217" t="inlineStr"/>
      <c r="N2275" s="163" t="n"/>
    </row>
    <row r="2276" ht="15.75" customHeight="1" s="305">
      <c r="A2276" s="215" t="n"/>
      <c r="B2276" s="215" t="n"/>
      <c r="C2276" s="215" t="n"/>
      <c r="D2276" s="216" t="n"/>
      <c r="G2276" s="3" t="inlineStr"/>
      <c r="H2276" t="inlineStr"/>
      <c r="I2276" s="217" t="inlineStr"/>
      <c r="N2276" s="163" t="n"/>
    </row>
    <row r="2277" ht="15.75" customHeight="1" s="305">
      <c r="A2277" s="215" t="n"/>
      <c r="B2277" s="215" t="n"/>
      <c r="C2277" s="215" t="n"/>
      <c r="D2277" s="216" t="n"/>
      <c r="G2277" s="3" t="inlineStr"/>
      <c r="H2277" t="inlineStr"/>
      <c r="I2277" s="217" t="inlineStr"/>
      <c r="N2277" s="163" t="n"/>
    </row>
    <row r="2278" ht="15.75" customHeight="1" s="305">
      <c r="A2278" s="215" t="n"/>
      <c r="B2278" s="215" t="n"/>
      <c r="C2278" s="215" t="n"/>
      <c r="D2278" s="216" t="n"/>
      <c r="G2278" s="3" t="inlineStr"/>
      <c r="H2278" t="inlineStr"/>
      <c r="I2278" s="217" t="inlineStr"/>
      <c r="N2278" s="163" t="n"/>
    </row>
    <row r="2279" ht="15.75" customHeight="1" s="305">
      <c r="A2279" s="215" t="n"/>
      <c r="B2279" s="215" t="n"/>
      <c r="C2279" s="215" t="n"/>
      <c r="D2279" s="216" t="n"/>
      <c r="G2279" s="3" t="inlineStr"/>
      <c r="H2279" t="inlineStr"/>
      <c r="I2279" s="217" t="inlineStr"/>
      <c r="N2279" s="163" t="n"/>
    </row>
    <row r="2280" ht="15.75" customHeight="1" s="305">
      <c r="A2280" s="215" t="n"/>
      <c r="B2280" s="215" t="n"/>
      <c r="C2280" s="215" t="n"/>
      <c r="D2280" s="216" t="n"/>
      <c r="G2280" s="3" t="inlineStr"/>
      <c r="H2280" t="inlineStr"/>
      <c r="I2280" s="217" t="inlineStr"/>
      <c r="N2280" s="163" t="n"/>
    </row>
    <row r="2281" ht="15.75" customHeight="1" s="305">
      <c r="A2281" s="215" t="n"/>
      <c r="B2281" s="215" t="n"/>
      <c r="C2281" s="215" t="n"/>
      <c r="D2281" s="216" t="n"/>
      <c r="G2281" s="3" t="inlineStr"/>
      <c r="H2281" t="inlineStr"/>
      <c r="I2281" s="217" t="inlineStr"/>
      <c r="N2281" s="163" t="n"/>
    </row>
    <row r="2282" ht="15.75" customHeight="1" s="305">
      <c r="A2282" s="215" t="n"/>
      <c r="B2282" s="215" t="n"/>
      <c r="C2282" s="215" t="n"/>
      <c r="D2282" s="216" t="n"/>
      <c r="G2282" s="3" t="inlineStr"/>
      <c r="H2282" t="inlineStr"/>
      <c r="I2282" s="217" t="inlineStr"/>
      <c r="N2282" s="163" t="n"/>
    </row>
    <row r="2283" ht="15.75" customHeight="1" s="305">
      <c r="A2283" s="215" t="n"/>
      <c r="B2283" s="215" t="n"/>
      <c r="C2283" s="215" t="n"/>
      <c r="D2283" s="216" t="n"/>
      <c r="G2283" s="3" t="inlineStr"/>
      <c r="H2283" t="inlineStr"/>
      <c r="I2283" s="217" t="inlineStr"/>
      <c r="N2283" s="163" t="n"/>
    </row>
    <row r="2284" ht="15.75" customHeight="1" s="305">
      <c r="A2284" s="215" t="n"/>
      <c r="B2284" s="215" t="n"/>
      <c r="C2284" s="215" t="n"/>
      <c r="D2284" s="216" t="n"/>
      <c r="G2284" s="3" t="inlineStr"/>
      <c r="H2284" t="inlineStr"/>
      <c r="I2284" s="217" t="inlineStr"/>
      <c r="N2284" s="163" t="n"/>
    </row>
    <row r="2285" ht="15.75" customHeight="1" s="305">
      <c r="A2285" s="215" t="n"/>
      <c r="B2285" s="215" t="n"/>
      <c r="C2285" s="215" t="n"/>
      <c r="D2285" s="216" t="n"/>
      <c r="G2285" s="3" t="inlineStr"/>
      <c r="H2285" t="inlineStr"/>
      <c r="I2285" s="217" t="inlineStr"/>
      <c r="N2285" s="163" t="n"/>
    </row>
    <row r="2286" ht="15.75" customHeight="1" s="305">
      <c r="A2286" s="215" t="n"/>
      <c r="B2286" s="215" t="n"/>
      <c r="C2286" s="215" t="n"/>
      <c r="D2286" s="216" t="n"/>
      <c r="G2286" s="3" t="inlineStr"/>
      <c r="H2286" t="inlineStr"/>
      <c r="I2286" s="217" t="inlineStr"/>
      <c r="N2286" s="163" t="n"/>
    </row>
    <row r="2287" ht="15.75" customHeight="1" s="305">
      <c r="A2287" s="215" t="n"/>
      <c r="B2287" s="215" t="n"/>
      <c r="C2287" s="215" t="n"/>
      <c r="D2287" s="216" t="n"/>
      <c r="G2287" s="3" t="inlineStr"/>
      <c r="H2287" t="inlineStr"/>
      <c r="I2287" s="217" t="inlineStr"/>
      <c r="N2287" s="163" t="n"/>
    </row>
    <row r="2288" ht="15.75" customHeight="1" s="305">
      <c r="A2288" s="215" t="n"/>
      <c r="B2288" s="215" t="n"/>
      <c r="C2288" s="215" t="n"/>
      <c r="D2288" s="216" t="n"/>
      <c r="G2288" s="3" t="inlineStr"/>
      <c r="H2288" t="inlineStr"/>
      <c r="I2288" s="217" t="inlineStr"/>
      <c r="N2288" s="163" t="n"/>
    </row>
    <row r="2289" ht="15.75" customHeight="1" s="305">
      <c r="A2289" s="215" t="n"/>
      <c r="B2289" s="215" t="n"/>
      <c r="C2289" s="215" t="n"/>
      <c r="D2289" s="216" t="n"/>
      <c r="G2289" s="3" t="inlineStr"/>
      <c r="H2289" t="inlineStr"/>
      <c r="I2289" s="217" t="inlineStr"/>
      <c r="N2289" s="163" t="n"/>
    </row>
    <row r="2290" ht="15.75" customHeight="1" s="305">
      <c r="A2290" s="215" t="n"/>
      <c r="B2290" s="215" t="n"/>
      <c r="C2290" s="215" t="n"/>
      <c r="D2290" s="216" t="n"/>
      <c r="G2290" s="3" t="inlineStr"/>
      <c r="H2290" t="inlineStr"/>
      <c r="I2290" s="217" t="inlineStr"/>
      <c r="N2290" s="163" t="n"/>
    </row>
    <row r="2291" ht="15.75" customHeight="1" s="305">
      <c r="A2291" s="215" t="n"/>
      <c r="B2291" s="215" t="n"/>
      <c r="C2291" s="215" t="n"/>
      <c r="D2291" s="216" t="n"/>
      <c r="G2291" s="3" t="inlineStr"/>
      <c r="H2291" t="inlineStr"/>
      <c r="I2291" s="217" t="inlineStr"/>
      <c r="N2291" s="163" t="n"/>
    </row>
    <row r="2292" ht="15.75" customHeight="1" s="305">
      <c r="A2292" s="215" t="n"/>
      <c r="B2292" s="215" t="n"/>
      <c r="C2292" s="215" t="n"/>
      <c r="D2292" s="216" t="n"/>
      <c r="G2292" s="3" t="inlineStr"/>
      <c r="H2292" t="inlineStr"/>
      <c r="I2292" s="217" t="inlineStr"/>
      <c r="N2292" s="163" t="n"/>
    </row>
    <row r="2293" ht="15.75" customHeight="1" s="305">
      <c r="A2293" s="215" t="n"/>
      <c r="B2293" s="215" t="n"/>
      <c r="C2293" s="215" t="n"/>
      <c r="D2293" s="216" t="n"/>
      <c r="G2293" s="3" t="inlineStr"/>
      <c r="H2293" t="inlineStr"/>
      <c r="I2293" s="217" t="inlineStr"/>
      <c r="N2293" s="163" t="n"/>
    </row>
    <row r="2294" ht="15.75" customHeight="1" s="305">
      <c r="A2294" s="215" t="n"/>
      <c r="B2294" s="215" t="n"/>
      <c r="C2294" s="215" t="n"/>
      <c r="D2294" s="216" t="n"/>
      <c r="G2294" s="3" t="inlineStr"/>
      <c r="H2294" t="inlineStr"/>
      <c r="I2294" s="217" t="inlineStr"/>
      <c r="N2294" s="163" t="n"/>
    </row>
    <row r="2295" ht="15.75" customHeight="1" s="305">
      <c r="A2295" s="215" t="n"/>
      <c r="B2295" s="215" t="n"/>
      <c r="C2295" s="215" t="n"/>
      <c r="D2295" s="216" t="n"/>
      <c r="G2295" s="3" t="inlineStr"/>
      <c r="H2295" t="inlineStr"/>
      <c r="I2295" s="217" t="inlineStr"/>
      <c r="N2295" s="163" t="n"/>
    </row>
    <row r="2296" ht="15.75" customHeight="1" s="305">
      <c r="A2296" s="215" t="n"/>
      <c r="B2296" s="215" t="n"/>
      <c r="C2296" s="215" t="n"/>
      <c r="D2296" s="216" t="n"/>
      <c r="G2296" s="3" t="inlineStr"/>
      <c r="H2296" t="inlineStr"/>
      <c r="I2296" s="217" t="inlineStr"/>
      <c r="N2296" s="163" t="n"/>
    </row>
    <row r="2297" ht="15.75" customHeight="1" s="305">
      <c r="A2297" s="215" t="n"/>
      <c r="B2297" s="215" t="n"/>
      <c r="C2297" s="215" t="n"/>
      <c r="D2297" s="216" t="n"/>
      <c r="G2297" s="3" t="inlineStr"/>
      <c r="H2297" t="inlineStr"/>
      <c r="I2297" s="217" t="inlineStr"/>
      <c r="N2297" s="163" t="n"/>
    </row>
    <row r="2298" ht="15.75" customHeight="1" s="305">
      <c r="A2298" s="215" t="n"/>
      <c r="B2298" s="215" t="n"/>
      <c r="C2298" s="215" t="n"/>
      <c r="D2298" s="216" t="n"/>
      <c r="G2298" s="3" t="inlineStr"/>
      <c r="H2298" t="inlineStr"/>
      <c r="I2298" s="217" t="inlineStr"/>
      <c r="N2298" s="163" t="n"/>
    </row>
    <row r="2299" ht="15.75" customHeight="1" s="305">
      <c r="A2299" s="215" t="n"/>
      <c r="B2299" s="215" t="n"/>
      <c r="C2299" s="215" t="n"/>
      <c r="D2299" s="216" t="n"/>
      <c r="G2299" s="3" t="inlineStr"/>
      <c r="H2299" t="inlineStr"/>
      <c r="I2299" s="217" t="inlineStr"/>
      <c r="N2299" s="163" t="n"/>
    </row>
    <row r="2300" ht="15.75" customHeight="1" s="305">
      <c r="A2300" s="215" t="n"/>
      <c r="B2300" s="215" t="n"/>
      <c r="C2300" s="215" t="n"/>
      <c r="D2300" s="216" t="n"/>
      <c r="G2300" s="3" t="inlineStr"/>
      <c r="H2300" t="inlineStr"/>
      <c r="I2300" s="217" t="inlineStr"/>
      <c r="N2300" s="163" t="n"/>
    </row>
    <row r="2301" ht="15.75" customHeight="1" s="305">
      <c r="A2301" s="215" t="n"/>
      <c r="B2301" s="215" t="n"/>
      <c r="C2301" s="215" t="n"/>
      <c r="D2301" s="216" t="n"/>
      <c r="G2301" s="3" t="inlineStr"/>
      <c r="H2301" t="inlineStr"/>
      <c r="I2301" s="217" t="inlineStr"/>
      <c r="N2301" s="163" t="n"/>
    </row>
    <row r="2302" ht="15.75" customHeight="1" s="305">
      <c r="A2302" s="215" t="n"/>
      <c r="B2302" s="215" t="n"/>
      <c r="C2302" s="215" t="n"/>
      <c r="D2302" s="216" t="n"/>
      <c r="G2302" s="3" t="inlineStr"/>
      <c r="H2302" t="inlineStr"/>
      <c r="I2302" s="217" t="inlineStr"/>
      <c r="N2302" s="163" t="n"/>
    </row>
    <row r="2303" ht="15.75" customHeight="1" s="305">
      <c r="A2303" s="215" t="n"/>
      <c r="B2303" s="215" t="n"/>
      <c r="C2303" s="215" t="n"/>
      <c r="D2303" s="216" t="n"/>
      <c r="G2303" s="3" t="inlineStr"/>
      <c r="H2303" t="inlineStr"/>
      <c r="I2303" s="217" t="inlineStr"/>
      <c r="N2303" s="163" t="n"/>
    </row>
    <row r="2304" ht="15.75" customHeight="1" s="305">
      <c r="A2304" s="215" t="n"/>
      <c r="B2304" s="215" t="n"/>
      <c r="C2304" s="215" t="n"/>
      <c r="D2304" s="216" t="n"/>
      <c r="G2304" s="3" t="inlineStr"/>
      <c r="H2304" t="inlineStr"/>
      <c r="I2304" s="217" t="inlineStr"/>
      <c r="N2304" s="163" t="n"/>
    </row>
    <row r="2305" ht="15.75" customHeight="1" s="305">
      <c r="A2305" s="215" t="n"/>
      <c r="B2305" s="215" t="n"/>
      <c r="C2305" s="215" t="n"/>
      <c r="D2305" s="216" t="n"/>
      <c r="G2305" s="3" t="inlineStr"/>
      <c r="H2305" t="inlineStr"/>
      <c r="I2305" s="217" t="inlineStr"/>
      <c r="N2305" s="163" t="n"/>
    </row>
    <row r="2306" ht="15.75" customHeight="1" s="305">
      <c r="A2306" s="215" t="n"/>
      <c r="B2306" s="215" t="n"/>
      <c r="C2306" s="215" t="n"/>
      <c r="D2306" s="216" t="n"/>
      <c r="G2306" s="3" t="inlineStr"/>
      <c r="H2306" t="inlineStr"/>
      <c r="I2306" s="217" t="inlineStr"/>
      <c r="N2306" s="163" t="n"/>
    </row>
    <row r="2307" ht="15.75" customHeight="1" s="305">
      <c r="A2307" s="215" t="n"/>
      <c r="B2307" s="215" t="n"/>
      <c r="C2307" s="215" t="n"/>
      <c r="D2307" s="216" t="n"/>
      <c r="G2307" s="3" t="inlineStr"/>
      <c r="H2307" t="inlineStr"/>
      <c r="I2307" s="217" t="inlineStr"/>
      <c r="N2307" s="163" t="n"/>
    </row>
    <row r="2308" ht="15.75" customHeight="1" s="305">
      <c r="A2308" s="215" t="n"/>
      <c r="B2308" s="215" t="n"/>
      <c r="C2308" s="215" t="n"/>
      <c r="D2308" s="216" t="n"/>
      <c r="G2308" s="3" t="inlineStr"/>
      <c r="H2308" t="inlineStr"/>
      <c r="I2308" s="217" t="inlineStr"/>
      <c r="N2308" s="163" t="n"/>
    </row>
    <row r="2309" ht="15.75" customHeight="1" s="305">
      <c r="A2309" s="215" t="n"/>
      <c r="B2309" s="215" t="n"/>
      <c r="C2309" s="215" t="n"/>
      <c r="D2309" s="216" t="n"/>
      <c r="G2309" s="3" t="inlineStr"/>
      <c r="H2309" t="inlineStr"/>
      <c r="I2309" s="217" t="inlineStr"/>
      <c r="N2309" s="163" t="n"/>
    </row>
    <row r="2310" ht="15.75" customHeight="1" s="305">
      <c r="A2310" s="215" t="n"/>
      <c r="B2310" s="215" t="n"/>
      <c r="C2310" s="215" t="n"/>
      <c r="D2310" s="216" t="n"/>
      <c r="G2310" s="3" t="inlineStr"/>
      <c r="H2310" t="inlineStr"/>
      <c r="I2310" s="217" t="inlineStr"/>
      <c r="N2310" s="163" t="n"/>
    </row>
    <row r="2311" ht="15.75" customHeight="1" s="305">
      <c r="A2311" s="215" t="n"/>
      <c r="B2311" s="215" t="n"/>
      <c r="C2311" s="215" t="n"/>
      <c r="D2311" s="216" t="n"/>
      <c r="G2311" s="3" t="inlineStr"/>
      <c r="H2311" t="inlineStr"/>
      <c r="I2311" s="217" t="inlineStr"/>
      <c r="N2311" s="163" t="n"/>
    </row>
    <row r="2312" ht="15.75" customHeight="1" s="305">
      <c r="A2312" s="215" t="n"/>
      <c r="B2312" s="215" t="n"/>
      <c r="C2312" s="215" t="n"/>
      <c r="D2312" s="216" t="n"/>
      <c r="G2312" s="3" t="inlineStr"/>
      <c r="H2312" t="inlineStr"/>
      <c r="I2312" s="217" t="inlineStr"/>
      <c r="N2312" s="163" t="n"/>
    </row>
    <row r="2313" ht="15.75" customHeight="1" s="305">
      <c r="A2313" s="215" t="n"/>
      <c r="B2313" s="215" t="n"/>
      <c r="C2313" s="215" t="n"/>
      <c r="D2313" s="216" t="n"/>
      <c r="G2313" s="3" t="inlineStr"/>
      <c r="H2313" t="inlineStr"/>
      <c r="I2313" s="217" t="inlineStr"/>
      <c r="N2313" s="163" t="n"/>
    </row>
    <row r="2314" ht="15.75" customHeight="1" s="305">
      <c r="A2314" s="215" t="n"/>
      <c r="B2314" s="215" t="n"/>
      <c r="C2314" s="215" t="n"/>
      <c r="D2314" s="216" t="n"/>
      <c r="G2314" s="3" t="inlineStr"/>
      <c r="H2314" t="inlineStr"/>
      <c r="I2314" s="217" t="inlineStr"/>
      <c r="N2314" s="163" t="n"/>
    </row>
    <row r="2315" ht="15.75" customHeight="1" s="305">
      <c r="A2315" s="215" t="n"/>
      <c r="B2315" s="215" t="n"/>
      <c r="C2315" s="215" t="n"/>
      <c r="D2315" s="216" t="n"/>
      <c r="G2315" s="3" t="inlineStr"/>
      <c r="H2315" t="inlineStr"/>
      <c r="I2315" s="217" t="inlineStr"/>
      <c r="N2315" s="163" t="n"/>
    </row>
    <row r="2316" ht="15.75" customHeight="1" s="305">
      <c r="A2316" s="215" t="n"/>
      <c r="B2316" s="215" t="n"/>
      <c r="C2316" s="215" t="n"/>
      <c r="D2316" s="216" t="n"/>
      <c r="G2316" s="3" t="inlineStr"/>
      <c r="H2316" t="inlineStr"/>
      <c r="I2316" s="217" t="inlineStr"/>
      <c r="N2316" s="163" t="n"/>
    </row>
    <row r="2317" ht="15.75" customHeight="1" s="305">
      <c r="A2317" s="215" t="n"/>
      <c r="B2317" s="215" t="n"/>
      <c r="C2317" s="215" t="n"/>
      <c r="D2317" s="216" t="n"/>
      <c r="G2317" s="3" t="inlineStr"/>
      <c r="H2317" t="inlineStr"/>
      <c r="I2317" s="217" t="inlineStr"/>
      <c r="N2317" s="163" t="n"/>
    </row>
    <row r="2318" ht="15.75" customHeight="1" s="305">
      <c r="A2318" s="215" t="n"/>
      <c r="B2318" s="215" t="n"/>
      <c r="C2318" s="215" t="n"/>
      <c r="D2318" s="216" t="n"/>
      <c r="G2318" s="3" t="inlineStr"/>
      <c r="H2318" t="inlineStr"/>
      <c r="I2318" s="217" t="inlineStr"/>
      <c r="N2318" s="163" t="n"/>
    </row>
    <row r="2319" ht="15.75" customHeight="1" s="305">
      <c r="A2319" s="215" t="n"/>
      <c r="B2319" s="215" t="n"/>
      <c r="C2319" s="215" t="n"/>
      <c r="D2319" s="216" t="n"/>
      <c r="G2319" s="3" t="inlineStr"/>
      <c r="H2319" t="inlineStr"/>
      <c r="I2319" s="217" t="inlineStr"/>
      <c r="N2319" s="163" t="n"/>
    </row>
    <row r="2320" ht="15.75" customHeight="1" s="305">
      <c r="A2320" s="215" t="n"/>
      <c r="B2320" s="215" t="n"/>
      <c r="C2320" s="215" t="n"/>
      <c r="D2320" s="216" t="n"/>
      <c r="G2320" s="3" t="inlineStr"/>
      <c r="H2320" t="inlineStr"/>
      <c r="I2320" s="217" t="inlineStr"/>
      <c r="N2320" s="163" t="n"/>
    </row>
    <row r="2321" ht="15.75" customHeight="1" s="305">
      <c r="A2321" s="215" t="n"/>
      <c r="B2321" s="215" t="n"/>
      <c r="C2321" s="215" t="n"/>
      <c r="D2321" s="216" t="n"/>
      <c r="G2321" s="3" t="inlineStr"/>
      <c r="H2321" t="inlineStr"/>
      <c r="I2321" s="217" t="inlineStr"/>
      <c r="N2321" s="163" t="n"/>
    </row>
    <row r="2322" ht="15.75" customHeight="1" s="305">
      <c r="A2322" s="215" t="n"/>
      <c r="B2322" s="215" t="n"/>
      <c r="C2322" s="215" t="n"/>
      <c r="D2322" s="216" t="n"/>
      <c r="G2322" s="3" t="inlineStr"/>
      <c r="H2322" t="inlineStr"/>
      <c r="I2322" s="217" t="inlineStr"/>
      <c r="N2322" s="163" t="n"/>
    </row>
    <row r="2323" ht="15.75" customHeight="1" s="305">
      <c r="A2323" s="215" t="n"/>
      <c r="B2323" s="215" t="n"/>
      <c r="C2323" s="215" t="n"/>
      <c r="D2323" s="216" t="n"/>
      <c r="G2323" s="3" t="inlineStr"/>
      <c r="H2323" t="inlineStr"/>
      <c r="I2323" s="217" t="inlineStr"/>
      <c r="N2323" s="163" t="n"/>
    </row>
    <row r="2324" ht="15.75" customHeight="1" s="305">
      <c r="A2324" s="215" t="n"/>
      <c r="B2324" s="215" t="n"/>
      <c r="C2324" s="215" t="n"/>
      <c r="D2324" s="216" t="n"/>
      <c r="G2324" s="3" t="inlineStr"/>
      <c r="H2324" t="inlineStr"/>
      <c r="I2324" s="217" t="inlineStr"/>
      <c r="N2324" s="163" t="n"/>
    </row>
    <row r="2325" ht="15.75" customHeight="1" s="305">
      <c r="A2325" s="215" t="n"/>
      <c r="B2325" s="215" t="n"/>
      <c r="C2325" s="215" t="n"/>
      <c r="D2325" s="216" t="n"/>
      <c r="G2325" s="3" t="inlineStr"/>
      <c r="H2325" t="inlineStr"/>
      <c r="I2325" s="217" t="inlineStr"/>
      <c r="N2325" s="163" t="n"/>
    </row>
    <row r="2326" ht="15.75" customHeight="1" s="305">
      <c r="A2326" s="215" t="n"/>
      <c r="B2326" s="215" t="n"/>
      <c r="C2326" s="215" t="n"/>
      <c r="D2326" s="216" t="n"/>
      <c r="G2326" s="3" t="inlineStr"/>
      <c r="H2326" t="inlineStr"/>
      <c r="I2326" s="217" t="inlineStr"/>
      <c r="N2326" s="163" t="n"/>
    </row>
    <row r="2327" ht="15.75" customHeight="1" s="305">
      <c r="A2327" s="215" t="n"/>
      <c r="B2327" s="215" t="n"/>
      <c r="C2327" s="215" t="n"/>
      <c r="D2327" s="216" t="n"/>
      <c r="G2327" s="3" t="inlineStr"/>
      <c r="H2327" t="inlineStr"/>
      <c r="I2327" s="217" t="inlineStr"/>
      <c r="N2327" s="163" t="n"/>
    </row>
    <row r="2328" ht="15.75" customHeight="1" s="305">
      <c r="A2328" s="215" t="n"/>
      <c r="B2328" s="215" t="n"/>
      <c r="C2328" s="215" t="n"/>
      <c r="D2328" s="216" t="n"/>
      <c r="G2328" s="3" t="inlineStr"/>
      <c r="H2328" t="inlineStr"/>
      <c r="I2328" s="217" t="inlineStr"/>
      <c r="N2328" s="163" t="n"/>
    </row>
    <row r="2329" ht="15.75" customHeight="1" s="305">
      <c r="A2329" s="215" t="n"/>
      <c r="B2329" s="215" t="n"/>
      <c r="C2329" s="215" t="n"/>
      <c r="D2329" s="216" t="n"/>
      <c r="G2329" s="3" t="inlineStr"/>
      <c r="H2329" t="inlineStr"/>
      <c r="I2329" s="217" t="inlineStr"/>
      <c r="N2329" s="163" t="n"/>
    </row>
    <row r="2330" ht="15.75" customHeight="1" s="305">
      <c r="A2330" s="215" t="n"/>
      <c r="B2330" s="215" t="n"/>
      <c r="C2330" s="215" t="n"/>
      <c r="D2330" s="216" t="n"/>
      <c r="G2330" s="3" t="inlineStr"/>
      <c r="H2330" t="inlineStr"/>
      <c r="I2330" s="217" t="inlineStr"/>
      <c r="N2330" s="163" t="n"/>
    </row>
    <row r="2331" ht="15.75" customHeight="1" s="305">
      <c r="A2331" s="215" t="n"/>
      <c r="B2331" s="215" t="n"/>
      <c r="C2331" s="215" t="n"/>
      <c r="D2331" s="216" t="n"/>
      <c r="G2331" s="3" t="inlineStr"/>
      <c r="H2331" t="inlineStr"/>
      <c r="I2331" s="217" t="inlineStr"/>
      <c r="N2331" s="163" t="n"/>
    </row>
    <row r="2332" ht="15.75" customHeight="1" s="305">
      <c r="A2332" s="215" t="n"/>
      <c r="B2332" s="215" t="n"/>
      <c r="C2332" s="215" t="n"/>
      <c r="D2332" s="216" t="n"/>
      <c r="G2332" s="3" t="inlineStr"/>
      <c r="H2332" t="inlineStr"/>
      <c r="I2332" s="217" t="inlineStr"/>
      <c r="N2332" s="163" t="n"/>
    </row>
    <row r="2333" ht="15.75" customHeight="1" s="305">
      <c r="A2333" s="215" t="n"/>
      <c r="B2333" s="215" t="n"/>
      <c r="C2333" s="215" t="n"/>
      <c r="D2333" s="216" t="n"/>
      <c r="G2333" s="3" t="inlineStr"/>
      <c r="H2333" t="inlineStr"/>
      <c r="I2333" s="217" t="inlineStr"/>
      <c r="N2333" s="163" t="n"/>
    </row>
    <row r="2334" ht="15.75" customHeight="1" s="305">
      <c r="A2334" s="215" t="n"/>
      <c r="B2334" s="215" t="n"/>
      <c r="C2334" s="215" t="n"/>
      <c r="D2334" s="216" t="n"/>
      <c r="G2334" s="3" t="inlineStr"/>
      <c r="H2334" t="inlineStr"/>
      <c r="I2334" s="217" t="inlineStr"/>
      <c r="N2334" s="163" t="n"/>
    </row>
    <row r="2335" ht="15.75" customHeight="1" s="305">
      <c r="A2335" s="215" t="n"/>
      <c r="B2335" s="215" t="n"/>
      <c r="C2335" s="215" t="n"/>
      <c r="D2335" s="216" t="n"/>
      <c r="G2335" s="3" t="inlineStr"/>
      <c r="H2335" t="inlineStr"/>
      <c r="I2335" s="217" t="inlineStr"/>
      <c r="N2335" s="163" t="n"/>
    </row>
    <row r="2336" ht="15.75" customHeight="1" s="305">
      <c r="A2336" s="215" t="n"/>
      <c r="B2336" s="215" t="n"/>
      <c r="C2336" s="215" t="n"/>
      <c r="D2336" s="216" t="n"/>
      <c r="G2336" s="3" t="inlineStr"/>
      <c r="H2336" t="inlineStr"/>
      <c r="I2336" s="217" t="inlineStr"/>
      <c r="N2336" s="163" t="n"/>
    </row>
    <row r="2337" ht="15.75" customHeight="1" s="305">
      <c r="A2337" s="215" t="n"/>
      <c r="B2337" s="215" t="n"/>
      <c r="C2337" s="215" t="n"/>
      <c r="D2337" s="216" t="n"/>
      <c r="G2337" s="3" t="inlineStr"/>
      <c r="H2337" t="inlineStr"/>
      <c r="I2337" s="217" t="inlineStr"/>
      <c r="N2337" s="163" t="n"/>
    </row>
    <row r="2338" ht="15.75" customHeight="1" s="305">
      <c r="A2338" s="215" t="n"/>
      <c r="B2338" s="215" t="n"/>
      <c r="C2338" s="215" t="n"/>
      <c r="D2338" s="216" t="n"/>
      <c r="G2338" s="3" t="inlineStr"/>
      <c r="H2338" t="inlineStr"/>
      <c r="I2338" s="217" t="inlineStr"/>
      <c r="N2338" s="163" t="n"/>
    </row>
    <row r="2339" ht="15.75" customHeight="1" s="305">
      <c r="A2339" s="215" t="n"/>
      <c r="B2339" s="215" t="n"/>
      <c r="C2339" s="215" t="n"/>
      <c r="D2339" s="216" t="n"/>
      <c r="G2339" s="3" t="inlineStr"/>
      <c r="H2339" t="inlineStr"/>
      <c r="I2339" s="217" t="inlineStr"/>
      <c r="N2339" s="163" t="n"/>
    </row>
    <row r="2340" ht="15.75" customHeight="1" s="305">
      <c r="A2340" s="215" t="n"/>
      <c r="B2340" s="215" t="n"/>
      <c r="C2340" s="215" t="n"/>
      <c r="D2340" s="216" t="n"/>
      <c r="G2340" s="3" t="inlineStr"/>
      <c r="H2340" t="inlineStr"/>
      <c r="I2340" s="217" t="inlineStr"/>
      <c r="N2340" s="163" t="n"/>
    </row>
    <row r="2341" ht="15.75" customHeight="1" s="305">
      <c r="A2341" s="215" t="n"/>
      <c r="B2341" s="215" t="n"/>
      <c r="C2341" s="215" t="n"/>
      <c r="D2341" s="216" t="n"/>
      <c r="G2341" s="3" t="inlineStr"/>
      <c r="H2341" t="inlineStr"/>
      <c r="I2341" s="217" t="inlineStr"/>
      <c r="N2341" s="163" t="n"/>
    </row>
    <row r="2342" ht="15.75" customHeight="1" s="305">
      <c r="A2342" s="215" t="n"/>
      <c r="B2342" s="215" t="n"/>
      <c r="C2342" s="215" t="n"/>
      <c r="D2342" s="216" t="n"/>
      <c r="G2342" s="3" t="inlineStr"/>
      <c r="H2342" t="inlineStr"/>
      <c r="I2342" s="217" t="inlineStr"/>
      <c r="N2342" s="163" t="n"/>
    </row>
    <row r="2343" ht="15.75" customHeight="1" s="305">
      <c r="A2343" s="215" t="n"/>
      <c r="B2343" s="215" t="n"/>
      <c r="C2343" s="215" t="n"/>
      <c r="D2343" s="216" t="n"/>
      <c r="G2343" s="3" t="inlineStr"/>
      <c r="H2343" t="inlineStr"/>
      <c r="I2343" s="217" t="inlineStr"/>
      <c r="N2343" s="163" t="n"/>
    </row>
    <row r="2344" ht="15.75" customHeight="1" s="305">
      <c r="A2344" s="215" t="n"/>
      <c r="B2344" s="215" t="n"/>
      <c r="C2344" s="215" t="n"/>
      <c r="D2344" s="216" t="n"/>
      <c r="G2344" s="3" t="inlineStr"/>
      <c r="H2344" t="inlineStr"/>
      <c r="I2344" s="217" t="inlineStr"/>
      <c r="N2344" s="163" t="n"/>
    </row>
    <row r="2345" ht="15.75" customHeight="1" s="305">
      <c r="A2345" s="215" t="n"/>
      <c r="B2345" s="215" t="n"/>
      <c r="C2345" s="215" t="n"/>
      <c r="D2345" s="216" t="n"/>
      <c r="G2345" s="3" t="inlineStr"/>
      <c r="H2345" t="inlineStr"/>
      <c r="I2345" s="217" t="inlineStr"/>
      <c r="N2345" s="163" t="n"/>
    </row>
    <row r="2346" ht="15.75" customHeight="1" s="305">
      <c r="A2346" s="215" t="n"/>
      <c r="B2346" s="215" t="n"/>
      <c r="C2346" s="215" t="n"/>
      <c r="D2346" s="216" t="n"/>
      <c r="G2346" s="3" t="inlineStr"/>
      <c r="H2346" t="inlineStr"/>
      <c r="I2346" s="217" t="inlineStr"/>
      <c r="N2346" s="163" t="n"/>
    </row>
    <row r="2347" ht="15.75" customHeight="1" s="305">
      <c r="A2347" s="215" t="n"/>
      <c r="B2347" s="215" t="n"/>
      <c r="C2347" s="215" t="n"/>
      <c r="D2347" s="216" t="n"/>
      <c r="G2347" s="3" t="inlineStr"/>
      <c r="H2347" t="inlineStr"/>
      <c r="I2347" s="217" t="inlineStr"/>
      <c r="N2347" s="163" t="n"/>
    </row>
    <row r="2348" ht="15.75" customHeight="1" s="305">
      <c r="A2348" s="215" t="n"/>
      <c r="B2348" s="215" t="n"/>
      <c r="C2348" s="215" t="n"/>
      <c r="D2348" s="216" t="n"/>
      <c r="G2348" s="3" t="inlineStr"/>
      <c r="H2348" t="inlineStr"/>
      <c r="I2348" s="217" t="inlineStr"/>
      <c r="N2348" s="163" t="n"/>
    </row>
    <row r="2349" ht="15.75" customHeight="1" s="305">
      <c r="A2349" s="215" t="n"/>
      <c r="B2349" s="215" t="n"/>
      <c r="C2349" s="215" t="n"/>
      <c r="D2349" s="216" t="n"/>
      <c r="G2349" s="3" t="inlineStr"/>
      <c r="H2349" t="inlineStr"/>
      <c r="I2349" s="217" t="inlineStr"/>
      <c r="N2349" s="163" t="n"/>
    </row>
    <row r="2350" ht="15.75" customHeight="1" s="305">
      <c r="A2350" s="215" t="n"/>
      <c r="B2350" s="215" t="n"/>
      <c r="C2350" s="215" t="n"/>
      <c r="D2350" s="216" t="n"/>
      <c r="G2350" s="3" t="inlineStr"/>
      <c r="H2350" t="inlineStr"/>
      <c r="I2350" s="217" t="inlineStr"/>
      <c r="N2350" s="163" t="n"/>
    </row>
    <row r="2351" ht="15.75" customHeight="1" s="305">
      <c r="A2351" s="215" t="n"/>
      <c r="B2351" s="215" t="n"/>
      <c r="C2351" s="215" t="n"/>
      <c r="D2351" s="216" t="n"/>
      <c r="G2351" s="3" t="inlineStr"/>
      <c r="H2351" t="inlineStr"/>
      <c r="I2351" s="217" t="inlineStr"/>
      <c r="N2351" s="163" t="n"/>
    </row>
    <row r="2352" ht="15.75" customHeight="1" s="305">
      <c r="A2352" s="215" t="n"/>
      <c r="B2352" s="215" t="n"/>
      <c r="C2352" s="215" t="n"/>
      <c r="D2352" s="216" t="n"/>
      <c r="G2352" s="3" t="inlineStr"/>
      <c r="H2352" t="inlineStr"/>
      <c r="I2352" s="217" t="inlineStr"/>
      <c r="N2352" s="163" t="n"/>
    </row>
    <row r="2353" ht="15.75" customHeight="1" s="305">
      <c r="A2353" s="215" t="n"/>
      <c r="B2353" s="215" t="n"/>
      <c r="C2353" s="215" t="n"/>
      <c r="D2353" s="216" t="n"/>
      <c r="G2353" s="3" t="inlineStr"/>
      <c r="H2353" t="inlineStr"/>
      <c r="I2353" s="217" t="inlineStr"/>
      <c r="N2353" s="163" t="n"/>
    </row>
    <row r="2354" ht="15.75" customHeight="1" s="305">
      <c r="A2354" s="215" t="n"/>
      <c r="B2354" s="215" t="n"/>
      <c r="C2354" s="215" t="n"/>
      <c r="D2354" s="216" t="n"/>
      <c r="G2354" s="3" t="inlineStr"/>
      <c r="H2354" t="inlineStr"/>
      <c r="I2354" s="217" t="inlineStr"/>
      <c r="N2354" s="163" t="n"/>
    </row>
    <row r="2355" ht="15.75" customHeight="1" s="305">
      <c r="A2355" s="215" t="n"/>
      <c r="B2355" s="215" t="n"/>
      <c r="C2355" s="215" t="n"/>
      <c r="D2355" s="216" t="n"/>
      <c r="G2355" s="3" t="inlineStr"/>
      <c r="H2355" t="inlineStr"/>
      <c r="I2355" s="217" t="inlineStr"/>
      <c r="N2355" s="163" t="n"/>
    </row>
    <row r="2356" ht="15.75" customHeight="1" s="305">
      <c r="A2356" s="215" t="n"/>
      <c r="B2356" s="215" t="n"/>
      <c r="C2356" s="215" t="n"/>
      <c r="D2356" s="216" t="n"/>
      <c r="G2356" s="3" t="inlineStr"/>
      <c r="H2356" t="inlineStr"/>
      <c r="I2356" s="217" t="inlineStr"/>
      <c r="N2356" s="163" t="n"/>
    </row>
    <row r="2357" ht="15.75" customHeight="1" s="305">
      <c r="A2357" s="215" t="n"/>
      <c r="B2357" s="215" t="n"/>
      <c r="C2357" s="215" t="n"/>
      <c r="D2357" s="216" t="n"/>
      <c r="G2357" s="3" t="inlineStr"/>
      <c r="H2357" t="inlineStr"/>
      <c r="I2357" s="217" t="inlineStr"/>
      <c r="N2357" s="163" t="n"/>
    </row>
    <row r="2358" ht="15.75" customHeight="1" s="305">
      <c r="A2358" s="215" t="n"/>
      <c r="B2358" s="215" t="n"/>
      <c r="C2358" s="215" t="n"/>
      <c r="D2358" s="216" t="n"/>
      <c r="G2358" s="3" t="inlineStr"/>
      <c r="H2358" t="inlineStr"/>
      <c r="I2358" s="217" t="inlineStr"/>
      <c r="N2358" s="163" t="n"/>
    </row>
    <row r="2359" ht="15.75" customHeight="1" s="305">
      <c r="A2359" s="215" t="n"/>
      <c r="B2359" s="215" t="n"/>
      <c r="C2359" s="215" t="n"/>
      <c r="D2359" s="216" t="n"/>
      <c r="G2359" s="3" t="inlineStr"/>
      <c r="H2359" t="inlineStr"/>
      <c r="I2359" s="217" t="inlineStr"/>
      <c r="N2359" s="163" t="n"/>
    </row>
    <row r="2360" ht="15.75" customHeight="1" s="305">
      <c r="A2360" s="215" t="n"/>
      <c r="B2360" s="215" t="n"/>
      <c r="C2360" s="215" t="n"/>
      <c r="D2360" s="216" t="n"/>
      <c r="G2360" s="3" t="inlineStr"/>
      <c r="H2360" t="inlineStr"/>
      <c r="I2360" s="217" t="inlineStr"/>
      <c r="N2360" s="163" t="n"/>
    </row>
    <row r="2361" ht="15.75" customHeight="1" s="305">
      <c r="A2361" s="215" t="n"/>
      <c r="B2361" s="215" t="n"/>
      <c r="C2361" s="215" t="n"/>
      <c r="D2361" s="216" t="n"/>
      <c r="G2361" s="3" t="inlineStr"/>
      <c r="H2361" t="inlineStr"/>
      <c r="I2361" s="217" t="inlineStr"/>
      <c r="N2361" s="163" t="n"/>
    </row>
    <row r="2362" ht="15.75" customHeight="1" s="305">
      <c r="A2362" s="215" t="n"/>
      <c r="B2362" s="215" t="n"/>
      <c r="C2362" s="215" t="n"/>
      <c r="D2362" s="216" t="n"/>
      <c r="G2362" s="3" t="inlineStr"/>
      <c r="H2362" t="inlineStr"/>
      <c r="I2362" s="217" t="inlineStr"/>
      <c r="N2362" s="163" t="n"/>
    </row>
    <row r="2363" ht="15.75" customHeight="1" s="305">
      <c r="A2363" s="215" t="n"/>
      <c r="B2363" s="215" t="n"/>
      <c r="C2363" s="215" t="n"/>
      <c r="D2363" s="216" t="n"/>
      <c r="G2363" s="3" t="inlineStr"/>
      <c r="H2363" t="inlineStr"/>
      <c r="I2363" s="217" t="inlineStr"/>
      <c r="N2363" s="163" t="n"/>
    </row>
    <row r="2364" ht="15.75" customHeight="1" s="305">
      <c r="A2364" s="215" t="n"/>
      <c r="B2364" s="215" t="n"/>
      <c r="C2364" s="215" t="n"/>
      <c r="D2364" s="216" t="n"/>
      <c r="G2364" s="3" t="inlineStr"/>
      <c r="H2364" t="inlineStr"/>
      <c r="I2364" s="217" t="inlineStr"/>
      <c r="N2364" s="163" t="n"/>
    </row>
    <row r="2365" ht="15.75" customHeight="1" s="305">
      <c r="A2365" s="215" t="n"/>
      <c r="B2365" s="215" t="n"/>
      <c r="C2365" s="215" t="n"/>
      <c r="D2365" s="216" t="n"/>
      <c r="G2365" s="3" t="inlineStr"/>
      <c r="H2365" t="inlineStr"/>
      <c r="I2365" s="217" t="inlineStr"/>
      <c r="N2365" s="163" t="n"/>
    </row>
    <row r="2366" ht="15.75" customHeight="1" s="305">
      <c r="A2366" s="215" t="n"/>
      <c r="B2366" s="215" t="n"/>
      <c r="C2366" s="215" t="n"/>
      <c r="D2366" s="216" t="n"/>
      <c r="G2366" s="3" t="inlineStr"/>
      <c r="H2366" t="inlineStr"/>
      <c r="I2366" s="217" t="inlineStr"/>
      <c r="N2366" s="163" t="n"/>
    </row>
    <row r="2367" ht="15.75" customHeight="1" s="305">
      <c r="A2367" s="215" t="n"/>
      <c r="B2367" s="215" t="n"/>
      <c r="C2367" s="215" t="n"/>
      <c r="D2367" s="216" t="n"/>
      <c r="G2367" s="3" t="inlineStr"/>
      <c r="H2367" t="inlineStr"/>
      <c r="I2367" s="217" t="inlineStr"/>
      <c r="N2367" s="163" t="n"/>
    </row>
    <row r="2368" ht="15.75" customHeight="1" s="305">
      <c r="A2368" s="215" t="n"/>
      <c r="B2368" s="215" t="n"/>
      <c r="C2368" s="215" t="n"/>
      <c r="D2368" s="216" t="n"/>
      <c r="G2368" s="3" t="inlineStr"/>
      <c r="H2368" t="inlineStr"/>
      <c r="I2368" s="217" t="inlineStr"/>
      <c r="N2368" s="163" t="n"/>
    </row>
    <row r="2369" ht="15.75" customHeight="1" s="305">
      <c r="A2369" s="215" t="n"/>
      <c r="B2369" s="215" t="n"/>
      <c r="C2369" s="215" t="n"/>
      <c r="D2369" s="216" t="n"/>
      <c r="G2369" s="3" t="inlineStr"/>
      <c r="H2369" t="inlineStr"/>
      <c r="I2369" s="217" t="inlineStr"/>
      <c r="N2369" s="163" t="n"/>
    </row>
    <row r="2370" ht="15.75" customHeight="1" s="305">
      <c r="A2370" s="215" t="n"/>
      <c r="B2370" s="215" t="n"/>
      <c r="C2370" s="215" t="n"/>
      <c r="D2370" s="216" t="n"/>
      <c r="G2370" s="3" t="inlineStr"/>
      <c r="H2370" t="inlineStr"/>
      <c r="I2370" s="217" t="inlineStr"/>
      <c r="N2370" s="163" t="n"/>
    </row>
    <row r="2371" ht="15.75" customHeight="1" s="305">
      <c r="A2371" s="215" t="n"/>
      <c r="B2371" s="215" t="n"/>
      <c r="C2371" s="215" t="n"/>
      <c r="D2371" s="216" t="n"/>
      <c r="G2371" s="3" t="inlineStr"/>
      <c r="H2371" t="inlineStr"/>
      <c r="I2371" s="217" t="inlineStr"/>
      <c r="N2371" s="163" t="n"/>
    </row>
    <row r="2372" ht="15.75" customHeight="1" s="305">
      <c r="A2372" s="215" t="n"/>
      <c r="B2372" s="215" t="n"/>
      <c r="C2372" s="215" t="n"/>
      <c r="D2372" s="216" t="n"/>
      <c r="G2372" s="3" t="inlineStr"/>
      <c r="H2372" t="inlineStr"/>
      <c r="I2372" s="217" t="inlineStr"/>
      <c r="N2372" s="163" t="n"/>
    </row>
    <row r="2373" ht="15.75" customHeight="1" s="305">
      <c r="A2373" s="215" t="n"/>
      <c r="B2373" s="215" t="n"/>
      <c r="C2373" s="215" t="n"/>
      <c r="D2373" s="216" t="n"/>
      <c r="G2373" s="3" t="inlineStr"/>
      <c r="H2373" t="inlineStr"/>
      <c r="I2373" s="217" t="inlineStr"/>
      <c r="N2373" s="163" t="n"/>
    </row>
    <row r="2374" ht="15.75" customHeight="1" s="305">
      <c r="A2374" s="215" t="n"/>
      <c r="B2374" s="215" t="n"/>
      <c r="C2374" s="215" t="n"/>
      <c r="D2374" s="216" t="n"/>
      <c r="G2374" s="3" t="inlineStr"/>
      <c r="H2374" t="inlineStr"/>
      <c r="I2374" s="217" t="inlineStr"/>
      <c r="N2374" s="163" t="n"/>
    </row>
    <row r="2375" ht="15.75" customHeight="1" s="305">
      <c r="A2375" s="215" t="n"/>
      <c r="B2375" s="215" t="n"/>
      <c r="C2375" s="215" t="n"/>
      <c r="D2375" s="216" t="n"/>
      <c r="G2375" s="3" t="inlineStr"/>
      <c r="H2375" t="inlineStr"/>
      <c r="I2375" s="217" t="inlineStr"/>
      <c r="N2375" s="163" t="n"/>
    </row>
    <row r="2376" ht="15.75" customHeight="1" s="305">
      <c r="A2376" s="215" t="n"/>
      <c r="B2376" s="215" t="n"/>
      <c r="C2376" s="215" t="n"/>
      <c r="D2376" s="216" t="n"/>
      <c r="G2376" s="3" t="inlineStr"/>
      <c r="H2376" t="inlineStr"/>
      <c r="I2376" s="217" t="inlineStr"/>
      <c r="N2376" s="163" t="n"/>
    </row>
    <row r="2377" ht="15.75" customHeight="1" s="305">
      <c r="A2377" s="215" t="n"/>
      <c r="B2377" s="215" t="n"/>
      <c r="C2377" s="215" t="n"/>
      <c r="D2377" s="216" t="n"/>
      <c r="G2377" s="3" t="inlineStr"/>
      <c r="H2377" t="inlineStr"/>
      <c r="I2377" s="217" t="inlineStr"/>
      <c r="N2377" s="163" t="n"/>
    </row>
    <row r="2378" ht="15.75" customHeight="1" s="305">
      <c r="A2378" s="215" t="n"/>
      <c r="B2378" s="215" t="n"/>
      <c r="C2378" s="215" t="n"/>
      <c r="D2378" s="216" t="n"/>
      <c r="G2378" s="3" t="inlineStr"/>
      <c r="H2378" t="inlineStr"/>
      <c r="I2378" s="217" t="inlineStr"/>
      <c r="N2378" s="163" t="n"/>
    </row>
    <row r="2379" ht="15.75" customHeight="1" s="305">
      <c r="A2379" s="215" t="n"/>
      <c r="B2379" s="215" t="n"/>
      <c r="C2379" s="215" t="n"/>
      <c r="D2379" s="216" t="n"/>
      <c r="G2379" s="3" t="inlineStr"/>
      <c r="H2379" t="inlineStr"/>
      <c r="I2379" s="217" t="inlineStr"/>
      <c r="N2379" s="163" t="n"/>
    </row>
    <row r="2380" ht="15.75" customHeight="1" s="305">
      <c r="A2380" s="215" t="n"/>
      <c r="B2380" s="215" t="n"/>
      <c r="C2380" s="215" t="n"/>
      <c r="D2380" s="216" t="n"/>
      <c r="G2380" s="3" t="inlineStr"/>
      <c r="H2380" t="inlineStr"/>
      <c r="I2380" s="217" t="inlineStr"/>
      <c r="N2380" s="163" t="n"/>
    </row>
    <row r="2381" ht="15.75" customHeight="1" s="305">
      <c r="A2381" s="215" t="n"/>
      <c r="B2381" s="215" t="n"/>
      <c r="C2381" s="215" t="n"/>
      <c r="D2381" s="216" t="n"/>
      <c r="G2381" s="3" t="inlineStr"/>
      <c r="H2381" t="inlineStr"/>
      <c r="I2381" s="217" t="inlineStr"/>
      <c r="N2381" s="163" t="n"/>
    </row>
    <row r="2382" ht="15.75" customHeight="1" s="305">
      <c r="A2382" s="215" t="n"/>
      <c r="B2382" s="215" t="n"/>
      <c r="C2382" s="215" t="n"/>
      <c r="D2382" s="216" t="n"/>
      <c r="G2382" s="3" t="inlineStr"/>
      <c r="H2382" t="inlineStr"/>
      <c r="I2382" s="217" t="inlineStr"/>
      <c r="N2382" s="163" t="n"/>
    </row>
    <row r="2383" ht="15.75" customHeight="1" s="305">
      <c r="A2383" s="215" t="n"/>
      <c r="B2383" s="215" t="n"/>
      <c r="C2383" s="215" t="n"/>
      <c r="D2383" s="216" t="n"/>
      <c r="G2383" s="3" t="inlineStr"/>
      <c r="H2383" t="inlineStr"/>
      <c r="I2383" s="217" t="inlineStr"/>
      <c r="N2383" s="163" t="n"/>
    </row>
    <row r="2384" ht="15.75" customHeight="1" s="305">
      <c r="A2384" s="215" t="n"/>
      <c r="B2384" s="215" t="n"/>
      <c r="C2384" s="215" t="n"/>
      <c r="D2384" s="216" t="n"/>
      <c r="G2384" s="3" t="inlineStr"/>
      <c r="H2384" t="inlineStr"/>
      <c r="I2384" s="217" t="inlineStr"/>
      <c r="N2384" s="163" t="n"/>
    </row>
    <row r="2385" ht="15.75" customHeight="1" s="305">
      <c r="A2385" s="215" t="n"/>
      <c r="B2385" s="215" t="n"/>
      <c r="C2385" s="215" t="n"/>
      <c r="D2385" s="216" t="n"/>
      <c r="G2385" s="3" t="inlineStr"/>
      <c r="H2385" t="inlineStr"/>
      <c r="I2385" s="217" t="inlineStr"/>
      <c r="N2385" s="163" t="n"/>
    </row>
    <row r="2386" ht="15.75" customHeight="1" s="305">
      <c r="A2386" s="215" t="n"/>
      <c r="B2386" s="215" t="n"/>
      <c r="C2386" s="215" t="n"/>
      <c r="D2386" s="216" t="n"/>
      <c r="G2386" s="3" t="inlineStr"/>
      <c r="H2386" t="inlineStr"/>
      <c r="I2386" s="217" t="inlineStr"/>
      <c r="N2386" s="163" t="n"/>
    </row>
    <row r="2387" ht="15.75" customHeight="1" s="305">
      <c r="A2387" s="215" t="n"/>
      <c r="B2387" s="215" t="n"/>
      <c r="C2387" s="215" t="n"/>
      <c r="D2387" s="216" t="n"/>
      <c r="G2387" s="3" t="inlineStr"/>
      <c r="H2387" t="inlineStr"/>
      <c r="I2387" s="217" t="inlineStr"/>
      <c r="N2387" s="163" t="n"/>
    </row>
    <row r="2388" ht="15.75" customHeight="1" s="305">
      <c r="A2388" s="215" t="n"/>
      <c r="B2388" s="215" t="n"/>
      <c r="C2388" s="215" t="n"/>
      <c r="D2388" s="216" t="n"/>
      <c r="G2388" s="3" t="inlineStr"/>
      <c r="H2388" t="inlineStr"/>
      <c r="I2388" s="217" t="inlineStr"/>
      <c r="N2388" s="163" t="n"/>
    </row>
    <row r="2389" ht="15.75" customHeight="1" s="305">
      <c r="A2389" s="215" t="n"/>
      <c r="B2389" s="215" t="n"/>
      <c r="C2389" s="215" t="n"/>
      <c r="D2389" s="216" t="n"/>
      <c r="G2389" s="3" t="inlineStr"/>
      <c r="H2389" t="inlineStr"/>
      <c r="I2389" s="217" t="inlineStr"/>
      <c r="N2389" s="163" t="n"/>
    </row>
    <row r="2390" ht="15.75" customHeight="1" s="305">
      <c r="A2390" s="215" t="n"/>
      <c r="B2390" s="215" t="n"/>
      <c r="C2390" s="215" t="n"/>
      <c r="D2390" s="216" t="n"/>
      <c r="G2390" s="3" t="inlineStr"/>
      <c r="H2390" t="inlineStr"/>
      <c r="I2390" s="217" t="inlineStr"/>
      <c r="N2390" s="163" t="n"/>
    </row>
    <row r="2391" ht="15.75" customHeight="1" s="305">
      <c r="A2391" s="215" t="n"/>
      <c r="B2391" s="215" t="n"/>
      <c r="C2391" s="215" t="n"/>
      <c r="D2391" s="216" t="n"/>
      <c r="G2391" s="3" t="inlineStr"/>
      <c r="H2391" t="inlineStr"/>
      <c r="I2391" s="217" t="inlineStr"/>
      <c r="N2391" s="163" t="n"/>
    </row>
    <row r="2392" ht="15.75" customHeight="1" s="305">
      <c r="A2392" s="215" t="n"/>
      <c r="B2392" s="215" t="n"/>
      <c r="C2392" s="215" t="n"/>
      <c r="D2392" s="216" t="n"/>
      <c r="G2392" s="3" t="inlineStr"/>
      <c r="H2392" t="inlineStr"/>
      <c r="I2392" s="217" t="inlineStr"/>
      <c r="N2392" s="163" t="n"/>
    </row>
    <row r="2393" ht="15.75" customHeight="1" s="305">
      <c r="A2393" s="215" t="n"/>
      <c r="B2393" s="215" t="n"/>
      <c r="C2393" s="215" t="n"/>
      <c r="D2393" s="216" t="n"/>
      <c r="G2393" s="3" t="inlineStr"/>
      <c r="H2393" t="inlineStr"/>
      <c r="I2393" s="217" t="inlineStr"/>
      <c r="N2393" s="163" t="n"/>
    </row>
    <row r="2394" ht="15.75" customHeight="1" s="305">
      <c r="A2394" s="215" t="n"/>
      <c r="B2394" s="215" t="n"/>
      <c r="C2394" s="215" t="n"/>
      <c r="D2394" s="216" t="n"/>
      <c r="G2394" s="3" t="inlineStr"/>
      <c r="H2394" t="inlineStr"/>
      <c r="I2394" s="217" t="inlineStr"/>
      <c r="N2394" s="163" t="n"/>
    </row>
    <row r="2395" ht="15.75" customHeight="1" s="305">
      <c r="A2395" s="215" t="n"/>
      <c r="B2395" s="215" t="n"/>
      <c r="C2395" s="215" t="n"/>
      <c r="D2395" s="216" t="n"/>
      <c r="G2395" s="3" t="inlineStr"/>
      <c r="H2395" t="inlineStr"/>
      <c r="I2395" s="217" t="inlineStr"/>
      <c r="N2395" s="163" t="n"/>
    </row>
    <row r="2396" ht="15.75" customHeight="1" s="305">
      <c r="A2396" s="215" t="n"/>
      <c r="B2396" s="215" t="n"/>
      <c r="C2396" s="215" t="n"/>
      <c r="D2396" s="216" t="n"/>
      <c r="G2396" s="3" t="inlineStr"/>
      <c r="H2396" t="inlineStr"/>
      <c r="I2396" s="217" t="inlineStr"/>
      <c r="N2396" s="163" t="n"/>
    </row>
    <row r="2397" ht="15.75" customHeight="1" s="305">
      <c r="A2397" s="215" t="n"/>
      <c r="B2397" s="215" t="n"/>
      <c r="C2397" s="215" t="n"/>
      <c r="D2397" s="216" t="n"/>
      <c r="G2397" s="3" t="inlineStr"/>
      <c r="H2397" t="inlineStr"/>
      <c r="I2397" s="217" t="inlineStr"/>
      <c r="N2397" s="163" t="n"/>
    </row>
    <row r="2398" ht="15.75" customHeight="1" s="305">
      <c r="A2398" s="215" t="n"/>
      <c r="B2398" s="215" t="n"/>
      <c r="C2398" s="215" t="n"/>
      <c r="D2398" s="216" t="n"/>
      <c r="G2398" s="3" t="inlineStr"/>
      <c r="H2398" t="inlineStr"/>
      <c r="I2398" s="217" t="inlineStr"/>
      <c r="N2398" s="163" t="n"/>
    </row>
    <row r="2399" ht="15.75" customHeight="1" s="305">
      <c r="A2399" s="215" t="n"/>
      <c r="B2399" s="215" t="n"/>
      <c r="C2399" s="215" t="n"/>
      <c r="D2399" s="216" t="n"/>
      <c r="G2399" s="3" t="inlineStr"/>
      <c r="H2399" t="inlineStr"/>
      <c r="I2399" s="217" t="inlineStr"/>
      <c r="N2399" s="163" t="n"/>
    </row>
    <row r="2400" ht="15.75" customHeight="1" s="305">
      <c r="A2400" s="215" t="n"/>
      <c r="B2400" s="215" t="n"/>
      <c r="C2400" s="215" t="n"/>
      <c r="D2400" s="216" t="n"/>
      <c r="G2400" s="3" t="inlineStr"/>
      <c r="H2400" t="inlineStr"/>
      <c r="I2400" s="217" t="inlineStr"/>
      <c r="N2400" s="163" t="n"/>
    </row>
    <row r="2401" ht="15.75" customHeight="1" s="305">
      <c r="A2401" s="215" t="n"/>
      <c r="B2401" s="215" t="n"/>
      <c r="C2401" s="215" t="n"/>
      <c r="D2401" s="216" t="n"/>
      <c r="G2401" s="3" t="inlineStr"/>
      <c r="H2401" t="inlineStr"/>
      <c r="I2401" s="217" t="inlineStr"/>
      <c r="N2401" s="163" t="n"/>
    </row>
    <row r="2402" ht="15.75" customHeight="1" s="305">
      <c r="A2402" s="215" t="n"/>
      <c r="B2402" s="215" t="n"/>
      <c r="C2402" s="215" t="n"/>
      <c r="D2402" s="216" t="n"/>
      <c r="G2402" s="3" t="inlineStr"/>
      <c r="H2402" t="inlineStr"/>
      <c r="I2402" s="217" t="inlineStr"/>
      <c r="N2402" s="163" t="n"/>
    </row>
    <row r="2403" ht="15.75" customHeight="1" s="305">
      <c r="A2403" s="215" t="n"/>
      <c r="B2403" s="215" t="n"/>
      <c r="C2403" s="215" t="n"/>
      <c r="D2403" s="216" t="n"/>
      <c r="G2403" s="3" t="inlineStr"/>
      <c r="H2403" t="inlineStr"/>
      <c r="I2403" s="217" t="inlineStr"/>
      <c r="N2403" s="163" t="n"/>
    </row>
    <row r="2404" ht="15.75" customHeight="1" s="305">
      <c r="A2404" s="215" t="n"/>
      <c r="B2404" s="215" t="n"/>
      <c r="C2404" s="215" t="n"/>
      <c r="D2404" s="216" t="n"/>
      <c r="G2404" s="3" t="inlineStr"/>
      <c r="H2404" t="inlineStr"/>
      <c r="I2404" s="217" t="inlineStr"/>
      <c r="N2404" s="163" t="n"/>
    </row>
    <row r="2405" ht="15.75" customHeight="1" s="305">
      <c r="A2405" s="215" t="n"/>
      <c r="B2405" s="215" t="n"/>
      <c r="C2405" s="215" t="n"/>
      <c r="D2405" s="216" t="n"/>
      <c r="G2405" s="3" t="inlineStr"/>
      <c r="H2405" t="inlineStr"/>
      <c r="I2405" s="217" t="inlineStr"/>
      <c r="N2405" s="163" t="n"/>
    </row>
    <row r="2406" ht="15.75" customHeight="1" s="305">
      <c r="A2406" s="215" t="n"/>
      <c r="B2406" s="215" t="n"/>
      <c r="C2406" s="215" t="n"/>
      <c r="D2406" s="216" t="n"/>
      <c r="G2406" s="3" t="inlineStr"/>
      <c r="H2406" t="inlineStr"/>
      <c r="I2406" s="217" t="inlineStr"/>
      <c r="N2406" s="163" t="n"/>
    </row>
    <row r="2407" ht="15.75" customHeight="1" s="305">
      <c r="A2407" s="215" t="n"/>
      <c r="B2407" s="215" t="n"/>
      <c r="C2407" s="215" t="n"/>
      <c r="D2407" s="216" t="n"/>
      <c r="G2407" s="3" t="inlineStr"/>
      <c r="H2407" t="inlineStr"/>
      <c r="I2407" s="217" t="inlineStr"/>
      <c r="N2407" s="163" t="n"/>
    </row>
    <row r="2408" ht="15.75" customHeight="1" s="305">
      <c r="A2408" s="215" t="n"/>
      <c r="B2408" s="215" t="n"/>
      <c r="C2408" s="215" t="n"/>
      <c r="D2408" s="216" t="n"/>
      <c r="G2408" s="3" t="inlineStr"/>
      <c r="H2408" t="inlineStr"/>
      <c r="I2408" s="217" t="inlineStr"/>
      <c r="N2408" s="163" t="n"/>
    </row>
    <row r="2409" ht="15.75" customHeight="1" s="305">
      <c r="A2409" s="215" t="n"/>
      <c r="B2409" s="215" t="n"/>
      <c r="C2409" s="215" t="n"/>
      <c r="D2409" s="216" t="n"/>
      <c r="G2409" s="3" t="inlineStr"/>
      <c r="H2409" t="inlineStr"/>
      <c r="I2409" s="217" t="inlineStr"/>
      <c r="N2409" s="163" t="n"/>
    </row>
    <row r="2410" ht="15.75" customHeight="1" s="305">
      <c r="A2410" s="215" t="n"/>
      <c r="B2410" s="215" t="n"/>
      <c r="C2410" s="215" t="n"/>
      <c r="D2410" s="216" t="n"/>
      <c r="G2410" s="3" t="inlineStr"/>
      <c r="H2410" t="inlineStr"/>
      <c r="I2410" s="217" t="inlineStr"/>
      <c r="N2410" s="163" t="n"/>
    </row>
    <row r="2411" ht="15.75" customHeight="1" s="305">
      <c r="A2411" s="215" t="n"/>
      <c r="B2411" s="215" t="n"/>
      <c r="C2411" s="215" t="n"/>
      <c r="D2411" s="216" t="n"/>
      <c r="G2411" s="3" t="inlineStr"/>
      <c r="H2411" t="inlineStr"/>
      <c r="I2411" s="217" t="inlineStr"/>
      <c r="N2411" s="163" t="n"/>
    </row>
    <row r="2412" ht="15.75" customHeight="1" s="305">
      <c r="A2412" s="215" t="n"/>
      <c r="B2412" s="215" t="n"/>
      <c r="C2412" s="215" t="n"/>
      <c r="D2412" s="216" t="n"/>
      <c r="G2412" s="3" t="inlineStr"/>
      <c r="H2412" t="inlineStr"/>
      <c r="I2412" s="217" t="inlineStr"/>
      <c r="N2412" s="163" t="n"/>
    </row>
    <row r="2413" ht="15.75" customHeight="1" s="305">
      <c r="A2413" s="215" t="n"/>
      <c r="B2413" s="215" t="n"/>
      <c r="C2413" s="215" t="n"/>
      <c r="D2413" s="216" t="n"/>
      <c r="G2413" s="3" t="inlineStr"/>
      <c r="H2413" t="inlineStr"/>
      <c r="I2413" s="217" t="inlineStr"/>
      <c r="N2413" s="163" t="n"/>
    </row>
    <row r="2414" ht="15.75" customHeight="1" s="305">
      <c r="A2414" s="215" t="n"/>
      <c r="B2414" s="215" t="n"/>
      <c r="C2414" s="215" t="n"/>
      <c r="D2414" s="216" t="n"/>
      <c r="G2414" s="3" t="inlineStr"/>
      <c r="H2414" t="inlineStr"/>
      <c r="I2414" s="217" t="inlineStr"/>
      <c r="N2414" s="163" t="n"/>
    </row>
    <row r="2415" ht="15.75" customHeight="1" s="305">
      <c r="A2415" s="215" t="n"/>
      <c r="B2415" s="215" t="n"/>
      <c r="C2415" s="215" t="n"/>
      <c r="D2415" s="216" t="n"/>
      <c r="G2415" s="3" t="inlineStr"/>
      <c r="H2415" t="inlineStr"/>
      <c r="I2415" s="217" t="inlineStr"/>
      <c r="N2415" s="163" t="n"/>
    </row>
    <row r="2416" ht="15.75" customHeight="1" s="305">
      <c r="A2416" s="215" t="n"/>
      <c r="B2416" s="215" t="n"/>
      <c r="C2416" s="215" t="n"/>
      <c r="D2416" s="216" t="n"/>
      <c r="G2416" s="3" t="inlineStr"/>
      <c r="H2416" t="inlineStr"/>
      <c r="I2416" s="217" t="inlineStr"/>
      <c r="N2416" s="163" t="n"/>
    </row>
    <row r="2417" ht="15.75" customHeight="1" s="305">
      <c r="A2417" s="215" t="n"/>
      <c r="B2417" s="215" t="n"/>
      <c r="C2417" s="215" t="n"/>
      <c r="D2417" s="216" t="n"/>
      <c r="G2417" s="3" t="inlineStr"/>
      <c r="H2417" t="inlineStr"/>
      <c r="I2417" s="217" t="inlineStr"/>
      <c r="N2417" s="163" t="n"/>
    </row>
    <row r="2418" ht="15.75" customHeight="1" s="305">
      <c r="A2418" s="215" t="n"/>
      <c r="B2418" s="215" t="n"/>
      <c r="C2418" s="215" t="n"/>
      <c r="D2418" s="216" t="n"/>
      <c r="G2418" s="3" t="inlineStr"/>
      <c r="H2418" t="inlineStr"/>
      <c r="I2418" s="217" t="inlineStr"/>
      <c r="N2418" s="163" t="n"/>
    </row>
    <row r="2419" ht="15.75" customHeight="1" s="305">
      <c r="A2419" s="215" t="n"/>
      <c r="B2419" s="215" t="n"/>
      <c r="C2419" s="215" t="n"/>
      <c r="D2419" s="216" t="n"/>
      <c r="G2419" s="3" t="inlineStr"/>
      <c r="H2419" t="inlineStr"/>
      <c r="I2419" s="217" t="inlineStr"/>
      <c r="N2419" s="163" t="n"/>
    </row>
    <row r="2420" ht="15.75" customHeight="1" s="305">
      <c r="A2420" s="215" t="n"/>
      <c r="B2420" s="215" t="n"/>
      <c r="C2420" s="215" t="n"/>
      <c r="D2420" s="216" t="n"/>
      <c r="G2420" s="3" t="inlineStr"/>
      <c r="H2420" t="inlineStr"/>
      <c r="I2420" s="217" t="inlineStr"/>
      <c r="N2420" s="163" t="n"/>
    </row>
    <row r="2421" ht="15.75" customHeight="1" s="305">
      <c r="A2421" s="215" t="n"/>
      <c r="B2421" s="215" t="n"/>
      <c r="C2421" s="215" t="n"/>
      <c r="D2421" s="216" t="n"/>
      <c r="G2421" s="3" t="inlineStr"/>
      <c r="H2421" t="inlineStr"/>
      <c r="I2421" s="217" t="inlineStr"/>
      <c r="N2421" s="163" t="n"/>
    </row>
    <row r="2422" ht="15.75" customHeight="1" s="305">
      <c r="A2422" s="215" t="n"/>
      <c r="B2422" s="215" t="n"/>
      <c r="C2422" s="215" t="n"/>
      <c r="D2422" s="216" t="n"/>
      <c r="G2422" s="3" t="inlineStr"/>
      <c r="H2422" t="inlineStr"/>
      <c r="I2422" s="217" t="inlineStr"/>
      <c r="N2422" s="163" t="n"/>
    </row>
    <row r="2423" ht="15.75" customHeight="1" s="305">
      <c r="A2423" s="215" t="n"/>
      <c r="B2423" s="215" t="n"/>
      <c r="C2423" s="215" t="n"/>
      <c r="D2423" s="216" t="n"/>
      <c r="G2423" s="3" t="inlineStr"/>
      <c r="H2423" t="inlineStr"/>
      <c r="I2423" s="217" t="inlineStr"/>
      <c r="N2423" s="163" t="n"/>
    </row>
    <row r="2424" ht="15.75" customHeight="1" s="305">
      <c r="A2424" s="215" t="n"/>
      <c r="B2424" s="215" t="n"/>
      <c r="C2424" s="215" t="n"/>
      <c r="D2424" s="216" t="n"/>
      <c r="G2424" s="3" t="inlineStr"/>
      <c r="H2424" t="inlineStr"/>
      <c r="I2424" s="217" t="inlineStr"/>
      <c r="N2424" s="163" t="n"/>
    </row>
    <row r="2425" ht="15.75" customHeight="1" s="305">
      <c r="A2425" s="215" t="n"/>
      <c r="B2425" s="215" t="n"/>
      <c r="C2425" s="215" t="n"/>
      <c r="D2425" s="216" t="n"/>
      <c r="G2425" s="3" t="inlineStr"/>
      <c r="H2425" t="inlineStr"/>
      <c r="I2425" s="217" t="inlineStr"/>
      <c r="N2425" s="163" t="n"/>
    </row>
    <row r="2426" ht="15.75" customHeight="1" s="305">
      <c r="A2426" s="215" t="n"/>
      <c r="B2426" s="215" t="n"/>
      <c r="C2426" s="215" t="n"/>
      <c r="D2426" s="216" t="n"/>
      <c r="G2426" s="3" t="inlineStr"/>
      <c r="H2426" t="inlineStr"/>
      <c r="I2426" s="217" t="inlineStr"/>
      <c r="N2426" s="163" t="n"/>
    </row>
    <row r="2427" ht="15.75" customHeight="1" s="305">
      <c r="A2427" s="215" t="n"/>
      <c r="B2427" s="215" t="n"/>
      <c r="C2427" s="215" t="n"/>
      <c r="D2427" s="216" t="n"/>
      <c r="G2427" s="3" t="inlineStr"/>
      <c r="H2427" t="inlineStr"/>
      <c r="I2427" s="217" t="inlineStr"/>
      <c r="N2427" s="163" t="n"/>
    </row>
    <row r="2428" ht="15.75" customHeight="1" s="305">
      <c r="A2428" s="215" t="n"/>
      <c r="B2428" s="215" t="n"/>
      <c r="C2428" s="215" t="n"/>
      <c r="D2428" s="216" t="n"/>
      <c r="G2428" s="3" t="inlineStr"/>
      <c r="H2428" t="inlineStr"/>
      <c r="I2428" s="217" t="inlineStr"/>
      <c r="N2428" s="163" t="n"/>
    </row>
    <row r="2429" ht="15.75" customHeight="1" s="305">
      <c r="A2429" s="215" t="n"/>
      <c r="B2429" s="215" t="n"/>
      <c r="C2429" s="215" t="n"/>
      <c r="D2429" s="216" t="n"/>
      <c r="G2429" s="3" t="inlineStr"/>
      <c r="H2429" t="inlineStr"/>
      <c r="I2429" s="217" t="inlineStr"/>
      <c r="N2429" s="163" t="n"/>
    </row>
    <row r="2430" ht="15.75" customHeight="1" s="305">
      <c r="A2430" s="215" t="n"/>
      <c r="B2430" s="215" t="n"/>
      <c r="C2430" s="215" t="n"/>
      <c r="D2430" s="216" t="n"/>
      <c r="G2430" s="3" t="inlineStr"/>
      <c r="H2430" t="inlineStr"/>
      <c r="I2430" s="217" t="inlineStr"/>
      <c r="N2430" s="163" t="n"/>
    </row>
    <row r="2431" ht="15.75" customHeight="1" s="305">
      <c r="A2431" s="215" t="n"/>
      <c r="B2431" s="215" t="n"/>
      <c r="C2431" s="215" t="n"/>
      <c r="D2431" s="216" t="n"/>
      <c r="G2431" s="3" t="inlineStr"/>
      <c r="H2431" t="inlineStr"/>
      <c r="I2431" s="217" t="inlineStr"/>
      <c r="N2431" s="163" t="n"/>
    </row>
    <row r="2432" ht="15.75" customHeight="1" s="305">
      <c r="A2432" s="215" t="n"/>
      <c r="B2432" s="215" t="n"/>
      <c r="C2432" s="215" t="n"/>
      <c r="D2432" s="216" t="n"/>
      <c r="G2432" s="3" t="inlineStr"/>
      <c r="H2432" t="inlineStr"/>
      <c r="I2432" s="217" t="inlineStr"/>
      <c r="N2432" s="163" t="n"/>
    </row>
    <row r="2433" ht="15.75" customHeight="1" s="305">
      <c r="A2433" s="215" t="n"/>
      <c r="B2433" s="215" t="n"/>
      <c r="C2433" s="215" t="n"/>
      <c r="D2433" s="216" t="n"/>
      <c r="G2433" s="3" t="inlineStr"/>
      <c r="H2433" t="inlineStr"/>
      <c r="I2433" s="217" t="inlineStr"/>
      <c r="N2433" s="163" t="n"/>
    </row>
    <row r="2434" ht="15.75" customHeight="1" s="305">
      <c r="A2434" s="215" t="n"/>
      <c r="B2434" s="215" t="n"/>
      <c r="C2434" s="215" t="n"/>
      <c r="D2434" s="216" t="n"/>
      <c r="G2434" s="3" t="inlineStr"/>
      <c r="H2434" t="inlineStr"/>
      <c r="I2434" s="217" t="inlineStr"/>
      <c r="N2434" s="163" t="n"/>
    </row>
    <row r="2435" ht="15.75" customHeight="1" s="305">
      <c r="A2435" s="215" t="n"/>
      <c r="B2435" s="215" t="n"/>
      <c r="C2435" s="215" t="n"/>
      <c r="D2435" s="216" t="n"/>
      <c r="G2435" s="3" t="inlineStr"/>
      <c r="H2435" t="inlineStr"/>
      <c r="I2435" s="217" t="inlineStr"/>
      <c r="N2435" s="163" t="n"/>
    </row>
    <row r="2436" ht="15.75" customHeight="1" s="305">
      <c r="A2436" s="215" t="n"/>
      <c r="B2436" s="215" t="n"/>
      <c r="C2436" s="215" t="n"/>
      <c r="D2436" s="216" t="n"/>
      <c r="G2436" s="3" t="inlineStr"/>
      <c r="H2436" t="inlineStr"/>
      <c r="I2436" s="217" t="inlineStr"/>
      <c r="N2436" s="163" t="n"/>
    </row>
    <row r="2437" ht="15.75" customHeight="1" s="305">
      <c r="A2437" s="215" t="n"/>
      <c r="B2437" s="215" t="n"/>
      <c r="C2437" s="215" t="n"/>
      <c r="D2437" s="216" t="n"/>
      <c r="G2437" s="3" t="inlineStr"/>
      <c r="H2437" t="inlineStr"/>
      <c r="I2437" s="217" t="inlineStr"/>
      <c r="N2437" s="163" t="n"/>
    </row>
    <row r="2438" ht="15.75" customHeight="1" s="305">
      <c r="A2438" s="215" t="n"/>
      <c r="B2438" s="215" t="n"/>
      <c r="C2438" s="215" t="n"/>
      <c r="D2438" s="216" t="n"/>
      <c r="G2438" s="3" t="inlineStr"/>
      <c r="H2438" t="inlineStr"/>
      <c r="I2438" s="217" t="inlineStr"/>
      <c r="N2438" s="163" t="n"/>
    </row>
    <row r="2439" ht="15.75" customHeight="1" s="305">
      <c r="A2439" s="215" t="n"/>
      <c r="B2439" s="215" t="n"/>
      <c r="C2439" s="215" t="n"/>
      <c r="D2439" s="216" t="n"/>
      <c r="G2439" s="3" t="inlineStr"/>
      <c r="H2439" t="inlineStr"/>
      <c r="I2439" s="217" t="inlineStr"/>
      <c r="N2439" s="163" t="n"/>
    </row>
    <row r="2440" ht="15.75" customHeight="1" s="305">
      <c r="A2440" s="215" t="n"/>
      <c r="B2440" s="215" t="n"/>
      <c r="C2440" s="215" t="n"/>
      <c r="D2440" s="216" t="n"/>
      <c r="G2440" s="3" t="inlineStr"/>
      <c r="H2440" t="inlineStr"/>
      <c r="I2440" s="217" t="inlineStr"/>
      <c r="N2440" s="163" t="n"/>
    </row>
    <row r="2441" ht="15.75" customHeight="1" s="305">
      <c r="A2441" s="215" t="n"/>
      <c r="B2441" s="215" t="n"/>
      <c r="C2441" s="215" t="n"/>
      <c r="D2441" s="216" t="n"/>
      <c r="G2441" s="3" t="inlineStr"/>
      <c r="H2441" t="inlineStr"/>
      <c r="I2441" s="217" t="inlineStr"/>
      <c r="N2441" s="163" t="n"/>
    </row>
    <row r="2442" ht="15.75" customHeight="1" s="305">
      <c r="A2442" s="215" t="n"/>
      <c r="B2442" s="215" t="n"/>
      <c r="C2442" s="215" t="n"/>
      <c r="D2442" s="216" t="n"/>
      <c r="G2442" s="3" t="inlineStr"/>
      <c r="H2442" t="inlineStr"/>
      <c r="I2442" s="217" t="inlineStr"/>
      <c r="N2442" s="163" t="n"/>
    </row>
    <row r="2443" ht="15.75" customHeight="1" s="305">
      <c r="A2443" s="215" t="n"/>
      <c r="B2443" s="215" t="n"/>
      <c r="C2443" s="215" t="n"/>
      <c r="D2443" s="216" t="n"/>
      <c r="G2443" s="3" t="inlineStr"/>
      <c r="H2443" t="inlineStr"/>
      <c r="I2443" s="217" t="inlineStr"/>
      <c r="N2443" s="163" t="n"/>
    </row>
    <row r="2444" ht="15.75" customHeight="1" s="305">
      <c r="A2444" s="215" t="n"/>
      <c r="B2444" s="215" t="n"/>
      <c r="C2444" s="215" t="n"/>
      <c r="D2444" s="216" t="n"/>
      <c r="G2444" s="3" t="inlineStr"/>
      <c r="H2444" t="inlineStr"/>
      <c r="I2444" s="217" t="inlineStr"/>
      <c r="N2444" s="163" t="n"/>
    </row>
    <row r="2445" ht="15.75" customHeight="1" s="305">
      <c r="A2445" s="215" t="n"/>
      <c r="B2445" s="215" t="n"/>
      <c r="C2445" s="215" t="n"/>
      <c r="D2445" s="216" t="n"/>
      <c r="G2445" s="3" t="inlineStr"/>
      <c r="H2445" t="inlineStr"/>
      <c r="I2445" s="217" t="inlineStr"/>
      <c r="N2445" s="163" t="n"/>
    </row>
    <row r="2446" ht="15.75" customHeight="1" s="305">
      <c r="A2446" s="215" t="n"/>
      <c r="B2446" s="215" t="n"/>
      <c r="C2446" s="215" t="n"/>
      <c r="D2446" s="216" t="n"/>
      <c r="G2446" s="3" t="inlineStr"/>
      <c r="H2446" t="inlineStr"/>
      <c r="I2446" s="217" t="inlineStr"/>
      <c r="N2446" s="163" t="n"/>
    </row>
    <row r="2447" ht="15.75" customHeight="1" s="305">
      <c r="A2447" s="215" t="n"/>
      <c r="B2447" s="215" t="n"/>
      <c r="C2447" s="215" t="n"/>
      <c r="D2447" s="216" t="n"/>
      <c r="G2447" s="3" t="inlineStr"/>
      <c r="H2447" t="inlineStr"/>
      <c r="I2447" s="217" t="inlineStr"/>
      <c r="N2447" s="163" t="n"/>
    </row>
    <row r="2448" ht="15.75" customHeight="1" s="305">
      <c r="A2448" s="215" t="n"/>
      <c r="B2448" s="215" t="n"/>
      <c r="C2448" s="215" t="n"/>
      <c r="D2448" s="216" t="n"/>
      <c r="G2448" s="3" t="inlineStr"/>
      <c r="H2448" t="inlineStr"/>
      <c r="I2448" s="217" t="inlineStr"/>
      <c r="N2448" s="163" t="n"/>
    </row>
    <row r="2449" ht="15.75" customHeight="1" s="305">
      <c r="A2449" s="215" t="n"/>
      <c r="B2449" s="215" t="n"/>
      <c r="C2449" s="215" t="n"/>
      <c r="D2449" s="216" t="n"/>
      <c r="G2449" s="3" t="inlineStr"/>
      <c r="H2449" t="inlineStr"/>
      <c r="I2449" s="217" t="inlineStr"/>
      <c r="N2449" s="163" t="n"/>
    </row>
    <row r="2450" ht="15.75" customHeight="1" s="305">
      <c r="A2450" s="215" t="n"/>
      <c r="B2450" s="215" t="n"/>
      <c r="C2450" s="215" t="n"/>
      <c r="D2450" s="216" t="n"/>
      <c r="G2450" s="3" t="inlineStr"/>
      <c r="H2450" t="inlineStr"/>
      <c r="I2450" s="217" t="inlineStr"/>
      <c r="N2450" s="163" t="n"/>
    </row>
    <row r="2451" ht="15.75" customHeight="1" s="305">
      <c r="A2451" s="215" t="n"/>
      <c r="B2451" s="215" t="n"/>
      <c r="C2451" s="215" t="n"/>
      <c r="D2451" s="216" t="n"/>
      <c r="G2451" s="3" t="inlineStr"/>
      <c r="H2451" t="inlineStr"/>
      <c r="I2451" s="217" t="inlineStr"/>
      <c r="N2451" s="163" t="n"/>
    </row>
    <row r="2452" ht="15.75" customHeight="1" s="305">
      <c r="A2452" s="215" t="n"/>
      <c r="B2452" s="215" t="n"/>
      <c r="C2452" s="215" t="n"/>
      <c r="D2452" s="216" t="n"/>
      <c r="G2452" s="3" t="inlineStr"/>
      <c r="H2452" t="inlineStr"/>
      <c r="I2452" s="217" t="inlineStr"/>
      <c r="N2452" s="163" t="n"/>
    </row>
    <row r="2453" ht="15.75" customHeight="1" s="305">
      <c r="A2453" s="215" t="n"/>
      <c r="B2453" s="215" t="n"/>
      <c r="C2453" s="215" t="n"/>
      <c r="D2453" s="216" t="n"/>
      <c r="G2453" s="3" t="inlineStr"/>
      <c r="H2453" t="inlineStr"/>
      <c r="I2453" s="217" t="inlineStr"/>
      <c r="N2453" s="163" t="n"/>
    </row>
    <row r="2454" ht="15.75" customHeight="1" s="305">
      <c r="A2454" s="215" t="n"/>
      <c r="B2454" s="215" t="n"/>
      <c r="C2454" s="215" t="n"/>
      <c r="D2454" s="216" t="n"/>
      <c r="G2454" s="3" t="inlineStr"/>
      <c r="H2454" t="inlineStr"/>
      <c r="I2454" s="217" t="inlineStr"/>
      <c r="N2454" s="163" t="n"/>
    </row>
    <row r="2455" ht="15.75" customHeight="1" s="305">
      <c r="A2455" s="215" t="n"/>
      <c r="B2455" s="215" t="n"/>
      <c r="C2455" s="215" t="n"/>
      <c r="D2455" s="216" t="n"/>
      <c r="G2455" s="3" t="inlineStr"/>
      <c r="H2455" t="inlineStr"/>
      <c r="I2455" s="217" t="inlineStr"/>
      <c r="N2455" s="163" t="n"/>
    </row>
    <row r="2456" ht="15.75" customHeight="1" s="305">
      <c r="A2456" s="215" t="n"/>
      <c r="B2456" s="215" t="n"/>
      <c r="C2456" s="215" t="n"/>
      <c r="D2456" s="216" t="n"/>
      <c r="G2456" s="3" t="inlineStr"/>
      <c r="H2456" t="inlineStr"/>
      <c r="I2456" s="217" t="inlineStr"/>
      <c r="N2456" s="163" t="n"/>
    </row>
    <row r="2457" ht="15.75" customHeight="1" s="305">
      <c r="A2457" s="215" t="n"/>
      <c r="B2457" s="215" t="n"/>
      <c r="C2457" s="215" t="n"/>
      <c r="D2457" s="216" t="n"/>
      <c r="G2457" s="3" t="inlineStr"/>
      <c r="H2457" t="inlineStr"/>
      <c r="I2457" s="217" t="inlineStr"/>
      <c r="N2457" s="163" t="n"/>
    </row>
    <row r="2458" ht="15.75" customHeight="1" s="305">
      <c r="A2458" s="215" t="n"/>
      <c r="B2458" s="215" t="n"/>
      <c r="C2458" s="215" t="n"/>
      <c r="D2458" s="216" t="n"/>
      <c r="G2458" s="3" t="inlineStr"/>
      <c r="H2458" t="inlineStr"/>
      <c r="I2458" s="217" t="inlineStr"/>
      <c r="N2458" s="163" t="n"/>
    </row>
    <row r="2459" ht="15.75" customHeight="1" s="305">
      <c r="A2459" s="215" t="n"/>
      <c r="B2459" s="215" t="n"/>
      <c r="C2459" s="215" t="n"/>
      <c r="D2459" s="216" t="n"/>
      <c r="G2459" s="3" t="inlineStr"/>
      <c r="H2459" t="inlineStr"/>
      <c r="I2459" s="217" t="inlineStr"/>
      <c r="N2459" s="163" t="n"/>
    </row>
    <row r="2460" ht="15.75" customHeight="1" s="305">
      <c r="A2460" s="215" t="n"/>
      <c r="B2460" s="215" t="n"/>
      <c r="C2460" s="215" t="n"/>
      <c r="D2460" s="216" t="n"/>
      <c r="G2460" s="3" t="inlineStr"/>
      <c r="H2460" t="inlineStr"/>
      <c r="I2460" s="217" t="inlineStr"/>
      <c r="N2460" s="163" t="n"/>
    </row>
    <row r="2461" ht="15.75" customHeight="1" s="305">
      <c r="A2461" s="215" t="n"/>
      <c r="B2461" s="215" t="n"/>
      <c r="C2461" s="215" t="n"/>
      <c r="D2461" s="216" t="n"/>
      <c r="G2461" s="3" t="inlineStr"/>
      <c r="H2461" t="inlineStr"/>
      <c r="I2461" s="217" t="inlineStr"/>
      <c r="N2461" s="163" t="n"/>
    </row>
    <row r="2462" ht="15.75" customHeight="1" s="305">
      <c r="A2462" s="215" t="n"/>
      <c r="B2462" s="215" t="n"/>
      <c r="C2462" s="215" t="n"/>
      <c r="D2462" s="216" t="n"/>
      <c r="G2462" s="3" t="inlineStr"/>
      <c r="H2462" t="inlineStr"/>
      <c r="I2462" s="217" t="inlineStr"/>
      <c r="N2462" s="163" t="n"/>
    </row>
    <row r="2463" ht="15.75" customHeight="1" s="305">
      <c r="A2463" s="215" t="n"/>
      <c r="B2463" s="215" t="n"/>
      <c r="C2463" s="215" t="n"/>
      <c r="D2463" s="216" t="n"/>
      <c r="G2463" s="3" t="inlineStr"/>
      <c r="H2463" t="inlineStr"/>
      <c r="I2463" s="217" t="inlineStr"/>
      <c r="N2463" s="163" t="n"/>
    </row>
    <row r="2464" ht="15.75" customHeight="1" s="305">
      <c r="A2464" s="215" t="n"/>
      <c r="B2464" s="215" t="n"/>
      <c r="C2464" s="215" t="n"/>
      <c r="D2464" s="216" t="n"/>
      <c r="G2464" s="3" t="inlineStr"/>
      <c r="H2464" t="inlineStr"/>
      <c r="I2464" s="217" t="inlineStr"/>
      <c r="N2464" s="163" t="n"/>
    </row>
    <row r="2465" ht="15.75" customHeight="1" s="305">
      <c r="A2465" s="215" t="n"/>
      <c r="B2465" s="215" t="n"/>
      <c r="C2465" s="215" t="n"/>
      <c r="D2465" s="216" t="n"/>
      <c r="G2465" s="3" t="inlineStr"/>
      <c r="H2465" t="inlineStr"/>
      <c r="I2465" s="217" t="inlineStr"/>
      <c r="N2465" s="163" t="n"/>
    </row>
    <row r="2466" ht="15.75" customHeight="1" s="305">
      <c r="A2466" s="215" t="n"/>
      <c r="B2466" s="215" t="n"/>
      <c r="C2466" s="215" t="n"/>
      <c r="D2466" s="216" t="n"/>
      <c r="G2466" s="3" t="inlineStr"/>
      <c r="H2466" t="inlineStr"/>
      <c r="I2466" s="217" t="inlineStr"/>
      <c r="N2466" s="163" t="n"/>
    </row>
    <row r="2467" ht="15.75" customHeight="1" s="305">
      <c r="A2467" s="215" t="n"/>
      <c r="B2467" s="215" t="n"/>
      <c r="C2467" s="215" t="n"/>
      <c r="D2467" s="216" t="n"/>
      <c r="G2467" s="3" t="inlineStr"/>
      <c r="H2467" t="inlineStr"/>
      <c r="I2467" s="217" t="inlineStr"/>
      <c r="N2467" s="163" t="n"/>
    </row>
    <row r="2468" ht="15.75" customHeight="1" s="305">
      <c r="A2468" s="215" t="n"/>
      <c r="B2468" s="215" t="n"/>
      <c r="C2468" s="215" t="n"/>
      <c r="D2468" s="216" t="n"/>
      <c r="G2468" s="3" t="inlineStr"/>
      <c r="H2468" t="inlineStr"/>
      <c r="I2468" s="217" t="inlineStr"/>
      <c r="N2468" s="163" t="n"/>
    </row>
    <row r="2469" ht="15.75" customHeight="1" s="305">
      <c r="A2469" s="215" t="n"/>
      <c r="B2469" s="215" t="n"/>
      <c r="C2469" s="215" t="n"/>
      <c r="D2469" s="216" t="n"/>
      <c r="G2469" s="3" t="inlineStr"/>
      <c r="H2469" t="inlineStr"/>
      <c r="I2469" s="217" t="inlineStr"/>
      <c r="N2469" s="163" t="n"/>
    </row>
    <row r="2470" ht="15.75" customHeight="1" s="305">
      <c r="A2470" s="215" t="n"/>
      <c r="B2470" s="215" t="n"/>
      <c r="C2470" s="215" t="n"/>
      <c r="D2470" s="216" t="n"/>
      <c r="G2470" s="3" t="inlineStr"/>
      <c r="H2470" t="inlineStr"/>
      <c r="I2470" s="217" t="inlineStr"/>
      <c r="N2470" s="163" t="n"/>
    </row>
    <row r="2471" ht="15.75" customHeight="1" s="305">
      <c r="A2471" s="215" t="n"/>
      <c r="B2471" s="215" t="n"/>
      <c r="C2471" s="215" t="n"/>
      <c r="D2471" s="216" t="n"/>
      <c r="G2471" s="3" t="inlineStr"/>
      <c r="H2471" t="inlineStr"/>
      <c r="I2471" s="217" t="inlineStr"/>
      <c r="N2471" s="163" t="n"/>
    </row>
    <row r="2472" ht="15.75" customHeight="1" s="305">
      <c r="A2472" s="215" t="n"/>
      <c r="B2472" s="215" t="n"/>
      <c r="C2472" s="215" t="n"/>
      <c r="D2472" s="216" t="n"/>
      <c r="G2472" s="3" t="inlineStr"/>
      <c r="H2472" t="inlineStr"/>
      <c r="I2472" s="217" t="inlineStr"/>
      <c r="N2472" s="163" t="n"/>
    </row>
    <row r="2473" ht="15.75" customHeight="1" s="305">
      <c r="A2473" s="215" t="n"/>
      <c r="B2473" s="215" t="n"/>
      <c r="C2473" s="215" t="n"/>
      <c r="D2473" s="216" t="n"/>
      <c r="G2473" s="3" t="inlineStr"/>
      <c r="H2473" t="inlineStr"/>
      <c r="I2473" s="217" t="inlineStr"/>
      <c r="N2473" s="163" t="n"/>
    </row>
    <row r="2474" ht="15.75" customHeight="1" s="305">
      <c r="A2474" s="215" t="n"/>
      <c r="B2474" s="215" t="n"/>
      <c r="C2474" s="215" t="n"/>
      <c r="D2474" s="216" t="n"/>
      <c r="G2474" s="3" t="inlineStr"/>
      <c r="H2474" t="inlineStr"/>
      <c r="I2474" s="217" t="inlineStr"/>
      <c r="N2474" s="163" t="n"/>
    </row>
    <row r="2475" ht="15.75" customHeight="1" s="305">
      <c r="A2475" s="215" t="n"/>
      <c r="B2475" s="215" t="n"/>
      <c r="C2475" s="215" t="n"/>
      <c r="D2475" s="216" t="n"/>
      <c r="G2475" s="3" t="inlineStr"/>
      <c r="H2475" t="inlineStr"/>
      <c r="I2475" s="217" t="inlineStr"/>
      <c r="N2475" s="163" t="n"/>
    </row>
    <row r="2476" ht="15.75" customHeight="1" s="305">
      <c r="A2476" s="215" t="n"/>
      <c r="B2476" s="215" t="n"/>
      <c r="C2476" s="215" t="n"/>
      <c r="D2476" s="216" t="n"/>
      <c r="G2476" s="3" t="inlineStr"/>
      <c r="H2476" t="inlineStr"/>
      <c r="I2476" s="217" t="inlineStr"/>
      <c r="N2476" s="163" t="n"/>
    </row>
    <row r="2477" ht="15.75" customHeight="1" s="305">
      <c r="A2477" s="215" t="n"/>
      <c r="B2477" s="215" t="n"/>
      <c r="C2477" s="215" t="n"/>
      <c r="D2477" s="216" t="n"/>
      <c r="G2477" s="3" t="inlineStr"/>
      <c r="H2477" t="inlineStr"/>
      <c r="I2477" s="217" t="inlineStr"/>
      <c r="N2477" s="163" t="n"/>
    </row>
    <row r="2478" ht="15.75" customHeight="1" s="305">
      <c r="A2478" s="215" t="n"/>
      <c r="B2478" s="215" t="n"/>
      <c r="C2478" s="215" t="n"/>
      <c r="D2478" s="216" t="n"/>
      <c r="G2478" s="3" t="inlineStr"/>
      <c r="H2478" t="inlineStr"/>
      <c r="I2478" s="217" t="inlineStr"/>
      <c r="N2478" s="163" t="n"/>
    </row>
    <row r="2479" ht="15.75" customHeight="1" s="305">
      <c r="A2479" s="215" t="n"/>
      <c r="B2479" s="215" t="n"/>
      <c r="C2479" s="215" t="n"/>
      <c r="D2479" s="216" t="n"/>
      <c r="G2479" s="3" t="inlineStr"/>
      <c r="H2479" t="inlineStr"/>
      <c r="I2479" s="217" t="inlineStr"/>
      <c r="N2479" s="163" t="n"/>
    </row>
    <row r="2480" ht="15.75" customHeight="1" s="305">
      <c r="A2480" s="215" t="n"/>
      <c r="B2480" s="215" t="n"/>
      <c r="C2480" s="215" t="n"/>
      <c r="D2480" s="216" t="n"/>
      <c r="G2480" s="3" t="inlineStr"/>
      <c r="H2480" t="inlineStr"/>
      <c r="I2480" s="217" t="inlineStr"/>
      <c r="N2480" s="163" t="n"/>
    </row>
    <row r="2481" ht="15.75" customHeight="1" s="305">
      <c r="A2481" s="215" t="n"/>
      <c r="B2481" s="215" t="n"/>
      <c r="C2481" s="215" t="n"/>
      <c r="D2481" s="216" t="n"/>
      <c r="G2481" s="3" t="inlineStr"/>
      <c r="H2481" t="inlineStr"/>
      <c r="I2481" s="217" t="inlineStr"/>
      <c r="N2481" s="163" t="n"/>
    </row>
    <row r="2482" ht="15.75" customHeight="1" s="305">
      <c r="A2482" s="215" t="n"/>
      <c r="B2482" s="215" t="n"/>
      <c r="C2482" s="215" t="n"/>
      <c r="D2482" s="216" t="n"/>
      <c r="G2482" s="3" t="inlineStr"/>
      <c r="H2482" t="inlineStr"/>
      <c r="I2482" s="217" t="inlineStr"/>
      <c r="N2482" s="163" t="n"/>
    </row>
    <row r="2483" ht="15.75" customHeight="1" s="305">
      <c r="A2483" s="215" t="n"/>
      <c r="B2483" s="215" t="n"/>
      <c r="C2483" s="215" t="n"/>
      <c r="D2483" s="216" t="n"/>
      <c r="G2483" s="3" t="inlineStr"/>
      <c r="H2483" t="inlineStr"/>
      <c r="I2483" s="217" t="inlineStr"/>
      <c r="N2483" s="163" t="n"/>
    </row>
    <row r="2484" ht="15.75" customHeight="1" s="305">
      <c r="A2484" s="215" t="n"/>
      <c r="B2484" s="215" t="n"/>
      <c r="C2484" s="215" t="n"/>
      <c r="D2484" s="216" t="n"/>
      <c r="G2484" s="3" t="inlineStr"/>
      <c r="H2484" t="inlineStr"/>
      <c r="I2484" s="217" t="inlineStr"/>
      <c r="N2484" s="163" t="n"/>
    </row>
    <row r="2485" ht="15.75" customHeight="1" s="305">
      <c r="A2485" s="215" t="n"/>
      <c r="B2485" s="215" t="n"/>
      <c r="C2485" s="215" t="n"/>
      <c r="D2485" s="216" t="n"/>
      <c r="G2485" s="3" t="inlineStr"/>
      <c r="H2485" t="inlineStr"/>
      <c r="I2485" s="217" t="inlineStr"/>
      <c r="N2485" s="163" t="n"/>
    </row>
    <row r="2486" ht="15.75" customHeight="1" s="305">
      <c r="A2486" s="215" t="n"/>
      <c r="B2486" s="215" t="n"/>
      <c r="C2486" s="215" t="n"/>
      <c r="D2486" s="216" t="n"/>
      <c r="G2486" s="3" t="inlineStr"/>
      <c r="H2486" t="inlineStr"/>
      <c r="I2486" s="217" t="inlineStr"/>
      <c r="N2486" s="163" t="n"/>
    </row>
    <row r="2487" ht="15.75" customHeight="1" s="305">
      <c r="A2487" s="215" t="n"/>
      <c r="B2487" s="215" t="n"/>
      <c r="C2487" s="215" t="n"/>
      <c r="D2487" s="216" t="n"/>
      <c r="G2487" s="3" t="inlineStr"/>
      <c r="H2487" t="inlineStr"/>
      <c r="I2487" s="217" t="inlineStr"/>
      <c r="N2487" s="163" t="n"/>
    </row>
    <row r="2488" ht="15.75" customHeight="1" s="305">
      <c r="A2488" s="215" t="n"/>
      <c r="B2488" s="215" t="n"/>
      <c r="C2488" s="215" t="n"/>
      <c r="D2488" s="216" t="n"/>
      <c r="G2488" s="3" t="inlineStr"/>
      <c r="H2488" t="inlineStr"/>
      <c r="I2488" s="217" t="inlineStr"/>
      <c r="N2488" s="163" t="n"/>
    </row>
    <row r="2489" ht="15.75" customHeight="1" s="305">
      <c r="A2489" s="215" t="n"/>
      <c r="B2489" s="215" t="n"/>
      <c r="C2489" s="215" t="n"/>
      <c r="D2489" s="216" t="n"/>
      <c r="G2489" s="3" t="inlineStr"/>
      <c r="H2489" t="inlineStr"/>
      <c r="I2489" s="217" t="inlineStr"/>
      <c r="N2489" s="163" t="n"/>
    </row>
    <row r="2490" ht="15.75" customHeight="1" s="305">
      <c r="A2490" s="215" t="n"/>
      <c r="B2490" s="215" t="n"/>
      <c r="C2490" s="215" t="n"/>
      <c r="D2490" s="216" t="n"/>
      <c r="G2490" s="3" t="inlineStr"/>
      <c r="H2490" t="inlineStr"/>
      <c r="I2490" s="217" t="inlineStr"/>
      <c r="N2490" s="163" t="n"/>
    </row>
    <row r="2491" ht="15.75" customHeight="1" s="305">
      <c r="A2491" s="215" t="n"/>
      <c r="B2491" s="215" t="n"/>
      <c r="C2491" s="215" t="n"/>
      <c r="D2491" s="216" t="n"/>
      <c r="G2491" s="3" t="inlineStr"/>
      <c r="H2491" t="inlineStr"/>
      <c r="I2491" s="217" t="inlineStr"/>
      <c r="N2491" s="163" t="n"/>
    </row>
    <row r="2492" ht="15.75" customHeight="1" s="305">
      <c r="A2492" s="215" t="n"/>
      <c r="B2492" s="215" t="n"/>
      <c r="C2492" s="215" t="n"/>
      <c r="D2492" s="216" t="n"/>
      <c r="G2492" s="3" t="inlineStr"/>
      <c r="H2492" t="inlineStr"/>
      <c r="I2492" s="217" t="inlineStr"/>
      <c r="N2492" s="163" t="n"/>
    </row>
    <row r="2493" ht="15.75" customHeight="1" s="305">
      <c r="A2493" s="215" t="n"/>
      <c r="B2493" s="215" t="n"/>
      <c r="C2493" s="215" t="n"/>
      <c r="D2493" s="216" t="n"/>
      <c r="G2493" s="3" t="inlineStr"/>
      <c r="H2493" t="inlineStr"/>
      <c r="I2493" s="217" t="inlineStr"/>
      <c r="N2493" s="163" t="n"/>
    </row>
    <row r="2494" ht="15.75" customHeight="1" s="305">
      <c r="A2494" s="215" t="n"/>
      <c r="B2494" s="215" t="n"/>
      <c r="C2494" s="215" t="n"/>
      <c r="D2494" s="216" t="n"/>
      <c r="G2494" s="3" t="inlineStr"/>
      <c r="H2494" t="inlineStr"/>
      <c r="I2494" s="217" t="inlineStr"/>
      <c r="N2494" s="163" t="n"/>
    </row>
    <row r="2495" ht="15.75" customHeight="1" s="305">
      <c r="A2495" s="215" t="n"/>
      <c r="B2495" s="215" t="n"/>
      <c r="C2495" s="215" t="n"/>
      <c r="D2495" s="216" t="n"/>
      <c r="G2495" s="3" t="inlineStr"/>
      <c r="H2495" t="inlineStr"/>
      <c r="I2495" s="217" t="inlineStr"/>
      <c r="N2495" s="163" t="n"/>
    </row>
    <row r="2496" ht="15.75" customHeight="1" s="305">
      <c r="A2496" s="215" t="n"/>
      <c r="B2496" s="215" t="n"/>
      <c r="C2496" s="215" t="n"/>
      <c r="D2496" s="216" t="n"/>
      <c r="G2496" s="3" t="inlineStr"/>
      <c r="H2496" t="inlineStr"/>
      <c r="I2496" s="217" t="inlineStr"/>
      <c r="N2496" s="163" t="n"/>
    </row>
    <row r="2497" ht="15.75" customHeight="1" s="305">
      <c r="A2497" s="215" t="n"/>
      <c r="B2497" s="215" t="n"/>
      <c r="C2497" s="215" t="n"/>
      <c r="D2497" s="216" t="n"/>
      <c r="G2497" s="3" t="inlineStr"/>
      <c r="H2497" t="inlineStr"/>
      <c r="I2497" s="217" t="inlineStr"/>
      <c r="N2497" s="163" t="n"/>
    </row>
    <row r="2498" ht="15.75" customHeight="1" s="305">
      <c r="A2498" s="215" t="n"/>
      <c r="B2498" s="215" t="n"/>
      <c r="C2498" s="215" t="n"/>
      <c r="D2498" s="216" t="n"/>
      <c r="G2498" s="3" t="inlineStr"/>
      <c r="H2498" t="inlineStr"/>
      <c r="I2498" s="217" t="inlineStr"/>
      <c r="N2498" s="163" t="n"/>
    </row>
    <row r="2499" ht="15.75" customHeight="1" s="305">
      <c r="A2499" s="215" t="n"/>
      <c r="B2499" s="215" t="n"/>
      <c r="C2499" s="215" t="n"/>
      <c r="D2499" s="216" t="n"/>
      <c r="G2499" s="3" t="inlineStr"/>
      <c r="H2499" t="inlineStr"/>
      <c r="I2499" s="217" t="inlineStr"/>
      <c r="N2499" s="163" t="n"/>
    </row>
    <row r="2500" ht="15.75" customHeight="1" s="305">
      <c r="A2500" s="215" t="n"/>
      <c r="B2500" s="215" t="n"/>
      <c r="C2500" s="215" t="n"/>
      <c r="D2500" s="216" t="n"/>
      <c r="G2500" s="3" t="inlineStr"/>
      <c r="H2500" t="inlineStr"/>
      <c r="I2500" s="217" t="inlineStr"/>
      <c r="N2500" s="163" t="n"/>
    </row>
    <row r="2501" ht="15.75" customHeight="1" s="305">
      <c r="A2501" s="215" t="n"/>
      <c r="B2501" s="215" t="n"/>
      <c r="C2501" s="215" t="n"/>
      <c r="D2501" s="216" t="n"/>
      <c r="G2501" s="3" t="inlineStr"/>
      <c r="H2501" t="inlineStr"/>
      <c r="I2501" s="217" t="inlineStr"/>
      <c r="N2501" s="163" t="n"/>
    </row>
    <row r="2502" ht="15.75" customHeight="1" s="305">
      <c r="A2502" s="215" t="n"/>
      <c r="B2502" s="215" t="n"/>
      <c r="C2502" s="215" t="n"/>
      <c r="D2502" s="216" t="n"/>
      <c r="G2502" s="3" t="inlineStr"/>
      <c r="H2502" t="inlineStr"/>
      <c r="I2502" s="217" t="inlineStr"/>
      <c r="N2502" s="163" t="n"/>
    </row>
    <row r="2503" ht="15.75" customHeight="1" s="305">
      <c r="A2503" s="215" t="n"/>
      <c r="B2503" s="215" t="n"/>
      <c r="C2503" s="215" t="n"/>
      <c r="D2503" s="216" t="n"/>
      <c r="G2503" s="3" t="inlineStr"/>
      <c r="H2503" t="inlineStr"/>
      <c r="I2503" s="217" t="inlineStr"/>
      <c r="N2503" s="163" t="n"/>
    </row>
    <row r="2504" ht="15.75" customHeight="1" s="305">
      <c r="A2504" s="215" t="n"/>
      <c r="B2504" s="215" t="n"/>
      <c r="C2504" s="215" t="n"/>
      <c r="D2504" s="216" t="n"/>
      <c r="G2504" s="3" t="inlineStr"/>
      <c r="H2504" t="inlineStr"/>
      <c r="I2504" s="217" t="inlineStr"/>
      <c r="N2504" s="163" t="n"/>
    </row>
    <row r="2505" ht="15.75" customHeight="1" s="305">
      <c r="A2505" s="215" t="n"/>
      <c r="B2505" s="215" t="n"/>
      <c r="C2505" s="215" t="n"/>
      <c r="D2505" s="216" t="n"/>
      <c r="G2505" s="3" t="inlineStr"/>
      <c r="H2505" t="inlineStr"/>
      <c r="I2505" s="217" t="inlineStr"/>
      <c r="N2505" s="163" t="n"/>
    </row>
    <row r="2506" ht="15.75" customHeight="1" s="305">
      <c r="A2506" s="215" t="n"/>
      <c r="B2506" s="215" t="n"/>
      <c r="C2506" s="215" t="n"/>
      <c r="D2506" s="216" t="n"/>
      <c r="G2506" s="3" t="inlineStr"/>
      <c r="H2506" t="inlineStr"/>
      <c r="I2506" s="217" t="inlineStr"/>
      <c r="N2506" s="163" t="n"/>
    </row>
    <row r="2507" ht="15.75" customHeight="1" s="305">
      <c r="A2507" s="215" t="n"/>
      <c r="B2507" s="215" t="n"/>
      <c r="C2507" s="215" t="n"/>
      <c r="D2507" s="216" t="n"/>
      <c r="G2507" s="3" t="inlineStr"/>
      <c r="H2507" t="inlineStr"/>
      <c r="I2507" s="217" t="inlineStr"/>
      <c r="N2507" s="163" t="n"/>
    </row>
    <row r="2508" ht="15.75" customHeight="1" s="305">
      <c r="A2508" s="215" t="n"/>
      <c r="B2508" s="215" t="n"/>
      <c r="C2508" s="215" t="n"/>
      <c r="D2508" s="216" t="n"/>
      <c r="G2508" s="3" t="inlineStr"/>
      <c r="H2508" t="inlineStr"/>
      <c r="I2508" s="217" t="inlineStr"/>
      <c r="N2508" s="163" t="n"/>
    </row>
    <row r="2509" ht="15.75" customHeight="1" s="305">
      <c r="A2509" s="215" t="n"/>
      <c r="B2509" s="215" t="n"/>
      <c r="C2509" s="215" t="n"/>
      <c r="D2509" s="216" t="n"/>
      <c r="G2509" s="3" t="inlineStr"/>
      <c r="H2509" t="inlineStr"/>
      <c r="I2509" s="217" t="inlineStr"/>
      <c r="N2509" s="163" t="n"/>
    </row>
    <row r="2510" ht="15.75" customHeight="1" s="305">
      <c r="A2510" s="215" t="n"/>
      <c r="B2510" s="215" t="n"/>
      <c r="C2510" s="215" t="n"/>
      <c r="D2510" s="216" t="n"/>
      <c r="G2510" s="3" t="inlineStr"/>
      <c r="H2510" t="inlineStr"/>
      <c r="I2510" s="217" t="inlineStr"/>
      <c r="N2510" s="163" t="n"/>
    </row>
    <row r="2511" ht="15.75" customHeight="1" s="305">
      <c r="A2511" s="215" t="n"/>
      <c r="B2511" s="215" t="n"/>
      <c r="C2511" s="215" t="n"/>
      <c r="D2511" s="216" t="n"/>
      <c r="G2511" s="3" t="inlineStr"/>
      <c r="H2511" t="inlineStr"/>
      <c r="I2511" s="217" t="inlineStr"/>
      <c r="N2511" s="163" t="n"/>
    </row>
    <row r="2512" ht="15.75" customHeight="1" s="305">
      <c r="A2512" s="215" t="n"/>
      <c r="B2512" s="215" t="n"/>
      <c r="C2512" s="215" t="n"/>
      <c r="D2512" s="216" t="n"/>
      <c r="G2512" s="3" t="inlineStr"/>
      <c r="H2512" t="inlineStr"/>
      <c r="I2512" s="217" t="inlineStr"/>
      <c r="N2512" s="163" t="n"/>
    </row>
    <row r="2513" ht="15.75" customHeight="1" s="305">
      <c r="A2513" s="215" t="n"/>
      <c r="B2513" s="215" t="n"/>
      <c r="C2513" s="215" t="n"/>
      <c r="D2513" s="216" t="n"/>
      <c r="G2513" s="3" t="inlineStr"/>
      <c r="H2513" t="inlineStr"/>
      <c r="I2513" s="217" t="inlineStr"/>
      <c r="N2513" s="163" t="n"/>
    </row>
    <row r="2514" ht="15.75" customHeight="1" s="305">
      <c r="A2514" s="215" t="n"/>
      <c r="B2514" s="215" t="n"/>
      <c r="C2514" s="215" t="n"/>
      <c r="D2514" s="216" t="n"/>
      <c r="G2514" s="3" t="inlineStr"/>
      <c r="H2514" t="inlineStr"/>
      <c r="I2514" s="217" t="inlineStr"/>
      <c r="N2514" s="163" t="n"/>
    </row>
    <row r="2515" ht="15.75" customHeight="1" s="305">
      <c r="A2515" s="215" t="n"/>
      <c r="B2515" s="215" t="n"/>
      <c r="C2515" s="215" t="n"/>
      <c r="D2515" s="216" t="n"/>
      <c r="G2515" s="3" t="inlineStr"/>
      <c r="H2515" t="inlineStr"/>
      <c r="I2515" s="217" t="inlineStr"/>
      <c r="N2515" s="163" t="n"/>
    </row>
    <row r="2516" ht="15.75" customHeight="1" s="305">
      <c r="A2516" s="215" t="n"/>
      <c r="B2516" s="215" t="n"/>
      <c r="C2516" s="215" t="n"/>
      <c r="D2516" s="216" t="n"/>
      <c r="G2516" s="3" t="inlineStr"/>
      <c r="H2516" t="inlineStr"/>
      <c r="I2516" s="217" t="inlineStr"/>
      <c r="N2516" s="163" t="n"/>
    </row>
    <row r="2517" ht="15.75" customHeight="1" s="305">
      <c r="A2517" s="215" t="n"/>
      <c r="B2517" s="215" t="n"/>
      <c r="C2517" s="215" t="n"/>
      <c r="D2517" s="216" t="n"/>
      <c r="G2517" s="3" t="inlineStr"/>
      <c r="H2517" t="inlineStr"/>
      <c r="I2517" s="217" t="inlineStr"/>
      <c r="N2517" s="163" t="n"/>
    </row>
    <row r="2518" ht="15.75" customHeight="1" s="305">
      <c r="A2518" s="215" t="n"/>
      <c r="B2518" s="215" t="n"/>
      <c r="C2518" s="215" t="n"/>
      <c r="D2518" s="216" t="n"/>
      <c r="G2518" s="3" t="inlineStr"/>
      <c r="H2518" t="inlineStr"/>
      <c r="I2518" s="217" t="inlineStr"/>
      <c r="N2518" s="163" t="n"/>
    </row>
    <row r="2519" ht="15.75" customHeight="1" s="305">
      <c r="A2519" s="215" t="n"/>
      <c r="B2519" s="215" t="n"/>
      <c r="C2519" s="215" t="n"/>
      <c r="D2519" s="216" t="n"/>
      <c r="G2519" s="3" t="inlineStr"/>
      <c r="H2519" t="inlineStr"/>
      <c r="I2519" s="217" t="inlineStr"/>
      <c r="N2519" s="163" t="n"/>
    </row>
    <row r="2520" ht="15.75" customHeight="1" s="305">
      <c r="A2520" s="215" t="n"/>
      <c r="B2520" s="215" t="n"/>
      <c r="C2520" s="215" t="n"/>
      <c r="D2520" s="216" t="n"/>
      <c r="G2520" s="3" t="inlineStr"/>
      <c r="H2520" t="inlineStr"/>
      <c r="I2520" s="217" t="inlineStr"/>
      <c r="N2520" s="163" t="n"/>
    </row>
    <row r="2521" ht="15.75" customHeight="1" s="305">
      <c r="A2521" s="215" t="n"/>
      <c r="B2521" s="215" t="n"/>
      <c r="C2521" s="215" t="n"/>
      <c r="D2521" s="216" t="n"/>
      <c r="G2521" s="3" t="inlineStr"/>
      <c r="H2521" t="inlineStr"/>
      <c r="I2521" s="217" t="inlineStr"/>
      <c r="N2521" s="163" t="n"/>
    </row>
    <row r="2522" ht="15.75" customHeight="1" s="305">
      <c r="A2522" s="215" t="n"/>
      <c r="B2522" s="215" t="n"/>
      <c r="C2522" s="215" t="n"/>
      <c r="D2522" s="216" t="n"/>
      <c r="G2522" s="3" t="inlineStr"/>
      <c r="H2522" t="inlineStr"/>
      <c r="I2522" s="217" t="inlineStr"/>
      <c r="N2522" s="163" t="n"/>
    </row>
    <row r="2523" ht="15.75" customHeight="1" s="305">
      <c r="A2523" s="215" t="n"/>
      <c r="B2523" s="215" t="n"/>
      <c r="C2523" s="215" t="n"/>
      <c r="D2523" s="216" t="n"/>
      <c r="G2523" s="3" t="inlineStr"/>
      <c r="H2523" t="inlineStr"/>
      <c r="I2523" s="217" t="inlineStr"/>
      <c r="N2523" s="163" t="n"/>
    </row>
    <row r="2524" ht="15.75" customHeight="1" s="305">
      <c r="A2524" s="215" t="n"/>
      <c r="B2524" s="215" t="n"/>
      <c r="C2524" s="215" t="n"/>
      <c r="D2524" s="216" t="n"/>
      <c r="G2524" s="3" t="inlineStr"/>
      <c r="H2524" t="inlineStr"/>
      <c r="I2524" s="217" t="inlineStr"/>
      <c r="N2524" s="163" t="n"/>
    </row>
    <row r="2525" ht="15.75" customHeight="1" s="305">
      <c r="A2525" s="215" t="n"/>
      <c r="B2525" s="215" t="n"/>
      <c r="C2525" s="215" t="n"/>
      <c r="D2525" s="216" t="n"/>
      <c r="G2525" s="3" t="inlineStr"/>
      <c r="H2525" t="inlineStr"/>
      <c r="I2525" s="217" t="inlineStr"/>
      <c r="N2525" s="163" t="n"/>
    </row>
    <row r="2526" ht="15.75" customHeight="1" s="305">
      <c r="A2526" s="215" t="n"/>
      <c r="B2526" s="215" t="n"/>
      <c r="C2526" s="215" t="n"/>
      <c r="D2526" s="216" t="n"/>
      <c r="G2526" s="3" t="inlineStr"/>
      <c r="H2526" t="inlineStr"/>
      <c r="I2526" s="217" t="inlineStr"/>
      <c r="N2526" s="163" t="n"/>
    </row>
    <row r="2527" ht="15.75" customHeight="1" s="305">
      <c r="A2527" s="215" t="n"/>
      <c r="B2527" s="215" t="n"/>
      <c r="C2527" s="215" t="n"/>
      <c r="D2527" s="216" t="n"/>
      <c r="G2527" s="3" t="inlineStr"/>
      <c r="H2527" t="inlineStr"/>
      <c r="I2527" s="217" t="inlineStr"/>
      <c r="N2527" s="163" t="n"/>
    </row>
    <row r="2528" ht="15.75" customHeight="1" s="305">
      <c r="A2528" s="215" t="n"/>
      <c r="B2528" s="215" t="n"/>
      <c r="C2528" s="215" t="n"/>
      <c r="D2528" s="216" t="n"/>
      <c r="G2528" s="3" t="inlineStr"/>
      <c r="H2528" t="inlineStr"/>
      <c r="I2528" s="217" t="inlineStr"/>
      <c r="N2528" s="163" t="n"/>
    </row>
    <row r="2529" ht="15.75" customHeight="1" s="305">
      <c r="A2529" s="215" t="n"/>
      <c r="B2529" s="215" t="n"/>
      <c r="C2529" s="215" t="n"/>
      <c r="D2529" s="216" t="n"/>
      <c r="G2529" s="3" t="inlineStr"/>
      <c r="H2529" t="inlineStr"/>
      <c r="I2529" s="217" t="inlineStr"/>
      <c r="N2529" s="163" t="n"/>
    </row>
    <row r="2530" ht="15.75" customHeight="1" s="305">
      <c r="A2530" s="215" t="n"/>
      <c r="B2530" s="215" t="n"/>
      <c r="C2530" s="215" t="n"/>
      <c r="D2530" s="216" t="n"/>
      <c r="G2530" s="3" t="inlineStr"/>
      <c r="H2530" t="inlineStr"/>
      <c r="I2530" s="217" t="inlineStr"/>
      <c r="N2530" s="163" t="n"/>
    </row>
    <row r="2531" ht="15.75" customHeight="1" s="305">
      <c r="A2531" s="215" t="n"/>
      <c r="B2531" s="215" t="n"/>
      <c r="C2531" s="215" t="n"/>
      <c r="D2531" s="216" t="n"/>
      <c r="G2531" s="3" t="inlineStr"/>
      <c r="H2531" t="inlineStr"/>
      <c r="I2531" s="217" t="inlineStr"/>
      <c r="N2531" s="163" t="n"/>
    </row>
    <row r="2532" ht="15.75" customHeight="1" s="305">
      <c r="A2532" s="215" t="n"/>
      <c r="B2532" s="215" t="n"/>
      <c r="C2532" s="215" t="n"/>
      <c r="D2532" s="216" t="n"/>
      <c r="G2532" s="3" t="inlineStr"/>
      <c r="H2532" t="inlineStr"/>
      <c r="I2532" s="217" t="inlineStr"/>
      <c r="N2532" s="163" t="n"/>
    </row>
    <row r="2533" ht="15.75" customHeight="1" s="305">
      <c r="A2533" s="215" t="n"/>
      <c r="B2533" s="215" t="n"/>
      <c r="C2533" s="215" t="n"/>
      <c r="D2533" s="216" t="n"/>
      <c r="G2533" s="3" t="inlineStr"/>
      <c r="H2533" t="inlineStr"/>
      <c r="I2533" s="217" t="inlineStr"/>
      <c r="N2533" s="163" t="n"/>
    </row>
    <row r="2534" ht="15.75" customHeight="1" s="305">
      <c r="A2534" s="215" t="n"/>
      <c r="B2534" s="215" t="n"/>
      <c r="C2534" s="215" t="n"/>
      <c r="D2534" s="216" t="n"/>
      <c r="G2534" s="3" t="inlineStr"/>
      <c r="H2534" t="inlineStr"/>
      <c r="I2534" s="217" t="inlineStr"/>
      <c r="N2534" s="163" t="n"/>
    </row>
    <row r="2535" ht="15.75" customHeight="1" s="305">
      <c r="A2535" s="215" t="n"/>
      <c r="B2535" s="215" t="n"/>
      <c r="C2535" s="215" t="n"/>
      <c r="D2535" s="216" t="n"/>
      <c r="G2535" s="3" t="inlineStr"/>
      <c r="H2535" t="inlineStr"/>
      <c r="I2535" s="217" t="inlineStr"/>
      <c r="N2535" s="163" t="n"/>
    </row>
    <row r="2536" ht="15.75" customHeight="1" s="305">
      <c r="A2536" s="215" t="n"/>
      <c r="B2536" s="215" t="n"/>
      <c r="C2536" s="215" t="n"/>
      <c r="D2536" s="216" t="n"/>
      <c r="G2536" s="3" t="inlineStr"/>
      <c r="H2536" t="inlineStr"/>
      <c r="I2536" s="217" t="inlineStr"/>
      <c r="N2536" s="163" t="n"/>
    </row>
    <row r="2537" ht="15.75" customHeight="1" s="305">
      <c r="A2537" s="215" t="n"/>
      <c r="B2537" s="215" t="n"/>
      <c r="C2537" s="215" t="n"/>
      <c r="D2537" s="216" t="n"/>
      <c r="G2537" s="3" t="inlineStr"/>
      <c r="H2537" t="inlineStr"/>
      <c r="I2537" s="217" t="inlineStr"/>
      <c r="N2537" s="163" t="n"/>
    </row>
    <row r="2538" ht="15.75" customHeight="1" s="305">
      <c r="A2538" s="215" t="n"/>
      <c r="B2538" s="215" t="n"/>
      <c r="C2538" s="215" t="n"/>
      <c r="D2538" s="216" t="n"/>
      <c r="G2538" s="3" t="inlineStr"/>
      <c r="H2538" t="inlineStr"/>
      <c r="I2538" s="217" t="inlineStr"/>
      <c r="N2538" s="163" t="n"/>
    </row>
    <row r="2539" ht="15.75" customHeight="1" s="305">
      <c r="A2539" s="215" t="n"/>
      <c r="B2539" s="215" t="n"/>
      <c r="C2539" s="215" t="n"/>
      <c r="D2539" s="216" t="n"/>
      <c r="G2539" s="3" t="inlineStr"/>
      <c r="H2539" t="inlineStr"/>
      <c r="I2539" s="217" t="inlineStr"/>
      <c r="N2539" s="163" t="n"/>
    </row>
    <row r="2540" ht="15.75" customHeight="1" s="305">
      <c r="A2540" s="215" t="n"/>
      <c r="B2540" s="215" t="n"/>
      <c r="C2540" s="215" t="n"/>
      <c r="D2540" s="216" t="n"/>
      <c r="G2540" s="3" t="inlineStr"/>
      <c r="H2540" t="inlineStr"/>
      <c r="I2540" s="217" t="inlineStr"/>
      <c r="N2540" s="163" t="n"/>
    </row>
    <row r="2541" ht="15.75" customHeight="1" s="305">
      <c r="A2541" s="215" t="n"/>
      <c r="B2541" s="215" t="n"/>
      <c r="C2541" s="215" t="n"/>
      <c r="D2541" s="216" t="n"/>
      <c r="G2541" s="3" t="inlineStr"/>
      <c r="H2541" t="inlineStr"/>
      <c r="I2541" s="217" t="inlineStr"/>
      <c r="N2541" s="163" t="n"/>
    </row>
    <row r="2542" ht="15.75" customHeight="1" s="305">
      <c r="A2542" s="215" t="n"/>
      <c r="B2542" s="215" t="n"/>
      <c r="C2542" s="215" t="n"/>
      <c r="D2542" s="216" t="n"/>
      <c r="G2542" s="3" t="inlineStr"/>
      <c r="H2542" t="inlineStr"/>
      <c r="I2542" s="217" t="inlineStr"/>
      <c r="N2542" s="163" t="n"/>
    </row>
    <row r="2543" ht="15.75" customHeight="1" s="305">
      <c r="A2543" s="215" t="n"/>
      <c r="B2543" s="215" t="n"/>
      <c r="C2543" s="215" t="n"/>
      <c r="D2543" s="216" t="n"/>
      <c r="G2543" s="3" t="inlineStr"/>
      <c r="H2543" t="inlineStr"/>
      <c r="I2543" s="217" t="inlineStr"/>
      <c r="N2543" s="163" t="n"/>
    </row>
    <row r="2544" ht="15.75" customHeight="1" s="305">
      <c r="A2544" s="215" t="n"/>
      <c r="B2544" s="215" t="n"/>
      <c r="C2544" s="215" t="n"/>
      <c r="D2544" s="216" t="n"/>
      <c r="G2544" s="3" t="inlineStr"/>
      <c r="H2544" t="inlineStr"/>
      <c r="I2544" s="217" t="inlineStr"/>
      <c r="N2544" s="163" t="n"/>
    </row>
    <row r="2545" ht="15.75" customHeight="1" s="305">
      <c r="A2545" s="215" t="n"/>
      <c r="B2545" s="215" t="n"/>
      <c r="C2545" s="215" t="n"/>
      <c r="D2545" s="216" t="n"/>
      <c r="G2545" s="3" t="inlineStr"/>
      <c r="H2545" t="inlineStr"/>
      <c r="I2545" s="217" t="inlineStr"/>
      <c r="N2545" s="163" t="n"/>
    </row>
    <row r="2546" ht="15.75" customHeight="1" s="305">
      <c r="A2546" s="215" t="n"/>
      <c r="B2546" s="215" t="n"/>
      <c r="C2546" s="215" t="n"/>
      <c r="D2546" s="216" t="n"/>
      <c r="G2546" s="3" t="inlineStr"/>
      <c r="H2546" t="inlineStr"/>
      <c r="I2546" s="217" t="inlineStr"/>
      <c r="N2546" s="163" t="n"/>
    </row>
    <row r="2547" ht="15.75" customHeight="1" s="305">
      <c r="A2547" s="215" t="n"/>
      <c r="B2547" s="215" t="n"/>
      <c r="C2547" s="215" t="n"/>
      <c r="D2547" s="216" t="n"/>
      <c r="G2547" s="3" t="inlineStr"/>
      <c r="H2547" t="inlineStr"/>
      <c r="I2547" s="217" t="inlineStr"/>
      <c r="N2547" s="163" t="n"/>
    </row>
    <row r="2548" ht="15.75" customHeight="1" s="305">
      <c r="A2548" s="215" t="n"/>
      <c r="B2548" s="215" t="n"/>
      <c r="C2548" s="215" t="n"/>
      <c r="D2548" s="216" t="n"/>
      <c r="G2548" s="3" t="inlineStr"/>
      <c r="H2548" t="inlineStr"/>
      <c r="I2548" s="217" t="inlineStr"/>
      <c r="N2548" s="163" t="n"/>
    </row>
    <row r="2549" ht="15.75" customHeight="1" s="305">
      <c r="A2549" s="215" t="n"/>
      <c r="B2549" s="215" t="n"/>
      <c r="C2549" s="215" t="n"/>
      <c r="D2549" s="216" t="n"/>
      <c r="G2549" s="3" t="inlineStr"/>
      <c r="H2549" t="inlineStr"/>
      <c r="I2549" s="217" t="inlineStr"/>
      <c r="N2549" s="163" t="n"/>
    </row>
    <row r="2550" ht="15.75" customHeight="1" s="305">
      <c r="A2550" s="215" t="n"/>
      <c r="B2550" s="215" t="n"/>
      <c r="C2550" s="215" t="n"/>
      <c r="D2550" s="216" t="n"/>
      <c r="G2550" s="3" t="inlineStr"/>
      <c r="H2550" t="inlineStr"/>
      <c r="I2550" s="217" t="inlineStr"/>
      <c r="N2550" s="163" t="n"/>
    </row>
    <row r="2551" ht="15.75" customHeight="1" s="305">
      <c r="A2551" s="215" t="n"/>
      <c r="B2551" s="215" t="n"/>
      <c r="C2551" s="215" t="n"/>
      <c r="D2551" s="216" t="n"/>
      <c r="G2551" s="3" t="inlineStr"/>
      <c r="H2551" t="inlineStr"/>
      <c r="I2551" s="217" t="inlineStr"/>
      <c r="N2551" s="163" t="n"/>
    </row>
    <row r="2552" ht="15.75" customHeight="1" s="305">
      <c r="A2552" s="215" t="n"/>
      <c r="B2552" s="215" t="n"/>
      <c r="C2552" s="215" t="n"/>
      <c r="D2552" s="216" t="n"/>
      <c r="G2552" s="3" t="inlineStr"/>
      <c r="H2552" t="inlineStr"/>
      <c r="I2552" s="217" t="inlineStr"/>
      <c r="N2552" s="163" t="n"/>
    </row>
    <row r="2553" ht="15.75" customHeight="1" s="305">
      <c r="A2553" s="215" t="n"/>
      <c r="B2553" s="215" t="n"/>
      <c r="C2553" s="215" t="n"/>
      <c r="D2553" s="216" t="n"/>
      <c r="G2553" s="3" t="inlineStr"/>
      <c r="H2553" t="inlineStr"/>
      <c r="I2553" s="217" t="inlineStr"/>
      <c r="N2553" s="163" t="n"/>
    </row>
    <row r="2554" ht="15.75" customHeight="1" s="305">
      <c r="A2554" s="215" t="n"/>
      <c r="B2554" s="215" t="n"/>
      <c r="C2554" s="215" t="n"/>
      <c r="D2554" s="216" t="n"/>
      <c r="G2554" s="3" t="inlineStr"/>
      <c r="H2554" t="inlineStr"/>
      <c r="I2554" s="217" t="inlineStr"/>
      <c r="N2554" s="163" t="n"/>
    </row>
    <row r="2555" ht="15.75" customHeight="1" s="305">
      <c r="A2555" s="215" t="n"/>
      <c r="B2555" s="215" t="n"/>
      <c r="C2555" s="215" t="n"/>
      <c r="D2555" s="216" t="n"/>
      <c r="G2555" s="3" t="inlineStr"/>
      <c r="H2555" t="inlineStr"/>
      <c r="I2555" s="217" t="inlineStr"/>
      <c r="N2555" s="163" t="n"/>
    </row>
    <row r="2556" ht="15.75" customHeight="1" s="305">
      <c r="A2556" s="215" t="n"/>
      <c r="B2556" s="215" t="n"/>
      <c r="C2556" s="215" t="n"/>
      <c r="D2556" s="216" t="n"/>
      <c r="G2556" s="3" t="inlineStr"/>
      <c r="H2556" t="inlineStr"/>
      <c r="I2556" s="217" t="inlineStr"/>
      <c r="N2556" s="163" t="n"/>
    </row>
    <row r="2557" ht="15.75" customHeight="1" s="305">
      <c r="A2557" s="215" t="n"/>
      <c r="B2557" s="215" t="n"/>
      <c r="C2557" s="215" t="n"/>
      <c r="D2557" s="216" t="n"/>
      <c r="G2557" s="3" t="inlineStr"/>
      <c r="H2557" t="inlineStr"/>
      <c r="I2557" s="217" t="inlineStr"/>
      <c r="N2557" s="163" t="n"/>
    </row>
    <row r="2558" ht="15.75" customHeight="1" s="305">
      <c r="A2558" s="215" t="n"/>
      <c r="B2558" s="215" t="n"/>
      <c r="C2558" s="215" t="n"/>
      <c r="D2558" s="216" t="n"/>
      <c r="G2558" s="3" t="inlineStr"/>
      <c r="H2558" t="inlineStr"/>
      <c r="I2558" s="217" t="inlineStr"/>
      <c r="N2558" s="163" t="n"/>
    </row>
    <row r="2559" ht="15.75" customHeight="1" s="305">
      <c r="A2559" s="215" t="n"/>
      <c r="B2559" s="215" t="n"/>
      <c r="C2559" s="215" t="n"/>
      <c r="D2559" s="216" t="n"/>
      <c r="G2559" s="3" t="inlineStr"/>
      <c r="H2559" t="inlineStr"/>
      <c r="I2559" s="217" t="inlineStr"/>
      <c r="N2559" s="163" t="n"/>
    </row>
    <row r="2560" ht="15.75" customHeight="1" s="305">
      <c r="A2560" s="215" t="n"/>
      <c r="B2560" s="215" t="n"/>
      <c r="C2560" s="215" t="n"/>
      <c r="D2560" s="216" t="n"/>
      <c r="G2560" s="3" t="inlineStr"/>
      <c r="H2560" t="inlineStr"/>
      <c r="I2560" s="217" t="inlineStr"/>
      <c r="N2560" s="163" t="n"/>
    </row>
    <row r="2561" ht="15.75" customHeight="1" s="305">
      <c r="A2561" s="215" t="n"/>
      <c r="B2561" s="215" t="n"/>
      <c r="C2561" s="215" t="n"/>
      <c r="D2561" s="216" t="n"/>
      <c r="G2561" s="3" t="inlineStr"/>
      <c r="H2561" t="inlineStr"/>
      <c r="I2561" s="217" t="inlineStr"/>
      <c r="N2561" s="163" t="n"/>
    </row>
  </sheetData>
  <autoFilter ref="$A$1:$N$1962">
    <sortState ref="A1:N1962">
      <sortCondition ref="B1:B1962"/>
    </sortState>
  </autoFilter>
  <pageMargins left="0.75" right="0.75" top="1" bottom="1" header="0" footer="0"/>
  <pageSetup orientation="portrait"/>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S1102"/>
  <sheetViews>
    <sheetView workbookViewId="0">
      <selection activeCell="A1" sqref="A1"/>
    </sheetView>
  </sheetViews>
  <sheetFormatPr baseColWidth="8" defaultColWidth="14.43" defaultRowHeight="15" customHeight="1"/>
  <cols>
    <col width="40.71" customWidth="1" style="305" min="1" max="1"/>
    <col width="19.71" customWidth="1" style="305" min="2" max="2"/>
    <col width="23.57" customWidth="1" style="305" min="3" max="3"/>
    <col width="20" customWidth="1" style="305" min="4" max="4"/>
    <col width="12.43" customWidth="1" style="305" min="5" max="5"/>
    <col width="12.86" customWidth="1" style="305" min="6" max="6"/>
    <col width="31.29" customWidth="1" style="305" min="7" max="7"/>
    <col width="13.71" customWidth="1" style="305" min="8" max="8"/>
    <col width="15" customWidth="1" style="305" min="9" max="9"/>
    <col width="26.14" customWidth="1" style="305" min="10" max="10"/>
    <col width="8.859999999999999" customWidth="1" style="305" min="11" max="18"/>
    <col width="44" customWidth="1" style="305" min="19" max="19"/>
    <col width="8.859999999999999" customWidth="1" style="305" min="20" max="27"/>
  </cols>
  <sheetData>
    <row r="1">
      <c r="A1" s="149" t="inlineStr">
        <is>
          <t>key</t>
        </is>
      </c>
      <c r="B1" s="149" t="inlineStr">
        <is>
          <t>cn</t>
        </is>
      </c>
      <c r="C1" s="193" t="inlineStr">
        <is>
          <t>vi</t>
        </is>
      </c>
      <c r="D1" s="193" t="inlineStr">
        <is>
          <t>en</t>
        </is>
      </c>
      <c r="E1" s="193" t="inlineStr">
        <is>
          <t>lao</t>
        </is>
      </c>
      <c r="F1" s="193" t="inlineStr">
        <is>
          <t>mm</t>
        </is>
      </c>
      <c r="G1" s="150" t="inlineStr">
        <is>
          <t>GG Dịch</t>
        </is>
      </c>
      <c r="H1" s="30" t="inlineStr">
        <is>
          <t>cam - sonita</t>
        </is>
      </c>
      <c r="I1" s="30" t="inlineStr">
        <is>
          <t>cam - review</t>
        </is>
      </c>
      <c r="J1" s="30" t="inlineStr">
        <is>
          <t>Cam - final</t>
        </is>
      </c>
      <c r="K1" s="308" t="inlineStr">
        <is>
          <t>cam Thean</t>
        </is>
      </c>
      <c r="S1" s="150" t="inlineStr">
        <is>
          <t>cam mkt</t>
        </is>
      </c>
    </row>
    <row r="2">
      <c r="A2" s="217" t="inlineStr">
        <is>
          <t>BOTTOM_TAB.HOME_TITLE</t>
        </is>
      </c>
      <c r="B2" s="151" t="inlineStr">
        <is>
          <t>首页</t>
        </is>
      </c>
      <c r="C2" s="3" t="inlineStr">
        <is>
          <t>Trang chủ</t>
        </is>
      </c>
      <c r="D2" s="3" t="inlineStr">
        <is>
          <t>Home</t>
        </is>
      </c>
      <c r="E2" s="3" t="inlineStr">
        <is>
          <t xml:space="preserve"> ໜ້າຫລັກ</t>
        </is>
      </c>
      <c r="F2" s="3" t="inlineStr">
        <is>
          <t>ပင်မအိမ်</t>
        </is>
      </c>
      <c r="G2" s="3">
        <f>IFERROR(__xludf.DUMMYFUNCTION("GOOGLETRANSLATE(C2,""vi"",""km"")"),"ទំព័រដើម")</f>
        <v/>
      </c>
      <c r="H2" s="217" t="inlineStr">
        <is>
          <t>ទំព័រដើម</t>
        </is>
      </c>
      <c r="J2" s="217" t="inlineStr">
        <is>
          <t>ទំព័រដើម</t>
        </is>
      </c>
      <c r="K2" s="217" t="inlineStr">
        <is>
          <t>ទំព័រដើម</t>
        </is>
      </c>
      <c r="S2" s="163" t="inlineStr">
        <is>
          <t>ទំព័រដើម</t>
        </is>
      </c>
    </row>
    <row r="3">
      <c r="A3" s="217" t="inlineStr">
        <is>
          <t>BOTTOM_TAB.STATISTIC_TITLE</t>
        </is>
      </c>
      <c r="B3" s="153" t="inlineStr">
        <is>
          <t>统计</t>
        </is>
      </c>
      <c r="C3" s="3" t="inlineStr">
        <is>
          <t>Thống kê</t>
        </is>
      </c>
      <c r="D3" s="3" t="inlineStr">
        <is>
          <t>Statistics</t>
        </is>
      </c>
      <c r="E3" s="3" t="inlineStr">
        <is>
          <t>ສະຖິຕິ</t>
        </is>
      </c>
      <c r="F3" s="3" t="inlineStr">
        <is>
          <t>စာရင်းဇယားများ</t>
        </is>
      </c>
      <c r="G3" s="3">
        <f>IFERROR(__xludf.DUMMYFUNCTION("GOOGLETRANSLATE(C3,""vi"",""km"")"),"ស្ថិតិ")</f>
        <v/>
      </c>
      <c r="H3" s="217" t="inlineStr">
        <is>
          <t>ស្ថិតិ</t>
        </is>
      </c>
      <c r="J3" s="217" t="inlineStr">
        <is>
          <t>ស្ថិតិ</t>
        </is>
      </c>
      <c r="K3" s="217" t="inlineStr">
        <is>
          <t>ស្ថិតិ</t>
        </is>
      </c>
      <c r="S3" s="163" t="inlineStr">
        <is>
          <t>ស្ថិតិ</t>
        </is>
      </c>
    </row>
    <row r="4">
      <c r="A4" s="217" t="inlineStr">
        <is>
          <t>BOTTOM_TAB.NOTIFICATION_TITLE</t>
        </is>
      </c>
      <c r="B4" s="153" t="inlineStr">
        <is>
          <t>提醒</t>
        </is>
      </c>
      <c r="C4" s="3" t="inlineStr">
        <is>
          <t>Thông báo</t>
        </is>
      </c>
      <c r="D4" s="3" t="inlineStr">
        <is>
          <t>Notifications</t>
        </is>
      </c>
      <c r="E4" s="3" t="inlineStr">
        <is>
          <t>ແຈ້ງການ</t>
        </is>
      </c>
      <c r="F4" s="3" t="inlineStr">
        <is>
          <t>အသိပေးချက်များ</t>
        </is>
      </c>
      <c r="G4" s="3">
        <f>IFERROR(__xludf.DUMMYFUNCTION("GOOGLETRANSLATE(C4,""vi"",""km"")"),"ការជូនដំណឹង")</f>
        <v/>
      </c>
      <c r="H4" s="217" t="inlineStr">
        <is>
          <t>ការជូនដំណឹង</t>
        </is>
      </c>
      <c r="J4" s="217" t="inlineStr">
        <is>
          <t>ការជូនដំណឹង</t>
        </is>
      </c>
      <c r="K4" s="217" t="inlineStr">
        <is>
          <t>ការជូនដំណឹង</t>
        </is>
      </c>
      <c r="S4" s="163" t="inlineStr">
        <is>
          <t>ការជូនដំណឹង</t>
        </is>
      </c>
    </row>
    <row r="5">
      <c r="A5" s="217" t="inlineStr">
        <is>
          <t>BOTTOM_TAB.SETTING_TITLE</t>
        </is>
      </c>
      <c r="B5" s="153" t="inlineStr">
        <is>
          <t>设置</t>
        </is>
      </c>
      <c r="C5" s="3" t="inlineStr">
        <is>
          <t>Cài đặt</t>
        </is>
      </c>
      <c r="D5" s="3" t="inlineStr">
        <is>
          <t>Settings</t>
        </is>
      </c>
      <c r="E5" s="3" t="inlineStr">
        <is>
          <t>ການຕັ້ງຄ່າ</t>
        </is>
      </c>
      <c r="F5" s="3" t="inlineStr">
        <is>
          <t>သတ်မှတ်ချက်များ</t>
        </is>
      </c>
      <c r="G5" s="3">
        <f>IFERROR(__xludf.DUMMYFUNCTION("GOOGLETRANSLATE(C5,""vi"",""km"")"),"ការកំណត់")</f>
        <v/>
      </c>
      <c r="H5" s="217" t="inlineStr">
        <is>
          <t>ការកំណត់</t>
        </is>
      </c>
      <c r="J5" s="217" t="inlineStr">
        <is>
          <t>ការកំណត់</t>
        </is>
      </c>
      <c r="K5" s="217" t="inlineStr">
        <is>
          <t>ការកំណត់</t>
        </is>
      </c>
      <c r="S5" s="163" t="inlineStr">
        <is>
          <t>ការកំណត់</t>
        </is>
      </c>
    </row>
    <row r="6">
      <c r="A6" s="217" t="inlineStr">
        <is>
          <t>BOTTOM_TAB.ORDER</t>
        </is>
      </c>
      <c r="B6" s="153" t="inlineStr">
        <is>
          <t>订单</t>
        </is>
      </c>
      <c r="C6" s="3" t="inlineStr">
        <is>
          <t>Đơn hàng</t>
        </is>
      </c>
      <c r="D6" s="3" t="inlineStr">
        <is>
          <t>Orders</t>
        </is>
      </c>
      <c r="E6" s="3" t="inlineStr">
        <is>
          <t>ຄໍາສັ່ງ</t>
        </is>
      </c>
      <c r="F6" s="3" t="inlineStr">
        <is>
          <t>အော်ဒါ</t>
        </is>
      </c>
      <c r="G6" s="3">
        <f>IFERROR(__xludf.DUMMYFUNCTION("GOOGLETRANSLATE(C6,""vi"",""km"")"),"ការបញ្ជាទិញ")</f>
        <v/>
      </c>
      <c r="H6" s="217" t="inlineStr">
        <is>
          <t>បុងបញ្ញើ</t>
        </is>
      </c>
      <c r="J6" s="217" t="inlineStr">
        <is>
          <t>ការបញ្ជាទិញ</t>
        </is>
      </c>
      <c r="K6" s="217" t="inlineStr">
        <is>
          <t>ការបញ្ជាទិញ</t>
        </is>
      </c>
      <c r="S6" s="163" t="inlineStr">
        <is>
          <t>ការបញ្ជា</t>
        </is>
      </c>
    </row>
    <row r="7">
      <c r="A7" s="217" t="inlineStr">
        <is>
          <t>SETTING_SCREEN.VI_LANGUAGE</t>
        </is>
      </c>
      <c r="B7" s="153" t="inlineStr">
        <is>
          <t>越南语</t>
        </is>
      </c>
      <c r="C7" s="3" t="inlineStr">
        <is>
          <t>Tiếng Việt</t>
        </is>
      </c>
      <c r="D7" s="3" t="inlineStr">
        <is>
          <t>Vietnamese</t>
        </is>
      </c>
      <c r="E7" s="3" t="inlineStr">
        <is>
          <t>ພາສາຫວຽດນາມ</t>
        </is>
      </c>
      <c r="F7" s="3" t="inlineStr">
        <is>
          <t>ဗီယက်နမ်</t>
        </is>
      </c>
      <c r="G7" s="3">
        <f>IFERROR(__xludf.DUMMYFUNCTION("GOOGLETRANSLATE(C7,""vi"",""km"")"),"វៀតណាម")</f>
        <v/>
      </c>
      <c r="H7" s="217" t="inlineStr">
        <is>
          <t>ភាសាវៀតណាម</t>
        </is>
      </c>
      <c r="J7" s="217" t="inlineStr">
        <is>
          <t>ភាសាវៀតណាម</t>
        </is>
      </c>
      <c r="K7" s="217" t="inlineStr">
        <is>
          <t>ភាសាវៀតណាម</t>
        </is>
      </c>
      <c r="S7" s="163" t="inlineStr">
        <is>
          <t>វៀតណាម</t>
        </is>
      </c>
    </row>
    <row r="8">
      <c r="A8" s="217" t="inlineStr">
        <is>
          <t>SETTING_SCREEN.MY_LANGUAGE</t>
        </is>
      </c>
      <c r="B8" s="153" t="inlineStr">
        <is>
          <t>缅甸语</t>
        </is>
      </c>
      <c r="C8" s="3" t="inlineStr">
        <is>
          <t>Tiếng Myanmar</t>
        </is>
      </c>
      <c r="D8" s="3" t="inlineStr">
        <is>
          <t>Myanmar</t>
        </is>
      </c>
      <c r="E8" s="3" t="inlineStr">
        <is>
          <t>ພາສາມຽນມາ</t>
        </is>
      </c>
      <c r="F8" s="3" t="inlineStr">
        <is>
          <t>မြန်မာနိုင်ငံ</t>
        </is>
      </c>
      <c r="G8" s="3">
        <f>IFERROR(__xludf.DUMMYFUNCTION("GOOGLETRANSLATE(C8,""vi"",""km"")"),"ភាសាមីយ៉ាន់ម៉ា")</f>
        <v/>
      </c>
      <c r="H8" s="217" t="inlineStr">
        <is>
          <t>ភាសាមីយ៉ាន់ម៉ា</t>
        </is>
      </c>
      <c r="J8" s="217" t="inlineStr">
        <is>
          <t>ភាសាមីយ៉ាន់ម៉ា</t>
        </is>
      </c>
      <c r="K8" s="217" t="inlineStr">
        <is>
          <t>ភាសាមីយ៉ាន់ម៉ា</t>
        </is>
      </c>
      <c r="S8" s="163" t="inlineStr">
        <is>
          <t>មីយ៉ានម៉ា</t>
        </is>
      </c>
    </row>
    <row r="9">
      <c r="A9" s="217" t="inlineStr">
        <is>
          <t>SETTING_SCREEN.EN_LANGUAGE</t>
        </is>
      </c>
      <c r="B9" s="153" t="inlineStr">
        <is>
          <t>英语</t>
        </is>
      </c>
      <c r="C9" s="3" t="inlineStr">
        <is>
          <t>Tiếng Anh</t>
        </is>
      </c>
      <c r="D9" s="3" t="inlineStr">
        <is>
          <t>English</t>
        </is>
      </c>
      <c r="E9" s="3" t="inlineStr">
        <is>
          <t>ພາສາອັງກິດ</t>
        </is>
      </c>
      <c r="F9" s="3" t="inlineStr">
        <is>
          <t>အင်္ဂလိပ်</t>
        </is>
      </c>
      <c r="G9" s="3">
        <f>IFERROR(__xludf.DUMMYFUNCTION("GOOGLETRANSLATE(C9,""vi"",""km"")"),"អង់គ្លេស")</f>
        <v/>
      </c>
      <c r="H9" s="217" t="inlineStr">
        <is>
          <t>ភាសាអង់គ្លេស</t>
        </is>
      </c>
      <c r="J9" s="217" t="inlineStr">
        <is>
          <t>ភាសាអង់គ្លេស</t>
        </is>
      </c>
      <c r="K9" s="217" t="inlineStr">
        <is>
          <t>ភាសាអង់គ្លេស</t>
        </is>
      </c>
      <c r="S9" s="163" t="inlineStr">
        <is>
          <t>អង់គ្លេស</t>
        </is>
      </c>
    </row>
    <row r="10">
      <c r="A10" s="217" t="inlineStr">
        <is>
          <t>SETTING_SCREEN.KH_LANGUAGE</t>
        </is>
      </c>
      <c r="B10" s="153" t="inlineStr">
        <is>
          <t>柬埔寨语</t>
        </is>
      </c>
      <c r="C10" s="3" t="inlineStr">
        <is>
          <t>Tiếng Campuchia</t>
        </is>
      </c>
      <c r="D10" s="3" t="inlineStr">
        <is>
          <t>Cambodia</t>
        </is>
      </c>
      <c r="E10" s="3" t="inlineStr">
        <is>
          <t>ພາສາກຳປູເຈຍ</t>
        </is>
      </c>
      <c r="F10" s="3" t="n"/>
      <c r="G10" s="3">
        <f>IFERROR(__xludf.DUMMYFUNCTION("GOOGLETRANSLATE(C10,""vi"",""km"")"),"ភាសាខ្មែរ")</f>
        <v/>
      </c>
      <c r="H10" s="217" t="inlineStr">
        <is>
          <t>ភាសាខ្មែរ</t>
        </is>
      </c>
      <c r="J10" s="217" t="inlineStr">
        <is>
          <t>ភាសាខ្មែរ</t>
        </is>
      </c>
      <c r="K10" s="217" t="inlineStr">
        <is>
          <t>ភាសាខ្មែរ</t>
        </is>
      </c>
      <c r="S10" s="163" t="inlineStr">
        <is>
          <t>កម្ពុជា</t>
        </is>
      </c>
    </row>
    <row r="11">
      <c r="A11" s="217" t="inlineStr">
        <is>
          <t>SETTING_SCREEN.LA_LANGUAGE</t>
        </is>
      </c>
      <c r="B11" s="153" t="inlineStr">
        <is>
          <t>老挝语</t>
        </is>
      </c>
      <c r="C11" s="3" t="inlineStr">
        <is>
          <t>Tiếng Lào</t>
        </is>
      </c>
      <c r="D11" s="3" t="inlineStr">
        <is>
          <t>Laos</t>
        </is>
      </c>
      <c r="E11" s="3" t="inlineStr">
        <is>
          <t>ພາສາລາວ</t>
        </is>
      </c>
      <c r="F11" s="3" t="n"/>
      <c r="G11" s="3">
        <f>IFERROR(__xludf.DUMMYFUNCTION("GOOGLETRANSLATE(C11,""vi"",""km"")"),"ភាសាឡាវ")</f>
        <v/>
      </c>
      <c r="H11" s="217" t="inlineStr">
        <is>
          <t>ភាសាឡាវ</t>
        </is>
      </c>
      <c r="J11" s="217" t="inlineStr">
        <is>
          <t>ភាសាឡាវ</t>
        </is>
      </c>
      <c r="K11" s="217" t="inlineStr">
        <is>
          <t>ភាសាឡាវ</t>
        </is>
      </c>
      <c r="S11" s="163" t="inlineStr">
        <is>
          <t>ឡាវ</t>
        </is>
      </c>
    </row>
    <row r="12">
      <c r="A12" s="217" t="inlineStr">
        <is>
          <t>SETTING_SCREEN.SELECT_LANGUAGE</t>
        </is>
      </c>
      <c r="B12" s="153" t="inlineStr">
        <is>
          <t>语言</t>
        </is>
      </c>
      <c r="C12" s="3" t="inlineStr">
        <is>
          <t>Chọn ngôn ngữ</t>
        </is>
      </c>
      <c r="D12" s="3" t="inlineStr">
        <is>
          <t>Select language</t>
        </is>
      </c>
      <c r="E12" s="3" t="inlineStr">
        <is>
          <t>ເລືອກພາສາ</t>
        </is>
      </c>
      <c r="F12" s="3" t="inlineStr">
        <is>
          <t>ရွေးချယ်ထားသောဘာသာစကားကို ရွေးချယ်ပါ</t>
        </is>
      </c>
      <c r="G12" s="3">
        <f>IFERROR(__xludf.DUMMYFUNCTION("GOOGLETRANSLATE(C12,""vi"",""km"")"),"ជ្រើសរើសភាសា")</f>
        <v/>
      </c>
      <c r="H12" s="217" t="inlineStr">
        <is>
          <t>ជ្រើសរើសភាសា</t>
        </is>
      </c>
      <c r="J12" s="217" t="inlineStr">
        <is>
          <t>ជ្រើសរើសភាសា</t>
        </is>
      </c>
      <c r="K12" s="217" t="inlineStr">
        <is>
          <t>ជ្រើសរើសភាសា</t>
        </is>
      </c>
      <c r="S12" s="163" t="inlineStr">
        <is>
          <t>ជ្រើសរើសភាសា</t>
        </is>
      </c>
    </row>
    <row r="13">
      <c r="A13" s="217" t="inlineStr">
        <is>
          <t>SETTING_SCREEN.SELECT_THEME</t>
        </is>
      </c>
      <c r="B13" s="153" t="inlineStr">
        <is>
          <t>选择主题</t>
        </is>
      </c>
      <c r="C13" s="3" t="inlineStr">
        <is>
          <t>Chọn giao diện</t>
        </is>
      </c>
      <c r="D13" s="3" t="inlineStr">
        <is>
          <t>Select theme</t>
        </is>
      </c>
      <c r="E13" s="3" t="inlineStr">
        <is>
          <t>ເລືອກການໂຕ້ຕອບ</t>
        </is>
      </c>
      <c r="F13" s="3" t="inlineStr">
        <is>
          <t>ရွေးချယ်ထားသောအကြောင်းအရာကို ရွေးချယ်ပါ</t>
        </is>
      </c>
      <c r="G13" s="3">
        <f>IFERROR(__xludf.DUMMYFUNCTION("GOOGLETRANSLATE(C13,""vi"",""km"")"),"ជ្រើសរើស​ប្រធានបទ")</f>
        <v/>
      </c>
      <c r="H13" s="18" t="inlineStr">
        <is>
          <t>ជ្រើសរើស</t>
        </is>
      </c>
      <c r="I13" s="217" t="inlineStr">
        <is>
          <t>x</t>
        </is>
      </c>
      <c r="J13" s="217" t="inlineStr">
        <is>
          <t>ជ្រើសរើស</t>
        </is>
      </c>
      <c r="K13" s="217" t="inlineStr">
        <is>
          <t>ជ្រើសរើស</t>
        </is>
      </c>
      <c r="S13" s="163" t="inlineStr">
        <is>
          <t>ជ្រើសរើសប្រធានបទ</t>
        </is>
      </c>
    </row>
    <row r="14">
      <c r="A14" s="217" t="inlineStr">
        <is>
          <t>SETTING_SCREEN.DARK_THEME</t>
        </is>
      </c>
      <c r="B14" s="153" t="inlineStr">
        <is>
          <t>晚上</t>
        </is>
      </c>
      <c r="C14" s="3" t="inlineStr">
        <is>
          <t>Tối</t>
        </is>
      </c>
      <c r="D14" s="3" t="inlineStr">
        <is>
          <t>Dark</t>
        </is>
      </c>
      <c r="E14" s="3" t="inlineStr">
        <is>
          <t>ມືດ</t>
        </is>
      </c>
      <c r="F14" s="3" t="inlineStr">
        <is>
          <t>အမှောင်</t>
        </is>
      </c>
      <c r="G14" s="3">
        <f>IFERROR(__xludf.DUMMYFUNCTION("GOOGLETRANSLATE(C14,""vi"",""km"")"),"ងងឹត")</f>
        <v/>
      </c>
      <c r="H14" s="217" t="inlineStr">
        <is>
          <t>យប់</t>
        </is>
      </c>
      <c r="J14" s="217" t="inlineStr">
        <is>
          <t>យប់</t>
        </is>
      </c>
      <c r="K14" s="217" t="inlineStr">
        <is>
          <t>យប់</t>
        </is>
      </c>
      <c r="S14" s="163" t="inlineStr">
        <is>
          <t>ងងឹត</t>
        </is>
      </c>
    </row>
    <row r="15">
      <c r="A15" s="217" t="inlineStr">
        <is>
          <t>SETTING_SCREEN.LIGHT_THEME</t>
        </is>
      </c>
      <c r="B15" s="153" t="inlineStr">
        <is>
          <t>早上</t>
        </is>
      </c>
      <c r="C15" s="3" t="inlineStr">
        <is>
          <t>Sáng</t>
        </is>
      </c>
      <c r="D15" s="3" t="inlineStr">
        <is>
          <t>Light</t>
        </is>
      </c>
      <c r="E15" s="3" t="inlineStr">
        <is>
          <t>ແຈ້້ງ</t>
        </is>
      </c>
      <c r="F15" s="3" t="inlineStr">
        <is>
          <t>အလင်းရောင်</t>
        </is>
      </c>
      <c r="G15" s="3">
        <f>IFERROR(__xludf.DUMMYFUNCTION("GOOGLETRANSLATE(C15,""vi"",""km"")"),"ភ្លឺ")</f>
        <v/>
      </c>
      <c r="H15" s="217" t="inlineStr">
        <is>
          <t>ព្រឹក</t>
        </is>
      </c>
      <c r="J15" s="217" t="inlineStr">
        <is>
          <t>ព្រឹក</t>
        </is>
      </c>
      <c r="K15" s="217" t="inlineStr">
        <is>
          <t>ព្រឹក</t>
        </is>
      </c>
      <c r="S15" s="163" t="inlineStr">
        <is>
          <t>ភ្លឺ</t>
        </is>
      </c>
    </row>
    <row r="16">
      <c r="A16" s="217" t="inlineStr">
        <is>
          <t>SETTING_SCREEN.LOGOUT</t>
        </is>
      </c>
      <c r="B16" s="153" t="inlineStr">
        <is>
          <t>退出登录</t>
        </is>
      </c>
      <c r="C16" s="3" t="inlineStr">
        <is>
          <t>Đăng xuất</t>
        </is>
      </c>
      <c r="D16" s="3" t="inlineStr">
        <is>
          <t>Logout</t>
        </is>
      </c>
      <c r="E16" s="3" t="inlineStr">
        <is>
          <t>ອອກຈາກລະບົບ</t>
        </is>
      </c>
      <c r="F16" s="3" t="inlineStr">
        <is>
          <t>လော့ဂတ်</t>
        </is>
      </c>
      <c r="G16" s="3">
        <f>IFERROR(__xludf.DUMMYFUNCTION("GOOGLETRANSLATE(C16,""vi"",""km"")"),"ចាកចេញ")</f>
        <v/>
      </c>
      <c r="H16" s="217" t="inlineStr">
        <is>
          <t>ចាកចេញ</t>
        </is>
      </c>
      <c r="J16" s="217" t="inlineStr">
        <is>
          <t>ចាកចេញ</t>
        </is>
      </c>
      <c r="K16" s="217" t="inlineStr">
        <is>
          <t>ចាកចេញ</t>
        </is>
      </c>
      <c r="S16" s="163" t="inlineStr">
        <is>
          <t>ចាកចេញ</t>
        </is>
      </c>
    </row>
    <row r="17">
      <c r="A17" s="217" t="inlineStr">
        <is>
          <t>SETTING_SCREEN.LOGOUT_CONFIRM_CONTENT</t>
        </is>
      </c>
      <c r="B17" s="153" t="inlineStr">
        <is>
          <t>确定要退出登录吗？</t>
        </is>
      </c>
      <c r="C17" s="3" t="inlineStr">
        <is>
          <t>Bạn có muốn đăng xuất?</t>
        </is>
      </c>
      <c r="D17" s="3" t="inlineStr">
        <is>
          <t>Do you want to log out?</t>
        </is>
      </c>
      <c r="E17" s="3" t="inlineStr">
        <is>
          <t>ທ່ານຕ້ອງການອອກຈາກລະບົບບໍ?</t>
        </is>
      </c>
      <c r="F17" s="3" t="inlineStr">
        <is>
          <t>အပြင်ထွက်ချင်သလား။</t>
        </is>
      </c>
      <c r="G17" s="3">
        <f>IFERROR(__xludf.DUMMYFUNCTION("GOOGLETRANSLATE(C17,""vi"",""km"")"),"តើអ្នកចង់ចាកចេញទេ?")</f>
        <v/>
      </c>
      <c r="H17" s="217" t="inlineStr">
        <is>
          <t>តើអ្នកចង់ចាកចេញទេ?</t>
        </is>
      </c>
      <c r="J17" s="217" t="inlineStr">
        <is>
          <t>តើអ្នកចង់ចាកចេញទេ?</t>
        </is>
      </c>
      <c r="K17" s="217" t="inlineStr">
        <is>
          <t>តើអ្នកចង់ចាកចេញទេ?</t>
        </is>
      </c>
      <c r="S17" s="163" t="inlineStr">
        <is>
          <t>តើអ្នកចាកចេញមែនទេ?</t>
        </is>
      </c>
    </row>
    <row r="18">
      <c r="A18" s="217" t="inlineStr">
        <is>
          <t>SETTING_SCREEN.CANCEL</t>
        </is>
      </c>
      <c r="B18" s="153" t="inlineStr">
        <is>
          <t>取消</t>
        </is>
      </c>
      <c r="C18" s="3" t="inlineStr">
        <is>
          <t>Đóng</t>
        </is>
      </c>
      <c r="D18" s="3" t="inlineStr">
        <is>
          <t>Cancel</t>
        </is>
      </c>
      <c r="E18" s="3" t="inlineStr">
        <is>
          <t>ປິດ</t>
        </is>
      </c>
      <c r="F18" s="3" t="inlineStr">
        <is>
          <t>ပယ်ဖျက်ပါ</t>
        </is>
      </c>
      <c r="G18" s="3">
        <f>IFERROR(__xludf.DUMMYFUNCTION("GOOGLETRANSLATE(C18,""vi"",""km"")"),"បិទ")</f>
        <v/>
      </c>
      <c r="H18" s="217" t="inlineStr">
        <is>
          <t>បិទ</t>
        </is>
      </c>
      <c r="J18" s="217" t="inlineStr">
        <is>
          <t>បិទ</t>
        </is>
      </c>
      <c r="K18" s="217" t="inlineStr">
        <is>
          <t>បិទ</t>
        </is>
      </c>
      <c r="S18" s="163" t="inlineStr">
        <is>
          <t>លុបចោល</t>
        </is>
      </c>
    </row>
    <row r="19">
      <c r="A19" s="217" t="inlineStr">
        <is>
          <t>SETTING_SCREEN.ACCEPT</t>
        </is>
      </c>
      <c r="B19" s="153" t="inlineStr">
        <is>
          <t>确定</t>
        </is>
      </c>
      <c r="C19" s="3" t="inlineStr">
        <is>
          <t>Đồng ý</t>
        </is>
      </c>
      <c r="D19" s="3" t="inlineStr">
        <is>
          <t>Accept</t>
        </is>
      </c>
      <c r="E19" s="3" t="inlineStr">
        <is>
          <t>ເຫັນດີ</t>
        </is>
      </c>
      <c r="F19" s="3" t="inlineStr">
        <is>
          <t>လက်ခံပါ</t>
        </is>
      </c>
      <c r="G19" s="3">
        <f>IFERROR(__xludf.DUMMYFUNCTION("GOOGLETRANSLATE(C19,""vi"",""km"")"),"យល់ព្រម")</f>
        <v/>
      </c>
      <c r="H19" s="217" t="inlineStr">
        <is>
          <t>យល់ព្រម</t>
        </is>
      </c>
      <c r="J19" s="217" t="inlineStr">
        <is>
          <t>យល់ព្រម</t>
        </is>
      </c>
      <c r="K19" s="217" t="inlineStr">
        <is>
          <t>យល់ព្រម</t>
        </is>
      </c>
      <c r="S19" s="163" t="inlineStr">
        <is>
          <t>យល់ព្រម</t>
        </is>
      </c>
    </row>
    <row r="20">
      <c r="A20" s="217" t="inlineStr">
        <is>
          <t>COMMON.SAVE_OPTIONS</t>
        </is>
      </c>
      <c r="B20" s="153" t="inlineStr">
        <is>
          <t>保存选择</t>
        </is>
      </c>
      <c r="C20" s="3" t="inlineStr">
        <is>
          <t>Lưu bộ lọc</t>
        </is>
      </c>
      <c r="D20" s="3" t="inlineStr">
        <is>
          <t>Save option</t>
        </is>
      </c>
      <c r="E20" s="3" t="inlineStr">
        <is>
          <t>ບັນທຶກການກັ່ນຕອງ</t>
        </is>
      </c>
      <c r="F20" s="3" t="inlineStr">
        <is>
          <t>သိမ်းဆည်းထားတဲ့ ရွေးချယ်စရာ</t>
        </is>
      </c>
      <c r="G20" s="3">
        <f>IFERROR(__xludf.DUMMYFUNCTION("GOOGLETRANSLATE(C20,""vi"",""km"")"),"រក្សាទុកតម្រង")</f>
        <v/>
      </c>
      <c r="H20" s="217" t="inlineStr">
        <is>
          <t>រក្សាទុកការចម្រាញ់</t>
        </is>
      </c>
      <c r="J20" s="217" t="inlineStr">
        <is>
          <t>រក្សាទុកការចម្រាញ់</t>
        </is>
      </c>
      <c r="K20" s="217" t="inlineStr">
        <is>
          <t>រក្សាទុកការចម្រាញ់</t>
        </is>
      </c>
      <c r="S20" s="163" t="inlineStr">
        <is>
          <t>ជម្រើសរក្សាទុក</t>
        </is>
      </c>
    </row>
    <row r="21" ht="15.75" customHeight="1" s="305">
      <c r="A21" s="217" t="inlineStr">
        <is>
          <t>COMMON.DAY</t>
        </is>
      </c>
      <c r="B21" s="153" t="inlineStr">
        <is>
          <t>日</t>
        </is>
      </c>
      <c r="C21" s="3" t="inlineStr">
        <is>
          <t>Ngày</t>
        </is>
      </c>
      <c r="D21" s="3" t="inlineStr">
        <is>
          <t>Day</t>
        </is>
      </c>
      <c r="E21" s="3" t="inlineStr">
        <is>
          <t>ມື້</t>
        </is>
      </c>
      <c r="F21" s="3" t="n"/>
      <c r="G21" s="3">
        <f>IFERROR(__xludf.DUMMYFUNCTION("GOOGLETRANSLATE(C21,""vi"",""km"")"),"ថ្ងៃ")</f>
        <v/>
      </c>
      <c r="H21" s="217" t="inlineStr">
        <is>
          <t>ថ្ងៃ</t>
        </is>
      </c>
      <c r="J21" s="217" t="inlineStr">
        <is>
          <t>ថ្ងៃ</t>
        </is>
      </c>
      <c r="K21" s="217" t="inlineStr">
        <is>
          <t>ថ្ងៃ</t>
        </is>
      </c>
      <c r="S21" s="163" t="inlineStr">
        <is>
          <t>ថ្ងៃ</t>
        </is>
      </c>
    </row>
    <row r="22" ht="15.75" customHeight="1" s="305">
      <c r="A22" s="217" t="inlineStr">
        <is>
          <t>COMMON.HOUR</t>
        </is>
      </c>
      <c r="B22" s="153" t="inlineStr">
        <is>
          <t>小时</t>
        </is>
      </c>
      <c r="C22" s="3" t="inlineStr">
        <is>
          <t>Giờ</t>
        </is>
      </c>
      <c r="D22" s="3" t="inlineStr">
        <is>
          <t>Hour</t>
        </is>
      </c>
      <c r="E22" s="3" t="inlineStr">
        <is>
          <t>ຊົ່ວໂມງ</t>
        </is>
      </c>
      <c r="F22" s="3" t="n"/>
      <c r="G22" s="3">
        <f>IFERROR(__xludf.DUMMYFUNCTION("GOOGLETRANSLATE(C22,""vi"",""km"")"),"ម៉ោង")</f>
        <v/>
      </c>
      <c r="H22" s="217" t="inlineStr">
        <is>
          <t>ម៉ោង</t>
        </is>
      </c>
      <c r="J22" s="217" t="inlineStr">
        <is>
          <t>ម៉ោង</t>
        </is>
      </c>
      <c r="K22" s="217" t="inlineStr">
        <is>
          <t>ម៉ោង</t>
        </is>
      </c>
      <c r="S22" s="163" t="inlineStr">
        <is>
          <t>ម៉ោង</t>
        </is>
      </c>
    </row>
    <row r="23" ht="15.75" customHeight="1" s="305">
      <c r="A23" s="217" t="inlineStr">
        <is>
          <t>COMMON.OF</t>
        </is>
      </c>
      <c r="B23" s="153" t="inlineStr">
        <is>
          <t>或</t>
        </is>
      </c>
      <c r="C23" s="3" t="inlineStr">
        <is>
          <t>của</t>
        </is>
      </c>
      <c r="D23" s="3" t="inlineStr">
        <is>
          <t>of</t>
        </is>
      </c>
      <c r="E23" s="3" t="inlineStr">
        <is>
          <t>ເປັນຂອງ</t>
        </is>
      </c>
      <c r="F23" s="3" t="inlineStr">
        <is>
          <t>၏</t>
        </is>
      </c>
      <c r="G23" s="3">
        <f>IFERROR(__xludf.DUMMYFUNCTION("GOOGLETRANSLATE(C23,""vi"",""km"")"),"ជាកម្មសិទ្ធិរបស់")</f>
        <v/>
      </c>
      <c r="H23" s="217" t="inlineStr">
        <is>
          <t>របស់</t>
        </is>
      </c>
      <c r="J23" s="217" t="inlineStr">
        <is>
          <t>របស់</t>
        </is>
      </c>
      <c r="K23" s="217" t="inlineStr">
        <is>
          <t>របស់</t>
        </is>
      </c>
      <c r="S23" s="163" t="inlineStr">
        <is>
          <t>នៃ</t>
        </is>
      </c>
    </row>
    <row r="24" ht="15.75" customHeight="1" s="305">
      <c r="A24" s="217" t="inlineStr">
        <is>
          <t>DOMESTIC_ORDER.TITLE</t>
        </is>
      </c>
      <c r="B24" s="153" t="inlineStr">
        <is>
          <t>创建订单</t>
        </is>
      </c>
      <c r="C24" s="3" t="inlineStr">
        <is>
          <t>Tạo đơn</t>
        </is>
      </c>
      <c r="D24" s="3" t="inlineStr">
        <is>
          <t>Create Order</t>
        </is>
      </c>
      <c r="E24" s="3" t="inlineStr">
        <is>
          <t>ສ້າງຄໍາສັ່ງ</t>
        </is>
      </c>
      <c r="F24" s="3" t="inlineStr">
        <is>
          <t>အော်ဒါ ဖန်တီးပါ</t>
        </is>
      </c>
      <c r="G24" s="3">
        <f>IFERROR(__xludf.DUMMYFUNCTION("GOOGLETRANSLATE(C24,""vi"",""km"")"),"បង្កើតការបញ្ជាទិញ")</f>
        <v/>
      </c>
      <c r="H24" s="217" t="inlineStr">
        <is>
          <t>បង្កើតបុងបញ្ញើ</t>
        </is>
      </c>
      <c r="J24" s="217" t="inlineStr">
        <is>
          <t>បង្កើតបុងបញ្ញើ</t>
        </is>
      </c>
      <c r="K24" s="217" t="inlineStr">
        <is>
          <t>បង្កើតបុងបញ្ញើ</t>
        </is>
      </c>
      <c r="S24" s="163" t="inlineStr">
        <is>
          <t>បង្កើតលំដាប់</t>
        </is>
      </c>
    </row>
    <row r="25" ht="15.75" customHeight="1" s="305">
      <c r="A25" s="217" t="inlineStr">
        <is>
          <t>MANAGE_ORDER.TITLE</t>
        </is>
      </c>
      <c r="B25" s="153" t="inlineStr">
        <is>
          <t>订单管理</t>
        </is>
      </c>
      <c r="C25" s="3" t="inlineStr">
        <is>
          <t>Quản lý đơn</t>
        </is>
      </c>
      <c r="D25" s="3" t="inlineStr">
        <is>
          <t>Orders Management</t>
        </is>
      </c>
      <c r="E25" s="3" t="inlineStr">
        <is>
          <t>ການຈັດການຄໍາສັ່ງ</t>
        </is>
      </c>
      <c r="F25" s="3" t="inlineStr">
        <is>
          <t>အော်ဒါ စီမံခန့်ခွဲမှု</t>
        </is>
      </c>
      <c r="G25" s="3">
        <f>IFERROR(__xludf.DUMMYFUNCTION("GOOGLETRANSLATE(C25,""vi"",""km"")"),"ការគ្រប់គ្រងការបញ្ជាទិញ")</f>
        <v/>
      </c>
      <c r="H25" s="217" t="inlineStr">
        <is>
          <t>គ្រប់គ្រងបុងបញ្ញើ</t>
        </is>
      </c>
      <c r="J25" s="217" t="inlineStr">
        <is>
          <t>គ្រប់គ្រងបុងបញ្ញើ</t>
        </is>
      </c>
      <c r="K25" s="217" t="inlineStr">
        <is>
          <t>គ្រប់គ្រងបុងបញ្ញើ</t>
        </is>
      </c>
      <c r="S25" s="163" t="inlineStr">
        <is>
          <t>ការគ្រប់គ្រងការបញ្ជា</t>
        </is>
      </c>
    </row>
    <row r="26" ht="15.75" customHeight="1" s="305">
      <c r="A26" s="217" t="inlineStr">
        <is>
          <t>MANAGE_ORDER.NO_ORDER_YET</t>
        </is>
      </c>
      <c r="B26" s="153" t="inlineStr">
        <is>
          <t>暂无订单</t>
        </is>
      </c>
      <c r="C26" s="3" t="inlineStr">
        <is>
          <t>Không có đơn hàng nào!</t>
        </is>
      </c>
      <c r="D26" s="3" t="inlineStr">
        <is>
          <t>No Order Yet!</t>
        </is>
      </c>
      <c r="E26" s="3" t="inlineStr">
        <is>
          <t>ບໍ່ມີລາຍການເຄື່ອງ!</t>
        </is>
      </c>
      <c r="F26" s="3" t="inlineStr">
        <is>
          <t>အော်ဒါမရှိပါ!</t>
        </is>
      </c>
      <c r="G26" s="3">
        <f>IFERROR(__xludf.DUMMYFUNCTION("GOOGLETRANSLATE(C26,""vi"",""km"")"),"មិនបានទទួលការបញ្ជាទិញទេ!")</f>
        <v/>
      </c>
      <c r="H26" s="217" t="inlineStr">
        <is>
          <t>មិនមានបុងបញ្ញើណា</t>
        </is>
      </c>
      <c r="J26" s="217" t="inlineStr">
        <is>
          <t>មិនមានបុងបញ្ញើណា</t>
        </is>
      </c>
      <c r="K26" s="217" t="inlineStr">
        <is>
          <t>មិនមានបុងបញ្ញើណា</t>
        </is>
      </c>
      <c r="S26" s="163" t="inlineStr">
        <is>
          <t>មិនទាន់មានការបញ្ជាទេ</t>
        </is>
      </c>
    </row>
    <row r="27" ht="15.75" customHeight="1" s="305">
      <c r="A27" s="217" t="inlineStr">
        <is>
          <t>MANAGE_ORDER.ORDER</t>
        </is>
      </c>
      <c r="B27" s="153" t="inlineStr">
        <is>
          <t>订单</t>
        </is>
      </c>
      <c r="C27" s="3" t="inlineStr">
        <is>
          <t>đơn hàng</t>
        </is>
      </c>
      <c r="D27" s="3" t="inlineStr">
        <is>
          <t>Orders</t>
        </is>
      </c>
      <c r="E27" s="3" t="inlineStr">
        <is>
          <t>ຄໍາສັ່ງ</t>
        </is>
      </c>
      <c r="F27" s="3" t="inlineStr">
        <is>
          <t>အော်ဒါ</t>
        </is>
      </c>
      <c r="G27" s="3">
        <f>IFERROR(__xludf.DUMMYFUNCTION("GOOGLETRANSLATE(C27,""vi"",""km"")"),"លំដាប់")</f>
        <v/>
      </c>
      <c r="H27" s="217" t="inlineStr">
        <is>
          <t>បុងបញ្ញើ</t>
        </is>
      </c>
      <c r="J27" s="217" t="inlineStr">
        <is>
          <t>បុងបញ្ញើ</t>
        </is>
      </c>
      <c r="K27" s="217" t="inlineStr">
        <is>
          <t>បុងបញ្ញើ</t>
        </is>
      </c>
      <c r="S27" s="163" t="inlineStr">
        <is>
          <t>ការបញ្ជាទិញ</t>
        </is>
      </c>
    </row>
    <row r="28" ht="15.75" customHeight="1" s="305">
      <c r="A28" s="217" t="inlineStr">
        <is>
          <t>MANAGE_ORDER.TODAY</t>
        </is>
      </c>
      <c r="B28" s="153" t="inlineStr">
        <is>
          <t>今天</t>
        </is>
      </c>
      <c r="C28" s="3" t="inlineStr">
        <is>
          <t>Hôm nay</t>
        </is>
      </c>
      <c r="D28" s="3" t="inlineStr">
        <is>
          <t>To day</t>
        </is>
      </c>
      <c r="E28" s="3" t="inlineStr">
        <is>
          <t>ມື້ນີ້</t>
        </is>
      </c>
      <c r="F28" s="3" t="inlineStr">
        <is>
          <t>ဒီနေ့</t>
        </is>
      </c>
      <c r="G28" s="3">
        <f>IFERROR(__xludf.DUMMYFUNCTION("GOOGLETRANSLATE(C28,""vi"",""km"")"),"ថ្ងៃនេះ")</f>
        <v/>
      </c>
      <c r="H28" s="217" t="inlineStr">
        <is>
          <t>ថ្ងៃនេះ</t>
        </is>
      </c>
      <c r="J28" s="217" t="inlineStr">
        <is>
          <t>ថ្ងៃនេះ</t>
        </is>
      </c>
      <c r="K28" s="217" t="inlineStr">
        <is>
          <t>ថ្ងៃនេះ</t>
        </is>
      </c>
      <c r="S28" s="163" t="inlineStr">
        <is>
          <t>ថ្ងៃនេះ</t>
        </is>
      </c>
    </row>
    <row r="29" ht="15.75" customHeight="1" s="305">
      <c r="A29" s="217" t="inlineStr">
        <is>
          <t>MANAGE_ORDER.YESTERDAY</t>
        </is>
      </c>
      <c r="B29" s="153" t="inlineStr">
        <is>
          <t>昨天</t>
        </is>
      </c>
      <c r="C29" s="3" t="inlineStr">
        <is>
          <t>Hôm qua</t>
        </is>
      </c>
      <c r="D29" s="3" t="inlineStr">
        <is>
          <t>Yesterday</t>
        </is>
      </c>
      <c r="E29" s="3" t="inlineStr">
        <is>
          <t>ມື້ວານນີ້</t>
        </is>
      </c>
      <c r="F29" s="3" t="inlineStr">
        <is>
          <t>မနေ့က</t>
        </is>
      </c>
      <c r="G29" s="3">
        <f>IFERROR(__xludf.DUMMYFUNCTION("GOOGLETRANSLATE(C29,""vi"",""km"")"),"ម្សិលមិញ")</f>
        <v/>
      </c>
      <c r="H29" s="217" t="inlineStr">
        <is>
          <t>ម្សិលមិញ</t>
        </is>
      </c>
      <c r="J29" s="217" t="inlineStr">
        <is>
          <t>ម្សិលមិញ</t>
        </is>
      </c>
      <c r="K29" s="217" t="inlineStr">
        <is>
          <t>ម្សិលមិញ</t>
        </is>
      </c>
      <c r="S29" s="163" t="inlineStr">
        <is>
          <t>ម្សិលមិញ</t>
        </is>
      </c>
    </row>
    <row r="30" ht="15.75" customHeight="1" s="305">
      <c r="A30" s="217" t="inlineStr">
        <is>
          <t>MANAGE_ORDER.THIS_MONTH</t>
        </is>
      </c>
      <c r="B30" s="153" t="inlineStr">
        <is>
          <t>本月</t>
        </is>
      </c>
      <c r="C30" s="3" t="inlineStr">
        <is>
          <t>Tháng này</t>
        </is>
      </c>
      <c r="D30" s="3" t="inlineStr">
        <is>
          <t>This month</t>
        </is>
      </c>
      <c r="E30" s="3" t="inlineStr">
        <is>
          <t>ເດືອນນີ້</t>
        </is>
      </c>
      <c r="F30" s="3" t="inlineStr">
        <is>
          <t>ဒီလမှာ</t>
        </is>
      </c>
      <c r="G30" s="3">
        <f>IFERROR(__xludf.DUMMYFUNCTION("GOOGLETRANSLATE(C30,""vi"",""km"")"),"ខែនេះ")</f>
        <v/>
      </c>
      <c r="H30" s="217" t="inlineStr">
        <is>
          <t>ខែនេះ</t>
        </is>
      </c>
      <c r="J30" s="217" t="inlineStr">
        <is>
          <t>ខែនេះ</t>
        </is>
      </c>
      <c r="K30" s="217" t="inlineStr">
        <is>
          <t>ខែនេះ</t>
        </is>
      </c>
      <c r="S30" s="163" t="inlineStr">
        <is>
          <t>ខែនេះ</t>
        </is>
      </c>
    </row>
    <row r="31" ht="15.75" customHeight="1" s="305">
      <c r="A31" s="217" t="inlineStr">
        <is>
          <t>MANAGE_ORDER.SEVEN_DAY_AGO</t>
        </is>
      </c>
      <c r="B31" s="153" t="inlineStr">
        <is>
          <t>近7天</t>
        </is>
      </c>
      <c r="C31" s="3" t="inlineStr">
        <is>
          <t>7 ngày trước</t>
        </is>
      </c>
      <c r="D31" s="3" t="inlineStr">
        <is>
          <t>7 days ago</t>
        </is>
      </c>
      <c r="E31" s="3" t="inlineStr">
        <is>
          <t>7 ມື້ກ່ອນຫນ້ານີ້</t>
        </is>
      </c>
      <c r="F31" s="3" t="inlineStr">
        <is>
          <t>လွန်ခဲ့တဲ့ ၇ ရက်က</t>
        </is>
      </c>
      <c r="G31" s="3">
        <f>IFERROR(__xludf.DUMMYFUNCTION("GOOGLETRANSLATE(C31,""vi"",""km"")"),"៧ ថ្ងៃមុន")</f>
        <v/>
      </c>
      <c r="H31" s="217" t="inlineStr">
        <is>
          <t>7ថ្ងៃមុន</t>
        </is>
      </c>
      <c r="J31" s="217" t="inlineStr">
        <is>
          <t>7ថ្ងៃមុន</t>
        </is>
      </c>
      <c r="K31" s="217" t="inlineStr">
        <is>
          <t>7ថ្ងៃមុន</t>
        </is>
      </c>
      <c r="S31" s="163" t="inlineStr">
        <is>
          <t>7 ថ្ងៃមុន</t>
        </is>
      </c>
    </row>
    <row r="32" ht="15.75" customHeight="1" s="305">
      <c r="A32" s="217" t="inlineStr">
        <is>
          <t>MANAGE_ORDER.FOURTEEN_DAY_AGO</t>
        </is>
      </c>
      <c r="B32" s="153" t="inlineStr">
        <is>
          <t>近14天</t>
        </is>
      </c>
      <c r="C32" s="3" t="inlineStr">
        <is>
          <t>14 ngày trước</t>
        </is>
      </c>
      <c r="D32" s="3" t="inlineStr">
        <is>
          <t>14 days ago</t>
        </is>
      </c>
      <c r="E32" s="3" t="inlineStr">
        <is>
          <t>14 ມື້ກ່ອນຫນ້ານີ້</t>
        </is>
      </c>
      <c r="F32" s="3" t="inlineStr">
        <is>
          <t>လွန်ခဲ့တဲ့ ၁၄ ရက်က</t>
        </is>
      </c>
      <c r="G32" s="3">
        <f>IFERROR(__xludf.DUMMYFUNCTION("GOOGLETRANSLATE(C32,""vi"",""km"")"),"១៤ថ្ងៃមុន")</f>
        <v/>
      </c>
      <c r="H32" s="217" t="inlineStr">
        <is>
          <t>14ថ្ងៃមុន</t>
        </is>
      </c>
      <c r="J32" s="217" t="inlineStr">
        <is>
          <t>14ថ្ងៃមុន</t>
        </is>
      </c>
      <c r="K32" s="217" t="inlineStr">
        <is>
          <t>14ថ្ងៃមុន</t>
        </is>
      </c>
      <c r="S32" s="163" t="inlineStr">
        <is>
          <t>14 ថ្ងៃមុន</t>
        </is>
      </c>
    </row>
    <row r="33" ht="15.75" customHeight="1" s="305">
      <c r="A33" s="217" t="inlineStr">
        <is>
          <t>MANAGE_ORDER.THIRTY_DAY_AGO</t>
        </is>
      </c>
      <c r="B33" s="153" t="inlineStr">
        <is>
          <t>近30天</t>
        </is>
      </c>
      <c r="C33" s="3" t="inlineStr">
        <is>
          <t>30 ngày trước</t>
        </is>
      </c>
      <c r="D33" s="3" t="inlineStr">
        <is>
          <t>30 days ago</t>
        </is>
      </c>
      <c r="E33" s="3" t="inlineStr">
        <is>
          <t>30 ມື້ກ່ອນ</t>
        </is>
      </c>
      <c r="F33" s="3" t="inlineStr">
        <is>
          <t>လွန်ခဲ့တဲ့ ရက် ၃၀ က</t>
        </is>
      </c>
      <c r="G33" s="3">
        <f>IFERROR(__xludf.DUMMYFUNCTION("GOOGLETRANSLATE(C33,""vi"",""km"")"),"៣០ថ្ងៃមុន")</f>
        <v/>
      </c>
      <c r="H33" s="217" t="inlineStr">
        <is>
          <t>30ថ្ងៃមុន</t>
        </is>
      </c>
      <c r="J33" s="217" t="inlineStr">
        <is>
          <t>30ថ្ងៃមុន</t>
        </is>
      </c>
      <c r="K33" s="217" t="inlineStr">
        <is>
          <t>30ថ្ងៃមុន</t>
        </is>
      </c>
      <c r="S33" s="163" t="inlineStr">
        <is>
          <t>30 ថ្ងៃមុន</t>
        </is>
      </c>
    </row>
    <row r="34" ht="15.75" customHeight="1" s="305">
      <c r="A34" s="217" t="inlineStr">
        <is>
          <t>MANAGE_ORDER.LAST_MONTH</t>
        </is>
      </c>
      <c r="B34" s="153" t="inlineStr">
        <is>
          <t>上月</t>
        </is>
      </c>
      <c r="C34" s="3" t="inlineStr">
        <is>
          <t>Tháng trước</t>
        </is>
      </c>
      <c r="D34" s="3" t="inlineStr">
        <is>
          <t>Last month</t>
        </is>
      </c>
      <c r="E34" s="3" t="inlineStr">
        <is>
          <t>ເດືອນທີ່ຜ່ານມາ</t>
        </is>
      </c>
      <c r="F34" s="3" t="inlineStr">
        <is>
          <t xml:space="preserve"> လွန်ခဲ့ပြီးခဲ့တဲ့လက</t>
        </is>
      </c>
      <c r="G34" s="3">
        <f>IFERROR(__xludf.DUMMYFUNCTION("GOOGLETRANSLATE(C34,""vi"",""km"")"),"ខែមុន")</f>
        <v/>
      </c>
      <c r="H34" s="217" t="inlineStr">
        <is>
          <t>ខែមុន</t>
        </is>
      </c>
      <c r="J34" s="217" t="inlineStr">
        <is>
          <t>ខែមុន</t>
        </is>
      </c>
      <c r="K34" s="217" t="inlineStr">
        <is>
          <t>ខែមុន</t>
        </is>
      </c>
      <c r="S34" s="163" t="inlineStr">
        <is>
          <t>ខែមុន</t>
        </is>
      </c>
    </row>
    <row r="35" ht="15.75" customHeight="1" s="305">
      <c r="A35" s="217" t="inlineStr">
        <is>
          <t>MANAGE_ORDER.OPTIONAL</t>
        </is>
      </c>
      <c r="B35" s="153" t="inlineStr">
        <is>
          <t>自选</t>
        </is>
      </c>
      <c r="C35" s="3" t="inlineStr">
        <is>
          <t>Tuỳ chọn</t>
        </is>
      </c>
      <c r="D35" s="3" t="inlineStr">
        <is>
          <t>optional</t>
        </is>
      </c>
      <c r="E35" s="3" t="inlineStr">
        <is>
          <t>ທາງເລືອກ</t>
        </is>
      </c>
      <c r="F35" s="3" t="inlineStr">
        <is>
          <t>ရွေးချယ်စရာ</t>
        </is>
      </c>
      <c r="G35" s="3">
        <f>IFERROR(__xludf.DUMMYFUNCTION("GOOGLETRANSLATE(C35,""vi"",""km"")"),"ជម្រើស")</f>
        <v/>
      </c>
      <c r="H35" s="217" t="inlineStr">
        <is>
          <t>ជម្រើស</t>
        </is>
      </c>
      <c r="J35" s="217" t="inlineStr">
        <is>
          <t>ជម្រើស</t>
        </is>
      </c>
      <c r="K35" s="217" t="inlineStr">
        <is>
          <t>ជម្រើស</t>
        </is>
      </c>
      <c r="S35" s="163" t="inlineStr">
        <is>
          <t>ជម្រើស</t>
        </is>
      </c>
    </row>
    <row r="36" ht="15.75" customHeight="1" s="305">
      <c r="A36" s="217" t="inlineStr">
        <is>
          <t>MANAGE_ORDER.TIME_FILTERATION</t>
        </is>
      </c>
      <c r="B36" s="153" t="inlineStr">
        <is>
          <t>时间筛选</t>
        </is>
      </c>
      <c r="C36" s="3" t="inlineStr">
        <is>
          <t>Bộ lọc thời gian</t>
        </is>
      </c>
      <c r="D36" s="3" t="inlineStr">
        <is>
          <t>Time Filter</t>
        </is>
      </c>
      <c r="E36" s="3" t="inlineStr">
        <is>
          <t>ການກັ່ນຕອງເວລາ</t>
        </is>
      </c>
      <c r="F36" s="3" t="inlineStr">
        <is>
          <t>အချိန်ဖြည့်စွက်ပေးသူ</t>
        </is>
      </c>
      <c r="G36" s="3">
        <f>IFERROR(__xludf.DUMMYFUNCTION("GOOGLETRANSLATE(C36,""vi"",""km"")"),"តម្រងពេលវេលា")</f>
        <v/>
      </c>
      <c r="H36" s="3" t="inlineStr">
        <is>
          <t>ជ្រើសរើសពេលវេលា</t>
        </is>
      </c>
      <c r="J36" s="217" t="inlineStr">
        <is>
          <t>ជ្រើសរើសពេលវេលា</t>
        </is>
      </c>
      <c r="K36" s="217" t="inlineStr">
        <is>
          <t>ជ្រើសរើសពេលវេលា</t>
        </is>
      </c>
      <c r="S36" s="163" t="inlineStr">
        <is>
          <t>តម្រងពេលវេលា</t>
        </is>
      </c>
    </row>
    <row r="37" ht="15.75" customHeight="1" s="305">
      <c r="A37" s="217" t="inlineStr">
        <is>
          <t>MANAGE_ORDER.ALL_STATUS</t>
        </is>
      </c>
      <c r="B37" s="153" t="inlineStr">
        <is>
          <t>全部状态</t>
        </is>
      </c>
      <c r="C37" s="3" t="inlineStr">
        <is>
          <t>Tất cả trạng thái</t>
        </is>
      </c>
      <c r="D37" s="3" t="inlineStr">
        <is>
          <t>All status</t>
        </is>
      </c>
      <c r="E37" s="3" t="inlineStr">
        <is>
          <t>ສະຖານະທັງໝົດ</t>
        </is>
      </c>
      <c r="F37" s="3" t="inlineStr">
        <is>
          <t>အခြေအနေအားလုံး</t>
        </is>
      </c>
      <c r="G37" s="3">
        <f>IFERROR(__xludf.DUMMYFUNCTION("GOOGLETRANSLATE(C37,""vi"",""km"")"),"រដ្ឋទាំងអស់")</f>
        <v/>
      </c>
      <c r="H37" s="217" t="inlineStr">
        <is>
          <t>ស្ថានភាពទាំងអស់</t>
        </is>
      </c>
      <c r="J37" s="217" t="inlineStr">
        <is>
          <t>ស្ថានភាពទាំងអស់</t>
        </is>
      </c>
      <c r="K37" s="217" t="inlineStr">
        <is>
          <t>ស្ថានភាពទាំងអស់</t>
        </is>
      </c>
      <c r="S37" s="163" t="inlineStr">
        <is>
          <t>ស្ថានភាពទាំងអស់</t>
        </is>
      </c>
    </row>
    <row r="38" ht="15.75" customHeight="1" s="305">
      <c r="A38" s="217" t="inlineStr">
        <is>
          <t>MANAGE_ORDER.ALL_WAREHOUSE</t>
        </is>
      </c>
      <c r="B38" s="153" t="inlineStr">
        <is>
          <t>全部仓库</t>
        </is>
      </c>
      <c r="C38" s="3" t="inlineStr">
        <is>
          <t>Tất cả các kho</t>
        </is>
      </c>
      <c r="D38" s="3" t="inlineStr">
        <is>
          <t>All warehouse</t>
        </is>
      </c>
      <c r="E38" s="3" t="inlineStr">
        <is>
          <t>ສາງທັງໝົດ</t>
        </is>
      </c>
      <c r="F38" s="3" t="inlineStr">
        <is>
          <t>ကုန်လှောင်ရုံအားလုံး</t>
        </is>
      </c>
      <c r="G38" s="3">
        <f>IFERROR(__xludf.DUMMYFUNCTION("GOOGLETRANSLATE(C38,""vi"",""km"")"),"ឃ្លាំងទាំងអស់")</f>
        <v/>
      </c>
      <c r="H38" s="217" t="inlineStr">
        <is>
          <t>ឃ្លាំងអីវ៉ាន់ទាំងអស់</t>
        </is>
      </c>
      <c r="J38" s="217" t="inlineStr">
        <is>
          <t>ឃ្លាំងអីវ៉ាន់ទាំងអស់</t>
        </is>
      </c>
      <c r="K38" s="217" t="inlineStr">
        <is>
          <t>ឃ្លាំងអីវ៉ាន់ទាំងអស់</t>
        </is>
      </c>
      <c r="S38" s="163" t="inlineStr">
        <is>
          <t>ឃ្លាំងទាំងអស់</t>
        </is>
      </c>
    </row>
    <row r="39" ht="15.75" customHeight="1" s="305">
      <c r="A39" s="217" t="inlineStr">
        <is>
          <t>MANAGE_ORDER.PLEASE_SELECT_OPTIONAL_TIME</t>
        </is>
      </c>
      <c r="B39" s="153" t="inlineStr">
        <is>
          <t>请选择时间</t>
        </is>
      </c>
      <c r="C39" s="3" t="inlineStr">
        <is>
          <t>Vui lòng chọn thời gian tùy chọn</t>
        </is>
      </c>
      <c r="D39" s="3" t="inlineStr">
        <is>
          <t>Please select optional time</t>
        </is>
      </c>
      <c r="E39" s="3" t="inlineStr">
        <is>
          <t>ກະລຸນາເລືອກຕົວເລືອກເວລາ</t>
        </is>
      </c>
      <c r="F39" s="3" t="inlineStr">
        <is>
          <t>ကျေးဇူးပြု၍ ရွေးချယ်ချိန်ကို ရွေးပါ</t>
        </is>
      </c>
      <c r="G39" s="3">
        <f>IFERROR(__xludf.DUMMYFUNCTION("GOOGLETRANSLATE(C39,""vi"",""km"")"),"សូមជ្រើសរើសពេលវេលាដែលអ្នកពេញចិត្ត។")</f>
        <v/>
      </c>
      <c r="H39" s="217" t="inlineStr">
        <is>
          <t>សូមជ្រើសរើសពេលវេលាដែលអ្នកពេញចិត្ត</t>
        </is>
      </c>
      <c r="J39" s="217" t="inlineStr">
        <is>
          <t>សូមជ្រើសរើសពេលវេលាដែលអ្នកពេញចិត្ត</t>
        </is>
      </c>
      <c r="K39" s="217" t="inlineStr">
        <is>
          <t>សូមជ្រើសរើសពេលវេលាដែលអ្នកពេញចិត្ត</t>
        </is>
      </c>
      <c r="S39" s="163" t="inlineStr">
        <is>
          <t>សូមជ្រើសរើសពេលវេលា</t>
        </is>
      </c>
    </row>
    <row r="40" ht="15.75" customHeight="1" s="305">
      <c r="A40" s="217" t="inlineStr">
        <is>
          <t>MANAGE_ORDER.SELECT_ORDER</t>
        </is>
      </c>
      <c r="B40" s="153" t="inlineStr">
        <is>
          <t>选择订单</t>
        </is>
      </c>
      <c r="C40" s="3" t="inlineStr">
        <is>
          <t>Chọn đơn hàng</t>
        </is>
      </c>
      <c r="D40" s="3" t="inlineStr">
        <is>
          <t>Select order</t>
        </is>
      </c>
      <c r="E40" s="3" t="inlineStr">
        <is>
          <t>ເລືອກຄໍາສັ່ງ</t>
        </is>
      </c>
      <c r="F40" s="3" t="inlineStr">
        <is>
          <t>အော်ဒါကို ရွေးချယ်ပါ</t>
        </is>
      </c>
      <c r="G40" s="3">
        <f>IFERROR(__xludf.DUMMYFUNCTION("GOOGLETRANSLATE(C40,""vi"",""km"")"),"ជ្រើសរើសការបញ្ជាទិញ")</f>
        <v/>
      </c>
      <c r="H40" s="217" t="inlineStr">
        <is>
          <t>ជ្រើសរើសបុងបញ្ញើ</t>
        </is>
      </c>
      <c r="J40" s="217" t="inlineStr">
        <is>
          <t>ជ្រើសរើសបុងបញ្ញើ</t>
        </is>
      </c>
      <c r="K40" s="217" t="inlineStr">
        <is>
          <t>ជ្រើសរើសបុងបញ្ញើ</t>
        </is>
      </c>
      <c r="S40" s="163" t="inlineStr">
        <is>
          <t>ជ្រើសរើសលំដាប់</t>
        </is>
      </c>
    </row>
    <row r="41" ht="15.75" customHeight="1" s="305">
      <c r="A41" s="217" t="inlineStr">
        <is>
          <t>MANAGE_ORDER.ACTION_APPROVE_ORDER</t>
        </is>
      </c>
      <c r="B41" s="153" t="inlineStr">
        <is>
          <t>审核订单</t>
        </is>
      </c>
      <c r="C41" s="3" t="inlineStr">
        <is>
          <t>Duyệt đơn</t>
        </is>
      </c>
      <c r="D41" s="3" t="inlineStr">
        <is>
          <t>Approve order</t>
        </is>
      </c>
      <c r="E41" s="3" t="inlineStr">
        <is>
          <t>ຊອກຫາຄໍາສັ່ງ</t>
        </is>
      </c>
      <c r="F41" s="3" t="inlineStr">
        <is>
          <t>အော်ဒါခွင့်ပြုချက်</t>
        </is>
      </c>
      <c r="G41" s="3">
        <f>IFERROR(__xludf.DUMMYFUNCTION("GOOGLETRANSLATE(C41,""vi"",""km"")"),"ពិនិត្យមើលពាក្យសុំ")</f>
        <v/>
      </c>
      <c r="H41" s="217" t="inlineStr">
        <is>
          <t>អនុម័តចេញបុងបញ្ញើ</t>
        </is>
      </c>
      <c r="J41" s="217" t="inlineStr">
        <is>
          <t>អនុម័តចេញបុងបញ្ញើ</t>
        </is>
      </c>
      <c r="K41" s="217" t="inlineStr">
        <is>
          <t>អនុម័តចេញបុងបញ្ញើ</t>
        </is>
      </c>
      <c r="S41" s="163" t="inlineStr">
        <is>
          <t>អនុម័តការបញ្ជា</t>
        </is>
      </c>
    </row>
    <row r="42" ht="15.75" customHeight="1" s="305">
      <c r="A42" s="217" t="inlineStr">
        <is>
          <t>MANAGE_ORDER.ACTION_EDIT_INFO</t>
        </is>
      </c>
      <c r="B42" s="153" t="inlineStr">
        <is>
          <t>编辑订单</t>
        </is>
      </c>
      <c r="C42" s="3" t="inlineStr">
        <is>
          <t>Sửa đơn</t>
        </is>
      </c>
      <c r="D42" s="3" t="inlineStr">
        <is>
          <t>Edit order</t>
        </is>
      </c>
      <c r="E42" s="3" t="inlineStr">
        <is>
          <t>ແກ້ໄຂບິນ</t>
        </is>
      </c>
      <c r="F42" s="3" t="inlineStr">
        <is>
          <t>အော်ဒါကို ထုတ်ဝေပါ</t>
        </is>
      </c>
      <c r="G42" s="3">
        <f>IFERROR(__xludf.DUMMYFUNCTION("GOOGLETRANSLATE(C42,""vi"",""km"")"),"កែសម្រួលការបញ្ជាទិញ")</f>
        <v/>
      </c>
      <c r="H42" s="217" t="inlineStr">
        <is>
          <t>កែប្រែបុងបញ្ញើ</t>
        </is>
      </c>
      <c r="J42" s="217" t="inlineStr">
        <is>
          <t>កែប្រែបុងបញ្ញើ</t>
        </is>
      </c>
      <c r="K42" s="217" t="inlineStr">
        <is>
          <t>កែប្រែបុងបញ្ញើ</t>
        </is>
      </c>
      <c r="S42" s="163" t="inlineStr">
        <is>
          <t>កែសម្រួលការបញ្ជា</t>
        </is>
      </c>
    </row>
    <row r="43" ht="15.75" customHeight="1" s="305">
      <c r="A43" s="217" t="inlineStr">
        <is>
          <t>MANAGE_ORDER.ACTION_CANCEL</t>
        </is>
      </c>
      <c r="B43" s="153" t="inlineStr">
        <is>
          <t>取消订单</t>
        </is>
      </c>
      <c r="C43" s="3" t="inlineStr">
        <is>
          <t>Hủy đơn</t>
        </is>
      </c>
      <c r="D43" s="3" t="inlineStr">
        <is>
          <t>Cancel order</t>
        </is>
      </c>
      <c r="E43" s="3" t="inlineStr">
        <is>
          <t>ຍົກເລີກບິນ</t>
        </is>
      </c>
      <c r="F43" s="3" t="inlineStr">
        <is>
          <t>အော်ဒါကို ဖျက်သိမ်းပါ</t>
        </is>
      </c>
      <c r="G43" s="3">
        <f>IFERROR(__xludf.DUMMYFUNCTION("GOOGLETRANSLATE(C43,""vi"",""km"")"),"លុបចោលការបញ្ជាទិញ")</f>
        <v/>
      </c>
      <c r="H43" s="217" t="inlineStr">
        <is>
          <t>លុបចោលបុងបញ្ញើ</t>
        </is>
      </c>
      <c r="J43" s="217" t="inlineStr">
        <is>
          <t>លុបបុងចោល</t>
        </is>
      </c>
      <c r="K43" s="217" t="inlineStr">
        <is>
          <t>លុបបុងចោល</t>
        </is>
      </c>
      <c r="S43" s="163" t="inlineStr">
        <is>
          <t>បោះបង់ការបញ្ជា</t>
        </is>
      </c>
    </row>
    <row r="44" ht="15.75" customHeight="1" s="305">
      <c r="A44" s="217" t="inlineStr">
        <is>
          <t>MANAGE_ORDER.ACTION_RETURN</t>
        </is>
      </c>
      <c r="B44" s="153" t="inlineStr">
        <is>
          <t>退货</t>
        </is>
      </c>
      <c r="C44" s="3" t="inlineStr">
        <is>
          <t>Hoàn đơn</t>
        </is>
      </c>
      <c r="D44" s="3" t="inlineStr">
        <is>
          <t>Return</t>
        </is>
      </c>
      <c r="E44" s="3" t="inlineStr">
        <is>
          <t>ຕີກັບເຄື່ອງ</t>
        </is>
      </c>
      <c r="F44" s="3" t="inlineStr">
        <is>
          <t>ပြန််လည်ပို့ပေး</t>
        </is>
      </c>
      <c r="G44" s="3">
        <f>IFERROR(__xludf.DUMMYFUNCTION("GOOGLETRANSLATE(C44,""vi"",""km"")"),"សងប្រាក់វិញ")</f>
        <v/>
      </c>
      <c r="H44" s="217" t="inlineStr">
        <is>
          <t>ត្រលប់បុងបញ្ញើ</t>
        </is>
      </c>
      <c r="J44" s="217" t="inlineStr">
        <is>
          <t>ត្រលប់បុងបញ្ញើ</t>
        </is>
      </c>
      <c r="K44" s="217" t="inlineStr">
        <is>
          <t>ត្រលប់បុងបញ្ញើ</t>
        </is>
      </c>
      <c r="S44" s="163" t="inlineStr">
        <is>
          <t>ត្រឡប់មកវិញ</t>
        </is>
      </c>
    </row>
    <row r="45" ht="15.75" customHeight="1" s="305">
      <c r="A45" s="217" t="inlineStr">
        <is>
          <t>MANAGE_ORDER.ACTION_FORWARD</t>
        </is>
      </c>
      <c r="B45" s="153" t="inlineStr">
        <is>
          <t>转移订单</t>
        </is>
      </c>
      <c r="C45" s="3" t="inlineStr">
        <is>
          <t>Forward đơn</t>
        </is>
      </c>
      <c r="D45" s="3" t="inlineStr">
        <is>
          <t>Forward Order</t>
        </is>
      </c>
      <c r="E45" s="3" t="inlineStr">
        <is>
          <t>ສົ່ງຕໍ່ເຄື່ອງ</t>
        </is>
      </c>
      <c r="F45" s="3" t="inlineStr">
        <is>
          <t>ရှေ့ပြေးအော်ဒါ</t>
        </is>
      </c>
      <c r="G45" s="3">
        <f>IFERROR(__xludf.DUMMYFUNCTION("GOOGLETRANSLATE(C45,""vi"",""km"")"),"ការបញ្ជាទិញដំបូង")</f>
        <v/>
      </c>
      <c r="J45" s="217" t="inlineStr">
        <is>
          <t>បញ្ជាបន្ត</t>
        </is>
      </c>
      <c r="K45" s="217" t="inlineStr">
        <is>
          <t>បញ្ជាបន្ត</t>
        </is>
      </c>
      <c r="S45" s="163" t="inlineStr">
        <is>
          <t>បញ្ជាបន្ត</t>
        </is>
      </c>
    </row>
    <row r="46" ht="15.75" customHeight="1" s="305">
      <c r="A46" s="217" t="inlineStr">
        <is>
          <t>MANAGE_ORDER.ACTION_REDELIVERY</t>
        </is>
      </c>
      <c r="B46" s="153" t="inlineStr">
        <is>
          <t>重新配送</t>
        </is>
      </c>
      <c r="C46" s="3" t="inlineStr">
        <is>
          <t>Redelivery đơn</t>
        </is>
      </c>
      <c r="D46" s="3" t="inlineStr">
        <is>
          <t>ReDelivery</t>
        </is>
      </c>
      <c r="E46" s="3" t="inlineStr">
        <is>
          <t>ສົ່ງອີກ</t>
        </is>
      </c>
      <c r="F46" s="3" t="inlineStr">
        <is>
          <t>ပြန်လည်ပို့ဆောင်ခြင်း။</t>
        </is>
      </c>
      <c r="G46" s="3">
        <f>IFERROR(__xludf.DUMMYFUNCTION("GOOGLETRANSLATE(C46,""vi"",""km"")"),"ការដឹកជញ្ជូនឡើងវិញតែមួយដង")</f>
        <v/>
      </c>
      <c r="H46" s="217" t="inlineStr">
        <is>
          <t>ដឹកជញ្ជូនបុងបញ្ញើឡើងវិញ</t>
        </is>
      </c>
      <c r="J46" s="217" t="inlineStr">
        <is>
          <t>ដឹកជញ្ជូនបុងបញ្ញើឡើងវិញ</t>
        </is>
      </c>
      <c r="K46" s="217" t="inlineStr">
        <is>
          <t>ដឹកជញ្ជូនបុងបញ្ញើឡើងវិញ</t>
        </is>
      </c>
      <c r="S46" s="163" t="inlineStr">
        <is>
          <t>ការដឹកជញ្ជូនឡើងវិញ</t>
        </is>
      </c>
    </row>
    <row r="47" ht="15.75" customHeight="1" s="305">
      <c r="A47" s="217" t="inlineStr">
        <is>
          <t>MANAGE_ORDER.ACTION_CHAT_CSKH</t>
        </is>
      </c>
      <c r="B47" s="153" t="inlineStr">
        <is>
          <t>官方客户</t>
        </is>
      </c>
      <c r="C47" s="3" t="inlineStr">
        <is>
          <t>Chat CSKH</t>
        </is>
      </c>
      <c r="D47" s="3" t="inlineStr">
        <is>
          <t>Customer Chat</t>
        </is>
      </c>
      <c r="E47" s="3" t="inlineStr">
        <is>
          <t>ແຊັດກັບພາກສ່ວນບໍລິການລູກຄ້າ</t>
        </is>
      </c>
      <c r="F47" s="3" t="inlineStr">
        <is>
          <t>ဖောက်သည် ချတ်</t>
        </is>
      </c>
      <c r="G47" s="3">
        <f>IFERROR(__xludf.DUMMYFUNCTION("GOOGLETRANSLATE(C47,""vi"",""km"")"),"ជជែកជាមួយសេវាបម្រើអតិថិជន")</f>
        <v/>
      </c>
      <c r="H47" s="217" t="inlineStr">
        <is>
          <t>ឆាតថែទាំអតិថិជន</t>
        </is>
      </c>
      <c r="J47" s="217" t="inlineStr">
        <is>
          <t>ឆាតថែទាំអតិថិជន</t>
        </is>
      </c>
      <c r="K47" s="217" t="inlineStr">
        <is>
          <t>ឆាតថែទាំអតិថិជន</t>
        </is>
      </c>
      <c r="S47" s="163" t="inlineStr">
        <is>
          <t>ការជជែកអតិថិជន</t>
        </is>
      </c>
    </row>
    <row r="48" ht="15.75" customHeight="1" s="305">
      <c r="A48" s="217" t="inlineStr">
        <is>
          <t>MANAGE_ORDER.ACTION_COPY_ORDER</t>
        </is>
      </c>
      <c r="B48" s="153" t="inlineStr">
        <is>
          <t>复制订单</t>
        </is>
      </c>
      <c r="C48" s="3" t="inlineStr">
        <is>
          <t>Copy đơn</t>
        </is>
      </c>
      <c r="D48" s="3" t="inlineStr">
        <is>
          <t>Copy order</t>
        </is>
      </c>
      <c r="E48" s="3" t="inlineStr">
        <is>
          <t>ສຳເນົາບິນ</t>
        </is>
      </c>
      <c r="F48" s="3" t="inlineStr">
        <is>
          <t>အော်ဒါကူးယူမည်</t>
        </is>
      </c>
      <c r="G48" s="3">
        <f>IFERROR(__xludf.DUMMYFUNCTION("GOOGLETRANSLATE(C48,""vi"",""km"")"),"ចម្លងការបញ្ជាទិញ")</f>
        <v/>
      </c>
      <c r="H48" s="217" t="inlineStr">
        <is>
          <t>ចម្លងបុងបញ្ញើ</t>
        </is>
      </c>
      <c r="J48" s="217" t="inlineStr">
        <is>
          <t>ចម្លងបុងបញ្ញើ</t>
        </is>
      </c>
      <c r="K48" s="217" t="inlineStr">
        <is>
          <t>ចម្លងបុងបញ្ញើ</t>
        </is>
      </c>
      <c r="S48" s="163" t="inlineStr">
        <is>
          <t>ចម្លងលំដាប់</t>
        </is>
      </c>
    </row>
    <row r="49" ht="15.75" customHeight="1" s="305">
      <c r="A49" s="217" t="inlineStr">
        <is>
          <t>MANAGE_ORDER.ACTION_SAVE_TEMPLATE</t>
        </is>
      </c>
      <c r="B49" s="153" t="inlineStr">
        <is>
          <t>存为模版</t>
        </is>
      </c>
      <c r="C49" s="3" t="inlineStr">
        <is>
          <t>Lưu mẫu</t>
        </is>
      </c>
      <c r="D49" s="3" t="inlineStr">
        <is>
          <t>Save template</t>
        </is>
      </c>
      <c r="E49" s="3" t="inlineStr">
        <is>
          <t>ບັນທຶກແມ່ແບບ</t>
        </is>
      </c>
      <c r="F49" s="3" t="inlineStr">
        <is>
          <t>ပုံအားသိမ်းဆည်းမည်</t>
        </is>
      </c>
      <c r="G49" s="3">
        <f>IFERROR(__xludf.DUMMYFUNCTION("GOOGLETRANSLATE(C49,""vi"",""km"")"),"ការផ្ទុកគំរូ")</f>
        <v/>
      </c>
      <c r="H49" s="217" t="inlineStr">
        <is>
          <t>រក្សាទុកគម្រូ</t>
        </is>
      </c>
      <c r="J49" s="217" t="inlineStr">
        <is>
          <t>រក្សាទុកគម្រូ</t>
        </is>
      </c>
      <c r="K49" s="217" t="inlineStr">
        <is>
          <t>រក្សាទុកគម្រូ</t>
        </is>
      </c>
      <c r="S49" s="163" t="inlineStr">
        <is>
          <t>រក្សាទុកគំរូ</t>
        </is>
      </c>
    </row>
    <row r="50" ht="15.75" customHeight="1" s="305">
      <c r="A50" s="217" t="inlineStr">
        <is>
          <t>MANAGE_ORDER.ACTION_ORDER_JOURNEY</t>
        </is>
      </c>
      <c r="B50" s="153" t="inlineStr">
        <is>
          <t>物流</t>
        </is>
      </c>
      <c r="C50" s="3" t="inlineStr">
        <is>
          <t>Hành trình</t>
        </is>
      </c>
      <c r="D50" s="3" t="inlineStr">
        <is>
          <t>Order journey</t>
        </is>
      </c>
      <c r="E50" s="3" t="inlineStr">
        <is>
          <t>ການເຄື່ອນໃຫວຂອງພັດສະດຸ</t>
        </is>
      </c>
      <c r="F50" s="3" t="inlineStr">
        <is>
          <t>အော်ဒါခရီးစဉ်</t>
        </is>
      </c>
      <c r="G50" s="3">
        <f>IFERROR(__xludf.DUMMYFUNCTION("GOOGLETRANSLATE(C50,""vi"",""km"")"),"ដំណើរកម្សាន្ត")</f>
        <v/>
      </c>
      <c r="H50" s="217" t="inlineStr">
        <is>
          <t>ការចេញដំណើរ</t>
        </is>
      </c>
      <c r="J50" s="217" t="inlineStr">
        <is>
          <t>ដំណើរឆ្លងកាត់បញ្ញើ</t>
        </is>
      </c>
      <c r="K50" s="217" t="inlineStr">
        <is>
          <t>ដំណើរឆ្លងកាត់បញ្ញើ</t>
        </is>
      </c>
      <c r="S50" s="163" t="inlineStr">
        <is>
          <t>ដំណើរបញ្ជា</t>
        </is>
      </c>
    </row>
    <row r="51" ht="15.75" customHeight="1" s="305">
      <c r="A51" s="217" t="inlineStr">
        <is>
          <t>MANAGE_ORDER.ACTION_PRINT_ORDER</t>
        </is>
      </c>
      <c r="B51" s="153" t="inlineStr">
        <is>
          <t>打印订单</t>
        </is>
      </c>
      <c r="C51" s="3" t="inlineStr">
        <is>
          <t>In đơn</t>
        </is>
      </c>
      <c r="D51" s="3" t="inlineStr">
        <is>
          <t>Print order</t>
        </is>
      </c>
      <c r="E51" s="3" t="inlineStr">
        <is>
          <t>ພິມຄໍາສັ່ງ</t>
        </is>
      </c>
      <c r="F51" s="3" t="inlineStr">
        <is>
          <t>ပုံနှိပ်အမိန့်</t>
        </is>
      </c>
      <c r="G51" s="3">
        <f>IFERROR(__xludf.DUMMYFUNCTION("GOOGLETRANSLATE(C51,""vi"",""km"")"),"ការបញ្ជាទិញបោះពុម្ព")</f>
        <v/>
      </c>
      <c r="H51" s="217" t="inlineStr">
        <is>
          <t>ព្រីនបុងបញ្ញើ</t>
        </is>
      </c>
      <c r="J51" s="217" t="inlineStr">
        <is>
          <t>ព្រីនបុងបញ្ញើ</t>
        </is>
      </c>
      <c r="K51" s="217" t="inlineStr">
        <is>
          <t>ព្រីនបុងបញ្ញើ</t>
        </is>
      </c>
      <c r="S51" s="163" t="inlineStr">
        <is>
          <t>ព្រីនការបញ្ជា</t>
        </is>
      </c>
    </row>
    <row r="52" ht="15.75" customHeight="1" s="305">
      <c r="A52" s="217" t="inlineStr">
        <is>
          <t>MANAGE_ORDER.ACTION_SHOW_HISTORY_EDIT_ORDER</t>
        </is>
      </c>
      <c r="B52" s="153" t="inlineStr">
        <is>
          <t>订单编辑历史</t>
        </is>
      </c>
      <c r="C52" s="3" t="inlineStr">
        <is>
          <t>Lịch sử sửa đơn</t>
        </is>
      </c>
      <c r="D52" s="3" t="inlineStr">
        <is>
          <t>History edit order</t>
        </is>
      </c>
      <c r="E52" s="3" t="inlineStr">
        <is>
          <t>ສັ່ງແກ້ໄຂປະຫວັດ</t>
        </is>
      </c>
      <c r="F52" s="3" t="inlineStr">
        <is>
          <t xml:space="preserve"> ပြင်မှတ်ထားတဲ့ အော်ဒါသမိုင်း</t>
        </is>
      </c>
      <c r="G52" s="3">
        <f>IFERROR(__xludf.DUMMYFUNCTION("GOOGLETRANSLATE(C52,""vi"",""km"")"),"ប្រវត្តិកែប្រែកម្មវិធី")</f>
        <v/>
      </c>
      <c r="H52" s="217" t="inlineStr">
        <is>
          <t>ប្រវត្តិកែបុងបញ្ញើ</t>
        </is>
      </c>
      <c r="J52" s="217" t="inlineStr">
        <is>
          <t>ប្រវត្តិកែបុងបញ្ញើ</t>
        </is>
      </c>
      <c r="K52" s="217" t="inlineStr">
        <is>
          <t>ប្រវត្តិកែបុងបញ្ញើ</t>
        </is>
      </c>
      <c r="S52" s="163" t="inlineStr">
        <is>
          <t>ប្រវត្តិនៃការកែសម្រួលការបញ្ជា</t>
        </is>
      </c>
    </row>
    <row r="53" ht="15.75" customHeight="1" s="305">
      <c r="A53" s="217" t="inlineStr">
        <is>
          <t>MANAGE_ORDER.CALL_RECEIVER_POSTMAN</t>
        </is>
      </c>
      <c r="B53" s="153" t="inlineStr">
        <is>
          <t>呼叫揽件员</t>
        </is>
      </c>
      <c r="C53" s="3" t="inlineStr">
        <is>
          <t>Gọi NV nhận</t>
        </is>
      </c>
      <c r="D53" s="3" t="inlineStr">
        <is>
          <t>Call receive postman</t>
        </is>
      </c>
      <c r="E53" s="3" t="inlineStr">
        <is>
          <t>ໂທຫາພະນັກງານຮັບເຄື່ອງ</t>
        </is>
      </c>
      <c r="F53" s="3" t="inlineStr">
        <is>
          <t>လက်ခံသူစာပို့သမားအား ခေါ်ဆိုမည်</t>
        </is>
      </c>
      <c r="G53" s="3">
        <f>IFERROR(__xludf.DUMMYFUNCTION("GOOGLETRANSLATE(C53,""vi"",""km"")"),"សូមទូរស័ព្ទទៅបុគ្គលិកដើម្បីទទួលវា។")</f>
        <v/>
      </c>
      <c r="H53" s="217" t="inlineStr">
        <is>
          <t>ខលទៅបុគ្គលិកចាំទទួល</t>
        </is>
      </c>
      <c r="J53" s="217" t="inlineStr">
        <is>
          <t>ខលទៅបុគ្គលិកចាំទទួល</t>
        </is>
      </c>
      <c r="K53" s="217" t="inlineStr">
        <is>
          <t>ខលទៅបុគ្គលិកចាំទទួល</t>
        </is>
      </c>
      <c r="S53" s="163" t="inlineStr">
        <is>
          <t>អ្នកទទួលការហៅទូរសព្ទ</t>
        </is>
      </c>
    </row>
    <row r="54" ht="15.75" customHeight="1" s="305">
      <c r="A54" s="217" t="inlineStr">
        <is>
          <t>MANAGE_ORDER.ACTION_REMOVE_ORDER</t>
        </is>
      </c>
      <c r="B54" s="153" t="inlineStr">
        <is>
          <t>删除订单</t>
        </is>
      </c>
      <c r="C54" s="3" t="inlineStr">
        <is>
          <t>Xóa đơn</t>
        </is>
      </c>
      <c r="D54" s="3" t="inlineStr">
        <is>
          <t>Remove order</t>
        </is>
      </c>
      <c r="E54" s="3" t="inlineStr">
        <is>
          <t>ລຶບຄໍາສັ່ງ</t>
        </is>
      </c>
      <c r="F54" s="3" t="inlineStr">
        <is>
          <t>အော်ဒါကို ဖယ်ရှားပါ</t>
        </is>
      </c>
      <c r="G54" s="3">
        <f>IFERROR(__xludf.DUMMYFUNCTION("GOOGLETRANSLATE(C54,""vi"",""km"")"),"លុបការបញ្ជាទិញ")</f>
        <v/>
      </c>
      <c r="H54" s="217" t="inlineStr">
        <is>
          <t>លុបចោលបុងបញ្ញើ</t>
        </is>
      </c>
      <c r="J54" s="217" t="inlineStr">
        <is>
          <t>លុបចោលបុងបញ្ញើ</t>
        </is>
      </c>
      <c r="K54" s="217" t="inlineStr">
        <is>
          <t>លុបចោលបុងបញ្ញើ</t>
        </is>
      </c>
      <c r="S54" s="163" t="inlineStr">
        <is>
          <t>ដកការបញ្ជាចេញ</t>
        </is>
      </c>
    </row>
    <row r="55" ht="15.75" customHeight="1" s="305">
      <c r="A55" s="217" t="inlineStr">
        <is>
          <t>MANAGE_ORDER.ACTION_COMPLAIN</t>
        </is>
      </c>
      <c r="B55" s="153" t="inlineStr">
        <is>
          <t>投诉</t>
        </is>
      </c>
      <c r="C55" s="3" t="inlineStr">
        <is>
          <t>Khiếu nại</t>
        </is>
      </c>
      <c r="D55" s="3" t="inlineStr">
        <is>
          <t>Complain</t>
        </is>
      </c>
      <c r="E55" s="3" t="inlineStr">
        <is>
          <t>ຮ້ອງທຸກ</t>
        </is>
      </c>
      <c r="F55" s="3" t="inlineStr">
        <is>
          <t>မကျေနပ်မှု</t>
        </is>
      </c>
      <c r="G55" s="3">
        <f>IFERROR(__xludf.DUMMYFUNCTION("GOOGLETRANSLATE(C55,""vi"",""km"")"),"ពាក្យបណ្តឹង")</f>
        <v/>
      </c>
      <c r="H55" s="217" t="inlineStr">
        <is>
          <t>ពាក្យបណ្តឹង</t>
        </is>
      </c>
      <c r="J55" s="217" t="inlineStr">
        <is>
          <t>ពាក្យបណ្ដឹង</t>
        </is>
      </c>
      <c r="K55" s="217" t="inlineStr">
        <is>
          <t>ពាក្យបណ្ដឹង</t>
        </is>
      </c>
      <c r="S55" s="163" t="inlineStr">
        <is>
          <t>តវ៉ា</t>
        </is>
      </c>
    </row>
    <row r="56" ht="15.75" customHeight="1" s="305">
      <c r="A56" s="217" t="inlineStr">
        <is>
          <t>MANAGE_ORDER.ACTION_RATE</t>
        </is>
      </c>
      <c r="B56" s="153" t="inlineStr">
        <is>
          <t>评价</t>
        </is>
      </c>
      <c r="C56" s="3" t="inlineStr">
        <is>
          <t>Đánh giá</t>
        </is>
      </c>
      <c r="D56" s="3" t="inlineStr">
        <is>
          <t>Rate</t>
        </is>
      </c>
      <c r="E56" s="3" t="inlineStr">
        <is>
          <t>ປະເມີນ</t>
        </is>
      </c>
      <c r="F56" s="3" t="inlineStr">
        <is>
          <t>နှုန်း</t>
        </is>
      </c>
      <c r="G56" s="3">
        <f>IFERROR(__xludf.DUMMYFUNCTION("GOOGLETRANSLATE(C56,""vi"",""km"")"),"វាយតម្លៃ")</f>
        <v/>
      </c>
      <c r="H56" s="217" t="inlineStr">
        <is>
          <t>វាយតម្លៃ</t>
        </is>
      </c>
      <c r="J56" s="217" t="inlineStr">
        <is>
          <t>វាយតម្លៃ</t>
        </is>
      </c>
      <c r="K56" s="217" t="inlineStr">
        <is>
          <t>វាយតម្លៃ</t>
        </is>
      </c>
      <c r="S56" s="163" t="inlineStr">
        <is>
          <t>អត្រា</t>
        </is>
      </c>
    </row>
    <row r="57" ht="15.75" customHeight="1" s="305">
      <c r="A57" s="217" t="inlineStr">
        <is>
          <t>MANAGE_ORDER.ACTION_STORAGE_WAREHOUSE</t>
        </is>
      </c>
      <c r="B57" s="153" t="inlineStr">
        <is>
          <t>入库</t>
        </is>
      </c>
      <c r="C57" s="3" t="inlineStr">
        <is>
          <t>Lưu kho</t>
        </is>
      </c>
      <c r="D57" s="3" t="inlineStr">
        <is>
          <t>Storage warehouse</t>
        </is>
      </c>
      <c r="E57" s="3" t="inlineStr">
        <is>
          <t>ການເກັບຮັກສາ</t>
        </is>
      </c>
      <c r="F57" s="3" t="inlineStr">
        <is>
          <t>ကုန်လှောင်ရုံ သိုလှောင်မှု</t>
        </is>
      </c>
      <c r="G57" s="3">
        <f>IFERROR(__xludf.DUMMYFUNCTION("GOOGLETRANSLATE(C57,""vi"",""km"")"),"ការផ្ទុក")</f>
        <v/>
      </c>
      <c r="H57" s="217" t="inlineStr">
        <is>
          <t>រក្សាទុុកក្នុងឃ្លាំង</t>
        </is>
      </c>
      <c r="J57" s="217" t="inlineStr">
        <is>
          <t>រក្សាទុកក្នុងឃ្លាំង</t>
        </is>
      </c>
      <c r="K57" s="217" t="inlineStr">
        <is>
          <t>រក្សាទុកក្នុងឃ្លាំង</t>
        </is>
      </c>
      <c r="S57" s="163" t="inlineStr">
        <is>
          <t>ឃ្លាំងផ្ទុក</t>
        </is>
      </c>
    </row>
    <row r="58" ht="15.75" customHeight="1" s="305">
      <c r="A58" s="217" t="inlineStr">
        <is>
          <t>MANAGE_ORDER.ACTION_PART_DELIVERY</t>
        </is>
      </c>
      <c r="B58" s="153" t="inlineStr">
        <is>
          <t>分批发货</t>
        </is>
      </c>
      <c r="C58" s="3" t="inlineStr">
        <is>
          <t>Giao hàng 1 phần</t>
        </is>
      </c>
      <c r="D58" s="3" t="inlineStr">
        <is>
          <t>Part Delivery</t>
        </is>
      </c>
      <c r="E58" s="3" t="inlineStr">
        <is>
          <t>ການຈັດສົ່ງບາງສ່ວນ</t>
        </is>
      </c>
      <c r="F58" s="3" t="inlineStr">
        <is>
          <t>တစ်စိတ်တစ်ပိုင်း ပေးပို့ခြင်း</t>
        </is>
      </c>
      <c r="G58" s="3">
        <f>IFERROR(__xludf.DUMMYFUNCTION("GOOGLETRANSLATE(C58,""vi"",""km"")"),"ការដឹកជញ្ជូនដោយផ្នែក")</f>
        <v/>
      </c>
      <c r="H58" s="217" t="inlineStr">
        <is>
          <t>ដឹកជញ្ជូនមួយផ្នែក</t>
        </is>
      </c>
      <c r="J58" s="217" t="inlineStr">
        <is>
          <t>ដឹកជញ្ជូនមួយផ្នែក</t>
        </is>
      </c>
      <c r="K58" s="217" t="inlineStr">
        <is>
          <t>ដឹកជញ្ជូនមួយផ្នែក</t>
        </is>
      </c>
      <c r="S58" s="163" t="inlineStr">
        <is>
          <t>ការដឹកជញ្ជូនដោយផ្នែក</t>
        </is>
      </c>
    </row>
    <row r="59" ht="15.75" customHeight="1" s="305">
      <c r="A59" s="217" t="inlineStr">
        <is>
          <t>MANAGE_ORDER.ACTION_ACCEPT</t>
        </is>
      </c>
      <c r="B59" s="153" t="inlineStr">
        <is>
          <t>确认</t>
        </is>
      </c>
      <c r="C59" s="3" t="inlineStr">
        <is>
          <t>Đồng ý</t>
        </is>
      </c>
      <c r="D59" s="3" t="inlineStr">
        <is>
          <t>Accept</t>
        </is>
      </c>
      <c r="E59" s="3" t="inlineStr">
        <is>
          <t>ເຫັນດີ</t>
        </is>
      </c>
      <c r="F59" s="3" t="inlineStr">
        <is>
          <t>လက်ခံပါ</t>
        </is>
      </c>
      <c r="G59" s="3">
        <f>IFERROR(__xludf.DUMMYFUNCTION("GOOGLETRANSLATE(C59,""vi"",""km"")"),"យល់ព្រម")</f>
        <v/>
      </c>
      <c r="H59" s="217" t="inlineStr">
        <is>
          <t>យល់ព្រម</t>
        </is>
      </c>
      <c r="J59" s="217" t="inlineStr">
        <is>
          <t>យល់ព្រម</t>
        </is>
      </c>
      <c r="K59" s="217" t="inlineStr">
        <is>
          <t>យល់ព្រម</t>
        </is>
      </c>
      <c r="S59" s="163" t="inlineStr">
        <is>
          <t>ទទួលយក</t>
        </is>
      </c>
    </row>
    <row r="60" ht="15.75" customHeight="1" s="305">
      <c r="A60" s="217" t="inlineStr">
        <is>
          <t>MANAGE_ORDER.ACTION_REJECT</t>
        </is>
      </c>
      <c r="B60" s="153" t="inlineStr">
        <is>
          <t>拒绝</t>
        </is>
      </c>
      <c r="C60" s="3" t="inlineStr">
        <is>
          <t>Từ chối</t>
        </is>
      </c>
      <c r="D60" s="3" t="inlineStr">
        <is>
          <t>Reject</t>
        </is>
      </c>
      <c r="E60" s="3" t="inlineStr">
        <is>
          <t>ປະຕິເສດ</t>
        </is>
      </c>
      <c r="F60" s="3" t="inlineStr">
        <is>
          <t>ငြင်းပယ်ပါ</t>
        </is>
      </c>
      <c r="G60" s="3">
        <f>IFERROR(__xludf.DUMMYFUNCTION("GOOGLETRANSLATE(C60,""vi"",""km"")"),"បដិសេធ")</f>
        <v/>
      </c>
      <c r="H60" s="217" t="inlineStr">
        <is>
          <t>បដិសេធ</t>
        </is>
      </c>
      <c r="J60" s="217" t="inlineStr">
        <is>
          <t>បដិសេធ</t>
        </is>
      </c>
      <c r="K60" s="217" t="inlineStr">
        <is>
          <t>បដិសេធ</t>
        </is>
      </c>
      <c r="S60" s="163" t="inlineStr">
        <is>
          <t>បដិសេធ</t>
        </is>
      </c>
    </row>
    <row r="61" ht="15.75" customHeight="1" s="305">
      <c r="A61" s="217" t="inlineStr">
        <is>
          <t>MANAGE_ORDER.ACTION_CONTINUE_DELIVERY</t>
        </is>
      </c>
      <c r="B61" s="153" t="inlineStr">
        <is>
          <t>再次派送</t>
        </is>
      </c>
      <c r="C61" s="3" t="inlineStr">
        <is>
          <t>Phát tiếp</t>
        </is>
      </c>
      <c r="D61" s="3" t="inlineStr">
        <is>
          <t>Redelivery</t>
        </is>
      </c>
      <c r="E61" s="3" t="inlineStr">
        <is>
          <t>ສົ່ງອີກ</t>
        </is>
      </c>
      <c r="F61" s="3" t="inlineStr">
        <is>
          <t>ပြန်လည်ပို့ဆောင်ခြင်း။</t>
        </is>
      </c>
      <c r="G61" s="3">
        <f>IFERROR(__xludf.DUMMYFUNCTION("GOOGLETRANSLATE(C61,""vi"",""km"")"),"លេងម្តងទៀត")</f>
        <v/>
      </c>
      <c r="H61" s="217" t="inlineStr">
        <is>
          <t>ការដឹកជញ្ជូនបន្ទាប់</t>
        </is>
      </c>
      <c r="J61" s="217" t="inlineStr">
        <is>
          <t>ដឹកជញ្ជូនបន្ត</t>
        </is>
      </c>
      <c r="K61" s="217" t="inlineStr">
        <is>
          <t>ដឹកជញ្ជូនបន្ត</t>
        </is>
      </c>
      <c r="S61" s="163" t="inlineStr">
        <is>
          <t>ការដឹកជញ្ជូនឡើងវិញ</t>
        </is>
      </c>
    </row>
    <row r="62" ht="15.75" customHeight="1" s="305">
      <c r="A62" s="217" t="inlineStr">
        <is>
          <t>MANAGE_ORDER.COMING_SOON</t>
        </is>
      </c>
      <c r="B62" s="153" t="inlineStr">
        <is>
          <t>开发中</t>
        </is>
      </c>
      <c r="C62" s="3" t="inlineStr">
        <is>
          <t>Tính năng đang phát trển!</t>
        </is>
      </c>
      <c r="D62" s="3" t="inlineStr">
        <is>
          <t>Function is coming soon!</t>
        </is>
      </c>
      <c r="E62" s="3" t="inlineStr">
        <is>
          <t>ຄຸນ​ນະ​ສົມ​ບັດ​ໃນ​ການ​ພັດ​ທະ​ນາ​!</t>
        </is>
      </c>
      <c r="F62" s="3" t="inlineStr">
        <is>
          <t>မကြာမီ လုပ်ဆောင်မှုများ လာတော့မည်!</t>
        </is>
      </c>
      <c r="G62" s="3">
        <f>IFERROR(__xludf.DUMMYFUNCTION("GOOGLETRANSLATE(C62,""vi"",""km"")"),"មុខងារនេះកំពុងស្ថិតក្រោមការអភិវឌ្ឍន៍!")</f>
        <v/>
      </c>
      <c r="H62" s="217" t="inlineStr">
        <is>
          <t>លក្ខណៈពិសេសកំពុងស្ថិតក្នុងការអភិវឌ្ឍន៍!</t>
        </is>
      </c>
      <c r="J62" s="217" t="inlineStr">
        <is>
          <t>លក្ខណៈពិសេសកំពុងស្ថិតក្នុងការអភិវឌ្ឍន៍!</t>
        </is>
      </c>
      <c r="K62" s="217" t="inlineStr">
        <is>
          <t>លក្ខណៈពិសេសកំពុងស្ថិតក្នុងការអភិវឌ្ឍន៍!</t>
        </is>
      </c>
      <c r="S62" s="163" t="inlineStr">
        <is>
          <t>មុខងារនឹងមកដល់ឆាប់ៗនេះ!</t>
        </is>
      </c>
    </row>
    <row r="63" ht="15.75" customHeight="1" s="305">
      <c r="A63" s="217" t="inlineStr">
        <is>
          <t>MANAGE_ORDER.STATUS_FILTER</t>
        </is>
      </c>
      <c r="B63" s="153" t="inlineStr">
        <is>
          <t>订单状态</t>
        </is>
      </c>
      <c r="C63" s="3" t="inlineStr">
        <is>
          <t>Bộ lọc trạng thái đơn</t>
        </is>
      </c>
      <c r="D63" s="3" t="inlineStr">
        <is>
          <t>Status filter order</t>
        </is>
      </c>
      <c r="E63" s="3" t="inlineStr">
        <is>
          <t>ການກັ່ນຕອງເຄື່ອວດ່ຽວ</t>
        </is>
      </c>
      <c r="F63" s="3" t="inlineStr">
        <is>
          <t>အော်ဒါအခြေအနေ စစ်ဆေးရေး</t>
        </is>
      </c>
      <c r="G63" s="3">
        <f>IFERROR(__xludf.DUMMYFUNCTION("GOOGLETRANSLATE(C63,""vi"",""km"")"),"តម្រងស្ថានភាពតែមួយ")</f>
        <v/>
      </c>
      <c r="H63" s="217" t="inlineStr">
        <is>
          <t>តម្រងស្ថានភាពការបញ្ជាទិញ</t>
        </is>
      </c>
      <c r="J63" s="217" t="inlineStr">
        <is>
          <t>តម្រងស្ថានភាពការបញ្ជាទិញ</t>
        </is>
      </c>
      <c r="K63" s="217" t="inlineStr">
        <is>
          <t>តម្រងស្ថានភាពការបញ្ជាទិញ</t>
        </is>
      </c>
      <c r="S63" s="163" t="inlineStr">
        <is>
          <t>Filer ស្ថានភាពការបញ្ជា</t>
        </is>
      </c>
    </row>
    <row r="64" ht="15.75" customHeight="1" s="305">
      <c r="A64" s="217" t="inlineStr">
        <is>
          <t>MANAGE_ORDER.WAREHOUSE_FILTER</t>
        </is>
      </c>
      <c r="B64" s="153" t="inlineStr">
        <is>
          <t>仓库（按仓库筛选订单）</t>
        </is>
      </c>
      <c r="C64" s="3" t="inlineStr">
        <is>
          <t>Bộ lọc kho hàng</t>
        </is>
      </c>
      <c r="D64" s="3" t="inlineStr">
        <is>
          <t>Warehouse filter order</t>
        </is>
      </c>
      <c r="E64" s="3" t="inlineStr">
        <is>
          <t>ການກັ່ນຕອງສາງ</t>
        </is>
      </c>
      <c r="F64" s="3" t="inlineStr">
        <is>
          <t>ကုန်လှောင်ရုံအော်ဒါ စစ်ထုတ်ခြင်း</t>
        </is>
      </c>
      <c r="G64" s="3">
        <f>IFERROR(__xludf.DUMMYFUNCTION("GOOGLETRANSLATE(C64,""vi"",""km"")"),"តម្រងសារពើភ័ណ្ឌ")</f>
        <v/>
      </c>
      <c r="H64" s="217" t="inlineStr">
        <is>
          <t>តម្រងសារពើភ័ណ្ឌ</t>
        </is>
      </c>
      <c r="J64" s="217" t="inlineStr">
        <is>
          <t>តម្រងសារពើភ័ណ្ឌ</t>
        </is>
      </c>
      <c r="K64" s="217" t="inlineStr">
        <is>
          <t>តម្រងសារពើភ័ណ្ឌ</t>
        </is>
      </c>
      <c r="S64" s="163" t="inlineStr">
        <is>
          <t>Filter ការបញ្ជា</t>
        </is>
      </c>
    </row>
    <row r="65" ht="15.75" customHeight="1" s="305">
      <c r="A65" s="217" t="inlineStr">
        <is>
          <t>MANAGE_ORDER.ORDER_SCOPE_FILTER</t>
        </is>
      </c>
      <c r="B65" s="153" t="inlineStr">
        <is>
          <t>订单类型筛选</t>
        </is>
      </c>
      <c r="C65" s="3" t="inlineStr">
        <is>
          <t>Bộ lọc loại đơn</t>
        </is>
      </c>
      <c r="D65" s="3" t="inlineStr">
        <is>
          <t>Order type filter</t>
        </is>
      </c>
      <c r="E65" s="3" t="inlineStr">
        <is>
          <t>ການກັ່ນຕອງປະເພດອໍເດີ</t>
        </is>
      </c>
      <c r="F65" s="3" t="inlineStr">
        <is>
          <t>အော်ဒါ အမျိုးအစား စစ်ထုတ်ခြင်း</t>
        </is>
      </c>
      <c r="G65" s="3">
        <f>IFERROR(__xludf.DUMMYFUNCTION("GOOGLETRANSLATE(C65,""vi"",""km"")"),"តម្រងប្រភេទតែមួយ")</f>
        <v/>
      </c>
      <c r="H65" s="217" t="inlineStr">
        <is>
          <t>តម្រងប្រភេទការបញ្ជាទិញ</t>
        </is>
      </c>
      <c r="J65" s="217" t="inlineStr">
        <is>
          <t>តម្រងប្រភេទការបញ្ជាទិញ</t>
        </is>
      </c>
      <c r="K65" s="217" t="inlineStr">
        <is>
          <t>តម្រងប្រភេទការបញ្ជាទិញ</t>
        </is>
      </c>
      <c r="S65" s="163" t="inlineStr">
        <is>
          <t>Filter ប្រភេទបញ្ជា</t>
        </is>
      </c>
    </row>
    <row r="66" ht="15.75" customHeight="1" s="305">
      <c r="A66" s="217" t="inlineStr">
        <is>
          <t>MANAGE_ORDER.ALL_ORDER_SCOPE</t>
        </is>
      </c>
      <c r="B66" s="153" t="inlineStr">
        <is>
          <t>订单类型</t>
        </is>
      </c>
      <c r="C66" s="3" t="inlineStr">
        <is>
          <t>Loại đơn</t>
        </is>
      </c>
      <c r="D66" s="3" t="inlineStr">
        <is>
          <t>Order Type</t>
        </is>
      </c>
      <c r="E66" s="3" t="inlineStr">
        <is>
          <t>ປະເພດບິນ</t>
        </is>
      </c>
      <c r="F66" s="3" t="inlineStr">
        <is>
          <t>အော်ဒါ အမျိုးအစား အားလုံး</t>
        </is>
      </c>
      <c r="G66" s="3">
        <f>IFERROR(__xludf.DUMMYFUNCTION("GOOGLETRANSLATE(C66,""vi"",""km"")"),"ប្រភេទការបញ្ជាទិញ")</f>
        <v/>
      </c>
      <c r="H66" s="217" t="inlineStr">
        <is>
          <t>តម្រងប្រភេទការបញ្ជាទិញ</t>
        </is>
      </c>
      <c r="J66" s="217" t="inlineStr">
        <is>
          <t>តម្រងប្រភេទការបញ្ជាទិញ</t>
        </is>
      </c>
      <c r="K66" s="217" t="inlineStr">
        <is>
          <t>តម្រងប្រភេទការបញ្ជាទិញ</t>
        </is>
      </c>
      <c r="S66" s="163" t="inlineStr">
        <is>
          <t>ប្រភេទបញ្ជា</t>
        </is>
      </c>
    </row>
    <row r="67" ht="15.75" customHeight="1" s="305">
      <c r="A67" s="217" t="inlineStr">
        <is>
          <t>MANAGE_ORDER.DOMESTIC</t>
        </is>
      </c>
      <c r="B67" s="153" t="inlineStr">
        <is>
          <t>国内</t>
        </is>
      </c>
      <c r="C67" s="3" t="inlineStr">
        <is>
          <t>Trong nước</t>
        </is>
      </c>
      <c r="D67" s="3" t="inlineStr">
        <is>
          <t>Domestic</t>
        </is>
      </c>
      <c r="E67" s="3" t="inlineStr">
        <is>
          <t>ພາຍໃນປະເທດ</t>
        </is>
      </c>
      <c r="F67" s="3" t="inlineStr">
        <is>
          <t>အိမ်တွင်း</t>
        </is>
      </c>
      <c r="G67" s="3">
        <f>IFERROR(__xludf.DUMMYFUNCTION("GOOGLETRANSLATE(C67,""vi"",""km"")"),"ក្នុងស្រុក")</f>
        <v/>
      </c>
      <c r="H67" s="217" t="inlineStr">
        <is>
          <t>ក្នុងស្រុក</t>
        </is>
      </c>
      <c r="J67" s="217" t="inlineStr">
        <is>
          <t>ក្នុងស្រុក</t>
        </is>
      </c>
      <c r="K67" s="217" t="inlineStr">
        <is>
          <t>ក្នុងស្រុក</t>
        </is>
      </c>
      <c r="S67" s="163" t="inlineStr">
        <is>
          <t>ក្នុងស្រុក</t>
        </is>
      </c>
    </row>
    <row r="68" ht="15.75" customHeight="1" s="305">
      <c r="A68" s="217" t="inlineStr">
        <is>
          <t>MANAGE_ORDER.INTERNATIONAL</t>
        </is>
      </c>
      <c r="B68" s="153" t="inlineStr">
        <is>
          <t>国际</t>
        </is>
      </c>
      <c r="C68" s="3" t="inlineStr">
        <is>
          <t>Quốc tế</t>
        </is>
      </c>
      <c r="D68" s="3" t="inlineStr">
        <is>
          <t>International</t>
        </is>
      </c>
      <c r="E68" s="3" t="inlineStr">
        <is>
          <t>ສາກົນ</t>
        </is>
      </c>
      <c r="F68" s="3" t="inlineStr">
        <is>
          <t>နိုင်ငံတကာ</t>
        </is>
      </c>
      <c r="G68" s="3">
        <f>IFERROR(__xludf.DUMMYFUNCTION("GOOGLETRANSLATE(C68,""vi"",""km"")"),"អន្តរជាតិ")</f>
        <v/>
      </c>
      <c r="H68" s="217" t="inlineStr">
        <is>
          <t>អន្តរជាតិ</t>
        </is>
      </c>
      <c r="J68" s="217" t="inlineStr">
        <is>
          <t>អន្តរជាតិ</t>
        </is>
      </c>
      <c r="K68" s="217" t="inlineStr">
        <is>
          <t>អន្តរជាតិ</t>
        </is>
      </c>
      <c r="S68" s="163" t="inlineStr">
        <is>
          <t>អន្តរជាតិ</t>
        </is>
      </c>
    </row>
    <row r="69" ht="15.75" customHeight="1" s="305">
      <c r="A69" s="217" t="inlineStr">
        <is>
          <t>MANAGE_ORDER.ALL</t>
        </is>
      </c>
      <c r="B69" s="153" t="inlineStr">
        <is>
          <t>全选</t>
        </is>
      </c>
      <c r="C69" s="3" t="inlineStr">
        <is>
          <t>Tất cả</t>
        </is>
      </c>
      <c r="D69" s="3" t="inlineStr">
        <is>
          <t>Select all</t>
        </is>
      </c>
      <c r="E69" s="3" t="inlineStr">
        <is>
          <t>ທັງໝົດ</t>
        </is>
      </c>
      <c r="F69" s="3" t="inlineStr">
        <is>
          <t>အားလုံးရွေးချယ်ပါ</t>
        </is>
      </c>
      <c r="G69" s="3">
        <f>IFERROR(__xludf.DUMMYFUNCTION("GOOGLETRANSLATE(C69,""vi"",""km"")"),"ទាំងអស់")</f>
        <v/>
      </c>
      <c r="H69" s="217" t="inlineStr">
        <is>
          <t>ទាំងអស់</t>
        </is>
      </c>
      <c r="J69" s="217" t="inlineStr">
        <is>
          <t>ទាំងអស់</t>
        </is>
      </c>
      <c r="K69" s="217" t="inlineStr">
        <is>
          <t>ទាំងអស់</t>
        </is>
      </c>
      <c r="S69" s="163" t="inlineStr">
        <is>
          <t>ជ្រើសរើសទាំងអស់</t>
        </is>
      </c>
    </row>
    <row r="70" ht="15.75" customHeight="1" s="305">
      <c r="A70" s="217" t="inlineStr">
        <is>
          <t>MANAGE_ORDER.STATUS</t>
        </is>
      </c>
      <c r="B70" s="153" t="inlineStr">
        <is>
          <t>状态</t>
        </is>
      </c>
      <c r="C70" s="3" t="inlineStr">
        <is>
          <t>Trạng thái</t>
        </is>
      </c>
      <c r="D70" s="3" t="inlineStr">
        <is>
          <t>Status</t>
        </is>
      </c>
      <c r="E70" s="3" t="inlineStr">
        <is>
          <t>ສະຖານະ</t>
        </is>
      </c>
      <c r="F70" s="3" t="inlineStr">
        <is>
          <t>အခြေအနေ</t>
        </is>
      </c>
      <c r="G70" s="3">
        <f>IFERROR(__xludf.DUMMYFUNCTION("GOOGLETRANSLATE(C70,""vi"",""km"")"),"ស្ថានភាព")</f>
        <v/>
      </c>
      <c r="H70" s="217" t="inlineStr">
        <is>
          <t>ស្ថានភាព</t>
        </is>
      </c>
      <c r="J70" s="217" t="inlineStr">
        <is>
          <t>ស្ថានភាព</t>
        </is>
      </c>
      <c r="K70" s="217" t="inlineStr">
        <is>
          <t>ស្ថានភាព</t>
        </is>
      </c>
      <c r="S70" s="163" t="inlineStr">
        <is>
          <t>ស្ថានភាព</t>
        </is>
      </c>
    </row>
    <row r="71" ht="15.75" customHeight="1" s="305">
      <c r="A71" s="217" t="inlineStr">
        <is>
          <t>MANAGE_ORDER.STATUS_NEW</t>
        </is>
      </c>
      <c r="B71" s="153" t="inlineStr">
        <is>
          <t>新订单</t>
        </is>
      </c>
      <c r="C71" s="3" t="inlineStr">
        <is>
          <t>Tạo mới</t>
        </is>
      </c>
      <c r="D71" s="3" t="inlineStr">
        <is>
          <t>New</t>
        </is>
      </c>
      <c r="E71" s="3" t="inlineStr">
        <is>
          <t>ສ້າງໃໝ່</t>
        </is>
      </c>
      <c r="F71" s="3" t="inlineStr">
        <is>
          <t>အသစ်</t>
        </is>
      </c>
      <c r="G71" s="3">
        <f>IFERROR(__xludf.DUMMYFUNCTION("GOOGLETRANSLATE(C71,""vi"",""km"")"),"បង្កើតថ្មី")</f>
        <v/>
      </c>
      <c r="H71" s="217" t="inlineStr">
        <is>
          <t>បង្កើតថ្មី</t>
        </is>
      </c>
      <c r="J71" s="217" t="inlineStr">
        <is>
          <t>បង្កើតថ្មី</t>
        </is>
      </c>
      <c r="K71" s="217" t="inlineStr">
        <is>
          <t>បង្កើតថ្មី</t>
        </is>
      </c>
      <c r="S71" s="163" t="inlineStr">
        <is>
          <t>បង្កើតថ្មី</t>
        </is>
      </c>
    </row>
    <row r="72" ht="15.75" customHeight="1" s="305">
      <c r="A72" s="217" t="inlineStr">
        <is>
          <t>MANAGE_ORDER.STATUS_CONFIRMED</t>
        </is>
      </c>
      <c r="B72" s="153" t="inlineStr">
        <is>
          <t>已确认</t>
        </is>
      </c>
      <c r="C72" s="3" t="inlineStr">
        <is>
          <t>Chưa tiếp nhận</t>
        </is>
      </c>
      <c r="D72" s="3" t="inlineStr">
        <is>
          <t>Confirmed</t>
        </is>
      </c>
      <c r="E72" s="3" t="inlineStr">
        <is>
          <t>ບໍ່ໄດ້ຮັບ</t>
        </is>
      </c>
      <c r="F72" s="3" t="inlineStr">
        <is>
          <t>အတည်ပြုခဲ့</t>
        </is>
      </c>
      <c r="G72" s="3">
        <f>IFERROR(__xludf.DUMMYFUNCTION("GOOGLETRANSLATE(C72,""vi"",""km"")"),"មិនទាន់ទទួលបាននៅឡើយទេ")</f>
        <v/>
      </c>
      <c r="H72" s="217" t="inlineStr">
        <is>
          <t>មិនបានទទួល</t>
        </is>
      </c>
      <c r="J72" s="217" t="inlineStr">
        <is>
          <t>មិនទាន់ទទួល</t>
        </is>
      </c>
      <c r="K72" s="217" t="inlineStr">
        <is>
          <t>មិនទាន់ទទួល</t>
        </is>
      </c>
      <c r="S72" s="163" t="inlineStr">
        <is>
          <t>បញ្ជាក់</t>
        </is>
      </c>
    </row>
    <row r="73" ht="15.75" customHeight="1" s="305">
      <c r="A73" s="217" t="inlineStr">
        <is>
          <t>MANAGE_ORDER.STATUS_WAITING_TO_RECEIVE</t>
        </is>
      </c>
      <c r="B73" s="153" t="inlineStr">
        <is>
          <t>待收货</t>
        </is>
      </c>
      <c r="C73" s="3" t="inlineStr">
        <is>
          <t>Đã tiếp nhận</t>
        </is>
      </c>
      <c r="D73" s="3" t="inlineStr">
        <is>
          <t>Waiting to receive</t>
        </is>
      </c>
      <c r="E73" s="3" t="inlineStr">
        <is>
          <t>ໄດ້ຮັບ</t>
        </is>
      </c>
      <c r="F73" s="3" t="inlineStr">
        <is>
          <t>လက်ခံရန် စောင့်နေခြင်း</t>
        </is>
      </c>
      <c r="G73" s="3">
        <f>IFERROR(__xludf.DUMMYFUNCTION("GOOGLETRANSLATE(C73,""vi"",""km"")"),"បានទទួល")</f>
        <v/>
      </c>
      <c r="H73" s="217" t="inlineStr">
        <is>
          <t>បានទទួល</t>
        </is>
      </c>
      <c r="J73" s="217" t="inlineStr">
        <is>
          <t>បានទទួល</t>
        </is>
      </c>
      <c r="K73" s="217" t="inlineStr">
        <is>
          <t>បានទទួល</t>
        </is>
      </c>
      <c r="S73" s="163" t="inlineStr">
        <is>
          <t>រង់ចាំទទួល</t>
        </is>
      </c>
    </row>
    <row r="74" ht="15.75" customHeight="1" s="305">
      <c r="A74" s="217" t="inlineStr">
        <is>
          <t>MANAGE_ORDER.STATUS_RECEIVING</t>
        </is>
      </c>
      <c r="B74" s="153" t="inlineStr">
        <is>
          <t>收货中</t>
        </is>
      </c>
      <c r="C74" s="3" t="inlineStr">
        <is>
          <t>Đang lấy hàng</t>
        </is>
      </c>
      <c r="D74" s="3" t="inlineStr">
        <is>
          <t>Receiving</t>
        </is>
      </c>
      <c r="E74" s="3" t="inlineStr">
        <is>
          <t>ກຳລັງຮັບພັດສະດຸ</t>
        </is>
      </c>
      <c r="F74" s="3" t="inlineStr">
        <is>
          <t>လက်ခံခြင်း</t>
        </is>
      </c>
      <c r="G74" s="3">
        <f>IFERROR(__xludf.DUMMYFUNCTION("GOOGLETRANSLATE(C74,""vi"",""km"")"),"កំពុង​ទៅ​យក​ទំនិញ")</f>
        <v/>
      </c>
      <c r="H74" s="217" t="inlineStr">
        <is>
          <t>កំពុងទៅយក</t>
        </is>
      </c>
      <c r="J74" s="217" t="inlineStr">
        <is>
          <t>កំពុងទៅយកអីវ៉ាន់</t>
        </is>
      </c>
      <c r="K74" s="217" t="inlineStr">
        <is>
          <t>កំពុងទៅយកអីវ៉ាន់</t>
        </is>
      </c>
      <c r="S74" s="163" t="inlineStr">
        <is>
          <t>ការទទួល</t>
        </is>
      </c>
    </row>
    <row r="75" ht="15.75" customHeight="1" s="305">
      <c r="A75" s="217" t="inlineStr">
        <is>
          <t>MANAGE_ORDER.STATUS_CANCELLED</t>
        </is>
      </c>
      <c r="B75" s="153" t="inlineStr">
        <is>
          <t>取消</t>
        </is>
      </c>
      <c r="C75" s="3" t="inlineStr">
        <is>
          <t>Hủy lấy</t>
        </is>
      </c>
      <c r="D75" s="3" t="inlineStr">
        <is>
          <t>Cancelled</t>
        </is>
      </c>
      <c r="E75" s="3" t="inlineStr">
        <is>
          <t>ຍົກເລີກການຮັບ</t>
        </is>
      </c>
      <c r="F75" s="3" t="inlineStr">
        <is>
          <t>ဖျက်သိမ်းခြင်း</t>
        </is>
      </c>
      <c r="G75" s="3">
        <f>IFERROR(__xludf.DUMMYFUNCTION("GOOGLETRANSLATE(C75,""vi"",""km"")"),"បោះបង់")</f>
        <v/>
      </c>
      <c r="H75" s="217" t="inlineStr">
        <is>
          <t>បោះបង់ការទៅយក</t>
        </is>
      </c>
      <c r="J75" s="217" t="inlineStr">
        <is>
          <t>បោះបង់ការទៅយក</t>
        </is>
      </c>
      <c r="K75" s="217" t="inlineStr">
        <is>
          <t>បោះបង់ការទៅយក</t>
        </is>
      </c>
      <c r="S75" s="163" t="inlineStr">
        <is>
          <t>បានលុបចោល</t>
        </is>
      </c>
    </row>
    <row r="76" ht="15.75" customHeight="1" s="305">
      <c r="A76" s="217" t="inlineStr">
        <is>
          <t>MANAGE_ORDER.STATUS_RECEIVED</t>
        </is>
      </c>
      <c r="B76" s="153" t="inlineStr">
        <is>
          <t>已签收</t>
        </is>
      </c>
      <c r="C76" s="3" t="inlineStr">
        <is>
          <t>Đã lấy hàng</t>
        </is>
      </c>
      <c r="D76" s="3" t="inlineStr">
        <is>
          <t>Received</t>
        </is>
      </c>
      <c r="E76" s="3" t="inlineStr">
        <is>
          <t>ໄດ້້ຮັບພັດສະດຸແລ້ວ</t>
        </is>
      </c>
      <c r="F76" s="3" t="inlineStr">
        <is>
          <t>လက်ခံ ရရှိ</t>
        </is>
      </c>
      <c r="G76" s="3">
        <f>IFERROR(__xludf.DUMMYFUNCTION("GOOGLETRANSLATE(C76,""vi"",""km"")"),"ទំនិញត្រូវបានទទួល។")</f>
        <v/>
      </c>
      <c r="H76" s="217" t="inlineStr">
        <is>
          <t>បានយក</t>
        </is>
      </c>
      <c r="J76" s="217" t="inlineStr">
        <is>
          <t>បានយកអីវ៉ាន់រួចរាល់</t>
        </is>
      </c>
      <c r="K76" s="217" t="inlineStr">
        <is>
          <t>បានយកអីវ៉ាន់រួចរាល់</t>
        </is>
      </c>
      <c r="S76" s="163" t="inlineStr">
        <is>
          <t>បានទទួល</t>
        </is>
      </c>
    </row>
    <row r="77" ht="15.75" customHeight="1" s="305">
      <c r="A77" s="217" t="inlineStr">
        <is>
          <t>MANAGE_ORDER.STATUS_RECEIVE_AGAIN</t>
        </is>
      </c>
      <c r="B77" s="153" t="inlineStr">
        <is>
          <t>重新收货</t>
        </is>
      </c>
      <c r="C77" s="3" t="inlineStr">
        <is>
          <t>Hẹn lấy lại</t>
        </is>
      </c>
      <c r="D77" s="3" t="inlineStr">
        <is>
          <t>Receive again</t>
        </is>
      </c>
      <c r="E77" s="3" t="inlineStr">
        <is>
          <t>ນັດຮັບໃຫມ່</t>
        </is>
      </c>
      <c r="F77" s="3" t="inlineStr">
        <is>
          <t>ထက်မံလက်ခံပါ</t>
        </is>
      </c>
      <c r="G77" s="3">
        <f>IFERROR(__xludf.DUMMYFUNCTION("GOOGLETRANSLATE(C77,""vi"",""km"")"),"ជួបគ្នាម្តងទៀត")</f>
        <v/>
      </c>
      <c r="H77" s="217" t="inlineStr">
        <is>
          <t>កំណត់ពេលទៅយកឡើងវិញ</t>
        </is>
      </c>
      <c r="J77" s="217" t="inlineStr">
        <is>
          <t>ណាត់ពេលទៅយកម្តងទៀត</t>
        </is>
      </c>
      <c r="K77" s="217" t="inlineStr">
        <is>
          <t>ណាត់ពេលទៅយកម្តងទៀត</t>
        </is>
      </c>
      <c r="S77" s="163" t="inlineStr">
        <is>
          <t>ទទួលម្តងទៀត</t>
        </is>
      </c>
    </row>
    <row r="78" ht="15.75" customHeight="1" s="305">
      <c r="A78" s="217" t="inlineStr">
        <is>
          <t>MANAGE_ORDER.STATUS_RECEIVE_FAILED</t>
        </is>
      </c>
      <c r="B78" s="153" t="inlineStr">
        <is>
          <t>收货失败</t>
        </is>
      </c>
      <c r="C78" s="3" t="inlineStr">
        <is>
          <t>Không lấy được hàng</t>
        </is>
      </c>
      <c r="D78" s="3" t="inlineStr">
        <is>
          <t>Receive failed</t>
        </is>
      </c>
      <c r="E78" s="3" t="inlineStr">
        <is>
          <t>ບໍ່ສາມາດຮັບພັດສະດຸໄດ້</t>
        </is>
      </c>
      <c r="F78" s="3" t="inlineStr">
        <is>
          <t>လက်ခံမှု မအောင်မြင်ပါ</t>
        </is>
      </c>
      <c r="G78" s="3">
        <f>IFERROR(__xludf.DUMMYFUNCTION("GOOGLETRANSLATE(C78,""vi"",""km"")"),"មិនអាចទទួលទំនិញបានទេ។")</f>
        <v/>
      </c>
      <c r="H78" s="217" t="inlineStr">
        <is>
          <t>មិនអាចយកអីវ៉ាន់បាន</t>
        </is>
      </c>
      <c r="J78" s="217" t="inlineStr">
        <is>
          <t>យកអីវ៉ាន់មិនបានសម្រេច</t>
        </is>
      </c>
      <c r="K78" s="217" t="inlineStr">
        <is>
          <t>យកអីវ៉ាន់មិនបានសម្រេច</t>
        </is>
      </c>
      <c r="S78" s="163" t="inlineStr">
        <is>
          <t>ការទទួលបរាជ័យ</t>
        </is>
      </c>
    </row>
    <row r="79" ht="15.75" customHeight="1" s="305">
      <c r="A79" s="217" t="inlineStr">
        <is>
          <t>MANAGE_ORDER.STATUS_TRANSITING</t>
        </is>
      </c>
      <c r="B79" s="153" t="inlineStr">
        <is>
          <t>运输中</t>
        </is>
      </c>
      <c r="C79" s="3" t="inlineStr">
        <is>
          <t>Đang vận chuyển giao</t>
        </is>
      </c>
      <c r="D79" s="3" t="inlineStr">
        <is>
          <t>Transiting</t>
        </is>
      </c>
      <c r="E79" s="3" t="inlineStr">
        <is>
          <t>ຢູ່ໃນການຂົນສົ່ງ</t>
        </is>
      </c>
      <c r="F79" s="3" t="inlineStr">
        <is>
          <t>ပြောင်းရွှေ့ခြင်း</t>
        </is>
      </c>
      <c r="G79" s="3">
        <f>IFERROR(__xludf.DUMMYFUNCTION("GOOGLETRANSLATE(C79,""vi"",""km"")"),"បច្ចុប្បន្នកំពុងដឹកជញ្ជូន។")</f>
        <v/>
      </c>
      <c r="H79" s="217" t="inlineStr">
        <is>
          <t>កំពុងដឹកជញ្ជូន</t>
        </is>
      </c>
      <c r="J79" s="217" t="inlineStr">
        <is>
          <t>កំពុងដឹកជញ្ជូនចែកចាយ</t>
        </is>
      </c>
      <c r="K79" s="217" t="inlineStr">
        <is>
          <t>កំពុងដឹកជញ្ជូនចែកចាយ</t>
        </is>
      </c>
      <c r="S79" s="163" t="inlineStr">
        <is>
          <t>ឆ្លងកាត់</t>
        </is>
      </c>
    </row>
    <row r="80" ht="15.75" customHeight="1" s="305">
      <c r="A80" s="217" t="inlineStr">
        <is>
          <t>MANAGE_ORDER.STATUS_FORWARDING_REQUEST</t>
        </is>
      </c>
      <c r="B80" s="153" t="inlineStr">
        <is>
          <t>申请修改地址</t>
        </is>
      </c>
      <c r="C80" s="3" t="inlineStr">
        <is>
          <t>Yêu cầu chuyển địa chỉ</t>
        </is>
      </c>
      <c r="D80" s="3" t="inlineStr">
        <is>
          <t>Request to change address</t>
        </is>
      </c>
      <c r="E80" s="3" t="inlineStr">
        <is>
          <t>ຮ້ອງຂໍປ່ຽນທີ່ຢູ່</t>
        </is>
      </c>
      <c r="F80" s="3" t="inlineStr">
        <is>
          <t>လိပ်စာပြောင်းရန် တောင်းဆိုချက်</t>
        </is>
      </c>
      <c r="G80" s="3">
        <f>IFERROR(__xludf.DUMMYFUNCTION("GOOGLETRANSLATE(C80,""vi"",""km"")"),"សំណើសុំផ្លាស់ប្តូរអាសយដ្ឋាន")</f>
        <v/>
      </c>
      <c r="H80" s="217" t="inlineStr">
        <is>
          <t>ស្នើសុំការផ្លាស់ប្តូរអាសយដ្ឋាន</t>
        </is>
      </c>
      <c r="J80" s="217" t="inlineStr">
        <is>
          <t>ស្នើសុំប្តូរអាសយដ្ឋានដឹកជញ្ជូន</t>
        </is>
      </c>
      <c r="K80" s="217" t="inlineStr">
        <is>
          <t>ស្នើសុំប្តូរអាសយដ្ឋានដឹកជញ្ជូន</t>
        </is>
      </c>
      <c r="S80" s="163" t="inlineStr">
        <is>
          <t>ស្នើសុំផ្លាស់ប្តូរអាសយដ្ឋាន</t>
        </is>
      </c>
    </row>
    <row r="81" ht="15.75" customHeight="1" s="305">
      <c r="A81" s="217" t="inlineStr">
        <is>
          <t>MANAGE_ORDER.STATUS_SHIPPING</t>
        </is>
      </c>
      <c r="B81" s="153" t="inlineStr">
        <is>
          <t>发货中</t>
        </is>
      </c>
      <c r="C81" s="3" t="inlineStr">
        <is>
          <t>Đang giao hàng</t>
        </is>
      </c>
      <c r="D81" s="3" t="inlineStr">
        <is>
          <t>Shipping</t>
        </is>
      </c>
      <c r="E81" s="3" t="inlineStr">
        <is>
          <t>ກຳລັັງຈັດສົ່ງ</t>
        </is>
      </c>
      <c r="F81" s="3" t="inlineStr">
        <is>
          <t>ပို့ဆောင်ခြင်း</t>
        </is>
      </c>
      <c r="G81" s="3">
        <f>IFERROR(__xludf.DUMMYFUNCTION("GOOGLETRANSLATE(C81,""vi"",""km"")"),"ការដឹកជញ្ជូនកំពុងដំណើរការ")</f>
        <v/>
      </c>
      <c r="H81" s="217" t="inlineStr">
        <is>
          <t>ការដឹកជញ្ជូនកំពុងដឹកជញ្ជូន</t>
        </is>
      </c>
      <c r="J81" s="217" t="inlineStr">
        <is>
          <t>កំពុងដឹកចែកអីវ៉ាន់</t>
        </is>
      </c>
      <c r="K81" s="217" t="inlineStr">
        <is>
          <t>កំពុងដឹកចែកអីវ៉ាន់</t>
        </is>
      </c>
      <c r="S81" s="163" t="inlineStr">
        <is>
          <t>ការដឹកជញ្ជូន</t>
        </is>
      </c>
    </row>
    <row r="82" ht="15.75" customHeight="1" s="305">
      <c r="A82" s="217" t="inlineStr">
        <is>
          <t>MANAGE_ORDER.STATUS_SHIPPED</t>
        </is>
      </c>
      <c r="B82" s="153" t="inlineStr">
        <is>
          <t>已发货</t>
        </is>
      </c>
      <c r="C82" s="3" t="inlineStr">
        <is>
          <t>Giao thành công</t>
        </is>
      </c>
      <c r="D82" s="3" t="inlineStr">
        <is>
          <t>Shipped</t>
        </is>
      </c>
      <c r="E82" s="3" t="inlineStr">
        <is>
          <t>ການຈັດສົ່ງສຳເລັດແລ້ວ</t>
        </is>
      </c>
      <c r="F82" s="3" t="inlineStr">
        <is>
          <t>ပို့ဆောင်ပြီးပြီ</t>
        </is>
      </c>
      <c r="G82" s="3">
        <f>IFERROR(__xludf.DUMMYFUNCTION("GOOGLETRANSLATE(C82,""vi"",""km"")"),"ការដឹកជញ្ជូនទទួលបានជោគជ័យ")</f>
        <v/>
      </c>
      <c r="H82" s="217" t="inlineStr">
        <is>
          <t>ប្រគល់បានជោគជ័យ</t>
        </is>
      </c>
      <c r="J82" s="217" t="inlineStr">
        <is>
          <t>ដឹកជញ្ជូនជោគជ័យ</t>
        </is>
      </c>
      <c r="K82" s="217" t="inlineStr">
        <is>
          <t>ដឹកជញ្ជូនជោគជ័យ</t>
        </is>
      </c>
      <c r="S82" s="163" t="inlineStr">
        <is>
          <t>កំពុងដឹកជញ្ជូន</t>
        </is>
      </c>
    </row>
    <row r="83" ht="15.75" customHeight="1" s="305">
      <c r="A83" s="217" t="inlineStr">
        <is>
          <t>MANAGE_ORDER.STATUS_SHIP_AGAIN</t>
        </is>
      </c>
      <c r="B83" s="153" t="inlineStr">
        <is>
          <t>重新发货</t>
        </is>
      </c>
      <c r="C83" s="3" t="inlineStr">
        <is>
          <t>Hẹn giao lại</t>
        </is>
      </c>
      <c r="D83" s="3" t="inlineStr">
        <is>
          <t>Ship again</t>
        </is>
      </c>
      <c r="E83" s="3" t="inlineStr">
        <is>
          <t>ນັັດສົ່ງໃຫມ່</t>
        </is>
      </c>
      <c r="F83" s="3" t="inlineStr">
        <is>
          <t>ထက်မံပို့ဆောင်ပါ</t>
        </is>
      </c>
      <c r="G83" s="3">
        <f>IFERROR(__xludf.DUMMYFUNCTION("GOOGLETRANSLATE(C83,""vi"",""km"")"),"ការដឹកជញ្ជូនត្រូវបានកំណត់ពេលឡើងវិញ")</f>
        <v/>
      </c>
      <c r="H83" s="217" t="inlineStr">
        <is>
          <t>កំណត់ប្រគល់ម្តងទៀត</t>
        </is>
      </c>
      <c r="J83" s="217" t="inlineStr">
        <is>
          <t>ណាត់ពេលដឹកជញ្ជូនម្តងទៀត</t>
        </is>
      </c>
      <c r="K83" s="217" t="inlineStr">
        <is>
          <t>ណាត់ពេលដឹកជញ្ជូនម្តងទៀត</t>
        </is>
      </c>
      <c r="S83" s="163" t="inlineStr">
        <is>
          <t>បញ្ជូនម្តងទៀត</t>
        </is>
      </c>
    </row>
    <row r="84" ht="15.75" customHeight="1" s="305">
      <c r="A84" s="217" t="inlineStr">
        <is>
          <t>MANAGE_ORDER.STATUS_SHIP_FAILED</t>
        </is>
      </c>
      <c r="B84" s="153" t="inlineStr">
        <is>
          <t>发货失败</t>
        </is>
      </c>
      <c r="C84" s="3" t="inlineStr">
        <is>
          <t>Không giao được hàng</t>
        </is>
      </c>
      <c r="D84" s="3" t="inlineStr">
        <is>
          <t>Ship failed</t>
        </is>
      </c>
      <c r="E84" s="3" t="inlineStr">
        <is>
          <t>ບໍ່ສາມາດຈັດສົ່ງໄດ້</t>
        </is>
      </c>
      <c r="F84" s="3" t="inlineStr">
        <is>
          <t>ပို့ဆောင်မှု မအောင်မြင်ပါ</t>
        </is>
      </c>
      <c r="G84" s="3">
        <f>IFERROR(__xludf.DUMMYFUNCTION("GOOGLETRANSLATE(C84,""vi"",""km"")"),"មិនអាចដឹកជញ្ជូនបានទេ")</f>
        <v/>
      </c>
      <c r="H84" s="217" t="inlineStr">
        <is>
          <t>មិនអាចប្រគល់អីវ៉ាន់បាន</t>
        </is>
      </c>
      <c r="J84" s="217" t="inlineStr">
        <is>
          <t>ដឹកជញ្ជូនមិនបានសម្រេច</t>
        </is>
      </c>
      <c r="K84" s="217" t="inlineStr">
        <is>
          <t>ដឹកជញ្ជូនមិនបានសម្រេច</t>
        </is>
      </c>
      <c r="S84" s="163" t="inlineStr">
        <is>
          <t>ការជញ្ជូនបរាជ័យ</t>
        </is>
      </c>
    </row>
    <row r="85" ht="15.75" customHeight="1" s="305">
      <c r="A85" s="217" t="inlineStr">
        <is>
          <t>MANAGE_ORDER.STATUS_PARTIAL_SHIP_REQUEST</t>
        </is>
      </c>
      <c r="B85" s="153" t="inlineStr">
        <is>
          <t>申请分批发货</t>
        </is>
      </c>
      <c r="C85" s="3" t="inlineStr">
        <is>
          <t>Yêu cầu giao 1 phần</t>
        </is>
      </c>
      <c r="D85" s="3" t="inlineStr">
        <is>
          <t>Partial ship request</t>
        </is>
      </c>
      <c r="E85" s="3" t="inlineStr">
        <is>
          <t>ຮ້ອງຂໍສົ່ງສ່ວນໜື່ງ</t>
        </is>
      </c>
      <c r="F85" s="3" t="inlineStr">
        <is>
          <t>တစ်စိတ်တစ်ပိုင်း ပိဆောင်မှု တောင်းဆိုခြင်း</t>
        </is>
      </c>
      <c r="G85" s="3">
        <f>IFERROR(__xludf.DUMMYFUNCTION("GOOGLETRANSLATE(C85,""vi"",""km"")"),"ស្នើសុំការដឹកជញ្ជូន ១ ចំណែក")</f>
        <v/>
      </c>
      <c r="H85" s="217" t="inlineStr">
        <is>
          <t>ស្នើសុំប្រគល់មួយផ្នែក</t>
        </is>
      </c>
      <c r="J85" s="217" t="inlineStr">
        <is>
          <t>ស្នើសុំដឹកជញ្ជូនមួយផ្នែក</t>
        </is>
      </c>
      <c r="K85" s="217" t="inlineStr">
        <is>
          <t>ស្នើសុំដឹកជញ្ជូនមួយផ្នែក</t>
        </is>
      </c>
      <c r="S85" s="163" t="inlineStr">
        <is>
          <t>សំណើជញ្ជូនដោយផ្នែក</t>
        </is>
      </c>
    </row>
    <row r="86" ht="15.75" customHeight="1" s="305">
      <c r="A86" s="217" t="inlineStr">
        <is>
          <t>MANAGE_ORDER.STATUS_PARTIALLY_SHIPPED</t>
        </is>
      </c>
      <c r="B86" s="153" t="inlineStr">
        <is>
          <t>分批发货成功</t>
        </is>
      </c>
      <c r="C86" s="3" t="inlineStr">
        <is>
          <t>Giao thành công 1 phần</t>
        </is>
      </c>
      <c r="D86" s="3" t="inlineStr">
        <is>
          <t>Partially shipped</t>
        </is>
      </c>
      <c r="E86" s="3" t="inlineStr">
        <is>
          <t>ການຈັດສົ່ງບາງສ່ວນສຳເລັດແລ້ວ</t>
        </is>
      </c>
      <c r="F86" s="3" t="inlineStr">
        <is>
          <t>တစ်စိတ်တစ်ပိုင်း တင်ပို့ခဲ့</t>
        </is>
      </c>
      <c r="G86" s="3">
        <f>IFERROR(__xludf.DUMMYFUNCTION("GOOGLETRANSLATE(C86,""vi"",""km"")"),"ការដឹកជញ្ជូនដោយផ្នែកទទួលបានជោគជ័យ។")</f>
        <v/>
      </c>
      <c r="H86" s="217" t="inlineStr">
        <is>
          <t>ប្រគល់បានជោគជ័យមួយផ្នែក</t>
        </is>
      </c>
      <c r="J86" s="217" t="inlineStr">
        <is>
          <t>ដឹកជញ្ជូនជោគជ័យមួយផ្នែក</t>
        </is>
      </c>
      <c r="K86" s="217" t="inlineStr">
        <is>
          <t>ដឹកជញ្ជូនជោគជ័យមួយផ្នែក</t>
        </is>
      </c>
      <c r="S86" s="163" t="inlineStr">
        <is>
          <t>ដឹកជញ្ជូនដោយផ្នែក</t>
        </is>
      </c>
    </row>
    <row r="87" ht="15.75" customHeight="1" s="305">
      <c r="A87" s="217" t="inlineStr">
        <is>
          <t>MANAGE_ORDER.STATUS_CHANGE_ADDRESS</t>
        </is>
      </c>
      <c r="B87" s="153" t="inlineStr">
        <is>
          <t>修改地址</t>
        </is>
      </c>
      <c r="C87" s="3" t="inlineStr">
        <is>
          <t>Chuyển giao địa chỉ mới</t>
        </is>
      </c>
      <c r="D87" s="3" t="inlineStr">
        <is>
          <t>Change address</t>
        </is>
      </c>
      <c r="E87" s="3" t="inlineStr">
        <is>
          <t>ປ່ຽນໄປຫາທີ່ຢູ່ໃໝ່</t>
        </is>
      </c>
      <c r="F87" s="3" t="inlineStr">
        <is>
          <t>လိပ်စာပြောင်းပါ</t>
        </is>
      </c>
      <c r="G87" s="3">
        <f>IFERROR(__xludf.DUMMYFUNCTION("GOOGLETRANSLATE(C87,""vi"",""km"")"),"ផ្ទេរទៅអាសយដ្ឋានថ្មី។")</f>
        <v/>
      </c>
      <c r="H87" s="217" t="inlineStr">
        <is>
          <t>ផ្លាស់ប្តូរទីតាំងប្រគល់ថ្មី</t>
        </is>
      </c>
      <c r="J87" s="217" t="inlineStr">
        <is>
          <t>ដឹកជញ្ជូនទៅកាន់អាសយដ្ឋានថ្មី</t>
        </is>
      </c>
      <c r="K87" s="217" t="inlineStr">
        <is>
          <t>ដឹកជញ្ជូនទៅកាន់អាសយដ្ឋានថ្មី</t>
        </is>
      </c>
      <c r="S87" s="163" t="inlineStr">
        <is>
          <t>ផ្លាស់ប្តូរអាសយដ្ឋាន</t>
        </is>
      </c>
    </row>
    <row r="88" ht="15.75" customHeight="1" s="305">
      <c r="A88" s="217" t="inlineStr">
        <is>
          <t>MANAGE_ORDER.STATUS_RETURN_REQUEST</t>
        </is>
      </c>
      <c r="B88" s="153" t="inlineStr">
        <is>
          <t>退货申请</t>
        </is>
      </c>
      <c r="C88" s="3" t="inlineStr">
        <is>
          <t>Thông báo chuyển hoàn</t>
        </is>
      </c>
      <c r="D88" s="3" t="inlineStr">
        <is>
          <t>Return request</t>
        </is>
      </c>
      <c r="E88" s="3" t="inlineStr">
        <is>
          <t>ແຈ້ງຕີກັບເຄື່ອງ</t>
        </is>
      </c>
      <c r="F88" s="3" t="inlineStr">
        <is>
          <t>ပြန်လည်ပိုဆောင်ရန် တောင်းဆိုချက်</t>
        </is>
      </c>
      <c r="G88" s="3">
        <f>IFERROR(__xludf.DUMMYFUNCTION("GOOGLETRANSLATE(C88,""vi"",""km"")"),"ការជូនដំណឹងអំពីការសងប្រាក់វិញ")</f>
        <v/>
      </c>
      <c r="H88" s="217" t="inlineStr">
        <is>
          <t>ការជូនដំណឹងពីការសងត្រលប់អីវ៉ាន់</t>
        </is>
      </c>
      <c r="J88" s="217" t="inlineStr">
        <is>
          <t>ជូនដំណឹងអំពីការប្រគល់ត្រឡប់</t>
        </is>
      </c>
      <c r="K88" s="217" t="inlineStr">
        <is>
          <t>ជូនដំណឹងអំពីការប្រគល់ត្រឡប់</t>
        </is>
      </c>
      <c r="S88" s="163" t="inlineStr">
        <is>
          <t>សំណើត្រឡប់មកវិញ</t>
        </is>
      </c>
    </row>
    <row r="89" ht="15.75" customHeight="1" s="305">
      <c r="A89" s="217" t="inlineStr">
        <is>
          <t>MANAGE_ORDER.STATUS_RETURN_CONFIRMED</t>
        </is>
      </c>
      <c r="B89" s="153" t="inlineStr">
        <is>
          <t>退货已确认</t>
        </is>
      </c>
      <c r="C89" s="3" t="inlineStr">
        <is>
          <t>Đã duyệt hoàn</t>
        </is>
      </c>
      <c r="D89" s="3" t="inlineStr">
        <is>
          <t>Return confirmed</t>
        </is>
      </c>
      <c r="E89" s="3" t="inlineStr">
        <is>
          <t>ໄດ້ຕີກັບເຄື່ອງແລ້ວ</t>
        </is>
      </c>
      <c r="F89" s="3" t="inlineStr">
        <is>
          <t>ပြန်လာမှုကို အတည်ပြုခဲ့</t>
        </is>
      </c>
      <c r="G89" s="3">
        <f>IFERROR(__xludf.DUMMYFUNCTION("GOOGLETRANSLATE(C89,""vi"",""km"")"),"យល់ព្រម")</f>
        <v/>
      </c>
      <c r="H89" s="217" t="inlineStr">
        <is>
          <t>បានយល់ព្រម</t>
        </is>
      </c>
      <c r="J89" s="217" t="inlineStr">
        <is>
          <t>បានអនុម័តការប្រគល់ត្រឡប់</t>
        </is>
      </c>
      <c r="K89" s="217" t="inlineStr">
        <is>
          <t>បានអនុម័តការប្រគល់ត្រឡប់</t>
        </is>
      </c>
      <c r="S89" s="163" t="inlineStr">
        <is>
          <t>បញ្ជាក់ការត្រឡប់មកវិញ</t>
        </is>
      </c>
    </row>
    <row r="90" ht="15.75" customHeight="1" s="305">
      <c r="A90" s="217" t="inlineStr">
        <is>
          <t>MANAGE_ORDER.STATUS_SHIPPER_RETURN</t>
        </is>
      </c>
      <c r="B90" s="153" t="inlineStr">
        <is>
          <t>承运人退回</t>
        </is>
      </c>
      <c r="C90" s="3" t="inlineStr">
        <is>
          <t>Đang vận chuyển hoàn</t>
        </is>
      </c>
      <c r="D90" s="3" t="inlineStr">
        <is>
          <t>Shipper return</t>
        </is>
      </c>
      <c r="E90" s="3" t="inlineStr">
        <is>
          <t>ກຳລັງສົ່ງເຄື່ອງຕີກັບ</t>
        </is>
      </c>
      <c r="F90" s="3" t="inlineStr">
        <is>
          <t>ပြန်လည်ပို့ဆောင်ခြင်း</t>
        </is>
      </c>
      <c r="G90" s="3">
        <f>IFERROR(__xludf.DUMMYFUNCTION("GOOGLETRANSLATE(C90,""vi"",""km"")"),"បច្ចុប្បន្នកំពុងដំណើរការ។")</f>
        <v/>
      </c>
      <c r="H90" s="217" t="inlineStr">
        <is>
          <t>កំពង់ដឹកជញ្ជូនត្រលប់មកវិញ</t>
        </is>
      </c>
      <c r="J90" s="217" t="inlineStr">
        <is>
          <t>កំពុងដឹកជញ្ជូនត្រឡប់</t>
        </is>
      </c>
      <c r="K90" s="217" t="inlineStr">
        <is>
          <t>កំពុងដឹកជញ្ជូនត្រឡប់</t>
        </is>
      </c>
      <c r="S90" s="163" t="inlineStr">
        <is>
          <t>អ្នកដឹកជញ្ជូនត្រឡប់មកវិញ</t>
        </is>
      </c>
    </row>
    <row r="91" ht="15.75" customHeight="1" s="305">
      <c r="A91" s="217" t="inlineStr">
        <is>
          <t>MANAGE_ORDER.STATUS_RETURNING</t>
        </is>
      </c>
      <c r="B91" s="153" t="inlineStr">
        <is>
          <t>退货中</t>
        </is>
      </c>
      <c r="C91" s="3" t="inlineStr">
        <is>
          <t>Đang giao hoàn</t>
        </is>
      </c>
      <c r="D91" s="3" t="inlineStr">
        <is>
          <t>Returning</t>
        </is>
      </c>
      <c r="E91" s="3" t="inlineStr">
        <is>
          <t>ກຳລັງສົ່ງເຄື່ອງຕີກັບ</t>
        </is>
      </c>
      <c r="F91" s="3" t="inlineStr">
        <is>
          <t>ပြန်လည်ပို့ဆောင်ခြင်း</t>
        </is>
      </c>
      <c r="G91" s="3">
        <f>IFERROR(__xludf.DUMMYFUNCTION("GOOGLETRANSLATE(C91,""vi"",""km"")"),"កំពុងដំណើរការ")</f>
        <v/>
      </c>
      <c r="H91" s="217" t="inlineStr">
        <is>
          <t>កំពង់ប្រគល់ត្រលប់</t>
        </is>
      </c>
      <c r="J91" s="217" t="inlineStr">
        <is>
          <t>កំពុងប្រគល់ត្រឡប់</t>
        </is>
      </c>
      <c r="K91" s="217" t="inlineStr">
        <is>
          <t>កំពុងប្រគល់ត្រឡប់</t>
        </is>
      </c>
      <c r="S91" s="163" t="inlineStr">
        <is>
          <t>ត្រលប់មកវិញ</t>
        </is>
      </c>
    </row>
    <row r="92" ht="15.75" customHeight="1" s="305">
      <c r="A92" s="217" t="inlineStr">
        <is>
          <t>MANAGE_ORDER.STATUS_RETURN_SUCCESSFUL</t>
        </is>
      </c>
      <c r="B92" s="153" t="inlineStr">
        <is>
          <t>退货成功</t>
        </is>
      </c>
      <c r="C92" s="3" t="inlineStr">
        <is>
          <t>Đã trả hàng</t>
        </is>
      </c>
      <c r="D92" s="3" t="inlineStr">
        <is>
          <t>Return successfully</t>
        </is>
      </c>
      <c r="E92" s="3" t="inlineStr">
        <is>
          <t>ໄດ້ຕີີກັບເຄື່ອງ</t>
        </is>
      </c>
      <c r="F92" s="3" t="inlineStr">
        <is>
          <t>အောင်မြင်စွာ ပြန်လည်ပို့ဆောင်ခြင်း</t>
        </is>
      </c>
      <c r="G92" s="3">
        <f>IFERROR(__xludf.DUMMYFUNCTION("GOOGLETRANSLATE(C92,""vi"",""km"")"),"បានត្រឡប់មកវិញ")</f>
        <v/>
      </c>
      <c r="H92" s="217" t="inlineStr">
        <is>
          <t>បានសងអីវ៉ាន់</t>
        </is>
      </c>
      <c r="J92" s="217" t="inlineStr">
        <is>
          <t>បានប្រគល់ត្រឡប់</t>
        </is>
      </c>
      <c r="K92" s="217" t="inlineStr">
        <is>
          <t>បានប្រគល់ត្រឡប់</t>
        </is>
      </c>
      <c r="S92" s="163" t="inlineStr">
        <is>
          <t>ត្រឡប់មកវិញដោយជោគជ័យ</t>
        </is>
      </c>
    </row>
    <row r="93" ht="15.75" customHeight="1" s="305">
      <c r="A93" s="217" t="inlineStr">
        <is>
          <t>MANAGE_ORDER.STATUS_RETURN_AGAIN</t>
        </is>
      </c>
      <c r="B93" s="153" t="inlineStr">
        <is>
          <t>重新退货</t>
        </is>
      </c>
      <c r="C93" s="3" t="inlineStr">
        <is>
          <t>Hoãn trả hàng</t>
        </is>
      </c>
      <c r="D93" s="3" t="inlineStr">
        <is>
          <t>Return again</t>
        </is>
      </c>
      <c r="E93" s="3" t="inlineStr">
        <is>
          <t>ເລື່ອນການສົ່ງເຄື່ອງ</t>
        </is>
      </c>
      <c r="F93" s="3" t="inlineStr">
        <is>
          <t>ပြန်လည်ပို့ဆောင်ခြင်း ထက်မံလုပ်ပါ</t>
        </is>
      </c>
      <c r="G93" s="3">
        <f>IFERROR(__xludf.DUMMYFUNCTION("GOOGLETRANSLATE(C93,""vi"",""km"")"),"ពន្យារពេលការត្រឡប់មកវិញ។")</f>
        <v/>
      </c>
      <c r="H93" s="217" t="inlineStr">
        <is>
          <t>ពន្យាពេលការសងអីវ៉ាន់</t>
        </is>
      </c>
      <c r="J93" s="217" t="inlineStr">
        <is>
          <t>ពន្យាពេលការសងអីវ៉ាន់</t>
        </is>
      </c>
      <c r="K93" s="217" t="inlineStr">
        <is>
          <t>ពន្យាពេលការសងអីវ៉ាន់</t>
        </is>
      </c>
      <c r="S93" s="163" t="inlineStr">
        <is>
          <t>ត្រឡប់មកវិញម្តងទៀត</t>
        </is>
      </c>
    </row>
    <row r="94" ht="15.75" customHeight="1" s="305">
      <c r="A94" s="217" t="inlineStr">
        <is>
          <t>MANAGE_ORDER.STATUS_RETURN_FAILED</t>
        </is>
      </c>
      <c r="B94" s="153" t="inlineStr">
        <is>
          <t>退货失败</t>
        </is>
      </c>
      <c r="C94" s="3" t="inlineStr">
        <is>
          <t>Không trả được hàng</t>
        </is>
      </c>
      <c r="D94" s="3" t="inlineStr">
        <is>
          <t>Return failed</t>
        </is>
      </c>
      <c r="E94" s="3" t="inlineStr">
        <is>
          <t>ບໍ່ສາມາດສົ່ງຄືນສິນຄ້າໄດ້</t>
        </is>
      </c>
      <c r="F94" s="3" t="inlineStr">
        <is>
          <t>ပြန်လည်ပို့ဆောင်ခြင်းမအောင်မြင်ပါ</t>
        </is>
      </c>
      <c r="G94" s="3">
        <f>IFERROR(__xludf.DUMMYFUNCTION("GOOGLETRANSLATE(C94,""vi"",""km"")"),"មិនអាចប្រគល់ទំនិញវិញបានទេ។")</f>
        <v/>
      </c>
      <c r="H94" s="217" t="inlineStr">
        <is>
          <t>មិនអាចសងអីវ៉ាន់បាន</t>
        </is>
      </c>
      <c r="J94" s="217" t="inlineStr">
        <is>
          <t>ប្រគល់ត្រឡប់មិនបានសម្រេច</t>
        </is>
      </c>
      <c r="K94" s="217" t="inlineStr">
        <is>
          <t>ប្រគល់ត្រឡប់មិនបានសម្រេច</t>
        </is>
      </c>
      <c r="S94" s="163" t="inlineStr">
        <is>
          <t>ការត្រឡប់មកវិញបានបរាជ័យ</t>
        </is>
      </c>
    </row>
    <row r="95" ht="15.75" customHeight="1" s="305">
      <c r="A95" s="217" t="inlineStr">
        <is>
          <t>MANAGE_ORDER.STATUS_DISPOSAL</t>
        </is>
      </c>
      <c r="B95" s="153" t="inlineStr">
        <is>
          <t>已取消</t>
        </is>
      </c>
      <c r="C95" s="3" t="inlineStr">
        <is>
          <t>Đã tiêu hủy</t>
        </is>
      </c>
      <c r="D95" s="3" t="inlineStr">
        <is>
          <t>Disposal</t>
        </is>
      </c>
      <c r="E95" s="3" t="inlineStr">
        <is>
          <t>ຖືກທໍາລາຍ</t>
        </is>
      </c>
      <c r="F95" s="3" t="inlineStr">
        <is>
          <t>စွန့်ပစ်ခြင်း</t>
        </is>
      </c>
      <c r="G95" s="3">
        <f>IFERROR(__xludf.DUMMYFUNCTION("GOOGLETRANSLATE(C95,""vi"",""km"")"),"បំផ្លាញចោល")</f>
        <v/>
      </c>
      <c r="H95" s="160" t="inlineStr">
        <is>
          <t>បានកម្ទេចចោល</t>
        </is>
      </c>
      <c r="I95" s="217" t="inlineStr">
        <is>
          <t>x</t>
        </is>
      </c>
      <c r="J95" s="217" t="inlineStr">
        <is>
          <t>បានកម្ទេចចោល</t>
        </is>
      </c>
      <c r="K95" s="217" t="inlineStr">
        <is>
          <t>បានកម្ទេចចោល</t>
        </is>
      </c>
      <c r="S95" s="163" t="inlineStr">
        <is>
          <t>បានលុបចោល</t>
        </is>
      </c>
    </row>
    <row r="96" ht="15.75" customHeight="1" s="305">
      <c r="A96" s="217" t="inlineStr">
        <is>
          <t>MANAGE_ORDER.HINT_TEXT_SEARCH</t>
        </is>
      </c>
      <c r="B96" s="153" t="inlineStr">
        <is>
          <t>输入订单号、手机号或客户姓名</t>
        </is>
      </c>
      <c r="C96" s="3" t="inlineStr">
        <is>
          <t>Nhập mã đơn, SĐT hoặc tên KH</t>
        </is>
      </c>
      <c r="D96" s="3" t="inlineStr">
        <is>
          <t>Input order number, phone number or customer name</t>
        </is>
      </c>
      <c r="E96" s="3" t="inlineStr">
        <is>
          <t>ໃສ່ລະຫັດການສັ່ງຊື້, ເບີໂທລະສັບ ຫຼືຊື່ລູກຄ້າ</t>
        </is>
      </c>
      <c r="F96" s="3" t="inlineStr">
        <is>
          <t>အော်ဒါ နံပါတ်၊ ဖုန်းနံပါတ် ဒါမှမဟုတ် ဖောက်သည်နာမည်</t>
        </is>
      </c>
      <c r="G96" s="3">
        <f>IFERROR(__xludf.DUMMYFUNCTION("GOOGLETRANSLATE(C96,""vi"",""km"")"),"បញ្ចូលលេខកូដបញ្ជាទិញ លេខទូរស័ព្ទ ឬឈ្មោះអតិថិជន។")</f>
        <v/>
      </c>
      <c r="H96" s="3" t="inlineStr">
        <is>
          <t>បញ្ចូលលេខកូដបុងបញ្ញើ លេខទូរស័ព្ទឬឈ្មោះអតិថិជន</t>
        </is>
      </c>
      <c r="J96" s="217" t="inlineStr">
        <is>
          <t>បញ្ចូលលេខកូដបុងបញ្ញើ លេខទូរស័ព្ទឬឈ្មោះអតិថិជន</t>
        </is>
      </c>
      <c r="K96" s="217" t="inlineStr">
        <is>
          <t>បញ្ចូលលេខកូដបុងបញ្ញើ លេខទូរស័ព្ទឬឈ្មោះអតិថិជន</t>
        </is>
      </c>
      <c r="S96" s="163" t="inlineStr">
        <is>
          <t>បញ្ចូលលេខសម្គាល់បញ្ជា លេខទូរស័ព្ទ ឬឈ្មោះអតិថិជន</t>
        </is>
      </c>
    </row>
    <row r="97" ht="15.75" customHeight="1" s="305">
      <c r="A97" s="217" t="inlineStr">
        <is>
          <t>MANAGE_ORDER.CANCEL</t>
        </is>
      </c>
      <c r="B97" s="153" t="inlineStr">
        <is>
          <t>取消</t>
        </is>
      </c>
      <c r="C97" s="3" t="inlineStr">
        <is>
          <t>Hủy</t>
        </is>
      </c>
      <c r="D97" s="3" t="inlineStr">
        <is>
          <t>Cancel</t>
        </is>
      </c>
      <c r="E97" s="3" t="inlineStr">
        <is>
          <t>ຍົກເລີກ</t>
        </is>
      </c>
      <c r="F97" s="3" t="inlineStr">
        <is>
          <t>ပယ်ဖျက်သည်</t>
        </is>
      </c>
      <c r="G97" s="3">
        <f>IFERROR(__xludf.DUMMYFUNCTION("GOOGLETRANSLATE(C97,""vi"",""km"")"),"បោះបង់")</f>
        <v/>
      </c>
      <c r="H97" s="217" t="inlineStr">
        <is>
          <t>លុបចោល</t>
        </is>
      </c>
      <c r="J97" s="217" t="inlineStr">
        <is>
          <t>លុបចោល</t>
        </is>
      </c>
      <c r="K97" s="217" t="inlineStr">
        <is>
          <t>លុបចោល</t>
        </is>
      </c>
      <c r="S97" s="163" t="inlineStr">
        <is>
          <t>បោះបង់</t>
        </is>
      </c>
    </row>
    <row r="98" ht="15.75" customHeight="1" s="305">
      <c r="A98" s="217" t="inlineStr">
        <is>
          <t>MANAGE_ORDER.WAREHOUSE</t>
        </is>
      </c>
      <c r="B98" s="153" t="inlineStr">
        <is>
          <t>仓库</t>
        </is>
      </c>
      <c r="C98" s="3" t="inlineStr">
        <is>
          <t>Kho hàng</t>
        </is>
      </c>
      <c r="D98" s="3" t="inlineStr">
        <is>
          <t>Warehouse</t>
        </is>
      </c>
      <c r="E98" s="3" t="inlineStr">
        <is>
          <t>ສາງເຄື່ອງ</t>
        </is>
      </c>
      <c r="F98" s="3" t="inlineStr">
        <is>
          <t>ကုန်လှောင်ရုံ</t>
        </is>
      </c>
      <c r="G98" s="3">
        <f>IFERROR(__xludf.DUMMYFUNCTION("GOOGLETRANSLATE(C98,""vi"",""km"")"),"ឃ្លាំង")</f>
        <v/>
      </c>
      <c r="H98" s="217" t="inlineStr">
        <is>
          <t>ឃ្លាំងអីវ៉ាន់</t>
        </is>
      </c>
      <c r="J98" s="217" t="inlineStr">
        <is>
          <t>ឃ្លាំងអីវ៉ាន់</t>
        </is>
      </c>
      <c r="K98" s="217" t="inlineStr">
        <is>
          <t>ឃ្លាំងអីវ៉ាន់</t>
        </is>
      </c>
      <c r="S98" s="163" t="inlineStr">
        <is>
          <t>ឃ្លាំង</t>
        </is>
      </c>
    </row>
    <row r="99" ht="15.75" customHeight="1" s="305">
      <c r="A99" s="217" t="inlineStr">
        <is>
          <t>MANAGE_ORDER.APPLY_FILTER</t>
        </is>
      </c>
      <c r="B99" s="153" t="inlineStr">
        <is>
          <t>应用筛选</t>
        </is>
      </c>
      <c r="C99" s="3" t="inlineStr">
        <is>
          <t>Áp dụng bộ lọc</t>
        </is>
      </c>
      <c r="D99" s="3" t="inlineStr">
        <is>
          <t>Apply filter</t>
        </is>
      </c>
      <c r="E99" s="3" t="inlineStr">
        <is>
          <t>ນຳໃຊ້ຕົວກອງ</t>
        </is>
      </c>
      <c r="F99" s="3" t="inlineStr">
        <is>
          <t>အသုံးချရမယ့် ပစ္စည်းကိရိယာ</t>
        </is>
      </c>
      <c r="G99" s="3">
        <f>IFERROR(__xludf.DUMMYFUNCTION("GOOGLETRANSLATE(C99,""vi"",""km"")"),"អនុវត្តតម្រង")</f>
        <v/>
      </c>
      <c r="H99" s="217" t="inlineStr">
        <is>
          <t>អនុវត្តការចម្រាញ់</t>
        </is>
      </c>
      <c r="J99" s="217" t="inlineStr">
        <is>
          <t>អនុវត្តការចម្រាញ់</t>
        </is>
      </c>
      <c r="K99" s="217" t="inlineStr">
        <is>
          <t>អនុវត្តការចម្រាញ់</t>
        </is>
      </c>
      <c r="S99" s="163" t="inlineStr">
        <is>
          <t>Filter អនុវត្ត</t>
        </is>
      </c>
    </row>
    <row r="100" ht="15.75" customHeight="1" s="305">
      <c r="A100" s="217" t="inlineStr">
        <is>
          <t>MANAGE_ORDER.CANCEL_REASON</t>
        </is>
      </c>
      <c r="B100" s="153" t="inlineStr">
        <is>
          <t>取消原因</t>
        </is>
      </c>
      <c r="C100" s="3" t="inlineStr">
        <is>
          <t>Lý do hủy đơn hàng</t>
        </is>
      </c>
      <c r="D100" s="3" t="inlineStr">
        <is>
          <t>Cancel reason</t>
        </is>
      </c>
      <c r="E100" s="3" t="inlineStr">
        <is>
          <t>ເຫດຜົນສໍາລັບການຍົກເລີກຄໍາສັ່ງ</t>
        </is>
      </c>
      <c r="F100" s="3" t="inlineStr">
        <is>
          <t>အကြောင်းပြချက်ကို ဖျက်သိမ်းပါ</t>
        </is>
      </c>
      <c r="G100" s="3">
        <f>IFERROR(__xludf.DUMMYFUNCTION("GOOGLETRANSLATE(C100,""vi"",""km"")"),"មូលហេតុនៃការលុបចោលការបញ្ជាទិញ")</f>
        <v/>
      </c>
      <c r="H100" s="217" t="inlineStr">
        <is>
          <t>មូលហេតុលុបចោលបុងបញ្ញើ</t>
        </is>
      </c>
      <c r="J100" s="217" t="inlineStr">
        <is>
          <t>មូលហេតុលុបចោលបុងបញ្ញើ</t>
        </is>
      </c>
      <c r="K100" s="217" t="inlineStr">
        <is>
          <t>មូលហេតុលុបចោលបុងបញ្ញើ</t>
        </is>
      </c>
      <c r="S100" s="163" t="inlineStr">
        <is>
          <t>លុបចោលហេតុផល</t>
        </is>
      </c>
    </row>
    <row r="101" ht="15.75" customHeight="1" s="305">
      <c r="A101" s="217" t="inlineStr">
        <is>
          <t>MANAGE_ORDER.SELECT_CANCEL_REASON</t>
        </is>
      </c>
      <c r="B101" s="153" t="inlineStr">
        <is>
          <t>选择取消原因</t>
        </is>
      </c>
      <c r="C101" s="3" t="inlineStr">
        <is>
          <t>Vui lòng chọn lý do hủy đơn hàng</t>
        </is>
      </c>
      <c r="D101" s="3" t="inlineStr">
        <is>
          <t>Select cancel reason</t>
        </is>
      </c>
      <c r="E101" s="3" t="inlineStr">
        <is>
          <t>ກະລຸນາເລືອກເຫດຜົນສໍາລັບການຍົກເລີກການສັ່ງຊື້</t>
        </is>
      </c>
      <c r="F101" s="3" t="inlineStr">
        <is>
          <t>အကြောင်းပြချက်ကို ပယ်ဖျက်ပါ</t>
        </is>
      </c>
      <c r="G101" s="3">
        <f>IFERROR(__xludf.DUMMYFUNCTION("GOOGLETRANSLATE(C101,""vi"",""km"")"),"សូមជ្រើសរើសមូលហេតុនៃការលុបចោលការបញ្ជាទិញរបស់អ្នក។")</f>
        <v/>
      </c>
      <c r="H101" s="217" t="inlineStr">
        <is>
          <t>សូមជ្រើសរើសហេតុផលដែលលុបចោលបុងបញ្ញើ</t>
        </is>
      </c>
      <c r="J101" s="217" t="inlineStr">
        <is>
          <t>សូមជ្រើសរើសហេតុផលដែលលុបចោលបុងបញ្ញើ</t>
        </is>
      </c>
      <c r="K101" s="217" t="inlineStr">
        <is>
          <t>សូមជ្រើសរើសហេតុផលដែលលុបចោលបុងបញ្ញើ</t>
        </is>
      </c>
      <c r="S101" s="163" t="inlineStr">
        <is>
          <t>ជ្រើសរើសហេតុផលលុបចោល</t>
        </is>
      </c>
    </row>
    <row r="102" ht="15.75" customHeight="1" s="305">
      <c r="A102" s="217" t="inlineStr">
        <is>
          <t>MANAGE_ORDER.DUPLICATED_ORDER</t>
        </is>
      </c>
      <c r="B102" s="153" t="inlineStr">
        <is>
          <t>重复订单</t>
        </is>
      </c>
      <c r="C102" s="3" t="inlineStr">
        <is>
          <t>Đơn trùng</t>
        </is>
      </c>
      <c r="D102" s="3" t="inlineStr">
        <is>
          <t>Duplicated order</t>
        </is>
      </c>
      <c r="E102" s="3" t="inlineStr">
        <is>
          <t>ບິນຊ້ຳກັນ</t>
        </is>
      </c>
      <c r="F102" s="3" t="inlineStr">
        <is>
          <t>ကူးယူထားတဲ့ အော်ဒါ</t>
        </is>
      </c>
      <c r="G102" s="3">
        <f>IFERROR(__xludf.DUMMYFUNCTION("GOOGLETRANSLATE(C102,""vi"",""km"")"),"ម៉ូណូក្លូណាល់")</f>
        <v/>
      </c>
      <c r="H102" s="217" t="inlineStr">
        <is>
          <t>បុងបញ្ញើជាន់គ្នា</t>
        </is>
      </c>
      <c r="J102" s="217" t="inlineStr">
        <is>
          <t>បុងបញ្ញើជាន់គ្នា</t>
        </is>
      </c>
      <c r="K102" s="217" t="inlineStr">
        <is>
          <t>បុងបញ្ញើជាន់គ្នា</t>
        </is>
      </c>
      <c r="S102" s="163" t="inlineStr">
        <is>
          <t>ការបញ្ជាស្ទួនគ្នា</t>
        </is>
      </c>
    </row>
    <row r="103" ht="15.75" customHeight="1" s="305">
      <c r="A103" s="217" t="inlineStr">
        <is>
          <t>MANAGE_ORDER.WRONG_INFO</t>
        </is>
      </c>
      <c r="B103" s="153" t="inlineStr">
        <is>
          <t>商品信息有误</t>
        </is>
      </c>
      <c r="C103" s="3" t="inlineStr">
        <is>
          <t>Ghi nhầm thông tin sản phẩm</t>
        </is>
      </c>
      <c r="D103" s="3" t="inlineStr">
        <is>
          <t>Wrong item info</t>
        </is>
      </c>
      <c r="E103" s="3" t="inlineStr">
        <is>
          <t>ຂໍ້ມູນຜະລິດຕະພັນບໍ່ຖືກຕ້ອງ</t>
        </is>
      </c>
      <c r="F103" s="3" t="inlineStr">
        <is>
          <t>မှားယွင်းတဲ့ ပစ္စည်းတွေ အချက်အချာ</t>
        </is>
      </c>
      <c r="G103" s="3">
        <f>IFERROR(__xludf.DUMMYFUNCTION("GOOGLETRANSLATE(C103,""vi"",""km"")"),"ព័ត៌មានផលិតផលមិនត្រឹមត្រូវត្រូវបានបញ្ចូល។")</f>
        <v/>
      </c>
      <c r="H103" s="217" t="inlineStr">
        <is>
          <t>កត់ច្រលំព័ត៌មានអីវ៉ាន់</t>
        </is>
      </c>
      <c r="J103" s="217" t="inlineStr">
        <is>
          <t>កត់ច្រលំព័ត៌មានអីវ៉ាន់</t>
        </is>
      </c>
      <c r="K103" s="217" t="inlineStr">
        <is>
          <t>កត់ច្រលំព័ត៌មានអីវ៉ាន់</t>
        </is>
      </c>
      <c r="S103" s="163" t="inlineStr">
        <is>
          <t>ព័រ៍មានទំនិញមិនត្រឹមត្រូវ</t>
        </is>
      </c>
    </row>
    <row r="104" ht="15.75" customHeight="1" s="305">
      <c r="A104" s="217" t="inlineStr">
        <is>
          <t>MANAGE_ORDER.PICKUP_TIME_TOO_LONG</t>
        </is>
      </c>
      <c r="B104" s="153" t="inlineStr">
        <is>
          <t>揽件太慢</t>
        </is>
      </c>
      <c r="C104" s="3" t="inlineStr">
        <is>
          <t>Lấy hàng lâu</t>
        </is>
      </c>
      <c r="D104" s="3" t="inlineStr">
        <is>
          <t>Slow pickup</t>
        </is>
      </c>
      <c r="E104" s="3" t="inlineStr">
        <is>
          <t>ເວລາຈັດສົ່ງດົນ</t>
        </is>
      </c>
      <c r="F104" s="3" t="inlineStr">
        <is>
          <t>နှေးကွေးတဲ့ ပစ္စည်းကောက်ခြင်း</t>
        </is>
      </c>
      <c r="G104" s="3">
        <f>IFERROR(__xludf.DUMMYFUNCTION("GOOGLETRANSLATE(C104,""vi"",""km"")"),"ចំណាយពេលយូរដើម្បីទៅយកទំនិញ។")</f>
        <v/>
      </c>
      <c r="H104" s="217" t="inlineStr">
        <is>
          <t>យកអីវ៉ាន់យូរ</t>
        </is>
      </c>
      <c r="J104" s="217" t="inlineStr">
        <is>
          <t>យកអីវ៉ាន់យូរ</t>
        </is>
      </c>
      <c r="K104" s="217" t="inlineStr">
        <is>
          <t>យកអីវ៉ាន់យូរ</t>
        </is>
      </c>
      <c r="S104" s="163" t="inlineStr">
        <is>
          <t>មកទទួកយឺត</t>
        </is>
      </c>
    </row>
    <row r="105" ht="15.75" customHeight="1" s="305">
      <c r="A105" s="217" t="inlineStr">
        <is>
          <t>MANAGE_ORDER.OTHER_REASON</t>
        </is>
      </c>
      <c r="B105" s="153" t="inlineStr">
        <is>
          <t>其他原因</t>
        </is>
      </c>
      <c r="C105" s="3" t="inlineStr">
        <is>
          <t>Lý do khác</t>
        </is>
      </c>
      <c r="D105" s="3" t="inlineStr">
        <is>
          <t>Other reason</t>
        </is>
      </c>
      <c r="E105" s="3" t="inlineStr">
        <is>
          <t>ເຫດຜົນອື່ນໆ</t>
        </is>
      </c>
      <c r="F105" s="3" t="inlineStr">
        <is>
          <t>အခြားအကြောင်းရင်းများ</t>
        </is>
      </c>
      <c r="G105" s="3">
        <f>IFERROR(__xludf.DUMMYFUNCTION("GOOGLETRANSLATE(C105,""vi"",""km"")"),"ហេតុផលផ្សេងទៀត")</f>
        <v/>
      </c>
      <c r="H105" s="217" t="inlineStr">
        <is>
          <t>ហេតុផលផ្សេង</t>
        </is>
      </c>
      <c r="J105" s="217" t="inlineStr">
        <is>
          <t>ហេតុផលផ្សេង</t>
        </is>
      </c>
      <c r="K105" s="217" t="inlineStr">
        <is>
          <t>ហេតុផលផ្សេង</t>
        </is>
      </c>
      <c r="S105" s="163" t="inlineStr">
        <is>
          <t>ហេតុផលផ្សេង</t>
        </is>
      </c>
    </row>
    <row r="106" ht="15.75" customHeight="1" s="305">
      <c r="A106" s="217" t="inlineStr">
        <is>
          <t>MANAGE_ORDER.REASON_REQUIRED</t>
        </is>
      </c>
      <c r="B106" s="153" t="inlineStr">
        <is>
          <t>请输入其他原因</t>
        </is>
      </c>
      <c r="C106" s="3" t="inlineStr">
        <is>
          <t>Vui lòng nhập lý do khác</t>
        </is>
      </c>
      <c r="D106" s="3" t="inlineStr">
        <is>
          <t>Other reason is required</t>
        </is>
      </c>
      <c r="E106" s="3" t="inlineStr">
        <is>
          <t>ກະລຸນາໃສ່ເຫດຜົນອື່ນ</t>
        </is>
      </c>
      <c r="F106" s="3" t="inlineStr">
        <is>
          <t xml:space="preserve">လိုအပ်သည့် အခြားအကြောင်းရင်းများ </t>
        </is>
      </c>
      <c r="G106" s="3">
        <f>IFERROR(__xludf.DUMMYFUNCTION("GOOGLETRANSLATE(C106,""vi"",""km"")"),"សូមបញ្ចូលហេតុផលផ្សេងទៀត។")</f>
        <v/>
      </c>
      <c r="H106" s="217" t="inlineStr">
        <is>
          <t>សូូមបញ្ចូលហេតុផលផ្សេង</t>
        </is>
      </c>
      <c r="J106" s="217" t="inlineStr">
        <is>
          <t>សូមបញ្ចូលហេតុផលផ្សេង</t>
        </is>
      </c>
      <c r="K106" s="217" t="inlineStr">
        <is>
          <t>សូមបញ្ចូលហេតុផលផ្សេង</t>
        </is>
      </c>
      <c r="S106" s="163" t="inlineStr">
        <is>
          <t>ហេតុផលផ្សេងទៀតត្រូវបានទាមទារ</t>
        </is>
      </c>
    </row>
    <row r="107" ht="15.75" customHeight="1" s="305">
      <c r="A107" s="217" t="inlineStr">
        <is>
          <t>MANAGE_ORDER.CONTINUE_DELIVERY_REASON</t>
        </is>
      </c>
      <c r="B107" s="153" t="inlineStr">
        <is>
          <t>继续发货原因</t>
        </is>
      </c>
      <c r="C107" s="3" t="inlineStr">
        <is>
          <t>Lý do phát tiếp</t>
        </is>
      </c>
      <c r="D107" s="3" t="inlineStr">
        <is>
          <t>Contents</t>
        </is>
      </c>
      <c r="E107" s="3" t="inlineStr">
        <is>
          <t>ສົ່າເຫດສົ່ງອີກ</t>
        </is>
      </c>
      <c r="F107" s="3" t="inlineStr">
        <is>
          <t>အကြောင်းအရာ</t>
        </is>
      </c>
      <c r="G107" s="3">
        <f>IFERROR(__xludf.DUMMYFUNCTION("GOOGLETRANSLATE(C107,""vi"",""km"")"),"ហេតុផលសម្រាប់ការបន្តការផ្សាយ")</f>
        <v/>
      </c>
      <c r="H107" s="217" t="inlineStr">
        <is>
          <t>មូលហេតុបញ្ជូនបន្ត</t>
        </is>
      </c>
      <c r="J107" s="217" t="inlineStr">
        <is>
          <t>មូលហេតុបញ្ជូនបន្ត</t>
        </is>
      </c>
      <c r="K107" s="217" t="inlineStr">
        <is>
          <t>មូលហេតុបញ្ជូនបន្ត</t>
        </is>
      </c>
      <c r="S107" s="163" t="inlineStr">
        <is>
          <t>ហេតុផលបន្តដឹកជញ្ជូន</t>
        </is>
      </c>
    </row>
    <row r="108" ht="15.75" customHeight="1" s="305">
      <c r="A108" s="217" t="inlineStr">
        <is>
          <t>MANAGE_ORDER.INPUT_CONTINUE_DELIVERY_REASON</t>
        </is>
      </c>
      <c r="B108" s="153" t="inlineStr">
        <is>
          <t>请输入原因</t>
        </is>
      </c>
      <c r="C108" s="3" t="inlineStr">
        <is>
          <t>Nhập lý do</t>
        </is>
      </c>
      <c r="D108" s="3" t="inlineStr">
        <is>
          <t>Enter reason</t>
        </is>
      </c>
      <c r="E108" s="3" t="inlineStr">
        <is>
          <t>ໃສ່ເຫດຜົນ</t>
        </is>
      </c>
      <c r="F108" s="3" t="inlineStr">
        <is>
          <t>အကြောင်းပြချက်ထည့်ပါ</t>
        </is>
      </c>
      <c r="G108" s="3">
        <f>IFERROR(__xludf.DUMMYFUNCTION("GOOGLETRANSLATE(C108,""vi"",""km"")"),"បញ្ចូលហេតុផល")</f>
        <v/>
      </c>
      <c r="H108" s="217" t="inlineStr">
        <is>
          <t>បញ្ចូលមូលហេតុ</t>
        </is>
      </c>
      <c r="J108" s="217" t="inlineStr">
        <is>
          <t>បញ្ចូលមូលហេតុ</t>
        </is>
      </c>
      <c r="K108" s="217" t="inlineStr">
        <is>
          <t>បញ្ចូលមូលហេតុ</t>
        </is>
      </c>
      <c r="S108" s="163" t="inlineStr">
        <is>
          <t>បញ្ចូលហេតុផល</t>
        </is>
      </c>
    </row>
    <row r="109" ht="15.75" customHeight="1" s="305">
      <c r="A109" s="217" t="inlineStr">
        <is>
          <t>MANAGE_ORDER.SELECT_DEVICE</t>
        </is>
      </c>
      <c r="B109" s="153" t="inlineStr">
        <is>
          <t>选择设备</t>
        </is>
      </c>
      <c r="C109" s="3" t="inlineStr">
        <is>
          <t>Chọn thiết bị</t>
        </is>
      </c>
      <c r="D109" s="3" t="inlineStr">
        <is>
          <t>Select device</t>
        </is>
      </c>
      <c r="E109" s="3" t="inlineStr">
        <is>
          <t>ເລືອກອຸປະກອນ</t>
        </is>
      </c>
      <c r="F109" s="3" t="inlineStr">
        <is>
          <t>ရွေးချယ်ထားတဲ့ ကိရိယာ</t>
        </is>
      </c>
      <c r="G109" s="3">
        <f>IFERROR(__xludf.DUMMYFUNCTION("GOOGLETRANSLATE(C109,""vi"",""km"")"),"ជ្រើសរើសឧបករណ៍")</f>
        <v/>
      </c>
      <c r="H109" s="217" t="inlineStr">
        <is>
          <t>ជ្រើសរើសឧបករណ៍</t>
        </is>
      </c>
      <c r="J109" s="217" t="inlineStr">
        <is>
          <t>ជ្រើសរើសឧបករណ៍</t>
        </is>
      </c>
      <c r="K109" s="217" t="inlineStr">
        <is>
          <t>ជ្រើសរើសឧបករណ៍</t>
        </is>
      </c>
      <c r="S109" s="163" t="inlineStr">
        <is>
          <t>ជ្រើសរើសឧបករណ៍</t>
        </is>
      </c>
    </row>
    <row r="110" ht="15.75" customHeight="1" s="305">
      <c r="A110" s="217" t="inlineStr">
        <is>
          <t>MANAGE_ORDER.WIFI_DEVICE</t>
        </is>
      </c>
      <c r="B110" s="161" t="inlineStr">
        <is>
          <t>WiFi设备</t>
        </is>
      </c>
      <c r="C110" s="3" t="inlineStr">
        <is>
          <t>Thiết bị wifi</t>
        </is>
      </c>
      <c r="D110" s="3" t="inlineStr">
        <is>
          <t>WiFi device</t>
        </is>
      </c>
      <c r="E110" s="3" t="inlineStr">
        <is>
          <t>ອຸປະກອນ Wifi</t>
        </is>
      </c>
      <c r="F110" s="3" t="inlineStr">
        <is>
          <t>WiFi ကိရိယာ</t>
        </is>
      </c>
      <c r="G110" s="3">
        <f>IFERROR(__xludf.DUMMYFUNCTION("GOOGLETRANSLATE(C110,""vi"",""km"")"),"ឧបករណ៍ Wi-Fi")</f>
        <v/>
      </c>
      <c r="H110" s="217" t="inlineStr">
        <is>
          <t>ឧបករណ៍វ៉ាយហ្វាយ</t>
        </is>
      </c>
      <c r="J110" s="217" t="inlineStr">
        <is>
          <t>ឧបករណ៍វ៉ាយហ្វាយ</t>
        </is>
      </c>
      <c r="K110" s="217" t="inlineStr">
        <is>
          <t>ឧបករណ៍វ៉ាយហ្វាយ</t>
        </is>
      </c>
      <c r="S110" s="163" t="inlineStr">
        <is>
          <t>ឧបករណ៍វ៉ាយហ្វាយ</t>
        </is>
      </c>
    </row>
    <row r="111" ht="15.75" customHeight="1" s="305">
      <c r="A111" s="217" t="inlineStr">
        <is>
          <t>MANAGE_ORDER.ENTER_PRINTER_ADDRESSS</t>
        </is>
      </c>
      <c r="B111" s="153" t="inlineStr">
        <is>
          <t>输入打印机IP地址</t>
        </is>
      </c>
      <c r="C111" s="3" t="inlineStr">
        <is>
          <t>Nhập địa chỉ IP máy in</t>
        </is>
      </c>
      <c r="D111" s="3" t="inlineStr">
        <is>
          <t>Enter printer IP address</t>
        </is>
      </c>
      <c r="E111" s="3" t="inlineStr">
        <is>
          <t>ໃສ່ທີ່ຢູ່ IP ຂອງເຄື່ອງພິມ</t>
        </is>
      </c>
      <c r="F111" s="3" t="n"/>
      <c r="G111" s="3">
        <f>IFERROR(__xludf.DUMMYFUNCTION("GOOGLETRANSLATE(C111,""vi"",""km"")"),"បញ្ចូលអាសយដ្ឋាន IP របស់ម៉ាស៊ីនបោះពុម្ព។")</f>
        <v/>
      </c>
      <c r="H111" s="217" t="inlineStr">
        <is>
          <t>បញ្ចូលអាស័យដ្ឋាន IP ម៉ាសុីនព្រីន</t>
        </is>
      </c>
      <c r="J111" s="217" t="inlineStr">
        <is>
          <t>បញ្ចូលអាសយដ្ឋាន IP ម៉ាសុីនព្រីន</t>
        </is>
      </c>
      <c r="K111" s="217" t="inlineStr">
        <is>
          <t>បញ្ចូលអាសយដ្ឋាន IP ម៉ាសុីនព្រីន</t>
        </is>
      </c>
      <c r="S111" s="163" t="inlineStr">
        <is>
          <t>បញ្ចូលអាសយដ្ឋាន IP ម៉ាស៊ីនព្រីន</t>
        </is>
      </c>
    </row>
    <row r="112" ht="15.75" customHeight="1" s="305">
      <c r="A112" s="217" t="inlineStr">
        <is>
          <t>MANAGE_ORDER.ENTER_PRINTER_ADDRESS</t>
        </is>
      </c>
      <c r="B112" s="153" t="inlineStr">
        <is>
          <t>输入打印机IP地址</t>
        </is>
      </c>
      <c r="C112" s="3" t="n"/>
      <c r="D112" s="3" t="inlineStr">
        <is>
          <t>Enter printer IP address</t>
        </is>
      </c>
      <c r="E112" s="3" t="n"/>
      <c r="F112" s="3" t="inlineStr">
        <is>
          <t>ပုံနှိပ်စက် iP လိပ်စာကို ဝင်ပါ</t>
        </is>
      </c>
      <c r="G112" s="3">
        <f>IFERROR(__xludf.DUMMYFUNCTION("GOOGLETRANSLATE(C112,""vi"",""km"")"),"#VALUE!")</f>
        <v/>
      </c>
      <c r="J112" s="217" t="inlineStr">
        <is>
          <t>បញ្ចូលអាសយដ្ឋាន IP ម៉ាស៊ីនព្រីន</t>
        </is>
      </c>
      <c r="K112" s="217" t="inlineStr">
        <is>
          <t>បញ្ចូលអាសយដ្ឋាន IP ម៉ាស៊ីនព្រីន</t>
        </is>
      </c>
      <c r="S112" s="163" t="inlineStr">
        <is>
          <t>បញ្ចូលអាសយដ្ឋាន IP ម៉ាស៊ីនព្រីន</t>
        </is>
      </c>
    </row>
    <row r="113" ht="15.75" customHeight="1" s="305">
      <c r="A113" s="217" t="inlineStr">
        <is>
          <t>MANAGE_ORDER.BLUETOOTH_DEVICE</t>
        </is>
      </c>
      <c r="B113" s="153" t="inlineStr">
        <is>
          <t>蓝牙设备</t>
        </is>
      </c>
      <c r="C113" s="3" t="inlineStr">
        <is>
          <t>Thiết bị bluetooth</t>
        </is>
      </c>
      <c r="D113" s="3" t="inlineStr">
        <is>
          <t>Bluetooth device</t>
        </is>
      </c>
      <c r="E113" s="3" t="inlineStr">
        <is>
          <t>ອຸປະກອນ Bluetooth</t>
        </is>
      </c>
      <c r="F113" s="3" t="inlineStr">
        <is>
          <t>Bluetooth ကိရိယာ</t>
        </is>
      </c>
      <c r="G113" s="3">
        <f>IFERROR(__xludf.DUMMYFUNCTION("GOOGLETRANSLATE(C113,""vi"",""km"")"),"ឧបករណ៍ប៊្លូធូស")</f>
        <v/>
      </c>
      <c r="H113" s="18" t="inlineStr">
        <is>
          <t>ឧបករណ៍ប្លូធូ</t>
        </is>
      </c>
      <c r="I113" s="217" t="inlineStr">
        <is>
          <t>x</t>
        </is>
      </c>
      <c r="J113" s="217" t="inlineStr">
        <is>
          <t>ឧបករណ៍ប្លូធូ</t>
        </is>
      </c>
      <c r="K113" s="217" t="inlineStr">
        <is>
          <t>ឧបករណ៍ប្លូធូ</t>
        </is>
      </c>
      <c r="S113" s="163" t="inlineStr">
        <is>
          <t>ឧបករណ៍ប៊្លូធូស</t>
        </is>
      </c>
    </row>
    <row r="114" ht="15.75" customHeight="1" s="305">
      <c r="A114" s="217" t="inlineStr">
        <is>
          <t>MANAGE_ORDER.PLEASE_TURN_ON_BLUETOOTH</t>
        </is>
      </c>
      <c r="B114" s="153" t="inlineStr">
        <is>
          <t>请开启蓝牙以使用此功能</t>
        </is>
      </c>
      <c r="C114" s="3" t="inlineStr">
        <is>
          <t>Vui lòng bật Bluetooth để sử dụng tính năng này</t>
        </is>
      </c>
      <c r="D114" s="3" t="inlineStr">
        <is>
          <t>Please turn on Bluetooth to use this feature</t>
        </is>
      </c>
      <c r="E114" s="3" t="inlineStr">
        <is>
          <t>ກະລຸນາເປີດໃຊ້ Bluetooth ເພື່ອໃຊ້ຄຸນສົມບັດນີ້.</t>
        </is>
      </c>
      <c r="F114" s="3" t="inlineStr">
        <is>
          <t>ဒီအသွင်အပြင်ကိုသုံးဖို့ Bluetooth ကိုဖွင့်ပါ</t>
        </is>
      </c>
      <c r="G114" s="3">
        <f>IFERROR(__xludf.DUMMYFUNCTION("GOOGLETRANSLATE(C114,""vi"",""km"")"),"សូមបើកប៊្លូធូសដើម្បីប្រើមុខងារនេះ។")</f>
        <v/>
      </c>
      <c r="H114" s="217" t="inlineStr">
        <is>
          <t>សូមបើក ប្លូធូដើម្បីប្រើប្រាស់មុខងារនេះ</t>
        </is>
      </c>
      <c r="J114" s="217" t="inlineStr">
        <is>
          <t>សូមបើក ប្លូធូដើម្បីប្រើប្រាស់មុខងារនេះ</t>
        </is>
      </c>
      <c r="K114" s="217" t="inlineStr">
        <is>
          <t>សូមបើក ប្លូធូដើម្បីប្រើប្រាស់មុខងារនេះ</t>
        </is>
      </c>
      <c r="S114" s="163" t="inlineStr">
        <is>
          <t>សូមបើកប៊្លូធូស ដើម្បីប្រើមុខងារនេះ</t>
        </is>
      </c>
    </row>
    <row r="115" ht="15.75" customHeight="1" s="305">
      <c r="A115" s="217" t="inlineStr">
        <is>
          <t>MANAGE_ORDER.CONNECT</t>
        </is>
      </c>
      <c r="B115" s="153" t="inlineStr">
        <is>
          <t>链接</t>
        </is>
      </c>
      <c r="C115" s="3" t="inlineStr">
        <is>
          <t>Kết nối</t>
        </is>
      </c>
      <c r="D115" s="3" t="inlineStr">
        <is>
          <t>Connect</t>
        </is>
      </c>
      <c r="E115" s="3" t="inlineStr">
        <is>
          <t>ເຊື່ອມຕໍ່</t>
        </is>
      </c>
      <c r="F115" s="3" t="inlineStr">
        <is>
          <t>ဆက်သွယ်မှု</t>
        </is>
      </c>
      <c r="G115" s="3">
        <f>IFERROR(__xludf.DUMMYFUNCTION("GOOGLETRANSLATE(C115,""vi"",""km"")"),"ភ្ជាប់")</f>
        <v/>
      </c>
      <c r="H115" s="217" t="inlineStr">
        <is>
          <t>ភ្ជាប់</t>
        </is>
      </c>
      <c r="J115" s="217" t="inlineStr">
        <is>
          <t>ភ្ជាប់</t>
        </is>
      </c>
      <c r="K115" s="217" t="inlineStr">
        <is>
          <t>ភ្ជាប់</t>
        </is>
      </c>
      <c r="S115" s="163" t="inlineStr">
        <is>
          <t>តភ្ជាប់</t>
        </is>
      </c>
    </row>
    <row r="116" ht="15.75" customHeight="1" s="305">
      <c r="A116" s="217" t="inlineStr">
        <is>
          <t>MANAGE_ORDER.DEVICE_SET</t>
        </is>
      </c>
      <c r="B116" s="153" t="inlineStr">
        <is>
          <t>已设置</t>
        </is>
      </c>
      <c r="C116" s="3" t="inlineStr">
        <is>
          <t>Đã thiết lập</t>
        </is>
      </c>
      <c r="D116" s="3" t="inlineStr">
        <is>
          <t>Device set</t>
        </is>
      </c>
      <c r="E116" s="3" t="inlineStr">
        <is>
          <t>ຕັ້ງຄ່າແລ້ວ</t>
        </is>
      </c>
      <c r="F116" s="3" t="inlineStr">
        <is>
          <t>စက်ကိရိယာ တပ်ဆင်မှု</t>
        </is>
      </c>
      <c r="G116" s="3">
        <f>IFERROR(__xludf.DUMMYFUNCTION("GOOGLETRANSLATE(C116,""vi"",""km"")"),"ដំឡើង")</f>
        <v/>
      </c>
      <c r="H116" s="217" t="inlineStr">
        <is>
          <t>បានបង្កើត</t>
        </is>
      </c>
      <c r="J116" s="217" t="inlineStr">
        <is>
          <t>បានបង្កើត</t>
        </is>
      </c>
      <c r="K116" s="217" t="inlineStr">
        <is>
          <t>បានបង្កើត</t>
        </is>
      </c>
      <c r="S116" s="163" t="inlineStr">
        <is>
          <t>សំណុំឧបករណ៍</t>
        </is>
      </c>
    </row>
    <row r="117" ht="15.75" customHeight="1" s="305">
      <c r="A117" s="217" t="inlineStr">
        <is>
          <t>MANAGE_ORDER.IP_ADDRESS_REQUIRED</t>
        </is>
      </c>
      <c r="B117" s="153" t="inlineStr">
        <is>
          <t>请填写IP地址</t>
        </is>
      </c>
      <c r="C117" s="3" t="inlineStr">
        <is>
          <t>Vui lòng nhập địa chỉ IP</t>
        </is>
      </c>
      <c r="D117" s="3" t="inlineStr">
        <is>
          <t>IP address is required</t>
        </is>
      </c>
      <c r="E117" s="3" t="inlineStr">
        <is>
          <t>ກະລຸນາໃສ່ທີ່ຢູ່ IP</t>
        </is>
      </c>
      <c r="F117" s="3" t="inlineStr">
        <is>
          <t>IP လိပ်စာ ကို  လိုအပ်ပါတယ်</t>
        </is>
      </c>
      <c r="G117" s="3">
        <f>IFERROR(__xludf.DUMMYFUNCTION("GOOGLETRANSLATE(C117,""vi"",""km"")"),"សូមបញ្ចូលអាសយដ្ឋាន IP។")</f>
        <v/>
      </c>
      <c r="H117" s="217" t="inlineStr">
        <is>
          <t>សូមបញ្ចូលទីតាំង IP</t>
        </is>
      </c>
      <c r="J117" s="217" t="inlineStr">
        <is>
          <t>សូមបញ្ចូលទីតាំង IP</t>
        </is>
      </c>
      <c r="K117" s="217" t="inlineStr">
        <is>
          <t>សូមបញ្ចូលទីតាំង IP</t>
        </is>
      </c>
      <c r="S117" s="163" t="inlineStr">
        <is>
          <t>អាសយដ្ឋាន IP ត្រូវបានទាមទារ</t>
        </is>
      </c>
    </row>
    <row r="118" ht="15.75" customHeight="1" s="305">
      <c r="A118" s="217" t="inlineStr">
        <is>
          <t>MANAGE_ORDER.IP_ADDRESS_EXISTED</t>
        </is>
      </c>
      <c r="B118" s="161" t="inlineStr">
        <is>
          <t>IP地址已存在</t>
        </is>
      </c>
      <c r="C118" s="3" t="inlineStr">
        <is>
          <t>Địa chỉ IP đã tồn tại</t>
        </is>
      </c>
      <c r="D118" s="3" t="inlineStr">
        <is>
          <t>IP address already existed</t>
        </is>
      </c>
      <c r="E118" s="3" t="inlineStr">
        <is>
          <t>ທີ່ຢູ່ IP ມີຢູ່ແລ້ວ</t>
        </is>
      </c>
      <c r="F118" s="3" t="inlineStr">
        <is>
          <t>IP လိပ်စာ ရှိနှင့်ပြီးသား</t>
        </is>
      </c>
      <c r="G118" s="3">
        <f>IFERROR(__xludf.DUMMYFUNCTION("GOOGLETRANSLATE(C118,""vi"",""km"")"),"អាសយដ្ឋាន IP មានរួចហើយ។")</f>
        <v/>
      </c>
      <c r="H118" s="217" t="inlineStr">
        <is>
          <t>អាស័យដ្ឋាន IP មានរួចហើយ</t>
        </is>
      </c>
      <c r="J118" s="217" t="inlineStr">
        <is>
          <t>អាសយដ្ឋាន IP មានរួចហើយ</t>
        </is>
      </c>
      <c r="K118" s="217" t="inlineStr">
        <is>
          <t>អាសយដ្ឋាន IP មានរួចហើយ</t>
        </is>
      </c>
      <c r="S118" s="163" t="inlineStr">
        <is>
          <t>អាសយដ្ឋាន IP មានរួចហើយ</t>
        </is>
      </c>
    </row>
    <row r="119" ht="15.75" customHeight="1" s="305">
      <c r="A119" s="217" t="inlineStr">
        <is>
          <t>MANAGE_ORDER.DEVICE_NOT_CONNECTED</t>
        </is>
      </c>
      <c r="B119" s="153" t="inlineStr">
        <is>
          <t>未连接</t>
        </is>
      </c>
      <c r="C119" s="3" t="inlineStr">
        <is>
          <t>Chưa kết nối</t>
        </is>
      </c>
      <c r="D119" s="3" t="inlineStr">
        <is>
          <t>Not connected</t>
        </is>
      </c>
      <c r="E119" s="3" t="inlineStr">
        <is>
          <t>ບໍ່ໄດ້ເຊື່ອມຕໍ່</t>
        </is>
      </c>
      <c r="F119" s="3" t="inlineStr">
        <is>
          <t>အဆက်အသွယ်မရှိပါ</t>
        </is>
      </c>
      <c r="G119" s="3">
        <f>IFERROR(__xludf.DUMMYFUNCTION("GOOGLETRANSLATE(C119,""vi"",""km"")"),"មិនបានភ្ជាប់")</f>
        <v/>
      </c>
      <c r="H119" s="217" t="inlineStr">
        <is>
          <t>មិនទាន់បានភ្ជាប់</t>
        </is>
      </c>
      <c r="J119" s="217" t="inlineStr">
        <is>
          <t>មិនទាន់បានភ្ជាប់</t>
        </is>
      </c>
      <c r="K119" s="217" t="inlineStr">
        <is>
          <t>មិនទាន់បានភ្ជាប់</t>
        </is>
      </c>
      <c r="S119" s="163" t="inlineStr">
        <is>
          <t>មិនទាន់ភ្ជាប់</t>
        </is>
      </c>
    </row>
    <row r="120" ht="15.75" customHeight="1" s="305">
      <c r="A120" s="217" t="inlineStr">
        <is>
          <t>MANAGE_ORDER.PRINTER_SETUP</t>
        </is>
      </c>
      <c r="B120" s="153" t="inlineStr">
        <is>
          <t>打印机设置</t>
        </is>
      </c>
      <c r="C120" s="3" t="inlineStr">
        <is>
          <t>Cài đặt máy in</t>
        </is>
      </c>
      <c r="D120" s="3" t="inlineStr">
        <is>
          <t>Printer setup</t>
        </is>
      </c>
      <c r="E120" s="3" t="inlineStr">
        <is>
          <t>ການຕັ້ງຄ່າເຄື່ອງພິມ</t>
        </is>
      </c>
      <c r="F120" s="3" t="inlineStr">
        <is>
          <t>ပုံနှိပ်စက် တပ်ဆင်မှု</t>
        </is>
      </c>
      <c r="G120" s="3">
        <f>IFERROR(__xludf.DUMMYFUNCTION("GOOGLETRANSLATE(C120,""vi"",""km"")"),"ដំឡើងម៉ាស៊ីនបោះពុម្ព។")</f>
        <v/>
      </c>
      <c r="H120" s="217" t="inlineStr">
        <is>
          <t>ការកំណត់ម៉ាសុីនព្រីន</t>
        </is>
      </c>
      <c r="J120" s="217" t="inlineStr">
        <is>
          <t>ការកំណត់ម៉ាសុីនព្រីន</t>
        </is>
      </c>
      <c r="K120" s="217" t="inlineStr">
        <is>
          <t>ការកំណត់ម៉ាសុីនព្រីន</t>
        </is>
      </c>
      <c r="S120" s="163" t="inlineStr">
        <is>
          <t>ការតម្លើងម៉ាស៊ីនព្រីន</t>
        </is>
      </c>
    </row>
    <row r="121" ht="15.75" customHeight="1" s="305">
      <c r="A121" s="217" t="inlineStr">
        <is>
          <t>MANAGE_ORDER.CONNECTED_DEVICE</t>
        </is>
      </c>
      <c r="B121" s="153" t="inlineStr">
        <is>
          <t>已连接的设备</t>
        </is>
      </c>
      <c r="C121" s="3" t="inlineStr">
        <is>
          <t>Thiết bị kết nối</t>
        </is>
      </c>
      <c r="D121" s="3" t="inlineStr">
        <is>
          <t>Connected device</t>
        </is>
      </c>
      <c r="E121" s="3" t="inlineStr">
        <is>
          <t>ອຸປະກອນເຊື່ອມຕໍ່</t>
        </is>
      </c>
      <c r="F121" s="3" t="inlineStr">
        <is>
          <t>ဆက်သွယ်ထားတဲ့ ကိရိယာ</t>
        </is>
      </c>
      <c r="G121" s="3">
        <f>IFERROR(__xludf.DUMMYFUNCTION("GOOGLETRANSLATE(C121,""vi"",""km"")"),"ឧបករណ៍ភ្ជាប់")</f>
        <v/>
      </c>
      <c r="H121" s="217" t="inlineStr">
        <is>
          <t>ឧបករណ៍ភ្ជាប់</t>
        </is>
      </c>
      <c r="J121" s="217" t="inlineStr">
        <is>
          <t>ឧបករណ៍ភ្ជាប់</t>
        </is>
      </c>
      <c r="K121" s="217" t="inlineStr">
        <is>
          <t>ឧបករណ៍ភ្ជាប់</t>
        </is>
      </c>
      <c r="S121" s="163" t="inlineStr">
        <is>
          <t>ឧបករណ៍បានភ្ជាប់</t>
        </is>
      </c>
    </row>
    <row r="122" ht="15.75" customHeight="1" s="305">
      <c r="A122" s="217" t="inlineStr">
        <is>
          <t>MANAGE_ORDER.MODEL_CONFIG</t>
        </is>
      </c>
      <c r="B122" s="153" t="inlineStr">
        <is>
          <t>型号配置</t>
        </is>
      </c>
      <c r="C122" s="3" t="inlineStr">
        <is>
          <t>Cấu hình mẫu in</t>
        </is>
      </c>
      <c r="D122" s="3" t="inlineStr">
        <is>
          <t>Model configuration</t>
        </is>
      </c>
      <c r="E122" s="3" t="inlineStr">
        <is>
          <t>ການຕັ້ງຄ່າແມ່ແບບພິມ</t>
        </is>
      </c>
      <c r="F122" s="3" t="inlineStr">
        <is>
          <t>မော်ဒယ် ဖွဲ့စည်းပုံ</t>
        </is>
      </c>
      <c r="G122" s="3">
        <f>IFERROR(__xludf.DUMMYFUNCTION("GOOGLETRANSLATE(C122,""vi"",""km"")"),"ការកំណត់រចនាសម្ព័ន្ធគំរូបោះពុម្ព")</f>
        <v/>
      </c>
      <c r="H122" s="217" t="inlineStr">
        <is>
          <t>ភ្ជាប់ទម្រង់ព្រីន</t>
        </is>
      </c>
      <c r="J122" s="217" t="inlineStr">
        <is>
          <t>ភ្ជាប់ទម្រង់ព្រីន</t>
        </is>
      </c>
      <c r="K122" s="217" t="inlineStr">
        <is>
          <t>ភ្ជាប់ទម្រង់ព្រីន</t>
        </is>
      </c>
      <c r="S122" s="163" t="inlineStr">
        <is>
          <t>ការកំណត់រចនាសម្ព័ន្ធម៉ូដែល</t>
        </is>
      </c>
    </row>
    <row r="123" ht="15.75" customHeight="1" s="305">
      <c r="A123" s="217" t="inlineStr">
        <is>
          <t>MANAGE_ORDER.MODEL</t>
        </is>
      </c>
      <c r="B123" s="153" t="inlineStr">
        <is>
          <t>型号</t>
        </is>
      </c>
      <c r="C123" s="3" t="inlineStr">
        <is>
          <t>Mẫu in</t>
        </is>
      </c>
      <c r="D123" s="3" t="inlineStr">
        <is>
          <t>Model</t>
        </is>
      </c>
      <c r="E123" s="3" t="inlineStr">
        <is>
          <t>ພິມຕົວຢ່າງ</t>
        </is>
      </c>
      <c r="F123" s="3" t="inlineStr">
        <is>
          <t>မော်ဒယ်</t>
        </is>
      </c>
      <c r="G123" s="3">
        <f>IFERROR(__xludf.DUMMYFUNCTION("GOOGLETRANSLATE(C123,""vi"",""km"")"),"គំរូបោះពុម្ព")</f>
        <v/>
      </c>
      <c r="H123" s="217" t="inlineStr">
        <is>
          <t>ទម្រង់ព្រីន</t>
        </is>
      </c>
      <c r="J123" s="217" t="inlineStr">
        <is>
          <t>ទម្រង់ព្រីន</t>
        </is>
      </c>
      <c r="K123" s="217" t="inlineStr">
        <is>
          <t>ទម្រង់ព្រីន</t>
        </is>
      </c>
      <c r="S123" s="163" t="inlineStr">
        <is>
          <t>ម៉ូដែល</t>
        </is>
      </c>
    </row>
    <row r="124" ht="15.75" customHeight="1" s="305">
      <c r="A124" s="217" t="inlineStr">
        <is>
          <t>MANAGE_ORDER.MODEL_A7</t>
        </is>
      </c>
      <c r="B124" s="161" t="inlineStr">
        <is>
          <t>A7 面单</t>
        </is>
      </c>
      <c r="C124" s="3" t="inlineStr">
        <is>
          <t>Phiếu gửi A7</t>
        </is>
      </c>
      <c r="D124" s="3" t="inlineStr">
        <is>
          <t>A7 Shipping Label</t>
        </is>
      </c>
      <c r="E124" s="3" t="inlineStr">
        <is>
          <t>ໃບບິນ A7</t>
        </is>
      </c>
      <c r="F124" s="3" t="inlineStr">
        <is>
          <t>A7 ပို့ဆောင်ရေးစာရွက်</t>
        </is>
      </c>
      <c r="G124" s="3">
        <f>IFERROR(__xludf.DUMMYFUNCTION("GOOGLETRANSLATE(C124,""vi"",""km"")"),"បង្កាន់ដៃដឹកជញ្ជូន A7")</f>
        <v/>
      </c>
      <c r="H124" s="217" t="inlineStr">
        <is>
          <t>បុងបញ្ញើ A7</t>
        </is>
      </c>
      <c r="J124" s="217" t="inlineStr">
        <is>
          <t>បុងបញ្ញើ A7</t>
        </is>
      </c>
      <c r="K124" s="217" t="inlineStr">
        <is>
          <t>បុងបញ្ញើ A7</t>
        </is>
      </c>
      <c r="S124" s="163" t="inlineStr">
        <is>
          <t>ស្លាកដឹកជញ្ជូន A7</t>
        </is>
      </c>
    </row>
    <row r="125" ht="15.75" customHeight="1" s="305">
      <c r="A125" s="217" t="inlineStr">
        <is>
          <t>MANAGE_ORDER.FINISH</t>
        </is>
      </c>
      <c r="B125" s="153" t="inlineStr">
        <is>
          <t>完成</t>
        </is>
      </c>
      <c r="C125" s="3" t="inlineStr">
        <is>
          <t>Hoàn thành</t>
        </is>
      </c>
      <c r="D125" s="3" t="inlineStr">
        <is>
          <t>Finish</t>
        </is>
      </c>
      <c r="E125" s="3" t="inlineStr">
        <is>
          <t>ສໍາເລັດ</t>
        </is>
      </c>
      <c r="F125" s="3" t="inlineStr">
        <is>
          <t>အဆုံးသတ်</t>
        </is>
      </c>
      <c r="G125" s="3">
        <f>IFERROR(__xludf.DUMMYFUNCTION("GOOGLETRANSLATE(C125,""vi"",""km"")"),"ពេញលេញ")</f>
        <v/>
      </c>
      <c r="H125" s="217" t="inlineStr">
        <is>
          <t>បានបញ្ចប់</t>
        </is>
      </c>
      <c r="J125" s="217" t="inlineStr">
        <is>
          <t>បានបញ្ចប់</t>
        </is>
      </c>
      <c r="K125" s="217" t="inlineStr">
        <is>
          <t>បានបញ្ចប់</t>
        </is>
      </c>
      <c r="S125" s="163" t="inlineStr">
        <is>
          <t>បញ្ចប់</t>
        </is>
      </c>
    </row>
    <row r="126" ht="15.75" customHeight="1" s="305">
      <c r="A126" s="217" t="inlineStr">
        <is>
          <t>MANAGE_ORDER.NO_DEVICE_DETECTED</t>
        </is>
      </c>
      <c r="B126" s="153" t="inlineStr">
        <is>
          <t>未检测到设备</t>
        </is>
      </c>
      <c r="C126" s="3" t="inlineStr">
        <is>
          <t>Không quét được thiết bị nào</t>
        </is>
      </c>
      <c r="D126" s="3" t="inlineStr">
        <is>
          <t>No device detected</t>
        </is>
      </c>
      <c r="E126" s="3" t="inlineStr">
        <is>
          <t>ບໍ່ມີອຸປະກອນທີ່ສະແກນ</t>
        </is>
      </c>
      <c r="F126" s="3" t="inlineStr">
        <is>
          <t>မည်သည့်ကိရိယာကိုမျှ မတွေ့ရှိရ</t>
        </is>
      </c>
      <c r="G126" s="3">
        <f>IFERROR(__xludf.DUMMYFUNCTION("GOOGLETRANSLATE(C126,""vi"",""km"")"),"រកមិនឃើញឧបករណ៍ទេ។")</f>
        <v/>
      </c>
      <c r="H126" s="217" t="inlineStr">
        <is>
          <t>មិនបានស្កេនបានឧបករណ៍ណាមួយឡើយ</t>
        </is>
      </c>
      <c r="J126" s="217" t="inlineStr">
        <is>
          <t>មិនបានស្កេនបានឧបករណ៍ណាមួយឡើយ</t>
        </is>
      </c>
      <c r="K126" s="217" t="inlineStr">
        <is>
          <t>មិនបានស្កេនបានឧបករណ៍ណាមួយឡើយ</t>
        </is>
      </c>
      <c r="S126" s="163" t="inlineStr">
        <is>
          <t>រកមិនឃើញឧបករណ៍</t>
        </is>
      </c>
    </row>
    <row r="127" ht="15.75" customHeight="1" s="305">
      <c r="A127" s="217" t="inlineStr">
        <is>
          <t>MANAGE_ORDER.PRINT</t>
        </is>
      </c>
      <c r="B127" s="153" t="inlineStr">
        <is>
          <t>打印</t>
        </is>
      </c>
      <c r="C127" s="3" t="inlineStr">
        <is>
          <t>In</t>
        </is>
      </c>
      <c r="D127" s="3" t="inlineStr">
        <is>
          <t>Print</t>
        </is>
      </c>
      <c r="E127" s="3" t="inlineStr">
        <is>
          <t>ພິມ</t>
        </is>
      </c>
      <c r="F127" s="3" t="inlineStr">
        <is>
          <t>ဝင်သည်</t>
        </is>
      </c>
      <c r="G127" s="3">
        <f>IFERROR(__xludf.DUMMYFUNCTION("GOOGLETRANSLATE(C127,""vi"",""km"")"),"បោះពុម្ព")</f>
        <v/>
      </c>
      <c r="H127" s="217" t="inlineStr">
        <is>
          <t>ព្រីន</t>
        </is>
      </c>
      <c r="J127" s="217" t="inlineStr">
        <is>
          <t>ព្រីន</t>
        </is>
      </c>
      <c r="K127" s="217" t="inlineStr">
        <is>
          <t>ព្រីន</t>
        </is>
      </c>
      <c r="S127" s="163" t="inlineStr">
        <is>
          <t>ព្រីន</t>
        </is>
      </c>
    </row>
    <row r="128" ht="15.75" customHeight="1" s="305">
      <c r="A128" s="217" t="inlineStr">
        <is>
          <t>MANAGE_ORDER.PDF_PREVIEW</t>
        </is>
      </c>
      <c r="B128" s="161" t="inlineStr">
        <is>
          <t>PDF 预览</t>
        </is>
      </c>
      <c r="C128" s="3" t="inlineStr">
        <is>
          <t>PDF Preview</t>
        </is>
      </c>
      <c r="D128" s="3" t="inlineStr">
        <is>
          <t>PDF Preview</t>
        </is>
      </c>
      <c r="E128" s="3" t="inlineStr">
        <is>
          <t>ຕົວຢ່າງ PDF</t>
        </is>
      </c>
      <c r="F128" s="3" t="inlineStr">
        <is>
          <t>PDF ကြိုတင်မြင်ကွင်း</t>
        </is>
      </c>
      <c r="G128" s="3">
        <f>IFERROR(__xludf.DUMMYFUNCTION("GOOGLETRANSLATE(C128,""vi"",""km"")"),"ការមើលជាមុន PDF")</f>
        <v/>
      </c>
      <c r="H128" s="3" t="inlineStr">
        <is>
          <t>PDF Preview</t>
        </is>
      </c>
      <c r="J128" s="217" t="inlineStr">
        <is>
          <t>PDF Preview</t>
        </is>
      </c>
      <c r="K128" s="217" t="inlineStr">
        <is>
          <t>PDF Preview</t>
        </is>
      </c>
      <c r="S128" s="163" t="inlineStr">
        <is>
          <t>មើលមុនជា PDF</t>
        </is>
      </c>
    </row>
    <row r="129" ht="15.75" customHeight="1" s="305">
      <c r="A129" s="217" t="inlineStr">
        <is>
          <t>MANAGE_ORDER.DEFAULT_ADDRESS</t>
        </is>
      </c>
      <c r="B129" s="153" t="inlineStr">
        <is>
          <t>默认地址</t>
        </is>
      </c>
      <c r="C129" s="3" t="inlineStr">
        <is>
          <t>Địa chỉ mặc định</t>
        </is>
      </c>
      <c r="D129" s="3" t="inlineStr">
        <is>
          <t>Default address</t>
        </is>
      </c>
      <c r="E129" s="3" t="inlineStr">
        <is>
          <t>ທີ່ຢູ່ເລີ່ມຕົ້ນ</t>
        </is>
      </c>
      <c r="F129" s="3" t="inlineStr">
        <is>
          <t>စံထားချက်လိပ်စာ</t>
        </is>
      </c>
      <c r="G129" s="3">
        <f>IFERROR(__xludf.DUMMYFUNCTION("GOOGLETRANSLATE(C129,""vi"",""km"")"),"អាសយដ្ឋានលំនាំដើម")</f>
        <v/>
      </c>
      <c r="H129" s="217" t="inlineStr">
        <is>
          <t>អាស័យដ្ឋានកំណត់</t>
        </is>
      </c>
      <c r="J129" s="217" t="inlineStr">
        <is>
          <t>អាសយដ្ឋានកំណត់</t>
        </is>
      </c>
      <c r="K129" s="217" t="inlineStr">
        <is>
          <t>អាសយដ្ឋានកំណត់</t>
        </is>
      </c>
      <c r="S129" s="163" t="inlineStr">
        <is>
          <t>អាសយដ្ឋានលំនាំដើម</t>
        </is>
      </c>
    </row>
    <row r="130" ht="15.75" customHeight="1" s="305">
      <c r="A130" s="217" t="inlineStr">
        <is>
          <t>MANAGE_ORDER.CONFIRM_RETURN</t>
        </is>
      </c>
      <c r="B130" s="153" t="inlineStr">
        <is>
          <t>您确定要打印此订单吗？</t>
        </is>
      </c>
      <c r="C130" s="3" t="inlineStr">
        <is>
          <t>Quý khách có chắc chắn in đơn hàng</t>
        </is>
      </c>
      <c r="D130" s="3" t="inlineStr">
        <is>
          <t>Are you sure you want to print the order</t>
        </is>
      </c>
      <c r="E130" s="3" t="inlineStr">
        <is>
          <t>ທ່ານແນ່ໃຈບໍ່ວ່າຕ້ອງການຄືນຄໍາສັ່ງ?</t>
        </is>
      </c>
      <c r="F130" s="3" t="inlineStr">
        <is>
          <t>အော်ဒါပြန်ပေးချင်တယ်ဆိုတာ သေချာသလား</t>
        </is>
      </c>
      <c r="G130" s="3">
        <f>IFERROR(__xludf.DUMMYFUNCTION("GOOGLETRANSLATE(C130,""vi"",""km"")"),"តើអ្នកពិតជាចង់បោះពុម្ពការបញ្ជាទិញមែនទេ?")</f>
        <v/>
      </c>
      <c r="H130" s="217" t="inlineStr">
        <is>
          <t>អតិថិជនពិតជាចង់ព្រីនបុងបញ្ញើមែនទេ?</t>
        </is>
      </c>
      <c r="J130" s="217" t="inlineStr">
        <is>
          <t>អតិថិជនពិតជាចង់ព្រីនបុងបញ្ញើមែនទេ?</t>
        </is>
      </c>
      <c r="K130" s="217" t="inlineStr">
        <is>
          <t>អតិថិជនពិតជាចង់ព្រីនបុងបញ្ញើមែនទេ?</t>
        </is>
      </c>
      <c r="S130" s="163" t="inlineStr">
        <is>
          <t>តើ​អ្នក​ប្រាកដ​ជា​ចង់​ព្រីនការបញ្ជាទិញទេ</t>
        </is>
      </c>
    </row>
    <row r="131" ht="15.75" customHeight="1" s="305">
      <c r="A131" s="217" t="inlineStr">
        <is>
          <t>MANAGE_ORDER.SELECT_ALL_ORDERS</t>
        </is>
      </c>
      <c r="B131" s="153" t="inlineStr">
        <is>
          <t>选择所有订单</t>
        </is>
      </c>
      <c r="C131" s="3" t="inlineStr">
        <is>
          <t>Chọn tất cả đơn hàng</t>
        </is>
      </c>
      <c r="D131" s="3" t="inlineStr">
        <is>
          <t>Select all orders</t>
        </is>
      </c>
      <c r="E131" s="3" t="inlineStr">
        <is>
          <t>ເລືອກຄໍາສັ່ງທັງຫມົດ</t>
        </is>
      </c>
      <c r="F131" s="3" t="inlineStr">
        <is>
          <t>အမိန့်အားလုံးကို ရွေးချယ်ပါ</t>
        </is>
      </c>
      <c r="G131" s="3">
        <f>IFERROR(__xludf.DUMMYFUNCTION("GOOGLETRANSLATE(C131,""vi"",""km"")"),"ជ្រើសរើសការបញ្ជាទិញទាំងអស់")</f>
        <v/>
      </c>
      <c r="H131" s="217" t="inlineStr">
        <is>
          <t>ជ្រើសរើសបុងបញ្ញើទាំងអស់</t>
        </is>
      </c>
      <c r="J131" s="217" t="inlineStr">
        <is>
          <t>ជ្រើសរើសបុងបញ្ញើទាំងអស់</t>
        </is>
      </c>
      <c r="K131" s="217" t="inlineStr">
        <is>
          <t>ជ្រើសរើសបុងបញ្ញើទាំងអស់</t>
        </is>
      </c>
      <c r="S131" s="163" t="inlineStr">
        <is>
          <t>ជ្រើសរើសការបញ្ជាទិញទាំងអស់</t>
        </is>
      </c>
    </row>
    <row r="132" ht="15.75" customHeight="1" s="305">
      <c r="A132" s="217" t="inlineStr">
        <is>
          <t>MANAGE_ORDER.SELECTED_ORDERS</t>
        </is>
      </c>
      <c r="B132" s="153" t="inlineStr">
        <is>
          <t>已选择 {{amount}} 个订单</t>
        </is>
      </c>
      <c r="C132" s="3" t="inlineStr">
        <is>
          <t>Đã chọn {{amount}} đơn hàng</t>
        </is>
      </c>
      <c r="D132" s="3" t="inlineStr">
        <is>
          <t>{{amount}} orders selected</t>
        </is>
      </c>
      <c r="E132" s="3" t="inlineStr">
        <is>
          <t>ເລືອກຄຳສັ່ງຊື້ {{amount}} ເຄື່ອງ</t>
        </is>
      </c>
      <c r="F132" s="3" t="inlineStr">
        <is>
          <t>{{amount}} ရွေးချယ် ထား သော အမိန့် များ</t>
        </is>
      </c>
      <c r="G132" s="3">
        <f>IFERROR(__xludf.DUMMYFUNCTION("GOOGLETRANSLATE(C132,""vi"",""km"")"),"ការបញ្ជាទិញ {{amount}} ត្រូវបានជ្រើសរើស")</f>
        <v/>
      </c>
      <c r="H132" s="217" t="inlineStr">
        <is>
          <t>បានជ្រើសរើស {{amount}} បុងបញ្ញើ</t>
        </is>
      </c>
      <c r="J132" s="217" t="inlineStr">
        <is>
          <t>បានជ្រើសរើស {{amount}} បុងបញ្ញើ</t>
        </is>
      </c>
      <c r="K132" s="217" t="inlineStr">
        <is>
          <t>បានជ្រើសរើស {{amount}} បុងបញ្ញើ</t>
        </is>
      </c>
      <c r="S132" s="163" t="inlineStr">
        <is>
          <t>ការបញ្ជាទិញ {{amount}} ត្រូវបានជ្រើសរើស</t>
        </is>
      </c>
    </row>
    <row r="133" ht="15.75" customHeight="1" s="305">
      <c r="A133" s="217" t="inlineStr">
        <is>
          <t>MANAGE_ORDER.CONFIRM_RETURN_MULTIPLE</t>
        </is>
      </c>
      <c r="B133" s="153" t="inlineStr">
        <is>
          <t>您确定要退回这 {{amount}} 个订单吗？</t>
        </is>
      </c>
      <c r="C133" s="3" t="inlineStr">
        <is>
          <t>Quý khách có chắc chắn hoàn {{amount}} đơn hàng ?</t>
        </is>
      </c>
      <c r="D133" s="3" t="inlineStr">
        <is>
          <t>Are you sure you want to return {{amount}} orders?</t>
        </is>
      </c>
      <c r="E133" s="3" t="inlineStr">
        <is>
          <t>ທ່ານແນ່ໃຈບໍ່ວ່າຕ້ອງການຕີເຄື່ອງກັບ {{amount}}?</t>
        </is>
      </c>
      <c r="F133" s="3" t="inlineStr">
        <is>
          <t>{{amount}} အော်ဒါများ ပြန်ပေးချင်ကြောင်း သေချာပါသလား}}</t>
        </is>
      </c>
      <c r="G133" s="3">
        <f>IFERROR(__xludf.DUMMYFUNCTION("GOOGLETRANSLATE(C133,""vi"",""km"")"),"តើអ្នកពិតជាចង់បង់ប្រាក់ពេញចំនួន {{amount}} នៃការបញ្ជាទិញមែនទេ?")</f>
        <v/>
      </c>
      <c r="H133" s="3" t="inlineStr">
        <is>
          <t>អតិថិជនពិតជាបានត្រលប់{{amount}} បុងបញ្ញើមែនទេ?</t>
        </is>
      </c>
      <c r="J133" s="217" t="inlineStr">
        <is>
          <t>អតិថិជនពិតជាបានត្រលប់{{amount}} បុងបញ្ញើមែនទេ?</t>
        </is>
      </c>
      <c r="K133" s="217" t="inlineStr">
        <is>
          <t>អតិថិជនពិតជាបានត្រលប់{{amount}} បុងបញ្ញើមែនទេ?</t>
        </is>
      </c>
      <c r="S133" s="163" t="inlineStr">
        <is>
          <t>តើ​អ្នក​ប្រាកដ​ជា​ចង់​ត្រឡប់​ការ​បញ្ជា​ទិញ {{amount}}  វិញ?</t>
        </is>
      </c>
    </row>
    <row r="134" ht="15.75" customHeight="1" s="305">
      <c r="A134" s="217" t="inlineStr">
        <is>
          <t>MANAGE_ORDER.CONFIRM_CONTINUE_DELIVERY</t>
        </is>
      </c>
      <c r="B134" s="153" t="inlineStr">
        <is>
          <t>您确定要取消退货吗？</t>
        </is>
      </c>
      <c r="C134" s="3" t="inlineStr">
        <is>
          <t>Bạn có chắc chắn từ chối hoàn đơn</t>
        </is>
      </c>
      <c r="D134" s="3" t="inlineStr">
        <is>
          <t>Are you sure to redeliver the order</t>
        </is>
      </c>
      <c r="E134" s="3" t="inlineStr">
        <is>
          <t>ທ່ານແນ່ໃຈວ່າຕ້ອງການປະຕິເສດການຕີກັບ</t>
        </is>
      </c>
      <c r="F134" s="3" t="inlineStr">
        <is>
          <t>အော်ဒါပြန်ပို့ဖို့ သေချာလား</t>
        </is>
      </c>
      <c r="G134" s="3">
        <f>IFERROR(__xludf.DUMMYFUNCTION("GOOGLETRANSLATE(C134,""vi"",""km"")"),"តើអ្នកប្រាកដថាអ្នកចង់បដិសេធការសងប្រាក់វិញមែនទេ?")</f>
        <v/>
      </c>
      <c r="H134" s="217" t="inlineStr">
        <is>
          <t>តើអ្នកពិតជាបានបដិសេដត្រលប់បុងមែនទេ</t>
        </is>
      </c>
      <c r="J134" s="217" t="inlineStr">
        <is>
          <t>តើអ្នកពិតជាបានបដិសេធត្រលប់បុងមែនទេ</t>
        </is>
      </c>
      <c r="K134" s="217" t="inlineStr">
        <is>
          <t>តើអ្នកពិតជាបានបដិសេធត្រលប់បុងមែនទេ</t>
        </is>
      </c>
      <c r="S134" s="163" t="inlineStr">
        <is>
          <t>តើអ្នកប្រាកដថាចង់បដិសេធការត្រឡប់អំពីបញ្ជាទិញ</t>
        </is>
      </c>
    </row>
    <row r="135" ht="15.75" customHeight="1" s="305">
      <c r="A135" s="217" t="inlineStr">
        <is>
          <t>MANAGE_ORDER.CUSTOMER_REQUEST_REDELIVERY_N</t>
        </is>
      </c>
      <c r="B135" s="153" t="inlineStr">
        <is>
          <t>客户发起的第 {{ordinal}} 次重新派送请求</t>
        </is>
      </c>
      <c r="C135" s="3" t="inlineStr">
        <is>
          <t>Khách hàng yêu cầu phát tiếp lần {{times}}</t>
        </is>
      </c>
      <c r="D135" s="3" t="inlineStr">
        <is>
          <t>{{ordinal}} redelivery request sent by customer</t>
        </is>
      </c>
      <c r="E135" s="3" t="inlineStr">
        <is>
          <t>ລູກຄ້າຮ້ອງຂໍສົ່ງອີກຄັ້ງທີ {{ordinal}}</t>
        </is>
      </c>
      <c r="F135" s="3" t="inlineStr">
        <is>
          <t>ဝယ်ယူသူမှပေးပို့သော ပထမအကြိမ်/ဒုတိယအကြိမ် ပြန်လည်ပေးပို့မှုတောင်းဆိုချက် {{ordinal}}</t>
        </is>
      </c>
      <c r="G135" s="3">
        <f>IFERROR(__xludf.DUMMYFUNCTION("GOOGLETRANSLATE(C135,""vi"",""km"")"),"អតិថិជនបានស្នើសុំការចាក់ឡើងវិញ {{times}}")</f>
        <v/>
      </c>
      <c r="H135" s="217" t="inlineStr">
        <is>
          <t>អតិថិជនស្នើសុំបញ្ជូនអីវ៉ាន់បន្តជាលើកទី {{times}}</t>
        </is>
      </c>
      <c r="J135" s="217" t="inlineStr">
        <is>
          <t>អតិថិជនស្នើសុំបញ្ជូនអីវ៉ាន់បន្តជាលើកទី {{times}}</t>
        </is>
      </c>
      <c r="K135" s="217" t="inlineStr">
        <is>
          <t>អតិថិជនស្នើសុំបញ្ជូនអីវ៉ាន់បន្តជាលើកទី {{times}}</t>
        </is>
      </c>
      <c r="S135" s="163" t="inlineStr">
        <is>
          <t>អតិថិជនស្នើសុំឱ្យចេញសារជាថ្មី {{times}} ដង</t>
        </is>
      </c>
    </row>
    <row r="136" ht="15.75" customHeight="1" s="305">
      <c r="A136" s="217" t="inlineStr">
        <is>
          <t>MANAGE_ORDER.UNIT_REQUEST_REDELIVERY_N</t>
        </is>
      </c>
      <c r="B136" s="161" t="inlineStr">
        <is>
          <t>{{name}} 发起的第 {{ordinal}} 次重新派送请求</t>
        </is>
      </c>
      <c r="C136" s="3" t="inlineStr">
        <is>
          <t>Đơn vị yêu cầu phát tiếp lần {{times}}</t>
        </is>
      </c>
      <c r="D136" s="3" t="inlineStr">
        <is>
          <t>{{ordinal}} redelivery request sent by {{name}}</t>
        </is>
      </c>
      <c r="E136" s="3" t="inlineStr">
        <is>
          <t>ຫນ່ວຍງານຮ້ອງຂໍສົ່ງອີກຄັ້ງທີ {{times}}</t>
        </is>
      </c>
      <c r="F136" s="3" t="inlineStr">
        <is>
          <t>ပထမအကြိမ်/ဒုတိယအကြိမ် ပြန်လည်ပေးပို့ခြင်းတောင်းဆိုချက်ကို [အမည်] {{times}}</t>
        </is>
      </c>
      <c r="G136" s="3">
        <f>IFERROR(__xludf.DUMMYFUNCTION("GOOGLETRANSLATE(C136,""vi"",""km"")"),"អង្គភាពស្នើសុំការផ្សាយឡើងវិញ {{times}}")</f>
        <v/>
      </c>
      <c r="H136" s="217" t="inlineStr">
        <is>
          <t>អង្គភាពស្នើសុំបញ្ជូនបន្តជាលើកទី{{times}}</t>
        </is>
      </c>
      <c r="J136" s="217" t="inlineStr">
        <is>
          <t>អង្គភាពស្នើសុំបញ្ជូនបន្តជាលើកទី{{times}}</t>
        </is>
      </c>
      <c r="K136" s="217" t="inlineStr">
        <is>
          <t>អង្គភាពស្នើសុំបញ្ជូនបន្តជាលើកទី{{times}}</t>
        </is>
      </c>
      <c r="S136" s="163" t="inlineStr">
        <is>
          <t>ស្នើសុំឱ្យចេញសារជាថ្មី {{name}} ដង</t>
        </is>
      </c>
    </row>
    <row r="137" ht="15.75" customHeight="1" s="305">
      <c r="A137" s="217" t="inlineStr">
        <is>
          <t>MANAGE_ORDER.CONFIRM_PRINT_MULTIPLE</t>
        </is>
      </c>
      <c r="B137" s="153" t="inlineStr">
        <is>
          <t>您确定要打印这 {{amount}} 个订单吗？</t>
        </is>
      </c>
      <c r="C137" s="3" t="inlineStr">
        <is>
          <t>Quý khách có chắc chắn in {{amount}} đơn hàng ?</t>
        </is>
      </c>
      <c r="D137" s="3" t="inlineStr">
        <is>
          <t>Are you sure you want to print {{amount}} orders?</t>
        </is>
      </c>
      <c r="E137" s="3" t="inlineStr">
        <is>
          <t>ທ່ານແນ່ໃຈບໍ່ວ່າຕ້ອງການພິມຄໍາສັ່ງ {{amount}}?</t>
        </is>
      </c>
      <c r="F137" s="3" t="inlineStr">
        <is>
          <t>{{amount}} အော်ဒါများ ပုံနှိပ်လိုကြောင်း သေချာပါသလော။</t>
        </is>
      </c>
      <c r="G137" s="3">
        <f>IFERROR(__xludf.DUMMYFUNCTION("GOOGLETRANSLATE(C137,""vi"",""km"")"),"តើអ្នកពិតជាចង់បោះពុម្ព {{amount}} នៅលើការបញ្ជាទិញមែនទេ?")</f>
        <v/>
      </c>
      <c r="H137" s="217" t="inlineStr">
        <is>
          <t>អតិថិជនពិតជាចង់ព្រីន  {{amount}} បុងបញ្ញើដែរទេ?</t>
        </is>
      </c>
      <c r="J137" s="217" t="inlineStr">
        <is>
          <t>អតិថិជនពិតជាចង់ព្រីន {{amount}} បុងបញ្ញើដែរទេ?</t>
        </is>
      </c>
      <c r="K137" s="217" t="inlineStr">
        <is>
          <t>អតិថិជនពិតជាចង់ព្រីន {{amount}} បុងបញ្ញើដែរទេ?</t>
        </is>
      </c>
      <c r="S137" s="163" t="inlineStr">
        <is>
          <t>តើអ្នកប្រាកដថាចង់ព្រីនការបញ្ជាទិញ {{amount}}  ទេ?</t>
        </is>
      </c>
    </row>
    <row r="138" ht="15.75" customHeight="1" s="305">
      <c r="A138" s="217" t="inlineStr">
        <is>
          <t>MANAGE_ORDER.CONFIRM_CANCEL_MULTIPLE</t>
        </is>
      </c>
      <c r="B138" s="153" t="inlineStr">
        <is>
          <t>您确定要取消这 {{amount}} 个订单吗？</t>
        </is>
      </c>
      <c r="C138" s="3" t="inlineStr">
        <is>
          <t>Quý khách có chắc chắn huỷ {{amount}} đơn hàng ?</t>
        </is>
      </c>
      <c r="D138" s="3" t="inlineStr">
        <is>
          <t>Are you sure you want to cancel {{amount}} orders?</t>
        </is>
      </c>
      <c r="E138" s="3" t="inlineStr">
        <is>
          <t>ທ່ານແນ່ໃຈບໍ່ວ່າຕ້ອງການຍົກເລີກການສັ່ງຊື້ {{amount}} ຂອງທ່ານ?</t>
        </is>
      </c>
      <c r="F138" s="3" t="inlineStr">
        <is>
          <t>{{amount}} အော်ဒါများကို ဖျက်သိမ်းလိုကြောင်း သေချာပါသလော</t>
        </is>
      </c>
      <c r="G138" s="3">
        <f>IFERROR(__xludf.DUMMYFUNCTION("GOOGLETRANSLATE(C138,""vi"",""km"")"),"តើអ្នកពិតជាចង់លុបចោលការបញ្ជាទិញចំនួន {{amount}} មែនទេ?")</f>
        <v/>
      </c>
      <c r="H138" s="217" t="inlineStr">
        <is>
          <t>អតិថិជនពិតជាចង់ព្រីន  {{amount}} បុងបញ្ញើដែរទេ?</t>
        </is>
      </c>
      <c r="J138" s="217" t="inlineStr">
        <is>
          <t>អតិថិជនពិតជាចង់ព្រីន {{amount}} បុងបញ្ញើដែរទេ?</t>
        </is>
      </c>
      <c r="K138" s="217" t="inlineStr">
        <is>
          <t>អតិថិជនពិតជាចង់ព្រីន {{amount}} បុងបញ្ញើដែរទេ?</t>
        </is>
      </c>
      <c r="S138" s="163" t="inlineStr">
        <is>
          <t>តើអ្នកប្រាកដថាចង់លុបចោលការបញ្ជាទិញ {{amount}} ទេ?</t>
        </is>
      </c>
    </row>
    <row r="139" ht="15.75" customHeight="1" s="305">
      <c r="A139" s="217" t="inlineStr">
        <is>
          <t>MANAGE_ORDER.RETURN_REQUEST_SUCCESS</t>
        </is>
      </c>
      <c r="B139" s="153" t="inlineStr">
        <is>
          <t>退货请求提交成功！</t>
        </is>
      </c>
      <c r="C139" s="3" t="inlineStr">
        <is>
          <t>Yêu cầu hoàn thành công!</t>
        </is>
      </c>
      <c r="D139" s="3" t="inlineStr">
        <is>
          <t>Return request successful!</t>
        </is>
      </c>
      <c r="E139" s="3" t="inlineStr">
        <is>
          <t>ສຳເລັດການຮ້ອງຂໍ!</t>
        </is>
      </c>
      <c r="F139" s="3" t="inlineStr">
        <is>
          <t>ပြန်လည်တောင်းဆိုမှု အောင်မြင်ပါ!</t>
        </is>
      </c>
      <c r="G139" s="3">
        <f>IFERROR(__xludf.DUMMYFUNCTION("GOOGLETRANSLATE(C139,""vi"",""km"")"),"សំណើនេះត្រូវបានបំពេញរួចរាល់ហើយ!")</f>
        <v/>
      </c>
      <c r="H139" s="217" t="inlineStr">
        <is>
          <t>ស្នើសុំការត្រលប់អីវ៉ាន់បានជោគជ័យ!</t>
        </is>
      </c>
      <c r="J139" s="217" t="inlineStr">
        <is>
          <t>ស្នើសុំការត្រលប់អីវ៉ាន់បានជោគជ័យ!</t>
        </is>
      </c>
      <c r="K139" s="217" t="inlineStr">
        <is>
          <t>ស្នើសុំការត្រលប់អីវ៉ាន់បានជោគជ័យ!</t>
        </is>
      </c>
      <c r="S139" s="163" t="inlineStr">
        <is>
          <t>សំណើរត្រឡប់មកវិញបានជោគជ័យ!</t>
        </is>
      </c>
    </row>
    <row r="140" ht="15.75" customHeight="1" s="305">
      <c r="A140" s="217" t="inlineStr">
        <is>
          <t>MANAGE_ORDER.CANCEL_REQUEST_SUCCESS</t>
        </is>
      </c>
      <c r="B140" s="153" t="inlineStr">
        <is>
          <t>取消请求提交成功！</t>
        </is>
      </c>
      <c r="C140" s="3" t="inlineStr">
        <is>
          <t>Yêu cầu huỷ thành công!</t>
        </is>
      </c>
      <c r="D140" s="3" t="inlineStr">
        <is>
          <t>Cancel request successful!</t>
        </is>
      </c>
      <c r="E140" s="3" t="inlineStr">
        <is>
          <t>ການຮ້ອງຂໍການຍົກເລີກສຳເລັດແລ້ວ!</t>
        </is>
      </c>
      <c r="F140" s="3" t="inlineStr">
        <is>
          <t>ပယ်ဖျက်ခြင်းတောင်းဆိုချက်အောင်မြင်ပါသည်!</t>
        </is>
      </c>
      <c r="G140" s="3">
        <f>IFERROR(__xludf.DUMMYFUNCTION("GOOGLETRANSLATE(C140,""vi"",""km"")"),"សំណើលុបចោលបានជោគជ័យហើយ!")</f>
        <v/>
      </c>
      <c r="H140" s="217" t="inlineStr">
        <is>
          <t>ស្នើ្នសុំការលុបចោលបុងបានជោគជ័យ!</t>
        </is>
      </c>
      <c r="J140" s="217" t="inlineStr">
        <is>
          <t>ស្នើសុំការលុបចោលបុងបានជោគជ័យ!</t>
        </is>
      </c>
      <c r="K140" s="217" t="inlineStr">
        <is>
          <t>ស្នើសុំការលុបចោលបុងបានជោគជ័យ!</t>
        </is>
      </c>
      <c r="S140" s="163" t="inlineStr">
        <is>
          <t>បោះបង់សំណើបានជោគជ័យ!</t>
        </is>
      </c>
    </row>
    <row r="141" ht="15.75" customHeight="1" s="305">
      <c r="A141" s="217" t="inlineStr">
        <is>
          <t>MANAGE_ORDER.PRINT_REQUEST_SUCCESS</t>
        </is>
      </c>
      <c r="B141" s="153" t="inlineStr">
        <is>
          <t>打印请求提交成功！</t>
        </is>
      </c>
      <c r="C141" s="3" t="inlineStr">
        <is>
          <t>Yêu cầu in thành công!</t>
        </is>
      </c>
      <c r="D141" s="3" t="inlineStr">
        <is>
          <t>Print request successful!</t>
        </is>
      </c>
      <c r="E141" s="3" t="inlineStr">
        <is>
          <t>ພິມຄຳຮ້ອງຂໍສຳເລັດແລ້ວ!</t>
        </is>
      </c>
      <c r="F141" s="3" t="inlineStr">
        <is>
          <t>ပုံနှိပ်တောင်းဆိုမှု အောင်မြင်ပါသည်!</t>
        </is>
      </c>
      <c r="G141" s="3">
        <f>IFERROR(__xludf.DUMMYFUNCTION("GOOGLETRANSLATE(C141,""vi"",""km"")"),"សំណើសុំបោះពុម្ពបានជោគជ័យហើយ!")</f>
        <v/>
      </c>
      <c r="H141" s="217" t="inlineStr">
        <is>
          <t>ស្នើសុំការព្រីនបុងបានជោគជ័យ!</t>
        </is>
      </c>
      <c r="J141" s="217" t="inlineStr">
        <is>
          <t>ស្នើសុំការព្រីនបុងបានជោគជ័យ!</t>
        </is>
      </c>
      <c r="K141" s="217" t="inlineStr">
        <is>
          <t>ស្នើសុំការព្រីនបុងបានជោគជ័យ!</t>
        </is>
      </c>
      <c r="S141" s="163" t="inlineStr">
        <is>
          <t>សំណើព្រីនបានជោគជ័យ!</t>
        </is>
      </c>
    </row>
    <row r="142" ht="15.75" customHeight="1" s="305">
      <c r="A142" s="217" t="inlineStr">
        <is>
          <t>MANAGE_ORDER.RETURN_REQUEST_ERROR</t>
        </is>
      </c>
      <c r="B142" s="153" t="inlineStr">
        <is>
          <t>退货请求提交失败!</t>
        </is>
      </c>
      <c r="C142" s="3" t="inlineStr">
        <is>
          <t>Yêu cầu hoàn thất bại!</t>
        </is>
      </c>
      <c r="D142" s="3" t="inlineStr">
        <is>
          <t>Return request failed!</t>
        </is>
      </c>
      <c r="E142" s="3" t="inlineStr">
        <is>
          <t>ການຮ້ອງຂໍເງິນຄືນລົ້ມເຫລວ!</t>
        </is>
      </c>
      <c r="F142" s="3" t="inlineStr">
        <is>
          <t>ပြန်ပေးတောင်းဆိုချက် မအောင်မြင်ခဲ့ပါ!</t>
        </is>
      </c>
      <c r="G142" s="3">
        <f>IFERROR(__xludf.DUMMYFUNCTION("GOOGLETRANSLATE(C142,""vi"",""km"")"),"សំណើនេះមិនបានជោគជ័យទាំងស្រុងទេ!")</f>
        <v/>
      </c>
      <c r="H142" s="217" t="inlineStr">
        <is>
          <t>ស្នើសុំការត្រលប់បុងបរាជ័យ!</t>
        </is>
      </c>
      <c r="J142" s="217" t="inlineStr">
        <is>
          <t>ស្នើសុំការត្រលប់បុងបរាជ័យ!</t>
        </is>
      </c>
      <c r="K142" s="217" t="inlineStr">
        <is>
          <t>ស្នើសុំការត្រលប់បុងបរាជ័យ!</t>
        </is>
      </c>
      <c r="S142" s="163" t="inlineStr">
        <is>
          <t>សំណើ​ត្រឡប់​បាន​បរាជ័យ!</t>
        </is>
      </c>
    </row>
    <row r="143" ht="15.75" customHeight="1" s="305">
      <c r="A143" s="217" t="inlineStr">
        <is>
          <t>MANAGE_ORDER.CANCEL_REQUEST_ERROR</t>
        </is>
      </c>
      <c r="B143" s="153" t="inlineStr">
        <is>
          <t>取消请求提交失败！</t>
        </is>
      </c>
      <c r="C143" s="3" t="inlineStr">
        <is>
          <t>Yêu cầu huỷ thất bại!</t>
        </is>
      </c>
      <c r="D143" s="3" t="inlineStr">
        <is>
          <t>Cancel request failed!</t>
        </is>
      </c>
      <c r="E143" s="3" t="inlineStr">
        <is>
          <t>ການຮ້ອງຂໍການຍົກເລີກລົ້ມເຫລວ!</t>
        </is>
      </c>
      <c r="F143" s="3" t="inlineStr">
        <is>
          <t>ဖျက်သိမ်းခြင်း တောင်းဆိုချက် မအောင်မြင်ပါ!</t>
        </is>
      </c>
      <c r="G143" s="3">
        <f>IFERROR(__xludf.DUMMYFUNCTION("GOOGLETRANSLATE(C143,""vi"",""km"")"),"សំណើ​លុបចោល​បាន​បរាជ័យ!")</f>
        <v/>
      </c>
      <c r="H143" s="217" t="inlineStr">
        <is>
          <t>ស្នើសុំការលុបបុងបរាជ័យ!</t>
        </is>
      </c>
      <c r="J143" s="217" t="inlineStr">
        <is>
          <t>ស្នើសុំការលុបបុងបរាជ័យ!</t>
        </is>
      </c>
      <c r="K143" s="217" t="inlineStr">
        <is>
          <t>ស្នើសុំការលុបបុងបរាជ័យ!</t>
        </is>
      </c>
      <c r="S143" s="163" t="inlineStr">
        <is>
          <t>សំណើសុំបោះបង់បានបរាជ័យ!</t>
        </is>
      </c>
    </row>
    <row r="144" ht="15.75" customHeight="1" s="305">
      <c r="A144" s="217" t="inlineStr">
        <is>
          <t>MANAGE_ORDER.PRINT_REQUEST_ERROR</t>
        </is>
      </c>
      <c r="B144" s="153" t="inlineStr">
        <is>
          <t>打印请求提交失败！</t>
        </is>
      </c>
      <c r="C144" s="3" t="inlineStr">
        <is>
          <t>Yêu cầu in thất bại!</t>
        </is>
      </c>
      <c r="D144" s="3" t="inlineStr">
        <is>
          <t>Print request failed!</t>
        </is>
      </c>
      <c r="E144" s="3" t="inlineStr">
        <is>
          <t>ການຮ້ອງຂໍການພິມລົ້ມເຫລວ!</t>
        </is>
      </c>
      <c r="F144" s="3" t="inlineStr">
        <is>
          <t>ပုံနှိပ်တောင်းဆိုချက် မအောင်မြင်ခဲ့ပါ!</t>
        </is>
      </c>
      <c r="G144" s="3">
        <f>IFERROR(__xludf.DUMMYFUNCTION("GOOGLETRANSLATE(C144,""vi"",""km"")"),"សំណើសុំបោះពុម្ពបរាជ័យ!")</f>
        <v/>
      </c>
      <c r="H144" s="217" t="inlineStr">
        <is>
          <t>ស្នើសុំការព្រីនបុងបរាជ័យ!</t>
        </is>
      </c>
      <c r="J144" s="217" t="inlineStr">
        <is>
          <t>ស្នើសុំការព្រីនបុងបរាជ័យ!</t>
        </is>
      </c>
      <c r="K144" s="217" t="inlineStr">
        <is>
          <t>ស្នើសុំការព្រីនបុងបរាជ័យ!</t>
        </is>
      </c>
      <c r="S144" s="163" t="inlineStr">
        <is>
          <t>​សំណើព្រីនបាន​បរាជ័យ!</t>
        </is>
      </c>
    </row>
    <row r="145" ht="15.75" customHeight="1" s="305">
      <c r="A145" s="217" t="inlineStr">
        <is>
          <t>MANAGE_ORDER.BLUETOOTH_PERMISSION_BLOCKED</t>
        </is>
      </c>
      <c r="B145" s="153" t="inlineStr">
        <is>
          <t>蓝牙权限被阻止，请在系统设置中启用。</t>
        </is>
      </c>
      <c r="C145" s="3" t="inlineStr">
        <is>
          <t>Quyền Bluetooth bị chặn. Vui lòng bật trong Cài đặt.</t>
        </is>
      </c>
      <c r="D145" s="3" t="inlineStr">
        <is>
          <t>Bluetooth permission blocked. Please enable it in Settings.</t>
        </is>
      </c>
      <c r="E145" s="3" t="inlineStr">
        <is>
          <t>ສິດ Bluetooth ຖືກປິດ. ກະລຸນາເປີດໃນການຕັ້ງຄ່າ.</t>
        </is>
      </c>
      <c r="F145" s="3" t="inlineStr">
        <is>
          <t>Bluetooth ခွင့်ပြုချက် ပိတ်ထားသည်။ ကျေးဇူးပြု၍ ဆက်တင်များတွင် ဖွင့်ပါ။</t>
        </is>
      </c>
      <c r="G145" s="3">
        <f>IFERROR(__xludf.DUMMYFUNCTION("GOOGLETRANSLATE(C145,""vi"",""km"")"),"ការអនុញ្ញាត​ប៊្លូធូស​ត្រូវ​បាន​រារាំង។ សូម​បើក​ការអនុញ្ញាត​ទាំងនោះ​នៅ​ក្នុង​ការកំណត់។")</f>
        <v/>
      </c>
      <c r="J145" s="217" t="inlineStr">
        <is>
          <t>ការអនុញ្ញាត Bluetooth ត្រូវបានបិទ។ សូមបើកវានៅក្នុងការកំណត់</t>
        </is>
      </c>
      <c r="K145" s="217" t="inlineStr">
        <is>
          <t>ការអនុញ្ញាត Bluetooth ត្រូវបានបិទ។ សូមបើកវានៅក្នុងការកំណត់</t>
        </is>
      </c>
      <c r="S145" s="163" t="inlineStr">
        <is>
          <t>ការអនុញ្ញាត Bluetooth ត្រូវបានបិទ។ សូមបើកវានៅក្នុងការកំណត់</t>
        </is>
      </c>
    </row>
    <row r="146" ht="15.75" customHeight="1" s="305">
      <c r="A146" s="217" t="inlineStr">
        <is>
          <t>MANAGE_ORDER.RETURN_REQUEST</t>
        </is>
      </c>
      <c r="B146" s="153" t="inlineStr">
        <is>
          <t>退货请求</t>
        </is>
      </c>
      <c r="C146" s="3" t="inlineStr">
        <is>
          <t>Yêu cầu hoàn</t>
        </is>
      </c>
      <c r="D146" s="3" t="inlineStr">
        <is>
          <t>Return request</t>
        </is>
      </c>
      <c r="E146" s="3" t="inlineStr">
        <is>
          <t>ການຮ້ອງຂໍຄືນເງິນ</t>
        </is>
      </c>
      <c r="F146" s="3" t="inlineStr">
        <is>
          <t>ပြန်ပေးတောင်းဆိုချက်</t>
        </is>
      </c>
      <c r="G146" s="3">
        <f>IFERROR(__xludf.DUMMYFUNCTION("GOOGLETRANSLATE(C146,""vi"",""km"")"),"សំណើសុំបំពេញ")</f>
        <v/>
      </c>
      <c r="H146" s="217" t="inlineStr">
        <is>
          <t>ស្នើសុំត្រលប់</t>
        </is>
      </c>
      <c r="J146" s="217" t="inlineStr">
        <is>
          <t>ស្នើសុំត្រលប់</t>
        </is>
      </c>
      <c r="K146" s="217" t="inlineStr">
        <is>
          <t>ស្នើសុំត្រលប់</t>
        </is>
      </c>
      <c r="S146" s="163" t="inlineStr">
        <is>
          <t>សំណើត្រឡប់មកវិញ</t>
        </is>
      </c>
    </row>
    <row r="147" ht="15.75" customHeight="1" s="305">
      <c r="A147" s="217" t="inlineStr">
        <is>
          <t>MANAGE_ORDER.CANCEL_REQUEST</t>
        </is>
      </c>
      <c r="B147" s="153" t="inlineStr">
        <is>
          <t>取消请求</t>
        </is>
      </c>
      <c r="C147" s="3" t="inlineStr">
        <is>
          <t>Yêu cầu huỷ</t>
        </is>
      </c>
      <c r="D147" s="3" t="inlineStr">
        <is>
          <t>Cancel request</t>
        </is>
      </c>
      <c r="E147" s="3" t="inlineStr">
        <is>
          <t>ການຮ້ອງຂໍການຍົກເລີກ</t>
        </is>
      </c>
      <c r="F147" s="3" t="inlineStr">
        <is>
          <t>တောင်းဆိုချက်ကို ပယ်ဖျက်ပါ</t>
        </is>
      </c>
      <c r="G147" s="3">
        <f>IFERROR(__xludf.DUMMYFUNCTION("GOOGLETRANSLATE(C147,""vi"",""km"")"),"សំណើសុំលុបចោល")</f>
        <v/>
      </c>
      <c r="H147" s="217" t="inlineStr">
        <is>
          <t>ស្នើសុំលុបចោល</t>
        </is>
      </c>
      <c r="J147" s="217" t="inlineStr">
        <is>
          <t>ស្នើសុំលុបចោល</t>
        </is>
      </c>
      <c r="K147" s="217" t="inlineStr">
        <is>
          <t>ស្នើសុំលុបចោល</t>
        </is>
      </c>
      <c r="S147" s="163" t="inlineStr">
        <is>
          <t>លុបសំណើរ</t>
        </is>
      </c>
    </row>
    <row r="148" ht="15.75" customHeight="1" s="305">
      <c r="A148" s="217" t="inlineStr">
        <is>
          <t>MANAGE_ORDER.PRINT_REQUEST</t>
        </is>
      </c>
      <c r="B148" s="153" t="inlineStr">
        <is>
          <t>打印请求</t>
        </is>
      </c>
      <c r="C148" s="3" t="inlineStr">
        <is>
          <t>Yêu cầu in</t>
        </is>
      </c>
      <c r="D148" s="3" t="inlineStr">
        <is>
          <t>Print request</t>
        </is>
      </c>
      <c r="E148" s="3" t="inlineStr">
        <is>
          <t>ພິມຄຳຮ້ອງຂໍ</t>
        </is>
      </c>
      <c r="F148" s="3" t="inlineStr">
        <is>
          <t>ပုံနှိပ်တောင်းဆိုချက်</t>
        </is>
      </c>
      <c r="G148" s="3">
        <f>IFERROR(__xludf.DUMMYFUNCTION("GOOGLETRANSLATE(C148,""vi"",""km"")"),"សំណើសុំបោះពុម្ព")</f>
        <v/>
      </c>
      <c r="H148" s="217" t="inlineStr">
        <is>
          <t>ស្នើសុំព្រីន</t>
        </is>
      </c>
      <c r="J148" s="217" t="inlineStr">
        <is>
          <t>ស្នើសុំព្រីន</t>
        </is>
      </c>
      <c r="K148" s="217" t="inlineStr">
        <is>
          <t>ស្នើសុំព្រីន</t>
        </is>
      </c>
      <c r="S148" s="163" t="inlineStr">
        <is>
          <t>ព្រីនសំណើរ</t>
        </is>
      </c>
    </row>
    <row r="149" ht="15.75" customHeight="1" s="305">
      <c r="A149" s="217" t="inlineStr">
        <is>
          <t>MANAGE_ORDER.ORDER_NOT_RECORDED</t>
        </is>
      </c>
      <c r="B149" s="153" t="inlineStr">
        <is>
          <t>订单未被记录，可能是由于网络连接、系统问题或订单状态发生变化，请检查后重试。</t>
        </is>
      </c>
      <c r="C149" s="3" t="inlineStr">
        <is>
          <t>đơn chưa được ghi nhận, có thể do kết nối mạng, hệ thống hoặc trạng thái đơn đã thay đổi. Vui lòng kiểm tra và thử lại.</t>
        </is>
      </c>
      <c r="D149" s="3" t="inlineStr">
        <is>
          <t>The order has not been recorded, possibly due to network connection, system issues, or order status changes. Please check and try again.</t>
        </is>
      </c>
      <c r="E149" s="3" t="inlineStr">
        <is>
          <t>ຄໍາສັ່ງບໍ່ໄດ້ຖືກບັນທຶກໄວ້, ອາດຈະເປັນຍ້ອນການເຊື່ອມຕໍ່ເຄືອຂ່າຍ, ລະບົບຫຼືການປ່ຽນແປງສະຖານະການຄໍາສັ່ງ. ກະລຸນາກວດເບິ່ງ ແລະລອງໃໝ່ອີກ.</t>
        </is>
      </c>
      <c r="F149" s="3" t="inlineStr">
        <is>
          <t>အဆိုပါအော်ဒါ ကို ကွန်ယက် ဆက်သွယ် မှု ၊ စနစ် ပြဿနာ များ ၊ သို့မဟုတ် အခြေအနေ ပြောင်းလဲ မှု များ ကြောင့် ဖြစ် နိုင် ဖွယ် ရှိ သော်လည်း ၊ မှတ်တမ်းတင် ခြင်း မ ရှိ ခဲ့ ပါ ။ ကျေးဇူးပြု၍ ပြန်လည်စစ်ဆေးကြည့်ပါ။</t>
        </is>
      </c>
      <c r="G149" s="3">
        <f>IFERROR(__xludf.DUMMYFUNCTION("GOOGLETRANSLATE(C149,""vi"",""km"")"),"ការបញ្ជាទិញរបស់អ្នកមិនទាន់ត្រូវបានចុះឈ្មោះនៅឡើយទេ ប្រហែលជាដោយសារតែបញ្ហាការតភ្ជាប់បណ្តាញ បញ្ហាប្រព័ន្ធ ឬការផ្លាស់ប្តូរស្ថានភាពការបញ្ជាទិញ។ សូមពិនិត្យ ហើយព្យាយាមម្តងទៀត។")</f>
        <v/>
      </c>
      <c r="H149" s="3" t="inlineStr">
        <is>
          <t>បុងបញ្ញើមិនទាន់បានកំណត់ចំណាំទេ អាចមកពីបញ្ហាការភ្ជាប់អុិនធឺណេត ប្រព័ន្ធ ឬ ស្ថានភាពបុងបញ្ញើបានផ្លាស់ប្តូរ។ សូមពិនិត្យនិងព្យាយាមម្តងទៀត</t>
        </is>
      </c>
      <c r="J149" s="3" t="inlineStr">
        <is>
          <t>បុងបញ្ញើមិនទាន់បានកំណត់ចំណាំទេ អាចមកពីបញ្ហាការភ្ជាប់អុិនធឺណេត ប្រព័ន្ធ ឬ ស្ថានភាពបុងបញ្ញើបានផ្លាស់ប្តូរ។ សូមពិនិត្យនិងព្យាយាមម្តងទៀត</t>
        </is>
      </c>
      <c r="K149" s="217" t="inlineStr">
        <is>
          <t>បុងបញ្ញើមិនទាន់បានកំណត់ចំណាំទេ អាចមកពីបញ្ហាការភ្ជាប់អុិនធឺណេត ប្រព័ន្ធ ឬ ស្ថានភាពបុងបញ្ញើបានផ្លាស់ប្តូរ។ សូមពិនិត្យនិងព្យាយាមម្តងទៀត</t>
        </is>
      </c>
      <c r="S149" s="163" t="inlineStr">
        <is>
          <t>ការបញ្ជានេះមិនត្រូវបានកត់ត្រាទេ ប្រហែលជាដោយសារតែការតភ្ជាប់បណ្តាញ បញ្ហាប្រព័ន្ធ ឬការផ្លាស់ប្តូរស្ថានភាពការបញ្ជាទិញ។ សូមពិនិត្យមើល ហើយព្យាយាមម្តងទៀត</t>
        </is>
      </c>
    </row>
    <row r="150" ht="15.75" customHeight="1" s="305">
      <c r="A150" s="217" t="inlineStr">
        <is>
          <t>MANAGE_ORDER.SUCCESS_ORDERS</t>
        </is>
      </c>
      <c r="B150" s="161" t="inlineStr">
        <is>
          <t>({{amount}})订单成功</t>
        </is>
      </c>
      <c r="C150" s="3" t="inlineStr">
        <is>
          <t>Đơn thành công ({{amount}})</t>
        </is>
      </c>
      <c r="D150" s="3" t="inlineStr">
        <is>
          <t>Successful orders ({{amount}})</t>
        </is>
      </c>
      <c r="E150" s="3" t="inlineStr">
        <is>
          <t>ການສັ່ງຊື້ສຳເລັດແລ້ວ ({{amount}})</t>
        </is>
      </c>
      <c r="F150" s="3" t="inlineStr">
        <is>
          <t>အောင်မြင်တဲ့အော်ဒါများ({{amount}})</t>
        </is>
      </c>
      <c r="G150" s="3">
        <f>IFERROR(__xludf.DUMMYFUNCTION("GOOGLETRANSLATE(C150,""vi"",""km"")"),"ការបញ្ជាទិញបានជោគជ័យ ({{amount}})")</f>
        <v/>
      </c>
      <c r="H150" s="217" t="inlineStr">
        <is>
          <t>បុុងបញ្ញើបានជោគជ័យ({{amount}})</t>
        </is>
      </c>
      <c r="J150" s="217" t="inlineStr">
        <is>
          <t>បុុងបញ្ញើបានជោគជ័យ({{amount}})</t>
        </is>
      </c>
      <c r="K150" s="217" t="inlineStr">
        <is>
          <t>បុុងបញ្ញើបានជោគជ័យ({{amount}})</t>
        </is>
      </c>
      <c r="S150" s="163" t="inlineStr">
        <is>
          <t>ការបញ្ជាទិញដោយជោគជ័យ {{amount}}</t>
        </is>
      </c>
    </row>
    <row r="151" ht="15.75" customHeight="1" s="305">
      <c r="A151" s="217" t="inlineStr">
        <is>
          <t>MANAGE_ORDER.FAILED_ORDERS</t>
        </is>
      </c>
      <c r="B151" s="161" t="inlineStr">
        <is>
          <t>({{amount}})订单失败</t>
        </is>
      </c>
      <c r="C151" s="3" t="inlineStr">
        <is>
          <t>Đơn không thành công ({{amount}})</t>
        </is>
      </c>
      <c r="D151" s="3" t="inlineStr">
        <is>
          <t>Failed orders ({{amount}})</t>
        </is>
      </c>
      <c r="E151" s="3" t="inlineStr">
        <is>
          <t>ການສັ່ງຊື້ລົ້ມເຫລວ ({{amount}})</t>
        </is>
      </c>
      <c r="F151" s="3" t="inlineStr">
        <is>
          <t>မအောင်မြင်သော မှာယူမှုများ ({{amount}})</t>
        </is>
      </c>
      <c r="G151" s="3">
        <f>IFERROR(__xludf.DUMMYFUNCTION("GOOGLETRANSLATE(C151,""vi"",""km"")"),"ការបញ្ជាទិញមិនបានជោគជ័យទេ ({{amount}})")</f>
        <v/>
      </c>
      <c r="H151" s="217" t="inlineStr">
        <is>
          <t>បុងបញ្ញើមិនជោគជ័យ({{amount}})</t>
        </is>
      </c>
      <c r="J151" s="217" t="inlineStr">
        <is>
          <t>បុងបញ្ញើមិនជោគជ័យ({{amount}})</t>
        </is>
      </c>
      <c r="K151" s="217" t="inlineStr">
        <is>
          <t>បុងបញ្ញើមិនជោគជ័យ({{amount}})</t>
        </is>
      </c>
      <c r="S151" s="163" t="inlineStr">
        <is>
          <t>ការបញ្ជាទិញមិនជោគជ័យ ({{amount}})</t>
        </is>
      </c>
    </row>
    <row r="152" ht="15.75" customHeight="1" s="305">
      <c r="A152" s="217" t="inlineStr">
        <is>
          <t>MANAGE_ORDER.CLOSE</t>
        </is>
      </c>
      <c r="B152" s="153" t="inlineStr">
        <is>
          <t>关闭</t>
        </is>
      </c>
      <c r="C152" s="3" t="inlineStr">
        <is>
          <t>Đóng</t>
        </is>
      </c>
      <c r="D152" s="3" t="inlineStr">
        <is>
          <t>Close</t>
        </is>
      </c>
      <c r="E152" s="3" t="inlineStr">
        <is>
          <t>ປິດ</t>
        </is>
      </c>
      <c r="F152" s="3" t="inlineStr">
        <is>
          <t>ပိတ်ပါ</t>
        </is>
      </c>
      <c r="G152" s="3">
        <f>IFERROR(__xludf.DUMMYFUNCTION("GOOGLETRANSLATE(C152,""vi"",""km"")"),"បិទ")</f>
        <v/>
      </c>
      <c r="H152" s="217" t="inlineStr">
        <is>
          <t>បិទ</t>
        </is>
      </c>
      <c r="J152" s="217" t="inlineStr">
        <is>
          <t>បិទ</t>
        </is>
      </c>
      <c r="K152" s="217" t="inlineStr">
        <is>
          <t>បិទ</t>
        </is>
      </c>
      <c r="S152" s="163" t="inlineStr">
        <is>
          <t>បិទ</t>
        </is>
      </c>
    </row>
    <row r="153" ht="15.75" customHeight="1" s="305">
      <c r="A153" s="217" t="inlineStr">
        <is>
          <t>MANAGE_ORDER.RETURN_REQUEST_SUCCESS_ORDER</t>
        </is>
      </c>
      <c r="B153" s="153" t="inlineStr">
        <is>
          <t>订单 {{orderId}} 退货请求提交成功</t>
        </is>
      </c>
      <c r="C153" s="3" t="inlineStr">
        <is>
          <t>Yêu cầu hoàn thành công đơn {{orderId}}</t>
        </is>
      </c>
      <c r="D153" s="3" t="inlineStr">
        <is>
          <t>Return request successful for order {{orderId}}</t>
        </is>
      </c>
      <c r="E153" s="3" t="inlineStr">
        <is>
          <t>ຮ້ອງຂໍໃຫ້ສໍາເລັດການສັ່ງຊື້ {{orderId}}</t>
        </is>
      </c>
      <c r="F153" s="3" t="inlineStr">
        <is>
          <t>အော်ဒါပြန်ပေးရန် တောင်းဆိုခြင်းအောင်မြင်ပါသည်{{orderId}}</t>
        </is>
      </c>
      <c r="G153" s="3">
        <f>IFERROR(__xludf.DUMMYFUNCTION("GOOGLETRANSLATE(C153,""vi"",""km"")"),"សំណើសុំបំពេញទម្រង់បញ្ជាទិញ {{orderId}}")</f>
        <v/>
      </c>
      <c r="H153" s="217" t="inlineStr">
        <is>
          <t>ការស្នើសុំត្រលប់បុងបញ្ញើបានជោគជ័យ  {{orderId}}</t>
        </is>
      </c>
      <c r="J153" s="3" t="inlineStr">
        <is>
          <t>ការស្នើសុំត្រលប់បុងបញ្ញើបានជោគជ័យ {{orderId}}</t>
        </is>
      </c>
      <c r="K153" s="217" t="inlineStr">
        <is>
          <t>ការស្នើសុំត្រលប់បុងបញ្ញើបានជោគជ័យ {{orderId}}</t>
        </is>
      </c>
      <c r="S153" s="163" t="inlineStr">
        <is>
          <t>សំណើត្រឡប់បានជោគជ័យសម្រាប់កញ្ចប់បុង {{orderId}}</t>
        </is>
      </c>
    </row>
    <row r="154" ht="15.75" customHeight="1" s="305">
      <c r="A154" s="217" t="inlineStr">
        <is>
          <t>MANAGE_ORDER.RETURN_REQUEST_CONTINUE_RETURN_ORDER</t>
        </is>
      </c>
      <c r="B154" s="153" t="inlineStr">
        <is>
          <t>重新派送请求成功！</t>
        </is>
      </c>
      <c r="C154" s="3" t="inlineStr">
        <is>
          <t>Yêu cầu phát tiếp thành công</t>
        </is>
      </c>
      <c r="D154" s="3" t="inlineStr">
        <is>
          <t>Redelivery request sent!</t>
        </is>
      </c>
      <c r="E154" s="3" t="inlineStr">
        <is>
          <t>ການຮ້ອງຂໍສົ່ງອີກສຳເລັດແລ້ວ</t>
        </is>
      </c>
      <c r="F154" s="3" t="inlineStr">
        <is>
          <t>ပြန်လည်ပေးပို့ရန် တောင်းဆိုချက်ကို ပေးပို့လိုက်ပါပြီ။</t>
        </is>
      </c>
      <c r="G154" s="3">
        <f>IFERROR(__xludf.DUMMYFUNCTION("GOOGLETRANSLATE(C154,""vi"",""km"")"),"សំណើ​ចាក់​ឡើងវិញ​បាន​ជោគជ័យ។")</f>
        <v/>
      </c>
      <c r="H154" s="217" t="inlineStr">
        <is>
          <t>ស្នើសុំបញ្ជូនបន្តបានជោគជ័យ</t>
        </is>
      </c>
      <c r="J154" s="217" t="inlineStr">
        <is>
          <t>ស្នើសុំបញ្ជូនបន្តបានជោគជ័យ</t>
        </is>
      </c>
      <c r="K154" s="217" t="inlineStr">
        <is>
          <t>ស្នើសុំបញ្ជូនបន្តបានជោគជ័យ</t>
        </is>
      </c>
      <c r="S154" s="163" t="inlineStr">
        <is>
          <t>ស្នើសុំបន្តដឹកជញ្ជូនដោយជោគជ័យ</t>
        </is>
      </c>
    </row>
    <row r="155" ht="15.75" customHeight="1" s="305">
      <c r="A155" s="217" t="inlineStr">
        <is>
          <t>MANAGE_ORDER.RETURN_REQUEST_CONTINUE_RETURN_ERROR_ORDER</t>
        </is>
      </c>
      <c r="B155" s="153" t="inlineStr">
        <is>
          <t>订单 {{orderId}} 继续派送请求失败</t>
        </is>
      </c>
      <c r="C155" s="3" t="inlineStr">
        <is>
          <t>Yêu cầu phát tiếp thất bại đơn {{orderId}}</t>
        </is>
      </c>
      <c r="D155" s="3" t="inlineStr">
        <is>
          <t>Request to proceed with failed order delivery {{orderId}}</t>
        </is>
      </c>
      <c r="E155" s="3" t="inlineStr">
        <is>
          <t>ຮ້ອງຂໍໃຫ້ຈັດສົ່ງຄຳສັ່ງຊື້ທີ່ລົ້ມເຫຼວ {{orderId}}</t>
        </is>
      </c>
      <c r="F155" s="3" t="inlineStr">
        <is>
          <t>အော်ဒါပို့ဆောင်မှုမအောင်မြင်ပါဘဲ ဆက်လက်တောင်းဆိုသည်။ {{orderId}}</t>
        </is>
      </c>
      <c r="G155" s="3">
        <f>IFERROR(__xludf.DUMMYFUNCTION("GOOGLETRANSLATE(C155,""vi"",""km"")"),"សំណើសុំបញ្ជូនបន្តសម្រាប់ការបញ្ជាទិញ {{orderId}} បានបរាជ័យ")</f>
        <v/>
      </c>
      <c r="H155" s="217" t="inlineStr">
        <is>
          <t>ស្នើសុំបញ្ជូនបន្តបរាជ័យ</t>
        </is>
      </c>
      <c r="J155" s="217" t="inlineStr">
        <is>
          <t>ស្នើសុំបញ្ជូនបន្តបរាជ័យ</t>
        </is>
      </c>
      <c r="K155" s="217" t="inlineStr">
        <is>
          <t>ស្នើសុំបញ្ជូនបន្តបរាជ័យ</t>
        </is>
      </c>
      <c r="S155" s="163" t="inlineStr">
        <is>
          <t>ស្នើសុំបន្តដឹកជញ្ជូនការបញ្ជាទិញដែលបានបរាជ័យ {{orderId}}</t>
        </is>
      </c>
    </row>
    <row r="156" ht="15.75" customHeight="1" s="305">
      <c r="A156" s="217" t="inlineStr">
        <is>
          <t>MANAGE_ORDER.RETURN_REQUEST_ERROR_ORDER</t>
        </is>
      </c>
      <c r="B156" s="153" t="inlineStr">
        <is>
          <t>订单 {{orderId}} 退货请求提交失败</t>
        </is>
      </c>
      <c r="C156" s="3" t="inlineStr">
        <is>
          <t>Yêu cầu hoàn thất bại đơn {{orderId}}</t>
        </is>
      </c>
      <c r="D156" s="3" t="inlineStr">
        <is>
          <t>Return request failed for order {{orderId}}</t>
        </is>
      </c>
      <c r="E156" s="3" t="inlineStr">
        <is>
          <t>ການຮ້ອງຂໍການຄືນເງິນລົ້ມເຫລວສໍາລັບຄໍາສັ່ງ {{orderId}}</t>
        </is>
      </c>
      <c r="F156" s="3" t="inlineStr">
        <is>
          <t>အော်ဒါပြန်ပေးရန် တောင်းဆိုခြင်း မ အောင်မြင်ပါသည်{{orderId}}</t>
        </is>
      </c>
      <c r="G156" s="3">
        <f>IFERROR(__xludf.DUMMYFUNCTION("GOOGLETRANSLATE(C156,""vi"",""km"")"),"សំណើសុំបញ្ចប់ការបញ្ជាទិញបានបរាជ័យ {{orderId}}")</f>
        <v/>
      </c>
      <c r="H156" s="217" t="inlineStr">
        <is>
          <t>ស្នើសុំត្រលប់បុងបរាជ័យ</t>
        </is>
      </c>
      <c r="J156" s="217" t="inlineStr">
        <is>
          <t>ស្នើសុំត្រលប់បុងបរាជ័យ</t>
        </is>
      </c>
      <c r="K156" s="217" t="inlineStr">
        <is>
          <t>ស្នើសុំត្រលប់បុងបរាជ័យ</t>
        </is>
      </c>
      <c r="S156" s="163" t="inlineStr">
        <is>
          <t>សំណើត្រឡប់បានបរាជ័យសម្រាប់កញ្ចប់បុង{{orderId}}</t>
        </is>
      </c>
    </row>
    <row r="157" ht="15.75" customHeight="1" s="305">
      <c r="A157" s="217" t="inlineStr">
        <is>
          <t>MANAGE_ORDER.RETURN_REQUEST_MULTI_SUCCESS_ORDER</t>
        </is>
      </c>
      <c r="B157" s="153" t="inlineStr">
        <is>
          <t>订单{{amount}}的退货请求提交成功</t>
        </is>
      </c>
      <c r="C157" s="3" t="inlineStr">
        <is>
          <t>Yêu cầu hoàn thành công {{amount}} đơn</t>
        </is>
      </c>
      <c r="D157" s="3" t="inlineStr">
        <is>
          <t>Return request successful for {{amount}} order</t>
        </is>
      </c>
      <c r="E157" s="3" t="inlineStr">
        <is>
          <t>ຮ້ອງຂໍຕີຄືນສຳເລັດ {{amount}} ລາຍການ</t>
        </is>
      </c>
      <c r="F157" s="3" t="inlineStr">
        <is>
          <t>မှာယူမှု {{amount}} ခုအတွက် ပြန်လည်တောင်းခံမှု အောင်မြင်ပါသည်။</t>
        </is>
      </c>
      <c r="G157" s="3">
        <f>IFERROR(__xludf.DUMMYFUNCTION("GOOGLETRANSLATE(C157,""vi"",""km"")"),"សំណើសុំបំពេញទម្រង់បែបបទ {{amount}}")</f>
        <v/>
      </c>
      <c r="H157" s="217" t="inlineStr">
        <is>
          <t>ស្នើសុំត្រលប់បុងបានជោគជ័យ</t>
        </is>
      </c>
      <c r="J157" s="217" t="inlineStr">
        <is>
          <t>ស្នើសុំត្រលប់បុងបានជោគជ័យ</t>
        </is>
      </c>
      <c r="K157" s="217" t="inlineStr">
        <is>
          <t>ស្នើសុំត្រលប់បុងបានជោគជ័យ</t>
        </is>
      </c>
      <c r="S157" s="163" t="inlineStr">
        <is>
          <t>សំណើត្រឡប់មកវិញបានជោគជ័យសម្រាប់ការបញ្ជាទិញ {{amount}}</t>
        </is>
      </c>
    </row>
    <row r="158" ht="15.75" customHeight="1" s="305">
      <c r="A158" s="217" t="inlineStr">
        <is>
          <t>DETAIL_ORDER.TITLE</t>
        </is>
      </c>
      <c r="B158" s="153" t="inlineStr">
        <is>
          <t>订单详情</t>
        </is>
      </c>
      <c r="C158" s="3" t="inlineStr">
        <is>
          <t>Chi tiết đơn hàng</t>
        </is>
      </c>
      <c r="D158" s="3" t="inlineStr">
        <is>
          <t>Order Details</t>
        </is>
      </c>
      <c r="E158" s="3" t="inlineStr">
        <is>
          <t>ລາຍລະອຽດການສັ່ງຊື້</t>
        </is>
      </c>
      <c r="F158" s="3" t="inlineStr">
        <is>
          <t>အသေးစိတ်အချက်အလက်များ</t>
        </is>
      </c>
      <c r="G158" s="3">
        <f>IFERROR(__xludf.DUMMYFUNCTION("GOOGLETRANSLATE(C158,""vi"",""km"")"),"ព័ត៌មានលម្អិតអំពីការបញ្ជាទិញ")</f>
        <v/>
      </c>
      <c r="H158" s="217" t="inlineStr">
        <is>
          <t>លម្អិតពីបុងបញ្ញើ</t>
        </is>
      </c>
      <c r="J158" s="217" t="inlineStr">
        <is>
          <t>លម្អិតពីបុងបញ្ញើ</t>
        </is>
      </c>
      <c r="K158" s="217" t="inlineStr">
        <is>
          <t>លម្អិតពីបុងបញ្ញើ</t>
        </is>
      </c>
      <c r="S158" s="163" t="inlineStr">
        <is>
          <t>ព័ត៌មានលម្អិតនៃកញ្ចប់បុង</t>
        </is>
      </c>
    </row>
    <row r="159" ht="15.75" customHeight="1" s="305">
      <c r="A159" s="217" t="inlineStr">
        <is>
          <t>DETAIL_ORDER.ORDER_CREATED_DAY</t>
        </is>
      </c>
      <c r="B159" s="153" t="inlineStr">
        <is>
          <t>创建日期</t>
        </is>
      </c>
      <c r="C159" s="3" t="inlineStr">
        <is>
          <t>Ngày tạo</t>
        </is>
      </c>
      <c r="D159" s="3" t="inlineStr">
        <is>
          <t>Created Date</t>
        </is>
      </c>
      <c r="E159" s="3" t="inlineStr">
        <is>
          <t>ວັນທີສ້າງ</t>
        </is>
      </c>
      <c r="F159" s="3" t="inlineStr">
        <is>
          <t>ဖန်တီးထားတဲ့ ရက်စွဲ</t>
        </is>
      </c>
      <c r="G159" s="3">
        <f>IFERROR(__xludf.DUMMYFUNCTION("GOOGLETRANSLATE(C159,""vi"",""km"")"),"កាលបរិច្ឆេទបង្កើត")</f>
        <v/>
      </c>
      <c r="H159" s="217" t="inlineStr">
        <is>
          <t>ថ្ងៃបង្កើត</t>
        </is>
      </c>
      <c r="J159" s="217" t="inlineStr">
        <is>
          <t>កាលបរិច្ឆេទបង្កើត</t>
        </is>
      </c>
      <c r="K159" s="217" t="inlineStr">
        <is>
          <t>កាលបរិច្ឆេទបង្កើត</t>
        </is>
      </c>
      <c r="S159" s="163" t="inlineStr">
        <is>
          <t>បង្កើតកាលបរិច្ឆេទ</t>
        </is>
      </c>
    </row>
    <row r="160" ht="15.75" customHeight="1" s="305">
      <c r="A160" s="217" t="inlineStr">
        <is>
          <t>DETAIL_ORDER.REFERENCE_CODE</t>
        </is>
      </c>
      <c r="B160" s="153" t="inlineStr">
        <is>
          <t>参考代码</t>
        </is>
      </c>
      <c r="C160" s="3" t="inlineStr">
        <is>
          <t>Mã tự quản</t>
        </is>
      </c>
      <c r="D160" s="3" t="inlineStr">
        <is>
          <t>Reference Code</t>
        </is>
      </c>
      <c r="E160" s="3" t="inlineStr">
        <is>
          <t>ລະຫັດການຄຸ້ມຄອງຕົນເອງ</t>
        </is>
      </c>
      <c r="F160" s="3" t="inlineStr">
        <is>
          <t>အညွှန်းစည်းမျပ်</t>
        </is>
      </c>
      <c r="G160" s="3">
        <f>IFERROR(__xludf.DUMMYFUNCTION("GOOGLETRANSLATE(C160,""vi"",""km"")"),"លេខកូដដែលគ្រប់គ្រងដោយខ្លួនឯង")</f>
        <v/>
      </c>
      <c r="J160" s="217" t="inlineStr">
        <is>
          <t>យោងតាមលេខកូដ</t>
        </is>
      </c>
      <c r="K160" s="217" t="inlineStr">
        <is>
          <t>យោងតាមលេខកូដ</t>
        </is>
      </c>
      <c r="S160" s="163" t="inlineStr">
        <is>
          <t>យោងតាមលេខកូដ</t>
        </is>
      </c>
    </row>
    <row r="161" ht="15.75" customHeight="1" s="305">
      <c r="A161" s="217" t="inlineStr">
        <is>
          <t>DETAIL_ORDER.SERVICE</t>
        </is>
      </c>
      <c r="B161" s="153" t="inlineStr">
        <is>
          <t>配送服务</t>
        </is>
      </c>
      <c r="C161" s="3" t="inlineStr">
        <is>
          <t>Dịch vụ vận chuyển</t>
        </is>
      </c>
      <c r="D161" s="3" t="inlineStr">
        <is>
          <t>Shipping Service</t>
        </is>
      </c>
      <c r="E161" s="3" t="inlineStr">
        <is>
          <t>ບໍລິການຂົນສົ່ງ</t>
        </is>
      </c>
      <c r="F161" s="3" t="inlineStr">
        <is>
          <t>ပိုဆောင်ခြင်း ဝန်ဆောင်မှုလုပ်ငန်း</t>
        </is>
      </c>
      <c r="G161" s="3">
        <f>IFERROR(__xludf.DUMMYFUNCTION("GOOGLETRANSLATE(C161,""vi"",""km"")"),"សេវាកម្មដឹកជញ្ជូន")</f>
        <v/>
      </c>
      <c r="H161" s="217" t="inlineStr">
        <is>
          <t>សេវាកម្មដឹកជញ្ជូន</t>
        </is>
      </c>
      <c r="J161" s="217" t="inlineStr">
        <is>
          <t>សេវាកម្មដឹកជញ្ជូន</t>
        </is>
      </c>
      <c r="K161" s="217" t="inlineStr">
        <is>
          <t>សេវាកម្មដឹកជញ្ជូន</t>
        </is>
      </c>
      <c r="S161" s="163" t="inlineStr">
        <is>
          <t>សេវាកម្មដឹកជញ្ជូន</t>
        </is>
      </c>
    </row>
    <row r="162" ht="15.75" customHeight="1" s="305">
      <c r="A162" s="217" t="inlineStr">
        <is>
          <t>DETAIL_ORDER.SEND_RECEIVE_INFO</t>
        </is>
      </c>
      <c r="B162" s="153" t="inlineStr">
        <is>
          <t>收件人信息</t>
        </is>
      </c>
      <c r="C162" s="3" t="inlineStr">
        <is>
          <t>Thông tin gửi nhận</t>
        </is>
      </c>
      <c r="D162" s="3" t="inlineStr">
        <is>
          <t>Sender/Receiver Information</t>
        </is>
      </c>
      <c r="E162" s="3" t="inlineStr">
        <is>
          <t>ສົ່ງແລະຮັບຂໍ້ມູນ</t>
        </is>
      </c>
      <c r="F162" s="3" t="inlineStr">
        <is>
          <t>ပို့ဆောင်သူ/လက်ခံသူ သတင်းအချက်အလက်</t>
        </is>
      </c>
      <c r="G162" s="3">
        <f>IFERROR(__xludf.DUMMYFUNCTION("GOOGLETRANSLATE(C162,""vi"",""km"")"),"ព័ត៌មានដែលបានផ្ញើ និងទទួល")</f>
        <v/>
      </c>
      <c r="H162" s="217" t="inlineStr">
        <is>
          <t>ព័ត៌មានផ្ញើទទួល</t>
        </is>
      </c>
      <c r="J162" s="217" t="inlineStr">
        <is>
          <t>ព័ត៌មានផ្ញើទទួល</t>
        </is>
      </c>
      <c r="K162" s="217" t="inlineStr">
        <is>
          <t>ព័ត៌មានផ្ញើទទួល</t>
        </is>
      </c>
      <c r="S162" s="163" t="inlineStr">
        <is>
          <t>ព័ត៌មានអ្នកផ្ញើ/អ្នកទទួល</t>
        </is>
      </c>
    </row>
    <row r="163" ht="15.75" customHeight="1" s="305">
      <c r="A163" s="217" t="inlineStr">
        <is>
          <t>DETAIL_ORDER.DELIVERY_INFO</t>
        </is>
      </c>
      <c r="B163" s="153" t="inlineStr">
        <is>
          <t>配送信息</t>
        </is>
      </c>
      <c r="C163" s="3" t="inlineStr">
        <is>
          <t>Thông tin vận chuyển</t>
        </is>
      </c>
      <c r="D163" s="3" t="inlineStr">
        <is>
          <t>Delivery Information</t>
        </is>
      </c>
      <c r="E163" s="3" t="inlineStr">
        <is>
          <t>ຂໍ້ມູນການຂົນສົ່ງ</t>
        </is>
      </c>
      <c r="F163" s="3" t="inlineStr">
        <is>
          <t>ပို့ဆောင်ရေး အချက်အလက်များ</t>
        </is>
      </c>
      <c r="G163" s="3">
        <f>IFERROR(__xludf.DUMMYFUNCTION("GOOGLETRANSLATE(C163,""vi"",""km"")"),"ព័ត៌មានដឹកជញ្ជូន")</f>
        <v/>
      </c>
      <c r="H163" s="217" t="inlineStr">
        <is>
          <t>ព័ត៌មានដឹកជញ្ជូន</t>
        </is>
      </c>
      <c r="J163" s="217" t="inlineStr">
        <is>
          <t>ព័ត៌មានដឹកជញ្ជូន</t>
        </is>
      </c>
      <c r="K163" s="217" t="inlineStr">
        <is>
          <t>ព័ត៌មានដឹកជញ្ជូន</t>
        </is>
      </c>
      <c r="S163" s="163" t="inlineStr">
        <is>
          <t>ព័ត៌មានអំពីការដឹកជញ្ជូន</t>
        </is>
      </c>
    </row>
    <row r="164" ht="15.75" customHeight="1" s="305">
      <c r="A164" s="217" t="inlineStr">
        <is>
          <t>DETAIL_ORDER.GOODS_INFO</t>
        </is>
      </c>
      <c r="B164" s="153" t="inlineStr">
        <is>
          <t>商品信息</t>
        </is>
      </c>
      <c r="C164" s="3" t="inlineStr">
        <is>
          <t>Hàng hoá</t>
        </is>
      </c>
      <c r="D164" s="3" t="inlineStr">
        <is>
          <t>Goods Information</t>
        </is>
      </c>
      <c r="E164" s="3" t="inlineStr">
        <is>
          <t>ຂໍ້ມູນຜະລິດຕະພັນ</t>
        </is>
      </c>
      <c r="F164" s="3" t="inlineStr">
        <is>
          <t>ကုန်ပစ္စည်း အချက်အလက်များ</t>
        </is>
      </c>
      <c r="G164" s="3">
        <f>IFERROR(__xludf.DUMMYFUNCTION("GOOGLETRANSLATE(C164,""vi"",""km"")"),"ទំនិញ")</f>
        <v/>
      </c>
      <c r="H164" s="217" t="inlineStr">
        <is>
          <t>អីវ៉ាន់</t>
        </is>
      </c>
      <c r="J164" s="217" t="inlineStr">
        <is>
          <t>អីវ៉ាន់</t>
        </is>
      </c>
      <c r="K164" s="217" t="inlineStr">
        <is>
          <t>អីវ៉ាន់</t>
        </is>
      </c>
      <c r="S164" s="163" t="inlineStr">
        <is>
          <t>ព័ត៌មានអំពីទំនិញ</t>
        </is>
      </c>
    </row>
    <row r="165" ht="15.75" customHeight="1" s="305">
      <c r="A165" s="217" t="inlineStr">
        <is>
          <t>DETAIL_ORDER.WEIGHT_CALCULATE_PRICE</t>
        </is>
      </c>
      <c r="B165" s="153" t="inlineStr">
        <is>
          <t>计费重量</t>
        </is>
      </c>
      <c r="C165" s="3" t="inlineStr">
        <is>
          <t>Tổng khối lượng tính cước</t>
        </is>
      </c>
      <c r="D165" s="3" t="inlineStr">
        <is>
          <t>Weight for Price Calculation:</t>
        </is>
      </c>
      <c r="E165" s="3" t="inlineStr">
        <is>
          <t>ນ້ຳໜັກທີ່ສາມາດເກັບໄດ້</t>
        </is>
      </c>
      <c r="F165" s="3" t="inlineStr">
        <is>
          <t>ဈေးနှုန်း တွက်ချက်မှုအတွက် အလေးချိန် -</t>
        </is>
      </c>
      <c r="G165" s="3">
        <f>IFERROR(__xludf.DUMMYFUNCTION("GOOGLETRANSLATE(C165,""vi"",""km"")"),"ទម្ងន់សរុបដែលអាចគិតថ្លៃបាន")</f>
        <v/>
      </c>
      <c r="H165" s="217" t="inlineStr">
        <is>
          <t>សរុបទម្ងន់គិតថ្លៃសេវា</t>
        </is>
      </c>
      <c r="J165" s="217" t="inlineStr">
        <is>
          <t>សរុបទម្ងន់គិតថ្លៃសេវា</t>
        </is>
      </c>
      <c r="K165" s="217" t="inlineStr">
        <is>
          <t>សរុបទម្ងន់គិតថ្លៃសេវា</t>
        </is>
      </c>
      <c r="S165" s="163" t="inlineStr">
        <is>
          <t>ទម្ងន់សម្រាប់ការគណនាតម្លៃ៖</t>
        </is>
      </c>
    </row>
    <row r="166" ht="15.75" customHeight="1" s="305">
      <c r="A166" s="217" t="inlineStr">
        <is>
          <t>DETAIL_ORDER.TOTAL_PRICE</t>
        </is>
      </c>
      <c r="B166" s="153" t="inlineStr">
        <is>
          <t>总费用</t>
        </is>
      </c>
      <c r="C166" s="3" t="inlineStr">
        <is>
          <t>Tổng giá trị</t>
        </is>
      </c>
      <c r="D166" s="3" t="inlineStr">
        <is>
          <t>Total Price:</t>
        </is>
      </c>
      <c r="E166" s="3" t="inlineStr">
        <is>
          <t>ມູນຄ່າທັງໝົດ:</t>
        </is>
      </c>
      <c r="F166" s="3" t="inlineStr">
        <is>
          <t>စုစုပေါင်းဈေးနှုန်း -</t>
        </is>
      </c>
      <c r="G166" s="3">
        <f>IFERROR(__xludf.DUMMYFUNCTION("GOOGLETRANSLATE(C166,""vi"",""km"")"),"តម្លៃសរុប")</f>
        <v/>
      </c>
      <c r="H166" s="217" t="inlineStr">
        <is>
          <t>សរុុបតម្លៃ</t>
        </is>
      </c>
      <c r="J166" s="217" t="inlineStr">
        <is>
          <t>សរុុបតម្លៃ</t>
        </is>
      </c>
      <c r="K166" s="217" t="inlineStr">
        <is>
          <t>សរុុបតម្លៃ</t>
        </is>
      </c>
      <c r="S166" s="163" t="inlineStr">
        <is>
          <t>សរុបតម្លៃ៖</t>
        </is>
      </c>
    </row>
    <row r="167" ht="15.75" customHeight="1" s="305">
      <c r="A167" s="217" t="inlineStr">
        <is>
          <t>DETAIL_ORDER.FEE_AND_COD</t>
        </is>
      </c>
      <c r="B167" s="153" t="inlineStr">
        <is>
          <t>费用与货到付款</t>
        </is>
      </c>
      <c r="C167" s="3" t="inlineStr">
        <is>
          <t>Phí và tiền thu hộ</t>
        </is>
      </c>
      <c r="D167" s="3" t="inlineStr">
        <is>
          <t>Fees and COD</t>
        </is>
      </c>
      <c r="E167" s="3" t="inlineStr">
        <is>
          <t>ຄ່າທຳນຽມ ແລະ ການເກັບເງິນ</t>
        </is>
      </c>
      <c r="F167" s="3" t="inlineStr">
        <is>
          <t>အခကြေးငွေနှင့် COD</t>
        </is>
      </c>
      <c r="G167" s="3">
        <f>IFERROR(__xludf.DUMMYFUNCTION("GOOGLETRANSLATE(C167,""vi"",""km"")"),"ថ្លៃសេវា និងថ្លៃប្រមូលប្រាក់")</f>
        <v/>
      </c>
      <c r="H167" s="217" t="inlineStr">
        <is>
          <t>សេវានិងប្រាក់ទទួលជំនួស</t>
        </is>
      </c>
      <c r="J167" s="217" t="inlineStr">
        <is>
          <t>សេវានិងប្រាក់ទទួលជំនួស</t>
        </is>
      </c>
      <c r="K167" s="217" t="inlineStr">
        <is>
          <t>សេវានិងប្រាក់ទទួលជំនួស</t>
        </is>
      </c>
      <c r="S167" s="163" t="inlineStr">
        <is>
          <t>ថ្លៃសេវា និង COD</t>
        </is>
      </c>
    </row>
    <row r="168" ht="15.75" customHeight="1" s="305">
      <c r="A168" s="217" t="inlineStr">
        <is>
          <t>DETAIL_ORDER.TYPE_ORDER</t>
        </is>
      </c>
      <c r="B168" s="153" t="inlineStr">
        <is>
          <t>订单类型</t>
        </is>
      </c>
      <c r="C168" s="3" t="inlineStr">
        <is>
          <t>Hình thức</t>
        </is>
      </c>
      <c r="D168" s="3" t="inlineStr">
        <is>
          <t>Order Type</t>
        </is>
      </c>
      <c r="E168" s="3" t="inlineStr">
        <is>
          <t>ແບບຟອມ</t>
        </is>
      </c>
      <c r="F168" s="3" t="inlineStr">
        <is>
          <t>အမျိုးအစား -</t>
        </is>
      </c>
      <c r="G168" s="3">
        <f>IFERROR(__xludf.DUMMYFUNCTION("GOOGLETRANSLATE(C168,""vi"",""km"")"),"ទម្រង់")</f>
        <v/>
      </c>
      <c r="H168" s="217" t="inlineStr">
        <is>
          <t>ទម្រង់</t>
        </is>
      </c>
      <c r="J168" s="217" t="inlineStr">
        <is>
          <t>ទម្រង់</t>
        </is>
      </c>
      <c r="K168" s="217" t="inlineStr">
        <is>
          <t>ទម្រង់</t>
        </is>
      </c>
      <c r="S168" s="163" t="inlineStr">
        <is>
          <t>ប្រភេទកញ្ចប់បុង</t>
        </is>
      </c>
    </row>
    <row r="169" ht="15.75" customHeight="1" s="305">
      <c r="A169" s="217" t="inlineStr">
        <is>
          <t>DETAIL_ORDER.FEE_SHIPPING</t>
        </is>
      </c>
      <c r="B169" s="153" t="inlineStr">
        <is>
          <t>运费</t>
        </is>
      </c>
      <c r="C169" s="3" t="inlineStr">
        <is>
          <t>Phí vận chuyển</t>
        </is>
      </c>
      <c r="D169" s="3" t="inlineStr">
        <is>
          <t>Shipping Fee</t>
        </is>
      </c>
      <c r="E169" s="3" t="inlineStr">
        <is>
          <t>ຄ່າຂົນສົ່ງ</t>
        </is>
      </c>
      <c r="F169" s="3" t="inlineStr">
        <is>
          <t>ပို့ဆောင်မှုကုန်ကျစရိတ် -</t>
        </is>
      </c>
      <c r="G169" s="3">
        <f>IFERROR(__xludf.DUMMYFUNCTION("GOOGLETRANSLATE(C169,""vi"",""km"")"),"ថ្លៃដឹកជញ្ជូន")</f>
        <v/>
      </c>
      <c r="H169" s="217" t="inlineStr">
        <is>
          <t>ថ្លៃសេវាដឹកជញ្ជូន</t>
        </is>
      </c>
      <c r="J169" s="217" t="inlineStr">
        <is>
          <t>ថ្លៃសេវាដឹកជញ្ជូន</t>
        </is>
      </c>
      <c r="K169" s="217" t="inlineStr">
        <is>
          <t>ថ្លៃសេវាដឹកជញ្ជូន</t>
        </is>
      </c>
      <c r="S169" s="163" t="inlineStr">
        <is>
          <t>ថ្លៃដឹកជញ្ជូន</t>
        </is>
      </c>
    </row>
    <row r="170" ht="15.75" customHeight="1" s="305">
      <c r="A170" s="217" t="inlineStr">
        <is>
          <t>DETAIL_ORDER.ADDITIONAL_SERVICES</t>
        </is>
      </c>
      <c r="B170" s="153" t="inlineStr">
        <is>
          <t>附加服务</t>
        </is>
      </c>
      <c r="C170" s="3" t="inlineStr">
        <is>
          <t>Dịch vụ cộng thêm</t>
        </is>
      </c>
      <c r="D170" s="3" t="inlineStr">
        <is>
          <t>Additional Services</t>
        </is>
      </c>
      <c r="E170" s="3" t="inlineStr">
        <is>
          <t>ບໍລິການເພີ່ມເຕີມ</t>
        </is>
      </c>
      <c r="F170" s="3" t="inlineStr">
        <is>
          <t>ထပ်ဆင့် ဝန်ဆောင်မှုများ -</t>
        </is>
      </c>
      <c r="G170" s="3">
        <f>IFERROR(__xludf.DUMMYFUNCTION("GOOGLETRANSLATE(C170,""vi"",""km"")"),"សេវាកម្មបន្ថែម")</f>
        <v/>
      </c>
      <c r="H170" s="217" t="inlineStr">
        <is>
          <t>សេវាកម្មបូកបន្ថែម</t>
        </is>
      </c>
      <c r="J170" s="217" t="inlineStr">
        <is>
          <t>សេវាកម្មបន្ថែម</t>
        </is>
      </c>
      <c r="K170" s="217" t="inlineStr">
        <is>
          <t>សេវាកម្មបន្ថែម</t>
        </is>
      </c>
      <c r="S170" s="163" t="inlineStr">
        <is>
          <t>សេវាកម្មបន្ថែម</t>
        </is>
      </c>
    </row>
    <row r="171" ht="15.75" customHeight="1" s="305">
      <c r="A171" s="217" t="inlineStr">
        <is>
          <t>DETAIL_ORDER.VAT</t>
        </is>
      </c>
      <c r="B171" s="153" t="inlineStr">
        <is>
          <t>增值税</t>
        </is>
      </c>
      <c r="C171" s="3" t="inlineStr">
        <is>
          <t>VAT</t>
        </is>
      </c>
      <c r="D171" s="3" t="inlineStr">
        <is>
          <t>VAT</t>
        </is>
      </c>
      <c r="E171" s="3" t="inlineStr">
        <is>
          <t>VAT</t>
        </is>
      </c>
      <c r="F171" s="3" t="inlineStr">
        <is>
          <t>VAT :</t>
        </is>
      </c>
      <c r="G171" s="3">
        <f>IFERROR(__xludf.DUMMYFUNCTION("GOOGLETRANSLATE(C171,""vi"",""km"")"),"អាករលើតម្លៃបន្ថែម")</f>
        <v/>
      </c>
      <c r="H171" s="217" t="inlineStr">
        <is>
          <t>VAT</t>
        </is>
      </c>
      <c r="J171" s="217" t="inlineStr">
        <is>
          <t>VAT</t>
        </is>
      </c>
      <c r="K171" s="217" t="inlineStr">
        <is>
          <t>VAT</t>
        </is>
      </c>
      <c r="S171" s="163" t="inlineStr">
        <is>
          <t>VAT</t>
        </is>
      </c>
    </row>
    <row r="172" ht="15.75" customHeight="1" s="305">
      <c r="A172" s="217" t="inlineStr">
        <is>
          <t>DETAIL_ORDER.TOTAL_SHIPPING_FEE</t>
        </is>
      </c>
      <c r="B172" s="153" t="inlineStr">
        <is>
          <t>运输总计</t>
        </is>
      </c>
      <c r="C172" s="3" t="inlineStr">
        <is>
          <t>Tổng cước</t>
        </is>
      </c>
      <c r="D172" s="3" t="inlineStr">
        <is>
          <t>Total Shipping Fee</t>
        </is>
      </c>
      <c r="E172" s="3" t="inlineStr">
        <is>
          <t>ຄ່າໂດຍສານທັງໝົດ</t>
        </is>
      </c>
      <c r="F172" s="3" t="inlineStr">
        <is>
          <t>စုစုပေါင်း ပို့ဆောင်မှု ကုန်ကျစရိတ်</t>
        </is>
      </c>
      <c r="G172" s="3">
        <f>IFERROR(__xludf.DUMMYFUNCTION("GOOGLETRANSLATE(C172,""vi"",""km"")"),"ការគិតថ្លៃសរុប")</f>
        <v/>
      </c>
      <c r="H172" s="217" t="inlineStr">
        <is>
          <t>សរុបសេវា</t>
        </is>
      </c>
      <c r="J172" s="217" t="inlineStr">
        <is>
          <t>ថ្លៃដឹកជញ្ជូនសរុប</t>
        </is>
      </c>
      <c r="K172" s="217" t="inlineStr">
        <is>
          <t>ថ្លៃដឹកជញ្ជូនសរុប</t>
        </is>
      </c>
      <c r="S172" s="163" t="inlineStr">
        <is>
          <t>ថ្លៃដឹកជញ្ជូនសរុប</t>
        </is>
      </c>
    </row>
    <row r="173" ht="15.75" customHeight="1" s="305">
      <c r="A173" s="217" t="inlineStr">
        <is>
          <t>DETAIL_ORDER.COD</t>
        </is>
      </c>
      <c r="B173" s="153" t="inlineStr">
        <is>
          <t>货到付款</t>
        </is>
      </c>
      <c r="C173" s="3" t="inlineStr">
        <is>
          <t>Thu hộ</t>
        </is>
      </c>
      <c r="D173" s="3" t="inlineStr">
        <is>
          <t>COD</t>
        </is>
      </c>
      <c r="E173" s="3" t="inlineStr">
        <is>
          <t>ຄໍເລັກຊັນ</t>
        </is>
      </c>
      <c r="F173" s="3" t="inlineStr">
        <is>
          <t>COD-</t>
        </is>
      </c>
      <c r="G173" s="3">
        <f>IFERROR(__xludf.DUMMYFUNCTION("GOOGLETRANSLATE(C173,""vi"",""km"")"),"ការប្រមូល")</f>
        <v/>
      </c>
      <c r="H173" s="217" t="inlineStr">
        <is>
          <t>ប្រមូលជំនួស</t>
        </is>
      </c>
      <c r="J173" s="217" t="inlineStr">
        <is>
          <t>ប្រមូលប្រាក់ជំនួស</t>
        </is>
      </c>
      <c r="K173" s="217" t="inlineStr">
        <is>
          <t>ប្រមូលប្រាក់ជំនួស</t>
        </is>
      </c>
      <c r="S173" s="163" t="inlineStr">
        <is>
          <t>COD</t>
        </is>
      </c>
    </row>
    <row r="174" ht="15.75" customHeight="1" s="305">
      <c r="A174" s="217" t="inlineStr">
        <is>
          <t>DETAIL_ORDER.FEE_FROM_RECEIVER</t>
        </is>
      </c>
      <c r="B174" s="153" t="inlineStr">
        <is>
          <t>收件人应付总额</t>
        </is>
      </c>
      <c r="C174" s="3" t="inlineStr">
        <is>
          <t>Tổng tiền thu người nhận</t>
        </is>
      </c>
      <c r="D174" s="3" t="inlineStr">
        <is>
          <t>Total Fee from Receiver</t>
        </is>
      </c>
      <c r="E174" s="3" t="inlineStr">
        <is>
          <t>ຈຳນວນທັງໝົດທີ່ໄດ້ຮັບຈາກຜູ້ຮັບ</t>
        </is>
      </c>
      <c r="F174" s="3" t="inlineStr">
        <is>
          <t>လက်ခံသူထံမှ အခကြေးငွေစုစုပေါင်း -</t>
        </is>
      </c>
      <c r="G174" s="3">
        <f>IFERROR(__xludf.DUMMYFUNCTION("GOOGLETRANSLATE(C174,""vi"",""km"")"),"ចំនួនទឹកប្រាក់សរុបដែលប្រមូលបានពីអ្នកទទួល")</f>
        <v/>
      </c>
      <c r="H174" s="217" t="inlineStr">
        <is>
          <t>សរុុបប្រាក់ប្រមូលបានពីអ្នកទទួល</t>
        </is>
      </c>
      <c r="J174" s="217" t="inlineStr">
        <is>
          <t>សរុុបប្រាក់ប្រមូលបានពីអ្នកទទួល</t>
        </is>
      </c>
      <c r="K174" s="217" t="inlineStr">
        <is>
          <t>សរុុបប្រាក់ប្រមូលបានពីអ្នកទទួល</t>
        </is>
      </c>
      <c r="S174" s="163" t="inlineStr">
        <is>
          <t>ថ្លៃសេវាសរុបពីអ្នកទទួល</t>
        </is>
      </c>
    </row>
    <row r="175" ht="15.75" customHeight="1" s="305">
      <c r="A175" s="217" t="inlineStr">
        <is>
          <t>DETAIL_ORDER.ORDER_ID_COPIED</t>
        </is>
      </c>
      <c r="B175" s="153" t="inlineStr">
        <is>
          <t>订单号已复制</t>
        </is>
      </c>
      <c r="C175" s="3" t="inlineStr">
        <is>
          <t>Đã sao chép mã đơn hàng</t>
        </is>
      </c>
      <c r="D175" s="3" t="inlineStr">
        <is>
          <t>OrderId Copied</t>
        </is>
      </c>
      <c r="E175" s="3" t="inlineStr">
        <is>
          <t>ສຳເນົາລະຫັດຄຳສັ່ງຊື້ແລ້ວ</t>
        </is>
      </c>
      <c r="F175" s="3" t="inlineStr">
        <is>
          <t>အော်ဒါ ID အား ကူးယူမည်</t>
        </is>
      </c>
      <c r="G175" s="3">
        <f>IFERROR(__xludf.DUMMYFUNCTION("GOOGLETRANSLATE(C175,""vi"",""km"")"),"លេខកូដបញ្ជាទិញត្រូវបានចម្លងហើយ។")</f>
        <v/>
      </c>
      <c r="H175" s="217" t="inlineStr">
        <is>
          <t>បានចម្លងកូដបុងបញ្ញើ</t>
        </is>
      </c>
      <c r="J175" s="217" t="inlineStr">
        <is>
          <t>បានចម្លងកូដបុងបញ្ញើ</t>
        </is>
      </c>
      <c r="K175" s="217" t="inlineStr">
        <is>
          <t>បានចម្លងកូដបុងបញ្ញើ</t>
        </is>
      </c>
      <c r="S175" s="163" t="inlineStr">
        <is>
          <t>OrderId បានចម្លង</t>
        </is>
      </c>
    </row>
    <row r="176" ht="15.75" customHeight="1" s="305">
      <c r="A176" s="217" t="inlineStr">
        <is>
          <t>DETAIL_ORDER.SENDER_PAY</t>
        </is>
      </c>
      <c r="B176" s="153" t="inlineStr">
        <is>
          <t>寄方付</t>
        </is>
      </c>
      <c r="C176" s="3" t="inlineStr">
        <is>
          <t>người gửi trả</t>
        </is>
      </c>
      <c r="D176" s="3" t="inlineStr">
        <is>
          <t>Sender pays</t>
        </is>
      </c>
      <c r="E176" s="3" t="inlineStr">
        <is>
          <t>ສົ່ງຄືນ</t>
        </is>
      </c>
      <c r="F176" s="3" t="inlineStr">
        <is>
          <t>ပို့ဆောင်သူပေး</t>
        </is>
      </c>
      <c r="G176" s="3">
        <f>IFERROR(__xludf.DUMMYFUNCTION("GOOGLETRANSLATE(C176,""vi"",""km"")"),"អ្នកផ្ញើ")</f>
        <v/>
      </c>
      <c r="H176" s="217" t="inlineStr">
        <is>
          <t>អ្នកផ្ញើចេញសេវា</t>
        </is>
      </c>
      <c r="J176" s="217" t="inlineStr">
        <is>
          <t>អ្នកផ្ញើចេញសេវា</t>
        </is>
      </c>
      <c r="K176" s="217" t="inlineStr">
        <is>
          <t>អ្នកផ្ញើចេញសេវា</t>
        </is>
      </c>
      <c r="S176" s="163" t="inlineStr">
        <is>
          <t>អ្នកផ្ញើបង់ប្រាក់</t>
        </is>
      </c>
    </row>
    <row r="177" ht="15.75" customHeight="1" s="305">
      <c r="A177" s="217" t="inlineStr">
        <is>
          <t>DETAIL_ORDER.RECEIVER_PAYMENT</t>
        </is>
      </c>
      <c r="B177" s="153" t="inlineStr">
        <is>
          <t>收方付</t>
        </is>
      </c>
      <c r="C177" s="3" t="inlineStr">
        <is>
          <t>người nhận trả</t>
        </is>
      </c>
      <c r="D177" s="3" t="inlineStr">
        <is>
          <t>Receiver pays</t>
        </is>
      </c>
      <c r="E177" s="3" t="inlineStr">
        <is>
          <t>ຜູ້ຮັບເງິນ</t>
        </is>
      </c>
      <c r="F177" s="3" t="inlineStr">
        <is>
          <t>လက်ခံသူကပေး</t>
        </is>
      </c>
      <c r="G177" s="3">
        <f>IFERROR(__xludf.DUMMYFUNCTION("GOOGLETRANSLATE(C177,""vi"",""km"")"),"អ្នកទទួលប្រាក់")</f>
        <v/>
      </c>
      <c r="H177" s="217" t="inlineStr">
        <is>
          <t>អ្នកទទួលចេញសេវា</t>
        </is>
      </c>
      <c r="J177" s="217" t="inlineStr">
        <is>
          <t>អ្នកទទួលចេញសេវា</t>
        </is>
      </c>
      <c r="K177" s="217" t="inlineStr">
        <is>
          <t>អ្នកទទួលចេញសេវា</t>
        </is>
      </c>
      <c r="S177" s="163" t="inlineStr">
        <is>
          <t>អ្នកទទួលបង់ប្រាក់</t>
        </is>
      </c>
    </row>
    <row r="178" ht="15.75" customHeight="1" s="305">
      <c r="A178" s="217" t="inlineStr">
        <is>
          <t>DETAIL_ORDER.COPIED_RECEIVER_PHONE</t>
        </is>
      </c>
      <c r="B178" s="153" t="inlineStr">
        <is>
          <t>收件人手机号已复制</t>
        </is>
      </c>
      <c r="C178" s="3" t="inlineStr">
        <is>
          <t>Đã sao chép số điện thoại người nhận</t>
        </is>
      </c>
      <c r="D178" s="3" t="inlineStr">
        <is>
          <t>Receiver phone number copied</t>
        </is>
      </c>
      <c r="E178" s="3" t="inlineStr">
        <is>
          <t>ສຳເນົາເບີໂທລະສັບຜູ້ຮັບແລ້ວ</t>
        </is>
      </c>
      <c r="F178" s="3" t="inlineStr">
        <is>
          <t>လက်ခံမဲ့သူ ဖုန်းနံပါတ်အားကူးယူမည်</t>
        </is>
      </c>
      <c r="G178" s="3">
        <f>IFERROR(__xludf.DUMMYFUNCTION("GOOGLETRANSLATE(C178,""vi"",""km"")"),"លេខទូរស័ព្ទរបស់អ្នកទទួលត្រូវបានចម្លងហើយ។")</f>
        <v/>
      </c>
      <c r="H178" s="217" t="inlineStr">
        <is>
          <t>បានចម្លងលេខទូរស័ព្ទពីអ្នកទទួល</t>
        </is>
      </c>
      <c r="J178" s="217" t="inlineStr">
        <is>
          <t>បានចម្លងលេខទូរស័ព្ទពីអ្នកទទួល</t>
        </is>
      </c>
      <c r="K178" s="217" t="inlineStr">
        <is>
          <t>បានចម្លងលេខទូរស័ព្ទពីអ្នកទទួល</t>
        </is>
      </c>
      <c r="S178" s="163" t="inlineStr">
        <is>
          <t>លេខទូរសព្ទអ្នកទទួលត្រូវបានចម្លង</t>
        </is>
      </c>
    </row>
    <row r="179" ht="15.75" customHeight="1" s="305">
      <c r="A179" s="217" t="inlineStr">
        <is>
          <t>DETAIL_ORDER.ORDER_CODE</t>
        </is>
      </c>
      <c r="B179" s="153" t="inlineStr">
        <is>
          <t>订单代码</t>
        </is>
      </c>
      <c r="C179" s="3" t="inlineStr">
        <is>
          <t>Mã vận đơn</t>
        </is>
      </c>
      <c r="D179" s="3" t="inlineStr">
        <is>
          <t>Order Code</t>
        </is>
      </c>
      <c r="E179" s="3" t="inlineStr">
        <is>
          <t>ລະຫັດໃບບິນ</t>
        </is>
      </c>
      <c r="F179" s="3" t="n"/>
      <c r="G179" s="3">
        <f>IFERROR(__xludf.DUMMYFUNCTION("GOOGLETRANSLATE(C179,""vi"",""km"")"),"លេខតាមដាន")</f>
        <v/>
      </c>
      <c r="H179" s="217" t="inlineStr">
        <is>
          <t>លេខកូដបុងបញ្ញើ</t>
        </is>
      </c>
      <c r="J179" s="217" t="inlineStr">
        <is>
          <t>លេខកូដបុងបញ្ញើ</t>
        </is>
      </c>
      <c r="K179" s="217" t="inlineStr">
        <is>
          <t>លេខកូដបុងបញ្ញើ</t>
        </is>
      </c>
      <c r="S179" s="163" t="inlineStr">
        <is>
          <t>លេខកូដបញ្ជាទិញ</t>
        </is>
      </c>
    </row>
    <row r="180" ht="15.75" customHeight="1" s="305">
      <c r="A180" s="217" t="inlineStr">
        <is>
          <t>DETAIL_ORDER.CREATED_AT</t>
        </is>
      </c>
      <c r="B180" s="153" t="inlineStr">
        <is>
          <t>下单日期</t>
        </is>
      </c>
      <c r="C180" s="3" t="inlineStr">
        <is>
          <t>Ngày tạo đơn</t>
        </is>
      </c>
      <c r="D180" s="3" t="inlineStr">
        <is>
          <t>Order Creation Date</t>
        </is>
      </c>
      <c r="E180" s="3" t="inlineStr">
        <is>
          <t>ວັນທີສ້າງບິນ</t>
        </is>
      </c>
      <c r="F180" s="3" t="n"/>
      <c r="G180" s="3">
        <f>IFERROR(__xludf.DUMMYFUNCTION("GOOGLETRANSLATE(C180,""vi"",""km"")"),"កាលបរិច្ឆេទបង្កើតការបញ្ជាទិញ")</f>
        <v/>
      </c>
      <c r="H180" s="217" t="inlineStr">
        <is>
          <t>ថ្ងៃបង្កើតបុងបញ្ញើ</t>
        </is>
      </c>
      <c r="J180" s="217" t="inlineStr">
        <is>
          <t>ថ្ងៃបង្កើតបុងបញ្ញើ</t>
        </is>
      </c>
      <c r="K180" s="217" t="inlineStr">
        <is>
          <t>ថ្ងៃបង្កើតបុងបញ្ញើ</t>
        </is>
      </c>
      <c r="S180" s="163" t="inlineStr">
        <is>
          <t>កាលបរិច្ឆេទបង្កើតការបញ្ជាទិញ</t>
        </is>
      </c>
    </row>
    <row r="181" ht="15.75" customHeight="1" s="305">
      <c r="A181" s="217" t="inlineStr">
        <is>
          <t>DETAIL_ORDER.STATUS_CREATE</t>
        </is>
      </c>
      <c r="B181" s="153" t="inlineStr">
        <is>
          <t>创建订单</t>
        </is>
      </c>
      <c r="C181" s="3" t="inlineStr">
        <is>
          <t>Tạo đơn</t>
        </is>
      </c>
      <c r="D181" s="3" t="inlineStr">
        <is>
          <t>Create order</t>
        </is>
      </c>
      <c r="E181" s="3" t="inlineStr">
        <is>
          <t>ສ້າງບິນ</t>
        </is>
      </c>
      <c r="F181" s="3" t="n"/>
      <c r="G181" s="3">
        <f>IFERROR(__xludf.DUMMYFUNCTION("GOOGLETRANSLATE(C181,""vi"",""km"")"),"បង្កើតការបញ្ជាទិញ")</f>
        <v/>
      </c>
      <c r="H181" s="217" t="inlineStr">
        <is>
          <t>បង្កើតបុងបញ្ញើ</t>
        </is>
      </c>
      <c r="J181" s="217" t="inlineStr">
        <is>
          <t>បង្កើតការបញ្ជាទិញ</t>
        </is>
      </c>
      <c r="K181" s="217" t="inlineStr">
        <is>
          <t>បង្កើតការបញ្ជាទិញ</t>
        </is>
      </c>
      <c r="S181" s="163" t="inlineStr">
        <is>
          <t>បង្កើតលំដាប់</t>
        </is>
      </c>
    </row>
    <row r="182" ht="15.75" customHeight="1" s="305">
      <c r="A182" s="217" t="inlineStr">
        <is>
          <t>DETAIL_ORDER.STATUS_RECEIVING</t>
        </is>
      </c>
      <c r="B182" s="153" t="inlineStr">
        <is>
          <t>收货中</t>
        </is>
      </c>
      <c r="C182" s="3" t="inlineStr">
        <is>
          <t>Lấy hàng</t>
        </is>
      </c>
      <c r="D182" s="3" t="inlineStr">
        <is>
          <t>Receiving</t>
        </is>
      </c>
      <c r="E182" s="3" t="inlineStr">
        <is>
          <t>ຮ້ັບເອົາສິນຄ້າ</t>
        </is>
      </c>
      <c r="F182" s="3" t="n"/>
      <c r="G182" s="3">
        <f>IFERROR(__xludf.DUMMYFUNCTION("GOOGLETRANSLATE(C182,""vi"",""km"")"),"លើកយកទំនិញ")</f>
        <v/>
      </c>
      <c r="H182" s="217" t="inlineStr">
        <is>
          <t>យកអីវ៉ាន់</t>
        </is>
      </c>
      <c r="J182" s="217" t="inlineStr">
        <is>
          <t>យកអីវ៉ាន់</t>
        </is>
      </c>
      <c r="K182" s="217" t="inlineStr">
        <is>
          <t>យកអីវ៉ាន់</t>
        </is>
      </c>
      <c r="S182" s="163" t="inlineStr">
        <is>
          <t>ការទទួល</t>
        </is>
      </c>
    </row>
    <row r="183" ht="15.75" customHeight="1" s="305">
      <c r="A183" s="217" t="inlineStr">
        <is>
          <t>DETAIL_ORDER.STATUS_TRANSIT</t>
        </is>
      </c>
      <c r="B183" s="153" t="inlineStr">
        <is>
          <t>运输中</t>
        </is>
      </c>
      <c r="C183" s="3" t="inlineStr">
        <is>
          <t>Vận chuyển</t>
        </is>
      </c>
      <c r="D183" s="3" t="inlineStr">
        <is>
          <t>In Transit</t>
        </is>
      </c>
      <c r="E183" s="3" t="inlineStr">
        <is>
          <t>ຂົນສົ່ງ</t>
        </is>
      </c>
      <c r="F183" s="3" t="n"/>
      <c r="G183" s="3">
        <f>IFERROR(__xludf.DUMMYFUNCTION("GOOGLETRANSLATE(C183,""vi"",""km"")"),"ការដឹកជញ្ជូន")</f>
        <v/>
      </c>
      <c r="H183" s="217" t="inlineStr">
        <is>
          <t>ដឹកជញ្ជូន</t>
        </is>
      </c>
      <c r="J183" s="217" t="inlineStr">
        <is>
          <t>ដឹកជញ្ជូន</t>
        </is>
      </c>
      <c r="K183" s="217" t="inlineStr">
        <is>
          <t>ដឹកជញ្ជូន</t>
        </is>
      </c>
      <c r="S183" s="163" t="inlineStr">
        <is>
          <t>នៅក្នុង Transit</t>
        </is>
      </c>
    </row>
    <row r="184" ht="15.75" customHeight="1" s="305">
      <c r="A184" s="217" t="inlineStr">
        <is>
          <t>DETAIL_ORDER.STATUS_DELIVERY</t>
        </is>
      </c>
      <c r="B184" s="153" t="inlineStr">
        <is>
          <t>派送中</t>
        </is>
      </c>
      <c r="C184" s="3" t="inlineStr">
        <is>
          <t>Giao hàng</t>
        </is>
      </c>
      <c r="D184" s="3" t="inlineStr">
        <is>
          <t>Delivery</t>
        </is>
      </c>
      <c r="E184" s="3" t="inlineStr">
        <is>
          <t>ຈັດສົ່ງ</t>
        </is>
      </c>
      <c r="F184" s="3" t="n"/>
      <c r="G184" s="3">
        <f>IFERROR(__xludf.DUMMYFUNCTION("GOOGLETRANSLATE(C184,""vi"",""km"")"),"ការដឹកជញ្ជូន")</f>
        <v/>
      </c>
      <c r="H184" s="217" t="inlineStr">
        <is>
          <t>ប្រគល់អីវ៉ាន់</t>
        </is>
      </c>
      <c r="J184" s="217" t="inlineStr">
        <is>
          <t>ប្រគល់អីវ៉ាន់</t>
        </is>
      </c>
      <c r="K184" s="217" t="inlineStr">
        <is>
          <t>ប្រគល់អីវ៉ាន់</t>
        </is>
      </c>
      <c r="S184" s="163" t="inlineStr">
        <is>
          <t>ការដឹកជញ្ជូន</t>
        </is>
      </c>
    </row>
    <row r="185" ht="15.75" customHeight="1" s="305">
      <c r="A185" s="217" t="inlineStr">
        <is>
          <t>DETAIL_ORDER.DETAIL</t>
        </is>
      </c>
      <c r="B185" s="153" t="inlineStr">
        <is>
          <t>详情</t>
        </is>
      </c>
      <c r="C185" s="3" t="inlineStr">
        <is>
          <t>Chi tiết</t>
        </is>
      </c>
      <c r="D185" s="3" t="inlineStr">
        <is>
          <t>Details</t>
        </is>
      </c>
      <c r="E185" s="3" t="inlineStr">
        <is>
          <t>ລາຍລະອຽດ</t>
        </is>
      </c>
      <c r="F185" s="3" t="n"/>
      <c r="G185" s="3">
        <f>IFERROR(__xludf.DUMMYFUNCTION("GOOGLETRANSLATE(C185,""vi"",""km"")"),"ព័ត៌មានលម្អិត")</f>
        <v/>
      </c>
      <c r="H185" s="217" t="inlineStr">
        <is>
          <t>លម្អិត</t>
        </is>
      </c>
      <c r="J185" s="217" t="inlineStr">
        <is>
          <t>ព័ត៌មានលម្អិត</t>
        </is>
      </c>
      <c r="K185" s="217" t="inlineStr">
        <is>
          <t>ព័ត៌មានលម្អិត</t>
        </is>
      </c>
      <c r="S185" s="163" t="inlineStr">
        <is>
          <t>ព័ត៌មានលម្អិត</t>
        </is>
      </c>
    </row>
    <row r="186" ht="15.75" customHeight="1" s="305">
      <c r="A186" s="217" t="inlineStr">
        <is>
          <t>DETAIL_ORDER.GET_META_FAIL</t>
        </is>
      </c>
      <c r="B186" s="153" t="inlineStr">
        <is>
          <t>数据获取失败</t>
        </is>
      </c>
      <c r="C186" s="3" t="inlineStr">
        <is>
          <t>Lấy thông tin dữ liệu không thành công</t>
        </is>
      </c>
      <c r="D186" s="3" t="inlineStr">
        <is>
          <t>Failed to Retrieve Data</t>
        </is>
      </c>
      <c r="E186" s="3" t="inlineStr">
        <is>
          <t>ດຶງຂໍ້ມູນຂໍ້ມູນລົ້ມເຫລວ</t>
        </is>
      </c>
      <c r="F186" s="3" t="n"/>
      <c r="G186" s="3">
        <f>IFERROR(__xludf.DUMMYFUNCTION("GOOGLETRANSLATE(C186,""vi"",""km"")"),"ការទាញយកទិន្នន័យបានបរាជ័យ។")</f>
        <v/>
      </c>
      <c r="H186" s="217" t="inlineStr">
        <is>
          <t>យកព័ត៌មានទិន្នន័យមិនបានជោគជ័យ</t>
        </is>
      </c>
      <c r="J186" s="217" t="inlineStr">
        <is>
          <t>យកព័ត៌មានទិន្នន័យមិនបានជោគជ័យ</t>
        </is>
      </c>
      <c r="K186" s="217" t="inlineStr">
        <is>
          <t>យកព័ត៌មានទិន្នន័យមិនបានជោគជ័យ</t>
        </is>
      </c>
      <c r="S186" s="163" t="inlineStr">
        <is>
          <t>បរាជ័យក្នុងការទាញយកទិន្នន័យ</t>
        </is>
      </c>
    </row>
    <row r="187" ht="15.75" customHeight="1" s="305">
      <c r="A187" s="217" t="inlineStr">
        <is>
          <t>DETAIL_ORDER.REFERENCE_COPY</t>
        </is>
      </c>
      <c r="B187" s="153" t="inlineStr">
        <is>
          <t>自提码已复制</t>
        </is>
      </c>
      <c r="C187" s="3" t="inlineStr">
        <is>
          <t>Đã sao chép mã tự quản</t>
        </is>
      </c>
      <c r="D187" s="3" t="inlineStr">
        <is>
          <t>Self-managed Code Copied</t>
        </is>
      </c>
      <c r="E187" s="3" t="inlineStr">
        <is>
          <t>ສຳເນົາລະຫັດເອກະລາດແລ້ວ</t>
        </is>
      </c>
      <c r="F187" s="3" t="n"/>
      <c r="G187" s="3">
        <f>IFERROR(__xludf.DUMMYFUNCTION("GOOGLETRANSLATE(C187,""vi"",""km"")"),"លេខកូដគ្រប់គ្រងខ្លួនឯងត្រូវបានចម្លងហើយ។")</f>
        <v/>
      </c>
      <c r="J187" s="217" t="inlineStr">
        <is>
          <t>បានចម្លងលេខកូដគ្រប់គ្រងដោយខ្លួនឯង</t>
        </is>
      </c>
      <c r="K187" s="217" t="inlineStr">
        <is>
          <t>បានចម្លងលេខកូដគ្រប់គ្រងដោយខ្លួនឯង</t>
        </is>
      </c>
      <c r="S187" s="163" t="inlineStr">
        <is>
          <t>បានចម្លងលេខកូដគ្រប់គ្រងដោយខ្លួនឯង</t>
        </is>
      </c>
    </row>
    <row r="188" ht="15.75" customHeight="1" s="305">
      <c r="A188" s="217" t="inlineStr">
        <is>
          <t>DETAIL_ORDER.CALL</t>
        </is>
      </c>
      <c r="B188" s="153" t="inlineStr">
        <is>
          <t>呼叫</t>
        </is>
      </c>
      <c r="C188" s="3" t="inlineStr">
        <is>
          <t>Gọi điện</t>
        </is>
      </c>
      <c r="D188" s="3" t="inlineStr">
        <is>
          <t>Call</t>
        </is>
      </c>
      <c r="E188" s="3" t="inlineStr">
        <is>
          <t>ໂທ</t>
        </is>
      </c>
      <c r="F188" s="3" t="n"/>
      <c r="G188" s="3">
        <f>IFERROR(__xludf.DUMMYFUNCTION("GOOGLETRANSLATE(C188,""vi"",""km"")"),"ធ្វើការហៅទូរស័ព្ទ")</f>
        <v/>
      </c>
      <c r="H188" s="18" t="inlineStr">
        <is>
          <t>ខល</t>
        </is>
      </c>
      <c r="I188" s="217" t="inlineStr">
        <is>
          <t>x</t>
        </is>
      </c>
      <c r="J188" s="217" t="inlineStr">
        <is>
          <t>ខល</t>
        </is>
      </c>
      <c r="K188" s="217" t="inlineStr">
        <is>
          <t>ខល</t>
        </is>
      </c>
      <c r="S188" s="163" t="inlineStr">
        <is>
          <t>ខល</t>
        </is>
      </c>
    </row>
    <row r="189" ht="15.75" customHeight="1" s="305">
      <c r="A189" s="217" t="inlineStr">
        <is>
          <t>DETAIL_ORDER.MESSAGE</t>
        </is>
      </c>
      <c r="B189" s="153" t="inlineStr">
        <is>
          <t>发消息</t>
        </is>
      </c>
      <c r="C189" s="3" t="inlineStr">
        <is>
          <t>Nhắn tin</t>
        </is>
      </c>
      <c r="D189" s="3" t="inlineStr">
        <is>
          <t>Message</t>
        </is>
      </c>
      <c r="E189" s="3" t="inlineStr">
        <is>
          <t>ສົ່ງຂໍ້ຄວາມ</t>
        </is>
      </c>
      <c r="F189" s="3" t="n"/>
      <c r="G189" s="3">
        <f>IFERROR(__xludf.DUMMYFUNCTION("GOOGLETRANSLATE(C189,""vi"",""km"")"),"ការផ្ញើសារជាអក្សរ")</f>
        <v/>
      </c>
      <c r="H189" s="217" t="inlineStr">
        <is>
          <t>ផ្ញើសារ</t>
        </is>
      </c>
      <c r="J189" s="217" t="inlineStr">
        <is>
          <t>ផ្ញើសារ</t>
        </is>
      </c>
      <c r="K189" s="217" t="inlineStr">
        <is>
          <t>ផ្ញើសារ</t>
        </is>
      </c>
      <c r="S189" s="163" t="inlineStr">
        <is>
          <t>សារ</t>
        </is>
      </c>
    </row>
    <row r="190" ht="15.75" customHeight="1" s="305">
      <c r="A190" s="217" t="inlineStr">
        <is>
          <t>DETAIL_ORDER.PACKAGE</t>
        </is>
      </c>
      <c r="B190" s="153" t="inlineStr">
        <is>
          <t>包裹</t>
        </is>
      </c>
      <c r="C190" s="3" t="inlineStr">
        <is>
          <t>Kiện hàng</t>
        </is>
      </c>
      <c r="D190" s="3" t="inlineStr">
        <is>
          <t>Package</t>
        </is>
      </c>
      <c r="E190" s="3" t="inlineStr">
        <is>
          <t>ພັດສະດຸ</t>
        </is>
      </c>
      <c r="F190" s="3" t="n"/>
      <c r="G190" s="3">
        <f>IFERROR(__xludf.DUMMYFUNCTION("GOOGLETRANSLATE(C190,""vi"",""km"")"),"កញ្ចប់")</f>
        <v/>
      </c>
      <c r="H190" s="217" t="inlineStr">
        <is>
          <t>កញ្ចប់អីវ៉ាន់</t>
        </is>
      </c>
      <c r="J190" s="217" t="inlineStr">
        <is>
          <t>កញ្ចប់អីវ៉ាន់</t>
        </is>
      </c>
      <c r="K190" s="217" t="inlineStr">
        <is>
          <t>កញ្ចប់អីវ៉ាន់</t>
        </is>
      </c>
      <c r="S190" s="163" t="inlineStr">
        <is>
          <t>កញ្ចប់</t>
        </is>
      </c>
    </row>
    <row r="191" ht="15.75" customHeight="1" s="305">
      <c r="A191" s="217" t="inlineStr">
        <is>
          <t>DETAIL_ORDER.SIZE</t>
        </is>
      </c>
      <c r="B191" s="161" t="inlineStr">
        <is>
          <t>{{length}} 厘米 x {{width}} 厘米 x {{height}} 厘米</t>
        </is>
      </c>
      <c r="C191" s="3" t="inlineStr">
        <is>
          <t>{{length}} cm x {{width}} cm x {{height}} cm</t>
        </is>
      </c>
      <c r="D191" s="3" t="inlineStr">
        <is>
          <t>{{length}} cm x {{width}} cm x {{height}} cm</t>
        </is>
      </c>
      <c r="E191" s="3" t="inlineStr">
        <is>
          <t>{{length}} ຊມ x {{width}} ຊມ x {{height}} ຊມ</t>
        </is>
      </c>
      <c r="F191" s="3" t="n"/>
      <c r="G191" s="3">
        <f>IFERROR(__xludf.DUMMYFUNCTION("GOOGLETRANSLATE(C191,""vi"",""km"")"),"{{ប្រវែង}} សង់ទីម៉ែត្រ x {{ទទឹង}} សង់ទីម៉ែត្រ x {{កម្ពស់}} សង់ទីម៉ែត្រ")</f>
        <v/>
      </c>
      <c r="H191" s="3">
        <f>IFERROR(__xludf.DUMMYFUNCTION("GOOGLETRANSLATE(D191,""vi"",""km"")"),"{{ប្រវែង}} សង់ទីម៉ែត្រ x {{ទទឹង}} សង់ទីម៉ែត្រ x {{កម្ពស់}} សង់ទីម៉ែត្រ")</f>
        <v/>
      </c>
      <c r="J191" s="3" t="inlineStr">
        <is>
          <t>{{ប្រវែង}} សង់ទីម៉ែត្រ x {{ទទឹង}} សង់ទីម៉ែត្រ x {{កម្ពស់}} សង់ទីម៉ែត្រ</t>
        </is>
      </c>
      <c r="K191" s="217" t="inlineStr">
        <is>
          <t>{{ប្រវែង}} សង់ទីម៉ែត្រ x {{ទទឹង}} សង់ទីម៉ែត្រ x {{កម្ពស់}} សង់ទីម៉ែត្រ</t>
        </is>
      </c>
      <c r="S191" s="163" t="inlineStr">
        <is>
          <t>{{ប្រវែង}} សង់ទីម៉ែត្រ x {{ទទឹង}} សង់ទីម៉ែត្រ x {{កម្ពស់}} សង់ទីម៉ែត្រ</t>
        </is>
      </c>
    </row>
    <row r="192" ht="15.75" customHeight="1" s="305">
      <c r="A192" s="217" t="inlineStr">
        <is>
          <t>DETAIL_ORDER.RETURN_ORDER_CODE</t>
        </is>
      </c>
      <c r="B192" s="153" t="inlineStr">
        <is>
          <t>退货订单代码</t>
        </is>
      </c>
      <c r="C192" s="3" t="inlineStr">
        <is>
          <t>Mã đơn hoàn</t>
        </is>
      </c>
      <c r="D192" s="3" t="inlineStr">
        <is>
          <t>Return order code</t>
        </is>
      </c>
      <c r="E192" s="3" t="inlineStr">
        <is>
          <t>Return order code</t>
        </is>
      </c>
      <c r="F192" s="3" t="inlineStr">
        <is>
          <t>Return order code</t>
        </is>
      </c>
      <c r="G192" s="3">
        <f>IFERROR(__xludf.DUMMYFUNCTION("GOOGLETRANSLATE(C192,""vi"",""km"")"),"លេខកូដបញ្ជាទិញ")</f>
        <v/>
      </c>
      <c r="H192" s="217" t="inlineStr">
        <is>
          <t>លេខកូដបុងត្រលប់</t>
        </is>
      </c>
      <c r="J192" s="3" t="inlineStr">
        <is>
          <t>លេខកូដបុងត្រលប់</t>
        </is>
      </c>
      <c r="K192" s="217" t="inlineStr">
        <is>
          <t>លេខកូដបុងត្រលប់</t>
        </is>
      </c>
      <c r="S192" s="163" t="inlineStr">
        <is>
          <t>ត្រឡប់លេខកូដបញ្ជាទិញ</t>
        </is>
      </c>
    </row>
    <row r="193" ht="15.75" customHeight="1" s="305">
      <c r="A193" s="217" t="inlineStr">
        <is>
          <t>DETAIL_ORDER.FORWARD_ORDER_CODE</t>
        </is>
      </c>
      <c r="B193" s="153" t="inlineStr">
        <is>
          <t>转寄订单代码</t>
        </is>
      </c>
      <c r="C193" s="3" t="inlineStr">
        <is>
          <t>Mã chuyển tiếp</t>
        </is>
      </c>
      <c r="D193" s="3" t="inlineStr">
        <is>
          <t>Forwarding order code</t>
        </is>
      </c>
      <c r="E193" s="3" t="inlineStr">
        <is>
          <t>Forwarding order code</t>
        </is>
      </c>
      <c r="F193" s="3" t="inlineStr">
        <is>
          <t>Forwarding order code</t>
        </is>
      </c>
      <c r="G193" s="3">
        <f>IFERROR(__xludf.DUMMYFUNCTION("GOOGLETRANSLATE(C193,""vi"",""km"")"),"លេខកូដបញ្ជូនបន្ត")</f>
        <v/>
      </c>
      <c r="H193" s="217" t="inlineStr">
        <is>
          <t>លេខកូូដបញ្ជូនបន្ត</t>
        </is>
      </c>
      <c r="J193" s="3" t="inlineStr">
        <is>
          <t>លេខកូូដបញ្ជូនបន្ត</t>
        </is>
      </c>
      <c r="K193" s="217" t="inlineStr">
        <is>
          <t>លេខកូូដបញ្ជូនបន្ត</t>
        </is>
      </c>
      <c r="S193" s="163" t="inlineStr">
        <is>
          <t>បញ្ជូនបន្តលេខកូដបញ្ជាទិញ</t>
        </is>
      </c>
    </row>
    <row r="194" ht="15.75" customHeight="1" s="305">
      <c r="A194" s="217" t="inlineStr">
        <is>
          <t>LOGIN_SCREEN.LOGIN</t>
        </is>
      </c>
      <c r="B194" s="153" t="inlineStr">
        <is>
          <t>登录</t>
        </is>
      </c>
      <c r="C194" s="3" t="inlineStr">
        <is>
          <t>Đăng nhập</t>
        </is>
      </c>
      <c r="D194" s="3" t="inlineStr">
        <is>
          <t>Login</t>
        </is>
      </c>
      <c r="E194" s="3" t="inlineStr">
        <is>
          <t>ເຂົ້າສູ່ລະບົບ</t>
        </is>
      </c>
      <c r="F194" s="3" t="inlineStr">
        <is>
          <t>ဝင်ရောက်မည်</t>
        </is>
      </c>
      <c r="G194" s="3">
        <f>IFERROR(__xludf.DUMMYFUNCTION("GOOGLETRANSLATE(C194,""vi"",""km"")"),"ចូល")</f>
        <v/>
      </c>
      <c r="H194" s="217" t="inlineStr">
        <is>
          <t>ចុចចូល</t>
        </is>
      </c>
      <c r="J194" s="3" t="inlineStr">
        <is>
          <t>ចុចចូល</t>
        </is>
      </c>
      <c r="K194" s="217" t="inlineStr">
        <is>
          <t>ចុចចូល</t>
        </is>
      </c>
      <c r="S194" s="163" t="inlineStr">
        <is>
          <t>ចូល</t>
        </is>
      </c>
    </row>
    <row r="195" ht="15.75" customHeight="1" s="305">
      <c r="A195" s="217" t="inlineStr">
        <is>
          <t>LOGIN_SCREEN.PHONE_NUMBER</t>
        </is>
      </c>
      <c r="B195" s="153" t="inlineStr">
        <is>
          <t>手机号码</t>
        </is>
      </c>
      <c r="C195" s="3" t="inlineStr">
        <is>
          <t>Số điện thoại</t>
        </is>
      </c>
      <c r="D195" s="3" t="inlineStr">
        <is>
          <t>Phone Number</t>
        </is>
      </c>
      <c r="E195" s="3" t="inlineStr">
        <is>
          <t>ເບີໂທລະສັບ</t>
        </is>
      </c>
      <c r="F195" s="3" t="inlineStr">
        <is>
          <t>ဖုန်းနံပါတ်</t>
        </is>
      </c>
      <c r="G195" s="3">
        <f>IFERROR(__xludf.DUMMYFUNCTION("GOOGLETRANSLATE(C195,""vi"",""km"")"),"លេខទូរស័ព្ទ")</f>
        <v/>
      </c>
      <c r="H195" s="217" t="inlineStr">
        <is>
          <t>លេខទូរស័ព្ទ</t>
        </is>
      </c>
      <c r="J195" s="3" t="inlineStr">
        <is>
          <t>លេខទូរស័ព្ទ</t>
        </is>
      </c>
      <c r="K195" s="217" t="inlineStr">
        <is>
          <t>លេខទូរស័ព្ទ</t>
        </is>
      </c>
      <c r="S195" s="163" t="inlineStr">
        <is>
          <t>លេខទូរស័ព្ទ</t>
        </is>
      </c>
    </row>
    <row r="196" ht="15.75" customHeight="1" s="305">
      <c r="A196" s="217" t="inlineStr">
        <is>
          <t>LOGIN_SCREEN.NEXT</t>
        </is>
      </c>
      <c r="B196" s="153" t="inlineStr">
        <is>
          <t>下一步</t>
        </is>
      </c>
      <c r="C196" s="3" t="inlineStr">
        <is>
          <t>Tiếp tục</t>
        </is>
      </c>
      <c r="D196" s="3" t="inlineStr">
        <is>
          <t>Next</t>
        </is>
      </c>
      <c r="E196" s="3" t="inlineStr">
        <is>
          <t>ສືບຕໍ່</t>
        </is>
      </c>
      <c r="F196" s="3" t="inlineStr">
        <is>
          <t>နောက်တစ်ခေါ</t>
        </is>
      </c>
      <c r="G196" s="3">
        <f>IFERROR(__xludf.DUMMYFUNCTION("GOOGLETRANSLATE(C196,""vi"",""km"")"),"បន្ត")</f>
        <v/>
      </c>
      <c r="H196" s="217" t="inlineStr">
        <is>
          <t>បន្ត</t>
        </is>
      </c>
      <c r="J196" s="3" t="inlineStr">
        <is>
          <t>បន្ត</t>
        </is>
      </c>
      <c r="K196" s="217" t="inlineStr">
        <is>
          <t>បន្ត</t>
        </is>
      </c>
      <c r="S196" s="163" t="inlineStr">
        <is>
          <t>បន្ទាប់</t>
        </is>
      </c>
    </row>
    <row r="197" ht="15.75" customHeight="1" s="305">
      <c r="A197" s="217" t="inlineStr">
        <is>
          <t>LOGIN_SCREEN.NON_ACCOUNT</t>
        </is>
      </c>
      <c r="B197" s="153" t="inlineStr">
        <is>
          <t>还没有账号！</t>
        </is>
      </c>
      <c r="C197" s="3" t="inlineStr">
        <is>
          <t>Chưa có tài khoản!</t>
        </is>
      </c>
      <c r="D197" s="3" t="inlineStr">
        <is>
          <t>Don't have an account!</t>
        </is>
      </c>
      <c r="E197" s="3" t="inlineStr">
        <is>
          <t>ບໍ່ມີບັນຊີເທື່ອ!</t>
        </is>
      </c>
      <c r="F197" s="3" t="inlineStr">
        <is>
          <t>အကောင့်မရှိပါ!</t>
        </is>
      </c>
      <c r="G197" s="3">
        <f>IFERROR(__xludf.DUMMYFUNCTION("GOOGLETRANSLATE(C197,""vi"",""km"")"),"មិនទាន់មានគណនីនៅឡើយទេ!")</f>
        <v/>
      </c>
      <c r="H197" s="217" t="inlineStr">
        <is>
          <t>មិនទាន់មានគណនី</t>
        </is>
      </c>
      <c r="J197" s="3" t="inlineStr">
        <is>
          <t>មិនទាន់មានគណនី</t>
        </is>
      </c>
      <c r="K197" s="217" t="inlineStr">
        <is>
          <t>មិនទាន់មានគណនី</t>
        </is>
      </c>
      <c r="S197" s="163" t="inlineStr">
        <is>
          <t xml:space="preserve">មិន​មាន​គណនី! </t>
        </is>
      </c>
    </row>
    <row r="198" ht="15.75" customHeight="1" s="305">
      <c r="A198" s="217" t="inlineStr">
        <is>
          <t>LOGIN_SCREEN.ACCOUNT_NOT_EXIST</t>
        </is>
      </c>
      <c r="B198" s="153" t="inlineStr">
        <is>
          <t>该号码在系统中不存在。是否使用此手机号创建新账号？</t>
        </is>
      </c>
      <c r="C198" s="3" t="inlineStr">
        <is>
          <t xml:space="preserve"> chưa tồn tại trên hệ thống. Bạn có muốn tạo tài khoản mới với số điện thoại này không?</t>
        </is>
      </c>
      <c r="D198" s="3" t="inlineStr">
        <is>
          <t xml:space="preserve"> does not exist in the system. Do you want to create a new account with this phone number?</t>
        </is>
      </c>
      <c r="E198" s="3" t="inlineStr">
        <is>
          <t>ບໍ່ມີຢູ່ໃນລະບົບ. ທ່ານຕ້ອງການສ້າງບັນຊີໃໝ່ດ້ວຍເບີໂທລະສັບນີ້ບໍ?</t>
        </is>
      </c>
      <c r="F198" s="3" t="inlineStr">
        <is>
          <t>စနစ်မှာ မတည်ရှိပါဘူး။ ဒီဖုန်းနံပါတ်နဲ့ အကောင့်အသစ်တစ်ခု ဖန်တီးချင်လား။</t>
        </is>
      </c>
      <c r="G198" s="3">
        <f>IFERROR(__xludf.DUMMYFUNCTION("GOOGLETRANSLATE(C198,""vi"",""km"")"),"លេខនេះមិនមាននៅក្នុងប្រព័ន្ធទេ។ តើអ្នកចង់បង្កើតគណនីថ្មីជាមួយលេខទូរស័ព្ទនេះទេ?")</f>
        <v/>
      </c>
      <c r="J198" s="3" t="inlineStr">
        <is>
          <t>មិនមាននៅក្នុងប្រព័ន្ធទេ។ តើអ្នកចង់បង្កើតគណនីថ្មីជាមួយលេខទូរស័ព្ទនេះទេ?</t>
        </is>
      </c>
      <c r="K198" s="217" t="inlineStr">
        <is>
          <t>មិនមាននៅក្នុងប្រព័ន្ធទេ។ តើអ្នកចង់បង្កើតគណនីថ្មីជាមួយលេខទូរស័ព្ទនេះទេ?</t>
        </is>
      </c>
      <c r="S198" s="163" t="inlineStr">
        <is>
          <t>មិនមាននៅក្នុងប្រព័ន្ធទេ។ តើអ្នកចង់បង្កើតគណនីថ្មីជាមួយលេខទូរស័ព្ទនេះទេ?</t>
        </is>
      </c>
    </row>
    <row r="199" ht="15.75" customHeight="1" s="305">
      <c r="A199" s="217" t="inlineStr">
        <is>
          <t>LOGIN_SCREEN.CREATE_ACCOUNT</t>
        </is>
      </c>
      <c r="B199" s="153" t="inlineStr">
        <is>
          <t>创建账号</t>
        </is>
      </c>
      <c r="C199" s="3" t="inlineStr">
        <is>
          <t>Tạo tài khoản</t>
        </is>
      </c>
      <c r="D199" s="3" t="inlineStr">
        <is>
          <t>Create Account</t>
        </is>
      </c>
      <c r="E199" s="3" t="inlineStr">
        <is>
          <t>ສ້າງບັນຊີ</t>
        </is>
      </c>
      <c r="F199" s="3" t="inlineStr">
        <is>
          <t>အကောင့်ဖန်တီးခြင်း</t>
        </is>
      </c>
      <c r="G199" s="3">
        <f>IFERROR(__xludf.DUMMYFUNCTION("GOOGLETRANSLATE(C199,""vi"",""km"")"),"បង្កើតគណនីមួយ")</f>
        <v/>
      </c>
      <c r="H199" s="217" t="inlineStr">
        <is>
          <t>បង្កើតគណនី</t>
        </is>
      </c>
      <c r="J199" s="217" t="inlineStr">
        <is>
          <t>បង្កើតគណនី</t>
        </is>
      </c>
      <c r="K199" s="217" t="inlineStr">
        <is>
          <t>បង្កើតគណនី</t>
        </is>
      </c>
      <c r="S199" s="163" t="inlineStr">
        <is>
          <t>បង្កើតគណនី</t>
        </is>
      </c>
    </row>
    <row r="200" ht="15.75" customHeight="1" s="305">
      <c r="A200" s="217" t="inlineStr">
        <is>
          <t>LOGIN_SCREEN.SKIP</t>
        </is>
      </c>
      <c r="B200" s="153" t="inlineStr">
        <is>
          <t>跳过</t>
        </is>
      </c>
      <c r="C200" s="3" t="inlineStr">
        <is>
          <t>Bỏ qua</t>
        </is>
      </c>
      <c r="D200" s="3" t="inlineStr">
        <is>
          <t>Skip</t>
        </is>
      </c>
      <c r="E200" s="3" t="inlineStr">
        <is>
          <t>ຂ້າມ</t>
        </is>
      </c>
      <c r="F200" s="3" t="inlineStr">
        <is>
          <t>ခုန်ကျော်ခြင်း</t>
        </is>
      </c>
      <c r="G200" s="3">
        <f>IFERROR(__xludf.DUMMYFUNCTION("GOOGLETRANSLATE(C200,""vi"",""km"")"),"រំលង")</f>
        <v/>
      </c>
      <c r="H200" s="217" t="inlineStr">
        <is>
          <t>រំលង</t>
        </is>
      </c>
      <c r="J200" s="217" t="inlineStr">
        <is>
          <t>រំលង</t>
        </is>
      </c>
      <c r="K200" s="217" t="inlineStr">
        <is>
          <t>រំលង</t>
        </is>
      </c>
      <c r="S200" s="163" t="inlineStr">
        <is>
          <t>រំលង</t>
        </is>
      </c>
    </row>
    <row r="201" ht="15.75" customHeight="1" s="305">
      <c r="A201" s="217" t="inlineStr">
        <is>
          <t>LOGIN_SCREEN.FULL_NAME</t>
        </is>
      </c>
      <c r="B201" s="153" t="inlineStr">
        <is>
          <t>姓名</t>
        </is>
      </c>
      <c r="C201" s="3" t="inlineStr">
        <is>
          <t>Họ &amp; tên</t>
        </is>
      </c>
      <c r="D201" s="3" t="inlineStr">
        <is>
          <t>Full Name</t>
        </is>
      </c>
      <c r="E201" s="3" t="inlineStr">
        <is>
          <t>ຊື່ເຕັມ</t>
        </is>
      </c>
      <c r="F201" s="3" t="inlineStr">
        <is>
          <t>အမည် အပြည့်အစုံ</t>
        </is>
      </c>
      <c r="G201" s="3">
        <f>IFERROR(__xludf.DUMMYFUNCTION("GOOGLETRANSLATE(C201,""vi"",""km"")"),"ឈ្មោះពេញ")</f>
        <v/>
      </c>
      <c r="H201" s="217" t="inlineStr">
        <is>
          <t>នាមត្រកូល</t>
        </is>
      </c>
      <c r="J201" s="217" t="inlineStr">
        <is>
          <t>នាមត្រកូល</t>
        </is>
      </c>
      <c r="K201" s="217" t="inlineStr">
        <is>
          <t>នាមត្រកូល</t>
        </is>
      </c>
      <c r="S201" s="163" t="inlineStr">
        <is>
          <t>ឈ្មោះពេញ</t>
        </is>
      </c>
    </row>
    <row r="202" ht="15.75" customHeight="1" s="305">
      <c r="A202" s="217" t="inlineStr">
        <is>
          <t>LOGIN_SCREEN.ENTER_FULL_NAME</t>
        </is>
      </c>
      <c r="B202" s="153" t="inlineStr">
        <is>
          <t>请输入姓名</t>
        </is>
      </c>
      <c r="C202" s="3" t="inlineStr">
        <is>
          <t>Nhập họ &amp; tên</t>
        </is>
      </c>
      <c r="D202" s="3" t="inlineStr">
        <is>
          <t>Enter Full Name</t>
        </is>
      </c>
      <c r="E202" s="3" t="inlineStr">
        <is>
          <t>ໃສ່ຊື່ ແລະນາມສະກຸນຂອງເຈົ້າ</t>
        </is>
      </c>
      <c r="F202" s="3" t="inlineStr">
        <is>
          <t>Enter Full Name</t>
        </is>
      </c>
      <c r="G202" s="3">
        <f>IFERROR(__xludf.DUMMYFUNCTION("GOOGLETRANSLATE(C202,""vi"",""km"")"),"បញ្ចូលឈ្មោះ និងនាមត្រកូលរបស់អ្នក")</f>
        <v/>
      </c>
      <c r="H202" s="217" t="inlineStr">
        <is>
          <t>បញ្ចូល នាមត្រកូល</t>
        </is>
      </c>
      <c r="J202" s="217" t="inlineStr">
        <is>
          <t>បញ្ចូល នាមត្រកូល</t>
        </is>
      </c>
      <c r="K202" s="217" t="inlineStr">
        <is>
          <t>បញ្ចូល នាមត្រកូល</t>
        </is>
      </c>
      <c r="S202" s="163" t="inlineStr">
        <is>
          <t>បញ្ចូលឈ្មោះពេញ</t>
        </is>
      </c>
    </row>
    <row r="203" ht="15.75" customHeight="1" s="305">
      <c r="A203" s="217" t="inlineStr">
        <is>
          <t>LOGIN_SCREEN.PASSWORD</t>
        </is>
      </c>
      <c r="B203" s="153" t="inlineStr">
        <is>
          <t>密码</t>
        </is>
      </c>
      <c r="C203" s="3" t="inlineStr">
        <is>
          <t>Mật khẩu</t>
        </is>
      </c>
      <c r="D203" s="3" t="inlineStr">
        <is>
          <t>Password</t>
        </is>
      </c>
      <c r="E203" s="3" t="inlineStr">
        <is>
          <t>ລະຫັດຜ່ານ</t>
        </is>
      </c>
      <c r="F203" s="3" t="inlineStr">
        <is>
          <t>စကားဝှက်</t>
        </is>
      </c>
      <c r="G203" s="3">
        <f>IFERROR(__xludf.DUMMYFUNCTION("GOOGLETRANSLATE(C203,""vi"",""km"")"),"ពាក្យសម្ងាត់")</f>
        <v/>
      </c>
      <c r="H203" s="217" t="inlineStr">
        <is>
          <t>លេខសម្ងាត់</t>
        </is>
      </c>
      <c r="J203" s="217" t="inlineStr">
        <is>
          <t>ពាក្យសម្ងាត់</t>
        </is>
      </c>
      <c r="K203" s="217" t="inlineStr">
        <is>
          <t>ពាក្យសម្ងាត់</t>
        </is>
      </c>
      <c r="S203" s="163" t="inlineStr">
        <is>
          <t>ពាក្យសម្ងាត់</t>
        </is>
      </c>
    </row>
    <row r="204" ht="15.75" customHeight="1" s="305">
      <c r="A204" s="217" t="inlineStr">
        <is>
          <t>LOGIN_SCREEN.ENTER_PASSWORD</t>
        </is>
      </c>
      <c r="B204" s="153" t="inlineStr">
        <is>
          <t>请输入密码</t>
        </is>
      </c>
      <c r="C204" s="3" t="inlineStr">
        <is>
          <t>Nhập mật khẩu</t>
        </is>
      </c>
      <c r="D204" s="3" t="inlineStr">
        <is>
          <t>Enter Password</t>
        </is>
      </c>
      <c r="E204" s="3" t="inlineStr">
        <is>
          <t>ໃສ່ລະຫັດຜ່ານ</t>
        </is>
      </c>
      <c r="F204" s="3" t="inlineStr">
        <is>
          <t>Enter Password</t>
        </is>
      </c>
      <c r="G204" s="3">
        <f>IFERROR(__xludf.DUMMYFUNCTION("GOOGLETRANSLATE(C204,""vi"",""km"")"),"បញ្ចូលពាក្យសម្ងាត់")</f>
        <v/>
      </c>
      <c r="H204" s="217" t="inlineStr">
        <is>
          <t>បញ្ចូលលេខសម្ងាត់</t>
        </is>
      </c>
      <c r="J204" s="217" t="inlineStr">
        <is>
          <t>បញ្ចូលពាក្យសម្ងាត់</t>
        </is>
      </c>
      <c r="K204" s="217" t="inlineStr">
        <is>
          <t>បញ្ចូលពាក្យសម្ងាត់</t>
        </is>
      </c>
      <c r="S204" s="163" t="inlineStr">
        <is>
          <t>បញ្ចូលពាក្យសម្ងាត់</t>
        </is>
      </c>
    </row>
    <row r="205" ht="15.75" customHeight="1" s="305">
      <c r="A205" s="217" t="inlineStr">
        <is>
          <t>LOGIN_SCREEN.CONFIRM_PASSWORD</t>
        </is>
      </c>
      <c r="B205" s="153" t="inlineStr">
        <is>
          <t>确认密码</t>
        </is>
      </c>
      <c r="C205" s="3" t="inlineStr">
        <is>
          <t>Nhập lại mật khẩu</t>
        </is>
      </c>
      <c r="D205" s="3" t="inlineStr">
        <is>
          <t>Confirm Password</t>
        </is>
      </c>
      <c r="E205" s="3" t="inlineStr">
        <is>
          <t>ຢືນຢັນລະຫັດຜ່ານ</t>
        </is>
      </c>
      <c r="F205" s="3" t="inlineStr">
        <is>
          <t>စကားဝှက်ကို အတည်ပြုပါ</t>
        </is>
      </c>
      <c r="G205" s="3">
        <f>IFERROR(__xludf.DUMMYFUNCTION("GOOGLETRANSLATE(C205,""vi"",""km"")"),"បញ្ចូលពាក្យសម្ងាត់ឡើងវិញ")</f>
        <v/>
      </c>
      <c r="H205" s="217" t="inlineStr">
        <is>
          <t>បញ្ចូលលេខសម្ងាត់ម្តងទៀត</t>
        </is>
      </c>
      <c r="J205" s="217" t="inlineStr">
        <is>
          <t>បញ្ចូលពាក្យសម្ងាត់ម្តងទៀត</t>
        </is>
      </c>
      <c r="K205" s="217" t="inlineStr">
        <is>
          <t>បញ្ចូលពាក្យសម្ងាត់ម្តងទៀត</t>
        </is>
      </c>
      <c r="S205" s="163" t="inlineStr">
        <is>
          <t>បញ្ជាក់ពាក្យសម្ងាត់</t>
        </is>
      </c>
    </row>
    <row r="206" ht="15.75" customHeight="1" s="305">
      <c r="A206" s="217" t="inlineStr">
        <is>
          <t>LOGIN_SCREEN.ENTER_CONFIRM_PASSWORD</t>
        </is>
      </c>
      <c r="B206" s="153" t="inlineStr">
        <is>
          <t>请再次输入密码</t>
        </is>
      </c>
      <c r="C206" s="3" t="inlineStr">
        <is>
          <t>Nhập lại mật khẩu</t>
        </is>
      </c>
      <c r="D206" s="3" t="inlineStr">
        <is>
          <t>Enter Confirm Password</t>
        </is>
      </c>
      <c r="E206" s="3" t="inlineStr">
        <is>
          <t>ໃສ່ລະຫັດຜ່ານອີກຄັ້ງ</t>
        </is>
      </c>
      <c r="F206" s="3" t="inlineStr">
        <is>
          <t>Enter Confirm Password</t>
        </is>
      </c>
      <c r="G206" s="3">
        <f>IFERROR(__xludf.DUMMYFUNCTION("GOOGLETRANSLATE(C206,""vi"",""km"")"),"បញ្ចូលពាក្យសម្ងាត់ឡើងវិញ")</f>
        <v/>
      </c>
      <c r="H206" s="217" t="inlineStr">
        <is>
          <t>បញ្ចូលលេខសម្ងាត់ម្តងទៀត</t>
        </is>
      </c>
      <c r="J206" s="217" t="inlineStr">
        <is>
          <t>បញ្ចូលពាក្យសម្ងាត់ម្តងទៀត</t>
        </is>
      </c>
      <c r="K206" s="217" t="inlineStr">
        <is>
          <t>បញ្ចូលពាក្យសម្ងាត់ម្តងទៀត</t>
        </is>
      </c>
      <c r="S206" s="163" t="inlineStr">
        <is>
          <t>បញ្ចូល បញ្ជាក់ពាក្យសម្ងាត់</t>
        </is>
      </c>
    </row>
    <row r="207" ht="15.75" customHeight="1" s="305">
      <c r="A207" s="217" t="inlineStr">
        <is>
          <t>LOGIN_SCREEN.CONFIRM_INFO</t>
        </is>
      </c>
      <c r="B207" s="153" t="inlineStr">
        <is>
          <t>确认信息</t>
        </is>
      </c>
      <c r="C207" s="3" t="inlineStr">
        <is>
          <t>Xác nhận thông tin</t>
        </is>
      </c>
      <c r="D207" s="3" t="inlineStr">
        <is>
          <t>Confirm Information</t>
        </is>
      </c>
      <c r="E207" s="3" t="inlineStr">
        <is>
          <t>ຢືນຢັນຂໍ້ມູນ</t>
        </is>
      </c>
      <c r="F207" s="3" t="inlineStr">
        <is>
          <t>သတင်းအချက်အလက်ကို အတည်ပြုပါ</t>
        </is>
      </c>
      <c r="G207" s="3">
        <f>IFERROR(__xludf.DUMMYFUNCTION("GOOGLETRANSLATE(C207,""vi"",""km"")"),"បញ្ជាក់ព័ត៌មាន។")</f>
        <v/>
      </c>
      <c r="H207" s="217" t="inlineStr">
        <is>
          <t>បញ្ជាក់ព័ត៌មាន</t>
        </is>
      </c>
      <c r="J207" s="217" t="inlineStr">
        <is>
          <t>បញ្ជាក់ព័ត៌មាន</t>
        </is>
      </c>
      <c r="K207" s="217" t="inlineStr">
        <is>
          <t>បញ្ជាក់ព័ត៌មាន</t>
        </is>
      </c>
      <c r="S207" s="163" t="inlineStr">
        <is>
          <t>បញ្ជាក់ព័ត៌មាន</t>
        </is>
      </c>
    </row>
    <row r="208" ht="15.75" customHeight="1" s="305">
      <c r="A208" s="217" t="inlineStr">
        <is>
          <t>LOGIN_SCREEN.PRIVACY_POLICY_CONFIRM</t>
        </is>
      </c>
      <c r="B208" s="153" t="inlineStr">
        <is>
          <t>本人同意 VTP{{country}}的《条款与政策》</t>
        </is>
      </c>
      <c r="C208" s="3" t="inlineStr">
        <is>
          <t>Tôi đồng ý với Điều khoản &amp; chính sách của Metfone Express {{country}}</t>
        </is>
      </c>
      <c r="D208" s="3" t="inlineStr">
        <is>
          <t>I agree to the Terms &amp; Policies of Metfone Express</t>
        </is>
      </c>
      <c r="E208" s="3" t="inlineStr">
        <is>
          <t>ຂ້ອຍຍອມຮັບຂໍ້ກຳນົດ ແລະນະໂຍບາຍ VTP {{country}}</t>
        </is>
      </c>
      <c r="F208" s="3" t="inlineStr">
        <is>
          <t>ဗီတီပီမြန်မာနိုင်ငံရဲ့ စည်းမျဉ်းတွေနဲ့ မူဝါဒတွေကို သဘောတူပါတယ်</t>
        </is>
      </c>
      <c r="G208" s="3">
        <f>IFERROR(__xludf.DUMMYFUNCTION("GOOGLETRANSLATE(C208,""vi"",""km"")"),"ខ្ញុំយល់ព្រមតាមលក្ខខណ្ឌ និងគោលការណ៍របស់ Metfone Express {{country}}។")</f>
        <v/>
      </c>
      <c r="H208" s="217">
        <f>IFERROR(__xludf.DUMMYFUNCTION("GOOGLETRANSLATE(C208,""vi"",""km"")"),"ខ្ញុំយល់ព្រមតាមលក្ខខណ្ឌ និងគោលការណ៍របស់ Metfone Express {{country}}។")</f>
        <v/>
      </c>
      <c r="J208" s="3" t="inlineStr">
        <is>
          <t>ខ្ញុំយល់ព្រមតាមលក្ខខណ្ឌ និងគោលការណ៍របស់ Metfone Express {{country}}។</t>
        </is>
      </c>
      <c r="K208" s="217" t="inlineStr">
        <is>
          <t>ខ្ញុំយល់ព្រមតាមលក្ខខណ្ឌ និងគោលការណ៍របស់ Metfone Express {{country}}។</t>
        </is>
      </c>
      <c r="S208" s="163" t="inlineStr">
        <is>
          <t>ខ្ញុំយល់ព្រមនឹងលក្ខខណ្ឌ និងគោលការណ៍របស់ Metfone Express មីយ៉ាន់ម៉ា</t>
        </is>
      </c>
    </row>
    <row r="209" ht="15.75" customHeight="1" s="305">
      <c r="A209" s="217" t="inlineStr">
        <is>
          <t>LOGIN_SCREEN.INPUT_PASSWORD</t>
        </is>
      </c>
      <c r="B209" s="153" t="inlineStr">
        <is>
          <t>输入密码</t>
        </is>
      </c>
      <c r="C209" s="3" t="inlineStr">
        <is>
          <t>Nhập mật khẩu</t>
        </is>
      </c>
      <c r="D209" s="3" t="inlineStr">
        <is>
          <t>Enter Password</t>
        </is>
      </c>
      <c r="E209" s="3" t="inlineStr">
        <is>
          <t>ໃສ່ລະຫັດຜ່ານ</t>
        </is>
      </c>
      <c r="F209" s="3" t="inlineStr">
        <is>
          <t>စကားဝှက်ထဲထည့်ပါ</t>
        </is>
      </c>
      <c r="G209" s="3">
        <f>IFERROR(__xludf.DUMMYFUNCTION("GOOGLETRANSLATE(C209,""vi"",""km"")"),"បញ្ចូលពាក្យសម្ងាត់")</f>
        <v/>
      </c>
      <c r="H209" s="217" t="inlineStr">
        <is>
          <t>បញ្ចូលលេខសម្ងាត់</t>
        </is>
      </c>
      <c r="J209" s="217" t="inlineStr">
        <is>
          <t>បញ្ចូលពាក្យសម្ងាត់</t>
        </is>
      </c>
      <c r="K209" s="217" t="inlineStr">
        <is>
          <t>បញ្ចូលពាក្យសម្ងាត់</t>
        </is>
      </c>
      <c r="S209" s="163" t="inlineStr">
        <is>
          <t>បញ្ចូលពាក្យសម្ងាត់</t>
        </is>
      </c>
    </row>
    <row r="210" ht="15.75" customHeight="1" s="305">
      <c r="A210" s="217" t="inlineStr">
        <is>
          <t>LOGIN_SCREEN.HELLO</t>
        </is>
      </c>
      <c r="B210" s="153" t="inlineStr">
        <is>
          <t>您好</t>
        </is>
      </c>
      <c r="C210" s="3" t="inlineStr">
        <is>
          <t>Xin chào</t>
        </is>
      </c>
      <c r="D210" s="3" t="inlineStr">
        <is>
          <t>Hello</t>
        </is>
      </c>
      <c r="E210" s="3" t="inlineStr">
        <is>
          <t>ສະບາຍດີ</t>
        </is>
      </c>
      <c r="F210" s="3" t="inlineStr">
        <is>
          <t>ဟဲလို</t>
        </is>
      </c>
      <c r="G210" s="3">
        <f>IFERROR(__xludf.DUMMYFUNCTION("GOOGLETRANSLATE(C210,""vi"",""km"")"),"សួស្តី")</f>
        <v/>
      </c>
      <c r="H210" s="217" t="inlineStr">
        <is>
          <t>សួស្តី</t>
        </is>
      </c>
      <c r="J210" s="3" t="inlineStr">
        <is>
          <t>សួស្តី</t>
        </is>
      </c>
      <c r="K210" s="217" t="inlineStr">
        <is>
          <t>សួស្តី</t>
        </is>
      </c>
      <c r="S210" s="163" t="inlineStr">
        <is>
          <t>ជំរាបសួរ</t>
        </is>
      </c>
    </row>
    <row r="211" ht="15.75" customHeight="1" s="305">
      <c r="A211" s="217" t="inlineStr">
        <is>
          <t>LOGIN_SCREEN.PHONE_IS_REQUIRE</t>
        </is>
      </c>
      <c r="B211" s="153" t="inlineStr">
        <is>
          <t>请输入手机号码</t>
        </is>
      </c>
      <c r="C211" s="3" t="inlineStr">
        <is>
          <t>Quý khách vui lòng nhập số điện thoại</t>
        </is>
      </c>
      <c r="D211" s="3" t="inlineStr">
        <is>
          <t>Please enter your phone number</t>
        </is>
      </c>
      <c r="E211" s="3" t="inlineStr">
        <is>
          <t>ກະລຸນາໃສ່ເບີໂທລະສັບຂອງທ່ານ</t>
        </is>
      </c>
      <c r="F211" s="3" t="inlineStr">
        <is>
          <t>ကျေးဇူးပြု၍ ဖုန်းနံပါတ်ကို ထည့်ပါ</t>
        </is>
      </c>
      <c r="G211" s="3">
        <f>IFERROR(__xludf.DUMMYFUNCTION("GOOGLETRANSLATE(C211,""vi"",""km"")"),"សូមបញ្ចូលលេខទូរស័ព្ទរបស់អ្នក។")</f>
        <v/>
      </c>
      <c r="H211" s="217" t="inlineStr">
        <is>
          <t>សូមអតិថិជនបញ្ចូលលេខទូរស័ព្ទ</t>
        </is>
      </c>
      <c r="J211" s="3" t="inlineStr">
        <is>
          <t>សូមអតិថិជនបញ្ចូលលេខទូរស័ព្ទ</t>
        </is>
      </c>
      <c r="K211" s="217" t="inlineStr">
        <is>
          <t>សូមអតិថិជនបញ្ចូលលេខទូរស័ព្ទ</t>
        </is>
      </c>
      <c r="S211" s="163" t="inlineStr">
        <is>
          <t>សូមបញ្ចូលលេខទូរស័ព្ទរបស់អ្នក</t>
        </is>
      </c>
    </row>
    <row r="212" ht="15.75" customHeight="1" s="305">
      <c r="A212" s="217" t="inlineStr">
        <is>
          <t>LOGIN_SCREEN.FULL_NAME_IS_REQUIRE</t>
        </is>
      </c>
      <c r="B212" s="153" t="inlineStr">
        <is>
          <t>请输入您的姓名</t>
        </is>
      </c>
      <c r="C212" s="3" t="inlineStr">
        <is>
          <t>Quý khách vui lòng nhập họ và tên</t>
        </is>
      </c>
      <c r="D212" s="3" t="inlineStr">
        <is>
          <t>Please enter your full name</t>
        </is>
      </c>
      <c r="E212" s="3" t="inlineStr">
        <is>
          <t>ກະລຸນາໃສ່ຊື່ເຕັມຂອງເຈົ້າ</t>
        </is>
      </c>
      <c r="F212" s="3" t="inlineStr">
        <is>
          <t>ကျေးဇူးပြု၍ သင့်နာမည်အပြည့်အစုံကို ထည့်ပါ</t>
        </is>
      </c>
      <c r="G212" s="3">
        <f>IFERROR(__xludf.DUMMYFUNCTION("GOOGLETRANSLATE(C212,""vi"",""km"")"),"សូមបញ្ចូលឈ្មោះពេញរបស់អ្នក។")</f>
        <v/>
      </c>
      <c r="H212" s="217" t="inlineStr">
        <is>
          <t>សូមអតិថិជនបញ្ចូលគោត្តនាម និងនាម</t>
        </is>
      </c>
      <c r="J212" s="217" t="inlineStr">
        <is>
          <t>សូមអតិថិជនបញ្ចូលគោត្តនាម និងនាម</t>
        </is>
      </c>
      <c r="K212" s="217" t="inlineStr">
        <is>
          <t>សូមអតិថិជនបញ្ចូលគោត្តនាម និងនាម</t>
        </is>
      </c>
      <c r="S212" s="163" t="inlineStr">
        <is>
          <t>សូមបញ្ចូលឈ្មោះពេញរបស់អ្នក</t>
        </is>
      </c>
    </row>
    <row r="213" ht="15.75" customHeight="1" s="305">
      <c r="A213" s="217" t="inlineStr">
        <is>
          <t>LOGIN_SCREEN.PASSWORD_IS_REQUIRE</t>
        </is>
      </c>
      <c r="B213" s="153" t="inlineStr">
        <is>
          <t>请输入密码</t>
        </is>
      </c>
      <c r="C213" s="3" t="inlineStr">
        <is>
          <t>Quý khách vui lòng nhập mật khẩu</t>
        </is>
      </c>
      <c r="D213" s="3" t="inlineStr">
        <is>
          <t>Please enter your password</t>
        </is>
      </c>
      <c r="E213" s="3" t="inlineStr">
        <is>
          <t>ກະລຸນາໃສ່ລະຫັດຜ່ານຂອງທ່ານ</t>
        </is>
      </c>
      <c r="F213" s="3" t="inlineStr">
        <is>
          <t>စကားဝှက်ထဲထည့်ပါ</t>
        </is>
      </c>
      <c r="G213" s="3">
        <f>IFERROR(__xludf.DUMMYFUNCTION("GOOGLETRANSLATE(C213,""vi"",""km"")"),"សូមបញ្ចូលពាក្យសម្ងាត់របស់អ្នក។")</f>
        <v/>
      </c>
      <c r="H213" s="217" t="inlineStr">
        <is>
          <t>សូមអតិថិជនបញ្ចូលលេខសម្ងាត់</t>
        </is>
      </c>
      <c r="J213" s="217" t="inlineStr">
        <is>
          <t>សូមអតិថិជនបញ្ចូលពាក្យសម្ងាត់</t>
        </is>
      </c>
      <c r="K213" s="217" t="inlineStr">
        <is>
          <t>សូមអតិថិជនបញ្ចូលពាក្យសម្ងាត់</t>
        </is>
      </c>
      <c r="S213" s="163" t="inlineStr">
        <is>
          <t>សូមបញ្ចូលពាក្យសម្ងាត់របស់អ្នក</t>
        </is>
      </c>
    </row>
    <row r="214" ht="15.75" customHeight="1" s="305">
      <c r="A214" s="217" t="inlineStr">
        <is>
          <t>LOGIN_SCREEN.CONFIRM_PASSWORD_IS_REQUIRE</t>
        </is>
      </c>
      <c r="B214" s="153" t="inlineStr">
        <is>
          <t>请再次输入密码</t>
        </is>
      </c>
      <c r="C214" s="3" t="inlineStr">
        <is>
          <t>Quý khách vui lòng nhập lại mật khẩu</t>
        </is>
      </c>
      <c r="D214" s="3" t="inlineStr">
        <is>
          <t>Please enter your password again</t>
        </is>
      </c>
      <c r="E214" s="3" t="inlineStr">
        <is>
          <t>ກະລຸນາໃສ່ລະຫັດຜ່ານຄືນໃໝ່</t>
        </is>
      </c>
      <c r="F214" s="3" t="inlineStr">
        <is>
          <t>ကျေးဇူးပြု၍ စကားဝှက်ကို ထပ်မံထည့်ပါ</t>
        </is>
      </c>
      <c r="G214" s="3">
        <f>IFERROR(__xludf.DUMMYFUNCTION("GOOGLETRANSLATE(C214,""vi"",""km"")"),"សូមបញ្ចូលពាក្យសម្ងាត់របស់អ្នកឡើងវិញ។")</f>
        <v/>
      </c>
      <c r="H214" s="217" t="inlineStr">
        <is>
          <t>សូមអតិថិជនបញ្ចូលលេខសម្ងាត់ម្តងទៀត</t>
        </is>
      </c>
      <c r="J214" s="217" t="inlineStr">
        <is>
          <t>សូមអតិថិជនបញ្ចូលពាក្យសម្ងាត់ម្តងទៀត</t>
        </is>
      </c>
      <c r="K214" s="217" t="inlineStr">
        <is>
          <t>សូមអតិថិជនបញ្ចូលពាក្យសម្ងាត់ម្តងទៀត</t>
        </is>
      </c>
      <c r="S214" s="163" t="inlineStr">
        <is>
          <t>សូមបញ្ចូលពាក្យសម្ងាត់របស់អ្នកម្តងទៀត</t>
        </is>
      </c>
    </row>
    <row r="215" ht="15.75" customHeight="1" s="305">
      <c r="A215" s="217" t="inlineStr">
        <is>
          <t>LOGIN_SCREEN.CONFIRM_PASSWORD_IS_NOT_MATCH</t>
        </is>
      </c>
      <c r="B215" s="153" t="inlineStr">
        <is>
          <t>密码不一致，请重新输入</t>
        </is>
      </c>
      <c r="C215" s="3" t="inlineStr">
        <is>
          <t>Nhập lại mật khẩu không đúng. Quý khách vui lòng nhập lại</t>
        </is>
      </c>
      <c r="D215" s="3" t="inlineStr">
        <is>
          <t>Passwords do not match. Please try again</t>
        </is>
      </c>
      <c r="E215" s="3" t="inlineStr">
        <is>
          <t>ປ້ອນລະຫັດຜ່ານບໍ່ຖືກຕ້ອງຄືນໃໝ່. ກະລຸນາໃສ່ໃໝ່</t>
        </is>
      </c>
      <c r="F215" s="3" t="inlineStr">
        <is>
          <t>စကားဝှက်တွေနဲ့ မကိုက်ညီဘူး။ ကျေးဇူးပြု၍ ထပ်မံကြိုးစားပါ</t>
        </is>
      </c>
      <c r="G215" s="3">
        <f>IFERROR(__xludf.DUMMYFUNCTION("GOOGLETRANSLATE(C215,""vi"",""km"")"),"ពាក្យសម្ងាត់ត្រូវបានបញ្ចូលមិនត្រឹមត្រូវ។ សូមបញ្ចូលវាម្តងទៀត។")</f>
        <v/>
      </c>
      <c r="H215" s="217" t="inlineStr">
        <is>
          <t>បញ្ចូ្ចលលេខសម្ងាត់ម្តងទៀតមិនត្រឹមត្រូវ។ អតិថិជនសូមបញ្ចូលម្តងទៀត</t>
        </is>
      </c>
      <c r="J215" s="217" t="inlineStr">
        <is>
          <t>បញ្ចូ្ចលពាក្យសម្ងាត់ម្តងទៀតមិនត្រឹមត្រូវ។ អតិថិជនសូមបញ្ចូលម្តងទៀត</t>
        </is>
      </c>
      <c r="K215" s="217" t="inlineStr">
        <is>
          <t>បញ្ចូ្ចលពាក្យសម្ងាត់ម្តងទៀតមិនត្រឹមត្រូវ។ អតិថិជនសូមបញ្ចូលម្តងទៀត</t>
        </is>
      </c>
      <c r="S215" s="163" t="inlineStr">
        <is>
          <t>ពាក្យសម្ងាត់មិនត្រូវគ្នាទេ។ សូមព្យាយាមម្តងទៀត</t>
        </is>
      </c>
    </row>
    <row r="216" ht="15.75" customHeight="1" s="305">
      <c r="A216" s="217" t="inlineStr">
        <is>
          <t>LOGIN_SCREEN.REGISTER_ACCOUNT_ERROR</t>
        </is>
      </c>
      <c r="B216" s="153" t="inlineStr">
        <is>
          <t>注册失败，请重试</t>
        </is>
      </c>
      <c r="C216" s="3" t="inlineStr">
        <is>
          <t>Đăng ký thất bại, vui lòng thử lại</t>
        </is>
      </c>
      <c r="D216" s="3" t="inlineStr">
        <is>
          <t>Registration failed, please try again</t>
        </is>
      </c>
      <c r="E216" s="3" t="inlineStr">
        <is>
          <t>ການລົງທະບຽນລົ້ມເຫລວ, ກະລຸນາລອງໃໝ່ອີກຄັ້ງ</t>
        </is>
      </c>
      <c r="F216" s="3" t="inlineStr">
        <is>
          <t>မှတ်ပုံတင်ခြင်း မအောင်မြင်ခဲ့ပါ၊ ကျေးဇူးပြု၍ ထပ်မံကြိုးစားပါ</t>
        </is>
      </c>
      <c r="G216" s="3">
        <f>IFERROR(__xludf.DUMMYFUNCTION("GOOGLETRANSLATE(C216,""vi"",""km"")"),"ការចុះឈ្មោះបរាជ័យ សូមព្យាយាមម្តងទៀត។")</f>
        <v/>
      </c>
      <c r="H216" s="18" t="inlineStr">
        <is>
          <t>ការចុះឈ្មោះបានបរាជ័យ សូមព្យាយាមម្តងទៀត</t>
        </is>
      </c>
      <c r="I216" s="217" t="inlineStr">
        <is>
          <t>x</t>
        </is>
      </c>
      <c r="J216" s="3" t="inlineStr">
        <is>
          <t>ការចុះឈ្មោះបានបរាជ័យ សូមព្យាយាមម្តងទៀត</t>
        </is>
      </c>
      <c r="K216" s="217" t="inlineStr">
        <is>
          <t>ការចុះឈ្មោះបានបរាជ័យ សូមព្យាយាមម្តងទៀត</t>
        </is>
      </c>
      <c r="S216" s="163" t="inlineStr">
        <is>
          <t>ការចុះឈ្មោះបានបរាជ័យ សូមព្យាយាមម្តងទៀត</t>
        </is>
      </c>
    </row>
    <row r="217" ht="15.75" customHeight="1" s="305">
      <c r="A217" s="217" t="inlineStr">
        <is>
          <t>LOGIN_SCREEN.LOGIN_ERROR</t>
        </is>
      </c>
      <c r="B217" s="153" t="inlineStr">
        <is>
          <t>登录失败，请重试</t>
        </is>
      </c>
      <c r="C217" s="3" t="inlineStr">
        <is>
          <t>Đăng nhập thất bại, vui lòng thử lại</t>
        </is>
      </c>
      <c r="D217" s="3" t="inlineStr">
        <is>
          <t>Login failed, please try again</t>
        </is>
      </c>
      <c r="E217" s="3" t="inlineStr">
        <is>
          <t>ເຂົ້າສູ່ລະບົບບໍ່ສຳເລັດ, ກະລຸນາລອງໃໝ່ອີກຄັ້ງ</t>
        </is>
      </c>
      <c r="F217" s="3" t="inlineStr">
        <is>
          <t>Login မအောင်မြင်ခဲ့ပါ၊ ကျေးဇူးပြု၍ ပြန်ကြိုးစားပါ</t>
        </is>
      </c>
      <c r="G217" s="3">
        <f>IFERROR(__xludf.DUMMYFUNCTION("GOOGLETRANSLATE(C217,""vi"",""km"")"),"ការចូលប្រព័ន្ធបរាជ័យ សូមព្យាយាមម្តងទៀត។")</f>
        <v/>
      </c>
      <c r="H217" s="18" t="inlineStr">
        <is>
          <t>ការចុចចូលបានបរាជ័យ សូមព្យាយាមម្តងទៀត</t>
        </is>
      </c>
      <c r="I217" s="217" t="inlineStr">
        <is>
          <t>x</t>
        </is>
      </c>
      <c r="J217" s="3" t="inlineStr">
        <is>
          <t>ការចុចចូលបានបរាជ័យ សូមព្យាយាមម្តងទៀត</t>
        </is>
      </c>
      <c r="K217" s="217" t="inlineStr">
        <is>
          <t>ការចុចចូលបានបរាជ័យ សូមព្យាយាមម្តងទៀត</t>
        </is>
      </c>
      <c r="S217" s="163" t="inlineStr">
        <is>
          <t>ការចូលបានបរាជ័យ សូមព្យាយាមម្តងទៀត</t>
        </is>
      </c>
    </row>
    <row r="218" ht="15.75" customHeight="1" s="305">
      <c r="A218" s="217" t="inlineStr">
        <is>
          <t>LOGIN_SCREEN.TOKEN_EXPIRE</t>
        </is>
      </c>
      <c r="B218" s="153" t="inlineStr">
        <is>
          <t>登录信息已过期，请重新登录</t>
        </is>
      </c>
      <c r="C218" s="3" t="inlineStr">
        <is>
          <t>Phiên đăng nhập hết hạn, quý khách vui lòng đăng nhập lại</t>
        </is>
      </c>
      <c r="D218" s="3" t="inlineStr">
        <is>
          <t>Login information has expired, please log in again</t>
        </is>
      </c>
      <c r="E218" s="3" t="inlineStr">
        <is>
          <t>ເຊດຊັນຂອງທ່ານໝົດອາຍຸແລ້ວ, ກະລຸນາເຂົ້າສູ່ລະບົບອີກຄັ້ງ.</t>
        </is>
      </c>
      <c r="F218" s="3" t="inlineStr">
        <is>
          <t>Login သတင်းအချက်အလက် ကုန်ဆုံးသွားပြီ၊ ကျေးဇူးပြု၍ ထပ်မံဝင်ပါ</t>
        </is>
      </c>
      <c r="G218" s="3">
        <f>IFERROR(__xludf.DUMMYFUNCTION("GOOGLETRANSLATE(C218,""vi"",""km"")"),"វគ្គចូលរបស់អ្នកផុតកំណត់ហើយ សូមចូលម្តងទៀត។")</f>
        <v/>
      </c>
      <c r="J218" s="3" t="inlineStr">
        <is>
          <t>ព័ត៌មានចូលបានផុតកំណត់ សូមចូលម្តងទៀត</t>
        </is>
      </c>
      <c r="K218" s="217" t="inlineStr">
        <is>
          <t>ព័ត៌មានចូលបានផុតកំណត់ សូមចូលម្តងទៀត</t>
        </is>
      </c>
      <c r="S218" s="163" t="inlineStr">
        <is>
          <t>ព័ត៌មានចូលបានផុតកំណត់ សូមចូលម្តងទៀត</t>
        </is>
      </c>
    </row>
    <row r="219" ht="15.75" customHeight="1" s="305">
      <c r="A219" s="217" t="inlineStr">
        <is>
          <t>LOGIN_SCREEN.NETWORK_ERROR</t>
        </is>
      </c>
      <c r="B219" s="153" t="inlineStr">
        <is>
          <t>请检查网络连接</t>
        </is>
      </c>
      <c r="C219" s="3" t="inlineStr">
        <is>
          <t>Vui lòng kiểm tra kết nối mạng</t>
        </is>
      </c>
      <c r="D219" s="3" t="inlineStr">
        <is>
          <t>Check network connection</t>
        </is>
      </c>
      <c r="E219" s="3" t="inlineStr">
        <is>
          <t>ກະລຸນາກວດສອບການເຊື່ອມຕໍ່ເຄືອຂ່າຍຂອງທ່ານ</t>
        </is>
      </c>
      <c r="F219" s="3" t="n"/>
      <c r="G219" s="3">
        <f>IFERROR(__xludf.DUMMYFUNCTION("GOOGLETRANSLATE(C219,""vi"",""km"")"),"សូមពិនិត្យមើលការតភ្ជាប់បណ្តាញរបស់អ្នក។")</f>
        <v/>
      </c>
      <c r="H219" s="217" t="inlineStr">
        <is>
          <t>សូមពិនិត្យមើលការភ្ជាប់អុិនធឺណេត</t>
        </is>
      </c>
      <c r="J219" s="3" t="inlineStr">
        <is>
          <t>សូមពិនិត្យមើលការភ្ជាប់អុិនធឺណេត</t>
        </is>
      </c>
      <c r="K219" s="217" t="inlineStr">
        <is>
          <t>សូមពិនិត្យមើលការភ្ជាប់អុិនធឺណេត</t>
        </is>
      </c>
      <c r="S219" s="163" t="inlineStr">
        <is>
          <t>ពិនិត្យការតភ្ជាប់បណ្តាញ</t>
        </is>
      </c>
    </row>
    <row r="220" ht="15.75" customHeight="1" s="305">
      <c r="A220" s="217" t="inlineStr">
        <is>
          <t>LOGIN_SCREEN.PLEASE_ENTER_INFO</t>
        </is>
      </c>
      <c r="B220" s="153" t="inlineStr">
        <is>
          <t>请输入您的信息</t>
        </is>
      </c>
      <c r="C220" s="3" t="inlineStr">
        <is>
          <t>Vui lòng nhập thông tin của bạn</t>
        </is>
      </c>
      <c r="D220" s="3" t="inlineStr">
        <is>
          <t>Please enter your information</t>
        </is>
      </c>
      <c r="E220" s="3" t="inlineStr">
        <is>
          <t>ກະລຸນາໃສ່ຂໍ້ມູນຂອງທ່ານ</t>
        </is>
      </c>
      <c r="F220" s="3" t="inlineStr">
        <is>
          <t>Vui lòng nhập thông tin của bạn</t>
        </is>
      </c>
      <c r="G220" s="3">
        <f>IFERROR(__xludf.DUMMYFUNCTION("GOOGLETRANSLATE(C220,""vi"",""km"")"),"សូមបញ្ចូលព័ត៌មានរបស់អ្នក។")</f>
        <v/>
      </c>
      <c r="H220" s="217" t="inlineStr">
        <is>
          <t>សូូមបញ្ចូលព័ត៌មានផ្ទាល់ខ្លួនរបស់អ្នក</t>
        </is>
      </c>
      <c r="J220" s="3" t="inlineStr">
        <is>
          <t>សូមបញ្ចូលព័ត៌មានផ្ទាល់ខ្លួនរបស់អ្នក</t>
        </is>
      </c>
      <c r="K220" s="217" t="inlineStr">
        <is>
          <t>សូមបញ្ចូលព័ត៌មានផ្ទាល់ខ្លួនរបស់អ្នក</t>
        </is>
      </c>
      <c r="S220" s="163" t="inlineStr">
        <is>
          <t>សូមបញ្ចូលព័ត៌មានរបស់អ្នក</t>
        </is>
      </c>
    </row>
    <row r="221" ht="15.75" customHeight="1" s="305">
      <c r="A221" s="217" t="inlineStr">
        <is>
          <t>LOGIN_SCREEN.REGISTER_NEW_ACCOUNT</t>
        </is>
      </c>
      <c r="B221" s="153" t="inlineStr">
        <is>
          <t>注册新账号</t>
        </is>
      </c>
      <c r="C221" s="3" t="inlineStr">
        <is>
          <t>Đăng ký tài khoản mới</t>
        </is>
      </c>
      <c r="D221" s="3" t="inlineStr">
        <is>
          <t>Register new account</t>
        </is>
      </c>
      <c r="E221" s="3" t="inlineStr">
        <is>
          <t>ລົງທະບຽນບັນຊີໃໝ່</t>
        </is>
      </c>
      <c r="F221" s="3" t="inlineStr">
        <is>
          <t>Đăng ký tài khoản mới</t>
        </is>
      </c>
      <c r="G221" s="3">
        <f>IFERROR(__xludf.DUMMYFUNCTION("GOOGLETRANSLATE(C221,""vi"",""km"")"),"ចុះឈ្មោះគណនីថ្មី")</f>
        <v/>
      </c>
      <c r="H221" s="217" t="inlineStr">
        <is>
          <t>ចុះឈ្មោះគណនីថ្មី</t>
        </is>
      </c>
      <c r="J221" s="217" t="inlineStr">
        <is>
          <t>ចុះឈ្មោះគណនីថ្មី</t>
        </is>
      </c>
      <c r="K221" s="217" t="inlineStr">
        <is>
          <t>ចុះឈ្មោះគណនីថ្មី</t>
        </is>
      </c>
      <c r="S221" s="163" t="inlineStr">
        <is>
          <t>ចុះឈ្មោះគណនីថ្មី</t>
        </is>
      </c>
    </row>
    <row r="222" ht="15.75" customHeight="1" s="305">
      <c r="A222" s="217" t="inlineStr">
        <is>
          <t>LOGIN_SCREEN.RULE_PASSWORD</t>
        </is>
      </c>
      <c r="B222" s="153" t="inlineStr">
        <is>
          <t>密码设置规则</t>
        </is>
      </c>
      <c r="C222" s="3" t="inlineStr">
        <is>
          <t>Quy tắc đặt mật khẩu</t>
        </is>
      </c>
      <c r="D222" s="3" t="inlineStr">
        <is>
          <t>Password setting rules</t>
        </is>
      </c>
      <c r="E222" s="3" t="inlineStr">
        <is>
          <t>ກົດລະບຽບການຕັ້ງລະຫັດຜ່ານ</t>
        </is>
      </c>
      <c r="F222" s="3" t="inlineStr">
        <is>
          <t>Quy tắc đặt mật khẩu</t>
        </is>
      </c>
      <c r="G222" s="3">
        <f>IFERROR(__xludf.DUMMYFUNCTION("GOOGLETRANSLATE(C222,""vi"",""km"")"),"ច្បាប់ពាក្យសម្ងាត់")</f>
        <v/>
      </c>
      <c r="J222" s="217" t="inlineStr">
        <is>
          <t>ច្បាប់កំណត់ពាក្យសម្ងាត់</t>
        </is>
      </c>
      <c r="K222" s="217" t="inlineStr">
        <is>
          <t>ច្បាប់កំណត់ពាក្យសម្ងាត់</t>
        </is>
      </c>
      <c r="S222" s="163" t="inlineStr">
        <is>
          <t>ច្បាប់កំណត់ពាក្យសម្ងាត់</t>
        </is>
      </c>
    </row>
    <row r="223" ht="15.75" customHeight="1" s="305">
      <c r="A223" s="217" t="inlineStr">
        <is>
          <t>LOGIN_SCREEN.RULE1</t>
        </is>
      </c>
      <c r="B223" s="153" t="inlineStr">
        <is>
          <t>长度8-20位字符</t>
        </is>
      </c>
      <c r="C223" s="3" t="inlineStr">
        <is>
          <t>Độ dài từ 8 - 20 ký tự</t>
        </is>
      </c>
      <c r="D223" s="3" t="inlineStr">
        <is>
          <t>Length from 8 - 20 characters</t>
        </is>
      </c>
      <c r="E223" s="3" t="inlineStr">
        <is>
          <t>ຄວາມຍາວຈາກ 8 - 20 ຕົວອັກສອນ</t>
        </is>
      </c>
      <c r="F223" s="3" t="inlineStr">
        <is>
          <t>Độ dài từ 8 - 20 ký tự</t>
        </is>
      </c>
      <c r="G223" s="3">
        <f>IFERROR(__xludf.DUMMYFUNCTION("GOOGLETRANSLATE(C223,""vi"",""km"")"),"ប្រវែង៖ ៨-២០ តួអក្សរ")</f>
        <v/>
      </c>
      <c r="H223" s="217" t="inlineStr">
        <is>
          <t>ចំនួនតួអក្សរពី 8-20 តួអក្សរ</t>
        </is>
      </c>
      <c r="J223" s="217" t="inlineStr">
        <is>
          <t>ចំនួនតួអក្សរពី 8-20 តួអក្សរ</t>
        </is>
      </c>
      <c r="K223" s="217" t="inlineStr">
        <is>
          <t>ចំនួនតួអក្សរពី 8-20 តួអក្សរ</t>
        </is>
      </c>
      <c r="S223" s="163" t="inlineStr">
        <is>
          <t>ប្រវែងពី 8 ទៅ 20 តួអក្សរ</t>
        </is>
      </c>
    </row>
    <row r="224" ht="15.75" customHeight="1" s="305">
      <c r="A224" s="217" t="inlineStr">
        <is>
          <t>LOGIN_SCREEN.RULE2</t>
        </is>
      </c>
      <c r="B224" s="153" t="inlineStr">
        <is>
          <t>包含大写字母（A-Z)和小写字母（a-z)</t>
        </is>
      </c>
      <c r="C224" s="3" t="inlineStr">
        <is>
          <t>Gồm ký tự viết hoa (A-Z) và viết thường (a-z)</t>
        </is>
      </c>
      <c r="D224" s="3" t="inlineStr">
        <is>
          <t>Includes uppercase (A-Z) and lowercase (a-z) characters</t>
        </is>
      </c>
      <c r="E224" s="3" t="inlineStr">
        <is>
          <t>ລວມມີຕົວພິມໃຫຍ່ (A-Z) ແລະຕົວພິມນ້ອຍ (a-z).</t>
        </is>
      </c>
      <c r="F224" s="3" t="inlineStr">
        <is>
          <t>Gồm ký tự viết hoa (A-Z) và viết thường (a-z)</t>
        </is>
      </c>
      <c r="G224" s="3">
        <f>IFERROR(__xludf.DUMMYFUNCTION("GOOGLETRANSLATE(C224,""vi"",""km"")"),"រួមបញ្ចូលអក្សរធំ (A-Z) និងអក្សរតូច (a-z)។")</f>
        <v/>
      </c>
      <c r="H224" s="3">
        <f>IFERROR(__xludf.DUMMYFUNCTION("GOOGLETRANSLATE(D224,""vi"",""km"")"),"រួមបញ្ចូលតួអក្សរធំ (A-Z) និងអក្សរតូច (a-z)")</f>
        <v/>
      </c>
      <c r="J224" s="3" t="inlineStr">
        <is>
          <t>រួមបញ្ចូលតួអក្សរធំ (A-Z) និងអក្សរតូច (a-z)</t>
        </is>
      </c>
      <c r="K224" s="217" t="inlineStr">
        <is>
          <t>រួមបញ្ចូលតួអក្សរធំ (A-Z) និងអក្សរតូច (a-z)</t>
        </is>
      </c>
      <c r="S224" s="163" t="inlineStr">
        <is>
          <t>រួមបញ្ចូលអក្សរធំ (A-Z) និងអក្សរតូច (a-z)</t>
        </is>
      </c>
    </row>
    <row r="225" ht="15.75" customHeight="1" s="305">
      <c r="A225" s="217" t="inlineStr">
        <is>
          <t>LOGIN_SCREEN.RULE3</t>
        </is>
      </c>
      <c r="B225" s="153" t="inlineStr">
        <is>
          <t>包含数字（0-9）</t>
        </is>
      </c>
      <c r="C225" s="3" t="inlineStr">
        <is>
          <t>Gồm ký tự số và ký tự chữ</t>
        </is>
      </c>
      <c r="D225" s="3" t="inlineStr">
        <is>
          <t>Includes numeric characters (0-9)</t>
        </is>
      </c>
      <c r="E225" s="3" t="inlineStr">
        <is>
          <t>ລວມມີຕົວອັກສອນ (0-9)</t>
        </is>
      </c>
      <c r="F225" s="3" t="inlineStr">
        <is>
          <t>Gồm ký tự số (0-9) và ký tự đặc biệt</t>
        </is>
      </c>
      <c r="G225" s="3">
        <f>IFERROR(__xludf.DUMMYFUNCTION("GOOGLETRANSLATE(C225,""vi"",""km"")"),"វាមានទាំងតួអក្សរលេខ និងអក្ខរក្រម។")</f>
        <v/>
      </c>
      <c r="H225" s="217" t="inlineStr">
        <is>
          <t>រួួមបញ្ចូលលេខ និង អក្សរ</t>
        </is>
      </c>
      <c r="J225" s="3" t="inlineStr">
        <is>
          <t>រួួមបញ្ចូលលេខ និង អក្សរ</t>
        </is>
      </c>
      <c r="K225" s="217" t="inlineStr">
        <is>
          <t>រួួមបញ្ចូលលេខ និង អក្សរ</t>
        </is>
      </c>
      <c r="S225" s="163" t="inlineStr">
        <is>
          <t>រួមបញ្ចូលតួអក្សរលេខ (0-9)</t>
        </is>
      </c>
    </row>
    <row r="226" ht="15.75" customHeight="1" s="305">
      <c r="A226" s="217" t="inlineStr">
        <is>
          <t>LOGIN_SCREEN.RULE4</t>
        </is>
      </c>
      <c r="B226" s="153" t="inlineStr">
        <is>
          <t>不能包含空格级重音符号</t>
        </is>
      </c>
      <c r="C226" s="3" t="inlineStr">
        <is>
          <t>Không gồm khoảng trắng và ký tự có dấu</t>
        </is>
      </c>
      <c r="D226" s="3" t="inlineStr">
        <is>
          <t>Does not include spaces and accented characters</t>
        </is>
      </c>
      <c r="E226" s="3" t="inlineStr">
        <is>
          <t>ບໍ່ລວມເອົາຍະຫວ່າງ ແລະຕົວອັກສອນມີວັນນະຍຸດ</t>
        </is>
      </c>
      <c r="F226" s="3" t="inlineStr">
        <is>
          <t>Không gồm khoảng trắng và ký tự có dấu</t>
        </is>
      </c>
      <c r="G226" s="3">
        <f>IFERROR(__xludf.DUMMYFUNCTION("GOOGLETRANSLATE(C226,""vi"",""km"")"),"មិនរាប់បញ្ចូលចន្លោះ និងតួអក្សរដែលមានការសង្កត់សំឡេងទេ។")</f>
        <v/>
      </c>
      <c r="H226" s="217" t="inlineStr">
        <is>
          <t>មិនរាប់បញ្ចូលចន្លោះ និង សញ្ញា</t>
        </is>
      </c>
      <c r="J226" s="3" t="inlineStr">
        <is>
          <t>មិនរាប់បញ្ចូលចន្លោះ និង សញ្ញា</t>
        </is>
      </c>
      <c r="K226" s="217" t="inlineStr">
        <is>
          <t>មិនរាប់បញ្ចូលចន្លោះ និង សញ្ញា</t>
        </is>
      </c>
      <c r="S226" s="163" t="inlineStr">
        <is>
          <t>មិនរួមបញ្ចូលដកឃ្លា និងតួអក្សរសង្កត់សំឡេង</t>
        </is>
      </c>
    </row>
    <row r="227" ht="15.75" customHeight="1" s="305">
      <c r="A227" s="217" t="inlineStr">
        <is>
          <t>LOGIN_SCREEN.GOT_IT</t>
        </is>
      </c>
      <c r="B227" s="153" t="inlineStr">
        <is>
          <t>明白</t>
        </is>
      </c>
      <c r="C227" s="3" t="inlineStr">
        <is>
          <t>Đã hiểu</t>
        </is>
      </c>
      <c r="D227" s="3" t="inlineStr">
        <is>
          <t>Understood</t>
        </is>
      </c>
      <c r="E227" s="3" t="inlineStr">
        <is>
          <t>ເຂົ້າໃຈແລ້ວ</t>
        </is>
      </c>
      <c r="F227" s="3" t="inlineStr">
        <is>
          <t>Đã hiểu</t>
        </is>
      </c>
      <c r="G227" s="3">
        <f>IFERROR(__xludf.DUMMYFUNCTION("GOOGLETRANSLATE(C227,""vi"",""km"")"),"យល់ហើយ")</f>
        <v/>
      </c>
      <c r="H227" s="217" t="inlineStr">
        <is>
          <t>បានយល់</t>
        </is>
      </c>
      <c r="J227" s="3" t="inlineStr">
        <is>
          <t>បានយល់</t>
        </is>
      </c>
      <c r="K227" s="217" t="inlineStr">
        <is>
          <t>បានយល់</t>
        </is>
      </c>
      <c r="S227" s="163" t="inlineStr">
        <is>
          <t>យល់</t>
        </is>
      </c>
    </row>
    <row r="228" ht="15.75" customHeight="1" s="305">
      <c r="A228" s="217" t="inlineStr">
        <is>
          <t>LOGIN_SCREEN.WELCOME</t>
        </is>
      </c>
      <c r="B228" s="153" t="inlineStr">
        <is>
          <t>欢迎来到</t>
        </is>
      </c>
      <c r="C228" s="3" t="inlineStr">
        <is>
          <t>Chào mừng bạn đến với</t>
        </is>
      </c>
      <c r="D228" s="3" t="inlineStr">
        <is>
          <t>Welcome to</t>
        </is>
      </c>
      <c r="E228" s="3" t="inlineStr">
        <is>
          <t>ຍິນດີຕ້ອນຮັບ</t>
        </is>
      </c>
      <c r="F228" s="3" t="n"/>
      <c r="G228" s="3">
        <f>IFERROR(__xludf.DUMMYFUNCTION("GOOGLETRANSLATE(C228,""vi"",""km"")"),"សូមស្វាគមន៍មកកាន់")</f>
        <v/>
      </c>
      <c r="H228" s="217" t="inlineStr">
        <is>
          <t>សូមស្វាគមន៍អ្នកមកកាន់</t>
        </is>
      </c>
      <c r="J228" s="3" t="inlineStr">
        <is>
          <t>សូមស្វាគមន៍អ្នកមកកាន់</t>
        </is>
      </c>
      <c r="K228" s="217" t="inlineStr">
        <is>
          <t>សូមស្វាគមន៍អ្នកមកកាន់</t>
        </is>
      </c>
      <c r="S228" s="163" t="inlineStr">
        <is>
          <t>សូមស្វាគមន៍មកកាន់</t>
        </is>
      </c>
    </row>
    <row r="229" ht="15.75" customHeight="1" s="305">
      <c r="A229" s="217" t="inlineStr">
        <is>
          <t>LOGIN_SCREEN.ENTER_PHONE</t>
        </is>
      </c>
      <c r="B229" s="153" t="inlineStr">
        <is>
          <t>请输入手机号以登录/注册</t>
        </is>
      </c>
      <c r="C229" s="3" t="inlineStr">
        <is>
          <t>Nhập SĐT để Đăng nhập/Đăng ký</t>
        </is>
      </c>
      <c r="D229" s="3" t="inlineStr">
        <is>
          <t>Enter phone number to login/register</t>
        </is>
      </c>
      <c r="E229" s="3" t="inlineStr">
        <is>
          <t>ໃສ່ເບີໂທລະສັບເພື່ອເຂົ້າສູ່ລະບົບ/ລົງທະບຽນ</t>
        </is>
      </c>
      <c r="F229" s="3" t="n"/>
      <c r="G229" s="3">
        <f>IFERROR(__xludf.DUMMYFUNCTION("GOOGLETRANSLATE(C229,""vi"",""km"")"),"បញ្ចូលលេខទូរស័ព្ទរបស់អ្នកដើម្បីចូល/ចុះឈ្មោះ។")</f>
        <v/>
      </c>
      <c r="H229" s="217" t="inlineStr">
        <is>
          <t>បញ្ចូលលេខទូរស័ព្ទដើម្បីចុចចូល/ចុះឈ្មោះ</t>
        </is>
      </c>
      <c r="J229" s="3" t="inlineStr">
        <is>
          <t>បញ្ចូលលេខទូរស័ព្ទដើម្បីចុចចូល/ចុះឈ្មោះ</t>
        </is>
      </c>
      <c r="K229" s="217" t="inlineStr">
        <is>
          <t>បញ្ចូលលេខទូរស័ព្ទដើម្បីចុចចូល/ចុះឈ្មោះ</t>
        </is>
      </c>
      <c r="S229" s="163" t="inlineStr">
        <is>
          <t>បញ្ចូលលេខទូរស័ព្ទដើម្បីចូល/ចុះឈ្មោះ</t>
        </is>
      </c>
    </row>
    <row r="230" ht="15.75" customHeight="1" s="305">
      <c r="A230" s="217" t="inlineStr">
        <is>
          <t>LOGIN_SCREEN.ENTER_STAT_CHATBOT</t>
        </is>
      </c>
      <c r="B230" s="153" t="inlineStr">
        <is>
          <t>点击"开始"按钮以启用聊天机器人通道</t>
        </is>
      </c>
      <c r="C230" s="3" t="inlineStr">
        <is>
          <t>Nhấn nút Start để kích hoạt kênh chatbot</t>
        </is>
      </c>
      <c r="D230" s="3" t="inlineStr">
        <is>
          <t>Press the Start button to activate the chatbot channel</t>
        </is>
      </c>
      <c r="E230" s="3" t="inlineStr">
        <is>
          <t>ກົດປຸ່ມເລີ່ມຕົ້ນເພື່ອເປີດໃຊ້ຊ່ອງທາງ chatbot</t>
        </is>
      </c>
      <c r="F230" s="3" t="inlineStr">
        <is>
          <t>Nhấn nút Start để kích hoạt kênh chatbot</t>
        </is>
      </c>
      <c r="G230" s="3">
        <f>IFERROR(__xludf.DUMMYFUNCTION("GOOGLETRANSLATE(C230,""vi"",""km"")"),"ចុចប៊ូតុងចាប់ផ្តើមដើម្បីធ្វើឱ្យឆានែល chatbot សកម្ម។")</f>
        <v/>
      </c>
      <c r="H230" s="217" t="inlineStr">
        <is>
          <t>ចុុចប៊ូតុង ចាប់ផ្តើម ដើម្បីដំណើរការ chatbot</t>
        </is>
      </c>
      <c r="J230" s="3" t="inlineStr">
        <is>
          <t>ចុុចប៊ូតុង ចាប់ផ្តើម ដើម្បីដំណើរការ chatbot</t>
        </is>
      </c>
      <c r="K230" s="217" t="inlineStr">
        <is>
          <t>ចុុចប៊ូតុង ចាប់ផ្តើម ដើម្បីដំណើរការ chatbot</t>
        </is>
      </c>
      <c r="S230" s="163" t="inlineStr">
        <is>
          <t>ចុចប៊ូតុងចាប់ផ្តើមដើម្បីធ្វើឱ្យឆានែល chatbot សកម្ម</t>
        </is>
      </c>
    </row>
    <row r="231" ht="15.75" customHeight="1" s="305">
      <c r="A231" s="217" t="inlineStr">
        <is>
          <t>LOGIN_SCREEN.INSTRUCTTION_SCREEN_21</t>
        </is>
      </c>
      <c r="B231" s="153" t="inlineStr">
        <is>
          <t>点击功能键</t>
        </is>
      </c>
      <c r="C231" s="3" t="inlineStr">
        <is>
          <t>Nhấn phím chức năng</t>
        </is>
      </c>
      <c r="D231" s="3" t="inlineStr">
        <is>
          <t>Press the function key</t>
        </is>
      </c>
      <c r="E231" s="3" t="inlineStr">
        <is>
          <t>ກົດປຸ່ມຟັງຊັນ</t>
        </is>
      </c>
      <c r="F231" s="3" t="inlineStr">
        <is>
          <t>Nhấn phím chức năng</t>
        </is>
      </c>
      <c r="G231" s="3">
        <f>IFERROR(__xludf.DUMMYFUNCTION("GOOGLETRANSLATE(C231,""vi"",""km"")"),"ចុច​គ្រាប់ចុច​មុខងារ។")</f>
        <v/>
      </c>
      <c r="H231" s="217" t="inlineStr">
        <is>
          <t>ចុុចប៊ូតុងមុខងារ</t>
        </is>
      </c>
      <c r="J231" s="3" t="inlineStr">
        <is>
          <t>ចុុចប៊ូតុងមុខងារ</t>
        </is>
      </c>
      <c r="K231" s="217" t="inlineStr">
        <is>
          <t>ចុុចប៊ូតុងមុខងារ</t>
        </is>
      </c>
      <c r="S231" s="163" t="inlineStr">
        <is>
          <t>ចុចគ្រាប់ចុចមុខងារ</t>
        </is>
      </c>
    </row>
    <row r="232" ht="15.75" customHeight="1" s="305">
      <c r="A232" s="217" t="inlineStr">
        <is>
          <t>LOGIN_SCREEN.INSTRUCTTION_SCREEN_22</t>
        </is>
      </c>
      <c r="B232" s="153" t="inlineStr">
        <is>
          <t>并在键盘上选择"分享联系人"键</t>
        </is>
      </c>
      <c r="C232" s="3" t="inlineStr">
        <is>
          <t>và chọn phím “Share contact” ở vị trí bàn phím</t>
        </is>
      </c>
      <c r="D232" s="3" t="inlineStr">
        <is>
          <t>and select the “Share contact” key on the keyboard</t>
        </is>
      </c>
      <c r="E232" s="3" t="inlineStr">
        <is>
          <t>ແລະເລືອກປຸ່ມ “ແບ່ງປັນຜູ້ຕິດຕໍ່” ໃນແປ້ນພິມ</t>
        </is>
      </c>
      <c r="F232" s="3" t="inlineStr">
        <is>
          <t>và chọn phím “Share contact” ở vị trí bàn phím</t>
        </is>
      </c>
      <c r="G232" s="3">
        <f>IFERROR(__xludf.DUMMYFUNCTION("GOOGLETRANSLATE(C232,""vi"",""km"")"),"ហើយជ្រើសរើសប៊ូតុង ""ចែករំលែកទំនាក់ទំនង"" នៅលើក្តារចុច។")</f>
        <v/>
      </c>
      <c r="H232" s="18" t="inlineStr">
        <is>
          <t>និងជ្រើសរើស “Share contact” នៅលើ</t>
        </is>
      </c>
      <c r="J232" s="3" t="inlineStr">
        <is>
          <t>និងជ្រើសរើស “Share contact” នៅលើ</t>
        </is>
      </c>
      <c r="K232" s="217" t="inlineStr">
        <is>
          <t>និងជ្រើសរើស “Share contact” នៅលើ</t>
        </is>
      </c>
      <c r="S232" s="163" t="inlineStr">
        <is>
          <t>ហើយជ្រើសរើស "ចែករំលែកទំនាក់ទំនង" នៅលើក្តារចុច</t>
        </is>
      </c>
    </row>
    <row r="233" ht="15.75" customHeight="1" s="305">
      <c r="A233" s="217" t="inlineStr">
        <is>
          <t>LOGIN_SCREEN.INSTRUCTTION_SCREEN_3</t>
        </is>
      </c>
      <c r="B233" s="153" t="inlineStr">
        <is>
          <t>选择"分享联系人"</t>
        </is>
      </c>
      <c r="C233" s="3" t="inlineStr">
        <is>
          <t>Chọn “Share contact”</t>
        </is>
      </c>
      <c r="D233" s="3" t="inlineStr">
        <is>
          <t>Select “Share contact”</t>
        </is>
      </c>
      <c r="E233" s="3" t="inlineStr">
        <is>
          <t>ເລືອກ “ແບ່ງ​ປັນ​ການ​ຕິດ​ຕໍ່”</t>
        </is>
      </c>
      <c r="F233" s="3" t="inlineStr">
        <is>
          <t>Chọn “Share contact”</t>
        </is>
      </c>
      <c r="G233" s="3">
        <f>IFERROR(__xludf.DUMMYFUNCTION("GOOGLETRANSLATE(C233,""vi"",""km"")"),"ជ្រើសរើស “ចែករំលែកទំនាក់ទំនង”")</f>
        <v/>
      </c>
      <c r="H233" s="217" t="inlineStr">
        <is>
          <t>ជ្រើសរើស  “Share contact”</t>
        </is>
      </c>
      <c r="J233" s="3" t="inlineStr">
        <is>
          <t>ជ្រើសរើស “Share contact”</t>
        </is>
      </c>
      <c r="K233" s="217" t="inlineStr">
        <is>
          <t>ជ្រើសរើស “Share contact”</t>
        </is>
      </c>
      <c r="S233" s="163" t="inlineStr">
        <is>
          <t>ជ្រើសរើស "ចែករំលែកទំនាក់ទំនង"</t>
        </is>
      </c>
    </row>
    <row r="234" ht="15.75" customHeight="1" s="305">
      <c r="A234" s="217" t="inlineStr">
        <is>
          <t>LOGIN_SCREEN.INSTRUCTTION_SCREEN_4</t>
        </is>
      </c>
      <c r="B234" s="153" t="inlineStr">
        <is>
          <t>您已成功注册通过Telegram接收签证吗，系统将在确认信息后立即发送注册验证码</t>
        </is>
      </c>
      <c r="C234" s="3" t="inlineStr">
        <is>
          <t>Quý khách đăng ký nhận OTP qua Telegram thành công và hệ thống gửi OTP đăng ký ngay sau tin nhắn xác nhận.</t>
        </is>
      </c>
      <c r="D234" s="3" t="inlineStr">
        <is>
          <t>You have successfully registered to receive OTP via Telegram and the system will send the registration OTP immediately after the confirmation message.</t>
        </is>
      </c>
      <c r="E234" s="3" t="inlineStr">
        <is>
          <t>ທ່ານໄດ້ລົງທະບຽນສົບຜົນສໍາເລັດເພື່ອຮັບ OTP ຜ່ານ Telegram ແລະລະບົບຈະສົ່ງ OTP ລົງທະບຽນທັນທີຫຼັງຈາກຂໍ້ຄວາມຢືນຢັນ.</t>
        </is>
      </c>
      <c r="F234" s="3" t="inlineStr">
        <is>
          <t>Quý khách đăng ký nhận OTP qua Telegram thành công và hệ thống gửi OTP đăng ký ngay sau tin nhắn xác nhận.</t>
        </is>
      </c>
      <c r="G234" s="3">
        <f>IFERROR(__xludf.DUMMYFUNCTION("GOOGLETRANSLATE(C234,""vi"",""km"")"),"អ្នកបានចុះឈ្មោះដោយជោគជ័យដើម្បីទទួលបាន OTP តាមរយៈ Telegram ហើយប្រព័ន្ធនឹងផ្ញើ OTP ចុះឈ្មោះភ្លាមៗបន្ទាប់ពីសារបញ្ជាក់។")</f>
        <v/>
      </c>
      <c r="J234" s="3" t="inlineStr">
        <is>
          <t>អ្នកបានចុះឈ្មោះដោយជោគជ័យដើម្បីទទួលបាន OTP តាមរយៈ Telegram ហើយប្រព័ន្ធនឹងផ្ញើ OTP ចុះឈ្មោះភ្លាមៗបន្ទាប់ពីសារបញ្ជាក់</t>
        </is>
      </c>
      <c r="K234" s="217" t="inlineStr">
        <is>
          <t>អ្នកបានចុះឈ្មោះដោយជោគជ័យដើម្បីទទួលបាន OTP តាមរយៈ Telegram ហើយប្រព័ន្ធនឹងផ្ញើ OTP ចុះឈ្មោះភ្លាមៗបន្ទាប់ពីសារបញ្ជាក់</t>
        </is>
      </c>
      <c r="S234" s="163" t="inlineStr">
        <is>
          <t>អ្នកបានចុះឈ្មោះដោយជោគជ័យដើម្បីទទួលបាន OTP តាមរយៈ Telegram ហើយប្រព័ន្ធនឹងផ្ញើ OTP ចុះឈ្មោះភ្លាមៗបន្ទាប់ពីសារបញ្ជាក់</t>
        </is>
      </c>
    </row>
    <row r="235" ht="15.75" customHeight="1" s="305">
      <c r="A235" s="217" t="inlineStr">
        <is>
          <t>LOGIN_SCREEN.INSTRUCTTION_OTP</t>
        </is>
      </c>
      <c r="B235" s="153" t="inlineStr">
        <is>
          <t>签证吗输入说明</t>
        </is>
      </c>
      <c r="C235" s="3" t="inlineStr">
        <is>
          <t>Hướng dẫn nhập OTP</t>
        </is>
      </c>
      <c r="D235" s="3" t="inlineStr">
        <is>
          <t>Instructions for entering OTP</t>
        </is>
      </c>
      <c r="E235" s="3" t="inlineStr">
        <is>
          <t>ຄໍາແນະນໍາການເຂົ້າ OTP</t>
        </is>
      </c>
      <c r="F235" s="3" t="inlineStr">
        <is>
          <t>Hướng dẫn nhập OTP</t>
        </is>
      </c>
      <c r="G235" s="3">
        <f>IFERROR(__xludf.DUMMYFUNCTION("GOOGLETRANSLATE(C235,""vi"",""km"")"),"ការណែនាំសម្រាប់ការបញ្ចូល OTP")</f>
        <v/>
      </c>
      <c r="H235" s="217" t="inlineStr">
        <is>
          <t>ណែនាំពីការបញ្ចូល OTP</t>
        </is>
      </c>
      <c r="J235" s="3" t="inlineStr">
        <is>
          <t>ណែនាំពីការបញ្ចូល OTP</t>
        </is>
      </c>
      <c r="K235" s="217" t="inlineStr">
        <is>
          <t>ណែនាំពីការបញ្ចូល OTP</t>
        </is>
      </c>
      <c r="S235" s="163" t="inlineStr">
        <is>
          <t>សេចក្តីណែនាំសម្រាប់ការបញ្ចូល OTP</t>
        </is>
      </c>
    </row>
    <row r="236" ht="15.75" customHeight="1" s="305">
      <c r="A236" s="217" t="inlineStr">
        <is>
          <t>LOGIN_SCREEN.PHONE_REQUIRE</t>
        </is>
      </c>
      <c r="B236" s="153" t="inlineStr">
        <is>
          <t>需要输入手机号码</t>
        </is>
      </c>
      <c r="C236" s="3" t="inlineStr">
        <is>
          <t>Số điện thoại không được bỏ trống</t>
        </is>
      </c>
      <c r="D236" s="3" t="inlineStr">
        <is>
          <t>Phone number is required</t>
        </is>
      </c>
      <c r="E236" s="3" t="inlineStr">
        <is>
          <t>ເບີໂທລະສັບບໍ່ສາມາດປ່ອຍຫວ່າງໄວ້ໄດ້</t>
        </is>
      </c>
      <c r="F236" s="3" t="n"/>
      <c r="G236" s="3">
        <f>IFERROR(__xludf.DUMMYFUNCTION("GOOGLETRANSLATE(C236,""vi"",""km"")"),"លេខទូរស័ព្ទមិនអាចទុកចោលទទេបានទេ។")</f>
        <v/>
      </c>
      <c r="H236" s="217" t="inlineStr">
        <is>
          <t>លេខទូរស័ព្ទមិនត្រូវទុកឲ្យនៅចន្លោះ</t>
        </is>
      </c>
      <c r="J236" s="3" t="inlineStr">
        <is>
          <t>លេខទូរស័ព្ទមិនត្រូវទុកឲ្យនៅចន្លោះ</t>
        </is>
      </c>
      <c r="K236" s="217" t="inlineStr">
        <is>
          <t>លេខទូរស័ព្ទមិនត្រូវទុកឲ្យនៅចន្លោះ</t>
        </is>
      </c>
      <c r="S236" s="163" t="inlineStr">
        <is>
          <t>ត្រូវការលេខទូរស័ព្ទ</t>
        </is>
      </c>
    </row>
    <row r="237" ht="15.75" customHeight="1" s="305">
      <c r="A237" s="217" t="inlineStr">
        <is>
          <t>LOGIN_SCREEN.LOGIN_SUCCESS</t>
        </is>
      </c>
      <c r="B237" s="153" t="inlineStr">
        <is>
          <t>登录成功</t>
        </is>
      </c>
      <c r="C237" s="3" t="inlineStr">
        <is>
          <t>Đăng nhập thành công</t>
        </is>
      </c>
      <c r="D237" s="3" t="inlineStr">
        <is>
          <t>Login successful</t>
        </is>
      </c>
      <c r="E237" s="3" t="inlineStr">
        <is>
          <t>ເຂົ້າລະບົບສຳເລັດ</t>
        </is>
      </c>
      <c r="F237" s="3" t="n"/>
      <c r="G237" s="3">
        <f>IFERROR(__xludf.DUMMYFUNCTION("GOOGLETRANSLATE(C237,""vi"",""km"")"),"ចូលបានជោគជ័យ")</f>
        <v/>
      </c>
      <c r="H237" s="217" t="inlineStr">
        <is>
          <t>ចុះឈ្មោះបានជោគជ័យ</t>
        </is>
      </c>
      <c r="J237" s="3" t="inlineStr">
        <is>
          <t>ចុះឈ្មោះបានជោគជ័យ</t>
        </is>
      </c>
      <c r="K237" s="217" t="inlineStr">
        <is>
          <t>ចុះឈ្មោះបានជោគជ័យ</t>
        </is>
      </c>
      <c r="S237" s="163" t="inlineStr">
        <is>
          <t>ចូលបានជោគជ័យ</t>
        </is>
      </c>
    </row>
    <row r="238" ht="15.75" customHeight="1" s="305">
      <c r="A238" s="217" t="inlineStr">
        <is>
          <t>LOGIN_SCREEN.REGISTER_SUCCESS</t>
        </is>
      </c>
      <c r="B238" s="153" t="inlineStr">
        <is>
          <t>账号注册成功</t>
        </is>
      </c>
      <c r="C238" s="3" t="inlineStr">
        <is>
          <t>Đăng kí tài khoản thành công</t>
        </is>
      </c>
      <c r="D238" s="3" t="inlineStr">
        <is>
          <t>Account registration successful</t>
        </is>
      </c>
      <c r="E238" s="3" t="inlineStr">
        <is>
          <t>ລົງທະບຽນບັນຊີສຳເລັດ</t>
        </is>
      </c>
      <c r="F238" s="3" t="n"/>
      <c r="G238" s="3">
        <f>IFERROR(__xludf.DUMMYFUNCTION("GOOGLETRANSLATE(C238,""vi"",""km"")"),"ការចុះឈ្មោះគណនីបានជោគជ័យ")</f>
        <v/>
      </c>
      <c r="H238" s="217" t="inlineStr">
        <is>
          <t>បានចុះឈ្មោះគណនីបានជោគជ័យ</t>
        </is>
      </c>
      <c r="J238" s="3" t="inlineStr">
        <is>
          <t>បានចុះឈ្មោះគណនីបានជោគជ័យ</t>
        </is>
      </c>
      <c r="K238" s="217" t="inlineStr">
        <is>
          <t>បានចុះឈ្មោះគណនីបានជោគជ័យ</t>
        </is>
      </c>
      <c r="S238" s="163" t="inlineStr">
        <is>
          <t>ការចុះឈ្មោះគណនីបានជោគជ័យ</t>
        </is>
      </c>
    </row>
    <row r="239" ht="15.75" customHeight="1" s="305">
      <c r="A239" s="217" t="inlineStr">
        <is>
          <t>CREATE_ORDER.MINIMIZE</t>
        </is>
      </c>
      <c r="B239" s="153" t="inlineStr">
        <is>
          <t>最小化</t>
        </is>
      </c>
      <c r="C239" s="3" t="inlineStr">
        <is>
          <t>Thu gọn</t>
        </is>
      </c>
      <c r="D239" s="3" t="inlineStr">
        <is>
          <t>Minimize</t>
        </is>
      </c>
      <c r="E239" s="3" t="inlineStr">
        <is>
          <t>ຫຍໍ້ລົງ</t>
        </is>
      </c>
      <c r="F239" s="3" t="inlineStr">
        <is>
          <t>လျင်မြန်</t>
        </is>
      </c>
      <c r="G239" s="3">
        <f>IFERROR(__xludf.DUMMYFUNCTION("GOOGLETRANSLATE(C239,""vi"",""km"")"),"បង្រួម")</f>
        <v/>
      </c>
      <c r="H239" s="217" t="inlineStr">
        <is>
          <t>បង្រួម</t>
        </is>
      </c>
      <c r="J239" s="3" t="inlineStr">
        <is>
          <t>បង្រួម</t>
        </is>
      </c>
      <c r="K239" s="217" t="inlineStr">
        <is>
          <t>បង្រួម</t>
        </is>
      </c>
      <c r="S239" s="163" t="inlineStr">
        <is>
          <t>បង្រួមអប្បបរមា</t>
        </is>
      </c>
    </row>
    <row r="240" ht="15.75" customHeight="1" s="305">
      <c r="A240" s="217" t="inlineStr">
        <is>
          <t>CREATE_ORDER.EDIT</t>
        </is>
      </c>
      <c r="B240" s="153" t="inlineStr">
        <is>
          <t>编辑订单</t>
        </is>
      </c>
      <c r="C240" s="3" t="inlineStr">
        <is>
          <t>Sửa</t>
        </is>
      </c>
      <c r="D240" s="3" t="inlineStr">
        <is>
          <t>Edit</t>
        </is>
      </c>
      <c r="E240" s="3" t="inlineStr">
        <is>
          <t>ແກ້ໄຂ</t>
        </is>
      </c>
      <c r="F240" s="3" t="inlineStr">
        <is>
          <t>တည်းဖြတ်</t>
        </is>
      </c>
      <c r="G240" s="3">
        <f>IFERROR(__xludf.DUMMYFUNCTION("GOOGLETRANSLATE(C240,""vi"",""km"")"),"ជួសជុល")</f>
        <v/>
      </c>
      <c r="H240" s="217" t="inlineStr">
        <is>
          <t>កែសម្រួល</t>
        </is>
      </c>
      <c r="J240" s="3" t="inlineStr">
        <is>
          <t>កែសម្រួល</t>
        </is>
      </c>
      <c r="K240" s="217" t="inlineStr">
        <is>
          <t>កែសម្រួល</t>
        </is>
      </c>
      <c r="S240" s="163" t="inlineStr">
        <is>
          <t>កែសម្រួល</t>
        </is>
      </c>
    </row>
    <row r="241" ht="15.75" customHeight="1" s="305">
      <c r="A241" s="217" t="inlineStr">
        <is>
          <t>CREATE_ORDER.ADD</t>
        </is>
      </c>
      <c r="B241" s="153" t="inlineStr">
        <is>
          <t>添加</t>
        </is>
      </c>
      <c r="C241" s="3" t="inlineStr">
        <is>
          <t>Thêm</t>
        </is>
      </c>
      <c r="D241" s="3" t="inlineStr">
        <is>
          <t>Add</t>
        </is>
      </c>
      <c r="E241" s="3" t="inlineStr">
        <is>
          <t>ເພີ່ມເຕີມ</t>
        </is>
      </c>
      <c r="F241" s="3" t="inlineStr">
        <is>
          <t>ပေါင်းထည့်ပါ</t>
        </is>
      </c>
      <c r="G241" s="3">
        <f>IFERROR(__xludf.DUMMYFUNCTION("GOOGLETRANSLATE(C241,""vi"",""km"")"),"ច្រើនទៀត")</f>
        <v/>
      </c>
      <c r="H241" s="217" t="inlineStr">
        <is>
          <t>បន្ថែម</t>
        </is>
      </c>
      <c r="J241" s="3" t="inlineStr">
        <is>
          <t>បន្ថែម</t>
        </is>
      </c>
      <c r="K241" s="217" t="inlineStr">
        <is>
          <t>បន្ថែម</t>
        </is>
      </c>
      <c r="S241" s="163" t="inlineStr">
        <is>
          <t>បន្ថែម</t>
        </is>
      </c>
    </row>
    <row r="242" ht="15.75" customHeight="1" s="305">
      <c r="A242" s="217" t="inlineStr">
        <is>
          <t>CREATE_ORDER.SENDER_RECEIVER</t>
        </is>
      </c>
      <c r="B242" s="153" t="inlineStr">
        <is>
          <t>发件人-收件人</t>
        </is>
      </c>
      <c r="C242" s="3" t="inlineStr">
        <is>
          <t>NGƯỜI GỬI - NGƯỜI NHẬN</t>
        </is>
      </c>
      <c r="D242" s="3" t="inlineStr">
        <is>
          <t>SENDER - RECEIVER</t>
        </is>
      </c>
      <c r="E242" s="3" t="inlineStr">
        <is>
          <t>ຜູ້ສົ່ງ-ຜູ້ຮັບ</t>
        </is>
      </c>
      <c r="F242" s="3" t="inlineStr">
        <is>
          <t>ပို့ဆောင်သူ - လက်ခံသူ</t>
        </is>
      </c>
      <c r="G242" s="3">
        <f>IFERROR(__xludf.DUMMYFUNCTION("GOOGLETRANSLATE(C242,""vi"",""km"")"),"អ្នកផ្ញើ - អ្នកទទួល")</f>
        <v/>
      </c>
      <c r="H242" s="217" t="inlineStr">
        <is>
          <t>អ្នកផ្ញើ-អ្នកទទួល</t>
        </is>
      </c>
      <c r="J242" s="3" t="inlineStr">
        <is>
          <t>អ្នកផ្ញើ-អ្នកទទួល</t>
        </is>
      </c>
      <c r="K242" s="217" t="inlineStr">
        <is>
          <t>អ្នកផ្ញើ-អ្នកទទួល</t>
        </is>
      </c>
      <c r="S242" s="163" t="inlineStr">
        <is>
          <t>SENDER - អ្នកទទួល</t>
        </is>
      </c>
    </row>
    <row r="243" ht="15.75" customHeight="1" s="305">
      <c r="A243" s="217" t="inlineStr">
        <is>
          <t>CREATE_ORDER.SENDER</t>
        </is>
      </c>
      <c r="B243" s="153" t="inlineStr">
        <is>
          <t>发件人</t>
        </is>
      </c>
      <c r="C243" s="3" t="inlineStr">
        <is>
          <t>Người gửi</t>
        </is>
      </c>
      <c r="D243" s="3" t="inlineStr">
        <is>
          <t>Sender</t>
        </is>
      </c>
      <c r="E243" s="3" t="inlineStr">
        <is>
          <t>ຜູ້ສົ່ງ</t>
        </is>
      </c>
      <c r="F243" s="3" t="inlineStr">
        <is>
          <t>ပို့ဆောင်သူ</t>
        </is>
      </c>
      <c r="G243" s="3">
        <f>IFERROR(__xludf.DUMMYFUNCTION("GOOGLETRANSLATE(C243,""vi"",""km"")"),"អ្នកផ្ញើ")</f>
        <v/>
      </c>
      <c r="H243" s="217" t="inlineStr">
        <is>
          <t>អ្នកផ្ញើ</t>
        </is>
      </c>
      <c r="J243" s="3" t="inlineStr">
        <is>
          <t>អ្នកផ្ញើ</t>
        </is>
      </c>
      <c r="K243" s="217" t="inlineStr">
        <is>
          <t>អ្នកផ្ញើ</t>
        </is>
      </c>
      <c r="S243" s="163" t="inlineStr">
        <is>
          <t>អ្នកផ្ញើ</t>
        </is>
      </c>
    </row>
    <row r="244" ht="15.75" customHeight="1" s="305">
      <c r="A244" s="217" t="inlineStr">
        <is>
          <t>CREATE_ORDER.RECEIVER</t>
        </is>
      </c>
      <c r="B244" s="153" t="inlineStr">
        <is>
          <t>收件人</t>
        </is>
      </c>
      <c r="C244" s="3" t="inlineStr">
        <is>
          <t>Người nhận</t>
        </is>
      </c>
      <c r="D244" s="3" t="inlineStr">
        <is>
          <t>Receiver</t>
        </is>
      </c>
      <c r="E244" s="3" t="inlineStr">
        <is>
          <t>ຜູ້ຮັບ</t>
        </is>
      </c>
      <c r="F244" s="3" t="inlineStr">
        <is>
          <t>လက်ခံသူ</t>
        </is>
      </c>
      <c r="G244" s="3">
        <f>IFERROR(__xludf.DUMMYFUNCTION("GOOGLETRANSLATE(C244,""vi"",""km"")"),"អ្នកទទួល")</f>
        <v/>
      </c>
      <c r="H244" s="217" t="inlineStr">
        <is>
          <t>អ្នកទទួល</t>
        </is>
      </c>
      <c r="J244" s="3" t="inlineStr">
        <is>
          <t>អ្នកទទួល</t>
        </is>
      </c>
      <c r="K244" s="217" t="inlineStr">
        <is>
          <t>អ្នកទទួល</t>
        </is>
      </c>
      <c r="S244" s="163" t="inlineStr">
        <is>
          <t>អ្នកទទួល</t>
        </is>
      </c>
    </row>
    <row r="245" ht="15.75" customHeight="1" s="305">
      <c r="A245" s="217" t="inlineStr">
        <is>
          <t>CREATE_ORDER.SEND_AT_POST_OFFICE</t>
        </is>
      </c>
      <c r="B245" s="153" t="inlineStr">
        <is>
          <t>到局寄送</t>
        </is>
      </c>
      <c r="C245" s="3" t="inlineStr">
        <is>
          <t>Gửi tại bưu cục</t>
        </is>
      </c>
      <c r="D245" s="3" t="inlineStr">
        <is>
          <t>Send at Post Office</t>
        </is>
      </c>
      <c r="E245" s="3" t="inlineStr">
        <is>
          <t>ສົ່ງຢູ່ຫ້ອງການໄປສະນີ</t>
        </is>
      </c>
      <c r="F245" s="3" t="inlineStr">
        <is>
          <t>ပို့စ်ရုံးမှာ ပို့ပေးပါ</t>
        </is>
      </c>
      <c r="G245" s="3">
        <f>IFERROR(__xludf.DUMMYFUNCTION("GOOGLETRANSLATE(C245,""vi"",""km"")"),"ផ្ញើនៅការិយាល័យប្រៃសណីយ៍។")</f>
        <v/>
      </c>
      <c r="H245" s="217" t="inlineStr">
        <is>
          <t>ផ្ញើនៅប្រៃសណីយ៍</t>
        </is>
      </c>
      <c r="J245" s="3" t="inlineStr">
        <is>
          <t>ផ្ញើនៅប្រៃសណីយ៍</t>
        </is>
      </c>
      <c r="K245" s="217" t="inlineStr">
        <is>
          <t>ផ្ញើនៅប្រៃសណីយ៍</t>
        </is>
      </c>
      <c r="S245" s="163" t="inlineStr">
        <is>
          <t>ផ្ញើនៅការិយាល័យប្រៃសណីយ៍</t>
        </is>
      </c>
    </row>
    <row r="246" ht="15.75" customHeight="1" s="305">
      <c r="A246" s="217" t="inlineStr">
        <is>
          <t>CREATE_ORDER.RECEIVE_AT_POST_OFFICE</t>
        </is>
      </c>
      <c r="B246" s="153" t="inlineStr">
        <is>
          <t>到局取件</t>
        </is>
      </c>
      <c r="C246" s="3" t="inlineStr">
        <is>
          <t>Nhận tại bưu cục</t>
        </is>
      </c>
      <c r="D246" s="3" t="inlineStr">
        <is>
          <t>Receive at Post Office</t>
        </is>
      </c>
      <c r="E246" s="3" t="inlineStr">
        <is>
          <t>ໄປຮັບຢູ່ຫ້ອງການໄປສະນີ</t>
        </is>
      </c>
      <c r="F246" s="3" t="inlineStr">
        <is>
          <t>ပို့စ်ရုံးတွင် လက်ခံရရှိခြင်း</t>
        </is>
      </c>
      <c r="G246" s="3">
        <f>IFERROR(__xludf.DUMMYFUNCTION("GOOGLETRANSLATE(C246,""vi"",""km"")"),"មកយកនៅការិយាល័យប្រៃសណីយ៍។")</f>
        <v/>
      </c>
      <c r="H246" s="217" t="inlineStr">
        <is>
          <t>ទទួលនៅប្រៃសណីយ៍</t>
        </is>
      </c>
      <c r="J246" s="3" t="inlineStr">
        <is>
          <t>ទទួលនៅប្រៃសណីយ៍</t>
        </is>
      </c>
      <c r="K246" s="217" t="inlineStr">
        <is>
          <t>ទទួលនៅប្រៃសណីយ៍</t>
        </is>
      </c>
      <c r="S246" s="163" t="inlineStr">
        <is>
          <t>ទទួលនៅការិយាល័យប្រៃសណីយ៍</t>
        </is>
      </c>
    </row>
    <row r="247" ht="15.75" customHeight="1" s="305">
      <c r="A247" s="217" t="inlineStr">
        <is>
          <t>CREATE_ORDER.PHONE_NUMBER</t>
        </is>
      </c>
      <c r="B247" s="153" t="inlineStr">
        <is>
          <t>手机号码</t>
        </is>
      </c>
      <c r="C247" s="3" t="inlineStr">
        <is>
          <t>Số điện thoại</t>
        </is>
      </c>
      <c r="D247" s="3" t="inlineStr">
        <is>
          <t>Phone Number</t>
        </is>
      </c>
      <c r="E247" s="3" t="inlineStr">
        <is>
          <t>ເບີໂທລະສັບ</t>
        </is>
      </c>
      <c r="F247" s="3" t="inlineStr">
        <is>
          <t>ဖုန်းနံပါတ်</t>
        </is>
      </c>
      <c r="G247" s="3">
        <f>IFERROR(__xludf.DUMMYFUNCTION("GOOGLETRANSLATE(C247,""vi"",""km"")"),"លេខទូរស័ព្ទ")</f>
        <v/>
      </c>
      <c r="H247" s="217" t="inlineStr">
        <is>
          <t>លេខទូរស័ព្ទ</t>
        </is>
      </c>
      <c r="J247" s="3" t="inlineStr">
        <is>
          <t>លេខទូរស័ព្ទ</t>
        </is>
      </c>
      <c r="K247" s="217" t="inlineStr">
        <is>
          <t>លេខទូរស័ព្ទ</t>
        </is>
      </c>
      <c r="S247" s="163" t="inlineStr">
        <is>
          <t>លេខទូរស័ព្ទ</t>
        </is>
      </c>
    </row>
    <row r="248" ht="15.75" customHeight="1" s="305">
      <c r="A248" s="217" t="inlineStr">
        <is>
          <t>CREATE_ORDER.FULL_NAME</t>
        </is>
      </c>
      <c r="B248" s="153" t="inlineStr">
        <is>
          <t>姓名</t>
        </is>
      </c>
      <c r="C248" s="3" t="inlineStr">
        <is>
          <t>Họ tên</t>
        </is>
      </c>
      <c r="D248" s="3" t="inlineStr">
        <is>
          <t>Full Name</t>
        </is>
      </c>
      <c r="E248" s="3" t="inlineStr">
        <is>
          <t>ຊື່ແລະ ນາມສະກຸນ</t>
        </is>
      </c>
      <c r="F248" s="3" t="inlineStr">
        <is>
          <t>အမည် အပြည့်အစုံ</t>
        </is>
      </c>
      <c r="G248" s="3">
        <f>IFERROR(__xludf.DUMMYFUNCTION("GOOGLETRANSLATE(C248,""vi"",""km"")"),"ឈ្មោះពេញ")</f>
        <v/>
      </c>
      <c r="H248" s="217" t="inlineStr">
        <is>
          <t>នាមត្រកូល</t>
        </is>
      </c>
      <c r="J248" s="3" t="inlineStr">
        <is>
          <t>នាមត្រកូល</t>
        </is>
      </c>
      <c r="K248" s="217" t="inlineStr">
        <is>
          <t>នាមត្រកូល</t>
        </is>
      </c>
      <c r="S248" s="163" t="inlineStr">
        <is>
          <t>ឈ្មោះពេញ</t>
        </is>
      </c>
    </row>
    <row r="249" ht="15.75" customHeight="1" s="305">
      <c r="A249" s="217" t="inlineStr">
        <is>
          <t>CREATE_ORDER.DETAIL_ADDRESS</t>
        </is>
      </c>
      <c r="B249" s="153" t="inlineStr">
        <is>
          <t>详细地址</t>
        </is>
      </c>
      <c r="C249" s="3" t="inlineStr">
        <is>
          <t>Địa chỉ chi tiết</t>
        </is>
      </c>
      <c r="D249" s="3" t="inlineStr">
        <is>
          <t>Detailed Address</t>
        </is>
      </c>
      <c r="E249" s="3" t="inlineStr">
        <is>
          <t>ທີ່ຢູ່ລະອຽດ</t>
        </is>
      </c>
      <c r="F249" s="3" t="inlineStr">
        <is>
          <t>အသေးစိတ် လိပ်စာ</t>
        </is>
      </c>
      <c r="G249" s="3">
        <f>IFERROR(__xludf.DUMMYFUNCTION("GOOGLETRANSLATE(C249,""vi"",""km"")"),"អាសយដ្ឋានលម្អិត")</f>
        <v/>
      </c>
      <c r="H249" s="217" t="inlineStr">
        <is>
          <t>អាស័យដ្ឋានលម្អិត</t>
        </is>
      </c>
      <c r="J249" s="3" t="inlineStr">
        <is>
          <t>អាសយដ្ឋានលម្អិត</t>
        </is>
      </c>
      <c r="K249" s="217" t="inlineStr">
        <is>
          <t>អាសយដ្ឋានលម្អិត</t>
        </is>
      </c>
      <c r="S249" s="163" t="inlineStr">
        <is>
          <t>អាសយដ្ឋានលម្អិត</t>
        </is>
      </c>
    </row>
    <row r="250" ht="15.75" customHeight="1" s="305">
      <c r="A250" s="217" t="inlineStr">
        <is>
          <t>CREATE_ORDER.FEDERAL_REGION</t>
        </is>
      </c>
      <c r="B250" s="153" t="inlineStr">
        <is>
          <t>省</t>
        </is>
      </c>
      <c r="C250" s="3" t="inlineStr">
        <is>
          <t>Liên bang/Vùng</t>
        </is>
      </c>
      <c r="D250" s="3" t="inlineStr">
        <is>
          <t>Federal Region</t>
        </is>
      </c>
      <c r="E250" s="3" t="inlineStr">
        <is>
          <t>ເຂດ/ພາກພື້ນ</t>
        </is>
      </c>
      <c r="F250" s="3" t="inlineStr">
        <is>
          <t>ဖက်ဒရယ်ဒေသ</t>
        </is>
      </c>
      <c r="G250" s="3">
        <f>IFERROR(__xludf.DUMMYFUNCTION("GOOGLETRANSLATE(C250,""vi"",""km"")"),"សហព័ន្ធ/តំបន់")</f>
        <v/>
      </c>
      <c r="H250" s="3" t="inlineStr">
        <is>
          <t>ខេត្ត</t>
        </is>
      </c>
      <c r="J250" s="3" t="inlineStr">
        <is>
          <t>ខេត្ត</t>
        </is>
      </c>
      <c r="K250" s="217" t="inlineStr">
        <is>
          <t>ខេត្ត</t>
        </is>
      </c>
      <c r="S250" s="163" t="inlineStr">
        <is>
          <t>តំបន់សហព័ន្ធ</t>
        </is>
      </c>
    </row>
    <row r="251" ht="15.75" customHeight="1" s="305">
      <c r="A251" s="217" t="inlineStr">
        <is>
          <t>CREATE_ORDER.DISTRICT</t>
        </is>
      </c>
      <c r="B251" s="153" t="inlineStr">
        <is>
          <t>县</t>
        </is>
      </c>
      <c r="C251" s="3" t="inlineStr">
        <is>
          <t>Huyện</t>
        </is>
      </c>
      <c r="D251" s="3" t="inlineStr">
        <is>
          <t>District</t>
        </is>
      </c>
      <c r="E251" s="3" t="inlineStr">
        <is>
          <t>ເມືອງ</t>
        </is>
      </c>
      <c r="F251" s="3" t="inlineStr">
        <is>
          <t>ခရိုင်</t>
        </is>
      </c>
      <c r="G251" s="3">
        <f>IFERROR(__xludf.DUMMYFUNCTION("GOOGLETRANSLATE(C251,""vi"",""km"")"),"ស្រុក")</f>
        <v/>
      </c>
      <c r="H251" s="217" t="inlineStr">
        <is>
          <t>ស្រុក</t>
        </is>
      </c>
      <c r="J251" s="3" t="inlineStr">
        <is>
          <t>ស្រុក</t>
        </is>
      </c>
      <c r="K251" s="217" t="inlineStr">
        <is>
          <t>ស្រុក</t>
        </is>
      </c>
      <c r="S251" s="163" t="inlineStr">
        <is>
          <t>ស្រុក</t>
        </is>
      </c>
    </row>
    <row r="252" ht="15.75" customHeight="1" s="305">
      <c r="A252" s="217" t="inlineStr">
        <is>
          <t>CREATE_ORDER.TOWN</t>
        </is>
      </c>
      <c r="B252" s="153" t="inlineStr">
        <is>
          <t>城镇</t>
        </is>
      </c>
      <c r="C252" s="3" t="inlineStr">
        <is>
          <t>Thị trấn</t>
        </is>
      </c>
      <c r="D252" s="3" t="inlineStr">
        <is>
          <t>Town</t>
        </is>
      </c>
      <c r="E252" s="3" t="inlineStr">
        <is>
          <t>ຕົວເມືອງ</t>
        </is>
      </c>
      <c r="F252" s="3" t="inlineStr">
        <is>
          <t>မြို့</t>
        </is>
      </c>
      <c r="G252" s="3">
        <f>IFERROR(__xludf.DUMMYFUNCTION("GOOGLETRANSLATE(C252,""vi"",""km"")"),"ទីក្រុង")</f>
        <v/>
      </c>
      <c r="H252" s="217" t="inlineStr">
        <is>
          <t>ឃុំ</t>
        </is>
      </c>
      <c r="J252" s="3" t="inlineStr">
        <is>
          <t>ឃុំ</t>
        </is>
      </c>
      <c r="K252" s="217" t="inlineStr">
        <is>
          <t>ឃុំ</t>
        </is>
      </c>
      <c r="S252" s="163" t="inlineStr">
        <is>
          <t>ទីប្រជុំជន</t>
        </is>
      </c>
    </row>
    <row r="253" ht="15.75" customHeight="1" s="305">
      <c r="A253" s="217" t="inlineStr">
        <is>
          <t>CREATE_ORDER.TIME_DELIVERY_APPOINTMENT</t>
        </is>
      </c>
      <c r="B253" s="153" t="inlineStr">
        <is>
          <t>预约派送时间</t>
        </is>
      </c>
      <c r="C253" s="3" t="inlineStr">
        <is>
          <t>Thời gian hẹn giao</t>
        </is>
      </c>
      <c r="D253" s="3" t="inlineStr">
        <is>
          <t>Delivery Appointment Time</t>
        </is>
      </c>
      <c r="E253" s="3" t="inlineStr">
        <is>
          <t>ເວລາຈັດສົ່ງ</t>
        </is>
      </c>
      <c r="F253" s="3" t="inlineStr">
        <is>
          <t>ချိန်းချက်ချိန်</t>
        </is>
      </c>
      <c r="G253" s="3">
        <f>IFERROR(__xludf.DUMMYFUNCTION("GOOGLETRANSLATE(C253,""vi"",""km"")"),"ពេលវេលាដឹកជញ្ជូន")</f>
        <v/>
      </c>
      <c r="H253" s="217" t="inlineStr">
        <is>
          <t>ពេលវេលាកំណត់ការដឹកជញ្ជូន</t>
        </is>
      </c>
      <c r="J253" s="3" t="inlineStr">
        <is>
          <t>ពេលវេលាកំណត់ការដឹកជញ្ជូន</t>
        </is>
      </c>
      <c r="K253" s="217" t="inlineStr">
        <is>
          <t>ពេលវេលាកំណត់ការដឹកជញ្ជូន</t>
        </is>
      </c>
      <c r="S253" s="163" t="inlineStr">
        <is>
          <t>ពេលវេលាណាត់ជួបដឹកជញ្ជូន</t>
        </is>
      </c>
    </row>
    <row r="254" ht="15.75" customHeight="1" s="305">
      <c r="A254" s="217" t="inlineStr">
        <is>
          <t>CREATE_ORDER.SELECT_TIME</t>
        </is>
      </c>
      <c r="B254" s="153" t="inlineStr">
        <is>
          <t>选择时间</t>
        </is>
      </c>
      <c r="C254" s="3" t="inlineStr">
        <is>
          <t>Chọn thời gian</t>
        </is>
      </c>
      <c r="D254" s="3" t="inlineStr">
        <is>
          <t>Select Time</t>
        </is>
      </c>
      <c r="E254" s="3" t="inlineStr">
        <is>
          <t>ເລືອກເວລາ</t>
        </is>
      </c>
      <c r="F254" s="3" t="inlineStr">
        <is>
          <t>အချိန်ကို ရွေးချယ်ပါ</t>
        </is>
      </c>
      <c r="G254" s="3">
        <f>IFERROR(__xludf.DUMMYFUNCTION("GOOGLETRANSLATE(C254,""vi"",""km"")"),"ជ្រើសរើសពេលវេលា")</f>
        <v/>
      </c>
      <c r="H254" s="217" t="inlineStr">
        <is>
          <t>ជ្រើសរើសពេលវេលា</t>
        </is>
      </c>
      <c r="J254" s="3" t="inlineStr">
        <is>
          <t>ជ្រើសរើសពេលវេលា</t>
        </is>
      </c>
      <c r="K254" s="217" t="inlineStr">
        <is>
          <t>ជ្រើសរើសពេលវេលា</t>
        </is>
      </c>
      <c r="S254" s="163" t="inlineStr">
        <is>
          <t>ជ្រើសរើសពេលវេលា</t>
        </is>
      </c>
    </row>
    <row r="255" ht="15.75" customHeight="1" s="305">
      <c r="A255" s="217" t="inlineStr">
        <is>
          <t>CREATE_ORDER.MERCHANDISE</t>
        </is>
      </c>
      <c r="B255" s="153" t="inlineStr">
        <is>
          <t>物品</t>
        </is>
      </c>
      <c r="C255" s="3" t="inlineStr">
        <is>
          <t>HÀNG HÓA</t>
        </is>
      </c>
      <c r="D255" s="3" t="inlineStr">
        <is>
          <t>GOODS</t>
        </is>
      </c>
      <c r="E255" s="3" t="inlineStr">
        <is>
          <t>ສິນຄ້າ</t>
        </is>
      </c>
      <c r="F255" s="3" t="inlineStr">
        <is>
          <t>ကုန်ပစ္စည်းများ</t>
        </is>
      </c>
      <c r="G255" s="3">
        <f>IFERROR(__xludf.DUMMYFUNCTION("GOOGLETRANSLATE(C255,""vi"",""km"")"),"ទំនិញ")</f>
        <v/>
      </c>
      <c r="H255" s="217" t="inlineStr">
        <is>
          <t>ទំនិញ</t>
        </is>
      </c>
      <c r="J255" s="3" t="inlineStr">
        <is>
          <t>ទំនិញ</t>
        </is>
      </c>
      <c r="K255" s="217" t="inlineStr">
        <is>
          <t>ទំនិញ</t>
        </is>
      </c>
      <c r="S255" s="163" t="inlineStr">
        <is>
          <t>ទំនិញ</t>
        </is>
      </c>
    </row>
    <row r="256" ht="15.75" customHeight="1" s="305">
      <c r="A256" s="217" t="inlineStr">
        <is>
          <t>CREATE_ORDER.MERCHANDISE_LOWER_CASE</t>
        </is>
      </c>
      <c r="B256" s="153" t="inlineStr">
        <is>
          <t>物品</t>
        </is>
      </c>
      <c r="C256" s="3" t="inlineStr">
        <is>
          <t>Hàng hóa</t>
        </is>
      </c>
      <c r="D256" s="3" t="inlineStr">
        <is>
          <t>Goods</t>
        </is>
      </c>
      <c r="E256" s="3" t="inlineStr">
        <is>
          <t>ສິນຄ້າ</t>
        </is>
      </c>
      <c r="F256" s="3" t="inlineStr">
        <is>
          <t>ကုန်ပစ္စည်းများ</t>
        </is>
      </c>
      <c r="G256" s="3">
        <f>IFERROR(__xludf.DUMMYFUNCTION("GOOGLETRANSLATE(C256,""vi"",""km"")"),"ទំនិញ")</f>
        <v/>
      </c>
      <c r="H256" s="217" t="inlineStr">
        <is>
          <t>ទំនិញ</t>
        </is>
      </c>
      <c r="J256" s="3" t="inlineStr">
        <is>
          <t>ទំនិញ</t>
        </is>
      </c>
      <c r="K256" s="217" t="inlineStr">
        <is>
          <t>ទំនិញ</t>
        </is>
      </c>
      <c r="S256" s="163" t="inlineStr">
        <is>
          <t>ទំនិញ</t>
        </is>
      </c>
    </row>
    <row r="257" ht="15.75" customHeight="1" s="305">
      <c r="A257" s="217" t="inlineStr">
        <is>
          <t>CREATE_ORDER.PACKAGE</t>
        </is>
      </c>
      <c r="B257" s="153" t="inlineStr">
        <is>
          <t>包裹</t>
        </is>
      </c>
      <c r="C257" s="3" t="inlineStr">
        <is>
          <t>Bưu kiện</t>
        </is>
      </c>
      <c r="D257" s="3" t="inlineStr">
        <is>
          <t>Package</t>
        </is>
      </c>
      <c r="E257" s="3" t="inlineStr">
        <is>
          <t>ພັດສະດຸ</t>
        </is>
      </c>
      <c r="F257" s="3" t="inlineStr">
        <is>
          <t>ပက်ကေ့ချ်</t>
        </is>
      </c>
      <c r="G257" s="3">
        <f>IFERROR(__xludf.DUMMYFUNCTION("GOOGLETRANSLATE(C257,""vi"",""km"")"),"កញ្ចប់")</f>
        <v/>
      </c>
      <c r="H257" s="217" t="inlineStr">
        <is>
          <t>កញ្ចប់អីវ៉ាន់</t>
        </is>
      </c>
      <c r="J257" s="3" t="inlineStr">
        <is>
          <t>កញ្ចប់អីវ៉ាន់</t>
        </is>
      </c>
      <c r="K257" s="217" t="inlineStr">
        <is>
          <t>កញ្ចប់អីវ៉ាន់</t>
        </is>
      </c>
      <c r="S257" s="163" t="inlineStr">
        <is>
          <t>កញ្ចប់</t>
        </is>
      </c>
    </row>
    <row r="258" ht="15.75" customHeight="1" s="305">
      <c r="A258" s="217" t="inlineStr">
        <is>
          <t>CREATE_ORDER.DOCUMENT</t>
        </is>
      </c>
      <c r="B258" s="153" t="inlineStr">
        <is>
          <t>文件</t>
        </is>
      </c>
      <c r="C258" s="3" t="inlineStr">
        <is>
          <t>Tài liệu</t>
        </is>
      </c>
      <c r="D258" s="3" t="inlineStr">
        <is>
          <t>Document</t>
        </is>
      </c>
      <c r="E258" s="3" t="inlineStr">
        <is>
          <t>ເອກະສານ</t>
        </is>
      </c>
      <c r="F258" s="3" t="inlineStr">
        <is>
          <t>စာရွက်စာတမ်း</t>
        </is>
      </c>
      <c r="G258" s="3">
        <f>IFERROR(__xludf.DUMMYFUNCTION("GOOGLETRANSLATE(C258,""vi"",""km"")"),"ឯកសារ")</f>
        <v/>
      </c>
      <c r="H258" s="217" t="inlineStr">
        <is>
          <t>ឯកសារ</t>
        </is>
      </c>
      <c r="J258" s="3" t="inlineStr">
        <is>
          <t>ឯកសារ</t>
        </is>
      </c>
      <c r="K258" s="217" t="inlineStr">
        <is>
          <t>ឯកសារ</t>
        </is>
      </c>
      <c r="S258" s="163" t="inlineStr">
        <is>
          <t>ឯកសារ</t>
        </is>
      </c>
    </row>
    <row r="259" ht="15.75" customHeight="1" s="305">
      <c r="A259" s="217" t="inlineStr">
        <is>
          <t>CREATE_ORDER.MERCHANDISE_NAME</t>
        </is>
      </c>
      <c r="B259" s="153" t="inlineStr">
        <is>
          <t>物品名称</t>
        </is>
      </c>
      <c r="C259" s="3" t="inlineStr">
        <is>
          <t>Tên hàng hóa</t>
        </is>
      </c>
      <c r="D259" s="3" t="inlineStr">
        <is>
          <t>Goods Name</t>
        </is>
      </c>
      <c r="E259" s="3" t="inlineStr">
        <is>
          <t>ຊື່ຜະລິດຕະພັນ</t>
        </is>
      </c>
      <c r="F259" s="3" t="inlineStr">
        <is>
          <t>ကုန်ပစ္စည်းအမည်</t>
        </is>
      </c>
      <c r="G259" s="3">
        <f>IFERROR(__xludf.DUMMYFUNCTION("GOOGLETRANSLATE(C259,""vi"",""km"")"),"ឈ្មោះផលិតផល")</f>
        <v/>
      </c>
      <c r="H259" s="217" t="inlineStr">
        <is>
          <t>ឈ្មោះទំនិញ</t>
        </is>
      </c>
      <c r="J259" s="3" t="inlineStr">
        <is>
          <t>ឈ្មោះទំនិញ</t>
        </is>
      </c>
      <c r="K259" s="217" t="inlineStr">
        <is>
          <t>ឈ្មោះទំនិញ</t>
        </is>
      </c>
      <c r="S259" s="163" t="inlineStr">
        <is>
          <t>ឈ្មោះទំនិញ</t>
        </is>
      </c>
    </row>
    <row r="260" ht="15.75" customHeight="1" s="305">
      <c r="A260" s="217" t="inlineStr">
        <is>
          <t>CREATE_ORDER.MERCHANDISE_PRICE</t>
        </is>
      </c>
      <c r="B260" s="153" t="inlineStr">
        <is>
          <t>物品价值 ({{货币单位}})</t>
        </is>
      </c>
      <c r="C260" s="3" t="inlineStr">
        <is>
          <t>Giá trị</t>
        </is>
      </c>
      <c r="D260" s="3" t="inlineStr">
        <is>
          <t>Price</t>
        </is>
      </c>
      <c r="E260" s="3" t="inlineStr">
        <is>
          <t>ມູນຄ່າ ({{moneyUnit}})</t>
        </is>
      </c>
      <c r="F260" s="3" t="inlineStr">
        <is>
          <t>ဈေးနှုန်း {{moneyUnit}}</t>
        </is>
      </c>
      <c r="G260" s="3">
        <f>IFERROR(__xludf.DUMMYFUNCTION("GOOGLETRANSLATE(C260,""vi"",""km"")"),"តម្លៃ")</f>
        <v/>
      </c>
      <c r="H260" s="217" t="inlineStr">
        <is>
          <t>តម្លៃ</t>
        </is>
      </c>
      <c r="J260" s="3" t="inlineStr">
        <is>
          <t>តម្លៃ</t>
        </is>
      </c>
      <c r="K260" s="217" t="inlineStr">
        <is>
          <t>តម្លៃ</t>
        </is>
      </c>
      <c r="S260" s="163" t="inlineStr">
        <is>
          <t>តម្លៃ</t>
        </is>
      </c>
    </row>
    <row r="261" ht="15.75" customHeight="1" s="305">
      <c r="A261" s="217" t="inlineStr">
        <is>
          <t>CREATE_ORDER.MERCHANDISE_WEIGHT</t>
        </is>
      </c>
      <c r="B261" s="153" t="inlineStr">
        <is>
          <t>重量（g)</t>
        </is>
      </c>
      <c r="C261" s="3" t="inlineStr">
        <is>
          <t>KL (g)</t>
        </is>
      </c>
      <c r="D261" s="3" t="inlineStr">
        <is>
          <t>Wt (g)</t>
        </is>
      </c>
      <c r="E261" s="3" t="inlineStr">
        <is>
          <t>ນ້ຳໜັກ</t>
        </is>
      </c>
      <c r="F261" s="3" t="inlineStr">
        <is>
          <t>အလေးချိန်(g)</t>
        </is>
      </c>
      <c r="G261" s="3">
        <f>IFERROR(__xludf.DUMMYFUNCTION("GOOGLETRANSLATE(C261,""vi"",""km"")"),"ទម្ងន់ (ក្រាម)")</f>
        <v/>
      </c>
      <c r="H261" s="217" t="inlineStr">
        <is>
          <t>ទម្ងន់(ក្រាម)</t>
        </is>
      </c>
      <c r="J261" s="3" t="inlineStr">
        <is>
          <t>ទម្ងន់(ក្រាម)</t>
        </is>
      </c>
      <c r="K261" s="217" t="inlineStr">
        <is>
          <t>ទម្ងន់(ក្រាម)</t>
        </is>
      </c>
      <c r="S261" s="163" t="inlineStr">
        <is>
          <t>គីឡូ (g)</t>
        </is>
      </c>
    </row>
    <row r="262" ht="15.75" customHeight="1" s="305">
      <c r="A262" s="217" t="inlineStr">
        <is>
          <t>CREATE_ORDER.MERCHANDISE_QUANTITY</t>
        </is>
      </c>
      <c r="B262" s="153" t="inlineStr">
        <is>
          <t>数量</t>
        </is>
      </c>
      <c r="C262" s="3" t="inlineStr">
        <is>
          <t>SL</t>
        </is>
      </c>
      <c r="D262" s="3" t="inlineStr">
        <is>
          <t>QTY</t>
        </is>
      </c>
      <c r="E262" s="3" t="inlineStr">
        <is>
          <t>ຈຳນວນ</t>
        </is>
      </c>
      <c r="F262" s="3" t="inlineStr">
        <is>
          <t>အရေအတွက်</t>
        </is>
      </c>
      <c r="G262" s="3">
        <f>IFERROR(__xludf.DUMMYFUNCTION("GOOGLETRANSLATE(C262,""vi"",""km"")"),"អេសអិល")</f>
        <v/>
      </c>
      <c r="H262" s="217" t="inlineStr">
        <is>
          <t>ចំនួន</t>
        </is>
      </c>
      <c r="J262" s="3" t="inlineStr">
        <is>
          <t>ចំនួន</t>
        </is>
      </c>
      <c r="K262" s="217" t="inlineStr">
        <is>
          <t>ចំនួន</t>
        </is>
      </c>
      <c r="S262" s="163" t="inlineStr">
        <is>
          <t>ចំនួន</t>
        </is>
      </c>
    </row>
    <row r="263" ht="15.75" customHeight="1" s="305">
      <c r="A263" s="217" t="inlineStr">
        <is>
          <t>CREATE_ORDER.ADD_MERCHANDISE</t>
        </is>
      </c>
      <c r="B263" s="153" t="inlineStr">
        <is>
          <t>添加物品</t>
        </is>
      </c>
      <c r="C263" s="3" t="inlineStr">
        <is>
          <t>Thêm hàng hóa</t>
        </is>
      </c>
      <c r="D263" s="3" t="inlineStr">
        <is>
          <t>Add Goods</t>
        </is>
      </c>
      <c r="E263" s="3" t="inlineStr">
        <is>
          <t>ເພີ່ມສິນຄ້າ</t>
        </is>
      </c>
      <c r="F263" s="3" t="inlineStr">
        <is>
          <t>ကုန်ပစ္စည်းများထည့်ပါ</t>
        </is>
      </c>
      <c r="G263" s="3">
        <f>IFERROR(__xludf.DUMMYFUNCTION("GOOGLETRANSLATE(C263,""vi"",""km"")"),"បន្ថែមទំនិញបន្ថែមទៀត")</f>
        <v/>
      </c>
      <c r="H263" s="217" t="inlineStr">
        <is>
          <t>បន្ថែមអីវ៉ាន់</t>
        </is>
      </c>
      <c r="J263" s="3" t="inlineStr">
        <is>
          <t>បន្ថែមអីវ៉ាន់</t>
        </is>
      </c>
      <c r="K263" s="217" t="inlineStr">
        <is>
          <t>បន្ថែមអីវ៉ាន់</t>
        </is>
      </c>
      <c r="S263" s="163" t="inlineStr">
        <is>
          <t>បន្ថែមទំនិញ</t>
        </is>
      </c>
    </row>
    <row r="264" ht="15.75" customHeight="1" s="305">
      <c r="A264" s="217" t="inlineStr">
        <is>
          <t>CREATE_ORDER.TOTAL_WEIGHT</t>
        </is>
      </c>
      <c r="B264" s="153" t="inlineStr">
        <is>
          <t>总重量</t>
        </is>
      </c>
      <c r="C264" s="3" t="inlineStr">
        <is>
          <t>Tổng khối lượng:</t>
        </is>
      </c>
      <c r="D264" s="3" t="inlineStr">
        <is>
          <t>Total Weight:</t>
        </is>
      </c>
      <c r="E264" s="3" t="inlineStr">
        <is>
          <t>ນ້ຳໜັກທັງໝົດ:</t>
        </is>
      </c>
      <c r="F264" s="3" t="inlineStr">
        <is>
          <t>စုစုပေါင်း အလေးချိန် -</t>
        </is>
      </c>
      <c r="G264" s="3">
        <f>IFERROR(__xludf.DUMMYFUNCTION("GOOGLETRANSLATE(C264,""vi"",""km"")"),"ទម្ងន់សរុប៖")</f>
        <v/>
      </c>
      <c r="H264" s="217" t="inlineStr">
        <is>
          <t>ទម្ងន់សរុប៖</t>
        </is>
      </c>
      <c r="J264" s="3" t="inlineStr">
        <is>
          <t>ទម្ងន់សរុប៖</t>
        </is>
      </c>
      <c r="K264" s="217" t="inlineStr">
        <is>
          <t>ទម្ងន់សរុប៖</t>
        </is>
      </c>
      <c r="S264" s="163" t="inlineStr">
        <is>
          <t>ទំងន់សរុប៖</t>
        </is>
      </c>
    </row>
    <row r="265" ht="15.75" customHeight="1" s="305">
      <c r="A265" s="217" t="inlineStr">
        <is>
          <t>CREATE_ORDER.TOTAL_PRICE</t>
        </is>
      </c>
      <c r="B265" s="153" t="inlineStr">
        <is>
          <t>总费用</t>
        </is>
      </c>
      <c r="C265" s="3" t="inlineStr">
        <is>
          <t>Tổng giá trị:</t>
        </is>
      </c>
      <c r="D265" s="3" t="inlineStr">
        <is>
          <t>Total Price:</t>
        </is>
      </c>
      <c r="E265" s="3" t="inlineStr">
        <is>
          <t>ມູນຄ່າທັງໝົດ:</t>
        </is>
      </c>
      <c r="F265" s="3" t="inlineStr">
        <is>
          <t>စုစုပေါင်းဈေးနှုန်း -</t>
        </is>
      </c>
      <c r="G265" s="3">
        <f>IFERROR(__xludf.DUMMYFUNCTION("GOOGLETRANSLATE(C265,""vi"",""km"")"),"តម្លៃសរុប៖")</f>
        <v/>
      </c>
      <c r="H265" s="217" t="inlineStr">
        <is>
          <t>តម្លៃសរុប៖</t>
        </is>
      </c>
      <c r="J265" s="3" t="inlineStr">
        <is>
          <t>តម្លៃសរុប៖</t>
        </is>
      </c>
      <c r="K265" s="217" t="inlineStr">
        <is>
          <t>តម្លៃសរុប៖</t>
        </is>
      </c>
      <c r="S265" s="163" t="inlineStr">
        <is>
          <t>តម្លៃសរុប៖</t>
        </is>
      </c>
    </row>
    <row r="266" ht="15.75" customHeight="1" s="305">
      <c r="A266" s="217" t="inlineStr">
        <is>
          <t>CREATE_ORDER.TYPE_MERCHANDISE</t>
        </is>
      </c>
      <c r="B266" s="153" t="inlineStr">
        <is>
          <t>物品类型</t>
        </is>
      </c>
      <c r="C266" s="3" t="inlineStr">
        <is>
          <t>Tính chất hàng hóa</t>
        </is>
      </c>
      <c r="D266" s="3" t="inlineStr">
        <is>
          <t>Type of Goods</t>
        </is>
      </c>
      <c r="E266" s="3" t="inlineStr">
        <is>
          <t>ລັກສະນະຜະລິດຕະພັນ</t>
        </is>
      </c>
      <c r="F266" s="3" t="inlineStr">
        <is>
          <t>ကုန်ပစ္စည်းအမျိုးအစား</t>
        </is>
      </c>
      <c r="G266" s="3">
        <f>IFERROR(__xludf.DUMMYFUNCTION("GOOGLETRANSLATE(C266,""vi"",""km"")"),"លក្ខណៈផលិតផល")</f>
        <v/>
      </c>
      <c r="H266" s="217" t="inlineStr">
        <is>
          <t>លក្ខណៈអីវ៉ាន់</t>
        </is>
      </c>
      <c r="J266" s="3" t="inlineStr">
        <is>
          <t>លក្ខណៈអីវ៉ាន់</t>
        </is>
      </c>
      <c r="K266" s="217" t="inlineStr">
        <is>
          <t>លក្ខណៈអីវ៉ាន់</t>
        </is>
      </c>
      <c r="S266" s="163" t="inlineStr">
        <is>
          <t>ប្រភេទនៃទំនិញ</t>
        </is>
      </c>
    </row>
    <row r="267" ht="15.75" customHeight="1" s="305">
      <c r="A267" s="217" t="inlineStr">
        <is>
          <t>CREATE_ORDER.MERCHANDISE_IMAGE</t>
        </is>
      </c>
      <c r="B267" s="153" t="inlineStr">
        <is>
          <t>物品照片</t>
        </is>
      </c>
      <c r="C267" s="3" t="inlineStr">
        <is>
          <t>Ảnh gói hàng</t>
        </is>
      </c>
      <c r="D267" s="3" t="inlineStr">
        <is>
          <t>Goods Image</t>
        </is>
      </c>
      <c r="E267" s="3" t="inlineStr">
        <is>
          <t>ຮູບພັດສະດຸ</t>
        </is>
      </c>
      <c r="F267" s="3" t="inlineStr">
        <is>
          <t>ကုန်ပစ္စည်းပုံ</t>
        </is>
      </c>
      <c r="G267" s="3">
        <f>IFERROR(__xludf.DUMMYFUNCTION("GOOGLETRANSLATE(C267,""vi"",""km"")"),"រូបថតកញ្ចប់")</f>
        <v/>
      </c>
      <c r="H267" s="217" t="inlineStr">
        <is>
          <t>រូបភាពវេចខ្ចប់អីវ៉ាន់</t>
        </is>
      </c>
      <c r="J267" s="3" t="inlineStr">
        <is>
          <t>រូបភាពវេចខ្ចប់អីវ៉ាន់</t>
        </is>
      </c>
      <c r="K267" s="217" t="inlineStr">
        <is>
          <t>រូបភាពវេចខ្ចប់អីវ៉ាន់</t>
        </is>
      </c>
      <c r="S267" s="163" t="inlineStr">
        <is>
          <t>រូបភាពទំនិញ</t>
        </is>
      </c>
    </row>
    <row r="268" ht="15.75" customHeight="1" s="305">
      <c r="A268" s="217" t="inlineStr">
        <is>
          <t>CREATE_ORDER.TAKE_MIN_2_IMAGE</t>
        </is>
      </c>
      <c r="B268" s="153" t="inlineStr">
        <is>
          <t>请至少拍摄2张照片</t>
        </is>
      </c>
      <c r="C268" s="3" t="inlineStr">
        <is>
          <t>Vui lòng chụp tối thiểu 2 ảnh</t>
        </is>
      </c>
      <c r="D268" s="3" t="inlineStr">
        <is>
          <t>Please take at least 2 images</t>
        </is>
      </c>
      <c r="E268" s="3" t="inlineStr">
        <is>
          <t>ກະລຸນາຖ່າຍຮູບຢ່າງໜ້ອຍ 2 ຮູບ</t>
        </is>
      </c>
      <c r="F268" s="3" t="inlineStr">
        <is>
          <t>ကျေးဇူးပြု၍ အနည်းဆုံး ရုပ်ပုံ ၂ ပုံယူပါ</t>
        </is>
      </c>
      <c r="G268" s="3">
        <f>IFERROR(__xludf.DUMMYFUNCTION("GOOGLETRANSLATE(C268,""vi"",""km"")"),"សូមថតរូបយ៉ាងហោចណាស់ ២ សន្លឹក។")</f>
        <v/>
      </c>
      <c r="H268" s="217" t="inlineStr">
        <is>
          <t>សូមថតយ៉ាងតិច2រូប</t>
        </is>
      </c>
      <c r="J268" s="3" t="inlineStr">
        <is>
          <t>សូមថតយ៉ាងតិច2រូប</t>
        </is>
      </c>
      <c r="K268" s="217" t="inlineStr">
        <is>
          <t>សូមថតយ៉ាងតិច2រូប</t>
        </is>
      </c>
      <c r="S268" s="163" t="inlineStr">
        <is>
          <t>សូមថតរូបយ៉ាងតិច 2 សន្លឹក</t>
        </is>
      </c>
    </row>
    <row r="269" ht="15.75" customHeight="1" s="305">
      <c r="A269" s="217" t="inlineStr">
        <is>
          <t>CREATE_ORDER.MERCHANDISE_SIZE</t>
        </is>
      </c>
      <c r="B269" s="153" t="inlineStr">
        <is>
          <t>物品尺寸</t>
        </is>
      </c>
      <c r="C269" s="3" t="inlineStr">
        <is>
          <t>Kích thước hàng hóa</t>
        </is>
      </c>
      <c r="D269" s="3" t="inlineStr">
        <is>
          <t>Goods Size</t>
        </is>
      </c>
      <c r="E269" s="3" t="inlineStr">
        <is>
          <t>ຂະຫນາດຜະລິດຕະພັນ</t>
        </is>
      </c>
      <c r="F269" s="3" t="inlineStr">
        <is>
          <t>ကုန်ပစ္စည်းအရွယ်အစား</t>
        </is>
      </c>
      <c r="G269" s="3">
        <f>IFERROR(__xludf.DUMMYFUNCTION("GOOGLETRANSLATE(C269,""vi"",""km"")"),"វិមាត្រផលិតផល")</f>
        <v/>
      </c>
      <c r="H269" s="217" t="inlineStr">
        <is>
          <t>ទំហំទំនិញ៖</t>
        </is>
      </c>
      <c r="J269" s="3" t="inlineStr">
        <is>
          <t>ទំហំទំនិញ៖</t>
        </is>
      </c>
      <c r="K269" s="217" t="inlineStr">
        <is>
          <t>ទំហំទំនិញ៖</t>
        </is>
      </c>
      <c r="S269" s="163" t="inlineStr">
        <is>
          <t>ទំហំទំនិញ</t>
        </is>
      </c>
    </row>
    <row r="270" ht="15.75" customHeight="1" s="305">
      <c r="A270" s="217" t="inlineStr">
        <is>
          <t>CREATE_ORDER.MERCHANDISE_PACKAGE_SIZE</t>
        </is>
      </c>
      <c r="B270" s="153" t="inlineStr">
        <is>
          <t>包裹尺寸</t>
        </is>
      </c>
      <c r="C270" s="3" t="inlineStr">
        <is>
          <t>Kích thước gói hàng</t>
        </is>
      </c>
      <c r="D270" s="3" t="inlineStr">
        <is>
          <t>Package Size</t>
        </is>
      </c>
      <c r="E270" s="3" t="inlineStr">
        <is>
          <t>ຂະໜາດບັນຈຸ</t>
        </is>
      </c>
      <c r="F270" s="3" t="inlineStr">
        <is>
          <t>ပက်ကေ့အရွယ်အစား</t>
        </is>
      </c>
      <c r="G270" s="3">
        <f>IFERROR(__xludf.DUMMYFUNCTION("GOOGLETRANSLATE(C270,""vi"",""km"")"),"ទំហំកញ្ចប់")</f>
        <v/>
      </c>
      <c r="J270" s="3" t="inlineStr">
        <is>
          <t>ទំហំកញ្ចប់អីវ៉ាន់</t>
        </is>
      </c>
      <c r="K270" s="217" t="inlineStr">
        <is>
          <t>ទំហំកញ្ចប់អីវ៉ាន់</t>
        </is>
      </c>
      <c r="S270" s="163" t="inlineStr">
        <is>
          <t>ទំហំកញ្ចប់</t>
        </is>
      </c>
    </row>
    <row r="271" ht="15.75" customHeight="1" s="305">
      <c r="A271" s="217" t="inlineStr">
        <is>
          <t>CREATE_ORDER.LENGTH_WIDTH_HEIGHT</t>
        </is>
      </c>
      <c r="B271" s="153" t="inlineStr">
        <is>
          <t>长 × 宽 × 高</t>
        </is>
      </c>
      <c r="C271" s="3" t="inlineStr">
        <is>
          <t>Dài x Rộng x Cao</t>
        </is>
      </c>
      <c r="D271" s="3" t="inlineStr">
        <is>
          <t>Length x Width x Height</t>
        </is>
      </c>
      <c r="E271" s="3" t="inlineStr">
        <is>
          <t>ຍາວ x ກວ້າງ x ສູງ</t>
        </is>
      </c>
      <c r="F271" s="3" t="inlineStr">
        <is>
          <t>အလျား x အနံ x အမြင့်</t>
        </is>
      </c>
      <c r="G271" s="3">
        <f>IFERROR(__xludf.DUMMYFUNCTION("GOOGLETRANSLATE(C271,""vi"",""km"")"),"បណ្តោយ x ទទឹង x កម្ពស់")</f>
        <v/>
      </c>
      <c r="J271" s="3" t="inlineStr">
        <is>
          <t>ប្រវែង x ទទឹង x កម្ពស់</t>
        </is>
      </c>
      <c r="K271" s="217" t="inlineStr">
        <is>
          <t>ប្រវែង x ទទឹង x កម្ពស់</t>
        </is>
      </c>
      <c r="S271" s="163" t="inlineStr">
        <is>
          <t>ប្រវែង x ទទឹង x កម្ពស់</t>
        </is>
      </c>
    </row>
    <row r="272" ht="15.75" customHeight="1" s="305">
      <c r="A272" s="217" t="inlineStr">
        <is>
          <t>CREATE_ORDER.MONEY_COD</t>
        </is>
      </c>
      <c r="B272" s="153" t="inlineStr">
        <is>
          <t>代收货款</t>
        </is>
      </c>
      <c r="C272" s="3" t="inlineStr">
        <is>
          <t>Thu hộ COD</t>
        </is>
      </c>
      <c r="D272" s="3" t="inlineStr">
        <is>
          <t>COD Collection</t>
        </is>
      </c>
      <c r="E272" s="3" t="inlineStr">
        <is>
          <t>ການເກັບ COD</t>
        </is>
      </c>
      <c r="F272" s="3" t="inlineStr">
        <is>
          <t>COD စုဆောင်းမှု</t>
        </is>
      </c>
      <c r="G272" s="3">
        <f>IFERROR(__xludf.DUMMYFUNCTION("GOOGLETRANSLATE(C272,""vi"",""km"")"),"បង់ប្រាក់ពេលទទួលទំនិញ (COD)")</f>
        <v/>
      </c>
      <c r="H272" s="217" t="inlineStr">
        <is>
          <t>ប្រមូលជំនួស COD</t>
        </is>
      </c>
      <c r="J272" s="217" t="inlineStr">
        <is>
          <t>ប្រមូលប្រាក់ COD</t>
        </is>
      </c>
      <c r="K272" s="217" t="inlineStr">
        <is>
          <t>ប្រមូលប្រាក់ COD</t>
        </is>
      </c>
      <c r="S272" s="163" t="inlineStr">
        <is>
          <t>ការប្រមូល COD</t>
        </is>
      </c>
    </row>
    <row r="273" ht="15.75" customHeight="1" s="305">
      <c r="A273" s="217" t="inlineStr">
        <is>
          <t>CREATE_ORDER.ORDER_NUMBER_SELF_MANAGE</t>
        </is>
      </c>
      <c r="B273" s="153" t="inlineStr">
        <is>
          <t>自定义单号</t>
        </is>
      </c>
      <c r="C273" s="3" t="inlineStr">
        <is>
          <t>Mã đơn tự quản lý</t>
        </is>
      </c>
      <c r="D273" s="3" t="inlineStr">
        <is>
          <t>Self-Managed Order Number</t>
        </is>
      </c>
      <c r="E273" s="3" t="inlineStr">
        <is>
          <t>ລະຫັດດຽວຈັດການດ້ວຍຕົນເອງ</t>
        </is>
      </c>
      <c r="F273" s="3" t="inlineStr">
        <is>
          <t>ကိုယ့်ကိုယ်ကို စီမံခန့်ခွဲမှုအမိန့် နံပါတ်</t>
        </is>
      </c>
      <c r="G273" s="3">
        <f>IFERROR(__xludf.DUMMYFUNCTION("GOOGLETRANSLATE(C273,""vi"",""km"")"),"លេខកូដបញ្ជាទិញដែលគ្រប់គ្រងដោយខ្លួនឯង")</f>
        <v/>
      </c>
      <c r="J273" s="3" t="inlineStr">
        <is>
          <t>លេខកូដបុងបញ្ញើដែលគ្រប់គ្រងដោយខ្លួនឯង</t>
        </is>
      </c>
      <c r="K273" s="217" t="inlineStr">
        <is>
          <t>លេខកូដបុងបញ្ញើដែលគ្រប់គ្រងដោយខ្លួនឯង</t>
        </is>
      </c>
      <c r="S273" s="163" t="inlineStr">
        <is>
          <t>លេខបញ្ជាទិញដែលគ្រប់គ្រងដោយខ្លួនឯង</t>
        </is>
      </c>
    </row>
    <row r="274" ht="15.75" customHeight="1" s="305">
      <c r="A274" s="217" t="inlineStr">
        <is>
          <t>CREATE_ORDER.SIZE</t>
        </is>
      </c>
      <c r="B274" s="153" t="inlineStr">
        <is>
          <t>尺寸</t>
        </is>
      </c>
      <c r="C274" s="3" t="inlineStr">
        <is>
          <t>Kích thước</t>
        </is>
      </c>
      <c r="D274" s="3" t="inlineStr">
        <is>
          <t>Size</t>
        </is>
      </c>
      <c r="E274" s="3" t="inlineStr">
        <is>
          <t>ຂະໜາດ</t>
        </is>
      </c>
      <c r="F274" s="3" t="inlineStr">
        <is>
          <t>အရွယ်အစား</t>
        </is>
      </c>
      <c r="G274" s="3">
        <f>IFERROR(__xludf.DUMMYFUNCTION("GOOGLETRANSLATE(C274,""vi"",""km"")"),"ទំហំ")</f>
        <v/>
      </c>
      <c r="H274" s="217" t="inlineStr">
        <is>
          <t>ទំហំ</t>
        </is>
      </c>
      <c r="J274" s="3" t="inlineStr">
        <is>
          <t>ទំហំ</t>
        </is>
      </c>
      <c r="K274" s="217" t="inlineStr">
        <is>
          <t>ទំហំ</t>
        </is>
      </c>
      <c r="S274" s="163" t="inlineStr">
        <is>
          <t>ទំហំ</t>
        </is>
      </c>
    </row>
    <row r="275" ht="15.75" customHeight="1" s="305">
      <c r="A275" s="217" t="inlineStr">
        <is>
          <t>CREATE_ORDER.PRICE_INFO</t>
        </is>
      </c>
      <c r="B275" s="153" t="inlineStr">
        <is>
          <t>费用明细</t>
        </is>
      </c>
      <c r="C275" s="3" t="inlineStr">
        <is>
          <t>THÔNG TIN CƯỚC PHÍ</t>
        </is>
      </c>
      <c r="D275" s="3" t="inlineStr">
        <is>
          <t>FEE DETAILS</t>
        </is>
      </c>
      <c r="E275" s="3" t="inlineStr">
        <is>
          <t>ຂໍ້ມູນຄ່າທໍານຽມ</t>
        </is>
      </c>
      <c r="F275" s="3" t="inlineStr">
        <is>
          <t>စျေးနှုန်း သတင်းအချက်အလက်</t>
        </is>
      </c>
      <c r="G275" s="3">
        <f>IFERROR(__xludf.DUMMYFUNCTION("GOOGLETRANSLATE(C275,""vi"",""km"")"),"ព័ត៌មានពន្ធ")</f>
        <v/>
      </c>
      <c r="H275" s="217" t="inlineStr">
        <is>
          <t>ព័ត៌មានថ្លៃសេវា</t>
        </is>
      </c>
      <c r="J275" s="3" t="inlineStr">
        <is>
          <t>ព័ត៌មានថ្លៃសេវា</t>
        </is>
      </c>
      <c r="K275" s="217" t="inlineStr">
        <is>
          <t>ព័ត៌មានថ្លៃសេវា</t>
        </is>
      </c>
      <c r="S275" s="163" t="inlineStr">
        <is>
          <t>ព័ត៌មានលម្អិតអំពីថ្លៃសេវា</t>
        </is>
      </c>
    </row>
    <row r="276" ht="15.75" customHeight="1" s="305">
      <c r="A276" s="217" t="inlineStr">
        <is>
          <t>CREATE_ORDER.SERVICE</t>
        </is>
      </c>
      <c r="B276" s="153" t="inlineStr">
        <is>
          <t>服务</t>
        </is>
      </c>
      <c r="C276" s="3" t="inlineStr">
        <is>
          <t>Dịch vụ</t>
        </is>
      </c>
      <c r="D276" s="3" t="inlineStr">
        <is>
          <t>Service</t>
        </is>
      </c>
      <c r="E276" s="3" t="inlineStr">
        <is>
          <t>ການບໍລິການ</t>
        </is>
      </c>
      <c r="F276" s="3" t="inlineStr">
        <is>
          <t>ဝန်ဆောင်မှုလုပ်ငန်း</t>
        </is>
      </c>
      <c r="G276" s="3">
        <f>IFERROR(__xludf.DUMMYFUNCTION("GOOGLETRANSLATE(C276,""vi"",""km"")"),"សេវាកម្ម")</f>
        <v/>
      </c>
      <c r="H276" s="217" t="inlineStr">
        <is>
          <t>សេវាកម្ម</t>
        </is>
      </c>
      <c r="J276" s="3" t="inlineStr">
        <is>
          <t>សេវាកម្ម</t>
        </is>
      </c>
      <c r="K276" s="217" t="inlineStr">
        <is>
          <t>សេវាកម្ម</t>
        </is>
      </c>
      <c r="S276" s="163" t="inlineStr">
        <is>
          <t>សេវាកម្ម</t>
        </is>
      </c>
    </row>
    <row r="277" ht="15.75" customHeight="1" s="305">
      <c r="A277" s="217" t="inlineStr">
        <is>
          <t>CREATE_ORDER.SELECT_SERVICE</t>
        </is>
      </c>
      <c r="B277" s="153" t="inlineStr">
        <is>
          <t>选择服务</t>
        </is>
      </c>
      <c r="C277" s="3" t="inlineStr">
        <is>
          <t>Chọn dịch vụ</t>
        </is>
      </c>
      <c r="D277" s="3" t="inlineStr">
        <is>
          <t>Select Service</t>
        </is>
      </c>
      <c r="E277" s="3" t="inlineStr">
        <is>
          <t>ເລືອກການບໍລິການ</t>
        </is>
      </c>
      <c r="F277" s="3" t="inlineStr">
        <is>
          <t>ဝန်ဆောင်မှုရွေးချယ်ပါ</t>
        </is>
      </c>
      <c r="G277" s="3">
        <f>IFERROR(__xludf.DUMMYFUNCTION("GOOGLETRANSLATE(C277,""vi"",""km"")"),"ជ្រើសរើសសេវាកម្មមួយ")</f>
        <v/>
      </c>
      <c r="H277" s="217" t="inlineStr">
        <is>
          <t>ជ្រើសរើសសេវាកម្ម</t>
        </is>
      </c>
      <c r="J277" s="3" t="inlineStr">
        <is>
          <t>ជ្រើសរើសសេវាកម្ម</t>
        </is>
      </c>
      <c r="K277" s="217" t="inlineStr">
        <is>
          <t>ជ្រើសរើសសេវាកម្ម</t>
        </is>
      </c>
      <c r="S277" s="163" t="inlineStr">
        <is>
          <t>ជ្រើសរើសសេវាកម្ម</t>
        </is>
      </c>
    </row>
    <row r="278" ht="15.75" customHeight="1" s="305">
      <c r="A278" s="217" t="inlineStr">
        <is>
          <t>CREATE_ORDER.WEIGHT_CALCULATE_PRICE</t>
        </is>
      </c>
      <c r="B278" s="153" t="inlineStr">
        <is>
          <t>计费重量</t>
        </is>
      </c>
      <c r="C278" s="3" t="inlineStr">
        <is>
          <t>Khối lượng tính cước:</t>
        </is>
      </c>
      <c r="D278" s="3" t="inlineStr">
        <is>
          <t>Weight for Price Calculation:</t>
        </is>
      </c>
      <c r="E278" s="3" t="inlineStr">
        <is>
          <t>ນ້ຳໜັກທີ່ສາມາດເກັບໄດ້:</t>
        </is>
      </c>
      <c r="F278" s="3" t="inlineStr">
        <is>
          <t>ဈေးနှုန်း တွက်ချက်မှုအတွက် အလေးချိန် -</t>
        </is>
      </c>
      <c r="G278" s="3">
        <f>IFERROR(__xludf.DUMMYFUNCTION("GOOGLETRANSLATE(C278,""vi"",""km"")"),"ទម្ងន់ដែលអាចលៃតម្រូវបាន៖")</f>
        <v/>
      </c>
      <c r="H278" s="217" t="inlineStr">
        <is>
          <t>ទំម្ងន់គិតថ្លៃសេវា៖</t>
        </is>
      </c>
      <c r="J278" s="3" t="inlineStr">
        <is>
          <t>ទំម្ងន់គិតថ្លៃសេវា៖</t>
        </is>
      </c>
      <c r="K278" s="217" t="inlineStr">
        <is>
          <t>ទំម្ងន់គិតថ្លៃសេវា៖</t>
        </is>
      </c>
      <c r="S278" s="163" t="inlineStr">
        <is>
          <t>ទម្ងន់សម្រាប់ការគណនាតម្លៃ៖</t>
        </is>
      </c>
    </row>
    <row r="279" ht="15.75" customHeight="1" s="305">
      <c r="A279" s="217" t="inlineStr">
        <is>
          <t>CREATE_ORDER.EXTRA_SERVICE</t>
        </is>
      </c>
      <c r="B279" s="153" t="inlineStr">
        <is>
          <t>增值服务</t>
        </is>
      </c>
      <c r="C279" s="3" t="inlineStr">
        <is>
          <t>Dịch vụ cộng thêm</t>
        </is>
      </c>
      <c r="D279" s="3" t="inlineStr">
        <is>
          <t>Extra Services</t>
        </is>
      </c>
      <c r="E279" s="3" t="inlineStr">
        <is>
          <t>ການບໍລິການເພີ່ມເຕີມ</t>
        </is>
      </c>
      <c r="F279" s="3" t="inlineStr">
        <is>
          <t>အပို ဝန်ဆောင်မှုများ</t>
        </is>
      </c>
      <c r="G279" s="3">
        <f>IFERROR(__xludf.DUMMYFUNCTION("GOOGLETRANSLATE(C279,""vi"",""km"")"),"សេវាកម្មបន្ថែម")</f>
        <v/>
      </c>
      <c r="H279" s="217" t="inlineStr">
        <is>
          <t>សេវាកម្មបូកបន្ថែម</t>
        </is>
      </c>
      <c r="J279" s="3" t="inlineStr">
        <is>
          <t>សេវាកម្មបន្ថែម</t>
        </is>
      </c>
      <c r="K279" s="217" t="inlineStr">
        <is>
          <t>សេវាកម្មបន្ថែម</t>
        </is>
      </c>
      <c r="S279" s="163" t="inlineStr">
        <is>
          <t>សេវាកម្មបន្ថែម</t>
        </is>
      </c>
    </row>
    <row r="280" ht="15.75" customHeight="1" s="305">
      <c r="A280" s="217" t="inlineStr">
        <is>
          <t>CREATE_ORDER.VIEW_ALL</t>
        </is>
      </c>
      <c r="B280" s="153" t="inlineStr">
        <is>
          <t>查看全部</t>
        </is>
      </c>
      <c r="C280" s="3" t="inlineStr">
        <is>
          <t>Xem tất cả</t>
        </is>
      </c>
      <c r="D280" s="3" t="inlineStr">
        <is>
          <t>View All</t>
        </is>
      </c>
      <c r="E280" s="3" t="inlineStr">
        <is>
          <t>ເບິ່ງທັງໝົດ</t>
        </is>
      </c>
      <c r="F280" s="3" t="inlineStr">
        <is>
          <t>အားလုံးကိုကြည့်ပါ</t>
        </is>
      </c>
      <c r="G280" s="3">
        <f>IFERROR(__xludf.DUMMYFUNCTION("GOOGLETRANSLATE(C280,""vi"",""km"")"),"មើលទាំងអស់")</f>
        <v/>
      </c>
      <c r="H280" s="217" t="inlineStr">
        <is>
          <t>មើលទាំងអស់</t>
        </is>
      </c>
      <c r="J280" s="3" t="inlineStr">
        <is>
          <t>មើលទាំងអស់</t>
        </is>
      </c>
      <c r="K280" s="217" t="inlineStr">
        <is>
          <t>មើលទាំងអស់</t>
        </is>
      </c>
      <c r="S280" s="163" t="inlineStr">
        <is>
          <t>មើលទាំងអស់</t>
        </is>
      </c>
    </row>
    <row r="281" ht="15.75" customHeight="1" s="305">
      <c r="A281" s="217" t="inlineStr">
        <is>
          <t>CREATE_ORDER.ORDER_PAYMENT</t>
        </is>
      </c>
      <c r="B281" s="153" t="inlineStr">
        <is>
          <t>付款人</t>
        </is>
      </c>
      <c r="C281" s="3" t="inlineStr">
        <is>
          <t>Người trả cước</t>
        </is>
      </c>
      <c r="D281" s="3" t="inlineStr">
        <is>
          <t>Payer</t>
        </is>
      </c>
      <c r="E281" s="3" t="inlineStr">
        <is>
          <t>ຜູ້ຈ່າຍເງິນ</t>
        </is>
      </c>
      <c r="F281" s="3" t="inlineStr">
        <is>
          <t>ပေးချေသူ</t>
        </is>
      </c>
      <c r="G281" s="3">
        <f>IFERROR(__xludf.DUMMYFUNCTION("GOOGLETRANSLATE(C281,""vi"",""km"")"),"អ្នកបង់ប្រាក់")</f>
        <v/>
      </c>
      <c r="H281" s="217" t="inlineStr">
        <is>
          <t>អ្នកចេញថ្លៃសេវា</t>
        </is>
      </c>
      <c r="J281" s="3" t="inlineStr">
        <is>
          <t>អ្នកចេញថ្លៃសេវា</t>
        </is>
      </c>
      <c r="K281" s="217" t="inlineStr">
        <is>
          <t>អ្នកចេញថ្លៃសេវា</t>
        </is>
      </c>
      <c r="S281" s="163" t="inlineStr">
        <is>
          <t>អ្នកបង់ប្រាក់</t>
        </is>
      </c>
    </row>
    <row r="282" ht="15.75" customHeight="1" s="305">
      <c r="A282" s="217" t="inlineStr">
        <is>
          <t>CREATE_ORDER.READ_AND_CONFIRM</t>
        </is>
      </c>
      <c r="B282" s="153" t="inlineStr">
        <is>
          <t>本人已读并同意</t>
        </is>
      </c>
      <c r="C282" s="3" t="inlineStr">
        <is>
          <t>Tôi đã đọc và đồng ý với</t>
        </is>
      </c>
      <c r="D282" s="3" t="inlineStr">
        <is>
          <t>I agree to the</t>
        </is>
      </c>
      <c r="E282" s="3" t="inlineStr">
        <is>
          <t>ຂ້າພະເຈົ້າໄດ້ອ່ານແລະຕົກລົງເຫັນດີກັບ</t>
        </is>
      </c>
      <c r="F282" s="3" t="inlineStr">
        <is>
          <t>စာဖတ်ပြီး သဘောတူလိုက်ပါတယ်</t>
        </is>
      </c>
      <c r="G282" s="3">
        <f>IFERROR(__xludf.DUMMYFUNCTION("GOOGLETRANSLATE(C282,""vi"",""km"")"),"ខ្ញុំបានអានហើយយល់ស្របជាមួយ")</f>
        <v/>
      </c>
      <c r="H282" s="3" t="inlineStr">
        <is>
          <t>ខ្ញុំបានអាន ហើយបានយល់ព្រម</t>
        </is>
      </c>
      <c r="J282" s="3" t="inlineStr">
        <is>
          <t>ខ្ញុំបានអាន ហើយបានយល់ព្រម</t>
        </is>
      </c>
      <c r="K282" s="217" t="inlineStr">
        <is>
          <t>ខ្ញុំបានអាន ហើយបានយល់ព្រម</t>
        </is>
      </c>
      <c r="S282" s="163" t="inlineStr">
        <is>
          <t xml:space="preserve">ខ្ញុំយល់ព្រមនឹង </t>
        </is>
      </c>
    </row>
    <row r="283" ht="15.75" customHeight="1" s="305">
      <c r="A283" s="217" t="inlineStr">
        <is>
          <t>CREATE_ORDER.RULE_AND_POLICY</t>
        </is>
      </c>
      <c r="B283" s="153" t="inlineStr">
        <is>
          <t>《条款与政策》</t>
        </is>
      </c>
      <c r="C283" s="3" t="inlineStr">
        <is>
          <t xml:space="preserve"> Điều khoản &amp; quy định</t>
        </is>
      </c>
      <c r="D283" s="3" t="inlineStr">
        <is>
          <t xml:space="preserve"> Terms &amp; Policies</t>
        </is>
      </c>
      <c r="E283" s="3" t="inlineStr">
        <is>
          <t>ຂໍ້ກຳນົດ ແລະເງື່ອນໄຂ</t>
        </is>
      </c>
      <c r="F283" s="3" t="inlineStr">
        <is>
          <t xml:space="preserve"> စည်းကမ်းချက်များနှင့် မူဝါဒများ</t>
        </is>
      </c>
      <c r="G283" s="3">
        <f>IFERROR(__xludf.DUMMYFUNCTION("GOOGLETRANSLATE(C283,""vi"",""km"")"),"លក្ខខណ្ឌ")</f>
        <v/>
      </c>
      <c r="J283" s="3" t="inlineStr">
        <is>
          <t>លក្ខខណ្ឌ និងគោលការណ៍</t>
        </is>
      </c>
      <c r="K283" s="217" t="inlineStr">
        <is>
          <t>លក្ខខណ្ឌ និងគោលការណ៍</t>
        </is>
      </c>
      <c r="S283" s="163" t="inlineStr">
        <is>
          <t>លក្ខខណ្ឌ និងគោលការណ៍</t>
        </is>
      </c>
    </row>
    <row r="284" ht="15.75" customHeight="1" s="305">
      <c r="A284" s="217" t="inlineStr">
        <is>
          <t>CREATE_ORDER.TOTAL_FEE</t>
        </is>
      </c>
      <c r="B284" s="153" t="inlineStr">
        <is>
          <t>总费用</t>
        </is>
      </c>
      <c r="C284" s="3" t="inlineStr">
        <is>
          <t>Tổng cước</t>
        </is>
      </c>
      <c r="D284" s="3" t="inlineStr">
        <is>
          <t>Total Fee</t>
        </is>
      </c>
      <c r="E284" s="3" t="inlineStr">
        <is>
          <t>ຄ່າໂດຍສານທັງໝົດ</t>
        </is>
      </c>
      <c r="F284" s="3" t="inlineStr">
        <is>
          <t>စုစုပေါင်း အခကြေးငွေ</t>
        </is>
      </c>
      <c r="G284" s="3">
        <f>IFERROR(__xludf.DUMMYFUNCTION("GOOGLETRANSLATE(C284,""vi"",""km"")"),"ការគិតថ្លៃសរុប")</f>
        <v/>
      </c>
      <c r="H284" s="217" t="inlineStr">
        <is>
          <t>សរុបសេវា</t>
        </is>
      </c>
      <c r="J284" s="3" t="inlineStr">
        <is>
          <t>ថ្លៃដឹកជញ្ជូនសរុប</t>
        </is>
      </c>
      <c r="K284" s="217" t="inlineStr">
        <is>
          <t>ថ្លៃដឹកជញ្ជូនសរុប</t>
        </is>
      </c>
      <c r="S284" s="163" t="inlineStr">
        <is>
          <t>ថ្លៃសេវាសរុប</t>
        </is>
      </c>
    </row>
    <row r="285" ht="15.75" customHeight="1" s="305">
      <c r="A285" s="217" t="inlineStr">
        <is>
          <t>CREATE_ORDER.CREATE_ORDER</t>
        </is>
      </c>
      <c r="B285" s="153" t="inlineStr">
        <is>
          <t>下单</t>
        </is>
      </c>
      <c r="C285" s="3" t="inlineStr">
        <is>
          <t>Tạo đơn</t>
        </is>
      </c>
      <c r="D285" s="3" t="inlineStr">
        <is>
          <t>Create Order</t>
        </is>
      </c>
      <c r="E285" s="3" t="inlineStr">
        <is>
          <t>ສ້າງຄໍາສັ່ງ</t>
        </is>
      </c>
      <c r="F285" s="3" t="inlineStr">
        <is>
          <t>‌အော်ဒါကို ဖန်တီးပါ</t>
        </is>
      </c>
      <c r="G285" s="3">
        <f>IFERROR(__xludf.DUMMYFUNCTION("GOOGLETRANSLATE(C285,""vi"",""km"")"),"បង្កើតការបញ្ជាទិញ")</f>
        <v/>
      </c>
      <c r="H285" s="217" t="inlineStr">
        <is>
          <t>បង្កើតបុងបញ្ញើ</t>
        </is>
      </c>
      <c r="J285" s="3" t="inlineStr">
        <is>
          <t>បង្កើតបុងបញ្ញើ</t>
        </is>
      </c>
      <c r="K285" s="217" t="inlineStr">
        <is>
          <t>បង្កើតបុងបញ្ញើ</t>
        </is>
      </c>
      <c r="S285" s="163" t="inlineStr">
        <is>
          <t>បង្កើតលំដាប់</t>
        </is>
      </c>
    </row>
    <row r="286" ht="15.75" customHeight="1" s="305">
      <c r="A286" s="217" t="inlineStr">
        <is>
          <t>CREATE_ORDER.INPUT_SEARCH_WAREHOUSE</t>
        </is>
      </c>
      <c r="B286" s="153" t="inlineStr">
        <is>
          <t>请输入姓名、电话与地址</t>
        </is>
      </c>
      <c r="C286" s="3" t="inlineStr">
        <is>
          <t>Nhập họ tên, số điện thoại, địa chỉ</t>
        </is>
      </c>
      <c r="D286" s="3" t="inlineStr">
        <is>
          <t>Enter owner name, phone number, address</t>
        </is>
      </c>
      <c r="E286" s="3" t="inlineStr">
        <is>
          <t>ໃສ່ຊື່ເຈົ້າຂອງ, ເບີໂທລະສັບ, ທີ່ຢູ່</t>
        </is>
      </c>
      <c r="F286" s="3" t="inlineStr">
        <is>
          <t>ပိုင်ရှင်အမည်၊ ဖုန်းနံပါတ်၊ လိပ်စာ</t>
        </is>
      </c>
      <c r="G286" s="3">
        <f>IFERROR(__xludf.DUMMYFUNCTION("GOOGLETRANSLATE(C286,""vi"",""km"")"),"សូមបញ្ចូលឈ្មោះពេញ លេខទូរស័ព្ទ និងអាសយដ្ឋានរបស់អ្នក។")</f>
        <v/>
      </c>
      <c r="H286" s="3" t="inlineStr">
        <is>
          <t>បញ្ចូលឈ្មោះ លេខទូរស័ព្ទ និងអាស័យដ្ឋាន</t>
        </is>
      </c>
      <c r="J286" s="3" t="inlineStr">
        <is>
          <t>បញ្ចូលឈ្មោះ លេខទូរស័ព្ទ និងអាសយដ្ឋាន</t>
        </is>
      </c>
      <c r="K286" s="217" t="inlineStr">
        <is>
          <t>បញ្ចូលឈ្មោះ លេខទូរស័ព្ទ និងអាសយដ្ឋាន</t>
        </is>
      </c>
      <c r="S286" s="163" t="inlineStr">
        <is>
          <t>បញ្ចូលឈ្មោះម្ចាស់ លេខទូរស័ព្ទ អាសយដ្ឋាន</t>
        </is>
      </c>
    </row>
    <row r="287" ht="15.75" customHeight="1" s="305">
      <c r="A287" s="217" t="inlineStr">
        <is>
          <t>CREATE_ORDER.CREATE_NEW_WAREHOUSE</t>
        </is>
      </c>
      <c r="B287" s="153" t="inlineStr">
        <is>
          <t>新增收货地址</t>
        </is>
      </c>
      <c r="C287" s="3" t="inlineStr">
        <is>
          <t>Thêm địa chỉ gửi hàng mới</t>
        </is>
      </c>
      <c r="D287" s="3" t="inlineStr">
        <is>
          <t>Add New Shipping Address</t>
        </is>
      </c>
      <c r="E287" s="3" t="inlineStr">
        <is>
          <t>ເພີ່ມທີ່ຢູ່ຈັດສົ່ງໃໝ່</t>
        </is>
      </c>
      <c r="F287" s="3" t="inlineStr">
        <is>
          <t>သယ်ယူပို့ဆောင်ရေးလိပ်စာအသစ်ကို ပေါင်းထည့်ပါ</t>
        </is>
      </c>
      <c r="G287" s="3">
        <f>IFERROR(__xludf.DUMMYFUNCTION("GOOGLETRANSLATE(C287,""vi"",""km"")"),"បន្ថែមអាសយដ្ឋានដឹកជញ្ជូនថ្មី។")</f>
        <v/>
      </c>
      <c r="H287" s="217" t="inlineStr">
        <is>
          <t>បន្ថែមអាស័យដ្ឋានផ្ញើអីវ៉ាន់ថ្មី</t>
        </is>
      </c>
      <c r="J287" s="3" t="inlineStr">
        <is>
          <t>បន្ថែមអាសយដ្ឋានផ្ញើអីវ៉ាន់ថ្មី</t>
        </is>
      </c>
      <c r="K287" s="217" t="inlineStr">
        <is>
          <t>បន្ថែមអាសយដ្ឋានផ្ញើអីវ៉ាន់ថ្មី</t>
        </is>
      </c>
      <c r="S287" s="163" t="inlineStr">
        <is>
          <t>បន្ថែមអាសយដ្ឋានដឹកជញ្ជូនថ្មី</t>
        </is>
      </c>
    </row>
    <row r="288" ht="15.75" customHeight="1" s="305">
      <c r="A288" s="217" t="inlineStr">
        <is>
          <t>CREATE_ORDER.SELECT_SEND_ADDRESS</t>
        </is>
      </c>
      <c r="B288" s="153" t="inlineStr">
        <is>
          <t>选择寄件地址</t>
        </is>
      </c>
      <c r="C288" s="3" t="inlineStr">
        <is>
          <t>Chọn địa chỉ gửi hàng</t>
        </is>
      </c>
      <c r="D288" s="3" t="inlineStr">
        <is>
          <t>Select Sending Address</t>
        </is>
      </c>
      <c r="E288" s="3" t="inlineStr">
        <is>
          <t>ເລືອກທີ່ຢູ່ຈັດສົ່ງ</t>
        </is>
      </c>
      <c r="F288" s="3" t="inlineStr">
        <is>
          <t>စာပို့လိပ်စာကိုရွေးပါ</t>
        </is>
      </c>
      <c r="G288" s="3">
        <f>IFERROR(__xludf.DUMMYFUNCTION("GOOGLETRANSLATE(C288,""vi"",""km"")"),"ជ្រើសរើសអាសយដ្ឋានដឹកជញ្ជូន")</f>
        <v/>
      </c>
      <c r="H288" s="217" t="inlineStr">
        <is>
          <t>ជ្រើសរើសអាស័យដ្ឋានផ្ញើអីវ៉ាន់</t>
        </is>
      </c>
      <c r="J288" s="217" t="inlineStr">
        <is>
          <t>ជ្រើសរើសទីតាំងផ្ញើអីវ៉ាន់</t>
        </is>
      </c>
      <c r="K288" s="217" t="inlineStr">
        <is>
          <t>ជ្រើសរើសទីតាំងផ្ញើអីវ៉ាន់</t>
        </is>
      </c>
      <c r="S288" s="163" t="inlineStr">
        <is>
          <t>ជ្រើសរើសអាសយដ្ឋានផ្ញើ</t>
        </is>
      </c>
    </row>
    <row r="289" ht="15.75" customHeight="1" s="305">
      <c r="A289" s="217" t="inlineStr">
        <is>
          <t>CREATE_ORDER.LIST_SERVICE</t>
        </is>
      </c>
      <c r="B289" s="153" t="inlineStr">
        <is>
          <t>服务列表</t>
        </is>
      </c>
      <c r="C289" s="3" t="inlineStr">
        <is>
          <t>Danh sách dịch vụ</t>
        </is>
      </c>
      <c r="D289" s="3" t="inlineStr">
        <is>
          <t>Service List</t>
        </is>
      </c>
      <c r="E289" s="3" t="inlineStr">
        <is>
          <t>ລາຍຊື່ການບໍລິການ</t>
        </is>
      </c>
      <c r="F289" s="3" t="inlineStr">
        <is>
          <t>ဝန်ဆောင်မှုစာရင်း</t>
        </is>
      </c>
      <c r="G289" s="3">
        <f>IFERROR(__xludf.DUMMYFUNCTION("GOOGLETRANSLATE(C289,""vi"",""km"")"),"បញ្ជីសេវាកម្ម")</f>
        <v/>
      </c>
      <c r="H289" s="217" t="inlineStr">
        <is>
          <t>បញ្ជីសេវាកម្ម</t>
        </is>
      </c>
      <c r="J289" s="3" t="inlineStr">
        <is>
          <t>បញ្ជីសេវាកម្ម</t>
        </is>
      </c>
      <c r="K289" s="217" t="inlineStr">
        <is>
          <t>បញ្ជីសេវាកម្ម</t>
        </is>
      </c>
      <c r="S289" s="163" t="inlineStr">
        <is>
          <t>បញ្ជីសេវាកម្ម</t>
        </is>
      </c>
    </row>
    <row r="290" ht="15.75" customHeight="1" s="305">
      <c r="A290" s="217" t="inlineStr">
        <is>
          <t>CREATE_ORDER.NON_DATA_SEARCH</t>
        </is>
      </c>
      <c r="B290" s="153" t="inlineStr">
        <is>
          <t>暂无匹配结果</t>
        </is>
      </c>
      <c r="C290" s="3" t="inlineStr">
        <is>
          <t>Không có kết quả tìm kiếm phù hợp</t>
        </is>
      </c>
      <c r="D290" s="3" t="inlineStr">
        <is>
          <t>No matching search results</t>
        </is>
      </c>
      <c r="E290" s="3" t="inlineStr">
        <is>
          <t>ບໍ່ພົບຜົນການຊອກຫາທີ່ກົງກັນ.</t>
        </is>
      </c>
      <c r="F290" s="3" t="inlineStr">
        <is>
          <t>ရှာဖွေမှုရလဒ်များနှင့် ကိုက်ညီသော ရှာဖွေမှုရလဒ်များမရှိ</t>
        </is>
      </c>
      <c r="G290" s="3">
        <f>IFERROR(__xludf.DUMMYFUNCTION("GOOGLETRANSLATE(C290,""vi"",""km"")"),"រកមិនឃើញលទ្ធផលស្វែងរកដែលត្រូវគ្នាទេ។")</f>
        <v/>
      </c>
      <c r="J290" s="3" t="inlineStr">
        <is>
          <t>គ្មានលទ្ធផលស្វែងរកដែលត្រូវគ្នា</t>
        </is>
      </c>
      <c r="K290" s="217" t="inlineStr">
        <is>
          <t>គ្មានលទ្ធផលស្វែងរកដែលត្រូវគ្នា</t>
        </is>
      </c>
      <c r="S290" s="163" t="inlineStr">
        <is>
          <t>គ្មានលទ្ធផលស្វែងរកដែលត្រូវគ្នា</t>
        </is>
      </c>
    </row>
    <row r="291" ht="15.75" customHeight="1" s="305">
      <c r="A291" s="217" t="inlineStr">
        <is>
          <t>CREATE_ORDER.NON_DATA_SERVICE</t>
        </is>
      </c>
      <c r="B291" s="153" t="inlineStr">
        <is>
          <t>暂无可用服务</t>
        </is>
      </c>
      <c r="C291" s="3" t="inlineStr">
        <is>
          <t>Chưa có dịch vụ</t>
        </is>
      </c>
      <c r="D291" s="3" t="inlineStr">
        <is>
          <t>No services available</t>
        </is>
      </c>
      <c r="E291" s="3" t="inlineStr">
        <is>
          <t>ບໍ່ມີບໍລິການເທື່ອ</t>
        </is>
      </c>
      <c r="F291" s="3" t="inlineStr">
        <is>
          <t>ဝန်ဆောင်မှုတွေ မရှိဘူး</t>
        </is>
      </c>
      <c r="G291" s="3">
        <f>IFERROR(__xludf.DUMMYFUNCTION("GOOGLETRANSLATE(C291,""vi"",""km"")"),"គ្មានសេវាកម្មទេ")</f>
        <v/>
      </c>
      <c r="H291" s="217" t="inlineStr">
        <is>
          <t>មិនទាន់មានសេវាកម្ម</t>
        </is>
      </c>
      <c r="J291" s="3" t="inlineStr">
        <is>
          <t>មិនទាន់មានសេវាកម្ម</t>
        </is>
      </c>
      <c r="K291" s="217" t="inlineStr">
        <is>
          <t>មិនទាន់មានសេវាកម្ម</t>
        </is>
      </c>
      <c r="S291" s="163" t="inlineStr">
        <is>
          <t>មិនមានសេវាកម្មទេ</t>
        </is>
      </c>
    </row>
    <row r="292" ht="15.75" customHeight="1" s="305">
      <c r="A292" s="217" t="inlineStr">
        <is>
          <t>CREATE_ORDER.PRICE_INFO_LOWER_CASE</t>
        </is>
      </c>
      <c r="B292" s="153" t="inlineStr">
        <is>
          <t>费用明细</t>
        </is>
      </c>
      <c r="C292" s="3" t="inlineStr">
        <is>
          <t>Thông tin cước phí</t>
        </is>
      </c>
      <c r="D292" s="3" t="inlineStr">
        <is>
          <t>Fee details</t>
        </is>
      </c>
      <c r="E292" s="3" t="inlineStr">
        <is>
          <t>ຂໍ້ມູນຄ່າທໍານຽມ</t>
        </is>
      </c>
      <c r="F292" s="3" t="inlineStr">
        <is>
          <t>ဈေးနှုန်း အချက်အလက်</t>
        </is>
      </c>
      <c r="G292" s="3">
        <f>IFERROR(__xludf.DUMMYFUNCTION("GOOGLETRANSLATE(C292,""vi"",""km"")"),"ព័ត៌មានអំពីថ្លៃសេវា")</f>
        <v/>
      </c>
      <c r="H292" s="217" t="inlineStr">
        <is>
          <t>ព័ត៌មានថ្លៃសេវា</t>
        </is>
      </c>
      <c r="J292" s="3" t="inlineStr">
        <is>
          <t>ព័ត៌មានថ្លៃសេវា</t>
        </is>
      </c>
      <c r="K292" s="217" t="inlineStr">
        <is>
          <t>ព័ត៌មានថ្លៃសេវា</t>
        </is>
      </c>
      <c r="S292" s="163" t="inlineStr">
        <is>
          <t>ព័ត៌មានលម្អិតអំពីថ្លៃសេវា</t>
        </is>
      </c>
    </row>
    <row r="293" ht="15.75" customHeight="1" s="305">
      <c r="A293" s="217" t="inlineStr">
        <is>
          <t>CREATE_ORDER.CLOSE</t>
        </is>
      </c>
      <c r="B293" s="153" t="inlineStr">
        <is>
          <t>关闭</t>
        </is>
      </c>
      <c r="C293" s="3" t="inlineStr">
        <is>
          <t>Đóng</t>
        </is>
      </c>
      <c r="D293" s="3" t="inlineStr">
        <is>
          <t>Close</t>
        </is>
      </c>
      <c r="E293" s="3" t="inlineStr">
        <is>
          <t>ປິດ</t>
        </is>
      </c>
      <c r="F293" s="3" t="inlineStr">
        <is>
          <t>ပိတ်ပါ</t>
        </is>
      </c>
      <c r="G293" s="3">
        <f>IFERROR(__xludf.DUMMYFUNCTION("GOOGLETRANSLATE(C293,""vi"",""km"")"),"បិទ")</f>
        <v/>
      </c>
      <c r="H293" s="217" t="inlineStr">
        <is>
          <t>បិទ</t>
        </is>
      </c>
      <c r="J293" s="3" t="inlineStr">
        <is>
          <t>បិទ</t>
        </is>
      </c>
      <c r="K293" s="217" t="inlineStr">
        <is>
          <t>បិទ</t>
        </is>
      </c>
      <c r="S293" s="163" t="inlineStr">
        <is>
          <t>បិទ</t>
        </is>
      </c>
    </row>
    <row r="294" ht="15.75" customHeight="1" s="305">
      <c r="A294" s="217" t="inlineStr">
        <is>
          <t>CREATE_ORDER.TOTAL_FEE_ESTIMATE</t>
        </is>
      </c>
      <c r="B294" s="153" t="inlineStr">
        <is>
          <t>预估总费用</t>
        </is>
      </c>
      <c r="C294" s="3" t="inlineStr">
        <is>
          <t>Tổng cước tạm tính</t>
        </is>
      </c>
      <c r="D294" s="3" t="inlineStr">
        <is>
          <t>Estimated Total Fee</t>
        </is>
      </c>
      <c r="E294" s="3" t="inlineStr">
        <is>
          <t>ຄ່າໂດຍສານທັງໝົດໂດຍປະມານ</t>
        </is>
      </c>
      <c r="F294" s="3" t="inlineStr">
        <is>
          <t>ခန့်မှန်းခြေ စုစုပေါင်း အခကြေးငွေ</t>
        </is>
      </c>
      <c r="G294" s="3">
        <f>IFERROR(__xludf.DUMMYFUNCTION("GOOGLETRANSLATE(C294,""vi"",""km"")"),"តម្លៃសំបុត្រសរុបប៉ាន់ស្មាន")</f>
        <v/>
      </c>
      <c r="J294" s="3" t="inlineStr">
        <is>
          <t>សរុបថ្លៃសេវាកម្ម</t>
        </is>
      </c>
      <c r="K294" s="217" t="inlineStr">
        <is>
          <t>សរុបថ្លៃសេវាកម្ម</t>
        </is>
      </c>
      <c r="S294" s="163" t="inlineStr">
        <is>
          <t>ប៉ាន់ស្មានថ្លៃសេវាសរុប</t>
        </is>
      </c>
    </row>
    <row r="295" ht="15.75" customHeight="1" s="305">
      <c r="A295" s="217" t="inlineStr">
        <is>
          <t>CREATE_ORDER.ESTIMATE_TIME_DELIVERY</t>
        </is>
      </c>
      <c r="B295" s="153" t="inlineStr">
        <is>
          <t>预计送达时间</t>
        </is>
      </c>
      <c r="C295" s="3" t="inlineStr">
        <is>
          <t>Thời gian giao dự kiến</t>
        </is>
      </c>
      <c r="D295" s="3" t="inlineStr">
        <is>
          <t>Estimated Delivery Time</t>
        </is>
      </c>
      <c r="E295" s="3" t="inlineStr">
        <is>
          <t>ເວລາຈັດສົ່ງໂດຍປະມານ</t>
        </is>
      </c>
      <c r="F295" s="3" t="inlineStr">
        <is>
          <t>ခန့်မှန်းသတ်မှတ်ထားသော ပေးကမ်းချိန်</t>
        </is>
      </c>
      <c r="G295" s="3">
        <f>IFERROR(__xludf.DUMMYFUNCTION("GOOGLETRANSLATE(C295,""vi"",""km"")"),"ពេលវេលាដឹកជញ្ជូនប៉ាន់ស្មាន")</f>
        <v/>
      </c>
      <c r="J295" s="3" t="inlineStr">
        <is>
          <t>ពេលវេលាកំណត់ការប្រគល់អីវ៉ាន់</t>
        </is>
      </c>
      <c r="K295" s="217" t="inlineStr">
        <is>
          <t>ពេលវេលាកំណត់ការប្រគល់អីវ៉ាន់</t>
        </is>
      </c>
      <c r="S295" s="163" t="inlineStr">
        <is>
          <t>ប៉ាន់ស្មានពេលវេលាដឹកជញ្ជូន</t>
        </is>
      </c>
    </row>
    <row r="296" ht="15.75" customHeight="1" s="305">
      <c r="A296" s="217" t="inlineStr">
        <is>
          <t>CREATE_ORDER.DEFAULT_WAREHOUSE</t>
        </is>
      </c>
      <c r="B296" s="153" t="inlineStr">
        <is>
          <t>默认地址</t>
        </is>
      </c>
      <c r="C296" s="3" t="inlineStr">
        <is>
          <t>Địa chỉ mặc định</t>
        </is>
      </c>
      <c r="D296" s="3" t="inlineStr">
        <is>
          <t>Default Address</t>
        </is>
      </c>
      <c r="E296" s="3" t="inlineStr">
        <is>
          <t>ທີ່ຢູ່ເລີ່ມຕົ້ນ</t>
        </is>
      </c>
      <c r="F296" s="3" t="inlineStr">
        <is>
          <t>စံထားချက်လိပ်စာ</t>
        </is>
      </c>
      <c r="G296" s="3">
        <f>IFERROR(__xludf.DUMMYFUNCTION("GOOGLETRANSLATE(C296,""vi"",""km"")"),"អាសយដ្ឋានលំនាំដើម")</f>
        <v/>
      </c>
      <c r="H296" s="217" t="inlineStr">
        <is>
          <t>អាស័យដ្ឋានកំណត់</t>
        </is>
      </c>
      <c r="J296" s="3" t="inlineStr">
        <is>
          <t>អាសយដ្ឋានកំណត់</t>
        </is>
      </c>
      <c r="K296" s="217" t="inlineStr">
        <is>
          <t>អាសយដ្ឋានកំណត់</t>
        </is>
      </c>
      <c r="S296" s="163" t="inlineStr">
        <is>
          <t>អាសយដ្ឋានលំនាំដើម</t>
        </is>
      </c>
    </row>
    <row r="297" ht="15.75" customHeight="1" s="305">
      <c r="A297" s="217" t="inlineStr">
        <is>
          <t>CREATE_ORDER.SELECT_WAREHOUSE</t>
        </is>
      </c>
      <c r="B297" s="153" t="inlineStr">
        <is>
          <t>选择收货地址</t>
        </is>
      </c>
      <c r="C297" s="3" t="inlineStr">
        <is>
          <t>Chọn địa chỉ gửi hàng</t>
        </is>
      </c>
      <c r="D297" s="3" t="inlineStr">
        <is>
          <t>Select Shipping Address</t>
        </is>
      </c>
      <c r="E297" s="3" t="inlineStr">
        <is>
          <t>ເລືອກທີ່ຢູ່ຈັດສົ່ງ</t>
        </is>
      </c>
      <c r="F297" s="3" t="inlineStr">
        <is>
          <t>ပိုဆောင်ရန်လိပ်စာကိုရွေးချယ်ပါ</t>
        </is>
      </c>
      <c r="G297" s="3">
        <f>IFERROR(__xludf.DUMMYFUNCTION("GOOGLETRANSLATE(C297,""vi"",""km"")"),"ជ្រើសរើសអាសយដ្ឋានដឹកជញ្ជូន")</f>
        <v/>
      </c>
      <c r="H297" s="217" t="inlineStr">
        <is>
          <t>ជ្រើសរើសទីតាំងផ្ញើអីវ៉ាន់</t>
        </is>
      </c>
      <c r="J297" s="3" t="inlineStr">
        <is>
          <t>ជ្រើសរើសទីតាំងផ្ញើអីវ៉ាន់</t>
        </is>
      </c>
      <c r="K297" s="217" t="inlineStr">
        <is>
          <t>ជ្រើសរើសទីតាំងផ្ញើអីវ៉ាន់</t>
        </is>
      </c>
      <c r="S297" s="163" t="inlineStr">
        <is>
          <t>ជ្រើសរើសអាសយដ្ឋានដឹកជញ្ជូន</t>
        </is>
      </c>
    </row>
    <row r="298" ht="15.75" customHeight="1" s="305">
      <c r="A298" s="217" t="inlineStr">
        <is>
          <t>CREATE_ORDER.PLEASE_INPUT_FULL_SENDER_RECEIVER</t>
        </is>
      </c>
      <c r="B298" s="153" t="inlineStr">
        <is>
          <t>请填写完整的发件人与收件人信息</t>
        </is>
      </c>
      <c r="C298" s="3" t="inlineStr">
        <is>
          <t>Quý khách vui lòng nhập đủ thông tin người gửi và người nhận</t>
        </is>
      </c>
      <c r="D298" s="3" t="inlineStr">
        <is>
          <t>Please enter complete sender and receiver information</t>
        </is>
      </c>
      <c r="E298" s="3" t="inlineStr">
        <is>
          <t>ກະລຸນາໃສ່ຂໍ້ມູນຜູ້ສົ່ງ ແລະຜູ້ຮັບໃຫ້ຄົບຖ້ວນ.</t>
        </is>
      </c>
      <c r="F298" s="3" t="inlineStr">
        <is>
          <t>ကျေးဇူးပြု၍ ပို့ဆောင်သူနှင့် လက်ခံသူ သတင်းအချက်အလက်များကို ကျေးဇူးပြု၍ ဖြည့်ပါ</t>
        </is>
      </c>
      <c r="G298" s="3">
        <f>IFERROR(__xludf.DUMMYFUNCTION("GOOGLETRANSLATE(C298,""vi"",""km"")"),"សូមបញ្ចូលព័ត៌មានពេញលេញរបស់អ្នកផ្ញើ និងអ្នកទទួល។")</f>
        <v/>
      </c>
      <c r="J298" s="3" t="inlineStr">
        <is>
          <t>សូមបញ្ចូលព័ត៌មានអ្នកផ្ញើ និងអ្នកទទួលពេញលេញ</t>
        </is>
      </c>
      <c r="K298" s="217" t="inlineStr">
        <is>
          <t>សូមបញ្ចូលព័ត៌មានអ្នកផ្ញើ និងអ្នកទទួលពេញលេញ</t>
        </is>
      </c>
      <c r="S298" s="163" t="inlineStr">
        <is>
          <t>សូមបញ្ចូលព័ត៌មានអ្នកផ្ញើ និងអ្នកទទួលពេញលេញ</t>
        </is>
      </c>
    </row>
    <row r="299" ht="15.75" customHeight="1" s="305">
      <c r="A299" s="217" t="inlineStr">
        <is>
          <t>CREATE_ORDER.PLEASE_INPUT_FULL_MERCHANDISE_INFO</t>
        </is>
      </c>
      <c r="B299" s="153" t="inlineStr">
        <is>
          <t>请填写完整的物品信息</t>
        </is>
      </c>
      <c r="C299" s="3" t="inlineStr">
        <is>
          <t>Quý khách vui lòng nhập đủ thông tin hàng hóa</t>
        </is>
      </c>
      <c r="D299" s="3" t="inlineStr">
        <is>
          <t>Please enter complete goods information</t>
        </is>
      </c>
      <c r="E299" s="3" t="inlineStr">
        <is>
          <t>ກະລຸນາໃສ່ຂໍ້ມູນຜະລິດຕະພັນເຕັມ</t>
        </is>
      </c>
      <c r="F299" s="3" t="inlineStr">
        <is>
          <t>ကျေးဇူးပြု၍ ကုန်ပစ္စည်းအချက်အလက်အပြည့်အစုံကို ဖြည့်ပါ</t>
        </is>
      </c>
      <c r="G299" s="3">
        <f>IFERROR(__xludf.DUMMYFUNCTION("GOOGLETRANSLATE(C299,""vi"",""km"")"),"សូមបញ្ចូលព័ត៌មានផលិតផលទាំងអស់។")</f>
        <v/>
      </c>
      <c r="H299" s="217" t="inlineStr">
        <is>
          <t>សូមអតិថិជនបញ្ចូលព័ត៌មានអីវ៉ាន់ឲ្យបានពេញលេញ</t>
        </is>
      </c>
      <c r="J299" s="3" t="inlineStr">
        <is>
          <t>សូមអតិថិជនបញ្ចូលព័ត៌មានអីវ៉ាន់ឲ្យបានពេញលេញ</t>
        </is>
      </c>
      <c r="K299" s="217" t="inlineStr">
        <is>
          <t>សូមអតិថិជនបញ្ចូលព័ត៌មានអីវ៉ាន់ឲ្យបានពេញលេញ</t>
        </is>
      </c>
      <c r="S299" s="163" t="inlineStr">
        <is>
          <t>សូមបញ្ចូលព័ត៌មានទំនិញពេញលេញ</t>
        </is>
      </c>
    </row>
    <row r="300" ht="15.75" customHeight="1" s="305">
      <c r="A300" s="217" t="inlineStr">
        <is>
          <t>CREATE_ORDER.SELECT_FROM_LIBRARY</t>
        </is>
      </c>
      <c r="B300" s="153" t="inlineStr">
        <is>
          <t>从相册选择</t>
        </is>
      </c>
      <c r="C300" s="3" t="inlineStr">
        <is>
          <t>Chọn từ thư viện</t>
        </is>
      </c>
      <c r="D300" s="3" t="inlineStr">
        <is>
          <t>Select from Library</t>
        </is>
      </c>
      <c r="E300" s="3" t="inlineStr">
        <is>
          <t>ເລືອກຈາກຫ້ອງສະຫມຸດ</t>
        </is>
      </c>
      <c r="F300" s="3" t="inlineStr">
        <is>
          <t>စာတိုက်မှရွေးချယ်ပါ</t>
        </is>
      </c>
      <c r="G300" s="3">
        <f>IFERROR(__xludf.DUMMYFUNCTION("GOOGLETRANSLATE(C300,""vi"",""km"")"),"ជ្រើសរើសពីបណ្ណាល័យ")</f>
        <v/>
      </c>
      <c r="J300" s="3" t="inlineStr">
        <is>
          <t>ជ្រើសរើសពីបណ្ណាល័យ</t>
        </is>
      </c>
      <c r="K300" s="217" t="inlineStr">
        <is>
          <t>ជ្រើសរើសពីបណ្ណាល័យ</t>
        </is>
      </c>
      <c r="S300" s="163" t="inlineStr">
        <is>
          <t>ជ្រើសរើសពីបណ្ណាល័យ</t>
        </is>
      </c>
    </row>
    <row r="301" ht="15.75" customHeight="1" s="305">
      <c r="A301" s="217" t="inlineStr">
        <is>
          <t>CREATE_ORDER.INPUT_LENGTH_WIDTH_HEIGHT</t>
        </is>
      </c>
      <c r="B301" s="153" t="inlineStr">
        <is>
          <t>请输入长 × 宽 × 高 (厘米)</t>
        </is>
      </c>
      <c r="C301" s="3" t="inlineStr">
        <is>
          <t>Nhập Dài x Rộng x Cao (đơn vị cm)</t>
        </is>
      </c>
      <c r="D301" s="3" t="inlineStr">
        <is>
          <t>Enter Length x Width x Height (in cm)</t>
        </is>
      </c>
      <c r="E301" s="3" t="inlineStr">
        <is>
          <t>ໃສ່ຄວາມຍາວ x ກວ້າງ x ສູງ (ເປັນຊມ)</t>
        </is>
      </c>
      <c r="F301" s="3" t="inlineStr">
        <is>
          <t>အလျား x အနံ x အမြင့် (cm အတွင်း) ထည့်ပါ</t>
        </is>
      </c>
      <c r="G301" s="3">
        <f>IFERROR(__xludf.DUMMYFUNCTION("GOOGLETRANSLATE(C301,""vi"",""km"")"),"បញ្ចូលប្រវែង x ទទឹង x កម្ពស់ (គិតជាសង់ទីម៉ែត្រ)")</f>
        <v/>
      </c>
      <c r="H301" s="3">
        <f>IFERROR(__xludf.DUMMYFUNCTION("GOOGLETRANSLATE(D301,""vi"",""km"")"),"បញ្ចូលប្រវែង x ទទឹង x កម្ពស់ (គិតជាសង់ទីម៉ែត្រ)")</f>
        <v/>
      </c>
      <c r="J301" s="3" t="inlineStr">
        <is>
          <t>បញ្ចូលប្រវែង x ទទឹង x កម្ពស់ (គិតជាសង់ទីម៉ែត្រ)</t>
        </is>
      </c>
      <c r="K301" s="217" t="inlineStr">
        <is>
          <t>បញ្ចូលប្រវែង x ទទឹង x កម្ពស់ (គិតជាសង់ទីម៉ែត្រ)</t>
        </is>
      </c>
      <c r="S301" s="163" t="inlineStr">
        <is>
          <t>បញ្ចូលប្រវែង x ទទឹង x កម្ពស់ (គិតជាសង់ទីម៉ែត្រ)</t>
        </is>
      </c>
    </row>
    <row r="302" ht="15.75" customHeight="1" s="305">
      <c r="A302" s="217" t="inlineStr">
        <is>
          <t>CREATE_ORDER.LENGTH</t>
        </is>
      </c>
      <c r="B302" s="153" t="inlineStr">
        <is>
          <t>长度</t>
        </is>
      </c>
      <c r="C302" s="3" t="inlineStr">
        <is>
          <t>Dài</t>
        </is>
      </c>
      <c r="D302" s="3" t="inlineStr">
        <is>
          <t>Length</t>
        </is>
      </c>
      <c r="E302" s="3" t="inlineStr">
        <is>
          <t>ຍາວ</t>
        </is>
      </c>
      <c r="F302" s="3" t="inlineStr">
        <is>
          <t>အလျား</t>
        </is>
      </c>
      <c r="G302" s="3">
        <f>IFERROR(__xludf.DUMMYFUNCTION("GOOGLETRANSLATE(C302,""vi"",""km"")"),"វែង")</f>
        <v/>
      </c>
      <c r="H302" s="217" t="inlineStr">
        <is>
          <t>ប្រវែង</t>
        </is>
      </c>
      <c r="J302" s="3" t="inlineStr">
        <is>
          <t>បណ្តោយ</t>
        </is>
      </c>
      <c r="K302" s="217" t="inlineStr">
        <is>
          <t>បណ្តោយ</t>
        </is>
      </c>
      <c r="S302" s="163" t="inlineStr">
        <is>
          <t>ប្រវែង</t>
        </is>
      </c>
    </row>
    <row r="303" ht="15.75" customHeight="1" s="305">
      <c r="A303" s="217" t="inlineStr">
        <is>
          <t>CREATE_ORDER.WIDTH</t>
        </is>
      </c>
      <c r="B303" s="153" t="inlineStr">
        <is>
          <t>宽度</t>
        </is>
      </c>
      <c r="C303" s="3" t="inlineStr">
        <is>
          <t>Rộng</t>
        </is>
      </c>
      <c r="D303" s="3" t="inlineStr">
        <is>
          <t>Width</t>
        </is>
      </c>
      <c r="E303" s="3" t="inlineStr">
        <is>
          <t>ກວ້າງ</t>
        </is>
      </c>
      <c r="F303" s="3" t="inlineStr">
        <is>
          <t>အနံ</t>
        </is>
      </c>
      <c r="G303" s="3">
        <f>IFERROR(__xludf.DUMMYFUNCTION("GOOGLETRANSLATE(C303,""vi"",""km"")"),"ធំទូលាយ")</f>
        <v/>
      </c>
      <c r="H303" s="217" t="inlineStr">
        <is>
          <t>ទទឹង</t>
        </is>
      </c>
      <c r="J303" s="3" t="inlineStr">
        <is>
          <t>ទទឹង</t>
        </is>
      </c>
      <c r="K303" s="217" t="inlineStr">
        <is>
          <t>ទទឹង</t>
        </is>
      </c>
      <c r="S303" s="163" t="inlineStr">
        <is>
          <t>ទទឹង</t>
        </is>
      </c>
    </row>
    <row r="304" ht="15.75" customHeight="1" s="305">
      <c r="A304" s="217" t="inlineStr">
        <is>
          <t>CREATE_ORDER.HEIGHT</t>
        </is>
      </c>
      <c r="B304" s="153" t="inlineStr">
        <is>
          <t>高度</t>
        </is>
      </c>
      <c r="C304" s="3" t="inlineStr">
        <is>
          <t>Cao</t>
        </is>
      </c>
      <c r="D304" s="3" t="inlineStr">
        <is>
          <t>Height</t>
        </is>
      </c>
      <c r="E304" s="3" t="inlineStr">
        <is>
          <t>ສູງ</t>
        </is>
      </c>
      <c r="F304" s="3" t="inlineStr">
        <is>
          <t>အမြင့်</t>
        </is>
      </c>
      <c r="G304" s="3">
        <f>IFERROR(__xludf.DUMMYFUNCTION("GOOGLETRANSLATE(C304,""vi"",""km"")"),"ខ្ពស់")</f>
        <v/>
      </c>
      <c r="H304" s="217" t="inlineStr">
        <is>
          <t>កម្ពស់</t>
        </is>
      </c>
      <c r="J304" s="3" t="inlineStr">
        <is>
          <t>កម្ពស់</t>
        </is>
      </c>
      <c r="K304" s="217" t="inlineStr">
        <is>
          <t>កម្ពស់</t>
        </is>
      </c>
      <c r="S304" s="163" t="inlineStr">
        <is>
          <t>កម្ពស់</t>
        </is>
      </c>
    </row>
    <row r="305" ht="15.75" customHeight="1" s="305">
      <c r="A305" s="217" t="inlineStr">
        <is>
          <t>CREATE_ORDER.ATTENTION</t>
        </is>
      </c>
      <c r="B305" s="153" t="inlineStr">
        <is>
          <t>重要提示</t>
        </is>
      </c>
      <c r="C305" s="3" t="inlineStr">
        <is>
          <t>Lưu ý</t>
        </is>
      </c>
      <c r="D305" s="3" t="inlineStr">
        <is>
          <t>Attention</t>
        </is>
      </c>
      <c r="E305" s="3" t="inlineStr">
        <is>
          <t>ໝາຍເຫດ</t>
        </is>
      </c>
      <c r="F305" s="3" t="inlineStr">
        <is>
          <t>အာရုံစိုက်မှု</t>
        </is>
      </c>
      <c r="G305" s="3">
        <f>IFERROR(__xludf.DUMMYFUNCTION("GOOGLETRANSLATE(C305,""vi"",""km"")"),"កំណត់ចំណាំ")</f>
        <v/>
      </c>
      <c r="H305" s="217" t="inlineStr">
        <is>
          <t>កំណត់ចំណាំ</t>
        </is>
      </c>
      <c r="J305" s="3" t="inlineStr">
        <is>
          <t>ចំណាំ</t>
        </is>
      </c>
      <c r="K305" s="217" t="inlineStr">
        <is>
          <t>ចំណាំ</t>
        </is>
      </c>
      <c r="S305" s="163" t="inlineStr">
        <is>
          <t>ចំណាំ</t>
        </is>
      </c>
    </row>
    <row r="306" ht="15.75" customHeight="1" s="305">
      <c r="A306" s="217" t="inlineStr">
        <is>
          <t>CREATE_ORDER.ATTENTION_MERCHANDISE_SIZE</t>
        </is>
      </c>
      <c r="B306" s="161" t="inlineStr">
        <is>
          <t>{{nameCountry}} 将对比实际重量与限重来计算运费。若实际重量超出限重，将按对应重量限重的箱型计费。</t>
        </is>
      </c>
      <c r="C306" s="3" t="inlineStr">
        <is>
          <t>{{nameCountry}} sẽ so sánh khối lượng thực tế và khối lượng giới hạn để xác định mức tính cước. Nếu khối lượng thực tế vượt khối lượng giới hạn thì tính giá theo loại hộp có khối lượng giới hạn tương ứng.</t>
        </is>
      </c>
      <c r="D306" s="3" t="inlineStr">
        <is>
          <t>{{nameCountry}} will compare the actual weight and the limit weight to determine the shipping fee. If the actual weight exceeds the limit weight, the fee will be calculated based on the type of box with the corresponding weight limit.</t>
        </is>
      </c>
      <c r="E306" s="3" t="inlineStr">
        <is>
          <t>{{nameCountry}} ຈະສົມທຽບນ້ຳໜັກຕົວຈິງ ແລະ ນ້ຳໜັກຈຳກັດເພື່ອກຳນົດລະດັບລາຄາ. ຖ້ານ້ໍາຫນັກຕົວຈິງເກີນນ້ໍາຫນັກຈໍາກັດ, ລາຄາຈະຖືກຄິດໄລ່ຕາມປະເພດກ່ອງທີ່ມີນ້ໍາຫນັກຈໍາກັດທີ່ສອດຄ້ອງກັນ.</t>
        </is>
      </c>
      <c r="F306" s="3" t="inlineStr">
        <is>
          <t>{{nameCountry}}ည် ပို့ဆောင်ခြင်းကုန်ကျစရိတ်ကို ဆုံးဖြတ်ရန် အမှန်တကယ်အလေးချိန်နှင့် ကန့်သတ်ထားသော အလေးချိန်ကို နှိုင်းယှဉ်ပါလိမ့်မည်။ အကယ်၍ အမှန်တကယ်အလေးချိန်သည် ကိုယ်အလေးချိန်ထက် ကျော်လွန်သွားပါက အခကြေးငွေကို ထပ်တူကိုယ်အလေးချိန်ကန့်သတ်ထားသည့် သေတ္တာအမျိုးအစားပေါ်မူတည်၍ တွက်ချက်မည်ဖြစ်သည်။</t>
        </is>
      </c>
      <c r="G306" s="3">
        <f>IFERROR(__xludf.DUMMYFUNCTION("GOOGLETRANSLATE(C306,""vi"",""km"")"),"{{nameCountry}} នឹងប្រៀបធៀបទម្ងន់ជាក់ស្តែង និងទម្ងន់កំណត់ ដើម្បីកំណត់ការគិតថ្លៃ។ ប្រសិនបើទម្ងន់ជាក់ស្តែងលើសពីទម្ងន់កំណត់ តម្លៃនឹងត្រូវបានគណនាទៅតាមប្រភេទប្រអប់ដែលមានទម្ងន់កំណត់ដែលត្រូវគ្នា។")</f>
        <v/>
      </c>
      <c r="J306" s="3" t="inlineStr">
        <is>
          <t>{{nameCountry}} នឹងធ្វើការប្រៀបធៀបទម្ងន់ជាក់ស្តែង និងទម្ងន់កំណត់ដើម្បីកំណត់ថ្លៃដឹកជញ្ជូន។ ប្រសិនបើទម្ងន់ពិតប្រាកដលើសពីទម្ងន់កំណត់ ថ្លៃសេវានឹងត្រូវបានគណនាដោយផ្អែកលើប្រភេទនៃប្រអប់ដែលមានដែនកំណត់ទម្ងន់ដែលត្រូវគ្នា</t>
        </is>
      </c>
      <c r="K306" s="217" t="inlineStr">
        <is>
          <t>{{nameCountry}} នឹងធ្វើការប្រៀបធៀបទម្ងន់ជាក់ស្តែង និងទម្ងន់កំណត់ដើម្បីកំណត់ថ្លៃដឹកជញ្ជូន។ ប្រសិនបើទម្ងន់ពិតប្រាកដលើសពីទម្ងន់កំណត់ ថ្លៃសេវានឹងត្រូវបានគណនាដោយផ្អែកលើប្រភេទនៃប្រអប់ដែលមានដែនកំណត់ទម្ងន់ដែលត្រូវគ្នា</t>
        </is>
      </c>
      <c r="S306" s="163" t="inlineStr">
        <is>
          <t>{{nameCountry}} នឹងធ្វើការប្រៀបធៀបទម្ងន់ជាក់ស្តែង និងទម្ងន់កំណត់ដើម្បីកំណត់ថ្លៃដឹកជញ្ជូន។ ប្រសិនបើទម្ងន់ពិតប្រាកដលើសពីទម្ងន់កំណត់ ថ្លៃសេវានឹងត្រូវបានគណនាដោយផ្អែកលើប្រភេទនៃប្រអប់ដែលមានដែនកំណត់ទម្ងន់ដែលត្រូវគ្នា</t>
        </is>
      </c>
    </row>
    <row r="307" ht="15.75" customHeight="1" s="305">
      <c r="A307" s="217" t="inlineStr">
        <is>
          <t>CREATE_ORDER.VIEW_MORE_RULE</t>
        </is>
      </c>
      <c r="B307" s="153" t="inlineStr">
        <is>
          <t>查看更多规则</t>
        </is>
      </c>
      <c r="C307" s="3" t="inlineStr">
        <is>
          <t>Xem thêm quy định</t>
        </is>
      </c>
      <c r="D307" s="3" t="inlineStr">
        <is>
          <t>View More Rules</t>
        </is>
      </c>
      <c r="E307" s="3" t="inlineStr">
        <is>
          <t>ເບິ່ງກົດລະບຽບເພີ່ມເຕີມ</t>
        </is>
      </c>
      <c r="F307" s="3" t="inlineStr">
        <is>
          <t>နောက်ထပ်စည်းမျဉ်းတွေကို ရှုမြင်ပါ</t>
        </is>
      </c>
      <c r="G307" s="3">
        <f>IFERROR(__xludf.DUMMYFUNCTION("GOOGLETRANSLATE(C307,""vi"",""km"")"),"សូមមើលបទប្បញ្ញត្តិបន្ថែម។")</f>
        <v/>
      </c>
      <c r="J307" s="3" t="inlineStr">
        <is>
          <t>មើលបទប្បញ្ញត្តិបន្ថែមទៀត</t>
        </is>
      </c>
      <c r="K307" s="217" t="inlineStr">
        <is>
          <t>មើលបទប្បញ្ញត្តិបន្ថែមទៀត</t>
        </is>
      </c>
      <c r="S307" s="163" t="inlineStr">
        <is>
          <t>មើលបទប្បញ្ញត្តិបន្ថែមទៀត</t>
        </is>
      </c>
    </row>
    <row r="308" ht="15.75" customHeight="1" s="305">
      <c r="A308" s="217" t="inlineStr">
        <is>
          <t>CREATE_ORDER.COD_WITH_MERCHANDISE_PRICE</t>
        </is>
      </c>
      <c r="B308" s="153" t="inlineStr">
        <is>
          <t>按货值代收款</t>
        </is>
      </c>
      <c r="C308" s="3" t="inlineStr">
        <is>
          <t>Thu hộ bằng giá trị hàng</t>
        </is>
      </c>
      <c r="D308" s="3" t="inlineStr">
        <is>
          <t>COD by goods value</t>
        </is>
      </c>
      <c r="E308" s="3" t="inlineStr">
        <is>
          <t>ໃສ່ COD ລາຄາເຄື່ອງ</t>
        </is>
      </c>
      <c r="F308" s="3" t="inlineStr">
        <is>
          <t xml:space="preserve"> COD တန်ဖိုးရှိသော ကုန်ပစ္စည်းတန်ဖိုး</t>
        </is>
      </c>
      <c r="G308" s="3">
        <f>IFERROR(__xludf.DUMMYFUNCTION("GOOGLETRANSLATE(C308,""vi"",""km"")"),"ប្រមូលការទូទាត់ដោយផ្អែកលើតម្លៃទំនិញ។")</f>
        <v/>
      </c>
      <c r="H308" s="217" t="inlineStr">
        <is>
          <t>ប្រមូលស្មើតម្លៃអីវ៉ាន់</t>
        </is>
      </c>
      <c r="J308" s="3" t="inlineStr">
        <is>
          <t>ទទួលប្រាក់ស្មើតម្លៃអីវ៉ាន់</t>
        </is>
      </c>
      <c r="K308" s="217" t="inlineStr">
        <is>
          <t>ទទួលប្រាក់ស្មើតម្លៃអីវ៉ាន់</t>
        </is>
      </c>
      <c r="S308" s="163" t="inlineStr">
        <is>
          <t>COD តាមតម្លៃទំនិញ</t>
        </is>
      </c>
    </row>
    <row r="309" ht="15.75" customHeight="1" s="305">
      <c r="A309" s="217" t="inlineStr">
        <is>
          <t>CREATE_ORDER.EMPTY_INFO</t>
        </is>
      </c>
      <c r="B309" s="153" t="inlineStr">
        <is>
          <t>暂无信息！</t>
        </is>
      </c>
      <c r="C309" s="3" t="inlineStr">
        <is>
          <t>Chưa có thông tin!</t>
        </is>
      </c>
      <c r="D309" s="3" t="inlineStr">
        <is>
          <t>No information available!</t>
        </is>
      </c>
      <c r="E309" s="3" t="inlineStr">
        <is>
          <t>ບໍ່ມີຂໍ້ມູນເທື່ອ!</t>
        </is>
      </c>
      <c r="F309" s="3" t="inlineStr">
        <is>
          <t>အချက်အလက်များ မရရှိနိုင်ပါ!</t>
        </is>
      </c>
      <c r="G309" s="3">
        <f>IFERROR(__xludf.DUMMYFUNCTION("GOOGLETRANSLATE(C309,""vi"",""km"")"),"គ្មានព័ត៌មានទេ!")</f>
        <v/>
      </c>
      <c r="H309" s="217" t="inlineStr">
        <is>
          <t>មិនទាន់មានព័ត៌មាន!</t>
        </is>
      </c>
      <c r="J309" s="3" t="inlineStr">
        <is>
          <t>មិនទាន់មានព័ត៌មាន!</t>
        </is>
      </c>
      <c r="K309" s="217" t="inlineStr">
        <is>
          <t>មិនទាន់មានព័ត៌មាន!</t>
        </is>
      </c>
      <c r="S309" s="163" t="inlineStr">
        <is>
          <t>មិនមានព័ត៌មានទេ!</t>
        </is>
      </c>
    </row>
    <row r="310" ht="15.75" customHeight="1" s="305">
      <c r="A310" s="217" t="inlineStr">
        <is>
          <t>CREATE_ORDER.GET_LIST_SERVICE_FAIL</t>
        </is>
      </c>
      <c r="B310" s="153" t="inlineStr">
        <is>
          <t>获取服务列表失败</t>
        </is>
      </c>
      <c r="C310" s="3" t="inlineStr">
        <is>
          <t>Lấy dịch vụ thất bại</t>
        </is>
      </c>
      <c r="D310" s="3" t="inlineStr">
        <is>
          <t>Failed to get service list</t>
        </is>
      </c>
      <c r="E310" s="3" t="inlineStr">
        <is>
          <t>ບໍລິການດຶງຂໍ້ມູນລົ້ມເຫລວ</t>
        </is>
      </c>
      <c r="F310" s="3" t="inlineStr">
        <is>
          <t>ဝန်ဆောင်မှုစာရင်းရဖို့ ပျက်ကွက်ခဲ့</t>
        </is>
      </c>
      <c r="G310" s="3">
        <f>IFERROR(__xludf.DUMMYFUNCTION("GOOGLETRANSLATE(C310,""vi"",""km"")"),"យកសេវាកម្មប្រសិនបើវាបរាជ័យ។")</f>
        <v/>
      </c>
      <c r="H310" s="217" t="inlineStr">
        <is>
          <t>យកសេវាកម្មបរាជ័យ</t>
        </is>
      </c>
      <c r="J310" s="3" t="inlineStr">
        <is>
          <t>យកសេវាកម្មបរាជ័យ</t>
        </is>
      </c>
      <c r="K310" s="217" t="inlineStr">
        <is>
          <t>យកសេវាកម្មបរាជ័យ</t>
        </is>
      </c>
      <c r="S310" s="163" t="inlineStr">
        <is>
          <t>បរាជ័យក្នុងការទទួលបានបញ្ជីសេវាកម្ម</t>
        </is>
      </c>
    </row>
    <row r="311" ht="15.75" customHeight="1" s="305">
      <c r="A311" s="217" t="inlineStr">
        <is>
          <t>CREATE_ORDER.MONEY_UNIT</t>
        </is>
      </c>
      <c r="B311" s="161" t="inlineStr">
        <is>
          <t>{{moneyUnit}}</t>
        </is>
      </c>
      <c r="C311" s="3" t="inlineStr">
        <is>
          <t>{{moneyUnit}}</t>
        </is>
      </c>
      <c r="D311" s="3" t="inlineStr">
        <is>
          <t>{{moneyUnit}}</t>
        </is>
      </c>
      <c r="E311" s="3" t="inlineStr">
        <is>
          <t>{{ຈຳກັດວົງເງີນ}}</t>
        </is>
      </c>
      <c r="F311" s="3" t="inlineStr">
        <is>
          <t>{{moneyUnit}}</t>
        </is>
      </c>
      <c r="G311" s="3">
        <f>IFERROR(__xludf.DUMMYFUNCTION("GOOGLETRANSLATE(C311,""vi"",""km"")"),"{{moneyUnit}}")</f>
        <v/>
      </c>
      <c r="H311" s="3" t="inlineStr">
        <is>
          <t>{{moneyUnit}}</t>
        </is>
      </c>
      <c r="J311" s="3" t="inlineStr">
        <is>
          <t>{{moneyUnit}}</t>
        </is>
      </c>
      <c r="K311" s="217" t="inlineStr">
        <is>
          <t>{{moneyUnit}}</t>
        </is>
      </c>
      <c r="S311" s="163" t="inlineStr">
        <is>
          <t>{{moneyUnit}}</t>
        </is>
      </c>
    </row>
    <row r="312" ht="15.75" customHeight="1" s="305">
      <c r="A312" s="217" t="inlineStr">
        <is>
          <t>CREATE_ORDER.WEIGHT_UNIT</t>
        </is>
      </c>
      <c r="B312" s="161" t="inlineStr">
        <is>
          <t>g</t>
        </is>
      </c>
      <c r="C312" s="3" t="inlineStr">
        <is>
          <t>g</t>
        </is>
      </c>
      <c r="D312" s="3" t="inlineStr">
        <is>
          <t>g</t>
        </is>
      </c>
      <c r="E312" s="3" t="inlineStr">
        <is>
          <t>g</t>
        </is>
      </c>
      <c r="F312" s="3" t="inlineStr">
        <is>
          <t>g</t>
        </is>
      </c>
      <c r="G312" s="3">
        <f>IFERROR(__xludf.DUMMYFUNCTION("GOOGLETRANSLATE(C312,""vi"",""km"")"),"អង្ករ")</f>
        <v/>
      </c>
      <c r="H312" s="217" t="inlineStr">
        <is>
          <t>ក្រាម</t>
        </is>
      </c>
      <c r="J312" s="3" t="inlineStr">
        <is>
          <t>ក្រាម</t>
        </is>
      </c>
      <c r="K312" s="217" t="inlineStr">
        <is>
          <t>ក្រាម</t>
        </is>
      </c>
      <c r="S312" s="163" t="inlineStr">
        <is>
          <t>g</t>
        </is>
      </c>
    </row>
    <row r="313" ht="15.75" customHeight="1" s="305">
      <c r="A313" s="217" t="inlineStr">
        <is>
          <t>CREATE_ORDER.LIST_EXTRA_SERVICE</t>
        </is>
      </c>
      <c r="B313" s="153" t="inlineStr">
        <is>
          <t>选择附加服务</t>
        </is>
      </c>
      <c r="C313" s="3" t="inlineStr">
        <is>
          <t>Chọn dịch vụ cộng thêm</t>
        </is>
      </c>
      <c r="D313" s="3" t="inlineStr">
        <is>
          <t>Select additional services</t>
        </is>
      </c>
      <c r="E313" s="3" t="inlineStr">
        <is>
          <t>ເລືອກການບໍລິການເພີ່ມເຕີມ</t>
        </is>
      </c>
      <c r="F313" s="3" t="inlineStr">
        <is>
          <t>ထပ်ဆင့် ဝန်ဆောင်မှုတွေကို ရွေးပါ</t>
        </is>
      </c>
      <c r="G313" s="3">
        <f>IFERROR(__xludf.DUMMYFUNCTION("GOOGLETRANSLATE(C313,""vi"",""km"")"),"ជ្រើសរើសសេវាកម្មបន្ថែម")</f>
        <v/>
      </c>
      <c r="H313" s="217" t="inlineStr">
        <is>
          <t>ជ្រើសរើសសេវាកម្មបូកបន្ថែម</t>
        </is>
      </c>
      <c r="J313" s="3" t="inlineStr">
        <is>
          <t>ជ្រើសរើសសេវាកម្មបូកបន្ថែម</t>
        </is>
      </c>
      <c r="K313" s="217" t="inlineStr">
        <is>
          <t>ជ្រើសរើសសេវាកម្មបូកបន្ថែម</t>
        </is>
      </c>
      <c r="S313" s="163" t="inlineStr">
        <is>
          <t>ជ្រើសរើសសេវាកម្មបន្ថែម</t>
        </is>
      </c>
    </row>
    <row r="314" ht="15.75" customHeight="1" s="305">
      <c r="A314" s="217" t="inlineStr">
        <is>
          <t>CREATE_ORDER.CREATE_ORDER_FAIL</t>
        </is>
      </c>
      <c r="B314" s="153" t="inlineStr">
        <is>
          <t>创建订单失败，请重试</t>
        </is>
      </c>
      <c r="C314" s="3" t="inlineStr">
        <is>
          <t>Tạo đơn thất bại, vui lòng thử lại</t>
        </is>
      </c>
      <c r="D314" s="3" t="inlineStr">
        <is>
          <t>Failed to create order, please try again</t>
        </is>
      </c>
      <c r="E314" s="3" t="inlineStr">
        <is>
          <t>ການສ້າງຄໍາສັ່ງລົ້ມເຫລວ, ກະລຸນາລອງໃໝ່ອີກຄັ້ງ</t>
        </is>
      </c>
      <c r="F314" s="3" t="inlineStr">
        <is>
          <t>အော်ဒါဖန်တီးမှု မအောင်မြင်ပါ၊ ကျေးဇူးပြု၍ ထပ်မံကြိုးစားပါ</t>
        </is>
      </c>
      <c r="G314" s="3">
        <f>IFERROR(__xludf.DUMMYFUNCTION("GOOGLETRANSLATE(C314,""vi"",""km"")"),"ការបង្កើតការបញ្ជាទិញបរាជ័យ សូមព្យាយាមម្តងទៀត។")</f>
        <v/>
      </c>
      <c r="H314" s="3" t="inlineStr">
        <is>
          <t>ការបង្កើតបុងបញ្ញើបានបរាជ័យ សូមសាកល្បងម្តងទៀត</t>
        </is>
      </c>
      <c r="J314" s="3" t="inlineStr">
        <is>
          <t>ការបង្កើតបុងបញ្ញើបានបរាជ័យ សូមសាកល្បងម្តងទៀត</t>
        </is>
      </c>
      <c r="K314" s="217" t="inlineStr">
        <is>
          <t>ការបង្កើតបុងបញ្ញើបានបរាជ័យ សូមសាកល្បងម្តងទៀត</t>
        </is>
      </c>
      <c r="S314" s="163" t="inlineStr">
        <is>
          <t>បរាជ័យក្នុងការបង្កើតកញ្ចប់បុង សូមព្យាយាមម្តងទៀត</t>
        </is>
      </c>
    </row>
    <row r="315" ht="15.75" customHeight="1" s="305">
      <c r="A315" s="217" t="inlineStr">
        <is>
          <t>CREATE_ORDER.LOADING_WAREHOUSE</t>
        </is>
      </c>
      <c r="B315" s="153" t="inlineStr">
        <is>
          <t>正在加载地址</t>
        </is>
      </c>
      <c r="C315" s="3" t="inlineStr">
        <is>
          <t>Đang lấy dữ liệu địa chỉ gửi</t>
        </is>
      </c>
      <c r="D315" s="3" t="inlineStr">
        <is>
          <t>Loading shipping addresses</t>
        </is>
      </c>
      <c r="E315" s="3" t="inlineStr">
        <is>
          <t>ກຳລັງຮັບຂໍ້ມູນທີ່ຢູ່ຜູ້ສົ່ງ</t>
        </is>
      </c>
      <c r="F315" s="3" t="inlineStr">
        <is>
          <t>ပို့ဆောင်ရေး လိပ်စာများ ဝန်တင်ခြင်း</t>
        </is>
      </c>
      <c r="G315" s="3">
        <f>IFERROR(__xludf.DUMMYFUNCTION("GOOGLETRANSLATE(C315,""vi"",""km"")"),"កំពុងទាញយកទិន្នន័យអាសយដ្ឋានអ្នកផ្ញើ")</f>
        <v/>
      </c>
      <c r="H315" s="3" t="inlineStr">
        <is>
          <t>កំពុងយកទិន្នន័យអាស័យដ្ឋានផ្ញើបញ្ញើ</t>
        </is>
      </c>
      <c r="J315" s="3" t="inlineStr">
        <is>
          <t>កំពុងយកទិន្នន័យអាសយដ្ឋានផ្ញើបញ្ញើ</t>
        </is>
      </c>
      <c r="K315" s="217" t="inlineStr">
        <is>
          <t>កំពុងយកទិន្នន័យអាសយដ្ឋានផ្ញើបញ្ញើ</t>
        </is>
      </c>
      <c r="S315" s="163" t="inlineStr">
        <is>
          <t>ទទួលបានទិន្នន័យអាសយដ្ឋានដឹកជញ្ជូន</t>
        </is>
      </c>
    </row>
    <row r="316" ht="15.75" customHeight="1" s="305">
      <c r="A316" s="217" t="inlineStr">
        <is>
          <t>CREATE_ORDER.CREATE_ORDER_SUCCESS</t>
        </is>
      </c>
      <c r="B316" s="153" t="inlineStr">
        <is>
          <t>订单创建成功</t>
        </is>
      </c>
      <c r="C316" s="3" t="inlineStr">
        <is>
          <t>Tạo đơn hàng thành công!</t>
        </is>
      </c>
      <c r="D316" s="3" t="inlineStr">
        <is>
          <t>Order created successfully</t>
        </is>
      </c>
      <c r="E316" s="3" t="inlineStr">
        <is>
          <t>ສ້າງຄຳສັ່ງສຳເລັດແລ້ວ!</t>
        </is>
      </c>
      <c r="F316" s="3" t="inlineStr">
        <is>
          <t>အောင်မြင်စွာဖန်တီးထားသော အော်ဒါ</t>
        </is>
      </c>
      <c r="G316" s="3">
        <f>IFERROR(__xludf.DUMMYFUNCTION("GOOGLETRANSLATE(C316,""vi"",""km"")"),"ការបញ្ជាទិញត្រូវបានបង្កើតដោយជោគជ័យ!")</f>
        <v/>
      </c>
      <c r="H316" s="217" t="inlineStr">
        <is>
          <t>បង្កើតបុងបញ្ញើបានជោគជ័យ!</t>
        </is>
      </c>
      <c r="J316" s="3" t="inlineStr">
        <is>
          <t>បង្កើតបុងបញ្ញើបានជោគជ័យ!</t>
        </is>
      </c>
      <c r="K316" s="217" t="inlineStr">
        <is>
          <t>បង្កើតបុងបញ្ញើបានជោគជ័យ!</t>
        </is>
      </c>
      <c r="S316" s="163" t="inlineStr">
        <is>
          <t>កញ្ចប់បុងត្រូវបានបង្កើតដោយជោគជ័យ</t>
        </is>
      </c>
    </row>
    <row r="317" ht="15.75" customHeight="1" s="305">
      <c r="A317" s="217" t="inlineStr">
        <is>
          <t>CREATE_ORDER.VIEW_ORDER_DETAIL</t>
        </is>
      </c>
      <c r="B317" s="153" t="inlineStr">
        <is>
          <t>查看订单详情</t>
        </is>
      </c>
      <c r="C317" s="3" t="inlineStr">
        <is>
          <t>Chi tiết đơn</t>
        </is>
      </c>
      <c r="D317" s="3" t="inlineStr">
        <is>
          <t>View order details</t>
        </is>
      </c>
      <c r="E317" s="3" t="inlineStr">
        <is>
          <t>ລາຍລະອຽດດຽວ</t>
        </is>
      </c>
      <c r="F317" s="3" t="inlineStr">
        <is>
          <t>အသေးစိတ်</t>
        </is>
      </c>
      <c r="G317" s="3">
        <f>IFERROR(__xludf.DUMMYFUNCTION("GOOGLETRANSLATE(C317,""vi"",""km"")"),"ព័ត៌មានលម្អិតអំពីការបញ្ជាទិញ")</f>
        <v/>
      </c>
      <c r="H317" s="217" t="inlineStr">
        <is>
          <t>លម្អិតបុងបញ្ញើ</t>
        </is>
      </c>
      <c r="J317" s="3" t="inlineStr">
        <is>
          <t>លម្អិតបុងបញ្ញើ</t>
        </is>
      </c>
      <c r="K317" s="217" t="inlineStr">
        <is>
          <t>លម្អិតបុងបញ្ញើ</t>
        </is>
      </c>
      <c r="S317" s="163" t="inlineStr">
        <is>
          <t>ព័ត៌មានកញ្ចប់បុង</t>
        </is>
      </c>
    </row>
    <row r="318" ht="15.75" customHeight="1" s="305">
      <c r="A318" s="217" t="inlineStr">
        <is>
          <t>CREATE_ORDER.CONTINUE_CREATE_ORDER</t>
        </is>
      </c>
      <c r="B318" s="153" t="inlineStr">
        <is>
          <t>继续创建订单</t>
        </is>
      </c>
      <c r="C318" s="3" t="inlineStr">
        <is>
          <t>Tiếp tục tạo đơn</t>
        </is>
      </c>
      <c r="D318" s="3" t="inlineStr">
        <is>
          <t>Continue to create order</t>
        </is>
      </c>
      <c r="E318" s="3" t="inlineStr">
        <is>
          <t>ສືບຕໍ່ສ້າງຄໍາສັ່ງ</t>
        </is>
      </c>
      <c r="F318" s="3" t="inlineStr">
        <is>
          <t>အော်ဒါကို ဆက်ဖန်တီးမည်</t>
        </is>
      </c>
      <c r="G318" s="3">
        <f>IFERROR(__xludf.DUMMYFUNCTION("GOOGLETRANSLATE(C318,""vi"",""km"")"),"បន្តបង្កើតការបញ្ជាទិញ")</f>
        <v/>
      </c>
      <c r="H318" s="217" t="inlineStr">
        <is>
          <t>បន្តការបង្កើតបុងបញ្ញើ</t>
        </is>
      </c>
      <c r="J318" s="3" t="inlineStr">
        <is>
          <t>បន្តការបង្កើតបុងបញ្ញើ</t>
        </is>
      </c>
      <c r="K318" s="217" t="inlineStr">
        <is>
          <t>បន្តការបង្កើតបុងបញ្ញើ</t>
        </is>
      </c>
      <c r="S318" s="163" t="inlineStr">
        <is>
          <t>បន្តការបង្កើតកញ្ចប់បុង</t>
        </is>
      </c>
    </row>
    <row r="319" ht="15.75" customHeight="1" s="305">
      <c r="A319" s="217" t="inlineStr">
        <is>
          <t>CREATE_ORDER.SAVE</t>
        </is>
      </c>
      <c r="B319" s="153" t="inlineStr">
        <is>
          <t>保存</t>
        </is>
      </c>
      <c r="C319" s="3" t="inlineStr">
        <is>
          <t>Lưu</t>
        </is>
      </c>
      <c r="D319" s="3" t="inlineStr">
        <is>
          <t>Save</t>
        </is>
      </c>
      <c r="E319" s="3" t="inlineStr">
        <is>
          <t>ບັນທຶກ</t>
        </is>
      </c>
      <c r="F319" s="3" t="inlineStr">
        <is>
          <t>သိမ်းဆည်းပါ</t>
        </is>
      </c>
      <c r="G319" s="3">
        <f>IFERROR(__xludf.DUMMYFUNCTION("GOOGLETRANSLATE(C319,""vi"",""km"")"),"រក្សាទុក")</f>
        <v/>
      </c>
      <c r="H319" s="217" t="inlineStr">
        <is>
          <t>រក្សាទុក</t>
        </is>
      </c>
      <c r="J319" s="3" t="inlineStr">
        <is>
          <t>រក្សាទុក</t>
        </is>
      </c>
      <c r="K319" s="217" t="inlineStr">
        <is>
          <t>រក្សាទុក</t>
        </is>
      </c>
      <c r="S319" s="163" t="inlineStr">
        <is>
          <t>រក្សាទុក</t>
        </is>
      </c>
    </row>
    <row r="320" ht="15.75" customHeight="1" s="305">
      <c r="A320" s="217" t="inlineStr">
        <is>
          <t>CREATE_ORDER.DONT_SAVE</t>
        </is>
      </c>
      <c r="B320" s="153" t="inlineStr">
        <is>
          <t>不保存</t>
        </is>
      </c>
      <c r="C320" s="3" t="inlineStr">
        <is>
          <t>Không lưu</t>
        </is>
      </c>
      <c r="D320" s="3" t="inlineStr">
        <is>
          <t>Don't save</t>
        </is>
      </c>
      <c r="E320" s="3" t="inlineStr">
        <is>
          <t>ບໍ່ມີບັນທຶກ</t>
        </is>
      </c>
      <c r="F320" s="3" t="inlineStr">
        <is>
          <t>မစုဆောင်းပါနဲ့</t>
        </is>
      </c>
      <c r="G320" s="3">
        <f>IFERROR(__xludf.DUMMYFUNCTION("GOOGLETRANSLATE(C320,""vi"",""km"")"),"ចរាចរណ៍ផ្លូវអាកាស")</f>
        <v/>
      </c>
      <c r="H320" s="217" t="inlineStr">
        <is>
          <t>មិនបានរក្សាទុក</t>
        </is>
      </c>
      <c r="J320" s="3" t="inlineStr">
        <is>
          <t>មិនបានរក្សាទុក</t>
        </is>
      </c>
      <c r="K320" s="217" t="inlineStr">
        <is>
          <t>មិនបានរក្សាទុក</t>
        </is>
      </c>
      <c r="S320" s="163" t="inlineStr">
        <is>
          <t>មិនរក្សាទុក</t>
        </is>
      </c>
    </row>
    <row r="321" ht="15.75" customHeight="1" s="305">
      <c r="A321" s="217" t="inlineStr">
        <is>
          <t>CREATE_ORDER.DO_YOU_WANT_TO_SAVE</t>
        </is>
      </c>
      <c r="B321" s="153" t="inlineStr">
        <is>
          <t>是否在退出前保存订单信息？</t>
        </is>
      </c>
      <c r="C321" s="3" t="inlineStr">
        <is>
          <t>Quý khách có muốn lưu lại thông tin tạo đơn trước khi thoát không ?</t>
        </is>
      </c>
      <c r="D321" s="3" t="inlineStr">
        <is>
          <t>Do you want to save the order information before exiting?</t>
        </is>
      </c>
      <c r="E321" s="3" t="inlineStr">
        <is>
          <t>ທ່ານຕ້ອງການບັນທຶກຂໍ້ມູນການສັ່ງຊື້ຂອງທ່ານກ່ອນທີ່ຈະອອກບໍ?</t>
        </is>
      </c>
      <c r="F321" s="3" t="inlineStr">
        <is>
          <t>ထွက်မထွက်မီ အမိန့်အချက်အလက်များကို သိမ်းဆည်းလိုပါသလော။</t>
        </is>
      </c>
      <c r="G321" s="3">
        <f>IFERROR(__xludf.DUMMYFUNCTION("GOOGLETRANSLATE(C321,""vi"",""km"")"),"តើអ្នកចង់រក្សាទុកព័ត៌មានបង្កើតការបញ្ជាទិញរបស់អ្នកមុនពេលចេញទេ?")</f>
        <v/>
      </c>
      <c r="H321" s="3" t="inlineStr">
        <is>
          <t>អតិថិជនចង់រក្សាទុកព័ត៌មានបង្កើតបុងបញ្ញើមុនពេលចាកចេញដែរទេ?</t>
        </is>
      </c>
      <c r="J321" s="3" t="inlineStr">
        <is>
          <t>អតិថិជនចង់រក្សាទុកព័ត៌មានបង្កើតបុងបញ្ញើមុនពេលចាកចេញដែរទេ?</t>
        </is>
      </c>
      <c r="K321" s="217" t="inlineStr">
        <is>
          <t>អតិថិជនចង់រក្សាទុកព័ត៌មានបង្កើតបុងបញ្ញើមុនពេលចាកចេញដែរទេ?</t>
        </is>
      </c>
      <c r="S321" s="163" t="inlineStr">
        <is>
          <t>តើអ្នកចង់រក្សាទុកព័ត៌មានកញ្ចប់បុងមុនពេលចេញទេ?</t>
        </is>
      </c>
    </row>
    <row r="322" ht="15.75" customHeight="1" s="305">
      <c r="A322" s="217" t="inlineStr">
        <is>
          <t>CREATE_ORDER.SEARCH_REGION</t>
        </is>
      </c>
      <c r="B322" s="153" t="inlineStr">
        <is>
          <t>搜索省/邦</t>
        </is>
      </c>
      <c r="C322" s="3" t="inlineStr">
        <is>
          <t>Tìm kiếm Liên Bang/Vùng</t>
        </is>
      </c>
      <c r="D322" s="3" t="inlineStr">
        <is>
          <t>Search Federal Region/State</t>
        </is>
      </c>
      <c r="E322" s="3" t="inlineStr">
        <is>
          <t>ການຄົ້ນຫາຂອງລັດຖະບານກາງ/ພາກພື້ນ</t>
        </is>
      </c>
      <c r="F322" s="3" t="inlineStr">
        <is>
          <t>ဖက်ဒရယ်ဒေသ/နိုင်ငံတော်</t>
        </is>
      </c>
      <c r="G322" s="3">
        <f>IFERROR(__xludf.DUMMYFUNCTION("GOOGLETRANSLATE(C322,""vi"",""km"")"),"ការស្វែងរកសហព័ន្ធ/តំបន់")</f>
        <v/>
      </c>
      <c r="H322" s="217" t="inlineStr">
        <is>
          <t>ស្វែងរកសហព័ន្ធ/តំបន់</t>
        </is>
      </c>
      <c r="J322" s="3" t="inlineStr">
        <is>
          <t>ស្វែងរកសហព័ន្ធ/តំបន់</t>
        </is>
      </c>
      <c r="K322" s="217" t="inlineStr">
        <is>
          <t>ស្វែងរកសហព័ន្ធ/តំបន់</t>
        </is>
      </c>
      <c r="S322" s="163" t="inlineStr">
        <is>
          <t>ស្វែងរកតំបន់</t>
        </is>
      </c>
    </row>
    <row r="323" ht="15.75" customHeight="1" s="305">
      <c r="A323" s="217" t="inlineStr">
        <is>
          <t>CREATE_ORDER.SEARCH_DISTRICT</t>
        </is>
      </c>
      <c r="B323" s="153" t="inlineStr">
        <is>
          <t>搜索区/县</t>
        </is>
      </c>
      <c r="C323" s="3" t="inlineStr">
        <is>
          <t>Tìm kiếm Huyện</t>
        </is>
      </c>
      <c r="D323" s="3" t="inlineStr">
        <is>
          <t>Search District</t>
        </is>
      </c>
      <c r="E323" s="3" t="inlineStr">
        <is>
          <t>ຄົ້ນຫາເມືອງ</t>
        </is>
      </c>
      <c r="F323" s="3" t="inlineStr">
        <is>
          <t>ရှာဖွေရေးခရိုင်</t>
        </is>
      </c>
      <c r="G323" s="3">
        <f>IFERROR(__xludf.DUMMYFUNCTION("GOOGLETRANSLATE(C323,""vi"",""km"")"),"ស្វែងរកស្រុក")</f>
        <v/>
      </c>
      <c r="H323" s="217" t="inlineStr">
        <is>
          <t>ស្វែ្វងរកស្រុក</t>
        </is>
      </c>
      <c r="J323" s="3" t="inlineStr">
        <is>
          <t>ស្វែ្វងរកស្រុក</t>
        </is>
      </c>
      <c r="K323" s="217" t="inlineStr">
        <is>
          <t>ស្វែ្វងរកស្រុក</t>
        </is>
      </c>
      <c r="S323" s="163" t="inlineStr">
        <is>
          <t>ស្វែងរកស្រុក</t>
        </is>
      </c>
    </row>
    <row r="324" ht="15.75" customHeight="1" s="305">
      <c r="A324" s="217" t="inlineStr">
        <is>
          <t>CREATE_ORDER.SEARCH_TOWN</t>
        </is>
      </c>
      <c r="B324" s="153" t="inlineStr">
        <is>
          <t>搜索城镇</t>
        </is>
      </c>
      <c r="C324" s="3" t="inlineStr">
        <is>
          <t>Tìm kiếm Thị Trấn</t>
        </is>
      </c>
      <c r="D324" s="3" t="inlineStr">
        <is>
          <t>Search Town</t>
        </is>
      </c>
      <c r="E324" s="3" t="inlineStr">
        <is>
          <t>ຄົ້ນຫາເມືອງ</t>
        </is>
      </c>
      <c r="F324" s="3" t="inlineStr">
        <is>
          <t>ရှာဖွေရေးမြို့</t>
        </is>
      </c>
      <c r="G324" s="3">
        <f>IFERROR(__xludf.DUMMYFUNCTION("GOOGLETRANSLATE(C324,""vi"",""km"")"),"ស្វែងរកទីប្រជុំជន")</f>
        <v/>
      </c>
      <c r="H324" s="217" t="inlineStr">
        <is>
          <t>ស្វែងរកទីរួមខេត្ត</t>
        </is>
      </c>
      <c r="J324" s="3" t="inlineStr">
        <is>
          <t>ស្វែងរកទីរួមខេត្ត</t>
        </is>
      </c>
      <c r="K324" s="217" t="inlineStr">
        <is>
          <t>ស្វែងរកទីរួមខេត្ត</t>
        </is>
      </c>
      <c r="S324" s="163" t="inlineStr">
        <is>
          <t>ស្វែងរកខេត្តក្រុង</t>
        </is>
      </c>
    </row>
    <row r="325" ht="15.75" customHeight="1" s="305">
      <c r="A325" s="217" t="inlineStr">
        <is>
          <t>CREATE_ORDER.ORDER_INFO</t>
        </is>
      </c>
      <c r="B325" s="153" t="inlineStr">
        <is>
          <t>订单信息</t>
        </is>
      </c>
      <c r="C325" s="3" t="inlineStr">
        <is>
          <t>Thông tin đơn</t>
        </is>
      </c>
      <c r="D325" s="3" t="inlineStr">
        <is>
          <t>Order Information</t>
        </is>
      </c>
      <c r="E325" s="3" t="inlineStr">
        <is>
          <t>ຂໍ້ມູນດຽວ</t>
        </is>
      </c>
      <c r="F325" s="3" t="inlineStr">
        <is>
          <t>အမိန့်အချက်အလက်များ</t>
        </is>
      </c>
      <c r="G325" s="3">
        <f>IFERROR(__xludf.DUMMYFUNCTION("GOOGLETRANSLATE(C325,""vi"",""km"")"),"ព័ត៌មានការបញ្ជាទិញ")</f>
        <v/>
      </c>
      <c r="H325" s="217" t="inlineStr">
        <is>
          <t>ព័ត៌មានបុងបញ្ញើ</t>
        </is>
      </c>
      <c r="J325" s="3" t="inlineStr">
        <is>
          <t>ព័ត៌មានបុងបញ្ញើ</t>
        </is>
      </c>
      <c r="K325" s="217" t="inlineStr">
        <is>
          <t>ព័ត៌មានបុងបញ្ញើ</t>
        </is>
      </c>
      <c r="S325" s="163" t="inlineStr">
        <is>
          <t>ព័ត៌មានកញ្ចប់បុង</t>
        </is>
      </c>
    </row>
    <row r="326" ht="15.75" customHeight="1" s="305">
      <c r="A326" s="217" t="inlineStr">
        <is>
          <t>CREATE_ORDER.ORDER_NUMBER</t>
        </is>
      </c>
      <c r="B326" s="153" t="inlineStr">
        <is>
          <t>订单编号</t>
        </is>
      </c>
      <c r="C326" s="3" t="inlineStr">
        <is>
          <t>Mã vận đơn</t>
        </is>
      </c>
      <c r="D326" s="3" t="inlineStr">
        <is>
          <t>Order ID</t>
        </is>
      </c>
      <c r="E326" s="3" t="inlineStr">
        <is>
          <t>ລະຫັດບິນເຄື່ອງ</t>
        </is>
      </c>
      <c r="F326" s="3" t="inlineStr">
        <is>
          <t>အော်ဒါ ID</t>
        </is>
      </c>
      <c r="G326" s="3">
        <f>IFERROR(__xludf.DUMMYFUNCTION("GOOGLETRANSLATE(C326,""vi"",""km"")"),"លេខតាមដាន")</f>
        <v/>
      </c>
      <c r="H326" s="217" t="inlineStr">
        <is>
          <t>លេខកូដបុងបញ្ញើ</t>
        </is>
      </c>
      <c r="J326" s="3" t="inlineStr">
        <is>
          <t>លេខកូដបុងបញ្ញើ</t>
        </is>
      </c>
      <c r="K326" s="217" t="inlineStr">
        <is>
          <t>លេខកូដបុងបញ្ញើ</t>
        </is>
      </c>
      <c r="S326" s="163" t="inlineStr">
        <is>
          <t>ID កញ្ចប់បុង</t>
        </is>
      </c>
    </row>
    <row r="327" ht="15.75" customHeight="1" s="305">
      <c r="A327" s="217" t="inlineStr">
        <is>
          <t>CREATE_ORDER.PRODUCT</t>
        </is>
      </c>
      <c r="B327" s="153" t="inlineStr">
        <is>
          <t>物品信息</t>
        </is>
      </c>
      <c r="C327" s="3" t="inlineStr">
        <is>
          <t>Sản phẩm</t>
        </is>
      </c>
      <c r="D327" s="3" t="inlineStr">
        <is>
          <t>Goods</t>
        </is>
      </c>
      <c r="E327" s="3" t="inlineStr">
        <is>
          <t>ຜະລິດຕະພັນ</t>
        </is>
      </c>
      <c r="F327" s="3" t="inlineStr">
        <is>
          <t>ကုန်ပစ္စည်းများ</t>
        </is>
      </c>
      <c r="G327" s="3">
        <f>IFERROR(__xludf.DUMMYFUNCTION("GOOGLETRANSLATE(C327,""vi"",""km"")"),"ផលិតផល")</f>
        <v/>
      </c>
      <c r="H327" s="217" t="inlineStr">
        <is>
          <t>ប្រភេទផលិតផល</t>
        </is>
      </c>
      <c r="J327" s="3" t="inlineStr">
        <is>
          <t>ផលិតផល</t>
        </is>
      </c>
      <c r="K327" s="217" t="inlineStr">
        <is>
          <t>ផលិតផល</t>
        </is>
      </c>
      <c r="S327" s="163" t="inlineStr">
        <is>
          <t>ទំនិញ</t>
        </is>
      </c>
    </row>
    <row r="328" ht="15.75" customHeight="1" s="305">
      <c r="A328" s="217" t="inlineStr">
        <is>
          <t>CREATE_ORDER.SENDER_PAYMENT</t>
        </is>
      </c>
      <c r="B328" s="153" t="inlineStr">
        <is>
          <t>寄付</t>
        </is>
      </c>
      <c r="C328" s="3" t="inlineStr">
        <is>
          <t>Người gửi trả cước</t>
        </is>
      </c>
      <c r="D328" s="3" t="inlineStr">
        <is>
          <t>Sender pays fee</t>
        </is>
      </c>
      <c r="E328" s="3" t="inlineStr">
        <is>
          <t>ຜູ້ສົ່ງຈ່າຍຄ່າຂົນສົ່ງ</t>
        </is>
      </c>
      <c r="F328" s="3" t="inlineStr">
        <is>
          <t>ပို့ဆောင်သူ မှအခကြေးငွေ ကိုပေးမည်</t>
        </is>
      </c>
      <c r="G328" s="3">
        <f>IFERROR(__xludf.DUMMYFUNCTION("GOOGLETRANSLATE(C328,""vi"",""km"")"),"អ្នកផ្ញើចេញថ្លៃប្រៃសណីយ៍។")</f>
        <v/>
      </c>
      <c r="H328" s="217" t="inlineStr">
        <is>
          <t>អ្នកផ្ញើចេញថ្លៃសេវា</t>
        </is>
      </c>
      <c r="J328" s="3" t="inlineStr">
        <is>
          <t>អ្នកផ្ញើចេញថ្លៃសេវា</t>
        </is>
      </c>
      <c r="K328" s="217" t="inlineStr">
        <is>
          <t>អ្នកផ្ញើចេញថ្លៃសេវា</t>
        </is>
      </c>
      <c r="S328" s="163" t="inlineStr">
        <is>
          <t>អ្នកផ្ញើត្រូវបង់ថ្លៃសេវា</t>
        </is>
      </c>
    </row>
    <row r="329" ht="15.75" customHeight="1" s="305">
      <c r="A329" s="217" t="inlineStr">
        <is>
          <t>CREATE_ORDER.RECEIVER_PAYMENT</t>
        </is>
      </c>
      <c r="B329" s="153" t="inlineStr">
        <is>
          <t>到付</t>
        </is>
      </c>
      <c r="C329" s="3" t="inlineStr">
        <is>
          <t>Người nhận trả cước</t>
        </is>
      </c>
      <c r="D329" s="3" t="inlineStr">
        <is>
          <t>Receiver pays fee</t>
        </is>
      </c>
      <c r="E329" s="3" t="inlineStr">
        <is>
          <t>ຜູ້ຮັບຈ່າຍຄ່າຂົນສົ່ງ</t>
        </is>
      </c>
      <c r="F329" s="3" t="inlineStr">
        <is>
          <t>လက်ခံသူက အခကြေးငွေပေး ကိုပေးမည်</t>
        </is>
      </c>
      <c r="G329" s="3">
        <f>IFERROR(__xludf.DUMMYFUNCTION("GOOGLETRANSLATE(C329,""vi"",""km"")"),"អ្នកទទួលបង់ថ្លៃដឹកជញ្ជូន។")</f>
        <v/>
      </c>
      <c r="H329" s="217" t="inlineStr">
        <is>
          <t>អ្នកទទួលចេញសេវា</t>
        </is>
      </c>
      <c r="J329" s="3" t="inlineStr">
        <is>
          <t>អ្នកទទួលចេញសេវា</t>
        </is>
      </c>
      <c r="K329" s="217" t="inlineStr">
        <is>
          <t>អ្នកទទួលចេញសេវា</t>
        </is>
      </c>
      <c r="S329" s="163" t="inlineStr">
        <is>
          <t>អ្នកទទួលបង់ថ្លៃសេវា</t>
        </is>
      </c>
    </row>
    <row r="330" ht="15.75" customHeight="1" s="305">
      <c r="A330" s="217" t="inlineStr">
        <is>
          <t>CREATE_ORDER.COPIED_ORDER_NUMBER</t>
        </is>
      </c>
      <c r="B330" s="153" t="inlineStr">
        <is>
          <t>订单号已复制</t>
        </is>
      </c>
      <c r="C330" s="3" t="inlineStr">
        <is>
          <t>Đã sao chép mã vận đơn</t>
        </is>
      </c>
      <c r="D330" s="3" t="inlineStr">
        <is>
          <t>Order number copied</t>
        </is>
      </c>
      <c r="E330" s="3" t="inlineStr">
        <is>
          <t>ສຳເນົາໃບບິນແລ້ວ</t>
        </is>
      </c>
      <c r="F330" s="3" t="inlineStr">
        <is>
          <t>အမိန့်နံပါတ်ကို မိတ္တူကူးယူခဲ့</t>
        </is>
      </c>
      <c r="G330" s="3">
        <f>IFERROR(__xludf.DUMMYFUNCTION("GOOGLETRANSLATE(C330,""vi"",""km"")"),"លេខតាមដានត្រូវបានចម្លងហើយ។")</f>
        <v/>
      </c>
      <c r="H330" s="217" t="inlineStr">
        <is>
          <t>បានចម្លងលេខកូដបុងបញ្ញើ</t>
        </is>
      </c>
      <c r="J330" s="3" t="inlineStr">
        <is>
          <t>បានចម្លងលេខកូដបុងបញ្ញើ</t>
        </is>
      </c>
      <c r="K330" s="217" t="inlineStr">
        <is>
          <t>បានចម្លងលេខកូដបុងបញ្ញើ</t>
        </is>
      </c>
      <c r="S330" s="163" t="inlineStr">
        <is>
          <t>លេខកញ្ចប់បុងត្រូវបានចម្លង</t>
        </is>
      </c>
    </row>
    <row r="331" ht="15.75" customHeight="1" s="305">
      <c r="A331" s="217" t="inlineStr">
        <is>
          <t>CREATE_ORDER.LOADING_LIST_SERVICE</t>
        </is>
      </c>
      <c r="B331" s="153" t="inlineStr">
        <is>
          <t>正在获取服务列表</t>
        </is>
      </c>
      <c r="C331" s="3" t="inlineStr">
        <is>
          <t>Đang lấy danh sách dịch vụ...</t>
        </is>
      </c>
      <c r="D331" s="3" t="inlineStr">
        <is>
          <t>Fetching service list...</t>
        </is>
      </c>
      <c r="E331" s="3" t="inlineStr">
        <is>
          <t>ກຳລັງຮັບລາຍຊື່ບໍລິການ...</t>
        </is>
      </c>
      <c r="F331" s="3" t="inlineStr">
        <is>
          <t>ဝန်ဆောင်မှုစာရင်း....</t>
        </is>
      </c>
      <c r="G331" s="3">
        <f>IFERROR(__xludf.DUMMYFUNCTION("GOOGLETRANSLATE(C331,""vi"",""km"")"),"កំពុងទាញយកបញ្ជីសេវាកម្ម...")</f>
        <v/>
      </c>
      <c r="H331" s="217" t="inlineStr">
        <is>
          <t>កំពុងយកបញ្ជីសេវាកម្ម</t>
        </is>
      </c>
      <c r="J331" s="3" t="inlineStr">
        <is>
          <t>កំពុងយកបញ្ជីសេវាកម្ម</t>
        </is>
      </c>
      <c r="K331" s="217" t="inlineStr">
        <is>
          <t>កំពុងយកបញ្ជីសេវាកម្ម</t>
        </is>
      </c>
      <c r="S331" s="163" t="inlineStr">
        <is>
          <t>កំពុងផ្ទុកបញ្ជីសេវាកម្ម...</t>
        </is>
      </c>
    </row>
    <row r="332" ht="15.75" customHeight="1" s="305">
      <c r="A332" s="217" t="inlineStr">
        <is>
          <t>CREATE_ORDER.CALCULATING_PRICE</t>
        </is>
      </c>
      <c r="B332" s="153" t="inlineStr">
        <is>
          <t>正在计算价格</t>
        </is>
      </c>
      <c r="C332" s="3" t="inlineStr">
        <is>
          <t>Đang tính giá...</t>
        </is>
      </c>
      <c r="D332" s="3" t="inlineStr">
        <is>
          <t>Calculating price...</t>
        </is>
      </c>
      <c r="E332" s="3" t="inlineStr">
        <is>
          <t>ກຳລັງຄິດໄລ່ລາຄາ...</t>
        </is>
      </c>
      <c r="F332" s="3" t="inlineStr">
        <is>
          <t>ဈေးနှုန်း တွက်ချက်ခြင်း...</t>
        </is>
      </c>
      <c r="G332" s="3">
        <f>IFERROR(__xludf.DUMMYFUNCTION("GOOGLETRANSLATE(C332,""vi"",""km"")"),"កំពុងគណនាតម្លៃ...")</f>
        <v/>
      </c>
      <c r="H332" s="217" t="inlineStr">
        <is>
          <t>កំពុងគិតថ្លៃសេវា</t>
        </is>
      </c>
      <c r="J332" s="3" t="inlineStr">
        <is>
          <t>កំពុងគិតថ្លៃសេវា</t>
        </is>
      </c>
      <c r="K332" s="217" t="inlineStr">
        <is>
          <t>កំពុងគិតថ្លៃសេវា</t>
        </is>
      </c>
      <c r="S332" s="163" t="inlineStr">
        <is>
          <t>ការគណនាតម្លៃ...</t>
        </is>
      </c>
    </row>
    <row r="333" ht="15.75" customHeight="1" s="305">
      <c r="A333" s="217" t="inlineStr">
        <is>
          <t>CREATE_ORDER.LOAD_LIST_SERVICE_FAIL</t>
        </is>
      </c>
      <c r="B333" s="153" t="inlineStr">
        <is>
          <t>获取服务失败</t>
        </is>
      </c>
      <c r="C333" s="3" t="inlineStr">
        <is>
          <t>Lấy dịch vụ thất bại</t>
        </is>
      </c>
      <c r="D333" s="3" t="inlineStr">
        <is>
          <t>Failed to fetch services</t>
        </is>
      </c>
      <c r="E333" s="3" t="inlineStr">
        <is>
          <t>ບໍລິການດຶງຂໍ້ມູນລົ້ມເຫລວ</t>
        </is>
      </c>
      <c r="F333" s="3" t="inlineStr">
        <is>
          <t>ဝန်ဆောင်မှုများ စုဆောင်းရန် ပျက်ကွက်ခဲ့</t>
        </is>
      </c>
      <c r="G333" s="3">
        <f>IFERROR(__xludf.DUMMYFUNCTION("GOOGLETRANSLATE(C333,""vi"",""km"")"),"យកសេវាកម្មប្រសិនបើវាបរាជ័យ។")</f>
        <v/>
      </c>
      <c r="H333" s="217" t="inlineStr">
        <is>
          <t>យកសេវាកម្មបរាជ័យ</t>
        </is>
      </c>
      <c r="J333" s="3" t="inlineStr">
        <is>
          <t>យកសេវាកម្មបរាជ័យ</t>
        </is>
      </c>
      <c r="K333" s="217" t="inlineStr">
        <is>
          <t>យកសេវាកម្មបរាជ័យ</t>
        </is>
      </c>
      <c r="S333" s="163" t="inlineStr">
        <is>
          <t>បរាជ័យក្នុងការទាញយកសេវាកម្ម</t>
        </is>
      </c>
    </row>
    <row r="334" ht="15.75" customHeight="1" s="305">
      <c r="A334" s="217" t="inlineStr">
        <is>
          <t>CREATE_ORDER.NOTI_PRICE_NOT_FOUND</t>
        </is>
      </c>
      <c r="B334" s="153" t="inlineStr">
        <is>
          <t>价格表不适用于此单位或路线类型，请检查价格表</t>
        </is>
      </c>
      <c r="C334" s="3" t="inlineStr">
        <is>
          <t>Bảng giá không áp dụng cho đơn vị hoặc loại hành trình này, đề nghị kiểm tra lại bảng giá</t>
        </is>
      </c>
      <c r="D334" s="3" t="inlineStr">
        <is>
          <t>The price table does not apply for this unit or route type, please check the price table</t>
        </is>
      </c>
      <c r="E334" s="3" t="inlineStr">
        <is>
          <t>ຕາຕະລາງລາຄາບໍ່ໃຊ້ສຳລັບຫນ່ວຍງານ ຫຼື ປະເພດເສັ້ນທາງນີ້, ກະລຸນາກວດສອບຕາຕະລາງລາຄາ</t>
        </is>
      </c>
      <c r="F334" s="3" t="n"/>
      <c r="G334" s="3">
        <f>IFERROR(__xludf.DUMMYFUNCTION("GOOGLETRANSLATE(C334,""vi"",""km"")"),"បញ្ជីតម្លៃមិនអនុវត្តចំពោះអង្គភាព ឬប្រភេទនៃការធ្វើដំណើរនេះទេ។ សូមពិនិត្យមើលបញ្ជីតម្លៃម្តងទៀត។")</f>
        <v/>
      </c>
      <c r="J334" s="3" t="inlineStr">
        <is>
          <t>បញ្ជីតម្លៃមិនអនុវត្តចំពោះឯកតា ឬប្រភេទផ្លូវនេះទេ សូមពិនិត្យមើលបញ្ជីតម្លៃម្តងទៀត</t>
        </is>
      </c>
      <c r="K334" s="217" t="inlineStr">
        <is>
          <t>បញ្ជីតម្លៃមិនអនុវត្តចំពោះឯកតា ឬប្រភេទផ្លូវនេះទេ សូមពិនិត្យមើលបញ្ជីតម្លៃម្តងទៀត</t>
        </is>
      </c>
      <c r="S334" s="163" t="inlineStr">
        <is>
          <t>បញ្ជីតម្លៃមិនអនុវត្តចំពោះឯកតា ឬប្រភេទផ្លូវនេះទេ សូមពិនិត្យមើលបញ្ជីតម្លៃម្តងទៀត</t>
        </is>
      </c>
    </row>
    <row r="335" ht="15.75" customHeight="1" s="305">
      <c r="A335" s="217" t="inlineStr">
        <is>
          <t>CREATE_ORDER.CALCULATE_PRICE_FAIL</t>
        </is>
      </c>
      <c r="B335" s="153" t="inlineStr">
        <is>
          <t>计算价格失败</t>
        </is>
      </c>
      <c r="C335" s="3" t="inlineStr">
        <is>
          <t>Tính giá thất bại</t>
        </is>
      </c>
      <c r="D335" s="3" t="inlineStr">
        <is>
          <t>Failed to calculate price</t>
        </is>
      </c>
      <c r="E335" s="3" t="inlineStr">
        <is>
          <t>ລາຄາບໍ່ສຳເລັດ</t>
        </is>
      </c>
      <c r="F335" s="3" t="inlineStr">
        <is>
          <t>ဈေးနှုန်းကို တွက်ချက်ရန် ပျက်ကွက်ခဲ့</t>
        </is>
      </c>
      <c r="G335" s="3">
        <f>IFERROR(__xludf.DUMMYFUNCTION("GOOGLETRANSLATE(C335,""vi"",""km"")"),"តម្លៃនៃការបរាជ័យ")</f>
        <v/>
      </c>
      <c r="H335" s="217" t="inlineStr">
        <is>
          <t>ការគិតថ្លៃសេវាបានបរាជ័យ</t>
        </is>
      </c>
      <c r="J335" s="3" t="inlineStr">
        <is>
          <t>ការគិតថ្លៃសេវាបានបរាជ័យ</t>
        </is>
      </c>
      <c r="K335" s="217" t="inlineStr">
        <is>
          <t>ការគិតថ្លៃសេវាបានបរាជ័យ</t>
        </is>
      </c>
      <c r="S335" s="163" t="inlineStr">
        <is>
          <t>បរាជ័យក្នុងការគណនាតម្លៃ</t>
        </is>
      </c>
    </row>
    <row r="336" ht="15.75" customHeight="1" s="305">
      <c r="A336" s="217" t="inlineStr">
        <is>
          <t>CREATE_ORDER.RETRY</t>
        </is>
      </c>
      <c r="B336" s="153" t="inlineStr">
        <is>
          <t>重试</t>
        </is>
      </c>
      <c r="C336" s="3" t="inlineStr">
        <is>
          <t>Thử lại</t>
        </is>
      </c>
      <c r="D336" s="3" t="inlineStr">
        <is>
          <t>Retry</t>
        </is>
      </c>
      <c r="E336" s="3" t="inlineStr">
        <is>
          <t>ລອງໃໝ່</t>
        </is>
      </c>
      <c r="F336" s="3" t="inlineStr">
        <is>
          <t>ပြန်ကြိုးစားပါ</t>
        </is>
      </c>
      <c r="G336" s="3">
        <f>IFERROR(__xludf.DUMMYFUNCTION("GOOGLETRANSLATE(C336,""vi"",""km"")"),"សាកល្បងម្តងទៀត")</f>
        <v/>
      </c>
      <c r="H336" s="217" t="inlineStr">
        <is>
          <t>ព្យាយាមម្តងទៀត</t>
        </is>
      </c>
      <c r="J336" s="3" t="inlineStr">
        <is>
          <t>ព្យាយាមម្តងទៀត</t>
        </is>
      </c>
      <c r="K336" s="217" t="inlineStr">
        <is>
          <t>ព្យាយាមម្តងទៀត</t>
        </is>
      </c>
      <c r="S336" s="163" t="inlineStr">
        <is>
          <t>ព្យាយាមម្តងទៀត</t>
        </is>
      </c>
    </row>
    <row r="337" ht="15.75" customHeight="1" s="305">
      <c r="A337" s="217" t="inlineStr">
        <is>
          <t>CREATE_ORDER.INVALID_MERCHANDISE_PRICE</t>
        </is>
      </c>
      <c r="B337" s="153" t="inlineStr">
        <is>
          <t>商品价格最多包含两位小数</t>
        </is>
      </c>
      <c r="C337" s="3" t="inlineStr">
        <is>
          <t xml:space="preserve">Giá trị hàng chỉ chứa đến 2 số thập phân </t>
        </is>
      </c>
      <c r="D337" s="3" t="inlineStr">
        <is>
          <t>Merchandise price cannot contain more than two decimal digits</t>
        </is>
      </c>
      <c r="E337" s="3" t="inlineStr">
        <is>
          <t>ຄ່າລາຍການສາມາດມີໄດ້ສູງສຸດ 2 ຕຳແໜ່ງທົດສະນິຍົມ</t>
        </is>
      </c>
      <c r="F337" s="3" t="inlineStr">
        <is>
          <t>ကုန်ပစ္စည်းဈေးနှုန်းမှာ စကားလုံး  ၂ လုံးထက် မပါနိုင်ပါ</t>
        </is>
      </c>
      <c r="G337" s="3">
        <f>IFERROR(__xludf.DUMMYFUNCTION("GOOGLETRANSLATE(C337,""vi"",""km"")"),"តម្លៃ​នៃ​វត្ថុ​គួរ​តែ​មាន​ត្រឹម​តែ 2 ខ្ទង់​ទសភាគ​ប៉ុណ្ណោះ។")</f>
        <v/>
      </c>
      <c r="J337" s="3" t="inlineStr">
        <is>
          <t>តម្លៃទំនិញមិនអាចមានច្រើនជាងពីរខ្ទង់ទសភាគទេ</t>
        </is>
      </c>
      <c r="K337" s="217" t="inlineStr">
        <is>
          <t>តម្លៃទំនិញមិនអាចមានច្រើនជាងពីរខ្ទង់ទសភាគទេ</t>
        </is>
      </c>
      <c r="S337" s="163" t="inlineStr">
        <is>
          <t>តម្លៃទំនិញមិនអាចមានច្រើនជាងពីរខ្ទង់ទសភាគទេ</t>
        </is>
      </c>
    </row>
    <row r="338" ht="15.75" customHeight="1" s="305">
      <c r="A338" s="217" t="inlineStr">
        <is>
          <t>CREATE_ORDER.INVALID_COD_DISPLAY</t>
        </is>
      </c>
      <c r="B338" s="153" t="inlineStr">
        <is>
          <t>代收款金额最多包含两位小数</t>
        </is>
      </c>
      <c r="C338" s="3" t="inlineStr">
        <is>
          <t>Giá trị thu hộ chỉ chứa đến 2 số thập phân</t>
        </is>
      </c>
      <c r="D338" s="3" t="inlineStr">
        <is>
          <t>COD collection cannot contain more than two decimal digits</t>
        </is>
      </c>
      <c r="E338" s="3" t="inlineStr">
        <is>
          <t>ມູນຄ່າການເກັບກໍາສາມາດມີສູງສຸດ 2 ຕໍາແໜ່ງທົດສະນິຍົມ.</t>
        </is>
      </c>
      <c r="F338" s="3" t="inlineStr">
        <is>
          <t>COD စုဆောင်းမှုတွင် စကားလုံး ၂ ခုထက် မပါဝင်နိုင်ပါ</t>
        </is>
      </c>
      <c r="G338" s="3">
        <f>IFERROR(__xludf.DUMMYFUNCTION("GOOGLETRANSLATE(C338,""vi"",""km"")"),"តម្លៃ​ប្រមូល​គួរ​តែ​មាន​ត្រឹម​តែ​ពីរ​ខ្ទង់​ទសភាគ​ប៉ុណ្ណោះ។")</f>
        <v/>
      </c>
      <c r="J338" s="3" t="inlineStr">
        <is>
          <t>ការប្រមូល COD មិនអាចមានលេខទសភាគលើសពីពីរខ្ទង់បានទេ</t>
        </is>
      </c>
      <c r="K338" s="217" t="inlineStr">
        <is>
          <t>ការប្រមូល COD មិនអាចមានលេខទសភាគលើសពីពីរខ្ទង់បានទេ</t>
        </is>
      </c>
      <c r="S338" s="163" t="inlineStr">
        <is>
          <t>ការប្រមូល COD មិនអាចមានលេខទសភាគលើសពីពីរខ្ទង់បានទេ</t>
        </is>
      </c>
    </row>
    <row r="339" ht="15.75" customHeight="1" s="305">
      <c r="A339" s="217" t="inlineStr">
        <is>
          <t>CREATE_ORDER.ADDRESS_ON_ORDER</t>
        </is>
      </c>
      <c r="B339" s="153" t="inlineStr">
        <is>
          <t>订单打印地址</t>
        </is>
      </c>
      <c r="C339" s="3" t="inlineStr">
        <is>
          <t>Địa chỉ in trên đơn</t>
        </is>
      </c>
      <c r="D339" s="3" t="inlineStr">
        <is>
          <t>Address printed on order</t>
        </is>
      </c>
      <c r="E339" s="3" t="inlineStr">
        <is>
          <t>ທີ່ຢູ່ພິມຢູ່ໃນແບບຟອມ</t>
        </is>
      </c>
      <c r="F339" s="3" t="inlineStr">
        <is>
          <t>အော်ဒါအား ပုံနှိပ်ထုတ်မည်</t>
        </is>
      </c>
      <c r="G339" s="3">
        <f>IFERROR(__xludf.DUMMYFUNCTION("GOOGLETRANSLATE(C339,""vi"",""km"")"),"អាសយដ្ឋានដែលបានបោះពុម្ពនៅលើការបញ្ជាទិញ")</f>
        <v/>
      </c>
      <c r="H339" s="217" t="inlineStr">
        <is>
          <t>អាស័យដ្ឋានព្រីននៅលើបុង</t>
        </is>
      </c>
      <c r="J339" s="3" t="inlineStr">
        <is>
          <t>អាសយដ្ឋានព្រីននៅលើបុង</t>
        </is>
      </c>
      <c r="K339" s="217" t="inlineStr">
        <is>
          <t>អាសយដ្ឋានព្រីននៅលើបុង</t>
        </is>
      </c>
      <c r="S339" s="163" t="inlineStr">
        <is>
          <t>ព្រីនអាសយដ្ឋានតាមការបញ្ជារទិញ</t>
        </is>
      </c>
    </row>
    <row r="340" ht="15.75" customHeight="1" s="305">
      <c r="A340" s="217" t="inlineStr">
        <is>
          <t>CREATE_ORDER.CUSTOMIZE_UI</t>
        </is>
      </c>
      <c r="B340" s="153" t="inlineStr">
        <is>
          <t>自定义界面</t>
        </is>
      </c>
      <c r="C340" s="3" t="inlineStr">
        <is>
          <t>Tuỳ chọn giao diện</t>
        </is>
      </c>
      <c r="D340" s="3" t="inlineStr">
        <is>
          <t>Customize interface</t>
        </is>
      </c>
      <c r="E340" s="3" t="inlineStr">
        <is>
          <t>ທາງເລືອກໃນການໂຕ້ຕອບ</t>
        </is>
      </c>
      <c r="F340" s="3" t="inlineStr">
        <is>
          <t>အလိုအလျောက် ကြားခံဖေါ်ပြခြင်း</t>
        </is>
      </c>
      <c r="G340" s="3">
        <f>IFERROR(__xludf.DUMMYFUNCTION("GOOGLETRANSLATE(C340,""vi"",""km"")"),"ជម្រើសចំណុចប្រទាក់")</f>
        <v/>
      </c>
      <c r="J340" s="3" t="inlineStr">
        <is>
          <t>ជម្រើសចំណុចប្រទាក់</t>
        </is>
      </c>
      <c r="K340" s="217" t="inlineStr">
        <is>
          <t>ជម្រើសចំណុចប្រទាក់</t>
        </is>
      </c>
      <c r="S340" s="163" t="inlineStr">
        <is>
          <t>ជម្រើសចំណុចប្រទាក់</t>
        </is>
      </c>
    </row>
    <row r="341" ht="15.75" customHeight="1" s="305">
      <c r="A341" s="217" t="inlineStr">
        <is>
          <t>CREATE_ORDER.PRESS_TO_SWITCH</t>
        </is>
      </c>
      <c r="B341" s="153" t="inlineStr">
        <is>
          <t>点击切换单屏</t>
        </is>
      </c>
      <c r="C341" s="3" t="inlineStr">
        <is>
          <t>Ấn vào đây để đổi chế độ giao diện tạo đơn</t>
        </is>
      </c>
      <c r="D341" s="3" t="inlineStr">
        <is>
          <t>Press here to switch between</t>
        </is>
      </c>
      <c r="E341" s="3" t="inlineStr">
        <is>
          <t>ຄລິກທີ່ນີ້ເພື່ອປ່ຽນຮູບແບບການໂຕ້ຕອບການສ້າງຄໍາສັ່ງ</t>
        </is>
      </c>
      <c r="F341" s="3" t="inlineStr">
        <is>
          <t>ဒီနေရာကိုနှိပ်ပြီး အကြားကို ပြောင်းလိုက်ပါ</t>
        </is>
      </c>
      <c r="G341" s="3">
        <f>IFERROR(__xludf.DUMMYFUNCTION("GOOGLETRANSLATE(C341,""vi"",""km"")"),"ចុចទីនេះដើម្បីផ្លាស់ប្តូររបៀបចំណុចប្រទាក់បង្កើតការបញ្ជាទិញ។")</f>
        <v/>
      </c>
      <c r="J341" s="3" t="inlineStr">
        <is>
          <t>ចុចទីនេះដើម្បីប្តូរ</t>
        </is>
      </c>
      <c r="K341" s="217" t="inlineStr">
        <is>
          <t>ចុចទីនេះដើម្បីប្តូរ</t>
        </is>
      </c>
      <c r="S341" s="163" t="inlineStr">
        <is>
          <t>ចុចទីនេះដើម្បីប្តូរ</t>
        </is>
      </c>
    </row>
    <row r="342" ht="15.75" customHeight="1" s="305">
      <c r="A342" s="217" t="inlineStr">
        <is>
          <t>CREATE_ORDER.ONE_OR_THREE</t>
        </is>
      </c>
      <c r="B342" s="153" t="inlineStr">
        <is>
          <t>一或者三</t>
        </is>
      </c>
      <c r="C342" s="3" t="inlineStr">
        <is>
          <t>1 hoặc 3</t>
        </is>
      </c>
      <c r="D342" s="3" t="inlineStr">
        <is>
          <t>1 or 3</t>
        </is>
      </c>
      <c r="E342" s="3" t="inlineStr">
        <is>
          <t>1 ຫຼື 3</t>
        </is>
      </c>
      <c r="F342" s="3" t="inlineStr">
        <is>
          <t>၁ ဒါမှမဟုတ် ၃</t>
        </is>
      </c>
      <c r="G342" s="3">
        <f>IFERROR(__xludf.DUMMYFUNCTION("GOOGLETRANSLATE(C342,""vi"",""km"")"),"១ ឬ ៣")</f>
        <v/>
      </c>
      <c r="H342" s="217" t="inlineStr">
        <is>
          <t>1 ឬ 3</t>
        </is>
      </c>
      <c r="J342" s="3" t="inlineStr">
        <is>
          <t>1 ឬ 3</t>
        </is>
      </c>
      <c r="K342" s="217" t="inlineStr">
        <is>
          <t>1 ឬ 3</t>
        </is>
      </c>
      <c r="S342" s="163" t="inlineStr">
        <is>
          <t>1ឬ3</t>
        </is>
      </c>
    </row>
    <row r="343" ht="15.75" customHeight="1" s="305">
      <c r="A343" s="217" t="inlineStr">
        <is>
          <t>CREATE_ORDER.SCREEN_QUICKLY</t>
        </is>
      </c>
      <c r="B343" s="153" t="inlineStr">
        <is>
          <t>快速切换屏幕</t>
        </is>
      </c>
      <c r="C343" s="3" t="inlineStr">
        <is>
          <t>màn nhanh chóng</t>
        </is>
      </c>
      <c r="D343" s="3" t="inlineStr">
        <is>
          <t>screens quickly</t>
        </is>
      </c>
      <c r="E343" s="3" t="inlineStr">
        <is>
          <t>ຫນ້າ​ຈໍ​ໄວ​</t>
        </is>
      </c>
      <c r="F343" s="3" t="inlineStr">
        <is>
          <t>မျက်နှာပြင်အား လျင်မြန်စွာ</t>
        </is>
      </c>
      <c r="G343" s="3">
        <f>IFERROR(__xludf.DUMMYFUNCTION("GOOGLETRANSLATE(C343,""vi"",""km"")"),"អេក្រង់រហ័ស")</f>
        <v/>
      </c>
      <c r="J343" s="3" t="inlineStr">
        <is>
          <t>អេក្រង់រហ័ស</t>
        </is>
      </c>
      <c r="K343" s="217" t="inlineStr">
        <is>
          <t>អេក្រង់រហ័ស</t>
        </is>
      </c>
      <c r="S343" s="163" t="inlineStr">
        <is>
          <t>អេក្រង់រហ័ស</t>
        </is>
      </c>
    </row>
    <row r="344" ht="15.75" customHeight="1" s="305">
      <c r="A344" s="217" t="inlineStr">
        <is>
          <t>CREATE_ORDER.SIZE_FULL</t>
        </is>
      </c>
      <c r="B344" s="153" t="inlineStr">
        <is>
          <t>请填写完整的尺寸信息：长、宽、高</t>
        </is>
      </c>
      <c r="C344" s="3" t="inlineStr">
        <is>
          <t>Vui lòng điền đầy đủ thông tin: Dài - Rộng - Cao</t>
        </is>
      </c>
      <c r="D344" s="3" t="inlineStr">
        <is>
          <t>Please enter complete information: Length - Width - Height</t>
        </is>
      </c>
      <c r="E344" s="3" t="inlineStr">
        <is>
          <t>Please enter complete information: Length - Width - Height</t>
        </is>
      </c>
      <c r="F344" s="3" t="inlineStr">
        <is>
          <t>Please enter complete information: Length - Width - Height</t>
        </is>
      </c>
      <c r="G344" s="3">
        <f>IFERROR(__xludf.DUMMYFUNCTION("GOOGLETRANSLATE(C344,""vi"",""km"")"),"សូមបំពេញព័ត៌មានទាំងអស់៖ បណ្តោយ - ទទឹង - កម្ពស់")</f>
        <v/>
      </c>
      <c r="H344" s="3">
        <f>IFERROR(__xludf.DUMMYFUNCTION("GOOGLETRANSLATE(D344,""vi"",""km"")"),"សូមបញ្ចូលព័ត៌មានពេញលេញ៖ ប្រវែង - ទទឹង - កម្ពស់")</f>
        <v/>
      </c>
      <c r="J344" s="3" t="inlineStr">
        <is>
          <t>សូមបញ្ចូលព័ត៌មានពេញលេញ៖ ប្រវែង - ទទឹង - កម្ពស់</t>
        </is>
      </c>
      <c r="K344" s="217" t="inlineStr">
        <is>
          <t>សូមបញ្ចូលព័ត៌មានពេញលេញ៖ ប្រវែង - ទទឹង - កម្ពស់</t>
        </is>
      </c>
      <c r="S344" s="163" t="inlineStr">
        <is>
          <t>សូមបំពេញព័ត៌មានទាំងអស់៖ ប្រវែង - ទទឹង - កម្ពស់</t>
        </is>
      </c>
    </row>
    <row r="345" ht="15.75" customHeight="1" s="305">
      <c r="A345" s="217" t="inlineStr">
        <is>
          <t>CREATE_ORDER.SIZE_EXCEED_LIMIT</t>
        </is>
      </c>
      <c r="B345" s="153" t="inlineStr">
        <is>
          <t>单边长度不得超过80厘米，请将此物品带至邮局办理。</t>
        </is>
      </c>
      <c r="C345" s="3" t="inlineStr">
        <is>
          <t>Kích thước 1 chiều của đơn hàng không vượt quá 80cm. Vui lòng mang hàng ra bưu cục gần nhất để được hỗ trợ</t>
        </is>
      </c>
      <c r="D345" s="3" t="inlineStr">
        <is>
          <t>The single - side lenght must not exceed 80cm. Please bring the item to the post office.</t>
        </is>
      </c>
      <c r="E345" s="3" t="inlineStr">
        <is>
          <t>ຂະໜາດ 1 ມິຕິຂອງຄຳສັ່ງຕ້ອງບໍ່ເກີນ 80cm. ກະລຸນາເອົາສິນຄ້າໄປຫາຫ້ອງການໄປສະນີທີ່ໃກ້ທີ່ສຸດເພື່ອສະຫນັບສະຫນູນ.</t>
        </is>
      </c>
      <c r="F345" s="3" t="inlineStr">
        <is>
          <t>Each dimension must not exceed 80cm. Please bring the parcel to the nearest post office for assistance</t>
        </is>
      </c>
      <c r="G345" s="3">
        <f>IFERROR(__xludf.DUMMYFUNCTION("GOOGLETRANSLATE(C345,""vi"",""km"")"),"វិមាត្រនៃម្ខាងនៃកញ្ចប់មិនត្រូវលើសពី 80 សង់ទីម៉ែត្រទេ។ សូមយកកញ្ចប់ទៅកាន់ការិយាល័យប្រៃសណីយ៍ដែលនៅជិតបំផុតសម្រាប់ជំនួយ។")</f>
        <v/>
      </c>
      <c r="J345" s="3" t="inlineStr">
        <is>
          <t>ទំហំ 1 ផ្លូវនៃការបញ្ជាទិញមិនត្រូវលើសពី 80 សង់ទីម៉ែត្រទេ។ សូមយកទំនិញទៅការិយាល័យប្រៃសណីយ៍ដែលនៅជិតបំផុត</t>
        </is>
      </c>
      <c r="K345" s="217" t="inlineStr">
        <is>
          <t>ទំហំ 1 ផ្លូវនៃការបញ្ជាទិញមិនត្រូវលើសពី 80 សង់ទីម៉ែត្រទេ។ សូមយកទំនិញទៅការិយាល័យប្រៃសណីយ៍ដែលនៅជិតបំផុត</t>
        </is>
      </c>
      <c r="S345" s="163" t="inlineStr">
        <is>
          <t>ទំហំ 1 ផ្លូវនៃការបញ្ជាទិញមិនត្រូវលើសពី 80 សង់ទីម៉ែត្រទេ។ សូមយកទំនិញទៅការិយាល័យប្រៃសណីយ៍ដែលនៅជិតបំផុត</t>
        </is>
      </c>
    </row>
    <row r="346" ht="15.75" customHeight="1" s="305">
      <c r="A346" s="217" t="inlineStr">
        <is>
          <t>CREATE_ORDER.WEIGHT_EXCEED_LIMIT</t>
        </is>
      </c>
      <c r="B346" s="153" t="inlineStr">
        <is>
          <t>计费重量不得超过20,000克（20公斤），请将此物品带至邮局办理。</t>
        </is>
      </c>
      <c r="C346" s="3" t="inlineStr">
        <is>
          <t>Khối lượng tính cước của đơn hàng không vượt quá 20,000g. Vui lòng mang hàng ra bưu cục gần nhất để được hỗ trợ</t>
        </is>
      </c>
      <c r="D346" s="3" t="inlineStr">
        <is>
          <t>The chargeable weight must not exceed 20,000g. Please bring the item to the post office.</t>
        </is>
      </c>
      <c r="E346" s="3" t="inlineStr">
        <is>
          <t>ນ້ຳໜັກຄຳສັ່ງຊື້ຕ້ອງບໍ່ເກີນ 20,000g. ກະລຸນາເອົາສິນຄ້າໄປຫາຫ້ອງການໄປສະນີທີ່ໃກ້ທີ່ສຸດເພື່ອຮັບການຊ່ວຍເຫລືອ.</t>
        </is>
      </c>
      <c r="F346" s="3" t="inlineStr">
        <is>
          <t>Chargeable weight must not exceed 20,000g. Please bring the parcel to the nearest post office for assistance</t>
        </is>
      </c>
      <c r="G346" s="3">
        <f>IFERROR(__xludf.DUMMYFUNCTION("GOOGLETRANSLATE(C346,""vi"",""km"")"),"ទម្ងន់ដែលអាចគិតថ្លៃបាននៃការបញ្ជាទិញមិនត្រូវលើសពី 20,000 ក្រាមទេ។ សូមយកកញ្ចប់ទៅកាន់ការិយាល័យប្រៃសណីយ៍ដែលនៅជិតបំផុតសម្រាប់ជំនួយ។")</f>
        <v/>
      </c>
      <c r="J346" s="3" t="inlineStr">
        <is>
          <t>ទម្ងន់ដែលអាចគិតថ្លៃបាននៃការបញ្ជាទិញមិនត្រូវលើសពី 20,000g ។ សូមយកទំនិញទៅការិយាល័យប្រៃសណីយ៍ដែលនៅជិតបំផុត</t>
        </is>
      </c>
      <c r="K346" s="217" t="inlineStr">
        <is>
          <t>ទម្ងន់ដែលអាចគិតថ្លៃបាននៃការបញ្ជាទិញមិនត្រូវលើសពី 20,000g ។ សូមយកទំនិញទៅការិយាល័យប្រៃសណីយ៍ដែលនៅជិតបំផុត</t>
        </is>
      </c>
      <c r="S346" s="163" t="inlineStr">
        <is>
          <t>ទម្ងន់ដែលអាចគិតថ្លៃបាននៃការបញ្ជាទិញមិនត្រូវលើសពី 20,000g ។ សូមយកទំនិញទៅការិយាល័យប្រៃសណីយ៍ដែលនៅជិតបំផុត</t>
        </is>
      </c>
    </row>
    <row r="347" ht="15.75" customHeight="1" s="305">
      <c r="A347" s="217" t="inlineStr">
        <is>
          <t>CREATE_ORDER.PHONE_SENDER_REQUIRED</t>
        </is>
      </c>
      <c r="B347" s="153" t="inlineStr">
        <is>
          <t>请填写发件人电话！</t>
        </is>
      </c>
      <c r="C347" s="3" t="inlineStr">
        <is>
          <t>Số điện thoại người gửi không được để trống !</t>
        </is>
      </c>
      <c r="D347" s="3" t="inlineStr">
        <is>
          <t>Sender's phone number is required!</t>
        </is>
      </c>
      <c r="E347" s="3" t="inlineStr">
        <is>
          <t>ເບີໂທລະສັບຂອງຜູ້ສົ່ງບໍ່ສາມາດປ່ອຍຫວ່າງໄດ້!</t>
        </is>
      </c>
      <c r="F347" s="3" t="inlineStr">
        <is>
          <t>Sender's phone number is required!</t>
        </is>
      </c>
      <c r="G347" s="3">
        <f>IFERROR(__xludf.DUMMYFUNCTION("GOOGLETRANSLATE(C347,""vi"",""km"")"),"លេខទូរស័ព្ទរបស់អ្នកផ្ញើមិនត្រូវទុកចោលទទេឡើយ!")</f>
        <v/>
      </c>
      <c r="H347" s="217" t="inlineStr">
        <is>
          <t>លេខទូរស័ព្ទអ្នកផ្ញើមិនអាចចន្លោះបានទេ!</t>
        </is>
      </c>
      <c r="J347" s="3" t="inlineStr">
        <is>
          <t>លេខទូរស័ព្ទអ្នកផ្ញើមិនអាចចន្លោះបានទេ!</t>
        </is>
      </c>
      <c r="K347" s="217" t="inlineStr">
        <is>
          <t>លេខទូរស័ព្ទអ្នកផ្ញើមិនអាចចន្លោះបានទេ!</t>
        </is>
      </c>
      <c r="S347" s="163" t="inlineStr">
        <is>
          <t>ត្រូវការលេខទូរស័ព្ទរបស់អ្នកផ្ញើ!</t>
        </is>
      </c>
    </row>
    <row r="348" ht="15.75" customHeight="1" s="305">
      <c r="A348" s="217" t="inlineStr">
        <is>
          <t>CREATE_ORDER.FULL_NAME_SENDER_REQUIRED</t>
        </is>
      </c>
      <c r="B348" s="153" t="inlineStr">
        <is>
          <t>请填写发件人姓名！</t>
        </is>
      </c>
      <c r="C348" s="3" t="inlineStr">
        <is>
          <t>Tên người gửi không được để trống !</t>
        </is>
      </c>
      <c r="D348" s="3" t="inlineStr">
        <is>
          <t>Sender's full name is required!</t>
        </is>
      </c>
      <c r="E348" s="3" t="inlineStr">
        <is>
          <t>ຊື່ຜູ້ສົ່ງບໍ່ສາມາດຫວ່າງເປົ່າໄດ້!</t>
        </is>
      </c>
      <c r="F348" s="3" t="inlineStr">
        <is>
          <t>Sender's full name is required!</t>
        </is>
      </c>
      <c r="G348" s="3">
        <f>IFERROR(__xludf.DUMMYFUNCTION("GOOGLETRANSLATE(C348,""vi"",""km"")"),"ឈ្មោះអ្នកផ្ញើមិនអាចទុកចោលទទេបានទេ!")</f>
        <v/>
      </c>
      <c r="H348" s="217" t="inlineStr">
        <is>
          <t>ឈ្មោះអ្នកផ្ញើមិនអាចទុកចន្លោះបានទេ!</t>
        </is>
      </c>
      <c r="J348" s="3" t="inlineStr">
        <is>
          <t>ឈ្មោះអ្នកផ្ញើមិនអាចទុកចន្លោះបានទេ!</t>
        </is>
      </c>
      <c r="K348" s="217" t="inlineStr">
        <is>
          <t>ឈ្មោះអ្នកផ្ញើមិនអាចទុកចន្លោះបានទេ!</t>
        </is>
      </c>
      <c r="S348" s="163" t="inlineStr">
        <is>
          <t>ទាមទារឈ្មោះពេញរបស់អ្នកផ្ញើ!</t>
        </is>
      </c>
    </row>
    <row r="349" ht="15.75" customHeight="1" s="305">
      <c r="A349" s="217" t="inlineStr">
        <is>
          <t>CREATE_ORDER.ADDRESS_SENDER_REQUIRED</t>
        </is>
      </c>
      <c r="B349" s="153" t="inlineStr">
        <is>
          <t>请填写发件人地址！</t>
        </is>
      </c>
      <c r="C349" s="3" t="inlineStr">
        <is>
          <t>Địa chỉ người gửi không được để trống !</t>
        </is>
      </c>
      <c r="D349" s="3" t="inlineStr">
        <is>
          <t>Sender's address is required!</t>
        </is>
      </c>
      <c r="E349" s="3" t="inlineStr">
        <is>
          <t>ທີ່ຢູ່ຜູ້ສົ່ງບໍ່ສາມາດຫວ່າງເປົ່າໄດ້!</t>
        </is>
      </c>
      <c r="F349" s="3" t="inlineStr">
        <is>
          <t>Sender's address is required!</t>
        </is>
      </c>
      <c r="G349" s="3">
        <f>IFERROR(__xludf.DUMMYFUNCTION("GOOGLETRANSLATE(C349,""vi"",""km"")"),"អាសយដ្ឋានរបស់អ្នកផ្ញើមិនត្រូវទុកចោលទទេទេ!")</f>
        <v/>
      </c>
      <c r="H349" s="217" t="inlineStr">
        <is>
          <t>អាស័យដ្ឋានអ្ននផ្ញើមិនអាចទុកចន្លោះបានទេ!</t>
        </is>
      </c>
      <c r="J349" s="3" t="inlineStr">
        <is>
          <t>អាសយដ្ឋានអ្ននផ្ញើមិនអាចទុកចន្លោះបានទេ!</t>
        </is>
      </c>
      <c r="K349" s="217" t="inlineStr">
        <is>
          <t>អាសយដ្ឋានអ្ននផ្ញើមិនអាចទុកចន្លោះបានទេ!</t>
        </is>
      </c>
      <c r="S349" s="163" t="inlineStr">
        <is>
          <t>អាសយដ្ឋានរបស់អ្នកផ្ញើត្រូវបានទាមទារ!</t>
        </is>
      </c>
    </row>
    <row r="350" ht="15.75" customHeight="1" s="305">
      <c r="A350" s="217" t="inlineStr">
        <is>
          <t>CREATE_ORDER.PHONE_RECEIVER_REQUIRED</t>
        </is>
      </c>
      <c r="B350" s="153" t="inlineStr">
        <is>
          <t>请填写收件人电话！</t>
        </is>
      </c>
      <c r="C350" s="3" t="inlineStr">
        <is>
          <t>Số điện thoại người nhận không được để trống !</t>
        </is>
      </c>
      <c r="D350" s="3" t="inlineStr">
        <is>
          <t>Receiver's phone number is required!</t>
        </is>
      </c>
      <c r="E350" s="3" t="inlineStr">
        <is>
          <t>ເບີໂທລະສັບຜູ້ຮັບບໍ່ສາມາດຫວ່າງເປົ່າໄດ້!</t>
        </is>
      </c>
      <c r="F350" s="3" t="inlineStr">
        <is>
          <t>Receiver's phone number is required!</t>
        </is>
      </c>
      <c r="G350" s="3">
        <f>IFERROR(__xludf.DUMMYFUNCTION("GOOGLETRANSLATE(C350,""vi"",""km"")"),"លេខទូរស័ព្ទរបស់អ្នកទទួលមិនត្រូវទុកចោលទទេឡើយ!")</f>
        <v/>
      </c>
      <c r="H350" s="217" t="inlineStr">
        <is>
          <t>លេខទូូរស័ព្ទអ្នកទទួលមិនអាចទុកចន្លោះបានទេ!</t>
        </is>
      </c>
      <c r="J350" s="3" t="inlineStr">
        <is>
          <t>លេខទូូរស័ព្ទអ្នកទទួលមិនអាចទុកចន្លោះបានទេ!</t>
        </is>
      </c>
      <c r="K350" s="217" t="inlineStr">
        <is>
          <t>លេខទូូរស័ព្ទអ្នកទទួលមិនអាចទុកចន្លោះបានទេ!</t>
        </is>
      </c>
      <c r="S350" s="163" t="inlineStr">
        <is>
          <t>ត្រូវការលេខទូរស័ព្ទរបស់អ្នកទទួល!</t>
        </is>
      </c>
    </row>
    <row r="351" ht="15.75" customHeight="1" s="305">
      <c r="A351" s="217" t="inlineStr">
        <is>
          <t>CREATE_ORDER.FULL_NAME_RECEIVER_REQUIRED</t>
        </is>
      </c>
      <c r="B351" s="153" t="inlineStr">
        <is>
          <t>请填写收件人姓名！</t>
        </is>
      </c>
      <c r="C351" s="3" t="inlineStr">
        <is>
          <t>Tên người nhận không được để trống !</t>
        </is>
      </c>
      <c r="D351" s="3" t="inlineStr">
        <is>
          <t>Receiver's full name is required!</t>
        </is>
      </c>
      <c r="E351" s="3" t="inlineStr">
        <is>
          <t>ຊື່ຜູ້ຮັບບໍ່ສາມາດຫວ່າງເປົ່າໄດ້!</t>
        </is>
      </c>
      <c r="F351" s="3" t="inlineStr">
        <is>
          <t>Receiver's full name is required!</t>
        </is>
      </c>
      <c r="G351" s="3">
        <f>IFERROR(__xludf.DUMMYFUNCTION("GOOGLETRANSLATE(C351,""vi"",""km"")"),"ឈ្មោះអ្នកទទួលមិនអាចទុកចោលទទេបានទេ!")</f>
        <v/>
      </c>
      <c r="H351" s="217" t="inlineStr">
        <is>
          <t>ឈ្មោះអ្នកទទួលមិនអាចទុកចន្លោះបានទេ!</t>
        </is>
      </c>
      <c r="J351" s="3" t="inlineStr">
        <is>
          <t>ឈ្មោះអ្នកទទួលមិនអាចទុកចន្លោះបានទេ!</t>
        </is>
      </c>
      <c r="K351" s="217" t="inlineStr">
        <is>
          <t>ឈ្មោះអ្នកទទួលមិនអាចទុកចន្លោះបានទេ!</t>
        </is>
      </c>
      <c r="S351" s="163" t="inlineStr">
        <is>
          <t>ទាមទារឈ្មោះពេញរបស់អ្នកទទួល!</t>
        </is>
      </c>
    </row>
    <row r="352" ht="15.75" customHeight="1" s="305">
      <c r="A352" s="217" t="inlineStr">
        <is>
          <t>CREATE_ORDER.PRODUCT_NAME_REQUIRED</t>
        </is>
      </c>
      <c r="B352" s="153" t="inlineStr">
        <is>
          <t>请填写物品名称！</t>
        </is>
      </c>
      <c r="C352" s="3" t="inlineStr">
        <is>
          <t>Tên hàng hoá không được để trống !</t>
        </is>
      </c>
      <c r="D352" s="3" t="inlineStr">
        <is>
          <t>Product name is required!</t>
        </is>
      </c>
      <c r="E352" s="3" t="inlineStr">
        <is>
          <t>ຊື່ຜະລິດຕະພັນບໍ່ສາມາດປ່ອຍຫວ່າງໄດ້!</t>
        </is>
      </c>
      <c r="F352" s="3" t="inlineStr">
        <is>
          <t>Product name is required!</t>
        </is>
      </c>
      <c r="G352" s="3">
        <f>IFERROR(__xludf.DUMMYFUNCTION("GOOGLETRANSLATE(C352,""vi"",""km"")"),"ឈ្មោះផលិតផលមិនអាចទុកចោលទទេបានទេ!")</f>
        <v/>
      </c>
      <c r="H352" s="217" t="inlineStr">
        <is>
          <t>ឈ្មោះអីវ៉ាន់មិនអាចទុកចន្លោះបានទេ!</t>
        </is>
      </c>
      <c r="J352" s="3" t="inlineStr">
        <is>
          <t>ឈ្មោះអីវ៉ាន់មិនអាចទុកចន្លោះបានទេ!</t>
        </is>
      </c>
      <c r="K352" s="217" t="inlineStr">
        <is>
          <t>ឈ្មោះអីវ៉ាន់មិនអាចទុកចន្លោះបានទេ!</t>
        </is>
      </c>
      <c r="S352" s="163" t="inlineStr">
        <is>
          <t>ទាមទារឈ្មោះផលិតផល!</t>
        </is>
      </c>
    </row>
    <row r="353" ht="15.75" customHeight="1" s="305">
      <c r="A353" s="217" t="inlineStr">
        <is>
          <t>CREATE_ORDER.PRODUCT_QUANTITY_REQUIRED</t>
        </is>
      </c>
      <c r="B353" s="153" t="inlineStr">
        <is>
          <t>请填写物品数量！</t>
        </is>
      </c>
      <c r="C353" s="3" t="inlineStr">
        <is>
          <t>Số lượng hàng hoá không được để trống !</t>
        </is>
      </c>
      <c r="D353" s="3" t="inlineStr">
        <is>
          <t>Product quantity is required!</t>
        </is>
      </c>
      <c r="E353" s="3" t="inlineStr">
        <is>
          <t>ຈໍານວນສິນຄ້າບໍ່ສາມາດປ່ອຍຫວ່າງໄດ້!</t>
        </is>
      </c>
      <c r="F353" s="3" t="inlineStr">
        <is>
          <t>Product quantity is required!</t>
        </is>
      </c>
      <c r="G353" s="3">
        <f>IFERROR(__xludf.DUMMYFUNCTION("GOOGLETRANSLATE(C353,""vi"",""km"")"),"វាលបរិមាណមិនត្រូវទុកចោលឱ្យនៅទទេទេ!")</f>
        <v/>
      </c>
      <c r="H353" s="217" t="inlineStr">
        <is>
          <t>ចំនួនអីវ៉ាន់មិនអាចទុកចន្លោះបានទេ!</t>
        </is>
      </c>
      <c r="J353" s="3" t="inlineStr">
        <is>
          <t>ចំនួនអីវ៉ាន់មិនអាចទុកចន្លោះបានទេ!</t>
        </is>
      </c>
      <c r="K353" s="217" t="inlineStr">
        <is>
          <t>ចំនួនអីវ៉ាន់មិនអាចទុកចន្លោះបានទេ!</t>
        </is>
      </c>
      <c r="S353" s="163" t="inlineStr">
        <is>
          <t>បរិមាណផលិតផលត្រូវបានទាមទារ!</t>
        </is>
      </c>
    </row>
    <row r="354" ht="15.75" customHeight="1" s="305">
      <c r="A354" s="217" t="inlineStr">
        <is>
          <t>CREATE_ORDER.PRODUCT_WEIGHT_REQUIRED</t>
        </is>
      </c>
      <c r="B354" s="153" t="inlineStr">
        <is>
          <t>请填写物品重量！</t>
        </is>
      </c>
      <c r="C354" s="3" t="inlineStr">
        <is>
          <t>Trọng lượng hoàng hoá không được để trống !</t>
        </is>
      </c>
      <c r="D354" s="3" t="inlineStr">
        <is>
          <t>Product weight is required!</t>
        </is>
      </c>
      <c r="E354" s="3" t="inlineStr">
        <is>
          <t>ນ້ຳໜັກສິນຄ້າບໍ່ສາມາດປ່ອຍຫວ່າງໄດ້!</t>
        </is>
      </c>
      <c r="F354" s="3" t="inlineStr">
        <is>
          <t>Product weight is required!</t>
        </is>
      </c>
      <c r="G354" s="3">
        <f>IFERROR(__xludf.DUMMYFUNCTION("GOOGLETRANSLATE(C354,""vi"",""km"")"),"ទម្ងន់នៃទំនិញមិនត្រូវទុកចោលទទេឡើយ!")</f>
        <v/>
      </c>
      <c r="H354" s="217" t="inlineStr">
        <is>
          <t>ទម្ងន់អីវ៉ាន់មិនអាចទុកចន្លោះបានទេ!</t>
        </is>
      </c>
      <c r="J354" s="3" t="inlineStr">
        <is>
          <t>ទម្ងន់អីវ៉ាន់មិនអាចទុកចន្លោះបានទេ!</t>
        </is>
      </c>
      <c r="K354" s="217" t="inlineStr">
        <is>
          <t>ទម្ងន់អីវ៉ាន់មិនអាចទុកចន្លោះបានទេ!</t>
        </is>
      </c>
      <c r="S354" s="163" t="inlineStr">
        <is>
          <t>ទម្ងន់ផលិតផលត្រូវបានទាមទារ!</t>
        </is>
      </c>
    </row>
    <row r="355" ht="15.75" customHeight="1" s="305">
      <c r="A355" s="217" t="inlineStr">
        <is>
          <t>CREATE_ORDER.ADDRESS_DETAIL_REQUIRED</t>
        </is>
      </c>
      <c r="B355" s="153" t="inlineStr">
        <is>
          <t>详细地址不能为空！</t>
        </is>
      </c>
      <c r="C355" s="3" t="inlineStr">
        <is>
          <t>Địa chỉ chi tiết không được để trống !</t>
        </is>
      </c>
      <c r="D355" s="3" t="inlineStr">
        <is>
          <t>Detailed address cannot be empty!</t>
        </is>
      </c>
      <c r="E355" s="3" t="inlineStr">
        <is>
          <t>ທີ່ຢູ່ລາຍລະອຽດບໍ່ສາມາດປ່ອຍໃຫ້ຫວ່າງ!</t>
        </is>
      </c>
      <c r="F355" s="3" t="inlineStr">
        <is>
          <t>Detailed address cannot be empty!</t>
        </is>
      </c>
      <c r="G355" s="3">
        <f>IFERROR(__xludf.DUMMYFUNCTION("GOOGLETRANSLATE(C355,""vi"",""km"")"),"វាលអាសយដ្ឋានមិនអាចទុកចោលទទេបានទេ!")</f>
        <v/>
      </c>
      <c r="H355" s="217" t="inlineStr">
        <is>
          <t>អាស័យដ្ឋានលម្អិតមិនអាចទុកចន្លោះបានទេ!</t>
        </is>
      </c>
      <c r="J355" s="3" t="inlineStr">
        <is>
          <t>អាសយដ្ឋានលម្អិតមិនអាចទុកចន្លោះបានទេ!</t>
        </is>
      </c>
      <c r="K355" s="217" t="inlineStr">
        <is>
          <t>អាសយដ្ឋានលម្អិតមិនអាចទុកចន្លោះបានទេ!</t>
        </is>
      </c>
      <c r="S355" s="163" t="inlineStr">
        <is>
          <t>អាសយដ្ឋានលម្អិតមិនអាចទទេបានទេ!</t>
        </is>
      </c>
    </row>
    <row r="356" ht="15.75" customHeight="1" s="305">
      <c r="A356" s="217" t="inlineStr">
        <is>
          <t>CREATE_ORDER.PLEASE_SELECT_TOWN</t>
        </is>
      </c>
      <c r="B356" s="153" t="inlineStr">
        <is>
          <t>请选择省/州！</t>
        </is>
      </c>
      <c r="C356" s="3" t="inlineStr">
        <is>
          <t>Vui lòng chọn Liên bang/Vùng !</t>
        </is>
      </c>
      <c r="D356" s="3" t="inlineStr">
        <is>
          <t>Please select a State/Province!</t>
        </is>
      </c>
      <c r="E356" s="3" t="inlineStr">
        <is>
          <t>ກະລຸນາເລືອກເຂດ/ພາກພື້ນ!</t>
        </is>
      </c>
      <c r="F356" s="3" t="inlineStr">
        <is>
          <t>Please select a State/Province!</t>
        </is>
      </c>
      <c r="G356" s="3">
        <f>IFERROR(__xludf.DUMMYFUNCTION("GOOGLETRANSLATE(C356,""vi"",""km"")"),"សូមជ្រើសរើសសហព័ន្ធ/តំបន់!")</f>
        <v/>
      </c>
      <c r="H356" s="217" t="inlineStr">
        <is>
          <t>សូមជ្រើសរើស សហព័ន្ធ/តំបន់!</t>
        </is>
      </c>
      <c r="J356" s="3" t="inlineStr">
        <is>
          <t>សូមជ្រើសរើស សហព័ន្ធ/តំបន់!</t>
        </is>
      </c>
      <c r="K356" s="217" t="inlineStr">
        <is>
          <t>សូមជ្រើសរើស សហព័ន្ធ/តំបន់!</t>
        </is>
      </c>
      <c r="S356" s="163" t="inlineStr">
        <is>
          <t>សូមជ្រើសរើសរក្រុង/ខេត្ត!</t>
        </is>
      </c>
    </row>
    <row r="357" ht="15.75" customHeight="1" s="305">
      <c r="A357" s="217" t="inlineStr">
        <is>
          <t>CREATE_ORDER.PLEASE_SELECT_DISTRICT</t>
        </is>
      </c>
      <c r="B357" s="153" t="inlineStr">
        <is>
          <t>请选择区/县！</t>
        </is>
      </c>
      <c r="C357" s="3" t="inlineStr">
        <is>
          <t>Vui lòng chọn Huyện !</t>
        </is>
      </c>
      <c r="D357" s="3" t="inlineStr">
        <is>
          <t>Please select a District!</t>
        </is>
      </c>
      <c r="E357" s="3" t="inlineStr">
        <is>
          <t>ກະລຸນາເລືອກເມືອງ!</t>
        </is>
      </c>
      <c r="F357" s="3" t="inlineStr">
        <is>
          <t>Please select a District!</t>
        </is>
      </c>
      <c r="G357" s="3">
        <f>IFERROR(__xludf.DUMMYFUNCTION("GOOGLETRANSLATE(C357,""vi"",""km"")"),"សូមជ្រើសរើសស្រុកមួយ!")</f>
        <v/>
      </c>
      <c r="H357" s="217" t="inlineStr">
        <is>
          <t>សូូមជ្រើសរើសស្រុក !</t>
        </is>
      </c>
      <c r="J357" s="3" t="inlineStr">
        <is>
          <t>សូមជ្រើសរើសស្រុក !</t>
        </is>
      </c>
      <c r="K357" s="217" t="inlineStr">
        <is>
          <t>សូមជ្រើសរើសស្រុក !</t>
        </is>
      </c>
      <c r="S357" s="163" t="inlineStr">
        <is>
          <t>សូមជ្រើសរើសស្រុក!</t>
        </is>
      </c>
    </row>
    <row r="358" ht="15.75" customHeight="1" s="305">
      <c r="A358" s="217" t="inlineStr">
        <is>
          <t>CREATE_ORDER.PLEASE_SELECT_REGION</t>
        </is>
      </c>
      <c r="B358" s="153" t="inlineStr">
        <is>
          <t>请选择城镇！</t>
        </is>
      </c>
      <c r="C358" s="3" t="inlineStr">
        <is>
          <t>Vui lòng chọn Thị trấn !</t>
        </is>
      </c>
      <c r="D358" s="3" t="inlineStr">
        <is>
          <t>Please select a Town!</t>
        </is>
      </c>
      <c r="E358" s="3" t="inlineStr">
        <is>
          <t>ກະລຸນາເລືອກຕົວເມືອງ!</t>
        </is>
      </c>
      <c r="F358" s="3" t="inlineStr">
        <is>
          <t>Please select a Town!</t>
        </is>
      </c>
      <c r="G358" s="3">
        <f>IFERROR(__xludf.DUMMYFUNCTION("GOOGLETRANSLATE(C358,""vi"",""km"")"),"សូមជ្រើសរើសទីក្រុងមួយ!")</f>
        <v/>
      </c>
      <c r="H358" s="217" t="inlineStr">
        <is>
          <t>សូមជ្រើសរើសទីរួមខេត្ត!</t>
        </is>
      </c>
      <c r="J358" s="3" t="inlineStr">
        <is>
          <t>សូមជ្រើសរើសទីរួមខេត្ត!</t>
        </is>
      </c>
      <c r="K358" s="217" t="inlineStr">
        <is>
          <t>សូមជ្រើសរើសទីរួមខេត្ត!</t>
        </is>
      </c>
      <c r="S358" s="163" t="inlineStr">
        <is>
          <t>សូមជ្រើសរើសទីក្រុង!</t>
        </is>
      </c>
    </row>
    <row r="359" ht="15.75" customHeight="1" s="305">
      <c r="A359" s="217" t="inlineStr">
        <is>
          <t>CREATE_ORDER.PLEASE_SELECT_TOWN_CAM</t>
        </is>
      </c>
      <c r="B359" s="153" t="inlineStr">
        <is>
          <t>请选择省份！</t>
        </is>
      </c>
      <c r="C359" s="3" t="inlineStr">
        <is>
          <t>Vui lòng chọn Tỉnh !</t>
        </is>
      </c>
      <c r="D359" s="3" t="inlineStr">
        <is>
          <t>Please select a Province!</t>
        </is>
      </c>
      <c r="E359" s="3" t="inlineStr">
        <is>
          <t>ກະລຸນາເລືອກແຂວງ!</t>
        </is>
      </c>
      <c r="F359" s="3" t="inlineStr">
        <is>
          <t>Please select a Province!</t>
        </is>
      </c>
      <c r="G359" s="3">
        <f>IFERROR(__xludf.DUMMYFUNCTION("GOOGLETRANSLATE(C359,""vi"",""km"")"),"សូមជ្រើសរើសខេត្តមួយ!")</f>
        <v/>
      </c>
      <c r="H359" s="217" t="inlineStr">
        <is>
          <t>សូមជ្រើសរើសខេត្ត!</t>
        </is>
      </c>
      <c r="J359" s="3" t="inlineStr">
        <is>
          <t>សូមជ្រើសរើសខេត្ត!</t>
        </is>
      </c>
      <c r="K359" s="217" t="inlineStr">
        <is>
          <t>សូមជ្រើសរើសខេត្ត!</t>
        </is>
      </c>
      <c r="S359" s="163" t="inlineStr">
        <is>
          <t>សូមជ្រើសរើសខេត្តមួយ!</t>
        </is>
      </c>
    </row>
    <row r="360" ht="15.75" customHeight="1" s="305">
      <c r="A360" s="217" t="inlineStr">
        <is>
          <t>CREATE_ORDER.PLEASE_SELECT_REGION_CAM</t>
        </is>
      </c>
      <c r="B360" s="153" t="inlineStr">
        <is>
          <t>请选择社区/公社！</t>
        </is>
      </c>
      <c r="C360" s="3" t="inlineStr">
        <is>
          <t>Vui lòng chọn Xã !</t>
        </is>
      </c>
      <c r="D360" s="3" t="inlineStr">
        <is>
          <t>Please select a Commune!</t>
        </is>
      </c>
      <c r="E360" s="3" t="inlineStr">
        <is>
          <t>ກະລຸນາເລືອກ ເມືອງ!</t>
        </is>
      </c>
      <c r="F360" s="3" t="inlineStr">
        <is>
          <t>Please select a Commune!</t>
        </is>
      </c>
      <c r="G360" s="3">
        <f>IFERROR(__xludf.DUMMYFUNCTION("GOOGLETRANSLATE(C360,""vi"",""km"")"),"សូមជ្រើសរើសឃុំមួយ!")</f>
        <v/>
      </c>
      <c r="H360" s="217" t="inlineStr">
        <is>
          <t>សូមជ្រើសរើសឃុំ!</t>
        </is>
      </c>
      <c r="J360" s="3" t="inlineStr">
        <is>
          <t>សូមជ្រើសរើសឃុំ!</t>
        </is>
      </c>
      <c r="K360" s="217" t="inlineStr">
        <is>
          <t>សូមជ្រើសរើសឃុំ!</t>
        </is>
      </c>
      <c r="S360" s="163" t="inlineStr">
        <is>
          <t>សូមជ្រើសរើសឃុំមួយ!</t>
        </is>
      </c>
    </row>
    <row r="361" ht="15.75" customHeight="1" s="305">
      <c r="A361" s="217" t="inlineStr">
        <is>
          <t>CREATE_ORDER.ADDRESS</t>
        </is>
      </c>
      <c r="B361" s="153" t="inlineStr">
        <is>
          <t>地址</t>
        </is>
      </c>
      <c r="C361" s="3" t="inlineStr">
        <is>
          <t>Địa chỉ</t>
        </is>
      </c>
      <c r="D361" s="3" t="inlineStr">
        <is>
          <t>Address</t>
        </is>
      </c>
      <c r="E361" s="3" t="inlineStr">
        <is>
          <t>ທີ່ຢູ່</t>
        </is>
      </c>
      <c r="F361" s="3" t="inlineStr">
        <is>
          <t>လိပ်စာ</t>
        </is>
      </c>
      <c r="G361" s="3">
        <f>IFERROR(__xludf.DUMMYFUNCTION("GOOGLETRANSLATE(C361,""vi"",""km"")"),"អាសយដ្ឋាន")</f>
        <v/>
      </c>
      <c r="H361" s="217" t="inlineStr">
        <is>
          <t>អាស័យដ្ឋាន</t>
        </is>
      </c>
      <c r="J361" s="3" t="inlineStr">
        <is>
          <t>អាសយដ្ឋាន</t>
        </is>
      </c>
      <c r="K361" s="217" t="inlineStr">
        <is>
          <t>អាសយដ្ឋាន</t>
        </is>
      </c>
      <c r="S361" s="163" t="inlineStr">
        <is>
          <t>អាសយដ្ឋាន</t>
        </is>
      </c>
    </row>
    <row r="362" ht="15.75" customHeight="1" s="305">
      <c r="A362" s="217" t="inlineStr">
        <is>
          <t>CREATE_ORDER.GOODS</t>
        </is>
      </c>
      <c r="B362" s="153" t="inlineStr">
        <is>
          <t>货物信息</t>
        </is>
      </c>
      <c r="C362" s="3" t="inlineStr">
        <is>
          <t>Hàng hoá</t>
        </is>
      </c>
      <c r="D362" s="3" t="inlineStr">
        <is>
          <t>Goods</t>
        </is>
      </c>
      <c r="E362" s="3" t="inlineStr">
        <is>
          <t>ສິນຄ້າ</t>
        </is>
      </c>
      <c r="F362" s="3" t="inlineStr">
        <is>
          <t>ကုန်စည်</t>
        </is>
      </c>
      <c r="G362" s="3">
        <f>IFERROR(__xludf.DUMMYFUNCTION("GOOGLETRANSLATE(C362,""vi"",""km"")"),"ទំនិញ")</f>
        <v/>
      </c>
      <c r="H362" s="217" t="inlineStr">
        <is>
          <t>ទំនិញ</t>
        </is>
      </c>
      <c r="J362" s="3" t="inlineStr">
        <is>
          <t>ទំនិញ</t>
        </is>
      </c>
      <c r="K362" s="217" t="inlineStr">
        <is>
          <t>ទំនិញ</t>
        </is>
      </c>
      <c r="S362" s="163" t="inlineStr">
        <is>
          <t>ទំនិញ</t>
        </is>
      </c>
    </row>
    <row r="363" ht="15.75" customHeight="1" s="305">
      <c r="A363" s="217" t="inlineStr">
        <is>
          <t>CREATE_ORDER.FEE</t>
        </is>
      </c>
      <c r="B363" s="153" t="inlineStr">
        <is>
          <t>费用信息</t>
        </is>
      </c>
      <c r="C363" s="3" t="inlineStr">
        <is>
          <t>Cước phí</t>
        </is>
      </c>
      <c r="D363" s="3" t="inlineStr">
        <is>
          <t>Fee</t>
        </is>
      </c>
      <c r="E363" s="3" t="inlineStr">
        <is>
          <t>ຄ່າທຳນຽມ</t>
        </is>
      </c>
      <c r="F363" s="3" t="inlineStr">
        <is>
          <t>အခကြေးငွေ</t>
        </is>
      </c>
      <c r="G363" s="3">
        <f>IFERROR(__xludf.DUMMYFUNCTION("GOOGLETRANSLATE(C363,""vi"",""km"")"),"ថ្លៃដឹកជញ្ជូន")</f>
        <v/>
      </c>
      <c r="H363" s="217" t="inlineStr">
        <is>
          <t>ថ្លៃសេវា</t>
        </is>
      </c>
      <c r="J363" s="3" t="inlineStr">
        <is>
          <t>ថ្លៃដឹកជញ្ជូន</t>
        </is>
      </c>
      <c r="K363" s="217" t="inlineStr">
        <is>
          <t>ថ្លៃដឹកជញ្ជូន</t>
        </is>
      </c>
      <c r="S363" s="163" t="inlineStr">
        <is>
          <t>ថ្លៃ</t>
        </is>
      </c>
    </row>
    <row r="364" ht="15.75" customHeight="1" s="305">
      <c r="A364" s="217" t="inlineStr">
        <is>
          <t>CREATE_ORDER.EXPECTED_DELIVERY_TIME</t>
        </is>
      </c>
      <c r="B364" s="166" t="inlineStr">
        <is>
          <t>预计{{time}}天后送达</t>
        </is>
      </c>
      <c r="C364" s="3" t="inlineStr">
        <is>
          <t>Dự kiến giao sau {{time}} ngày</t>
        </is>
      </c>
      <c r="D364" s="3" t="inlineStr">
        <is>
          <t>Expected delivery after {{time}} days</t>
        </is>
      </c>
      <c r="E364" s="3" t="inlineStr">
        <is>
          <t>ຄາດຄະເນການຈັດສົ່ງໃນ {{time}} ມື້</t>
        </is>
      </c>
      <c r="F364" s="3" t="inlineStr">
        <is>
          <t>{{time}} ရက်အကြာတွင်ပေးပို့ရန်မျှော်လင့်ထားသည်။</t>
        </is>
      </c>
      <c r="G364" s="3">
        <f>IFERROR(__xludf.DUMMYFUNCTION("GOOGLETRANSLATE(C364,""vi"",""km"")"),"ការដឹកជញ្ជូនដែលរំពឹងទុកបន្ទាប់ពី {{time}} ថ្ងៃ")</f>
        <v/>
      </c>
      <c r="H364" s="217" t="inlineStr">
        <is>
          <t>រំពឹងថានឹងប្រគល់ក្នុង {{time}} ថ្ងៃ</t>
        </is>
      </c>
      <c r="J364" s="3" t="inlineStr">
        <is>
          <t>រំពឹងថានឹងប្រគល់ក្នុង {{time}} ថ្ងៃ</t>
        </is>
      </c>
      <c r="K364" s="217" t="inlineStr">
        <is>
          <t>រំពឹងថានឹងប្រគល់ក្នុង {{time}} ថ្ងៃ</t>
        </is>
      </c>
      <c r="S364" s="163" t="inlineStr">
        <is>
          <t>ការដឹកជញ្ជូនរំពឹងទុកបន្ទាប់ពី {{time}} ថ្ងៃ</t>
        </is>
      </c>
    </row>
    <row r="365" ht="15.75" customHeight="1" s="305">
      <c r="A365" s="217" t="inlineStr">
        <is>
          <t>OTP_SCREEN.TITLE</t>
        </is>
      </c>
      <c r="B365" s="153" t="inlineStr">
        <is>
          <t>输入验证码</t>
        </is>
      </c>
      <c r="C365" s="3" t="inlineStr">
        <is>
          <t>Nhập OTP</t>
        </is>
      </c>
      <c r="D365" s="3" t="inlineStr">
        <is>
          <t>Enter OTP</t>
        </is>
      </c>
      <c r="E365" s="3" t="inlineStr">
        <is>
          <t>ໃສ່ OTP</t>
        </is>
      </c>
      <c r="F365" s="3" t="inlineStr">
        <is>
          <t>OTP ကို ဝင်ပါ</t>
        </is>
      </c>
      <c r="G365" s="3">
        <f>IFERROR(__xludf.DUMMYFUNCTION("GOOGLETRANSLATE(C365,""vi"",""km"")"),"បញ្ចូលលេខសម្ងាត់ OTP")</f>
        <v/>
      </c>
      <c r="H365" s="217" t="inlineStr">
        <is>
          <t>បញ្ចូល OTP</t>
        </is>
      </c>
      <c r="J365" s="3" t="inlineStr">
        <is>
          <t>បញ្ចូល OTP</t>
        </is>
      </c>
      <c r="K365" s="217" t="inlineStr">
        <is>
          <t>បញ្ចូល OTP</t>
        </is>
      </c>
      <c r="S365" s="163" t="inlineStr">
        <is>
          <t>ចូលOTP</t>
        </is>
      </c>
    </row>
    <row r="366" ht="15.75" customHeight="1" s="305">
      <c r="A366" s="217" t="inlineStr">
        <is>
          <t>OTP_SCREEN.CONFIRM_PHONE_NUMBER</t>
        </is>
      </c>
      <c r="B366" s="153" t="inlineStr">
        <is>
          <t>确认手机号码</t>
        </is>
      </c>
      <c r="C366" s="3" t="inlineStr">
        <is>
          <t>Xác nhận số điện thoại</t>
        </is>
      </c>
      <c r="D366" s="3" t="inlineStr">
        <is>
          <t>Confirm Phone Number</t>
        </is>
      </c>
      <c r="E366" s="3" t="inlineStr">
        <is>
          <t>ຢືນຢັນເບີໂທລະສັບ</t>
        </is>
      </c>
      <c r="F366" s="3" t="inlineStr">
        <is>
          <t>ဖုန်းနံပါတ်ကို အတည်ပြုပါ</t>
        </is>
      </c>
      <c r="G366" s="3">
        <f>IFERROR(__xludf.DUMMYFUNCTION("GOOGLETRANSLATE(C366,""vi"",""km"")"),"បញ្ជាក់លេខទូរស័ព្ទ")</f>
        <v/>
      </c>
      <c r="H366" s="217" t="inlineStr">
        <is>
          <t>បញ្ជាក់លេខទូរស័ព្ទ</t>
        </is>
      </c>
      <c r="J366" s="3" t="inlineStr">
        <is>
          <t>បញ្ជាក់លេខទូរស័ព្ទ</t>
        </is>
      </c>
      <c r="K366" s="217" t="inlineStr">
        <is>
          <t>បញ្ជាក់លេខទូរស័ព្ទ</t>
        </is>
      </c>
      <c r="S366" s="163" t="inlineStr">
        <is>
          <t>បញ្ជាក់លេខទូរស័ព្ទ</t>
        </is>
      </c>
    </row>
    <row r="367" ht="15.75" customHeight="1" s="305">
      <c r="A367" s="217" t="inlineStr">
        <is>
          <t>OTP_SCREEN.PLEASE_INPUT_OTP_FROM_PHONE_NUMBER</t>
        </is>
      </c>
      <c r="B367" s="153" t="inlineStr">
        <is>
          <t>验证码已发送至该号码</t>
        </is>
      </c>
      <c r="C367" s="3" t="inlineStr">
        <is>
          <t>OTP đã được gửi đến số</t>
        </is>
      </c>
      <c r="D367" s="3" t="inlineStr">
        <is>
          <t>OTP has been sent to the number</t>
        </is>
      </c>
      <c r="E367" s="3" t="inlineStr">
        <is>
          <t>ກະລຸນາໃສ່ລະຫັດ OTP ທີ່ສົ່ງໄປຫາເບີໂທລະສັບຂອງທ່ານ</t>
        </is>
      </c>
      <c r="F367" s="3" t="inlineStr">
        <is>
          <t>ခင်ဗျားရဲ့ ဖုန်းနံပါတ်ကို ပေးပို့တဲ့ OTP ကို ဝင်ကြည့်ပါ</t>
        </is>
      </c>
      <c r="G367" s="3">
        <f>IFERROR(__xludf.DUMMYFUNCTION("GOOGLETRANSLATE(C367,""vi"",""km"")"),"លេខ OTP ត្រូវបានផ្ញើទៅកាន់លេខនេះ។")</f>
        <v/>
      </c>
      <c r="H367" s="217" t="inlineStr">
        <is>
          <t>OTP បានផ្ញើទៅកាន់លេខ</t>
        </is>
      </c>
      <c r="J367" s="3" t="inlineStr">
        <is>
          <t>OTP បានផ្ញើទៅកាន់លេខ</t>
        </is>
      </c>
      <c r="K367" s="217" t="inlineStr">
        <is>
          <t>OTP បានផ្ញើទៅកាន់លេខ</t>
        </is>
      </c>
      <c r="S367" s="163" t="inlineStr">
        <is>
          <t>សូមបញ្ចូល OTP ដែលបានផ្ញើទៅកាន់លេខទូរស័ព្ទរបស់អ្នក</t>
        </is>
      </c>
    </row>
    <row r="368" ht="15.75" customHeight="1" s="305">
      <c r="A368" s="217" t="inlineStr">
        <is>
          <t>OTP_SCREEN.PLEASE_INPUT_OTP_FROM</t>
        </is>
      </c>
      <c r="B368" s="153" t="inlineStr">
        <is>
          <t>请输入发送至 [号码] 的验证码</t>
        </is>
      </c>
      <c r="C368" s="3" t="inlineStr">
        <is>
          <t>Vui lòng nhập mã OTP được gửi đến</t>
        </is>
      </c>
      <c r="D368" s="3" t="inlineStr">
        <is>
          <t>Please enter the OTP sent to</t>
        </is>
      </c>
      <c r="E368" s="3" t="inlineStr">
        <is>
          <t>ກະລຸນາໃສ່ລະຫັດ OTP ທີ່ຖືກສົ່ງໄປຫາ</t>
        </is>
      </c>
      <c r="F368" s="3" t="inlineStr">
        <is>
          <t>ပို့လိုက်တဲ့ OTP ကို ဝင်ကြည့်ပါ</t>
        </is>
      </c>
      <c r="G368" s="3">
        <f>IFERROR(__xludf.DUMMYFUNCTION("GOOGLETRANSLATE(C368,""vi"",""km"")"),"សូមបញ្ចូលលេខកូដ OTP ដែលត្រូវបានផ្ញើទៅអ្នក។")</f>
        <v/>
      </c>
      <c r="H368" s="217" t="inlineStr">
        <is>
          <t>សូមបញ្ចូលលេខកូដ OTP ដែលបានផ្ញើ</t>
        </is>
      </c>
      <c r="J368" s="3" t="inlineStr">
        <is>
          <t>សូមបញ្ចូលលេខកូដ OTP ដែលបានផ្ញើ</t>
        </is>
      </c>
      <c r="K368" s="217" t="inlineStr">
        <is>
          <t>សូមបញ្ចូលលេខកូដ OTP ដែលបានផ្ញើ</t>
        </is>
      </c>
      <c r="S368" s="163" t="inlineStr">
        <is>
          <t>សូមបញ្ចូល OTP ដែលបានផ្ញើទៅ</t>
        </is>
      </c>
    </row>
    <row r="369" ht="15.75" customHeight="1" s="305">
      <c r="A369" s="217" t="inlineStr">
        <is>
          <t>OTP_SCREEN.BY_PHONE_NUMBER</t>
        </is>
      </c>
      <c r="B369" s="161" t="inlineStr">
        <is>
          <t>[号码]</t>
        </is>
      </c>
      <c r="C369" s="3" t="inlineStr">
        <is>
          <t>qua số điện thoại</t>
        </is>
      </c>
      <c r="D369" s="3" t="inlineStr">
        <is>
          <t>by phone number</t>
        </is>
      </c>
      <c r="E369" s="3" t="inlineStr">
        <is>
          <t>ທາງໂທລະສັບ</t>
        </is>
      </c>
      <c r="F369" s="3" t="inlineStr">
        <is>
          <t>ဖုန်းနံပါတ်ဖြင့်</t>
        </is>
      </c>
      <c r="G369" s="3">
        <f>IFERROR(__xludf.DUMMYFUNCTION("GOOGLETRANSLATE(C369,""vi"",""km"")"),"តាមរយៈលេខទូរស័ព្ទ")</f>
        <v/>
      </c>
      <c r="H369" s="217" t="inlineStr">
        <is>
          <t>រំលងលេខទូរស័ព្ទ</t>
        </is>
      </c>
      <c r="J369" s="3" t="inlineStr">
        <is>
          <t>រំលងលេខទូរស័ព្ទ</t>
        </is>
      </c>
      <c r="K369" s="217" t="inlineStr">
        <is>
          <t>រំលងលេខទូរស័ព្ទ</t>
        </is>
      </c>
      <c r="S369" s="163" t="inlineStr">
        <is>
          <t>តាមលេខទូរស័ព្ទ</t>
        </is>
      </c>
    </row>
    <row r="370" ht="15.75" customHeight="1" s="305">
      <c r="A370" s="217" t="inlineStr">
        <is>
          <t>OTP_SCREEN.SEND_OTP_ERROR</t>
        </is>
      </c>
      <c r="B370" s="153" t="inlineStr">
        <is>
          <t>验证码发送失败</t>
        </is>
      </c>
      <c r="C370" s="3" t="inlineStr">
        <is>
          <t>Gửi OTP thất bại</t>
        </is>
      </c>
      <c r="D370" s="3" t="inlineStr">
        <is>
          <t>Failed to send OTP</t>
        </is>
      </c>
      <c r="E370" s="3" t="inlineStr">
        <is>
          <t>ການສົ່ງ OTP ລົ້ມເຫລວ</t>
        </is>
      </c>
      <c r="F370" s="3" t="inlineStr">
        <is>
          <t>OTP ပေးပို့ရန် ပျက်ကွက်ခဲ့</t>
        </is>
      </c>
      <c r="G370" s="3">
        <f>IFERROR(__xludf.DUMMYFUNCTION("GOOGLETRANSLATE(C370,""vi"",""km"")"),"ការ​ផ្ញើ​លេខ OTP បាន​បរាជ័យ។")</f>
        <v/>
      </c>
      <c r="H370" s="217" t="inlineStr">
        <is>
          <t>ផ្ញើ OTP បានបរាជ័យ</t>
        </is>
      </c>
      <c r="J370" s="3" t="inlineStr">
        <is>
          <t>ផ្ញើ OTP បានបរាជ័យ</t>
        </is>
      </c>
      <c r="K370" s="217" t="inlineStr">
        <is>
          <t>ផ្ញើ OTP បានបរាជ័យ</t>
        </is>
      </c>
      <c r="S370" s="163" t="inlineStr">
        <is>
          <t>បរាជ័យក្នុងការផ្ញើ OTP</t>
        </is>
      </c>
    </row>
    <row r="371" ht="15.75" customHeight="1" s="305">
      <c r="A371" s="217" t="inlineStr">
        <is>
          <t>OTP_SCREEN.RESEND_OTP_AFTER</t>
        </is>
      </c>
      <c r="B371" s="153" t="inlineStr">
        <is>
          <t>重新收到验证码</t>
        </is>
      </c>
      <c r="C371" s="3" t="inlineStr">
        <is>
          <t>Gửi lại OTP sau</t>
        </is>
      </c>
      <c r="D371" s="3" t="inlineStr">
        <is>
          <t>Resend OTP after</t>
        </is>
      </c>
      <c r="E371" s="3" t="inlineStr">
        <is>
          <t>ສົ່ງ OTP ໃໝ່ໃນພາຍຫຼັງ</t>
        </is>
      </c>
      <c r="F371" s="3" t="inlineStr">
        <is>
          <t>OTP ပြန်လည်တောင်းခံမည်</t>
        </is>
      </c>
      <c r="G371" s="3">
        <f>IFERROR(__xludf.DUMMYFUNCTION("GOOGLETRANSLATE(C371,""vi"",""km"")"),"ផ្ញើ OTP ម្តងទៀតនៅពេលក្រោយ។")</f>
        <v/>
      </c>
      <c r="H371" s="217" t="inlineStr">
        <is>
          <t>ផ្ញើ OTP ក្រោយ</t>
        </is>
      </c>
      <c r="J371" s="3" t="inlineStr">
        <is>
          <t>ផ្ញើ OTP ក្រោយ</t>
        </is>
      </c>
      <c r="K371" s="217" t="inlineStr">
        <is>
          <t>ផ្ញើ OTP ក្រោយ</t>
        </is>
      </c>
      <c r="S371" s="163" t="inlineStr">
        <is>
          <t>ផ្ញើ OTP ឡើងវិញបន្ទាប់ពី</t>
        </is>
      </c>
    </row>
    <row r="372" ht="15.75" customHeight="1" s="305">
      <c r="A372" s="217" t="inlineStr">
        <is>
          <t>OTP_SCREEN.SEND_OTP</t>
        </is>
      </c>
      <c r="B372" s="153" t="inlineStr">
        <is>
          <t>发送验证码</t>
        </is>
      </c>
      <c r="C372" s="3" t="inlineStr">
        <is>
          <t>Gửi OTP</t>
        </is>
      </c>
      <c r="D372" s="3" t="inlineStr">
        <is>
          <t>Send OTP</t>
        </is>
      </c>
      <c r="E372" s="3" t="inlineStr">
        <is>
          <t>ສົ່ງ OTP</t>
        </is>
      </c>
      <c r="F372" s="3" t="inlineStr">
        <is>
          <t>OTP ပေးပို့ပါ</t>
        </is>
      </c>
      <c r="G372" s="3">
        <f>IFERROR(__xludf.DUMMYFUNCTION("GOOGLETRANSLATE(C372,""vi"",""km"")"),"ផ្ញើ OTP")</f>
        <v/>
      </c>
      <c r="H372" s="217" t="inlineStr">
        <is>
          <t>ផ្ញើ OTP</t>
        </is>
      </c>
      <c r="J372" s="3" t="inlineStr">
        <is>
          <t>ផ្ញើ OTP</t>
        </is>
      </c>
      <c r="K372" s="217" t="inlineStr">
        <is>
          <t>ផ្ញើ OTP</t>
        </is>
      </c>
      <c r="S372" s="163" t="inlineStr">
        <is>
          <t>ផ្ញើ OTP</t>
        </is>
      </c>
    </row>
    <row r="373" ht="15.75" customHeight="1" s="305">
      <c r="A373" s="217" t="inlineStr">
        <is>
          <t>OTP_SCREEN.INVALID_OTP</t>
        </is>
      </c>
      <c r="B373" s="153" t="inlineStr">
        <is>
          <t>验证码错误</t>
        </is>
      </c>
      <c r="C373" s="3" t="inlineStr">
        <is>
          <t>Mã OTP không chính xác</t>
        </is>
      </c>
      <c r="D373" s="3" t="inlineStr">
        <is>
          <t>OTP code is incorrect</t>
        </is>
      </c>
      <c r="E373" s="3" t="inlineStr">
        <is>
          <t>OTP ບໍ່ຖືກຕ້ອງ</t>
        </is>
      </c>
      <c r="F373" s="3" t="inlineStr">
        <is>
          <t>OTP ကုဒ် မမှန်ပါ။ နောက်မှ ထပ်စမ်းကြည့်ပါ။</t>
        </is>
      </c>
      <c r="G373" s="3">
        <f>IFERROR(__xludf.DUMMYFUNCTION("GOOGLETRANSLATE(C373,""vi"",""km"")"),"លេខកូដ OTP មិនត្រឹមត្រូវ")</f>
        <v/>
      </c>
      <c r="H373" s="217" t="inlineStr">
        <is>
          <t>លេខកូដ OTP មិនត្រឹមត្រូវ</t>
        </is>
      </c>
      <c r="J373" s="3" t="inlineStr">
        <is>
          <t>លេខកូដ OTP មិនត្រឹមត្រូវ</t>
        </is>
      </c>
      <c r="K373" s="217" t="inlineStr">
        <is>
          <t>លេខកូដ OTP មិនត្រឹមត្រូវ</t>
        </is>
      </c>
      <c r="S373" s="163" t="inlineStr">
        <is>
          <t>លេខកូដ OTP មិនត្រឹមត្រូវទេ។ សូមព្យាយាមម្តងទៀតនៅពេលក្រោយ</t>
        </is>
      </c>
    </row>
    <row r="374" ht="15.75" customHeight="1" s="305">
      <c r="A374" s="217" t="inlineStr">
        <is>
          <t>OTP_SCREEN.LOGIN_WITH_OTP</t>
        </is>
      </c>
      <c r="B374" s="153" t="inlineStr">
        <is>
          <t>验证码登录</t>
        </is>
      </c>
      <c r="C374" s="3" t="inlineStr">
        <is>
          <t>Đăng nhập bằng OTP</t>
        </is>
      </c>
      <c r="D374" s="3" t="inlineStr">
        <is>
          <t>Login with OTP</t>
        </is>
      </c>
      <c r="E374" s="3" t="inlineStr">
        <is>
          <t>ເຂົ້າລະບົບດ້ວຍ OTP</t>
        </is>
      </c>
      <c r="F374" s="3" t="inlineStr">
        <is>
          <t>OTP ဖြင့် ဝင်ရောက်ပါ။</t>
        </is>
      </c>
      <c r="G374" s="3">
        <f>IFERROR(__xludf.DUMMYFUNCTION("GOOGLETRANSLATE(C374,""vi"",""km"")"),"ចូលដោយប្រើ OTP")</f>
        <v/>
      </c>
      <c r="H374" s="217" t="inlineStr">
        <is>
          <t>ចុចចូលតាម OTP</t>
        </is>
      </c>
      <c r="J374" s="3" t="inlineStr">
        <is>
          <t>ចុចចូលតាម OTP</t>
        </is>
      </c>
      <c r="K374" s="217" t="inlineStr">
        <is>
          <t>ចុចចូលតាម OTP</t>
        </is>
      </c>
      <c r="S374" s="163" t="inlineStr">
        <is>
          <t>ចូលជាមួយ OTP</t>
        </is>
      </c>
    </row>
    <row r="375" ht="15.75" customHeight="1" s="305">
      <c r="A375" s="217" t="inlineStr">
        <is>
          <t>OTP_SCREEN.LIMID_REACHED</t>
        </is>
      </c>
      <c r="B375" s="153" t="inlineStr">
        <is>
          <t>您已经达到5条短信的限制。请稍候重试。</t>
        </is>
      </c>
      <c r="C375" s="3" t="inlineStr">
        <is>
          <t>Quý khách đã nhận quá 5 SMS, xin vui lòng thử lại sau</t>
        </is>
      </c>
      <c r="D375" s="3" t="inlineStr">
        <is>
          <t>You reach the limit of 5 SMS an hour. Please try again later</t>
        </is>
      </c>
      <c r="E375" s="3" t="inlineStr">
        <is>
          <t>ທ່ານໄດ້ຮັບ SMS ຫຼາຍກວ່າ 5 ຂໍ້ຄວາມ, ກະລຸນາລອງໃໝ່ພາຍຫຼັງ</t>
        </is>
      </c>
      <c r="F375" s="3" t="n"/>
      <c r="G375" s="3">
        <f>IFERROR(__xludf.DUMMYFUNCTION("GOOGLETRANSLATE(C375,""vi"",""km"")"),"អ្នកបានទទួលសារ SMS ច្រើនជាង 5 សូមព្យាយាមម្តងទៀតនៅពេលក្រោយ។")</f>
        <v/>
      </c>
      <c r="H375" s="3" t="inlineStr">
        <is>
          <t>អតិថិជនទទួលបាន 5 SMS សូមព្យាយាមម្តងទៀតនៅពេលក្រោយ</t>
        </is>
      </c>
      <c r="J375" s="3" t="inlineStr">
        <is>
          <t>អតិថិជនទទួលបាន 5 SMS សូមព្យាយាមម្តងទៀតនៅពេលក្រោយ</t>
        </is>
      </c>
      <c r="K375" s="217" t="inlineStr">
        <is>
          <t>អតិថិជនទទួលបាន 5 SMS សូមព្យាយាមម្តងទៀតនៅពេលក្រោយ</t>
        </is>
      </c>
      <c r="S375" s="163" t="inlineStr">
        <is>
          <t>អ្នកបានទទួលសារ SMS ច្រើនជាង 5 សូមព្យាយាមម្តងទៀតនៅពេលក្រោយ</t>
        </is>
      </c>
    </row>
    <row r="376" ht="15.75" customHeight="1" s="305">
      <c r="A376" s="217" t="inlineStr">
        <is>
          <t>OTP_SCREEN.LIMID_DAYS</t>
        </is>
      </c>
      <c r="B376" s="153" t="inlineStr">
        <is>
          <t>温馨提示：每小时最多可发送5条短信。</t>
        </is>
      </c>
      <c r="C376" s="3" t="inlineStr">
        <is>
          <t>Lưu ý: Quý khách chỉ có thể nhận tối đa 5 SMS/giờ</t>
        </is>
      </c>
      <c r="D376" s="3" t="inlineStr">
        <is>
          <t>Disclaimer: You are limited to 5 SMS per hour.</t>
        </is>
      </c>
      <c r="E376" s="3" t="inlineStr">
        <is>
          <t>ຫມາຍເຫດ: ສາມາດຮັບ SMS ໄດ້ສູງສຸດ 5 ຂໍ້ຄວາມ/ຊົ່ວໂມງ</t>
        </is>
      </c>
      <c r="F376" s="3" t="n"/>
      <c r="G376" s="3">
        <f>IFERROR(__xludf.DUMMYFUNCTION("GOOGLETRANSLATE(C376,""vi"",""km"")"),"ចំណាំ៖ អ្នកអាចទទួលបានសារ SMS អតិបរមា 5 សារក្នុងមួយម៉ោង។")</f>
        <v/>
      </c>
      <c r="H376" s="3" t="inlineStr">
        <is>
          <t>ចំណាំ៖ អតិថិជនអាចទទួលបានច្រើនបំផុតត្រឹមតែ 5 SMS/ម៉ោង</t>
        </is>
      </c>
      <c r="J376" s="3" t="inlineStr">
        <is>
          <t>ចំណាំ៖ អតិថិជនអាចទទួលបានច្រើនបំផុតត្រឹមតែ 5 SMS/ម៉ោង</t>
        </is>
      </c>
      <c r="K376" s="217" t="inlineStr">
        <is>
          <t>ចំណាំ៖ អតិថិជនអាចទទួលបានច្រើនបំផុតត្រឹមតែ 5 SMS/ម៉ោង</t>
        </is>
      </c>
      <c r="S376" s="163" t="inlineStr">
        <is>
          <t>ចំណាំ៖ អ្នកអាចទទួលបានត្រឹមតែ 5 SMS/ម៉ោងប៉ុណ្ណោះ។</t>
        </is>
      </c>
    </row>
    <row r="377" ht="15.75" customHeight="1" s="305">
      <c r="A377" s="217" t="inlineStr">
        <is>
          <t>KEYBOARD.DONE</t>
        </is>
      </c>
      <c r="B377" s="153" t="inlineStr">
        <is>
          <t>完成</t>
        </is>
      </c>
      <c r="C377" s="3" t="inlineStr">
        <is>
          <t>Xong</t>
        </is>
      </c>
      <c r="D377" s="3" t="inlineStr">
        <is>
          <t>Done</t>
        </is>
      </c>
      <c r="E377" s="3" t="inlineStr">
        <is>
          <t>ສຳເລັດແລ້ວ</t>
        </is>
      </c>
      <c r="F377" s="3" t="inlineStr">
        <is>
          <t>လုပ်ကိုင်ခဲ့</t>
        </is>
      </c>
      <c r="G377" s="3">
        <f>IFERROR(__xludf.DUMMYFUNCTION("GOOGLETRANSLATE(C377,""vi"",""km"")"),"បានបញ្ចប់")</f>
        <v/>
      </c>
      <c r="H377" s="217" t="inlineStr">
        <is>
          <t>រួចរាល់</t>
        </is>
      </c>
      <c r="J377" s="3" t="inlineStr">
        <is>
          <t>រួចរាល់</t>
        </is>
      </c>
      <c r="K377" s="217" t="inlineStr">
        <is>
          <t>រួចរាល់</t>
        </is>
      </c>
      <c r="S377" s="163" t="inlineStr">
        <is>
          <t>រួចរាល់</t>
        </is>
      </c>
    </row>
    <row r="378" ht="15.75" customHeight="1" s="305">
      <c r="A378" s="217" t="inlineStr">
        <is>
          <t>KEYBOARD.CONFIRM</t>
        </is>
      </c>
      <c r="B378" s="153" t="inlineStr">
        <is>
          <t>确认</t>
        </is>
      </c>
      <c r="C378" s="3" t="inlineStr">
        <is>
          <t>Xác nhận</t>
        </is>
      </c>
      <c r="D378" s="3" t="inlineStr">
        <is>
          <t>Confirm</t>
        </is>
      </c>
      <c r="E378" s="3" t="inlineStr">
        <is>
          <t>ຢືນຢັນ</t>
        </is>
      </c>
      <c r="F378" s="3" t="inlineStr">
        <is>
          <t>အတည်ပြုပါ။</t>
        </is>
      </c>
      <c r="G378" s="3">
        <f>IFERROR(__xludf.DUMMYFUNCTION("GOOGLETRANSLATE(C378,""vi"",""km"")"),"បញ្ជាក់")</f>
        <v/>
      </c>
      <c r="H378" s="217" t="inlineStr">
        <is>
          <t>បញ្ជាក់</t>
        </is>
      </c>
      <c r="J378" s="3" t="inlineStr">
        <is>
          <t>បញ្ជាក់</t>
        </is>
      </c>
      <c r="K378" s="217" t="inlineStr">
        <is>
          <t>បញ្ជាក់</t>
        </is>
      </c>
      <c r="S378" s="163" t="inlineStr">
        <is>
          <t>បញ្ជាក់</t>
        </is>
      </c>
    </row>
    <row r="379" ht="15.75" customHeight="1" s="305">
      <c r="A379" s="217" t="inlineStr">
        <is>
          <t>KEYBOARD.CANCEL</t>
        </is>
      </c>
      <c r="B379" s="153" t="inlineStr">
        <is>
          <t>取消</t>
        </is>
      </c>
      <c r="C379" s="3" t="inlineStr">
        <is>
          <t>Hủy</t>
        </is>
      </c>
      <c r="D379" s="3" t="inlineStr">
        <is>
          <t>Cancel</t>
        </is>
      </c>
      <c r="E379" s="3" t="inlineStr">
        <is>
          <t>ຍົກເລີກ</t>
        </is>
      </c>
      <c r="F379" s="3" t="inlineStr">
        <is>
          <t>ပယ်ဖျက်သည်</t>
        </is>
      </c>
      <c r="G379" s="3">
        <f>IFERROR(__xludf.DUMMYFUNCTION("GOOGLETRANSLATE(C379,""vi"",""km"")"),"បោះបង់")</f>
        <v/>
      </c>
      <c r="H379" s="217" t="inlineStr">
        <is>
          <t>លុបចោល</t>
        </is>
      </c>
      <c r="J379" s="3" t="inlineStr">
        <is>
          <t>លុបចោល</t>
        </is>
      </c>
      <c r="K379" s="217" t="inlineStr">
        <is>
          <t>លុបចោល</t>
        </is>
      </c>
      <c r="S379" s="163" t="inlineStr">
        <is>
          <t>លុប</t>
        </is>
      </c>
    </row>
    <row r="380" ht="15.75" customHeight="1" s="305">
      <c r="A380" s="217" t="inlineStr">
        <is>
          <t>KEYBOARD.NO</t>
        </is>
      </c>
      <c r="B380" s="153" t="inlineStr">
        <is>
          <t>否</t>
        </is>
      </c>
      <c r="C380" s="3" t="inlineStr">
        <is>
          <t>Không</t>
        </is>
      </c>
      <c r="D380" s="3" t="inlineStr">
        <is>
          <t>No</t>
        </is>
      </c>
      <c r="E380" s="3" t="inlineStr">
        <is>
          <t>ບໍ່ແມ່ນ</t>
        </is>
      </c>
      <c r="F380" s="3" t="inlineStr">
        <is>
          <t>မဟုတ်ဘူး</t>
        </is>
      </c>
      <c r="G380" s="3">
        <f>IFERROR(__xludf.DUMMYFUNCTION("GOOGLETRANSLATE(C380,""vi"",""km"")"),"មិនមែនទេ")</f>
        <v/>
      </c>
      <c r="H380" s="217" t="inlineStr">
        <is>
          <t>មិនមែន</t>
        </is>
      </c>
      <c r="J380" s="3" t="inlineStr">
        <is>
          <t>មិនមាន</t>
        </is>
      </c>
      <c r="K380" s="217" t="inlineStr">
        <is>
          <t>មិនមាន</t>
        </is>
      </c>
      <c r="S380" s="163" t="inlineStr">
        <is>
          <t>ទេ</t>
        </is>
      </c>
    </row>
    <row r="381" ht="15.75" customHeight="1" s="305">
      <c r="A381" s="217" t="inlineStr">
        <is>
          <t>KEYBOARD.COPY</t>
        </is>
      </c>
      <c r="B381" s="153" t="inlineStr">
        <is>
          <t>复制</t>
        </is>
      </c>
      <c r="C381" s="3" t="inlineStr">
        <is>
          <t>Sao chép</t>
        </is>
      </c>
      <c r="D381" s="3" t="inlineStr">
        <is>
          <t>Copy</t>
        </is>
      </c>
      <c r="E381" s="3" t="inlineStr">
        <is>
          <t>ສຳເນົາ</t>
        </is>
      </c>
      <c r="F381" s="3" t="inlineStr">
        <is>
          <t>ကူးယူပါ</t>
        </is>
      </c>
      <c r="G381" s="3">
        <f>IFERROR(__xludf.DUMMYFUNCTION("GOOGLETRANSLATE(C381,""vi"",""km"")"),"ចម្លង")</f>
        <v/>
      </c>
      <c r="H381" s="217" t="inlineStr">
        <is>
          <t>ចម្លង</t>
        </is>
      </c>
      <c r="J381" s="3" t="inlineStr">
        <is>
          <t>ចម្លង</t>
        </is>
      </c>
      <c r="K381" s="217" t="inlineStr">
        <is>
          <t>ចម្លង</t>
        </is>
      </c>
      <c r="S381" s="163" t="inlineStr">
        <is>
          <t>ចម្លង</t>
        </is>
      </c>
    </row>
    <row r="382" ht="15.75" customHeight="1" s="305">
      <c r="A382" s="217" t="inlineStr">
        <is>
          <t>KEYBOARD.CLOSE</t>
        </is>
      </c>
      <c r="B382" s="153" t="inlineStr">
        <is>
          <t>关闭</t>
        </is>
      </c>
      <c r="C382" s="3" t="inlineStr">
        <is>
          <t>Đóng</t>
        </is>
      </c>
      <c r="D382" s="3" t="inlineStr">
        <is>
          <t>Close</t>
        </is>
      </c>
      <c r="E382" s="3" t="inlineStr">
        <is>
          <t>ປິດ</t>
        </is>
      </c>
      <c r="F382" s="3" t="inlineStr">
        <is>
          <t>ပိတ်ပါ</t>
        </is>
      </c>
      <c r="G382" s="3">
        <f>IFERROR(__xludf.DUMMYFUNCTION("GOOGLETRANSLATE(C382,""vi"",""km"")"),"បិទ")</f>
        <v/>
      </c>
      <c r="H382" s="217" t="inlineStr">
        <is>
          <t>បិទ</t>
        </is>
      </c>
      <c r="J382" s="3" t="inlineStr">
        <is>
          <t>បិទ</t>
        </is>
      </c>
      <c r="K382" s="217" t="inlineStr">
        <is>
          <t>បិទ</t>
        </is>
      </c>
      <c r="S382" s="163" t="inlineStr">
        <is>
          <t>បិទ</t>
        </is>
      </c>
    </row>
    <row r="383" ht="15.75" customHeight="1" s="305">
      <c r="A383" s="217" t="inlineStr">
        <is>
          <t>KEYBOARD.NEXT</t>
        </is>
      </c>
      <c r="B383" s="153" t="inlineStr">
        <is>
          <t>下一步</t>
        </is>
      </c>
      <c r="C383" s="3" t="inlineStr">
        <is>
          <t>Tiếp tục</t>
        </is>
      </c>
      <c r="D383" s="3" t="inlineStr">
        <is>
          <t>Next</t>
        </is>
      </c>
      <c r="E383" s="3" t="inlineStr">
        <is>
          <t>ສືບຕໍ່</t>
        </is>
      </c>
      <c r="F383" s="3" t="inlineStr">
        <is>
          <t>နောက်တစ်ခေါ</t>
        </is>
      </c>
      <c r="G383" s="3">
        <f>IFERROR(__xludf.DUMMYFUNCTION("GOOGLETRANSLATE(C383,""vi"",""km"")"),"បន្ត")</f>
        <v/>
      </c>
      <c r="H383" s="217" t="inlineStr">
        <is>
          <t>បន្ត</t>
        </is>
      </c>
      <c r="J383" s="3" t="inlineStr">
        <is>
          <t>បន្ត</t>
        </is>
      </c>
      <c r="K383" s="217" t="inlineStr">
        <is>
          <t>បន្ត</t>
        </is>
      </c>
      <c r="S383" s="163" t="inlineStr">
        <is>
          <t>បន្ទាប់់</t>
        </is>
      </c>
    </row>
    <row r="384" ht="15.75" customHeight="1" s="305">
      <c r="A384" s="217" t="inlineStr">
        <is>
          <t>HOME_SCREEN.HELLO</t>
        </is>
      </c>
      <c r="B384" s="153" t="inlineStr">
        <is>
          <t>您好</t>
        </is>
      </c>
      <c r="C384" s="3" t="inlineStr">
        <is>
          <t>Xin chào</t>
        </is>
      </c>
      <c r="D384" s="3" t="inlineStr">
        <is>
          <t>Hello</t>
        </is>
      </c>
      <c r="E384" s="3" t="inlineStr">
        <is>
          <t>ສະບາຍດີ</t>
        </is>
      </c>
      <c r="F384" s="3" t="inlineStr">
        <is>
          <t>ဟဲလို</t>
        </is>
      </c>
      <c r="G384" s="3">
        <f>IFERROR(__xludf.DUMMYFUNCTION("GOOGLETRANSLATE(C384,""vi"",""km"")"),"សួស្តី")</f>
        <v/>
      </c>
      <c r="H384" s="217" t="inlineStr">
        <is>
          <t>សួស្តី</t>
        </is>
      </c>
      <c r="J384" s="3" t="inlineStr">
        <is>
          <t>សួស្តី</t>
        </is>
      </c>
      <c r="K384" s="217" t="inlineStr">
        <is>
          <t>សួស្តី</t>
        </is>
      </c>
      <c r="S384" s="163" t="inlineStr">
        <is>
          <t>ជម្រាបសួរ</t>
        </is>
      </c>
    </row>
    <row r="385" ht="15.75" customHeight="1" s="305">
      <c r="A385" s="217" t="inlineStr">
        <is>
          <t>HOME_SCREEN.CREATE_ORDER</t>
        </is>
      </c>
      <c r="B385" s="153" t="inlineStr">
        <is>
          <t>创建订单</t>
        </is>
      </c>
      <c r="C385" s="3" t="inlineStr">
        <is>
          <t>Tạo đơn</t>
        </is>
      </c>
      <c r="D385" s="3" t="inlineStr">
        <is>
          <t>Create Order</t>
        </is>
      </c>
      <c r="E385" s="3" t="inlineStr">
        <is>
          <t>ສ້າງຄໍາສັ່ງ</t>
        </is>
      </c>
      <c r="F385" s="3" t="inlineStr">
        <is>
          <t>အော်ဒါကို ဖန်တီးပါ</t>
        </is>
      </c>
      <c r="G385" s="3">
        <f>IFERROR(__xludf.DUMMYFUNCTION("GOOGLETRANSLATE(C385,""vi"",""km"")"),"បង្កើតការបញ្ជាទិញ")</f>
        <v/>
      </c>
      <c r="H385" s="217" t="inlineStr">
        <is>
          <t>បង្កើតបុង</t>
        </is>
      </c>
      <c r="J385" s="3" t="inlineStr">
        <is>
          <t>បង្កើតបុង</t>
        </is>
      </c>
      <c r="K385" s="217" t="inlineStr">
        <is>
          <t>បង្កើតបុង</t>
        </is>
      </c>
      <c r="S385" s="163" t="inlineStr">
        <is>
          <t>បង្កើតកញ្ចប់បុង</t>
        </is>
      </c>
    </row>
    <row r="386" ht="15.75" customHeight="1" s="305">
      <c r="A386" s="217" t="inlineStr">
        <is>
          <t>HOME_SCREEN.CREATE_ORDER_LA</t>
        </is>
      </c>
      <c r="B386" s="153" t="inlineStr">
        <is>
          <t>创建国内订单</t>
        </is>
      </c>
      <c r="C386" s="3" t="inlineStr">
        <is>
          <t>Tạo đơn trong nước</t>
        </is>
      </c>
      <c r="D386" s="3" t="inlineStr">
        <is>
          <t>Create Domestic Order</t>
        </is>
      </c>
      <c r="E386" s="3" t="inlineStr">
        <is>
          <t>ສ້າງບິນພາຍໃນປະເທດ</t>
        </is>
      </c>
      <c r="F386" s="3" t="inlineStr">
        <is>
          <t>Tạo đơn trong nước</t>
        </is>
      </c>
      <c r="G386" s="3">
        <f>IFERROR(__xludf.DUMMYFUNCTION("GOOGLETRANSLATE(C386,""vi"",""km"")"),"បង្កើតការបញ្ជាទិញក្នុងស្រុក")</f>
        <v/>
      </c>
      <c r="H386" s="217" t="inlineStr">
        <is>
          <t>បង្កើ្កតបុងក្នុងស្រុក</t>
        </is>
      </c>
      <c r="J386" s="3" t="inlineStr">
        <is>
          <t>បង្កើ្កតបុងក្នុងស្រុក</t>
        </is>
      </c>
      <c r="K386" s="217" t="inlineStr">
        <is>
          <t>បង្កើ្កតបុងក្នុងស្រុក</t>
        </is>
      </c>
      <c r="S386" s="163" t="inlineStr">
        <is>
          <t>បង្កើតកញ្ចប់ក្នុងស្រុក</t>
        </is>
      </c>
    </row>
    <row r="387" ht="15.75" customHeight="1" s="305">
      <c r="A387" s="217" t="inlineStr">
        <is>
          <t>HOME_SCREEN.ORDER_MANAGE</t>
        </is>
      </c>
      <c r="B387" s="153" t="inlineStr">
        <is>
          <t>订单管理</t>
        </is>
      </c>
      <c r="C387" s="3" t="inlineStr">
        <is>
          <t>Quản lý đơn</t>
        </is>
      </c>
      <c r="D387" s="3" t="inlineStr">
        <is>
          <t>Manage Orders</t>
        </is>
      </c>
      <c r="E387" s="3" t="inlineStr">
        <is>
          <t>ການຈັດການຄໍາສັ່ງ</t>
        </is>
      </c>
      <c r="F387" s="3" t="inlineStr">
        <is>
          <t>အော်ဒါများကို စီမံခန့်ခွဲမည်</t>
        </is>
      </c>
      <c r="G387" s="3">
        <f>IFERROR(__xludf.DUMMYFUNCTION("GOOGLETRANSLATE(C387,""vi"",""km"")"),"ការគ្រប់គ្រងការបញ្ជាទិញ")</f>
        <v/>
      </c>
      <c r="H387" s="217" t="inlineStr">
        <is>
          <t>គ្រប់គ្រងបុងបញ្ញើ</t>
        </is>
      </c>
      <c r="J387" s="3" t="inlineStr">
        <is>
          <t>គ្រប់គ្រងបុងបញ្ញើ</t>
        </is>
      </c>
      <c r="K387" s="217" t="inlineStr">
        <is>
          <t>គ្រប់គ្រងបុងបញ្ញើ</t>
        </is>
      </c>
      <c r="S387" s="163" t="inlineStr">
        <is>
          <t>គ្រប់គ្រងកញ្ចប់បុង</t>
        </is>
      </c>
    </row>
    <row r="388" ht="15.75" customHeight="1" s="305">
      <c r="A388" s="217" t="inlineStr">
        <is>
          <t>HOME_SCREEN.CREATE_ORDER_INTL</t>
        </is>
      </c>
      <c r="B388" s="153" t="inlineStr">
        <is>
          <t>创建国际订单</t>
        </is>
      </c>
      <c r="C388" s="3" t="inlineStr">
        <is>
          <t>Tạo đơn quốc tế</t>
        </is>
      </c>
      <c r="D388" s="3" t="inlineStr">
        <is>
          <t>Create International Order</t>
        </is>
      </c>
      <c r="E388" s="3" t="inlineStr">
        <is>
          <t>ສ້າງບິນຕ່າງປະເທດ</t>
        </is>
      </c>
      <c r="F388" s="3" t="inlineStr">
        <is>
          <t>အပြည်ပြည်ဆိုင်ရာ အော်ဒါ ဖန်တီးခြင်း</t>
        </is>
      </c>
      <c r="G388" s="3">
        <f>IFERROR(__xludf.DUMMYFUNCTION("GOOGLETRANSLATE(C388,""vi"",""km"")"),"បង្កើតការបញ្ជាទិញអន្តរជាតិ")</f>
        <v/>
      </c>
      <c r="H388" s="217" t="inlineStr">
        <is>
          <t>បង្កើតបុុងអន្តរជាតិ</t>
        </is>
      </c>
      <c r="J388" s="3" t="inlineStr">
        <is>
          <t>បង្កើតបុុងអន្តរជាតិ</t>
        </is>
      </c>
      <c r="K388" s="217" t="inlineStr">
        <is>
          <t>បង្កើតបុុងអន្តរជាតិ</t>
        </is>
      </c>
      <c r="S388" s="163" t="inlineStr">
        <is>
          <t>បង្កើតកញ្ចប់អន្តរជាតិ</t>
        </is>
      </c>
    </row>
    <row r="389" ht="15.75" customHeight="1" s="305">
      <c r="A389" s="217" t="inlineStr">
        <is>
          <t>HOME_SCREEN.SERVICES</t>
        </is>
      </c>
      <c r="B389" s="153" t="inlineStr">
        <is>
          <t>服务</t>
        </is>
      </c>
      <c r="C389" s="3" t="inlineStr">
        <is>
          <t>Dịch vụ</t>
        </is>
      </c>
      <c r="D389" s="3" t="inlineStr">
        <is>
          <t>Services</t>
        </is>
      </c>
      <c r="E389" s="3" t="inlineStr">
        <is>
          <t>ການບໍລິການ</t>
        </is>
      </c>
      <c r="F389" s="3" t="inlineStr">
        <is>
          <t>ဝန်ဆောင်မှု</t>
        </is>
      </c>
      <c r="G389" s="3">
        <f>IFERROR(__xludf.DUMMYFUNCTION("GOOGLETRANSLATE(C389,""vi"",""km"")"),"សេវាកម្ម")</f>
        <v/>
      </c>
      <c r="H389" s="217" t="inlineStr">
        <is>
          <t>សេវាកម្ម</t>
        </is>
      </c>
      <c r="J389" s="3" t="inlineStr">
        <is>
          <t>សេវាកម្ម</t>
        </is>
      </c>
      <c r="K389" s="217" t="inlineStr">
        <is>
          <t>សេវាកម្ម</t>
        </is>
      </c>
      <c r="S389" s="163" t="inlineStr">
        <is>
          <t>សេវាកម្ម</t>
        </is>
      </c>
    </row>
    <row r="390" ht="15.75" customHeight="1" s="305">
      <c r="A390" s="217" t="inlineStr">
        <is>
          <t>HOME_SCREEN.SENDER_ADDRESS</t>
        </is>
      </c>
      <c r="B390" s="153" t="inlineStr">
        <is>
          <t>寄件地址</t>
        </is>
      </c>
      <c r="C390" s="3" t="inlineStr">
        <is>
          <t>Địa chỉ gửi hàng</t>
        </is>
      </c>
      <c r="D390" s="3" t="inlineStr">
        <is>
          <t>Sender Address</t>
        </is>
      </c>
      <c r="E390" s="3" t="inlineStr">
        <is>
          <t>ທີ່ຢູ່ຈັດສົ່ງ</t>
        </is>
      </c>
      <c r="F390" s="3" t="inlineStr">
        <is>
          <t>ပို့ဆောင်သူလိပ်စာ</t>
        </is>
      </c>
      <c r="G390" s="3">
        <f>IFERROR(__xludf.DUMMYFUNCTION("GOOGLETRANSLATE(C390,""vi"",""km"")"),"អាសយដ្ឋានដឹកជញ្ជូន")</f>
        <v/>
      </c>
      <c r="H390" s="217" t="inlineStr">
        <is>
          <t>អាសយដ្ឋានផ្ញើអីវ៉ាន់</t>
        </is>
      </c>
      <c r="J390" s="3" t="inlineStr">
        <is>
          <t>អាសយដ្ឋានផ្ញើអីវ៉ាន់</t>
        </is>
      </c>
      <c r="K390" s="217" t="inlineStr">
        <is>
          <t>អាសយដ្ឋានផ្ញើអីវ៉ាន់</t>
        </is>
      </c>
      <c r="S390" s="163" t="inlineStr">
        <is>
          <t>អាសយដ្ឋានអ្នកផ្ញើ</t>
        </is>
      </c>
    </row>
    <row r="391" ht="15.75" customHeight="1" s="305">
      <c r="A391" s="217" t="inlineStr">
        <is>
          <t>HOME_SCREEN.POST_OFFICE_LOOKUP</t>
        </is>
      </c>
      <c r="B391" s="153" t="inlineStr">
        <is>
          <t>查找邮局</t>
        </is>
      </c>
      <c r="C391" s="3" t="inlineStr">
        <is>
          <t>Tra cứu bưu cục</t>
        </is>
      </c>
      <c r="D391" s="3" t="inlineStr">
        <is>
          <t>Post office lookup</t>
        </is>
      </c>
      <c r="E391" s="3" t="inlineStr">
        <is>
          <t>ການຊອກຫາຫ້ອງການໄປສະນີ</t>
        </is>
      </c>
      <c r="F391" s="3" t="inlineStr">
        <is>
          <t>စာတိုက်ကြည့်ရှုခြင်း</t>
        </is>
      </c>
      <c r="G391" s="3">
        <f>IFERROR(__xludf.DUMMYFUNCTION("GOOGLETRANSLATE(C391,""vi"",""km"")"),"រកមើលការិយាល័យប្រៃសណីយ៍")</f>
        <v/>
      </c>
      <c r="H391" s="217" t="inlineStr">
        <is>
          <t>ស្វែងរកការិយាល័យប្រៃសណីយ៍</t>
        </is>
      </c>
      <c r="J391" s="3" t="inlineStr">
        <is>
          <t>ស្វែងរកការិយាល័យប្រៃសណីយ៍</t>
        </is>
      </c>
      <c r="K391" s="217" t="inlineStr">
        <is>
          <t>ស្វែងរកការិយាល័យប្រៃសណីយ៍</t>
        </is>
      </c>
      <c r="S391" s="163" t="inlineStr">
        <is>
          <t>ស្វែងរកការិយាល័យប្រៃសណីយ៍</t>
        </is>
      </c>
    </row>
    <row r="392" ht="15.75" customHeight="1" s="305">
      <c r="A392" s="217" t="inlineStr">
        <is>
          <t>HOME_SCREEN.ESTIMATE_FEE</t>
        </is>
      </c>
      <c r="B392" s="153" t="inlineStr">
        <is>
          <t>费用计算</t>
        </is>
      </c>
      <c r="C392" s="3" t="inlineStr">
        <is>
          <t>Tra tính cước phí</t>
        </is>
      </c>
      <c r="D392" s="3" t="inlineStr">
        <is>
          <t>Estimate Fee</t>
        </is>
      </c>
      <c r="E392" s="3" t="inlineStr">
        <is>
          <t>ກວດເບິ່ງຄ່າໂດຍສານ</t>
        </is>
      </c>
      <c r="F392" s="3" t="inlineStr">
        <is>
          <t>ခန့်မှန်းအခကြေး‌ငွေ</t>
        </is>
      </c>
      <c r="G392" s="3">
        <f>IFERROR(__xludf.DUMMYFUNCTION("GOOGLETRANSLATE(C392,""vi"",""km"")"),"ពិនិត្យមើលថ្លៃដឹកជញ្ជូន")</f>
        <v/>
      </c>
      <c r="H392" s="217" t="inlineStr">
        <is>
          <t>ពិនិត្យមើលថ្លៃសេវា</t>
        </is>
      </c>
      <c r="J392" s="3" t="inlineStr">
        <is>
          <t>ពិនិត្យមើលថ្លៃសេវា</t>
        </is>
      </c>
      <c r="K392" s="217" t="inlineStr">
        <is>
          <t>ពិនិត្យមើលថ្លៃសេវា</t>
        </is>
      </c>
      <c r="S392" s="163" t="inlineStr">
        <is>
          <t>តម្លៃប៉ាន់ស្មាន</t>
        </is>
      </c>
    </row>
    <row r="393" ht="15.75" customHeight="1" s="305">
      <c r="A393" s="217" t="inlineStr">
        <is>
          <t>HOME_SCREEN.ASK_ADDRESS</t>
        </is>
      </c>
      <c r="B393" s="153" t="inlineStr">
        <is>
          <t>配送至何处？</t>
        </is>
      </c>
      <c r="C393" s="3" t="inlineStr">
        <is>
          <t>Vận chuyển đến?</t>
        </is>
      </c>
      <c r="D393" s="3" t="inlineStr">
        <is>
          <t>Delivery destination?</t>
        </is>
      </c>
      <c r="E393" s="3" t="inlineStr">
        <is>
          <t>ເຈົ້າຕ້ອງການຈັດສົ່ງຢູ່ໃສ?</t>
        </is>
      </c>
      <c r="F393" s="3" t="inlineStr">
        <is>
          <t>ပို့ဆောင်ရေးပန်းတိုင်</t>
        </is>
      </c>
      <c r="G393" s="3">
        <f>IFERROR(__xludf.DUMMYFUNCTION("GOOGLETRANSLATE(C393,""vi"",""km"")"),"ដឹកជញ្ជូនទៅ?")</f>
        <v/>
      </c>
      <c r="H393" s="217" t="inlineStr">
        <is>
          <t>ដឹកជញ្ជូនដល់?</t>
        </is>
      </c>
      <c r="J393" s="3" t="inlineStr">
        <is>
          <t>ដឹកជញ្ជូនដល់?</t>
        </is>
      </c>
      <c r="K393" s="217" t="inlineStr">
        <is>
          <t>ដឹកជញ្ជូនដល់?</t>
        </is>
      </c>
      <c r="S393" s="163" t="inlineStr">
        <is>
          <t>ទិសដៅដឹកជញ្ជូន?</t>
        </is>
      </c>
    </row>
    <row r="394" ht="15.75" customHeight="1" s="305">
      <c r="A394" s="217" t="inlineStr">
        <is>
          <t>HOME_SCREEN.NEWS_EXPLORE</t>
        </is>
      </c>
      <c r="B394" s="153" t="inlineStr">
        <is>
          <t>信息与搜索</t>
        </is>
      </c>
      <c r="C394" s="3" t="inlineStr">
        <is>
          <t>Tin tức &amp; Khám phá</t>
        </is>
      </c>
      <c r="D394" s="3" t="inlineStr">
        <is>
          <t>News &amp; Discovery</t>
        </is>
      </c>
      <c r="E394" s="3" t="inlineStr">
        <is>
          <t>ຂ່າວ &amp; ການຄົ້ນພົບ</t>
        </is>
      </c>
      <c r="F394" s="3" t="inlineStr">
        <is>
          <t>သတင်း နှင့် ရှာဖွေ တွေ့ ရှိ မှု</t>
        </is>
      </c>
      <c r="G394" s="3">
        <f>IFERROR(__xludf.DUMMYFUNCTION("GOOGLETRANSLATE(C394,""vi"",""km"")"),"ព័ត៌មាន និងការរកឃើញ")</f>
        <v/>
      </c>
      <c r="J394" s="3" t="inlineStr">
        <is>
          <t>ព័រ៍មាន&amp;ស្វែងយល់</t>
        </is>
      </c>
      <c r="K394" s="217" t="inlineStr">
        <is>
          <t>ព័រ៍មាន&amp;ស្វែងយល់</t>
        </is>
      </c>
      <c r="S394" s="163" t="inlineStr">
        <is>
          <t>ព័រ៍មាន&amp;ស្វែងយល់</t>
        </is>
      </c>
    </row>
    <row r="395" ht="15.75" customHeight="1" s="305">
      <c r="A395" s="217" t="inlineStr">
        <is>
          <t>HOME_SCREEN.CONNECT_US</t>
        </is>
      </c>
      <c r="B395" s="153" t="inlineStr">
        <is>
          <t>联系我们</t>
        </is>
      </c>
      <c r="C395" s="3" t="inlineStr">
        <is>
          <t>Kết nối với chúng tôi</t>
        </is>
      </c>
      <c r="D395" s="3" t="inlineStr">
        <is>
          <t>Connect with us</t>
        </is>
      </c>
      <c r="E395" s="3" t="inlineStr">
        <is>
          <t>ເຊື່ອມຕໍ່ກັບພວກເຮົາ</t>
        </is>
      </c>
      <c r="F395" s="3" t="inlineStr">
        <is>
          <t>ကျွန်တော်တို့နဲ့ ဆက်သွယ်ပါ</t>
        </is>
      </c>
      <c r="G395" s="3">
        <f>IFERROR(__xludf.DUMMYFUNCTION("GOOGLETRANSLATE(C395,""vi"",""km"")"),"ភ្ជាប់ទំនាក់ទំនងជាមួយយើង")</f>
        <v/>
      </c>
      <c r="H395" s="217" t="inlineStr">
        <is>
          <t>ភ្ជាប់ជាមួយពួកខ្ញុំ</t>
        </is>
      </c>
      <c r="J395" s="3" t="inlineStr">
        <is>
          <t>ភ្ជាប់ជាមួយពួកខ្ញុំ</t>
        </is>
      </c>
      <c r="K395" s="217" t="inlineStr">
        <is>
          <t>ភ្ជាប់ជាមួយពួកខ្ញុំ</t>
        </is>
      </c>
      <c r="S395" s="163" t="inlineStr">
        <is>
          <t>ភ្ជាប់ជាមួយយើង</t>
        </is>
      </c>
    </row>
    <row r="396" ht="15.75" customHeight="1" s="305">
      <c r="A396" s="217" t="inlineStr">
        <is>
          <t>HOME_SCREEN.HOTLINE</t>
        </is>
      </c>
      <c r="B396" s="153" t="inlineStr">
        <is>
          <t>客服热线</t>
        </is>
      </c>
      <c r="C396" s="3" t="inlineStr">
        <is>
          <t>Hotline CSKH</t>
        </is>
      </c>
      <c r="D396" s="3" t="inlineStr">
        <is>
          <t>Customer Care Hotline</t>
        </is>
      </c>
      <c r="E396" s="3" t="inlineStr">
        <is>
          <t>ສາຍດ່ວນບໍລິການລູກຄ້າ</t>
        </is>
      </c>
      <c r="F396" s="3" t="inlineStr">
        <is>
          <t>ဖောက်သည် ဂရုစိုက်မှု  hotline</t>
        </is>
      </c>
      <c r="G396" s="3">
        <f>IFERROR(__xludf.DUMMYFUNCTION("GOOGLETRANSLATE(C396,""vi"",""km"")"),"ខ្សែទូរស័ព្ទសេវាកម្មអតិថិជន")</f>
        <v/>
      </c>
      <c r="J396" s="3" t="inlineStr">
        <is>
          <t>ទំនាក់ទំនងបន្ទាន់</t>
        </is>
      </c>
      <c r="K396" s="217" t="inlineStr">
        <is>
          <t>ទំនាក់ទំនងបន្ទាន់</t>
        </is>
      </c>
      <c r="S396" s="163" t="inlineStr">
        <is>
          <t>ថែទាំអតិថិជនតាមHotline</t>
        </is>
      </c>
    </row>
    <row r="397" ht="15.75" customHeight="1" s="305">
      <c r="A397" s="217" t="inlineStr">
        <is>
          <t>HOME_SCREEN.RESULT_SEARCH_EMPTY</t>
        </is>
      </c>
      <c r="B397" s="153" t="inlineStr">
        <is>
          <t>暂无搜索结果！</t>
        </is>
      </c>
      <c r="C397" s="3" t="inlineStr">
        <is>
          <t>Không có kết quả tìm kiếm!</t>
        </is>
      </c>
      <c r="D397" s="3" t="inlineStr">
        <is>
          <t>No search results!</t>
        </is>
      </c>
      <c r="E397" s="3" t="inlineStr">
        <is>
          <t>ບໍ່ມີຜົນການຊອກຫາ!</t>
        </is>
      </c>
      <c r="F397" s="3" t="inlineStr">
        <is>
          <t>ရှာဖွေမှုရလဒ် မရှိပါ!</t>
        </is>
      </c>
      <c r="G397" s="3">
        <f>IFERROR(__xludf.DUMMYFUNCTION("GOOGLETRANSLATE(C397,""vi"",""km"")"),"គ្មានលទ្ធផលស្វែងរកទេ!")</f>
        <v/>
      </c>
      <c r="J397" s="3" t="inlineStr">
        <is>
          <t>គ្មានលទ្ធផលស្វែងរកទេ!</t>
        </is>
      </c>
      <c r="K397" s="217" t="inlineStr">
        <is>
          <t>គ្មានលទ្ធផលស្វែងរកទេ!</t>
        </is>
      </c>
      <c r="S397" s="163" t="inlineStr">
        <is>
          <t>គ្មានលទ្ធផលស្វែងរកទេ!</t>
        </is>
      </c>
    </row>
    <row r="398" ht="15.75" customHeight="1" s="305">
      <c r="A398" s="217" t="inlineStr">
        <is>
          <t>HOME_SCREEN.GUEST_CAN_SEARCH</t>
        </is>
      </c>
      <c r="B398" s="153" t="inlineStr">
        <is>
          <t>您可以搜索</t>
        </is>
      </c>
      <c r="C398" s="3" t="inlineStr">
        <is>
          <t>Quý khách có thể tìm kiếm</t>
        </is>
      </c>
      <c r="D398" s="3" t="inlineStr">
        <is>
          <t>You can search</t>
        </is>
      </c>
      <c r="E398" s="3" t="inlineStr">
        <is>
          <t>ທ່ານສາມາດຄົ້ນຫາ</t>
        </is>
      </c>
      <c r="F398" s="3" t="inlineStr">
        <is>
          <t>ရှာဖွေနိုင်ပါတယ်</t>
        </is>
      </c>
      <c r="G398" s="3">
        <f>IFERROR(__xludf.DUMMYFUNCTION("GOOGLETRANSLATE(C398,""vi"",""km"")"),"អ្នកអាចស្វែងរក")</f>
        <v/>
      </c>
      <c r="H398" s="217" t="inlineStr">
        <is>
          <t>អតិថិជនអាចស្វែងរកបាន</t>
        </is>
      </c>
      <c r="J398" s="3" t="inlineStr">
        <is>
          <t>អតិថិជនអាចស្វែងរកបាន</t>
        </is>
      </c>
      <c r="K398" s="217" t="inlineStr">
        <is>
          <t>អតិថិជនអាចស្វែងរកបាន</t>
        </is>
      </c>
      <c r="S398" s="163" t="inlineStr">
        <is>
          <t>អ្នកអាចស្វែងរក</t>
        </is>
      </c>
    </row>
    <row r="399" ht="15.75" customHeight="1" s="305">
      <c r="A399" s="217" t="inlineStr">
        <is>
          <t>HOME_SCREEN.ORDERS</t>
        </is>
      </c>
      <c r="B399" s="153" t="inlineStr">
        <is>
          <t>订单</t>
        </is>
      </c>
      <c r="C399" s="3" t="inlineStr">
        <is>
          <t>Đơn Hàng</t>
        </is>
      </c>
      <c r="D399" s="3" t="inlineStr">
        <is>
          <t>Order</t>
        </is>
      </c>
      <c r="E399" s="3" t="inlineStr">
        <is>
          <t>ສັ່ງ</t>
        </is>
      </c>
      <c r="F399" s="3" t="inlineStr">
        <is>
          <t>စည်းမျပ်</t>
        </is>
      </c>
      <c r="G399" s="3">
        <f>IFERROR(__xludf.DUMMYFUNCTION("GOOGLETRANSLATE(C399,""vi"",""km"")"),"ការបញ្ជាទិញ")</f>
        <v/>
      </c>
      <c r="H399" s="217" t="inlineStr">
        <is>
          <t>បុងបញ្ញើ</t>
        </is>
      </c>
      <c r="J399" s="3" t="inlineStr">
        <is>
          <t>បុងបញ្ញើ</t>
        </is>
      </c>
      <c r="K399" s="217" t="inlineStr">
        <is>
          <t>បុងបញ្ញើ</t>
        </is>
      </c>
      <c r="S399" s="163" t="inlineStr">
        <is>
          <t>កញ្ចប់បុង</t>
        </is>
      </c>
    </row>
    <row r="400" ht="15.75" customHeight="1" s="305">
      <c r="A400" s="217" t="inlineStr">
        <is>
          <t>HOME_SCREEN.FUNCTION</t>
        </is>
      </c>
      <c r="B400" s="153" t="inlineStr">
        <is>
          <t>功能</t>
        </is>
      </c>
      <c r="C400" s="3" t="inlineStr">
        <is>
          <t>Tính năng</t>
        </is>
      </c>
      <c r="D400" s="3" t="inlineStr">
        <is>
          <t>Function</t>
        </is>
      </c>
      <c r="E400" s="3" t="inlineStr">
        <is>
          <t>ຄຸນສົມບັດ</t>
        </is>
      </c>
      <c r="F400" s="3" t="inlineStr">
        <is>
          <t>လုပ်ငန်းဆောင်တာ</t>
        </is>
      </c>
      <c r="G400" s="3">
        <f>IFERROR(__xludf.DUMMYFUNCTION("GOOGLETRANSLATE(C400,""vi"",""km"")"),"លក្ខណៈពិសេស")</f>
        <v/>
      </c>
      <c r="H400" s="217" t="inlineStr">
        <is>
          <t>មុខងារ</t>
        </is>
      </c>
      <c r="J400" s="3" t="inlineStr">
        <is>
          <t>មុខងារ</t>
        </is>
      </c>
      <c r="K400" s="217" t="inlineStr">
        <is>
          <t>មុខងារ</t>
        </is>
      </c>
      <c r="S400" s="163" t="inlineStr">
        <is>
          <t>មុខងារ</t>
        </is>
      </c>
    </row>
    <row r="401" ht="15.75" customHeight="1" s="305">
      <c r="A401" s="217" t="inlineStr">
        <is>
          <t>HOME_SCREEN.SEARCH</t>
        </is>
      </c>
      <c r="B401" s="153" t="inlineStr">
        <is>
          <t>搜索</t>
        </is>
      </c>
      <c r="C401" s="3" t="inlineStr">
        <is>
          <t>Tìm kiếm</t>
        </is>
      </c>
      <c r="D401" s="3" t="inlineStr">
        <is>
          <t>Search</t>
        </is>
      </c>
      <c r="E401" s="3" t="inlineStr">
        <is>
          <t>ຊອກຫາ</t>
        </is>
      </c>
      <c r="F401" s="3" t="inlineStr">
        <is>
          <t>ရှာဖွေခြင်း</t>
        </is>
      </c>
      <c r="G401" s="3">
        <f>IFERROR(__xludf.DUMMYFUNCTION("GOOGLETRANSLATE(C401,""vi"",""km"")"),"ស្វែងរក")</f>
        <v/>
      </c>
      <c r="H401" s="217" t="inlineStr">
        <is>
          <t>ស្វែងរក</t>
        </is>
      </c>
      <c r="J401" s="3" t="inlineStr">
        <is>
          <t>ស្វែងរក</t>
        </is>
      </c>
      <c r="K401" s="217" t="inlineStr">
        <is>
          <t>ស្វែងរក</t>
        </is>
      </c>
      <c r="S401" s="163" t="inlineStr">
        <is>
          <t>ស្វែងរក</t>
        </is>
      </c>
    </row>
    <row r="402" ht="15.75" customHeight="1" s="305">
      <c r="A402" s="217" t="inlineStr">
        <is>
          <t>HOME_SCREEN.SELECT_COUNTRY</t>
        </is>
      </c>
      <c r="B402" s="153" t="inlineStr">
        <is>
          <t>选择国家</t>
        </is>
      </c>
      <c r="C402" s="3" t="inlineStr">
        <is>
          <t>Chọn quốc gia của bạn</t>
        </is>
      </c>
      <c r="D402" s="3" t="inlineStr">
        <is>
          <t>Select your country</t>
        </is>
      </c>
      <c r="E402" s="3" t="inlineStr">
        <is>
          <t>ເລືອກປະເທດຂອງທ່ານ</t>
        </is>
      </c>
      <c r="F402" s="3" t="inlineStr">
        <is>
          <t>ရွေးချယ်ထားသော နိုင်ငံကိုရွေးချယ်ပါ</t>
        </is>
      </c>
      <c r="G402" s="3">
        <f>IFERROR(__xludf.DUMMYFUNCTION("GOOGLETRANSLATE(C402,""vi"",""km"")"),"ជ្រើសរើសប្រទេសរបស់អ្នក")</f>
        <v/>
      </c>
      <c r="H402" s="217" t="inlineStr">
        <is>
          <t>ជ្រើសរើសប្រទេសរបស់អ្នក</t>
        </is>
      </c>
      <c r="J402" s="3" t="inlineStr">
        <is>
          <t>ជ្រើសរើសប្រទេសរបស់អ្នក</t>
        </is>
      </c>
      <c r="K402" s="217" t="inlineStr">
        <is>
          <t>ជ្រើសរើសប្រទេសរបស់អ្នក</t>
        </is>
      </c>
      <c r="S402" s="163" t="inlineStr">
        <is>
          <t>ជ្រើសរើសប្រទេស</t>
        </is>
      </c>
    </row>
    <row r="403" ht="15.75" customHeight="1" s="305">
      <c r="A403" s="217" t="inlineStr">
        <is>
          <t>HOME_SCREEN.SWITCH_COUNTRY</t>
        </is>
      </c>
      <c r="B403" s="153" t="inlineStr">
        <is>
          <t>更改国家</t>
        </is>
      </c>
      <c r="C403" s="3" t="inlineStr">
        <is>
          <t>Đổi quốc gia</t>
        </is>
      </c>
      <c r="D403" s="3" t="inlineStr">
        <is>
          <t>Change country</t>
        </is>
      </c>
      <c r="E403" s="3" t="inlineStr">
        <is>
          <t>ປ່ຽນປະເທດ</t>
        </is>
      </c>
      <c r="F403" s="3" t="inlineStr">
        <is>
          <t>နိုင်ငံအပြောင်းအလဲ</t>
        </is>
      </c>
      <c r="G403" s="3">
        <f>IFERROR(__xludf.DUMMYFUNCTION("GOOGLETRANSLATE(C403,""vi"",""km"")"),"ប្តូរប្រទេស")</f>
        <v/>
      </c>
      <c r="H403" s="217" t="inlineStr">
        <is>
          <t>ប្តូរប្រទេស</t>
        </is>
      </c>
      <c r="J403" s="3" t="inlineStr">
        <is>
          <t>ប្តូរប្រទេស</t>
        </is>
      </c>
      <c r="K403" s="217" t="inlineStr">
        <is>
          <t>ប្តូរប្រទេស</t>
        </is>
      </c>
      <c r="S403" s="163" t="inlineStr">
        <is>
          <t>ផ្លាស់ប្តូរប្រទេស</t>
        </is>
      </c>
    </row>
    <row r="404" ht="15.75" customHeight="1" s="305">
      <c r="A404" s="217" t="inlineStr">
        <is>
          <t>HOME_SCREEN.SELECT</t>
        </is>
      </c>
      <c r="B404" s="153" t="inlineStr">
        <is>
          <t>选择</t>
        </is>
      </c>
      <c r="C404" s="3" t="inlineStr">
        <is>
          <t>Chọn</t>
        </is>
      </c>
      <c r="D404" s="3" t="inlineStr">
        <is>
          <t>Select</t>
        </is>
      </c>
      <c r="E404" s="3" t="inlineStr">
        <is>
          <t>ເລືອກ</t>
        </is>
      </c>
      <c r="F404" s="3" t="inlineStr">
        <is>
          <t>ရွေးချယ်ပါ</t>
        </is>
      </c>
      <c r="G404" s="3">
        <f>IFERROR(__xludf.DUMMYFUNCTION("GOOGLETRANSLATE(C404,""vi"",""km"")"),"ជ្រើសរើស")</f>
        <v/>
      </c>
      <c r="H404" s="217" t="inlineStr">
        <is>
          <t>ជ្រើសរើស</t>
        </is>
      </c>
      <c r="J404" s="3" t="inlineStr">
        <is>
          <t>ជ្រើសរើស</t>
        </is>
      </c>
      <c r="K404" s="217" t="inlineStr">
        <is>
          <t>ជ្រើសរើស</t>
        </is>
      </c>
      <c r="S404" s="163" t="inlineStr">
        <is>
          <t>ជ្រើសរើស</t>
        </is>
      </c>
    </row>
    <row r="405" ht="15.75" customHeight="1" s="305">
      <c r="A405" s="217" t="inlineStr">
        <is>
          <t>HOME_SCREEN.WANT_TO_SHIP</t>
        </is>
      </c>
      <c r="B405" s="153" t="inlineStr">
        <is>
          <t>从何处发货？</t>
        </is>
      </c>
      <c r="C405" s="3" t="inlineStr">
        <is>
          <t>Quý khách muốn gửi hàng từ đâu?</t>
        </is>
      </c>
      <c r="D405" s="3" t="inlineStr">
        <is>
          <t>Where would you like to send the package from?</t>
        </is>
      </c>
      <c r="E405" s="3" t="inlineStr">
        <is>
          <t>ເຈົ້າຕ້ອງການສົ່ງມາຈາກໃສ?</t>
        </is>
      </c>
      <c r="F405" s="3" t="inlineStr">
        <is>
          <t>အထုပ်ကို ဘယ်ကနေ ပို့ချင်သလဲ။</t>
        </is>
      </c>
      <c r="G405" s="3">
        <f>IFERROR(__xludf.DUMMYFUNCTION("GOOGLETRANSLATE(C405,""vi"",""km"")"),"តើអ្នកចង់ឱ្យការដឹកជញ្ជូនរបស់អ្នកត្រូវបានផ្ញើពីណា?")</f>
        <v/>
      </c>
      <c r="J405" s="3" t="inlineStr">
        <is>
          <t>តើអ្នកចង់ផ្ញើកញ្ចប់ពីណា?</t>
        </is>
      </c>
      <c r="K405" s="217" t="inlineStr">
        <is>
          <t>តើអ្នកចង់ផ្ញើកញ្ចប់ពីណា?</t>
        </is>
      </c>
      <c r="S405" s="163" t="inlineStr">
        <is>
          <t>តើអ្នកចង់ផ្ញើកញ្ចប់ពីណា?</t>
        </is>
      </c>
    </row>
    <row r="406" ht="15.75" customHeight="1" s="305">
      <c r="A406" s="217" t="inlineStr">
        <is>
          <t>HOME_SCREEN.PLEASE_LOGIN_TO_EXPERIENCE</t>
        </is>
      </c>
      <c r="B406" s="153" t="inlineStr">
        <is>
          <t>请登录已使用完整功能</t>
        </is>
      </c>
      <c r="C406" s="3" t="inlineStr">
        <is>
          <t>Quý khách vui lòng đăng nhập để trải nghiệm tính năng!</t>
        </is>
      </c>
      <c r="D406" s="3" t="inlineStr">
        <is>
          <t>Please log in to enjoy the features!</t>
        </is>
      </c>
      <c r="E406" s="3" t="inlineStr">
        <is>
          <t>ກະລຸນາເຂົ້າສູ່ລະບົບເພື່ອປະສົບການຄຸນສົມບັດ!</t>
        </is>
      </c>
      <c r="F406" s="3" t="inlineStr">
        <is>
          <t>Featere တွေကို အသုံးပြုဖို့ ကျေးဇူးပြု၍ ဝင်ရောက်ပါ</t>
        </is>
      </c>
      <c r="G406" s="3">
        <f>IFERROR(__xludf.DUMMYFUNCTION("GOOGLETRANSLATE(C406,""vi"",""km"")"),"សូមចូលគណនីដើម្បីទទួលបានបទពិសោធន៍មុខងារនានា!")</f>
        <v/>
      </c>
      <c r="J406" s="3" t="inlineStr">
        <is>
          <t>សូមចូលដើម្បីទទួលបានបទពិសោធន៍ពីមុខងារនេះ!</t>
        </is>
      </c>
      <c r="K406" s="217" t="inlineStr">
        <is>
          <t>សូមចូលដើម្បីទទួលបានបទពិសោធន៍ពីមុខងារនេះ!</t>
        </is>
      </c>
      <c r="S406" s="163" t="inlineStr">
        <is>
          <t>សូម​ចូល​ដើម្បី​ទទួល​បាន​បទពិសោធន៍​ពី​មុខងារ​នេះ!</t>
        </is>
      </c>
    </row>
    <row r="407" ht="15.75" customHeight="1" s="305">
      <c r="A407" s="217" t="inlineStr">
        <is>
          <t>HOME_SCREEN.LOGIN</t>
        </is>
      </c>
      <c r="B407" s="153" t="inlineStr">
        <is>
          <t>登录</t>
        </is>
      </c>
      <c r="C407" s="3" t="inlineStr">
        <is>
          <t>Đăng nhập</t>
        </is>
      </c>
      <c r="D407" s="3" t="inlineStr">
        <is>
          <t>Login</t>
        </is>
      </c>
      <c r="E407" s="3" t="inlineStr">
        <is>
          <t>ເຂົ້າສູ່ລະບົບ</t>
        </is>
      </c>
      <c r="F407" s="3" t="inlineStr">
        <is>
          <t>ဝင်ရောက်ပါ</t>
        </is>
      </c>
      <c r="G407" s="3">
        <f>IFERROR(__xludf.DUMMYFUNCTION("GOOGLETRANSLATE(C407,""vi"",""km"")"),"ចូល")</f>
        <v/>
      </c>
      <c r="H407" s="217" t="inlineStr">
        <is>
          <t>ចុចចូល</t>
        </is>
      </c>
      <c r="J407" s="3" t="inlineStr">
        <is>
          <t>ចុចចូល</t>
        </is>
      </c>
      <c r="K407" s="217" t="inlineStr">
        <is>
          <t>ចុចចូល</t>
        </is>
      </c>
      <c r="S407" s="163" t="inlineStr">
        <is>
          <t>ចូល</t>
        </is>
      </c>
    </row>
    <row r="408" ht="15.75" customHeight="1" s="305">
      <c r="A408" s="217" t="inlineStr">
        <is>
          <t>HOME_SCREEN.PLEASE_INPUT_CHARACTER</t>
        </is>
      </c>
      <c r="B408" s="153" t="inlineStr">
        <is>
          <t>请输入至少3个字符</t>
        </is>
      </c>
      <c r="C408" s="3" t="inlineStr">
        <is>
          <t>Vui lòng nhập tối thiếu 3 ký tự để tìm kiếm</t>
        </is>
      </c>
      <c r="D408" s="3" t="inlineStr">
        <is>
          <t>Please enter at least 3 characters to search</t>
        </is>
      </c>
      <c r="E408" s="3" t="inlineStr">
        <is>
          <t>ກະລຸນາໃສ່ຢ່າງໜ້ອຍ 3 ຕົວອັກສອນເພື່ອຊອກຫາ</t>
        </is>
      </c>
      <c r="F408" s="3" t="inlineStr">
        <is>
          <t>ရှာဖွေရန် အနည်းဆုံး စာလုံး 3 လုံး ရိုက်ထည့်ပါ။</t>
        </is>
      </c>
      <c r="G408" s="3">
        <f>IFERROR(__xludf.DUMMYFUNCTION("GOOGLETRANSLATE(C408,""vi"",""km"")"),"សូមបញ្ចូលយ៉ាងហោចណាស់ 3 តួអក្សរដើម្បីស្វែងរក។")</f>
        <v/>
      </c>
      <c r="J408" s="3" t="inlineStr">
        <is>
          <t>សូមបញ្ចូលយ៉ាងហោចណាស់ 3 តួអក្សរដើម្បីស្វែងរក</t>
        </is>
      </c>
      <c r="K408" s="217" t="inlineStr">
        <is>
          <t>សូមបញ្ចូលយ៉ាងហោចណាស់ 3 តួអក្សរដើម្បីស្វែងរក</t>
        </is>
      </c>
      <c r="S408" s="163" t="inlineStr">
        <is>
          <t>សូមបញ្ចូលយ៉ាងហោចណាស់ 3 តួអក្សរដើម្បីស្វែងរក</t>
        </is>
      </c>
    </row>
    <row r="409" ht="15.75" customHeight="1" s="305">
      <c r="A409" s="217" t="inlineStr">
        <is>
          <t>HOME_SCREEN.SELECT_CODE_COUNTRY</t>
        </is>
      </c>
      <c r="B409" s="153" t="inlineStr">
        <is>
          <t>电话区号</t>
        </is>
      </c>
      <c r="C409" s="3" t="inlineStr">
        <is>
          <t>Mã quốc gia</t>
        </is>
      </c>
      <c r="D409" s="3" t="inlineStr">
        <is>
          <t>Country code</t>
        </is>
      </c>
      <c r="E409" s="3" t="inlineStr">
        <is>
          <t>ເລືອກລະຫັດປະເທດ</t>
        </is>
      </c>
      <c r="F409" s="3" t="inlineStr">
        <is>
          <t>နိုင်ငံကုဒ်ကို ရွေးပါ။</t>
        </is>
      </c>
      <c r="G409" s="3">
        <f>IFERROR(__xludf.DUMMYFUNCTION("GOOGLETRANSLATE(C409,""vi"",""km"")"),"លេខកូដប្រទេស")</f>
        <v/>
      </c>
      <c r="H409" s="217" t="inlineStr">
        <is>
          <t>លេខកូដប្រទេស</t>
        </is>
      </c>
      <c r="J409" s="3" t="inlineStr">
        <is>
          <t>លេខកូដប្រទេស</t>
        </is>
      </c>
      <c r="K409" s="217" t="inlineStr">
        <is>
          <t>លេខកូដប្រទេស</t>
        </is>
      </c>
      <c r="S409" s="163" t="inlineStr">
        <is>
          <t>លេខកូដប្រទេស</t>
        </is>
      </c>
    </row>
    <row r="410" ht="15.75" customHeight="1" s="305">
      <c r="A410" s="217" t="inlineStr">
        <is>
          <t>HOME_SCREEN.COUNTRY</t>
        </is>
      </c>
      <c r="B410" s="153" t="inlineStr">
        <is>
          <t>国家/地区</t>
        </is>
      </c>
      <c r="C410" s="3" t="inlineStr">
        <is>
          <t>Quốc gia</t>
        </is>
      </c>
      <c r="D410" s="3" t="inlineStr">
        <is>
          <t>Country</t>
        </is>
      </c>
      <c r="E410" s="3" t="inlineStr">
        <is>
          <t>ປະເທດ</t>
        </is>
      </c>
      <c r="F410" s="3" t="inlineStr">
        <is>
          <t>Quốc gia</t>
        </is>
      </c>
      <c r="G410" s="3">
        <f>IFERROR(__xludf.DUMMYFUNCTION("GOOGLETRANSLATE(C410,""vi"",""km"")"),"ប្រជាជាតិ")</f>
        <v/>
      </c>
      <c r="H410" s="217" t="inlineStr">
        <is>
          <t>ប្រទេស</t>
        </is>
      </c>
      <c r="J410" s="3" t="inlineStr">
        <is>
          <t>ប្រទេស</t>
        </is>
      </c>
      <c r="K410" s="217" t="inlineStr">
        <is>
          <t>ប្រទេស</t>
        </is>
      </c>
      <c r="S410" s="163" t="inlineStr">
        <is>
          <t>ប្រទេស</t>
        </is>
      </c>
    </row>
    <row r="411" ht="15.75" customHeight="1" s="305">
      <c r="A411" s="217" t="inlineStr">
        <is>
          <t>HOME_SCREEN.SEARCH_ORDER_FUNCTION</t>
        </is>
      </c>
      <c r="B411" s="153" t="inlineStr">
        <is>
          <t>搜索功能或跟踪订单</t>
        </is>
      </c>
      <c r="C411" s="3" t="inlineStr">
        <is>
          <t>Tra cứu đơn hàng, tính năng</t>
        </is>
      </c>
      <c r="D411" s="3" t="inlineStr">
        <is>
          <t>Search for features or order tracking</t>
        </is>
      </c>
      <c r="E411" s="3" t="inlineStr">
        <is>
          <t>ຄໍາສັ່ງຊອກຫາ, ຄຸນສົມບັດ</t>
        </is>
      </c>
      <c r="F411" s="3" t="n"/>
      <c r="G411" s="3">
        <f>IFERROR(__xludf.DUMMYFUNCTION("GOOGLETRANSLATE(C411,""vi"",""km"")"),"តាមដានការបញ្ជាទិញ, លក្ខណៈពិសេស")</f>
        <v/>
      </c>
      <c r="J411" s="3" t="inlineStr">
        <is>
          <t>ស្វែងរកការបញ្ជាទិញ, លក្ខណៈពិសេស</t>
        </is>
      </c>
      <c r="K411" s="217" t="inlineStr">
        <is>
          <t>ស្វែងរកការបញ្ជាទិញ, លក្ខណៈពិសេស</t>
        </is>
      </c>
      <c r="S411" s="163" t="inlineStr">
        <is>
          <t>ស្វែងរកការបញ្ជាទិញ, លក្ខណៈពិសេស</t>
        </is>
      </c>
    </row>
    <row r="412" ht="15.75" customHeight="1" s="305">
      <c r="A412" s="217" t="inlineStr">
        <is>
          <t>CREATE_WAREHOUSE_SCREEN.TITLE</t>
        </is>
      </c>
      <c r="B412" s="153" t="inlineStr">
        <is>
          <t>新增收货地址</t>
        </is>
      </c>
      <c r="C412" s="3" t="inlineStr">
        <is>
          <t>Thêm địa chỉ gửi hàng</t>
        </is>
      </c>
      <c r="D412" s="3" t="inlineStr">
        <is>
          <t>Add Shipping Address</t>
        </is>
      </c>
      <c r="E412" s="3" t="inlineStr">
        <is>
          <t>ເພີ່ມທີ່ຢູ່ຈັດສົ່ງ</t>
        </is>
      </c>
      <c r="F412" s="3" t="inlineStr">
        <is>
          <t>ပို့ဆောင်ရန် လိပ်စာထည့်ပါ</t>
        </is>
      </c>
      <c r="G412" s="3">
        <f>IFERROR(__xludf.DUMMYFUNCTION("GOOGLETRANSLATE(C412,""vi"",""km"")"),"បន្ថែមអាសយដ្ឋានដឹកជញ្ជូន")</f>
        <v/>
      </c>
      <c r="H412" s="217" t="inlineStr">
        <is>
          <t>បន្ថែមទីតាំងផ្ញើអីវ៉ាន់</t>
        </is>
      </c>
      <c r="J412" s="3" t="inlineStr">
        <is>
          <t>បន្ថែមទីតាំងផ្ញើអីវ៉ាន់</t>
        </is>
      </c>
      <c r="K412" s="217" t="inlineStr">
        <is>
          <t>បន្ថែមទីតាំងផ្ញើអីវ៉ាន់</t>
        </is>
      </c>
      <c r="S412" s="163" t="inlineStr">
        <is>
          <t>បន្ថែមអាសយដ្ឋានដឹកជញ្ជូន</t>
        </is>
      </c>
    </row>
    <row r="413" ht="15.75" customHeight="1" s="305">
      <c r="A413" s="217" t="inlineStr">
        <is>
          <t>CREATE_WAREHOUSE_SCREEN.WARE_HOUSE_NAME</t>
        </is>
      </c>
      <c r="B413" s="153" t="inlineStr">
        <is>
          <t>仓库名称</t>
        </is>
      </c>
      <c r="C413" s="3" t="inlineStr">
        <is>
          <t>Tên kho hàng</t>
        </is>
      </c>
      <c r="D413" s="3" t="inlineStr">
        <is>
          <t>Warehouse Name</t>
        </is>
      </c>
      <c r="E413" s="3" t="inlineStr">
        <is>
          <t>ຊື່ສາງ</t>
        </is>
      </c>
      <c r="F413" s="3" t="inlineStr">
        <is>
          <t>ကုန်လှောင်ရုံအမည်</t>
        </is>
      </c>
      <c r="G413" s="3">
        <f>IFERROR(__xludf.DUMMYFUNCTION("GOOGLETRANSLATE(C413,""vi"",""km"")"),"ឈ្មោះឃ្លាំង")</f>
        <v/>
      </c>
      <c r="H413" s="217" t="inlineStr">
        <is>
          <t>ឈ្មោះឃ្លាំងអីវ៉ាន់</t>
        </is>
      </c>
      <c r="J413" s="3" t="inlineStr">
        <is>
          <t>ឈ្មោះឃ្លាំងអីវ៉ាន់</t>
        </is>
      </c>
      <c r="K413" s="217" t="inlineStr">
        <is>
          <t>ឈ្មោះឃ្លាំងអីវ៉ាន់</t>
        </is>
      </c>
      <c r="S413" s="163" t="inlineStr">
        <is>
          <t>ឈ្មោះឃ្លាំង</t>
        </is>
      </c>
    </row>
    <row r="414" ht="15.75" customHeight="1" s="305">
      <c r="A414" s="217" t="inlineStr">
        <is>
          <t>CREATE_WAREHOUSE_SCREEN.PHONE_NUMBER</t>
        </is>
      </c>
      <c r="B414" s="153" t="inlineStr">
        <is>
          <t>手机号码</t>
        </is>
      </c>
      <c r="C414" s="3" t="inlineStr">
        <is>
          <t>Số điện thoại</t>
        </is>
      </c>
      <c r="D414" s="3" t="inlineStr">
        <is>
          <t>Phone Number</t>
        </is>
      </c>
      <c r="E414" s="3" t="inlineStr">
        <is>
          <t>ເບີໂທລະສັບ</t>
        </is>
      </c>
      <c r="F414" s="3" t="inlineStr">
        <is>
          <t>ဖုန်းနံပါတ်</t>
        </is>
      </c>
      <c r="G414" s="3">
        <f>IFERROR(__xludf.DUMMYFUNCTION("GOOGLETRANSLATE(C414,""vi"",""km"")"),"លេខទូរស័ព្ទ")</f>
        <v/>
      </c>
      <c r="H414" s="217" t="inlineStr">
        <is>
          <t>លេខទូរស័ព្ទ</t>
        </is>
      </c>
      <c r="J414" s="3" t="inlineStr">
        <is>
          <t>លេខទូរស័ព្ទ</t>
        </is>
      </c>
      <c r="K414" s="217" t="inlineStr">
        <is>
          <t>លេខទូរស័ព្ទ</t>
        </is>
      </c>
      <c r="S414" s="163" t="inlineStr">
        <is>
          <t>លេខទូរស័ព្ទ</t>
        </is>
      </c>
    </row>
    <row r="415" ht="15.75" customHeight="1" s="305">
      <c r="A415" s="217" t="inlineStr">
        <is>
          <t>CREATE_WAREHOUSE_SCREEN.EMAIL</t>
        </is>
      </c>
      <c r="B415" s="153" t="inlineStr">
        <is>
          <t>邮箱</t>
        </is>
      </c>
      <c r="C415" s="3" t="inlineStr">
        <is>
          <t>Email</t>
        </is>
      </c>
      <c r="D415" s="3" t="inlineStr">
        <is>
          <t>Email</t>
        </is>
      </c>
      <c r="E415" s="3" t="inlineStr">
        <is>
          <t>ອີເມລ</t>
        </is>
      </c>
      <c r="F415" s="3" t="inlineStr">
        <is>
          <t>အီးမေးလ်</t>
        </is>
      </c>
      <c r="G415" s="3">
        <f>IFERROR(__xludf.DUMMYFUNCTION("GOOGLETRANSLATE(C415,""vi"",""km"")"),"អ៊ីមែល")</f>
        <v/>
      </c>
      <c r="H415" s="217" t="inlineStr">
        <is>
          <t>អ៊ីម៉ែល</t>
        </is>
      </c>
      <c r="J415" s="3" t="inlineStr">
        <is>
          <t>អ៊ីម៉ែល</t>
        </is>
      </c>
      <c r="K415" s="217" t="inlineStr">
        <is>
          <t>អ៊ីម៉ែល</t>
        </is>
      </c>
      <c r="S415" s="163" t="inlineStr">
        <is>
          <t>អ៊ីមែល</t>
        </is>
      </c>
    </row>
    <row r="416" ht="15.75" customHeight="1" s="305">
      <c r="A416" s="217" t="inlineStr">
        <is>
          <t>CREATE_WAREHOUSE_SCREEN.ADDRESS</t>
        </is>
      </c>
      <c r="B416" s="153" t="inlineStr">
        <is>
          <t>地址</t>
        </is>
      </c>
      <c r="C416" s="3" t="inlineStr">
        <is>
          <t>Địa chỉ</t>
        </is>
      </c>
      <c r="D416" s="3" t="inlineStr">
        <is>
          <t>Address</t>
        </is>
      </c>
      <c r="E416" s="3" t="inlineStr">
        <is>
          <t>ທີ່ຢູ່</t>
        </is>
      </c>
      <c r="F416" s="3" t="inlineStr">
        <is>
          <t>လိပ်စာ</t>
        </is>
      </c>
      <c r="G416" s="3">
        <f>IFERROR(__xludf.DUMMYFUNCTION("GOOGLETRANSLATE(C416,""vi"",""km"")"),"អាសយដ្ឋាន")</f>
        <v/>
      </c>
      <c r="H416" s="217" t="inlineStr">
        <is>
          <t>អាស័យដ្ឋាន</t>
        </is>
      </c>
      <c r="J416" s="3" t="inlineStr">
        <is>
          <t>អាសយដ្ឋាន</t>
        </is>
      </c>
      <c r="K416" s="217" t="inlineStr">
        <is>
          <t>អាសយដ្ឋាន</t>
        </is>
      </c>
      <c r="S416" s="163" t="inlineStr">
        <is>
          <t>អាស័យដ្ឋាន</t>
        </is>
      </c>
    </row>
    <row r="417" ht="15.75" customHeight="1" s="305">
      <c r="A417" s="217" t="inlineStr">
        <is>
          <t>CREATE_WAREHOUSE_SCREEN.CREATE_WARE_HOUSE</t>
        </is>
      </c>
      <c r="B417" s="153" t="inlineStr">
        <is>
          <t>新增地址</t>
        </is>
      </c>
      <c r="C417" s="3" t="inlineStr">
        <is>
          <t>Thêm địa chỉ</t>
        </is>
      </c>
      <c r="D417" s="3" t="inlineStr">
        <is>
          <t>Add Address</t>
        </is>
      </c>
      <c r="E417" s="3" t="inlineStr">
        <is>
          <t>ເພີ່ມທີ່ຢູ່</t>
        </is>
      </c>
      <c r="F417" s="3" t="inlineStr">
        <is>
          <t>လိပ်စာ ပေါင်းထည့်မည်</t>
        </is>
      </c>
      <c r="G417" s="3">
        <f>IFERROR(__xludf.DUMMYFUNCTION("GOOGLETRANSLATE(C417,""vi"",""km"")"),"បន្ថែមអាសយដ្ឋាន")</f>
        <v/>
      </c>
      <c r="H417" s="3" t="inlineStr">
        <is>
          <t>បន្ថែមអាស័យដ្ឋាន</t>
        </is>
      </c>
      <c r="J417" s="3" t="inlineStr">
        <is>
          <t>បន្ថែមអាសយដ្ឋាន</t>
        </is>
      </c>
      <c r="K417" s="217" t="inlineStr">
        <is>
          <t>បន្ថែមអាសយដ្ឋាន</t>
        </is>
      </c>
      <c r="S417" s="163" t="inlineStr">
        <is>
          <t>បន្ថែមអាសយដ្ឋាន</t>
        </is>
      </c>
    </row>
    <row r="418" ht="15.75" customHeight="1" s="305">
      <c r="A418" s="217" t="inlineStr">
        <is>
          <t>CREATE_WAREHOUSE_SCREEN.SELECT_REGION</t>
        </is>
      </c>
      <c r="B418" s="153" t="inlineStr">
        <is>
          <t>选择州/省</t>
        </is>
      </c>
      <c r="C418" s="3" t="inlineStr">
        <is>
          <t>Chọn Liên bang/Vùng</t>
        </is>
      </c>
      <c r="D418" s="3" t="inlineStr">
        <is>
          <t>Select Federal Region</t>
        </is>
      </c>
      <c r="E418" s="3" t="inlineStr">
        <is>
          <t>ເລືອກສະຫະພັນ/ພາກພື້ນ</t>
        </is>
      </c>
      <c r="F418" s="3" t="inlineStr">
        <is>
          <t>ဖက်ဒရယ်ဒေသကိုရွေးချယ်ပါ</t>
        </is>
      </c>
      <c r="G418" s="3">
        <f>IFERROR(__xludf.DUMMYFUNCTION("GOOGLETRANSLATE(C418,""vi"",""km"")"),"ជ្រើសរើសសហព័ន្ធ/តំបន់")</f>
        <v/>
      </c>
      <c r="J418" s="3" t="inlineStr">
        <is>
          <t>ជ្រើសរើសតំបន់</t>
        </is>
      </c>
      <c r="K418" s="217" t="inlineStr">
        <is>
          <t>ជ្រើសរើសតំបន់</t>
        </is>
      </c>
      <c r="S418" s="163" t="inlineStr">
        <is>
          <t>ជ្រើសរើសតំបន់</t>
        </is>
      </c>
    </row>
    <row r="419" ht="15.75" customHeight="1" s="305">
      <c r="A419" s="217" t="inlineStr">
        <is>
          <t>CREATE_WAREHOUSE_SCREEN.NON_DATA</t>
        </is>
      </c>
      <c r="B419" s="153" t="inlineStr">
        <is>
          <t>暂无数据</t>
        </is>
      </c>
      <c r="C419" s="3" t="inlineStr">
        <is>
          <t>Không có dữ liệu</t>
        </is>
      </c>
      <c r="D419" s="3" t="inlineStr">
        <is>
          <t>No Data</t>
        </is>
      </c>
      <c r="E419" s="3" t="inlineStr">
        <is>
          <t>ບໍ່ມີຂໍ້ມູນ</t>
        </is>
      </c>
      <c r="F419" s="3" t="inlineStr">
        <is>
          <t>အချက်အလက်များ မရှိပါ</t>
        </is>
      </c>
      <c r="G419" s="3">
        <f>IFERROR(__xludf.DUMMYFUNCTION("GOOGLETRANSLATE(C419,""vi"",""km"")"),"គ្មានទិន្នន័យ")</f>
        <v/>
      </c>
      <c r="H419" s="217" t="inlineStr">
        <is>
          <t>គ្មានទិន្នន័យ</t>
        </is>
      </c>
      <c r="J419" s="3" t="inlineStr">
        <is>
          <t>មិនមានទិន្នន័យទេ</t>
        </is>
      </c>
      <c r="K419" s="217" t="inlineStr">
        <is>
          <t>មិនមានទិន្នន័យទេ</t>
        </is>
      </c>
      <c r="S419" s="163" t="inlineStr">
        <is>
          <t>គ្មានទិន្នន័យ</t>
        </is>
      </c>
    </row>
    <row r="420" ht="15.75" customHeight="1" s="305">
      <c r="A420" s="217" t="inlineStr">
        <is>
          <t>CREATE_WAREHOUSE_SCREEN.SELECT_DISTRICT</t>
        </is>
      </c>
      <c r="B420" s="153" t="inlineStr">
        <is>
          <t>选择郡/县</t>
        </is>
      </c>
      <c r="C420" s="3" t="inlineStr">
        <is>
          <t>Chọn Huyện</t>
        </is>
      </c>
      <c r="D420" s="3" t="inlineStr">
        <is>
          <t>Select District</t>
        </is>
      </c>
      <c r="E420" s="3" t="inlineStr">
        <is>
          <t>ເລືອກເມືອງ</t>
        </is>
      </c>
      <c r="F420" s="3" t="inlineStr">
        <is>
          <t>ခရိုင်ကိုရွေးချယ်ပါ</t>
        </is>
      </c>
      <c r="G420" s="3">
        <f>IFERROR(__xludf.DUMMYFUNCTION("GOOGLETRANSLATE(C420,""vi"",""km"")"),"ជ្រើសរើសស្រុក")</f>
        <v/>
      </c>
      <c r="H420" s="217" t="inlineStr">
        <is>
          <t>ជ្រើសរើសស្រុក</t>
        </is>
      </c>
      <c r="J420" s="3" t="inlineStr">
        <is>
          <t>ជ្រើសរើសស្រុក</t>
        </is>
      </c>
      <c r="K420" s="217" t="inlineStr">
        <is>
          <t>ជ្រើសរើសស្រុក</t>
        </is>
      </c>
      <c r="S420" s="163" t="inlineStr">
        <is>
          <t>ជ្រើសរើសស្រុក</t>
        </is>
      </c>
    </row>
    <row r="421" ht="15.75" customHeight="1" s="305">
      <c r="A421" s="217" t="inlineStr">
        <is>
          <t>CREATE_WAREHOUSE_SCREEN.SELECT_TOWN</t>
        </is>
      </c>
      <c r="B421" s="153" t="inlineStr">
        <is>
          <t>选择市镇/乡</t>
        </is>
      </c>
      <c r="C421" s="3" t="inlineStr">
        <is>
          <t>Chọn Thị Trấn</t>
        </is>
      </c>
      <c r="D421" s="3" t="inlineStr">
        <is>
          <t>Select Town</t>
        </is>
      </c>
      <c r="E421" s="3" t="inlineStr">
        <is>
          <t>ເລືອກເມືອງ</t>
        </is>
      </c>
      <c r="F421" s="3" t="inlineStr">
        <is>
          <t>ရွေးချယ်ထားသော မြို့နယ်</t>
        </is>
      </c>
      <c r="G421" s="3">
        <f>IFERROR(__xludf.DUMMYFUNCTION("GOOGLETRANSLATE(C421,""vi"",""km"")"),"ជ្រើសរើសទីក្រុង")</f>
        <v/>
      </c>
      <c r="H421" s="3" t="inlineStr">
        <is>
          <t>ជ្រើសរើសទីរួមខេត្ត</t>
        </is>
      </c>
      <c r="J421" s="3" t="inlineStr">
        <is>
          <t>ជ្រើសរើសទីរួមខេត្ត</t>
        </is>
      </c>
      <c r="K421" s="217" t="inlineStr">
        <is>
          <t>ជ្រើសរើសទីរួមខេត្ត</t>
        </is>
      </c>
      <c r="S421" s="163" t="inlineStr">
        <is>
          <t>ជ្រើសរើសទីក្រុង</t>
        </is>
      </c>
    </row>
    <row r="422" ht="15.75" customHeight="1" s="305">
      <c r="A422" s="217" t="inlineStr">
        <is>
          <t>CREATE_WAREHOUSE_SCREEN.HOME</t>
        </is>
      </c>
      <c r="B422" s="153" t="inlineStr">
        <is>
          <t>住宅</t>
        </is>
      </c>
      <c r="C422" s="3" t="inlineStr">
        <is>
          <t>Nhà</t>
        </is>
      </c>
      <c r="D422" s="3" t="inlineStr">
        <is>
          <t>Home</t>
        </is>
      </c>
      <c r="E422" s="3" t="inlineStr">
        <is>
          <t>ບ້ານ</t>
        </is>
      </c>
      <c r="F422" s="3" t="inlineStr">
        <is>
          <t>အိမ်</t>
        </is>
      </c>
      <c r="G422" s="3">
        <f>IFERROR(__xludf.DUMMYFUNCTION("GOOGLETRANSLATE(C422,""vi"",""km"")"),"ផ្ទះ")</f>
        <v/>
      </c>
      <c r="H422" s="217" t="inlineStr">
        <is>
          <t>ផ្ទះ</t>
        </is>
      </c>
      <c r="J422" s="3" t="inlineStr">
        <is>
          <t>ទំព័រដើម</t>
        </is>
      </c>
      <c r="K422" s="217" t="inlineStr">
        <is>
          <t>ទំព័រដើម</t>
        </is>
      </c>
      <c r="S422" s="163" t="inlineStr">
        <is>
          <t>ផ្ទះ</t>
        </is>
      </c>
    </row>
    <row r="423" ht="15.75" customHeight="1" s="305">
      <c r="A423" s="217" t="inlineStr">
        <is>
          <t>CREATE_WAREHOUSE_SCREEN.OFFICE</t>
        </is>
      </c>
      <c r="B423" s="153" t="inlineStr">
        <is>
          <t>办公室</t>
        </is>
      </c>
      <c r="C423" s="3" t="inlineStr">
        <is>
          <t>Văn phòng</t>
        </is>
      </c>
      <c r="D423" s="3" t="inlineStr">
        <is>
          <t>Office</t>
        </is>
      </c>
      <c r="E423" s="3" t="inlineStr">
        <is>
          <t>ຫ້ອງການ</t>
        </is>
      </c>
      <c r="F423" s="3" t="inlineStr">
        <is>
          <t>ရုံးခန်း</t>
        </is>
      </c>
      <c r="G423" s="3">
        <f>IFERROR(__xludf.DUMMYFUNCTION("GOOGLETRANSLATE(C423,""vi"",""km"")"),"ការិយាល័យ")</f>
        <v/>
      </c>
      <c r="H423" s="217" t="inlineStr">
        <is>
          <t>ការិយាល័យ</t>
        </is>
      </c>
      <c r="J423" s="3" t="inlineStr">
        <is>
          <t>ការិយាល័យ</t>
        </is>
      </c>
      <c r="K423" s="217" t="inlineStr">
        <is>
          <t>ការិយាល័យ</t>
        </is>
      </c>
      <c r="S423" s="163" t="inlineStr">
        <is>
          <t>ការិយាល័យ</t>
        </is>
      </c>
    </row>
    <row r="424" ht="15.75" customHeight="1" s="305">
      <c r="A424" s="217" t="inlineStr">
        <is>
          <t>CREATE_WAREHOUSE_SCREEN.WAREHOUSE</t>
        </is>
      </c>
      <c r="B424" s="153" t="inlineStr">
        <is>
          <t>仓库</t>
        </is>
      </c>
      <c r="C424" s="3" t="inlineStr">
        <is>
          <t>Kho hàng</t>
        </is>
      </c>
      <c r="D424" s="3" t="inlineStr">
        <is>
          <t>Warehouse</t>
        </is>
      </c>
      <c r="E424" s="3" t="inlineStr">
        <is>
          <t>ສາງ</t>
        </is>
      </c>
      <c r="F424" s="3" t="inlineStr">
        <is>
          <t>ကုန်လှောင်ရုံ</t>
        </is>
      </c>
      <c r="G424" s="3">
        <f>IFERROR(__xludf.DUMMYFUNCTION("GOOGLETRANSLATE(C424,""vi"",""km"")"),"ឃ្លាំង")</f>
        <v/>
      </c>
      <c r="H424" s="217" t="inlineStr">
        <is>
          <t>ឃ្លាំងអីវ៉ាន់</t>
        </is>
      </c>
      <c r="J424" s="3" t="inlineStr">
        <is>
          <t>ឃ្លាំងអីវ៉ាន់</t>
        </is>
      </c>
      <c r="K424" s="217" t="inlineStr">
        <is>
          <t>ឃ្លាំងអីវ៉ាន់</t>
        </is>
      </c>
      <c r="S424" s="163" t="inlineStr">
        <is>
          <t>ឃ្លាំង</t>
        </is>
      </c>
    </row>
    <row r="425" ht="15.75" customHeight="1" s="305">
      <c r="A425" s="217" t="inlineStr">
        <is>
          <t>CREATE_WAREHOUSE_SCREEN.POSTOFFICE</t>
        </is>
      </c>
      <c r="B425" s="153" t="inlineStr">
        <is>
          <t>邮局</t>
        </is>
      </c>
      <c r="C425" s="3" t="inlineStr">
        <is>
          <t>Bưu cục</t>
        </is>
      </c>
      <c r="D425" s="3" t="inlineStr">
        <is>
          <t>Post Office</t>
        </is>
      </c>
      <c r="E425" s="3" t="inlineStr">
        <is>
          <t>ໄປສະນີ</t>
        </is>
      </c>
      <c r="F425" s="3" t="inlineStr">
        <is>
          <t>ပို့စ်ရုံး</t>
        </is>
      </c>
      <c r="G425" s="3">
        <f>IFERROR(__xludf.DUMMYFUNCTION("GOOGLETRANSLATE(C425,""vi"",""km"")"),"ការិយាល័យប្រៃសណីយ៍")</f>
        <v/>
      </c>
      <c r="H425" s="3" t="inlineStr">
        <is>
          <t>ការិយាល័យប្រៃសណីយ៍</t>
        </is>
      </c>
      <c r="J425" s="3" t="inlineStr">
        <is>
          <t>ការិយាល័យប្រៃសណីយ៍</t>
        </is>
      </c>
      <c r="K425" s="217" t="inlineStr">
        <is>
          <t>ការិយាល័យប្រៃសណីយ៍</t>
        </is>
      </c>
      <c r="S425" s="163" t="inlineStr">
        <is>
          <t>ការិយាល័យប្រៃសណីយ៍</t>
        </is>
      </c>
    </row>
    <row r="426" ht="15.75" customHeight="1" s="305">
      <c r="A426" s="217" t="inlineStr">
        <is>
          <t>CREATE_WAREHOUSE_SCREEN.TYPE_ADDRESS</t>
        </is>
      </c>
      <c r="B426" s="153" t="inlineStr">
        <is>
          <t>地址类型</t>
        </is>
      </c>
      <c r="C426" s="3" t="inlineStr">
        <is>
          <t>Loại địa chỉ</t>
        </is>
      </c>
      <c r="D426" s="3" t="inlineStr">
        <is>
          <t>Address Type</t>
        </is>
      </c>
      <c r="E426" s="3" t="inlineStr">
        <is>
          <t>ປະເພດທີ່ຢູ່</t>
        </is>
      </c>
      <c r="F426" s="3" t="inlineStr">
        <is>
          <t>လိပ်စာအမျိုးအစား</t>
        </is>
      </c>
      <c r="G426" s="3">
        <f>IFERROR(__xludf.DUMMYFUNCTION("GOOGLETRANSLATE(C426,""vi"",""km"")"),"ប្រភេទអាសយដ្ឋាន")</f>
        <v/>
      </c>
      <c r="H426" s="3" t="inlineStr">
        <is>
          <t>ប្រភេទអាស័យដ្ឋាន</t>
        </is>
      </c>
      <c r="J426" s="3" t="inlineStr">
        <is>
          <t>ប្រភេទអាសយដ្ឋាន</t>
        </is>
      </c>
      <c r="K426" s="217" t="inlineStr">
        <is>
          <t>ប្រភេទអាសយដ្ឋាន</t>
        </is>
      </c>
      <c r="S426" s="163" t="inlineStr">
        <is>
          <t>ប្រភេទអាសយដ្ឋាន</t>
        </is>
      </c>
    </row>
    <row r="427" ht="15.75" customHeight="1" s="305">
      <c r="A427" s="217" t="inlineStr">
        <is>
          <t>CREATE_WAREHOUSE_SCREEN.SET_TO_DEFAULT_ADDRESS</t>
        </is>
      </c>
      <c r="B427" s="153" t="inlineStr">
        <is>
          <t>设为默认地址</t>
        </is>
      </c>
      <c r="C427" s="3" t="inlineStr">
        <is>
          <t>Đặt làm địa chỉ mặc định</t>
        </is>
      </c>
      <c r="D427" s="3" t="inlineStr">
        <is>
          <t>Set as Default Address</t>
        </is>
      </c>
      <c r="E427" s="3" t="inlineStr">
        <is>
          <t>ຕັ້ງເປັນທີ່ຢູ່ເລີ່ມຕົ້ນ</t>
        </is>
      </c>
      <c r="F427" s="3" t="inlineStr">
        <is>
          <t>စံထားချက် လိပ်စာအဖြစ် သတ်မှတ်ထားပါ</t>
        </is>
      </c>
      <c r="G427" s="3">
        <f>IFERROR(__xludf.DUMMYFUNCTION("GOOGLETRANSLATE(C427,""vi"",""km"")"),"កំណត់ជាអាសយដ្ឋានលំនាំដើម")</f>
        <v/>
      </c>
      <c r="J427" s="3" t="inlineStr">
        <is>
          <t>កំណត់ជាអាសយដ្ឋានលំនាំដើម</t>
        </is>
      </c>
      <c r="K427" s="217" t="inlineStr">
        <is>
          <t>កំណត់ជាអាសយដ្ឋានលំនាំដើម</t>
        </is>
      </c>
      <c r="S427" s="163" t="inlineStr">
        <is>
          <t>កំណត់ជាអាសយដ្ឋានលំនាំដើម</t>
        </is>
      </c>
    </row>
    <row r="428" ht="15.75" customHeight="1" s="305">
      <c r="A428" s="217" t="inlineStr">
        <is>
          <t>CREATE_WAREHOUSE_SCREEN.SELECT_TYPE_ADDRESS</t>
        </is>
      </c>
      <c r="B428" s="153" t="inlineStr">
        <is>
          <t>选择地址类型</t>
        </is>
      </c>
      <c r="C428" s="3" t="inlineStr">
        <is>
          <t>Chọn loại địa chỉ</t>
        </is>
      </c>
      <c r="D428" s="3" t="inlineStr">
        <is>
          <t>Select Address Type</t>
        </is>
      </c>
      <c r="E428" s="3" t="inlineStr">
        <is>
          <t>ເລືອກປະເພດທີ່ຢູ່</t>
        </is>
      </c>
      <c r="F428" s="3" t="inlineStr">
        <is>
          <t>လိပ်စာအမျိုးအစားရွေးချယ်ပါ</t>
        </is>
      </c>
      <c r="G428" s="3">
        <f>IFERROR(__xludf.DUMMYFUNCTION("GOOGLETRANSLATE(C428,""vi"",""km"")"),"ជ្រើសរើសប្រភេទអាសយដ្ឋាន")</f>
        <v/>
      </c>
      <c r="H428" s="217" t="inlineStr">
        <is>
          <t>ជ្រើសរើសអាស័យដ្ឋាន</t>
        </is>
      </c>
      <c r="J428" s="3" t="inlineStr">
        <is>
          <t>ជ្រើសរើសអាសយដ្ឋាន</t>
        </is>
      </c>
      <c r="K428" s="217" t="inlineStr">
        <is>
          <t>ជ្រើសរើសអាសយដ្ឋាន</t>
        </is>
      </c>
      <c r="S428" s="163" t="inlineStr">
        <is>
          <t>ជ្រើសរើសប្រភេទអាសយដ្ឋាន</t>
        </is>
      </c>
    </row>
    <row r="429" ht="15.75" customHeight="1" s="305">
      <c r="A429" s="217" t="inlineStr">
        <is>
          <t>CREATE_WAREHOUSE_SCREEN.NOT_ENOUGH_INFO</t>
        </is>
      </c>
      <c r="B429" s="153" t="inlineStr">
        <is>
          <t>请填写完整的仓库信息</t>
        </is>
      </c>
      <c r="C429" s="3" t="inlineStr">
        <is>
          <t>Quý khách vui lòng nhập đủ thông tin kho.</t>
        </is>
      </c>
      <c r="D429" s="3" t="inlineStr">
        <is>
          <t>Please enter complete warehouse information.</t>
        </is>
      </c>
      <c r="E429" s="3" t="inlineStr">
        <is>
          <t>ກະລຸນາໃສ່ຂໍ້ມູນສາງທີ່ສົມບູນ.</t>
        </is>
      </c>
      <c r="F429" s="3" t="inlineStr">
        <is>
          <t>ကျေးဇူးပြု၍ ကုန်လှောင်ရုံ သတင်းအချက်အလက်အပြည့်အစုံကို ဝင်ကြည့်ပါ။</t>
        </is>
      </c>
      <c r="G429" s="3">
        <f>IFERROR(__xludf.DUMMYFUNCTION("GOOGLETRANSLATE(C429,""vi"",""km"")"),"សូមបញ្ចូលព័ត៌មានឃ្លាំងទាំងអស់។")</f>
        <v/>
      </c>
      <c r="H429" s="217" t="inlineStr">
        <is>
          <t>អតិថិជនសូមបញ្ចូលឲ្យគ្រប់ព័ត៌មានឃ្លាំង</t>
        </is>
      </c>
      <c r="J429" s="3" t="inlineStr">
        <is>
          <t>អតិថិជនសូមបញ្ចូលឲ្យគ្រប់ព័ត៌មានឃ្លាំង</t>
        </is>
      </c>
      <c r="K429" s="217" t="inlineStr">
        <is>
          <t>អតិថិជនសូមបញ្ចូលឲ្យគ្រប់ព័ត៌មានឃ្លាំង</t>
        </is>
      </c>
      <c r="S429" s="163" t="inlineStr">
        <is>
          <t>សូមបញ្ចូលព័ត៌មានឃ្លាំងពេញលេញ</t>
        </is>
      </c>
    </row>
    <row r="430" ht="15.75" customHeight="1" s="305">
      <c r="A430" s="217" t="inlineStr">
        <is>
          <t>CREATE_WAREHOUSE_SCREEN.CREATE_WAREHOUSE_FAIL</t>
        </is>
      </c>
      <c r="B430" s="153" t="inlineStr">
        <is>
          <t>创建失败，请重试</t>
        </is>
      </c>
      <c r="C430" s="3" t="inlineStr">
        <is>
          <t>Tạo kho thất bại. Quý khách vui lòng thử lại.</t>
        </is>
      </c>
      <c r="D430" s="3" t="inlineStr">
        <is>
          <t>Failed to create warehouse. Please try again.</t>
        </is>
      </c>
      <c r="E430" s="3" t="inlineStr">
        <is>
          <t>ສ້າງສາງບໍ່ສຳເລັດ. ກະລຸນາລອງອີກຄັ້ງ.</t>
        </is>
      </c>
      <c r="F430" s="3" t="inlineStr">
        <is>
          <t>ကုန်လှောင်ရုံကို ဖန်တီးမှု မအောင်မြင်ပါ။ ကျေးဇူးပြု၍ ပြန်ကြိုးစားပါ။</t>
        </is>
      </c>
      <c r="G430" s="3">
        <f>IFERROR(__xludf.DUMMYFUNCTION("GOOGLETRANSLATE(C430,""vi"",""km"")"),"ការបង្កើតសារពើភ័ណ្ឌបរាជ័យ។ សូមព្យាយាមម្តងទៀត។")</f>
        <v/>
      </c>
      <c r="J430" s="3" t="inlineStr">
        <is>
          <t>ការបង្កើតឃ្លាំងមិនបានជោគជ័យ។ សូមព្យាយាមម្តងទៀត។</t>
        </is>
      </c>
      <c r="K430" s="217" t="inlineStr">
        <is>
          <t>ការបង្កើតឃ្លាំងមិនបានជោគជ័យ។ សូមព្យាយាមម្តងទៀត។</t>
        </is>
      </c>
      <c r="S430" s="163" t="inlineStr">
        <is>
          <t>បរាជ័យក្នុងការបង្កើតឃ្លាំង។ សូមព្យាយាមម្តងទៀត</t>
        </is>
      </c>
    </row>
    <row r="431" ht="15.75" customHeight="1" s="305">
      <c r="A431" s="217" t="inlineStr">
        <is>
          <t>CREATE_WAREHOUSE_SCREEN.EMAIL_INVALID</t>
        </is>
      </c>
      <c r="B431" s="153" t="inlineStr">
        <is>
          <t>邮箱格式错误</t>
        </is>
      </c>
      <c r="C431" s="3" t="inlineStr">
        <is>
          <t>Email không đúng định dạng</t>
        </is>
      </c>
      <c r="D431" s="3" t="inlineStr">
        <is>
          <t>Invalid Email Format</t>
        </is>
      </c>
      <c r="E431" s="3" t="inlineStr">
        <is>
          <t>ອີເມວບໍ່ຖືກຕ້ອງ.</t>
        </is>
      </c>
      <c r="F431" s="3" t="inlineStr">
        <is>
          <t>မသဲမကွဲ အီးမေးလ် ပုံစံ</t>
        </is>
      </c>
      <c r="G431" s="3">
        <f>IFERROR(__xludf.DUMMYFUNCTION("GOOGLETRANSLATE(C431,""vi"",""km"")"),"អ៊ីមែលមិនមានទម្រង់ត្រឹមត្រូវទេ។")</f>
        <v/>
      </c>
      <c r="J431" s="3" t="inlineStr">
        <is>
          <t>ទម្រង់អ៊ីមែលមិនត្រឹមត្រូវ</t>
        </is>
      </c>
      <c r="K431" s="217" t="inlineStr">
        <is>
          <t>ទម្រង់អ៊ីមែលមិនត្រឹមត្រូវ</t>
        </is>
      </c>
      <c r="S431" s="163" t="inlineStr">
        <is>
          <t>ទម្រង់​អ៊ីមែល​មិន​ត្រឹមត្រូវ</t>
        </is>
      </c>
    </row>
    <row r="432" ht="15.75" customHeight="1" s="305">
      <c r="A432" s="217" t="inlineStr">
        <is>
          <t>CREATE_WAREHOUSE_SCREEN.WAREHOUSE_MANAGE_TITLE</t>
        </is>
      </c>
      <c r="B432" s="153" t="inlineStr">
        <is>
          <t>送货地址</t>
        </is>
      </c>
      <c r="C432" s="3" t="inlineStr">
        <is>
          <t>Địa chỉ gửi hàng</t>
        </is>
      </c>
      <c r="D432" s="3" t="inlineStr">
        <is>
          <t>Warehouse Addresses</t>
        </is>
      </c>
      <c r="E432" s="3" t="inlineStr">
        <is>
          <t>ທີ່ຢູ່ຈັດສົ່ງ</t>
        </is>
      </c>
      <c r="F432" s="3" t="inlineStr">
        <is>
          <t>ကုန်လှောင်ရုံ လိပ်စာများ</t>
        </is>
      </c>
      <c r="G432" s="3">
        <f>IFERROR(__xludf.DUMMYFUNCTION("GOOGLETRANSLATE(C432,""vi"",""km"")"),"អាសយដ្ឋានដឹកជញ្ជូន")</f>
        <v/>
      </c>
      <c r="H432" s="217" t="inlineStr">
        <is>
          <t>អាសយដ្ឋានផ្ញើអីវ៉ាន់</t>
        </is>
      </c>
      <c r="J432" s="3" t="inlineStr">
        <is>
          <t>អាសយដ្ឋានផ្ញើអីវ៉ាន់</t>
        </is>
      </c>
      <c r="K432" s="217" t="inlineStr">
        <is>
          <t>អាសយដ្ឋានផ្ញើអីវ៉ាន់</t>
        </is>
      </c>
      <c r="S432" s="163" t="inlineStr">
        <is>
          <t>អាសយដ្ឋានដឹកជញ្ជូន</t>
        </is>
      </c>
    </row>
    <row r="433" ht="15.75" customHeight="1" s="305">
      <c r="A433" s="217" t="inlineStr">
        <is>
          <t>CREATE_WAREHOUSE_SCREEN.SEARCH_WAREHOUSE_HINT</t>
        </is>
      </c>
      <c r="B433" s="153" t="inlineStr">
        <is>
          <t>输入地址名称、电话号码</t>
        </is>
      </c>
      <c r="C433" s="3" t="inlineStr">
        <is>
          <t>Nhập tên địa chỉ, số điện thoại</t>
        </is>
      </c>
      <c r="D433" s="3" t="inlineStr">
        <is>
          <t>Enter address name, phone number</t>
        </is>
      </c>
      <c r="E433" s="3" t="inlineStr">
        <is>
          <t>ໃສ່ຊື່ທີ່ຢູ່, ເບີໂທລະສັບ</t>
        </is>
      </c>
      <c r="F433" s="3" t="inlineStr">
        <is>
          <t>လိပ်စာအမည်၊ ဖုန်းနံပါတ်</t>
        </is>
      </c>
      <c r="G433" s="3">
        <f>IFERROR(__xludf.DUMMYFUNCTION("GOOGLETRANSLATE(C433,""vi"",""km"")"),"បញ្ចូលឈ្មោះ អាសយដ្ឋាន និងលេខទូរស័ព្ទ។")</f>
        <v/>
      </c>
      <c r="H433" s="217" t="inlineStr">
        <is>
          <t>បញ្ចូលឈ្មោះអាស័យដ្ឋាន លេខទូរស័ព្ទ</t>
        </is>
      </c>
      <c r="J433" s="3" t="inlineStr">
        <is>
          <t>បញ្ចូលឈ្មោះអាសយដ្ឋាន លេខទូរស័ព្ទ</t>
        </is>
      </c>
      <c r="K433" s="217" t="inlineStr">
        <is>
          <t>បញ្ចូលឈ្មោះអាសយដ្ឋាន លេខទូរស័ព្ទ</t>
        </is>
      </c>
      <c r="S433" s="163" t="inlineStr">
        <is>
          <t>បញ្ចូលឈ្មោះអាសយដ្ឋាន លេខទូរស័ព្ទ</t>
        </is>
      </c>
    </row>
    <row r="434" ht="15.75" customHeight="1" s="305">
      <c r="A434" s="217" t="inlineStr">
        <is>
          <t>CREATE_WAREHOUSE_SCREEN.WAREHOUSE_DETAIL</t>
        </is>
      </c>
      <c r="B434" s="153" t="inlineStr">
        <is>
          <t>收货地址详情</t>
        </is>
      </c>
      <c r="C434" s="3" t="inlineStr">
        <is>
          <t>Chi tiết địa chỉ gửi</t>
        </is>
      </c>
      <c r="D434" s="3" t="inlineStr">
        <is>
          <t>Shipping Address Details</t>
        </is>
      </c>
      <c r="E434" s="3" t="inlineStr">
        <is>
          <t>ລາຍລະອຽດທີ່ຢູ່ການຂົນສົ່ງ</t>
        </is>
      </c>
      <c r="F434" s="3" t="inlineStr">
        <is>
          <t>ပို့ဆောင်ရန်လိပ်စာ အသေးစိတ်အချက်အလက်များ</t>
        </is>
      </c>
      <c r="G434" s="3">
        <f>IFERROR(__xludf.DUMMYFUNCTION("GOOGLETRANSLATE(C434,""vi"",""km"")"),"ព័ត៌មានលម្អិតអំពីអាសយដ្ឋានដឹកជញ្ជូន")</f>
        <v/>
      </c>
      <c r="H434" s="217" t="inlineStr">
        <is>
          <t>លម្អិតពីអាស័យដ្ឋានផ្ញើអីវ៉ាន់</t>
        </is>
      </c>
      <c r="J434" s="3" t="inlineStr">
        <is>
          <t>លម្អិតពីអាសយដ្ឋានផ្ញើអីវ៉ាន់</t>
        </is>
      </c>
      <c r="K434" s="217" t="inlineStr">
        <is>
          <t>លម្អិតពីអាសយដ្ឋានផ្ញើអីវ៉ាន់</t>
        </is>
      </c>
      <c r="S434" s="163" t="inlineStr">
        <is>
          <t>ព័ត៌មានលម្អិតអំពីអាសយដ្ឋានដឹកជញ្ជូន</t>
        </is>
      </c>
    </row>
    <row r="435" ht="15.75" customHeight="1" s="305">
      <c r="A435" s="217" t="inlineStr">
        <is>
          <t>CREATE_WAREHOUSE_SCREEN.UPDATE_INFO</t>
        </is>
      </c>
      <c r="B435" s="153" t="inlineStr">
        <is>
          <t>更新地址</t>
        </is>
      </c>
      <c r="C435" s="3" t="inlineStr">
        <is>
          <t>Cập nhật thông tin</t>
        </is>
      </c>
      <c r="D435" s="3" t="inlineStr">
        <is>
          <t>Update Information</t>
        </is>
      </c>
      <c r="E435" s="3" t="inlineStr">
        <is>
          <t>ອັບເດດຂໍ້ມູນ</t>
        </is>
      </c>
      <c r="F435" s="3" t="inlineStr">
        <is>
          <t>အသစ်ပြင်ဆင်ထားသော သတင်းအချက်အလက်များ</t>
        </is>
      </c>
      <c r="G435" s="3">
        <f>IFERROR(__xludf.DUMMYFUNCTION("GOOGLETRANSLATE(C435,""vi"",""km"")"),"ព័ត៌មានអាប់ដេត")</f>
        <v/>
      </c>
      <c r="H435" s="217" t="inlineStr">
        <is>
          <t>អាប់ដេតព័ត៌មាន</t>
        </is>
      </c>
      <c r="J435" s="3" t="inlineStr">
        <is>
          <t>អាប់ដេតព័ត៌មាន</t>
        </is>
      </c>
      <c r="K435" s="217" t="inlineStr">
        <is>
          <t>អាប់ដេតព័ត៌មាន</t>
        </is>
      </c>
      <c r="S435" s="163" t="inlineStr">
        <is>
          <t>ធ្វើបច្ចុប្បន្នភាពព័ត៌មាន</t>
        </is>
      </c>
    </row>
    <row r="436" ht="15.75" customHeight="1" s="305">
      <c r="A436" s="217" t="inlineStr">
        <is>
          <t>CREATE_WAREHOUSE_SCREEN.ACTIVE</t>
        </is>
      </c>
      <c r="B436" s="153" t="inlineStr">
        <is>
          <t>启用</t>
        </is>
      </c>
      <c r="C436" s="3" t="inlineStr">
        <is>
          <t>Đang hoạt động</t>
        </is>
      </c>
      <c r="D436" s="3" t="inlineStr">
        <is>
          <t>Activate</t>
        </is>
      </c>
      <c r="E436" s="3" t="inlineStr">
        <is>
          <t>ເຄື່ອນໄຫວ</t>
        </is>
      </c>
      <c r="F436" s="3" t="inlineStr">
        <is>
          <t>တက်ကြွ</t>
        </is>
      </c>
      <c r="G436" s="3">
        <f>IFERROR(__xludf.DUMMYFUNCTION("GOOGLETRANSLATE(C436,""vi"",""km"")"),"កំពុងដំណើរការ")</f>
        <v/>
      </c>
      <c r="H436" s="217" t="inlineStr">
        <is>
          <t>កំពុងដំណើរការ</t>
        </is>
      </c>
      <c r="J436" s="3" t="inlineStr">
        <is>
          <t>កំពុងដំណើរការ</t>
        </is>
      </c>
      <c r="K436" s="217" t="inlineStr">
        <is>
          <t>កំពុងដំណើរការ</t>
        </is>
      </c>
      <c r="S436" s="163" t="inlineStr">
        <is>
          <t>សកម្ម</t>
        </is>
      </c>
    </row>
    <row r="437" ht="15.75" customHeight="1" s="305">
      <c r="A437" s="217" t="inlineStr">
        <is>
          <t>CREATE_WAREHOUSE_SCREEN.INACTIVE</t>
        </is>
      </c>
      <c r="B437" s="153" t="inlineStr">
        <is>
          <t>停用</t>
        </is>
      </c>
      <c r="C437" s="3" t="inlineStr">
        <is>
          <t>Dừng hoạt động</t>
        </is>
      </c>
      <c r="D437" s="3" t="inlineStr">
        <is>
          <t>Deactivate</t>
        </is>
      </c>
      <c r="E437" s="3" t="inlineStr">
        <is>
          <t>ຢຸດເຮັດວຽກ</t>
        </is>
      </c>
      <c r="F437" s="3" t="inlineStr">
        <is>
          <t>တက်ကြွစွာ လှုပ်ရှားခြင်း</t>
        </is>
      </c>
      <c r="G437" s="3">
        <f>IFERROR(__xludf.DUMMYFUNCTION("GOOGLETRANSLATE(C437,""vi"",""km"")"),"បញ្ឈប់ប្រតិបត្តិការ")</f>
        <v/>
      </c>
      <c r="H437" s="217" t="inlineStr">
        <is>
          <t>ផ្អាកដំណើរការ</t>
        </is>
      </c>
      <c r="J437" s="3" t="inlineStr">
        <is>
          <t>ផ្អាកដំណើរការ</t>
        </is>
      </c>
      <c r="K437" s="217" t="inlineStr">
        <is>
          <t>ផ្អាកដំណើរការ</t>
        </is>
      </c>
      <c r="S437" s="163" t="inlineStr">
        <is>
          <t>អសកម្ម</t>
        </is>
      </c>
    </row>
    <row r="438" ht="15.75" customHeight="1" s="305">
      <c r="A438" s="217" t="inlineStr">
        <is>
          <t>CREATE_WAREHOUSE_SCREEN.RELOAD</t>
        </is>
      </c>
      <c r="B438" s="153" t="inlineStr">
        <is>
          <t>刷新数据</t>
        </is>
      </c>
      <c r="C438" s="3" t="inlineStr">
        <is>
          <t>Làm mới dữ liệu</t>
        </is>
      </c>
      <c r="D438" s="3" t="inlineStr">
        <is>
          <t>Reload data</t>
        </is>
      </c>
      <c r="E438" s="3" t="inlineStr">
        <is>
          <t>ໂຫຼດຂໍ້ມູນຄືນໃໝ່</t>
        </is>
      </c>
      <c r="F438" s="3" t="inlineStr">
        <is>
          <t>အချက်အလက်များကို ပြန်တင်ပါ</t>
        </is>
      </c>
      <c r="G438" s="3">
        <f>IFERROR(__xludf.DUMMYFUNCTION("GOOGLETRANSLATE(C438,""vi"",""km"")"),"ផ្ទុកទិន្នន័យឡើងវិញ")</f>
        <v/>
      </c>
      <c r="H438" s="217" t="inlineStr">
        <is>
          <t>ធ្វើទិន្នន័យថ្មី</t>
        </is>
      </c>
      <c r="J438" s="3" t="inlineStr">
        <is>
          <t>ធ្វើទិន្នន័យថ្មី</t>
        </is>
      </c>
      <c r="K438" s="217" t="inlineStr">
        <is>
          <t>ធ្វើទិន្នន័យថ្មី</t>
        </is>
      </c>
      <c r="S438" s="163" t="inlineStr">
        <is>
          <t>ផ្ទុកទិន្នន័យឡើងវិញ</t>
        </is>
      </c>
    </row>
    <row r="439" ht="15.75" customHeight="1" s="305">
      <c r="A439" s="217" t="inlineStr">
        <is>
          <t>CREATE_WAREHOUSE_SCREEN.DEFAULT_ADDRESS</t>
        </is>
      </c>
      <c r="B439" s="153" t="inlineStr">
        <is>
          <t>默认地址</t>
        </is>
      </c>
      <c r="C439" s="3" t="inlineStr">
        <is>
          <t>Địa chỉ mặc định</t>
        </is>
      </c>
      <c r="D439" s="3" t="inlineStr">
        <is>
          <t>Default address</t>
        </is>
      </c>
      <c r="E439" s="3" t="inlineStr">
        <is>
          <t>ທີ່ຢູ່ເລີ່ມຕົ້ນ</t>
        </is>
      </c>
      <c r="F439" s="3" t="inlineStr">
        <is>
          <t>စံထားချက်လိပ်စာ</t>
        </is>
      </c>
      <c r="G439" s="3">
        <f>IFERROR(__xludf.DUMMYFUNCTION("GOOGLETRANSLATE(C439,""vi"",""km"")"),"អាសយដ្ឋានលំនាំដើម")</f>
        <v/>
      </c>
      <c r="J439" s="3" t="inlineStr">
        <is>
          <t>អាសយដ្ឋានលំនាំដើម</t>
        </is>
      </c>
      <c r="K439" s="217" t="inlineStr">
        <is>
          <t>អាសយដ្ឋានលំនាំដើម</t>
        </is>
      </c>
      <c r="S439" s="163" t="inlineStr">
        <is>
          <t>អាសយដ្ឋានលំនាំដើម</t>
        </is>
      </c>
    </row>
    <row r="440" ht="15.75" customHeight="1" s="305">
      <c r="A440" s="217" t="inlineStr">
        <is>
          <t>CREATE_WAREHOUSE_SCREEN.VALIDATE_INPUT</t>
        </is>
      </c>
      <c r="B440" s="153" t="inlineStr">
        <is>
          <t>不能为空</t>
        </is>
      </c>
      <c r="C440" s="3" t="inlineStr">
        <is>
          <t>không được bỏ trống</t>
        </is>
      </c>
      <c r="D440" s="3" t="inlineStr">
        <is>
          <t>cannot be empty</t>
        </is>
      </c>
      <c r="E440" s="3" t="inlineStr">
        <is>
          <t>ບໍ່ສາມາດປະໄວ້ຫວ່າງເປົ່າໄດ້</t>
        </is>
      </c>
      <c r="F440" s="3" t="n"/>
      <c r="G440" s="3">
        <f>IFERROR(__xludf.DUMMYFUNCTION("GOOGLETRANSLATE(C440,""vi"",""km"")"),"មិន​អាច​ទុក​ឲ្យ​ទទេ​បាន​ទេ។")</f>
        <v/>
      </c>
      <c r="H440" s="217" t="inlineStr">
        <is>
          <t>មិនអាចទុកចន្លោះបាន</t>
        </is>
      </c>
      <c r="J440" s="3" t="inlineStr">
        <is>
          <t>មិនអាចទុកចន្លោះបាន</t>
        </is>
      </c>
      <c r="K440" s="217" t="inlineStr">
        <is>
          <t>មិនអាចទុកចន្លោះបាន</t>
        </is>
      </c>
      <c r="S440" s="163" t="inlineStr">
        <is>
          <t>មិនអាចទទេបានទេ</t>
        </is>
      </c>
    </row>
    <row r="441" ht="15.75" customHeight="1" s="305">
      <c r="A441" s="217" t="inlineStr">
        <is>
          <t>CREATE_WAREHOUSE_SCREEN.ERROR_FORMAT</t>
        </is>
      </c>
      <c r="B441" s="153" t="inlineStr">
        <is>
          <t>格式不正确</t>
        </is>
      </c>
      <c r="C441" s="3" t="inlineStr">
        <is>
          <t>Nhập sai định dạng</t>
        </is>
      </c>
      <c r="D441" s="3" t="inlineStr">
        <is>
          <t>Enter wrong format</t>
        </is>
      </c>
      <c r="E441" s="3" t="inlineStr">
        <is>
          <t>ປ້ອນຮູບແບບບໍ່ຖືກຕ້ອງ</t>
        </is>
      </c>
      <c r="F441" s="3" t="n"/>
      <c r="G441" s="3">
        <f>IFERROR(__xludf.DUMMYFUNCTION("GOOGLETRANSLATE(C441,""vi"",""km"")"),"បានបញ្ចូលទម្រង់មិនត្រឹមត្រូវ")</f>
        <v/>
      </c>
      <c r="H441" s="217" t="inlineStr">
        <is>
          <t>បញ្ចូលខុសទម្រង់</t>
        </is>
      </c>
      <c r="J441" s="3" t="inlineStr">
        <is>
          <t>បញ្ចូលខុសទម្រង់</t>
        </is>
      </c>
      <c r="K441" s="217" t="inlineStr">
        <is>
          <t>បញ្ចូលខុសទម្រង់</t>
        </is>
      </c>
      <c r="S441" s="163" t="inlineStr">
        <is>
          <t>បានបញ្ចូលទម្រង់មិនត្រឹមត្រូវ</t>
        </is>
      </c>
    </row>
    <row r="442" ht="15.75" customHeight="1" s="305">
      <c r="A442" s="217" t="inlineStr">
        <is>
          <t>CREATE_WAREHOUSE_SCREEN.UPDATE_SUCCESS</t>
        </is>
      </c>
      <c r="B442" s="153" t="inlineStr">
        <is>
          <t>更新成功</t>
        </is>
      </c>
      <c r="C442" s="3" t="inlineStr">
        <is>
          <t>Cập nhật thành công</t>
        </is>
      </c>
      <c r="D442" s="3" t="inlineStr">
        <is>
          <t>Update success</t>
        </is>
      </c>
      <c r="E442" s="3" t="inlineStr">
        <is>
          <t>ອັບເດດສຳເລັດແລ້ວ</t>
        </is>
      </c>
      <c r="F442" s="3" t="n"/>
      <c r="G442" s="3">
        <f>IFERROR(__xludf.DUMMYFUNCTION("GOOGLETRANSLATE(C442,""vi"",""km"")"),"ការអាប់ដេតបានជោគជ័យ")</f>
        <v/>
      </c>
      <c r="H442" s="217" t="inlineStr">
        <is>
          <t>ការអាប់ដេតបានជោគជ័យ</t>
        </is>
      </c>
      <c r="J442" s="217" t="inlineStr">
        <is>
          <t>អាប់ដេតបានជោគជ័យ</t>
        </is>
      </c>
      <c r="K442" s="217" t="inlineStr">
        <is>
          <t>អាប់ដេតបានជោគជ័យ</t>
        </is>
      </c>
      <c r="S442" s="163" t="inlineStr">
        <is>
          <t>ការអាប់ដេតបានជោគជ័យ</t>
        </is>
      </c>
    </row>
    <row r="443" ht="15.75" customHeight="1" s="305">
      <c r="A443" s="217" t="inlineStr">
        <is>
          <t>CREATE_WAREHOUSE_SCREEN.CONFIRM_INACTIVE_WAREHOUSE</t>
        </is>
      </c>
      <c r="B443" s="153" t="inlineStr">
        <is>
          <t>确定要停用此地址吗？</t>
        </is>
      </c>
      <c r="C443" s="3" t="inlineStr">
        <is>
          <t>Quý khách có chắc chắn muốn dừng hoạt động địa chỉ này?</t>
        </is>
      </c>
      <c r="D443" s="3" t="inlineStr">
        <is>
          <t>Are you sure you want to stop this address from operating?</t>
        </is>
      </c>
      <c r="E443" s="3" t="inlineStr">
        <is>
          <t>ທ່ານໝັ້ນໃຈບໍ່ວ່າຈະຢຸດການໃຊ້ທີ່ຢູ່ນີ້?</t>
        </is>
      </c>
      <c r="F443" s="3" t="n"/>
      <c r="G443" s="3">
        <f>IFERROR(__xludf.DUMMYFUNCTION("GOOGLETRANSLATE(C443,""vi"",""km"")"),"តើអ្នកពិតជាចង់បញ្ឈប់ប្រតិបត្តិការនៅអាសយដ្ឋាននេះមែនទេ?")</f>
        <v/>
      </c>
      <c r="J443" s="3" t="inlineStr">
        <is>
          <t>តើអ្នកពិតជាចង់បញ្ឈប់សកម្មភាពនៅទីតាំងនេះមែនទេ?</t>
        </is>
      </c>
      <c r="K443" s="217" t="inlineStr">
        <is>
          <t>តើអ្នកពិតជាចង់បញ្ឈប់សកម្មភាពនៅទីតាំងនេះមែនទេ?</t>
        </is>
      </c>
      <c r="S443" s="163" t="inlineStr">
        <is>
          <t>តើអ្នកប្រាកដថាចង់បិទអាសយដ្ឋាននេះទេ?</t>
        </is>
      </c>
    </row>
    <row r="444" ht="15.75" customHeight="1" s="305">
      <c r="A444" s="217" t="inlineStr">
        <is>
          <t>CREATE_WAREHOUSE_SCREEN.ACTIVATE</t>
        </is>
      </c>
      <c r="B444" s="153" t="inlineStr">
        <is>
          <t>启用</t>
        </is>
      </c>
      <c r="C444" s="3" t="inlineStr">
        <is>
          <t>Kích hoạt kho</t>
        </is>
      </c>
      <c r="D444" s="3" t="inlineStr">
        <is>
          <t>Activate</t>
        </is>
      </c>
      <c r="E444" s="3" t="inlineStr">
        <is>
          <t>ເປີດໃຊ້ງານສາງ</t>
        </is>
      </c>
      <c r="F444" s="3" t="n"/>
      <c r="G444" s="3">
        <f>IFERROR(__xludf.DUMMYFUNCTION("GOOGLETRANSLATE(C444,""vi"",""km"")"),"ធ្វើឱ្យឃ្លាំងសកម្ម")</f>
        <v/>
      </c>
      <c r="J444" s="3" t="inlineStr">
        <is>
          <t>បើកដំណើរការឃ្លាំង</t>
        </is>
      </c>
      <c r="K444" s="217" t="inlineStr">
        <is>
          <t>បើកដំណើរការឃ្លាំង</t>
        </is>
      </c>
      <c r="S444" s="163" t="inlineStr">
        <is>
          <t>បើកដំណើរការឃ្លាំង</t>
        </is>
      </c>
    </row>
    <row r="445" ht="15.75" customHeight="1" s="305">
      <c r="A445" s="217" t="inlineStr">
        <is>
          <t>STATISTIC_SCREEN.TITLE</t>
        </is>
      </c>
      <c r="B445" s="153" t="inlineStr">
        <is>
          <t>数据统计</t>
        </is>
      </c>
      <c r="C445" s="3" t="inlineStr">
        <is>
          <t>Thống kê</t>
        </is>
      </c>
      <c r="D445" s="3" t="inlineStr">
        <is>
          <t>Statistic</t>
        </is>
      </c>
      <c r="E445" s="3" t="inlineStr">
        <is>
          <t>ສະຖິຕິ</t>
        </is>
      </c>
      <c r="F445" s="3" t="inlineStr">
        <is>
          <t>စာရင်းဇယား</t>
        </is>
      </c>
      <c r="G445" s="3">
        <f>IFERROR(__xludf.DUMMYFUNCTION("GOOGLETRANSLATE(C445,""vi"",""km"")"),"ស្ថិតិ")</f>
        <v/>
      </c>
      <c r="H445" s="217" t="inlineStr">
        <is>
          <t>ស្ថិតិ</t>
        </is>
      </c>
      <c r="J445" s="3" t="inlineStr">
        <is>
          <t>ស្ថិតិ</t>
        </is>
      </c>
      <c r="K445" s="217" t="inlineStr">
        <is>
          <t>ស្ថិតិ</t>
        </is>
      </c>
      <c r="S445" s="163" t="inlineStr">
        <is>
          <t>ស្ថិតិ</t>
        </is>
      </c>
    </row>
    <row r="446" ht="15.75" customHeight="1" s="305">
      <c r="A446" s="217" t="inlineStr">
        <is>
          <t>STATISTIC_SCREEN.MONEY_COD</t>
        </is>
      </c>
      <c r="B446" s="153" t="inlineStr">
        <is>
          <t>代收货款</t>
        </is>
      </c>
      <c r="C446" s="3" t="inlineStr">
        <is>
          <t>Tiền thu hộ</t>
        </is>
      </c>
      <c r="D446" s="3" t="inlineStr">
        <is>
          <t>Money COD</t>
        </is>
      </c>
      <c r="E446" s="3" t="inlineStr">
        <is>
          <t>ເງີນເກັບປາຍທາງ</t>
        </is>
      </c>
      <c r="F446" s="3" t="inlineStr">
        <is>
          <t>ငွေကြေး COD</t>
        </is>
      </c>
      <c r="G446" s="3">
        <f>IFERROR(__xludf.DUMMYFUNCTION("GOOGLETRANSLATE(C446,""vi"",""km"")"),"ប្រាក់ដែលប្រមូលបានក្នុងនាមអ្នកដទៃ")</f>
        <v/>
      </c>
      <c r="H446" s="217" t="inlineStr">
        <is>
          <t>ប្រាក់ទទួលជំនួស</t>
        </is>
      </c>
      <c r="J446" s="3" t="inlineStr">
        <is>
          <t>ប្រាក់ប្រមូលជំនួស (COD)</t>
        </is>
      </c>
      <c r="K446" s="217" t="inlineStr">
        <is>
          <t>ប្រាក់ប្រមូលជំនួស (COD)</t>
        </is>
      </c>
      <c r="S446" s="163" t="inlineStr">
        <is>
          <t>ការប្រមូល</t>
        </is>
      </c>
    </row>
    <row r="447" ht="15.75" customHeight="1" s="305">
      <c r="A447" s="217" t="inlineStr">
        <is>
          <t>STATISTIC_SCREEN.MONEY_FEE</t>
        </is>
      </c>
      <c r="B447" s="153" t="inlineStr">
        <is>
          <t>运费</t>
        </is>
      </c>
      <c r="C447" s="3" t="inlineStr">
        <is>
          <t>Tiền cước</t>
        </is>
      </c>
      <c r="D447" s="3" t="inlineStr">
        <is>
          <t>Money Fee</t>
        </is>
      </c>
      <c r="E447" s="3" t="inlineStr">
        <is>
          <t>ຄ່າຂົນສົ່ງ</t>
        </is>
      </c>
      <c r="F447" s="3" t="inlineStr">
        <is>
          <t>ငွေကြေး စရိတ်</t>
        </is>
      </c>
      <c r="G447" s="3">
        <f>IFERROR(__xludf.DUMMYFUNCTION("GOOGLETRANSLATE(C447,""vi"",""km"")"),"តម្លៃសំបុត្រ")</f>
        <v/>
      </c>
      <c r="H447" s="217" t="inlineStr">
        <is>
          <t>ថ្លៃសេវា</t>
        </is>
      </c>
      <c r="J447" s="3" t="inlineStr">
        <is>
          <t>ថ្លៃសេវា</t>
        </is>
      </c>
      <c r="K447" s="217" t="inlineStr">
        <is>
          <t>ថ្លៃសេវា</t>
        </is>
      </c>
      <c r="S447" s="163" t="inlineStr">
        <is>
          <t>ដឹកទំនិញ</t>
        </is>
      </c>
    </row>
    <row r="448" ht="15.75" customHeight="1" s="305">
      <c r="A448" s="217" t="inlineStr">
        <is>
          <t>STATISTIC_SCREEN.DETAILED_STATISTICS</t>
        </is>
      </c>
      <c r="B448" s="153" t="inlineStr">
        <is>
          <t>详细统计</t>
        </is>
      </c>
      <c r="C448" s="3" t="inlineStr">
        <is>
          <t>Thống kê chi tiết</t>
        </is>
      </c>
      <c r="D448" s="3" t="inlineStr">
        <is>
          <t>Detailed statistics</t>
        </is>
      </c>
      <c r="E448" s="3" t="inlineStr">
        <is>
          <t>ສະຖິຕິລະອຽດ</t>
        </is>
      </c>
      <c r="F448" s="3" t="inlineStr">
        <is>
          <t>အသေးစိတ် စာရင်းဇယားများ</t>
        </is>
      </c>
      <c r="G448" s="3">
        <f>IFERROR(__xludf.DUMMYFUNCTION("GOOGLETRANSLATE(C448,""vi"",""km"")"),"ស្ថិតិលម្អិត")</f>
        <v/>
      </c>
      <c r="H448" s="3" t="inlineStr">
        <is>
          <t>ស្ថិតិលម្អិត</t>
        </is>
      </c>
      <c r="J448" s="3" t="inlineStr">
        <is>
          <t>ស្ថិតិលម្អិត</t>
        </is>
      </c>
      <c r="K448" s="217" t="inlineStr">
        <is>
          <t>ស្ថិតិលម្អិត</t>
        </is>
      </c>
      <c r="S448" s="163" t="inlineStr">
        <is>
          <t>ស្ថិតិលម្អិត</t>
        </is>
      </c>
    </row>
    <row r="449" ht="15.75" customHeight="1" s="305">
      <c r="A449" s="217" t="inlineStr">
        <is>
          <t>STATISTIC_SCREEN.OTHER_STATUS</t>
        </is>
      </c>
      <c r="B449" s="153" t="inlineStr">
        <is>
          <t>其他状态</t>
        </is>
      </c>
      <c r="C449" s="3" t="inlineStr">
        <is>
          <t>Trạng thái khác</t>
        </is>
      </c>
      <c r="D449" s="3" t="inlineStr">
        <is>
          <t>Other status</t>
        </is>
      </c>
      <c r="E449" s="3" t="inlineStr">
        <is>
          <t>ສະຖານະອື່ນ</t>
        </is>
      </c>
      <c r="F449" s="3" t="inlineStr">
        <is>
          <t>အခြားအခြေအနေ</t>
        </is>
      </c>
      <c r="G449" s="3">
        <f>IFERROR(__xludf.DUMMYFUNCTION("GOOGLETRANSLATE(C449,""vi"",""km"")"),"រដ្ឋផ្សេងទៀត")</f>
        <v/>
      </c>
      <c r="H449" s="217" t="inlineStr">
        <is>
          <t>ស្ថានភាពផ្សេងៗ</t>
        </is>
      </c>
      <c r="J449" s="3" t="inlineStr">
        <is>
          <t>ស្ថានភាពផ្សេងៗ</t>
        </is>
      </c>
      <c r="K449" s="217" t="inlineStr">
        <is>
          <t>ស្ថានភាពផ្សេងៗ</t>
        </is>
      </c>
      <c r="S449" s="163" t="inlineStr">
        <is>
          <t>ស្ថានភាពផ្សេងទៀត</t>
        </is>
      </c>
    </row>
    <row r="450" ht="15.75" customHeight="1" s="305">
      <c r="A450" s="217" t="inlineStr">
        <is>
          <t>STATISTIC_SCREEN.DATA_FILTER_BY_STATUS</t>
        </is>
      </c>
      <c r="B450" s="153" t="inlineStr">
        <is>
          <t>按状态查看</t>
        </is>
      </c>
      <c r="C450" s="3" t="inlineStr">
        <is>
          <t>Tiến hành theo trạng thái</t>
        </is>
      </c>
      <c r="D450" s="3" t="inlineStr">
        <is>
          <t>Data by status</t>
        </is>
      </c>
      <c r="E450" s="3" t="inlineStr">
        <is>
          <t>ດຳເນີນການຕາມສະຖານະ</t>
        </is>
      </c>
      <c r="F450" s="3" t="inlineStr">
        <is>
          <t>အခြေအနေအရ အချက်အလက်များ</t>
        </is>
      </c>
      <c r="G450" s="3">
        <f>IFERROR(__xludf.DUMMYFUNCTION("GOOGLETRANSLATE(C450,""vi"",""km"")"),"បន្តទៅតាមស្ថានភាព")</f>
        <v/>
      </c>
      <c r="J450" s="3" t="inlineStr">
        <is>
          <t>អនុវត្តតាមស្ថានភាព</t>
        </is>
      </c>
      <c r="K450" s="217" t="inlineStr">
        <is>
          <t>អនុវត្តតាមស្ថានភាព</t>
        </is>
      </c>
      <c r="S450" s="163" t="inlineStr">
        <is>
          <t>បន្តតាមស្ថានភាព</t>
        </is>
      </c>
    </row>
    <row r="451" ht="15.75" customHeight="1" s="305">
      <c r="A451" s="217" t="inlineStr">
        <is>
          <t>STATISTIC_SCREEN.CALCULATE_WITH_CREATE_DATE</t>
        </is>
      </c>
      <c r="B451" s="153" t="inlineStr">
        <is>
          <t>按创建日期统计</t>
        </is>
      </c>
      <c r="C451" s="3" t="inlineStr">
        <is>
          <t>Tính theo ngày gửi</t>
        </is>
      </c>
      <c r="D451" s="3" t="inlineStr">
        <is>
          <t>Calculate with created date</t>
        </is>
      </c>
      <c r="E451" s="3" t="inlineStr">
        <is>
          <t>ຄິດໄລ່ຕາມວັນທີສົ່ງ</t>
        </is>
      </c>
      <c r="F451" s="3" t="inlineStr">
        <is>
          <t>ဖန်တီးထားတဲ့ ရက်စွဲနဲ့ တွက်ချက်ပါ</t>
        </is>
      </c>
      <c r="G451" s="3">
        <f>IFERROR(__xludf.DUMMYFUNCTION("GOOGLETRANSLATE(C451,""vi"",""km"")"),"ផ្អែកលើកាលបរិច្ឆេទនៃការដាក់ស្នើ")</f>
        <v/>
      </c>
      <c r="H451" s="217" t="inlineStr">
        <is>
          <t>គិតតាមថ្ងៃផ្ញើ</t>
        </is>
      </c>
      <c r="J451" s="3" t="inlineStr">
        <is>
          <t>គិតតាមថ្ងៃផ្ញើ</t>
        </is>
      </c>
      <c r="K451" s="217" t="inlineStr">
        <is>
          <t>គិតតាមថ្ងៃផ្ញើ</t>
        </is>
      </c>
      <c r="S451" s="163" t="inlineStr">
        <is>
          <t>គណនាតាមកាលបរិច្ឆេទនៃការបញ្ជូន</t>
        </is>
      </c>
    </row>
    <row r="452" ht="15.75" customHeight="1" s="305">
      <c r="A452" s="217" t="inlineStr">
        <is>
          <t>STATISTIC_SCREEN.TOTAL_ORDER</t>
        </is>
      </c>
      <c r="B452" s="153" t="inlineStr">
        <is>
          <t>订单总数</t>
        </is>
      </c>
      <c r="C452" s="3" t="inlineStr">
        <is>
          <t>Tổng đơn hàng</t>
        </is>
      </c>
      <c r="D452" s="3" t="inlineStr">
        <is>
          <t>Total orders</t>
        </is>
      </c>
      <c r="E452" s="3" t="inlineStr">
        <is>
          <t>ຄໍາສັ່ງທັງຫມົດ</t>
        </is>
      </c>
      <c r="F452" s="3" t="inlineStr">
        <is>
          <t>စုစုပေါင်းအော်ဒါများ</t>
        </is>
      </c>
      <c r="G452" s="3">
        <f>IFERROR(__xludf.DUMMYFUNCTION("GOOGLETRANSLATE(C452,""vi"",""km"")"),"ការបញ្ជាទិញសរុប")</f>
        <v/>
      </c>
      <c r="H452" s="217" t="inlineStr">
        <is>
          <t>សរុបបុងបញ្ញើ</t>
        </is>
      </c>
      <c r="J452" s="3" t="inlineStr">
        <is>
          <t>សរុបបុងបញ្ញើ</t>
        </is>
      </c>
      <c r="K452" s="217" t="inlineStr">
        <is>
          <t>សរុបបុងបញ្ញើ</t>
        </is>
      </c>
      <c r="S452" s="163" t="inlineStr">
        <is>
          <t>ការបញ្ជាទិញសរុប</t>
        </is>
      </c>
    </row>
    <row r="453" ht="15.75" customHeight="1" s="305">
      <c r="A453" s="217" t="inlineStr">
        <is>
          <t>STATISTIC_SCREEN.TOTAL_MONEY_COD</t>
        </is>
      </c>
      <c r="B453" s="153" t="inlineStr">
        <is>
          <t>代收货款总额</t>
        </is>
      </c>
      <c r="C453" s="3" t="inlineStr">
        <is>
          <t>Tổng tiền thu hộ</t>
        </is>
      </c>
      <c r="D453" s="3" t="inlineStr">
        <is>
          <t>Total money COD</t>
        </is>
      </c>
      <c r="E453" s="3" t="inlineStr">
        <is>
          <t>ຈໍານວນການເກັບກໍາທັງຫມົດ</t>
        </is>
      </c>
      <c r="F453" s="3" t="inlineStr">
        <is>
          <t>ပိုက်ဆံစုစုပေါင်း COD</t>
        </is>
      </c>
      <c r="G453" s="3">
        <f>IFERROR(__xludf.DUMMYFUNCTION("GOOGLETRANSLATE(C453,""vi"",""km"")"),"ចំនួនទឹកប្រាក់សរុបដែលប្រមូលបាន")</f>
        <v/>
      </c>
      <c r="H453" s="217" t="inlineStr">
        <is>
          <t>សរុបប្រាក់ប្រមូលជំនួស</t>
        </is>
      </c>
      <c r="J453" s="3" t="inlineStr">
        <is>
          <t>សរុបប្រាក់ប្រមូលជំនួស</t>
        </is>
      </c>
      <c r="K453" s="217" t="inlineStr">
        <is>
          <t>សរុបប្រាក់ប្រមូលជំនួស</t>
        </is>
      </c>
      <c r="S453" s="163" t="inlineStr">
        <is>
          <t>ការប្រមូលសរុប</t>
        </is>
      </c>
    </row>
    <row r="454" ht="15.75" customHeight="1" s="305">
      <c r="A454" s="217" t="inlineStr">
        <is>
          <t>STATISTIC_SCREEN.TOTAL_MONEY_FEE</t>
        </is>
      </c>
      <c r="B454" s="153" t="inlineStr">
        <is>
          <t>费用总额</t>
        </is>
      </c>
      <c r="C454" s="3" t="inlineStr">
        <is>
          <t>Tổng tiền cước</t>
        </is>
      </c>
      <c r="D454" s="3" t="inlineStr">
        <is>
          <t>Total money fee</t>
        </is>
      </c>
      <c r="E454" s="3" t="inlineStr">
        <is>
          <t>ຄ່າເຄື່ອງທັງໝົດ</t>
        </is>
      </c>
      <c r="F454" s="3" t="inlineStr">
        <is>
          <t>စုစုပေါင်းငွေကြေး ကောက်ခံမှု</t>
        </is>
      </c>
      <c r="G454" s="3">
        <f>IFERROR(__xludf.DUMMYFUNCTION("GOOGLETRANSLATE(C454,""vi"",""km"")"),"ថ្លៃដឹកជញ្ជូនសរុប")</f>
        <v/>
      </c>
      <c r="H454" s="217" t="inlineStr">
        <is>
          <t>សរុបថ្លៃសេវា</t>
        </is>
      </c>
      <c r="J454" s="3" t="inlineStr">
        <is>
          <t>សរុបថ្លៃសេវា</t>
        </is>
      </c>
      <c r="K454" s="217" t="inlineStr">
        <is>
          <t>សរុបថ្លៃសេវា</t>
        </is>
      </c>
      <c r="S454" s="163" t="inlineStr">
        <is>
          <t>ការដឹកជញ្ជូនសរុប</t>
        </is>
      </c>
    </row>
    <row r="455" ht="15.75" customHeight="1" s="305">
      <c r="A455" s="217" t="inlineStr">
        <is>
          <t>STATISTIC_SCREEN.ORDER</t>
        </is>
      </c>
      <c r="B455" s="153" t="inlineStr">
        <is>
          <t>所有订单</t>
        </is>
      </c>
      <c r="C455" s="3" t="inlineStr">
        <is>
          <t>đơn</t>
        </is>
      </c>
      <c r="D455" s="3" t="inlineStr">
        <is>
          <t>Orders</t>
        </is>
      </c>
      <c r="E455" s="3" t="inlineStr">
        <is>
          <t>ບິນເຄື່ອງ</t>
        </is>
      </c>
      <c r="F455" s="3" t="inlineStr">
        <is>
          <t>အော်ဒါ</t>
        </is>
      </c>
      <c r="G455" s="3">
        <f>IFERROR(__xludf.DUMMYFUNCTION("GOOGLETRANSLATE(C455,""vi"",""km"")"),"នៅលីវ")</f>
        <v/>
      </c>
      <c r="H455" s="217" t="inlineStr">
        <is>
          <t>បុងបញ្ញើ</t>
        </is>
      </c>
      <c r="J455" s="3" t="inlineStr">
        <is>
          <t>បុងបញ្ញើ</t>
        </is>
      </c>
      <c r="K455" s="217" t="inlineStr">
        <is>
          <t>បុងបញ្ញើ</t>
        </is>
      </c>
      <c r="S455" s="163" t="inlineStr">
        <is>
          <t>ការបញ្ជាទិញ</t>
        </is>
      </c>
    </row>
    <row r="456" ht="15.75" customHeight="1" s="305">
      <c r="A456" s="217" t="inlineStr">
        <is>
          <t>STATISTIC_SCREEN.UNRECEIVED_ORDER_TIP</t>
        </is>
      </c>
      <c r="B456" s="153" t="inlineStr">
        <is>
          <t>妥投失败订单统计</t>
        </is>
      </c>
      <c r="C456" s="3" t="inlineStr">
        <is>
          <t>Thống kê các đơn hàng chưa được tiếp nhận thành công</t>
        </is>
      </c>
      <c r="D456" s="3" t="inlineStr">
        <is>
          <t>Statistics of orders not successfully received</t>
        </is>
      </c>
      <c r="E456" s="3" t="inlineStr">
        <is>
          <t>ສະ​ຖິ​ຕິ​ຂອງ​ຄໍາ​ສັ່ງ​ບໍ່​ໄດ້​ຮັບ​ສໍາ​ເລັດ​ໂດຍ</t>
        </is>
      </c>
      <c r="F456" s="3" t="inlineStr">
        <is>
          <t>အောင်မြင်စွာ မရရှိခဲ့သော ‌အော်စာရင်းဇယားများ</t>
        </is>
      </c>
      <c r="G456" s="3">
        <f>IFERROR(__xludf.DUMMYFUNCTION("GOOGLETRANSLATE(C456,""vi"",""km"")"),"ស្ថិតិនៃការបញ្ជាទិញដែលមិនទាន់បានទទួលដោយជោគជ័យ។")</f>
        <v/>
      </c>
      <c r="J456" s="3" t="inlineStr">
        <is>
          <t>ស្ថិតិនៃការបញ្ជាទិញដែលមិនត្រូវបានទទួលដោយជោគជ័យ</t>
        </is>
      </c>
      <c r="K456" s="217" t="inlineStr">
        <is>
          <t>ស្ថិតិនៃការបញ្ជាទិញដែលមិនត្រូវបានទទួលដោយជោគជ័យ</t>
        </is>
      </c>
      <c r="S456" s="163" t="inlineStr">
        <is>
          <t>ស្ថិតិនៃការបញ្ជាទិញដែលមិនត្រូវបានទទួលដោយជោគជ័យ</t>
        </is>
      </c>
    </row>
    <row r="457" ht="15.75" customHeight="1" s="305">
      <c r="A457" s="217" t="inlineStr">
        <is>
          <t>STATISTIC_SCREEN.RECEIVED_ORDER_TIP</t>
        </is>
      </c>
      <c r="B457" s="153" t="inlineStr">
        <is>
          <t>已妥投订单统计</t>
        </is>
      </c>
      <c r="C457" s="3" t="inlineStr">
        <is>
          <t>Thống kê các đơn hàng đã được tiếp nhận thành công</t>
        </is>
      </c>
      <c r="D457" s="3" t="inlineStr">
        <is>
          <t>Statistics of orders successfully received</t>
        </is>
      </c>
      <c r="E457" s="3" t="inlineStr">
        <is>
          <t>ສະ​ຖິ​ຕິ​ຂອງ​ຄໍາ​ສັ່ງ​ສົບ​ຜົນ​ສໍາ​ເລັດ​ໂດຍ</t>
        </is>
      </c>
      <c r="F457" s="3" t="inlineStr">
        <is>
          <t>အောင်မြင်စွာရရှိခဲ့သော အော်ဒါစာရင်းဇယားများ</t>
        </is>
      </c>
      <c r="G457" s="3">
        <f>IFERROR(__xludf.DUMMYFUNCTION("GOOGLETRANSLATE(C457,""vi"",""km"")"),"ស្ថិតិនៃការបញ្ជាទិញដែលបានទទួលដោយជោគជ័យ")</f>
        <v/>
      </c>
      <c r="J457" s="3" t="inlineStr">
        <is>
          <t>ស្ថិតិនៃការបញ្ជាទិញដែលបានទទួលដោយជោគជ័យ</t>
        </is>
      </c>
      <c r="K457" s="217" t="inlineStr">
        <is>
          <t>ស្ថិតិនៃការបញ្ជាទិញដែលបានទទួលដោយជោគជ័យ</t>
        </is>
      </c>
      <c r="S457" s="163" t="inlineStr">
        <is>
          <t>ស្ថិតិនៃការបញ្ជាទិញដែលបានទទួលដោយជោគជ័យ</t>
        </is>
      </c>
    </row>
    <row r="458" ht="15.75" customHeight="1" s="305">
      <c r="A458" s="217" t="inlineStr">
        <is>
          <t>STATISTIC_SCREEN.TOTAL_SUCCESSFUL_DELIVERY</t>
        </is>
      </c>
      <c r="B458" s="153" t="inlineStr">
        <is>
          <t>投递成功</t>
        </is>
      </c>
      <c r="C458" s="3" t="inlineStr">
        <is>
          <t>Giao thành công</t>
        </is>
      </c>
      <c r="D458" s="3" t="inlineStr">
        <is>
          <t>Successfully delivered</t>
        </is>
      </c>
      <c r="E458" s="3" t="inlineStr">
        <is>
          <t>ການຈັດສົ່ງສຳເລັດແລ້ວ</t>
        </is>
      </c>
      <c r="F458" s="3" t="inlineStr">
        <is>
          <t>အောင်မြင်စွာ ပို့ဆောင်ပေးနိုင်ခဲ့</t>
        </is>
      </c>
      <c r="G458" s="3">
        <f>IFERROR(__xludf.DUMMYFUNCTION("GOOGLETRANSLATE(C458,""vi"",""km"")"),"ការដឹកជញ្ជូនទទួលបានជោគជ័យ")</f>
        <v/>
      </c>
      <c r="H458" s="217" t="inlineStr">
        <is>
          <t>ប្រគល់បានជោគជ័យ</t>
        </is>
      </c>
      <c r="J458" s="3" t="inlineStr">
        <is>
          <t>ដឹកជញ្ជូនជោគជ័យ</t>
        </is>
      </c>
      <c r="K458" s="217" t="inlineStr">
        <is>
          <t>ដឹកជញ្ជូនជោគជ័យ</t>
        </is>
      </c>
      <c r="S458" s="163" t="inlineStr">
        <is>
          <t>ចែកចាយដោយជោគជ័យ</t>
        </is>
      </c>
    </row>
    <row r="459" ht="15.75" customHeight="1" s="305">
      <c r="A459" s="217" t="inlineStr">
        <is>
          <t>STATISTIC_SCREEN.TOTAL_SUCCESSFUL_RETURN</t>
        </is>
      </c>
      <c r="B459" s="153" t="inlineStr">
        <is>
          <t>退货成功</t>
        </is>
      </c>
      <c r="C459" s="3" t="inlineStr">
        <is>
          <t>Hoàn thành công</t>
        </is>
      </c>
      <c r="D459" s="3" t="inlineStr">
        <is>
          <t>Successfully returned</t>
        </is>
      </c>
      <c r="E459" s="3" t="inlineStr">
        <is>
          <t>ສຳເລັດຜົນ</t>
        </is>
      </c>
      <c r="F459" s="3" t="inlineStr">
        <is>
          <t>အောင်မြင်စွာ ပြန်လာခဲ့</t>
        </is>
      </c>
      <c r="G459" s="3">
        <f>IFERROR(__xludf.DUMMYFUNCTION("GOOGLETRANSLATE(C459,""vi"",""km"")"),"បានបញ្ចប់")</f>
        <v/>
      </c>
      <c r="H459" s="217" t="inlineStr">
        <is>
          <t>ត្រលប់បានជោគជ័យ</t>
        </is>
      </c>
      <c r="J459" s="3" t="inlineStr">
        <is>
          <t>ត្រលប់បានជោគជ័យ</t>
        </is>
      </c>
      <c r="K459" s="217" t="inlineStr">
        <is>
          <t>ត្រលប់បានជោគជ័យ</t>
        </is>
      </c>
      <c r="S459" s="163" t="inlineStr">
        <is>
          <t>បានបញ្ចប់ដោយជោគជ័យ</t>
        </is>
      </c>
    </row>
    <row r="460" ht="15.75" customHeight="1" s="305">
      <c r="A460" s="217" t="inlineStr">
        <is>
          <t>STATISTIC_SCREEN.COD</t>
        </is>
      </c>
      <c r="B460" s="153" t="inlineStr">
        <is>
          <t>代收成功</t>
        </is>
      </c>
      <c r="C460" s="3" t="inlineStr">
        <is>
          <t>COD</t>
        </is>
      </c>
      <c r="D460" s="3" t="inlineStr">
        <is>
          <t>COD</t>
        </is>
      </c>
      <c r="E460" s="3" t="inlineStr">
        <is>
          <t>ເກັບເງີນປາຍທາງ</t>
        </is>
      </c>
      <c r="F460" s="3" t="inlineStr">
        <is>
          <t>COD</t>
        </is>
      </c>
      <c r="G460" s="3">
        <f>IFERROR(__xludf.DUMMYFUNCTION("GOOGLETRANSLATE(C460,""vi"",""km"")"),"ប្រតិបត្តិការ​ទូទាត់​ថ្លៃ​សេវា​ (COD)")</f>
        <v/>
      </c>
      <c r="H460" s="3" t="inlineStr">
        <is>
          <t>COD</t>
        </is>
      </c>
      <c r="J460" s="3" t="inlineStr">
        <is>
          <t>ប្រាក់ COD</t>
        </is>
      </c>
      <c r="K460" s="217" t="inlineStr">
        <is>
          <t>ប្រាក់ COD</t>
        </is>
      </c>
      <c r="S460" s="163" t="inlineStr">
        <is>
          <t>COD</t>
        </is>
      </c>
    </row>
    <row r="461" ht="15.75" customHeight="1" s="305">
      <c r="A461" s="217" t="inlineStr">
        <is>
          <t>STATISTIC_SCREEN.COD_INCLUDED_RECEIVER</t>
        </is>
      </c>
      <c r="B461" s="153" t="inlineStr">
        <is>
          <t>代收货款包含收方所付费用</t>
        </is>
      </c>
      <c r="C461" s="3" t="inlineStr">
        <is>
          <t>COD gồm cước người nhận trả</t>
        </is>
      </c>
      <c r="D461" s="3" t="inlineStr">
        <is>
          <t>COD includes the fee paid by the receiver</t>
        </is>
      </c>
      <c r="E461" s="3" t="inlineStr">
        <is>
          <t>COD ລວມມີຄ່າທຳນຽມທີ່ຈ່າຍໃຫ້ຜູ້ຮັບ</t>
        </is>
      </c>
      <c r="F461" s="3" t="inlineStr">
        <is>
          <t>COD တွင် လက်ခံသူပေးသော အခကြေးငွေပါဝင်</t>
        </is>
      </c>
      <c r="G461" s="3">
        <f>IFERROR(__xludf.DUMMYFUNCTION("GOOGLETRANSLATE(C461,""vi"",""km"")"),"COD រួមបញ្ចូលថ្លៃដឹកជញ្ជូនដែលបង់ដោយអ្នកទទួល។")</f>
        <v/>
      </c>
      <c r="J461" s="3" t="inlineStr">
        <is>
          <t>COD រួមបញ្ចូលថ្លៃសេវាដែលបង់ដោយអ្នកទទួល</t>
        </is>
      </c>
      <c r="K461" s="217" t="inlineStr">
        <is>
          <t>COD រួមបញ្ចូលថ្លៃសេវាដែលបង់ដោយអ្នកទទួល</t>
        </is>
      </c>
      <c r="S461" s="163" t="inlineStr">
        <is>
          <t>COD រួមបញ្ចូលការដឹកជញ្ជូនទំនិញដែលបង់ដោយអ្នកទទួល</t>
        </is>
      </c>
    </row>
    <row r="462" ht="15.75" customHeight="1" s="305">
      <c r="A462" s="217" t="inlineStr">
        <is>
          <t>STATISTIC_SCREEN.COD_NOT_INCLUDED_RECEIVER</t>
        </is>
      </c>
      <c r="B462" s="153" t="inlineStr">
        <is>
          <t>代收货款不包含收方所付费用</t>
        </is>
      </c>
      <c r="C462" s="3" t="inlineStr">
        <is>
          <t>COD KHÔNG gồm cước người nhận trả</t>
        </is>
      </c>
      <c r="D462" s="3" t="inlineStr">
        <is>
          <t>COD does NOT include the fee paid by the receiver</t>
        </is>
      </c>
      <c r="E462" s="3" t="inlineStr">
        <is>
          <t>COD ບໍ່ລວມຄ່າທຳນຽມການຈ່າຍເງິນຂອງຜູ້ຮັບ</t>
        </is>
      </c>
      <c r="F462" s="3" t="inlineStr">
        <is>
          <t>COD တွင် လက်ခံ သူ ပေး သော အခကြေးငွေ မ ပါဝင် ပါ</t>
        </is>
      </c>
      <c r="G462" s="3">
        <f>IFERROR(__xludf.DUMMYFUNCTION("GOOGLETRANSLATE(C462,""vi"",""km"")"),"COD មិនរាប់បញ្ចូលថ្លៃដឹកជញ្ជូនដែលបង់ដោយអ្នកទទួលទេ។")</f>
        <v/>
      </c>
      <c r="J462" s="3" t="inlineStr">
        <is>
          <t>COD មិនរួមបញ្ចូលថ្លៃសេវាដែលបង់ដោយអ្នកទទួល</t>
        </is>
      </c>
      <c r="K462" s="217" t="inlineStr">
        <is>
          <t>COD មិនរួមបញ្ចូលថ្លៃសេវាដែលបង់ដោយអ្នកទទួល</t>
        </is>
      </c>
      <c r="S462" s="163" t="inlineStr">
        <is>
          <t>COD មិនរួមបញ្ចូលការដឹកជញ្ជូនដែលបង់ដោយអ្នកទទួលទេ។</t>
        </is>
      </c>
    </row>
    <row r="463" ht="15.75" customHeight="1" s="305">
      <c r="A463" s="217" t="inlineStr">
        <is>
          <t>ACCOUNT_EDIT.TITLE</t>
        </is>
      </c>
      <c r="B463" s="153" t="inlineStr">
        <is>
          <t>编辑个人信息</t>
        </is>
      </c>
      <c r="C463" s="3" t="inlineStr">
        <is>
          <t>Sửa thông tin cá nhân</t>
        </is>
      </c>
      <c r="D463" s="3" t="inlineStr">
        <is>
          <t>Edit Personal Information</t>
        </is>
      </c>
      <c r="E463" s="3" t="inlineStr">
        <is>
          <t>ແກ້ໄຂຂໍ້ມູນສ່ວນຕົວ</t>
        </is>
      </c>
      <c r="F463" s="3" t="inlineStr">
        <is>
          <t>ကိုယ်ရေးကိုယ်တာ အချက်အလက်များကို ပြင်ဆင်မည်</t>
        </is>
      </c>
      <c r="G463" s="3">
        <f>IFERROR(__xludf.DUMMYFUNCTION("GOOGLETRANSLATE(C463,""vi"",""km"")"),"កែសម្រួលព័ត៌មានផ្ទាល់ខ្លួន")</f>
        <v/>
      </c>
      <c r="H463" s="217" t="inlineStr">
        <is>
          <t>កែព័ត៌មានផ្ទាល់ខ្លួន</t>
        </is>
      </c>
      <c r="J463" s="3" t="inlineStr">
        <is>
          <t>កែព័ត៌មានផ្ទាល់ខ្លួន</t>
        </is>
      </c>
      <c r="K463" s="217" t="inlineStr">
        <is>
          <t>កែព័ត៌មានផ្ទាល់ខ្លួន</t>
        </is>
      </c>
      <c r="S463" s="163" t="inlineStr">
        <is>
          <t>កែសម្រួលព័ត៌មានផ្ទាល់ខ្លួន</t>
        </is>
      </c>
    </row>
    <row r="464" ht="15.75" customHeight="1" s="305">
      <c r="A464" s="217" t="inlineStr">
        <is>
          <t>ACCOUNT_EDIT.FULL_NAME</t>
        </is>
      </c>
      <c r="B464" s="153" t="inlineStr">
        <is>
          <t>姓名</t>
        </is>
      </c>
      <c r="C464" s="3" t="inlineStr">
        <is>
          <t>Họ và tên</t>
        </is>
      </c>
      <c r="D464" s="3" t="inlineStr">
        <is>
          <t>Full Name</t>
        </is>
      </c>
      <c r="E464" s="3" t="inlineStr">
        <is>
          <t>ຊື່ເຕັມ</t>
        </is>
      </c>
      <c r="F464" s="3" t="inlineStr">
        <is>
          <t>အမည် အပြည့်အစုံ</t>
        </is>
      </c>
      <c r="G464" s="3">
        <f>IFERROR(__xludf.DUMMYFUNCTION("GOOGLETRANSLATE(C464,""vi"",""km"")"),"ឈ្មោះពេញ")</f>
        <v/>
      </c>
      <c r="H464" s="217" t="inlineStr">
        <is>
          <t>គោត្តនាម និងនាម</t>
        </is>
      </c>
      <c r="J464" s="3" t="inlineStr">
        <is>
          <t>គោត្តនាម និងនាម</t>
        </is>
      </c>
      <c r="K464" s="217" t="inlineStr">
        <is>
          <t>គោត្តនាម និងនាម</t>
        </is>
      </c>
      <c r="S464" s="163" t="inlineStr">
        <is>
          <t>ឈ្មោះពេញ</t>
        </is>
      </c>
    </row>
    <row r="465" ht="15.75" customHeight="1" s="305">
      <c r="A465" s="217" t="inlineStr">
        <is>
          <t>ACCOUNT_EDIT.PHONE_NUMBER</t>
        </is>
      </c>
      <c r="B465" s="153" t="inlineStr">
        <is>
          <t>手机号码</t>
        </is>
      </c>
      <c r="C465" s="3" t="inlineStr">
        <is>
          <t>Số điện thoại</t>
        </is>
      </c>
      <c r="D465" s="3" t="inlineStr">
        <is>
          <t>Phone Number</t>
        </is>
      </c>
      <c r="E465" s="3" t="inlineStr">
        <is>
          <t>ເບີໂທລະສັບ</t>
        </is>
      </c>
      <c r="F465" s="3" t="inlineStr">
        <is>
          <t>ဖုန်းနံပါတ်</t>
        </is>
      </c>
      <c r="G465" s="3">
        <f>IFERROR(__xludf.DUMMYFUNCTION("GOOGLETRANSLATE(C465,""vi"",""km"")"),"លេខទូរស័ព្ទ")</f>
        <v/>
      </c>
      <c r="H465" s="217" t="inlineStr">
        <is>
          <t>លេខទូរស័ព្ទ</t>
        </is>
      </c>
      <c r="J465" s="3" t="inlineStr">
        <is>
          <t>លេខទូរស័ព្ទ</t>
        </is>
      </c>
      <c r="K465" s="217" t="inlineStr">
        <is>
          <t>លេខទូរស័ព្ទ</t>
        </is>
      </c>
      <c r="S465" s="163" t="inlineStr">
        <is>
          <t>លេខទូរស័ព្ទ</t>
        </is>
      </c>
    </row>
    <row r="466" ht="15.75" customHeight="1" s="305">
      <c r="A466" s="217" t="inlineStr">
        <is>
          <t>ACCOUNT_EDIT.EMAIL</t>
        </is>
      </c>
      <c r="B466" s="153" t="inlineStr">
        <is>
          <t>邮箱</t>
        </is>
      </c>
      <c r="C466" s="3" t="inlineStr">
        <is>
          <t>Email</t>
        </is>
      </c>
      <c r="D466" s="3" t="inlineStr">
        <is>
          <t>Email</t>
        </is>
      </c>
      <c r="E466" s="3" t="inlineStr">
        <is>
          <t>ອີເມລ</t>
        </is>
      </c>
      <c r="F466" s="3" t="inlineStr">
        <is>
          <t>အီးမေးလ်</t>
        </is>
      </c>
      <c r="G466" s="3">
        <f>IFERROR(__xludf.DUMMYFUNCTION("GOOGLETRANSLATE(C466,""vi"",""km"")"),"អ៊ីមែល")</f>
        <v/>
      </c>
      <c r="H466" s="217" t="inlineStr">
        <is>
          <t>អ៊ីម៉ែល</t>
        </is>
      </c>
      <c r="J466" s="3" t="inlineStr">
        <is>
          <t>អ៊ីម៉ែល</t>
        </is>
      </c>
      <c r="K466" s="217" t="inlineStr">
        <is>
          <t>អ៊ីម៉ែល</t>
        </is>
      </c>
      <c r="S466" s="163" t="inlineStr">
        <is>
          <t>អ៊ីមែល</t>
        </is>
      </c>
    </row>
    <row r="467" ht="15.75" customHeight="1" s="305">
      <c r="A467" s="217" t="inlineStr">
        <is>
          <t>ACCOUNT_EDIT.ADDRESS</t>
        </is>
      </c>
      <c r="B467" s="153" t="inlineStr">
        <is>
          <t>居住地址</t>
        </is>
      </c>
      <c r="C467" s="3" t="inlineStr">
        <is>
          <t>Địa chỉ</t>
        </is>
      </c>
      <c r="D467" s="3" t="inlineStr">
        <is>
          <t>Address</t>
        </is>
      </c>
      <c r="E467" s="3" t="inlineStr">
        <is>
          <t>ທີ່ຢູ່</t>
        </is>
      </c>
      <c r="F467" s="3" t="inlineStr">
        <is>
          <t>လိပ်စာ</t>
        </is>
      </c>
      <c r="G467" s="3">
        <f>IFERROR(__xludf.DUMMYFUNCTION("GOOGLETRANSLATE(C467,""vi"",""km"")"),"អាសយដ្ឋាន")</f>
        <v/>
      </c>
      <c r="H467" s="217" t="inlineStr">
        <is>
          <t>អាស័យដ្ឋាន</t>
        </is>
      </c>
      <c r="J467" s="3" t="inlineStr">
        <is>
          <t>អាសយដ្ឋាន</t>
        </is>
      </c>
      <c r="K467" s="217" t="inlineStr">
        <is>
          <t>អាសយដ្ឋាន</t>
        </is>
      </c>
      <c r="S467" s="163" t="inlineStr">
        <is>
          <t>អាស័យដ្ឋាន</t>
        </is>
      </c>
    </row>
    <row r="468" ht="15.75" customHeight="1" s="305">
      <c r="A468" s="217" t="inlineStr">
        <is>
          <t>ACCOUNT_EDIT.CITIZEN_PROOF</t>
        </is>
      </c>
      <c r="B468" s="153" t="inlineStr">
        <is>
          <t>身份证</t>
        </is>
      </c>
      <c r="C468" s="3" t="inlineStr">
        <is>
          <t>Căn cước công dân/CMT</t>
        </is>
      </c>
      <c r="D468" s="3" t="inlineStr">
        <is>
          <t>Citizen ID/Passport</t>
        </is>
      </c>
      <c r="E468" s="3" t="inlineStr">
        <is>
          <t>ບັດປະຈຳຕົວ/ ສຳມະໂນຄົວ</t>
        </is>
      </c>
      <c r="F468" s="3" t="inlineStr">
        <is>
          <t>နိုင်ငံသား ID/Portport</t>
        </is>
      </c>
      <c r="G468" s="3">
        <f>IFERROR(__xludf.DUMMYFUNCTION("GOOGLETRANSLATE(C468,""vi"",""km"")"),"អត្តសញ្ញាណប័ណ្ណពលរដ្ឋ")</f>
        <v/>
      </c>
      <c r="J468" s="3" t="inlineStr">
        <is>
          <t>អត្តសញ្ញាណប័ណ្ណ/អត្តសញ្ញាណប័ណ្ណសញ្ជាតិខ្មែរ</t>
        </is>
      </c>
      <c r="K468" s="217" t="inlineStr">
        <is>
          <t>អត្តសញ្ញាណប័ណ្ណ/អត្តសញ្ញាណប័ណ្ណសញ្ជាតិខ្មែរ</t>
        </is>
      </c>
      <c r="S468" s="163" t="inlineStr">
        <is>
          <t>អត្តសញ្ញាណប័ណ្ណ/អត្តសញ្ញាណប័ណ្ណសញ្ជាតិខ្មែរ</t>
        </is>
      </c>
    </row>
    <row r="469" ht="15.75" customHeight="1" s="305">
      <c r="A469" s="217" t="inlineStr">
        <is>
          <t>ACCOUNT_EDIT.BIRTHDAY_DATE</t>
        </is>
      </c>
      <c r="B469" s="153" t="inlineStr">
        <is>
          <t>出生日期</t>
        </is>
      </c>
      <c r="C469" s="3" t="inlineStr">
        <is>
          <t>Sinh nhật</t>
        </is>
      </c>
      <c r="D469" s="3" t="inlineStr">
        <is>
          <t>Date of Birth</t>
        </is>
      </c>
      <c r="E469" s="3" t="inlineStr">
        <is>
          <t>ວັນເດືອນປີເກີດ</t>
        </is>
      </c>
      <c r="F469" s="3" t="inlineStr">
        <is>
          <t>မွေးနေ့</t>
        </is>
      </c>
      <c r="G469" s="3">
        <f>IFERROR(__xludf.DUMMYFUNCTION("GOOGLETRANSLATE(C469,""vi"",""km"")"),"ថ្ងៃកំណើត")</f>
        <v/>
      </c>
      <c r="H469" s="217" t="inlineStr">
        <is>
          <t>ថ្ងៃកំណើត</t>
        </is>
      </c>
      <c r="J469" s="3" t="inlineStr">
        <is>
          <t>ថ្ងៃកំណើត</t>
        </is>
      </c>
      <c r="K469" s="217" t="inlineStr">
        <is>
          <t>ថ្ងៃកំណើត</t>
        </is>
      </c>
      <c r="S469" s="163" t="inlineStr">
        <is>
          <t>ថ្ងៃកំណើត</t>
        </is>
      </c>
    </row>
    <row r="470" ht="15.75" customHeight="1" s="305">
      <c r="A470" s="217" t="inlineStr">
        <is>
          <t>ACCOUNT_EDIT.PAYMENT_INFO</t>
        </is>
      </c>
      <c r="B470" s="153" t="inlineStr">
        <is>
          <t>支付信息</t>
        </is>
      </c>
      <c r="C470" s="3" t="inlineStr">
        <is>
          <t>Thông tin thanh toán</t>
        </is>
      </c>
      <c r="D470" s="3" t="inlineStr">
        <is>
          <t>Payment Information</t>
        </is>
      </c>
      <c r="E470" s="3" t="inlineStr">
        <is>
          <t>ຂໍ້ມູນການຈ່າຍເງິນ</t>
        </is>
      </c>
      <c r="F470" s="3" t="inlineStr">
        <is>
          <t>ငွေပေးချေမှု အချက်အလက်များ</t>
        </is>
      </c>
      <c r="G470" s="3">
        <f>IFERROR(__xludf.DUMMYFUNCTION("GOOGLETRANSLATE(C470,""vi"",""km"")"),"ព័ត៌មាន​ទូទាត់")</f>
        <v/>
      </c>
      <c r="H470" s="217" t="inlineStr">
        <is>
          <t>ព័ត៌មានការទូទាត់</t>
        </is>
      </c>
      <c r="J470" s="3" t="inlineStr">
        <is>
          <t>ព័ត៌មានការទូទាត់</t>
        </is>
      </c>
      <c r="K470" s="217" t="inlineStr">
        <is>
          <t>ព័ត៌មានការទូទាត់</t>
        </is>
      </c>
      <c r="S470" s="163" t="inlineStr">
        <is>
          <t>ព័ត៌មានការទូទាត់</t>
        </is>
      </c>
    </row>
    <row r="471" ht="15.75" customHeight="1" s="305">
      <c r="A471" s="217" t="inlineStr">
        <is>
          <t>ACCOUNT_EDIT.BANK_NAME</t>
        </is>
      </c>
      <c r="B471" s="153" t="inlineStr">
        <is>
          <t>银行名称</t>
        </is>
      </c>
      <c r="C471" s="3" t="inlineStr">
        <is>
          <t>Ngân hàng</t>
        </is>
      </c>
      <c r="D471" s="3" t="inlineStr">
        <is>
          <t>Bank Name</t>
        </is>
      </c>
      <c r="E471" s="3" t="inlineStr">
        <is>
          <t>ທະນາຄານ</t>
        </is>
      </c>
      <c r="F471" s="3" t="inlineStr">
        <is>
          <t>ဘဏ်အမည်</t>
        </is>
      </c>
      <c r="G471" s="3">
        <f>IFERROR(__xludf.DUMMYFUNCTION("GOOGLETRANSLATE(C471,""vi"",""km"")"),"ធនាគារ")</f>
        <v/>
      </c>
      <c r="H471" s="217" t="inlineStr">
        <is>
          <t>ធនាគារ</t>
        </is>
      </c>
      <c r="J471" s="3" t="inlineStr">
        <is>
          <t>ធនាគារ</t>
        </is>
      </c>
      <c r="K471" s="217" t="inlineStr">
        <is>
          <t>ធនាគារ</t>
        </is>
      </c>
      <c r="S471" s="163" t="inlineStr">
        <is>
          <t>ធនាគារ</t>
        </is>
      </c>
    </row>
    <row r="472" ht="15.75" customHeight="1" s="305">
      <c r="A472" s="217" t="inlineStr">
        <is>
          <t>ACCOUNT_EDIT.ACCOUNT_NUMBER</t>
        </is>
      </c>
      <c r="B472" s="153" t="inlineStr">
        <is>
          <t>银行账号</t>
        </is>
      </c>
      <c r="C472" s="3" t="inlineStr">
        <is>
          <t>Số tài khoản</t>
        </is>
      </c>
      <c r="D472" s="3" t="inlineStr">
        <is>
          <t>Account Number</t>
        </is>
      </c>
      <c r="E472" s="3" t="inlineStr">
        <is>
          <t>ເລກບັນຊີ</t>
        </is>
      </c>
      <c r="F472" s="3" t="inlineStr">
        <is>
          <t>အကောင့် နံပါတ်</t>
        </is>
      </c>
      <c r="G472" s="3">
        <f>IFERROR(__xludf.DUMMYFUNCTION("GOOGLETRANSLATE(C472,""vi"",""km"")"),"លេខគណនី")</f>
        <v/>
      </c>
      <c r="H472" s="217" t="inlineStr">
        <is>
          <t>លេខគណនី</t>
        </is>
      </c>
      <c r="J472" s="3" t="inlineStr">
        <is>
          <t>លេខគណនីធនាគារ</t>
        </is>
      </c>
      <c r="K472" s="217" t="inlineStr">
        <is>
          <t>លេខគណនីធនាគារ</t>
        </is>
      </c>
      <c r="S472" s="163" t="inlineStr">
        <is>
          <t>លេខគណនី</t>
        </is>
      </c>
    </row>
    <row r="473" ht="15.75" customHeight="1" s="305">
      <c r="A473" s="217" t="inlineStr">
        <is>
          <t>ACCOUNT_EDIT.ACCOUNT_HOST</t>
        </is>
      </c>
      <c r="B473" s="153" t="inlineStr">
        <is>
          <t>账户持有人姓名</t>
        </is>
      </c>
      <c r="C473" s="3" t="inlineStr">
        <is>
          <t>Chủ tài khoản</t>
        </is>
      </c>
      <c r="D473" s="3" t="inlineStr">
        <is>
          <t>Account Holder</t>
        </is>
      </c>
      <c r="E473" s="3" t="inlineStr">
        <is>
          <t>ເຈົ້າຂອງບັນຊີ</t>
        </is>
      </c>
      <c r="F473" s="3" t="inlineStr">
        <is>
          <t>အကောင့်ပိုင်ရှင်</t>
        </is>
      </c>
      <c r="G473" s="3">
        <f>IFERROR(__xludf.DUMMYFUNCTION("GOOGLETRANSLATE(C473,""vi"",""km"")"),"ម្ចាស់គណនី")</f>
        <v/>
      </c>
      <c r="H473" s="217" t="inlineStr">
        <is>
          <t>ម្ចាស់គណនី</t>
        </is>
      </c>
      <c r="J473" s="3" t="inlineStr">
        <is>
          <t>ម្ចាស់គណនី</t>
        </is>
      </c>
      <c r="K473" s="217" t="inlineStr">
        <is>
          <t>ម្ចាស់គណនី</t>
        </is>
      </c>
      <c r="S473" s="163" t="inlineStr">
        <is>
          <t>ម្ចាស់គណនី</t>
        </is>
      </c>
    </row>
    <row r="474" ht="15.75" customHeight="1" s="305">
      <c r="A474" s="217" t="inlineStr">
        <is>
          <t>ACCOUNT_EDIT.UPDATE</t>
        </is>
      </c>
      <c r="B474" s="153" t="inlineStr">
        <is>
          <t>更新</t>
        </is>
      </c>
      <c r="C474" s="3" t="inlineStr">
        <is>
          <t>Cập nhật</t>
        </is>
      </c>
      <c r="D474" s="3" t="inlineStr">
        <is>
          <t>Update</t>
        </is>
      </c>
      <c r="E474" s="3" t="inlineStr">
        <is>
          <t>ອັບເດດ</t>
        </is>
      </c>
      <c r="F474" s="3" t="inlineStr">
        <is>
          <t>အသစ်ပြင်ဆင်မှု</t>
        </is>
      </c>
      <c r="G474" s="3">
        <f>IFERROR(__xludf.DUMMYFUNCTION("GOOGLETRANSLATE(C474,""vi"",""km"")"),"ធ្វើបច្ចុប្បន្នភាព")</f>
        <v/>
      </c>
      <c r="H474" s="217" t="inlineStr">
        <is>
          <t>អាប់ដេត</t>
        </is>
      </c>
      <c r="J474" s="3" t="inlineStr">
        <is>
          <t>ធ្វើបច្ចុប្បន្នភាព</t>
        </is>
      </c>
      <c r="K474" s="217" t="inlineStr">
        <is>
          <t>ធ្វើបច្ចុប្បន្នភាព</t>
        </is>
      </c>
      <c r="S474" s="163" t="inlineStr">
        <is>
          <t>ធ្វើបច្ចុប្បន្នភាព</t>
        </is>
      </c>
    </row>
    <row r="475" ht="15.75" customHeight="1" s="305">
      <c r="A475" s="217" t="inlineStr">
        <is>
          <t>ACCOUNT_EDIT.SAVE_CHANGES</t>
        </is>
      </c>
      <c r="B475" s="153" t="inlineStr">
        <is>
          <t>保存更改</t>
        </is>
      </c>
      <c r="C475" s="3" t="inlineStr">
        <is>
          <t>Lưu thay đổi</t>
        </is>
      </c>
      <c r="D475" s="3" t="inlineStr">
        <is>
          <t>Save Changes</t>
        </is>
      </c>
      <c r="E475" s="3" t="inlineStr">
        <is>
          <t>ບັນທຶກການປ່ຽນແປງ</t>
        </is>
      </c>
      <c r="F475" s="3" t="inlineStr">
        <is>
          <t>အပြောင်းအလဲများကို သိမ်းဆည်းပါ</t>
        </is>
      </c>
      <c r="G475" s="3">
        <f>IFERROR(__xludf.DUMMYFUNCTION("GOOGLETRANSLATE(C475,""vi"",""km"")"),"រក្សាទុកការផ្លាស់ប្តូរ")</f>
        <v/>
      </c>
      <c r="H475" s="217" t="inlineStr">
        <is>
          <t>រក្សាទុកការផ្លាស់ប្តូរ</t>
        </is>
      </c>
      <c r="J475" s="3" t="inlineStr">
        <is>
          <t>រក្សាទុកការផ្លាស់ប្តូរ</t>
        </is>
      </c>
      <c r="K475" s="217" t="inlineStr">
        <is>
          <t>រក្សាទុកការផ្លាស់ប្តូរ</t>
        </is>
      </c>
      <c r="S475" s="163" t="inlineStr">
        <is>
          <t>រក្សាទុកការផ្លាស់ប្តូរ</t>
        </is>
      </c>
    </row>
    <row r="476" ht="15.75" customHeight="1" s="305">
      <c r="A476" s="217" t="inlineStr">
        <is>
          <t>ACCOUNT_EDIT.CONFIRM</t>
        </is>
      </c>
      <c r="B476" s="153" t="inlineStr">
        <is>
          <t>确认</t>
        </is>
      </c>
      <c r="C476" s="3" t="inlineStr">
        <is>
          <t>Xác nhận</t>
        </is>
      </c>
      <c r="D476" s="3" t="inlineStr">
        <is>
          <t>Confirm</t>
        </is>
      </c>
      <c r="E476" s="3" t="inlineStr">
        <is>
          <t>ຢືນຢັນ</t>
        </is>
      </c>
      <c r="F476" s="3" t="inlineStr">
        <is>
          <t>အတည်ပြုပါ။</t>
        </is>
      </c>
      <c r="G476" s="3">
        <f>IFERROR(__xludf.DUMMYFUNCTION("GOOGLETRANSLATE(C476,""vi"",""km"")"),"បញ្ជាក់")</f>
        <v/>
      </c>
      <c r="H476" s="217" t="inlineStr">
        <is>
          <t>បញ្ជាក់</t>
        </is>
      </c>
      <c r="J476" s="3" t="inlineStr">
        <is>
          <t>បញ្ជាក់</t>
        </is>
      </c>
      <c r="K476" s="217" t="inlineStr">
        <is>
          <t>បញ្ជាក់</t>
        </is>
      </c>
      <c r="S476" s="163" t="inlineStr">
        <is>
          <t>បញ្ជាក់</t>
        </is>
      </c>
    </row>
    <row r="477" ht="15.75" customHeight="1" s="305">
      <c r="A477" s="217" t="inlineStr">
        <is>
          <t>ACCOUNT_EDIT.DETAILED_ADDRESS</t>
        </is>
      </c>
      <c r="B477" s="153" t="inlineStr">
        <is>
          <t>详细地址</t>
        </is>
      </c>
      <c r="C477" s="3" t="inlineStr">
        <is>
          <t>Địa chỉ chi tiết</t>
        </is>
      </c>
      <c r="D477" s="3" t="inlineStr">
        <is>
          <t>Detailed Address</t>
        </is>
      </c>
      <c r="E477" s="3" t="inlineStr">
        <is>
          <t>ທີ່ຢູ່ລະອຽດ</t>
        </is>
      </c>
      <c r="F477" s="3" t="inlineStr">
        <is>
          <t>အသေးစိတ် လိပ်စာ</t>
        </is>
      </c>
      <c r="G477" s="3">
        <f>IFERROR(__xludf.DUMMYFUNCTION("GOOGLETRANSLATE(C477,""vi"",""km"")"),"អាសយដ្ឋានលម្អិត")</f>
        <v/>
      </c>
      <c r="H477" s="217" t="inlineStr">
        <is>
          <t>អាស័យដ្ឋានលម្អិត</t>
        </is>
      </c>
      <c r="J477" s="3" t="inlineStr">
        <is>
          <t>អាសយដ្ឋានលម្អិត</t>
        </is>
      </c>
      <c r="K477" s="217" t="inlineStr">
        <is>
          <t>អាសយដ្ឋានលម្អិត</t>
        </is>
      </c>
      <c r="S477" s="163" t="inlineStr">
        <is>
          <t>អាសយដ្ឋានលម្អិត</t>
        </is>
      </c>
    </row>
    <row r="478" ht="15.75" customHeight="1" s="305">
      <c r="A478" s="217" t="inlineStr">
        <is>
          <t>ACCOUNT_EDIT.DISTRICT</t>
        </is>
      </c>
      <c r="B478" s="153" t="inlineStr">
        <is>
          <t>区/县</t>
        </is>
      </c>
      <c r="C478" s="3" t="inlineStr">
        <is>
          <t>Huyện</t>
        </is>
      </c>
      <c r="D478" s="3" t="inlineStr">
        <is>
          <t>District</t>
        </is>
      </c>
      <c r="E478" s="3" t="inlineStr">
        <is>
          <t>ເມືອງ</t>
        </is>
      </c>
      <c r="F478" s="3" t="inlineStr">
        <is>
          <t>ခရိုင်</t>
        </is>
      </c>
      <c r="G478" s="3">
        <f>IFERROR(__xludf.DUMMYFUNCTION("GOOGLETRANSLATE(C478,""vi"",""km"")"),"ស្រុក")</f>
        <v/>
      </c>
      <c r="H478" s="217" t="inlineStr">
        <is>
          <t>ស្រុក</t>
        </is>
      </c>
      <c r="J478" s="3" t="inlineStr">
        <is>
          <t>ស្រុក</t>
        </is>
      </c>
      <c r="K478" s="217" t="inlineStr">
        <is>
          <t>ស្រុក</t>
        </is>
      </c>
      <c r="S478" s="163" t="inlineStr">
        <is>
          <t>ស្រុក</t>
        </is>
      </c>
    </row>
    <row r="479" ht="15.75" customHeight="1" s="305">
      <c r="A479" s="217" t="inlineStr">
        <is>
          <t>ACCOUNT_EDIT.REGION</t>
        </is>
      </c>
      <c r="B479" s="153" t="inlineStr">
        <is>
          <t>省/州</t>
        </is>
      </c>
      <c r="C479" s="3" t="inlineStr">
        <is>
          <t>Liên bang/Vùng</t>
        </is>
      </c>
      <c r="D479" s="3" t="inlineStr">
        <is>
          <t>Region</t>
        </is>
      </c>
      <c r="E479" s="3" t="inlineStr">
        <is>
          <t>ເຂດ/ພາກພື້ນ</t>
        </is>
      </c>
      <c r="F479" s="3" t="inlineStr">
        <is>
          <t>ဒေသ</t>
        </is>
      </c>
      <c r="G479" s="3">
        <f>IFERROR(__xludf.DUMMYFUNCTION("GOOGLETRANSLATE(C479,""vi"",""km"")"),"សហព័ន្ធ/តំបន់")</f>
        <v/>
      </c>
      <c r="H479" s="217" t="inlineStr">
        <is>
          <t>សហព័ន្ធ/តំបន់</t>
        </is>
      </c>
      <c r="J479" s="3" t="inlineStr">
        <is>
          <t>សហព័ន្ធ/តំបន់</t>
        </is>
      </c>
      <c r="K479" s="217" t="inlineStr">
        <is>
          <t>សហព័ន្ធ/តំបន់</t>
        </is>
      </c>
      <c r="S479" s="163" t="inlineStr">
        <is>
          <t>សហព័ន្ធ/តំបន់</t>
        </is>
      </c>
    </row>
    <row r="480" ht="15.75" customHeight="1" s="305">
      <c r="A480" s="217" t="inlineStr">
        <is>
          <t>ACCOUNT_EDIT.TOWN</t>
        </is>
      </c>
      <c r="B480" s="153" t="inlineStr">
        <is>
          <t>城市</t>
        </is>
      </c>
      <c r="C480" s="3" t="inlineStr">
        <is>
          <t>Thị trấn</t>
        </is>
      </c>
      <c r="D480" s="3" t="inlineStr">
        <is>
          <t>Town</t>
        </is>
      </c>
      <c r="E480" s="3" t="inlineStr">
        <is>
          <t>ເມືອງ</t>
        </is>
      </c>
      <c r="F480" s="3" t="inlineStr">
        <is>
          <t>မြို့</t>
        </is>
      </c>
      <c r="G480" s="3">
        <f>IFERROR(__xludf.DUMMYFUNCTION("GOOGLETRANSLATE(C480,""vi"",""km"")"),"ទីក្រុង")</f>
        <v/>
      </c>
      <c r="H480" s="217" t="inlineStr">
        <is>
          <t>ឃុំ</t>
        </is>
      </c>
      <c r="J480" s="3" t="inlineStr">
        <is>
          <t>ឃុំ</t>
        </is>
      </c>
      <c r="K480" s="217" t="inlineStr">
        <is>
          <t>ឃុំ</t>
        </is>
      </c>
      <c r="S480" s="163" t="inlineStr">
        <is>
          <t>ទីប្រជុំជន</t>
        </is>
      </c>
    </row>
    <row r="481" ht="15.75" customHeight="1" s="305">
      <c r="A481" s="217" t="inlineStr">
        <is>
          <t>ACCOUNT_EDIT.VERIFY</t>
        </is>
      </c>
      <c r="B481" s="153" t="inlineStr">
        <is>
          <t>验证</t>
        </is>
      </c>
      <c r="C481" s="3" t="inlineStr">
        <is>
          <t>Xác thực</t>
        </is>
      </c>
      <c r="D481" s="3" t="inlineStr">
        <is>
          <t>Verify</t>
        </is>
      </c>
      <c r="E481" s="3" t="inlineStr">
        <is>
          <t>ການຢືນຢັນ</t>
        </is>
      </c>
      <c r="F481" s="3" t="inlineStr">
        <is>
          <t>အတည်ပြုချက်</t>
        </is>
      </c>
      <c r="G481" s="3">
        <f>IFERROR(__xludf.DUMMYFUNCTION("GOOGLETRANSLATE(C481,""vi"",""km"")"),"ការផ្ទៀងផ្ទាត់ភាពត្រឹមត្រូវ")</f>
        <v/>
      </c>
      <c r="H481" s="217" t="inlineStr">
        <is>
          <t>ផ្ទៀងផ្ទាត់</t>
        </is>
      </c>
      <c r="J481" s="3" t="inlineStr">
        <is>
          <t>ផ្ទៀងផ្ទាត់</t>
        </is>
      </c>
      <c r="K481" s="217" t="inlineStr">
        <is>
          <t>ផ្ទៀងផ្ទាត់</t>
        </is>
      </c>
      <c r="S481" s="163" t="inlineStr">
        <is>
          <t>ផ្ទៀងផ្ទាត់</t>
        </is>
      </c>
    </row>
    <row r="482" ht="15.75" customHeight="1" s="305">
      <c r="A482" s="217" t="inlineStr">
        <is>
          <t>ACCOUNT_EDIT.ACCOUNT_INFO_VERIFICATION</t>
        </is>
      </c>
      <c r="B482" s="153" t="inlineStr">
        <is>
          <t>账户信息验证</t>
        </is>
      </c>
      <c r="C482" s="3" t="inlineStr">
        <is>
          <t>Xác thực thông tin tài khoản</t>
        </is>
      </c>
      <c r="D482" s="3" t="inlineStr">
        <is>
          <t>Account Information Verification</t>
        </is>
      </c>
      <c r="E482" s="3" t="inlineStr">
        <is>
          <t>ຢືນຢັນຂໍ້ມູນບັນຊີ</t>
        </is>
      </c>
      <c r="F482" s="3" t="inlineStr">
        <is>
          <t>အကောင့်သတင်းအချက်အလက် စစ်ဆေးခြင်း</t>
        </is>
      </c>
      <c r="G482" s="3">
        <f>IFERROR(__xludf.DUMMYFUNCTION("GOOGLETRANSLATE(C482,""vi"",""km"")"),"ផ្ទៀងផ្ទាត់ព័ត៌មានគណនី")</f>
        <v/>
      </c>
      <c r="H482" s="217" t="inlineStr">
        <is>
          <t>ផ្ទៀងផ្ទាត់ព័ត៌មានគណនី</t>
        </is>
      </c>
      <c r="J482" s="3" t="inlineStr">
        <is>
          <t>ផ្ទៀងផ្ទាត់ព័ត៌មានគណនី</t>
        </is>
      </c>
      <c r="K482" s="217" t="inlineStr">
        <is>
          <t>ផ្ទៀងផ្ទាត់ព័ត៌មានគណនី</t>
        </is>
      </c>
      <c r="S482" s="163" t="inlineStr">
        <is>
          <t>ផ្ទៀងផ្ទាត់ព័ត៌មានគណនី</t>
        </is>
      </c>
    </row>
    <row r="483" ht="15.75" customHeight="1" s="305">
      <c r="A483" s="217" t="inlineStr">
        <is>
          <t>ACCOUNT_EDIT.PROTECTION_POLICY</t>
        </is>
      </c>
      <c r="B483" s="153" t="inlineStr">
        <is>
          <t>为保障账户安全，请选择以下方式获取并验证验证码</t>
        </is>
      </c>
      <c r="C483" s="3" t="inlineStr">
        <is>
          <t>Để bảo vệ quyền riêng tư và tiếp tục chỉnh sửa thông tin cá nhân của quý khách, vui lòng xác nhận mã OTP bằng 1 trong 2 hình thức sau</t>
        </is>
      </c>
      <c r="D483" s="3" t="inlineStr">
        <is>
          <t>To protect your privacy and continue editing your personal information, please confirm the OTP code using one of the following methods</t>
        </is>
      </c>
      <c r="E483" s="3" t="inlineStr">
        <is>
          <t>ເພື່ອປົກປ້ອງຄວາມເປັນສ່ວນຕົວຂອງທ່ານແລະສືບຕໍ່ແກ້ໄຂຂໍ້ມູນສ່ວນຕົວຂອງທ່ານ, ກະລຸນາຢືນຢັນລະຫັດ OTP ໃນສອງວິທີຕໍ່ໄປນີ້:</t>
        </is>
      </c>
      <c r="F483" s="3" t="inlineStr">
        <is>
          <t>ကိုယ်ရေးကိုယ်တာအချက်အလက်တွေကို ဆက်လုပ်ဆောင်ဖို့ OTP သင်္ကေတကို အောက်ပါနည်းတွေထဲက တစ်ခုကိုသုံးပြီး အတည်ပြုပါ</t>
        </is>
      </c>
      <c r="G483" s="3">
        <f>IFERROR(__xludf.DUMMYFUNCTION("GOOGLETRANSLATE(C483,""vi"",""km"")"),"ដើម្បីការពារភាពឯកជនរបស់អ្នក និងអនុញ្ញាតឱ្យយើងបន្តកែសម្រួលព័ត៌មានផ្ទាល់ខ្លួនរបស់អ្នក សូមបញ្ជាក់លេខកូដ OTP ដោយប្រើវិធីសាស្ត្រមួយក្នុងចំណោមវិធីសាស្ត្រពីរខាងក្រោម។")</f>
        <v/>
      </c>
      <c r="J483" s="3" t="inlineStr">
        <is>
          <t>ដើម្បីការពារឯកជនភាពរបស់អ្នក និងបន្តកែសម្រួលព័ត៌មានផ្ទាល់ខ្លួនរបស់អ្នក សូមបញ្ជាក់លេខកូដ OTP ជាទម្រង់ 1 ក្នុងចំណោម 2 ទម្រង់បន្ទាប់</t>
        </is>
      </c>
      <c r="K483" s="217" t="inlineStr">
        <is>
          <t>ដើម្បីការពារឯកជនភាពរបស់អ្នក និងបន្តកែសម្រួលព័ត៌មានផ្ទាល់ខ្លួនរបស់អ្នក សូមបញ្ជាក់លេខកូដ OTP ជាទម្រង់ 1 ក្នុងចំណោម 2 ទម្រង់បន្ទាប់</t>
        </is>
      </c>
      <c r="S483" s="163" t="inlineStr">
        <is>
          <t>ដើម្បីការពារឯកជនភាពរបស់អ្នក និងបន្តកែសម្រួលព័ត៌មានផ្ទាល់ខ្លួនរបស់អ្នក សូមបញ្ជាក់លេខកូដ OTP ជាទម្រង់ 1 ក្នុងចំណោម 2 ទម្រង់បន្ទាប់</t>
        </is>
      </c>
    </row>
    <row r="484" ht="15.75" customHeight="1" s="305">
      <c r="A484" s="217" t="inlineStr">
        <is>
          <t>ACCOUNT_EDIT.SEND_SMS</t>
        </is>
      </c>
      <c r="B484" s="153" t="inlineStr">
        <is>
          <t>通过短信发送</t>
        </is>
      </c>
      <c r="C484" s="3" t="inlineStr">
        <is>
          <t>Gửi qua SMS</t>
        </is>
      </c>
      <c r="D484" s="3" t="inlineStr">
        <is>
          <t>Send via SMS</t>
        </is>
      </c>
      <c r="E484" s="3" t="inlineStr">
        <is>
          <t>ສົ່ງຜ່ານ SMS</t>
        </is>
      </c>
      <c r="F484" s="3" t="inlineStr">
        <is>
          <t>SMS မှတစ်ဆင့် ပေးပို့ပါ</t>
        </is>
      </c>
      <c r="G484" s="3">
        <f>IFERROR(__xludf.DUMMYFUNCTION("GOOGLETRANSLATE(C484,""vi"",""km"")"),"ផ្ញើតាមរយៈសារ SMS")</f>
        <v/>
      </c>
      <c r="H484" s="217" t="inlineStr">
        <is>
          <t xml:space="preserve">ផ្ញើតាម SMS </t>
        </is>
      </c>
      <c r="J484" s="3" t="inlineStr">
        <is>
          <t>ផ្ញើតាម SMS</t>
        </is>
      </c>
      <c r="K484" s="217" t="inlineStr">
        <is>
          <t>ផ្ញើតាម SMS</t>
        </is>
      </c>
      <c r="S484" s="163" t="inlineStr">
        <is>
          <t>ផ្ញើតាមសារ SMS</t>
        </is>
      </c>
    </row>
    <row r="485" ht="15.75" customHeight="1" s="305">
      <c r="A485" s="217" t="inlineStr">
        <is>
          <t>ACCOUNT_EDIT.VERIFY_OTP_BY_SMS</t>
        </is>
      </c>
      <c r="B485" s="153" t="inlineStr">
        <is>
          <t>通过短信验证验证码</t>
        </is>
      </c>
      <c r="C485" s="3" t="inlineStr">
        <is>
          <t>Xác thực OTP qua SMS</t>
        </is>
      </c>
      <c r="D485" s="3" t="inlineStr">
        <is>
          <t>Verify OTP via SMS</t>
        </is>
      </c>
      <c r="E485" s="3" t="inlineStr">
        <is>
          <t>ການກວດສອບ OTP ຜ່ານ SMS</t>
        </is>
      </c>
      <c r="F485" s="3" t="inlineStr">
        <is>
          <t>SMS မှတစ်ဆင့် OTP ကို အတည်ပြုပါ</t>
        </is>
      </c>
      <c r="G485" s="3">
        <f>IFERROR(__xludf.DUMMYFUNCTION("GOOGLETRANSLATE(C485,""vi"",""km"")"),"ការផ្ទៀងផ្ទាត់ OTP តាមរយៈសារ SMS")</f>
        <v/>
      </c>
      <c r="H485" s="217" t="inlineStr">
        <is>
          <t>ផ្ទៀងផ្ទាត់ OTP តាម SMS</t>
        </is>
      </c>
      <c r="J485" s="3" t="inlineStr">
        <is>
          <t>ផ្ទៀងផ្ទាត់ OTP តាម SMS</t>
        </is>
      </c>
      <c r="K485" s="217" t="inlineStr">
        <is>
          <t>ផ្ទៀងផ្ទាត់ OTP តាម SMS</t>
        </is>
      </c>
      <c r="S485" s="163" t="inlineStr">
        <is>
          <t>ផ្ទៀងផ្ទាត់ OTP តាមរយៈ SMS</t>
        </is>
      </c>
    </row>
    <row r="486" ht="15.75" customHeight="1" s="305">
      <c r="A486" s="217" t="inlineStr">
        <is>
          <t>ACCOUNT_EDIT.OTP_SENT_TO</t>
        </is>
      </c>
      <c r="B486" s="153" t="inlineStr">
        <is>
          <t>验证码已通过短信发送至您的手机</t>
        </is>
      </c>
      <c r="C486" s="3" t="inlineStr">
        <is>
          <t>Mã OTP đã được gửi về SMS của quý khách qua sđt</t>
        </is>
      </c>
      <c r="D486" s="3" t="inlineStr">
        <is>
          <t>OTP code has been sent to your phone number via SMS</t>
        </is>
      </c>
      <c r="E486" s="3" t="inlineStr">
        <is>
          <t>ລະຫັດ OTP ໄດ້ຖືກສົ່ງໄປຫາ SMS ຂອງທ່ານຜ່ານເບີໂທລະສັບ.</t>
        </is>
      </c>
      <c r="F486" s="3" t="inlineStr">
        <is>
          <t>OTP သင်္ကေတကို SMS မှတစ်ဆင့် သင့်ဖုန်းနံပါတ်ကို ပေးပို့ခဲ့ပါတယ်</t>
        </is>
      </c>
      <c r="G486" s="3">
        <f>IFERROR(__xludf.DUMMYFUNCTION("GOOGLETRANSLATE(C486,""vi"",""km"")"),"លេខកូដ OTP ត្រូវបានផ្ញើទៅកាន់លេខសារ SMS របស់អ្នក។")</f>
        <v/>
      </c>
      <c r="H486" s="217" t="inlineStr">
        <is>
          <t>លេខកូដ OTP បានផ្ញើសារទៅ SMS របស់អតិថិជនតាមលេខទូរស័ព្ទ</t>
        </is>
      </c>
      <c r="J486" s="3" t="inlineStr">
        <is>
          <t>លេខកូដ OTP បានផ្ញើសារទៅ SMS របស់អតិថិជនតាមលេខទូរស័ព្ទ</t>
        </is>
      </c>
      <c r="K486" s="217" t="inlineStr">
        <is>
          <t>លេខកូដ OTP បានផ្ញើសារទៅ SMS របស់អតិថិជនតាមលេខទូរស័ព្ទ</t>
        </is>
      </c>
      <c r="S486" s="163" t="inlineStr">
        <is>
          <t>លេខកូដ OTP ត្រូវបានផ្ញើទៅ SMS របស់អ្នកតាមរយៈលេខទូរស័ព្ទ</t>
        </is>
      </c>
    </row>
    <row r="487" ht="15.75" customHeight="1" s="305">
      <c r="A487" s="217" t="inlineStr">
        <is>
          <t>ACCOUNT_EDIT.RESEND_AFTER</t>
        </is>
      </c>
      <c r="B487" s="161" t="inlineStr">
        <is>
          <t>{X}秒后重新发送</t>
        </is>
      </c>
      <c r="C487" s="3" t="inlineStr">
        <is>
          <t>Gửi lại sau</t>
        </is>
      </c>
      <c r="D487" s="3" t="inlineStr">
        <is>
          <t>Resend after</t>
        </is>
      </c>
      <c r="E487" s="3" t="inlineStr">
        <is>
          <t>ສົ່ງຄືນໃນພາຍຫຼັງ</t>
        </is>
      </c>
      <c r="F487" s="3" t="inlineStr">
        <is>
          <t>ပြန်လည်ပို့ဆောင်ပြီးနောက်</t>
        </is>
      </c>
      <c r="G487" s="3">
        <f>IFERROR(__xludf.DUMMYFUNCTION("GOOGLETRANSLATE(C487,""vi"",""km"")"),"ផ្ញើវាមកវិញពេលក្រោយ។")</f>
        <v/>
      </c>
      <c r="H487" s="217" t="inlineStr">
        <is>
          <t>ផ្ញើម្តងទៀតពេលក្រោយ</t>
        </is>
      </c>
      <c r="J487" s="3" t="inlineStr">
        <is>
          <t>ផ្ញើម្តងទៀតពេលក្រោយ</t>
        </is>
      </c>
      <c r="K487" s="217" t="inlineStr">
        <is>
          <t>ផ្ញើម្តងទៀតពេលក្រោយ</t>
        </is>
      </c>
      <c r="S487" s="163" t="inlineStr">
        <is>
          <t>ផ្ញើម្តងទៀតនៅពេលក្រោយ</t>
        </is>
      </c>
    </row>
    <row r="488" ht="15.75" customHeight="1" s="305">
      <c r="A488" s="217" t="inlineStr">
        <is>
          <t>ACCOUNT_EDIT.SEND_OTP</t>
        </is>
      </c>
      <c r="B488" s="153" t="inlineStr">
        <is>
          <t>发送验证码</t>
        </is>
      </c>
      <c r="C488" s="3" t="inlineStr">
        <is>
          <t>Gửi OTP</t>
        </is>
      </c>
      <c r="D488" s="3" t="inlineStr">
        <is>
          <t>Send OTP</t>
        </is>
      </c>
      <c r="E488" s="3" t="inlineStr">
        <is>
          <t>ສົ່ງ OTP</t>
        </is>
      </c>
      <c r="F488" s="3" t="inlineStr">
        <is>
          <t>OTP ပေးပို့ပါ</t>
        </is>
      </c>
      <c r="G488" s="3">
        <f>IFERROR(__xludf.DUMMYFUNCTION("GOOGLETRANSLATE(C488,""vi"",""km"")"),"ផ្ញើ OTP")</f>
        <v/>
      </c>
      <c r="H488" s="217" t="inlineStr">
        <is>
          <t>ផ្ញើ OTP</t>
        </is>
      </c>
      <c r="J488" s="3" t="inlineStr">
        <is>
          <t>ផ្ញើ OTP</t>
        </is>
      </c>
      <c r="K488" s="217" t="inlineStr">
        <is>
          <t>ផ្ញើ OTP</t>
        </is>
      </c>
      <c r="S488" s="163" t="inlineStr">
        <is>
          <t>ផ្ញើ OTP</t>
        </is>
      </c>
    </row>
    <row r="489" ht="15.75" customHeight="1" s="305">
      <c r="A489" s="217" t="inlineStr">
        <is>
          <t>ACCOUNT_EDIT.DONE</t>
        </is>
      </c>
      <c r="B489" s="153" t="inlineStr">
        <is>
          <t>完成</t>
        </is>
      </c>
      <c r="C489" s="3" t="inlineStr">
        <is>
          <t>Xong</t>
        </is>
      </c>
      <c r="D489" s="3" t="inlineStr">
        <is>
          <t>Done</t>
        </is>
      </c>
      <c r="E489" s="3" t="inlineStr">
        <is>
          <t>ສຳເລັດແລ້ວ</t>
        </is>
      </c>
      <c r="F489" s="3" t="inlineStr">
        <is>
          <t>လုပ်ကိုင်ခဲ့</t>
        </is>
      </c>
      <c r="G489" s="3">
        <f>IFERROR(__xludf.DUMMYFUNCTION("GOOGLETRANSLATE(C489,""vi"",""km"")"),"បានបញ្ចប់")</f>
        <v/>
      </c>
      <c r="H489" s="217" t="inlineStr">
        <is>
          <t>រួចរាល់</t>
        </is>
      </c>
      <c r="J489" s="3" t="inlineStr">
        <is>
          <t>រួចរាល់</t>
        </is>
      </c>
      <c r="K489" s="217" t="inlineStr">
        <is>
          <t>រួចរាល់</t>
        </is>
      </c>
      <c r="S489" s="163" t="inlineStr">
        <is>
          <t>រួចរាល់</t>
        </is>
      </c>
    </row>
    <row r="490" ht="15.75" customHeight="1" s="305">
      <c r="A490" s="217" t="inlineStr">
        <is>
          <t>ACCOUNT_EDIT.CONTRACT_SIGNED</t>
        </is>
      </c>
      <c r="B490" s="153" t="inlineStr">
        <is>
          <t>合同已签订</t>
        </is>
      </c>
      <c r="C490" s="3" t="inlineStr">
        <is>
          <t>Đã ký hợp đồng</t>
        </is>
      </c>
      <c r="D490" s="3" t="inlineStr">
        <is>
          <t>Contract Signed</t>
        </is>
      </c>
      <c r="E490" s="3" t="inlineStr">
        <is>
          <t>ເຊັນສັນຍາ</t>
        </is>
      </c>
      <c r="F490" s="3" t="inlineStr">
        <is>
          <t>လက်မှတ်ရေးထိုးထားသော စာချုပ်</t>
        </is>
      </c>
      <c r="G490" s="3">
        <f>IFERROR(__xludf.DUMMYFUNCTION("GOOGLETRANSLATE(C490,""vi"",""km"")"),"កិច្ចសន្យាត្រូវបានចុះហត្ថលេខា")</f>
        <v/>
      </c>
      <c r="H490" s="217" t="inlineStr">
        <is>
          <t>បានធ្វើកិច្ចសន្យា</t>
        </is>
      </c>
      <c r="J490" s="3" t="inlineStr">
        <is>
          <t>បានធ្វើកិច្ចសន្យា</t>
        </is>
      </c>
      <c r="K490" s="217" t="inlineStr">
        <is>
          <t>បានធ្វើកិច្ចសន្យា</t>
        </is>
      </c>
      <c r="S490" s="163" t="inlineStr">
        <is>
          <t>បានចុះហត្ថលេខាលើកិច្ចសន្យា</t>
        </is>
      </c>
    </row>
    <row r="491" ht="15.75" customHeight="1" s="305">
      <c r="A491" s="217" t="inlineStr">
        <is>
          <t>ACCOUNT_EDIT.INCORRECT_EMAIL</t>
        </is>
      </c>
      <c r="B491" s="153" t="inlineStr">
        <is>
          <t>邮箱格式无效</t>
        </is>
      </c>
      <c r="C491" s="3" t="inlineStr">
        <is>
          <t>Email không hợp lệ</t>
        </is>
      </c>
      <c r="D491" s="3" t="inlineStr">
        <is>
          <t>Invalid Email</t>
        </is>
      </c>
      <c r="E491" s="3" t="inlineStr">
        <is>
          <t>ອີເມວບໍ່ຖືກຕ້ອງ</t>
        </is>
      </c>
      <c r="F491" s="3" t="inlineStr">
        <is>
          <t>မသဲမကွဲ အီးမေးလ်</t>
        </is>
      </c>
      <c r="G491" s="3">
        <f>IFERROR(__xludf.DUMMYFUNCTION("GOOGLETRANSLATE(C491,""vi"",""km"")"),"អ៊ីមែលមិនត្រឹមត្រូវ")</f>
        <v/>
      </c>
      <c r="H491" s="217" t="inlineStr">
        <is>
          <t>អ៊ីម៉ែលមិនត្រឹមត្រូវ</t>
        </is>
      </c>
      <c r="J491" s="3" t="inlineStr">
        <is>
          <t>អ៊ីមែលមិនត្រឹមត្រូវទេ</t>
        </is>
      </c>
      <c r="K491" s="217" t="inlineStr">
        <is>
          <t>អ៊ីមែលមិនត្រឹមត្រូវទេ</t>
        </is>
      </c>
      <c r="S491" s="163" t="inlineStr">
        <is>
          <t>អ៊ីមែលមិនត្រឹមត្រូវ</t>
        </is>
      </c>
    </row>
    <row r="492" ht="15.75" customHeight="1" s="305">
      <c r="A492" s="217" t="inlineStr">
        <is>
          <t>ACCOUNT_EDIT.PLEASE_VERIFY</t>
        </is>
      </c>
      <c r="B492" s="153" t="inlineStr">
        <is>
          <t>请先验证手机号码</t>
        </is>
      </c>
      <c r="C492" s="3" t="inlineStr">
        <is>
          <t>Vui lòng xác thực số điện thoại</t>
        </is>
      </c>
      <c r="D492" s="3" t="inlineStr">
        <is>
          <t>Please verify your phone number</t>
        </is>
      </c>
      <c r="E492" s="3" t="inlineStr">
        <is>
          <t>ກະລຸນາຢັ້ງຢືນເບີໂທລະສັບຂອງທ່ານ</t>
        </is>
      </c>
      <c r="F492" s="3" t="inlineStr">
        <is>
          <t>ဖုန်းနံပါတ်ကို အတည်ပြုပါ</t>
        </is>
      </c>
      <c r="G492" s="3">
        <f>IFERROR(__xludf.DUMMYFUNCTION("GOOGLETRANSLATE(C492,""vi"",""km"")"),"សូមផ្ទៀងផ្ទាត់លេខទូរស័ព្ទរបស់អ្នក។")</f>
        <v/>
      </c>
      <c r="H492" s="217" t="inlineStr">
        <is>
          <t>សូមផ្ទៀងផ្ទាត់លេខទូរស័ព្ទ</t>
        </is>
      </c>
      <c r="J492" s="3" t="inlineStr">
        <is>
          <t>សូមផ្ទៀងផ្ទាត់លេខទូរស័ព្ទ</t>
        </is>
      </c>
      <c r="K492" s="217" t="inlineStr">
        <is>
          <t>សូមផ្ទៀងផ្ទាត់លេខទូរស័ព្ទ</t>
        </is>
      </c>
      <c r="S492" s="163" t="inlineStr">
        <is>
          <t>សូមផ្ទៀងផ្ទាត់លេខទូរស័ព្ទ</t>
        </is>
      </c>
    </row>
    <row r="493" ht="15.75" customHeight="1" s="305">
      <c r="A493" s="217" t="inlineStr">
        <is>
          <t>ACCOUNT_EDIT.FREIGHT_PAYMENT_INFO</t>
        </is>
      </c>
      <c r="B493" s="153" t="inlineStr">
        <is>
          <t>运费支付信息</t>
        </is>
      </c>
      <c r="C493" s="3" t="inlineStr">
        <is>
          <t>Thông tin thanh toán cước</t>
        </is>
      </c>
      <c r="D493" s="3" t="inlineStr">
        <is>
          <t>Freight payment information</t>
        </is>
      </c>
      <c r="E493" s="3" t="inlineStr">
        <is>
          <t>ຂໍ້ມູນການຈ່າຍເງິນ</t>
        </is>
      </c>
      <c r="F493" s="3" t="inlineStr">
        <is>
          <t>ကုန်တင် ငွေပေးချေမှု သတင်းအချက်အလက်</t>
        </is>
      </c>
      <c r="G493" s="3">
        <f>IFERROR(__xludf.DUMMYFUNCTION("GOOGLETRANSLATE(C493,""vi"",""km"")"),"ព័ត៌មាន​ទូទាត់​វិក្កយបត្រ")</f>
        <v/>
      </c>
      <c r="H493" s="217" t="inlineStr">
        <is>
          <t>ព័ត៌មានទូទាត់ថ្លៃសេវា</t>
        </is>
      </c>
      <c r="J493" s="3" t="inlineStr">
        <is>
          <t>ព័ត៌មានទូទាត់ថ្លៃសេវា</t>
        </is>
      </c>
      <c r="K493" s="217" t="inlineStr">
        <is>
          <t>ព័ត៌មានទូទាត់ថ្លៃសេវា</t>
        </is>
      </c>
      <c r="S493" s="163" t="inlineStr">
        <is>
          <t>ព័ត៌មានការទូទាត់</t>
        </is>
      </c>
    </row>
    <row r="494" ht="15.75" customHeight="1" s="305">
      <c r="A494" s="217" t="inlineStr">
        <is>
          <t>ACCOUNT_EDIT.PAYMENT_METHOD</t>
        </is>
      </c>
      <c r="B494" s="153" t="inlineStr">
        <is>
          <t>支付方式</t>
        </is>
      </c>
      <c r="C494" s="3" t="inlineStr">
        <is>
          <t>Phương thức thanh toán</t>
        </is>
      </c>
      <c r="D494" s="3" t="inlineStr">
        <is>
          <t>Payment method</t>
        </is>
      </c>
      <c r="E494" s="3" t="inlineStr">
        <is>
          <t>ວິທີການຈ່າຍເງິນ</t>
        </is>
      </c>
      <c r="F494" s="3" t="inlineStr">
        <is>
          <t>ငွေပေးချေနည်း</t>
        </is>
      </c>
      <c r="G494" s="3">
        <f>IFERROR(__xludf.DUMMYFUNCTION("GOOGLETRANSLATE(C494,""vi"",""km"")"),"វិធីសាស្ត្រទូទាត់")</f>
        <v/>
      </c>
      <c r="H494" s="217" t="inlineStr">
        <is>
          <t>វិធីសាស្រ្តទូទាត់</t>
        </is>
      </c>
      <c r="J494" s="3" t="inlineStr">
        <is>
          <t>វិធីសាស្រ្តទូទាត់</t>
        </is>
      </c>
      <c r="K494" s="217" t="inlineStr">
        <is>
          <t>វិធីសាស្រ្តទូទាត់</t>
        </is>
      </c>
      <c r="S494" s="163" t="inlineStr">
        <is>
          <t>វិធីបង់ប្រាក់</t>
        </is>
      </c>
    </row>
    <row r="495" ht="15.75" customHeight="1" s="305">
      <c r="A495" s="217" t="inlineStr">
        <is>
          <t>ACCOUNT_EDIT.PAYMENT_TYPE</t>
        </is>
      </c>
      <c r="B495" s="153" t="inlineStr">
        <is>
          <t>付款类型</t>
        </is>
      </c>
      <c r="C495" s="3" t="inlineStr">
        <is>
          <t>Hình thức thanh toán</t>
        </is>
      </c>
      <c r="D495" s="3" t="inlineStr">
        <is>
          <t>Payment type</t>
        </is>
      </c>
      <c r="E495" s="3" t="inlineStr">
        <is>
          <t>ວິທີການຈ່າຍເງິນ</t>
        </is>
      </c>
      <c r="F495" s="3" t="inlineStr">
        <is>
          <t>ငွေပေးချေမှုအမျိုးအစား</t>
        </is>
      </c>
      <c r="G495" s="3">
        <f>IFERROR(__xludf.DUMMYFUNCTION("GOOGLETRANSLATE(C495,""vi"",""km"")"),"វិធីសាស្ត្រទូទាត់")</f>
        <v/>
      </c>
      <c r="H495" s="217" t="inlineStr">
        <is>
          <t>ប្រភេទនៃការទូទាត់</t>
        </is>
      </c>
      <c r="J495" s="3" t="inlineStr">
        <is>
          <t>ប្រភេទនៃការទូទាត់</t>
        </is>
      </c>
      <c r="K495" s="217" t="inlineStr">
        <is>
          <t>ប្រភេទនៃការទូទាត់</t>
        </is>
      </c>
      <c r="S495" s="163" t="inlineStr">
        <is>
          <t>វិធីបង់ប្រាក់</t>
        </is>
      </c>
    </row>
    <row r="496" ht="15.75" customHeight="1" s="305">
      <c r="A496" s="217" t="inlineStr">
        <is>
          <t>ACCOUNT_EDIT.COD_PAYMENT_INFO</t>
        </is>
      </c>
      <c r="B496" s="153" t="inlineStr">
        <is>
          <t>代收货款支付信息</t>
        </is>
      </c>
      <c r="C496" s="3" t="inlineStr">
        <is>
          <t>Thông tin thanh toán COD</t>
        </is>
      </c>
      <c r="D496" s="3" t="inlineStr">
        <is>
          <t>COD payment information</t>
        </is>
      </c>
      <c r="E496" s="3" t="inlineStr">
        <is>
          <t>ຂໍ້ມູນການຈ່າຍເງິນ COD</t>
        </is>
      </c>
      <c r="F496" s="3" t="inlineStr">
        <is>
          <t>COD ငွေပေးချေမှု အချက်အလက်</t>
        </is>
      </c>
      <c r="G496" s="3">
        <f>IFERROR(__xludf.DUMMYFUNCTION("GOOGLETRANSLATE(C496,""vi"",""km"")"),"ព័ត៌មានអំពីការទូទាត់ប្រាក់ពេលទទួលទំនិញ (COD)")</f>
        <v/>
      </c>
      <c r="H496" s="217" t="inlineStr">
        <is>
          <t>ព័ត៌មានទូូទាត់ COD</t>
        </is>
      </c>
      <c r="J496" s="3" t="inlineStr">
        <is>
          <t>ព័ត៌មានទូូទាត់ COD</t>
        </is>
      </c>
      <c r="K496" s="217" t="inlineStr">
        <is>
          <t>ព័ត៌មានទូូទាត់ COD</t>
        </is>
      </c>
      <c r="S496" s="163" t="inlineStr">
        <is>
          <t>ព័ត៌មានអំពីការទូទាត់ COD</t>
        </is>
      </c>
    </row>
    <row r="497" ht="15.75" customHeight="1" s="305">
      <c r="A497" s="217" t="inlineStr">
        <is>
          <t>ACCOUNT_EDIT.MON_WED_FRI</t>
        </is>
      </c>
      <c r="B497" s="153" t="inlineStr">
        <is>
          <t>每周一、三、五</t>
        </is>
      </c>
      <c r="C497" s="3" t="inlineStr">
        <is>
          <t>Thứ 2,4,6 hàng tuần</t>
        </is>
      </c>
      <c r="D497" s="3" t="inlineStr">
        <is>
          <t>Every Monday, Wednesday, Friday</t>
        </is>
      </c>
      <c r="E497" s="3" t="inlineStr">
        <is>
          <t>ທຸກໆວັນຈັນ, ວັນພຸດ, ວັນສຸກ</t>
        </is>
      </c>
      <c r="F497" s="3" t="inlineStr">
        <is>
          <t>တနင်္လာနေ့ ဗုဒ္ဓဟူးနေ့၊ သောကြာနေ့ တိုင်း</t>
        </is>
      </c>
      <c r="G497" s="3">
        <f>IFERROR(__xludf.DUMMYFUNCTION("GOOGLETRANSLATE(C497,""vi"",""km"")"),"ថ្ងៃច័ន្ទ ថ្ងៃពុធ និងថ្ងៃសុក្រ")</f>
        <v/>
      </c>
      <c r="H497" s="217" t="inlineStr">
        <is>
          <t>ថ្ងៃ ច័ន្ទ ពុធ សុក្រ រាល់សប្តាហ៍</t>
        </is>
      </c>
      <c r="J497" s="3" t="inlineStr">
        <is>
          <t>ថ្ងៃ ច័ន្ទ ពុធ សុក្រ រាល់សប្តាហ៍</t>
        </is>
      </c>
      <c r="K497" s="217" t="inlineStr">
        <is>
          <t>ថ្ងៃ ច័ន្ទ ពុធ សុក្រ រាល់សប្តាហ៍</t>
        </is>
      </c>
      <c r="S497" s="163" t="inlineStr">
        <is>
          <t>ថ្ងៃច័ន្ទ ពុធ សុក្រ រៀងរាល់សប្តាហ៍</t>
        </is>
      </c>
    </row>
    <row r="498" ht="15.75" customHeight="1" s="305">
      <c r="A498" s="217" t="inlineStr">
        <is>
          <t>ACCOUNT_EDIT.TUE_THU</t>
        </is>
      </c>
      <c r="B498" s="153" t="inlineStr">
        <is>
          <t>每周二、四</t>
        </is>
      </c>
      <c r="C498" s="3" t="inlineStr">
        <is>
          <t>Thứ 3,5 hàng tuần</t>
        </is>
      </c>
      <c r="D498" s="3" t="inlineStr">
        <is>
          <t>Every Tuesday, Thursday</t>
        </is>
      </c>
      <c r="E498" s="3" t="inlineStr">
        <is>
          <t>ທຸກໆວັນອັງຄານ ແລະວັນພະຫັດ</t>
        </is>
      </c>
      <c r="F498" s="3" t="inlineStr">
        <is>
          <t>ကြာသပတေးနေ့တိုင်း အင်္ဂါနေ့တိုင်း</t>
        </is>
      </c>
      <c r="G498" s="3">
        <f>IFERROR(__xludf.DUMMYFUNCTION("GOOGLETRANSLATE(C498,""vi"",""km"")"),"ថ្ងៃអង្គារ និងថ្ងៃព្រហស្បតិ៍ រៀងរាល់សប្តាហ៍")</f>
        <v/>
      </c>
      <c r="H498" s="217" t="inlineStr">
        <is>
          <t>ថ្ងៃ្ង អង្គារ ព្រហស្បត្តិ៍ រាល់សប្តាហ៍</t>
        </is>
      </c>
      <c r="J498" s="3" t="inlineStr">
        <is>
          <t>ថ្ងៃ្ង អង្គារ ព្រហស្បត្តិ៍ រាល់សប្តាហ៍</t>
        </is>
      </c>
      <c r="K498" s="217" t="inlineStr">
        <is>
          <t>ថ្ងៃ្ង អង្គារ ព្រហស្បត្តិ៍ រាល់សប្តាហ៍</t>
        </is>
      </c>
      <c r="S498" s="163" t="inlineStr">
        <is>
          <t>ថ្ងៃអង្គារ ថ្ងៃព្រហស្បតិ៍ រៀងរាល់សប្តាហ៍</t>
        </is>
      </c>
    </row>
    <row r="499" ht="15.75" customHeight="1" s="305">
      <c r="A499" s="217" t="inlineStr">
        <is>
          <t>ACCOUNT_EDIT.FIXED_DATE</t>
        </is>
      </c>
      <c r="B499" s="153" t="inlineStr">
        <is>
          <t>固定日期</t>
        </is>
      </c>
      <c r="C499" s="3" t="inlineStr">
        <is>
          <t>Ngày trong tháng</t>
        </is>
      </c>
      <c r="D499" s="3" t="inlineStr">
        <is>
          <t>Fixed date</t>
        </is>
      </c>
      <c r="E499" s="3" t="inlineStr">
        <is>
          <t>ມື້ຂອງເດືອນ</t>
        </is>
      </c>
      <c r="F499" s="3" t="inlineStr">
        <is>
          <t>သတ်မှတ်ရက်စွဲ</t>
        </is>
      </c>
      <c r="G499" s="3">
        <f>IFERROR(__xludf.DUMMYFUNCTION("GOOGLETRANSLATE(C499,""vi"",""km"")"),"ថ្ងៃនៃខែ")</f>
        <v/>
      </c>
      <c r="H499" s="217" t="inlineStr">
        <is>
          <t>ថ្ងៃក្នុងសប្តាហ៍</t>
        </is>
      </c>
      <c r="J499" s="3" t="inlineStr">
        <is>
          <t>ថ្ងៃក្នុងសប្តាហ៍</t>
        </is>
      </c>
      <c r="K499" s="217" t="inlineStr">
        <is>
          <t>ថ្ងៃក្នុងសប្តាហ៍</t>
        </is>
      </c>
      <c r="S499" s="163" t="inlineStr">
        <is>
          <t>ថ្ងៃនៃខែ</t>
        </is>
      </c>
    </row>
    <row r="500" ht="15.75" customHeight="1" s="305">
      <c r="A500" s="217" t="inlineStr">
        <is>
          <t>ACCOUNT_EDIT.DEDUCTED_FROM_COD</t>
        </is>
      </c>
      <c r="B500" s="153" t="inlineStr">
        <is>
          <t>从代收货款中扣除服务费</t>
        </is>
      </c>
      <c r="C500" s="3" t="inlineStr">
        <is>
          <t>Cấn trừ tiền cước phí dịch vụ với tiền COD</t>
        </is>
      </c>
      <c r="D500" s="3" t="inlineStr">
        <is>
          <t>Deduct service fee from COD amount</t>
        </is>
      </c>
      <c r="E500" s="3" t="inlineStr">
        <is>
          <t>ຫັກຄ່າບໍລິການຈາກເງິນ COD</t>
        </is>
      </c>
      <c r="F500" s="3" t="inlineStr">
        <is>
          <t>COD ပမာဏမှ ဝန်ဆောင်မှုစရိတ်များ</t>
        </is>
      </c>
      <c r="G500" s="3">
        <f>IFERROR(__xludf.DUMMYFUNCTION("GOOGLETRANSLATE(C500,""vi"",""km"")"),"កាត់ថ្លៃសេវាកម្មចេញពីការទូទាត់ COD។")</f>
        <v/>
      </c>
      <c r="J500" s="3" t="inlineStr">
        <is>
          <t>ថ្លៃសេវាកម្មនឹងត្រូវបានកាត់ចេញដោយផ្ទាល់ពីប្រាក់ COD</t>
        </is>
      </c>
      <c r="K500" s="217" t="inlineStr">
        <is>
          <t>ថ្លៃសេវាកម្មនឹងត្រូវបានកាត់ចេញដោយផ្ទាល់ពីប្រាក់ COD</t>
        </is>
      </c>
      <c r="S500" s="163" t="inlineStr">
        <is>
          <t>កាត់ថ្លៃសេវាពីចំនួន COD</t>
        </is>
      </c>
    </row>
    <row r="501" ht="15.75" customHeight="1" s="305">
      <c r="A501" s="217" t="inlineStr">
        <is>
          <t>ACCOUNT_EDIT.BANK_TRANSFER</t>
        </is>
      </c>
      <c r="B501" s="153" t="inlineStr">
        <is>
          <t>银行转账</t>
        </is>
      </c>
      <c r="C501" s="3" t="inlineStr">
        <is>
          <t>Chuyển khoản</t>
        </is>
      </c>
      <c r="D501" s="3" t="inlineStr">
        <is>
          <t>Bank transfer</t>
        </is>
      </c>
      <c r="E501" s="3" t="inlineStr">
        <is>
          <t>ໂອນ</t>
        </is>
      </c>
      <c r="F501" s="3" t="inlineStr">
        <is>
          <t>ဘဏ် လွှဲပြောင်း</t>
        </is>
      </c>
      <c r="G501" s="3">
        <f>IFERROR(__xludf.DUMMYFUNCTION("GOOGLETRANSLATE(C501,""vi"",""km"")"),"ផ្ទេរ")</f>
        <v/>
      </c>
      <c r="H501" s="217" t="inlineStr">
        <is>
          <t>ផ្ទេរ</t>
        </is>
      </c>
      <c r="J501" s="3" t="inlineStr">
        <is>
          <t>ផ្ទេរប្រាក់</t>
        </is>
      </c>
      <c r="K501" s="217" t="inlineStr">
        <is>
          <t>ផ្ទេរប្រាក់</t>
        </is>
      </c>
      <c r="S501" s="163" t="inlineStr">
        <is>
          <t>ការផ្ទេរប្រាក់តាមធនាគារ</t>
        </is>
      </c>
    </row>
    <row r="502" ht="15.75" customHeight="1" s="305">
      <c r="A502" s="217" t="inlineStr">
        <is>
          <t>ACCOUNT_EDIT.CHOOSE_COD_PAYMENT_DAY</t>
        </is>
      </c>
      <c r="B502" s="153" t="inlineStr">
        <is>
          <t>选择货款结算日</t>
        </is>
      </c>
      <c r="C502" s="3" t="inlineStr">
        <is>
          <t>Chọn ngày thanh toán COD</t>
        </is>
      </c>
      <c r="D502" s="3" t="inlineStr">
        <is>
          <t>Choose COD payment day</t>
        </is>
      </c>
      <c r="E502" s="3" t="inlineStr">
        <is>
          <t>ເລືອກວັນທີຊໍາລະ COD</t>
        </is>
      </c>
      <c r="F502" s="3" t="inlineStr">
        <is>
          <t>COD ငွေပေးချေသည့်နေ့ကို ရွေးချယ်ပါ</t>
        </is>
      </c>
      <c r="G502" s="3">
        <f>IFERROR(__xludf.DUMMYFUNCTION("GOOGLETRANSLATE(C502,""vi"",""km"")"),"ជ្រើសរើសកាលបរិច្ឆេទទូទាត់ COD របស់អ្នក។")</f>
        <v/>
      </c>
      <c r="H502" s="217" t="inlineStr">
        <is>
          <t>ជ្រើសរើសថ្ងៃទូទាត់ប្រាក់ COD</t>
        </is>
      </c>
      <c r="J502" s="3" t="inlineStr">
        <is>
          <t>ជ្រើសរើសថ្ងៃទូទាត់ប្រាក់ COD</t>
        </is>
      </c>
      <c r="K502" s="217" t="inlineStr">
        <is>
          <t>ជ្រើសរើសថ្ងៃទូទាត់ប្រាក់ COD</t>
        </is>
      </c>
      <c r="S502" s="163" t="inlineStr">
        <is>
          <t>ជ្រើសរើសកាលបរិច្ឆេទទូទាត់ COD</t>
        </is>
      </c>
    </row>
    <row r="503" ht="15.75" customHeight="1" s="305">
      <c r="A503" s="217" t="inlineStr">
        <is>
          <t>ACCOUNT_EDIT.YOU_CAN_SELECT_MANY_DAYS</t>
        </is>
      </c>
      <c r="B503" s="153" t="inlineStr">
        <is>
          <t>您可以在一个月内选择多个日期</t>
        </is>
      </c>
      <c r="C503" s="3" t="inlineStr">
        <is>
          <t>Quý khách có thể chọn nhiều ngày trong tháng:</t>
        </is>
      </c>
      <c r="D503" s="3" t="inlineStr">
        <is>
          <t>You can select multiple days in the month:</t>
        </is>
      </c>
      <c r="E503" s="3" t="inlineStr">
        <is>
          <t>ທ່ານສາມາດເລືອກຫຼາຍມື້ຂອງເດືອນ:</t>
        </is>
      </c>
      <c r="F503" s="3" t="inlineStr">
        <is>
          <t>လတွင် ရက်ပေါင်းများစွာ ရွေးချယ်နိုင်ပါသည်။</t>
        </is>
      </c>
      <c r="G503" s="3">
        <f>IFERROR(__xludf.DUMMYFUNCTION("GOOGLETRANSLATE(C503,""vi"",""km"")"),"អ្នកអាចជ្រើសរើសថ្ងៃច្រើននៃខែ៖")</f>
        <v/>
      </c>
      <c r="H503" s="217" t="n"/>
      <c r="J503" s="3" t="inlineStr">
        <is>
          <t>អ្នកអាចជ្រើសរើសថ្ងៃជាច្រើនក្នុងខែ៖</t>
        </is>
      </c>
      <c r="K503" s="217" t="inlineStr">
        <is>
          <t>អ្នកអាចជ្រើសរើសថ្ងៃជាច្រើនក្នុងខែ៖</t>
        </is>
      </c>
      <c r="S503" s="163" t="inlineStr">
        <is>
          <t>អ្នកអាចជ្រើសរើសថ្ងៃជាច្រើនក្នុងខែ៖</t>
        </is>
      </c>
    </row>
    <row r="504" ht="15.75" customHeight="1" s="305">
      <c r="A504" s="217" t="inlineStr">
        <is>
          <t>ACCOUNT_EDIT.SELECT_ALL</t>
        </is>
      </c>
      <c r="B504" s="153" t="inlineStr">
        <is>
          <t>全选</t>
        </is>
      </c>
      <c r="C504" s="3" t="inlineStr">
        <is>
          <t>Chọn tất cả</t>
        </is>
      </c>
      <c r="D504" s="3" t="inlineStr">
        <is>
          <t>Select all</t>
        </is>
      </c>
      <c r="E504" s="3" t="inlineStr">
        <is>
          <t>ເລືອກທັງໝົດ</t>
        </is>
      </c>
      <c r="F504" s="3" t="inlineStr">
        <is>
          <t>အားလုံးရွေးချယ်ပါ</t>
        </is>
      </c>
      <c r="G504" s="3">
        <f>IFERROR(__xludf.DUMMYFUNCTION("GOOGLETRANSLATE(C504,""vi"",""km"")"),"ជ្រើសរើសទាំងអស់")</f>
        <v/>
      </c>
      <c r="H504" s="217" t="inlineStr">
        <is>
          <t>ជ្រើសរើសទាំងអស់</t>
        </is>
      </c>
      <c r="J504" s="3" t="inlineStr">
        <is>
          <t>ជ្រើសរើសទាំងអស់</t>
        </is>
      </c>
      <c r="K504" s="217" t="inlineStr">
        <is>
          <t>ជ្រើសរើសទាំងអស់</t>
        </is>
      </c>
      <c r="S504" s="163" t="inlineStr">
        <is>
          <t>ជ្រើសរើសទាំងអស់</t>
        </is>
      </c>
    </row>
    <row r="505" ht="15.75" customHeight="1" s="305">
      <c r="A505" s="217" t="inlineStr">
        <is>
          <t>ACCOUNT_EDIT.ATTENTION</t>
        </is>
      </c>
      <c r="B505" s="153" t="inlineStr">
        <is>
          <t>请注意</t>
        </is>
      </c>
      <c r="C505" s="3" t="inlineStr">
        <is>
          <t>Lưu ý</t>
        </is>
      </c>
      <c r="D505" s="3" t="inlineStr">
        <is>
          <t>Attention</t>
        </is>
      </c>
      <c r="E505" s="3" t="inlineStr">
        <is>
          <t>ຫມາຍເຫດ</t>
        </is>
      </c>
      <c r="F505" s="3" t="inlineStr">
        <is>
          <t>အာရုံစိုက်မှု</t>
        </is>
      </c>
      <c r="G505" s="3">
        <f>IFERROR(__xludf.DUMMYFUNCTION("GOOGLETRANSLATE(C505,""vi"",""km"")"),"កំណត់ចំណាំ")</f>
        <v/>
      </c>
      <c r="H505" s="217" t="inlineStr">
        <is>
          <t>ចំណាំ</t>
        </is>
      </c>
      <c r="J505" s="3" t="inlineStr">
        <is>
          <t>ចំណាំ</t>
        </is>
      </c>
      <c r="K505" s="217" t="inlineStr">
        <is>
          <t>ចំណាំ</t>
        </is>
      </c>
      <c r="S505" s="163" t="inlineStr">
        <is>
          <t>ចំណាំ</t>
        </is>
      </c>
    </row>
    <row r="506" ht="15.75" customHeight="1" s="305">
      <c r="A506" s="217" t="inlineStr">
        <is>
          <t>ACCOUNT_EDIT.IF_LAST_DAY</t>
        </is>
      </c>
      <c r="B506" s="153" t="inlineStr">
        <is>
          <t>若选择31日，则在仅有28、29或30天的月份，结算单将于当月月末生成。</t>
        </is>
      </c>
      <c r="C506" s="3" t="inlineStr">
        <is>
          <t>Khi quý khách chọn ngày 31, đối với những tháng 28, 29 hoặc 30 ngày, hoá đơn sẽ xuất vào cuối mỗi tháng</t>
        </is>
      </c>
      <c r="D506" s="3" t="inlineStr">
        <is>
          <t>If you choose the 31st, for months with 28, 29, or 30 days, the invoice will be issued at the end of each month</t>
        </is>
      </c>
      <c r="E506" s="3" t="inlineStr">
        <is>
          <t>ເມື່ອທ່ານເລືອກວັນທີ 31, ສໍາລັບເດືອນທີ່ມີ 28, 29 ຫຼື 30 ມື້, ໃບແຈ້ງຫນີ້ຈະຖືກອອກໃນຕອນທ້າຍຂອງແຕ່ລະເດືອນ.</t>
        </is>
      </c>
      <c r="F506" s="3" t="inlineStr">
        <is>
          <t>အကယ်၍ ၃၁ ကြိမ်မြောက်ကို လတစ်လ၏ ၂၈၊ ၂၉၊ ၂၉ ရက် သို့မဟုတ် ရက်ပေါင်း ၃၀ ဖြင့် ရွေးချယ်မည်ဆိုလျှင် လစဉ်အဆုံးတွင် ကုန်ကျစရိတ်ကို ထုတ်ပေးမည်</t>
        </is>
      </c>
      <c r="G506" s="3">
        <f>IFERROR(__xludf.DUMMYFUNCTION("GOOGLETRANSLATE(C506,""vi"",""km"")"),"នៅពេលអ្នកជ្រើសរើសថ្ងៃទី 31 សម្រាប់ខែដែលមាន 28, 29 ឬ 30 ថ្ងៃ វិក្កយបត្រនឹងត្រូវបានចេញនៅចុងខែនីមួយៗ។")</f>
        <v/>
      </c>
      <c r="J506" s="3" t="inlineStr">
        <is>
          <t>នៅពេលអ្នកជ្រើសរើសថ្ងៃទី 31 សម្រាប់ខែដែលមាន 28, 29 ឬ 30 ថ្ងៃ វិក្កយបត្រនឹងត្រូវបានចេញនៅចុងខែនីមួយៗ</t>
        </is>
      </c>
      <c r="K506" s="217" t="inlineStr">
        <is>
          <t>នៅពេលអ្នកជ្រើសរើសថ្ងៃទី 31 សម្រាប់ខែដែលមាន 28, 29 ឬ 30 ថ្ងៃ វិក្កយបត្រនឹងត្រូវបានចេញនៅចុងខែនីមួយៗ</t>
        </is>
      </c>
      <c r="S506" s="163" t="inlineStr">
        <is>
          <t>នៅពេលអ្នកជ្រើសរើសថ្ងៃទី 31 សម្រាប់ខែដែលមាន 28, 29 ឬ 30 ថ្ងៃ វិក្កយបត្រនឹងត្រូវបានចេញនៅចុងខែនីមួយៗ</t>
        </is>
      </c>
    </row>
    <row r="507" ht="15.75" customHeight="1" s="305">
      <c r="A507" s="217" t="inlineStr">
        <is>
          <t>ACCOUNT_EDIT.EVERY_SELECTED_DAYS_PER_MONTH</t>
        </is>
      </c>
      <c r="B507" s="153" t="inlineStr">
        <is>
          <t>每月 {{selectedDays}} 日</t>
        </is>
      </c>
      <c r="C507" s="3" t="inlineStr">
        <is>
          <t>Các ngày {{selectedDays}} hàng tháng</t>
        </is>
      </c>
      <c r="D507" s="3" t="inlineStr">
        <is>
          <t>Every {{selectedDays}} of each month</t>
        </is>
      </c>
      <c r="E507" s="3" t="inlineStr">
        <is>
          <t>{{selectedDays}} ມື້ຂອງເດືອນ</t>
        </is>
      </c>
      <c r="F507" s="3" t="inlineStr">
        <is>
          <t>{{selectedDays}} လတိုင်း ရွေးချယ်ထားတယ်</t>
        </is>
      </c>
      <c r="G507" s="3">
        <f>IFERROR(__xludf.DUMMYFUNCTION("GOOGLETRANSLATE(C507,""vi"",""km"")"),"ថ្ងៃ {{selectedDays}} នៃខែនីមួយៗ")</f>
        <v/>
      </c>
      <c r="H507" s="3" t="inlineStr">
        <is>
          <t>គ្រប់ថ្ងៃ {{selectedDays}} រាល់ខែ</t>
        </is>
      </c>
      <c r="J507" s="3" t="inlineStr">
        <is>
          <t>គ្រប់ថ្ងៃ {{selectedDays}} រាល់ខែ</t>
        </is>
      </c>
      <c r="K507" s="217" t="inlineStr">
        <is>
          <t>គ្រប់ថ្ងៃ {{selectedDays}} រាល់ខែ</t>
        </is>
      </c>
      <c r="S507" s="163" t="inlineStr">
        <is>
          <t>ប្រចាំខែ {{selectedDays}}</t>
        </is>
      </c>
    </row>
    <row r="508" ht="15.75" customHeight="1" s="305">
      <c r="A508" s="217" t="inlineStr">
        <is>
          <t>ACCOUNT_EDIT.EVERYDAY</t>
        </is>
      </c>
      <c r="B508" s="153" t="inlineStr">
        <is>
          <t>每日</t>
        </is>
      </c>
      <c r="C508" s="3" t="inlineStr">
        <is>
          <t>Tất cả các ngày</t>
        </is>
      </c>
      <c r="D508" s="3" t="inlineStr">
        <is>
          <t>Everyday</t>
        </is>
      </c>
      <c r="E508" s="3" t="inlineStr">
        <is>
          <t>ມື້ທັງຫມົດ</t>
        </is>
      </c>
      <c r="F508" s="3" t="inlineStr">
        <is>
          <t>နေ့စဉ်နေ့တိုင်း</t>
        </is>
      </c>
      <c r="G508" s="3">
        <f>IFERROR(__xludf.DUMMYFUNCTION("GOOGLETRANSLATE(C508,""vi"",""km"")"),"រាល់ថ្ងៃ")</f>
        <v/>
      </c>
      <c r="H508" s="217" t="inlineStr">
        <is>
          <t>រៀងរាល់ថ្ងៃ</t>
        </is>
      </c>
      <c r="J508" s="3" t="inlineStr">
        <is>
          <t>រៀងរាល់ថ្ងៃ</t>
        </is>
      </c>
      <c r="K508" s="217" t="inlineStr">
        <is>
          <t>រៀងរាល់ថ្ងៃ</t>
        </is>
      </c>
      <c r="S508" s="163" t="inlineStr">
        <is>
          <t>ជារៀងរាល់ថ្ងៃ</t>
        </is>
      </c>
    </row>
    <row r="509" ht="15.75" customHeight="1" s="305">
      <c r="A509" s="217" t="inlineStr">
        <is>
          <t>ACCOUNT_EDIT.SAVE_CUSTOMIZED</t>
        </is>
      </c>
      <c r="B509" s="153" t="inlineStr">
        <is>
          <t>保存定制</t>
        </is>
      </c>
      <c r="C509" s="3" t="inlineStr">
        <is>
          <t>Lưu tuỳ chọn</t>
        </is>
      </c>
      <c r="D509" s="3" t="inlineStr">
        <is>
          <t>Save customized</t>
        </is>
      </c>
      <c r="E509" s="3" t="inlineStr">
        <is>
          <t>ບັນທຶກທາງເລືອກ</t>
        </is>
      </c>
      <c r="F509" s="3" t="inlineStr">
        <is>
          <t>အလိုအလျောက် သိမ်းဆည်းပါ</t>
        </is>
      </c>
      <c r="G509" s="3">
        <f>IFERROR(__xludf.DUMMYFUNCTION("GOOGLETRANSLATE(C509,""vi"",""km"")"),"រក្សាទុកជម្រើស")</f>
        <v/>
      </c>
      <c r="H509" s="217" t="inlineStr">
        <is>
          <t>រក្សាទុកជម្រើស</t>
        </is>
      </c>
      <c r="J509" s="3" t="inlineStr">
        <is>
          <t>រក្សាទុកជម្រើស</t>
        </is>
      </c>
      <c r="K509" s="217" t="inlineStr">
        <is>
          <t>រក្សាទុកជម្រើស</t>
        </is>
      </c>
      <c r="S509" s="163" t="inlineStr">
        <is>
          <t>រក្សាទុកជម្រើស</t>
        </is>
      </c>
    </row>
    <row r="510" ht="15.75" customHeight="1" s="305">
      <c r="A510" s="217" t="inlineStr">
        <is>
          <t>ACCOUNT_EDIT.NOT_CONTRACT_SIGNED</t>
        </is>
      </c>
      <c r="B510" s="153" t="inlineStr">
        <is>
          <t>未签约</t>
        </is>
      </c>
      <c r="C510" s="3" t="inlineStr">
        <is>
          <t>Chưa ký hợp đồng</t>
        </is>
      </c>
      <c r="D510" s="3" t="inlineStr">
        <is>
          <t>Not signed yet</t>
        </is>
      </c>
      <c r="E510" s="3" t="inlineStr">
        <is>
          <t>ຍັງບໍ່ໄດ້ເຊັນເທື່ອ</t>
        </is>
      </c>
      <c r="F510" s="3" t="inlineStr">
        <is>
          <t>စာချုပ်မချုပ်ရသေးဘူး။</t>
        </is>
      </c>
      <c r="G510" s="3">
        <f>IFERROR(__xludf.DUMMYFUNCTION("GOOGLETRANSLATE(C510,""vi"",""km"")"),"មិនទាន់មានកិច្ចសន្យាណាមួយត្រូវបានចុះហត្ថលេខានៅឡើយទេ។")</f>
        <v/>
      </c>
      <c r="H510" s="217" t="inlineStr">
        <is>
          <t>មិនទាន់បានចុះកិច្ចសន្យា</t>
        </is>
      </c>
      <c r="J510" s="3" t="inlineStr">
        <is>
          <t>មិនទាន់បានចុះកិច្ចសន្យា</t>
        </is>
      </c>
      <c r="K510" s="217" t="inlineStr">
        <is>
          <t>មិនទាន់បានចុះកិច្ចសន្យា</t>
        </is>
      </c>
      <c r="S510" s="163" t="inlineStr">
        <is>
          <t>មិនទាន់បានចុះហត្ថលេខានៅឡើយទេ</t>
        </is>
      </c>
    </row>
    <row r="511" ht="15.75" customHeight="1" s="305">
      <c r="A511" s="217" t="inlineStr">
        <is>
          <t>DATE.JANUARY</t>
        </is>
      </c>
      <c r="B511" s="153" t="inlineStr">
        <is>
          <t>一月</t>
        </is>
      </c>
      <c r="C511" s="3" t="inlineStr">
        <is>
          <t>Tháng 1</t>
        </is>
      </c>
      <c r="D511" s="3" t="inlineStr">
        <is>
          <t>January</t>
        </is>
      </c>
      <c r="E511" s="3" t="inlineStr">
        <is>
          <t>ເດືອນມັງກອນ</t>
        </is>
      </c>
      <c r="F511" s="3" t="inlineStr">
        <is>
          <t>ဇန်နဝါရီလ</t>
        </is>
      </c>
      <c r="G511" s="3">
        <f>IFERROR(__xludf.DUMMYFUNCTION("GOOGLETRANSLATE(C511,""vi"",""km"")"),"ខែមករា")</f>
        <v/>
      </c>
      <c r="H511" s="217" t="inlineStr">
        <is>
          <t>ខែមករា</t>
        </is>
      </c>
      <c r="J511" s="3" t="inlineStr">
        <is>
          <t>ខែមករា</t>
        </is>
      </c>
      <c r="K511" s="217" t="inlineStr">
        <is>
          <t>ខែមករា</t>
        </is>
      </c>
      <c r="S511" s="163" t="inlineStr">
        <is>
          <t>មករា</t>
        </is>
      </c>
    </row>
    <row r="512" ht="15.75" customHeight="1" s="305">
      <c r="A512" s="217" t="inlineStr">
        <is>
          <t>DATE.FEBRUARY</t>
        </is>
      </c>
      <c r="B512" s="153" t="inlineStr">
        <is>
          <t>二月</t>
        </is>
      </c>
      <c r="C512" s="3" t="inlineStr">
        <is>
          <t>Tháng 2</t>
        </is>
      </c>
      <c r="D512" s="3" t="inlineStr">
        <is>
          <t>February</t>
        </is>
      </c>
      <c r="E512" s="3" t="inlineStr">
        <is>
          <t>ເດືອນກຸມພາ</t>
        </is>
      </c>
      <c r="F512" s="3" t="inlineStr">
        <is>
          <t>ဖေဖော်ဝါရီလ</t>
        </is>
      </c>
      <c r="G512" s="3">
        <f>IFERROR(__xludf.DUMMYFUNCTION("GOOGLETRANSLATE(C512,""vi"",""km"")"),"ខែកុម្ភៈ")</f>
        <v/>
      </c>
      <c r="H512" s="217" t="inlineStr">
        <is>
          <t>ខែកុម្ភៈ</t>
        </is>
      </c>
      <c r="J512" s="3" t="inlineStr">
        <is>
          <t>ខែកុម្ភៈ</t>
        </is>
      </c>
      <c r="K512" s="217" t="inlineStr">
        <is>
          <t>ខែកុម្ភៈ</t>
        </is>
      </c>
      <c r="S512" s="163" t="inlineStr">
        <is>
          <t>កុម្ភៈ</t>
        </is>
      </c>
    </row>
    <row r="513" ht="15.75" customHeight="1" s="305">
      <c r="A513" s="217" t="inlineStr">
        <is>
          <t>DATE.MARCH</t>
        </is>
      </c>
      <c r="B513" s="153" t="inlineStr">
        <is>
          <t>三月</t>
        </is>
      </c>
      <c r="C513" s="3" t="inlineStr">
        <is>
          <t>Tháng 3</t>
        </is>
      </c>
      <c r="D513" s="3" t="inlineStr">
        <is>
          <t>March</t>
        </is>
      </c>
      <c r="E513" s="3" t="inlineStr">
        <is>
          <t>ເດືອນມີນາ</t>
        </is>
      </c>
      <c r="F513" s="3" t="inlineStr">
        <is>
          <t>မတ်လ</t>
        </is>
      </c>
      <c r="G513" s="3">
        <f>IFERROR(__xludf.DUMMYFUNCTION("GOOGLETRANSLATE(C513,""vi"",""km"")"),"ខែមីនា")</f>
        <v/>
      </c>
      <c r="H513" s="217" t="inlineStr">
        <is>
          <t>ខែមីនា</t>
        </is>
      </c>
      <c r="J513" s="3" t="inlineStr">
        <is>
          <t>ខែមីនា</t>
        </is>
      </c>
      <c r="K513" s="217" t="inlineStr">
        <is>
          <t>ខែមីនា</t>
        </is>
      </c>
      <c r="S513" s="163" t="inlineStr">
        <is>
          <t>មីនា</t>
        </is>
      </c>
    </row>
    <row r="514" ht="15.75" customHeight="1" s="305">
      <c r="A514" s="217" t="inlineStr">
        <is>
          <t>DATE.APRIL</t>
        </is>
      </c>
      <c r="B514" s="153" t="inlineStr">
        <is>
          <t>四月</t>
        </is>
      </c>
      <c r="C514" s="3" t="inlineStr">
        <is>
          <t>Tháng 4</t>
        </is>
      </c>
      <c r="D514" s="3" t="inlineStr">
        <is>
          <t>April</t>
        </is>
      </c>
      <c r="E514" s="3" t="inlineStr">
        <is>
          <t>ເດືອນເມສາ</t>
        </is>
      </c>
      <c r="F514" s="3" t="inlineStr">
        <is>
          <t>ဧပြီလ</t>
        </is>
      </c>
      <c r="G514" s="3">
        <f>IFERROR(__xludf.DUMMYFUNCTION("GOOGLETRANSLATE(C514,""vi"",""km"")"),"ខែមេសា")</f>
        <v/>
      </c>
      <c r="H514" s="217" t="inlineStr">
        <is>
          <t>ខែមេសា</t>
        </is>
      </c>
      <c r="J514" s="3" t="inlineStr">
        <is>
          <t>ខែមេសា</t>
        </is>
      </c>
      <c r="K514" s="217" t="inlineStr">
        <is>
          <t>ខែមេសា</t>
        </is>
      </c>
      <c r="S514" s="163" t="inlineStr">
        <is>
          <t>មេសា</t>
        </is>
      </c>
    </row>
    <row r="515" ht="15.75" customHeight="1" s="305">
      <c r="A515" s="217" t="inlineStr">
        <is>
          <t>DATE.MAY</t>
        </is>
      </c>
      <c r="B515" s="153" t="inlineStr">
        <is>
          <t>五月</t>
        </is>
      </c>
      <c r="C515" s="3" t="inlineStr">
        <is>
          <t>Tháng 5</t>
        </is>
      </c>
      <c r="D515" s="3" t="inlineStr">
        <is>
          <t>May</t>
        </is>
      </c>
      <c r="E515" s="3" t="inlineStr">
        <is>
          <t>ເດືອນພຶດສະພາ</t>
        </is>
      </c>
      <c r="F515" s="3" t="inlineStr">
        <is>
          <t>မေလ</t>
        </is>
      </c>
      <c r="G515" s="3">
        <f>IFERROR(__xludf.DUMMYFUNCTION("GOOGLETRANSLATE(C515,""vi"",""km"")"),"ឧសភា")</f>
        <v/>
      </c>
      <c r="H515" s="217" t="inlineStr">
        <is>
          <t>ខែឧសភា</t>
        </is>
      </c>
      <c r="J515" s="3" t="inlineStr">
        <is>
          <t>ខែឧសភា</t>
        </is>
      </c>
      <c r="K515" s="217" t="inlineStr">
        <is>
          <t>ខែឧសភា</t>
        </is>
      </c>
      <c r="S515" s="163" t="inlineStr">
        <is>
          <t>ឧសភា</t>
        </is>
      </c>
    </row>
    <row r="516" ht="15.75" customHeight="1" s="305">
      <c r="A516" s="217" t="inlineStr">
        <is>
          <t>DATE.JUNE</t>
        </is>
      </c>
      <c r="B516" s="153" t="inlineStr">
        <is>
          <t>六月</t>
        </is>
      </c>
      <c r="C516" s="3" t="inlineStr">
        <is>
          <t>Tháng 6</t>
        </is>
      </c>
      <c r="D516" s="3" t="inlineStr">
        <is>
          <t>June</t>
        </is>
      </c>
      <c r="E516" s="3" t="inlineStr">
        <is>
          <t>ເດືອນມິຖຸນາ</t>
        </is>
      </c>
      <c r="F516" s="3" t="inlineStr">
        <is>
          <t>ဇွန်လ</t>
        </is>
      </c>
      <c r="G516" s="3">
        <f>IFERROR(__xludf.DUMMYFUNCTION("GOOGLETRANSLATE(C516,""vi"",""km"")"),"ខែមិថុនា")</f>
        <v/>
      </c>
      <c r="H516" s="217" t="inlineStr">
        <is>
          <t>ខែមិថុនា</t>
        </is>
      </c>
      <c r="J516" s="3" t="inlineStr">
        <is>
          <t>ខែមិថុនា</t>
        </is>
      </c>
      <c r="K516" s="217" t="inlineStr">
        <is>
          <t>ខែមិថុនា</t>
        </is>
      </c>
      <c r="S516" s="163" t="inlineStr">
        <is>
          <t>មិថុនា</t>
        </is>
      </c>
    </row>
    <row r="517" ht="15.75" customHeight="1" s="305">
      <c r="A517" s="217" t="inlineStr">
        <is>
          <t>DATE.JULY</t>
        </is>
      </c>
      <c r="B517" s="153" t="inlineStr">
        <is>
          <t>七月</t>
        </is>
      </c>
      <c r="C517" s="3" t="inlineStr">
        <is>
          <t>Tháng 7</t>
        </is>
      </c>
      <c r="D517" s="3" t="inlineStr">
        <is>
          <t>July</t>
        </is>
      </c>
      <c r="E517" s="3" t="inlineStr">
        <is>
          <t>ເດືອນກໍລະກົດ</t>
        </is>
      </c>
      <c r="F517" s="3" t="inlineStr">
        <is>
          <t>ဇူလိုင်လ</t>
        </is>
      </c>
      <c r="G517" s="3">
        <f>IFERROR(__xludf.DUMMYFUNCTION("GOOGLETRANSLATE(C517,""vi"",""km"")"),"ខែកក្កដា")</f>
        <v/>
      </c>
      <c r="H517" s="217" t="inlineStr">
        <is>
          <t>ខែកក្កដា</t>
        </is>
      </c>
      <c r="J517" s="3" t="inlineStr">
        <is>
          <t>ខែកក្កដា</t>
        </is>
      </c>
      <c r="K517" s="217" t="inlineStr">
        <is>
          <t>ខែកក្កដា</t>
        </is>
      </c>
      <c r="S517" s="163" t="inlineStr">
        <is>
          <t>កក្កដា</t>
        </is>
      </c>
    </row>
    <row r="518" ht="15.75" customHeight="1" s="305">
      <c r="A518" s="217" t="inlineStr">
        <is>
          <t>DATE.AUGUST</t>
        </is>
      </c>
      <c r="B518" s="153" t="inlineStr">
        <is>
          <t>八月</t>
        </is>
      </c>
      <c r="C518" s="3" t="inlineStr">
        <is>
          <t>Tháng 8</t>
        </is>
      </c>
      <c r="D518" s="3" t="inlineStr">
        <is>
          <t>August</t>
        </is>
      </c>
      <c r="E518" s="3" t="inlineStr">
        <is>
          <t>ເດືອນສິງຫາ</t>
        </is>
      </c>
      <c r="F518" s="3" t="inlineStr">
        <is>
          <t>ဩဂုတ်လ</t>
        </is>
      </c>
      <c r="G518" s="3">
        <f>IFERROR(__xludf.DUMMYFUNCTION("GOOGLETRANSLATE(C518,""vi"",""km"")"),"ខែសីហា")</f>
        <v/>
      </c>
      <c r="H518" s="217" t="inlineStr">
        <is>
          <t>ខែសីហា</t>
        </is>
      </c>
      <c r="J518" s="3" t="inlineStr">
        <is>
          <t>ខែសីហា</t>
        </is>
      </c>
      <c r="K518" s="217" t="inlineStr">
        <is>
          <t>ខែសីហា</t>
        </is>
      </c>
      <c r="S518" s="163" t="inlineStr">
        <is>
          <t>សីហា</t>
        </is>
      </c>
    </row>
    <row r="519" ht="15.75" customHeight="1" s="305">
      <c r="A519" s="217" t="inlineStr">
        <is>
          <t>DATE.SEPTEMBER</t>
        </is>
      </c>
      <c r="B519" s="153" t="inlineStr">
        <is>
          <t>九月</t>
        </is>
      </c>
      <c r="C519" s="3" t="inlineStr">
        <is>
          <t>Tháng 9</t>
        </is>
      </c>
      <c r="D519" s="3" t="inlineStr">
        <is>
          <t>September</t>
        </is>
      </c>
      <c r="E519" s="3" t="inlineStr">
        <is>
          <t>ເດືອນກັນຍາ</t>
        </is>
      </c>
      <c r="F519" s="3" t="inlineStr">
        <is>
          <t>စက်တင်ဘာလ</t>
        </is>
      </c>
      <c r="G519" s="3">
        <f>IFERROR(__xludf.DUMMYFUNCTION("GOOGLETRANSLATE(C519,""vi"",""km"")"),"ខែកញ្ញា")</f>
        <v/>
      </c>
      <c r="H519" s="217" t="inlineStr">
        <is>
          <t>ខែកញ្ញា</t>
        </is>
      </c>
      <c r="J519" s="3" t="inlineStr">
        <is>
          <t>ខែកញ្ញា</t>
        </is>
      </c>
      <c r="K519" s="217" t="inlineStr">
        <is>
          <t>ខែកញ្ញា</t>
        </is>
      </c>
      <c r="S519" s="163" t="inlineStr">
        <is>
          <t>កញ្ញា</t>
        </is>
      </c>
    </row>
    <row r="520" ht="15.75" customHeight="1" s="305">
      <c r="A520" s="217" t="inlineStr">
        <is>
          <t>DATE.OCTOBER</t>
        </is>
      </c>
      <c r="B520" s="153" t="inlineStr">
        <is>
          <t>十月</t>
        </is>
      </c>
      <c r="C520" s="3" t="inlineStr">
        <is>
          <t>Tháng 10</t>
        </is>
      </c>
      <c r="D520" s="3" t="inlineStr">
        <is>
          <t>October</t>
        </is>
      </c>
      <c r="E520" s="3" t="inlineStr">
        <is>
          <t>ເດືອນຕຸລາ</t>
        </is>
      </c>
      <c r="F520" s="3" t="inlineStr">
        <is>
          <t>အောက်တိုဘာလ</t>
        </is>
      </c>
      <c r="G520" s="3">
        <f>IFERROR(__xludf.DUMMYFUNCTION("GOOGLETRANSLATE(C520,""vi"",""km"")"),"ខែតុលា")</f>
        <v/>
      </c>
      <c r="H520" s="217" t="inlineStr">
        <is>
          <t>ខែតុលា</t>
        </is>
      </c>
      <c r="J520" s="3" t="inlineStr">
        <is>
          <t>ខែតុលា</t>
        </is>
      </c>
      <c r="K520" s="217" t="inlineStr">
        <is>
          <t>ខែតុលា</t>
        </is>
      </c>
      <c r="S520" s="163" t="inlineStr">
        <is>
          <t>តុលា</t>
        </is>
      </c>
    </row>
    <row r="521" ht="15.75" customHeight="1" s="305">
      <c r="A521" s="217" t="inlineStr">
        <is>
          <t>DATE.NOVEMBER</t>
        </is>
      </c>
      <c r="B521" s="153" t="inlineStr">
        <is>
          <t>十一月</t>
        </is>
      </c>
      <c r="C521" s="3" t="inlineStr">
        <is>
          <t>Tháng 11</t>
        </is>
      </c>
      <c r="D521" s="3" t="inlineStr">
        <is>
          <t>November</t>
        </is>
      </c>
      <c r="E521" s="3" t="inlineStr">
        <is>
          <t>ເດືອນພະຈິກ</t>
        </is>
      </c>
      <c r="F521" s="3" t="inlineStr">
        <is>
          <t>နိုဝင်ဘာလ</t>
        </is>
      </c>
      <c r="G521" s="3">
        <f>IFERROR(__xludf.DUMMYFUNCTION("GOOGLETRANSLATE(C521,""vi"",""km"")"),"ខែវិច្ឆិកា")</f>
        <v/>
      </c>
      <c r="H521" s="217" t="inlineStr">
        <is>
          <t>ខែវិច្ឆិកា</t>
        </is>
      </c>
      <c r="J521" s="3" t="inlineStr">
        <is>
          <t>ខែវិច្ឆិកា</t>
        </is>
      </c>
      <c r="K521" s="217" t="inlineStr">
        <is>
          <t>ខែវិច្ឆិកា</t>
        </is>
      </c>
      <c r="S521" s="163" t="inlineStr">
        <is>
          <t>វិច្ឆិកា</t>
        </is>
      </c>
    </row>
    <row r="522" ht="15.75" customHeight="1" s="305">
      <c r="A522" s="217" t="inlineStr">
        <is>
          <t>DATE.DECEMBER</t>
        </is>
      </c>
      <c r="B522" s="153" t="inlineStr">
        <is>
          <t>十二月</t>
        </is>
      </c>
      <c r="C522" s="3" t="inlineStr">
        <is>
          <t>Tháng 12</t>
        </is>
      </c>
      <c r="D522" s="3" t="inlineStr">
        <is>
          <t>December</t>
        </is>
      </c>
      <c r="E522" s="3" t="inlineStr">
        <is>
          <t>ເດືອນທັນວາ</t>
        </is>
      </c>
      <c r="F522" s="3" t="inlineStr">
        <is>
          <t>ဒီဇင်ဘာလ</t>
        </is>
      </c>
      <c r="G522" s="3">
        <f>IFERROR(__xludf.DUMMYFUNCTION("GOOGLETRANSLATE(C522,""vi"",""km"")"),"ខែធ្នូ")</f>
        <v/>
      </c>
      <c r="H522" s="217" t="inlineStr">
        <is>
          <t>ខែធ្នូ</t>
        </is>
      </c>
      <c r="J522" s="3" t="inlineStr">
        <is>
          <t>ខែធ្នូ</t>
        </is>
      </c>
      <c r="K522" s="217" t="inlineStr">
        <is>
          <t>ខែធ្នូ</t>
        </is>
      </c>
      <c r="S522" s="163" t="inlineStr">
        <is>
          <t>ធ្នូ</t>
        </is>
      </c>
    </row>
    <row r="523" ht="15.75" customHeight="1" s="305">
      <c r="A523" s="217" t="inlineStr">
        <is>
          <t>BANK_NAME.KBZ_BANK</t>
        </is>
      </c>
      <c r="B523" s="161" t="inlineStr">
        <is>
          <t>KBZ银行</t>
        </is>
      </c>
      <c r="C523" s="3" t="inlineStr">
        <is>
          <t>KBZ Bank</t>
        </is>
      </c>
      <c r="D523" s="3" t="inlineStr">
        <is>
          <t>KBZ Bank</t>
        </is>
      </c>
      <c r="E523" s="3" t="inlineStr">
        <is>
          <t>ທະນາຄານ KBZ</t>
        </is>
      </c>
      <c r="F523" s="3" t="inlineStr">
        <is>
          <t>ကေဘီဇ်ဘဏ်</t>
        </is>
      </c>
      <c r="G523" s="3">
        <f>IFERROR(__xludf.DUMMYFUNCTION("GOOGLETRANSLATE(C523,""vi"",""km"")"),"ធនាគារ KBZ")</f>
        <v/>
      </c>
      <c r="H523" s="217" t="inlineStr">
        <is>
          <t>ធនាគារ KBZ</t>
        </is>
      </c>
      <c r="J523" s="3" t="inlineStr">
        <is>
          <t>ធនាគារ KBZ</t>
        </is>
      </c>
      <c r="K523" s="217" t="inlineStr">
        <is>
          <t>ធនាគារ KBZ</t>
        </is>
      </c>
      <c r="S523" s="163" t="inlineStr">
        <is>
          <t>ធនាគារ KBZ</t>
        </is>
      </c>
    </row>
    <row r="524" ht="15.75" customHeight="1" s="305">
      <c r="A524" s="217" t="inlineStr">
        <is>
          <t>BANK_NAME.AYA_BANK</t>
        </is>
      </c>
      <c r="B524" s="161" t="inlineStr">
        <is>
          <t>AYA银行</t>
        </is>
      </c>
      <c r="C524" s="3" t="inlineStr">
        <is>
          <t>AYA Bank</t>
        </is>
      </c>
      <c r="D524" s="3" t="inlineStr">
        <is>
          <t>AYA Bank</t>
        </is>
      </c>
      <c r="E524" s="3" t="inlineStr">
        <is>
          <t>ທະນາຄານ AYA</t>
        </is>
      </c>
      <c r="F524" s="3" t="inlineStr">
        <is>
          <t>အေယာဘဏ်</t>
        </is>
      </c>
      <c r="G524" s="3">
        <f>IFERROR(__xludf.DUMMYFUNCTION("GOOGLETRANSLATE(C524,""vi"",""km"")"),"ធនាគារ AYA")</f>
        <v/>
      </c>
      <c r="H524" s="217" t="inlineStr">
        <is>
          <t>ធនាគារ AYA</t>
        </is>
      </c>
      <c r="J524" s="3" t="inlineStr">
        <is>
          <t>ធនាគារ AYA</t>
        </is>
      </c>
      <c r="K524" s="217" t="inlineStr">
        <is>
          <t>ធនាគារ AYA</t>
        </is>
      </c>
      <c r="S524" s="163" t="inlineStr">
        <is>
          <t>ធនាគារ AYA</t>
        </is>
      </c>
    </row>
    <row r="525" ht="15.75" customHeight="1" s="305">
      <c r="A525" s="217" t="inlineStr">
        <is>
          <t>BANK_NAME.CB_BANK</t>
        </is>
      </c>
      <c r="B525" s="161" t="inlineStr">
        <is>
          <t>CB银行</t>
        </is>
      </c>
      <c r="C525" s="3" t="inlineStr">
        <is>
          <t>CB Bank</t>
        </is>
      </c>
      <c r="D525" s="3" t="inlineStr">
        <is>
          <t>CB Bank</t>
        </is>
      </c>
      <c r="E525" s="3" t="inlineStr">
        <is>
          <t>ທະນາຄານ CB</t>
        </is>
      </c>
      <c r="F525" s="3" t="inlineStr">
        <is>
          <t>စီဘီဘဏ်</t>
        </is>
      </c>
      <c r="G525" s="3">
        <f>IFERROR(__xludf.DUMMYFUNCTION("GOOGLETRANSLATE(C525,""vi"",""km"")"),"ធនាគារ CB")</f>
        <v/>
      </c>
      <c r="H525" s="217" t="inlineStr">
        <is>
          <t>ធនាគារ CB</t>
        </is>
      </c>
      <c r="J525" s="3" t="inlineStr">
        <is>
          <t>ធនាគារ CB</t>
        </is>
      </c>
      <c r="K525" s="217" t="inlineStr">
        <is>
          <t>ធនាគារ CB</t>
        </is>
      </c>
      <c r="S525" s="163" t="inlineStr">
        <is>
          <t>ធនាគារ CB</t>
        </is>
      </c>
    </row>
    <row r="526" ht="15.75" customHeight="1" s="305">
      <c r="A526" s="217" t="inlineStr">
        <is>
          <t>BANK_NAME.A_BANK</t>
        </is>
      </c>
      <c r="B526" s="161" t="inlineStr">
        <is>
          <t>A银行</t>
        </is>
      </c>
      <c r="C526" s="3" t="inlineStr">
        <is>
          <t>A Bank</t>
        </is>
      </c>
      <c r="D526" s="3" t="inlineStr">
        <is>
          <t>A Bank</t>
        </is>
      </c>
      <c r="E526" s="3" t="inlineStr">
        <is>
          <t>ທະນາຄານ</t>
        </is>
      </c>
      <c r="F526" s="3" t="inlineStr">
        <is>
          <t>‌အေဘဏ်</t>
        </is>
      </c>
      <c r="G526" s="3">
        <f>IFERROR(__xludf.DUMMYFUNCTION("GOOGLETRANSLATE(C526,""vi"",""km"")"),"ធនាគារមួយ")</f>
        <v/>
      </c>
      <c r="H526" s="217" t="inlineStr">
        <is>
          <t>ធនាគារ A</t>
        </is>
      </c>
      <c r="J526" s="3" t="inlineStr">
        <is>
          <t>ធនាគារ A</t>
        </is>
      </c>
      <c r="K526" s="217" t="inlineStr">
        <is>
          <t>ធនាគារ A</t>
        </is>
      </c>
      <c r="S526" s="163" t="inlineStr">
        <is>
          <t>ធនាគារ A</t>
        </is>
      </c>
    </row>
    <row r="527" ht="15.75" customHeight="1" s="305">
      <c r="A527" s="217" t="inlineStr">
        <is>
          <t>BANK_NAME.UAB_BANK</t>
        </is>
      </c>
      <c r="B527" s="161" t="inlineStr">
        <is>
          <t>UAB银行</t>
        </is>
      </c>
      <c r="C527" s="3" t="inlineStr">
        <is>
          <t>UAB Bank</t>
        </is>
      </c>
      <c r="D527" s="3" t="inlineStr">
        <is>
          <t>UAB Bank</t>
        </is>
      </c>
      <c r="E527" s="3" t="inlineStr">
        <is>
          <t>UAB Bank</t>
        </is>
      </c>
      <c r="F527" s="3" t="inlineStr">
        <is>
          <t>ယူအေဘီဘဏ်</t>
        </is>
      </c>
      <c r="G527" s="3">
        <f>IFERROR(__xludf.DUMMYFUNCTION("GOOGLETRANSLATE(C527,""vi"",""km"")"),"ធនាគារ UAB")</f>
        <v/>
      </c>
      <c r="H527" s="217" t="inlineStr">
        <is>
          <t>ធនាគារ UAB</t>
        </is>
      </c>
      <c r="J527" s="3" t="inlineStr">
        <is>
          <t>ធនាគារ UAB</t>
        </is>
      </c>
      <c r="K527" s="217" t="inlineStr">
        <is>
          <t>ធនាគារ UAB</t>
        </is>
      </c>
      <c r="S527" s="163" t="inlineStr">
        <is>
          <t>ធនាគារ UAB</t>
        </is>
      </c>
    </row>
    <row r="528" ht="15.75" customHeight="1" s="305">
      <c r="A528" s="217" t="inlineStr">
        <is>
          <t>BANK_NAME.MAB_BANK</t>
        </is>
      </c>
      <c r="B528" s="161" t="inlineStr">
        <is>
          <t>MAB银行</t>
        </is>
      </c>
      <c r="C528" s="3" t="inlineStr">
        <is>
          <t>MAB Bank</t>
        </is>
      </c>
      <c r="D528" s="3" t="inlineStr">
        <is>
          <t>MAB Bank</t>
        </is>
      </c>
      <c r="E528" s="3" t="inlineStr">
        <is>
          <t>ທະນາຄານ MAB</t>
        </is>
      </c>
      <c r="F528" s="3" t="inlineStr">
        <is>
          <t>MAB ဘဏ်</t>
        </is>
      </c>
      <c r="G528" s="3">
        <f>IFERROR(__xludf.DUMMYFUNCTION("GOOGLETRANSLATE(C528,""vi"",""km"")"),"ធនាគារ MAB")</f>
        <v/>
      </c>
      <c r="H528" s="217" t="inlineStr">
        <is>
          <t>ធនាគារ MAB</t>
        </is>
      </c>
      <c r="J528" s="3" t="inlineStr">
        <is>
          <t>ធនាគារ MAB</t>
        </is>
      </c>
      <c r="K528" s="217" t="inlineStr">
        <is>
          <t>ធនាគារ MAB</t>
        </is>
      </c>
      <c r="S528" s="163" t="inlineStr">
        <is>
          <t>ធនាគារ MAB</t>
        </is>
      </c>
    </row>
    <row r="529" ht="15.75" customHeight="1" s="305">
      <c r="A529" s="217" t="inlineStr">
        <is>
          <t>BANK_NAME.YOMA_BANK</t>
        </is>
      </c>
      <c r="B529" s="161" t="inlineStr">
        <is>
          <t>Yoma银行</t>
        </is>
      </c>
      <c r="C529" s="3" t="inlineStr">
        <is>
          <t>Yoma Bank</t>
        </is>
      </c>
      <c r="D529" s="3" t="inlineStr">
        <is>
          <t>Yoma Bank</t>
        </is>
      </c>
      <c r="E529" s="3" t="inlineStr">
        <is>
          <t>ທະນາຄານ Yoma</t>
        </is>
      </c>
      <c r="F529" s="3" t="inlineStr">
        <is>
          <t>ယိုမာဘဏ်</t>
        </is>
      </c>
      <c r="G529" s="3">
        <f>IFERROR(__xludf.DUMMYFUNCTION("GOOGLETRANSLATE(C529,""vi"",""km"")"),"ធនាគារយ៉ូម៉ា")</f>
        <v/>
      </c>
      <c r="H529" s="217" t="inlineStr">
        <is>
          <t>ធនាគារ Yoma</t>
        </is>
      </c>
      <c r="J529" s="3" t="inlineStr">
        <is>
          <t>ធនាគារ Yoma</t>
        </is>
      </c>
      <c r="K529" s="217" t="inlineStr">
        <is>
          <t>ធនាគារ Yoma</t>
        </is>
      </c>
      <c r="S529" s="163" t="inlineStr">
        <is>
          <t>ធនាគារ Yoma</t>
        </is>
      </c>
    </row>
    <row r="530" ht="15.75" customHeight="1" s="305">
      <c r="A530" s="217" t="inlineStr">
        <is>
          <t>BANK_NAME.AGD_BANK</t>
        </is>
      </c>
      <c r="B530" s="161" t="inlineStr">
        <is>
          <t>AGD银行</t>
        </is>
      </c>
      <c r="C530" s="3" t="inlineStr">
        <is>
          <t>AGD Bank</t>
        </is>
      </c>
      <c r="D530" s="3" t="inlineStr">
        <is>
          <t>AGD Bank</t>
        </is>
      </c>
      <c r="E530" s="3" t="inlineStr">
        <is>
          <t>ທະນາຄານ AGD</t>
        </is>
      </c>
      <c r="F530" s="3" t="inlineStr">
        <is>
          <t>AGD Bank</t>
        </is>
      </c>
      <c r="G530" s="3">
        <f>IFERROR(__xludf.DUMMYFUNCTION("GOOGLETRANSLATE(C530,""vi"",""km"")"),"ធនាគារ AGD")</f>
        <v/>
      </c>
      <c r="H530" s="217" t="inlineStr">
        <is>
          <t>ធនាគារ AGD</t>
        </is>
      </c>
      <c r="J530" s="3" t="inlineStr">
        <is>
          <t>ធនាគារ AGD</t>
        </is>
      </c>
      <c r="K530" s="217" t="inlineStr">
        <is>
          <t>ធនាគារ AGD</t>
        </is>
      </c>
      <c r="S530" s="163" t="inlineStr">
        <is>
          <t>ធនាគារ AGD</t>
        </is>
      </c>
    </row>
    <row r="531" ht="15.75" customHeight="1" s="305">
      <c r="A531" s="217" t="inlineStr">
        <is>
          <t>BANK_NAME.SHWE_BANK</t>
        </is>
      </c>
      <c r="B531" s="161" t="inlineStr">
        <is>
          <t>Shwe银行</t>
        </is>
      </c>
      <c r="C531" s="3" t="inlineStr">
        <is>
          <t>Shwe Bank</t>
        </is>
      </c>
      <c r="D531" s="3" t="inlineStr">
        <is>
          <t>Shwe Bank</t>
        </is>
      </c>
      <c r="E531" s="3" t="inlineStr">
        <is>
          <t>Shwe Bank</t>
        </is>
      </c>
      <c r="F531" s="3" t="inlineStr">
        <is>
          <t>ရွှေဘဏ်</t>
        </is>
      </c>
      <c r="G531" s="3">
        <f>IFERROR(__xludf.DUMMYFUNCTION("GOOGLETRANSLATE(C531,""vi"",""km"")"),"ធនាគារ Shwe")</f>
        <v/>
      </c>
      <c r="H531" s="217" t="inlineStr">
        <is>
          <t>ធនាគារ Shwe</t>
        </is>
      </c>
      <c r="J531" s="3" t="inlineStr">
        <is>
          <t>ធនាគារ Shwe</t>
        </is>
      </c>
      <c r="K531" s="217" t="inlineStr">
        <is>
          <t>ធនាគារ Shwe</t>
        </is>
      </c>
      <c r="S531" s="163" t="inlineStr">
        <is>
          <t>ធនាគារ Shwe</t>
        </is>
      </c>
    </row>
    <row r="532" ht="15.75" customHeight="1" s="305">
      <c r="A532" s="217" t="inlineStr">
        <is>
          <t>BANK_NAME.MYANMAR_CITIZEN_BANK</t>
        </is>
      </c>
      <c r="B532" s="153" t="inlineStr">
        <is>
          <t>缅甸公民银行</t>
        </is>
      </c>
      <c r="C532" s="3" t="inlineStr">
        <is>
          <t>Myanmar Citizen Bank</t>
        </is>
      </c>
      <c r="D532" s="3" t="inlineStr">
        <is>
          <t>Myanmar Citizen Bank</t>
        </is>
      </c>
      <c r="E532" s="3" t="inlineStr">
        <is>
          <t>ທະນາຄານພົນລະເມືອງມຽນມາ</t>
        </is>
      </c>
      <c r="F532" s="3" t="inlineStr">
        <is>
          <t>မြန်မာနိုင်ငံသားဘဏ်</t>
        </is>
      </c>
      <c r="G532" s="3">
        <f>IFERROR(__xludf.DUMMYFUNCTION("GOOGLETRANSLATE(C532,""vi"",""km"")"),"ធនាគារពលរដ្ឋមីយ៉ាន់ម៉ា")</f>
        <v/>
      </c>
      <c r="H532" s="217" t="inlineStr">
        <is>
          <t>ធនាគារពលរដ្ឋមីយ៉ាន់ម៉ា</t>
        </is>
      </c>
      <c r="J532" s="3" t="inlineStr">
        <is>
          <t>ធនាគារពលរដ្ឋមីយ៉ាន់ម៉ា</t>
        </is>
      </c>
      <c r="K532" s="217" t="inlineStr">
        <is>
          <t>ធនាគារពលរដ្ឋមីយ៉ាន់ម៉ា</t>
        </is>
      </c>
      <c r="S532" s="163" t="inlineStr">
        <is>
          <t>Myanmar Citizen Bank</t>
        </is>
      </c>
    </row>
    <row r="533" ht="15.75" customHeight="1" s="305">
      <c r="A533" s="217" t="inlineStr">
        <is>
          <t>BANK_NAME.MYANMAR_TOURISM_BANK</t>
        </is>
      </c>
      <c r="B533" s="153" t="inlineStr">
        <is>
          <t>缅甸旅游业银行</t>
        </is>
      </c>
      <c r="C533" s="3" t="inlineStr">
        <is>
          <t>Myanmar Tourism Bank</t>
        </is>
      </c>
      <c r="D533" s="3" t="inlineStr">
        <is>
          <t>Myanmar Tourism Bank</t>
        </is>
      </c>
      <c r="E533" s="3" t="inlineStr">
        <is>
          <t>ທະນາຄານທ່ອງທ່ຽວມຽນມາ</t>
        </is>
      </c>
      <c r="F533" s="3" t="inlineStr">
        <is>
          <t>မြန်မာ ကမ္ဘာလှည့်ခရီးသွားဘဏ်</t>
        </is>
      </c>
      <c r="G533" s="3">
        <f>IFERROR(__xludf.DUMMYFUNCTION("GOOGLETRANSLATE(C533,""vi"",""km"")"),"ធនាគារទេសចរណ៍មីយ៉ាន់ម៉ា")</f>
        <v/>
      </c>
      <c r="H533" s="217" t="inlineStr">
        <is>
          <t>ធនាគារទេសចរណ៍មីយ៉ាន់ម៉ា</t>
        </is>
      </c>
      <c r="J533" s="3" t="inlineStr">
        <is>
          <t>ធនាគារទេសចរណ៍មីយ៉ាន់ម៉ា</t>
        </is>
      </c>
      <c r="K533" s="217" t="inlineStr">
        <is>
          <t>ធនាគារទេសចរណ៍មីយ៉ាន់ម៉ា</t>
        </is>
      </c>
      <c r="S533" s="163" t="inlineStr">
        <is>
          <t>Myanmar Tourism Bank</t>
        </is>
      </c>
    </row>
    <row r="534" ht="15.75" customHeight="1" s="305">
      <c r="A534" s="217" t="inlineStr">
        <is>
          <t>BANK_NAME.MFTB_BANK</t>
        </is>
      </c>
      <c r="B534" s="161" t="inlineStr">
        <is>
          <t>MFTB银行</t>
        </is>
      </c>
      <c r="C534" s="3" t="inlineStr">
        <is>
          <t>MFTB Bank</t>
        </is>
      </c>
      <c r="D534" s="3" t="inlineStr">
        <is>
          <t>MFTB Bank</t>
        </is>
      </c>
      <c r="E534" s="3" t="inlineStr">
        <is>
          <t>ທະນາຄານ MFTB</t>
        </is>
      </c>
      <c r="F534" s="3" t="inlineStr">
        <is>
          <t>MFTB ဘဏ်</t>
        </is>
      </c>
      <c r="G534" s="3">
        <f>IFERROR(__xludf.DUMMYFUNCTION("GOOGLETRANSLATE(C534,""vi"",""km"")"),"ធនាគារ MFTB")</f>
        <v/>
      </c>
      <c r="H534" s="217" t="inlineStr">
        <is>
          <t>ធនាគារ MFTB</t>
        </is>
      </c>
      <c r="J534" s="3" t="inlineStr">
        <is>
          <t>ធនាគារ MFTB</t>
        </is>
      </c>
      <c r="K534" s="217" t="inlineStr">
        <is>
          <t>ធនាគារ MFTB</t>
        </is>
      </c>
      <c r="S534" s="163" t="inlineStr">
        <is>
          <t>ធនាគារ MFTB</t>
        </is>
      </c>
    </row>
    <row r="535" ht="15.75" customHeight="1" s="305">
      <c r="A535" s="217" t="inlineStr">
        <is>
          <t>BANK_NAME.MICB_BANK</t>
        </is>
      </c>
      <c r="B535" s="161" t="inlineStr">
        <is>
          <t>MICB银行</t>
        </is>
      </c>
      <c r="C535" s="3" t="inlineStr">
        <is>
          <t>MICB Bank</t>
        </is>
      </c>
      <c r="D535" s="3" t="inlineStr">
        <is>
          <t>MICB Bank</t>
        </is>
      </c>
      <c r="E535" s="3" t="inlineStr">
        <is>
          <t>ທະນາຄານ MICB</t>
        </is>
      </c>
      <c r="F535" s="3" t="inlineStr">
        <is>
          <t>MICB ဘဏ်</t>
        </is>
      </c>
      <c r="G535" s="3">
        <f>IFERROR(__xludf.DUMMYFUNCTION("GOOGLETRANSLATE(C535,""vi"",""km"")"),"ធនាគារ MICB")</f>
        <v/>
      </c>
      <c r="H535" s="217" t="inlineStr">
        <is>
          <t>ធនាគារ MICB</t>
        </is>
      </c>
      <c r="J535" s="3" t="inlineStr">
        <is>
          <t>ធនាគារ MICB</t>
        </is>
      </c>
      <c r="K535" s="217" t="inlineStr">
        <is>
          <t>ធនាគារ MICB</t>
        </is>
      </c>
      <c r="S535" s="163" t="inlineStr">
        <is>
          <t>ធនាគារ MICB</t>
        </is>
      </c>
    </row>
    <row r="536" ht="15.75" customHeight="1" s="305">
      <c r="A536" s="217" t="inlineStr">
        <is>
          <t>BANK_NAME.CHID_BANK</t>
        </is>
      </c>
      <c r="B536" s="161" t="inlineStr">
        <is>
          <t>CHID银行</t>
        </is>
      </c>
      <c r="C536" s="3" t="inlineStr">
        <is>
          <t>CHID Bank</t>
        </is>
      </c>
      <c r="D536" s="3" t="inlineStr">
        <is>
          <t>CHID Bank</t>
        </is>
      </c>
      <c r="E536" s="3" t="inlineStr">
        <is>
          <t>ທະນາຄານ CHID</t>
        </is>
      </c>
      <c r="F536" s="3" t="inlineStr">
        <is>
          <t>CHID Bank</t>
        </is>
      </c>
      <c r="G536" s="3">
        <f>IFERROR(__xludf.DUMMYFUNCTION("GOOGLETRANSLATE(C536,""vi"",""km"")"),"ធនាគារ CHID")</f>
        <v/>
      </c>
      <c r="H536" s="217" t="inlineStr">
        <is>
          <t>ធនាគារ CHID</t>
        </is>
      </c>
      <c r="J536" s="3" t="inlineStr">
        <is>
          <t>ធនាគារ CHID</t>
        </is>
      </c>
      <c r="K536" s="217" t="inlineStr">
        <is>
          <t>ធនាគារ CHID</t>
        </is>
      </c>
      <c r="S536" s="163" t="inlineStr">
        <is>
          <t>ធនាគារ CHID</t>
        </is>
      </c>
    </row>
    <row r="537" ht="15.75" customHeight="1" s="305">
      <c r="A537" s="217" t="inlineStr">
        <is>
          <t>BANK_NAME.MYANMAR_ECONOMICS_BANK</t>
        </is>
      </c>
      <c r="B537" s="153" t="inlineStr">
        <is>
          <t>缅甸经济银行</t>
        </is>
      </c>
      <c r="C537" s="3" t="inlineStr">
        <is>
          <t>Myanmar Economics Bank</t>
        </is>
      </c>
      <c r="D537" s="3" t="inlineStr">
        <is>
          <t>Myanmar Economics Bank</t>
        </is>
      </c>
      <c r="E537" s="3" t="inlineStr">
        <is>
          <t>ທະນາຄານເສດຖະກິດມຽນມາ</t>
        </is>
      </c>
      <c r="F537" s="3" t="inlineStr">
        <is>
          <t>မြန်မာ စီးပွားရေးဘဏ်</t>
        </is>
      </c>
      <c r="G537" s="3">
        <f>IFERROR(__xludf.DUMMYFUNCTION("GOOGLETRANSLATE(C537,""vi"",""km"")"),"ធនាគារសេដ្ឋកិច្ចមីយ៉ាន់ម៉ា")</f>
        <v/>
      </c>
      <c r="H537" s="217" t="inlineStr">
        <is>
          <t>ធនាគារសេដ្ឋកិច្ចមីយ៉ាន់ម៉ា</t>
        </is>
      </c>
      <c r="J537" s="3" t="inlineStr">
        <is>
          <t>ធនាគារសេដ្ឋកិច្ចមីយ៉ាន់ម៉ា</t>
        </is>
      </c>
      <c r="K537" s="217" t="inlineStr">
        <is>
          <t>ធនាគារសេដ្ឋកិច្ចមីយ៉ាន់ម៉ា</t>
        </is>
      </c>
      <c r="S537" s="163" t="inlineStr">
        <is>
          <t>Myanmar Economics Bank</t>
        </is>
      </c>
    </row>
    <row r="538" ht="15.75" customHeight="1" s="305">
      <c r="A538" s="217" t="inlineStr">
        <is>
          <t>BANK_NAME.MYAWADDY_BANK</t>
        </is>
      </c>
      <c r="B538" s="153" t="inlineStr">
        <is>
          <t>妙瓦底银行</t>
        </is>
      </c>
      <c r="C538" s="3" t="inlineStr">
        <is>
          <t>Myawaddy Bank</t>
        </is>
      </c>
      <c r="D538" s="3" t="inlineStr">
        <is>
          <t>Myawaddy Bank</t>
        </is>
      </c>
      <c r="E538" s="3" t="inlineStr">
        <is>
          <t>ທະນາຄານ Myawaddy</t>
        </is>
      </c>
      <c r="F538" s="3" t="inlineStr">
        <is>
          <t>မြဝတီဘဏ်</t>
        </is>
      </c>
      <c r="G538" s="3">
        <f>IFERROR(__xludf.DUMMYFUNCTION("GOOGLETRANSLATE(C538,""vi"",""km"")"),"ធនាគារមីយ៉ាវ៉ាឌី")</f>
        <v/>
      </c>
      <c r="H538" s="217" t="inlineStr">
        <is>
          <t>ធនាគារ Myawaddy</t>
        </is>
      </c>
      <c r="J538" s="3" t="inlineStr">
        <is>
          <t>ធនាគារ Myawaddy</t>
        </is>
      </c>
      <c r="K538" s="217" t="inlineStr">
        <is>
          <t>ធនាគារ Myawaddy</t>
        </is>
      </c>
      <c r="S538" s="163" t="inlineStr">
        <is>
          <t>ធនាគារ Myawaddy</t>
        </is>
      </c>
    </row>
    <row r="539" ht="15.75" customHeight="1" s="305">
      <c r="A539" s="217" t="inlineStr">
        <is>
          <t>BANK_NAME.BIDV_BANK</t>
        </is>
      </c>
      <c r="B539" s="161" t="inlineStr">
        <is>
          <t>BIDV银行</t>
        </is>
      </c>
      <c r="C539" s="3" t="inlineStr">
        <is>
          <t>BIDV Bank</t>
        </is>
      </c>
      <c r="D539" s="3" t="inlineStr">
        <is>
          <t>BIDV Bank</t>
        </is>
      </c>
      <c r="E539" s="3" t="inlineStr">
        <is>
          <t>ທະນາຄານ BIDV</t>
        </is>
      </c>
      <c r="F539" s="3" t="inlineStr">
        <is>
          <t>BIDV Bk</t>
        </is>
      </c>
      <c r="G539" s="3">
        <f>IFERROR(__xludf.DUMMYFUNCTION("GOOGLETRANSLATE(C539,""vi"",""km"")"),"ធនាគារ BIDV")</f>
        <v/>
      </c>
      <c r="H539" s="18" t="inlineStr">
        <is>
          <t>ធនាគារ BIDV</t>
        </is>
      </c>
      <c r="I539" s="217" t="inlineStr">
        <is>
          <t>x</t>
        </is>
      </c>
      <c r="J539" s="3" t="inlineStr">
        <is>
          <t>ធនាគារ BIDV</t>
        </is>
      </c>
      <c r="K539" s="217" t="inlineStr">
        <is>
          <t>ធនាគារ BIDV</t>
        </is>
      </c>
      <c r="S539" s="163" t="inlineStr">
        <is>
          <t>ធនាគារ BIDV</t>
        </is>
      </c>
    </row>
    <row r="540" ht="15.75" customHeight="1" s="305">
      <c r="A540" s="217" t="inlineStr">
        <is>
          <t>BANK_NAME.MIZUHO_BANK</t>
        </is>
      </c>
      <c r="B540" s="161" t="inlineStr">
        <is>
          <t>Mizuho银行</t>
        </is>
      </c>
      <c r="C540" s="3" t="inlineStr">
        <is>
          <t>Mizuho Bank</t>
        </is>
      </c>
      <c r="D540" s="3" t="inlineStr">
        <is>
          <t>Mizuho Bank</t>
        </is>
      </c>
      <c r="E540" s="3" t="inlineStr">
        <is>
          <t>ທະນາຄານ Mizuho</t>
        </is>
      </c>
      <c r="F540" s="3" t="inlineStr">
        <is>
          <t>မီဇူဟိုဘဏ်</t>
        </is>
      </c>
      <c r="G540" s="3">
        <f>IFERROR(__xludf.DUMMYFUNCTION("GOOGLETRANSLATE(C540,""vi"",""km"")"),"ធនាគារមីហ្ស៊ូហូ")</f>
        <v/>
      </c>
      <c r="H540" s="217" t="inlineStr">
        <is>
          <t>ធនាគារ Mizuho</t>
        </is>
      </c>
      <c r="J540" s="3" t="inlineStr">
        <is>
          <t>ធនាគារ Mizuho</t>
        </is>
      </c>
      <c r="K540" s="217" t="inlineStr">
        <is>
          <t>ធនាគារ Mizuho</t>
        </is>
      </c>
      <c r="S540" s="163" t="inlineStr">
        <is>
          <t>ធនាគារ Mizuho</t>
        </is>
      </c>
    </row>
    <row r="541" ht="15.75" customHeight="1" s="305">
      <c r="A541" s="217" t="inlineStr">
        <is>
          <t>BANK_NAME.SHINHAN_BANK</t>
        </is>
      </c>
      <c r="B541" s="161" t="inlineStr">
        <is>
          <t>Shinhan银行</t>
        </is>
      </c>
      <c r="C541" s="3" t="inlineStr">
        <is>
          <t>Shinhan Bank</t>
        </is>
      </c>
      <c r="D541" s="3" t="inlineStr">
        <is>
          <t>Shinhan Bank</t>
        </is>
      </c>
      <c r="E541" s="3" t="inlineStr">
        <is>
          <t>ທະນາຄານ Shinhan</t>
        </is>
      </c>
      <c r="F541" s="3" t="inlineStr">
        <is>
          <t>ရှင်ဟန်ဘဏ်</t>
        </is>
      </c>
      <c r="G541" s="3">
        <f>IFERROR(__xludf.DUMMYFUNCTION("GOOGLETRANSLATE(C541,""vi"",""km"")"),"ធនាគារស៊ីនហាន")</f>
        <v/>
      </c>
      <c r="H541" s="217" t="inlineStr">
        <is>
          <t>ធនាគារ Shinhan</t>
        </is>
      </c>
      <c r="J541" s="3" t="inlineStr">
        <is>
          <t>ធនាគារ Shinhan</t>
        </is>
      </c>
      <c r="K541" s="217" t="inlineStr">
        <is>
          <t>ធនាគារ Shinhan</t>
        </is>
      </c>
      <c r="S541" s="163" t="inlineStr">
        <is>
          <t>ធនាគារ Shinhan</t>
        </is>
      </c>
    </row>
    <row r="542" ht="15.75" customHeight="1" s="305">
      <c r="A542" s="217" t="inlineStr">
        <is>
          <t>EDIT_ADDRESS_SCREEN.SELECT_REGION</t>
        </is>
      </c>
      <c r="B542" s="153" t="inlineStr">
        <is>
          <t>选择联邦区</t>
        </is>
      </c>
      <c r="C542" s="3" t="inlineStr">
        <is>
          <t>Chọn khu vực liên bang</t>
        </is>
      </c>
      <c r="D542" s="3" t="inlineStr">
        <is>
          <t>Select Federal Region</t>
        </is>
      </c>
      <c r="E542" s="3" t="inlineStr">
        <is>
          <t>ເລືອກເຂດທີ່ຢູ່</t>
        </is>
      </c>
      <c r="F542" s="3" t="inlineStr">
        <is>
          <t>ဖက်ဒရယ်ဒေသကိုရွေးချယ်ပါ</t>
        </is>
      </c>
      <c r="G542" s="3">
        <f>IFERROR(__xludf.DUMMYFUNCTION("GOOGLETRANSLATE(C542,""vi"",""km"")"),"ជ្រើសរើសតំបន់សហព័ន្ធ")</f>
        <v/>
      </c>
      <c r="J542" s="3" t="inlineStr">
        <is>
          <t>ជ្រើសរើសតំបន់សហព័ន្ធ</t>
        </is>
      </c>
      <c r="K542" s="217" t="inlineStr">
        <is>
          <t>ជ្រើសរើសតំបន់សហព័ន្ធ</t>
        </is>
      </c>
      <c r="S542" s="163" t="inlineStr">
        <is>
          <t>ជ្រើសរើសតំបន់សហព័ន្ធ</t>
        </is>
      </c>
    </row>
    <row r="543" ht="15.75" customHeight="1" s="305">
      <c r="A543" s="217" t="inlineStr">
        <is>
          <t>EDIT_ADDRESS_SCREEN.NON_DATA</t>
        </is>
      </c>
      <c r="B543" s="153" t="inlineStr">
        <is>
          <t>暂无数据</t>
        </is>
      </c>
      <c r="C543" s="3" t="inlineStr">
        <is>
          <t>Không có dữ liệu</t>
        </is>
      </c>
      <c r="D543" s="3" t="inlineStr">
        <is>
          <t>No Data</t>
        </is>
      </c>
      <c r="E543" s="3" t="inlineStr">
        <is>
          <t>ບໍ່ມີຂໍ້ມູນ</t>
        </is>
      </c>
      <c r="F543" s="3" t="inlineStr">
        <is>
          <t>အချက်အလက်များ မရှိပါ</t>
        </is>
      </c>
      <c r="G543" s="3">
        <f>IFERROR(__xludf.DUMMYFUNCTION("GOOGLETRANSLATE(C543,""vi"",""km"")"),"គ្មានទិន្នន័យ")</f>
        <v/>
      </c>
      <c r="H543" s="217" t="inlineStr">
        <is>
          <t>មិនមានទិន្នន័យ</t>
        </is>
      </c>
      <c r="J543" s="3" t="inlineStr">
        <is>
          <t>មិនមានទិន្នន័យទេ</t>
        </is>
      </c>
      <c r="K543" s="217" t="inlineStr">
        <is>
          <t>មិនមានទិន្នន័យទេ</t>
        </is>
      </c>
      <c r="S543" s="163" t="inlineStr">
        <is>
          <t>គ្មានទិន្នន័យ</t>
        </is>
      </c>
    </row>
    <row r="544" ht="15.75" customHeight="1" s="305">
      <c r="A544" s="217" t="inlineStr">
        <is>
          <t>EDIT_ADDRESS_SCREEN.SELECT_DISTRICT</t>
        </is>
      </c>
      <c r="B544" s="153" t="inlineStr">
        <is>
          <t>选择郡/县</t>
        </is>
      </c>
      <c r="C544" s="3" t="inlineStr">
        <is>
          <t>Chọn quận/huyện</t>
        </is>
      </c>
      <c r="D544" s="3" t="inlineStr">
        <is>
          <t>Select District</t>
        </is>
      </c>
      <c r="E544" s="3" t="inlineStr">
        <is>
          <t>ເລືອກເມືອງ</t>
        </is>
      </c>
      <c r="F544" s="3" t="inlineStr">
        <is>
          <t>ခရိုင်ကိုရွေးချယ်ပါ</t>
        </is>
      </c>
      <c r="G544" s="3">
        <f>IFERROR(__xludf.DUMMYFUNCTION("GOOGLETRANSLATE(C544,""vi"",""km"")"),"ជ្រើសរើសស្រុក/ខេត្ត")</f>
        <v/>
      </c>
      <c r="H544" s="217" t="inlineStr">
        <is>
          <t>ជ្រើសរើសស្រុក/ខណ្ឌ</t>
        </is>
      </c>
      <c r="J544" s="3" t="inlineStr">
        <is>
          <t>ជ្រើសរើសស្រុក/ខណ្ឌ</t>
        </is>
      </c>
      <c r="K544" s="217" t="inlineStr">
        <is>
          <t>ជ្រើសរើសស្រុក/ខណ្ឌ</t>
        </is>
      </c>
      <c r="S544" s="163" t="inlineStr">
        <is>
          <t>ជ្រើសរើសស្រុក</t>
        </is>
      </c>
    </row>
    <row r="545" ht="15.75" customHeight="1" s="305">
      <c r="A545" s="217" t="inlineStr">
        <is>
          <t>EDIT_ADDRESS_SCREEN.SELECT_TOWN</t>
        </is>
      </c>
      <c r="B545" s="153" t="inlineStr">
        <is>
          <t>选择市镇/乡</t>
        </is>
      </c>
      <c r="C545" s="3" t="inlineStr">
        <is>
          <t>Chọn thị trấn/xã</t>
        </is>
      </c>
      <c r="D545" s="3" t="inlineStr">
        <is>
          <t>Select Town</t>
        </is>
      </c>
      <c r="E545" s="3" t="inlineStr">
        <is>
          <t>ເລືອກເມືອງ/ຊຸມຊົນ</t>
        </is>
      </c>
      <c r="F545" s="3" t="inlineStr">
        <is>
          <t>ရွေးချယ်ထားသော မြို့နယ်</t>
        </is>
      </c>
      <c r="G545" s="3">
        <f>IFERROR(__xludf.DUMMYFUNCTION("GOOGLETRANSLATE(C545,""vi"",""km"")"),"ជ្រើសរើស​ក្រុង/ឃុំ")</f>
        <v/>
      </c>
      <c r="H545" s="217" t="inlineStr">
        <is>
          <t>ជ្រើសរើសឃុំ/សង្កាត់</t>
        </is>
      </c>
      <c r="J545" s="3" t="inlineStr">
        <is>
          <t>ជ្រើសរើសឃុំ/សង្កាត់</t>
        </is>
      </c>
      <c r="K545" s="217" t="inlineStr">
        <is>
          <t>ជ្រើសរើសឃុំ/សង្កាត់</t>
        </is>
      </c>
      <c r="S545" s="163" t="inlineStr">
        <is>
          <t>ជ្រើសរើសទីក្រុង</t>
        </is>
      </c>
    </row>
    <row r="546" ht="15.75" customHeight="1" s="305">
      <c r="A546" s="217" t="inlineStr">
        <is>
          <t>EDIT_ADDRESS_SCREEN.RELOAD</t>
        </is>
      </c>
      <c r="B546" s="153" t="inlineStr">
        <is>
          <t>重新加载</t>
        </is>
      </c>
      <c r="C546" s="3" t="inlineStr">
        <is>
          <t>Tải lại</t>
        </is>
      </c>
      <c r="D546" s="3" t="inlineStr">
        <is>
          <t>Reload data</t>
        </is>
      </c>
      <c r="E546" s="3" t="inlineStr">
        <is>
          <t>ໂຫຼດໃໝ່</t>
        </is>
      </c>
      <c r="F546" s="3" t="inlineStr">
        <is>
          <t>အချက်အလက်များကို ပြန်တင်ပါ</t>
        </is>
      </c>
      <c r="G546" s="3">
        <f>IFERROR(__xludf.DUMMYFUNCTION("GOOGLETRANSLATE(C546,""vi"",""km"")"),"ផ្ទុកឡើងវិញ")</f>
        <v/>
      </c>
      <c r="H546" s="217" t="inlineStr">
        <is>
          <t>ទាញយកម្តងទៀត</t>
        </is>
      </c>
      <c r="J546" s="3" t="inlineStr">
        <is>
          <t>ទាញយកម្តងទៀត</t>
        </is>
      </c>
      <c r="K546" s="217" t="inlineStr">
        <is>
          <t>ទាញយកម្តងទៀត</t>
        </is>
      </c>
      <c r="S546" s="163" t="inlineStr">
        <is>
          <t>ផ្ទុកទិន្នន័យឡើងវិញ</t>
        </is>
      </c>
    </row>
    <row r="547" ht="15.75" customHeight="1" s="305">
      <c r="A547" s="217" t="inlineStr">
        <is>
          <t>EDIT_ADDRESS_SCREEN.DETAIL_ADDRESS_REQUIRED</t>
        </is>
      </c>
      <c r="B547" s="153" t="inlineStr">
        <is>
          <t>请填写详细地址</t>
        </is>
      </c>
      <c r="C547" s="3" t="inlineStr">
        <is>
          <t>Yêu cầu địa chỉ chi tiết</t>
        </is>
      </c>
      <c r="D547" s="3" t="inlineStr">
        <is>
          <t>Detailed address is required</t>
        </is>
      </c>
      <c r="E547" s="3" t="inlineStr">
        <is>
          <t>ຮ້ອງຂໍທີ່ຢູ່ລາຍລະອຽດ</t>
        </is>
      </c>
      <c r="F547" s="3" t="inlineStr">
        <is>
          <t>အသေးစိတ် လိပ်စာ လိုအပ်ပါသည်</t>
        </is>
      </c>
      <c r="G547" s="3">
        <f>IFERROR(__xludf.DUMMYFUNCTION("GOOGLETRANSLATE(C547,""vi"",""km"")"),"សូមផ្តល់អាសយដ្ឋានលម្អិត។")</f>
        <v/>
      </c>
      <c r="H547" s="217" t="inlineStr">
        <is>
          <t>ស្នើសុំអាស័យដ្ឋានលម្អិត</t>
        </is>
      </c>
      <c r="J547" s="3" t="inlineStr">
        <is>
          <t>ស្នើសុំអាសយដ្ឋានលម្អិត</t>
        </is>
      </c>
      <c r="K547" s="217" t="inlineStr">
        <is>
          <t>ស្នើសុំអាសយដ្ឋានលម្អិត</t>
        </is>
      </c>
      <c r="S547" s="163" t="inlineStr">
        <is>
          <t>ត្រូវការអាសយដ្ឋានលម្អិត</t>
        </is>
      </c>
    </row>
    <row r="548" ht="15.75" customHeight="1" s="305">
      <c r="A548" s="217" t="inlineStr">
        <is>
          <t>EDIT_ADDRESS_SCREEN.REGION_REQUIRED</t>
        </is>
      </c>
      <c r="B548" s="153" t="inlineStr">
        <is>
          <t>请选择地区</t>
        </is>
      </c>
      <c r="C548" s="3" t="inlineStr">
        <is>
          <t>Yêu cầu khu vực</t>
        </is>
      </c>
      <c r="D548" s="3" t="inlineStr">
        <is>
          <t>Region is required</t>
        </is>
      </c>
      <c r="E548" s="3" t="inlineStr">
        <is>
          <t>ຄວາມຕ້ອງການພື້ນທີ່</t>
        </is>
      </c>
      <c r="F548" s="3" t="inlineStr">
        <is>
          <t xml:space="preserve">ဒေသလိုအပ်သည်။ </t>
        </is>
      </c>
      <c r="G548" s="3">
        <f>IFERROR(__xludf.DUMMYFUNCTION("GOOGLETRANSLATE(C548,""vi"",""km"")"),"តម្រូវការក្នុងតំបន់")</f>
        <v/>
      </c>
      <c r="H548" s="217" t="inlineStr">
        <is>
          <t>ស្នើ្នសុំតំបន់</t>
        </is>
      </c>
      <c r="J548" s="3" t="inlineStr">
        <is>
          <t>ស្នើសុំតំបន់</t>
        </is>
      </c>
      <c r="K548" s="217" t="inlineStr">
        <is>
          <t>ស្នើសុំតំបន់</t>
        </is>
      </c>
      <c r="S548" s="163" t="inlineStr">
        <is>
          <t>តំបន់ត្រូវបានទាមទារ</t>
        </is>
      </c>
    </row>
    <row r="549" ht="15.75" customHeight="1" s="305">
      <c r="A549" s="217" t="inlineStr">
        <is>
          <t>EDIT_ADDRESS_SCREEN.DISTRICT_REQUIRED</t>
        </is>
      </c>
      <c r="B549" s="153" t="inlineStr">
        <is>
          <t>请选择郡/县</t>
        </is>
      </c>
      <c r="C549" s="3" t="inlineStr">
        <is>
          <t>Yêu cầu quận/huyện</t>
        </is>
      </c>
      <c r="D549" s="3" t="inlineStr">
        <is>
          <t>District is required</t>
        </is>
      </c>
      <c r="E549" s="3" t="inlineStr">
        <is>
          <t>ຂໍ້ກໍານົດຂອງເມືອງ</t>
        </is>
      </c>
      <c r="F549" s="3" t="inlineStr">
        <is>
          <t>ခရိုင်လိုအပ်</t>
        </is>
      </c>
      <c r="G549" s="3">
        <f>IFERROR(__xludf.DUMMYFUNCTION("GOOGLETRANSLATE(C549,""vi"",""km"")"),"សំណើសុំស្រុក/ខេត្ត")</f>
        <v/>
      </c>
      <c r="H549" s="217" t="inlineStr">
        <is>
          <t>ស្នើសុំស្រុក/ខណ្ឌ</t>
        </is>
      </c>
      <c r="J549" s="3" t="inlineStr">
        <is>
          <t>ស្នើសុំស្រុក/ខណ្ឌ</t>
        </is>
      </c>
      <c r="K549" s="217" t="inlineStr">
        <is>
          <t>ស្នើសុំស្រុក/ខណ្ឌ</t>
        </is>
      </c>
      <c r="S549" s="163" t="inlineStr">
        <is>
          <t>ស្រុកត្រូវបានទាមទារ</t>
        </is>
      </c>
    </row>
    <row r="550" ht="15.75" customHeight="1" s="305">
      <c r="A550" s="217" t="inlineStr">
        <is>
          <t>EDIT_ADDRESS_SCREEN.TOWN_REQUIRED</t>
        </is>
      </c>
      <c r="B550" s="153" t="inlineStr">
        <is>
          <t>请选择市镇/</t>
        </is>
      </c>
      <c r="C550" s="3" t="inlineStr">
        <is>
          <t>Yêu cầu thị trấn/xã</t>
        </is>
      </c>
      <c r="D550" s="3" t="inlineStr">
        <is>
          <t>Town is required</t>
        </is>
      </c>
      <c r="E550" s="3" t="inlineStr">
        <is>
          <t>ຂໍ້​ກໍາ​ນົດ​ຂອງ​ຕົວ​ເມືອງ / ຊຸມ​ຊົນ​</t>
        </is>
      </c>
      <c r="F550" s="3" t="inlineStr">
        <is>
          <t>မြို့လိုအပ်</t>
        </is>
      </c>
      <c r="G550" s="3">
        <f>IFERROR(__xludf.DUMMYFUNCTION("GOOGLETRANSLATE(C550,""vi"",""km"")"),"សំណើសុំក្រុង/ឃុំ")</f>
        <v/>
      </c>
      <c r="H550" s="217" t="inlineStr">
        <is>
          <t>ស្នើសុំឃុំ/សង្កាត់</t>
        </is>
      </c>
      <c r="J550" s="3" t="inlineStr">
        <is>
          <t>ស្នើសុំឃុំ/សង្កាត់</t>
        </is>
      </c>
      <c r="K550" s="217" t="inlineStr">
        <is>
          <t>ស្នើសុំឃុំ/សង្កាត់</t>
        </is>
      </c>
      <c r="S550" s="163" t="inlineStr">
        <is>
          <t>ទីក្រុងត្រូវបានទាមទារ</t>
        </is>
      </c>
    </row>
    <row r="551" ht="15.75" customHeight="1" s="305">
      <c r="A551" s="217" t="inlineStr">
        <is>
          <t>CAMBODIA_SPECIFIC.PROVINCE</t>
        </is>
      </c>
      <c r="B551" s="153" t="inlineStr">
        <is>
          <t>省</t>
        </is>
      </c>
      <c r="C551" s="3" t="inlineStr">
        <is>
          <t>Tỉnh</t>
        </is>
      </c>
      <c r="D551" s="3" t="inlineStr">
        <is>
          <t>Province</t>
        </is>
      </c>
      <c r="E551" s="3" t="inlineStr">
        <is>
          <t>ສະຕິ</t>
        </is>
      </c>
      <c r="F551" s="3" t="inlineStr">
        <is>
          <t>ပြည်နယ်</t>
        </is>
      </c>
      <c r="G551" s="3">
        <f>IFERROR(__xludf.DUMMYFUNCTION("GOOGLETRANSLATE(C551,""vi"",""km"")"),"ដឹងខ្លួន")</f>
        <v/>
      </c>
      <c r="H551" s="217" t="inlineStr">
        <is>
          <t>ខេត្ត</t>
        </is>
      </c>
      <c r="J551" s="3" t="inlineStr">
        <is>
          <t>ខេត្ត</t>
        </is>
      </c>
      <c r="K551" s="217" t="inlineStr">
        <is>
          <t>ខេត្ត</t>
        </is>
      </c>
      <c r="S551" s="163" t="inlineStr">
        <is>
          <t>ខេត្ត</t>
        </is>
      </c>
    </row>
    <row r="552" ht="15.75" customHeight="1" s="305">
      <c r="A552" s="217" t="inlineStr">
        <is>
          <t>CAMBODIA_SPECIFIC.COMMUNE</t>
        </is>
      </c>
      <c r="B552" s="153" t="inlineStr">
        <is>
          <t>乡</t>
        </is>
      </c>
      <c r="C552" s="3" t="inlineStr">
        <is>
          <t>Xã</t>
        </is>
      </c>
      <c r="D552" s="3" t="inlineStr">
        <is>
          <t>Commune</t>
        </is>
      </c>
      <c r="E552" s="3" t="inlineStr">
        <is>
          <t>ຊຸມຊົນ</t>
        </is>
      </c>
      <c r="F552" s="3" t="inlineStr">
        <is>
          <t>ကွန်မြူနစ်</t>
        </is>
      </c>
      <c r="G552" s="3">
        <f>IFERROR(__xludf.DUMMYFUNCTION("GOOGLETRANSLATE(C552,""vi"",""km"")"),"ឃុំ")</f>
        <v/>
      </c>
      <c r="H552" s="217" t="inlineStr">
        <is>
          <t>ឃុំ</t>
        </is>
      </c>
      <c r="J552" s="3" t="inlineStr">
        <is>
          <t>ឃុំ</t>
        </is>
      </c>
      <c r="K552" s="217" t="inlineStr">
        <is>
          <t>ឃុំ</t>
        </is>
      </c>
      <c r="S552" s="163" t="inlineStr">
        <is>
          <t>ឃុំ</t>
        </is>
      </c>
    </row>
    <row r="553" ht="15.75" customHeight="1" s="305">
      <c r="A553" s="217" t="inlineStr">
        <is>
          <t>CAMBODIA_SPECIFIC.SELECT_PROVINCE</t>
        </is>
      </c>
      <c r="B553" s="153" t="inlineStr">
        <is>
          <t>选择省</t>
        </is>
      </c>
      <c r="C553" s="3" t="inlineStr">
        <is>
          <t>Chọn Tỉnh</t>
        </is>
      </c>
      <c r="D553" s="3" t="inlineStr">
        <is>
          <t>Select Province</t>
        </is>
      </c>
      <c r="E553" s="3" t="inlineStr">
        <is>
          <t>ເລືອກແຂວງ</t>
        </is>
      </c>
      <c r="F553" s="3" t="inlineStr">
        <is>
          <t>ရွေးချယ်ထားသော ပြည်နယ်</t>
        </is>
      </c>
      <c r="G553" s="3">
        <f>IFERROR(__xludf.DUMMYFUNCTION("GOOGLETRANSLATE(C553,""vi"",""km"")"),"ជ្រើសរើសខេត្ត")</f>
        <v/>
      </c>
      <c r="H553" s="217" t="inlineStr">
        <is>
          <t>ជ្រើសរើសខេត្ត</t>
        </is>
      </c>
      <c r="J553" s="3" t="inlineStr">
        <is>
          <t>ជ្រើសរើសខេត្ត</t>
        </is>
      </c>
      <c r="K553" s="217" t="inlineStr">
        <is>
          <t>ជ្រើសរើសខេត្ត</t>
        </is>
      </c>
      <c r="S553" s="163" t="inlineStr">
        <is>
          <t>ជ្រើសរើសខេត្ត</t>
        </is>
      </c>
    </row>
    <row r="554" ht="15.75" customHeight="1" s="305">
      <c r="A554" s="217" t="inlineStr">
        <is>
          <t>CAMBODIA_SPECIFIC.SELECT_COMMUNE</t>
        </is>
      </c>
      <c r="B554" s="153" t="inlineStr">
        <is>
          <t>选择乡</t>
        </is>
      </c>
      <c r="C554" s="3" t="inlineStr">
        <is>
          <t>Chọn Xã</t>
        </is>
      </c>
      <c r="D554" s="3" t="inlineStr">
        <is>
          <t>Select Commune</t>
        </is>
      </c>
      <c r="E554" s="3" t="inlineStr">
        <is>
          <t>ເລືອກເມືອງ</t>
        </is>
      </c>
      <c r="F554" s="3" t="inlineStr">
        <is>
          <t>လူ့အသိုင်းအဝိုင်းရွေးချယ်ပါ</t>
        </is>
      </c>
      <c r="G554" s="3">
        <f>IFERROR(__xludf.DUMMYFUNCTION("GOOGLETRANSLATE(C554,""vi"",""km"")"),"ជ្រើសរើសឃុំ")</f>
        <v/>
      </c>
      <c r="H554" s="217" t="inlineStr">
        <is>
          <t>ជ្រើសរើសឃុំ</t>
        </is>
      </c>
      <c r="J554" s="3" t="inlineStr">
        <is>
          <t>ជ្រើសរើសឃុំ</t>
        </is>
      </c>
      <c r="K554" s="217" t="inlineStr">
        <is>
          <t>ជ្រើសរើសឃុំ</t>
        </is>
      </c>
      <c r="S554" s="163" t="inlineStr">
        <is>
          <t>ជ្រើសរើសឃុំ</t>
        </is>
      </c>
    </row>
    <row r="555" ht="15.75" customHeight="1" s="305">
      <c r="A555" s="217" t="inlineStr">
        <is>
          <t>CAMBODIA_SPECIFIC.SEARCH_PROVINCE</t>
        </is>
      </c>
      <c r="B555" s="153" t="inlineStr">
        <is>
          <t>搜索省份</t>
        </is>
      </c>
      <c r="C555" s="3" t="inlineStr">
        <is>
          <t>Tìm kiếm Tỉnh</t>
        </is>
      </c>
      <c r="D555" s="3" t="inlineStr">
        <is>
          <t>Search Province</t>
        </is>
      </c>
      <c r="E555" s="3" t="inlineStr">
        <is>
          <t>ຄົ້ນຫາແຂວງ</t>
        </is>
      </c>
      <c r="F555" s="3" t="inlineStr">
        <is>
          <t>ရှာဖွေရေး ပြည်နယ်</t>
        </is>
      </c>
      <c r="G555" s="3">
        <f>IFERROR(__xludf.DUMMYFUNCTION("GOOGLETRANSLATE(C555,""vi"",""km"")"),"ស្វែងរកខេត្ត")</f>
        <v/>
      </c>
      <c r="H555" s="217" t="inlineStr">
        <is>
          <t>ស្វែងរកខេត្ត</t>
        </is>
      </c>
      <c r="J555" s="3" t="inlineStr">
        <is>
          <t>ស្វែងរកខេត្ត</t>
        </is>
      </c>
      <c r="K555" s="217" t="inlineStr">
        <is>
          <t>ស្វែងរកខេត្ត</t>
        </is>
      </c>
      <c r="S555" s="163" t="inlineStr">
        <is>
          <t>ស្វែងរកខេត្ត</t>
        </is>
      </c>
    </row>
    <row r="556" ht="15.75" customHeight="1" s="305">
      <c r="A556" s="217" t="inlineStr">
        <is>
          <t>CAMBODIA_SPECIFIC.SEARCH_COMMUNE</t>
        </is>
      </c>
      <c r="B556" s="153" t="inlineStr">
        <is>
          <t>搜索乡</t>
        </is>
      </c>
      <c r="C556" s="3" t="inlineStr">
        <is>
          <t>Tìm kiếm Xã</t>
        </is>
      </c>
      <c r="D556" s="3" t="inlineStr">
        <is>
          <t>Search Commune</t>
        </is>
      </c>
      <c r="E556" s="3" t="inlineStr">
        <is>
          <t>ຄົ້ນຫາເມືອງ</t>
        </is>
      </c>
      <c r="F556" s="3" t="inlineStr">
        <is>
          <t>ရှာဖွေရေးအသင်း</t>
        </is>
      </c>
      <c r="G556" s="3">
        <f>IFERROR(__xludf.DUMMYFUNCTION("GOOGLETRANSLATE(C556,""vi"",""km"")"),"ស្វែងរកឃុំ")</f>
        <v/>
      </c>
      <c r="H556" s="217" t="inlineStr">
        <is>
          <t>ស្វែងរកឃុំ</t>
        </is>
      </c>
      <c r="J556" s="3" t="inlineStr">
        <is>
          <t>ស្វែងរកឃុំ</t>
        </is>
      </c>
      <c r="K556" s="217" t="inlineStr">
        <is>
          <t>ស្វែងរកឃុំ</t>
        </is>
      </c>
      <c r="S556" s="163" t="inlineStr">
        <is>
          <t>ស្វែងរកឃុំ</t>
        </is>
      </c>
    </row>
    <row r="557" ht="15.75" customHeight="1" s="305">
      <c r="A557" s="217" t="inlineStr">
        <is>
          <t>LAOS_SPECIFIC.PROVINCE</t>
        </is>
      </c>
      <c r="B557" s="153" t="inlineStr">
        <is>
          <t>省</t>
        </is>
      </c>
      <c r="C557" s="3" t="inlineStr">
        <is>
          <t>Tỉnh</t>
        </is>
      </c>
      <c r="D557" s="3" t="inlineStr">
        <is>
          <t>Province</t>
        </is>
      </c>
      <c r="E557" s="3" t="inlineStr">
        <is>
          <t>ສະຕິ</t>
        </is>
      </c>
      <c r="F557" s="3" t="inlineStr">
        <is>
          <t>ပြည်နယ်</t>
        </is>
      </c>
      <c r="G557" s="3">
        <f>IFERROR(__xludf.DUMMYFUNCTION("GOOGLETRANSLATE(C557,""vi"",""km"")"),"ដឹងខ្លួន")</f>
        <v/>
      </c>
      <c r="H557" s="217" t="inlineStr">
        <is>
          <t>ខេត្ត</t>
        </is>
      </c>
      <c r="J557" s="3" t="inlineStr">
        <is>
          <t>ខេត្ត</t>
        </is>
      </c>
      <c r="K557" s="217" t="inlineStr">
        <is>
          <t>ខេត្ត</t>
        </is>
      </c>
      <c r="S557" s="163" t="inlineStr">
        <is>
          <t>ខេត្ត</t>
        </is>
      </c>
    </row>
    <row r="558" ht="15.75" customHeight="1" s="305">
      <c r="A558" s="217" t="inlineStr">
        <is>
          <t>LAOS_SPECIFIC.VILLAGE</t>
        </is>
      </c>
      <c r="B558" s="153" t="inlineStr">
        <is>
          <t>村</t>
        </is>
      </c>
      <c r="C558" s="3" t="inlineStr">
        <is>
          <t>Làng</t>
        </is>
      </c>
      <c r="D558" s="3" t="inlineStr">
        <is>
          <t>Village</t>
        </is>
      </c>
      <c r="E558" s="3" t="inlineStr">
        <is>
          <t>ບ້ານ</t>
        </is>
      </c>
      <c r="F558" s="3" t="inlineStr">
        <is>
          <t>ရွာ</t>
        </is>
      </c>
      <c r="G558" s="3">
        <f>IFERROR(__xludf.DUMMYFUNCTION("GOOGLETRANSLATE(C558,""vi"",""km"")"),"ភូមិ")</f>
        <v/>
      </c>
      <c r="H558" s="217" t="inlineStr">
        <is>
          <t>ភូមិ</t>
        </is>
      </c>
      <c r="J558" s="3" t="inlineStr">
        <is>
          <t>ភូមិ</t>
        </is>
      </c>
      <c r="K558" s="217" t="inlineStr">
        <is>
          <t>ភូមិ</t>
        </is>
      </c>
      <c r="S558" s="163" t="inlineStr">
        <is>
          <t>ភូមិ</t>
        </is>
      </c>
    </row>
    <row r="559" ht="15.75" customHeight="1" s="305">
      <c r="A559" s="217" t="inlineStr">
        <is>
          <t>LAOS_SPECIFIC.SELECT_PROVINCE</t>
        </is>
      </c>
      <c r="B559" s="153" t="inlineStr">
        <is>
          <t>选择省</t>
        </is>
      </c>
      <c r="C559" s="3" t="inlineStr">
        <is>
          <t>Chọn Tỉnh</t>
        </is>
      </c>
      <c r="D559" s="3" t="inlineStr">
        <is>
          <t>Select Province</t>
        </is>
      </c>
      <c r="E559" s="3" t="inlineStr">
        <is>
          <t>ເລືອກແຂວງ</t>
        </is>
      </c>
      <c r="F559" s="3" t="inlineStr">
        <is>
          <t>ရွေးချယ်ထားသော ပြည်နယ်</t>
        </is>
      </c>
      <c r="G559" s="3">
        <f>IFERROR(__xludf.DUMMYFUNCTION("GOOGLETRANSLATE(C559,""vi"",""km"")"),"ជ្រើសរើសខេត្ត")</f>
        <v/>
      </c>
      <c r="H559" s="217" t="inlineStr">
        <is>
          <t>ជ្រើសរើសខេត្ត</t>
        </is>
      </c>
      <c r="J559" s="3" t="inlineStr">
        <is>
          <t>ជ្រើសរើសខេត្ត</t>
        </is>
      </c>
      <c r="K559" s="217" t="inlineStr">
        <is>
          <t>ជ្រើសរើសខេត្ត</t>
        </is>
      </c>
      <c r="S559" s="163" t="inlineStr">
        <is>
          <t>ជ្រើសរើសខេត្ត</t>
        </is>
      </c>
    </row>
    <row r="560" ht="15.75" customHeight="1" s="305">
      <c r="A560" s="217" t="inlineStr">
        <is>
          <t>LAOS_SPECIFIC.SELECT_VILLAGE</t>
        </is>
      </c>
      <c r="B560" s="153" t="inlineStr">
        <is>
          <t>选择村</t>
        </is>
      </c>
      <c r="C560" s="3" t="inlineStr">
        <is>
          <t>Chọn Làng</t>
        </is>
      </c>
      <c r="D560" s="3" t="inlineStr">
        <is>
          <t>Select Village</t>
        </is>
      </c>
      <c r="E560" s="3" t="inlineStr">
        <is>
          <t>ເລືອກບ້ານ</t>
        </is>
      </c>
      <c r="F560" s="3" t="inlineStr">
        <is>
          <t>ရွေးချယ်ထားသောရွာ</t>
        </is>
      </c>
      <c r="G560" s="3">
        <f>IFERROR(__xludf.DUMMYFUNCTION("GOOGLETRANSLATE(C560,""vi"",""km"")"),"ជ្រើសរើសភូមិមួយ")</f>
        <v/>
      </c>
      <c r="H560" s="217" t="inlineStr">
        <is>
          <t>ជ្រើសរើសភូមិ</t>
        </is>
      </c>
      <c r="J560" s="3" t="inlineStr">
        <is>
          <t>ជ្រើសរើសភូមិ</t>
        </is>
      </c>
      <c r="K560" s="217" t="inlineStr">
        <is>
          <t>ជ្រើសរើសភូមិ</t>
        </is>
      </c>
      <c r="S560" s="163" t="inlineStr">
        <is>
          <t>ជ្រើសរើសភូមិ</t>
        </is>
      </c>
    </row>
    <row r="561" ht="15.75" customHeight="1" s="305">
      <c r="A561" s="217" t="inlineStr">
        <is>
          <t>LAOS_SPECIFIC.SEARCH_PROVINCE</t>
        </is>
      </c>
      <c r="B561" s="153" t="inlineStr">
        <is>
          <t>搜索省份</t>
        </is>
      </c>
      <c r="C561" s="3" t="inlineStr">
        <is>
          <t>Tìm kiếm Tỉnh</t>
        </is>
      </c>
      <c r="D561" s="3" t="inlineStr">
        <is>
          <t>Search Province</t>
        </is>
      </c>
      <c r="E561" s="3" t="inlineStr">
        <is>
          <t>ຄົ້ນຫາແຂວງ</t>
        </is>
      </c>
      <c r="F561" s="3" t="inlineStr">
        <is>
          <t>ရှာဖွေရေး ပြည်နယ်</t>
        </is>
      </c>
      <c r="G561" s="3">
        <f>IFERROR(__xludf.DUMMYFUNCTION("GOOGLETRANSLATE(C561,""vi"",""km"")"),"ស្វែងរកខេត្ត")</f>
        <v/>
      </c>
      <c r="H561" s="217" t="inlineStr">
        <is>
          <t>ស្វែងរកខេត្ត</t>
        </is>
      </c>
      <c r="J561" s="3" t="inlineStr">
        <is>
          <t>ស្វែងរកខេត្ត</t>
        </is>
      </c>
      <c r="K561" s="217" t="inlineStr">
        <is>
          <t>ស្វែងរកខេត្ត</t>
        </is>
      </c>
      <c r="S561" s="163" t="inlineStr">
        <is>
          <t>ស្វែងរកខេត្ត</t>
        </is>
      </c>
    </row>
    <row r="562" ht="15.75" customHeight="1" s="305">
      <c r="A562" s="217" t="inlineStr">
        <is>
          <t>LAOS_SPECIFIC.SEARCH_VILLAGE</t>
        </is>
      </c>
      <c r="B562" s="153" t="inlineStr">
        <is>
          <t>搜索村</t>
        </is>
      </c>
      <c r="C562" s="3" t="inlineStr">
        <is>
          <t>Tìm kiếm Làng</t>
        </is>
      </c>
      <c r="D562" s="3" t="inlineStr">
        <is>
          <t>Search Village</t>
        </is>
      </c>
      <c r="E562" s="3" t="inlineStr">
        <is>
          <t>ຄົ້ນຫາບ້ານ</t>
        </is>
      </c>
      <c r="F562" s="3" t="inlineStr">
        <is>
          <t>ရွာ ရှာဖွေခြင်း</t>
        </is>
      </c>
      <c r="G562" s="3">
        <f>IFERROR(__xludf.DUMMYFUNCTION("GOOGLETRANSLATE(C562,""vi"",""km"")"),"ស្វែងរកភូមិនានា")</f>
        <v/>
      </c>
      <c r="H562" s="217" t="inlineStr">
        <is>
          <t>ស្វែងរកភូមិ</t>
        </is>
      </c>
      <c r="J562" s="3" t="inlineStr">
        <is>
          <t>ស្វែងរកភូមិ</t>
        </is>
      </c>
      <c r="K562" s="217" t="inlineStr">
        <is>
          <t>ស្វែងរកភូមិ</t>
        </is>
      </c>
      <c r="S562" s="163" t="inlineStr">
        <is>
          <t>ស្វែងរកភូមិ</t>
        </is>
      </c>
    </row>
    <row r="563" ht="15.75" customHeight="1" s="305">
      <c r="A563" s="217" t="inlineStr">
        <is>
          <t>ACCOUNT_SECURITY.TITLE</t>
        </is>
      </c>
      <c r="B563" s="153" t="inlineStr">
        <is>
          <t>账户安全</t>
        </is>
      </c>
      <c r="C563" s="3" t="inlineStr">
        <is>
          <t>Bảo mật tài khoản</t>
        </is>
      </c>
      <c r="D563" s="3" t="inlineStr">
        <is>
          <t>Account Security</t>
        </is>
      </c>
      <c r="E563" s="3" t="inlineStr">
        <is>
          <t>ຄວາມປອດໄພບັນຊີ</t>
        </is>
      </c>
      <c r="F563" s="3" t="inlineStr">
        <is>
          <t>အကောင့်လုံခြုံမှု</t>
        </is>
      </c>
      <c r="G563" s="3">
        <f>IFERROR(__xludf.DUMMYFUNCTION("GOOGLETRANSLATE(C563,""vi"",""km"")"),"សុវត្ថិភាពគណនី")</f>
        <v/>
      </c>
      <c r="J563" s="3" t="inlineStr">
        <is>
          <t>សុវត្ថិភាពគណនី</t>
        </is>
      </c>
      <c r="K563" s="217" t="inlineStr">
        <is>
          <t>សុវត្ថិភាពគណនី</t>
        </is>
      </c>
      <c r="S563" s="163" t="inlineStr">
        <is>
          <t>សុវត្ថិភាពគណនី</t>
        </is>
      </c>
    </row>
    <row r="564" ht="15.75" customHeight="1" s="305">
      <c r="A564" s="217" t="inlineStr">
        <is>
          <t>WEBHOOK_MANAGEMENT.TITLE</t>
        </is>
      </c>
      <c r="B564" s="161" t="inlineStr">
        <is>
          <t>Webhook管理</t>
        </is>
      </c>
      <c r="C564" s="3" t="inlineStr">
        <is>
          <t>Quản lý webhook</t>
        </is>
      </c>
      <c r="D564" s="3" t="inlineStr">
        <is>
          <t>Manage webhook</t>
        </is>
      </c>
      <c r="E564" s="3" t="inlineStr">
        <is>
          <t>ການຄຸ້ມຄອງ Webhook</t>
        </is>
      </c>
      <c r="F564" s="3" t="inlineStr">
        <is>
          <t>Webhookကို စီမံခန့်ခွဲပါ</t>
        </is>
      </c>
      <c r="G564" s="3">
        <f>IFERROR(__xludf.DUMMYFUNCTION("GOOGLETRANSLATE(C564,""vi"",""km"")"),"ការគ្រប់គ្រង Webhook")</f>
        <v/>
      </c>
      <c r="H564" s="217" t="inlineStr">
        <is>
          <t>គ្រប់គ្រង webhook</t>
        </is>
      </c>
      <c r="J564" s="3" t="inlineStr">
        <is>
          <t>គ្រប់គ្រង webhook</t>
        </is>
      </c>
      <c r="K564" s="217" t="inlineStr">
        <is>
          <t>គ្រប់គ្រង webhook</t>
        </is>
      </c>
      <c r="S564" s="163" t="inlineStr">
        <is>
          <t>គ្រប់គ្រង webhook</t>
        </is>
      </c>
    </row>
    <row r="565" ht="15.75" customHeight="1" s="305">
      <c r="A565" s="217" t="inlineStr">
        <is>
          <t>WEBHOOK_MANAGEMENT.WEBHOOK_LIST</t>
        </is>
      </c>
      <c r="B565" s="161" t="inlineStr">
        <is>
          <t>Webhook列表</t>
        </is>
      </c>
      <c r="C565" s="3" t="inlineStr">
        <is>
          <t>Danh sách webhook</t>
        </is>
      </c>
      <c r="D565" s="3" t="inlineStr">
        <is>
          <t>Webhook list</t>
        </is>
      </c>
      <c r="E565" s="3" t="inlineStr">
        <is>
          <t>ບັນຊີລາຍຊື່ຂອງ webhooks</t>
        </is>
      </c>
      <c r="F565" s="3" t="inlineStr">
        <is>
          <t>Webhook စာရင်း</t>
        </is>
      </c>
      <c r="G565" s="3">
        <f>IFERROR(__xludf.DUMMYFUNCTION("GOOGLETRANSLATE(C565,""vi"",""km"")"),"បញ្ជី​នៃ​គេហទំព័រ​ភ្ជាប់​អ៊ីនធឺណិត")</f>
        <v/>
      </c>
      <c r="H565" s="217" t="inlineStr">
        <is>
          <t>បញ្ជីwebhook</t>
        </is>
      </c>
      <c r="J565" s="3" t="inlineStr">
        <is>
          <t>បញ្ជីwebhook</t>
        </is>
      </c>
      <c r="K565" s="217" t="inlineStr">
        <is>
          <t>បញ្ជីwebhook</t>
        </is>
      </c>
      <c r="S565" s="163" t="inlineStr">
        <is>
          <t>បញ្ជី Webhook</t>
        </is>
      </c>
    </row>
    <row r="566" ht="15.75" customHeight="1" s="305">
      <c r="A566" s="217" t="inlineStr">
        <is>
          <t>WEBHOOK_MANAGEMENT.ADD_WEBHOOK</t>
        </is>
      </c>
      <c r="B566" s="153" t="inlineStr">
        <is>
          <t>新增Webhook</t>
        </is>
      </c>
      <c r="C566" s="3" t="inlineStr">
        <is>
          <t>Thêm mới webhook</t>
        </is>
      </c>
      <c r="D566" s="3" t="inlineStr">
        <is>
          <t>Add webhook</t>
        </is>
      </c>
      <c r="E566" s="3" t="inlineStr">
        <is>
          <t>ເພີ່ມ webhook ໃຫມ່</t>
        </is>
      </c>
      <c r="F566" s="3" t="inlineStr">
        <is>
          <t>webhook ကို ပေါင်းထည့်ပါ</t>
        </is>
      </c>
      <c r="G566" s="3">
        <f>IFERROR(__xludf.DUMMYFUNCTION("GOOGLETRANSLATE(C566,""vi"",""km"")"),"បន្ថែម webhook ថ្មី")</f>
        <v/>
      </c>
      <c r="H566" s="217" t="inlineStr">
        <is>
          <t>បន្ថែមថ្មី webhook</t>
        </is>
      </c>
      <c r="J566" s="3" t="inlineStr">
        <is>
          <t>បន្ថែមថ្មី webhook</t>
        </is>
      </c>
      <c r="K566" s="217" t="inlineStr">
        <is>
          <t>បន្ថែមថ្មី webhook</t>
        </is>
      </c>
      <c r="S566" s="163" t="inlineStr">
        <is>
          <t>បន្ថែម webhook</t>
        </is>
      </c>
    </row>
    <row r="567" ht="15.75" customHeight="1" s="305">
      <c r="A567" s="217" t="inlineStr">
        <is>
          <t>WEBHOOK_MANAGEMENT.INSERT_WEBHOOK_NAME</t>
        </is>
      </c>
      <c r="B567" s="153" t="inlineStr">
        <is>
          <t>输入Webhook名称</t>
        </is>
      </c>
      <c r="C567" s="3" t="inlineStr">
        <is>
          <t>Nhập tên webhook</t>
        </is>
      </c>
      <c r="D567" s="3" t="inlineStr">
        <is>
          <t>Enter webhook name</t>
        </is>
      </c>
      <c r="E567" s="3" t="inlineStr">
        <is>
          <t>ໃສ່ຊື່ webhook</t>
        </is>
      </c>
      <c r="F567" s="3" t="inlineStr">
        <is>
          <t>webhookအမည်ကို ဝင်ကြည့်ပါ</t>
        </is>
      </c>
      <c r="G567" s="3">
        <f>IFERROR(__xludf.DUMMYFUNCTION("GOOGLETRANSLATE(C567,""vi"",""km"")"),"បញ្ចូលឈ្មោះ webhook")</f>
        <v/>
      </c>
      <c r="H567" s="217" t="inlineStr">
        <is>
          <t>បញ្ចូលឈ្មោះ webhook</t>
        </is>
      </c>
      <c r="J567" s="3" t="inlineStr">
        <is>
          <t>បញ្ចូលឈ្មោះ webhook</t>
        </is>
      </c>
      <c r="K567" s="217" t="inlineStr">
        <is>
          <t>បញ្ចូលឈ្មោះ webhook</t>
        </is>
      </c>
      <c r="S567" s="163" t="inlineStr">
        <is>
          <t>បញ្ចូលឈ្មោះ webhook</t>
        </is>
      </c>
    </row>
    <row r="568" ht="15.75" customHeight="1" s="305">
      <c r="A568" s="217" t="inlineStr">
        <is>
          <t>WEBHOOK_MANAGEMENT.INSERT_WEBHOOK_LINK</t>
        </is>
      </c>
      <c r="B568" s="153" t="inlineStr">
        <is>
          <t>输入Webhook链接</t>
        </is>
      </c>
      <c r="C568" s="3" t="inlineStr">
        <is>
          <t>Nhập link webhook</t>
        </is>
      </c>
      <c r="D568" s="3" t="inlineStr">
        <is>
          <t>Enter webhook link</t>
        </is>
      </c>
      <c r="E568" s="3" t="inlineStr">
        <is>
          <t>ໃສ່ລິ້ງ webhook</t>
        </is>
      </c>
      <c r="F568" s="3" t="inlineStr">
        <is>
          <t>Webhook လင့်ခ်ထဲထည့်ပါ</t>
        </is>
      </c>
      <c r="G568" s="3">
        <f>IFERROR(__xludf.DUMMYFUNCTION("GOOGLETRANSLATE(C568,""vi"",""km"")"),"បញ្ចូលតំណភ្ជាប់ webhook")</f>
        <v/>
      </c>
      <c r="H568" s="217" t="inlineStr">
        <is>
          <t>បញ្ចូលលីង webhook</t>
        </is>
      </c>
      <c r="J568" s="3" t="inlineStr">
        <is>
          <t>បញ្ចូលលីង webhook</t>
        </is>
      </c>
      <c r="K568" s="217" t="inlineStr">
        <is>
          <t>បញ្ចូលលីង webhook</t>
        </is>
      </c>
      <c r="S568" s="163" t="inlineStr">
        <is>
          <t>បញ្ចូលតំណ webhook</t>
        </is>
      </c>
    </row>
    <row r="569" ht="15.75" customHeight="1" s="305">
      <c r="A569" s="217" t="inlineStr">
        <is>
          <t>WEBHOOK_MANAGEMENT.INSERT_TOKEN</t>
        </is>
      </c>
      <c r="B569" s="153" t="inlineStr">
        <is>
          <t>输入令牌(Token)</t>
        </is>
      </c>
      <c r="C569" s="3" t="inlineStr">
        <is>
          <t>Nhập token</t>
        </is>
      </c>
      <c r="D569" s="3" t="inlineStr">
        <is>
          <t>Enter token</t>
        </is>
      </c>
      <c r="E569" s="3" t="inlineStr">
        <is>
          <t>ໃສ່ໂທເຄັນ</t>
        </is>
      </c>
      <c r="F569" s="3" t="inlineStr">
        <is>
          <t>အမှတ်အသားထဲထည့်ပါ</t>
        </is>
      </c>
      <c r="G569" s="3">
        <f>IFERROR(__xludf.DUMMYFUNCTION("GOOGLETRANSLATE(C569,""vi"",""km"")"),"បញ្ចូលសញ្ញាសម្ងាត់")</f>
        <v/>
      </c>
      <c r="J569" s="3" t="inlineStr">
        <is>
          <t>បញ្ចូល token</t>
        </is>
      </c>
      <c r="K569" s="217" t="inlineStr">
        <is>
          <t>បញ្ចូល token</t>
        </is>
      </c>
      <c r="S569" s="163" t="inlineStr">
        <is>
          <t>បញ្ចូល token</t>
        </is>
      </c>
    </row>
    <row r="570" ht="15.75" customHeight="1" s="305">
      <c r="A570" s="217" t="inlineStr">
        <is>
          <t>WEBHOOK_MANAGEMENT.EDIT_WEBHOOK</t>
        </is>
      </c>
      <c r="B570" s="153" t="inlineStr">
        <is>
          <t>编辑Webhook</t>
        </is>
      </c>
      <c r="C570" s="3" t="inlineStr">
        <is>
          <t>Chỉnh sửa webhook</t>
        </is>
      </c>
      <c r="D570" s="3" t="inlineStr">
        <is>
          <t>Edit webhook</t>
        </is>
      </c>
      <c r="E570" s="3" t="inlineStr">
        <is>
          <t>ແກ້ໄຂ webhook</t>
        </is>
      </c>
      <c r="F570" s="3" t="inlineStr">
        <is>
          <t>edit webhook</t>
        </is>
      </c>
      <c r="G570" s="3">
        <f>IFERROR(__xludf.DUMMYFUNCTION("GOOGLETRANSLATE(C570,""vi"",""km"")"),"កែសម្រួល webhook")</f>
        <v/>
      </c>
      <c r="H570" s="217" t="inlineStr">
        <is>
          <t>កែសម្រួល webhook</t>
        </is>
      </c>
      <c r="J570" s="3" t="inlineStr">
        <is>
          <t>កែសម្រួល webhook</t>
        </is>
      </c>
      <c r="K570" s="217" t="inlineStr">
        <is>
          <t>កែសម្រួល webhook</t>
        </is>
      </c>
      <c r="S570" s="163" t="inlineStr">
        <is>
          <t>កែសម្រួល webhook</t>
        </is>
      </c>
    </row>
    <row r="571" ht="15.75" customHeight="1" s="305">
      <c r="A571" s="217" t="inlineStr">
        <is>
          <t>WEBHOOK_MANAGEMENT.UPDATED_AT</t>
        </is>
      </c>
      <c r="B571" s="153" t="inlineStr">
        <is>
          <t>更新</t>
        </is>
      </c>
      <c r="C571" s="3" t="inlineStr">
        <is>
          <t>Cập nhật</t>
        </is>
      </c>
      <c r="D571" s="3" t="inlineStr">
        <is>
          <t>Updated at</t>
        </is>
      </c>
      <c r="E571" s="3" t="inlineStr">
        <is>
          <t>ອັບເດດ</t>
        </is>
      </c>
      <c r="F571" s="3" t="inlineStr">
        <is>
          <t>အသစ်ပြင်ဆင်ထားသော</t>
        </is>
      </c>
      <c r="G571" s="3">
        <f>IFERROR(__xludf.DUMMYFUNCTION("GOOGLETRANSLATE(C571,""vi"",""km"")"),"ធ្វើបច្ចុប្បន្នភាព")</f>
        <v/>
      </c>
      <c r="H571" s="217" t="inlineStr">
        <is>
          <t>អាប់ដេត</t>
        </is>
      </c>
      <c r="J571" s="3" t="inlineStr">
        <is>
          <t>ធ្វើបច្ចុប្បន្នភាព</t>
        </is>
      </c>
      <c r="K571" s="217" t="inlineStr">
        <is>
          <t>ធ្វើបច្ចុប្បន្នភាព</t>
        </is>
      </c>
      <c r="S571" s="163" t="inlineStr">
        <is>
          <t>បានធ្វើបច្ចុប្បន្នភាពនៅ</t>
        </is>
      </c>
    </row>
    <row r="572" ht="15.75" customHeight="1" s="305">
      <c r="A572" s="217" t="inlineStr">
        <is>
          <t>WEBHOOK_MANAGEMENT.CONFIRM_DELETE_WEBHOOK</t>
        </is>
      </c>
      <c r="B572" s="153" t="inlineStr">
        <is>
          <t>确定删除此Webhook吗？</t>
        </is>
      </c>
      <c r="C572" s="3" t="inlineStr">
        <is>
          <t>Quý khách có chắc chắn muốn xoá webhook này không?</t>
        </is>
      </c>
      <c r="D572" s="3" t="inlineStr">
        <is>
          <t>Are you sure you want to delete this webhook?</t>
        </is>
      </c>
      <c r="E572" s="3" t="inlineStr">
        <is>
          <t>ທ່ານແນ່ໃຈບໍ່ວ່າຕ້ອງການລຶບ webhook ນີ້?</t>
        </is>
      </c>
      <c r="F572" s="3" t="inlineStr">
        <is>
          <t>ဒီwebhookကို ဖျက်ချင်တယ်ဆိုတာ သေချာလား။</t>
        </is>
      </c>
      <c r="G572" s="3">
        <f>IFERROR(__xludf.DUMMYFUNCTION("GOOGLETRANSLATE(C572,""vi"",""km"")"),"តើអ្នកពិតជាចង់លុប webhook នេះមែនទេ?")</f>
        <v/>
      </c>
      <c r="H572" s="217" t="inlineStr">
        <is>
          <t>អតិថិជនពិតជាចង់លុបចោល webhook នេះទេ?</t>
        </is>
      </c>
      <c r="J572" s="3" t="inlineStr">
        <is>
          <t>អតិថិជនពិតជាចង់លុបចោល webhook នេះទេ?</t>
        </is>
      </c>
      <c r="K572" s="217" t="inlineStr">
        <is>
          <t>អតិថិជនពិតជាចង់លុបចោល webhook នេះទេ?</t>
        </is>
      </c>
      <c r="S572" s="163" t="inlineStr">
        <is>
          <t>តើអ្នកប្រាកដថាចង់លុប webhook នេះទេ?</t>
        </is>
      </c>
    </row>
    <row r="573" ht="15.75" customHeight="1" s="305">
      <c r="A573" s="217" t="inlineStr">
        <is>
          <t>WEBHOOK_MANAGEMENT.COPY_WEBHOOK_SUCCESSFUL</t>
        </is>
      </c>
      <c r="B573" s="161" t="inlineStr">
        <is>
          <t>Token 已复制</t>
        </is>
      </c>
      <c r="C573" s="3" t="inlineStr">
        <is>
          <t>Quý khách đã sao chép mã token thành công!</t>
        </is>
      </c>
      <c r="D573" s="3" t="inlineStr">
        <is>
          <t>You have successfully copied the token!</t>
        </is>
      </c>
      <c r="E573" s="3" t="inlineStr">
        <is>
          <t>ທ່ານໄດ້ສຳເນົາລະຫັດໂທເຄັນສຳເລັດແລ້ວ!</t>
        </is>
      </c>
      <c r="F573" s="3" t="inlineStr">
        <is>
          <t>သင်သည် လက်မှတ်ကို အောင်မြင်စွာကူးယူခဲ့ပြီ!</t>
        </is>
      </c>
      <c r="G573" s="3">
        <f>IFERROR(__xludf.DUMMYFUNCTION("GOOGLETRANSLATE(C573,""vi"",""km"")"),"អ្នកបានចម្លងលេខកូដសញ្ញាសម្ងាត់ដោយជោគជ័យហើយ!")</f>
        <v/>
      </c>
      <c r="J573" s="3" t="inlineStr">
        <is>
          <t>អ្នកបានចម្លង token ដោយជោគជ័យ!</t>
        </is>
      </c>
      <c r="K573" s="217" t="inlineStr">
        <is>
          <t>អ្នកបានចម្លង token ដោយជោគជ័យ!</t>
        </is>
      </c>
      <c r="S573" s="163" t="inlineStr">
        <is>
          <t>អ្នកបានចម្លង token ដោយជោគជ័យ!</t>
        </is>
      </c>
    </row>
    <row r="574" ht="15.75" customHeight="1" s="305">
      <c r="A574" s="217" t="inlineStr">
        <is>
          <t>WEBHOOK_MANAGEMENT.ADD_WEBHOOK_SUCCESSFUL</t>
        </is>
      </c>
      <c r="B574" s="161" t="inlineStr">
        <is>
          <t>Webhook 创建成功</t>
        </is>
      </c>
      <c r="C574" s="3" t="inlineStr">
        <is>
          <t>Quý khách đã tạo mới webhook thành công!</t>
        </is>
      </c>
      <c r="D574" s="3" t="inlineStr">
        <is>
          <t>You have successfully created a new webhook!</t>
        </is>
      </c>
      <c r="E574" s="3" t="inlineStr">
        <is>
          <t>ເຈົ້າໄດ້ສ້າງ webhook ໃໝ່ສຳເລັດແລ້ວ!</t>
        </is>
      </c>
      <c r="F574" s="3" t="inlineStr">
        <is>
          <t>webhook အသစ်တစ်ခုကို အောင်မြင်စွာဖန်တီးခဲ့ပြီ!</t>
        </is>
      </c>
      <c r="G574" s="3">
        <f>IFERROR(__xludf.DUMMYFUNCTION("GOOGLETRANSLATE(C574,""vi"",""km"")"),"អ្នកបានបង្កើត webhook ថ្មីដោយជោគជ័យហើយ!")</f>
        <v/>
      </c>
      <c r="J574" s="3" t="inlineStr">
        <is>
          <t>អ្នកបានបង្កើត webhook ថ្មីដោយជោគជ័យ!</t>
        </is>
      </c>
      <c r="K574" s="217" t="inlineStr">
        <is>
          <t>អ្នកបានបង្កើត webhook ថ្មីដោយជោគជ័យ!</t>
        </is>
      </c>
      <c r="S574" s="163" t="inlineStr">
        <is>
          <t>អ្នកបានបង្កើត webhook ថ្មីដោយជោគជ័យ!</t>
        </is>
      </c>
    </row>
    <row r="575" ht="15.75" customHeight="1" s="305">
      <c r="A575" s="217" t="inlineStr">
        <is>
          <t>WEBHOOK_MANAGEMENT.ADD_WEBHOOK_ERROR</t>
        </is>
      </c>
      <c r="B575" s="161" t="inlineStr">
        <is>
          <t>Webhook 创建失败</t>
        </is>
      </c>
      <c r="C575" s="3" t="inlineStr">
        <is>
          <t>Tạo mới webhook thất bại!</t>
        </is>
      </c>
      <c r="D575" s="3" t="inlineStr">
        <is>
          <t>Failed to create a new webhook!</t>
        </is>
      </c>
      <c r="E575" s="3" t="inlineStr">
        <is>
          <t>ສ້າງ webhook ໃໝ່ບໍ່ສຳເລັດ!</t>
        </is>
      </c>
      <c r="F575" s="3" t="inlineStr">
        <is>
          <t>webhook အသစ်ကို ဖန်တီးဖို့ ပျက်ကွက်ခဲ့တာ!</t>
        </is>
      </c>
      <c r="G575" s="3">
        <f>IFERROR(__xludf.DUMMYFUNCTION("GOOGLETRANSLATE(C575,""vi"",""km"")"),"ការបង្កើត Webhook បរាជ័យ!")</f>
        <v/>
      </c>
      <c r="J575" s="3" t="inlineStr">
        <is>
          <t>បរាជ័យក្នុងការបង្កើត webhook ថ្មី!</t>
        </is>
      </c>
      <c r="K575" s="217" t="inlineStr">
        <is>
          <t>បរាជ័យក្នុងការបង្កើត webhook ថ្មី!</t>
        </is>
      </c>
      <c r="S575" s="163" t="inlineStr">
        <is>
          <t>បរាជ័យក្នុងការបង្កើត webhook ថ្មី!</t>
        </is>
      </c>
    </row>
    <row r="576" ht="15.75" customHeight="1" s="305">
      <c r="A576" s="217" t="inlineStr">
        <is>
          <t>WEBHOOK_MANAGEMENT.DELETE_WEBHOOK_SUCCESSFUL</t>
        </is>
      </c>
      <c r="B576" s="161" t="inlineStr">
        <is>
          <t>Webhook 删除成功</t>
        </is>
      </c>
      <c r="C576" s="3" t="inlineStr">
        <is>
          <t>Quý khách đã xoá webhook thành công!</t>
        </is>
      </c>
      <c r="D576" s="3" t="inlineStr">
        <is>
          <t>You have successfully deleted the webhook!</t>
        </is>
      </c>
      <c r="E576" s="3" t="inlineStr">
        <is>
          <t>ທ່ານໄດ້ລຶບ webhook ສຳເລັດແລ້ວ!</t>
        </is>
      </c>
      <c r="F576" s="3" t="inlineStr">
        <is>
          <t>ခင်ဗျားက webhookကို အောင်မြင်စွာ ဖျက်လိုက်ပြီလေ!</t>
        </is>
      </c>
      <c r="G576" s="3">
        <f>IFERROR(__xludf.DUMMYFUNCTION("GOOGLETRANSLATE(C576,""vi"",""km"")"),"អ្នកបានលុប webhook ដោយជោគជ័យហើយ!")</f>
        <v/>
      </c>
      <c r="J576" s="3" t="inlineStr">
        <is>
          <t>អ្នកបានលុប webhook ដោយជោគជ័យ!</t>
        </is>
      </c>
      <c r="K576" s="217" t="inlineStr">
        <is>
          <t>អ្នកបានលុប webhook ដោយជោគជ័យ!</t>
        </is>
      </c>
      <c r="S576" s="163" t="inlineStr">
        <is>
          <t>អ្នកបានលុប webhook ដោយជោគជ័យ!</t>
        </is>
      </c>
    </row>
    <row r="577" ht="15.75" customHeight="1" s="305">
      <c r="A577" s="217" t="inlineStr">
        <is>
          <t>WEBHOOK_MANAGEMENT.DELETE_WEBHOOK_ERROR</t>
        </is>
      </c>
      <c r="B577" s="161" t="inlineStr">
        <is>
          <t>Webhook 删除失败</t>
        </is>
      </c>
      <c r="C577" s="3" t="inlineStr">
        <is>
          <t>Xoá webhook thất bại!</t>
        </is>
      </c>
      <c r="D577" s="3" t="inlineStr">
        <is>
          <t>Failed to delete the webhook!</t>
        </is>
      </c>
      <c r="E577" s="3" t="inlineStr">
        <is>
          <t>ລຶບ webhook ລົ້ມເຫລວ!</t>
        </is>
      </c>
      <c r="F577" s="3" t="inlineStr">
        <is>
          <t>webhook ကို ဖျက်ဖို့ ပျက်ကွက်ခဲ့တာ!</t>
        </is>
      </c>
      <c r="G577" s="3">
        <f>IFERROR(__xludf.DUMMYFUNCTION("GOOGLETRANSLATE(C577,""vi"",""km"")"),"ការលុប Webhook បរាជ័យ!")</f>
        <v/>
      </c>
      <c r="H577" s="217" t="inlineStr">
        <is>
          <t>លុបចោល webhook បរាជ័យ!</t>
        </is>
      </c>
      <c r="J577" s="3" t="inlineStr">
        <is>
          <t>លុបចោល webhook បរាជ័យ!</t>
        </is>
      </c>
      <c r="K577" s="217" t="inlineStr">
        <is>
          <t>លុបចោល webhook បរាជ័យ!</t>
        </is>
      </c>
      <c r="S577" s="163" t="inlineStr">
        <is>
          <t>បរាជ័យក្នុងការលុប webhook!</t>
        </is>
      </c>
    </row>
    <row r="578" ht="15.75" customHeight="1" s="305">
      <c r="A578" s="217" t="inlineStr">
        <is>
          <t>WEBHOOK_MANAGEMENT.UPDATE_WEBHOOK_SUCCESSFUL</t>
        </is>
      </c>
      <c r="B578" s="161" t="inlineStr">
        <is>
          <t>Webhook 更新成功</t>
        </is>
      </c>
      <c r="C578" s="3" t="inlineStr">
        <is>
          <t>Quý khách đã cập nhật webhook thành công!</t>
        </is>
      </c>
      <c r="D578" s="3" t="inlineStr">
        <is>
          <t>You have successfully updated the webhook!</t>
        </is>
      </c>
      <c r="E578" s="3" t="inlineStr">
        <is>
          <t>ທ່ານໄດ້ອັບເດດ webhook ສຳເລັດແລ້ວ!</t>
        </is>
      </c>
      <c r="F578" s="3" t="inlineStr">
        <is>
          <t>ခင်ဗျားက webhookကို အောင်မြင်စွာ အသစ်ပြင်ဆင်ထားပြီ!</t>
        </is>
      </c>
      <c r="G578" s="3">
        <f>IFERROR(__xludf.DUMMYFUNCTION("GOOGLETRANSLATE(C578,""vi"",""km"")"),"គេហទំព័រ webhook របស់អ្នកត្រូវបានធ្វើបច្ចុប្បន្នភាពដោយជោគជ័យហើយ!")</f>
        <v/>
      </c>
      <c r="H578" s="3" t="inlineStr">
        <is>
          <t>អតិថិជនបានអាប់ដេត webhook បានជោគជ័យ!</t>
        </is>
      </c>
      <c r="J578" s="3" t="inlineStr">
        <is>
          <t>អតិថិជនបានអាប់ដេត webhook បានជោគជ័យ!</t>
        </is>
      </c>
      <c r="K578" s="217" t="inlineStr">
        <is>
          <t>អតិថិជនបានអាប់ដេត webhook បានជោគជ័យ!</t>
        </is>
      </c>
      <c r="S578" s="163" t="inlineStr">
        <is>
          <t>អ្នកបានធ្វើបច្ចុប្បន្នភាព webhook ដោយជោគជ័យ!</t>
        </is>
      </c>
    </row>
    <row r="579" ht="15.75" customHeight="1" s="305">
      <c r="A579" s="217" t="inlineStr">
        <is>
          <t>WEBHOOK_MANAGEMENT.UPDATE_WEBHOOK_ERROR</t>
        </is>
      </c>
      <c r="B579" s="161" t="inlineStr">
        <is>
          <t>Webhook 更新失败</t>
        </is>
      </c>
      <c r="C579" s="3" t="inlineStr">
        <is>
          <t>Cập nhật webhook thất bại!</t>
        </is>
      </c>
      <c r="D579" s="3" t="inlineStr">
        <is>
          <t>Failed to update the webhook!</t>
        </is>
      </c>
      <c r="E579" s="3" t="inlineStr">
        <is>
          <t>ການອັບເດດ Webhook ລົ້ມເຫລວ!</t>
        </is>
      </c>
      <c r="F579" s="3" t="inlineStr">
        <is>
          <t>webhookကို အသစ်ပြင်ဆင်ဖို့ ပျက်ကွက်ခဲ့တာ!</t>
        </is>
      </c>
      <c r="G579" s="3">
        <f>IFERROR(__xludf.DUMMYFUNCTION("GOOGLETRANSLATE(C579,""vi"",""km"")"),"ការអាប់ដេត Webhook បរាជ័យ!")</f>
        <v/>
      </c>
      <c r="H579" s="3" t="inlineStr">
        <is>
          <t>អាប់ដេត webhook បរាជ័យ!</t>
        </is>
      </c>
      <c r="J579" s="3" t="inlineStr">
        <is>
          <t>អាប់ដេត webhook បរាជ័យ!</t>
        </is>
      </c>
      <c r="K579" s="217" t="inlineStr">
        <is>
          <t>អាប់ដេត webhook បរាជ័យ!</t>
        </is>
      </c>
      <c r="S579" s="163" t="inlineStr">
        <is>
          <t>បរាជ័យក្នុងការអាប់ដេត webhook!</t>
        </is>
      </c>
    </row>
    <row r="580" ht="15.75" customHeight="1" s="305">
      <c r="A580" s="217" t="inlineStr">
        <is>
          <t>WEBHOOK_MANAGEMENT.WEBHOOK_NAME_REQUIRED</t>
        </is>
      </c>
      <c r="B580" s="153" t="inlineStr">
        <is>
          <t>请填写 Webhook 名称</t>
        </is>
      </c>
      <c r="C580" s="3" t="inlineStr">
        <is>
          <t>Vui lòng nhập tên webhook</t>
        </is>
      </c>
      <c r="D580" s="3" t="inlineStr">
        <is>
          <t>Webhook name is required</t>
        </is>
      </c>
      <c r="E580" s="3" t="inlineStr">
        <is>
          <t>ກະລຸນາໃສ່ຊື່ webhook</t>
        </is>
      </c>
      <c r="F580" s="3" t="inlineStr">
        <is>
          <t>Webhook အမည်လိုအပ်</t>
        </is>
      </c>
      <c r="G580" s="3">
        <f>IFERROR(__xludf.DUMMYFUNCTION("GOOGLETRANSLATE(C580,""vi"",""km"")"),"សូមបញ្ចូលឈ្មោះ webhook។")</f>
        <v/>
      </c>
      <c r="H580" s="217" t="inlineStr">
        <is>
          <t>សូមបញ្ចូលឈ្មោះ webhook</t>
        </is>
      </c>
      <c r="J580" s="3" t="inlineStr">
        <is>
          <t>សូមបញ្ចូលឈ្មោះ webhook</t>
        </is>
      </c>
      <c r="K580" s="217" t="inlineStr">
        <is>
          <t>សូមបញ្ចូលឈ្មោះ webhook</t>
        </is>
      </c>
      <c r="S580" s="163" t="inlineStr">
        <is>
          <t>ឈ្មោះ Webhook ត្រូវបានទាមទារ</t>
        </is>
      </c>
    </row>
    <row r="581" ht="15.75" customHeight="1" s="305">
      <c r="A581" s="217" t="inlineStr">
        <is>
          <t>WEBHOOK_MANAGEMENT.WEBHOOK_LINK_REQUIRED</t>
        </is>
      </c>
      <c r="B581" s="153" t="inlineStr">
        <is>
          <t>请填写 Webhook 链接</t>
        </is>
      </c>
      <c r="C581" s="3" t="inlineStr">
        <is>
          <t>Vui lòng nhập link webhook</t>
        </is>
      </c>
      <c r="D581" s="3" t="inlineStr">
        <is>
          <t>Webhook link is required</t>
        </is>
      </c>
      <c r="E581" s="3" t="inlineStr">
        <is>
          <t>ກະລຸນາໃສ່ການເຊື່ອມຕໍ່ webhook</t>
        </is>
      </c>
      <c r="F581" s="3" t="inlineStr">
        <is>
          <t>Webhook လင့်ခ်လိုအပ်</t>
        </is>
      </c>
      <c r="G581" s="3">
        <f>IFERROR(__xludf.DUMMYFUNCTION("GOOGLETRANSLATE(C581,""vi"",""km"")"),"សូមបញ្ចូលតំណភ្ជាប់ webhook។")</f>
        <v/>
      </c>
      <c r="H581" s="217" t="inlineStr">
        <is>
          <t>សូូមបញ្ចូល លីង webhook</t>
        </is>
      </c>
      <c r="J581" s="3" t="inlineStr">
        <is>
          <t>សូមបញ្ចូល លីង webhook</t>
        </is>
      </c>
      <c r="K581" s="217" t="inlineStr">
        <is>
          <t>សូមបញ្ចូល លីង webhook</t>
        </is>
      </c>
      <c r="S581" s="163" t="inlineStr">
        <is>
          <t>តំណ Webhook ត្រូវបានទាមទារ</t>
        </is>
      </c>
    </row>
    <row r="582" ht="15.75" customHeight="1" s="305">
      <c r="A582" s="217" t="inlineStr">
        <is>
          <t>WEBHOOK_MANAGEMENT.TOKEN_REQUIRED</t>
        </is>
      </c>
      <c r="B582" s="153" t="inlineStr">
        <is>
          <t>请填写 token</t>
        </is>
      </c>
      <c r="C582" s="3" t="inlineStr">
        <is>
          <t>Vui lòng nhập token</t>
        </is>
      </c>
      <c r="D582" s="3" t="inlineStr">
        <is>
          <t>Token is required</t>
        </is>
      </c>
      <c r="E582" s="3" t="inlineStr">
        <is>
          <t>ກະລຸນາໃສ່ໂທເຄັນ</t>
        </is>
      </c>
      <c r="F582" s="3" t="inlineStr">
        <is>
          <t>တိုကင်လိုအပ်</t>
        </is>
      </c>
      <c r="G582" s="3">
        <f>IFERROR(__xludf.DUMMYFUNCTION("GOOGLETRANSLATE(C582,""vi"",""km"")"),"សូមបញ្ចូលសញ្ញាសម្គាល់")</f>
        <v/>
      </c>
      <c r="J582" s="3" t="inlineStr">
        <is>
          <t>សូមបញ្ចូល token</t>
        </is>
      </c>
      <c r="K582" s="217" t="inlineStr">
        <is>
          <t>សូមបញ្ចូល token</t>
        </is>
      </c>
      <c r="S582" s="163" t="inlineStr">
        <is>
          <t>សូមបញ្ចូល token</t>
        </is>
      </c>
    </row>
    <row r="583" ht="15.75" customHeight="1" s="305">
      <c r="A583" s="217" t="inlineStr">
        <is>
          <t>WEBHOOK_MANAGEMENT.NO_WEBHOOK_YET</t>
        </is>
      </c>
      <c r="B583" s="153" t="inlineStr">
        <is>
          <t>暂无Webhook，请创建</t>
        </is>
      </c>
      <c r="C583" s="3" t="inlineStr">
        <is>
          <t>Quý khách chưa có webhook nào, vui lòng tạo mới</t>
        </is>
      </c>
      <c r="D583" s="3" t="inlineStr">
        <is>
          <t>You don't have any webhooks yet, please create a new one</t>
        </is>
      </c>
      <c r="E583" s="3" t="inlineStr">
        <is>
          <t>ທ່ານບໍ່ມີ webhook ໃດ, ກະລຸນາສ້າງອັນໃໝ່.</t>
        </is>
      </c>
      <c r="F583" s="3" t="inlineStr">
        <is>
          <t>ခင်ဗျားမှာ webhook တွေ မရှိသေးပါဘူး၊ ကျေးဇူးပြု၍ အသစ်တစ်ခုကို ဖန်တီးပါ</t>
        </is>
      </c>
      <c r="G583" s="3">
        <f>IFERROR(__xludf.DUMMYFUNCTION("GOOGLETRANSLATE(C583,""vi"",""km"")"),"ប្រសិនបើអ្នកមិនទាន់មាន webhook នៅឡើយទេ សូមបង្កើតមួយ។")</f>
        <v/>
      </c>
      <c r="J583" s="3" t="inlineStr">
        <is>
          <t>អ្នកមិនទាន់មាន webhooks ណាមួយនៅឡើយទេ សូមបង្កើតថ្មីមួយ</t>
        </is>
      </c>
      <c r="K583" s="217" t="inlineStr">
        <is>
          <t>អ្នកមិនទាន់មាន webhooks ណាមួយនៅឡើយទេ សូមបង្កើតថ្មីមួយ</t>
        </is>
      </c>
      <c r="S583" s="163" t="inlineStr">
        <is>
          <t>អ្នកមិនទាន់មាន webhooks ណាមួយនៅឡើយទេ សូមបង្កើតថ្មីមួយ</t>
        </is>
      </c>
    </row>
    <row r="584" ht="15.75" customHeight="1" s="305">
      <c r="A584" s="217" t="inlineStr">
        <is>
          <t>WEBHOOK_DETAIL.TITLE</t>
        </is>
      </c>
      <c r="B584" s="161" t="inlineStr">
        <is>
          <t>Webhook详情</t>
        </is>
      </c>
      <c r="C584" s="3" t="inlineStr">
        <is>
          <t>Chi tiết webhook</t>
        </is>
      </c>
      <c r="D584" s="3" t="inlineStr">
        <is>
          <t>Webhook detail</t>
        </is>
      </c>
      <c r="E584" s="3" t="inlineStr">
        <is>
          <t>ລາຍລະອຽດ Webhook</t>
        </is>
      </c>
      <c r="F584" s="3" t="inlineStr">
        <is>
          <t>Webhook အသေးစိတ်</t>
        </is>
      </c>
      <c r="G584" s="3">
        <f>IFERROR(__xludf.DUMMYFUNCTION("GOOGLETRANSLATE(C584,""vi"",""km"")"),"ព័ត៌មានលម្អិតអំពី Webhook")</f>
        <v/>
      </c>
      <c r="H584" s="217" t="inlineStr">
        <is>
          <t>លម្អិតពីwebhook</t>
        </is>
      </c>
      <c r="J584" s="3" t="inlineStr">
        <is>
          <t>លម្អិតពីwebhook</t>
        </is>
      </c>
      <c r="K584" s="217" t="inlineStr">
        <is>
          <t>លម្អិតពីwebhook</t>
        </is>
      </c>
      <c r="S584" s="163" t="inlineStr">
        <is>
          <t>ព័ត៌មានលម្អិត Webhook</t>
        </is>
      </c>
    </row>
    <row r="585" ht="15.75" customHeight="1" s="305">
      <c r="A585" s="217" t="inlineStr">
        <is>
          <t>TOKEN_MANAGEMENT.TITLE</t>
        </is>
      </c>
      <c r="B585" s="161" t="inlineStr">
        <is>
          <t>Token 管理</t>
        </is>
      </c>
      <c r="C585" s="3" t="inlineStr">
        <is>
          <t>Quản lý token</t>
        </is>
      </c>
      <c r="D585" s="3" t="inlineStr">
        <is>
          <t>Manage token</t>
        </is>
      </c>
      <c r="E585" s="3" t="inlineStr">
        <is>
          <t>ການຈັດການໂທເຄັນ</t>
        </is>
      </c>
      <c r="F585" s="3" t="inlineStr">
        <is>
          <t>လက်မှတ်ကို စီမံခန့်ခွဲပါ</t>
        </is>
      </c>
      <c r="G585" s="3">
        <f>IFERROR(__xludf.DUMMYFUNCTION("GOOGLETRANSLATE(C585,""vi"",""km"")"),"ការគ្រប់គ្រងសញ្ញាសម្ងាត់")</f>
        <v/>
      </c>
      <c r="J585" s="3" t="inlineStr">
        <is>
          <t>គ្រប់គ្រង token</t>
        </is>
      </c>
      <c r="K585" s="217" t="inlineStr">
        <is>
          <t>គ្រប់គ្រង token</t>
        </is>
      </c>
      <c r="S585" s="163" t="inlineStr">
        <is>
          <t>គ្រប់គ្រង token</t>
        </is>
      </c>
    </row>
    <row r="586" ht="15.75" customHeight="1" s="305">
      <c r="A586" s="217" t="inlineStr">
        <is>
          <t>TOKEN_MANAGEMENT.TOKEN_LIST</t>
        </is>
      </c>
      <c r="B586" s="161" t="inlineStr">
        <is>
          <t>Token 列表</t>
        </is>
      </c>
      <c r="C586" s="3" t="inlineStr">
        <is>
          <t>Danh sách token</t>
        </is>
      </c>
      <c r="D586" s="3" t="inlineStr">
        <is>
          <t>Token list</t>
        </is>
      </c>
      <c r="E586" s="3" t="inlineStr">
        <is>
          <t>ບັນຊີລາຍຊື່ຂອງ tokens</t>
        </is>
      </c>
      <c r="F586" s="3" t="inlineStr">
        <is>
          <t>Token စာရင်း</t>
        </is>
      </c>
      <c r="G586" s="3">
        <f>IFERROR(__xludf.DUMMYFUNCTION("GOOGLETRANSLATE(C586,""vi"",""km"")"),"បញ្ជីសញ្ញាសម្គាល់")</f>
        <v/>
      </c>
      <c r="J586" s="3" t="inlineStr">
        <is>
          <t>បញ្ជី token</t>
        </is>
      </c>
      <c r="K586" s="217" t="inlineStr">
        <is>
          <t>បញ្ជី token</t>
        </is>
      </c>
      <c r="S586" s="163" t="inlineStr">
        <is>
          <t>បញ្ជី token</t>
        </is>
      </c>
    </row>
    <row r="587" ht="15.75" customHeight="1" s="305">
      <c r="A587" s="217" t="inlineStr">
        <is>
          <t>TOKEN_MANAGEMENT.ADD_TOKEN</t>
        </is>
      </c>
      <c r="B587" s="153" t="inlineStr">
        <is>
          <t>新建 token</t>
        </is>
      </c>
      <c r="C587" s="3" t="inlineStr">
        <is>
          <t>Thêm mới token</t>
        </is>
      </c>
      <c r="D587" s="3" t="inlineStr">
        <is>
          <t>Add token</t>
        </is>
      </c>
      <c r="E587" s="3" t="inlineStr">
        <is>
          <t>ເພີ່ມໂທເຄັນໃໝ່</t>
        </is>
      </c>
      <c r="F587" s="3" t="inlineStr">
        <is>
          <t>ပေါင်းထည့်ပါ</t>
        </is>
      </c>
      <c r="G587" s="3">
        <f>IFERROR(__xludf.DUMMYFUNCTION("GOOGLETRANSLATE(C587,""vi"",""km"")"),"បន្ថែមសញ្ញាសម្ងាត់ថ្មី")</f>
        <v/>
      </c>
      <c r="J587" s="3" t="inlineStr">
        <is>
          <t>បន្ថែម token</t>
        </is>
      </c>
      <c r="K587" s="217" t="inlineStr">
        <is>
          <t>បន្ថែម token</t>
        </is>
      </c>
      <c r="S587" s="163" t="inlineStr">
        <is>
          <t>បន្ថែម token</t>
        </is>
      </c>
    </row>
    <row r="588" ht="15.75" customHeight="1" s="305">
      <c r="A588" s="217" t="inlineStr">
        <is>
          <t>TOKEN_MANAGEMENT.INSERT_TOKEN_NAME</t>
        </is>
      </c>
      <c r="B588" s="153" t="inlineStr">
        <is>
          <t>输入 token 名称</t>
        </is>
      </c>
      <c r="C588" s="3" t="inlineStr">
        <is>
          <t>Nhập tên token</t>
        </is>
      </c>
      <c r="D588" s="3" t="inlineStr">
        <is>
          <t>Enter token name</t>
        </is>
      </c>
      <c r="E588" s="3" t="inlineStr">
        <is>
          <t>ໃສ່ຊື່ໂທເຄັນ</t>
        </is>
      </c>
      <c r="F588" s="3" t="inlineStr">
        <is>
          <t>အမည်ကို ဝင်ပါ</t>
        </is>
      </c>
      <c r="G588" s="3">
        <f>IFERROR(__xludf.DUMMYFUNCTION("GOOGLETRANSLATE(C588,""vi"",""km"")"),"បញ្ចូលឈ្មោះសញ្ញាសម្គាល់")</f>
        <v/>
      </c>
      <c r="J588" s="3" t="inlineStr">
        <is>
          <t>បញ្ចូលឈ្មោះ token</t>
        </is>
      </c>
      <c r="K588" s="217" t="inlineStr">
        <is>
          <t>បញ្ចូលឈ្មោះ token</t>
        </is>
      </c>
      <c r="S588" s="163" t="inlineStr">
        <is>
          <t>បញ្ចូលឈ្មោះ token</t>
        </is>
      </c>
    </row>
    <row r="589" ht="15.75" customHeight="1" s="305">
      <c r="A589" s="217" t="inlineStr">
        <is>
          <t>TOKEN_MANAGEMENT.INSERT_TOKEN_LINK</t>
        </is>
      </c>
      <c r="B589" s="153" t="inlineStr">
        <is>
          <t>输入 token 链接</t>
        </is>
      </c>
      <c r="C589" s="3" t="inlineStr">
        <is>
          <t>Nhập link token</t>
        </is>
      </c>
      <c r="D589" s="3" t="inlineStr">
        <is>
          <t>Enter token link</t>
        </is>
      </c>
      <c r="E589" s="3" t="inlineStr">
        <is>
          <t>ໃສ່ລິ້ງໂທເຄັນ</t>
        </is>
      </c>
      <c r="F589" s="3" t="inlineStr">
        <is>
          <t>လင့်ခ်ထဲထည့်ပါ</t>
        </is>
      </c>
      <c r="G589" s="3">
        <f>IFERROR(__xludf.DUMMYFUNCTION("GOOGLETRANSLATE(C589,""vi"",""km"")"),"បញ្ចូលតំណភ្ជាប់សញ្ញាសម្ងាត់")</f>
        <v/>
      </c>
      <c r="J589" s="3" t="inlineStr">
        <is>
          <t>បញ្ចូលតំណ token</t>
        </is>
      </c>
      <c r="K589" s="217" t="inlineStr">
        <is>
          <t>បញ្ចូលតំណ token</t>
        </is>
      </c>
      <c r="S589" s="163" t="inlineStr">
        <is>
          <t>បញ្ចូលតំណ token</t>
        </is>
      </c>
    </row>
    <row r="590" ht="15.75" customHeight="1" s="305">
      <c r="A590" s="217" t="inlineStr">
        <is>
          <t>TOKEN_MANAGEMENT.INSERT_TOKEN</t>
        </is>
      </c>
      <c r="B590" s="153" t="inlineStr">
        <is>
          <t>输入 token</t>
        </is>
      </c>
      <c r="C590" s="3" t="inlineStr">
        <is>
          <t>Nhập token</t>
        </is>
      </c>
      <c r="D590" s="3" t="inlineStr">
        <is>
          <t>Enter token</t>
        </is>
      </c>
      <c r="E590" s="3" t="inlineStr">
        <is>
          <t>ໃສ່ໂທເຄັນ</t>
        </is>
      </c>
      <c r="F590" s="3" t="inlineStr">
        <is>
          <t>အမှတ်အသားထဲထည့်ပါ</t>
        </is>
      </c>
      <c r="G590" s="3">
        <f>IFERROR(__xludf.DUMMYFUNCTION("GOOGLETRANSLATE(C590,""vi"",""km"")"),"បញ្ចូលសញ្ញាសម្ងាត់")</f>
        <v/>
      </c>
      <c r="J590" s="3" t="inlineStr">
        <is>
          <t>បញ្ចូល token</t>
        </is>
      </c>
      <c r="K590" s="217" t="inlineStr">
        <is>
          <t>បញ្ចូល token</t>
        </is>
      </c>
      <c r="S590" s="163" t="inlineStr">
        <is>
          <t>បញ្ចូល token</t>
        </is>
      </c>
    </row>
    <row r="591" ht="15.75" customHeight="1" s="305">
      <c r="A591" s="217" t="inlineStr">
        <is>
          <t>TOKEN_MANAGEMENT.EDIT_TOKEN</t>
        </is>
      </c>
      <c r="B591" s="153" t="inlineStr">
        <is>
          <t>编辑 token</t>
        </is>
      </c>
      <c r="C591" s="3" t="inlineStr">
        <is>
          <t>Chỉnh sửa token</t>
        </is>
      </c>
      <c r="D591" s="3" t="inlineStr">
        <is>
          <t>Edit token</t>
        </is>
      </c>
      <c r="E591" s="3" t="inlineStr">
        <is>
          <t>ແກ້ໄຂໂທເຄັນ</t>
        </is>
      </c>
      <c r="F591" s="3" t="inlineStr">
        <is>
          <t>ပြင်ဆင်ထားသော အမှတ်အသား</t>
        </is>
      </c>
      <c r="G591" s="3">
        <f>IFERROR(__xludf.DUMMYFUNCTION("GOOGLETRANSLATE(C591,""vi"",""km"")"),"កែសម្រួលសញ្ញាសម្ងាត់")</f>
        <v/>
      </c>
      <c r="J591" s="3" t="inlineStr">
        <is>
          <t>កែសម្រួល token</t>
        </is>
      </c>
      <c r="K591" s="217" t="inlineStr">
        <is>
          <t>កែសម្រួល token</t>
        </is>
      </c>
      <c r="S591" s="163" t="inlineStr">
        <is>
          <t>កែសម្រួល token</t>
        </is>
      </c>
    </row>
    <row r="592" ht="15.75" customHeight="1" s="305">
      <c r="A592" s="217" t="inlineStr">
        <is>
          <t>TOKEN_MANAGEMENT.UPDATED_AT</t>
        </is>
      </c>
      <c r="B592" s="153" t="inlineStr">
        <is>
          <t>更新</t>
        </is>
      </c>
      <c r="C592" s="3" t="inlineStr">
        <is>
          <t>Cập nhật</t>
        </is>
      </c>
      <c r="D592" s="3" t="inlineStr">
        <is>
          <t>Updated at</t>
        </is>
      </c>
      <c r="E592" s="3" t="inlineStr">
        <is>
          <t>ອັບເດດ</t>
        </is>
      </c>
      <c r="F592" s="3" t="inlineStr">
        <is>
          <t>အသစ်ပြင်ဆင်ထားတဲ့</t>
        </is>
      </c>
      <c r="G592" s="3">
        <f>IFERROR(__xludf.DUMMYFUNCTION("GOOGLETRANSLATE(C592,""vi"",""km"")"),"ធ្វើបច្ចុប្បន្នភាព")</f>
        <v/>
      </c>
      <c r="H592" s="217" t="inlineStr">
        <is>
          <t>អាប់ដេត</t>
        </is>
      </c>
      <c r="J592" s="3" t="inlineStr">
        <is>
          <t>ធ្វើបច្ចុប្បន្នភាព</t>
        </is>
      </c>
      <c r="K592" s="217" t="inlineStr">
        <is>
          <t>ធ្វើបច្ចុប្បន្នភាព</t>
        </is>
      </c>
      <c r="S592" s="163" t="inlineStr">
        <is>
          <t>បានធ្វើបច្ចុប្បន្នភាពនៅ</t>
        </is>
      </c>
    </row>
    <row r="593" ht="15.75" customHeight="1" s="305">
      <c r="A593" s="217" t="inlineStr">
        <is>
          <t>TOKEN_MANAGEMENT.CONFIRM_DELETE_TOKEN</t>
        </is>
      </c>
      <c r="B593" s="153" t="inlineStr">
        <is>
          <t>确定删除此 token 吗？</t>
        </is>
      </c>
      <c r="C593" s="3" t="inlineStr">
        <is>
          <t>Quý khách có chắc chắn muốn xoá token này không?</t>
        </is>
      </c>
      <c r="D593" s="3" t="inlineStr">
        <is>
          <t>Are you sure you want to delete this token?</t>
        </is>
      </c>
      <c r="E593" s="3" t="inlineStr">
        <is>
          <t>ທ່ານແນ່ໃຈບໍ່ວ່າຕ້ອງການລຶບໂທເຄັນນີ້?</t>
        </is>
      </c>
      <c r="F593" s="3" t="inlineStr">
        <is>
          <t>ဒီအမှတ်အသားကို ဖျက်ချင်တယ်ဆိုတာ သေချာလား။</t>
        </is>
      </c>
      <c r="G593" s="3">
        <f>IFERROR(__xludf.DUMMYFUNCTION("GOOGLETRANSLATE(C593,""vi"",""km"")"),"តើអ្នកប្រាកដថាចង់លុបសញ្ញាសម្ងាត់នេះមែនទេ?")</f>
        <v/>
      </c>
      <c r="J593" s="3" t="inlineStr">
        <is>
          <t>តើអ្នកប្រាកដថាចង់លុប token នេះទេ?</t>
        </is>
      </c>
      <c r="K593" s="217" t="inlineStr">
        <is>
          <t>តើអ្នកប្រាកដថាចង់លុប token នេះទេ?</t>
        </is>
      </c>
      <c r="S593" s="163" t="inlineStr">
        <is>
          <t>តើអ្នកប្រាកដថាចង់លុប token នេះទេ?</t>
        </is>
      </c>
    </row>
    <row r="594" ht="15.75" customHeight="1" s="305">
      <c r="A594" s="217" t="inlineStr">
        <is>
          <t>TOKEN_MANAGEMENT.COPY_TOKEN_SUCCESSFUL</t>
        </is>
      </c>
      <c r="B594" s="161" t="inlineStr">
        <is>
          <t>Token 已复制</t>
        </is>
      </c>
      <c r="C594" s="3" t="inlineStr">
        <is>
          <t>Quý khách đã sao chép mã token thành công!</t>
        </is>
      </c>
      <c r="D594" s="3" t="inlineStr">
        <is>
          <t>You have successfully copied the token!</t>
        </is>
      </c>
      <c r="E594" s="3" t="inlineStr">
        <is>
          <t>ທ່ານໄດ້ສຳເນົາລະຫັດໂທເຄັນສຳເລັດແລ້ວ!</t>
        </is>
      </c>
      <c r="F594" s="3" t="inlineStr">
        <is>
          <t>သင်သည် လက်မှတ်ကို အောင်မြင်စွာကူးယူခဲ့ပြီ!</t>
        </is>
      </c>
      <c r="G594" s="3">
        <f>IFERROR(__xludf.DUMMYFUNCTION("GOOGLETRANSLATE(C594,""vi"",""km"")"),"អ្នកបានចម្លងលេខកូដសញ្ញាសម្ងាត់ដោយជោគជ័យហើយ!")</f>
        <v/>
      </c>
      <c r="J594" s="3" t="inlineStr">
        <is>
          <t>អ្នកបានចម្លង token ដោយជោគជ័យ!</t>
        </is>
      </c>
      <c r="K594" s="217" t="inlineStr">
        <is>
          <t>អ្នកបានចម្លង token ដោយជោគជ័យ!</t>
        </is>
      </c>
      <c r="S594" s="163" t="inlineStr">
        <is>
          <t>អ្នកបានចម្លង token ដោយជោគជ័យ!</t>
        </is>
      </c>
    </row>
    <row r="595" ht="15.75" customHeight="1" s="305">
      <c r="A595" s="217" t="inlineStr">
        <is>
          <t>TOKEN_MANAGEMENT.ADD_TOKEN_SUCCESSFUL</t>
        </is>
      </c>
      <c r="B595" s="161" t="inlineStr">
        <is>
          <t>Token 创建成功</t>
        </is>
      </c>
      <c r="C595" s="3" t="inlineStr">
        <is>
          <t>Quý khách đã tạo mới token thành công!</t>
        </is>
      </c>
      <c r="D595" s="3" t="inlineStr">
        <is>
          <t>You have successfully created a new token!</t>
        </is>
      </c>
      <c r="E595" s="3" t="inlineStr">
        <is>
          <t>ເຈົ້າໄດ້ສ້າງໂທເຄັນໃໝ່ສຳເລັດແລ້ວ!</t>
        </is>
      </c>
      <c r="F595" s="3" t="inlineStr">
        <is>
          <t>သင်သည် အမှတ်အသားအသစ်တစ်ခုကို အောင်မြင်စွာဖန်တီးခဲ့ပြီ!</t>
        </is>
      </c>
      <c r="G595" s="3">
        <f>IFERROR(__xludf.DUMMYFUNCTION("GOOGLETRANSLATE(C595,""vi"",""km"")"),"អ្នកបានបង្កើតថូខឹនថ្មីមួយដោយជោគជ័យ!")</f>
        <v/>
      </c>
      <c r="J595" s="3" t="inlineStr">
        <is>
          <t>អ្នកបានបង្កើត token ថ្មីដោយជោគជ័យ!</t>
        </is>
      </c>
      <c r="K595" s="217" t="inlineStr">
        <is>
          <t>អ្នកបានបង្កើត token ថ្មីដោយជោគជ័យ!</t>
        </is>
      </c>
      <c r="S595" s="163" t="inlineStr">
        <is>
          <t>អ្នកបានបង្កើត token ថ្មីដោយជោគជ័យ!</t>
        </is>
      </c>
    </row>
    <row r="596" ht="15.75" customHeight="1" s="305">
      <c r="A596" s="217" t="inlineStr">
        <is>
          <t>TOKEN_MANAGEMENT.ADD_TOKEN_ERROR</t>
        </is>
      </c>
      <c r="B596" s="161" t="inlineStr">
        <is>
          <t>Token 创建失败</t>
        </is>
      </c>
      <c r="C596" s="3" t="inlineStr">
        <is>
          <t>Tạo mới token thất bại!</t>
        </is>
      </c>
      <c r="D596" s="3" t="inlineStr">
        <is>
          <t>Failed to create a new token!</t>
        </is>
      </c>
      <c r="E596" s="3" t="inlineStr">
        <is>
          <t>ການສ້າງໂທເຄັນໃໝ່ລົ້ມເຫລວ!</t>
        </is>
      </c>
      <c r="F596" s="3" t="inlineStr">
        <is>
          <t>လက္ခဏာအသစ်တစ်ခု ဖန်တီးရန် ပျက်ကွက်ခဲ့သည်!</t>
        </is>
      </c>
      <c r="G596" s="3">
        <f>IFERROR(__xludf.DUMMYFUNCTION("GOOGLETRANSLATE(C596,""vi"",""km"")"),"ការបង្កើតថូខិនបរាជ័យ!")</f>
        <v/>
      </c>
      <c r="J596" s="3" t="inlineStr">
        <is>
          <t>បរាជ័យក្នុងការបង្កើតនិមិត្ត token!</t>
        </is>
      </c>
      <c r="K596" s="217" t="inlineStr">
        <is>
          <t>បរាជ័យក្នុងការបង្កើតនិមិត្ត token!</t>
        </is>
      </c>
      <c r="S596" s="163" t="inlineStr">
        <is>
          <t>បរាជ័យក្នុងការបង្កើតនិមិត្ត token!</t>
        </is>
      </c>
    </row>
    <row r="597" ht="15.75" customHeight="1" s="305">
      <c r="A597" s="217" t="inlineStr">
        <is>
          <t>TOKEN_MANAGEMENT.DELETE_TOKEN_SUCCESSFUL</t>
        </is>
      </c>
      <c r="B597" s="161" t="inlineStr">
        <is>
          <t>Token 删除成功</t>
        </is>
      </c>
      <c r="C597" s="3" t="inlineStr">
        <is>
          <t>Quý khách đã xoá token thành công!</t>
        </is>
      </c>
      <c r="D597" s="3" t="inlineStr">
        <is>
          <t>You have successfully deleted the token!</t>
        </is>
      </c>
      <c r="E597" s="3" t="inlineStr">
        <is>
          <t>ທ່ານໄດ້ລຶບໂທເຄັນສຳເລັດແລ້ວ!</t>
        </is>
      </c>
      <c r="F597" s="3" t="inlineStr">
        <is>
          <t>သင်သည် အမှတ်အသားကို အောင်မြင်စွာဖျက်ပစ်လိုက်ပြီ!</t>
        </is>
      </c>
      <c r="G597" s="3">
        <f>IFERROR(__xludf.DUMMYFUNCTION("GOOGLETRANSLATE(C597,""vi"",""km"")"),"ថូខិនរបស់អ្នកត្រូវបានលុបដោយជោគជ័យ!")</f>
        <v/>
      </c>
      <c r="J597" s="3" t="inlineStr">
        <is>
          <t>អ្នកបានលុប token ដោយជោគជ័យ!</t>
        </is>
      </c>
      <c r="K597" s="217" t="inlineStr">
        <is>
          <t>អ្នកបានលុប token ដោយជោគជ័យ!</t>
        </is>
      </c>
      <c r="S597" s="163" t="inlineStr">
        <is>
          <t>អ្នកបានលុប token ដោយជោគជ័យ!</t>
        </is>
      </c>
    </row>
    <row r="598" ht="15.75" customHeight="1" s="305">
      <c r="A598" s="217" t="inlineStr">
        <is>
          <t>TOKEN_MANAGEMENT.DELETE_TOKEN_ERROR</t>
        </is>
      </c>
      <c r="B598" s="161" t="inlineStr">
        <is>
          <t>Token 删除失败</t>
        </is>
      </c>
      <c r="C598" s="3" t="inlineStr">
        <is>
          <t>Xoá token thất bại!</t>
        </is>
      </c>
      <c r="D598" s="3" t="inlineStr">
        <is>
          <t>Failed to delete the token!</t>
        </is>
      </c>
      <c r="E598" s="3" t="inlineStr">
        <is>
          <t>ການລຶບໂທເຄັນລົ້ມເຫລວ!</t>
        </is>
      </c>
      <c r="F598" s="3" t="inlineStr">
        <is>
          <t>အမှတ်အသားကို ဖျက်ဖို့ ပျက်ကွက်ခဲ့တာ!</t>
        </is>
      </c>
      <c r="G598" s="3">
        <f>IFERROR(__xludf.DUMMYFUNCTION("GOOGLETRANSLATE(C598,""vi"",""km"")"),"ការលុបសញ្ញាសម្ងាត់បានបរាជ័យ!")</f>
        <v/>
      </c>
      <c r="J598" s="3" t="inlineStr">
        <is>
          <t>បរាជ័យក្នុងការលុប token!</t>
        </is>
      </c>
      <c r="K598" s="217" t="inlineStr">
        <is>
          <t>បរាជ័យក្នុងការលុប token!</t>
        </is>
      </c>
      <c r="S598" s="163" t="inlineStr">
        <is>
          <t>បរាជ័យក្នុងការលុប token!</t>
        </is>
      </c>
    </row>
    <row r="599" ht="15.75" customHeight="1" s="305">
      <c r="A599" s="217" t="inlineStr">
        <is>
          <t>TOKEN_MANAGEMENT.UPDATE_TOKEN_SUCCESSFUL</t>
        </is>
      </c>
      <c r="B599" s="161" t="inlineStr">
        <is>
          <t>Token 更新成功</t>
        </is>
      </c>
      <c r="C599" s="3" t="inlineStr">
        <is>
          <t>Quý khách đã cập nhật token thành công!</t>
        </is>
      </c>
      <c r="D599" s="3" t="inlineStr">
        <is>
          <t>You have successfully updated the token!</t>
        </is>
      </c>
      <c r="E599" s="3" t="inlineStr">
        <is>
          <t>ທ່ານໄດ້ອັບເດດໂທເຄັນຂອງເຈົ້າສຳເລັດແລ້ວ!</t>
        </is>
      </c>
      <c r="F599" s="3" t="inlineStr">
        <is>
          <t>သင်သည် အမှတ်အသားကို အောင်မြင်စွာပြင်ဆင်ထားပြီ!</t>
        </is>
      </c>
      <c r="G599" s="3">
        <f>IFERROR(__xludf.DUMMYFUNCTION("GOOGLETRANSLATE(C599,""vi"",""km"")"),"ការអាប់ដេតថូខឹនរបស់អ្នកបានជោគជ័យហើយ!")</f>
        <v/>
      </c>
      <c r="J599" s="3" t="inlineStr">
        <is>
          <t>អ្នកបានធ្វើបច្ចុប្បន្នភាព token ដោយជោគជ័យ!</t>
        </is>
      </c>
      <c r="K599" s="217" t="inlineStr">
        <is>
          <t>អ្នកបានធ្វើបច្ចុប្បន្នភាព token ដោយជោគជ័យ!</t>
        </is>
      </c>
      <c r="S599" s="163" t="inlineStr">
        <is>
          <t>អ្នកបានធ្វើបច្ចុប្បន្នភាព token ដោយជោគជ័យ!</t>
        </is>
      </c>
    </row>
    <row r="600" ht="15.75" customHeight="1" s="305">
      <c r="A600" s="217" t="inlineStr">
        <is>
          <t>TOKEN_MANAGEMENT.UPDATE_TOKEN_ERROR</t>
        </is>
      </c>
      <c r="B600" s="161" t="inlineStr">
        <is>
          <t>Token 更新失败</t>
        </is>
      </c>
      <c r="C600" s="3" t="inlineStr">
        <is>
          <t>Cập nhật token thất bại!</t>
        </is>
      </c>
      <c r="D600" s="3" t="inlineStr">
        <is>
          <t>Failed to update the token!</t>
        </is>
      </c>
      <c r="E600" s="3" t="inlineStr">
        <is>
          <t>ອັບເດດໂທເຄັນລົ້ມເຫລວ!</t>
        </is>
      </c>
      <c r="F600" s="3" t="inlineStr">
        <is>
          <t>အမှတ်အသားကို အသစ်ပြင်ဆင်ဖို့ ပျက်ကွက်ခဲ့တာ!</t>
        </is>
      </c>
      <c r="G600" s="3">
        <f>IFERROR(__xludf.DUMMYFUNCTION("GOOGLETRANSLATE(C600,""vi"",""km"")"),"ការអាប់ដេតសញ្ញាសម្ងាត់បានបរាជ័យ!")</f>
        <v/>
      </c>
      <c r="J600" s="3" t="inlineStr">
        <is>
          <t>អ្នកបានធ្វើបច្ចុប្បន្នភាព token បរាជ័យ!</t>
        </is>
      </c>
      <c r="K600" s="217" t="inlineStr">
        <is>
          <t>អ្នកបានធ្វើបច្ចុប្បន្នភាព token បរាជ័យ!</t>
        </is>
      </c>
      <c r="S600" s="163" t="inlineStr">
        <is>
          <t>អ្នកបានធ្វើបច្ចុប្បន្នភាព token បរាជ័យ!</t>
        </is>
      </c>
    </row>
    <row r="601" ht="15.75" customHeight="1" s="305">
      <c r="A601" s="217" t="inlineStr">
        <is>
          <t>TOKEN_MANAGEMENT.TOKEN_NAME_REQUIRED</t>
        </is>
      </c>
      <c r="B601" s="153" t="inlineStr">
        <is>
          <t>请输入 token 名称</t>
        </is>
      </c>
      <c r="C601" s="3" t="inlineStr">
        <is>
          <t>Vui lòng nhập tên token</t>
        </is>
      </c>
      <c r="D601" s="3" t="inlineStr">
        <is>
          <t>Token name is required</t>
        </is>
      </c>
      <c r="E601" s="3" t="inlineStr">
        <is>
          <t>ກະລຸນາໃສ່ຊື່ token</t>
        </is>
      </c>
      <c r="F601" s="3" t="inlineStr">
        <is>
          <t>Token အမည်လိုအပ်</t>
        </is>
      </c>
      <c r="G601" s="3">
        <f>IFERROR(__xludf.DUMMYFUNCTION("GOOGLETRANSLATE(C601,""vi"",""km"")"),"សូមបញ្ចូលឈ្មោះសញ្ញាសម្គាល់។")</f>
        <v/>
      </c>
      <c r="J601" s="3" t="inlineStr">
        <is>
          <t>សូមបញ្ចូលឈ្មោះ token</t>
        </is>
      </c>
      <c r="K601" s="217" t="inlineStr">
        <is>
          <t>សូមបញ្ចូលឈ្មោះ token</t>
        </is>
      </c>
      <c r="S601" s="163" t="inlineStr">
        <is>
          <t>សូមបញ្ចូលឈ្មោះ token</t>
        </is>
      </c>
    </row>
    <row r="602" ht="15.75" customHeight="1" s="305">
      <c r="A602" s="217" t="inlineStr">
        <is>
          <t>TOKEN_MANAGEMENT.TOKEN_LINK_REQUIRED</t>
        </is>
      </c>
      <c r="B602" s="153" t="inlineStr">
        <is>
          <t>请输入 token 链接</t>
        </is>
      </c>
      <c r="C602" s="3" t="inlineStr">
        <is>
          <t>Vui lòng nhập link token</t>
        </is>
      </c>
      <c r="D602" s="3" t="inlineStr">
        <is>
          <t>Token link is required</t>
        </is>
      </c>
      <c r="E602" s="3" t="inlineStr">
        <is>
          <t>ກະລຸນາໃສ່ລິ້ງໂທເຄັນ</t>
        </is>
      </c>
      <c r="F602" s="3" t="inlineStr">
        <is>
          <t>Token Link လိုအပ်</t>
        </is>
      </c>
      <c r="G602" s="3">
        <f>IFERROR(__xludf.DUMMYFUNCTION("GOOGLETRANSLATE(C602,""vi"",""km"")"),"សូមបញ្ចូលតំណភ្ជាប់សញ្ញាសម្ងាត់។")</f>
        <v/>
      </c>
      <c r="J602" s="3" t="inlineStr">
        <is>
          <t>សូមបញ្ចូល token</t>
        </is>
      </c>
      <c r="K602" s="217" t="inlineStr">
        <is>
          <t>សូមបញ្ចូល token</t>
        </is>
      </c>
      <c r="S602" s="163" t="inlineStr">
        <is>
          <t>សូមបញ្ចូល token</t>
        </is>
      </c>
    </row>
    <row r="603" ht="15.75" customHeight="1" s="305">
      <c r="A603" s="217" t="inlineStr">
        <is>
          <t>TOKEN_MANAGEMENT.TOKEN_REQUIRED</t>
        </is>
      </c>
      <c r="B603" s="153" t="inlineStr">
        <is>
          <t>请输入 token</t>
        </is>
      </c>
      <c r="C603" s="3" t="inlineStr">
        <is>
          <t>Vui lòng nhập token</t>
        </is>
      </c>
      <c r="D603" s="3" t="inlineStr">
        <is>
          <t>Token is required</t>
        </is>
      </c>
      <c r="E603" s="3" t="inlineStr">
        <is>
          <t>ກະລຸນາໃສ່ໂທເຄັນ</t>
        </is>
      </c>
      <c r="F603" s="3" t="inlineStr">
        <is>
          <t>တိုကင်လိုအပ်</t>
        </is>
      </c>
      <c r="G603" s="3">
        <f>IFERROR(__xludf.DUMMYFUNCTION("GOOGLETRANSLATE(C603,""vi"",""km"")"),"សូមបញ្ចូលសញ្ញាសម្គាល់")</f>
        <v/>
      </c>
      <c r="J603" s="3" t="inlineStr">
        <is>
          <t>សូមបញ្ចូលលីង token</t>
        </is>
      </c>
      <c r="K603" s="217" t="inlineStr">
        <is>
          <t>សូមបញ្ចូលលីង token</t>
        </is>
      </c>
      <c r="S603" s="163" t="inlineStr">
        <is>
          <t>សូមបញ្ចូលលីង token</t>
        </is>
      </c>
    </row>
    <row r="604" ht="15.75" customHeight="1" s="305">
      <c r="A604" s="217" t="inlineStr">
        <is>
          <t>TOKEN_MANAGEMENT.NO_TOKEN_YET</t>
        </is>
      </c>
      <c r="B604" s="153" t="inlineStr">
        <is>
          <t>暂未创建任何 token</t>
        </is>
      </c>
      <c r="C604" s="3" t="inlineStr">
        <is>
          <t>Quý khách chưa có token nào, vui lòng tạo mới</t>
        </is>
      </c>
      <c r="D604" s="3" t="inlineStr">
        <is>
          <t>You don't have any tokens yet, please create a new one</t>
        </is>
      </c>
      <c r="E604" s="3" t="inlineStr">
        <is>
          <t>ທ່ານບໍ່ມີໂທເຄັນໃດໆ, ກະລຸນາສ້າງອັນໃໝ່</t>
        </is>
      </c>
      <c r="F604" s="3" t="inlineStr">
        <is>
          <t>ခင်ဗျားမှာ အမှတ်အသားတွေ မရှိသေးပါဘူး၊ ကျေးဇူးပြု၍ အသစ်တစ်ခုကို ဖန်တီးပါ</t>
        </is>
      </c>
      <c r="G604" s="3">
        <f>IFERROR(__xludf.DUMMYFUNCTION("GOOGLETRANSLATE(C604,""vi"",""km"")"),"អ្នកមិនទាន់មានថូខឹននៅឡើយទេ សូមបង្កើតថូខឹនថ្មីមួយ។")</f>
        <v/>
      </c>
      <c r="J604" s="3" t="inlineStr">
        <is>
          <t>អ្នកមិនមាន token សូមបង្កើតសញ្ញាថ្មី</t>
        </is>
      </c>
      <c r="K604" s="217" t="inlineStr">
        <is>
          <t>អ្នកមិនមាន token សូមបង្កើតសញ្ញាថ្មី</t>
        </is>
      </c>
      <c r="S604" s="163" t="inlineStr">
        <is>
          <t>អ្នកមិនមាន​ token សូមបង្កើតសញ្ញាថ្មី</t>
        </is>
      </c>
    </row>
    <row r="605" ht="15.75" customHeight="1" s="305">
      <c r="A605" s="217" t="inlineStr">
        <is>
          <t>TOKEN_MANAGEMENT.INFO</t>
        </is>
      </c>
      <c r="B605" s="153" t="inlineStr">
        <is>
          <t>此功能用于将 ViettelPost 与您的销售管理软件或系统（如有）进行对接。查看更多</t>
        </is>
      </c>
      <c r="C605" s="3" t="inlineStr">
        <is>
          <t>Là chức năng kết nối Metfone Express với các phần mêm quản lý bán hàng hoặc hệ thống của quý khách (nếu có). Xem tại</t>
        </is>
      </c>
      <c r="D605" s="3" t="inlineStr">
        <is>
          <t>This function connects Metfone Express with your sales management software or system (if any). See more at</t>
        </is>
      </c>
      <c r="E605" s="3" t="inlineStr">
        <is>
          <t>ນີ້ແມ່ນໜ້າທີ່ເຊື່ອມຕໍ່ ViettelPost ກັບຊອບແວຄຸ້ມຄອງການຂາຍ ຫຼືລະບົບຂອງເຈົ້າ (ຖ້າມີ). ເບິ່ງຢູ່</t>
        </is>
      </c>
      <c r="F605" s="3" t="inlineStr">
        <is>
          <t>ဒီလုပ်ဆောင်မှုက ဗီယက်တယ်ပေါ့စ်ကို သင့်အရောင်း စီမံခန့်ခွဲရေး ဆော့ဖ်ဝဲလ် ဒါမှမဟုတ် စနစ် (တကယ်ဆိုရင်) ဆက်သွယ်ထားပါတယ်။ ထပ်ကြည့်ပါ</t>
        </is>
      </c>
      <c r="G605" s="3">
        <f>IFERROR(__xludf.DUMMYFUNCTION("GOOGLETRANSLATE(C605,""vi"",""km"")"),"មុខងារនេះភ្ជាប់ Metfone Express ជាមួយកម្មវិធី ឬប្រព័ន្ធគ្រប់គ្រងការលក់ដែលមានស្រាប់របស់អ្នក (ប្រសិនបើមាន)។ សូមមើលនៅទីនេះ។")</f>
        <v/>
      </c>
      <c r="J605" s="3" t="inlineStr">
        <is>
          <t>នេះគឺជាមុខងារដែលភ្ជាប់ Metfone Express ជាមួយកម្មវិធីគ្រប់គ្រងការលក់ ឬប្រព័ន្ធរបស់អ្នក (ប្រសិនបើមាន)។ សូមមើលនៅ</t>
        </is>
      </c>
      <c r="K605" s="217" t="inlineStr">
        <is>
          <t>នេះគឺជាមុខងារដែលភ្ជាប់ Metfone Express ជាមួយកម្មវិធីគ្រប់គ្រងការលក់ ឬប្រព័ន្ធរបស់អ្នក (ប្រសិនបើមាន)។ សូមមើលនៅ</t>
        </is>
      </c>
      <c r="S605" s="163" t="inlineStr">
        <is>
          <t>នេះគឺជាមុខងារដែលភ្ជាប់ Metfone Express ជាមួយកម្មវិធីគ្រប់គ្រងការលក់ ឬប្រព័ន្ធរបស់អ្នក (ប្រសិនបើមាន)។ សូមមើលនៅ</t>
        </is>
      </c>
    </row>
    <row r="606" ht="15.75" customHeight="1" s="305">
      <c r="A606" s="217" t="inlineStr">
        <is>
          <t>TOKEN_MANAGEMENT.CONFIRM_REFRESH_TOKEN</t>
        </is>
      </c>
      <c r="B606" s="153" t="inlineStr">
        <is>
          <t>确定要重新生成此 token 吗？</t>
        </is>
      </c>
      <c r="C606" s="3" t="inlineStr">
        <is>
          <t>Quý khách có chắc chắn muốn khởi tạo lại mã token này không?</t>
        </is>
      </c>
      <c r="D606" s="3" t="inlineStr">
        <is>
          <t>Are you sure you want to regenerate this token?</t>
        </is>
      </c>
      <c r="E606" s="3" t="inlineStr">
        <is>
          <t>ທ່ານແນ່ໃຈບໍ່ວ່າຕ້ອງການຣີເຊັດໂທເຄັນນີ້?</t>
        </is>
      </c>
      <c r="F606" s="3" t="inlineStr">
        <is>
          <t>ဒီအမှတ်အသားကို ပြန်လည်ဖြစ်ပေါ်စေချင်တယ်ဆိုတာ သေချာလား။</t>
        </is>
      </c>
      <c r="G606" s="3">
        <f>IFERROR(__xludf.DUMMYFUNCTION("GOOGLETRANSLATE(C606,""vi"",""km"")"),"តើអ្នកប្រាកដថាចង់កំណត់សញ្ញាសម្ងាត់នេះឡើងវិញមែនទេ?")</f>
        <v/>
      </c>
      <c r="J606" s="3" t="inlineStr">
        <is>
          <t>តើអ្នកប្រាកដថាចង់ចាប់ផ្តើម token នេះឡើងវិញទេ?</t>
        </is>
      </c>
      <c r="K606" s="217" t="inlineStr">
        <is>
          <t>តើអ្នកប្រាកដថាចង់ចាប់ផ្តើម token នេះឡើងវិញទេ?</t>
        </is>
      </c>
      <c r="S606" s="163" t="inlineStr">
        <is>
          <t>តើអ្នកប្រាកដថាចង់ចាប់ផ្តើម token នេះឡើងវិញទេ?</t>
        </is>
      </c>
    </row>
    <row r="607" ht="15.75" customHeight="1" s="305">
      <c r="A607" s="217" t="inlineStr">
        <is>
          <t>TOKEN_MANAGEMENT.REFRESH_TOKEN_SUCCESSFUL</t>
        </is>
      </c>
      <c r="B607" s="161" t="inlineStr">
        <is>
          <t>Token 重新生成成功</t>
        </is>
      </c>
      <c r="C607" s="3" t="inlineStr">
        <is>
          <t>Quý khách đã khởi tạo lại token thành công!</t>
        </is>
      </c>
      <c r="D607" s="3" t="inlineStr">
        <is>
          <t>You have successfully regenerated the token!</t>
        </is>
      </c>
      <c r="E607" s="3" t="inlineStr">
        <is>
          <t>ທ່ານໄດ້ສຳເລັດການເລີ່ມຕົ້ນ token ຂອງທ່ານຄືນໃໝ່ແລ້ວ!</t>
        </is>
      </c>
      <c r="F607" s="3" t="inlineStr">
        <is>
          <t>သင်သည် အမှတ်အသားကို အောင်မြင်စွာ ပြန်လည်ပြုပြင်ထားပြီ!</t>
        </is>
      </c>
      <c r="G607" s="3">
        <f>IFERROR(__xludf.DUMMYFUNCTION("GOOGLETRANSLATE(C607,""vi"",""km"")"),"ថូខិនរបស់អ្នកត្រូវបានធ្វើឱ្យសកម្មឡើងវិញដោយជោគជ័យ!")</f>
        <v/>
      </c>
      <c r="J607" s="3" t="inlineStr">
        <is>
          <t>អ្នកបានចាប់ផ្តើម token ឡើងវិញដោយជោគជ័យ!</t>
        </is>
      </c>
      <c r="K607" s="217" t="inlineStr">
        <is>
          <t>អ្នកបានចាប់ផ្តើម token ឡើងវិញដោយជោគជ័យ!</t>
        </is>
      </c>
      <c r="S607" s="163" t="inlineStr">
        <is>
          <t>អ្នកបានចាប់ផ្តើម token ឡើងវិញដោយជោគជ័យ!</t>
        </is>
      </c>
    </row>
    <row r="608" ht="15.75" customHeight="1" s="305">
      <c r="A608" s="217" t="inlineStr">
        <is>
          <t>TOKEN_MANAGEMENT.REFRESH_TOKEN_ERROR</t>
        </is>
      </c>
      <c r="B608" s="161" t="inlineStr">
        <is>
          <t>Token 重新生成失败</t>
        </is>
      </c>
      <c r="C608" s="3" t="inlineStr">
        <is>
          <t>Khởi tạo lại token thất bại!</t>
        </is>
      </c>
      <c r="D608" s="3" t="inlineStr">
        <is>
          <t>Failed to regenerate the token!</t>
        </is>
      </c>
      <c r="E608" s="3" t="inlineStr">
        <is>
          <t>Token re-initialization ລົ້ມເຫລວ!</t>
        </is>
      </c>
      <c r="F608" s="3" t="inlineStr">
        <is>
          <t>အမှတ်အသားကို ပြန်လည်မွမ်းမံဖို့ ပျက်ကွက်ခဲ့တာ!</t>
        </is>
      </c>
      <c r="G608" s="3">
        <f>IFERROR(__xludf.DUMMYFUNCTION("GOOGLETRANSLATE(C608,""vi"",""km"")"),"ការបង្កើតថូខឹនឡើងវិញបានបរាជ័យ!")</f>
        <v/>
      </c>
      <c r="J608" s="3" t="inlineStr">
        <is>
          <t>ការចាប់ផ្តើមឡើងវិញនៃ token បានបរាជ័យ!</t>
        </is>
      </c>
      <c r="K608" s="217" t="inlineStr">
        <is>
          <t>ការចាប់ផ្តើមឡើងវិញនៃ token បានបរាជ័យ!</t>
        </is>
      </c>
      <c r="S608" s="163" t="inlineStr">
        <is>
          <t>ការចាប់ផ្តើមឡើងវិញនៃ token បានបរាជ័យ!</t>
        </is>
      </c>
    </row>
    <row r="609" ht="15.75" customHeight="1" s="305">
      <c r="A609" s="217" t="inlineStr">
        <is>
          <t>POST_OFFICE_LOOKUP.TITLE</t>
        </is>
      </c>
      <c r="B609" s="153" t="inlineStr">
        <is>
          <t>网点查询</t>
        </is>
      </c>
      <c r="C609" s="3" t="inlineStr">
        <is>
          <t>Mạng lưới điểm giao dịch</t>
        </is>
      </c>
      <c r="D609" s="3" t="inlineStr">
        <is>
          <t>Transaction point network</t>
        </is>
      </c>
      <c r="E609" s="3" t="inlineStr">
        <is>
          <t>ເຄືອຂ່າຍຂອງຈຸດເຮັດທຸລະກໍາ</t>
        </is>
      </c>
      <c r="F609" s="3" t="inlineStr">
        <is>
          <t>အရောင်းအဝယ် အမှတ်ကွန်ရက်</t>
        </is>
      </c>
      <c r="G609" s="3">
        <f>IFERROR(__xludf.DUMMYFUNCTION("GOOGLETRANSLATE(C609,""vi"",""km"")"),"បណ្តាញចំណុចប្រតិបត្តិការ")</f>
        <v/>
      </c>
      <c r="J609" s="3" t="inlineStr">
        <is>
          <t>បណ្តាញទីតាំងប្រតិបត្តិការ</t>
        </is>
      </c>
      <c r="K609" s="217" t="inlineStr">
        <is>
          <t>បណ្តាញទីតាំងប្រតិបត្តិការ</t>
        </is>
      </c>
      <c r="S609" s="163" t="inlineStr">
        <is>
          <t>បណ្តាញនៃចំណុចប្រតិបត្តិការ</t>
        </is>
      </c>
    </row>
    <row r="610" ht="15.75" customHeight="1" s="305">
      <c r="A610" s="217" t="inlineStr">
        <is>
          <t>POST_OFFICE_LOOKUP.ENTER_TRADE_ADDRESS</t>
        </is>
      </c>
      <c r="B610" s="153" t="inlineStr">
        <is>
          <t>输入网点地址名称、网点地址</t>
        </is>
      </c>
      <c r="C610" s="3" t="inlineStr">
        <is>
          <t>Nhập tên, địa chỉ điểm giao dịch</t>
        </is>
      </c>
      <c r="D610" s="3" t="inlineStr">
        <is>
          <t>Enter transaction address</t>
        </is>
      </c>
      <c r="E610" s="3" t="inlineStr">
        <is>
          <t>ໃສ່ຊື່ແລະທີ່ຢູ່ຂອງຈຸດເຮັດທຸລະກໍາ</t>
        </is>
      </c>
      <c r="F610" s="3" t="inlineStr">
        <is>
          <t>အရောင်းအဝယ်လိပ်စာကို ဝင်ပါ</t>
        </is>
      </c>
      <c r="G610" s="3">
        <f>IFERROR(__xludf.DUMMYFUNCTION("GOOGLETRANSLATE(C610,""vi"",""km"")"),"បញ្ចូលឈ្មោះ និងអាសយដ្ឋាននៃចំណុចប្រតិបត្តិការ។")</f>
        <v/>
      </c>
      <c r="J610" s="3" t="inlineStr">
        <is>
          <t>បញ្ចូលឈ្មោះ ទីតាំងប្រតិបត្តិការ</t>
        </is>
      </c>
      <c r="K610" s="217" t="inlineStr">
        <is>
          <t>បញ្ចូលឈ្មោះ ទីតាំងប្រតិបត្តិការ</t>
        </is>
      </c>
      <c r="S610" s="163" t="inlineStr">
        <is>
          <t>បញ្ចូលឈ្មោះ និងអាសយដ្ឋាននៃចំណុចប្រតិបត្តិការ</t>
        </is>
      </c>
    </row>
    <row r="611" ht="15.75" customHeight="1" s="305">
      <c r="A611" s="217" t="inlineStr">
        <is>
          <t>POST_OFFICE_LOOKUP.DISTANCE</t>
        </is>
      </c>
      <c r="B611" s="153" t="inlineStr">
        <is>
          <t>距您 {{distance}} 公里</t>
        </is>
      </c>
      <c r="C611" s="3" t="inlineStr">
        <is>
          <t>Cách {{distance}}km</t>
        </is>
      </c>
      <c r="D611" s="3" t="inlineStr">
        <is>
          <t>{{distance}}km away</t>
        </is>
      </c>
      <c r="E611" s="3" t="inlineStr">
        <is>
          <t>ຫ່າງ {{distance}}km</t>
        </is>
      </c>
      <c r="F611" s="3" t="inlineStr">
        <is>
          <t xml:space="preserve">{{distance}} Km </t>
        </is>
      </c>
      <c r="G611" s="3">
        <f>IFERROR(__xludf.DUMMYFUNCTION("GOOGLETRANSLATE(C611,""vi"",""km"")"),"ចម្ងាយគីឡូម៉ែត្រ")</f>
        <v/>
      </c>
      <c r="J611" s="3" t="inlineStr">
        <is>
          <t>ចម្ងាយ {{distance}}គីឡូម៉ែត</t>
        </is>
      </c>
      <c r="K611" s="217" t="inlineStr">
        <is>
          <t>ចម្ងាយ {{distance}}គីឡូម៉ែត</t>
        </is>
      </c>
      <c r="S611" s="163" t="inlineStr">
        <is>
          <t>ចម្ងាយពី {{ចម្ងាយ}} គីឡូម៉ែត្រ</t>
        </is>
      </c>
    </row>
    <row r="612" ht="15.75" customHeight="1" s="305">
      <c r="A612" s="217" t="inlineStr">
        <is>
          <t>POST_OFFICE_LOOKUP.SHOW_MAP</t>
        </is>
      </c>
      <c r="B612" s="153" t="inlineStr">
        <is>
          <t>导航前往</t>
        </is>
      </c>
      <c r="C612" s="3" t="inlineStr">
        <is>
          <t>Chỉ đường</t>
        </is>
      </c>
      <c r="D612" s="3" t="inlineStr">
        <is>
          <t>Show directions</t>
        </is>
      </c>
      <c r="E612" s="3" t="inlineStr">
        <is>
          <t>ທິດທາງ</t>
        </is>
      </c>
      <c r="F612" s="3" t="inlineStr">
        <is>
          <t>လမ်းညွှန်ချက်များကို ပြပါ</t>
        </is>
      </c>
      <c r="G612" s="3">
        <f>IFERROR(__xludf.DUMMYFUNCTION("GOOGLETRANSLATE(C612,""vi"",""km"")"),"ទិសដៅ")</f>
        <v/>
      </c>
      <c r="J612" s="3" t="inlineStr">
        <is>
          <t>ទិសដៅ</t>
        </is>
      </c>
      <c r="K612" s="217" t="inlineStr">
        <is>
          <t>ទិសដៅ</t>
        </is>
      </c>
      <c r="S612" s="163" t="inlineStr">
        <is>
          <t>ទិសដៅ</t>
        </is>
      </c>
    </row>
    <row r="613" ht="15.75" customHeight="1" s="305">
      <c r="A613" s="217" t="inlineStr">
        <is>
          <t>POST_OFFICE_LOOKUP.OFFICE_HEADMAN</t>
        </is>
      </c>
      <c r="B613" s="153" t="inlineStr">
        <is>
          <t>邮局负责人：{{headName}}</t>
        </is>
      </c>
      <c r="C613" s="3" t="inlineStr">
        <is>
          <t>Trưởng bưu cục: {{headName}}</t>
        </is>
      </c>
      <c r="D613" s="3" t="inlineStr">
        <is>
          <t>Head of post office: {{headName}}</t>
        </is>
      </c>
      <c r="E613" s="3" t="inlineStr">
        <is>
          <t>ນາຍໄປສະນີ: {{headName}}</t>
        </is>
      </c>
      <c r="F613" s="3" t="inlineStr">
        <is>
          <t>ရုံးချုပ်– {{headName}}</t>
        </is>
      </c>
      <c r="G613" s="3">
        <f>IFERROR(__xludf.DUMMYFUNCTION("GOOGLETRANSLATE(C613,""vi"",""km"")"),"អ្នកគ្រប់គ្រងប្រៃសណីយ៍៖ {{headName}}")</f>
        <v/>
      </c>
      <c r="H613" s="3" t="inlineStr">
        <is>
          <t>ប្រធានការិយាល័យប្រៃសណីយ៍: {{headName}}</t>
        </is>
      </c>
      <c r="J613" s="3" t="inlineStr">
        <is>
          <t>ប្រធានការិយាល័យប្រៃសណីយ៍: {{headName}}</t>
        </is>
      </c>
      <c r="K613" s="217" t="inlineStr">
        <is>
          <t>ប្រធានការិយាល័យប្រៃសណីយ៍: {{headName}}</t>
        </is>
      </c>
      <c r="S613" s="163" t="inlineStr">
        <is>
          <t>អ្នកគ្រប់គ្រងការិយាល័យប្រៃសណីយ៍៖ {{headName}}</t>
        </is>
      </c>
    </row>
    <row r="614" ht="15.75" customHeight="1" s="305">
      <c r="A614" s="217" t="inlineStr">
        <is>
          <t>POST_OFFICE_LOOKUP.COUNT_LIST_POST</t>
        </is>
      </c>
      <c r="B614" s="153" t="inlineStr">
        <is>
          <t>邮局列表</t>
        </is>
      </c>
      <c r="C614" s="3" t="inlineStr">
        <is>
          <t>Danh sách bưu cục</t>
        </is>
      </c>
      <c r="D614" s="3" t="inlineStr">
        <is>
          <t>List of post offices</t>
        </is>
      </c>
      <c r="E614" s="3" t="inlineStr">
        <is>
          <t>ບັນຊີລາຍຊື່ຂອງຫ້ອງການໄປສະນີ</t>
        </is>
      </c>
      <c r="F614" s="3" t="inlineStr">
        <is>
          <t>စာတိုက်များစာရင်း</t>
        </is>
      </c>
      <c r="G614" s="3">
        <f>IFERROR(__xludf.DUMMYFUNCTION("GOOGLETRANSLATE(C614,""vi"",""km"")"),"បញ្ជីការិយាល័យប្រៃសណីយ៍")</f>
        <v/>
      </c>
      <c r="H614" s="217" t="inlineStr">
        <is>
          <t>បញ្ជីការិយាល័យប្រៃសណីយ៍</t>
        </is>
      </c>
      <c r="J614" s="3" t="inlineStr">
        <is>
          <t>បញ្ជីការិយាល័យប្រៃសណីយ៍</t>
        </is>
      </c>
      <c r="K614" s="217" t="inlineStr">
        <is>
          <t>បញ្ជីការិយាល័យប្រៃសណីយ៍</t>
        </is>
      </c>
      <c r="S614" s="163" t="inlineStr">
        <is>
          <t>បញ្ជីការិយាល័យប្រៃសណីយ៍</t>
        </is>
      </c>
    </row>
    <row r="615" ht="15.75" customHeight="1" s="305">
      <c r="A615" s="217" t="inlineStr">
        <is>
          <t>POST_OFFICE_LOOKUP.EMPTY_LIST_POST</t>
        </is>
      </c>
      <c r="B615" s="153" t="inlineStr">
        <is>
          <t>当前区域暂无邮局！</t>
        </is>
      </c>
      <c r="C615" s="3" t="inlineStr">
        <is>
          <t>Khu vực này chưa có bưu cục!</t>
        </is>
      </c>
      <c r="D615" s="3" t="inlineStr">
        <is>
          <t>There is no post office in this area!</t>
        </is>
      </c>
      <c r="E615" s="3" t="inlineStr">
        <is>
          <t>ບໍລິເວນນີ້ບໍ່ມີຫ້ອງການໄປສະນີ!</t>
        </is>
      </c>
      <c r="F615" s="3" t="inlineStr">
        <is>
          <t>ရုံးခွဲမရှိသောဧရိယာ!</t>
        </is>
      </c>
      <c r="G615" s="3">
        <f>IFERROR(__xludf.DUMMYFUNCTION("GOOGLETRANSLATE(C615,""vi"",""km"")"),"មិនមានការិយាល័យប្រៃសណីយ៍នៅក្នុងតំបន់នេះទេ!")</f>
        <v/>
      </c>
      <c r="H615" s="217" t="inlineStr">
        <is>
          <t>តំបន់នេះមិនទាន់មានការិយាល័យប្រៃសណីយ៍!</t>
        </is>
      </c>
      <c r="J615" s="3" t="inlineStr">
        <is>
          <t>តំបន់នេះមិនទាន់មានការិយាល័យប្រៃសណីយ៍!</t>
        </is>
      </c>
      <c r="K615" s="217" t="inlineStr">
        <is>
          <t>តំបន់នេះមិនទាន់មានការិយាល័យប្រៃសណីយ៍!</t>
        </is>
      </c>
      <c r="S615" s="163" t="inlineStr">
        <is>
          <t>នៅតំបន់នេះមិនមានការិយាល័យប្រៃសណីយ៍ទេ!</t>
        </is>
      </c>
    </row>
    <row r="616" ht="15.75" customHeight="1" s="305">
      <c r="A616" s="217" t="inlineStr">
        <is>
          <t>POST_OFFICE_LOOKUP.SEARCH</t>
        </is>
      </c>
      <c r="B616" s="153" t="inlineStr">
        <is>
          <t>选择服务网点</t>
        </is>
      </c>
      <c r="C616" s="3" t="inlineStr">
        <is>
          <t>Chọn địa chỉ điểm giao dịch</t>
        </is>
      </c>
      <c r="D616" s="3" t="inlineStr">
        <is>
          <t>Select transaction address</t>
        </is>
      </c>
      <c r="E616" s="3" t="inlineStr">
        <is>
          <t>ເລືອກທີ່ຢູ່ຈຸດທຸລະກໍາ</t>
        </is>
      </c>
      <c r="F616" s="3" t="inlineStr">
        <is>
          <t>ငွေပေးငွေယူလိပ်စာကို ရွေးပါ</t>
        </is>
      </c>
      <c r="G616" s="3">
        <f>IFERROR(__xludf.DUMMYFUNCTION("GOOGLETRANSLATE(C616,""vi"",""km"")"),"ជ្រើសរើសអាសយដ្ឋានសាខា")</f>
        <v/>
      </c>
      <c r="J616" s="3" t="inlineStr">
        <is>
          <t>ជ្រើសរើសអាសយដ្ឋានដឹកជញ្ជូន</t>
        </is>
      </c>
      <c r="K616" s="217" t="inlineStr">
        <is>
          <t>ជ្រើសរើសអាសយដ្ឋានដឹកជញ្ជូន</t>
        </is>
      </c>
      <c r="S616" s="163" t="inlineStr">
        <is>
          <t>ជ្រើសរើសអាសយដ្ឋានដឹកជញ្ជូន</t>
        </is>
      </c>
    </row>
    <row r="617" ht="15.75" customHeight="1" s="305">
      <c r="A617" s="217" t="inlineStr">
        <is>
          <t>ADDRESS_FILTER.TITLE</t>
        </is>
      </c>
      <c r="B617" s="153" t="inlineStr">
        <is>
          <t>筛选</t>
        </is>
      </c>
      <c r="C617" s="3" t="inlineStr">
        <is>
          <t>Bộ lọc</t>
        </is>
      </c>
      <c r="D617" s="3" t="inlineStr">
        <is>
          <t>Filter</t>
        </is>
      </c>
      <c r="E617" s="3" t="inlineStr">
        <is>
          <t>ການກັ່ນຕອງ</t>
        </is>
      </c>
      <c r="F617" s="3" t="inlineStr">
        <is>
          <t>စစ်ထုတ်ခြင်း</t>
        </is>
      </c>
      <c r="G617" s="3">
        <f>IFERROR(__xludf.DUMMYFUNCTION("GOOGLETRANSLATE(C617,""vi"",""km"")"),"តម្រង")</f>
        <v/>
      </c>
      <c r="J617" s="3" t="inlineStr">
        <is>
          <t>ចម្រាញ់</t>
        </is>
      </c>
      <c r="K617" s="217" t="inlineStr">
        <is>
          <t>ចម្រាញ់</t>
        </is>
      </c>
      <c r="S617" s="163" t="inlineStr">
        <is>
          <t>ធិលតេរ</t>
        </is>
      </c>
    </row>
    <row r="618" ht="15.75" customHeight="1" s="305">
      <c r="A618" s="217" t="inlineStr">
        <is>
          <t>ADDRESS_FILTER.RESET_FILTER</t>
        </is>
      </c>
      <c r="B618" s="153" t="inlineStr">
        <is>
          <t>重置</t>
        </is>
      </c>
      <c r="C618" s="3" t="inlineStr">
        <is>
          <t>Thiết lập lại</t>
        </is>
      </c>
      <c r="D618" s="3" t="inlineStr">
        <is>
          <t>Reset</t>
        </is>
      </c>
      <c r="E618" s="3" t="inlineStr">
        <is>
          <t>ຣີເຊັດ</t>
        </is>
      </c>
      <c r="F618" s="3" t="inlineStr">
        <is>
          <t>ပြန်လည်သိမ်းဆည်းပါ</t>
        </is>
      </c>
      <c r="G618" s="3">
        <f>IFERROR(__xludf.DUMMYFUNCTION("GOOGLETRANSLATE(C618,""vi"",""km"")"),"កំណត់ឡើងវិញ")</f>
        <v/>
      </c>
      <c r="H618" s="217" t="inlineStr">
        <is>
          <t>បង្កើតម្តងទៀត</t>
        </is>
      </c>
      <c r="J618" s="3" t="inlineStr">
        <is>
          <t>បង្កើតម្តងទៀត</t>
        </is>
      </c>
      <c r="K618" s="217" t="inlineStr">
        <is>
          <t>បង្កើតម្តងទៀត</t>
        </is>
      </c>
      <c r="S618" s="163" t="inlineStr">
        <is>
          <t>កំណត់ឡើងវិញ</t>
        </is>
      </c>
    </row>
    <row r="619" ht="15.75" customHeight="1" s="305">
      <c r="A619" s="217" t="inlineStr">
        <is>
          <t>ADDRESS_FILTER.SAVE_FILTER</t>
        </is>
      </c>
      <c r="B619" s="153" t="inlineStr">
        <is>
          <t>保存筛选条件</t>
        </is>
      </c>
      <c r="C619" s="3" t="inlineStr">
        <is>
          <t>Lưu bộ lọc</t>
        </is>
      </c>
      <c r="D619" s="3" t="inlineStr">
        <is>
          <t>Save Filter</t>
        </is>
      </c>
      <c r="E619" s="3" t="inlineStr">
        <is>
          <t>ບັນທຶກການກັ່ນຕອງ</t>
        </is>
      </c>
      <c r="F619" s="3" t="inlineStr">
        <is>
          <t>သိမ်းဆည်းထားပါ</t>
        </is>
      </c>
      <c r="G619" s="3">
        <f>IFERROR(__xludf.DUMMYFUNCTION("GOOGLETRANSLATE(C619,""vi"",""km"")"),"រក្សាទុកតម្រង")</f>
        <v/>
      </c>
      <c r="J619" s="3" t="inlineStr">
        <is>
          <t>រក្សាទុក Filter</t>
        </is>
      </c>
      <c r="K619" s="217" t="inlineStr">
        <is>
          <t>រក្សាទុក Filter</t>
        </is>
      </c>
      <c r="S619" s="163" t="inlineStr">
        <is>
          <t>រក្សាទុក​ Filter</t>
        </is>
      </c>
    </row>
    <row r="620" ht="15.75" customHeight="1" s="305">
      <c r="A620" s="217" t="inlineStr">
        <is>
          <t>ESTIMATE_FEE.TITLE</t>
        </is>
      </c>
      <c r="B620" s="153" t="inlineStr">
        <is>
          <t>运费估算</t>
        </is>
      </c>
      <c r="C620" s="3" t="inlineStr">
        <is>
          <t>Tính trước cước phí</t>
        </is>
      </c>
      <c r="D620" s="3" t="inlineStr">
        <is>
          <t>Estimate Fees</t>
        </is>
      </c>
      <c r="E620" s="3" t="inlineStr">
        <is>
          <t>ຄິດໄລ່ຄ່າໂດຍສານລ່ວງໜ້າ</t>
        </is>
      </c>
      <c r="F620" s="3" t="inlineStr">
        <is>
          <t>အခကြေးငွေခကို ခန့်မှန်း</t>
        </is>
      </c>
      <c r="G620" s="3">
        <f>IFERROR(__xludf.DUMMYFUNCTION("GOOGLETRANSLATE(C620,""vi"",""km"")"),"គណនាថ្លៃដឹកជញ្ជូនជាមុន។")</f>
        <v/>
      </c>
      <c r="H620" s="3" t="inlineStr">
        <is>
          <t>ពិនិត្យមើលថ្លៃសេវាមុន</t>
        </is>
      </c>
      <c r="J620" s="3" t="inlineStr">
        <is>
          <t>ពិនិត្យមើលថ្លៃសេវាមុន</t>
        </is>
      </c>
      <c r="K620" s="217" t="inlineStr">
        <is>
          <t>ពិនិត្យមើលថ្លៃសេវាមុន</t>
        </is>
      </c>
      <c r="S620" s="163" t="inlineStr">
        <is>
          <t>ប៉ានស្មានថ្លៃដឹកជញ្ជូនជាមុន</t>
        </is>
      </c>
    </row>
    <row r="621" ht="15.75" customHeight="1" s="305">
      <c r="A621" s="217" t="inlineStr">
        <is>
          <t>ESTIMATE_FEE.SHIPPING_ROUTE</t>
        </is>
      </c>
      <c r="B621" s="153" t="inlineStr">
        <is>
          <t>运输路线</t>
        </is>
      </c>
      <c r="C621" s="3" t="inlineStr">
        <is>
          <t>Tuyến đường vận chuyển</t>
        </is>
      </c>
      <c r="D621" s="3" t="inlineStr">
        <is>
          <t>Transportation route</t>
        </is>
      </c>
      <c r="E621" s="3" t="inlineStr">
        <is>
          <t>ເສັ້ນທາງການຂົນສົ່ງ</t>
        </is>
      </c>
      <c r="F621" s="3" t="inlineStr">
        <is>
          <t>သယ်ယူပို့ဆောင်ရေးလမ်းကြောင်း</t>
        </is>
      </c>
      <c r="G621" s="3">
        <f>IFERROR(__xludf.DUMMYFUNCTION("GOOGLETRANSLATE(C621,""vi"",""km"")"),"ផ្លូវដឹកជញ្ជូន")</f>
        <v/>
      </c>
      <c r="H621" s="217" t="inlineStr">
        <is>
          <t>ផ្លូវដឹកជញ្ជូន</t>
        </is>
      </c>
      <c r="J621" s="3" t="inlineStr">
        <is>
          <t>ផ្លូវដឹកជញ្ជូន</t>
        </is>
      </c>
      <c r="K621" s="217" t="inlineStr">
        <is>
          <t>ផ្លូវដឹកជញ្ជូន</t>
        </is>
      </c>
      <c r="S621" s="163" t="inlineStr">
        <is>
          <t>ផ្លូវដឹកជញ្ជូន</t>
        </is>
      </c>
    </row>
    <row r="622" ht="15.75" customHeight="1" s="305">
      <c r="A622" s="217" t="inlineStr">
        <is>
          <t>ESTIMATE_FEE.DOMESTIC</t>
        </is>
      </c>
      <c r="B622" s="153" t="inlineStr">
        <is>
          <t>国内</t>
        </is>
      </c>
      <c r="C622" s="3" t="inlineStr">
        <is>
          <t>Trong nước</t>
        </is>
      </c>
      <c r="D622" s="3" t="inlineStr">
        <is>
          <t>Domestic</t>
        </is>
      </c>
      <c r="E622" s="3" t="inlineStr">
        <is>
          <t>ພາຍໃນປະເທດ</t>
        </is>
      </c>
      <c r="F622" s="3" t="inlineStr">
        <is>
          <t>အိမ်တွင်း</t>
        </is>
      </c>
      <c r="G622" s="3">
        <f>IFERROR(__xludf.DUMMYFUNCTION("GOOGLETRANSLATE(C622,""vi"",""km"")"),"ក្នុងស្រុក")</f>
        <v/>
      </c>
      <c r="H622" s="217" t="inlineStr">
        <is>
          <t>ក្នុងប្រទេស</t>
        </is>
      </c>
      <c r="J622" s="3" t="inlineStr">
        <is>
          <t>ក្នុងប្រទេស</t>
        </is>
      </c>
      <c r="K622" s="217" t="inlineStr">
        <is>
          <t>ក្នុងប្រទេស</t>
        </is>
      </c>
      <c r="S622" s="163" t="inlineStr">
        <is>
          <t>ក្នុងស្រុក</t>
        </is>
      </c>
    </row>
    <row r="623" ht="15.75" customHeight="1" s="305">
      <c r="A623" s="217" t="inlineStr">
        <is>
          <t>ESTIMATE_FEE.SHIP_FROM</t>
        </is>
      </c>
      <c r="B623" s="153" t="inlineStr">
        <is>
          <t>始发地</t>
        </is>
      </c>
      <c r="C623" s="3" t="inlineStr">
        <is>
          <t>Gửi từ</t>
        </is>
      </c>
      <c r="D623" s="3" t="inlineStr">
        <is>
          <t>Ship from</t>
        </is>
      </c>
      <c r="E623" s="3" t="inlineStr">
        <is>
          <t>ສົ່ງມາຈາກ</t>
        </is>
      </c>
      <c r="F623" s="3" t="inlineStr">
        <is>
          <t>ပို့ဆောင်ခြင်းမှ</t>
        </is>
      </c>
      <c r="G623" s="3">
        <f>IFERROR(__xludf.DUMMYFUNCTION("GOOGLETRANSLATE(C623,""vi"",""km"")"),"បានផ្ញើពី")</f>
        <v/>
      </c>
      <c r="H623" s="217" t="inlineStr">
        <is>
          <t>ផ្ញើពី</t>
        </is>
      </c>
      <c r="J623" s="3" t="inlineStr">
        <is>
          <t>ផ្ញើពី</t>
        </is>
      </c>
      <c r="K623" s="217" t="inlineStr">
        <is>
          <t>ផ្ញើពី</t>
        </is>
      </c>
      <c r="S623" s="163" t="inlineStr">
        <is>
          <t>ផ្ញើពី</t>
        </is>
      </c>
    </row>
    <row r="624" ht="15.75" customHeight="1" s="305">
      <c r="A624" s="217" t="inlineStr">
        <is>
          <t>ESTIMATE_FEE.DELIVER_TO</t>
        </is>
      </c>
      <c r="B624" s="153" t="inlineStr">
        <is>
          <t>目的地</t>
        </is>
      </c>
      <c r="C624" s="3" t="inlineStr">
        <is>
          <t>Gửi đến</t>
        </is>
      </c>
      <c r="D624" s="3" t="inlineStr">
        <is>
          <t>Deliver to</t>
        </is>
      </c>
      <c r="E624" s="3" t="inlineStr">
        <is>
          <t>ສົ່ງຫາ</t>
        </is>
      </c>
      <c r="F624" s="3" t="inlineStr">
        <is>
          <t>ပို့ဆောင်ရန်</t>
        </is>
      </c>
      <c r="G624" s="3">
        <f>IFERROR(__xludf.DUMMYFUNCTION("GOOGLETRANSLATE(C624,""vi"",""km"")"),"ផ្ញើទៅ")</f>
        <v/>
      </c>
      <c r="H624" s="217" t="inlineStr">
        <is>
          <t>ផ្ញើមកដល់</t>
        </is>
      </c>
      <c r="J624" s="3" t="inlineStr">
        <is>
          <t>ទៅកាន់</t>
        </is>
      </c>
      <c r="K624" s="217" t="inlineStr">
        <is>
          <t>ទៅកាន់</t>
        </is>
      </c>
      <c r="S624" s="163" t="inlineStr">
        <is>
          <t>ផ្ញើទៅ</t>
        </is>
      </c>
    </row>
    <row r="625" ht="15.75" customHeight="1" s="305">
      <c r="A625" s="217" t="inlineStr">
        <is>
          <t>ESTIMATE_FEE.GOODS_INFORMATION</t>
        </is>
      </c>
      <c r="B625" s="153" t="inlineStr">
        <is>
          <t>货物信息</t>
        </is>
      </c>
      <c r="C625" s="3" t="inlineStr">
        <is>
          <t>Thông tin hàng hóa</t>
        </is>
      </c>
      <c r="D625" s="3" t="inlineStr">
        <is>
          <t>Goods information</t>
        </is>
      </c>
      <c r="E625" s="3" t="inlineStr">
        <is>
          <t>ຂໍ້ມູນຜະລິດຕະພັນ</t>
        </is>
      </c>
      <c r="F625" s="3" t="inlineStr">
        <is>
          <t>ကုန်ပစ္စည်း သတင်းအချက်အလက်များ</t>
        </is>
      </c>
      <c r="G625" s="3">
        <f>IFERROR(__xludf.DUMMYFUNCTION("GOOGLETRANSLATE(C625,""vi"",""km"")"),"ព័ត៌មានផលិតផល")</f>
        <v/>
      </c>
      <c r="H625" s="217" t="inlineStr">
        <is>
          <t>ព័ត៌មានទំនិញ</t>
        </is>
      </c>
      <c r="J625" s="3" t="inlineStr">
        <is>
          <t>ព័ត៌មានទំនិញ</t>
        </is>
      </c>
      <c r="K625" s="217" t="inlineStr">
        <is>
          <t>ព័ត៌មានទំនិញ</t>
        </is>
      </c>
      <c r="S625" s="163" t="inlineStr">
        <is>
          <t>ព័ត៌មានអំពីផលិតផល</t>
        </is>
      </c>
    </row>
    <row r="626" ht="15.75" customHeight="1" s="305">
      <c r="A626" s="217" t="inlineStr">
        <is>
          <t>ESTIMATE_FEE.PARCEL</t>
        </is>
      </c>
      <c r="B626" s="153" t="inlineStr">
        <is>
          <t>包裹</t>
        </is>
      </c>
      <c r="C626" s="3" t="inlineStr">
        <is>
          <t>Bưu kiện</t>
        </is>
      </c>
      <c r="D626" s="3" t="inlineStr">
        <is>
          <t>Parcel</t>
        </is>
      </c>
      <c r="E626" s="3" t="inlineStr">
        <is>
          <t>ພັດສະດຸ</t>
        </is>
      </c>
      <c r="F626" s="3" t="inlineStr">
        <is>
          <t>ပါဆယ်</t>
        </is>
      </c>
      <c r="G626" s="3">
        <f>IFERROR(__xludf.DUMMYFUNCTION("GOOGLETRANSLATE(C626,""vi"",""km"")"),"កញ្ចប់")</f>
        <v/>
      </c>
      <c r="H626" s="217" t="inlineStr">
        <is>
          <t>អីវ៉ាន់</t>
        </is>
      </c>
      <c r="J626" s="3" t="inlineStr">
        <is>
          <t>អីវ៉ាន់</t>
        </is>
      </c>
      <c r="K626" s="217" t="inlineStr">
        <is>
          <t>អីវ៉ាន់</t>
        </is>
      </c>
      <c r="S626" s="163" t="inlineStr">
        <is>
          <t>កញ្ចប់</t>
        </is>
      </c>
    </row>
    <row r="627" ht="15.75" customHeight="1" s="305">
      <c r="A627" s="217" t="inlineStr">
        <is>
          <t>ESTIMATE_FEE.DOCUMENT</t>
        </is>
      </c>
      <c r="B627" s="153" t="inlineStr">
        <is>
          <t>文件</t>
        </is>
      </c>
      <c r="C627" s="3" t="inlineStr">
        <is>
          <t>Tài liệu</t>
        </is>
      </c>
      <c r="D627" s="3" t="inlineStr">
        <is>
          <t>Document</t>
        </is>
      </c>
      <c r="E627" s="3" t="inlineStr">
        <is>
          <t>ເອກະສານ</t>
        </is>
      </c>
      <c r="F627" s="3" t="inlineStr">
        <is>
          <t>စာရွက်စာတမ်း</t>
        </is>
      </c>
      <c r="G627" s="3">
        <f>IFERROR(__xludf.DUMMYFUNCTION("GOOGLETRANSLATE(C627,""vi"",""km"")"),"ឯកសារ")</f>
        <v/>
      </c>
      <c r="H627" s="217" t="inlineStr">
        <is>
          <t>ឯកសារ</t>
        </is>
      </c>
      <c r="J627" s="3" t="inlineStr">
        <is>
          <t>ឯកសារ</t>
        </is>
      </c>
      <c r="K627" s="217" t="inlineStr">
        <is>
          <t>ឯកសារ</t>
        </is>
      </c>
      <c r="S627" s="163" t="inlineStr">
        <is>
          <t>ឯកសារ</t>
        </is>
      </c>
    </row>
    <row r="628" ht="15.75" customHeight="1" s="305">
      <c r="A628" s="217" t="inlineStr">
        <is>
          <t>ESTIMATE_FEE.WEIGHT</t>
        </is>
      </c>
      <c r="B628" s="153" t="inlineStr">
        <is>
          <t>重量 (克)</t>
        </is>
      </c>
      <c r="C628" s="3" t="inlineStr">
        <is>
          <t>Trọng lượng (g)</t>
        </is>
      </c>
      <c r="D628" s="3" t="inlineStr">
        <is>
          <t>Weight (g)</t>
        </is>
      </c>
      <c r="E628" s="3" t="inlineStr">
        <is>
          <t>ນ້ຳໜັກ (g)</t>
        </is>
      </c>
      <c r="F628" s="3" t="inlineStr">
        <is>
          <t>အလေးချိန် (ဂ)</t>
        </is>
      </c>
      <c r="G628" s="3">
        <f>IFERROR(__xludf.DUMMYFUNCTION("GOOGLETRANSLATE(C628,""vi"",""km"")"),"ទម្ងន់ (ក្រាម)")</f>
        <v/>
      </c>
      <c r="H628" s="217" t="inlineStr">
        <is>
          <t>ទម្ងន់ (ក្រាម)</t>
        </is>
      </c>
      <c r="J628" s="3" t="inlineStr">
        <is>
          <t>ទម្ងន់ (ក្រាម)</t>
        </is>
      </c>
      <c r="K628" s="217" t="inlineStr">
        <is>
          <t>ទម្ងន់ (ក្រាម)</t>
        </is>
      </c>
      <c r="S628" s="163" t="inlineStr">
        <is>
          <t>ទម្ងន់ (ក្រាម)</t>
        </is>
      </c>
    </row>
    <row r="629" ht="15.75" customHeight="1" s="305">
      <c r="A629" s="217" t="inlineStr">
        <is>
          <t>ESTIMATE_FEE.LENGTH</t>
        </is>
      </c>
      <c r="B629" s="153" t="inlineStr">
        <is>
          <t>长 (厘米)</t>
        </is>
      </c>
      <c r="C629" s="3" t="inlineStr">
        <is>
          <t>Dài (cm)</t>
        </is>
      </c>
      <c r="D629" s="3" t="inlineStr">
        <is>
          <t>Length (cm)</t>
        </is>
      </c>
      <c r="E629" s="3" t="inlineStr">
        <is>
          <t>ຄວາມຍາວ (ຊມ)</t>
        </is>
      </c>
      <c r="F629" s="3" t="inlineStr">
        <is>
          <t>အလျား( cm)</t>
        </is>
      </c>
      <c r="G629" s="3">
        <f>IFERROR(__xludf.DUMMYFUNCTION("GOOGLETRANSLATE(C629,""vi"",""km"")"),"ប្រវែង (សង់ទីម៉ែត្រ)")</f>
        <v/>
      </c>
      <c r="H629" s="217" t="inlineStr">
        <is>
          <t>ប្រវែង (សង់ទីម៉ែត)</t>
        </is>
      </c>
      <c r="J629" s="3" t="inlineStr">
        <is>
          <t>ប្រវែង (សង់ទីម៉ែត)</t>
        </is>
      </c>
      <c r="K629" s="217" t="inlineStr">
        <is>
          <t>ប្រវែង (សង់ទីម៉ែត)</t>
        </is>
      </c>
      <c r="S629" s="163" t="inlineStr">
        <is>
          <t>ប្រវែង (សង់ទីម៉ែត្រ)</t>
        </is>
      </c>
    </row>
    <row r="630" ht="15.75" customHeight="1" s="305">
      <c r="A630" s="217" t="inlineStr">
        <is>
          <t>ESTIMATE_FEE.WIDTH</t>
        </is>
      </c>
      <c r="B630" s="153" t="inlineStr">
        <is>
          <t>宽 (厘米)</t>
        </is>
      </c>
      <c r="C630" s="3" t="inlineStr">
        <is>
          <t>Rộng (cm)</t>
        </is>
      </c>
      <c r="D630" s="3" t="inlineStr">
        <is>
          <t>Width (cm)</t>
        </is>
      </c>
      <c r="E630" s="3" t="inlineStr">
        <is>
          <t>ກວ້າງ (ຊມ)</t>
        </is>
      </c>
      <c r="F630" s="3" t="inlineStr">
        <is>
          <t>အနံ( cm)</t>
        </is>
      </c>
      <c r="G630" s="3">
        <f>IFERROR(__xludf.DUMMYFUNCTION("GOOGLETRANSLATE(C630,""vi"",""km"")"),"ទទឹង (សង់ទីម៉ែត្រ)")</f>
        <v/>
      </c>
      <c r="H630" s="217" t="inlineStr">
        <is>
          <t>ទទឹង (សង់ទីម៉ែត)</t>
        </is>
      </c>
      <c r="J630" s="3" t="inlineStr">
        <is>
          <t>ទទឹង (សង់ទីម៉ែត)</t>
        </is>
      </c>
      <c r="K630" s="217" t="inlineStr">
        <is>
          <t>ទទឹង (សង់ទីម៉ែត)</t>
        </is>
      </c>
      <c r="S630" s="163" t="inlineStr">
        <is>
          <t>ទទឹង (សង់ទីម៉ែត្រ)</t>
        </is>
      </c>
    </row>
    <row r="631" ht="15.75" customHeight="1" s="305">
      <c r="A631" s="217" t="inlineStr">
        <is>
          <t>ESTIMATE_FEE.HEIGHT</t>
        </is>
      </c>
      <c r="B631" s="153" t="inlineStr">
        <is>
          <t>高 (厘米)</t>
        </is>
      </c>
      <c r="C631" s="3" t="inlineStr">
        <is>
          <t>Cao (cm)</t>
        </is>
      </c>
      <c r="D631" s="3" t="inlineStr">
        <is>
          <t>Height (cm)</t>
        </is>
      </c>
      <c r="E631" s="3" t="inlineStr">
        <is>
          <t>ຄວາມສູງ (ຊມ)</t>
        </is>
      </c>
      <c r="F631" s="3" t="inlineStr">
        <is>
          <t>အမြင့်( cm)</t>
        </is>
      </c>
      <c r="G631" s="3">
        <f>IFERROR(__xludf.DUMMYFUNCTION("GOOGLETRANSLATE(C631,""vi"",""km"")"),"កម្ពស់ (សង់ទីម៉ែត្រ)")</f>
        <v/>
      </c>
      <c r="H631" s="217" t="inlineStr">
        <is>
          <t>កម្ពស់(សង់ទីម៉ែត)</t>
        </is>
      </c>
      <c r="J631" s="3" t="inlineStr">
        <is>
          <t>កម្ពស់(សង់ទីម៉ែត)</t>
        </is>
      </c>
      <c r="K631" s="217" t="inlineStr">
        <is>
          <t>កម្ពស់(សង់ទីម៉ែត)</t>
        </is>
      </c>
      <c r="S631" s="163" t="inlineStr">
        <is>
          <t>កម្ពស់ (សង់ទីម៉ែត្រ)</t>
        </is>
      </c>
    </row>
    <row r="632" ht="15.75" customHeight="1" s="305">
      <c r="A632" s="217" t="inlineStr">
        <is>
          <t>ESTIMATE_FEE.HAS_COD</t>
        </is>
      </c>
      <c r="B632" s="153" t="inlineStr">
        <is>
          <t>代收货款订单</t>
        </is>
      </c>
      <c r="C632" s="3" t="inlineStr">
        <is>
          <t>Đơn hàng có thu hộ COD</t>
        </is>
      </c>
      <c r="D632" s="3" t="inlineStr">
        <is>
          <t>Order with COD</t>
        </is>
      </c>
      <c r="E632" s="3" t="inlineStr">
        <is>
          <t>ສັ່ງກັບ COD</t>
        </is>
      </c>
      <c r="F632" s="3" t="inlineStr">
        <is>
          <t>CODဖြင့် အော်ဒါ</t>
        </is>
      </c>
      <c r="G632" s="3">
        <f>IFERROR(__xludf.DUMMYFUNCTION("GOOGLETRANSLATE(C632,""vi"",""km"")"),"ការបញ្ជាទិញដែលមានការទូទាត់ប្រាក់ពេលទទួលទំនិញ (COD)")</f>
        <v/>
      </c>
      <c r="H632" s="217" t="inlineStr">
        <is>
          <t>បុងបញ្ញើដែលត្រូវប្រមូលប្រាក់ COD</t>
        </is>
      </c>
      <c r="J632" s="3" t="inlineStr">
        <is>
          <t>បុងបញ្ញើដែលត្រូវប្រមូលប្រាក់ COD</t>
        </is>
      </c>
      <c r="K632" s="217" t="inlineStr">
        <is>
          <t>បុងបញ្ញើដែលត្រូវប្រមូលប្រាក់ COD</t>
        </is>
      </c>
      <c r="S632" s="163" t="inlineStr">
        <is>
          <t>ការបញ្ជាទិញ COD</t>
        </is>
      </c>
    </row>
    <row r="633" ht="15.75" customHeight="1" s="305">
      <c r="A633" s="217" t="inlineStr">
        <is>
          <t>ESTIMATE_FEE.COD</t>
        </is>
      </c>
      <c r="B633" s="153" t="inlineStr">
        <is>
          <t>代收货款金额</t>
        </is>
      </c>
      <c r="C633" s="3" t="inlineStr">
        <is>
          <t>Thu hộ COD</t>
        </is>
      </c>
      <c r="D633" s="3" t="inlineStr">
        <is>
          <t>Cash on Delivery (COD)</t>
        </is>
      </c>
      <c r="E633" s="3" t="inlineStr">
        <is>
          <t>ການເກັບ COD</t>
        </is>
      </c>
      <c r="F633" s="3" t="inlineStr">
        <is>
          <t>ပစ္စည်းရောက်ငွေချေ</t>
        </is>
      </c>
      <c r="G633" s="3">
        <f>IFERROR(__xludf.DUMMYFUNCTION("GOOGLETRANSLATE(C633,""vi"",""km"")"),"បង់ប្រាក់ពេលទទួលទំនិញ (COD)")</f>
        <v/>
      </c>
      <c r="H633" s="217" t="inlineStr">
        <is>
          <t>ទទួល COD ជំនួស</t>
        </is>
      </c>
      <c r="J633" s="3" t="inlineStr">
        <is>
          <t>ប្រមូលប្រាក់ COD</t>
        </is>
      </c>
      <c r="K633" s="217" t="inlineStr">
        <is>
          <t>ប្រមូលប្រាក់ COD</t>
        </is>
      </c>
      <c r="S633" s="163" t="inlineStr">
        <is>
          <t>ការប្រមូល COD</t>
        </is>
      </c>
    </row>
    <row r="634" ht="15.75" customHeight="1" s="305">
      <c r="A634" s="217" t="inlineStr">
        <is>
          <t>ESTIMATE_FEE.WEIGHT_REQUIRED</t>
        </is>
      </c>
      <c r="B634" s="153" t="inlineStr">
        <is>
          <t>请输入货物重量</t>
        </is>
      </c>
      <c r="C634" s="3" t="inlineStr">
        <is>
          <t>Vui lòng nhập trọng lượng sản phẩm!</t>
        </is>
      </c>
      <c r="D634" s="3" t="inlineStr">
        <is>
          <t>Please enter the product weight!</t>
        </is>
      </c>
      <c r="E634" s="3" t="inlineStr">
        <is>
          <t>ກະລຸນາໃສ່ນ້ໍາຫນັກຜະລິດຕະພັນ!</t>
        </is>
      </c>
      <c r="F634" s="3" t="inlineStr">
        <is>
          <t>ကျေးဇူးပြု၍ ကုန်ပစ္စည်းအလေးချိန်ကို ဝင်ကြည့်ပါလေ!</t>
        </is>
      </c>
      <c r="G634" s="3">
        <f>IFERROR(__xludf.DUMMYFUNCTION("GOOGLETRANSLATE(C634,""vi"",""km"")"),"សូមបញ្ចូលទម្ងន់ផលិតផល!")</f>
        <v/>
      </c>
      <c r="H634" s="217" t="inlineStr">
        <is>
          <t>សូមបញ្ចូលទម្ងន់អីវ៉ាន់!</t>
        </is>
      </c>
      <c r="J634" s="3" t="inlineStr">
        <is>
          <t>សូមបញ្ចូលទម្ងន់អីវ៉ាន់!</t>
        </is>
      </c>
      <c r="K634" s="217" t="inlineStr">
        <is>
          <t>សូមបញ្ចូលទម្ងន់អីវ៉ាន់!</t>
        </is>
      </c>
      <c r="S634" s="163" t="inlineStr">
        <is>
          <t>សូមបញ្ចូលទម្ងន់ផលិតផល!</t>
        </is>
      </c>
    </row>
    <row r="635" ht="15.75" customHeight="1" s="305">
      <c r="A635" s="217" t="inlineStr">
        <is>
          <t>ESTIMATE_FEE.GOODS_SIZE</t>
        </is>
      </c>
      <c r="B635" s="153" t="inlineStr">
        <is>
          <t>货物尺寸</t>
        </is>
      </c>
      <c r="C635" s="3" t="inlineStr">
        <is>
          <t>Kích thước hàng hoá</t>
        </is>
      </c>
      <c r="D635" s="3" t="inlineStr">
        <is>
          <t>Goods size</t>
        </is>
      </c>
      <c r="E635" s="3" t="inlineStr">
        <is>
          <t>ຂະຫນາດຜະລິດຕະພັນ</t>
        </is>
      </c>
      <c r="F635" s="3" t="inlineStr">
        <is>
          <t>ကုန်ပစ္စည်းအရွယ်အစား</t>
        </is>
      </c>
      <c r="G635" s="3">
        <f>IFERROR(__xludf.DUMMYFUNCTION("GOOGLETRANSLATE(C635,""vi"",""km"")"),"វិមាត្រផលិតផល")</f>
        <v/>
      </c>
      <c r="J635" s="3" t="inlineStr">
        <is>
          <t>ទំហំផលិតផល</t>
        </is>
      </c>
      <c r="K635" s="217" t="inlineStr">
        <is>
          <t>ទំហំផលិតផល</t>
        </is>
      </c>
      <c r="S635" s="163" t="inlineStr">
        <is>
          <t>វិមាត្រផលិតផល</t>
        </is>
      </c>
    </row>
    <row r="636" ht="15.75" customHeight="1" s="305">
      <c r="A636" s="217" t="inlineStr">
        <is>
          <t>ESTIMATE_FEE.ESTIMATE_FEE</t>
        </is>
      </c>
      <c r="B636" s="153" t="inlineStr">
        <is>
          <t>估算运费</t>
        </is>
      </c>
      <c r="C636" s="3" t="inlineStr">
        <is>
          <t>Tra cứu cước</t>
        </is>
      </c>
      <c r="D636" s="3" t="inlineStr">
        <is>
          <t>Estimate fee</t>
        </is>
      </c>
      <c r="E636" s="3" t="inlineStr">
        <is>
          <t>ການຊອກຫາຄ່າທໍານຽມ</t>
        </is>
      </c>
      <c r="F636" s="3" t="inlineStr">
        <is>
          <t>ခန့်မှန်းစရိတ်</t>
        </is>
      </c>
      <c r="G636" s="3">
        <f>IFERROR(__xludf.DUMMYFUNCTION("GOOGLETRANSLATE(C636,""vi"",""km"")"),"ពិនិត្យមើលតម្លៃសំបុត្ររបស់អ្នក")</f>
        <v/>
      </c>
      <c r="J636" s="3" t="inlineStr">
        <is>
          <t>ពិនិត្យមើលថ្លៃដឹកជញ្ជូន</t>
        </is>
      </c>
      <c r="K636" s="217" t="inlineStr">
        <is>
          <t>ពិនិត្យមើលថ្លៃដឹកជញ្ជូន</t>
        </is>
      </c>
      <c r="S636" s="163" t="inlineStr">
        <is>
          <t>ពិនិត្យមើលថ្លៃដឹកជញ្ជូន</t>
        </is>
      </c>
    </row>
    <row r="637" ht="15.75" customHeight="1" s="305">
      <c r="A637" s="217" t="inlineStr">
        <is>
          <t>ESTIMATE_FEE.DISTRICT</t>
        </is>
      </c>
      <c r="B637" s="153" t="inlineStr">
        <is>
          <t>区/县</t>
        </is>
      </c>
      <c r="C637" s="3" t="inlineStr">
        <is>
          <t>Huyện</t>
        </is>
      </c>
      <c r="D637" s="3" t="inlineStr">
        <is>
          <t>District</t>
        </is>
      </c>
      <c r="E637" s="3" t="inlineStr">
        <is>
          <t>ເມືອງ</t>
        </is>
      </c>
      <c r="F637" s="3" t="inlineStr">
        <is>
          <t>ခရိုင်</t>
        </is>
      </c>
      <c r="G637" s="3">
        <f>IFERROR(__xludf.DUMMYFUNCTION("GOOGLETRANSLATE(C637,""vi"",""km"")"),"ស្រុក")</f>
        <v/>
      </c>
      <c r="H637" s="217" t="inlineStr">
        <is>
          <t>ស្រុក</t>
        </is>
      </c>
      <c r="J637" s="3" t="inlineStr">
        <is>
          <t>ស្រុក</t>
        </is>
      </c>
      <c r="K637" s="217" t="inlineStr">
        <is>
          <t>ស្រុក</t>
        </is>
      </c>
      <c r="S637" s="163" t="inlineStr">
        <is>
          <t>ស្រុក</t>
        </is>
      </c>
    </row>
    <row r="638" ht="15.75" customHeight="1" s="305">
      <c r="A638" s="217" t="inlineStr">
        <is>
          <t>ESTIMATE_FEE.REGION</t>
        </is>
      </c>
      <c r="B638" s="153" t="inlineStr">
        <is>
          <t>省/州</t>
        </is>
      </c>
      <c r="C638" s="3" t="inlineStr">
        <is>
          <t>Liên bang/Vùng</t>
        </is>
      </c>
      <c r="D638" s="3" t="inlineStr">
        <is>
          <t>Region</t>
        </is>
      </c>
      <c r="E638" s="3" t="inlineStr">
        <is>
          <t>ລັດຖະບານກາງ/ພາກພື້ນ</t>
        </is>
      </c>
      <c r="F638" s="3" t="inlineStr">
        <is>
          <t>ဒေသ</t>
        </is>
      </c>
      <c r="G638" s="3">
        <f>IFERROR(__xludf.DUMMYFUNCTION("GOOGLETRANSLATE(C638,""vi"",""km"")"),"សហព័ន្ធ/តំបន់")</f>
        <v/>
      </c>
      <c r="J638" s="3" t="inlineStr">
        <is>
          <t>ខេត្ត</t>
        </is>
      </c>
      <c r="K638" s="217" t="inlineStr">
        <is>
          <t>ខេត្ត</t>
        </is>
      </c>
      <c r="S638" s="163" t="inlineStr">
        <is>
          <t>តំបន់</t>
        </is>
      </c>
    </row>
    <row r="639" ht="15.75" customHeight="1" s="305">
      <c r="A639" s="217" t="inlineStr">
        <is>
          <t>ESTIMATE_FEE.TOWN</t>
        </is>
      </c>
      <c r="B639" s="153" t="inlineStr">
        <is>
          <t>市/镇</t>
        </is>
      </c>
      <c r="C639" s="3" t="inlineStr">
        <is>
          <t>Thị trấn</t>
        </is>
      </c>
      <c r="D639" s="3" t="inlineStr">
        <is>
          <t>Town</t>
        </is>
      </c>
      <c r="E639" s="3" t="inlineStr">
        <is>
          <t>ເມືອງ</t>
        </is>
      </c>
      <c r="F639" s="3" t="inlineStr">
        <is>
          <t>မြို့</t>
        </is>
      </c>
      <c r="G639" s="3">
        <f>IFERROR(__xludf.DUMMYFUNCTION("GOOGLETRANSLATE(C639,""vi"",""km"")"),"ទីក្រុង")</f>
        <v/>
      </c>
      <c r="H639" s="217" t="inlineStr">
        <is>
          <t>ទីរួមខេត្ត</t>
        </is>
      </c>
      <c r="J639" s="3" t="inlineStr">
        <is>
          <t>ឃុំ</t>
        </is>
      </c>
      <c r="K639" s="217" t="inlineStr">
        <is>
          <t>ឃុំ</t>
        </is>
      </c>
      <c r="S639" s="163" t="inlineStr">
        <is>
          <t>ទីប្រជុំជន</t>
        </is>
      </c>
    </row>
    <row r="640" ht="15.75" customHeight="1" s="305">
      <c r="A640" s="217" t="inlineStr">
        <is>
          <t>ESTIMATE_FEE.VILLAGE</t>
        </is>
      </c>
      <c r="B640" s="153" t="inlineStr">
        <is>
          <t>村</t>
        </is>
      </c>
      <c r="C640" s="3" t="inlineStr">
        <is>
          <t>Bản</t>
        </is>
      </c>
      <c r="D640" s="3" t="inlineStr">
        <is>
          <t>Village</t>
        </is>
      </c>
      <c r="E640" s="3" t="inlineStr">
        <is>
          <t>ບ້ານ</t>
        </is>
      </c>
      <c r="F640" s="3" t="n"/>
      <c r="G640" s="3">
        <f>IFERROR(__xludf.DUMMYFUNCTION("GOOGLETRANSLATE(C640,""vi"",""km"")"),"ចម្លង")</f>
        <v/>
      </c>
      <c r="H640" s="3" t="inlineStr">
        <is>
          <t>ភូមិ</t>
        </is>
      </c>
      <c r="J640" s="3" t="inlineStr">
        <is>
          <t>ភូមិ</t>
        </is>
      </c>
      <c r="K640" s="217" t="inlineStr">
        <is>
          <t>ភូមិ</t>
        </is>
      </c>
      <c r="S640" s="163" t="inlineStr">
        <is>
          <t>ភូមិ</t>
        </is>
      </c>
    </row>
    <row r="641" ht="15.75" customHeight="1" s="305">
      <c r="A641" s="217" t="inlineStr">
        <is>
          <t>ESTIMATE_FEE.REGION_REQUIRED</t>
        </is>
      </c>
      <c r="B641" s="153" t="inlineStr">
        <is>
          <t>请选择省/州！</t>
        </is>
      </c>
      <c r="C641" s="3" t="inlineStr">
        <is>
          <t>Vui lòng chọn liên bang/vùng!</t>
        </is>
      </c>
      <c r="D641" s="3" t="inlineStr">
        <is>
          <t>Please select a region!</t>
        </is>
      </c>
      <c r="E641" s="3" t="inlineStr">
        <is>
          <t>ກະລຸນາເລືອກສະຫະພັນ/ພາກພື້ນ!</t>
        </is>
      </c>
      <c r="F641" s="3" t="inlineStr">
        <is>
          <t>ကျေးဇူးပြု၍ ဒေသတစ်ခုကို ရွေးချယ်ပါလေ!</t>
        </is>
      </c>
      <c r="G641" s="3">
        <f>IFERROR(__xludf.DUMMYFUNCTION("GOOGLETRANSLATE(C641,""vi"",""km"")"),"សូមជ្រើសរើសសហព័ន្ធ/តំបន់!")</f>
        <v/>
      </c>
      <c r="H641" s="217" t="inlineStr">
        <is>
          <t>សូមជ្រើសរើសយកខេត្តជាមុន!</t>
        </is>
      </c>
      <c r="J641" s="217" t="inlineStr">
        <is>
          <t>សូមជ្រើសរើសយក ខេត្តជាមុនសិន!</t>
        </is>
      </c>
      <c r="K641" s="217" t="inlineStr">
        <is>
          <t>សូមជ្រើសរើសយក ខេត្តជាមុនសិន!</t>
        </is>
      </c>
      <c r="S641" s="163" t="inlineStr">
        <is>
          <t>សូមជ្រើសរើសតំបន់!</t>
        </is>
      </c>
    </row>
    <row r="642" ht="15.75" customHeight="1" s="305">
      <c r="A642" s="217" t="inlineStr">
        <is>
          <t>ESTIMATE_FEE.DISTRICT_REQUIRED</t>
        </is>
      </c>
      <c r="B642" s="153" t="inlineStr">
        <is>
          <t>请选择区/县！</t>
        </is>
      </c>
      <c r="C642" s="3" t="inlineStr">
        <is>
          <t>Vui lòng chọn huyện!</t>
        </is>
      </c>
      <c r="D642" s="3" t="inlineStr">
        <is>
          <t>Please select a district!</t>
        </is>
      </c>
      <c r="E642" s="3" t="inlineStr">
        <is>
          <t>ກະລຸນາເລືອກເມືອງ!</t>
        </is>
      </c>
      <c r="F642" s="3" t="inlineStr">
        <is>
          <t>ကျေးဇူးပြု၍ ခရိုင်တစ်ခုရွေးချယ်ပါ!</t>
        </is>
      </c>
      <c r="G642" s="3">
        <f>IFERROR(__xludf.DUMMYFUNCTION("GOOGLETRANSLATE(C642,""vi"",""km"")"),"សូមជ្រើសរើសស្រុកមួយ!")</f>
        <v/>
      </c>
      <c r="H642" s="217" t="inlineStr">
        <is>
          <t>សូមជ្រើសរើសយក ស្រុកជាមុន!</t>
        </is>
      </c>
      <c r="J642" s="217" t="inlineStr">
        <is>
          <t>សូមជ្រើសរើសយក ស្រុកជាមុនសិន!</t>
        </is>
      </c>
      <c r="K642" s="217" t="inlineStr">
        <is>
          <t>សូមជ្រើសរើសយក ស្រុកជាមុនសិន!</t>
        </is>
      </c>
      <c r="S642" s="163" t="inlineStr">
        <is>
          <t>សូមជ្រើសរើសស្រុក!</t>
        </is>
      </c>
    </row>
    <row r="643" ht="15.75" customHeight="1" s="305">
      <c r="A643" s="217" t="inlineStr">
        <is>
          <t>ESTIMATE_FEE.SENDER_ADDRESS_REQUIRED</t>
        </is>
      </c>
      <c r="B643" s="153" t="inlineStr">
        <is>
          <t>请选择发货地址！</t>
        </is>
      </c>
      <c r="C643" s="3" t="inlineStr">
        <is>
          <t>Vui lòng chọn địa chỉ gửi hàng!</t>
        </is>
      </c>
      <c r="D643" s="3" t="inlineStr">
        <is>
          <t>Please select the sender's address!</t>
        </is>
      </c>
      <c r="E643" s="3" t="inlineStr">
        <is>
          <t>ກະລຸນາເລືອກທີ່ຢູ່ຈັດສົ່ງ!</t>
        </is>
      </c>
      <c r="F643" s="3" t="inlineStr">
        <is>
          <t>ကျေးဇူးပြု၍ ပစ္စည်းပို့သူ၏လိပ်စာကို ရွေးပါ!</t>
        </is>
      </c>
      <c r="G643" s="3">
        <f>IFERROR(__xludf.DUMMYFUNCTION("GOOGLETRANSLATE(C643,""vi"",""km"")"),"សូមជ្រើសរើសអាសយដ្ឋានដឹកជញ្ជូន!")</f>
        <v/>
      </c>
      <c r="H643" s="217" t="inlineStr">
        <is>
          <t>សូមជ្រើសរើសយកទីតាំងផ្ញើអីវ៉ាន់!</t>
        </is>
      </c>
      <c r="J643" s="217" t="inlineStr">
        <is>
          <t>សូមជ្រើសរើសយកទីតាំងផ្ញើអីវ៉ាន់!</t>
        </is>
      </c>
      <c r="K643" s="217" t="inlineStr">
        <is>
          <t>សូមជ្រើសរើសយកទីតាំងផ្ញើអីវ៉ាន់!</t>
        </is>
      </c>
      <c r="S643" s="163" t="inlineStr">
        <is>
          <t>សូមជ្រើសរើសអាសយដ្ឋានដឹកជញ្ជូន!</t>
        </is>
      </c>
    </row>
    <row r="644" ht="15.75" customHeight="1" s="305">
      <c r="A644" s="217" t="inlineStr">
        <is>
          <t>ESTIMATE_FEE.RECEIVER_ADDRESS_REQUIRED</t>
        </is>
      </c>
      <c r="B644" s="153" t="inlineStr">
        <is>
          <t>请选择收货地址！</t>
        </is>
      </c>
      <c r="C644" s="3" t="inlineStr">
        <is>
          <t>Vui lòng chọn địa chỉ gửi đến!</t>
        </is>
      </c>
      <c r="D644" s="3" t="inlineStr">
        <is>
          <t>Please select the receiver's address!</t>
        </is>
      </c>
      <c r="E644" s="3" t="inlineStr">
        <is>
          <t>ກະລຸນາເລືອກທີ່ຢູ່ຈັດສົ່ງ!</t>
        </is>
      </c>
      <c r="F644" s="3" t="inlineStr">
        <is>
          <t>ကျေးဇူးပြု၍ လက်ခံသူ၏လိပ်စာကို ရွေးပါ!</t>
        </is>
      </c>
      <c r="G644" s="3">
        <f>IFERROR(__xludf.DUMMYFUNCTION("GOOGLETRANSLATE(C644,""vi"",""km"")"),"សូមជ្រើសរើសអាសយដ្ឋានដឹកជញ្ជូន!")</f>
        <v/>
      </c>
      <c r="H644" s="217" t="inlineStr">
        <is>
          <t>សូមជ្រើសរើសទីតាំងផ្ញើទៅដល់!</t>
        </is>
      </c>
      <c r="J644" s="217" t="inlineStr">
        <is>
          <t>សូមជ្រើសរើសទីតាំងផ្ញើមកដល់!</t>
        </is>
      </c>
      <c r="K644" s="217" t="inlineStr">
        <is>
          <t>សូមជ្រើសរើសទីតាំងផ្ញើមកដល់!</t>
        </is>
      </c>
      <c r="S644" s="163" t="inlineStr">
        <is>
          <t>សូមជ្រើសរើសអាសយដ្ឋានដឹកជញ្ជូន!</t>
        </is>
      </c>
    </row>
    <row r="645" ht="15.75" customHeight="1" s="305">
      <c r="A645" s="217" t="inlineStr">
        <is>
          <t>ESTIMATE_FEE.WEIGHT_MUST_BE_POSITIVE</t>
        </is>
      </c>
      <c r="B645" s="153" t="inlineStr">
        <is>
          <t>请输入大于0的重量</t>
        </is>
      </c>
      <c r="C645" s="3" t="inlineStr">
        <is>
          <t>Vui lòng nhập trọng lượng bưu phẩm &gt; 0</t>
        </is>
      </c>
      <c r="D645" s="3" t="inlineStr">
        <is>
          <t>Please enter parcel weight &gt; 0</t>
        </is>
      </c>
      <c r="E645" s="3" t="inlineStr">
        <is>
          <t>ກະ​ລຸ​ນາ​ໃສ່​ນ​້​ໍາ​ຫນັກ ພັດສະດຸ&gt; 0</t>
        </is>
      </c>
      <c r="F645" s="3" t="n"/>
      <c r="G645" s="3">
        <f>IFERROR(__xludf.DUMMYFUNCTION("GOOGLETRANSLATE(C645,""vi"",""km"")"),"សូមបញ្ចូលទម្ងន់កញ្ចប់ &gt; 0")</f>
        <v/>
      </c>
      <c r="H645" s="217" t="inlineStr">
        <is>
          <t>សូមបញ្ចូលទម្ងន់អីវ៉ាន់&gt;0</t>
        </is>
      </c>
      <c r="J645" s="3" t="inlineStr">
        <is>
          <t>សូមបញ្ចូលទម្ងន់អីវ៉ាន់&gt;0</t>
        </is>
      </c>
      <c r="K645" s="217" t="inlineStr">
        <is>
          <t>សូមបញ្ចូលទម្ងន់អីវ៉ាន់&gt;0</t>
        </is>
      </c>
      <c r="S645" s="163" t="inlineStr">
        <is>
          <t>សូមបញ្ចូលទម្ងន់កញ្ចប់ &gt; 0</t>
        </is>
      </c>
    </row>
    <row r="646" ht="15.75" customHeight="1" s="305">
      <c r="A646" s="217" t="inlineStr">
        <is>
          <t>ESTIMATE_FEE.PROVINCE</t>
        </is>
      </c>
      <c r="B646" s="153" t="inlineStr">
        <is>
          <t>省</t>
        </is>
      </c>
      <c r="C646" s="3" t="inlineStr">
        <is>
          <t>Tỉnh</t>
        </is>
      </c>
      <c r="D646" s="3" t="inlineStr">
        <is>
          <t>Province</t>
        </is>
      </c>
      <c r="E646" s="3" t="inlineStr">
        <is>
          <t>ສະຕິ</t>
        </is>
      </c>
      <c r="F646" s="3" t="n"/>
      <c r="G646" s="3">
        <f>IFERROR(__xludf.DUMMYFUNCTION("GOOGLETRANSLATE(C646,""vi"",""km"")"),"ដឹងខ្លួន")</f>
        <v/>
      </c>
      <c r="H646" s="217" t="inlineStr">
        <is>
          <t>ខេត្ត</t>
        </is>
      </c>
      <c r="J646" s="3" t="inlineStr">
        <is>
          <t>ខេត្ត</t>
        </is>
      </c>
      <c r="K646" s="217" t="inlineStr">
        <is>
          <t>ខេត្ត</t>
        </is>
      </c>
      <c r="S646" s="163" t="inlineStr">
        <is>
          <t>ខេត្ត</t>
        </is>
      </c>
    </row>
    <row r="647" ht="15.75" customHeight="1" s="305">
      <c r="A647" s="217" t="inlineStr">
        <is>
          <t>ESTIMATE_FEE.PROVINCE_REQUIRED</t>
        </is>
      </c>
      <c r="B647" s="153" t="inlineStr">
        <is>
          <t>请选择省份！</t>
        </is>
      </c>
      <c r="C647" s="3" t="inlineStr">
        <is>
          <t>Vui lòng chọn tỉnh !</t>
        </is>
      </c>
      <c r="D647" s="3" t="inlineStr">
        <is>
          <t>Please select a province !</t>
        </is>
      </c>
      <c r="E647" s="3" t="inlineStr">
        <is>
          <t>ກະລຸນາເລືອກແຂວງ!</t>
        </is>
      </c>
      <c r="F647" s="3" t="n"/>
      <c r="G647" s="3">
        <f>IFERROR(__xludf.DUMMYFUNCTION("GOOGLETRANSLATE(C647,""vi"",""km"")"),"សូមជ្រើសរើសខេត្តមួយ!")</f>
        <v/>
      </c>
      <c r="H647" s="217" t="inlineStr">
        <is>
          <t>សូមជ្រើសរើសយកខេត្ត!</t>
        </is>
      </c>
      <c r="J647" s="217" t="inlineStr">
        <is>
          <t>សូមជ្រើសរើសយកខេត្តជាមុនសិន!</t>
        </is>
      </c>
      <c r="K647" s="217" t="inlineStr">
        <is>
          <t>សូមជ្រើសរើសយកខេត្តជាមុនសិន!</t>
        </is>
      </c>
      <c r="S647" s="163" t="inlineStr">
        <is>
          <t>សូមជ្រើសរើសខេត្ត!</t>
        </is>
      </c>
    </row>
    <row r="648" ht="15.75" customHeight="1" s="305">
      <c r="A648" s="217" t="inlineStr">
        <is>
          <t>ESTIMATE_FEE.PLEASE_ENTER_COLLECTION_AMOUNT</t>
        </is>
      </c>
      <c r="B648" s="153" t="inlineStr">
        <is>
          <t>请输入待收货款金额</t>
        </is>
      </c>
      <c r="C648" s="3" t="inlineStr">
        <is>
          <t>Vui lòng nhập tiền thu hộ</t>
        </is>
      </c>
      <c r="D648" s="3" t="inlineStr">
        <is>
          <t>Please enter the collection amount</t>
        </is>
      </c>
      <c r="E648" s="3" t="inlineStr">
        <is>
          <t>ກະລຸນາໃສ່ຈໍານວນການເກັບກໍາ</t>
        </is>
      </c>
      <c r="F648" s="3" t="n"/>
      <c r="G648" s="3">
        <f>IFERROR(__xludf.DUMMYFUNCTION("GOOGLETRANSLATE(C648,""vi"",""km"")"),"សូមបញ្ចូលចំនួនទឹកប្រាក់ដែលប្រមូលបាន។")</f>
        <v/>
      </c>
      <c r="H648" s="217" t="inlineStr">
        <is>
          <t>សូូមបញ្ចូលប្រាក់យកជំនួស</t>
        </is>
      </c>
      <c r="J648" s="217" t="inlineStr">
        <is>
          <t>សូមបញ្ចូលចំនួនប្រាក់យកជំនួស</t>
        </is>
      </c>
      <c r="K648" s="217" t="inlineStr">
        <is>
          <t>សូមបញ្ចូលចំនួនប្រាក់យកជំនួស</t>
        </is>
      </c>
      <c r="S648" s="163" t="inlineStr">
        <is>
          <t>សូមបញ្ចូលចំនួនប្រមូល</t>
        </is>
      </c>
    </row>
    <row r="649" ht="15.75" customHeight="1" s="305">
      <c r="A649" s="217" t="inlineStr">
        <is>
          <t>ESTIMATE_FEE.COLLECTION_AMOUNT_MUST_BE_POSITIVE</t>
        </is>
      </c>
      <c r="B649" s="153" t="inlineStr">
        <is>
          <t>请输入大于0的代收货款金额</t>
        </is>
      </c>
      <c r="C649" s="3" t="inlineStr">
        <is>
          <t>Vui lòng nhập tiền thu hộ &gt; 0</t>
        </is>
      </c>
      <c r="D649" s="3" t="inlineStr">
        <is>
          <t>Please enter collection amount &gt; 0</t>
        </is>
      </c>
      <c r="E649" s="3" t="inlineStr">
        <is>
          <t>ກະລຸນາໃສ່ຈໍານວນການເກັບເງິນ &gt; 0</t>
        </is>
      </c>
      <c r="F649" s="3" t="n"/>
      <c r="G649" s="3">
        <f>IFERROR(__xludf.DUMMYFUNCTION("GOOGLETRANSLATE(C649,""vi"",""km"")"),"សូមបញ្ចូលចំនួនទឹកប្រាក់ប្រមូលប្រាក់ &gt; ០")</f>
        <v/>
      </c>
      <c r="H649" s="217" t="inlineStr">
        <is>
          <t>សូមបញ្ចូលបប្រាក់យកជំនួស &gt;0</t>
        </is>
      </c>
      <c r="J649" s="217" t="inlineStr">
        <is>
          <t>សូមបញ្ចូលប្រាក់យកជំនួស &gt;0</t>
        </is>
      </c>
      <c r="K649" s="217" t="inlineStr">
        <is>
          <t>សូមបញ្ចូលប្រាក់យកជំនួស &gt;0</t>
        </is>
      </c>
      <c r="S649" s="163" t="inlineStr">
        <is>
          <t>សូមបញ្ចូលចំនួនប្រមូល &gt; 0</t>
        </is>
      </c>
    </row>
    <row r="650" ht="15.75" customHeight="1" s="305">
      <c r="A650" s="217" t="inlineStr">
        <is>
          <t>FEE_RESULT.TITLE</t>
        </is>
      </c>
      <c r="B650" s="153" t="inlineStr">
        <is>
          <t>运费估算结果</t>
        </is>
      </c>
      <c r="C650" s="3" t="inlineStr">
        <is>
          <t>Kết quả tra cứu cước</t>
        </is>
      </c>
      <c r="D650" s="3" t="inlineStr">
        <is>
          <t>Fee result</t>
        </is>
      </c>
      <c r="E650" s="3" t="inlineStr">
        <is>
          <t>ຜົນການຄົ້ນຫາຄ່າທໍານຽມ</t>
        </is>
      </c>
      <c r="F650" s="3" t="inlineStr">
        <is>
          <t>အခကြေးငွေ ရလဒ်</t>
        </is>
      </c>
      <c r="G650" s="3">
        <f>IFERROR(__xludf.DUMMYFUNCTION("GOOGLETRANSLATE(C650,""vi"",""km"")"),"លទ្ធផលស្វែងរកថ្លៃសេវា")</f>
        <v/>
      </c>
      <c r="H650" s="3" t="inlineStr">
        <is>
          <t>លទ្ធផលស្វែងរកថ្លៃសេវា</t>
        </is>
      </c>
      <c r="J650" s="3" t="inlineStr">
        <is>
          <t>លទ្ធផលស្វែងរកថ្លៃសេវា</t>
        </is>
      </c>
      <c r="K650" s="217" t="inlineStr">
        <is>
          <t>លទ្ធផលស្វែងរកថ្លៃសេវា</t>
        </is>
      </c>
      <c r="S650" s="163" t="inlineStr">
        <is>
          <t>លទ្ធផលស្វែងរកទំនិញ</t>
        </is>
      </c>
    </row>
    <row r="651" ht="15.75" customHeight="1" s="305">
      <c r="A651" s="217" t="inlineStr">
        <is>
          <t>FEE_RESULT.SEND</t>
        </is>
      </c>
      <c r="B651" s="153" t="inlineStr">
        <is>
          <t>确认</t>
        </is>
      </c>
      <c r="C651" s="3" t="inlineStr">
        <is>
          <t>Gửi</t>
        </is>
      </c>
      <c r="D651" s="3" t="inlineStr">
        <is>
          <t>Send</t>
        </is>
      </c>
      <c r="E651" s="3" t="inlineStr">
        <is>
          <t>ສົ່ງ</t>
        </is>
      </c>
      <c r="F651" s="3" t="inlineStr">
        <is>
          <t>ပို့ပေးပါ</t>
        </is>
      </c>
      <c r="G651" s="3">
        <f>IFERROR(__xludf.DUMMYFUNCTION("GOOGLETRANSLATE(C651,""vi"",""km"")"),"ផ្ញើ")</f>
        <v/>
      </c>
      <c r="H651" s="217" t="inlineStr">
        <is>
          <t>ផ្ញើ</t>
        </is>
      </c>
      <c r="J651" s="3" t="inlineStr">
        <is>
          <t>ផ្ញើ</t>
        </is>
      </c>
      <c r="K651" s="217" t="inlineStr">
        <is>
          <t>ផ្ញើ</t>
        </is>
      </c>
      <c r="S651" s="163" t="inlineStr">
        <is>
          <t>ផ្ញើ</t>
        </is>
      </c>
    </row>
    <row r="652" ht="15.75" customHeight="1" s="305">
      <c r="A652" s="217" t="inlineStr">
        <is>
          <t>FEE_RESULT.WEIGHT_ESTIMATED</t>
        </is>
      </c>
      <c r="B652" s="153" t="inlineStr">
        <is>
          <t>计费重量</t>
        </is>
      </c>
      <c r="C652" s="3" t="inlineStr">
        <is>
          <t>Trọng lượng tính cước</t>
        </is>
      </c>
      <c r="D652" s="3" t="inlineStr">
        <is>
          <t>Estimated weight</t>
        </is>
      </c>
      <c r="E652" s="3" t="inlineStr">
        <is>
          <t>ນ້ຳໜັກທີ່ສາມາດເກັບໄດ້</t>
        </is>
      </c>
      <c r="F652" s="3" t="inlineStr">
        <is>
          <t>ခန့်မှန်းထားသော အလေးချိန်</t>
        </is>
      </c>
      <c r="G652" s="3">
        <f>IFERROR(__xludf.DUMMYFUNCTION("GOOGLETRANSLATE(C652,""vi"",""km"")"),"ទម្ងន់ដែលអាចគិតថ្លៃបាន")</f>
        <v/>
      </c>
      <c r="H652" s="217" t="inlineStr">
        <is>
          <t>ទម្ងន់គិតថ្លៃសេវា</t>
        </is>
      </c>
      <c r="J652" s="3" t="inlineStr">
        <is>
          <t>ទម្ងន់គិតថ្លៃសេវា</t>
        </is>
      </c>
      <c r="K652" s="217" t="inlineStr">
        <is>
          <t>ទម្ងន់គិតថ្លៃសេវា</t>
        </is>
      </c>
      <c r="S652" s="163" t="inlineStr">
        <is>
          <t>ទំងន់ទំនិញ</t>
        </is>
      </c>
    </row>
    <row r="653" ht="15.75" customHeight="1" s="305">
      <c r="A653" s="217" t="inlineStr">
        <is>
          <t>FEE_RESULT.SELECT_SUITABLE_SERVICE</t>
        </is>
      </c>
      <c r="B653" s="153" t="inlineStr">
        <is>
          <t>请选择合适的服务</t>
        </is>
      </c>
      <c r="C653" s="3" t="inlineStr">
        <is>
          <t>Chọn dịch vụ phù hợp</t>
        </is>
      </c>
      <c r="D653" s="3" t="inlineStr">
        <is>
          <t>Select suitable service</t>
        </is>
      </c>
      <c r="E653" s="3" t="inlineStr">
        <is>
          <t>ເລືອກການບໍລິການທີ່ຖືກຕ້ອງ</t>
        </is>
      </c>
      <c r="F653" s="3" t="inlineStr">
        <is>
          <t>သင့်တော်တဲ့ ဝန်ဆောင်မှု ရွေးချယ်ပါ</t>
        </is>
      </c>
      <c r="G653" s="3">
        <f>IFERROR(__xludf.DUMMYFUNCTION("GOOGLETRANSLATE(C653,""vi"",""km"")"),"ជ្រើសរើសសេវាកម្មត្រឹមត្រូវ")</f>
        <v/>
      </c>
      <c r="H653" s="217" t="inlineStr">
        <is>
          <t>ជ្រើសរើសយកសេវាកម្មដែលសមស្រប</t>
        </is>
      </c>
      <c r="J653" s="3" t="inlineStr">
        <is>
          <t>ជ្រើសរើសយកសេវាកម្មដែលសមស្រប</t>
        </is>
      </c>
      <c r="K653" s="217" t="inlineStr">
        <is>
          <t>ជ្រើសរើសយកសេវាកម្មដែលសមស្រប</t>
        </is>
      </c>
      <c r="S653" s="163" t="inlineStr">
        <is>
          <t>ជ្រើសរើសសេវាកម្មសមរម្យ</t>
        </is>
      </c>
    </row>
    <row r="654" ht="15.75" customHeight="1" s="305">
      <c r="A654" s="217" t="inlineStr">
        <is>
          <t>FEE_RESULT.ESTIMATED_TIME</t>
        </is>
      </c>
      <c r="B654" s="153" t="inlineStr">
        <is>
          <t>预计送达时间</t>
        </is>
      </c>
      <c r="C654" s="3" t="inlineStr">
        <is>
          <t>Thời gian giao dự kiến</t>
        </is>
      </c>
      <c r="D654" s="3" t="inlineStr">
        <is>
          <t>Estimated delivery time</t>
        </is>
      </c>
      <c r="E654" s="3" t="inlineStr">
        <is>
          <t>ເວລາຈັດສົ່ງໂດຍປະມານ</t>
        </is>
      </c>
      <c r="F654" s="3" t="inlineStr">
        <is>
          <t>ခန့်မှန်းပို့ချိန်</t>
        </is>
      </c>
      <c r="G654" s="3">
        <f>IFERROR(__xludf.DUMMYFUNCTION("GOOGLETRANSLATE(C654,""vi"",""km"")"),"ពេលវេលាដឹកជញ្ជូនប៉ាន់ស្មាន")</f>
        <v/>
      </c>
      <c r="H654" s="217" t="inlineStr">
        <is>
          <t>ពេលវេលាប្រគល់តាមការកំណត់</t>
        </is>
      </c>
      <c r="J654" s="3" t="inlineStr">
        <is>
          <t>ពេលវេលាប្រគល់តាមការកំណត់</t>
        </is>
      </c>
      <c r="K654" s="217" t="inlineStr">
        <is>
          <t>ពេលវេលាប្រគល់តាមការកំណត់</t>
        </is>
      </c>
      <c r="S654" s="163" t="inlineStr">
        <is>
          <t>ពេលវេលាចែកចាយប៉ាន់ស្មាន</t>
        </is>
      </c>
    </row>
    <row r="655" ht="15.75" customHeight="1" s="305">
      <c r="A655" s="217" t="inlineStr">
        <is>
          <t>FEE_RESULT.CONTACT_NEAREST_POST_OFFICE</t>
        </is>
      </c>
      <c r="B655" s="153" t="inlineStr">
        <is>
          <t>请联系最近网点获取更优价格</t>
        </is>
      </c>
      <c r="C655" s="3" t="inlineStr">
        <is>
          <t>Liên hệ điểm giao dịch gần nhất để nhận giá tốt hơn.</t>
        </is>
      </c>
      <c r="D655" s="3" t="inlineStr">
        <is>
          <t>Contact the nearest post office for a better rate.</t>
        </is>
      </c>
      <c r="E655" s="3" t="inlineStr">
        <is>
          <t>ຕິດຕໍ່ຈຸດທຸລະກໍາທີ່ໃກ້ທີ່ສຸດເພື່ອໃຫ້ໄດ້ລາຄາທີ່ດີກວ່າ.</t>
        </is>
      </c>
      <c r="F655" s="3" t="inlineStr">
        <is>
          <t>ပိုကောင်းတဲ့နှုန်းနဲ့ အနီးဆုံးစာတိုက်ရုံးကို ဆက်သွယ်ပါ။</t>
        </is>
      </c>
      <c r="G655" s="3">
        <f>IFERROR(__xludf.DUMMYFUNCTION("GOOGLETRANSLATE(C655,""vi"",""km"")"),"សូមទាក់ទងសាខាដែលនៅជិតអ្នកបំផុត ដើម្បីទទួលបានតម្លៃកាន់តែប្រសើរ។")</f>
        <v/>
      </c>
      <c r="H655" s="159" t="inlineStr">
        <is>
          <t>សូមទាក់ទងសាខាដែលនៅជិតអ្នកបំផុត ដើម្បីទទួលបានតម្លៃកាន់តែប្រសើរ។</t>
        </is>
      </c>
      <c r="J655" s="3" t="inlineStr">
        <is>
          <t>សូមទាក់ទងសាខាដែលនៅជិតអ្នកបំផុត ដើម្បីទទួលបានតម្លៃកាន់តែប្រសើរ។</t>
        </is>
      </c>
      <c r="K655" s="217" t="inlineStr">
        <is>
          <t>សូមទាក់ទងសាខាដែលនៅជិតអ្នកបំផុត ដើម្បីទទួលបានតម្លៃកាន់តែប្រសើរ។</t>
        </is>
      </c>
      <c r="S655" s="163" t="inlineStr">
        <is>
          <t>ទាក់ទងចំណុចប្រតិបត្តិការដែលនៅជិតបំផុតដើម្បីទទួលបានតម្លៃកាន់តែប្រសើរ</t>
        </is>
      </c>
    </row>
    <row r="656" ht="15.75" customHeight="1" s="305">
      <c r="A656" s="217" t="inlineStr">
        <is>
          <t>FEE_RESULT.SEARCH_NEAREST_POST_OFFICE</t>
        </is>
      </c>
      <c r="B656" s="153" t="inlineStr">
        <is>
          <t>查找最近网点</t>
        </is>
      </c>
      <c r="C656" s="3" t="inlineStr">
        <is>
          <t>Tra bưu cục gần nhất</t>
        </is>
      </c>
      <c r="D656" s="3" t="inlineStr">
        <is>
          <t>Find the nearest post office</t>
        </is>
      </c>
      <c r="E656" s="3" t="inlineStr">
        <is>
          <t>ຊອກຫາຫ້ອງການໄປສະນີທີ່ໃກ້ທີ່ສຸດ</t>
        </is>
      </c>
      <c r="F656" s="3" t="inlineStr">
        <is>
          <t>အနီးဆုံး စာတိုက်ရုံးကို ရှာပါ</t>
        </is>
      </c>
      <c r="G656" s="3">
        <f>IFERROR(__xludf.DUMMYFUNCTION("GOOGLETRANSLATE(C656,""vi"",""km"")"),"ស្វែងរកការិយាល័យប្រៃសណីយ៍ដែលនៅជិតបំផុត។")</f>
        <v/>
      </c>
      <c r="H656" s="217" t="inlineStr">
        <is>
          <t>ស្វែងរកការិយាល័យប្រៃសណីយ៍នៅជិតបំផុត</t>
        </is>
      </c>
      <c r="J656" s="217" t="inlineStr">
        <is>
          <t>ស្វែងរកការិយាល័យប្រៃសណីយ៍ដែលនៅជិតបំផុត</t>
        </is>
      </c>
      <c r="K656" s="217" t="inlineStr">
        <is>
          <t>ស្វែងរកការិយាល័យប្រៃសណីយ៍ដែលនៅជិតបំផុត</t>
        </is>
      </c>
      <c r="S656" s="163" t="inlineStr">
        <is>
          <t>ពិនិត្យការិយាល័យប្រៃសណីយ៍ដែលនៅជិតបំផុត</t>
        </is>
      </c>
    </row>
    <row r="657" ht="15.75" customHeight="1" s="305">
      <c r="A657" s="217" t="inlineStr">
        <is>
          <t>FEE_RESULT.WEIGHT</t>
        </is>
      </c>
      <c r="B657" s="161" t="inlineStr">
        <is>
          <t>{{number}} 克</t>
        </is>
      </c>
      <c r="C657" s="3" t="inlineStr">
        <is>
          <t>{{number}} g</t>
        </is>
      </c>
      <c r="D657" s="3" t="inlineStr">
        <is>
          <t>{{number}} g</t>
        </is>
      </c>
      <c r="E657" s="3" t="inlineStr">
        <is>
          <t>{{number}} g</t>
        </is>
      </c>
      <c r="F657" s="3" t="inlineStr">
        <is>
          <t>{{number}} g</t>
        </is>
      </c>
      <c r="G657" s="3">
        <f>IFERROR(__xludf.DUMMYFUNCTION("GOOGLETRANSLATE(C657,""vi"",""km"")"),"{{number}} ក្រាម")</f>
        <v/>
      </c>
      <c r="H657" s="3" t="inlineStr">
        <is>
          <t>{{number}} ក្រាម</t>
        </is>
      </c>
      <c r="J657" s="3" t="inlineStr">
        <is>
          <t>{{number}} ក្រាម</t>
        </is>
      </c>
      <c r="K657" s="217" t="inlineStr">
        <is>
          <t>{{number}} ក្រាម</t>
        </is>
      </c>
      <c r="S657" s="163" t="inlineStr">
        <is>
          <t>{{number}} ក្រាម</t>
        </is>
      </c>
    </row>
    <row r="658" ht="15.75" customHeight="1" s="305">
      <c r="A658" s="217" t="inlineStr">
        <is>
          <t>FEE_RESULT.SIZE</t>
        </is>
      </c>
      <c r="B658" s="161" t="inlineStr">
        <is>
          <t>{{长}}x{{宽}}x{{高}} 厘米</t>
        </is>
      </c>
      <c r="C658" s="3" t="inlineStr">
        <is>
          <t>{{length}}x{{width}}x{{height}} cm</t>
        </is>
      </c>
      <c r="D658" s="3" t="inlineStr">
        <is>
          <t>{{length}}x{{width}}x{{height}} cm</t>
        </is>
      </c>
      <c r="E658" s="3" t="inlineStr">
        <is>
          <t>{{length}}x{{width}}x{{height}} ຊມ</t>
        </is>
      </c>
      <c r="F658" s="3" t="inlineStr">
        <is>
          <t>{{length}} (cm)x {{width}} (cm)x {{height}} (cm)</t>
        </is>
      </c>
      <c r="G658" s="3">
        <f>IFERROR(__xludf.DUMMYFUNCTION("GOOGLETRANSLATE(C658,""vi"",""km"")"),"{{length}}x{{width}}x{{height}} សង់ទីម៉ែត្រ")</f>
        <v/>
      </c>
      <c r="H658" s="3" t="inlineStr">
        <is>
          <t>{{length}}x{{width}}x{{height}} សង់ទីម៉ែត</t>
        </is>
      </c>
      <c r="J658" s="3" t="inlineStr">
        <is>
          <t>{{length}}x{{width}}x{{height}} សង់ទីម៉ែត</t>
        </is>
      </c>
      <c r="K658" s="217" t="inlineStr">
        <is>
          <t>{{length}}x{{width}}x{{height}} សង់ទីម៉ែត</t>
        </is>
      </c>
      <c r="S658" s="163" t="inlineStr">
        <is>
          <t>{{ប្រវែង}}x{{ទទឹង}}x{{កម្ពស់}} សង់ទីម៉ែត្រ</t>
        </is>
      </c>
    </row>
    <row r="659" ht="15.75" customHeight="1" s="305">
      <c r="A659" s="217" t="inlineStr">
        <is>
          <t>FEE_RESULT.ADDRESS</t>
        </is>
      </c>
      <c r="B659" s="161" t="inlineStr">
        <is>
          <t>{{district}}区/县, {{region}}省/州</t>
        </is>
      </c>
      <c r="C659" s="3" t="inlineStr">
        <is>
          <t>Huyện {{district}}, Liên bang/vùng {{region}}</t>
        </is>
      </c>
      <c r="D659" s="3" t="inlineStr">
        <is>
          <t>District {{district}}, Region {{region}}</t>
        </is>
      </c>
      <c r="E659" s="3" t="inlineStr">
        <is>
          <t>ເມືອງ {{ district}}, ເຂດ/ພາກພື້ນ {{region}}</t>
        </is>
      </c>
      <c r="F659" s="3" t="inlineStr">
        <is>
          <t>ခရိုင် {{district}} ဒေသ {{region}}</t>
        </is>
      </c>
      <c r="G659" s="3">
        <f>IFERROR(__xludf.DUMMYFUNCTION("GOOGLETRANSLATE(C659,""vi"",""km"")"),"ស្រុក, សហព័ន្ធ/តំបន់")</f>
        <v/>
      </c>
      <c r="H659" s="3" t="inlineStr">
        <is>
          <t>ស្រុក {{district}}, សហព័ន្ធ/តំបន់ {{region}}</t>
        </is>
      </c>
      <c r="J659" s="3" t="inlineStr">
        <is>
          <t>ស្រុក {{district}}, សហព័ន្ធ/តំបន់ {{region}}</t>
        </is>
      </c>
      <c r="K659" s="217" t="inlineStr">
        <is>
          <t>ស្រុក {{district}}, សហព័ន្ធ/តំបន់ {{region}}</t>
        </is>
      </c>
      <c r="S659" s="163" t="inlineStr">
        <is>
          <t>ស្រុក {{ district}}, តំបន់ {{region}}</t>
        </is>
      </c>
    </row>
    <row r="660" ht="15.75" customHeight="1" s="305">
      <c r="A660" s="217" t="inlineStr">
        <is>
          <t>CHANGE_PASSWORD.TITLE</t>
        </is>
      </c>
      <c r="B660" s="153" t="inlineStr">
        <is>
          <t>设置/修改密码</t>
        </is>
      </c>
      <c r="C660" s="3" t="inlineStr">
        <is>
          <t>Đặt/ Đổi mật khẩu</t>
        </is>
      </c>
      <c r="D660" s="3" t="inlineStr">
        <is>
          <t>Set/Change password</t>
        </is>
      </c>
      <c r="E660" s="3" t="inlineStr">
        <is>
          <t>ຕັ້ງ/ປ່ຽນລະຫັດຜ່ານ</t>
        </is>
      </c>
      <c r="F660" s="3" t="inlineStr">
        <is>
          <t>S/change စကားဝှက်</t>
        </is>
      </c>
      <c r="G660" s="3">
        <f>IFERROR(__xludf.DUMMYFUNCTION("GOOGLETRANSLATE(C660,""vi"",""km"")"),"កំណត់/ផ្លាស់ប្ដូរពាក្យសម្ងាត់")</f>
        <v/>
      </c>
      <c r="H660" s="217" t="inlineStr">
        <is>
          <t>កំណត់/ប្តូរពាក្យសម្ងាត់</t>
        </is>
      </c>
      <c r="J660" s="3" t="inlineStr">
        <is>
          <t>កំណត់/ប្តូរពាក្យសម្ងាត់</t>
        </is>
      </c>
      <c r="K660" s="217" t="inlineStr">
        <is>
          <t>កំណត់/ប្តូរពាក្យសម្ងាត់</t>
        </is>
      </c>
      <c r="S660" s="163" t="inlineStr">
        <is>
          <t>កំណត់/ប្តូរពាក្យសម្ងាត់</t>
        </is>
      </c>
    </row>
    <row r="661" ht="15.75" customHeight="1" s="305">
      <c r="A661" s="217" t="inlineStr">
        <is>
          <t>CHANGE_PASSWORD.CURRENT_PASSWORD</t>
        </is>
      </c>
      <c r="B661" s="153" t="inlineStr">
        <is>
          <t>当前密码</t>
        </is>
      </c>
      <c r="C661" s="3" t="inlineStr">
        <is>
          <t>Mật khẩu hiện tại</t>
        </is>
      </c>
      <c r="D661" s="3" t="inlineStr">
        <is>
          <t>Current password</t>
        </is>
      </c>
      <c r="E661" s="3" t="inlineStr">
        <is>
          <t>ລະຫັດຜ່ານປັດຈຸບັນ</t>
        </is>
      </c>
      <c r="F661" s="3" t="inlineStr">
        <is>
          <t>လက်ရှိ စကားဝှက်</t>
        </is>
      </c>
      <c r="G661" s="3">
        <f>IFERROR(__xludf.DUMMYFUNCTION("GOOGLETRANSLATE(C661,""vi"",""km"")"),"ពាក្យសម្ងាត់បច្ចុប្បន្ន")</f>
        <v/>
      </c>
      <c r="H661" s="217" t="inlineStr">
        <is>
          <t>លេខសម្ងាត់បច្ចុប្បន្ន</t>
        </is>
      </c>
      <c r="J661" s="217" t="inlineStr">
        <is>
          <t>ពាក្យសម្ងាត់បច្ចុប្បន្ន</t>
        </is>
      </c>
      <c r="K661" s="217" t="inlineStr">
        <is>
          <t>ពាក្យសម្ងាត់បច្ចុប្បន្ន</t>
        </is>
      </c>
      <c r="S661" s="163" t="inlineStr">
        <is>
          <t>ពាក្យសម្ងាត់បច្ចុប្បន្ន</t>
        </is>
      </c>
    </row>
    <row r="662" ht="15.75" customHeight="1" s="305">
      <c r="A662" s="217" t="inlineStr">
        <is>
          <t>CHANGE_PASSWORD.CURRENT_PASSWORD_REQUIRED</t>
        </is>
      </c>
      <c r="B662" s="153" t="inlineStr">
        <is>
          <t>请输入当前密码</t>
        </is>
      </c>
      <c r="C662" s="3" t="inlineStr">
        <is>
          <t>Vui lòng nhập mật khẩu hiện tại</t>
        </is>
      </c>
      <c r="D662" s="3" t="inlineStr">
        <is>
          <t>Current password is required</t>
        </is>
      </c>
      <c r="E662" s="3" t="inlineStr">
        <is>
          <t>ກະລຸນາໃສ່ລະຫັດຜ່ານປັດຈຸບັນ</t>
        </is>
      </c>
      <c r="F662" s="3" t="inlineStr">
        <is>
          <t>လက်ရှိစကားဝှက်လိုအပ်</t>
        </is>
      </c>
      <c r="G662" s="3">
        <f>IFERROR(__xludf.DUMMYFUNCTION("GOOGLETRANSLATE(C662,""vi"",""km"")"),"សូមបញ្ចូលពាក្យសម្ងាត់បច្ចុប្បន្នរបស់អ្នក។")</f>
        <v/>
      </c>
      <c r="H662" s="217" t="inlineStr">
        <is>
          <t>សូមបញ្ចូលលេខសម្ងាត់បច្ចុប្បន្ន</t>
        </is>
      </c>
      <c r="J662" s="217" t="inlineStr">
        <is>
          <t>សូមបញ្ចូលពាក្យសម្ងាត់បច្ចុប្បន្ន</t>
        </is>
      </c>
      <c r="K662" s="217" t="inlineStr">
        <is>
          <t>សូមបញ្ចូលពាក្យសម្ងាត់បច្ចុប្បន្ន</t>
        </is>
      </c>
      <c r="S662" s="163" t="inlineStr">
        <is>
          <t>សូមបញ្ចូលពាក្យសម្ងាត់បច្ចុប្បន្ន</t>
        </is>
      </c>
    </row>
    <row r="663" ht="15.75" customHeight="1" s="305">
      <c r="A663" s="217" t="inlineStr">
        <is>
          <t>CHANGE_PASSWORD.NEW_PASSWORD</t>
        </is>
      </c>
      <c r="B663" s="153" t="inlineStr">
        <is>
          <t>新密码</t>
        </is>
      </c>
      <c r="C663" s="3" t="inlineStr">
        <is>
          <t>Mật khẩu mới</t>
        </is>
      </c>
      <c r="D663" s="3" t="inlineStr">
        <is>
          <t>New password</t>
        </is>
      </c>
      <c r="E663" s="3" t="inlineStr">
        <is>
          <t>ລະຫັດຜ່ານໃໝ່</t>
        </is>
      </c>
      <c r="F663" s="3" t="inlineStr">
        <is>
          <t>စကားဝှက်အသစ်</t>
        </is>
      </c>
      <c r="G663" s="3">
        <f>IFERROR(__xludf.DUMMYFUNCTION("GOOGLETRANSLATE(C663,""vi"",""km"")"),"ពាក្យសម្ងាត់ថ្មី")</f>
        <v/>
      </c>
      <c r="H663" s="217" t="inlineStr">
        <is>
          <t>លេខសម្ងាត់ថ្មី</t>
        </is>
      </c>
      <c r="J663" s="217" t="inlineStr">
        <is>
          <t>ពាក្យសម្ងាត់ថ្មី</t>
        </is>
      </c>
      <c r="K663" s="217" t="inlineStr">
        <is>
          <t>ពាក្យសម្ងាត់ថ្មី</t>
        </is>
      </c>
      <c r="S663" s="163" t="inlineStr">
        <is>
          <t>ពាក្យសម្ងាត់ថ្មី</t>
        </is>
      </c>
    </row>
    <row r="664" ht="15.75" customHeight="1" s="305">
      <c r="A664" s="217" t="inlineStr">
        <is>
          <t>CHANGE_PASSWORD.NEW_PASSWORD_REQUIRED</t>
        </is>
      </c>
      <c r="B664" s="153" t="inlineStr">
        <is>
          <t>请设置新密码</t>
        </is>
      </c>
      <c r="C664" s="3" t="inlineStr">
        <is>
          <t>Vui lòng nhập mật khẩu mới</t>
        </is>
      </c>
      <c r="D664" s="3" t="inlineStr">
        <is>
          <t>New password is required</t>
        </is>
      </c>
      <c r="E664" s="3" t="inlineStr">
        <is>
          <t>ກະລຸນາໃສ່ລະຫັດຜ່ານໃໝ່</t>
        </is>
      </c>
      <c r="F664" s="3" t="inlineStr">
        <is>
          <t>စကားဝှက်အသစ် လိုအပ်</t>
        </is>
      </c>
      <c r="G664" s="3">
        <f>IFERROR(__xludf.DUMMYFUNCTION("GOOGLETRANSLATE(C664,""vi"",""km"")"),"សូមបញ្ចូលពាក្យសម្ងាត់ថ្មីរបស់អ្នក។")</f>
        <v/>
      </c>
      <c r="H664" s="217" t="inlineStr">
        <is>
          <t>សូមបញ្ចូលលេខសម្ងាត់ថ្មី</t>
        </is>
      </c>
      <c r="J664" s="217" t="inlineStr">
        <is>
          <t>សូមបញ្ចូលពាក្យសម្ងាត់ថ្មី</t>
        </is>
      </c>
      <c r="K664" s="217" t="inlineStr">
        <is>
          <t>សូមបញ្ចូលពាក្យសម្ងាត់ថ្មី</t>
        </is>
      </c>
      <c r="S664" s="163" t="inlineStr">
        <is>
          <t>សូមបញ្ចូលពាក្យសម្ងាត់ថ្មី</t>
        </is>
      </c>
    </row>
    <row r="665" ht="15.75" customHeight="1" s="305">
      <c r="A665" s="217" t="inlineStr">
        <is>
          <t>CHANGE_PASSWORD.RE_NEW_PASSWORD</t>
        </is>
      </c>
      <c r="B665" s="153" t="inlineStr">
        <is>
          <t>确认新密码</t>
        </is>
      </c>
      <c r="C665" s="3" t="inlineStr">
        <is>
          <t>Nhập lại mật khẩu mới</t>
        </is>
      </c>
      <c r="D665" s="3" t="inlineStr">
        <is>
          <t>Re-enter new password</t>
        </is>
      </c>
      <c r="E665" s="3" t="inlineStr">
        <is>
          <t>ໃສ່ລະຫັດຜ່ານໃໝ່ອີກຄັ້ງ</t>
        </is>
      </c>
      <c r="F665" s="3" t="inlineStr">
        <is>
          <t>စကားဝှက်အသစ်ကို ပြန်ထည့်ပါ</t>
        </is>
      </c>
      <c r="G665" s="3">
        <f>IFERROR(__xludf.DUMMYFUNCTION("GOOGLETRANSLATE(C665,""vi"",""km"")"),"បញ្ចូលពាក្យសម្ងាត់ថ្មីរបស់អ្នកឡើងវិញ។")</f>
        <v/>
      </c>
      <c r="H665" s="217" t="inlineStr">
        <is>
          <t>បញ្ចូលលេខសម្ងាត់ថ្មី</t>
        </is>
      </c>
      <c r="J665" s="217" t="inlineStr">
        <is>
          <t>បញ្ចូលពាក្យសម្ងាត់ថ្មី</t>
        </is>
      </c>
      <c r="K665" s="217" t="inlineStr">
        <is>
          <t>បញ្ចូលពាក្យសម្ងាត់ថ្មី</t>
        </is>
      </c>
      <c r="S665" s="163" t="inlineStr">
        <is>
          <t>បញ្ចូលពាក្យសម្ងាត់ថ្មី</t>
        </is>
      </c>
    </row>
    <row r="666" ht="15.75" customHeight="1" s="305">
      <c r="A666" s="217" t="inlineStr">
        <is>
          <t>CHANGE_PASSWORD.RE_NEW_PASSWORD_REQUIRED</t>
        </is>
      </c>
      <c r="B666" s="153" t="inlineStr">
        <is>
          <t>请再次输入新密码</t>
        </is>
      </c>
      <c r="C666" s="3" t="inlineStr">
        <is>
          <t>Vui lòng nhập lại mật khẩu mới</t>
        </is>
      </c>
      <c r="D666" s="3" t="inlineStr">
        <is>
          <t>Re-enter new password is required</t>
        </is>
      </c>
      <c r="E666" s="3" t="inlineStr">
        <is>
          <t>ກະລຸນາໃສ່ລະຫັດຜ່ານໃໝ່ອີກຄັ້ງ</t>
        </is>
      </c>
      <c r="F666" s="3" t="inlineStr">
        <is>
          <t>စကားဝှက်အသစ်လိုအပ်</t>
        </is>
      </c>
      <c r="G666" s="3">
        <f>IFERROR(__xludf.DUMMYFUNCTION("GOOGLETRANSLATE(C666,""vi"",""km"")"),"សូមបញ្ចូលពាក្យសម្ងាត់ថ្មីរបស់អ្នកឡើងវិញ។")</f>
        <v/>
      </c>
      <c r="H666" s="217" t="inlineStr">
        <is>
          <t>សូមបញ្ចូលលេខសម្ងាត់ថ្មី្មម្តងទៀត</t>
        </is>
      </c>
      <c r="J666" s="217" t="inlineStr">
        <is>
          <t>សូមបញ្ចូលពាក្យសម្ងាត់ថ្មី្មម្តងទៀត</t>
        </is>
      </c>
      <c r="K666" s="217" t="inlineStr">
        <is>
          <t>សូមបញ្ចូលពាក្យសម្ងាត់ថ្មី្មម្តងទៀត</t>
        </is>
      </c>
      <c r="S666" s="163" t="inlineStr">
        <is>
          <t>សូមបញ្ចូលពាក្យសម្ងាត់ថ្មី</t>
        </is>
      </c>
    </row>
    <row r="667" ht="15.75" customHeight="1" s="305">
      <c r="A667" s="217" t="inlineStr">
        <is>
          <t>CHANGE_PASSWORD.FORGOT_PASSWORD</t>
        </is>
      </c>
      <c r="B667" s="153" t="inlineStr">
        <is>
          <t>忘记当前密码？</t>
        </is>
      </c>
      <c r="C667" s="3" t="inlineStr">
        <is>
          <t>Quên mật khẩu hiện tại?</t>
        </is>
      </c>
      <c r="D667" s="3" t="inlineStr">
        <is>
          <t>Forgot current password?</t>
        </is>
      </c>
      <c r="E667" s="3" t="inlineStr">
        <is>
          <t>ລືມລະຫັດຜ່ານປັດຈຸບັນຂອງເຈົ້າບໍ?</t>
        </is>
      </c>
      <c r="F667" s="3" t="inlineStr">
        <is>
          <t>လက်ရှိ စကားဝှက်ကို မေ့လျော့ပါသလား</t>
        </is>
      </c>
      <c r="G667" s="3">
        <f>IFERROR(__xludf.DUMMYFUNCTION("GOOGLETRANSLATE(C667,""vi"",""km"")"),"ភ្លេចពាក្យសម្ងាត់បច្ចុប្បន្នរបស់អ្នក?")</f>
        <v/>
      </c>
      <c r="H667" s="217" t="inlineStr">
        <is>
          <t>ភ្លេចលេខសម្ងាត់បច្ចុប្បន្នមែនទេ?</t>
        </is>
      </c>
      <c r="J667" s="217" t="inlineStr">
        <is>
          <t>ភ្លេចពាក្យសម្ងាត់បច្ចុប្បន្នមែនទេ?</t>
        </is>
      </c>
      <c r="K667" s="217" t="inlineStr">
        <is>
          <t>ភ្លេចពាក្យសម្ងាត់បច្ចុប្បន្នមែនទេ?</t>
        </is>
      </c>
      <c r="S667" s="163" t="inlineStr">
        <is>
          <t>ភ្លេចពាក្យសម្ងាត់បច្ចុប្បន្ន?</t>
        </is>
      </c>
    </row>
    <row r="668" ht="15.75" customHeight="1" s="305">
      <c r="A668" s="217" t="inlineStr">
        <is>
          <t>CHANGE_PASSWORD.MAX_LENGTH</t>
        </is>
      </c>
      <c r="B668" s="153" t="inlineStr">
        <is>
          <t>长度 8-20 个字符</t>
        </is>
      </c>
      <c r="C668" s="3" t="inlineStr">
        <is>
          <t>Độ dài từ 8 - 20 ký tự</t>
        </is>
      </c>
      <c r="D668" s="3" t="inlineStr">
        <is>
          <t>Length between 8 - 20 characters</t>
        </is>
      </c>
      <c r="E668" s="3" t="inlineStr">
        <is>
          <t>ຄວາມຍາວຈາກ 8 - 20 ຕົວອັກສອນ</t>
        </is>
      </c>
      <c r="F668" s="3" t="inlineStr">
        <is>
          <t>အက္ခရာ ၈ - ၂၀ အကြား အကြာ</t>
        </is>
      </c>
      <c r="G668" s="3">
        <f>IFERROR(__xludf.DUMMYFUNCTION("GOOGLETRANSLATE(C668,""vi"",""km"")"),"ប្រវែង៖ ៨-២០ តួអក្សរ")</f>
        <v/>
      </c>
      <c r="H668" s="217" t="inlineStr">
        <is>
          <t>ចាប់ពី 8-20 តួលេខអក្សរ</t>
        </is>
      </c>
      <c r="J668" s="3" t="inlineStr">
        <is>
          <t>ចាប់ពី 8-20 តួលេខអក្សរ</t>
        </is>
      </c>
      <c r="K668" s="217" t="inlineStr">
        <is>
          <t>ចាប់ពី 8-20 តួលេខអក្សរ</t>
        </is>
      </c>
      <c r="S668" s="163" t="inlineStr">
        <is>
          <t>ប្រវែងពី 8 ទៅ 20 តួអក្សរ</t>
        </is>
      </c>
    </row>
    <row r="669" ht="15.75" customHeight="1" s="305">
      <c r="A669" s="217" t="inlineStr">
        <is>
          <t>CHANGE_PASSWORD.WORD_CASE</t>
        </is>
      </c>
      <c r="B669" s="153" t="inlineStr">
        <is>
          <t>包含大写字母 (A-Z) 和小写字母 (a-z)</t>
        </is>
      </c>
      <c r="C669" s="3" t="inlineStr">
        <is>
          <t>Gồm ký tự viết hoa (A-Z) và viết thường (a-z)</t>
        </is>
      </c>
      <c r="D669" s="3" t="inlineStr">
        <is>
          <t>Includes uppercase (A-Z) and lowercase (a-z) characters</t>
        </is>
      </c>
      <c r="E669" s="3" t="inlineStr">
        <is>
          <t>ລວມມີຕົວພິມໃຫຍ່ (A-Z) ແລະຕົວພິມນ້ອຍ (a-z).</t>
        </is>
      </c>
      <c r="F669" s="3" t="inlineStr">
        <is>
          <t>Includes uppercase (A-Z) and lowercase (a-z) characters</t>
        </is>
      </c>
      <c r="G669" s="3">
        <f>IFERROR(__xludf.DUMMYFUNCTION("GOOGLETRANSLATE(C669,""vi"",""km"")"),"រួមបញ្ចូលអក្សរធំ (A-Z) និងអក្សរតូច (a-z)។")</f>
        <v/>
      </c>
      <c r="H669" s="159">
        <f>IFERROR(__xludf.DUMMYFUNCTION("GOOGLETRANSLATE(D669,""vi"",""km"")"),"រួមបញ្ចូលតួអក្សរធំ (A-Z) និងអក្សរតូច (a-z)")</f>
        <v/>
      </c>
      <c r="J669" s="3" t="inlineStr">
        <is>
          <t>រួមបញ្ចូលតួអក្សរធំ (A-Z) និងអក្សរតូច (a-z)</t>
        </is>
      </c>
      <c r="K669" s="217" t="inlineStr">
        <is>
          <t>រួមបញ្ចូលតួអក្សរធំ (A-Z) និងអក្សរតូច (a-z)</t>
        </is>
      </c>
      <c r="S669" s="163" t="inlineStr">
        <is>
          <t>រួមបញ្ចូលអក្សរធំ (A-Z) និងអក្សរតូច (a-z)</t>
        </is>
      </c>
    </row>
    <row r="670" ht="15.75" customHeight="1" s="305">
      <c r="A670" s="217" t="inlineStr">
        <is>
          <t>CHANGE_PASSWORD.NUMBER_CASE</t>
        </is>
      </c>
      <c r="B670" s="153" t="inlineStr">
        <is>
          <t>包含数字 (0-9) 和特殊字符</t>
        </is>
      </c>
      <c r="C670" s="3" t="inlineStr">
        <is>
          <t>Gồm ký tự số (0-9) và ký tự đặc biệt</t>
        </is>
      </c>
      <c r="D670" s="3" t="inlineStr">
        <is>
          <t>Includes numbers (0-9) and special characters</t>
        </is>
      </c>
      <c r="E670" s="3" t="inlineStr">
        <is>
          <t>ລວມມີຕົວອັກສອນ (0-9) ແລະຕົວອັກສອນພິເສດ</t>
        </is>
      </c>
      <c r="F670" s="3" t="inlineStr">
        <is>
          <t>Includes numbers (0-9) and special characters</t>
        </is>
      </c>
      <c r="G670" s="3">
        <f>IFERROR(__xludf.DUMMYFUNCTION("GOOGLETRANSLATE(C670,""vi"",""km"")"),"រួមបញ្ចូលតួអក្សរលេខ (០-៩) និងតួអក្សរពិសេស")</f>
        <v/>
      </c>
      <c r="H670" s="159">
        <f>IFERROR(__xludf.DUMMYFUNCTION("GOOGLETRANSLATE(D670,""vi"",""km"")"),"រួមបញ្ចូលលេខ (០-៩) និងតួអក្សរពិសេស")</f>
        <v/>
      </c>
      <c r="J670" s="3" t="inlineStr">
        <is>
          <t>រួមបញ្ចូលលេខ (០-៩) និងតួអក្សរពិសេស</t>
        </is>
      </c>
      <c r="K670" s="217" t="inlineStr">
        <is>
          <t>រួមបញ្ចូលលេខ (០-៩) និងតួអក្សរពិសេស</t>
        </is>
      </c>
      <c r="S670" s="163" t="inlineStr">
        <is>
          <t>រួមបញ្ចូលតួអក្សរលេខ (0-9) និងតួអក្សរពិសេស</t>
        </is>
      </c>
    </row>
    <row r="671" ht="15.75" customHeight="1" s="305">
      <c r="A671" s="217" t="inlineStr">
        <is>
          <t>CHANGE_PASSWORD.EXCLUDE_CASE</t>
        </is>
      </c>
      <c r="B671" s="153" t="inlineStr">
        <is>
          <t>不能包含空格和带重音符号的字母</t>
        </is>
      </c>
      <c r="C671" s="3" t="inlineStr">
        <is>
          <t>Không gồm khoảng trắng và ký tự chữ có dấu</t>
        </is>
      </c>
      <c r="D671" s="3" t="inlineStr">
        <is>
          <t>Does not include spaces or accented characters</t>
        </is>
      </c>
      <c r="E671" s="3" t="inlineStr">
        <is>
          <t>ບໍ່ລວມເອົາຍະຫວ່າງ ແລະຕົວອັກສອນສຳນຽງ</t>
        </is>
      </c>
      <c r="F671" s="3" t="inlineStr">
        <is>
          <t>Does not include spaces or accented characters</t>
        </is>
      </c>
      <c r="G671" s="3">
        <f>IFERROR(__xludf.DUMMYFUNCTION("GOOGLETRANSLATE(C671,""vi"",""km"")"),"មិនរាប់បញ្ចូលចន្លោះ និងតួអក្សរដែលមានការសង្កត់សំឡេងទេ។")</f>
        <v/>
      </c>
      <c r="H671" s="3" t="inlineStr">
        <is>
          <t>មិនរាប់បញ្ចូលចន្លោះនិងអក្សរដែលមានសញ្ញា</t>
        </is>
      </c>
      <c r="J671" s="3" t="inlineStr">
        <is>
          <t>មិនរាប់បញ្ចូលចន្លោះនិងអក្សរដែលមានសញ្ញា</t>
        </is>
      </c>
      <c r="K671" s="217" t="inlineStr">
        <is>
          <t>មិនរាប់បញ្ចូលចន្លោះនិងអក្សរដែលមានសញ្ញា</t>
        </is>
      </c>
      <c r="S671" s="163" t="inlineStr">
        <is>
          <t>មិនរួមបញ្ចូលដកឃ្លា និងតួអក្សរសង្កត់សំឡេង</t>
        </is>
      </c>
    </row>
    <row r="672" ht="15.75" customHeight="1" s="305">
      <c r="A672" s="217" t="inlineStr">
        <is>
          <t>CHANGE_PASSWORD.PASSWORD_INVALID</t>
        </is>
      </c>
      <c r="B672" s="153" t="inlineStr">
        <is>
          <t>密码格式不符合要求</t>
        </is>
      </c>
      <c r="C672" s="3" t="inlineStr">
        <is>
          <t>Mật khẩu không hợp lệ</t>
        </is>
      </c>
      <c r="D672" s="3" t="inlineStr">
        <is>
          <t>Password is invalid</t>
        </is>
      </c>
      <c r="E672" s="3" t="inlineStr">
        <is>
          <t>ລະຫັດຜ່ານບໍ່ຖືກຕ້ອງ</t>
        </is>
      </c>
      <c r="F672" s="3" t="inlineStr">
        <is>
          <t>စကားဝှက်သည် မတရား</t>
        </is>
      </c>
      <c r="G672" s="3">
        <f>IFERROR(__xludf.DUMMYFUNCTION("GOOGLETRANSLATE(C672,""vi"",""km"")"),"ពាក្យសម្ងាត់មិនត្រឹមត្រូវ")</f>
        <v/>
      </c>
      <c r="H672" s="217" t="inlineStr">
        <is>
          <t>លេខសម្ងាត់មិនត្រឹមត្រូវ</t>
        </is>
      </c>
      <c r="J672" s="217" t="inlineStr">
        <is>
          <t>ពាក្យសម្ងាត់មិនត្រឹមត្រូវ</t>
        </is>
      </c>
      <c r="K672" s="217" t="inlineStr">
        <is>
          <t>ពាក្យសម្ងាត់មិនត្រឹមត្រូវ</t>
        </is>
      </c>
      <c r="S672" s="163" t="inlineStr">
        <is>
          <t>ពាក្យសម្ងាត់មិនត្រឹមត្រូវ</t>
        </is>
      </c>
    </row>
    <row r="673" ht="15.75" customHeight="1" s="305">
      <c r="A673" s="217" t="inlineStr">
        <is>
          <t>CHANGE_PASSWORD.PASSWORD_NOT_MATCH</t>
        </is>
      </c>
      <c r="B673" s="153" t="inlineStr">
        <is>
          <t>两次输入的密码不一致</t>
        </is>
      </c>
      <c r="C673" s="3" t="inlineStr">
        <is>
          <t>Mật khẩu không trùng khớp</t>
        </is>
      </c>
      <c r="D673" s="3" t="inlineStr">
        <is>
          <t>Password does not match</t>
        </is>
      </c>
      <c r="E673" s="3" t="inlineStr">
        <is>
          <t>ລະຫັດຜ່ານບໍ່ກົງກັນ</t>
        </is>
      </c>
      <c r="F673" s="3" t="inlineStr">
        <is>
          <t>စကားဝှက်သည် မကိုက်ညီ</t>
        </is>
      </c>
      <c r="G673" s="3">
        <f>IFERROR(__xludf.DUMMYFUNCTION("GOOGLETRANSLATE(C673,""vi"",""km"")"),"ពាក្យសម្ងាត់មិនត្រូវគ្នា។")</f>
        <v/>
      </c>
      <c r="H673" s="159">
        <f>IFERROR(__xludf.DUMMYFUNCTION("GOOGLETRANSLATE(D673,""vi"",""km"")"),"ពាក្យសម្ងាត់មិនត្រូវគ្នាទេ")</f>
        <v/>
      </c>
      <c r="J673" s="3" t="inlineStr">
        <is>
          <t>ពាក្យសម្ងាត់មិនដូចគ្នាទេ</t>
        </is>
      </c>
      <c r="K673" s="217" t="inlineStr">
        <is>
          <t>ពាក្យសម្ងាត់មិនដូចគ្នាទេ</t>
        </is>
      </c>
      <c r="S673" s="163" t="inlineStr">
        <is>
          <t>ពាក្យសម្ងាត់មិនត្រូវគ្នាទេ</t>
        </is>
      </c>
    </row>
    <row r="674" ht="15.75" customHeight="1" s="305">
      <c r="A674" s="217" t="inlineStr">
        <is>
          <t>CHANGE_PASSWORD.PASSWORD_DUPLICATE</t>
        </is>
      </c>
      <c r="B674" s="153" t="inlineStr">
        <is>
          <t>新密码不能与旧密码相同</t>
        </is>
      </c>
      <c r="C674" s="3" t="inlineStr">
        <is>
          <t>Mật khẩu mới không được trùng với mật khẩu cũ</t>
        </is>
      </c>
      <c r="D674" s="3" t="inlineStr">
        <is>
          <t>New password must be different from old password</t>
        </is>
      </c>
      <c r="E674" s="3" t="inlineStr">
        <is>
          <t>ລະຫັດຜ່ານໃໝ່ບໍ່ສາມາດຄືກັບລະຫັດຜ່ານເກົ່າໄດ້.</t>
        </is>
      </c>
      <c r="F674" s="3" t="inlineStr">
        <is>
          <t>စကားဝှက်အသစ်သည် စကားဝှက်ဟောင်းနှင့် ခြားနားရမည်</t>
        </is>
      </c>
      <c r="G674" s="3">
        <f>IFERROR(__xludf.DUMMYFUNCTION("GOOGLETRANSLATE(C674,""vi"",""km"")"),"ពាក្យសម្ងាត់ថ្មីមិនត្រូវដូចគ្នានឹងពាក្យសម្ងាត់ចាស់ទេ។")</f>
        <v/>
      </c>
      <c r="H674" s="217" t="inlineStr">
        <is>
          <t>លេខសម្ងាត់ថ្មី្មមិនត្រូវដូចគ្នាជាមួយលេខសម្ងាត់ចាស់បានទេ</t>
        </is>
      </c>
      <c r="J674" s="217" t="inlineStr">
        <is>
          <t>ពាក្យសម្ងាត់ថ្មី្មមិនត្រូវដូចគ្នាជាមួយពាក្យសម្ងាត់ចាស់បានទេ</t>
        </is>
      </c>
      <c r="K674" s="217" t="inlineStr">
        <is>
          <t>ពាក្យសម្ងាត់ថ្មី្មមិនត្រូវដូចគ្នាជាមួយពាក្យសម្ងាត់ចាស់បានទេ</t>
        </is>
      </c>
      <c r="S674" s="163" t="inlineStr">
        <is>
          <t>ពាក្យសម្ងាត់ថ្មីមិនត្រូវដូចពាក្យសម្ងាត់ចាស់ទេ។</t>
        </is>
      </c>
    </row>
    <row r="675" ht="15.75" customHeight="1" s="305">
      <c r="A675" s="217" t="inlineStr">
        <is>
          <t>CHANGE_PASSWORD.PASSWORD_REQUIRED</t>
        </is>
      </c>
      <c r="B675" s="153" t="inlineStr">
        <is>
          <t>密码不能为空</t>
        </is>
      </c>
      <c r="C675" s="3" t="inlineStr">
        <is>
          <t>Mật khẩu không được để trống</t>
        </is>
      </c>
      <c r="D675" s="3" t="inlineStr">
        <is>
          <t>Password is required</t>
        </is>
      </c>
      <c r="E675" s="3" t="inlineStr">
        <is>
          <t>ລະຫັດຜ່ານບໍ່ສາມາດປະໄວ້ຫວ່າງໄດ້</t>
        </is>
      </c>
      <c r="F675" s="3" t="n"/>
      <c r="G675" s="3">
        <f>IFERROR(__xludf.DUMMYFUNCTION("GOOGLETRANSLATE(C675,""vi"",""km"")"),"ពាក្យសម្ងាត់មិនអាចទុកចោលទទេបានទេ។")</f>
        <v/>
      </c>
      <c r="H675" s="217" t="inlineStr">
        <is>
          <t>លេខសម្ងាត់មិនអាចទុកចន្លោះបាន</t>
        </is>
      </c>
      <c r="J675" s="217" t="inlineStr">
        <is>
          <t>ពាក្យសម្ងាត់មិនអាចទុកចន្លោះបាន</t>
        </is>
      </c>
      <c r="K675" s="217" t="inlineStr">
        <is>
          <t>ពាក្យសម្ងាត់មិនអាចទុកចន្លោះបាន</t>
        </is>
      </c>
      <c r="S675" s="163" t="inlineStr">
        <is>
          <t>ពាក្យសម្ងាត់មិនត្រូវទទេទេ</t>
        </is>
      </c>
    </row>
    <row r="676" ht="15.75" customHeight="1" s="305">
      <c r="A676" s="217" t="inlineStr">
        <is>
          <t>CHANGE_PASSWORD.SUCCESS</t>
        </is>
      </c>
      <c r="B676" s="153" t="inlineStr">
        <is>
          <t>操作成功</t>
        </is>
      </c>
      <c r="C676" s="3" t="inlineStr">
        <is>
          <t>Thành công</t>
        </is>
      </c>
      <c r="D676" s="3" t="inlineStr">
        <is>
          <t>Success</t>
        </is>
      </c>
      <c r="E676" s="3" t="inlineStr">
        <is>
          <t>ສຳເລັດ</t>
        </is>
      </c>
      <c r="F676" s="3" t="inlineStr">
        <is>
          <t>အောင်မြင်မှု</t>
        </is>
      </c>
      <c r="G676" s="3">
        <f>IFERROR(__xludf.DUMMYFUNCTION("GOOGLETRANSLATE(C676,""vi"",""km"")"),"ជោគជ័យ")</f>
        <v/>
      </c>
      <c r="H676" s="217" t="inlineStr">
        <is>
          <t>ជោគជ័យ</t>
        </is>
      </c>
      <c r="J676" s="3" t="inlineStr">
        <is>
          <t>ជោគជ័យ</t>
        </is>
      </c>
      <c r="K676" s="217" t="inlineStr">
        <is>
          <t>ជោគជ័យ</t>
        </is>
      </c>
      <c r="S676" s="163" t="inlineStr">
        <is>
          <t>ជោគជ័យ</t>
        </is>
      </c>
    </row>
    <row r="677" ht="15.75" customHeight="1" s="305">
      <c r="A677" s="217" t="inlineStr">
        <is>
          <t>CHANGE_PASSWORD.PASSWORD_UPDATED_SUCCESSFULLY</t>
        </is>
      </c>
      <c r="B677" s="153" t="inlineStr">
        <is>
          <t>密码修改成功</t>
        </is>
      </c>
      <c r="C677" s="3" t="inlineStr">
        <is>
          <t>Quý khách đã đổi mật khẩu mới thành công</t>
        </is>
      </c>
      <c r="D677" s="3" t="inlineStr">
        <is>
          <t>Your password has been successfully changed</t>
        </is>
      </c>
      <c r="E677" s="3" t="inlineStr">
        <is>
          <t>ທ່ານໄດ້ປ່ຽນລະຫັດຜ່ານຂອງທ່ານສຳເລັດແລ້ວ.</t>
        </is>
      </c>
      <c r="F677" s="3" t="inlineStr">
        <is>
          <t>သင်၏စကားဝှက်ကို အောင်မြင်စွာပြောင်းလဲခဲ့ပြီ</t>
        </is>
      </c>
      <c r="G677" s="3">
        <f>IFERROR(__xludf.DUMMYFUNCTION("GOOGLETRANSLATE(C677,""vi"",""km"")"),"អ្នកបានផ្លាស់ប្តូរពាក្យសម្ងាត់របស់អ្នកដោយជោគជ័យ។")</f>
        <v/>
      </c>
      <c r="H677" s="217" t="inlineStr">
        <is>
          <t>អតិថិជនបានប្តូរលេខសម្ងាត់បានជោគជ័យ</t>
        </is>
      </c>
      <c r="J677" s="217" t="inlineStr">
        <is>
          <t>អតិថិជនបានប្តូរពាក្យសម្ងាត់បានជោគជ័យ</t>
        </is>
      </c>
      <c r="K677" s="217" t="inlineStr">
        <is>
          <t>អតិថិជនបានប្តូរពាក្យសម្ងាត់បានជោគជ័យ</t>
        </is>
      </c>
      <c r="S677" s="163" t="inlineStr">
        <is>
          <t>អ្នកបានផ្លាស់ប្តូរពាក្យសម្ងាត់ថ្មីរបស់អ្នកដោយជោគជ័យ</t>
        </is>
      </c>
    </row>
    <row r="678" ht="15.75" customHeight="1" s="305">
      <c r="A678" s="217" t="inlineStr">
        <is>
          <t>CHANGE_PASSWORD.PASSWORD_ADDED_SUCCESSFULLY</t>
        </is>
      </c>
      <c r="B678" s="153" t="inlineStr">
        <is>
          <t>密码设置成功</t>
        </is>
      </c>
      <c r="C678" s="3" t="inlineStr">
        <is>
          <t>Quý khách đã đặt mật khẩu thành công</t>
        </is>
      </c>
      <c r="D678" s="3" t="inlineStr">
        <is>
          <t>Your password has been successfully set</t>
        </is>
      </c>
      <c r="E678" s="3" t="inlineStr">
        <is>
          <t>ທ່ານໄດ້ຕັ້ງລະຫັດຜ່ານຂອງທ່ານສຳເລັດແລ້ວ.</t>
        </is>
      </c>
      <c r="F678" s="3" t="inlineStr">
        <is>
          <t>သင့် စကားဝှက်ကို အောင်မြင်စွာ သတ်မှတ်ထားပြီ</t>
        </is>
      </c>
      <c r="G678" s="3">
        <f>IFERROR(__xludf.DUMMYFUNCTION("GOOGLETRANSLATE(C678,""vi"",""km"")"),"អ្នកបានកំណត់ពាក្យសម្ងាត់របស់អ្នកដោយជោគជ័យ។")</f>
        <v/>
      </c>
      <c r="H678" s="217" t="inlineStr">
        <is>
          <t>អតិថិជនបានបង្កើតលេខសម្ងាត់បានជោគជ័យ</t>
        </is>
      </c>
      <c r="J678" s="217" t="inlineStr">
        <is>
          <t>អតិថិជនបានបង្កើតពាក្យសម្ងាត់បានជោគជ័យ</t>
        </is>
      </c>
      <c r="K678" s="217" t="inlineStr">
        <is>
          <t>អតិថិជនបានបង្កើតពាក្យសម្ងាត់បានជោគជ័យ</t>
        </is>
      </c>
      <c r="S678" s="163" t="inlineStr">
        <is>
          <t>អ្នកបានកំណត់ពាក្យសម្ងាត់របស់អ្នកដោយជោគជ័យ</t>
        </is>
      </c>
    </row>
    <row r="679" ht="15.75" customHeight="1" s="305">
      <c r="A679" s="217" t="inlineStr">
        <is>
          <t>LOGIN_DEVICES.LOGIN_DEVICE_LIST</t>
        </is>
      </c>
      <c r="B679" s="153" t="inlineStr">
        <is>
          <t>登录设备管理</t>
        </is>
      </c>
      <c r="C679" s="3" t="inlineStr">
        <is>
          <t>Danh sách thiết bị đăng nhập</t>
        </is>
      </c>
      <c r="D679" s="3" t="inlineStr">
        <is>
          <t>Login Devices</t>
        </is>
      </c>
      <c r="E679" s="3" t="inlineStr">
        <is>
          <t>ລາຍຊື່ອຸປະກອນເຂົ້າສູ່ລະບົບ</t>
        </is>
      </c>
      <c r="F679" s="3" t="inlineStr">
        <is>
          <t>လော့ဂင်ကိရိယာများ</t>
        </is>
      </c>
      <c r="G679" s="3">
        <f>IFERROR(__xludf.DUMMYFUNCTION("GOOGLETRANSLATE(C679,""vi"",""km"")"),"បញ្ជីឧបករណ៍ដែលបានចូល")</f>
        <v/>
      </c>
      <c r="H679" s="217" t="inlineStr">
        <is>
          <t>បញ្ជីឧបករណ៍ដែលចុចចូល</t>
        </is>
      </c>
      <c r="J679" s="3" t="inlineStr">
        <is>
          <t>បញ្ជីឧបករណ៍ដែលចុចចូល</t>
        </is>
      </c>
      <c r="K679" s="217" t="inlineStr">
        <is>
          <t>បញ្ជីឧបករណ៍ដែលចុចចូល</t>
        </is>
      </c>
      <c r="S679" s="163" t="inlineStr">
        <is>
          <t>បញ្ជីឧបករណ៍ដែលបានចូល</t>
        </is>
      </c>
    </row>
    <row r="680" ht="15.75" customHeight="1" s="305">
      <c r="A680" s="217" t="inlineStr">
        <is>
          <t>LOGIN_DEVICES.DEVICE</t>
        </is>
      </c>
      <c r="B680" s="153" t="inlineStr">
        <is>
          <t>设备</t>
        </is>
      </c>
      <c r="C680" s="3" t="inlineStr">
        <is>
          <t>Thiết bị</t>
        </is>
      </c>
      <c r="D680" s="3" t="inlineStr">
        <is>
          <t>Device</t>
        </is>
      </c>
      <c r="E680" s="3" t="inlineStr">
        <is>
          <t>ອຸປະກອນ</t>
        </is>
      </c>
      <c r="F680" s="3" t="inlineStr">
        <is>
          <t>ကိရိယာ</t>
        </is>
      </c>
      <c r="G680" s="3">
        <f>IFERROR(__xludf.DUMMYFUNCTION("GOOGLETRANSLATE(C680,""vi"",""km"")"),"ឧបករណ៍")</f>
        <v/>
      </c>
      <c r="H680" s="217" t="inlineStr">
        <is>
          <t>ឧបករណ៍</t>
        </is>
      </c>
      <c r="J680" s="3" t="inlineStr">
        <is>
          <t>ឧបករណ៍</t>
        </is>
      </c>
      <c r="K680" s="217" t="inlineStr">
        <is>
          <t>ឧបករណ៍</t>
        </is>
      </c>
      <c r="S680" s="163" t="inlineStr">
        <is>
          <t>ឧបករណ៍</t>
        </is>
      </c>
    </row>
    <row r="681" ht="15.75" customHeight="1" s="305">
      <c r="A681" s="217" t="inlineStr">
        <is>
          <t>LOGIN_DEVICES.SCAN_TO_LOGIN</t>
        </is>
      </c>
      <c r="B681" s="153" t="inlineStr">
        <is>
          <t>扫描二维码登录 VTP 网页版</t>
        </is>
      </c>
      <c r="C681" s="3" t="inlineStr">
        <is>
          <t>Quét QR để đăng nhập Web Metfone Express</t>
        </is>
      </c>
      <c r="D681" s="3" t="inlineStr">
        <is>
          <t>Scan QR to log in to Metfone Express Web</t>
        </is>
      </c>
      <c r="E681" s="3" t="inlineStr">
        <is>
          <t>ສະແກນ QR ເພື່ອເຂົ້າສູ່ລະບົບ Web VTP</t>
        </is>
      </c>
      <c r="F681" s="3" t="inlineStr">
        <is>
          <t>ဗီတီပီ ဝက်ဘ်ထဲဝင်ဖို့ Scan QR</t>
        </is>
      </c>
      <c r="G681" s="3">
        <f>IFERROR(__xludf.DUMMYFUNCTION("GOOGLETRANSLATE(C681,""vi"",""km"")"),"ស្កេនលេខកូដ QR ដើម្បីចូលទៅក្នុងគេហទំព័រ Metfone Express។")</f>
        <v/>
      </c>
      <c r="H681" s="217" t="inlineStr">
        <is>
          <t>ស្កេន QR ដើម្បីចុចចូល Web Metfone Express</t>
        </is>
      </c>
      <c r="J681" s="3" t="inlineStr">
        <is>
          <t>ស្កេន QR ដើម្បីចុចចូល Web Metfone Express</t>
        </is>
      </c>
      <c r="K681" s="217" t="inlineStr">
        <is>
          <t>ស្កេន QR ដើម្បីចុចចូល Web Metfone Express</t>
        </is>
      </c>
      <c r="S681" s="163" t="inlineStr">
        <is>
          <t>ស្កែន QR ដើម្បីចូលគេហទំព័រ Metfone Express</t>
        </is>
      </c>
    </row>
    <row r="682" ht="15.75" customHeight="1" s="305">
      <c r="A682" s="217" t="inlineStr">
        <is>
          <t>LOGIN_DEVICES.LINK_WEB</t>
        </is>
      </c>
      <c r="B682" s="161" t="inlineStr">
        <is>
          <t>VTP网页链接</t>
        </is>
      </c>
      <c r="C682" s="3" t="inlineStr">
        <is>
          <t>Link Metfone Express Web</t>
        </is>
      </c>
      <c r="D682" s="3" t="inlineStr">
        <is>
          <t>Metfone Express Web Link</t>
        </is>
      </c>
      <c r="E682" s="3" t="inlineStr">
        <is>
          <t>ລິ້ງເວັບ VTP</t>
        </is>
      </c>
      <c r="F682" s="3" t="inlineStr">
        <is>
          <t>VTP Web Lik</t>
        </is>
      </c>
      <c r="G682" s="3">
        <f>IFERROR(__xludf.DUMMYFUNCTION("GOOGLETRANSLATE(C682,""vi"",""km"")"),"តំណភ្ជាប់គេហទំព័រ Metfone Express")</f>
        <v/>
      </c>
      <c r="H682" s="3" t="inlineStr">
        <is>
          <t>Link Metfone Express Web</t>
        </is>
      </c>
      <c r="J682" s="3" t="inlineStr">
        <is>
          <t>Link Metfone Express Web</t>
        </is>
      </c>
      <c r="K682" s="217" t="inlineStr">
        <is>
          <t>Link Metfone Express Web</t>
        </is>
      </c>
      <c r="S682" s="163" t="inlineStr">
        <is>
          <t>បណ្តាញភ្ជាប់ Metfone Express</t>
        </is>
      </c>
    </row>
    <row r="683" ht="15.75" customHeight="1" s="305">
      <c r="A683" s="217" t="inlineStr">
        <is>
          <t>LOGIN_DEVICES.DEVICE_LIST</t>
        </is>
      </c>
      <c r="B683" s="153" t="inlineStr">
        <is>
          <t>设备列表</t>
        </is>
      </c>
      <c r="C683" s="3" t="inlineStr">
        <is>
          <t>Danh sách thiết bị</t>
        </is>
      </c>
      <c r="D683" s="3" t="inlineStr">
        <is>
          <t>Device List</t>
        </is>
      </c>
      <c r="E683" s="3" t="inlineStr">
        <is>
          <t>ລາຍຊື່ອຸປະກອນ</t>
        </is>
      </c>
      <c r="F683" s="3" t="inlineStr">
        <is>
          <t>စက်ကိရိယာစာရင်း</t>
        </is>
      </c>
      <c r="G683" s="3">
        <f>IFERROR(__xludf.DUMMYFUNCTION("GOOGLETRANSLATE(C683,""vi"",""km"")"),"បញ្ជីឧបករណ៍")</f>
        <v/>
      </c>
      <c r="H683" s="217" t="inlineStr">
        <is>
          <t>បញ្ជីឧបករណ៍</t>
        </is>
      </c>
      <c r="J683" s="3" t="inlineStr">
        <is>
          <t>បញ្ជីឧបករណ៍</t>
        </is>
      </c>
      <c r="K683" s="217" t="inlineStr">
        <is>
          <t>បញ្ជីឧបករណ៍</t>
        </is>
      </c>
      <c r="S683" s="163" t="inlineStr">
        <is>
          <t>បញ្ជីឧបករណ៍</t>
        </is>
      </c>
    </row>
    <row r="684" ht="15.75" customHeight="1" s="305">
      <c r="A684" s="217" t="inlineStr">
        <is>
          <t>LOGIN_DEVICES.MANAGE_EXISTING_DEVICE</t>
        </is>
      </c>
      <c r="B684" s="153" t="inlineStr">
        <is>
          <t>管理当前已登录您 ViettelPost 账户的所有设备。</t>
        </is>
      </c>
      <c r="C684" s="3" t="inlineStr">
        <is>
          <t>Quản lý các thiết bị đang đăng nhập tài khoản Metfone Express của quý khách.</t>
        </is>
      </c>
      <c r="D684" s="3" t="inlineStr">
        <is>
          <t>Manage devices currently logged into your Metfone Express account.</t>
        </is>
      </c>
      <c r="E684" s="3" t="inlineStr">
        <is>
          <t>ຈັດການອຸປະກອນທີ່ເຂົ້າສູ່ລະບົບບັນຊີ ViettelPost ຂອງທ່ານ.</t>
        </is>
      </c>
      <c r="F684" s="3" t="inlineStr">
        <is>
          <t>သင်၏ ဗီယက်တဲလ်ပေါ့စ် အကောင့်ထဲသို့ လောလောဆယ် ထည့်သွင်းထားသော ကိရိယာများကို စီမံခန့်ခွဲပါ။</t>
        </is>
      </c>
      <c r="G684" s="3">
        <f>IFERROR(__xludf.DUMMYFUNCTION("GOOGLETRANSLATE(C684,""vi"",""km"")"),"គ្រប់គ្រងឧបករណ៍ដែលបានចូលទៅក្នុងគណនី Metfone Express របស់អ្នកនាពេលបច្ចុប្បន្ន។")</f>
        <v/>
      </c>
      <c r="H684" s="217" t="inlineStr">
        <is>
          <t>គ្រប់គ្រងឧបករណ៍ទាំងអស់ដែលបានចុចចូលក្នុងគណនី Metfone Express របស់អតិថិជន</t>
        </is>
      </c>
      <c r="J684" s="3" t="inlineStr">
        <is>
          <t>គ្រប់គ្រងឧបករណ៍ទាំងអស់ដែលបានចុចចូលក្នុងគណនី Metfone Express របស់អតិថិជន</t>
        </is>
      </c>
      <c r="K684" s="217" t="inlineStr">
        <is>
          <t>គ្រប់គ្រងឧបករណ៍ទាំងអស់ដែលបានចុចចូលក្នុងគណនី Metfone Express របស់អតិថិជន</t>
        </is>
      </c>
      <c r="S684" s="163" t="inlineStr">
        <is>
          <t>គ្រប់គ្រងឧបករណ៍ដែលកំពុងចូលគណនី Metfone Express របស់អ្នក</t>
        </is>
      </c>
    </row>
    <row r="685" ht="15.75" customHeight="1" s="305">
      <c r="A685" s="217" t="inlineStr">
        <is>
          <t>LOGIN_DEVICES.LAST_SEEN</t>
        </is>
      </c>
      <c r="B685" s="161" t="inlineStr">
        <is>
          <t>{{time}}前</t>
        </is>
      </c>
      <c r="C685" s="3" t="inlineStr">
        <is>
          <t>{{time}} trước</t>
        </is>
      </c>
      <c r="D685" s="3" t="inlineStr">
        <is>
          <t>{{time}} ago</t>
        </is>
      </c>
      <c r="E685" s="3" t="inlineStr">
        <is>
          <t>{{time}} ກ່ອນ</t>
        </is>
      </c>
      <c r="F685" s="3" t="inlineStr">
        <is>
          <t>{{time}} ခန့်မျှ</t>
        </is>
      </c>
      <c r="G685" s="3">
        <f>IFERROR(__xludf.DUMMYFUNCTION("GOOGLETRANSLATE(C685,""vi"",""km"")"),"មុន {{ពេលវេលា}}")</f>
        <v/>
      </c>
      <c r="H685" s="3" t="inlineStr">
        <is>
          <t>{{time}} មុន</t>
        </is>
      </c>
      <c r="J685" s="3" t="inlineStr">
        <is>
          <t>{{time}} មុន</t>
        </is>
      </c>
      <c r="K685" s="217" t="inlineStr">
        <is>
          <t>{{time}} មុន</t>
        </is>
      </c>
      <c r="S685" s="163" t="inlineStr">
        <is>
          <t>{{time}} កន្លងទៅ</t>
        </is>
      </c>
    </row>
    <row r="686" ht="15.75" customHeight="1" s="305">
      <c r="A686" s="217" t="inlineStr">
        <is>
          <t>LOGIN_DEVICES.LOGOUT_OTHER_DEVICES</t>
        </is>
      </c>
      <c r="B686" s="153" t="inlineStr">
        <is>
          <t>其他设备全部退出登录</t>
        </is>
      </c>
      <c r="C686" s="3" t="inlineStr">
        <is>
          <t>Đăng xuất khỏi các thiết bị khác</t>
        </is>
      </c>
      <c r="D686" s="3" t="inlineStr">
        <is>
          <t>Log out from other devices</t>
        </is>
      </c>
      <c r="E686" s="3" t="inlineStr">
        <is>
          <t>ອອກຈາກລະບົບອຸປະກອນອື່ນ</t>
        </is>
      </c>
      <c r="F686" s="3" t="inlineStr">
        <is>
          <t>အခြားကိရိယာများမှ ထုတ်ယူပါ</t>
        </is>
      </c>
      <c r="G686" s="3">
        <f>IFERROR(__xludf.DUMMYFUNCTION("GOOGLETRANSLATE(C686,""vi"",""km"")"),"ចេញពីឧបករណ៍ផ្សេងទៀត។")</f>
        <v/>
      </c>
      <c r="H686" s="217" t="inlineStr">
        <is>
          <t>ចាកចេញពីឧបករណ៍ផ្សេងទៀត</t>
        </is>
      </c>
      <c r="J686" s="3" t="inlineStr">
        <is>
          <t>ចាកចេញពីឧបករណ៍ផ្សេងទៀត</t>
        </is>
      </c>
      <c r="K686" s="217" t="inlineStr">
        <is>
          <t>ចាកចេញពីឧបករណ៍ផ្សេងទៀត</t>
        </is>
      </c>
      <c r="S686" s="163" t="inlineStr">
        <is>
          <t>ចេញពីឧបករណ៍ផ្សេងទៀត</t>
        </is>
      </c>
    </row>
    <row r="687" ht="15.75" customHeight="1" s="305">
      <c r="A687" s="217" t="inlineStr">
        <is>
          <t>LOGIN_DEVICES.LOGOUT_THIS_DEVICE</t>
        </is>
      </c>
      <c r="B687" s="153" t="inlineStr">
        <is>
          <t>退出登录</t>
        </is>
      </c>
      <c r="C687" s="3" t="inlineStr">
        <is>
          <t>Đăng xuất khỏi thiết bị này</t>
        </is>
      </c>
      <c r="D687" s="3" t="inlineStr">
        <is>
          <t>Log out from this device</t>
        </is>
      </c>
      <c r="E687" s="3" t="inlineStr">
        <is>
          <t>ອອກຈາກລະບົບອຸປະກອນນີ້</t>
        </is>
      </c>
      <c r="F687" s="3" t="inlineStr">
        <is>
          <t>ဒီကိရိယာကနေ ထုတ်ယူပါ</t>
        </is>
      </c>
      <c r="G687" s="3">
        <f>IFERROR(__xludf.DUMMYFUNCTION("GOOGLETRANSLATE(C687,""vi"",""km"")"),"ចេញពីឧបករណ៍នេះ")</f>
        <v/>
      </c>
      <c r="H687" s="217" t="inlineStr">
        <is>
          <t>ចាកចេញពីឧបករណ៍នេះ</t>
        </is>
      </c>
      <c r="J687" s="3" t="inlineStr">
        <is>
          <t>ចាកចេញពីឧបករណ៍នេះ</t>
        </is>
      </c>
      <c r="K687" s="217" t="inlineStr">
        <is>
          <t>ចាកចេញពីឧបករណ៍នេះ</t>
        </is>
      </c>
      <c r="S687" s="163" t="inlineStr">
        <is>
          <t>ចេញពីឧបករណ៍នេះ</t>
        </is>
      </c>
    </row>
    <row r="688" ht="15.75" customHeight="1" s="305">
      <c r="A688" s="217" t="inlineStr">
        <is>
          <t>LOGIN_DEVICES.SETTING</t>
        </is>
      </c>
      <c r="B688" s="153" t="inlineStr">
        <is>
          <t>设置</t>
        </is>
      </c>
      <c r="C688" s="3" t="inlineStr">
        <is>
          <t>Cài đặt</t>
        </is>
      </c>
      <c r="D688" s="3" t="inlineStr">
        <is>
          <t>Settings</t>
        </is>
      </c>
      <c r="E688" s="3" t="inlineStr">
        <is>
          <t>ການຕັ້ງຄ່າ</t>
        </is>
      </c>
      <c r="F688" s="3" t="inlineStr">
        <is>
          <t>သတ်မှတ်ချက်များ</t>
        </is>
      </c>
      <c r="G688" s="3">
        <f>IFERROR(__xludf.DUMMYFUNCTION("GOOGLETRANSLATE(C688,""vi"",""km"")"),"ការកំណត់")</f>
        <v/>
      </c>
      <c r="H688" s="217" t="inlineStr">
        <is>
          <t>ការកំណត់</t>
        </is>
      </c>
      <c r="J688" s="3" t="inlineStr">
        <is>
          <t>ការកំណត់</t>
        </is>
      </c>
      <c r="K688" s="217" t="inlineStr">
        <is>
          <t>ការកំណត់</t>
        </is>
      </c>
      <c r="S688" s="163" t="inlineStr">
        <is>
          <t>ការកំណត់</t>
        </is>
      </c>
    </row>
    <row r="689" ht="15.75" customHeight="1" s="305">
      <c r="A689" s="217" t="inlineStr">
        <is>
          <t>LOGIN_DEVICES.AUTO_LOGOUT_SETTING</t>
        </is>
      </c>
      <c r="B689" s="153" t="inlineStr">
        <is>
          <t>自动退出登录设置</t>
        </is>
      </c>
      <c r="C689" s="3" t="inlineStr">
        <is>
          <t>Cài đặt tự động đăng xuất</t>
        </is>
      </c>
      <c r="D689" s="3" t="inlineStr">
        <is>
          <t>Auto Logout Settings</t>
        </is>
      </c>
      <c r="E689" s="3" t="inlineStr">
        <is>
          <t>ຕັ້ງຄ່າການອອກຈາກລະບົບອັດຕະໂນມັດ</t>
        </is>
      </c>
      <c r="F689" s="3" t="inlineStr">
        <is>
          <t>အလိုလျောက်ထွက်ခွာခြင်း သတ်မှတ်ချက်များ</t>
        </is>
      </c>
      <c r="G689" s="3">
        <f>IFERROR(__xludf.DUMMYFUNCTION("GOOGLETRANSLATE(C689,""vi"",""km"")"),"រៀបចំការចាកចេញដោយស្វ័យប្រវត្តិ")</f>
        <v/>
      </c>
      <c r="J689" s="3" t="inlineStr">
        <is>
          <t>ការកំណត់ការចេញដោយស្វ័យប្រវត្តិ</t>
        </is>
      </c>
      <c r="K689" s="217" t="inlineStr">
        <is>
          <t>ការកំណត់ការចេញដោយស្វ័យប្រវត្តិ</t>
        </is>
      </c>
      <c r="S689" s="163" t="inlineStr">
        <is>
          <t>ការកំណត់ការចេញដោយស្វ័យប្រវត្តិ</t>
        </is>
      </c>
    </row>
    <row r="690" ht="15.75" customHeight="1" s="305">
      <c r="A690" s="217" t="inlineStr">
        <is>
          <t>LOGIN_DEVICES.CURRENT_DEVICE</t>
        </is>
      </c>
      <c r="B690" s="153" t="inlineStr">
        <is>
          <t>当前设备</t>
        </is>
      </c>
      <c r="C690" s="3" t="inlineStr">
        <is>
          <t>Thiết bị hiện tại</t>
        </is>
      </c>
      <c r="D690" s="3" t="inlineStr">
        <is>
          <t>Current Device</t>
        </is>
      </c>
      <c r="E690" s="3" t="inlineStr">
        <is>
          <t>ອຸປະກອນປະຈຸບັນ</t>
        </is>
      </c>
      <c r="F690" s="3" t="inlineStr">
        <is>
          <t>လက်ရှိကိရိယာ</t>
        </is>
      </c>
      <c r="G690" s="3">
        <f>IFERROR(__xludf.DUMMYFUNCTION("GOOGLETRANSLATE(C690,""vi"",""km"")"),"ឧបករណ៍បច្ចុប្បន្ន")</f>
        <v/>
      </c>
      <c r="H690" s="217" t="inlineStr">
        <is>
          <t>ឧបករណ៍បច្ចុប្បន្ន</t>
        </is>
      </c>
      <c r="J690" s="3" t="inlineStr">
        <is>
          <t>ឧបករណ៍បច្ចុប្បន្ន</t>
        </is>
      </c>
      <c r="K690" s="217" t="inlineStr">
        <is>
          <t>ឧបករណ៍បច្ចុប្បន្ន</t>
        </is>
      </c>
      <c r="S690" s="163" t="inlineStr">
        <is>
          <t>ឧបករណ៍បច្ចុប្បន្ន</t>
        </is>
      </c>
    </row>
    <row r="691" ht="15.75" customHeight="1" s="305">
      <c r="A691" s="217" t="inlineStr">
        <is>
          <t>LOGIN_DEVICES.LOGIN_TIME</t>
        </is>
      </c>
      <c r="B691" s="153" t="inlineStr">
        <is>
          <t>登录时间</t>
        </is>
      </c>
      <c r="C691" s="3" t="inlineStr">
        <is>
          <t>Thời gian đăng nhập</t>
        </is>
      </c>
      <c r="D691" s="3" t="inlineStr">
        <is>
          <t>Login Time</t>
        </is>
      </c>
      <c r="E691" s="3" t="inlineStr">
        <is>
          <t>ເວລາເຂົ້າສູ່ລະບົບ</t>
        </is>
      </c>
      <c r="F691" s="3" t="inlineStr">
        <is>
          <t>Logg Time</t>
        </is>
      </c>
      <c r="G691" s="3">
        <f>IFERROR(__xludf.DUMMYFUNCTION("GOOGLETRANSLATE(C691,""vi"",""km"")"),"ពេលវេលាចូល")</f>
        <v/>
      </c>
      <c r="H691" s="217" t="inlineStr">
        <is>
          <t>ពេលវេលាចុចចូល</t>
        </is>
      </c>
      <c r="J691" s="3" t="inlineStr">
        <is>
          <t>ពេលវេលាចុចចូល</t>
        </is>
      </c>
      <c r="K691" s="217" t="inlineStr">
        <is>
          <t>ពេលវេលាចុចចូល</t>
        </is>
      </c>
      <c r="S691" s="163" t="inlineStr">
        <is>
          <t>ចូលពេលវេលា</t>
        </is>
      </c>
    </row>
    <row r="692" ht="15.75" customHeight="1" s="305">
      <c r="A692" s="217" t="inlineStr">
        <is>
          <t>LOGIN_DEVICES.IP_ADDRESS</t>
        </is>
      </c>
      <c r="B692" s="161" t="inlineStr">
        <is>
          <t>IP 地址</t>
        </is>
      </c>
      <c r="C692" s="3" t="inlineStr">
        <is>
          <t>Địa chỉ IP</t>
        </is>
      </c>
      <c r="D692" s="3" t="inlineStr">
        <is>
          <t>IP Address</t>
        </is>
      </c>
      <c r="E692" s="3" t="inlineStr">
        <is>
          <t>ທີ່ຢູ່ IP</t>
        </is>
      </c>
      <c r="F692" s="3" t="inlineStr">
        <is>
          <t>IP လိပ်စာ</t>
        </is>
      </c>
      <c r="G692" s="3">
        <f>IFERROR(__xludf.DUMMYFUNCTION("GOOGLETRANSLATE(C692,""vi"",""km"")"),"អាសយដ្ឋាន IP")</f>
        <v/>
      </c>
      <c r="H692" s="217" t="inlineStr">
        <is>
          <t xml:space="preserve">អាស័យដ្ឋាន IP </t>
        </is>
      </c>
      <c r="J692" s="3" t="inlineStr">
        <is>
          <t>អាសយដ្ឋាន IP</t>
        </is>
      </c>
      <c r="K692" s="217" t="inlineStr">
        <is>
          <t>អាសយដ្ឋាន IP</t>
        </is>
      </c>
      <c r="S692" s="163" t="inlineStr">
        <is>
          <t>អាសយដ្ឋាន IP</t>
        </is>
      </c>
    </row>
    <row r="693" ht="15.75" customHeight="1" s="305">
      <c r="A693" s="217" t="inlineStr">
        <is>
          <t>LOGIN_DEVICES.DEVICE_DETAIL</t>
        </is>
      </c>
      <c r="B693" s="153" t="inlineStr">
        <is>
          <t>设备详情</t>
        </is>
      </c>
      <c r="C693" s="3" t="inlineStr">
        <is>
          <t>Chi tiết thiết bị</t>
        </is>
      </c>
      <c r="D693" s="3" t="inlineStr">
        <is>
          <t>Device Details</t>
        </is>
      </c>
      <c r="E693" s="3" t="inlineStr">
        <is>
          <t>ລາຍລະອຽດອຸປະກອນ</t>
        </is>
      </c>
      <c r="F693" s="3" t="inlineStr">
        <is>
          <t>ကိရိယာ အသေးစိတ်အချက်အလက်များ</t>
        </is>
      </c>
      <c r="G693" s="3">
        <f>IFERROR(__xludf.DUMMYFUNCTION("GOOGLETRANSLATE(C693,""vi"",""km"")"),"ព័ត៌មានលម្អិតអំពីឧបករណ៍")</f>
        <v/>
      </c>
      <c r="H693" s="217" t="inlineStr">
        <is>
          <t>លម្អិតពីឧបករណ៍</t>
        </is>
      </c>
      <c r="J693" s="3" t="inlineStr">
        <is>
          <t>លម្អិតពីឧបករណ៍</t>
        </is>
      </c>
      <c r="K693" s="217" t="inlineStr">
        <is>
          <t>លម្អិតពីឧបករណ៍</t>
        </is>
      </c>
      <c r="S693" s="163" t="inlineStr">
        <is>
          <t>ព័ត៌មានលម្អិតអំពីឧបករណ៍</t>
        </is>
      </c>
    </row>
    <row r="694" ht="15.75" customHeight="1" s="305">
      <c r="A694" s="217" t="inlineStr">
        <is>
          <t>LOGIN_DEVICES.LOGOUT_OF_DEVICE</t>
        </is>
      </c>
      <c r="B694" s="153" t="inlineStr">
        <is>
          <t>退出此设备</t>
        </is>
      </c>
      <c r="C694" s="3" t="inlineStr">
        <is>
          <t>Đăng xuất khỏi thiết bị</t>
        </is>
      </c>
      <c r="D694" s="3" t="inlineStr">
        <is>
          <t>Log out from device</t>
        </is>
      </c>
      <c r="E694" s="3" t="inlineStr">
        <is>
          <t>ອອກຈາກລະບົບອຸປະກອນ</t>
        </is>
      </c>
      <c r="F694" s="3" t="inlineStr">
        <is>
          <t>Device ကနေ ထုတ်ယူပါ</t>
        </is>
      </c>
      <c r="G694" s="3">
        <f>IFERROR(__xludf.DUMMYFUNCTION("GOOGLETRANSLATE(C694,""vi"",""km"")"),"ចាកចេញពីឧបករណ៍។")</f>
        <v/>
      </c>
      <c r="H694" s="217" t="inlineStr">
        <is>
          <t>ចាកចេញពីឧបករណ៍</t>
        </is>
      </c>
      <c r="J694" s="3" t="inlineStr">
        <is>
          <t>ចាកចេញពីឧបករណ៍</t>
        </is>
      </c>
      <c r="K694" s="217" t="inlineStr">
        <is>
          <t>ចាកចេញពីឧបករណ៍</t>
        </is>
      </c>
      <c r="S694" s="163" t="inlineStr">
        <is>
          <t>ចេញពីឧបករណ៍</t>
        </is>
      </c>
    </row>
    <row r="695" ht="15.75" customHeight="1" s="305">
      <c r="A695" s="217" t="inlineStr">
        <is>
          <t>LOGIN_DEVICES.CONFIRM_LOGOUT_THIS_DEVICE</t>
        </is>
      </c>
      <c r="B695" s="153" t="inlineStr">
        <is>
          <t>确定要退出此设备吗？</t>
        </is>
      </c>
      <c r="C695" s="3" t="inlineStr">
        <is>
          <t>Quý khách có chắc chắn muốn đăng xuất khỏi thiết bị</t>
        </is>
      </c>
      <c r="D695" s="3" t="inlineStr">
        <is>
          <t>Are you sure you want to log out from the device</t>
        </is>
      </c>
      <c r="E695" s="3" t="inlineStr">
        <is>
          <t>ທ່ານແນ່ໃຈບໍ່ວ່າຕ້ອງການອອກຈາກລະບົບອຸປະກອນຂອງທ່ານ?</t>
        </is>
      </c>
      <c r="F695" s="3" t="inlineStr">
        <is>
          <t>ဒီ Device ကနေ ထွက်ချင်တယ်ဆိုတာ သေချာသလား</t>
        </is>
      </c>
      <c r="G695" s="3">
        <f>IFERROR(__xludf.DUMMYFUNCTION("GOOGLETRANSLATE(C695,""vi"",""km"")"),"តើអ្នកពិតជាចង់ចេញពីឧបករណ៍មែនទេ?")</f>
        <v/>
      </c>
      <c r="H695" s="217" t="inlineStr">
        <is>
          <t>តើអតិថិជនពិតជាចង់ចាក់ចេញពីឧបករណ៍នេះមែនទេ</t>
        </is>
      </c>
      <c r="J695" s="3" t="inlineStr">
        <is>
          <t>តើអតិថិជនពិតជាចង់ចាក់ចេញពីឧបករណ៍នេះមែនទេ</t>
        </is>
      </c>
      <c r="K695" s="217" t="inlineStr">
        <is>
          <t>តើអតិថិជនពិតជាចង់ចាក់ចេញពីឧបករណ៍នេះមែនទេ</t>
        </is>
      </c>
      <c r="S695" s="163" t="inlineStr">
        <is>
          <t>តើអ្នកប្រាកដទេថាអ្នកចង់ចេញពីឧបករណ៍នេះ</t>
        </is>
      </c>
    </row>
    <row r="696" ht="15.75" customHeight="1" s="305">
      <c r="A696" s="217" t="inlineStr">
        <is>
          <t>LOGIN_DEVICES.CONFIRM_LOGOUT_ALL_DEVICES</t>
        </is>
      </c>
      <c r="B696" s="153" t="inlineStr">
        <is>
          <t>确定要退出所有其他设备吗？</t>
        </is>
      </c>
      <c r="C696" s="3" t="inlineStr">
        <is>
          <t>Quý khách có chắc chắn muốn đăng xuất khỏi toàn bộ thiết bị?</t>
        </is>
      </c>
      <c r="D696" s="3" t="inlineStr">
        <is>
          <t>Are you sure you want to log out from all devices?</t>
        </is>
      </c>
      <c r="E696" s="3" t="inlineStr">
        <is>
          <t>ທ່ານແນ່ໃຈບໍ່ວ່າຕ້ອງການອອກຈາກລະບົບອຸປະກອນທັງໝົດ?</t>
        </is>
      </c>
      <c r="F696" s="3" t="inlineStr">
        <is>
          <t>Deviceအားလုံးကနေ ထွက်ချင်တယ်ဆိုတာ သေချာလား။</t>
        </is>
      </c>
      <c r="G696" s="3">
        <f>IFERROR(__xludf.DUMMYFUNCTION("GOOGLETRANSLATE(C696,""vi"",""km"")"),"តើអ្នកពិតជាចង់ចេញពីឧបករណ៍ទាំងអស់មែនទេ?")</f>
        <v/>
      </c>
      <c r="H696" s="217" t="inlineStr">
        <is>
          <t>តើអតិថិជនពិតជាចង់ចាក់ចេញពីឧបករណ៍នេះទាំងអស់ មែនទេ?</t>
        </is>
      </c>
      <c r="J696" s="3" t="inlineStr">
        <is>
          <t>តើអតិថិជនពិតជាចង់ចាក់ចេញពីឧបករណ៍នេះទាំងអស់ មែនទេ?</t>
        </is>
      </c>
      <c r="K696" s="217" t="inlineStr">
        <is>
          <t>តើអតិថិជនពិតជាចង់ចាក់ចេញពីឧបករណ៍នេះទាំងអស់ មែនទេ?</t>
        </is>
      </c>
      <c r="S696" s="163" t="inlineStr">
        <is>
          <t>តើអ្នកប្រាកដថាចង់ចេញពីឧបករណ៍ទាំងអស់មែនទេ?</t>
        </is>
      </c>
    </row>
    <row r="697" ht="15.75" customHeight="1" s="305">
      <c r="A697" s="217" t="inlineStr">
        <is>
          <t>LOGIN_DEVICES.LOGOUT_AND_DELETE_ALL</t>
        </is>
      </c>
      <c r="B697" s="153" t="inlineStr">
        <is>
          <t>此操作将使所有其他设备（除当前设备外）退出登录。</t>
        </is>
      </c>
      <c r="C697" s="3" t="inlineStr">
        <is>
          <t>Đăng xuất và xóa toàn bộ tài khoản trên các thiết bị khác, trừ thiết bị hiện tại</t>
        </is>
      </c>
      <c r="D697" s="3" t="inlineStr">
        <is>
          <t>Log out and delete all accounts from other devices, except the current device</t>
        </is>
      </c>
      <c r="E697" s="3" t="inlineStr">
        <is>
          <t>ອອກຈາກລະບົບ ແລະລຶບບັນຊີທັງໝົດຢູ່ໃນອຸປະກອນອື່ນ ຍົກເວັ້ນອຸປະກອນປັດຈຸບັນ</t>
        </is>
      </c>
      <c r="F697" s="3" t="inlineStr">
        <is>
          <t>လက်ရှိ Device မှလွဲ၍ အခြား Device များမှ အကောင့်အားလုံးကို ဖျက်ပစ်ပါ</t>
        </is>
      </c>
      <c r="G697" s="3">
        <f>IFERROR(__xludf.DUMMYFUNCTION("GOOGLETRANSLATE(C697,""vi"",""km"")"),"ចាកចេញ ហើយលុបគណនីទាំងអស់នៅលើឧបករណ៍ផ្សេងទៀតទាំងអស់ លើកលែងតែឧបករណ៍បច្ចុប្បន្ន។")</f>
        <v/>
      </c>
      <c r="H697" s="3" t="inlineStr">
        <is>
          <t>ចាកចេញ ហើយលុបគណនីទាំងអស់នៅលើឧបករណ៍ផ្សេងទៀតទាំងអស់ លើកលែងតែឧបករណ៍បច្ចុប្បន្ន។</t>
        </is>
      </c>
      <c r="J697" s="3" t="inlineStr">
        <is>
          <t>ចាកចេញ ហើយលុបគណនីទាំងអស់នៅលើឧបករណ៍ផ្សេងទៀតទាំងអស់ លើកលែងតែឧបករណ៍បច្ចុប្បន្ន។</t>
        </is>
      </c>
      <c r="K697" s="217" t="inlineStr">
        <is>
          <t>ចាកចេញ ហើយលុបគណនីទាំងអស់នៅលើឧបករណ៍ផ្សេងទៀតទាំងអស់ លើកលែងតែឧបករណ៍បច្ចុប្បន្ន។</t>
        </is>
      </c>
      <c r="S697" s="163" t="inlineStr">
        <is>
          <t>ចេញ និងលុបគណនីទាំងអស់នៅលើឧបករណ៍ផ្សេងទៀត លើកលែងតែឧបករណ៍បច្ចុប្បន្ន</t>
        </is>
      </c>
    </row>
    <row r="698" ht="15.75" customHeight="1" s="305">
      <c r="A698" s="217" t="inlineStr">
        <is>
          <t>LOGIN_DEVICES.AUTO_LOGOUT_TIME</t>
        </is>
      </c>
      <c r="B698" s="153" t="inlineStr">
        <is>
          <t>确定要退出设备 "{{device}}" 吗？</t>
        </is>
      </c>
      <c r="C698" s="3" t="inlineStr">
        <is>
          <t>Quý khách có chắc chắn muốn đăng xuất khỏi thiết bị {{device}} ?</t>
        </is>
      </c>
      <c r="D698" s="3" t="inlineStr">
        <is>
          <t>Are you sure you want to log out from the device {{device}}?</t>
        </is>
      </c>
      <c r="E698" s="3" t="inlineStr">
        <is>
          <t>ທ່ານແນ່ໃຈບໍ່ວ່າຕ້ອງການອອກຈາກລະບົບອຸປະກອນ {{device}} ?</t>
        </is>
      </c>
      <c r="F698" s="3" t="inlineStr">
        <is>
          <t>តើ​អ្នក​ប្រាកដ​ជា​ចង់​ចេញ​ពី​ឧបករណ៍ {{device}} ទេ?</t>
        </is>
      </c>
      <c r="G698" s="3">
        <f>IFERROR(__xludf.DUMMYFUNCTION("GOOGLETRANSLATE(C698,""vi"",""km"")"),"តើអ្នកប្រាកដថាចង់ចេញពីឧបករណ៍របស់អ្នកមែនទេ?")</f>
        <v/>
      </c>
      <c r="H698" s="3" t="inlineStr">
        <is>
          <t>តើអ្នកប្រាកដថាចង់ចេញពីឧបករណ៍របស់អ្នកមែនទេ {{device}} ?</t>
        </is>
      </c>
      <c r="J698" s="3" t="inlineStr">
        <is>
          <t>តើអ្នកប្រាកដថាចង់ចេញពីឧបករណ៍របស់អ្នកមែនទេ {{device}} ?</t>
        </is>
      </c>
      <c r="K698" s="217" t="inlineStr">
        <is>
          <t>តើអ្នកប្រាកដថាចង់ចេញពីឧបករណ៍របស់អ្នកមែនទេ {{device}} ?</t>
        </is>
      </c>
      <c r="S698" s="163" t="inlineStr">
        <is>
          <t>តើអ្នកប្រាកដថាចង់ចេញពី {{device}} ទេ?</t>
        </is>
      </c>
    </row>
    <row r="699" ht="15.75" customHeight="1" s="305">
      <c r="A699" s="217" t="inlineStr">
        <is>
          <t>LOGIN_DEVICES.AUTO_LOGOUT_IF_UNACTIVE</t>
        </is>
      </c>
      <c r="B699" s="153" t="inlineStr">
        <is>
          <t>账户无操作时自动退出登录，时间阈值：</t>
        </is>
      </c>
      <c r="C699" s="3" t="inlineStr">
        <is>
          <t>Tự động đăng xuất tài khoản khỏi thiết bị nếu không hoạt động trong:</t>
        </is>
      </c>
      <c r="D699" s="3" t="inlineStr">
        <is>
          <t>Automatically log out from the device if inactive for:</t>
        </is>
      </c>
      <c r="E699" s="3" t="inlineStr">
        <is>
          <t>ອອກຈາກລະບົບອັດຕະໂນມັດຈາກອຸປະກອນຖ້າບໍ່ເຄື່ອນໄຫວສໍາລັບ:</t>
        </is>
      </c>
      <c r="F699" s="3" t="inlineStr">
        <is>
          <t>မလှုပ်မရှားဖြစ်နေပါက Device ကနေ အလိုအလျောက် ထုတ်ယူပါ</t>
        </is>
      </c>
      <c r="G699" s="3">
        <f>IFERROR(__xludf.DUMMYFUNCTION("GOOGLETRANSLATE(C699,""vi"",""km"")"),"ដកគណនីរបស់អ្នកចេញពីឧបករណ៍ដោយស្វ័យប្រវត្តិ ប្រសិនបើវាអសកម្មក្នុងអំឡុងពេល៖")</f>
        <v/>
      </c>
      <c r="H699" s="3" t="inlineStr">
        <is>
          <t>ដកគណនីរបស់អ្នកចេញពីឧបករណ៍ដោយស្វ័យប្រវត្តិ ប្រសិនបើវាអសកម្មក្នុងអំឡុងពេល៖</t>
        </is>
      </c>
      <c r="J699" s="3" t="inlineStr">
        <is>
          <t>ដកគណនីរបស់អ្នកចេញពីឧបករណ៍ដោយស្វ័យប្រវត្តិ ប្រសិនបើវាអសកម្មក្នុងអំឡុងពេល៖</t>
        </is>
      </c>
      <c r="K699" s="217" t="inlineStr">
        <is>
          <t>ដកគណនីរបស់អ្នកចេញពីឧបករណ៍ដោយស្វ័យប្រវត្តិ ប្រសិនបើវាអសកម្មក្នុងអំឡុងពេល៖</t>
        </is>
      </c>
      <c r="S699" s="163" t="inlineStr">
        <is>
          <t>ចេញពីឧបករណ៍ដោយស្វ័យប្រវត្តិ ប្រសិនបើអសកម្មសម្រាប់៖</t>
        </is>
      </c>
    </row>
    <row r="700" ht="15.75" customHeight="1" s="305">
      <c r="A700" s="217" t="inlineStr">
        <is>
          <t>LOGIN_DEVICES.ONE_WEEK</t>
        </is>
      </c>
      <c r="B700" s="153" t="inlineStr">
        <is>
          <t>一周</t>
        </is>
      </c>
      <c r="C700" s="3" t="inlineStr">
        <is>
          <t>1 tuần</t>
        </is>
      </c>
      <c r="D700" s="3" t="inlineStr">
        <is>
          <t>1 week</t>
        </is>
      </c>
      <c r="E700" s="3" t="inlineStr">
        <is>
          <t>1 ອາທິດ</t>
        </is>
      </c>
      <c r="F700" s="3" t="inlineStr">
        <is>
          <t>၁ ပတ်</t>
        </is>
      </c>
      <c r="G700" s="3">
        <f>IFERROR(__xludf.DUMMYFUNCTION("GOOGLETRANSLATE(C700,""vi"",""km"")"),"១ សប្តាហ៍")</f>
        <v/>
      </c>
      <c r="H700" s="217" t="inlineStr">
        <is>
          <t>១ សប្តាហ៍</t>
        </is>
      </c>
      <c r="J700" s="3" t="inlineStr">
        <is>
          <t>១ សប្តាហ៍</t>
        </is>
      </c>
      <c r="K700" s="217" t="inlineStr">
        <is>
          <t>១ សប្តាហ៍</t>
        </is>
      </c>
      <c r="S700" s="163" t="inlineStr">
        <is>
          <t>1 សប្តាហ៍</t>
        </is>
      </c>
    </row>
    <row r="701" ht="15.75" customHeight="1" s="305">
      <c r="A701" s="217" t="inlineStr">
        <is>
          <t>LOGIN_DEVICES.ONE_MONTH</t>
        </is>
      </c>
      <c r="B701" s="153" t="inlineStr">
        <is>
          <t>一个月</t>
        </is>
      </c>
      <c r="C701" s="3" t="inlineStr">
        <is>
          <t>1 tháng</t>
        </is>
      </c>
      <c r="D701" s="3" t="inlineStr">
        <is>
          <t>1 month</t>
        </is>
      </c>
      <c r="E701" s="3" t="inlineStr">
        <is>
          <t>1 ເດືອນ</t>
        </is>
      </c>
      <c r="F701" s="3" t="inlineStr">
        <is>
          <t>၁ လ</t>
        </is>
      </c>
      <c r="G701" s="3">
        <f>IFERROR(__xludf.DUMMYFUNCTION("GOOGLETRANSLATE(C701,""vi"",""km"")"),"១ ខែ")</f>
        <v/>
      </c>
      <c r="H701" s="217" t="inlineStr">
        <is>
          <t>១ ខែ</t>
        </is>
      </c>
      <c r="J701" s="3" t="inlineStr">
        <is>
          <t>១ ខែ</t>
        </is>
      </c>
      <c r="K701" s="217" t="inlineStr">
        <is>
          <t>១ ខែ</t>
        </is>
      </c>
      <c r="S701" s="163" t="inlineStr">
        <is>
          <t>1 ខែ</t>
        </is>
      </c>
    </row>
    <row r="702" ht="15.75" customHeight="1" s="305">
      <c r="A702" s="217" t="inlineStr">
        <is>
          <t>LOGIN_DEVICES.THREE_MONTH</t>
        </is>
      </c>
      <c r="B702" s="153" t="inlineStr">
        <is>
          <t>三个月</t>
        </is>
      </c>
      <c r="C702" s="3" t="inlineStr">
        <is>
          <t>3 tháng</t>
        </is>
      </c>
      <c r="D702" s="3" t="inlineStr">
        <is>
          <t>3 months</t>
        </is>
      </c>
      <c r="E702" s="3" t="inlineStr">
        <is>
          <t>3 ເດືອນ</t>
        </is>
      </c>
      <c r="F702" s="3" t="inlineStr">
        <is>
          <t>၃ လ</t>
        </is>
      </c>
      <c r="G702" s="3">
        <f>IFERROR(__xludf.DUMMYFUNCTION("GOOGLETRANSLATE(C702,""vi"",""km"")"),"៣ ខែ")</f>
        <v/>
      </c>
      <c r="H702" s="217" t="inlineStr">
        <is>
          <t>៣ ខែ</t>
        </is>
      </c>
      <c r="J702" s="3" t="inlineStr">
        <is>
          <t>៣ ខែ</t>
        </is>
      </c>
      <c r="K702" s="217" t="inlineStr">
        <is>
          <t>៣ ខែ</t>
        </is>
      </c>
      <c r="S702" s="163" t="inlineStr">
        <is>
          <t>3 ខែ</t>
        </is>
      </c>
    </row>
    <row r="703" ht="15.75" customHeight="1" s="305">
      <c r="A703" s="217" t="inlineStr">
        <is>
          <t>LOGIN_DEVICES.SIX_MONTH</t>
        </is>
      </c>
      <c r="B703" s="153" t="inlineStr">
        <is>
          <t>六个月</t>
        </is>
      </c>
      <c r="C703" s="3" t="inlineStr">
        <is>
          <t>6 tháng</t>
        </is>
      </c>
      <c r="D703" s="3" t="inlineStr">
        <is>
          <t>6 months</t>
        </is>
      </c>
      <c r="E703" s="3" t="inlineStr">
        <is>
          <t>6 ເດືອນ</t>
        </is>
      </c>
      <c r="F703" s="3" t="inlineStr">
        <is>
          <t>၆ လ</t>
        </is>
      </c>
      <c r="G703" s="3">
        <f>IFERROR(__xludf.DUMMYFUNCTION("GOOGLETRANSLATE(C703,""vi"",""km"")"),"៦ ខែ")</f>
        <v/>
      </c>
      <c r="H703" s="217" t="inlineStr">
        <is>
          <t>៦ ខែ</t>
        </is>
      </c>
      <c r="J703" s="3" t="inlineStr">
        <is>
          <t>៦ ខែ</t>
        </is>
      </c>
      <c r="K703" s="217" t="inlineStr">
        <is>
          <t>៦ ខែ</t>
        </is>
      </c>
      <c r="S703" s="163" t="inlineStr">
        <is>
          <t>6 ខែ</t>
        </is>
      </c>
    </row>
    <row r="704" ht="15.75" customHeight="1" s="305">
      <c r="A704" s="217" t="inlineStr">
        <is>
          <t>LOGIN_DEVICES.AUTO_LOGOUT_TIMER</t>
        </is>
      </c>
      <c r="B704" s="153" t="inlineStr">
        <is>
          <t>自动退出登录时限</t>
        </is>
      </c>
      <c r="C704" s="3" t="inlineStr">
        <is>
          <t>Thời gian tự động đăng xuất</t>
        </is>
      </c>
      <c r="D704" s="3" t="inlineStr">
        <is>
          <t>Auto Logout Timer</t>
        </is>
      </c>
      <c r="E704" s="3" t="inlineStr">
        <is>
          <t>ເວລາອອກຈາກລະບົບອັດຕະໂນມັດ</t>
        </is>
      </c>
      <c r="F704" s="3" t="inlineStr">
        <is>
          <t>အလိုအလျောက် ထွက်ခွာရန် အချိန်ဇယား</t>
        </is>
      </c>
      <c r="G704" s="3">
        <f>IFERROR(__xludf.DUMMYFUNCTION("GOOGLETRANSLATE(C704,""vi"",""km"")"),"ពេលវេលាចាកចេញដោយស្វ័យប្រវត្តិ")</f>
        <v/>
      </c>
      <c r="H704" s="217" t="inlineStr">
        <is>
          <t>ពេលវេលាចាកចេញដោយស្វ័យប្រវត្តិ</t>
        </is>
      </c>
      <c r="J704" s="3" t="inlineStr">
        <is>
          <t>ពេលវេលាចាកចេញដោយស្វ័យប្រវត្តិ</t>
        </is>
      </c>
      <c r="K704" s="217" t="inlineStr">
        <is>
          <t>ពេលវេលាចាកចេញដោយស្វ័យប្រវត្តិ</t>
        </is>
      </c>
      <c r="S704" s="163" t="inlineStr">
        <is>
          <t>ពេលវេលាចាកចេញដោយស្វ័យប្រវត្តិ</t>
        </is>
      </c>
    </row>
    <row r="705" ht="15.75" customHeight="1" s="305">
      <c r="A705" s="217" t="inlineStr">
        <is>
          <t>LOGIN_DEVICES.SKIP</t>
        </is>
      </c>
      <c r="B705" s="153" t="inlineStr">
        <is>
          <t>跳过</t>
        </is>
      </c>
      <c r="C705" s="3" t="inlineStr">
        <is>
          <t>Bỏ qua</t>
        </is>
      </c>
      <c r="D705" s="3" t="inlineStr">
        <is>
          <t>Skip</t>
        </is>
      </c>
      <c r="E705" s="3" t="inlineStr">
        <is>
          <t>ຂ້າມ</t>
        </is>
      </c>
      <c r="F705" s="3" t="inlineStr">
        <is>
          <t>ကျော်မည်</t>
        </is>
      </c>
      <c r="G705" s="3">
        <f>IFERROR(__xludf.DUMMYFUNCTION("GOOGLETRANSLATE(C705,""vi"",""km"")"),"រំលង")</f>
        <v/>
      </c>
      <c r="H705" s="217" t="inlineStr">
        <is>
          <t>រំលង</t>
        </is>
      </c>
      <c r="J705" s="3" t="inlineStr">
        <is>
          <t>រំលង</t>
        </is>
      </c>
      <c r="K705" s="217" t="inlineStr">
        <is>
          <t>រំលង</t>
        </is>
      </c>
      <c r="S705" s="163" t="inlineStr">
        <is>
          <t>រំលង</t>
        </is>
      </c>
    </row>
    <row r="706" ht="15.75" customHeight="1" s="305">
      <c r="A706" s="217" t="inlineStr">
        <is>
          <t>LOGIN_DEVICES.SEE_ALL</t>
        </is>
      </c>
      <c r="B706" s="153" t="inlineStr">
        <is>
          <t>查看全部</t>
        </is>
      </c>
      <c r="C706" s="3" t="inlineStr">
        <is>
          <t>Xem tất cả</t>
        </is>
      </c>
      <c r="D706" s="3" t="inlineStr">
        <is>
          <t>See All</t>
        </is>
      </c>
      <c r="E706" s="3" t="inlineStr">
        <is>
          <t>ເບິ່ງທັງໝົດ</t>
        </is>
      </c>
      <c r="F706" s="3" t="inlineStr">
        <is>
          <t>အားလုံးကြည့်ရှုပါ</t>
        </is>
      </c>
      <c r="G706" s="3">
        <f>IFERROR(__xludf.DUMMYFUNCTION("GOOGLETRANSLATE(C706,""vi"",""km"")"),"មើលទាំងអស់")</f>
        <v/>
      </c>
      <c r="H706" s="217" t="inlineStr">
        <is>
          <t>មើលទាំងអស់</t>
        </is>
      </c>
      <c r="J706" s="3" t="inlineStr">
        <is>
          <t>មើលទាំងអស់</t>
        </is>
      </c>
      <c r="K706" s="217" t="inlineStr">
        <is>
          <t>មើលទាំងអស់</t>
        </is>
      </c>
      <c r="S706" s="163" t="inlineStr">
        <is>
          <t>មើលទាំងអស់</t>
        </is>
      </c>
    </row>
    <row r="707" ht="15.75" customHeight="1" s="305">
      <c r="A707" s="217" t="inlineStr">
        <is>
          <t>ERROR.UNKNOWN</t>
        </is>
      </c>
      <c r="B707" s="153" t="inlineStr">
        <is>
          <t>操作失败</t>
        </is>
      </c>
      <c r="C707" s="3" t="inlineStr">
        <is>
          <t>Có lỗi xảy ra</t>
        </is>
      </c>
      <c r="D707" s="3" t="inlineStr">
        <is>
          <t>Unknown error</t>
        </is>
      </c>
      <c r="E707" s="3" t="inlineStr">
        <is>
          <t>ເກີດຄວາມຜິດພາດຂຶ້ນ.</t>
        </is>
      </c>
      <c r="F707" s="3" t="inlineStr">
        <is>
          <t>အမည်မသိအမှား</t>
        </is>
      </c>
      <c r="G707" s="3">
        <f>IFERROR(__xludf.DUMMYFUNCTION("GOOGLETRANSLATE(C707,""vi"",""km"")"),"កំហុសមួយបានកើតឡើង។")</f>
        <v/>
      </c>
      <c r="H707" s="217" t="inlineStr">
        <is>
          <t>មានបញ្ហាកើតឡើង</t>
        </is>
      </c>
      <c r="J707" s="3" t="inlineStr">
        <is>
          <t>មានបញ្ហាកើតឡើង</t>
        </is>
      </c>
      <c r="K707" s="217" t="inlineStr">
        <is>
          <t>មានបញ្ហាកើតឡើង</t>
        </is>
      </c>
      <c r="S707" s="163" t="inlineStr">
        <is>
          <t>កំហុសមួយបានកើតឡើង</t>
        </is>
      </c>
    </row>
    <row r="708" ht="15.75" customHeight="1" s="305">
      <c r="A708" s="217" t="inlineStr">
        <is>
          <t>ERROR.PHONE_INVALID</t>
        </is>
      </c>
      <c r="B708" s="153" t="inlineStr">
        <is>
          <t>手机号码格式错误</t>
        </is>
      </c>
      <c r="C708" s="3" t="inlineStr">
        <is>
          <t>Số điện thoại không hợp lệ</t>
        </is>
      </c>
      <c r="D708" s="3" t="inlineStr">
        <is>
          <t>Invalid phone number</t>
        </is>
      </c>
      <c r="E708" s="3" t="inlineStr">
        <is>
          <t>ເບີໂທລະສັບບໍ່ຖືກຕ້ອງ</t>
        </is>
      </c>
      <c r="F708" s="3" t="n"/>
      <c r="G708" s="3">
        <f>IFERROR(__xludf.DUMMYFUNCTION("GOOGLETRANSLATE(C708,""vi"",""km"")"),"លេខទូរស័ព្ទមិនត្រឹមត្រូវ")</f>
        <v/>
      </c>
      <c r="H708" s="217" t="inlineStr">
        <is>
          <t>លេខទូរស័ព្ទមិនត្រឹមត្រូវ</t>
        </is>
      </c>
      <c r="J708" s="3" t="inlineStr">
        <is>
          <t>លេខទូរស័ព្ទមិនត្រឹមត្រូវ</t>
        </is>
      </c>
      <c r="K708" s="217" t="inlineStr">
        <is>
          <t>លេខទូរស័ព្ទមិនត្រឹមត្រូវ</t>
        </is>
      </c>
      <c r="S708" s="163" t="inlineStr">
        <is>
          <t>លេខទូរស័ព្ទមិនត្រឹមត្រូវ</t>
        </is>
      </c>
    </row>
    <row r="709" ht="15.75" customHeight="1" s="305">
      <c r="A709" s="217" t="inlineStr">
        <is>
          <t>ERROR.PASSWORD_INVALID</t>
        </is>
      </c>
      <c r="B709" s="153" t="inlineStr">
        <is>
          <t>密码错误</t>
        </is>
      </c>
      <c r="C709" s="3" t="inlineStr">
        <is>
          <t>Mật khẩu không chính xác</t>
        </is>
      </c>
      <c r="D709" s="3" t="inlineStr">
        <is>
          <t>Password is incorrect</t>
        </is>
      </c>
      <c r="E709" s="3" t="inlineStr">
        <is>
          <t>ລະຫັດຜ່ານບໍ່ຖືກຕ້ອງ</t>
        </is>
      </c>
      <c r="F709" s="3" t="n"/>
      <c r="G709" s="3">
        <f>IFERROR(__xludf.DUMMYFUNCTION("GOOGLETRANSLATE(C709,""vi"",""km"")"),"ពាក្យសម្ងាត់មិនត្រឹមត្រូវ")</f>
        <v/>
      </c>
      <c r="H709" s="217" t="inlineStr">
        <is>
          <t>ពាក្យសម្ងាត់មិនត្រឹមត្រូវ</t>
        </is>
      </c>
      <c r="J709" s="3" t="inlineStr">
        <is>
          <t>ពាក្យសម្ងាត់មិនត្រឹមត្រូវ</t>
        </is>
      </c>
      <c r="K709" s="217" t="inlineStr">
        <is>
          <t>ពាក្យសម្ងាត់មិនត្រឹមត្រូវ</t>
        </is>
      </c>
      <c r="S709" s="163" t="inlineStr">
        <is>
          <t>ពាក្យសម្ងាត់មិនត្រឹមត្រូវ</t>
        </is>
      </c>
    </row>
    <row r="710" ht="15.75" customHeight="1" s="305">
      <c r="A710" s="217" t="inlineStr">
        <is>
          <t>ERROR.MAX_LENGTH</t>
        </is>
      </c>
      <c r="B710" s="153" t="inlineStr">
        <is>
          <t>最多{{length}}个字符</t>
        </is>
      </c>
      <c r="C710" s="3" t="inlineStr">
        <is>
          <t>tối đa {{length}} ký tự</t>
        </is>
      </c>
      <c r="D710" s="3" t="inlineStr">
        <is>
          <t>max {{length}} characters</t>
        </is>
      </c>
      <c r="E710" s="3" t="inlineStr">
        <is>
          <t>ສູງສຸດ {{length}} ຕົວອັກສອນ</t>
        </is>
      </c>
      <c r="F710" s="3" t="n"/>
      <c r="G710" s="3">
        <f>IFERROR(__xludf.DUMMYFUNCTION("GOOGLETRANSLATE(C710,""vi"",""km"")"),"តួអក្សរអតិបរមា {{length}}")</f>
        <v/>
      </c>
      <c r="H710" s="217" t="inlineStr">
        <is>
          <t>តួអក្សរលេខអតិបរមា {{length}}</t>
        </is>
      </c>
      <c r="J710" s="3" t="inlineStr">
        <is>
          <t>តួអក្សរលេខអតិបរមា {{length}}</t>
        </is>
      </c>
      <c r="K710" s="217" t="inlineStr">
        <is>
          <t>តួអក្សរលេខអតិបរមា {{length}}</t>
        </is>
      </c>
      <c r="S710" s="163" t="inlineStr">
        <is>
          <t>អតិបរមា {{length}} តួអក្សរ</t>
        </is>
      </c>
    </row>
    <row r="711" ht="15.75" customHeight="1" s="305">
      <c r="A711" s="217" t="inlineStr">
        <is>
          <t>ERROR.MIN_LENGTH</t>
        </is>
      </c>
      <c r="B711" s="153" t="inlineStr">
        <is>
          <t>至少{{length}}个字符</t>
        </is>
      </c>
      <c r="C711" s="3" t="inlineStr">
        <is>
          <t>tối thiểu {{length}} ký tự</t>
        </is>
      </c>
      <c r="D711" s="3" t="inlineStr">
        <is>
          <t>min {{length}} characters</t>
        </is>
      </c>
      <c r="E711" s="3" t="inlineStr">
        <is>
          <t>ຕ່ຳສຸດ {{length}} ຕົວອັກສອນ</t>
        </is>
      </c>
      <c r="F711" s="3" t="n"/>
      <c r="G711" s="3">
        <f>IFERROR(__xludf.DUMMYFUNCTION("GOOGLETRANSLATE(C711,""vi"",""km"")"),"តួអក្សរអប្បបរមា {{length}}")</f>
        <v/>
      </c>
      <c r="H711" s="217" t="inlineStr">
        <is>
          <t>តួអក្សរលេខអប្បបរមា {{length}}</t>
        </is>
      </c>
      <c r="J711" s="3" t="inlineStr">
        <is>
          <t>តួអក្សរលេខអប្បបរមា {{length}}</t>
        </is>
      </c>
      <c r="K711" s="217" t="inlineStr">
        <is>
          <t>តួអក្សរលេខអប្បបរមា {{length}}</t>
        </is>
      </c>
      <c r="S711" s="163" t="inlineStr">
        <is>
          <t>អប្បបរមា {{length}} តួអក្សរ</t>
        </is>
      </c>
    </row>
    <row r="712" ht="15.75" customHeight="1" s="305">
      <c r="A712" s="217" t="inlineStr">
        <is>
          <t>ERROR.BOTH_UPPERCASE_LOWERCASE</t>
        </is>
      </c>
      <c r="B712" s="153" t="inlineStr">
        <is>
          <t>需包含大写字母(A-Z)和小写字母(a-z)</t>
        </is>
      </c>
      <c r="C712" s="3" t="inlineStr">
        <is>
          <t>gồm cả chữ hoa(A-Z) và chữ thường(a-z)</t>
        </is>
      </c>
      <c r="D712" s="3" t="inlineStr">
        <is>
          <t>including uppercase (A-Z) and lowercase (a-z)</t>
        </is>
      </c>
      <c r="E712" s="3" t="inlineStr">
        <is>
          <t>ລວມທັງຕົວພິມໃຫຍ່ (A-Z) ແລະຕົວພິມນ້ອຍ (a-z)</t>
        </is>
      </c>
      <c r="F712" s="3" t="n"/>
      <c r="G712" s="3">
        <f>IFERROR(__xludf.DUMMYFUNCTION("GOOGLETRANSLATE(C712,""vi"",""km"")"),"រួមបញ្ចូលទាំងអក្សរធំ (A-Z) និងអក្សរតូច (a-z)។")</f>
        <v/>
      </c>
      <c r="H712" s="217" t="inlineStr">
        <is>
          <t>រួមបញ្ចូលទាំងអក្សរធំ (A-Z) និងអក្សរតូច (a-z)</t>
        </is>
      </c>
      <c r="J712" s="3" t="inlineStr">
        <is>
          <t>រួមបញ្ចូលទាំងអក្សរធំ (A-Z) និងអក្សរតូច (a-z)</t>
        </is>
      </c>
      <c r="K712" s="217" t="inlineStr">
        <is>
          <t>រួមបញ្ចូលទាំងអក្សរធំ (A-Z) និងអក្សរតូច (a-z)</t>
        </is>
      </c>
      <c r="S712" s="163" t="inlineStr">
        <is>
          <t>រួមទាំងអក្សរធំ (A-Z) និងអក្សរតូច (a-z)</t>
        </is>
      </c>
    </row>
    <row r="713" ht="15.75" customHeight="1" s="305">
      <c r="A713" s="217" t="inlineStr">
        <is>
          <t>ERROR.NUMBER_SPECIAL</t>
        </is>
      </c>
      <c r="B713" s="153" t="inlineStr">
        <is>
          <t>需包含数字、字母和特殊字符</t>
        </is>
      </c>
      <c r="C713" s="3" t="inlineStr">
        <is>
          <t>Chứa ký tự số, ký tự chữ và kí tự đặc biệt</t>
        </is>
      </c>
      <c r="D713" s="3" t="inlineStr">
        <is>
          <t>Includes numeric, alphabetic characters and special characters</t>
        </is>
      </c>
      <c r="E713" s="3" t="inlineStr">
        <is>
          <t>ປະກອບດ້ວຍຕົວເລກແລະຕົວອັກສອນ</t>
        </is>
      </c>
      <c r="F713" s="3" t="n"/>
      <c r="G713" s="3">
        <f>IFERROR(__xludf.DUMMYFUNCTION("GOOGLETRANSLATE(C713,""vi"",""km"")"),"មានតួអក្សរលេខ តួអក្សរអក្ខរក្រម និងតួអក្សរពិសេស។")</f>
        <v/>
      </c>
      <c r="H713" s="217" t="inlineStr">
        <is>
          <t>មានតួអក្សរលេខ តួអក្សរ និងសញ្ញាពិសេស</t>
        </is>
      </c>
      <c r="J713" s="3" t="inlineStr">
        <is>
          <t>មានតួអក្សរលេខ តួអក្សរ និងសញ្ញាពិសេស</t>
        </is>
      </c>
      <c r="K713" s="217" t="inlineStr">
        <is>
          <t>មានតួអក្សរលេខ តួអក្សរ និងសញ្ញាពិសេស</t>
        </is>
      </c>
      <c r="S713" s="163" t="inlineStr">
        <is>
          <t>មានលេខ អក្សរ និងតួអក្សរពិសេស</t>
        </is>
      </c>
    </row>
    <row r="714" ht="15.75" customHeight="1" s="305">
      <c r="A714" s="217" t="inlineStr">
        <is>
          <t>ERROR.SPACE_ACCENTED</t>
        </is>
      </c>
      <c r="B714" s="153" t="inlineStr">
        <is>
          <t>不能包含空格和带音调符号的字母</t>
        </is>
      </c>
      <c r="C714" s="3" t="inlineStr">
        <is>
          <t>không gồm khoảng trắng và ký tự chữ có dấu</t>
        </is>
      </c>
      <c r="D714" s="3" t="inlineStr">
        <is>
          <t>Do not include spaces and accented characters</t>
        </is>
      </c>
      <c r="E714" s="3" t="inlineStr">
        <is>
          <t>ບໍ່ລວມເອົາຍະຫວ່າງ ແລະຕົວອັກສອນສຳນຽງ</t>
        </is>
      </c>
      <c r="F714" s="3" t="n"/>
      <c r="G714" s="3">
        <f>IFERROR(__xludf.DUMMYFUNCTION("GOOGLETRANSLATE(C714,""vi"",""km"")"),"មិនរាប់បញ្ចូលចន្លោះ និងតួអក្សរដែលមានការសង្កត់សំឡេង។")</f>
        <v/>
      </c>
      <c r="H714" s="217" t="inlineStr">
        <is>
          <t>មិនរាប់បញ្ចូលចន្លោះ និងតួអក្សរដែលមានការសង្កត់សំឡេង។</t>
        </is>
      </c>
      <c r="J714" s="3" t="inlineStr">
        <is>
          <t>មិនរាប់បញ្ចូលចន្លោះ និងតួអក្សរដែលមានការសង្កត់សំឡេង។</t>
        </is>
      </c>
      <c r="K714" s="217" t="inlineStr">
        <is>
          <t>មិនរាប់បញ្ចូលចន្លោះ និងតួអក្សរដែលមានការសង្កត់សំឡេង។</t>
        </is>
      </c>
      <c r="S714" s="163" t="inlineStr">
        <is>
          <t>មិនរួមបញ្ចូលដកឃ្លា និងអក្សរសង្កត់សំឡេង</t>
        </is>
      </c>
    </row>
    <row r="715" ht="15.75" customHeight="1" s="305">
      <c r="A715" s="217" t="inlineStr">
        <is>
          <t>DELETE_ACCOUNT.NO_OPTIMIZE</t>
        </is>
      </c>
      <c r="B715" s="153" t="inlineStr">
        <is>
          <t>服务未达预期</t>
        </is>
      </c>
      <c r="C715" s="3" t="inlineStr">
        <is>
          <t>Dịch vụ không tối ưu</t>
        </is>
      </c>
      <c r="D715" s="3" t="inlineStr">
        <is>
          <t>Suboptimal service</t>
        </is>
      </c>
      <c r="E715" s="3" t="inlineStr">
        <is>
          <t>ການບໍລິການທີ່ດີທີ່ສຸດ</t>
        </is>
      </c>
      <c r="F715" s="3" t="inlineStr">
        <is>
          <t>ဝန်ဆောင်မှုအနည်းအကျဉ်း</t>
        </is>
      </c>
      <c r="G715" s="3">
        <f>IFERROR(__xludf.DUMMYFUNCTION("GOOGLETRANSLATE(C715,""vi"",""km"")"),"សេវាកម្មមិនល្អ")</f>
        <v/>
      </c>
      <c r="H715" s="18" t="inlineStr">
        <is>
          <t>សេវាកម្ម</t>
        </is>
      </c>
      <c r="J715" s="3" t="inlineStr">
        <is>
          <t>សេវាកម្ម</t>
        </is>
      </c>
      <c r="K715" s="217" t="inlineStr">
        <is>
          <t>សេវាកម្ម</t>
        </is>
      </c>
      <c r="S715" s="163" t="inlineStr">
        <is>
          <t>សេវាកម្មមិនល្អបំផុតទេ</t>
        </is>
      </c>
    </row>
    <row r="716" ht="15.75" customHeight="1" s="305">
      <c r="A716" s="217" t="inlineStr">
        <is>
          <t>DELETE_ACCOUNT.NO_EXPERIENCE</t>
        </is>
      </c>
      <c r="B716" s="153" t="inlineStr">
        <is>
          <t>体验不佳</t>
        </is>
      </c>
      <c r="C716" s="3" t="inlineStr">
        <is>
          <t>Trải nghiệm không phù hợp</t>
        </is>
      </c>
      <c r="D716" s="3" t="inlineStr">
        <is>
          <t>Unsuitable experience</t>
        </is>
      </c>
      <c r="E716" s="3" t="inlineStr">
        <is>
          <t>ປະສົບການທີ່ບໍ່ສອດຄ່ອງ</t>
        </is>
      </c>
      <c r="F716" s="3" t="inlineStr">
        <is>
          <t>မသင့်တော်တဲ့ အတွေ့အကြုံ</t>
        </is>
      </c>
      <c r="G716" s="3">
        <f>IFERROR(__xludf.DUMMYFUNCTION("GOOGLETRANSLATE(C716,""vi"",""km"")"),"បទពិសោធន៍មិនសមរម្យ")</f>
        <v/>
      </c>
      <c r="J716" s="3" t="inlineStr">
        <is>
          <t>បទពិសោធន៍មិនសមរម្យ</t>
        </is>
      </c>
      <c r="K716" s="217" t="inlineStr">
        <is>
          <t>បទពិសោធន៍មិនសមរម្យ</t>
        </is>
      </c>
      <c r="S716" s="163" t="inlineStr">
        <is>
          <t>បទពិសោធន៍មិនសមរម្យ</t>
        </is>
      </c>
    </row>
    <row r="717" ht="15.75" customHeight="1" s="305">
      <c r="A717" s="217" t="inlineStr">
        <is>
          <t>DELETE_ACCOUNT.NO_TAKECARE</t>
        </is>
      </c>
      <c r="B717" s="153" t="inlineStr">
        <is>
          <t>客户服务不周到</t>
        </is>
      </c>
      <c r="C717" s="3" t="inlineStr">
        <is>
          <t>Không được chăm sóc tận tình</t>
        </is>
      </c>
      <c r="D717" s="3" t="inlineStr">
        <is>
          <t>Not receiving attentive care</t>
        </is>
      </c>
      <c r="E717" s="3" t="inlineStr">
        <is>
          <t>ບໍ່​ໄດ້​ຮັບ​ການ​ດູ​ແລ​ດີ</t>
        </is>
      </c>
      <c r="F717" s="3" t="inlineStr">
        <is>
          <t>ဂရုစိုက်စောင့်ရှောက်မှု မရရှိခြင်း</t>
        </is>
      </c>
      <c r="G717" s="3">
        <f>IFERROR(__xludf.DUMMYFUNCTION("GOOGLETRANSLATE(C717,""vi"",""km"")"),"មិនទទួលបានការថែទាំគ្រប់គ្រាន់។")</f>
        <v/>
      </c>
      <c r="J717" s="3" t="inlineStr">
        <is>
          <t>មិនទទួលបានការថែទាំពិសេស</t>
        </is>
      </c>
      <c r="K717" s="217" t="inlineStr">
        <is>
          <t>មិនទទួលបានការថែទាំពិសេស</t>
        </is>
      </c>
      <c r="S717" s="163" t="inlineStr">
        <is>
          <t>មិនទទួលបានការថែទាំពិសេស</t>
        </is>
      </c>
    </row>
    <row r="718" ht="15.75" customHeight="1" s="305">
      <c r="A718" s="217" t="inlineStr">
        <is>
          <t>DELETE_ACCOUNT.NO_USE</t>
        </is>
      </c>
      <c r="B718" s="153" t="inlineStr">
        <is>
          <t>不再有使用需求</t>
        </is>
      </c>
      <c r="C718" s="3" t="inlineStr">
        <is>
          <t>Tôi không còn nhu cầu sử dụng</t>
        </is>
      </c>
      <c r="D718" s="3" t="inlineStr">
        <is>
          <t>I no longer need to use this service</t>
        </is>
      </c>
      <c r="E718" s="3" t="inlineStr">
        <is>
          <t>ຂ້ອຍບໍ່ຈໍາເປັນຕ້ອງໃຊ້ມັນອີກຕໍ່ໄປ</t>
        </is>
      </c>
      <c r="F718" s="3" t="inlineStr">
        <is>
          <t>ဒီဝန်ဆောင်မှုကို သုံးဖို့ မလိုတော့ပါဘူး</t>
        </is>
      </c>
      <c r="G718" s="3">
        <f>IFERROR(__xludf.DUMMYFUNCTION("GOOGLETRANSLATE(C718,""vi"",""km"")"),"ខ្ញុំលែងត្រូវការវាទៀតហើយ។")</f>
        <v/>
      </c>
      <c r="H718" s="217" t="inlineStr">
        <is>
          <t>ខ្ញុំមិនមានសម្រូវការប្រើប្រាស់ទៀតទេ</t>
        </is>
      </c>
      <c r="J718" s="3" t="inlineStr">
        <is>
          <t>ខ្ញុំមិនមានសម្រូវការប្រើប្រាស់ទៀតទេ</t>
        </is>
      </c>
      <c r="K718" s="217" t="inlineStr">
        <is>
          <t>ខ្ញុំមិនមានសម្រូវការប្រើប្រាស់ទៀតទេ</t>
        </is>
      </c>
      <c r="S718" s="163" t="inlineStr">
        <is>
          <t>ខ្ញុំលែងត្រូវការប្រើទៀតហើយ</t>
        </is>
      </c>
    </row>
    <row r="719" ht="15.75" customHeight="1" s="305">
      <c r="A719" s="217" t="inlineStr">
        <is>
          <t>DELETE_ACCOUNT.DIFFERENT</t>
        </is>
      </c>
      <c r="B719" s="153" t="inlineStr">
        <is>
          <t>其他原因</t>
        </is>
      </c>
      <c r="C719" s="3" t="inlineStr">
        <is>
          <t>Khác</t>
        </is>
      </c>
      <c r="D719" s="3" t="inlineStr">
        <is>
          <t>Other</t>
        </is>
      </c>
      <c r="E719" s="3" t="inlineStr">
        <is>
          <t>ອື່ນໆ</t>
        </is>
      </c>
      <c r="F719" s="3" t="inlineStr">
        <is>
          <t>အခြား</t>
        </is>
      </c>
      <c r="G719" s="3">
        <f>IFERROR(__xludf.DUMMYFUNCTION("GOOGLETRANSLATE(C719,""vi"",""km"")"),"ផ្សេងៗ")</f>
        <v/>
      </c>
      <c r="H719" s="217" t="inlineStr">
        <is>
          <t>ផ្សេងៗ</t>
        </is>
      </c>
      <c r="J719" s="3" t="inlineStr">
        <is>
          <t>ផ្សេងៗ</t>
        </is>
      </c>
      <c r="K719" s="217" t="inlineStr">
        <is>
          <t>ផ្សេងៗ</t>
        </is>
      </c>
      <c r="S719" s="163" t="inlineStr">
        <is>
          <t>ផ្សេងៗ</t>
        </is>
      </c>
    </row>
    <row r="720" ht="15.75" customHeight="1" s="305">
      <c r="A720" s="217" t="inlineStr">
        <is>
          <t>DELETE_ACCOUNT.CONTENT_REASON</t>
        </is>
      </c>
      <c r="B720" s="153" t="inlineStr">
        <is>
          <t>请告知我们您卸载应用或遇到问题的原因：</t>
        </is>
      </c>
      <c r="C720" s="3" t="inlineStr">
        <is>
          <t>Trước khi xóa tài khoản, vui lòng cho chúng tôi biết lý do xóa app/ vấn đề không hài lòng mà quý khách gặp phải:</t>
        </is>
      </c>
      <c r="D720" s="3" t="inlineStr">
        <is>
          <t>Before deleting your account, please let us know the reason for deleting the app or any dissatisfaction you experienced:</t>
        </is>
      </c>
      <c r="E720" s="3" t="inlineStr">
        <is>
          <t>ກ່ອນທີ່ຈະລຶບບັນຊີຂອງທ່ານ, ກະລຸນາແຈ້ງໃຫ້ພວກເຮົາຮູ້ເຫດຜົນສໍາລັບການລຶບ app / ຄວາມບໍ່ພໍໃຈທີ່ທ່ານພົບ:</t>
        </is>
      </c>
      <c r="F720" s="3" t="inlineStr">
        <is>
          <t>သင့်အကောင့်ကိုမဖျက်မီ သင်တွေ့ကြုံခဲ့ရသည့် အကြောင်းအရာ သို့မဟုတ် မကျေနပ်မှုမရှိသည့် မည်သည့်အရာကိုမဆို ပယ်ဖျက်ရသည့် အကြောင်းရင်းကို ကျေးဇူးပြု၍ ပြောပြပါ။</t>
        </is>
      </c>
      <c r="G720" s="3">
        <f>IFERROR(__xludf.DUMMYFUNCTION("GOOGLETRANSLATE(C720,""vi"",""km"")"),"មុនពេលលុបគណនីរបស់អ្នក សូមប្រាប់យើងពីមូលហេតុនៃការលុបកម្មវិធី/បញ្ហាដែលអ្នកកំពុងជួបប្រទះ៖")</f>
        <v/>
      </c>
      <c r="H720" s="3" t="inlineStr">
        <is>
          <t>មុនពេលលុបគណនី សូមឲ្យពួកខ្ញុំដឹងពីមូលហេតុលុប App/ បញ្ហាដែលអតិថិជនកំពុងជួបប្រទះ</t>
        </is>
      </c>
      <c r="J720" s="3" t="inlineStr">
        <is>
          <t>មុនពេលលុបគណនី សូមឲ្យពួកខ្ញុំដឹងពីមូលហេតុលុប App/ បញ្ហាដែលអតិថិជនកំពុងជួបប្រទះ</t>
        </is>
      </c>
      <c r="K720" s="217" t="inlineStr">
        <is>
          <t>មុនពេលលុបគណនី សូមឲ្យពួកខ្ញុំដឹងពីមូលហេតុលុប App/ បញ្ហាដែលអតិថិជនកំពុងជួបប្រទះ</t>
        </is>
      </c>
      <c r="S720" s="163" t="inlineStr">
        <is>
          <t>មុនពេលលុបគណនីរបស់អ្នក សូមប្រាប់យើងឱ្យដឹងពីហេតុផលសម្រាប់ការលុបកម្មវិធី/បញ្ហាដែលអ្នកមិនពេញចិត្ត៖</t>
        </is>
      </c>
    </row>
    <row r="721" ht="15.75" customHeight="1" s="305">
      <c r="A721" s="217" t="inlineStr">
        <is>
          <t>DELETE_ACCOUNT.TITLE_REASON</t>
        </is>
      </c>
      <c r="B721" s="153" t="inlineStr">
        <is>
          <t>注销账户原因</t>
        </is>
      </c>
      <c r="C721" s="3" t="inlineStr">
        <is>
          <t>Lý do xoá tài khoản</t>
        </is>
      </c>
      <c r="D721" s="3" t="inlineStr">
        <is>
          <t>Reason for account deletion</t>
        </is>
      </c>
      <c r="E721" s="3" t="inlineStr">
        <is>
          <t>ເຫດຜົນສໍາລັບການລຶບບັນຊີ</t>
        </is>
      </c>
      <c r="F721" s="3" t="inlineStr">
        <is>
          <t>အကောင့် ပယ်ဖျက်ရသည့် အကြောင်းရင်း</t>
        </is>
      </c>
      <c r="G721" s="3">
        <f>IFERROR(__xludf.DUMMYFUNCTION("GOOGLETRANSLATE(C721,""vi"",""km"")"),"ហេតុផលសម្រាប់ការលុបគណនី។")</f>
        <v/>
      </c>
      <c r="H721" s="217" t="inlineStr">
        <is>
          <t>មូលហេតុលុបគណនី</t>
        </is>
      </c>
      <c r="J721" s="3" t="inlineStr">
        <is>
          <t>មូលហេតុលុបគណនី</t>
        </is>
      </c>
      <c r="K721" s="217" t="inlineStr">
        <is>
          <t>មូលហេតុលុបគណនី</t>
        </is>
      </c>
      <c r="S721" s="163" t="inlineStr">
        <is>
          <t>ហេតុផលសម្រាប់ការលុបគណនី</t>
        </is>
      </c>
    </row>
    <row r="722" ht="15.75" customHeight="1" s="305">
      <c r="A722" s="217" t="inlineStr">
        <is>
          <t>DELETE_ACCOUNT.PLEASE_SENT_OTP</t>
        </is>
      </c>
      <c r="B722" s="153" t="inlineStr">
        <is>
          <t>请输入发送至您手机的验证码</t>
        </is>
      </c>
      <c r="C722" s="3" t="inlineStr">
        <is>
          <t>Vui lòng nhập mã OTP được gửi đến số điện thoại</t>
        </is>
      </c>
      <c r="D722" s="3" t="inlineStr">
        <is>
          <t>Please enter the OTP sent to your phone number</t>
        </is>
      </c>
      <c r="E722" s="3" t="inlineStr">
        <is>
          <t>ກະລຸນາໃສ່ລະຫັດ OTP ທີ່ສົ່ງໄປຫາເບີໂທລະສັບຂອງທ່ານ</t>
        </is>
      </c>
      <c r="F722" s="3" t="inlineStr">
        <is>
          <t>ခင်ဗျားရဲ့ ဖုန်းနံပါတ်ကို ပေးပို့တဲ့ OTP ကို ဝင်ကြည့်ပါ</t>
        </is>
      </c>
      <c r="G722" s="3">
        <f>IFERROR(__xludf.DUMMYFUNCTION("GOOGLETRANSLATE(C722,""vi"",""km"")"),"សូមបញ្ចូលលេខកូដ OTP ដែលបានផ្ញើទៅកាន់លេខទូរស័ព្ទរបស់អ្នក។")</f>
        <v/>
      </c>
      <c r="H722" s="217" t="inlineStr">
        <is>
          <t>សូមបញ្ចូលលេខ OTP ដែលបានផ្ញើទៅកាន់លេខទូរស័ព្ទ</t>
        </is>
      </c>
      <c r="J722" s="3" t="inlineStr">
        <is>
          <t>សូមបញ្ចូលលេខ OTP ដែលបានផ្ញើទៅកាន់លេខទូរស័ព្ទ</t>
        </is>
      </c>
      <c r="K722" s="217" t="inlineStr">
        <is>
          <t>សូមបញ្ចូលលេខ OTP ដែលបានផ្ញើទៅកាន់លេខទូរស័ព្ទ</t>
        </is>
      </c>
      <c r="S722" s="163" t="inlineStr">
        <is>
          <t>សូមបញ្ចូលលេខកូដ OTP ដែលបានផ្ញើទៅកាន់លេខទូរស័ព្ទរបស់អ្នក</t>
        </is>
      </c>
    </row>
    <row r="723" ht="15.75" customHeight="1" s="305">
      <c r="A723" s="217" t="inlineStr">
        <is>
          <t>DELETE_ACCOUNT.CONFIRM_PASSWORD</t>
        </is>
      </c>
      <c r="B723" s="153" t="inlineStr">
        <is>
          <t>验证密码</t>
        </is>
      </c>
      <c r="C723" s="3" t="inlineStr">
        <is>
          <t>Xác nhận mật khẩu</t>
        </is>
      </c>
      <c r="D723" s="3" t="inlineStr">
        <is>
          <t>Confirm password</t>
        </is>
      </c>
      <c r="E723" s="3" t="inlineStr">
        <is>
          <t>ຢືນຢັນລະຫັດຜ່ານ</t>
        </is>
      </c>
      <c r="F723" s="3" t="inlineStr">
        <is>
          <t>စကားဝှက်ကို အတည်ပြုပါ</t>
        </is>
      </c>
      <c r="G723" s="3">
        <f>IFERROR(__xludf.DUMMYFUNCTION("GOOGLETRANSLATE(C723,""vi"",""km"")"),"បញ្ជាក់ពាក្យសម្ងាត់")</f>
        <v/>
      </c>
      <c r="H723" s="217" t="inlineStr">
        <is>
          <t>បញ្ជាក់លេខសម្ងាត់</t>
        </is>
      </c>
      <c r="J723" s="217" t="inlineStr">
        <is>
          <t>បញ្ជាក់ពាក្យសម្ងាត់</t>
        </is>
      </c>
      <c r="K723" s="217" t="inlineStr">
        <is>
          <t>បញ្ជាក់ពាក្យសម្ងាត់</t>
        </is>
      </c>
      <c r="S723" s="163" t="inlineStr">
        <is>
          <t>បញ្ជាក់ពាក្យសម្ងាត់</t>
        </is>
      </c>
    </row>
    <row r="724" ht="15.75" customHeight="1" s="305">
      <c r="A724" s="217" t="inlineStr">
        <is>
          <t>DELETE_ACCOUNT.CONFIRM_OTP</t>
        </is>
      </c>
      <c r="B724" s="153" t="inlineStr">
        <is>
          <t>确认验证码</t>
        </is>
      </c>
      <c r="C724" s="3" t="inlineStr">
        <is>
          <t>Xác nhận OTP</t>
        </is>
      </c>
      <c r="D724" s="3" t="inlineStr">
        <is>
          <t>Confirm OTP</t>
        </is>
      </c>
      <c r="E724" s="3" t="inlineStr">
        <is>
          <t>ການຢືນຢັນ OTP</t>
        </is>
      </c>
      <c r="F724" s="3" t="inlineStr">
        <is>
          <t>OTP အတည်ပြုပါ</t>
        </is>
      </c>
      <c r="G724" s="3">
        <f>IFERROR(__xludf.DUMMYFUNCTION("GOOGLETRANSLATE(C724,""vi"",""km"")"),"ការបញ្ជាក់ OTP")</f>
        <v/>
      </c>
      <c r="H724" s="217" t="inlineStr">
        <is>
          <t>បញ្ជាក់ OTP</t>
        </is>
      </c>
      <c r="J724" s="3" t="inlineStr">
        <is>
          <t>បញ្ជាក់ OTP</t>
        </is>
      </c>
      <c r="K724" s="217" t="inlineStr">
        <is>
          <t>បញ្ជាក់ OTP</t>
        </is>
      </c>
      <c r="S724" s="163" t="inlineStr">
        <is>
          <t>បញ្ជាក់ OTP</t>
        </is>
      </c>
    </row>
    <row r="725" ht="15.75" customHeight="1" s="305">
      <c r="A725" s="217" t="inlineStr">
        <is>
          <t>DELETE_ACCOUNT.ALERT_DELETE_ACCOUNT</t>
        </is>
      </c>
      <c r="B725" s="153" t="inlineStr">
        <is>
          <t>您的账户已成功注销。如需继续使用我们的服务，请使用其他账户登录或注册新账户。</t>
        </is>
      </c>
      <c r="C725" s="3" t="inlineStr">
        <is>
          <t>Tài khoản của quý khách đã bị xóa khỏi hệ thống. Để tiếp tục sử dụng dịch vụ, vui lòng đăng nhập bằng một tài khoản khác hoặc đăng ký một tài khoản mới.</t>
        </is>
      </c>
      <c r="D725" s="3" t="inlineStr">
        <is>
          <t>Your account has been deleted from the system. To continue using the service, please log in with another account or register a new account.</t>
        </is>
      </c>
      <c r="E725" s="3" t="inlineStr">
        <is>
          <t>ບັນຊີຂອງທ່ານໄດ້ຖືກລຶບອອກຈາກລະບົບແລ້ວ. ເພື່ອສືບຕໍ່ໃຊ້ບໍລິການ, ກະລຸນາເຂົ້າສູ່ລະບົບດ້ວຍບັນຊີອື່ນ ຫຼືລົງທະບຽນບັນຊີໃໝ່.</t>
        </is>
      </c>
      <c r="F725" s="3" t="inlineStr">
        <is>
          <t>သင့်မှတ်တမ်းကို စနစ်ကနေ ပယ်ဖျက်လိုက်ပြီ။ ဝန်ဆောင်မှုကို ဆက်လက်အသုံးပြုရန် ကျေးဇူးပြု၍ အခြားအကောင့်တစ်ခုတွင် ထည့်သွင်းပါ သို့မဟုတ် အကောင့်အသစ်တစ်ခုကို မှတ်ပုံတင်ပါ။</t>
        </is>
      </c>
      <c r="G725" s="3">
        <f>IFERROR(__xludf.DUMMYFUNCTION("GOOGLETRANSLATE(C725,""vi"",""km"")"),"គណនីរបស់អ្នកត្រូវបានលុបចេញពីប្រព័ន្ធ។ ដើម្បីបន្តប្រើប្រាស់សេវាកម្មនេះ សូមចូលដោយប្រើគណនីផ្សេង ឬចុះឈ្មោះគណនីថ្មី។")</f>
        <v/>
      </c>
      <c r="H725" s="3" t="inlineStr">
        <is>
          <t>គណនីរបស់អ្នកត្រូវបានលុបចេញពីប្រព័ន្ធ។ ដើម្បីបន្តប្រើប្រាស់សេវាកម្មនេះ សូមចូលដោយប្រើគណនីផ្សេង ឬចុះឈ្មោះគណនីថ្មី។</t>
        </is>
      </c>
      <c r="J725" s="3" t="inlineStr">
        <is>
          <t>គណនីរបស់អ្នកត្រូវបានលុបចេញពីប្រព័ន្ធ។ ដើម្បីបន្តប្រើប្រាស់សេវាកម្មនេះ សូមចូលដោយប្រើគណនីផ្សេង ឬចុះឈ្មោះគណនីថ្មី។</t>
        </is>
      </c>
      <c r="K725" s="217" t="inlineStr">
        <is>
          <t>គណនីរបស់អ្នកត្រូវបានលុបចេញពីប្រព័ន្ធ។ ដើម្បីបន្តប្រើប្រាស់សេវាកម្មនេះ សូមចូលដោយប្រើគណនីផ្សេង ឬចុះឈ្មោះគណនីថ្មី។</t>
        </is>
      </c>
      <c r="S725" s="163" t="inlineStr">
        <is>
          <t>គណនីរបស់អ្នកត្រូវបានលុបចេញពីប្រព័ន្ធ។ ដើម្បីបន្តប្រើប្រាស់សេវាកម្ម សូមចូលដោយប្រើគណនីផ្សេងទៀត ឬចុះឈ្មោះគណនីថ្មី</t>
        </is>
      </c>
    </row>
    <row r="726" ht="15.75" customHeight="1" s="305">
      <c r="A726" s="217" t="inlineStr">
        <is>
          <t>DELETE_ACCOUNT.PLEASE_INPUT_PASSWORD</t>
        </is>
      </c>
      <c r="B726" s="153" t="inlineStr">
        <is>
          <t>请输入密码</t>
        </is>
      </c>
      <c r="C726" s="3" t="inlineStr">
        <is>
          <t>Vui lòng nhập mật khẩu</t>
        </is>
      </c>
      <c r="D726" s="3" t="inlineStr">
        <is>
          <t>Please enter password</t>
        </is>
      </c>
      <c r="E726" s="3" t="inlineStr">
        <is>
          <t>ກະລຸນາໃສ່ລະຫັດຜ່ານ</t>
        </is>
      </c>
      <c r="F726" s="3" t="inlineStr">
        <is>
          <t>စကားဝှက်ထည့်ပါ။</t>
        </is>
      </c>
      <c r="G726" s="3">
        <f>IFERROR(__xludf.DUMMYFUNCTION("GOOGLETRANSLATE(C726,""vi"",""km"")"),"សូមបញ្ចូលពាក្យសម្ងាត់។")</f>
        <v/>
      </c>
      <c r="H726" s="217" t="inlineStr">
        <is>
          <t>សូមបញ្ចូលលេខសម្ងាត់</t>
        </is>
      </c>
      <c r="J726" s="217" t="inlineStr">
        <is>
          <t>សូមបញ្ចូលពាក្យសម្ងាត់</t>
        </is>
      </c>
      <c r="K726" s="217" t="inlineStr">
        <is>
          <t>សូមបញ្ចូលពាក្យសម្ងាត់</t>
        </is>
      </c>
      <c r="S726" s="163" t="inlineStr">
        <is>
          <t>សូមបញ្ចូលពាក្យសម្ងាត់</t>
        </is>
      </c>
    </row>
    <row r="727" ht="15.75" customHeight="1" s="305">
      <c r="A727" s="217" t="inlineStr">
        <is>
          <t>DELETE_ACCOUNT.PASSWORD_FAILED</t>
        </is>
      </c>
      <c r="B727" s="153" t="inlineStr">
        <is>
          <t>密码错误</t>
        </is>
      </c>
      <c r="C727" s="3" t="inlineStr">
        <is>
          <t>Mật khẩu không hợp lệ!</t>
        </is>
      </c>
      <c r="D727" s="3" t="inlineStr">
        <is>
          <t>Invalid Password!</t>
        </is>
      </c>
      <c r="E727" s="3" t="inlineStr">
        <is>
          <t>ລະຫັດຜ່ານບໍ່ຖືກຕ້ອງ!</t>
        </is>
      </c>
      <c r="F727" s="3" t="inlineStr">
        <is>
          <t>မမှန်ကန်သော စကားဝှက်။</t>
        </is>
      </c>
      <c r="G727" s="3">
        <f>IFERROR(__xludf.DUMMYFUNCTION("GOOGLETRANSLATE(C727,""vi"",""km"")"),"ពាក្យសម្ងាត់មិនត្រឹមត្រូវ!")</f>
        <v/>
      </c>
      <c r="H727" s="217" t="inlineStr">
        <is>
          <t>លេខសម្ងាត់មិនត្រឹមត្រូវ!</t>
        </is>
      </c>
      <c r="J727" s="217" t="inlineStr">
        <is>
          <t>ពាក្យសម្ងាត់មិនត្រឹមត្រូវ!</t>
        </is>
      </c>
      <c r="K727" s="217" t="inlineStr">
        <is>
          <t>ពាក្យសម្ងាត់មិនត្រឹមត្រូវ!</t>
        </is>
      </c>
      <c r="S727" s="163" t="inlineStr">
        <is>
          <t>ពាក្យសម្ងាត់មិនត្រឹមត្រូវ!</t>
        </is>
      </c>
    </row>
    <row r="728" ht="15.75" customHeight="1" s="305">
      <c r="A728" s="217" t="inlineStr">
        <is>
          <t>DELETE_ACCOUNT.OTP_FAILED</t>
        </is>
      </c>
      <c r="B728" s="153" t="inlineStr">
        <is>
          <t>验证码错误，请重新输入</t>
        </is>
      </c>
      <c r="C728" s="3" t="inlineStr">
        <is>
          <t>OTP không chính xác. Vui lòng thử lại</t>
        </is>
      </c>
      <c r="D728" s="3" t="inlineStr">
        <is>
          <t>OTP is incorrect. Please try again.</t>
        </is>
      </c>
      <c r="E728" s="3" t="inlineStr">
        <is>
          <t>OTP ບໍ່ຖືກຕ້ອງ. ກະລຸນາລອງອີກຄັ້ງ</t>
        </is>
      </c>
      <c r="F728" s="3" t="inlineStr">
        <is>
          <t>OTP မမှန်ပါ။ ထပ်စမ်းကြည့်ပါ။</t>
        </is>
      </c>
      <c r="G728" s="3">
        <f>IFERROR(__xludf.DUMMYFUNCTION("GOOGLETRANSLATE(C728,""vi"",""km"")"),"លេខ OTP មិនត្រឹមត្រូវ។ សូមព្យាយាមម្តងទៀត។")</f>
        <v/>
      </c>
      <c r="H728" s="217" t="inlineStr">
        <is>
          <t>OTP មិនត្រឹមត្រូវ។ សូមព្យាយាមម្តងទៀត</t>
        </is>
      </c>
      <c r="J728" s="3" t="inlineStr">
        <is>
          <t>OTP មិនត្រឹមត្រូវ។ សូមព្យាយាមម្តងទៀត</t>
        </is>
      </c>
      <c r="K728" s="217" t="inlineStr">
        <is>
          <t>OTP មិនត្រឹមត្រូវ។ សូមព្យាយាមម្តងទៀត</t>
        </is>
      </c>
      <c r="S728" s="163" t="inlineStr">
        <is>
          <t>OTP មិនត្រឹមត្រូវ។ សូមព្យាយាមម្តងទៀត</t>
        </is>
      </c>
    </row>
    <row r="729" ht="15.75" customHeight="1" s="305">
      <c r="A729" s="217" t="inlineStr">
        <is>
          <t>DELETE_ACCOUNT.CONFIRM_INFORMATION</t>
        </is>
      </c>
      <c r="B729" s="153" t="inlineStr">
        <is>
          <t>出于安全考虑，请在确认注销账户前完成以下安全验证：</t>
        </is>
      </c>
      <c r="C729" s="3" t="inlineStr">
        <is>
          <t>Vì lý do bảo mật, quý khách vui lòng xác nhận lại các thông tin bảo mật trước khi xác nhận xóa tài khoản:</t>
        </is>
      </c>
      <c r="D729" s="3" t="inlineStr">
        <is>
          <t>For security reasons, please confirm your security information before confirming account deletion:</t>
        </is>
      </c>
      <c r="E729" s="3" t="inlineStr">
        <is>
          <t>ສໍາລັບເຫດຜົນດ້ານຄວາມປອດໄພ, ກະລຸນາຢືນຢັນຂໍ້ມູນຄວາມປອດໄພຂອງທ່ານກ່ອນທີ່ຈະຢືນຢັນການລຶບບັນຊີ:</t>
        </is>
      </c>
      <c r="F729" s="3" t="inlineStr">
        <is>
          <t>လုံခြုံရေးအရ၊ အကောင့်ဖျက်ခြင်းအား အတည်ပြုခြင်းမပြုမီ သင့်လုံခြုံရေးအချက်အလက်များကို အတည်ပြုပါ-</t>
        </is>
      </c>
      <c r="G729" s="3">
        <f>IFERROR(__xludf.DUMMYFUNCTION("GOOGLETRANSLATE(C729,""vi"",""km"")"),"ដើម្បីសុវត្ថិភាព សូមបញ្ជាក់ព័ត៌មានសុវត្ថិភាពរបស់អ្នកឡើងវិញ មុនពេលបញ្ជាក់ការលុបគណនី៖")</f>
        <v/>
      </c>
      <c r="H729" s="3" t="inlineStr">
        <is>
          <t>ដើម្បីសុវត្ថិភាព សូមបញ្ជាក់ព័ត៌មានសុវត្ថិភាពរបស់អ្នកឡើងវិញ មុនពេលបញ្ជាក់ការលុបគណនី៖</t>
        </is>
      </c>
      <c r="J729" s="3" t="inlineStr">
        <is>
          <t>ដើម្បីសុវត្ថិភាព សូមបញ្ជាក់ព័ត៌មានសុវត្ថិភាពរបស់អ្នកឡើងវិញ មុនពេលបញ្ជាក់ការលុបគណនី៖</t>
        </is>
      </c>
      <c r="K729" s="217" t="inlineStr">
        <is>
          <t>ដើម្បីសុវត្ថិភាព សូមបញ្ជាក់ព័ត៌មានសុវត្ថិភាពរបស់អ្នកឡើងវិញ មុនពេលបញ្ជាក់ការលុបគណនី៖</t>
        </is>
      </c>
      <c r="S729" s="163" t="inlineStr">
        <is>
          <t>សម្រាប់ហេតុផលសុវត្ថិភាព សូមបញ្ជាក់ព័ត៌មានសុវត្ថិភាពរបស់អ្នកឡើងវិញ មុនពេលបញ្ជាក់ការលុបគណនី៖</t>
        </is>
      </c>
    </row>
    <row r="730" ht="15.75" customHeight="1" s="305">
      <c r="A730" s="217" t="inlineStr">
        <is>
          <t>DELETE_ACCOUNT.INPUT_CONTENT</t>
        </is>
      </c>
      <c r="B730" s="153" t="inlineStr">
        <is>
          <t>输入内容</t>
        </is>
      </c>
      <c r="C730" s="3" t="inlineStr">
        <is>
          <t>Nhập nội dung</t>
        </is>
      </c>
      <c r="D730" s="3" t="inlineStr">
        <is>
          <t>Enter content</t>
        </is>
      </c>
      <c r="E730" s="3" t="inlineStr">
        <is>
          <t>ໃສ່ເນື້ອຫາ</t>
        </is>
      </c>
      <c r="F730" s="3" t="inlineStr">
        <is>
          <t>အကြောင်းအရာကို ထည့်သွင်းပါ။</t>
        </is>
      </c>
      <c r="G730" s="3">
        <f>IFERROR(__xludf.DUMMYFUNCTION("GOOGLETRANSLATE(C730,""vi"",""km"")"),"បញ្ចូលខ្លឹមសារ")</f>
        <v/>
      </c>
      <c r="H730" s="217" t="inlineStr">
        <is>
          <t>បញ្ចូលខ្លឹមសារ</t>
        </is>
      </c>
      <c r="J730" s="3" t="inlineStr">
        <is>
          <t>បញ្ចូលខ្លឹមសារ</t>
        </is>
      </c>
      <c r="K730" s="217" t="inlineStr">
        <is>
          <t>បញ្ចូលខ្លឹមសារ</t>
        </is>
      </c>
      <c r="S730" s="163" t="inlineStr">
        <is>
          <t>បញ្ចូលមាតិកា</t>
        </is>
      </c>
    </row>
    <row r="731" ht="15.75" customHeight="1" s="305">
      <c r="A731" s="217" t="inlineStr">
        <is>
          <t>DELETE_ACCOUNT.RESEND_OTP_AFTER</t>
        </is>
      </c>
      <c r="B731" s="161" t="inlineStr">
        <is>
          <t>{{X}}秒后重新发送</t>
        </is>
      </c>
      <c r="C731" s="3" t="inlineStr">
        <is>
          <t>Gửi lại OTP sau</t>
        </is>
      </c>
      <c r="D731" s="3" t="inlineStr">
        <is>
          <t>Resend OTP later</t>
        </is>
      </c>
      <c r="E731" s="3" t="inlineStr">
        <is>
          <t>ສົ່ງ OTP ໃໝ່ໃນພາຍຫຼັງ</t>
        </is>
      </c>
      <c r="F731" s="3" t="inlineStr">
        <is>
          <t>OTP ကို ​​နောက်မှ ပြန်ပို့ပါ။</t>
        </is>
      </c>
      <c r="G731" s="3">
        <f>IFERROR(__xludf.DUMMYFUNCTION("GOOGLETRANSLATE(C731,""vi"",""km"")"),"ផ្ញើ OTP ម្តងទៀតនៅពេលក្រោយ។")</f>
        <v/>
      </c>
      <c r="H731" s="217" t="inlineStr">
        <is>
          <t>ផ្ញើ OTP ម្តងទៀតនៅពេលក្រោយ</t>
        </is>
      </c>
      <c r="J731" s="3" t="inlineStr">
        <is>
          <t>ផ្ញើ OTP ម្តងទៀតនៅពេលក្រោយ</t>
        </is>
      </c>
      <c r="K731" s="217" t="inlineStr">
        <is>
          <t>ផ្ញើ OTP ម្តងទៀតនៅពេលក្រោយ</t>
        </is>
      </c>
      <c r="S731" s="163" t="inlineStr">
        <is>
          <t>ផ្ញើ OTP ឡើងវិញនៅពេលក្រោយ</t>
        </is>
      </c>
    </row>
    <row r="732" ht="15.75" customHeight="1" s="305">
      <c r="A732" s="217" t="inlineStr">
        <is>
          <t>DELETE_ACCOUNT.RESEND_OTP</t>
        </is>
      </c>
      <c r="B732" s="153" t="inlineStr">
        <is>
          <t>重新发送验证码</t>
        </is>
      </c>
      <c r="C732" s="3" t="inlineStr">
        <is>
          <t>Gửi lại OTP</t>
        </is>
      </c>
      <c r="D732" s="3" t="inlineStr">
        <is>
          <t>Resend OTP</t>
        </is>
      </c>
      <c r="E732" s="3" t="inlineStr">
        <is>
          <t>ສົ່ງ OTP ຄືນໃໝ່</t>
        </is>
      </c>
      <c r="F732" s="3" t="inlineStr">
        <is>
          <t>OTP ပြန်ပို့ပါ။</t>
        </is>
      </c>
      <c r="G732" s="3">
        <f>IFERROR(__xludf.DUMMYFUNCTION("GOOGLETRANSLATE(C732,""vi"",""km"")"),"ផ្ញើ OTP ឡើងវិញ")</f>
        <v/>
      </c>
      <c r="H732" s="217" t="inlineStr">
        <is>
          <t>ផ្ញើ OTP ម្តងទៀត</t>
        </is>
      </c>
      <c r="J732" s="3" t="inlineStr">
        <is>
          <t>ផ្ញើ OTP ម្តងទៀត</t>
        </is>
      </c>
      <c r="K732" s="217" t="inlineStr">
        <is>
          <t>ផ្ញើ OTP ម្តងទៀត</t>
        </is>
      </c>
      <c r="S732" s="163" t="inlineStr">
        <is>
          <t>ផ្ញើ OTP ឡើងវិញ</t>
        </is>
      </c>
    </row>
    <row r="733" ht="15.75" customHeight="1" s="305">
      <c r="A733" s="217" t="inlineStr">
        <is>
          <t>DELETE_ACCOUNT.ASK_DELETE</t>
        </is>
      </c>
      <c r="B733" s="153" t="inlineStr">
        <is>
          <t>确定要注销账户吗？</t>
        </is>
      </c>
      <c r="C733" s="3" t="inlineStr">
        <is>
          <t>Quý khách có chắc chắn muốn xóa tài khoản?</t>
        </is>
      </c>
      <c r="D733" s="3" t="inlineStr">
        <is>
          <t>Are you sure you want to delete your account?</t>
        </is>
      </c>
      <c r="E733" s="3" t="inlineStr">
        <is>
          <t>ທ່ານແນ່ໃຈບໍ່ວ່າຕ້ອງການລຶບບັນຊີຂອງທ່ານ?</t>
        </is>
      </c>
      <c r="F733" s="3" t="inlineStr">
        <is>
          <t>သင့်အကောင့်ကို ဖျက်ချင်တာ သေချာလား</t>
        </is>
      </c>
      <c r="G733" s="3">
        <f>IFERROR(__xludf.DUMMYFUNCTION("GOOGLETRANSLATE(C733,""vi"",""km"")"),"តើអ្នកពិតជាចង់លុបគណនីរបស់អ្នកមែនទេ?")</f>
        <v/>
      </c>
      <c r="H733" s="217" t="inlineStr">
        <is>
          <t>អតិថិជនពិតជាចង់លុបចោលគណនីនេះមែនទេ?</t>
        </is>
      </c>
      <c r="J733" s="3" t="inlineStr">
        <is>
          <t>អតិថិជនពិតជាចង់លុបចោលគណនីនេះមែនទេ?</t>
        </is>
      </c>
      <c r="K733" s="217" t="inlineStr">
        <is>
          <t>អតិថិជនពិតជាចង់លុបចោលគណនីនេះមែនទេ?</t>
        </is>
      </c>
      <c r="S733" s="163" t="inlineStr">
        <is>
          <t>តើអ្នកប្រាកដថាចង់លុបគណនីរបស់អ្នកមែនទេ?</t>
        </is>
      </c>
    </row>
    <row r="734" ht="15.75" customHeight="1" s="305">
      <c r="A734" s="217" t="inlineStr">
        <is>
          <t>DELETE_ACCOUNT.RETURN_APP</t>
        </is>
      </c>
      <c r="B734" s="153" t="inlineStr">
        <is>
          <t>返回App</t>
        </is>
      </c>
      <c r="C734" s="3" t="inlineStr">
        <is>
          <t>Quay lại app</t>
        </is>
      </c>
      <c r="D734" s="3" t="inlineStr">
        <is>
          <t>Back to app</t>
        </is>
      </c>
      <c r="E734" s="3" t="inlineStr">
        <is>
          <t>ກັບໄປທີ່ແອັບ</t>
        </is>
      </c>
      <c r="F734" s="3" t="inlineStr">
        <is>
          <t>အက်ပ်သို့ ပြန်သွားရန်</t>
        </is>
      </c>
      <c r="G734" s="3">
        <f>IFERROR(__xludf.DUMMYFUNCTION("GOOGLETRANSLATE(C734,""vi"",""km"")"),"ត្រឡប់ទៅកម្មវិធីវិញ")</f>
        <v/>
      </c>
      <c r="H734" s="217" t="inlineStr">
        <is>
          <t>ត្រលប់ទៅកាន់ app</t>
        </is>
      </c>
      <c r="J734" s="3" t="inlineStr">
        <is>
          <t>ត្រលប់ទៅកាន់ app</t>
        </is>
      </c>
      <c r="K734" s="217" t="inlineStr">
        <is>
          <t>ត្រលប់ទៅកាន់ app</t>
        </is>
      </c>
      <c r="S734" s="163" t="inlineStr">
        <is>
          <t>ត្រឡប់ទៅកម្មវិធី</t>
        </is>
      </c>
    </row>
    <row r="735" ht="15.75" customHeight="1" s="305">
      <c r="A735" s="217" t="inlineStr">
        <is>
          <t>DELETE_ACCOUNT.SORRY_NOTI</t>
        </is>
      </c>
      <c r="B735" s="153" t="inlineStr">
        <is>
          <t>我们很遗憾您决定离开 Viettel Post。请注意，账户一旦注销，您将无法再次登录，所有订单信息、交易记录等数据均将被永久删除。</t>
        </is>
      </c>
      <c r="C735" s="3" t="inlineStr">
        <is>
          <t>Chúng tôi rất tiếc khi quý khách rời Metfone Express. Xin lưu ý rằng, sau khi xóa tài khoản, quý khách sẽ không thể đăng nhập vào tài khoản được, đồng thời tất cả thông tin đơn hàng, lịch sử giao dịch,... cũng sẽ bị xóa!</t>
        </is>
      </c>
      <c r="D735" s="3" t="inlineStr">
        <is>
          <t>We are sorry to hear that you are leaving Metfone Express. Please note that after deleting your account, you will not be able to log in to your account, and all order information, transaction history, etc. will also be deleted!</t>
        </is>
      </c>
      <c r="E735" s="3" t="inlineStr">
        <is>
          <t>ພວກເຮົາເສຍໃຈທີ່ໄດ້ຍິນວ່າທ່ານອອກຈາກ VTPLaos. ກະລຸນາຮັບຊາບວ່າຫຼັງຈາກລຶບບັນຊີຂອງທ່ານ, ທ່ານຈະບໍ່ສາມາດເຂົ້າສູ່ລະບົບບັນຊີຂອງທ່ານໄດ້, ແລະຂໍ້ມູນການສັ່ງຊື້, ປະຫວັດການເຮັດທຸລະກໍາ, ແລະອື່ນໆທັງຫມົດຈະຖືກລຶບຖິ້ມ!</t>
        </is>
      </c>
      <c r="F735" s="3" t="inlineStr">
        <is>
          <t>သင် Viettel Post မှ ထွက်ခွာသွားကြောင်း ကြားသိရသည့်အတွက် စိတ်မကောင်းပါ။ သင့်အကောင့်ကို ဖျက်ပြီးနောက်၊ သင်သည် သင့်အကောင့်သို့ လော့ဂ်အင်ဝင်နိုင်တော့မည် မဟုတ်သည့်အပြင် မှာယူမှုအချက်အလက်၊ ငွေပေးငွေယူမှတ်တမ်း၊ စသည်တို့လည်း ပါလိမ့်မည်၊ ဖျက်လိုက်ပြီ!</t>
        </is>
      </c>
      <c r="G735" s="3">
        <f>IFERROR(__xludf.DUMMYFUNCTION("GOOGLETRANSLATE(C735,""vi"",""km"")"),"យើងខ្ញុំសូមអភ័យទោសយ៉ាងជ្រាលជ្រៅដែលអ្នកបានចាកចេញពី Metfone Express។ សូមចំណាំថា បន្ទាប់ពីលុបគណនីរបស់អ្នករួច អ្នកនឹងមិនអាចចូលគណនីម្តងទៀតបានទេ ហើយព័ត៌មានការបញ្ជាទិញ ប្រវត្តិប្រតិបត្តិការជាដើម របស់អ្នកទាំងអស់នឹងត្រូវបានលុបចេញ!")</f>
        <v/>
      </c>
      <c r="J735" s="3" t="inlineStr">
        <is>
          <t>យើងសោកស្ដាយដែលបានឮថាអ្នកបានចាកចេញពី Metfone Express។ សូមចំណាំថាបន្ទាប់ពីលុបគណនីរបស់អ្នក អ្នកនឹងមិនអាចចូលទៅក្នុងគណនីរបស់អ្នកបានទេ ហើយរាល់ព័ត៌មានការបញ្ជាទិញ ប្រវត្តិប្រតិបត្តិការ ជាដើមក៏នឹងត្រូវបានលុបផងដែរ!</t>
        </is>
      </c>
      <c r="K735" s="217" t="inlineStr">
        <is>
          <t>យើងសោកស្ដាយដែលបានឮថាអ្នកបានចាកចេញពី Metfone Express។ សូមចំណាំថាបន្ទាប់ពីលុបគណនីរបស់អ្នក អ្នកនឹងមិនអាចចូលទៅក្នុងគណនីរបស់អ្នកបានទេ ហើយរាល់ព័ត៌មានការបញ្ជាទិញ ប្រវត្តិប្រតិបត្តិការ ជាដើមក៏នឹងត្រូវបានលុបផងដែរ!</t>
        </is>
      </c>
      <c r="S735" s="163" t="inlineStr">
        <is>
          <t>យើង​សោកស្ដាយ​ដែល​បាន​ឮ​ថា​អ្នក​បាន​ចាក​ចេញ​ពី Metfone Express។ សូមចំណាំថាបន្ទាប់ពីលុបគណនីរបស់អ្នក អ្នកនឹងមិនអាចចូលទៅក្នុងគណនីរបស់អ្នកបានទេ ហើយរាល់ព័ត៌មានការបញ្ជាទិញ ប្រវត្តិប្រតិបត្តិការ ជាដើមក៏នឹងត្រូវបានលុបផងដែរ!</t>
        </is>
      </c>
    </row>
    <row r="736" ht="15.75" customHeight="1" s="305">
      <c r="A736" s="217" t="inlineStr">
        <is>
          <t>DELETE_ACCOUNT.DELETE_ACCOUNT</t>
        </is>
      </c>
      <c r="B736" s="153" t="inlineStr">
        <is>
          <t>确认注销</t>
        </is>
      </c>
      <c r="C736" s="3" t="inlineStr">
        <is>
          <t>Xoá tài khoản</t>
        </is>
      </c>
      <c r="D736" s="3" t="inlineStr">
        <is>
          <t>Delete account</t>
        </is>
      </c>
      <c r="E736" s="3" t="inlineStr">
        <is>
          <t>ລຶບບັນຊີ</t>
        </is>
      </c>
      <c r="F736" s="3" t="inlineStr">
        <is>
          <t>အကောင့်ဖျက်ပါ။</t>
        </is>
      </c>
      <c r="G736" s="3">
        <f>IFERROR(__xludf.DUMMYFUNCTION("GOOGLETRANSLATE(C736,""vi"",""km"")"),"លុបគណនី")</f>
        <v/>
      </c>
      <c r="H736" s="217" t="inlineStr">
        <is>
          <t>លុបគណនី</t>
        </is>
      </c>
      <c r="J736" s="3" t="inlineStr">
        <is>
          <t>លុបគណនី</t>
        </is>
      </c>
      <c r="K736" s="217" t="inlineStr">
        <is>
          <t>លុបគណនី</t>
        </is>
      </c>
      <c r="S736" s="163" t="inlineStr">
        <is>
          <t>លុបគណនី</t>
        </is>
      </c>
    </row>
    <row r="737" ht="15.75" customHeight="1" s="305">
      <c r="A737" s="217" t="inlineStr">
        <is>
          <t>VALIDATE_ORDER.INPUT_NAME</t>
        </is>
      </c>
      <c r="B737" s="153" t="inlineStr">
        <is>
          <t>请输入姓名</t>
        </is>
      </c>
      <c r="C737" s="3" t="inlineStr">
        <is>
          <t>Họ tên không được để trống</t>
        </is>
      </c>
      <c r="D737" s="3" t="inlineStr">
        <is>
          <t>Please enter name</t>
        </is>
      </c>
      <c r="E737" s="3" t="inlineStr">
        <is>
          <t>ກະລຸນາໃສ່ຊື່</t>
        </is>
      </c>
      <c r="F737" s="3" t="inlineStr">
        <is>
          <t>ကျေးဇူးပြု၍ အမည်ထည့်ပါ</t>
        </is>
      </c>
      <c r="G737" s="3">
        <f>IFERROR(__xludf.DUMMYFUNCTION("GOOGLETRANSLATE(C737,""vi"",""km"")"),"ឈ្មោះពេញមិនត្រូវទុកចោលទទេទេ។")</f>
        <v/>
      </c>
      <c r="H737" s="217" t="inlineStr">
        <is>
          <t>នាមត្រកូលមិនអាចចន្លោះបាន</t>
        </is>
      </c>
      <c r="J737" s="3" t="inlineStr">
        <is>
          <t>នាមត្រកូលមិនអាចចន្លោះបាន</t>
        </is>
      </c>
      <c r="K737" s="217" t="inlineStr">
        <is>
          <t>នាមត្រកូលមិនអាចចន្លោះបាន</t>
        </is>
      </c>
      <c r="S737" s="163" t="inlineStr">
        <is>
          <t>សូមបញ្ចូលឈ្មោះ</t>
        </is>
      </c>
    </row>
    <row r="738" ht="15.75" customHeight="1" s="305">
      <c r="A738" s="217" t="inlineStr">
        <is>
          <t>VALIDATE_ORDER.INPUT_PHONE</t>
        </is>
      </c>
      <c r="B738" s="153" t="inlineStr">
        <is>
          <t>请输入手机号码</t>
        </is>
      </c>
      <c r="C738" s="3" t="inlineStr">
        <is>
          <t>Vui lòng nhập số điện thoại</t>
        </is>
      </c>
      <c r="D738" s="3" t="inlineStr">
        <is>
          <t>Please enter phone number</t>
        </is>
      </c>
      <c r="E738" s="3" t="inlineStr">
        <is>
          <t>ກະລຸນາໃສ່ເບີໂທລະສັບ</t>
        </is>
      </c>
      <c r="F738" s="3" t="inlineStr">
        <is>
          <t>ဖုန်းနံပါတ်ထည့်ပါ</t>
        </is>
      </c>
      <c r="G738" s="3">
        <f>IFERROR(__xludf.DUMMYFUNCTION("GOOGLETRANSLATE(C738,""vi"",""km"")"),"សូមបញ្ចូលលេខទូរស័ព្ទរបស់អ្នក។")</f>
        <v/>
      </c>
      <c r="H738" s="217" t="inlineStr">
        <is>
          <t>សូមបញ្ចូលលេខទូរស័ព្ទ</t>
        </is>
      </c>
      <c r="J738" s="3" t="inlineStr">
        <is>
          <t>សូមបញ្ចូលលេខទូរស័ព្ទ</t>
        </is>
      </c>
      <c r="K738" s="217" t="inlineStr">
        <is>
          <t>សូមបញ្ចូលលេខទូរស័ព្ទ</t>
        </is>
      </c>
      <c r="S738" s="163" t="inlineStr">
        <is>
          <t>សូមបញ្ចូលលេខទូរស័ព្ទ</t>
        </is>
      </c>
    </row>
    <row r="739" ht="15.75" customHeight="1" s="305">
      <c r="A739" s="217" t="inlineStr">
        <is>
          <t>VALIDATE_ORDER.INVALID_PHONE</t>
        </is>
      </c>
      <c r="B739" s="153" t="inlineStr">
        <is>
          <t>手机号码格式错误</t>
        </is>
      </c>
      <c r="C739" s="3" t="inlineStr">
        <is>
          <t>Số điện thoại không hợp lệ</t>
        </is>
      </c>
      <c r="D739" s="3" t="inlineStr">
        <is>
          <t>Invalid phone number</t>
        </is>
      </c>
      <c r="E739" s="3" t="inlineStr">
        <is>
          <t>ເບີໂທລະສັບບໍ່ຖືກຕ້ອງ</t>
        </is>
      </c>
      <c r="F739" s="3" t="inlineStr">
        <is>
          <t>မမှန်ကန်သော ဖုန်းနံပါတ်</t>
        </is>
      </c>
      <c r="G739" s="3">
        <f>IFERROR(__xludf.DUMMYFUNCTION("GOOGLETRANSLATE(C739,""vi"",""km"")"),"លេខទូរស័ព្ទមិនត្រឹមត្រូវ")</f>
        <v/>
      </c>
      <c r="H739" s="217" t="inlineStr">
        <is>
          <t>លេខទូរស័ព្ទមិនត្រឹមត្រូវ</t>
        </is>
      </c>
      <c r="J739" s="3" t="inlineStr">
        <is>
          <t>លេខទូរស័ព្ទមិនត្រឹមត្រូវ</t>
        </is>
      </c>
      <c r="K739" s="217" t="inlineStr">
        <is>
          <t>លេខទូរស័ព្ទមិនត្រឹមត្រូវ</t>
        </is>
      </c>
      <c r="S739" s="163" t="inlineStr">
        <is>
          <t>លេខទូរស័ព្ទមិនត្រឹមត្រូវ</t>
        </is>
      </c>
    </row>
    <row r="740" ht="15.75" customHeight="1" s="305">
      <c r="A740" s="217" t="inlineStr">
        <is>
          <t>VALIDATE_ORDER.INPUT_SELECT</t>
        </is>
      </c>
      <c r="B740" s="153" t="inlineStr">
        <is>
          <t>请选择信息</t>
        </is>
      </c>
      <c r="C740" s="3" t="inlineStr">
        <is>
          <t>Vui lòng chọn thông tin</t>
        </is>
      </c>
      <c r="D740" s="3" t="inlineStr">
        <is>
          <t>Please select information</t>
        </is>
      </c>
      <c r="E740" s="3" t="inlineStr">
        <is>
          <t>ກະລຸນາເລືອກຂໍ້ມູນ</t>
        </is>
      </c>
      <c r="F740" s="3" t="inlineStr">
        <is>
          <t>အချက်အလက်ကို ရွေးပါ</t>
        </is>
      </c>
      <c r="G740" s="3">
        <f>IFERROR(__xludf.DUMMYFUNCTION("GOOGLETRANSLATE(C740,""vi"",""km"")"),"សូមជ្រើសរើសព័ត៌មាន")</f>
        <v/>
      </c>
      <c r="H740" s="217" t="inlineStr">
        <is>
          <t>សូូមជ្រើសរើសព័ត៌មាន</t>
        </is>
      </c>
      <c r="J740" s="3" t="inlineStr">
        <is>
          <t>សូមជ្រើសរើសព័ត៌មាន</t>
        </is>
      </c>
      <c r="K740" s="217" t="inlineStr">
        <is>
          <t>សូមជ្រើសរើសព័ត៌មាន</t>
        </is>
      </c>
      <c r="S740" s="163" t="inlineStr">
        <is>
          <t>សូមជ្រើសរើសព័ត៌មាន</t>
        </is>
      </c>
    </row>
    <row r="741" ht="15.75" customHeight="1" s="305">
      <c r="A741" s="217" t="inlineStr">
        <is>
          <t>VALIDATE_ORDER.INPUT_INFOMATION</t>
        </is>
      </c>
      <c r="B741" s="153" t="inlineStr">
        <is>
          <t>请输入信息</t>
        </is>
      </c>
      <c r="C741" s="3" t="inlineStr">
        <is>
          <t>Vui lòng nhập thông tin</t>
        </is>
      </c>
      <c r="D741" s="3" t="inlineStr">
        <is>
          <t>Please enter information</t>
        </is>
      </c>
      <c r="E741" s="3" t="inlineStr">
        <is>
          <t>ກະລຸນາໃສ່ຂໍ້ມູນ</t>
        </is>
      </c>
      <c r="F741" s="3" t="inlineStr">
        <is>
          <t>အချက်အလက်ထည့်ပါ</t>
        </is>
      </c>
      <c r="G741" s="3">
        <f>IFERROR(__xludf.DUMMYFUNCTION("GOOGLETRANSLATE(C741,""vi"",""km"")"),"សូមបញ្ចូលព័ត៌មាន។")</f>
        <v/>
      </c>
      <c r="H741" s="217" t="inlineStr">
        <is>
          <t>សូមបំពេញព័ត៌មាន</t>
        </is>
      </c>
      <c r="J741" s="3" t="inlineStr">
        <is>
          <t>សូមបំពេញព័ត៌មាន</t>
        </is>
      </c>
      <c r="K741" s="217" t="inlineStr">
        <is>
          <t>សូមបំពេញព័ត៌មាន</t>
        </is>
      </c>
      <c r="S741" s="163" t="inlineStr">
        <is>
          <t>សូមបញ្ចូលព័ត៌មាន</t>
        </is>
      </c>
    </row>
    <row r="742" ht="15.75" customHeight="1" s="305">
      <c r="A742" s="217" t="inlineStr">
        <is>
          <t>VALIDATE_ORDER.INPUT_PRICE</t>
        </is>
      </c>
      <c r="B742" s="153" t="inlineStr">
        <is>
          <t>货物价值无效</t>
        </is>
      </c>
      <c r="C742" s="3" t="inlineStr">
        <is>
          <t>Giá hàng hoá không hợp lệ</t>
        </is>
      </c>
      <c r="D742" s="3" t="inlineStr">
        <is>
          <t>Invalid product price</t>
        </is>
      </c>
      <c r="E742" s="3" t="inlineStr">
        <is>
          <t>ລາຄາສິນຄ້າບໍ່ຖືກຕ້ອງ</t>
        </is>
      </c>
      <c r="F742" s="3" t="inlineStr">
        <is>
          <t>မမှန်ကန်သော ထုတ်ကုန်စျေးနှုန်း</t>
        </is>
      </c>
      <c r="G742" s="3">
        <f>IFERROR(__xludf.DUMMYFUNCTION("GOOGLETRANSLATE(C742,""vi"",""km"")"),"តម្លៃទំនិញមិនត្រឹមត្រូវ")</f>
        <v/>
      </c>
      <c r="H742" s="217" t="inlineStr">
        <is>
          <t>តម្លៃអីវ៉ាន់មិនត្រឹមត្រូវ</t>
        </is>
      </c>
      <c r="J742" s="3" t="inlineStr">
        <is>
          <t>តម្លៃអីវ៉ាន់មិនត្រឹមត្រូវ</t>
        </is>
      </c>
      <c r="K742" s="217" t="inlineStr">
        <is>
          <t>តម្លៃអីវ៉ាន់មិនត្រឹមត្រូវ</t>
        </is>
      </c>
      <c r="S742" s="163" t="inlineStr">
        <is>
          <t>តម្លៃផលិតផលមិនត្រឹមត្រូវ</t>
        </is>
      </c>
    </row>
    <row r="743" ht="15.75" customHeight="1" s="305">
      <c r="A743" s="217" t="inlineStr">
        <is>
          <t>VALIDATE_ORDER.INVALID_COD</t>
        </is>
      </c>
      <c r="B743" s="153" t="inlineStr">
        <is>
          <t>代收货款金额无效</t>
        </is>
      </c>
      <c r="C743" s="3" t="inlineStr">
        <is>
          <t>COD không hợp lệ</t>
        </is>
      </c>
      <c r="D743" s="3" t="inlineStr">
        <is>
          <t>Invalid Cod</t>
        </is>
      </c>
      <c r="E743" s="3" t="inlineStr">
        <is>
          <t>COD ບໍ່ຖືກຕ້ອງ</t>
        </is>
      </c>
      <c r="F743" s="3" t="inlineStr">
        <is>
          <t>မမှန်ကန်သော ကော့ဒ်</t>
        </is>
      </c>
      <c r="G743" s="3">
        <f>IFERROR(__xludf.DUMMYFUNCTION("GOOGLETRANSLATE(C743,""vi"",""km"")"),"COD មិនត្រឹមត្រូវ")</f>
        <v/>
      </c>
      <c r="H743" s="217" t="inlineStr">
        <is>
          <t>COD មិនត្រឹមត្រូវ</t>
        </is>
      </c>
      <c r="J743" s="3" t="inlineStr">
        <is>
          <t>COD មិនត្រឹមត្រូវ</t>
        </is>
      </c>
      <c r="K743" s="217" t="inlineStr">
        <is>
          <t>COD មិនត្រឹមត្រូវ</t>
        </is>
      </c>
      <c r="S743" s="163" t="inlineStr">
        <is>
          <t>COD មិនត្រឹមត្រូវ</t>
        </is>
      </c>
    </row>
    <row r="744" ht="15.75" customHeight="1" s="305">
      <c r="A744" s="217" t="inlineStr">
        <is>
          <t>VALIDATE_ORDER.VALIDATE_ADDRESS</t>
        </is>
      </c>
      <c r="B744" s="153" t="inlineStr">
        <is>
          <t>地址不能为空</t>
        </is>
      </c>
      <c r="C744" s="3" t="inlineStr">
        <is>
          <t>Địa chỉ không được để trống</t>
        </is>
      </c>
      <c r="D744" s="3" t="inlineStr">
        <is>
          <t>The address cannot be empty</t>
        </is>
      </c>
      <c r="E744" s="3" t="inlineStr">
        <is>
          <t>ທີ່ຢູ່ຫ້າມປ່ອນໃຫ້ຫວ່າງ</t>
        </is>
      </c>
      <c r="F744" s="3" t="inlineStr">
        <is>
          <t>လိပ်စာကိုဗလာမထားရ။</t>
        </is>
      </c>
      <c r="G744" s="3">
        <f>IFERROR(__xludf.DUMMYFUNCTION("GOOGLETRANSLATE(C744,""vi"",""km"")"),"អាសយដ្ឋានមិនត្រូវទុកចោលទទេឡើយ។")</f>
        <v/>
      </c>
      <c r="H744" s="217" t="inlineStr">
        <is>
          <t>ទីតាំងមិនអាចទុកចន្លោះបាន</t>
        </is>
      </c>
      <c r="J744" s="3" t="inlineStr">
        <is>
          <t>ទីតាំងមិនអាចទុកចន្លោះបាន</t>
        </is>
      </c>
      <c r="K744" s="217" t="inlineStr">
        <is>
          <t>ទីតាំងមិនអាចទុកចន្លោះបាន</t>
        </is>
      </c>
      <c r="S744" s="163" t="inlineStr">
        <is>
          <t>អាសយដ្ឋានមិនអាចទុកឲ្យនៅទទេបានទេ</t>
        </is>
      </c>
    </row>
    <row r="745" ht="15.75" customHeight="1" s="305">
      <c r="A745" s="217" t="inlineStr">
        <is>
          <t>VALIDATE_ORDER.VOLUME_POSITIVE</t>
        </is>
      </c>
      <c r="B745" s="153" t="inlineStr">
        <is>
          <t>重量必须大于0</t>
        </is>
      </c>
      <c r="C745" s="3" t="inlineStr">
        <is>
          <t>Khối lượng lớn hơn 0</t>
        </is>
      </c>
      <c r="D745" s="3" t="inlineStr">
        <is>
          <t>Volume greater than 0</t>
        </is>
      </c>
      <c r="E745" s="3" t="inlineStr">
        <is>
          <t>ມະຫາຊົນຫຼາຍກວ່າ 0</t>
        </is>
      </c>
      <c r="F745" s="3" t="inlineStr">
        <is>
          <t>ဒြပ်ထု 0 ထက်ကြီးသည်။</t>
        </is>
      </c>
      <c r="G745" s="3">
        <f>IFERROR(__xludf.DUMMYFUNCTION("GOOGLETRANSLATE(C745,""vi"",""km"")"),"ម៉ាស់ធំជាង ០")</f>
        <v/>
      </c>
      <c r="H745" s="217" t="inlineStr">
        <is>
          <t>ទម្ងន់ធំជាង0</t>
        </is>
      </c>
      <c r="J745" s="3" t="inlineStr">
        <is>
          <t>ទម្ងន់ធំជាង0</t>
        </is>
      </c>
      <c r="K745" s="217" t="inlineStr">
        <is>
          <t>ទម្ងន់ធំជាង0</t>
        </is>
      </c>
      <c r="S745" s="163" t="inlineStr">
        <is>
          <t>បរិមាណធំជាង 0</t>
        </is>
      </c>
    </row>
    <row r="746" ht="15.75" customHeight="1" s="305">
      <c r="A746" s="217" t="inlineStr">
        <is>
          <t>VALIDATE_ORDER.MISSING_PRODUCT_INFORMATION</t>
        </is>
      </c>
      <c r="B746" s="153" t="inlineStr">
        <is>
          <t>请完善货物信息</t>
        </is>
      </c>
      <c r="C746" s="3" t="inlineStr">
        <is>
          <t>Thiếu thông tin hàng hoá</t>
        </is>
      </c>
      <c r="D746" s="3" t="inlineStr">
        <is>
          <t>Missing product information</t>
        </is>
      </c>
      <c r="E746" s="3" t="inlineStr">
        <is>
          <t>ຂາດຂໍ້ມູນສິນຄ້າ</t>
        </is>
      </c>
      <c r="F746" s="3" t="n"/>
      <c r="G746" s="3">
        <f>IFERROR(__xludf.DUMMYFUNCTION("GOOGLETRANSLATE(C746,""vi"",""km"")"),"កង្វះព័ត៌មានផលិតផល")</f>
        <v/>
      </c>
      <c r="H746" s="217" t="inlineStr">
        <is>
          <t>ខ្វះព័ត៌មានអីវ៉ាន់</t>
        </is>
      </c>
      <c r="J746" s="3" t="inlineStr">
        <is>
          <t>ខ្វះព័ត៌មានអីវ៉ាន់</t>
        </is>
      </c>
      <c r="K746" s="217" t="inlineStr">
        <is>
          <t>ខ្វះព័ត៌មានអីវ៉ាន់</t>
        </is>
      </c>
      <c r="S746" s="163" t="inlineStr">
        <is>
          <t>បាត់ព័ត៌មានផលិតផល</t>
        </is>
      </c>
    </row>
    <row r="747" ht="15.75" customHeight="1" s="305">
      <c r="A747" s="217" t="inlineStr">
        <is>
          <t>listOfProhibitedItems.rule1</t>
        </is>
      </c>
      <c r="B747" s="161" t="inlineStr">
        <is>
          <t>1. 活体动物、动物身体部位或其制品。</t>
        </is>
      </c>
      <c r="C747" s="3" t="inlineStr">
        <is>
          <t>1. Động vật sống, bộ phận cơ thể hoặc sản phẩm của động vật sống.</t>
        </is>
      </c>
      <c r="D747" s="3" t="inlineStr">
        <is>
          <t>1. Live animals, body parts or products of live animals.</t>
        </is>
      </c>
      <c r="E747" s="3" t="inlineStr">
        <is>
          <t>1. ສັດມີຊີວິດ, ພາກສ່ວນຂອງຮ່າງກາຍ ຫຼືຜະລິດຕະພັນຂອງສັດມີຊີວິດ.</t>
        </is>
      </c>
      <c r="F747" s="3" t="n"/>
      <c r="G747" s="3">
        <f>IFERROR(__xludf.DUMMYFUNCTION("GOOGLETRANSLATE(C747,""vi"",""km"")"),"១. សត្វមានជីវិត ផ្នែកនៃរាងកាយ ឬផលិតផលនៃសត្វមានជីវិត។")</f>
        <v/>
      </c>
      <c r="H747" s="3" t="inlineStr">
        <is>
          <t>១. សត្វមានជីវិត ផ្នែកនៃរាងកាយ ឬផលិតផលនៃសត្វមានជីវិត។</t>
        </is>
      </c>
      <c r="J747" s="3" t="inlineStr">
        <is>
          <t>១. សត្វមានជីវិត ផ្នែកនៃរាងកាយ ឬផលិតផលនៃសត្វមានជីវិត។</t>
        </is>
      </c>
      <c r="K747" s="217" t="inlineStr">
        <is>
          <t>១. សត្វមានជីវិត ផ្នែកនៃរាងកាយ ឬផលិតផលនៃសត្វមានជីវិត។</t>
        </is>
      </c>
      <c r="S747" s="163" t="inlineStr">
        <is>
          <t>1. សត្វមានជីវិត ផ្នែករាងកាយ ឬផលិតផលរបស់សត្វមានជីវិត</t>
        </is>
      </c>
    </row>
    <row r="748" ht="15.75" customHeight="1" s="305">
      <c r="A748" s="217" t="inlineStr">
        <is>
          <t>listOfProhibitedItems.rule2</t>
        </is>
      </c>
      <c r="B748" s="161" t="inlineStr">
        <is>
          <t>2. 武器、弹药、爆炸物及军事装备。</t>
        </is>
      </c>
      <c r="C748" s="3" t="inlineStr">
        <is>
          <t>2. Vũ khí, đạn dược, chất nổ, trang thiết bị quân sự.</t>
        </is>
      </c>
      <c r="D748" s="3" t="inlineStr">
        <is>
          <t>2. Weapons, ammunition, explosives, military equipment.</t>
        </is>
      </c>
      <c r="E748" s="3" t="inlineStr">
        <is>
          <t>2. ອາວຸດເສິກ, ລູກປືນ, ລະເບີດ, ອຸປະກອນການທະຫານ.</t>
        </is>
      </c>
      <c r="F748" s="3" t="n"/>
      <c r="G748" s="3">
        <f>IFERROR(__xludf.DUMMYFUNCTION("GOOGLETRANSLATE(C748,""vi"",""km"")"),"២. អាវុធ គ្រាប់រំសេវ គ្រឿងផ្ទុះ និងឧបករណ៍យោធា។")</f>
        <v/>
      </c>
      <c r="H748" s="3" t="inlineStr">
        <is>
          <t>២. អាវុធ គ្រាប់រំសេវ គ្រឿងផ្ទុះ និងឧបករណ៍យោធា។</t>
        </is>
      </c>
      <c r="J748" s="3" t="inlineStr">
        <is>
          <t>២. អាវុធ គ្រាប់រំសេវ គ្រឿងផ្ទុះ និងឧបករណ៍យោធា។</t>
        </is>
      </c>
      <c r="K748" s="217" t="inlineStr">
        <is>
          <t>២. អាវុធ គ្រាប់រំសេវ គ្រឿងផ្ទុះ និងឧបករណ៍យោធា។</t>
        </is>
      </c>
      <c r="S748" s="163" t="inlineStr">
        <is>
          <t>3.អាវុធ គ្រាប់រំសេវ គ្រឿងផ្ទុះ សម្ភារៈយោធា</t>
        </is>
      </c>
    </row>
    <row r="749" ht="15.75" customHeight="1" s="305">
      <c r="A749" s="217" t="inlineStr">
        <is>
          <t>listOfProhibitedItems.rule3</t>
        </is>
      </c>
      <c r="B749" s="161" t="inlineStr">
        <is>
          <t>3. 易燃易爆物品、危险品、污秽物及环境污染物。</t>
        </is>
      </c>
      <c r="C749" s="3" t="inlineStr">
        <is>
          <t>3. Vật hoặc chất dễ nổ, dễ cháy và các chất gây nguy hiểm mất vệ sinh, gây ô nhiễm môi trường.</t>
        </is>
      </c>
      <c r="D749" s="3" t="inlineStr">
        <is>
          <t>3. Explosive, flammable objects or substances and substances that are dangerous, unsanitary, or pollutants.</t>
        </is>
      </c>
      <c r="E749" s="3" t="inlineStr">
        <is>
          <t>3. ວັດຖຸລະເບີດ, ໄວໄຟ ຫຼື ວັດຖຸ ແລະ ວັດຖຸທີ່ເປັນອັນຕະລາຍ, ບໍ່ມີສຸຂະອະນາໄມ ຫຼື ສ້າງມົນລະພິດຕໍ່ສິ່ງແວດລ້ອມ.</t>
        </is>
      </c>
      <c r="F749" s="3" t="n"/>
      <c r="G749" s="3">
        <f>IFERROR(__xludf.DUMMYFUNCTION("GOOGLETRANSLATE(C749,""vi"",""km"")"),"៣. សម្ភារៈ និងសារធាតុផ្ទុះ ឬងាយឆេះ ដែលមានគ្រោះថ្នាក់ គ្មានអនាម័យ ឬបំពុលបរិស្ថាន។")</f>
        <v/>
      </c>
      <c r="H749" s="3" t="inlineStr">
        <is>
          <t>៣. សម្ភារៈ និងសារធាតុផ្ទុះ ឬងាយឆេះ ដែលមានគ្រោះថ្នាក់ គ្មានអនាម័យ ឬបំពុលបរិស្ថាន។</t>
        </is>
      </c>
      <c r="J749" s="3" t="inlineStr">
        <is>
          <t>៣. សម្ភារៈ និងសារធាតុផ្ទុះ ឬងាយឆេះ ដែលមានគ្រោះថ្នាក់ គ្មានអនាម័យ ឬបំពុលបរិស្ថាន។</t>
        </is>
      </c>
      <c r="K749" s="217" t="inlineStr">
        <is>
          <t>៣. សម្ភារៈ និងសារធាតុផ្ទុះ ឬងាយឆេះ ដែលមានគ្រោះថ្នាក់ គ្មានអនាម័យ ឬបំពុលបរិស្ថាន។</t>
        </is>
      </c>
      <c r="S749" s="163" t="inlineStr">
        <is>
          <t>3. វត្ថុផ្ទុះ ងាយឆេះ ឬសារធាតុ និងសារធាតុដែលមានគ្រោះថ្នាក់ គ្មានអនាម័យ ឬបំពុលបរិស្ថាន</t>
        </is>
      </c>
    </row>
    <row r="750" ht="15.75" customHeight="1" s="305">
      <c r="A750" s="217" t="inlineStr">
        <is>
          <t>listOfProhibitedItems.rule4</t>
        </is>
      </c>
      <c r="B750" s="161" t="inlineStr">
        <is>
          <t>4. 柬埔寨货币、外币及具有货币价值的票据。</t>
        </is>
      </c>
      <c r="C750" s="3" t="inlineStr">
        <is>
          <t>4. Tiền Campuchia, tiền nước ngoài và các giấy tờ có giá trị như tiền.</t>
        </is>
      </c>
      <c r="D750" s="3" t="inlineStr">
        <is>
          <t>4. Cambodian money, foreign money and treasury notes with the same value as money.</t>
        </is>
      </c>
      <c r="E750" s="3" t="inlineStr">
        <is>
          <t>4. ສະກຸນເງິນກຳປູເຈຍ, ເງິນຕາຕ່າງປະເທດ ແລະ ເອກະສານມີຄ່າເຊັ່ນ: ເງິນ.</t>
        </is>
      </c>
      <c r="F750" s="3" t="n"/>
      <c r="G750" s="3">
        <f>IFERROR(__xludf.DUMMYFUNCTION("GOOGLETRANSLATE(C750,""vi"",""km"")"),"៤. រូបិយប័ណ្ណកម្ពុជា រូបិយប័ណ្ណបរទេស និងឯកសារដែលត្រូវបានចាត់ទុកថាស្មើនឹងប្រាក់។")</f>
        <v/>
      </c>
      <c r="H750" s="3" t="inlineStr">
        <is>
          <t>៤. រូបិយប័ណ្ណកម្ពុជា រូបិយប័ណ្ណបរទេស និងឯកសារដែលត្រូវបានចាត់ទុកថាស្មើនឹងប្រាក់។</t>
        </is>
      </c>
      <c r="J750" s="3" t="inlineStr">
        <is>
          <t>៤. រូបិយប័ណ្ណកម្ពុជា រូបិយប័ណ្ណបរទេស និងឯកសារដែលត្រូវបានចាត់ទុកថាស្មើនឹងប្រាក់។</t>
        </is>
      </c>
      <c r="K750" s="217" t="inlineStr">
        <is>
          <t>៤. រូបិយប័ណ្ណកម្ពុជា រូបិយប័ណ្ណបរទេស និងឯកសារដែលត្រូវបានចាត់ទុកថាស្មើនឹងប្រាក់។</t>
        </is>
      </c>
      <c r="S750" s="163" t="inlineStr">
        <is>
          <t>4. រូបិយប័ណ្ណខ្មែរ រូបិយប័ណ្ណបរទេស និងក្រដាសដ៏មានតម្លៃដូចជាប្រាក់</t>
        </is>
      </c>
    </row>
    <row r="751" ht="15.75" customHeight="1" s="305">
      <c r="A751" s="217" t="inlineStr">
        <is>
          <t>listOfProhibitedItems.rule5</t>
        </is>
      </c>
      <c r="B751" s="161" t="inlineStr">
        <is>
          <t>5. 贵金属（金、银、铂金等）、宝石及其制品（含在保价邮件内）。</t>
        </is>
      </c>
      <c r="C751" s="3" t="inlineStr">
        <is>
          <t>5. Các loại kim khí quý (vàng, bạc, bạch kim,....), các loại đá quý hay các sản phẩm khác chế tạo từ kim khí quý, đá quý (xin gửi kể cả trong bưu phẩm gửi khai giá).</t>
        </is>
      </c>
      <c r="D751" s="3" t="inlineStr">
        <is>
          <t>5. Precious metals (gold, silver, platinum, etc.), precious stones or other products made from precious metals or precious stones (please send them in the declared value parcel).</t>
        </is>
      </c>
      <c r="E751" s="3" t="inlineStr">
        <is>
          <t>5. ໂລຫະປະເສີດ (ຄໍາ, ເງິນ, ທອງຄໍາ, ແລະອື່ນໆ), ແກ້ວປະເສີດຫຼືຜະລິດຕະພັນອື່ນໆທີ່ເຮັດຈາກໂລຫະປະເສີດຫຼືແກ້ວປະເສີດ (ກະລຸນາສົ່ງເຂົ້າໄປໃນ parcels ມູນຄ່າປະກາດ).</t>
        </is>
      </c>
      <c r="F751" s="3" t="n"/>
      <c r="G751" s="3">
        <f>IFERROR(__xludf.DUMMYFUNCTION("GOOGLETRANSLATE(C751,""vi"",""km"")"),"៥. លោហធាតុដ៏មានតម្លៃ (មាស ប្រាក់ ផ្លាទីន។ល។) ត្បូងមានតម្លៃ ឬផលិតផលផ្សេងទៀតដែលផលិតពីលោហធាតុដ៏មានតម្លៃ ឬត្បូងមានតម្លៃ (សូមដាក់បញ្ចូលទាំងនេះនៅក្នុងប្រៃសណីយ៍តម្លៃដែលបានប្រកាស)។")</f>
        <v/>
      </c>
      <c r="H751" s="3" t="inlineStr">
        <is>
          <t>៥. លោហធាតុដ៏មានតម្លៃ (មាស ប្រាក់ ផ្លាទីន។ល។) ត្បូងមានតម្លៃ ឬផលិតផលផ្សេងទៀតដែលផលិតពីលោហធាតុដ៏មានតម្លៃ ឬត្បូងមានតម្លៃ (សូមដាក់បញ្ចូលទាំងនេះនៅក្នុងប្រៃសណីយ៍តម្លៃដែលបានប្រកាស)។</t>
        </is>
      </c>
      <c r="J751" s="3" t="inlineStr">
        <is>
          <t>៥. លោហធាតុដ៏មានតម្លៃ (មាស ប្រាក់ ផ្លាទីន។ល។) ត្បូងមានតម្លៃ ឬផលិតផលផ្សេងទៀតដែលផលិតពីលោហធាតុដ៏មានតម្លៃ ឬត្បូងមានតម្លៃ (សូមដាក់បញ្ចូលទាំងនេះនៅក្នុងប្រៃសណីយ៍តម្លៃដែលបានប្រកាស)។</t>
        </is>
      </c>
      <c r="K751" s="217" t="inlineStr">
        <is>
          <t>៥. លោហធាតុដ៏មានតម្លៃ (មាស ប្រាក់ ផ្លាទីន។ល។) ត្បូងមានតម្លៃ ឬផលិតផលផ្សេងទៀតដែលផលិតពីលោហធាតុដ៏មានតម្លៃ ឬត្បូងមានតម្លៃ (សូមដាក់បញ្ចូលទាំងនេះនៅក្នុងប្រៃសណីយ៍តម្លៃដែលបានប្រកាស)។</t>
        </is>
      </c>
      <c r="S751" s="163" t="inlineStr">
        <is>
          <t>5. លោហធាតុដ៏មានតម្លៃ (មាស ប្រាក់ ប្លាទីន)</t>
        </is>
      </c>
    </row>
    <row r="752" ht="15.75" customHeight="1" s="305">
      <c r="A752" s="217" t="inlineStr">
        <is>
          <t>listOfProhibitedItems.rule6</t>
        </is>
      </c>
      <c r="B752" s="161" t="inlineStr">
        <is>
          <t>6. 鸦片、鸦片制剂、毒品及精神类药品。</t>
        </is>
      </c>
      <c r="C752" s="3" t="inlineStr">
        <is>
          <t>6. Thuốc phiện, các chất hợp chất thuốc phiện, các chất ma túy, chất kích thích thần kinh.</t>
        </is>
      </c>
      <c r="D752" s="3" t="inlineStr">
        <is>
          <t>6. Opium, opium compounds, narcotics, psychotropic substances.</t>
        </is>
      </c>
      <c r="E752" s="3" t="inlineStr">
        <is>
          <t>6. ຝິ່ນ, ທາດປະສົມຝິ່ນ, ຢາເສບຕິດ, ສານເສບຕິດທາງຈິດປະສາດ.</t>
        </is>
      </c>
      <c r="F752" s="3" t="n"/>
      <c r="G752" s="3">
        <f>IFERROR(__xludf.DUMMYFUNCTION("GOOGLETRANSLATE(C752,""vi"",""km"")"),"៦. អាភៀន សមាសធាតុអាភៀន គ្រឿងញៀន និងសារធាតុប៉ះពាល់ដល់ប្រព័ន្ធសរសៃប្រសាទ។")</f>
        <v/>
      </c>
      <c r="H752" s="3" t="inlineStr">
        <is>
          <t>៦. អាភៀន សមាសធាតុអាភៀន គ្រឿងញៀន និងសារធាតុប៉ះពាល់ដល់ប្រព័ន្ធសរសៃប្រសាទ។</t>
        </is>
      </c>
      <c r="J752" s="3" t="inlineStr">
        <is>
          <t>៦. អាភៀន សមាសធាតុអាភៀន គ្រឿងញៀន និងសារធាតុប៉ះពាល់ដល់ប្រព័ន្ធសរសៃប្រសាទ។</t>
        </is>
      </c>
      <c r="K752" s="217" t="inlineStr">
        <is>
          <t>៦. អាភៀន សមាសធាតុអាភៀន គ្រឿងញៀន និងសារធាតុប៉ះពាល់ដល់ប្រព័ន្ធសរសៃប្រសាទ។</t>
        </is>
      </c>
      <c r="S752" s="163" t="inlineStr">
        <is>
          <t>6. អាភៀន សមាសធាតុអាភៀន គ្រឿងញៀន សារធាតុរំញោច</t>
        </is>
      </c>
    </row>
    <row r="753" ht="15.75" customHeight="1" s="305">
      <c r="A753" s="217" t="inlineStr">
        <is>
          <t>listOfProhibitedItems.rule7</t>
        </is>
      </c>
      <c r="B753" s="161" t="inlineStr">
        <is>
          <t>7. 属于国家、政治组织、政治-社会组织所有的文物、古物、国宝；以及不属于上述机构所有的文物、古物。</t>
        </is>
      </c>
      <c r="C753" s="3" t="inlineStr">
        <is>
          <t>7. Di vật, cổ vật, bảo vật quốc gia thuộc sở hữu Nhà nước, sở hữu của tổ chức chính trị, tổ chức chính trị xã hội. Di vật, cổ vật không thuộc sở hữu nhà nước, sở hữu của tổ chức chính trị, tổ chức chính trị - xã hội.</t>
        </is>
      </c>
      <c r="D753" s="3" t="inlineStr">
        <is>
          <t>7. Relics, antiques, national treasures owned by the State, owned by political organizations, socio-political organizations. Relics, antiques not owned by the State, owned by political organizations, socio-political organizations.</t>
        </is>
      </c>
      <c r="E753" s="3" t="inlineStr">
        <is>
          <t>7. ວັດຖຸບູຮານ, ວັດຖຸບູຮານ, ຊັບສົມບັດຂອງຊາດຂອງລັດ, ອົງການຈັດຕັ້ງການເມືອງ, ອົງການຈັດຕັ້ງການເມືອງ-ສັງຄົມ. ວັດຖຸບູຮານ ແລະວັດຖຸບູຮານທີ່ບໍ່ໄດ້ເປັນເຈົ້າຂອງຂອງລັດ, ເປັນຂອງອົງການຈັດຕັ້ງທາງດ້ານການເມືອງ ຫຼືອົງການຈັດຕັ້ງທາງດ້ານການເມືອງ-ສັງຄົມ.</t>
        </is>
      </c>
      <c r="F753" s="3" t="n"/>
      <c r="G753" s="3">
        <f>IFERROR(__xludf.DUMMYFUNCTION("GOOGLETRANSLATE(C753,""vi"",""km"")"),"៧. វត្ថុបុរាណ និងកំណប់ទ្រព្យជាតិដែលជាកម្មសិទ្ធិរបស់រដ្ឋ អង្គការនយោបាយ និងអង្គការសង្គម-នយោបាយ។ វត្ថុបុរាណ និងវត្ថុបុរាណដែលមិនមែនជារបស់រដ្ឋ អង្គការនយោបាយ ឬអង្គការសង្គម-នយោបាយ។")</f>
        <v/>
      </c>
      <c r="H753" s="31" t="inlineStr">
        <is>
          <t>៧. វត្ថុបុរាណ និងកំណប់ទ្រព្យជាតិដែលជាកម្មសិទ្ធិរបស់រដ្ឋ អង្គការនយោបាយ និងអង្គការសង្គម-នយោបាយ។ វត្ថុបុរាណ និងវត្ថុបុរាណដែលមិនមែនជារបស់រដ្ឋ អង្គការនយោបាយ ឬអង្គការសង្គម-នយោបាយ។</t>
        </is>
      </c>
      <c r="J753" s="159" t="inlineStr">
        <is>
          <t>៧. វត្ថុបុរាណ និងកំណប់ទ្រព្យជាតិដែលជាកម្មសិទ្ធិរបស់រដ្ឋ អង្គការនយោបាយ និងអង្គការសង្គម-នយោបាយ។ វត្ថុបុរាណ និងវត្ថុបុរាណដែលមិនមែនជារបស់រដ្ឋ អង្គការនយោបាយ ឬអង្គការសង្គម-នយោបាយ។</t>
        </is>
      </c>
      <c r="K753" s="217" t="inlineStr">
        <is>
          <t>៧. វត្ថុបុរាណ និងកំណប់ទ្រព្យជាតិដែលជាកម្មសិទ្ធិរបស់រដ្ឋ អង្គការនយោបាយ និងអង្គការសង្គម-នយោបាយ។ វត្ថុបុរាណ និងវត្ថុបុរាណដែលមិនមែនជារបស់រដ្ឋ អង្គការនយោបាយ ឬអង្គការសង្គម-នយោបាយ។</t>
        </is>
      </c>
      <c r="S753" s="163" t="inlineStr">
        <is>
          <t>7- វត្ថុបុរាណ វត្ថុស័ក្តិសិទ្ធិជាតិ ជាកម្មសិទ្ធិរបស់រដ្ឋ ជាកម្មសិទ្ធិរបស់អង្គការនយោបាយ អង្គការសង្គម-នយោបាយ។ វត្ថុបុរាណដែលមិនមែនជារបស់រដ្ឋ ជាកម្មសិទ្ធិរបស់អង្គការនយោបាយ អង្គការនយោបាយសង្គម</t>
        </is>
      </c>
    </row>
    <row r="754" ht="15.75" customHeight="1" s="305">
      <c r="A754" s="217" t="inlineStr">
        <is>
          <t>listOfProhibitedItems.rule8</t>
        </is>
      </c>
      <c r="B754" s="161" t="inlineStr">
        <is>
          <t>8. 一个邮件内包含多封信件且寄往多个不同收件地址的。</t>
        </is>
      </c>
      <c r="C754" s="3" t="inlineStr">
        <is>
          <t>8. Bưu gửi chứa nhiều thư gửi, gửi đi nhiều địa chỉ nhận khác nhau.</t>
        </is>
      </c>
      <c r="D754" s="3" t="inlineStr">
        <is>
          <t>8. Postal items containing multiple letters sent to multiple recipient addresses.</t>
        </is>
      </c>
      <c r="E754" s="3" t="inlineStr">
        <is>
          <t>8. ລາຍການໄປສະນີມີຈົດໝາຍຫຼາຍສະບັບທີ່ສົ່ງໄປຫາທີ່ຢູ່ຜູ້ຮັບຫຼາຍອັນ.</t>
        </is>
      </c>
      <c r="F754" s="3" t="n"/>
      <c r="G754" s="3">
        <f>IFERROR(__xludf.DUMMYFUNCTION("GOOGLETRANSLATE(C754,""vi"",""km"")"),"៨. កញ្ចប់ប្រៃសណីយ៍មួយដែលមានសំបុត្រច្រើនសន្លឹក ផ្ញើទៅកាន់អាសយដ្ឋានអ្នកទទួលផ្សេងៗគ្នាជាច្រើន។")</f>
        <v/>
      </c>
      <c r="H754" s="3" t="inlineStr">
        <is>
          <t>៨. អីវ៉ាន់បញ្ញើមួយដែលមានសំបុត្រច្រើន ផ្ញើទៅកាន់អាសយដ្ឋានអ្នកទទួលផ្សេងៗគ្នាជាច្រើន។</t>
        </is>
      </c>
      <c r="J754" s="3" t="inlineStr">
        <is>
          <t>៨. អីវ៉ាន់បញ្ញើមួយដែលមានសំបុត្រច្រើន ផ្ញើទៅកាន់អាសយដ្ឋានអ្នកទទួលផ្សេងៗគ្នាជាច្រើន។</t>
        </is>
      </c>
      <c r="K754" s="217" t="inlineStr">
        <is>
          <t>៨. អីវ៉ាន់បញ្ញើមួយដែលមានសំបុត្រច្រើន ផ្ញើទៅកាន់អាសយដ្ឋានអ្នកទទួលផ្សេងៗគ្នាជាច្រើន។</t>
        </is>
      </c>
      <c r="S754" s="163" t="inlineStr">
        <is>
          <t>8. ធាតុប្រៃសណីយ៍ដែលមានសំបុត្រជាច្រើនផ្ញើទៅកាន់អាសយដ្ឋានអ្នកទទួលផ្សេងៗគ្នា។</t>
        </is>
      </c>
    </row>
    <row r="755" ht="15.75" customHeight="1" s="305">
      <c r="A755" s="217" t="inlineStr">
        <is>
          <t>listOfProhibitedItems.rule9</t>
        </is>
      </c>
      <c r="B755" s="161" t="inlineStr">
        <is>
          <t>9. 淫秽、反动的文化产品，以及旨在破坏公共安全秩序、反对王室、国家的印刷品和资料。</t>
        </is>
      </c>
      <c r="C755" s="3" t="inlineStr">
        <is>
          <t>9. Các loại văn hóa sản phẩm đồi trụy, phản động, ấn sản phẩm, tài liệu nhằm phá hoại an ninh trật tự công cộng, chống lại Hoàng gia, Nhà nước.</t>
        </is>
      </c>
      <c r="D755" s="3" t="inlineStr">
        <is>
          <t>9. All kinds of obscene and reactionary cultural products, printed products and documents that disrupt public order and oppose the Royal Family and the State.</t>
        </is>
      </c>
      <c r="E755" s="3" t="inlineStr">
        <is>
          <t>9. ຜະລິດຕະພັນວັດທະນະທຳອັນຫຍາບຄາຍ ແລະ ປະຕິກິລິຍາ, ສິນຄ້າພິມຈຳໜ່າຍ ແລະ ເອກະສານທຸກປະເພດ ແນໃສ່ທຳລາຍຄວາມເປັນລະບຽບຮຽບຮ້ອຍ ແລະ ຄວາມໝັ້ນຄົງ, ຕ້ານພະລາຊະວັງ ແລະ ລັດ.</t>
        </is>
      </c>
      <c r="F755" s="3" t="n"/>
      <c r="G755" s="3">
        <f>IFERROR(__xludf.DUMMYFUNCTION("GOOGLETRANSLATE(C755,""vi"",""km"")"),"៩. ប្រភេទផលិតផលវប្បធម៌ដែលមានលក្ខណៈអាសអាភាស ប្រតិកម្ម បោះពុម្ព ឬឯកសារដែលមានគោលបំណងធ្វើឱ្យប៉ះពាល់ដល់សន្តិសុខ និងសណ្តាប់ធ្នាប់សាធារណៈ ឬប្រឆាំងនឹងរាជវង្ស និងរដ្ឋ។")</f>
        <v/>
      </c>
      <c r="H755" s="3" t="inlineStr">
        <is>
          <t>៩.ប្រភេទផលិតផលវប្បធម៌ដែលមានលក្ខណៈអាសអាភាស  ផលិតផល ឬឯកសារដែលមានគោលបំណងធ្វើឱ្យប៉ះពាល់ដល់សន្តិសុខ និងសណ្តាប់ធ្នាប់សាធារណៈ ឬប្រឆាំងនឹងរាជវង្ស និងរដ្ឋ។</t>
        </is>
      </c>
      <c r="J755" s="3" t="inlineStr">
        <is>
          <t>៩.ប្រភេទផលិតផលវប្បធម៌ដែលមានលក្ខណៈអាសអាភាស ផលិតផល ឬឯកសារដែលមានគោលបំណងធ្វើឱ្យប៉ះពាល់ដល់សន្តិសុខ និងសណ្តាប់ធ្នាប់សាធារណៈ ឬប្រឆាំងនឹងរាជវង្ស និងរដ្ឋ។</t>
        </is>
      </c>
      <c r="K755" s="217" t="inlineStr">
        <is>
          <t>៩.ប្រភេទផលិតផលវប្បធម៌ដែលមានលក្ខណៈអាសអាភាស ផលិតផល ឬឯកសារដែលមានគោលបំណងធ្វើឱ្យប៉ះពាល់ដល់សន្តិសុខ និងសណ្តាប់ធ្នាប់សាធារណៈ ឬប្រឆាំងនឹងរាជវង្ស និងរដ្ឋ។</t>
        </is>
      </c>
      <c r="S755" s="163" t="inlineStr">
        <is>
          <t>9. ផលិតផលវប្បធម៌អាសអាភាស និងប្រតិកម្ម ផលិតផលបោះពុម្ព និងឯកសារដែលមានបំណងបំផ្លាញសណ្តាប់ធ្នាប់ និងសន្តិសុខសាធារណៈ ប្រឆាំងនឹងព្រះរាជវង្សានុវង្ស និងរដ្ឋ</t>
        </is>
      </c>
    </row>
    <row r="756" ht="15.75" customHeight="1" s="305">
      <c r="A756" s="217" t="inlineStr">
        <is>
          <t>listOfProhibitedItems.rule10</t>
        </is>
      </c>
      <c r="B756" s="161" t="inlineStr">
        <is>
          <t>10. 国家禁止流通、禁止经营、禁止进出口的物品和商品。</t>
        </is>
      </c>
      <c r="C756" s="3" t="inlineStr">
        <is>
          <t>10. Các loại vật phẩm, hàng hóa Nhà nước cấm lưu thông, cấm kinh doanh, cấm xuất khẩu, nhập khẩu.</t>
        </is>
      </c>
      <c r="D756" s="3" t="inlineStr">
        <is>
          <t>10. Types of products and goods that the State prohibits from circulation, trading, exporting and importing.</t>
        </is>
      </c>
      <c r="E756" s="3" t="inlineStr">
        <is>
          <t>10. ປະເພດສິນຄ້າ ແລະ ສິນຄ້າທີ່ລັດຫ້າມບໍ່ໃຫ້ໄຫຼວຽນ, ຊື້ຂາຍ, ສົ່ງອອກ ຫຼື ນຳເຂົ້າ.</t>
        </is>
      </c>
      <c r="F756" s="3" t="n"/>
      <c r="G756" s="3">
        <f>IFERROR(__xludf.DUMMYFUNCTION("GOOGLETRANSLATE(C756,""vi"",""km"")"),"១០. វត្ថុ និងទំនិញដែលរដ្ឋហាមឃាត់មិនឱ្យចរាចរ ធ្វើពាណិជ្ជកម្ម នាំចេញ និងនាំចូល។")</f>
        <v/>
      </c>
      <c r="H756" s="3" t="inlineStr">
        <is>
          <t>១០. វត្ថុ និងទំនិញដែលរដ្ឋហាមឃាត់មិនឱ្យចរាចរ ធ្វើពាណិជ្ជកម្ម នាំចេញ និងនាំចូល។</t>
        </is>
      </c>
      <c r="J756" s="3" t="inlineStr">
        <is>
          <t>១០. វត្ថុ និងទំនិញដែលរដ្ឋហាមឃាត់មិនឱ្យចរាចរ ធ្វើពាណិជ្ជកម្ម នាំចេញ និងនាំចូល។</t>
        </is>
      </c>
      <c r="K756" s="217" t="inlineStr">
        <is>
          <t>១០. វត្ថុ និងទំនិញដែលរដ្ឋហាមឃាត់មិនឱ្យចរាចរ ធ្វើពាណិជ្ជកម្ម នាំចេញ និងនាំចូល។</t>
        </is>
      </c>
      <c r="S756" s="163" t="inlineStr">
        <is>
          <t>10. ទំនិញ និងទំនិញដែលរដ្ឋហាមឃាត់មិនឱ្យចរាចរ អាជីវកម្ម ការនាំចេញ និងនាំចូល</t>
        </is>
      </c>
    </row>
    <row r="757" ht="15.75" customHeight="1" s="305">
      <c r="A757" s="217" t="inlineStr">
        <is>
          <t>listOfProhibitedItems.rule11</t>
        </is>
      </c>
      <c r="B757" s="161" t="inlineStr">
        <is>
          <t>11. 根据万国邮政联盟(UPU)通知，禁止寄往目的地国家的物品、出版物和商品。</t>
        </is>
      </c>
      <c r="C757" s="3" t="inlineStr">
        <is>
          <t>11. Vật phẩm, ấn phẩm, hàng hóa hóa cấm nhập vào nước nhận theo thông báo của Liên minh Bưu chính thế giới (UPU).</t>
        </is>
      </c>
      <c r="D757" s="3" t="inlineStr">
        <is>
          <t>11. Products, items, publications, and goods prohibited from being imported into the receiving country according to the notice of the Universal Postal Union (UPU).</t>
        </is>
      </c>
      <c r="E757" s="3" t="inlineStr">
        <is>
          <t>11. ສິນຄ້າ, ສິ່ງພິມ, ແລະ ສິນຄ້າທີ່ຫ້າມນຳເຂົ້າປະເທດຮັບເງິນ ຕາມແຈ້ງການຂອງສະຫະພັນໄປສະນີສາກົນ (UPU).</t>
        </is>
      </c>
      <c r="F757" s="3" t="n"/>
      <c r="G757" s="3">
        <f>IFERROR(__xludf.DUMMYFUNCTION("GOOGLETRANSLATE(C757,""vi"",""km"")"),"១១. របស់របរ ការបោះពុម្ពផ្សាយ និងទំនិញត្រូវបានហាមឃាត់មិនឱ្យចូលទៅក្នុងប្រទេសទទួល ដូចដែលបានប្រកាសដោយសហភាពប្រៃសណីយ៍សកល (UPU)។")</f>
        <v/>
      </c>
      <c r="H757" s="3" t="inlineStr">
        <is>
          <t>១១. របស់របរ ឯកសារបោះពុម្ពចេញ និងទំនិញត្រូវបានហាមឃាត់មិនឱ្យចូលទៅក្នុងប្រទេស ដូចដែលបានប្រកាសដោយសហភាពប្រៃសណីយ៍ពិភពលោក (UPU)។</t>
        </is>
      </c>
      <c r="J757" s="3" t="inlineStr">
        <is>
          <t>១១. របស់របរ ឯកសារព្រីនចេញ និងទំនិញត្រូវបានហាមឃាត់មិនឱ្យចូលទៅក្នុងប្រទេស ដូចដែលបានប្រកាសដោយសហភាពប្រៃសណីយ៍ពិភពលោក (UPU)។</t>
        </is>
      </c>
      <c r="K757" s="217" t="inlineStr">
        <is>
          <t>១១. របស់របរ ឯកសារព្រីនចេញ និងទំនិញត្រូវបានហាមឃាត់មិនឱ្យចូលទៅក្នុងប្រទេស ដូចដែលបានប្រកាសដោយសហភាពប្រៃសណីយ៍ពិភពលោក (UPU)។</t>
        </is>
      </c>
      <c r="S757" s="163" t="inlineStr">
        <is>
          <t>11. ទំនិញ ការបោះពុម្ភ និងទំនិញហាមឃាត់មិនឱ្យនាំចូលទៅប្រទេសទទួល យោងតាមសេចក្តីប្រកាសរបស់សហភាពប្រៃសណីយ៍សកល (UPU)</t>
        </is>
      </c>
    </row>
    <row r="758" ht="15.75" customHeight="1" s="305">
      <c r="A758" s="217" t="inlineStr">
        <is>
          <t>listOfProhibitedItems.rule12</t>
        </is>
      </c>
      <c r="B758" s="161" t="n"/>
      <c r="C758" s="3" t="n"/>
      <c r="D758" s="3" t="n"/>
      <c r="E758" s="3" t="n"/>
      <c r="F758" s="3" t="n"/>
      <c r="G758" s="3">
        <f>IFERROR(__xludf.DUMMYFUNCTION("GOOGLETRANSLATE(C758,""vi"",""km"")"),"#VALUE!")</f>
        <v/>
      </c>
      <c r="H758" s="3" t="n"/>
      <c r="J758" s="3" t="inlineStr"/>
      <c r="K758" s="217" t="inlineStr"/>
      <c r="S758" s="163" t="n"/>
    </row>
    <row r="759" ht="15.75" customHeight="1" s="305">
      <c r="A759" s="217" t="inlineStr">
        <is>
          <t>listOfProhibitedItems.labelMenu</t>
        </is>
      </c>
      <c r="B759" s="153" t="inlineStr">
        <is>
          <t>禁运品列表</t>
        </is>
      </c>
      <c r="C759" s="3" t="inlineStr">
        <is>
          <t>Danh mục hàng cấm gửi</t>
        </is>
      </c>
      <c r="D759" s="3" t="inlineStr">
        <is>
          <t>List of prohibited items</t>
        </is>
      </c>
      <c r="E759" s="3" t="inlineStr">
        <is>
          <t>ບັນຊີລາຍຊື່ຂອງສິ່ງທີ່ຫ້າມ</t>
        </is>
      </c>
      <c r="F759" s="3" t="n"/>
      <c r="G759" s="3">
        <f>IFERROR(__xludf.DUMMYFUNCTION("GOOGLETRANSLATE(C759,""vi"",""km"")"),"បញ្ជីទំនិញហាមឃាត់សម្រាប់ការដឹកជញ្ជូន")</f>
        <v/>
      </c>
      <c r="H759" s="217" t="inlineStr">
        <is>
          <t>បញ្ជីអីវ៉ាន់ដែលហាមឃាត់</t>
        </is>
      </c>
      <c r="J759" s="3" t="inlineStr">
        <is>
          <t>បញ្ជីអីវ៉ាន់ដែលហាមឃាត់</t>
        </is>
      </c>
      <c r="K759" s="217" t="inlineStr">
        <is>
          <t>បញ្ជីអីវ៉ាន់ដែលហាមឃាត់</t>
        </is>
      </c>
      <c r="S759" s="163" t="inlineStr">
        <is>
          <t>បញ្ជីនៃវត្ថុហាមឃាត់</t>
        </is>
      </c>
    </row>
    <row r="760" ht="15.75" customHeight="1" s="305">
      <c r="A760" s="217" t="inlineStr">
        <is>
          <t>listOfProhibitedItems.seeNow</t>
        </is>
      </c>
      <c r="B760" s="153" t="inlineStr">
        <is>
          <t>立即查看</t>
        </is>
      </c>
      <c r="C760" s="3" t="inlineStr">
        <is>
          <t>Xem ngay</t>
        </is>
      </c>
      <c r="D760" s="3" t="inlineStr">
        <is>
          <t>See now</t>
        </is>
      </c>
      <c r="E760" s="3" t="inlineStr">
        <is>
          <t>ເບິ່ງດຽວນີ້</t>
        </is>
      </c>
      <c r="F760" s="3" t="n"/>
      <c r="G760" s="3">
        <f>IFERROR(__xludf.DUMMYFUNCTION("GOOGLETRANSLATE(C760,""vi"",""km"")"),"មើលឥឡូវនេះ")</f>
        <v/>
      </c>
      <c r="H760" s="217" t="inlineStr">
        <is>
          <t>មើលអីឡូវនេះ</t>
        </is>
      </c>
      <c r="J760" s="3" t="inlineStr">
        <is>
          <t>មើលអីឡូវនេះ</t>
        </is>
      </c>
      <c r="K760" s="217" t="inlineStr">
        <is>
          <t>មើលអីឡូវនេះ</t>
        </is>
      </c>
      <c r="S760" s="163" t="inlineStr">
        <is>
          <t>មើលឥឡូវនេះ</t>
        </is>
      </c>
    </row>
    <row r="761" ht="15.75" customHeight="1" s="305">
      <c r="A761" s="217" t="inlineStr">
        <is>
          <t>ORDER_TRACKING.TITLE</t>
        </is>
      </c>
      <c r="B761" s="153" t="inlineStr">
        <is>
          <t>物流轨迹</t>
        </is>
      </c>
      <c r="C761" s="3" t="inlineStr">
        <is>
          <t>Thông tin hành trình</t>
        </is>
      </c>
      <c r="D761" s="3" t="inlineStr">
        <is>
          <t>Tracking Information</t>
        </is>
      </c>
      <c r="E761" s="3" t="inlineStr">
        <is>
          <t>ຂໍ້​ມູນ​ການ​ສົ່ງເຄື່ອງ</t>
        </is>
      </c>
      <c r="F761" s="3" t="n"/>
      <c r="G761" s="3">
        <f>IFERROR(__xludf.DUMMYFUNCTION("GOOGLETRANSLATE(C761,""vi"",""km"")"),"ព័ត៌មានអំពីការធ្វើដំណើរ")</f>
        <v/>
      </c>
      <c r="H761" s="217" t="inlineStr">
        <is>
          <t>ព័ត៌មានចេញដំណើរ</t>
        </is>
      </c>
      <c r="J761" s="3" t="inlineStr">
        <is>
          <t>ព័ត៌មានចេញដំណើរ</t>
        </is>
      </c>
      <c r="K761" s="217" t="inlineStr">
        <is>
          <t>ព័ត៌មានចេញដំណើរ</t>
        </is>
      </c>
      <c r="S761" s="163" t="inlineStr">
        <is>
          <t>ព័ត៌មានអំពីការធ្វើដំណើរ</t>
        </is>
      </c>
    </row>
    <row r="762" ht="15.75" customHeight="1" s="305">
      <c r="A762" s="217" t="inlineStr">
        <is>
          <t>ORDER_TRACKING.CREATE_ORDER</t>
        </is>
      </c>
      <c r="B762" s="153" t="inlineStr">
        <is>
          <t>创建订单</t>
        </is>
      </c>
      <c r="C762" s="3" t="inlineStr">
        <is>
          <t>Tạo đơn</t>
        </is>
      </c>
      <c r="D762" s="3" t="inlineStr">
        <is>
          <t>Create Order</t>
        </is>
      </c>
      <c r="E762" s="3" t="inlineStr">
        <is>
          <t>ສ້າງບິນ</t>
        </is>
      </c>
      <c r="F762" s="3" t="n"/>
      <c r="G762" s="3">
        <f>IFERROR(__xludf.DUMMYFUNCTION("GOOGLETRANSLATE(C762,""vi"",""km"")"),"បង្កើតការបញ្ជាទិញ")</f>
        <v/>
      </c>
      <c r="H762" s="217" t="inlineStr">
        <is>
          <t>បង្កើតបុងបញ្ញើ</t>
        </is>
      </c>
      <c r="J762" s="3" t="inlineStr">
        <is>
          <t>បង្កើតបុងបញ្ញើ</t>
        </is>
      </c>
      <c r="K762" s="217" t="inlineStr">
        <is>
          <t>បង្កើតបុងបញ្ញើ</t>
        </is>
      </c>
      <c r="S762" s="163" t="inlineStr">
        <is>
          <t>បង្កើតការបញ្ជាទិញ</t>
        </is>
      </c>
    </row>
    <row r="763" ht="15.75" customHeight="1" s="305">
      <c r="A763" s="217" t="inlineStr">
        <is>
          <t>MANAGE_ORDER.CONTINUE_DELIVERY_SUFFIX</t>
        </is>
      </c>
      <c r="B763" s="198" t="inlineStr">
        <is>
          <t>是否继续派送？</t>
        </is>
      </c>
      <c r="C763" s="3" t="inlineStr">
        <is>
          <t>để phát tiếp ?</t>
        </is>
      </c>
      <c r="D763" s="3" t="n"/>
      <c r="E763" s="3" t="inlineStr">
        <is>
          <t xml:space="preserve"> ເພື່ອສົ່ງອີກບໍ?</t>
        </is>
      </c>
      <c r="F763" s="3" t="n"/>
      <c r="G763" s="3">
        <f>IFERROR(__xludf.DUMMYFUNCTION("GOOGLETRANSLATE(C763,""vi"",""km"")"),"តើយើងគួរលេងម្តងទៀតទេ?")</f>
        <v/>
      </c>
      <c r="H763" s="217" t="inlineStr">
        <is>
          <t>ដើម្បីប្រគល់បន្តមែនទេ?</t>
        </is>
      </c>
      <c r="J763" s="3" t="inlineStr">
        <is>
          <t>ដើម្បីប្រគល់បន្តមែនទេ?</t>
        </is>
      </c>
      <c r="K763" s="217" t="inlineStr">
        <is>
          <t>ដើម្បីប្រគល់បន្តមែនទេ?</t>
        </is>
      </c>
      <c r="S763" s="163" t="inlineStr">
        <is>
          <t>ដើម្បីបន្តការបញ្ជូន?</t>
        </is>
      </c>
    </row>
    <row r="764" ht="15.75" customHeight="1" s="305">
      <c r="A764" s="158" t="inlineStr">
        <is>
          <t>ACCOUNT_EDIT.ACCOUNT_HOST_REQUIRED</t>
        </is>
      </c>
      <c r="B764" s="199" t="inlineStr">
        <is>
          <t>请输入账户</t>
        </is>
      </c>
      <c r="C764" s="165" t="inlineStr">
        <is>
          <t>Vui lòng nhập chủ tài khoản</t>
        </is>
      </c>
      <c r="D764" s="3" t="inlineStr">
        <is>
          <t>Please enter account holder</t>
        </is>
      </c>
      <c r="E764" s="3" t="n"/>
      <c r="F764" s="3" t="n"/>
      <c r="G764" s="3">
        <f>IFERROR(__xludf.DUMMYFUNCTION("GOOGLETRANSLATE(C764,""vi"",""km"")"),"សូមបញ្ចូលឈ្មោះម្ចាស់គណនី។")</f>
        <v/>
      </c>
      <c r="H764" s="217" t="inlineStr">
        <is>
          <t>សូមបញ្ចូលម្ចាស់គណនី</t>
        </is>
      </c>
      <c r="J764" s="3" t="inlineStr">
        <is>
          <t>សូមបញ្ចូលម្ចាស់គណនី</t>
        </is>
      </c>
      <c r="K764" s="217" t="inlineStr">
        <is>
          <t>សូមបញ្ចូលម្ចាស់គណនី</t>
        </is>
      </c>
      <c r="S764" s="163" t="n"/>
    </row>
    <row r="765" ht="15.75" customHeight="1" s="305">
      <c r="A765" s="165" t="inlineStr">
        <is>
          <t>ACCOUNT_EDIT.ACCOUNT_NUMBER_REQUIRED</t>
        </is>
      </c>
      <c r="B765" s="199" t="inlineStr">
        <is>
          <t>请输入账号</t>
        </is>
      </c>
      <c r="C765" s="165" t="inlineStr">
        <is>
          <t>Vui lòng nhập số tài khoản</t>
        </is>
      </c>
      <c r="D765" s="3" t="inlineStr">
        <is>
          <t>Please enter account number</t>
        </is>
      </c>
      <c r="E765" s="3" t="n"/>
      <c r="F765" s="3" t="n"/>
      <c r="G765" s="3">
        <f>IFERROR(__xludf.DUMMYFUNCTION("GOOGLETRANSLATE(C765,""vi"",""km"")"),"សូមបញ្ចូលលេខគណនីរបស់អ្នក។")</f>
        <v/>
      </c>
      <c r="H765" s="217" t="inlineStr">
        <is>
          <t>សូមបញ្ចូលលេខគណនី</t>
        </is>
      </c>
      <c r="J765" s="3" t="inlineStr">
        <is>
          <t>សូមបញ្ចូលលេខគណនី</t>
        </is>
      </c>
      <c r="K765" s="217" t="inlineStr">
        <is>
          <t>សូមបញ្ចូលលេខគណនី</t>
        </is>
      </c>
      <c r="S765" s="163" t="n"/>
    </row>
    <row r="766" ht="15.75" customHeight="1" s="305">
      <c r="A766" s="165" t="inlineStr">
        <is>
          <t>ACCOUNT_EDIT.UPDATE_SUCCESS</t>
        </is>
      </c>
      <c r="B766" s="200" t="inlineStr">
        <is>
          <t>信息更新成功</t>
        </is>
      </c>
      <c r="C766" s="165" t="inlineStr">
        <is>
          <t>Cập nhật thông tin thành công</t>
        </is>
      </c>
      <c r="D766" s="3" t="inlineStr">
        <is>
          <t>Update information successfully</t>
        </is>
      </c>
      <c r="E766" s="3" t="n"/>
      <c r="F766" s="3" t="n"/>
      <c r="G766" s="3">
        <f>IFERROR(__xludf.DUMMYFUNCTION("GOOGLETRANSLATE(C766,""vi"",""km"")"),"ព័ត៌មានត្រូវបានធ្វើបច្ចុប្បន្នភាពដោយជោគជ័យ។")</f>
        <v/>
      </c>
      <c r="H766" s="217" t="inlineStr">
        <is>
          <t>អាប់ដេតព័ត៌មានបានជោគជ័យ</t>
        </is>
      </c>
      <c r="J766" s="3" t="inlineStr">
        <is>
          <t>អាប់ដេតព័ត៌មានបានជោគជ័យ</t>
        </is>
      </c>
      <c r="K766" s="217" t="inlineStr">
        <is>
          <t>អាប់ដេតព័ត៌មានបានជោគជ័យ</t>
        </is>
      </c>
      <c r="S766" s="163" t="n"/>
    </row>
    <row r="767" ht="15.75" customHeight="1" s="305">
      <c r="A767" s="165" t="inlineStr">
        <is>
          <t>CHANGE_PASSWORD.CHANGE_PASSWORD</t>
        </is>
      </c>
      <c r="B767" s="199" t="inlineStr">
        <is>
          <t>修改密码</t>
        </is>
      </c>
      <c r="C767" s="165" t="inlineStr">
        <is>
          <t>Đổi mật khẩu</t>
        </is>
      </c>
      <c r="D767" s="3" t="inlineStr">
        <is>
          <t>Change Password</t>
        </is>
      </c>
      <c r="E767" s="3" t="n"/>
      <c r="F767" s="3" t="n"/>
      <c r="G767" s="3">
        <f>IFERROR(__xludf.DUMMYFUNCTION("GOOGLETRANSLATE(C767,""vi"",""km"")"),"ប្តូរពាក្យសម្ងាត់")</f>
        <v/>
      </c>
      <c r="H767" s="217" t="inlineStr">
        <is>
          <t>ប្តូរពាក្យសម្ងាត់</t>
        </is>
      </c>
      <c r="J767" s="3" t="inlineStr">
        <is>
          <t>ប្តូរពាក្យសម្ងាត់</t>
        </is>
      </c>
      <c r="K767" s="217" t="inlineStr">
        <is>
          <t>ប្តូរពាក្យសម្ងាត់</t>
        </is>
      </c>
      <c r="S767" s="163" t="n"/>
    </row>
    <row r="768" ht="15.75" customHeight="1" s="305">
      <c r="A768" s="165" t="inlineStr">
        <is>
          <t>CHANGE_PASSWORD.CONFIRM_PASSWORD</t>
        </is>
      </c>
      <c r="B768" s="199" t="inlineStr">
        <is>
          <t>确认密码</t>
        </is>
      </c>
      <c r="C768" s="165" t="inlineStr">
        <is>
          <t>Xác nhận mật khẩu</t>
        </is>
      </c>
      <c r="D768" s="3" t="inlineStr">
        <is>
          <t>Confirm password</t>
        </is>
      </c>
      <c r="E768" s="3" t="n"/>
      <c r="F768" s="3" t="n"/>
      <c r="G768" s="3">
        <f>IFERROR(__xludf.DUMMYFUNCTION("GOOGLETRANSLATE(C768,""vi"",""km"")"),"បញ្ជាក់ពាក្យសម្ងាត់")</f>
        <v/>
      </c>
      <c r="H768" s="217" t="inlineStr">
        <is>
          <t>បញ្ជាក់ពាក្យសម្ងាត់</t>
        </is>
      </c>
      <c r="J768" s="217" t="inlineStr">
        <is>
          <t>បញ្ជាក់ពាក្យសម្ងាត់</t>
        </is>
      </c>
      <c r="K768" s="217" t="inlineStr">
        <is>
          <t>បញ្ជាក់ពាក្យសម្ងាត់</t>
        </is>
      </c>
      <c r="S768" s="163" t="n"/>
    </row>
    <row r="769" ht="15.75" customHeight="1" s="305">
      <c r="A769" s="165" t="inlineStr">
        <is>
          <t>CHANGE_PASSWORD.CONFIRM_PASSWORD_NOT_BLANK</t>
        </is>
      </c>
      <c r="B769" s="199" t="inlineStr">
        <is>
          <t>密码不能为空</t>
        </is>
      </c>
      <c r="C769" s="165" t="inlineStr">
        <is>
          <t>Xác nhận mật khẩu không được để trống</t>
        </is>
      </c>
      <c r="D769" s="3" t="inlineStr">
        <is>
          <t>Password confirmation cannot be empty</t>
        </is>
      </c>
      <c r="E769" s="3" t="n"/>
      <c r="F769" s="3" t="n"/>
      <c r="G769" s="3">
        <f>IFERROR(__xludf.DUMMYFUNCTION("GOOGLETRANSLATE(C769,""vi"",""km"")"),"វាលបញ្ជាក់ពាក្យសម្ងាត់មិនអាចទុកចោលទទេបានទេ។")</f>
        <v/>
      </c>
      <c r="H769" s="217" t="inlineStr">
        <is>
          <t>បញ្ជាក់ពាក្យសម្ងាត់ មិនអាចទុកចន្លោះបាន</t>
        </is>
      </c>
      <c r="J769" s="217" t="inlineStr">
        <is>
          <t>បញ្ជាក់ពាក្យសម្ងាត់ មិនអាចទុកចន្លោះបាន</t>
        </is>
      </c>
      <c r="K769" s="217" t="inlineStr">
        <is>
          <t>បញ្ជាក់ពាក្យសម្ងាត់ មិនអាចទុកចន្លោះបាន</t>
        </is>
      </c>
      <c r="S769" s="163" t="n"/>
    </row>
    <row r="770" ht="15.75" customHeight="1" s="305">
      <c r="A770" s="165" t="inlineStr">
        <is>
          <t>CHANGE_PASSWORD.ENTER_CURRENT_PASSWORD</t>
        </is>
      </c>
      <c r="B770" s="199" t="inlineStr">
        <is>
          <t>请输入当前密码</t>
        </is>
      </c>
      <c r="C770" s="165" t="inlineStr">
        <is>
          <t>Mật khẩu hiện tại</t>
        </is>
      </c>
      <c r="D770" s="3" t="inlineStr">
        <is>
          <t>Enter current password</t>
        </is>
      </c>
      <c r="E770" s="3" t="n"/>
      <c r="F770" s="3" t="n"/>
      <c r="G770" s="3">
        <f>IFERROR(__xludf.DUMMYFUNCTION("GOOGLETRANSLATE(C770,""vi"",""km"")"),"ពាក្យសម្ងាត់បច្ចុប្បន្ន")</f>
        <v/>
      </c>
      <c r="H770" s="217" t="inlineStr">
        <is>
          <t>ពាក្យសម្ងាត់បច្ចុប្បន្ន</t>
        </is>
      </c>
      <c r="J770" s="3" t="inlineStr">
        <is>
          <t>ពាក្យសម្ងាត់បច្ចុប្បន្ន</t>
        </is>
      </c>
      <c r="K770" s="217" t="inlineStr">
        <is>
          <t>ពាក្យសម្ងាត់បច្ចុប្បន្ន</t>
        </is>
      </c>
      <c r="S770" s="163" t="n"/>
    </row>
    <row r="771" ht="15.75" customHeight="1" s="305">
      <c r="A771" s="165" t="inlineStr">
        <is>
          <t>CHANGE_PASSWORD.ENTER_NEW_PASSWORD</t>
        </is>
      </c>
      <c r="B771" s="199" t="inlineStr">
        <is>
          <t>请输入新密码</t>
        </is>
      </c>
      <c r="C771" s="165" t="inlineStr">
        <is>
          <t>Nhập mật khẩu</t>
        </is>
      </c>
      <c r="D771" s="3" t="inlineStr">
        <is>
          <t>Enter new password</t>
        </is>
      </c>
      <c r="E771" s="3" t="n"/>
      <c r="F771" s="3" t="n"/>
      <c r="G771" s="3">
        <f>IFERROR(__xludf.DUMMYFUNCTION("GOOGLETRANSLATE(C771,""vi"",""km"")"),"បញ្ចូលពាក្យសម្ងាត់")</f>
        <v/>
      </c>
      <c r="H771" s="217" t="inlineStr">
        <is>
          <t>បញ្ចូលពាក្យសម្ងាត់</t>
        </is>
      </c>
      <c r="J771" s="3" t="inlineStr">
        <is>
          <t>បញ្ចូលពាក្យសម្ងាត់</t>
        </is>
      </c>
      <c r="K771" s="217" t="inlineStr">
        <is>
          <t>បញ្ចូលពាក្យសម្ងាត់</t>
        </is>
      </c>
      <c r="S771" s="163" t="n"/>
    </row>
    <row r="772" ht="15.75" customHeight="1" s="305">
      <c r="A772" s="165" t="inlineStr">
        <is>
          <t>CHANGE_PASSWORD.ENTER_RE_PASSWORD</t>
        </is>
      </c>
      <c r="B772" s="199" t="inlineStr">
        <is>
          <t>请再次输入密码</t>
        </is>
      </c>
      <c r="C772" s="165" t="inlineStr">
        <is>
          <t>Nhập lại mật khẩu</t>
        </is>
      </c>
      <c r="D772" s="3" t="inlineStr">
        <is>
          <t>Re-enter password</t>
        </is>
      </c>
      <c r="E772" s="3" t="n"/>
      <c r="F772" s="3" t="n"/>
      <c r="G772" s="3">
        <f>IFERROR(__xludf.DUMMYFUNCTION("GOOGLETRANSLATE(C772,""vi"",""km"")"),"បញ្ចូលពាក្យសម្ងាត់ឡើងវិញ")</f>
        <v/>
      </c>
      <c r="H772" s="217" t="inlineStr">
        <is>
          <t>បញ្ចូលពាក្យសម្ងាត់ម្តងទៀត</t>
        </is>
      </c>
      <c r="J772" s="217" t="inlineStr">
        <is>
          <t>បញ្ចូលពាក្យសម្ងាត់ម្តងទៀត</t>
        </is>
      </c>
      <c r="K772" s="217" t="inlineStr">
        <is>
          <t>បញ្ចូលពាក្យសម្ងាត់ម្តងទៀត</t>
        </is>
      </c>
      <c r="S772" s="163" t="n"/>
    </row>
    <row r="773" ht="15.75" customHeight="1" s="305">
      <c r="A773" s="165" t="inlineStr">
        <is>
          <t>CHANGE_PASSWORD.FORGOT_PASS</t>
        </is>
      </c>
      <c r="B773" s="199" t="inlineStr">
        <is>
          <t>忘记密码</t>
        </is>
      </c>
      <c r="C773" s="165" t="inlineStr">
        <is>
          <t>Quên mật khẩu</t>
        </is>
      </c>
      <c r="D773" s="3" t="inlineStr">
        <is>
          <t>Forgot password</t>
        </is>
      </c>
      <c r="E773" s="3" t="n"/>
      <c r="F773" s="3" t="n"/>
      <c r="G773" s="3">
        <f>IFERROR(__xludf.DUMMYFUNCTION("GOOGLETRANSLATE(C773,""vi"",""km"")"),"ភ្លេចពាក្យសម្ងាត់")</f>
        <v/>
      </c>
      <c r="H773" s="217" t="inlineStr">
        <is>
          <t>ភ្លេចពាក្យសម្ងាត់</t>
        </is>
      </c>
      <c r="J773" s="3" t="inlineStr">
        <is>
          <t>ភ្លេចពាក្យសម្ងាត់</t>
        </is>
      </c>
      <c r="K773" s="217" t="inlineStr">
        <is>
          <t>ភ្លេចពាក្យសម្ងាត់</t>
        </is>
      </c>
      <c r="S773" s="163" t="n"/>
    </row>
    <row r="774" ht="15.75" customHeight="1" s="305">
      <c r="A774" s="165" t="inlineStr">
        <is>
          <t>CHANGE_PASSWORD.NEW_PASSWORD_NOT_BLANK</t>
        </is>
      </c>
      <c r="B774" s="199" t="inlineStr">
        <is>
          <t>请填写新密码</t>
        </is>
      </c>
      <c r="C774" s="165" t="inlineStr">
        <is>
          <t>Mật khẩu mới không được để trống</t>
        </is>
      </c>
      <c r="D774" s="3" t="inlineStr">
        <is>
          <t>New password cannot be empty</t>
        </is>
      </c>
      <c r="E774" s="3" t="n"/>
      <c r="F774" s="3" t="n"/>
      <c r="G774" s="3">
        <f>IFERROR(__xludf.DUMMYFUNCTION("GOOGLETRANSLATE(C774,""vi"",""km"")"),"ពាក្យសម្ងាត់ថ្មីមិនត្រូវទទេឡើយ។")</f>
        <v/>
      </c>
      <c r="H774" s="3" t="inlineStr">
        <is>
          <t>ពាក្យសម្ងាត់ថ្មីមិនអាចទុកចន្លោះបានទេ</t>
        </is>
      </c>
      <c r="J774" s="217" t="inlineStr">
        <is>
          <t>ពាក្យសម្ងាត់ថ្មីមិនអាចទុកចន្លោះបានទេ</t>
        </is>
      </c>
      <c r="K774" s="217" t="inlineStr">
        <is>
          <t>ពាក្យសម្ងាត់ថ្មីមិនអាចទុកចន្លោះបានទេ</t>
        </is>
      </c>
      <c r="S774" s="163" t="n"/>
    </row>
    <row r="775" ht="15.75" customHeight="1" s="305">
      <c r="A775" s="165" t="inlineStr">
        <is>
          <t>CHANGE_PASSWORD.OTP_SEND_TELE</t>
        </is>
      </c>
      <c r="B775" s="199" t="inlineStr">
        <is>
          <t>请输入刚刚发送到您Telegram账号的OTP</t>
        </is>
      </c>
      <c r="C775" s="165" t="inlineStr">
        <is>
          <t>Nhập OTP vừa được gửi về Telegram tài khoản</t>
        </is>
      </c>
      <c r="D775" s="3" t="inlineStr">
        <is>
          <t>Enter the OTP just sent to your Telegram account</t>
        </is>
      </c>
      <c r="E775" s="3" t="n"/>
      <c r="F775" s="3" t="n"/>
      <c r="G775" s="3">
        <f>IFERROR(__xludf.DUMMYFUNCTION("GOOGLETRANSLATE(C775,""vi"",""km"")"),"បញ្ចូលលេខ OTP ដែលទើបតែផ្ញើទៅកាន់គណនី Telegram របស់អ្នក។")</f>
        <v/>
      </c>
      <c r="H775" s="3" t="inlineStr">
        <is>
          <t>បញ្ចូល OTP ដែលបានផ្ញើចូលក្នុងគណនីតេឡេក្រាម</t>
        </is>
      </c>
      <c r="J775" s="3" t="inlineStr">
        <is>
          <t>បញ្ចូល OTP ដែលបានផ្ញើចូលក្នុងគណនីតេឡេក្រាម</t>
        </is>
      </c>
      <c r="K775" s="217" t="inlineStr">
        <is>
          <t>បញ្ចូល OTP ដែលបានផ្ញើចូលក្នុងគណនីតេឡេក្រាម</t>
        </is>
      </c>
      <c r="S775" s="163" t="n"/>
    </row>
    <row r="776" ht="15.75" customHeight="1" s="305">
      <c r="A776" s="165" t="inlineStr">
        <is>
          <t>CHANGE_PASSWORD.OTP_TIMEOUT</t>
        </is>
      </c>
      <c r="B776" s="201" t="inlineStr">
        <is>
          <t>OTP已过期</t>
        </is>
      </c>
      <c r="C776" s="165" t="inlineStr">
        <is>
          <t>OTP đã hết hạn</t>
        </is>
      </c>
      <c r="D776" s="3" t="inlineStr">
        <is>
          <t>OTP has expired</t>
        </is>
      </c>
      <c r="E776" s="3" t="n"/>
      <c r="F776" s="3" t="n"/>
      <c r="G776" s="3">
        <f>IFERROR(__xludf.DUMMYFUNCTION("GOOGLETRANSLATE(C776,""vi"",""km"")"),"លេខ OTP ផុតកំណត់ហើយ។")</f>
        <v/>
      </c>
      <c r="H776" s="3" t="inlineStr">
        <is>
          <t>OTP បានអស់សុពលភាព</t>
        </is>
      </c>
      <c r="J776" s="3" t="inlineStr">
        <is>
          <t>OTP បានអស់សុពលភាព</t>
        </is>
      </c>
      <c r="K776" s="217" t="inlineStr">
        <is>
          <t>OTP បានអស់សុពលភាព</t>
        </is>
      </c>
      <c r="S776" s="163" t="n"/>
    </row>
    <row r="777" ht="15.75" customHeight="1" s="305">
      <c r="A777" s="165" t="inlineStr">
        <is>
          <t>CHANGE_PASSWORD.PASSWORD_NOT_BLANK</t>
        </is>
      </c>
      <c r="B777" s="199" t="inlineStr">
        <is>
          <t>当前密码不能为空</t>
        </is>
      </c>
      <c r="C777" s="165" t="inlineStr">
        <is>
          <t>Mật khẩu hiện tại không được để trống</t>
        </is>
      </c>
      <c r="D777" s="3" t="inlineStr">
        <is>
          <t>Current password cannot be empty</t>
        </is>
      </c>
      <c r="E777" s="3" t="n"/>
      <c r="F777" s="3" t="n"/>
      <c r="G777" s="3">
        <f>IFERROR(__xludf.DUMMYFUNCTION("GOOGLETRANSLATE(C777,""vi"",""km"")"),"ពាក្យសម្ងាត់បច្ចុប្បន្នមិនអាចទុកចោលទទេបានទេ។")</f>
        <v/>
      </c>
      <c r="H777" s="3" t="inlineStr">
        <is>
          <t>ពាក្យសម្ងាត់បច្ចុប្បន្នមិនអាចទុកចន្លោះបានទេ</t>
        </is>
      </c>
      <c r="J777" s="217" t="inlineStr">
        <is>
          <t>ពាក្យសម្ងាត់បច្ចុប្បន្នមិនអាចទុកចន្លោះបានទេ</t>
        </is>
      </c>
      <c r="K777" s="217" t="inlineStr">
        <is>
          <t>ពាក្យសម្ងាត់បច្ចុប្បន្នមិនអាចទុកចន្លោះបានទេ</t>
        </is>
      </c>
      <c r="S777" s="163" t="n"/>
    </row>
    <row r="778" ht="15.75" customHeight="1" s="305">
      <c r="A778" s="165" t="inlineStr">
        <is>
          <t>CHANGE_PASSWORD.PASSWORD_NOT_FORMAT</t>
        </is>
      </c>
      <c r="B778" s="199" t="inlineStr">
        <is>
          <t>密码不符合规则</t>
        </is>
      </c>
      <c r="C778" s="165" t="inlineStr">
        <is>
          <t>Mật khẩu không đúng quy tắc</t>
        </is>
      </c>
      <c r="D778" s="3" t="inlineStr">
        <is>
          <t>Password does not follow the rules</t>
        </is>
      </c>
      <c r="E778" s="3" t="n"/>
      <c r="F778" s="3" t="n"/>
      <c r="G778" s="3">
        <f>IFERROR(__xludf.DUMMYFUNCTION("GOOGLETRANSLATE(C778,""vi"",""km"")"),"ពាក្យសម្ងាត់មិនត្រឹមត្រូវ។")</f>
        <v/>
      </c>
      <c r="H778" s="217" t="inlineStr">
        <is>
          <t>ពាក្យសម្ងាត់មិនត្រឹមត្រូវ</t>
        </is>
      </c>
      <c r="J778" s="217" t="inlineStr">
        <is>
          <t>ពាក្យសម្ងាត់មិនត្រឹមត្រូវ</t>
        </is>
      </c>
      <c r="K778" s="217" t="inlineStr">
        <is>
          <t>ពាក្យសម្ងាត់មិនត្រឹមត្រូវ</t>
        </is>
      </c>
      <c r="S778" s="163" t="n"/>
    </row>
    <row r="779" ht="15.75" customHeight="1" s="305">
      <c r="A779" s="165" t="inlineStr">
        <is>
          <t>CHANGE_PASSWORD.PHONE_NOT_SYSTEM</t>
        </is>
      </c>
      <c r="B779" s="199" t="inlineStr">
        <is>
          <t>系统中未找到该手机号码</t>
        </is>
      </c>
      <c r="C779" s="165" t="inlineStr">
        <is>
          <t>Số điện thoại chưa có trên hệ thống</t>
        </is>
      </c>
      <c r="D779" s="3" t="inlineStr">
        <is>
          <t>Phone number not found in the system</t>
        </is>
      </c>
      <c r="E779" s="3" t="n"/>
      <c r="F779" s="3" t="n"/>
      <c r="G779" s="3">
        <f>IFERROR(__xludf.DUMMYFUNCTION("GOOGLETRANSLATE(C779,""vi"",""km"")"),"លេខទូរស័ព្ទមិនទាន់មាននៅក្នុងប្រព័ន្ធនៅឡើយទេ។")</f>
        <v/>
      </c>
      <c r="H779" s="3" t="inlineStr">
        <is>
          <t>លេខទូូរស័ព្ទមិនទាន់មានក្នុងប្រព័ន្ធ</t>
        </is>
      </c>
      <c r="J779" s="217" t="inlineStr">
        <is>
          <t>លេខទូូរស័ព្ទមិនទាន់មានក្នុងប្រព័ន្ធ</t>
        </is>
      </c>
      <c r="K779" s="217" t="inlineStr">
        <is>
          <t>លេខទូូរស័ព្ទមិនទាន់មានក្នុងប្រព័ន្ធ</t>
        </is>
      </c>
      <c r="S779" s="163" t="n"/>
    </row>
    <row r="780" ht="15.75" customHeight="1" s="305">
      <c r="A780" s="165" t="inlineStr">
        <is>
          <t>CHANGE_PASSWORD.PLEASE_ENTER_PHONE</t>
        </is>
      </c>
      <c r="B780" s="199" t="inlineStr">
        <is>
          <t>请确认您注册的手机号码</t>
        </is>
      </c>
      <c r="C780" s="165" t="inlineStr">
        <is>
          <t>Vui lòng xác nhận SĐT bạn đã đăng ký</t>
        </is>
      </c>
      <c r="D780" s="3" t="inlineStr">
        <is>
          <t>Please confirm your registered phone number</t>
        </is>
      </c>
      <c r="E780" s="3" t="n"/>
      <c r="F780" s="3" t="n"/>
      <c r="G780" s="3">
        <f>IFERROR(__xludf.DUMMYFUNCTION("GOOGLETRANSLATE(C780,""vi"",""km"")"),"សូមបញ្ជាក់លេខទូរស័ព្ទដែលអ្នកបានចុះឈ្មោះ។")</f>
        <v/>
      </c>
      <c r="H780" s="3" t="inlineStr">
        <is>
          <t>សូមបញ្ជាក់លេខទូរស័ព្ទដែលអ្នកបានចុះឈ្មោះ</t>
        </is>
      </c>
      <c r="J780" s="3" t="inlineStr">
        <is>
          <t>សូមបញ្ជាក់លេខទូរស័ព្ទដែលអ្នកបានចុះឈ្មោះ</t>
        </is>
      </c>
      <c r="K780" s="217" t="inlineStr">
        <is>
          <t>សូមបញ្ជាក់លេខទូរស័ព្ទដែលអ្នកបានចុះឈ្មោះ</t>
        </is>
      </c>
      <c r="S780" s="163" t="n"/>
    </row>
    <row r="781" ht="15.75" customHeight="1" s="305">
      <c r="A781" s="165" t="inlineStr">
        <is>
          <t>CHANGE_PASSWORD.RULE_DUP_PASSWORD</t>
        </is>
      </c>
      <c r="B781" s="199" t="inlineStr">
        <is>
          <t>新密码不能与旧密码相同</t>
        </is>
      </c>
      <c r="C781" s="165" t="inlineStr">
        <is>
          <t>Mật khẩu mới không trùng với mật khẩu cũ</t>
        </is>
      </c>
      <c r="D781" s="3" t="inlineStr">
        <is>
          <t>New password must not be the same as old password</t>
        </is>
      </c>
      <c r="E781" s="3" t="n"/>
      <c r="F781" s="3" t="n"/>
      <c r="G781" s="3">
        <f>IFERROR(__xludf.DUMMYFUNCTION("GOOGLETRANSLATE(C781,""vi"",""km"")"),"ពាក្យសម្ងាត់ថ្មីត្រូវតែខុសពីពាក្យសម្ងាត់ចាស់។")</f>
        <v/>
      </c>
      <c r="H781" s="3" t="inlineStr">
        <is>
          <t>ពាក្យសម្ងាត់ថ្មីមិនអាចដូចគ្នាជាមួយលេខសម្ងាត់ចាស់បានទេ</t>
        </is>
      </c>
      <c r="J781" s="217" t="inlineStr">
        <is>
          <t>ពាក្យសម្ងាត់ថ្មីមិនអាចដូចគ្នាជាមួយពាក្យសម្ងាត់ចាស់បានទេ</t>
        </is>
      </c>
      <c r="K781" s="217" t="inlineStr">
        <is>
          <t>ពាក្យសម្ងាត់ថ្មីមិនអាចដូចគ្នាជាមួយពាក្យសម្ងាត់ចាស់បានទេ</t>
        </is>
      </c>
      <c r="S781" s="163" t="n"/>
    </row>
    <row r="782" ht="15.75" customHeight="1" s="305">
      <c r="A782" s="165" t="inlineStr">
        <is>
          <t>CHANGE_PASSWORD.RULE_NEW_PASSWORD</t>
        </is>
      </c>
      <c r="B782" s="199" t="inlineStr">
        <is>
          <t>您的新密码必须为8-20位字符，且包含字母和数字</t>
        </is>
      </c>
      <c r="C782" s="165" t="inlineStr">
        <is>
          <t>Mật khẩu mới của bạn bao gồm 8 - 20 ký tự, gồm cả chữ và số</t>
        </is>
      </c>
      <c r="D782" s="3" t="inlineStr">
        <is>
          <t>Your new password must be 8 - 20 characters, including letters and numbers</t>
        </is>
      </c>
      <c r="E782" s="3" t="n"/>
      <c r="F782" s="3" t="n"/>
      <c r="G782" s="3">
        <f>IFERROR(__xludf.DUMMYFUNCTION("GOOGLETRANSLATE(C782,""vi"",""km"")"),"ពាក្យសម្ងាត់ថ្មីរបស់អ្នកត្រូវតែមានប្រវែងចន្លោះពី ៨ ទៅ ២០ តួអក្សរ រួមទាំងអក្សរ និងលេខ។")</f>
        <v/>
      </c>
      <c r="H782" s="3" t="inlineStr">
        <is>
          <t>ពាក្យសម្ងាត់ថ្មីរបស់អ្នកត្រូវតែមានចំនួនពី ៨ ទៅ ២០ តួ រួមទាំងអក្សរនិងលេខ</t>
        </is>
      </c>
      <c r="J782" s="3" t="inlineStr">
        <is>
          <t>ពាក្យសម្ងាត់ថ្មីរបស់អ្នកត្រូវតែមានចំនួនពី ៨ ទៅ ២០ តួ រួមទាំងអក្សរនិងលេខ</t>
        </is>
      </c>
      <c r="K782" s="217" t="inlineStr">
        <is>
          <t>ពាក្យសម្ងាត់ថ្មីរបស់អ្នកត្រូវតែមានចំនួនពី ៨ ទៅ ២០ តួ រួមទាំងអក្សរនិងលេខ</t>
        </is>
      </c>
      <c r="S782" s="163" t="n"/>
    </row>
    <row r="783" ht="15.75" customHeight="1" s="305">
      <c r="A783" s="165" t="inlineStr">
        <is>
          <t>CHANGE_PASSWORD.SET_NEW_PASSOWRD</t>
        </is>
      </c>
      <c r="B783" s="199" t="inlineStr">
        <is>
          <t>设置新密码</t>
        </is>
      </c>
      <c r="C783" s="165" t="inlineStr">
        <is>
          <t>Thiết lập mật khẩu mới</t>
        </is>
      </c>
      <c r="D783" s="3" t="inlineStr">
        <is>
          <t>Set New Password</t>
        </is>
      </c>
      <c r="E783" s="3" t="n"/>
      <c r="F783" s="3" t="n"/>
      <c r="G783" s="3">
        <f>IFERROR(__xludf.DUMMYFUNCTION("GOOGLETRANSLATE(C783,""vi"",""km"")"),"កំណត់ពាក្យសម្ងាត់ថ្មី")</f>
        <v/>
      </c>
      <c r="H783" s="217" t="inlineStr">
        <is>
          <t>បង្កើតពាក្យសម្ងាត់ថ្មី</t>
        </is>
      </c>
      <c r="J783" s="3" t="inlineStr">
        <is>
          <t>បង្កើតពាក្យសម្ងាត់ថ្មី</t>
        </is>
      </c>
      <c r="K783" s="217" t="inlineStr">
        <is>
          <t>បង្កើតពាក្យសម្ងាត់ថ្មី</t>
        </is>
      </c>
      <c r="S783" s="163" t="n"/>
    </row>
    <row r="784" ht="15.75" customHeight="1" s="305">
      <c r="A784" s="165" t="inlineStr">
        <is>
          <t>COMMON.FEATURE_DEVELOPING</t>
        </is>
      </c>
      <c r="B784" s="199" t="inlineStr">
        <is>
          <t>功能开发中</t>
        </is>
      </c>
      <c r="C784" s="165" t="inlineStr">
        <is>
          <t>Tính năng đang phát triển</t>
        </is>
      </c>
      <c r="D784" s="3" t="inlineStr">
        <is>
          <t>Feature is under development</t>
        </is>
      </c>
      <c r="E784" s="3" t="n"/>
      <c r="F784" s="3" t="n"/>
      <c r="G784" s="3">
        <f>IFERROR(__xludf.DUMMYFUNCTION("GOOGLETRANSLATE(C784,""vi"",""km"")"),"មុខងារកំពុងស្ថិតក្រោមការអភិវឌ្ឍ")</f>
        <v/>
      </c>
      <c r="H784" s="217" t="inlineStr">
        <is>
          <t>មុខងារកំពុងអភិវឌ្ឍន៍</t>
        </is>
      </c>
      <c r="J784" s="3" t="inlineStr">
        <is>
          <t>មុខងារកំពុងអភិវឌ្ឍន៍</t>
        </is>
      </c>
      <c r="K784" s="217" t="inlineStr">
        <is>
          <t>មុខងារកំពុងអភិវឌ្ឍន៍</t>
        </is>
      </c>
      <c r="S784" s="163" t="n"/>
    </row>
    <row r="785" ht="15.75" customHeight="1" s="305">
      <c r="A785" s="165" t="inlineStr">
        <is>
          <t>CREATE_ORDER.DELIVERY_STORE</t>
        </is>
      </c>
      <c r="B785" s="199" t="inlineStr">
        <is>
          <t>配送门店</t>
        </is>
      </c>
      <c r="C785" s="165" t="inlineStr">
        <is>
          <t>Cửa hàng giao</t>
        </is>
      </c>
      <c r="D785" s="3" t="inlineStr">
        <is>
          <t>Delivery store</t>
        </is>
      </c>
      <c r="E785" s="3" t="n"/>
      <c r="F785" s="3" t="n"/>
      <c r="G785" s="3">
        <f>IFERROR(__xludf.DUMMYFUNCTION("GOOGLETRANSLATE(C785,""vi"",""km"")"),"ហាងនេះដឹកជញ្ជូន")</f>
        <v/>
      </c>
      <c r="H785" s="217" t="inlineStr">
        <is>
          <t>ហាងប្រគល់អីវ៉ាន់</t>
        </is>
      </c>
      <c r="J785" s="3" t="inlineStr">
        <is>
          <t>ហាងប្រគល់អីវ៉ាន់</t>
        </is>
      </c>
      <c r="K785" s="217" t="inlineStr">
        <is>
          <t>ហាងប្រគល់អីវ៉ាន់</t>
        </is>
      </c>
      <c r="S785" s="163" t="n"/>
    </row>
    <row r="786" ht="15.75" customHeight="1" s="305">
      <c r="A786" s="165" t="inlineStr">
        <is>
          <t>CREATE_ORDER.DISCOUNT</t>
        </is>
      </c>
      <c r="B786" s="199" t="inlineStr">
        <is>
          <t>折扣</t>
        </is>
      </c>
      <c r="C786" s="165" t="inlineStr">
        <is>
          <t>Giảm giá</t>
        </is>
      </c>
      <c r="D786" s="3" t="inlineStr">
        <is>
          <t>Discount</t>
        </is>
      </c>
      <c r="E786" s="3" t="n"/>
      <c r="F786" s="3" t="n"/>
      <c r="G786" s="3">
        <f>IFERROR(__xludf.DUMMYFUNCTION("GOOGLETRANSLATE(C786,""vi"",""km"")"),"បញ្ចុះតម្លៃ")</f>
        <v/>
      </c>
      <c r="H786" s="217" t="inlineStr">
        <is>
          <t>បញ្ចុះតម្លៃ</t>
        </is>
      </c>
      <c r="J786" s="3" t="inlineStr">
        <is>
          <t>បញ្ចុះតម្លៃ</t>
        </is>
      </c>
      <c r="K786" s="217" t="inlineStr">
        <is>
          <t>បញ្ចុះតម្លៃ</t>
        </is>
      </c>
      <c r="S786" s="163" t="n"/>
    </row>
    <row r="787" ht="15.75" customHeight="1" s="305">
      <c r="A787" s="165" t="inlineStr">
        <is>
          <t>CREATE_ORDER.EDIT_ADDRESS</t>
        </is>
      </c>
      <c r="B787" s="199" t="inlineStr">
        <is>
          <t>修改地址</t>
        </is>
      </c>
      <c r="C787" s="165" t="inlineStr">
        <is>
          <t>Sửa địa chỉ</t>
        </is>
      </c>
      <c r="D787" s="3" t="inlineStr">
        <is>
          <t>Edit Address</t>
        </is>
      </c>
      <c r="E787" s="3" t="n"/>
      <c r="F787" s="3" t="n"/>
      <c r="G787" s="3">
        <f>IFERROR(__xludf.DUMMYFUNCTION("GOOGLETRANSLATE(C787,""vi"",""km"")"),"កែសម្រួលអាសយដ្ឋាន")</f>
        <v/>
      </c>
      <c r="H787" s="217" t="inlineStr">
        <is>
          <t>ប្តូរអាស័យដ្ឋាន</t>
        </is>
      </c>
      <c r="J787" s="3" t="inlineStr">
        <is>
          <t>ប្តូរអាសយដ្ឋាន</t>
        </is>
      </c>
      <c r="K787" s="217" t="inlineStr">
        <is>
          <t>ប្តូរអាសយដ្ឋាន</t>
        </is>
      </c>
      <c r="S787" s="163" t="n"/>
    </row>
    <row r="788" ht="15.75" customHeight="1" s="305">
      <c r="A788" s="165" t="inlineStr">
        <is>
          <t>CREATE_ORDER.EDIT_GOODS</t>
        </is>
      </c>
      <c r="B788" s="199" t="inlineStr">
        <is>
          <t>修改货物</t>
        </is>
      </c>
      <c r="C788" s="165" t="inlineStr">
        <is>
          <t>Sửa hàng hóa</t>
        </is>
      </c>
      <c r="D788" s="3" t="inlineStr">
        <is>
          <t>Edit Goods</t>
        </is>
      </c>
      <c r="E788" s="3" t="n"/>
      <c r="F788" s="3" t="n"/>
      <c r="G788" s="3">
        <f>IFERROR(__xludf.DUMMYFUNCTION("GOOGLETRANSLATE(C788,""vi"",""km"")"),"ជួសជុលទំនិញ")</f>
        <v/>
      </c>
      <c r="H788" s="217" t="inlineStr">
        <is>
          <t>ប្តូរអីវ៉ាន់</t>
        </is>
      </c>
      <c r="J788" s="3" t="inlineStr">
        <is>
          <t>ប្តូរអីវ៉ាន់</t>
        </is>
      </c>
      <c r="K788" s="217" t="inlineStr">
        <is>
          <t>ប្តូរអីវ៉ាន់</t>
        </is>
      </c>
      <c r="S788" s="163" t="n"/>
    </row>
    <row r="789" ht="15.75" customHeight="1" s="305">
      <c r="A789" s="165" t="inlineStr">
        <is>
          <t>CREATE_ORDER.EDIT_ORDER</t>
        </is>
      </c>
      <c r="B789" s="199" t="inlineStr">
        <is>
          <t>修改订单</t>
        </is>
      </c>
      <c r="C789" s="165" t="inlineStr">
        <is>
          <t>Sửa đơn hàng</t>
        </is>
      </c>
      <c r="D789" s="3" t="inlineStr">
        <is>
          <t>Edit Order</t>
        </is>
      </c>
      <c r="E789" s="3" t="n"/>
      <c r="F789" s="3" t="n"/>
      <c r="G789" s="3">
        <f>IFERROR(__xludf.DUMMYFUNCTION("GOOGLETRANSLATE(C789,""vi"",""km"")"),"កែសម្រួលការបញ្ជាទិញ")</f>
        <v/>
      </c>
      <c r="H789" s="217" t="inlineStr">
        <is>
          <t>កែបុងបញ្ញើ</t>
        </is>
      </c>
      <c r="J789" s="3" t="inlineStr">
        <is>
          <t>កែបុងបញ្ញើ</t>
        </is>
      </c>
      <c r="K789" s="217" t="inlineStr">
        <is>
          <t>កែបុងបញ្ញើ</t>
        </is>
      </c>
      <c r="S789" s="163" t="n"/>
    </row>
    <row r="790" ht="15.75" customHeight="1" s="305">
      <c r="A790" s="165" t="inlineStr">
        <is>
          <t>CREATE_ORDER.EDIT_ORDER_SUCCESS</t>
        </is>
      </c>
      <c r="B790" s="199" t="inlineStr">
        <is>
          <t>订单修改成功</t>
        </is>
      </c>
      <c r="C790" s="165" t="inlineStr">
        <is>
          <t>Sửa đơn hàng thành công!</t>
        </is>
      </c>
      <c r="D790" s="3" t="inlineStr">
        <is>
          <t>Order edited successfully</t>
        </is>
      </c>
      <c r="E790" s="3" t="n"/>
      <c r="F790" s="3" t="n"/>
      <c r="G790" s="3">
        <f>IFERROR(__xludf.DUMMYFUNCTION("GOOGLETRANSLATE(C790,""vi"",""km"")"),"បានកែប្រែការបញ្ជាទិញដោយជោគជ័យ!")</f>
        <v/>
      </c>
      <c r="H790" s="217" t="inlineStr">
        <is>
          <t>កែបុងបញ្ញើបានជោគជ័យ!</t>
        </is>
      </c>
      <c r="J790" s="3" t="inlineStr">
        <is>
          <t>កែបុងបញ្ញើបានជោគជ័យ!</t>
        </is>
      </c>
      <c r="K790" s="217" t="inlineStr">
        <is>
          <t>កែបុងបញ្ញើបានជោគជ័យ!</t>
        </is>
      </c>
      <c r="S790" s="163" t="n"/>
    </row>
    <row r="791" ht="15.75" customHeight="1" s="305">
      <c r="A791" s="165" t="inlineStr">
        <is>
          <t>CREATE_ORDER.EDIT_SERVICES</t>
        </is>
      </c>
      <c r="B791" s="199" t="inlineStr">
        <is>
          <t>修改服务</t>
        </is>
      </c>
      <c r="C791" s="165" t="inlineStr">
        <is>
          <t>Sửa dịch vụ</t>
        </is>
      </c>
      <c r="D791" s="3" t="inlineStr">
        <is>
          <t>Edit Services</t>
        </is>
      </c>
      <c r="E791" s="3" t="n"/>
      <c r="F791" s="3" t="n"/>
      <c r="G791" s="3">
        <f>IFERROR(__xludf.DUMMYFUNCTION("GOOGLETRANSLATE(C791,""vi"",""km"")"),"សេវាកម្មជួសជុល")</f>
        <v/>
      </c>
      <c r="H791" s="217" t="inlineStr">
        <is>
          <t>ប្តូរសេវាកម្ម</t>
        </is>
      </c>
      <c r="J791" s="3" t="inlineStr">
        <is>
          <t>ប្តូរសេវាកម្ម</t>
        </is>
      </c>
      <c r="K791" s="217" t="inlineStr">
        <is>
          <t>ប្តូរសេវាកម្ម</t>
        </is>
      </c>
      <c r="S791" s="163" t="n"/>
    </row>
    <row r="792" ht="15.75" customHeight="1" s="305">
      <c r="A792" s="165" t="inlineStr">
        <is>
          <t>CREATE_ORDER.MO-SA</t>
        </is>
      </c>
      <c r="B792" s="199" t="inlineStr">
        <is>
          <t>周一至周六：7:30-21:00</t>
        </is>
      </c>
      <c r="C792" s="165" t="inlineStr">
        <is>
          <t>Thứ 2-Thứ 7: 7:30-21:00</t>
        </is>
      </c>
      <c r="D792" s="3" t="inlineStr">
        <is>
          <t>Monday-Saturday: 7:30-21:00</t>
        </is>
      </c>
      <c r="E792" s="3" t="n"/>
      <c r="F792" s="3" t="n"/>
      <c r="G792" s="3">
        <f>IFERROR(__xludf.DUMMYFUNCTION("GOOGLETRANSLATE(C792,""vi"",""km"")"),"ច័ន្ទ - សៅរ៍: ៧:៣០ ព្រឹក - ៩:០០ យប់")</f>
        <v/>
      </c>
      <c r="H792" s="217" t="inlineStr">
        <is>
          <t>ថ្ងៃច័ន្ទ-ថ្ងៃសៅរ៍ ៖ ម៉ោង 7:30-21:00</t>
        </is>
      </c>
      <c r="J792" s="3" t="inlineStr">
        <is>
          <t>ថ្ងៃច័ន្ទ-ថ្ងៃសៅរ៍ ៖ ម៉ោង 7:30-21:00</t>
        </is>
      </c>
      <c r="K792" s="217" t="inlineStr">
        <is>
          <t>ថ្ងៃច័ន្ទ-ថ្ងៃសៅរ៍ ៖ ម៉ោង 7:30-21:00</t>
        </is>
      </c>
      <c r="S792" s="163" t="n"/>
    </row>
    <row r="793" ht="15.75" customHeight="1" s="305">
      <c r="A793" s="165" t="inlineStr">
        <is>
          <t>CREATE_ORDER.MORE</t>
        </is>
      </c>
      <c r="B793" s="199" t="inlineStr">
        <is>
          <t>查看更多</t>
        </is>
      </c>
      <c r="C793" s="165" t="inlineStr">
        <is>
          <t>Xem thêm</t>
        </is>
      </c>
      <c r="D793" s="3" t="inlineStr">
        <is>
          <t>See More</t>
        </is>
      </c>
      <c r="E793" s="3" t="n"/>
      <c r="F793" s="3" t="n"/>
      <c r="G793" s="3">
        <f>IFERROR(__xludf.DUMMYFUNCTION("GOOGLETRANSLATE(C793,""vi"",""km"")"),"មើលបន្ថែម")</f>
        <v/>
      </c>
      <c r="H793" s="217" t="inlineStr">
        <is>
          <t>មើលបន្ថែ្ថម</t>
        </is>
      </c>
      <c r="J793" s="3" t="inlineStr">
        <is>
          <t>មើលបន្ថែ្ថម</t>
        </is>
      </c>
      <c r="K793" s="217" t="inlineStr">
        <is>
          <t>មើលបន្ថែ្ថម</t>
        </is>
      </c>
      <c r="S793" s="163" t="n"/>
    </row>
    <row r="794" ht="15.75" customHeight="1" s="305">
      <c r="A794" s="165" t="inlineStr">
        <is>
          <t>CREATE_ORDER.PAYMENT_METHOD</t>
        </is>
      </c>
      <c r="B794" s="199" t="inlineStr">
        <is>
          <t>支付方式</t>
        </is>
      </c>
      <c r="C794" s="165" t="inlineStr">
        <is>
          <t>Hình thức trả cước</t>
        </is>
      </c>
      <c r="D794" s="3" t="inlineStr">
        <is>
          <t>Payment method</t>
        </is>
      </c>
      <c r="E794" s="3" t="n"/>
      <c r="F794" s="3" t="n"/>
      <c r="G794" s="3">
        <f>IFERROR(__xludf.DUMMYFUNCTION("GOOGLETRANSLATE(C794,""vi"",""km"")"),"វិធីសាស្ត្រទូទាត់")</f>
        <v/>
      </c>
      <c r="H794" s="217" t="inlineStr">
        <is>
          <t>វិធីសាស្រ្តបង់ថ្លៃសេវា</t>
        </is>
      </c>
      <c r="J794" s="3" t="inlineStr">
        <is>
          <t>វិធីសាស្រ្តបង់ថ្លៃសេវា</t>
        </is>
      </c>
      <c r="K794" s="217" t="inlineStr">
        <is>
          <t>វិធីសាស្រ្តបង់ថ្លៃសេវា</t>
        </is>
      </c>
      <c r="S794" s="163" t="n"/>
    </row>
    <row r="795" ht="15.75" customHeight="1" s="305">
      <c r="A795" s="165" t="inlineStr">
        <is>
          <t>CREATE_ORDER.PERIMETER</t>
        </is>
      </c>
      <c r="B795" s="199" t="inlineStr">
        <is>
          <t>周长 (长+宽+高)</t>
        </is>
      </c>
      <c r="C795" s="165" t="inlineStr">
        <is>
          <t>Kích thước (D+R+C)</t>
        </is>
      </c>
      <c r="D795" s="3" t="inlineStr">
        <is>
          <t>Perimeter (L+W+H)</t>
        </is>
      </c>
      <c r="E795" s="3" t="n"/>
      <c r="F795" s="3" t="n"/>
      <c r="G795" s="3">
        <f>IFERROR(__xludf.DUMMYFUNCTION("GOOGLETRANSLATE(C795,""vi"",""km"")"),"វិមាត្រ (បណ្តោយ + ទទឹង + កម្ពស់)")</f>
        <v/>
      </c>
      <c r="H795" s="217" t="inlineStr">
        <is>
          <t>ទំហំ (ប្រវែង+ទទឹង+កម្ពស់)</t>
        </is>
      </c>
      <c r="J795" s="3" t="inlineStr">
        <is>
          <t>ទំហំ (ប្រវែង+ទទឹង+កម្ពស់)</t>
        </is>
      </c>
      <c r="K795" s="217" t="inlineStr">
        <is>
          <t>ទំហំ (ប្រវែង+ទទឹង+កម្ពស់)</t>
        </is>
      </c>
      <c r="S795" s="163" t="n"/>
    </row>
    <row r="796" ht="15.75" customHeight="1" s="305">
      <c r="A796" s="165" t="inlineStr">
        <is>
          <t>CREATE_ORDER.PERIMETER_LIMIT_ERROR</t>
        </is>
      </c>
      <c r="B796" s="199" t="inlineStr">
        <is>
          <t>周长超过允许限制，请重新检查</t>
        </is>
      </c>
      <c r="C796" s="165" t="inlineStr">
        <is>
          <t>Kích thước vượt quá quy định cho phép, đề nghị kiểm tra lại</t>
        </is>
      </c>
      <c r="D796" s="3" t="inlineStr">
        <is>
          <t>Perimeter exceeds the allowed limit, please check again</t>
        </is>
      </c>
      <c r="E796" s="3" t="n"/>
      <c r="F796" s="3" t="n"/>
      <c r="G796" s="3">
        <f>IFERROR(__xludf.DUMMYFUNCTION("GOOGLETRANSLATE(C796,""vi"",""km"")"),"វិមាត្រលើសពីដែនកំណត់ដែលត្រូវបានអនុញ្ញាត; សូមពិនិត្យវាម្តងទៀត។")</f>
        <v/>
      </c>
      <c r="H796" s="217" t="inlineStr">
        <is>
          <t>ទំហំលើសពីការអនុញាត្តិ ត្រូវតែត្រួតពិនិត្យម្តងទៀត</t>
        </is>
      </c>
      <c r="J796" s="3" t="inlineStr">
        <is>
          <t>ទំហំលើសពីការអនុញាត្តិ ត្រូវតែត្រួតពិនិត្យម្តងទៀត</t>
        </is>
      </c>
      <c r="K796" s="217" t="inlineStr">
        <is>
          <t>ទំហំលើសពីការអនុញាត្តិ ត្រូវតែត្រួតពិនិត្យម្តងទៀត</t>
        </is>
      </c>
      <c r="S796" s="163" t="n"/>
    </row>
    <row r="797" ht="15.75" customHeight="1" s="305">
      <c r="A797" s="165" t="inlineStr">
        <is>
          <t>CREATE_ORDER.PERIMETER_PLACEHOLDER</t>
        </is>
      </c>
      <c r="B797" s="199" t="inlineStr">
        <is>
          <t>宽+高+长</t>
        </is>
      </c>
      <c r="C797" s="165" t="inlineStr">
        <is>
          <t>Dài + Rộng + Cao</t>
        </is>
      </c>
      <c r="D797" s="3" t="inlineStr">
        <is>
          <t>Width + Height + Length</t>
        </is>
      </c>
      <c r="E797" s="3" t="n"/>
      <c r="F797" s="3" t="n"/>
      <c r="G797" s="3">
        <f>IFERROR(__xludf.DUMMYFUNCTION("GOOGLETRANSLATE(C797,""vi"",""km"")"),"បណ្តោយ + ទទឹង + កម្ពស់")</f>
        <v/>
      </c>
      <c r="H797" s="217" t="inlineStr">
        <is>
          <t>ប្រវែង+ទទឹង+កម្ពស់</t>
        </is>
      </c>
      <c r="J797" s="3" t="inlineStr">
        <is>
          <t>ប្រវែង+ទទឹង+កម្ពស់</t>
        </is>
      </c>
      <c r="K797" s="217" t="inlineStr">
        <is>
          <t>ប្រវែង+ទទឹង+កម្ពស់</t>
        </is>
      </c>
      <c r="S797" s="163" t="n"/>
    </row>
    <row r="798" ht="15.75" customHeight="1" s="305">
      <c r="A798" s="165" t="inlineStr">
        <is>
          <t>CREATE_ORDER.PHONE</t>
        </is>
      </c>
      <c r="B798" s="199" t="inlineStr">
        <is>
          <t>手机号码</t>
        </is>
      </c>
      <c r="C798" s="165" t="inlineStr">
        <is>
          <t>Điện thoại</t>
        </is>
      </c>
      <c r="D798" s="3" t="inlineStr">
        <is>
          <t>Phone</t>
        </is>
      </c>
      <c r="E798" s="3" t="n"/>
      <c r="F798" s="3" t="n"/>
      <c r="G798" s="3">
        <f>IFERROR(__xludf.DUMMYFUNCTION("GOOGLETRANSLATE(C798,""vi"",""km"")"),"ទូរស័ព្ទ")</f>
        <v/>
      </c>
      <c r="H798" s="217" t="inlineStr">
        <is>
          <t>ទូរស័ព្ទ</t>
        </is>
      </c>
      <c r="J798" s="3" t="inlineStr">
        <is>
          <t>ទូរស័ព្ទ</t>
        </is>
      </c>
      <c r="K798" s="217" t="inlineStr">
        <is>
          <t>ទូរស័ព្ទ</t>
        </is>
      </c>
      <c r="S798" s="163" t="n"/>
    </row>
    <row r="799" ht="15.75" customHeight="1" s="305">
      <c r="A799" s="165" t="inlineStr">
        <is>
          <t>CREATE_ORDER.PICK_UP_AT_HOME</t>
        </is>
      </c>
      <c r="B799" s="199" t="inlineStr">
        <is>
          <t>上门收货</t>
        </is>
      </c>
      <c r="C799" s="165" t="inlineStr">
        <is>
          <t>Nhận tại nhà</t>
        </is>
      </c>
      <c r="D799" s="3" t="inlineStr">
        <is>
          <t>Receive at home</t>
        </is>
      </c>
      <c r="E799" s="3" t="n"/>
      <c r="F799" s="3" t="n"/>
      <c r="G799" s="3">
        <f>IFERROR(__xludf.DUMMYFUNCTION("GOOGLETRANSLATE(C799,""vi"",""km"")"),"ដឹកជញ្ជូនដល់ផ្ទះ")</f>
        <v/>
      </c>
      <c r="H799" s="217" t="inlineStr">
        <is>
          <t>ទទួលនៅផ្ទះ</t>
        </is>
      </c>
      <c r="J799" s="3" t="inlineStr">
        <is>
          <t>ទទួលនៅផ្ទះ</t>
        </is>
      </c>
      <c r="K799" s="217" t="inlineStr">
        <is>
          <t>ទទួលនៅផ្ទះ</t>
        </is>
      </c>
      <c r="S799" s="163" t="n"/>
    </row>
    <row r="800" ht="15.75" customHeight="1" s="305">
      <c r="A800" s="165" t="inlineStr">
        <is>
          <t>CREATE_ORDER.PICK_UP_AT_STORE</t>
        </is>
      </c>
      <c r="B800" s="199" t="inlineStr">
        <is>
          <t>门店自提</t>
        </is>
      </c>
      <c r="C800" s="165" t="inlineStr">
        <is>
          <t>Nhận tại cửa hàng</t>
        </is>
      </c>
      <c r="D800" s="3" t="inlineStr">
        <is>
          <t>Pick up at store</t>
        </is>
      </c>
      <c r="E800" s="3" t="n"/>
      <c r="F800" s="3" t="n"/>
      <c r="G800" s="3">
        <f>IFERROR(__xludf.DUMMYFUNCTION("GOOGLETRANSLATE(C800,""vi"",""km"")"),"ទទួលនៅហាង")</f>
        <v/>
      </c>
      <c r="H800" s="217" t="inlineStr">
        <is>
          <t>ទទួួលនៅហាង</t>
        </is>
      </c>
      <c r="J800" s="3" t="inlineStr">
        <is>
          <t>ទទួួលនៅហាង</t>
        </is>
      </c>
      <c r="K800" s="217" t="inlineStr">
        <is>
          <t>ទទួួលនៅហាង</t>
        </is>
      </c>
      <c r="S800" s="163" t="n"/>
    </row>
    <row r="801" ht="15.75" customHeight="1" s="305">
      <c r="A801" s="165" t="inlineStr">
        <is>
          <t>CREATE_ORDER.POST_MASTER</t>
        </is>
      </c>
      <c r="B801" s="199" t="inlineStr">
        <is>
          <t>网点负责人</t>
        </is>
      </c>
      <c r="C801" s="165" t="inlineStr">
        <is>
          <t>Trưởng bưu cục</t>
        </is>
      </c>
      <c r="D801" s="3" t="inlineStr">
        <is>
          <t>Postmaster</t>
        </is>
      </c>
      <c r="E801" s="3" t="n"/>
      <c r="F801" s="3" t="n"/>
      <c r="G801" s="3">
        <f>IFERROR(__xludf.DUMMYFUNCTION("GOOGLETRANSLATE(C801,""vi"",""km"")"),"អ្នកគ្រប់គ្រងការិយាល័យប្រៃសណីយ៍")</f>
        <v/>
      </c>
      <c r="H801" s="217" t="inlineStr">
        <is>
          <t>អ្នកគ្រប់គ្រងការិយាល័យប្រៃសណីយ៍</t>
        </is>
      </c>
      <c r="J801" s="3" t="inlineStr">
        <is>
          <t>អ្នកគ្រប់គ្រងការិយាល័យប្រៃសណីយ៍</t>
        </is>
      </c>
      <c r="K801" s="217" t="inlineStr">
        <is>
          <t>អ្នកគ្រប់គ្រងការិយាល័យប្រៃសណីយ៍</t>
        </is>
      </c>
      <c r="S801" s="163" t="n"/>
    </row>
    <row r="802" ht="15.75" customHeight="1" s="305">
      <c r="A802" s="165" t="inlineStr">
        <is>
          <t>CREATE_ORDER.PROMO</t>
        </is>
      </c>
      <c r="B802" s="199" t="inlineStr">
        <is>
          <t>在{{start}}至{{end}}期间的所有订单享受&lt;bold&gt;{{percent}}&lt;/bold&gt;折扣</t>
        </is>
      </c>
      <c r="C802" s="158" t="inlineStr">
        <is>
          <t>Giảm &lt;bold&gt;{{percent}}&lt;/bold&gt; mọi đơn hàng từ {{start}} - {{end}}</t>
        </is>
      </c>
      <c r="D802" s="3" t="inlineStr">
        <is>
          <t>Get &lt;bold&gt;{{percent}}&lt;/bold&gt; off all orders from {{start}} - {{end}}</t>
        </is>
      </c>
      <c r="E802" s="3" t="n"/>
      <c r="F802" s="3" t="n"/>
      <c r="G802" s="3">
        <f>IFERROR(__xludf.DUMMYFUNCTION("GOOGLETRANSLATE(C802,""vi"",""km"")"),"បញ្ចុះតម្លៃ &lt;bold&gt;{{percent}}&lt;/bold&gt; លើការបញ្ជាទិញទាំងអស់ចាប់ពី {{start}} - {{end}}")</f>
        <v/>
      </c>
      <c r="H802" s="217" t="inlineStr">
        <is>
          <t>បញ្ចុះតម្លៃ &lt;bold&gt;{{ភាគរយ}}&lt;/bold&gt; លើបុងបញ្ញើទាំងអស់ ចាប់ពី {{ចាប់ផ្តើម}} - {{បញ្ចប់}}</t>
        </is>
      </c>
      <c r="J802" s="3" t="inlineStr">
        <is>
          <t>បញ្ចុះតម្លៃ &lt;bold&gt;{{ភាគរយ}}&lt;/bold&gt; លើបុងបញ្ញើទាំងអស់ ចាប់ពី {{ចាប់ផ្តើម}} - {{បញ្ចប់}}</t>
        </is>
      </c>
      <c r="K802" s="217" t="inlineStr">
        <is>
          <t>បញ្ចុះតម្លៃ &lt;bold&gt;{{ភាគរយ}}&lt;/bold&gt; លើបុងបញ្ញើទាំងអស់ ចាប់ពី {{ចាប់ផ្តើម}} - {{បញ្ចប់}}</t>
        </is>
      </c>
      <c r="S802" s="163" t="n"/>
    </row>
    <row r="803" ht="15.75" customHeight="1" s="305">
      <c r="A803" s="165" t="inlineStr">
        <is>
          <t>CREATE_ORDER.READ_AND_CONFIRM_EDIT</t>
        </is>
      </c>
      <c r="B803" s="199" t="inlineStr">
        <is>
          <t>点击“编辑订单”即表示您同意</t>
        </is>
      </c>
      <c r="C803" s="158" t="inlineStr">
        <is>
          <t>Bằng việc nhấn vào Sửa đơn hàng, bạn đồng ý với</t>
        </is>
      </c>
      <c r="D803" s="3" t="inlineStr">
        <is>
          <t>By clicking Edit Order, you agree to</t>
        </is>
      </c>
      <c r="E803" s="3" t="n"/>
      <c r="F803" s="3" t="n"/>
      <c r="G803" s="3">
        <f>IFERROR(__xludf.DUMMYFUNCTION("GOOGLETRANSLATE(C803,""vi"",""km"")"),"ដោយចុចកែសម្រួលការបញ្ជាទិញ អ្នកយល់ព្រម")</f>
        <v/>
      </c>
      <c r="H803" s="217" t="inlineStr">
        <is>
          <t>ដោយចុចចូលកែសម្រួលបុងបញ្ញើ ដែលអ្នកចង់កែជាមួយ</t>
        </is>
      </c>
      <c r="J803" s="3" t="inlineStr">
        <is>
          <t>ដោយចុចចូលកែសម្រួលបុងបញ្ញើ ដែលអ្នកចង់កែជាមួយ</t>
        </is>
      </c>
      <c r="K803" s="217" t="inlineStr">
        <is>
          <t>ដោយចុចចូលកែសម្រួលបុងបញ្ញើ ដែលអ្នកចង់កែជាមួយ</t>
        </is>
      </c>
      <c r="S803" s="163" t="n"/>
    </row>
    <row r="804" ht="15.75" customHeight="1" s="305">
      <c r="A804" s="165" t="inlineStr">
        <is>
          <t>CREATE_ORDER.RECOMMEND</t>
        </is>
      </c>
      <c r="B804" s="199" t="inlineStr">
        <is>
          <t>推荐</t>
        </is>
      </c>
      <c r="C804" s="165" t="inlineStr">
        <is>
          <t>Đề xuất</t>
        </is>
      </c>
      <c r="D804" s="3" t="inlineStr">
        <is>
          <t>Recommend</t>
        </is>
      </c>
      <c r="E804" s="3" t="n"/>
      <c r="F804" s="3" t="n"/>
      <c r="G804" s="3">
        <f>IFERROR(__xludf.DUMMYFUNCTION("GOOGLETRANSLATE(C804,""vi"",""km"")"),"ស្នើ")</f>
        <v/>
      </c>
      <c r="H804" s="217" t="inlineStr">
        <is>
          <t>ដាក់ស្នើ</t>
        </is>
      </c>
      <c r="J804" s="3" t="inlineStr">
        <is>
          <t>ដាក់ស្នើ</t>
        </is>
      </c>
      <c r="K804" s="217" t="inlineStr">
        <is>
          <t>ដាក់ស្នើ</t>
        </is>
      </c>
      <c r="S804" s="163" t="n"/>
    </row>
    <row r="805" ht="15.75" customHeight="1" s="305">
      <c r="A805" s="165" t="inlineStr">
        <is>
          <t>CREATE_ORDER.SELECT_POST_OFFICE</t>
        </is>
      </c>
      <c r="B805" s="199" t="inlineStr">
        <is>
          <t>选择邮局</t>
        </is>
      </c>
      <c r="C805" s="165" t="inlineStr">
        <is>
          <t>Chọn bưu cục</t>
        </is>
      </c>
      <c r="D805" s="3" t="inlineStr">
        <is>
          <t>Select a post office</t>
        </is>
      </c>
      <c r="E805" s="3" t="n"/>
      <c r="F805" s="3" t="n"/>
      <c r="G805" s="3">
        <f>IFERROR(__xludf.DUMMYFUNCTION("GOOGLETRANSLATE(C805,""vi"",""km"")"),"ជ្រើសរើសការិយាល័យប្រៃសណីយ៍")</f>
        <v/>
      </c>
      <c r="H805" s="217" t="inlineStr">
        <is>
          <t>ជ្រើសរើសការិយាល័យប្រៃសណីយ៍</t>
        </is>
      </c>
      <c r="J805" s="3" t="inlineStr">
        <is>
          <t>ជ្រើសរើសការិយាល័យប្រៃសណីយ៍</t>
        </is>
      </c>
      <c r="K805" s="217" t="inlineStr">
        <is>
          <t>ជ្រើសរើសការិយាល័យប្រៃសណីយ៍</t>
        </is>
      </c>
      <c r="S805" s="163" t="n"/>
    </row>
    <row r="806" ht="15.75" customHeight="1" s="305">
      <c r="A806" s="165" t="inlineStr">
        <is>
          <t>CREATE_ORDER.SELECT_STORE</t>
        </is>
      </c>
      <c r="B806" s="199" t="inlineStr">
        <is>
          <t>选择门店</t>
        </is>
      </c>
      <c r="C806" s="165" t="inlineStr">
        <is>
          <t>Chọn cửa hàng</t>
        </is>
      </c>
      <c r="D806" s="3" t="inlineStr">
        <is>
          <t>Select a store</t>
        </is>
      </c>
      <c r="E806" s="3" t="n"/>
      <c r="F806" s="3" t="n"/>
      <c r="G806" s="3">
        <f>IFERROR(__xludf.DUMMYFUNCTION("GOOGLETRANSLATE(C806,""vi"",""km"")"),"ជ្រើសរើសហាងមួយ")</f>
        <v/>
      </c>
      <c r="H806" s="217" t="inlineStr">
        <is>
          <t>ជ្រើសរើសហាង</t>
        </is>
      </c>
      <c r="J806" s="3" t="inlineStr">
        <is>
          <t>ជ្រើសរើសហាង</t>
        </is>
      </c>
      <c r="K806" s="217" t="inlineStr">
        <is>
          <t>ជ្រើសរើសហាង</t>
        </is>
      </c>
      <c r="S806" s="163" t="n"/>
    </row>
    <row r="807" ht="15.75" customHeight="1" s="305">
      <c r="A807" s="165" t="inlineStr">
        <is>
          <t>CREATE_ORDER.SEND_AT_HOME</t>
        </is>
      </c>
      <c r="B807" s="199" t="inlineStr">
        <is>
          <t>上门取件</t>
        </is>
      </c>
      <c r="C807" s="165" t="inlineStr">
        <is>
          <t>Gửi tại nhà</t>
        </is>
      </c>
      <c r="D807" s="3" t="inlineStr">
        <is>
          <t>Send at home</t>
        </is>
      </c>
      <c r="E807" s="3" t="n"/>
      <c r="F807" s="3" t="n"/>
      <c r="G807" s="3">
        <f>IFERROR(__xludf.DUMMYFUNCTION("GOOGLETRANSLATE(C807,""vi"",""km"")"),"ដឹកជញ្ជូនដល់ផ្ទះរបស់អ្នក")</f>
        <v/>
      </c>
      <c r="H807" s="217" t="inlineStr">
        <is>
          <t>ផ្ញើនៅផ្ទះ</t>
        </is>
      </c>
      <c r="J807" s="3" t="inlineStr">
        <is>
          <t>ផ្ញើនៅផ្ទះ</t>
        </is>
      </c>
      <c r="K807" s="217" t="inlineStr">
        <is>
          <t>ផ្ញើនៅផ្ទះ</t>
        </is>
      </c>
      <c r="S807" s="163" t="n"/>
    </row>
    <row r="808" ht="15.75" customHeight="1" s="305">
      <c r="A808" s="165" t="inlineStr">
        <is>
          <t>CREATE_ORDER.SEND_AT_STORE</t>
        </is>
      </c>
      <c r="B808" s="199" t="inlineStr">
        <is>
          <t>到店寄件</t>
        </is>
      </c>
      <c r="C808" s="165" t="inlineStr">
        <is>
          <t>Gửi tại cửa hàng</t>
        </is>
      </c>
      <c r="D808" s="3" t="inlineStr">
        <is>
          <t>Send at store</t>
        </is>
      </c>
      <c r="E808" s="3" t="n"/>
      <c r="F808" s="3" t="n"/>
      <c r="G808" s="3">
        <f>IFERROR(__xludf.DUMMYFUNCTION("GOOGLETRANSLATE(C808,""vi"",""km"")"),"ទម្លាក់នៅហាង។")</f>
        <v/>
      </c>
      <c r="H808" s="217" t="inlineStr">
        <is>
          <t>ផ្ញើនៅហាង</t>
        </is>
      </c>
      <c r="J808" s="3" t="inlineStr">
        <is>
          <t>ផ្ញើនៅហាង</t>
        </is>
      </c>
      <c r="K808" s="217" t="inlineStr">
        <is>
          <t>ផ្ញើនៅហាង</t>
        </is>
      </c>
      <c r="S808" s="163" t="n"/>
    </row>
    <row r="809" ht="15.75" customHeight="1" s="305">
      <c r="A809" s="165" t="inlineStr">
        <is>
          <t>CREATE_ORDER.SHOW_DIRECTION</t>
        </is>
      </c>
      <c r="B809" s="199" t="inlineStr">
        <is>
          <t>导航</t>
        </is>
      </c>
      <c r="C809" s="165" t="inlineStr">
        <is>
          <t>Chỉ đường</t>
        </is>
      </c>
      <c r="D809" s="3" t="inlineStr">
        <is>
          <t>Directions</t>
        </is>
      </c>
      <c r="E809" s="3" t="n"/>
      <c r="F809" s="3" t="n"/>
      <c r="G809" s="3">
        <f>IFERROR(__xludf.DUMMYFUNCTION("GOOGLETRANSLATE(C809,""vi"",""km"")"),"ទិសដៅ")</f>
        <v/>
      </c>
      <c r="H809" s="217" t="inlineStr">
        <is>
          <t>ទិសដៅផ្លូវ</t>
        </is>
      </c>
      <c r="J809" s="3" t="inlineStr">
        <is>
          <t>ទិសដៅផ្លូវ</t>
        </is>
      </c>
      <c r="K809" s="217" t="inlineStr">
        <is>
          <t>ទិសដៅផ្លូវ</t>
        </is>
      </c>
      <c r="S809" s="163" t="n"/>
    </row>
    <row r="810" ht="15.75" customHeight="1" s="305">
      <c r="A810" s="165" t="inlineStr">
        <is>
          <t>CREATE_ORDER.SU</t>
        </is>
      </c>
      <c r="B810" s="199" t="inlineStr">
        <is>
          <t>周日：7:30-17:00</t>
        </is>
      </c>
      <c r="C810" s="165" t="inlineStr">
        <is>
          <t>Chủ nhật: 7:30-17:00</t>
        </is>
      </c>
      <c r="D810" s="3" t="inlineStr">
        <is>
          <t>Sunday: 7:30-17:00</t>
        </is>
      </c>
      <c r="E810" s="3" t="n"/>
      <c r="F810" s="3" t="n"/>
      <c r="G810" s="3">
        <f>IFERROR(__xludf.DUMMYFUNCTION("GOOGLETRANSLATE(C810,""vi"",""km"")"),"ថ្ងៃអាទិត្យ៖ ម៉ោង ៧:៣០ ព្រឹក - ៥:០០ ល្ងាច")</f>
        <v/>
      </c>
      <c r="H810" s="217" t="inlineStr">
        <is>
          <t>ថ្ងៃអាទិត្យ៖ 7:30-17:00</t>
        </is>
      </c>
      <c r="J810" s="3" t="inlineStr">
        <is>
          <t>ថ្ងៃអាទិត្យ៖ 7:30-17:00</t>
        </is>
      </c>
      <c r="K810" s="217" t="inlineStr">
        <is>
          <t>ថ្ងៃអាទិត្យ៖ 7:30-17:00</t>
        </is>
      </c>
      <c r="S810" s="163" t="n"/>
    </row>
    <row r="811" ht="15.75" customHeight="1" s="305">
      <c r="A811" s="165" t="inlineStr">
        <is>
          <t>CREATE_ORDER.TIME_WORK</t>
        </is>
      </c>
      <c r="B811" s="199" t="inlineStr">
        <is>
          <t>营业时间</t>
        </is>
      </c>
      <c r="C811" s="165" t="inlineStr">
        <is>
          <t>Thời gian làm việc</t>
        </is>
      </c>
      <c r="D811" s="3" t="inlineStr">
        <is>
          <t>Working time</t>
        </is>
      </c>
      <c r="E811" s="3" t="n"/>
      <c r="F811" s="3" t="n"/>
      <c r="G811" s="3">
        <f>IFERROR(__xludf.DUMMYFUNCTION("GOOGLETRANSLATE(C811,""vi"",""km"")"),"ម៉ោងធ្វើការ")</f>
        <v/>
      </c>
      <c r="H811" s="217" t="inlineStr">
        <is>
          <t>ពេលវេលាធ្វើការ</t>
        </is>
      </c>
      <c r="J811" s="3" t="inlineStr">
        <is>
          <t>ពេលវេលាធ្វើការ</t>
        </is>
      </c>
      <c r="K811" s="217" t="inlineStr">
        <is>
          <t>ពេលវេលាធ្វើការ</t>
        </is>
      </c>
      <c r="S811" s="163" t="n"/>
    </row>
    <row r="812" ht="15.75" customHeight="1" s="305">
      <c r="A812" s="165" t="inlineStr">
        <is>
          <t>CREATE_ORDER.TOTAL_PAY</t>
        </is>
      </c>
      <c r="B812" s="199" t="inlineStr">
        <is>
          <t>应付总额</t>
        </is>
      </c>
      <c r="C812" s="165" t="inlineStr">
        <is>
          <t>Tổng thanh toán</t>
        </is>
      </c>
      <c r="D812" s="3" t="inlineStr">
        <is>
          <t>Total payment</t>
        </is>
      </c>
      <c r="E812" s="3" t="n"/>
      <c r="F812" s="3" t="n"/>
      <c r="G812" s="3">
        <f>IFERROR(__xludf.DUMMYFUNCTION("GOOGLETRANSLATE(C812,""vi"",""km"")"),"ការទូទាត់សរុប")</f>
        <v/>
      </c>
      <c r="H812" s="217" t="inlineStr">
        <is>
          <t>សរុបការទូទាត់</t>
        </is>
      </c>
      <c r="J812" s="3" t="inlineStr">
        <is>
          <t>សរុបការទូទាត់</t>
        </is>
      </c>
      <c r="K812" s="217" t="inlineStr">
        <is>
          <t>សរុបការទូទាត់</t>
        </is>
      </c>
      <c r="S812" s="163" t="n"/>
    </row>
    <row r="813" ht="15.75" customHeight="1" s="305">
      <c r="A813" s="165" t="inlineStr">
        <is>
          <t>DETAIL_ORDER.EXPECTED_DELIVERY</t>
        </is>
      </c>
      <c r="B813" s="199" t="inlineStr">
        <is>
          <t>预计送达时间</t>
        </is>
      </c>
      <c r="C813" s="165" t="inlineStr">
        <is>
          <t>Dự kiến giao</t>
        </is>
      </c>
      <c r="D813" s="3" t="inlineStr">
        <is>
          <t>Expected delivery</t>
        </is>
      </c>
      <c r="E813" s="3" t="n"/>
      <c r="F813" s="3" t="n"/>
      <c r="G813" s="3">
        <f>IFERROR(__xludf.DUMMYFUNCTION("GOOGLETRANSLATE(C813,""vi"",""km"")"),"ការដឹកជញ្ជូនដែលរំពឹងទុក")</f>
        <v/>
      </c>
      <c r="H813" s="217" t="inlineStr">
        <is>
          <t>កំណត់ពេលប្រគល់</t>
        </is>
      </c>
      <c r="J813" s="3" t="inlineStr">
        <is>
          <t>កំណត់ពេលប្រគល់</t>
        </is>
      </c>
      <c r="K813" s="217" t="inlineStr">
        <is>
          <t>កំណត់ពេលប្រគល់</t>
        </is>
      </c>
      <c r="S813" s="163" t="n"/>
    </row>
    <row r="814" ht="15.75" customHeight="1" s="305">
      <c r="A814" s="165" t="inlineStr">
        <is>
          <t>DETAIL_ORDER.EXPECTED_TO_TAKE</t>
        </is>
      </c>
      <c r="B814" s="199" t="inlineStr">
        <is>
          <t>预计取件时间</t>
        </is>
      </c>
      <c r="C814" s="165" t="inlineStr">
        <is>
          <t>Dự kiến lấy</t>
        </is>
      </c>
      <c r="D814" s="3" t="inlineStr">
        <is>
          <t>Expected pick-up</t>
        </is>
      </c>
      <c r="E814" s="3" t="n"/>
      <c r="F814" s="3" t="n"/>
      <c r="G814" s="3">
        <f>IFERROR(__xludf.DUMMYFUNCTION("GOOGLETRANSLATE(C814,""vi"",""km"")"),"រំពឹងថានឹងយក")</f>
        <v/>
      </c>
      <c r="H814" s="217" t="inlineStr">
        <is>
          <t>កំណត់ពេលយក</t>
        </is>
      </c>
      <c r="J814" s="3" t="inlineStr">
        <is>
          <t>កំណត់ពេលយក</t>
        </is>
      </c>
      <c r="K814" s="217" t="inlineStr">
        <is>
          <t>កំណត់ពេលយក</t>
        </is>
      </c>
      <c r="S814" s="163" t="n"/>
    </row>
    <row r="815" ht="15.75" customHeight="1" s="305">
      <c r="A815" s="165" t="inlineStr">
        <is>
          <t>DETAIL_ORDER.RECEIVER_AT</t>
        </is>
      </c>
      <c r="B815" s="199" t="inlineStr">
        <is>
          <t>在 {{address}} 收货</t>
        </is>
      </c>
      <c r="C815" s="165" t="inlineStr">
        <is>
          <t>Nhận tại {{address}}</t>
        </is>
      </c>
      <c r="D815" s="3" t="inlineStr">
        <is>
          <t>Receive at {{address}}</t>
        </is>
      </c>
      <c r="E815" s="3" t="n"/>
      <c r="F815" s="3" t="n"/>
      <c r="G815" s="3">
        <f>IFERROR(__xludf.DUMMYFUNCTION("GOOGLETRANSLATE(C815,""vi"",""km"")"),"ទទួលនៅ {{address}}")</f>
        <v/>
      </c>
      <c r="H815" s="158" t="inlineStr">
        <is>
          <t>ទទួលនៅ {{អាស័យដ្ឋាន}}</t>
        </is>
      </c>
      <c r="J815" s="3" t="inlineStr">
        <is>
          <t>ទទួលនៅ {{អាសយដ្ឋាន}}</t>
        </is>
      </c>
      <c r="K815" s="217" t="inlineStr">
        <is>
          <t>ទទួលនៅ {{អាសយដ្ឋាន}}</t>
        </is>
      </c>
      <c r="S815" s="163" t="n"/>
    </row>
    <row r="816" ht="15.75" customHeight="1" s="305">
      <c r="A816" s="165" t="inlineStr">
        <is>
          <t>DETAIL_ORDER.SEND_AT</t>
        </is>
      </c>
      <c r="B816" s="199" t="inlineStr">
        <is>
          <t>在 {{address}} 寄件</t>
        </is>
      </c>
      <c r="C816" s="165" t="inlineStr">
        <is>
          <t>Gửi tại {{address}}</t>
        </is>
      </c>
      <c r="D816" s="3" t="inlineStr">
        <is>
          <t>Send at {{address}}</t>
        </is>
      </c>
      <c r="E816" s="3" t="n"/>
      <c r="F816" s="3" t="n"/>
      <c r="G816" s="3">
        <f>IFERROR(__xludf.DUMMYFUNCTION("GOOGLETRANSLATE(C816,""vi"",""km"")"),"បានផ្ញើទៅកាន់ {{address}}")</f>
        <v/>
      </c>
      <c r="H816" s="158" t="inlineStr">
        <is>
          <t>ផ្ញើនៅ {{អាស័យដ្ឋាន}}</t>
        </is>
      </c>
      <c r="J816" s="3" t="inlineStr">
        <is>
          <t>ផ្ញើនៅ {{អាសយដ្ឋាន}}</t>
        </is>
      </c>
      <c r="K816" s="217" t="inlineStr">
        <is>
          <t>ផ្ញើនៅ {{អាសយដ្ឋាន}}</t>
        </is>
      </c>
      <c r="S816" s="163" t="n"/>
    </row>
    <row r="817" ht="15.75" customHeight="1" s="305">
      <c r="A817" s="165" t="inlineStr">
        <is>
          <t>ESTIMATE_FEE.COD_REQUIRED</t>
        </is>
      </c>
      <c r="B817" s="199" t="inlineStr">
        <is>
          <t>请输入货到付款（COD）金额！</t>
        </is>
      </c>
      <c r="C817" s="165" t="inlineStr">
        <is>
          <t>Vui lòng nhập số tiền thu hộ COD!</t>
        </is>
      </c>
      <c r="D817" s="3" t="inlineStr">
        <is>
          <t>Please enter the COD amount!</t>
        </is>
      </c>
      <c r="E817" s="3" t="n"/>
      <c r="F817" s="3" t="n"/>
      <c r="G817" s="3">
        <f>IFERROR(__xludf.DUMMYFUNCTION("GOOGLETRANSLATE(C817,""vi"",""km"")"),"សូមបញ្ចូលចំនួនទឹកប្រាក់ដែលត្រូវប្រមូលតាមរយៈ COD!")</f>
        <v/>
      </c>
      <c r="H817" s="217" t="inlineStr">
        <is>
          <t>សូមបញ្ចូលចំនួនប្រាក់ទទួលជំនួស (COD)!</t>
        </is>
      </c>
      <c r="J817" s="3" t="inlineStr">
        <is>
          <t>សូមបញ្ចូលចំនួនប្រាក់ទទួលជំនួស (COD)!</t>
        </is>
      </c>
      <c r="K817" s="217" t="inlineStr">
        <is>
          <t>សូមបញ្ចូលចំនួនប្រាក់ទទួលជំនួស (COD)!</t>
        </is>
      </c>
      <c r="S817" s="163" t="n"/>
    </row>
    <row r="818" ht="15.75" customHeight="1" s="305">
      <c r="A818" s="165" t="inlineStr">
        <is>
          <t>HOME_SCREEN.ALL_FEATURES</t>
        </is>
      </c>
      <c r="B818" s="199" t="inlineStr">
        <is>
          <t>全部功能</t>
        </is>
      </c>
      <c r="C818" s="165" t="inlineStr">
        <is>
          <t>Tất cả tính năng</t>
        </is>
      </c>
      <c r="D818" s="3" t="inlineStr">
        <is>
          <t>All features</t>
        </is>
      </c>
      <c r="E818" s="3" t="n"/>
      <c r="F818" s="3" t="n"/>
      <c r="G818" s="3">
        <f>IFERROR(__xludf.DUMMYFUNCTION("GOOGLETRANSLATE(C818,""vi"",""km"")"),"លក្ខណៈពិសេសទាំងអស់")</f>
        <v/>
      </c>
      <c r="H818" s="217" t="inlineStr">
        <is>
          <t>រាល់មុខងារទាំងអស់</t>
        </is>
      </c>
      <c r="J818" s="3" t="inlineStr">
        <is>
          <t>រាល់មុខងារទាំងអស់</t>
        </is>
      </c>
      <c r="K818" s="217" t="inlineStr">
        <is>
          <t>រាល់មុខងារទាំងអស់</t>
        </is>
      </c>
      <c r="S818" s="163" t="n"/>
    </row>
    <row r="819" ht="15.75" customHeight="1" s="305">
      <c r="A819" s="165" t="inlineStr">
        <is>
          <t>HOME_SCREEN.COD_PRICE</t>
        </is>
      </c>
      <c r="B819" s="199" t="inlineStr">
        <is>
          <t>货到付款价格</t>
        </is>
      </c>
      <c r="C819" s="165" t="inlineStr">
        <is>
          <t>Tiền COD</t>
        </is>
      </c>
      <c r="D819" s="3" t="inlineStr">
        <is>
          <t>COD price</t>
        </is>
      </c>
      <c r="E819" s="3" t="n"/>
      <c r="F819" s="3" t="n"/>
      <c r="G819" s="3">
        <f>IFERROR(__xludf.DUMMYFUNCTION("GOOGLETRANSLATE(C819,""vi"",""km"")"),"បង់ប្រាក់ពេលទទួលទំនិញ (COD)")</f>
        <v/>
      </c>
      <c r="H819" s="217" t="inlineStr">
        <is>
          <t>ប្រាក់ COD</t>
        </is>
      </c>
      <c r="J819" s="3" t="inlineStr">
        <is>
          <t>ប្រាក់ COD</t>
        </is>
      </c>
      <c r="K819" s="217" t="inlineStr">
        <is>
          <t>ប្រាក់ COD</t>
        </is>
      </c>
      <c r="S819" s="163" t="n"/>
    </row>
    <row r="820" ht="15.75" customHeight="1" s="305">
      <c r="A820" s="165" t="inlineStr">
        <is>
          <t>HOME_SCREEN.DELIVERY</t>
        </is>
      </c>
      <c r="B820" s="199" t="inlineStr">
        <is>
          <t>快递服务</t>
        </is>
      </c>
      <c r="C820" s="165" t="inlineStr">
        <is>
          <t>Chuyển phát</t>
        </is>
      </c>
      <c r="D820" s="3" t="inlineStr">
        <is>
          <t>Express</t>
        </is>
      </c>
      <c r="E820" s="3" t="n"/>
      <c r="F820" s="3" t="n"/>
      <c r="G820" s="3">
        <f>IFERROR(__xludf.DUMMYFUNCTION("GOOGLETRANSLATE(C820,""vi"",""km"")"),"ការដឹកជញ្ជូន")</f>
        <v/>
      </c>
      <c r="H820" s="217" t="inlineStr">
        <is>
          <t>បង្កើតបុុងបញ្ញើ</t>
        </is>
      </c>
      <c r="J820" s="217" t="inlineStr">
        <is>
          <t>បង្កើតបុុងផ្ញើបញ្ញើ</t>
        </is>
      </c>
      <c r="K820" s="217" t="inlineStr">
        <is>
          <t>បង្កើតបុុងផ្ញើបញ្ញើ</t>
        </is>
      </c>
      <c r="S820" s="163" t="n"/>
    </row>
    <row r="821" ht="15.75" customHeight="1" s="305">
      <c r="A821" s="165" t="inlineStr">
        <is>
          <t>HOME_SCREEN.NEWS</t>
        </is>
      </c>
      <c r="B821" s="199" t="inlineStr">
        <is>
          <t>消息 / 公告</t>
        </is>
      </c>
      <c r="C821" s="165" t="inlineStr">
        <is>
          <t>Tin tức</t>
        </is>
      </c>
      <c r="D821" s="3" t="inlineStr">
        <is>
          <t>News</t>
        </is>
      </c>
      <c r="E821" s="3" t="n"/>
      <c r="F821" s="3" t="n"/>
      <c r="G821" s="3">
        <f>IFERROR(__xludf.DUMMYFUNCTION("GOOGLETRANSLATE(C821,""vi"",""km"")"),"ព័ត៌មាន")</f>
        <v/>
      </c>
      <c r="H821" s="217" t="inlineStr">
        <is>
          <t>ដំណឹង</t>
        </is>
      </c>
      <c r="J821" s="3" t="inlineStr">
        <is>
          <t>ដំណឹង</t>
        </is>
      </c>
      <c r="K821" s="217" t="inlineStr">
        <is>
          <t>ដំណឹង</t>
        </is>
      </c>
      <c r="S821" s="163" t="n"/>
    </row>
    <row r="822" ht="15.75" customHeight="1" s="305">
      <c r="A822" s="203" t="inlineStr">
        <is>
          <t>HOME_SCREEN.WHERE_DO_YOU_WANT_TO_DELIVER</t>
        </is>
      </c>
      <c r="B822" s="199" t="inlineStr">
        <is>
          <t>您希望配送至何处？</t>
        </is>
      </c>
      <c r="C822" s="165" t="inlineStr">
        <is>
          <t>Bạn muốn giao hàng đến đâu?</t>
        </is>
      </c>
      <c r="D822" s="3" t="inlineStr">
        <is>
          <t>Where do you want to deliver?</t>
        </is>
      </c>
      <c r="E822" s="3" t="n"/>
      <c r="F822" s="3" t="n"/>
      <c r="G822" s="3">
        <f>IFERROR(__xludf.DUMMYFUNCTION("GOOGLETRANSLATE(C822,""vi"",""km"")"),"តើអ្នកចង់ឱ្យការដឹកជញ្ជូនទៅណា?")</f>
        <v/>
      </c>
      <c r="H822" s="3" t="inlineStr">
        <is>
          <t>តើអ្នកចង់ប្រគល់អីវ៉ាន់ទៅឯណា?</t>
        </is>
      </c>
      <c r="J822" s="217" t="inlineStr">
        <is>
          <t>តើអ្នកចង់ផ្ញើអីវ៉ាន់ទៅឯណា?</t>
        </is>
      </c>
      <c r="K822" s="217" t="inlineStr">
        <is>
          <t>តើអ្នកចង់ផ្ញើអីវ៉ាន់ទៅឯណា?</t>
        </is>
      </c>
      <c r="S822" s="163" t="n"/>
    </row>
    <row r="823" ht="15.75" customHeight="1" s="305">
      <c r="A823" s="165" t="inlineStr">
        <is>
          <t>MANAGE_ORDER.CONFIRM_RETURN_ORDER</t>
        </is>
      </c>
      <c r="B823" s="199" t="inlineStr">
        <is>
          <t>您确定要退回此订单吗？</t>
        </is>
      </c>
      <c r="C823" s="165" t="inlineStr">
        <is>
          <t>Quý khách có chắc chắn hoàn đơn hàng?</t>
        </is>
      </c>
      <c r="D823" s="3" t="inlineStr">
        <is>
          <t>Are you sure you want to return the order?</t>
        </is>
      </c>
      <c r="E823" s="3" t="n"/>
      <c r="F823" s="3" t="n"/>
      <c r="G823" s="3">
        <f>IFERROR(__xludf.DUMMYFUNCTION("GOOGLETRANSLATE(C823,""vi"",""km"")"),"តើអ្នកពិតជាចង់ប្រគល់ការបញ្ជាទិញវិញមែនទេ?")</f>
        <v/>
      </c>
      <c r="H823" s="3" t="inlineStr">
        <is>
          <t>តើអតិថិជនពិតជាចង់ត្រលប់បុងបញ្ញើវិញមែនទេ?</t>
        </is>
      </c>
      <c r="J823" s="3" t="inlineStr">
        <is>
          <t>តើអតិថិជនពិតជាចង់ត្រលប់បុងបញ្ញើវិញមែនទេ?</t>
        </is>
      </c>
      <c r="K823" s="217" t="inlineStr">
        <is>
          <t>តើអតិថិជនពិតជាចង់ត្រលប់បុងបញ្ញើវិញមែនទេ?</t>
        </is>
      </c>
      <c r="S823" s="163" t="n"/>
    </row>
    <row r="824" ht="15.75" customHeight="1" s="305">
      <c r="A824" s="165" t="inlineStr">
        <is>
          <t>SETTING_SCREEN.ZH_LANGUAGE</t>
        </is>
      </c>
      <c r="B824" s="199" t="inlineStr">
        <is>
          <t>中文</t>
        </is>
      </c>
      <c r="C824" s="165" t="inlineStr">
        <is>
          <t>Tiếng Trung</t>
        </is>
      </c>
      <c r="D824" s="3" t="inlineStr">
        <is>
          <t>Chinese</t>
        </is>
      </c>
      <c r="E824" s="3" t="n"/>
      <c r="F824" s="3" t="n"/>
      <c r="G824" s="3">
        <f>IFERROR(__xludf.DUMMYFUNCTION("GOOGLETRANSLATE(C824,""vi"",""km"")"),"ចិន")</f>
        <v/>
      </c>
      <c r="H824" s="3" t="inlineStr">
        <is>
          <t>ភាសាចិន</t>
        </is>
      </c>
      <c r="J824" s="3" t="inlineStr">
        <is>
          <t>ភាសាចិន</t>
        </is>
      </c>
      <c r="K824" s="217" t="inlineStr">
        <is>
          <t>ភាសាចិន</t>
        </is>
      </c>
      <c r="S824" s="163" t="n"/>
    </row>
    <row r="825" ht="15.75" customHeight="1" s="305">
      <c r="A825" s="204" t="inlineStr">
        <is>
          <t>listOfProhibitedItems.SEE_DETAILED_LIST_OF_PROHIBITED_ITEMS</t>
        </is>
      </c>
      <c r="B825" s="199" t="inlineStr">
        <is>
          <t>查看禁运品详细列表</t>
        </is>
      </c>
      <c r="C825" s="165" t="inlineStr">
        <is>
          <t>Xem chi tiết danh mục những mặt hàng bị cấm gửi</t>
        </is>
      </c>
      <c r="D825" s="3" t="inlineStr">
        <is>
          <t>See detailed list of prohibited items</t>
        </is>
      </c>
      <c r="E825" s="3" t="n"/>
      <c r="F825" s="3" t="n"/>
      <c r="G825" s="3">
        <f>IFERROR(__xludf.DUMMYFUNCTION("GOOGLETRANSLATE(C825,""vi"",""km"")"),"សូមមើលបញ្ជីលម្អិតនៃរបស់របរហាមឃាត់សម្រាប់ការដឹកជញ្ជូន។")</f>
        <v/>
      </c>
      <c r="H825" s="3" t="inlineStr">
        <is>
          <t>មើលលម្អិតពីបញ្ជីមុខទំនិញហាមឃាត់ផ្ញើ</t>
        </is>
      </c>
      <c r="J825" s="3" t="inlineStr">
        <is>
          <t>មើលលម្អិតពីបញ្ជីមុខទំនិញហាមឃាត់ផ្ញើ</t>
        </is>
      </c>
      <c r="K825" s="217" t="inlineStr">
        <is>
          <t>មើលលម្អិតពីបញ្ជីមុខទំនិញហាមឃាត់ផ្ញើ</t>
        </is>
      </c>
      <c r="S825" s="163" t="n"/>
    </row>
    <row r="826" ht="15.75" customHeight="1" s="305">
      <c r="A826" s="158" t="inlineStr">
        <is>
          <t>CREATE_ORDER.MERCHANDISE_WEIGHT_PLACEHOLDER</t>
        </is>
      </c>
      <c r="B826" s="199" t="inlineStr">
        <is>
          <t>重量</t>
        </is>
      </c>
      <c r="C826" s="158" t="inlineStr">
        <is>
          <t>Khối lượng</t>
        </is>
      </c>
      <c r="D826" s="3" t="inlineStr">
        <is>
          <t>Weight</t>
        </is>
      </c>
      <c r="E826" s="3" t="n"/>
      <c r="F826" s="3" t="n"/>
      <c r="G826" s="3">
        <f>IFERROR(__xludf.DUMMYFUNCTION("GOOGLETRANSLATE(C826,""vi"",""km"")"),"ម៉ាស")</f>
        <v/>
      </c>
      <c r="H826" s="217" t="inlineStr">
        <is>
          <t>ទម្ងន់</t>
        </is>
      </c>
      <c r="J826" s="3" t="inlineStr">
        <is>
          <t>ទម្ងន់</t>
        </is>
      </c>
      <c r="K826" s="217" t="inlineStr">
        <is>
          <t>ទម្ងន់</t>
        </is>
      </c>
      <c r="S826" s="163" t="n"/>
    </row>
    <row r="827" ht="15.75" customHeight="1" s="305">
      <c r="A827" s="205" t="inlineStr">
        <is>
          <t>ACCOUNT_EDIT.CONTRACT_CANCELLED</t>
        </is>
      </c>
      <c r="B827" s="160" t="inlineStr">
        <is>
          <t>取消合同</t>
        </is>
      </c>
      <c r="C827" s="207" t="inlineStr">
        <is>
          <t>Hủy hợp đồng</t>
        </is>
      </c>
      <c r="D827" s="207" t="inlineStr">
        <is>
          <t>Contract Cancelled</t>
        </is>
      </c>
      <c r="E827" s="3" t="n"/>
      <c r="F827" s="3" t="n"/>
      <c r="G827" s="3">
        <f>IFERROR(__xludf.DUMMYFUNCTION("GOOGLETRANSLATE(C827,""vi"",""km"")"),"លុបចោលកិច្ចសន្យា")</f>
        <v/>
      </c>
      <c r="H827" s="207" t="n"/>
      <c r="J827" s="3" t="inlineStr">
        <is>
          <t>លុបចោលកិច្ចសន្យា</t>
        </is>
      </c>
      <c r="K827" s="217" t="inlineStr">
        <is>
          <t>លុបចោលកិច្ចសន្យា</t>
        </is>
      </c>
      <c r="S827" s="163" t="n"/>
    </row>
    <row r="828" ht="15.75" customHeight="1" s="305">
      <c r="A828" s="217" t="inlineStr">
        <is>
          <t>ACCOUNT_EDIT.CONTRACT_EXPIRED</t>
        </is>
      </c>
      <c r="B828" s="160" t="inlineStr">
        <is>
          <t>合同到期</t>
        </is>
      </c>
      <c r="C828" s="207" t="inlineStr">
        <is>
          <t>Hết hạn hợp đồng</t>
        </is>
      </c>
      <c r="D828" s="207" t="inlineStr">
        <is>
          <t>Contract Expired</t>
        </is>
      </c>
      <c r="E828" s="3" t="n"/>
      <c r="F828" s="3" t="n"/>
      <c r="G828" s="3">
        <f>IFERROR(__xludf.DUMMYFUNCTION("GOOGLETRANSLATE(C828,""vi"",""km"")"),"កិច្ចសន្យាផុតកំណត់")</f>
        <v/>
      </c>
      <c r="H828" s="207" t="n"/>
      <c r="J828" s="3" t="inlineStr">
        <is>
          <t>កិច្ចសន្យាផុតកំណត់</t>
        </is>
      </c>
      <c r="K828" s="217" t="inlineStr">
        <is>
          <t>កិច្ចសន្យាផុតកំណត់</t>
        </is>
      </c>
      <c r="S828" s="163" t="n"/>
    </row>
    <row r="829" ht="15.75" customHeight="1" s="305">
      <c r="A829" s="217" t="inlineStr">
        <is>
          <t>ACCOUNT_EDIT.CONTRACT_FILE</t>
        </is>
      </c>
      <c r="B829" s="160" t="inlineStr">
        <is>
          <t>合同文件</t>
        </is>
      </c>
      <c r="C829" s="207" t="inlineStr">
        <is>
          <t>File hợp đồng:</t>
        </is>
      </c>
      <c r="D829" s="207" t="inlineStr">
        <is>
          <t>Contract File</t>
        </is>
      </c>
      <c r="E829" s="3" t="n"/>
      <c r="F829" s="3" t="n"/>
      <c r="G829" s="3">
        <f>IFERROR(__xludf.DUMMYFUNCTION("GOOGLETRANSLATE(C829,""vi"",""km"")"),"ឯកសារកិច្ចសន្យា៖")</f>
        <v/>
      </c>
      <c r="H829" s="207" t="n"/>
      <c r="J829" s="3" t="inlineStr">
        <is>
          <t>ឯកសារកិច្ចសន្យា៖</t>
        </is>
      </c>
      <c r="K829" s="217" t="inlineStr">
        <is>
          <t>ឯកសារកិច្ចសន្យា៖</t>
        </is>
      </c>
      <c r="S829" s="163" t="n"/>
    </row>
    <row r="830" ht="15.75" customHeight="1" s="305">
      <c r="A830" s="217" t="inlineStr">
        <is>
          <t>ACCOUNT_EDIT.CONTRACT_INFO_TITLE</t>
        </is>
      </c>
      <c r="B830" s="160" t="inlineStr">
        <is>
          <t>合同信息</t>
        </is>
      </c>
      <c r="C830" s="207" t="inlineStr">
        <is>
          <t>Thông tin hợp đồng</t>
        </is>
      </c>
      <c r="D830" s="207" t="inlineStr">
        <is>
          <t>Contract Information</t>
        </is>
      </c>
      <c r="E830" s="3" t="n"/>
      <c r="F830" s="3" t="n"/>
      <c r="G830" s="3">
        <f>IFERROR(__xludf.DUMMYFUNCTION("GOOGLETRANSLATE(C830,""vi"",""km"")"),"ព័ត៌មានកិច្ចសន្យា")</f>
        <v/>
      </c>
      <c r="H830" s="207" t="n"/>
      <c r="J830" s="3" t="inlineStr">
        <is>
          <t>ព័ត៌មានកិច្ចសន្យា</t>
        </is>
      </c>
      <c r="K830" s="217" t="inlineStr">
        <is>
          <t>ព័ត៌មានកិច្ចសន្យា</t>
        </is>
      </c>
      <c r="S830" s="163" t="n"/>
    </row>
    <row r="831" ht="15.75" customHeight="1" s="305">
      <c r="A831" s="217" t="inlineStr">
        <is>
          <t>ACCOUNT_EDIT.CONTRACT_PENDING</t>
        </is>
      </c>
      <c r="B831" s="160" t="inlineStr">
        <is>
          <t>待签署</t>
        </is>
      </c>
      <c r="C831" s="207" t="inlineStr">
        <is>
          <t>Chờ ký hợp đồng</t>
        </is>
      </c>
      <c r="D831" s="207" t="inlineStr">
        <is>
          <t>Pending For Signature</t>
        </is>
      </c>
      <c r="E831" s="3" t="n"/>
      <c r="F831" s="3" t="n"/>
      <c r="G831" s="3">
        <f>IFERROR(__xludf.DUMMYFUNCTION("GOOGLETRANSLATE(C831,""vi"",""km"")"),"កំពុងរង់ចាំការចុះហត្ថលេខាលើកិច្ចសន្យា")</f>
        <v/>
      </c>
      <c r="H831" s="207" t="n"/>
      <c r="J831" s="3" t="inlineStr">
        <is>
          <t>កំពុងរង់ចាំការចុះហត្ថលេខាលើកិច្ចសន្យា</t>
        </is>
      </c>
      <c r="K831" s="217" t="inlineStr">
        <is>
          <t>កំពុងរង់ចាំការចុះហត្ថលេខាលើកិច្ចសន្យា</t>
        </is>
      </c>
      <c r="S831" s="163" t="n"/>
    </row>
    <row r="832" ht="15.75" customHeight="1" s="305">
      <c r="A832" s="217" t="inlineStr">
        <is>
          <t>ACCOUNT_EDIT.CONTRACT_POSTPAID</t>
        </is>
      </c>
      <c r="B832" s="160" t="inlineStr">
        <is>
          <t>后付费</t>
        </is>
      </c>
      <c r="C832" s="207" t="inlineStr">
        <is>
          <t>Trả sau</t>
        </is>
      </c>
      <c r="D832" s="207" t="inlineStr">
        <is>
          <t>Postpaid</t>
        </is>
      </c>
      <c r="E832" s="3" t="n"/>
      <c r="F832" s="3" t="n"/>
      <c r="G832" s="3">
        <f>IFERROR(__xludf.DUMMYFUNCTION("GOOGLETRANSLATE(C832,""vi"",""km"")"),"បង់ប្រាក់ពេលក្រោយ")</f>
        <v/>
      </c>
      <c r="H832" s="207" t="n"/>
      <c r="J832" s="3" t="inlineStr">
        <is>
          <t>ទូទាត់ប្រាក់ពេលក្រោយ</t>
        </is>
      </c>
      <c r="K832" s="217" t="inlineStr">
        <is>
          <t>ទូទាត់ប្រាក់ពេលក្រោយ</t>
        </is>
      </c>
      <c r="S832" s="163" t="n"/>
    </row>
    <row r="833" ht="15.75" customHeight="1" s="305">
      <c r="A833" s="217" t="inlineStr">
        <is>
          <t>ACCOUNT_EDIT.CONTRACT_PREPAID</t>
        </is>
      </c>
      <c r="B833" s="160" t="inlineStr">
        <is>
          <t>预付费</t>
        </is>
      </c>
      <c r="C833" s="207" t="inlineStr">
        <is>
          <t>Trả trước</t>
        </is>
      </c>
      <c r="D833" s="207" t="inlineStr">
        <is>
          <t>Prepaid</t>
        </is>
      </c>
      <c r="E833" s="3" t="n"/>
      <c r="F833" s="3" t="n"/>
      <c r="G833" s="3">
        <f>IFERROR(__xludf.DUMMYFUNCTION("GOOGLETRANSLATE(C833,""vi"",""km"")"),"បង់ប្រាក់ជាមុន")</f>
        <v/>
      </c>
      <c r="H833" s="207" t="n"/>
      <c r="J833" s="3" t="inlineStr">
        <is>
          <t>បង់ប្រាក់ជាមុន</t>
        </is>
      </c>
      <c r="K833" s="217" t="inlineStr">
        <is>
          <t>បង់ប្រាក់ជាមុន</t>
        </is>
      </c>
      <c r="S833" s="163" t="n"/>
    </row>
    <row r="834" ht="15.75" customHeight="1" s="305">
      <c r="A834" s="217" t="inlineStr">
        <is>
          <t>ACCOUNT_EDIT.CONTRACT_STATUS</t>
        </is>
      </c>
      <c r="B834" s="160" t="inlineStr">
        <is>
          <t>合同状态</t>
        </is>
      </c>
      <c r="C834" s="207" t="inlineStr">
        <is>
          <t>Trạng thái hợp đồng:</t>
        </is>
      </c>
      <c r="D834" s="207" t="inlineStr">
        <is>
          <t>Contract Status</t>
        </is>
      </c>
      <c r="E834" s="3" t="n"/>
      <c r="F834" s="3" t="n"/>
      <c r="G834" s="3">
        <f>IFERROR(__xludf.DUMMYFUNCTION("GOOGLETRANSLATE(C834,""vi"",""km"")"),"ស្ថានភាពកិច្ចសន្យា៖")</f>
        <v/>
      </c>
      <c r="H834" s="207" t="n"/>
      <c r="J834" s="3" t="inlineStr">
        <is>
          <t>ស្ថានភាពកិច្ចសន្យា៖</t>
        </is>
      </c>
      <c r="K834" s="217" t="inlineStr">
        <is>
          <t>ស្ថានភាពកិច្ចសន្យា៖</t>
        </is>
      </c>
      <c r="S834" s="163" t="n"/>
    </row>
    <row r="835" ht="15.75" customHeight="1" s="305">
      <c r="A835" s="217" t="inlineStr">
        <is>
          <t>ACCOUNT_EDIT.CONTRACT_STATUS_CANCELLED</t>
        </is>
      </c>
      <c r="B835" s="160" t="inlineStr">
        <is>
          <t>已取消</t>
        </is>
      </c>
      <c r="C835" s="207" t="inlineStr">
        <is>
          <t>Hủy</t>
        </is>
      </c>
      <c r="D835" s="207" t="inlineStr">
        <is>
          <t>Cancelled</t>
        </is>
      </c>
      <c r="E835" s="3" t="n"/>
      <c r="F835" s="3" t="n"/>
      <c r="G835" s="3">
        <f>IFERROR(__xludf.DUMMYFUNCTION("GOOGLETRANSLATE(C835,""vi"",""km"")"),"បោះបង់")</f>
        <v/>
      </c>
      <c r="H835" s="207" t="n"/>
      <c r="J835" s="3" t="inlineStr">
        <is>
          <t>លុបចោល</t>
        </is>
      </c>
      <c r="K835" s="217" t="inlineStr">
        <is>
          <t>លុបចោល</t>
        </is>
      </c>
      <c r="S835" s="163" t="n"/>
    </row>
    <row r="836" ht="15.75" customHeight="1" s="305">
      <c r="A836" s="217" t="inlineStr">
        <is>
          <t>ACCOUNT_EDIT.CONTRACT_STATUS_EXPIRED</t>
        </is>
      </c>
      <c r="B836" s="160" t="inlineStr">
        <is>
          <t>已到期</t>
        </is>
      </c>
      <c r="C836" s="207" t="inlineStr">
        <is>
          <t>Hết hạn</t>
        </is>
      </c>
      <c r="D836" s="207" t="inlineStr">
        <is>
          <t>Expired</t>
        </is>
      </c>
      <c r="E836" s="3" t="n"/>
      <c r="F836" s="3" t="n"/>
      <c r="G836" s="3">
        <f>IFERROR(__xludf.DUMMYFUNCTION("GOOGLETRANSLATE(C836,""vi"",""km"")"),"ផុតកំណត់")</f>
        <v/>
      </c>
      <c r="H836" s="207" t="n"/>
      <c r="J836" s="3" t="inlineStr">
        <is>
          <t>ផុតកំណត់</t>
        </is>
      </c>
      <c r="K836" s="217" t="inlineStr">
        <is>
          <t>ផុតកំណត់</t>
        </is>
      </c>
      <c r="S836" s="163" t="n"/>
    </row>
    <row r="837" ht="15.75" customHeight="1" s="305">
      <c r="A837" s="217" t="inlineStr">
        <is>
          <t>ACCOUNT_EDIT.CONTRACT_STATUS_NOT_SIGNED</t>
        </is>
      </c>
      <c r="B837" s="160" t="inlineStr">
        <is>
          <t>未签署</t>
        </is>
      </c>
      <c r="C837" s="207" t="inlineStr">
        <is>
          <t>Chưa ký</t>
        </is>
      </c>
      <c r="D837" s="207" t="inlineStr">
        <is>
          <t>Not Signed</t>
        </is>
      </c>
      <c r="E837" s="3" t="n"/>
      <c r="F837" s="3" t="n"/>
      <c r="G837" s="3">
        <f>IFERROR(__xludf.DUMMYFUNCTION("GOOGLETRANSLATE(C837,""vi"",""km"")"),"មិនទាន់ចុះហត្ថលេខា")</f>
        <v/>
      </c>
      <c r="H837" s="207" t="n"/>
      <c r="J837" s="3" t="inlineStr">
        <is>
          <t>មិនទាន់ចុះហត្ថលេខា</t>
        </is>
      </c>
      <c r="K837" s="217" t="inlineStr">
        <is>
          <t>មិនទាន់ចុះហត្ថលេខា</t>
        </is>
      </c>
      <c r="S837" s="163" t="n"/>
    </row>
    <row r="838" ht="15.75" customHeight="1" s="305">
      <c r="A838" s="217" t="inlineStr">
        <is>
          <t>ACCOUNT_EDIT.CONTRACT_STATUS_PENDING</t>
        </is>
      </c>
      <c r="B838" s="160" t="inlineStr">
        <is>
          <t>待签署</t>
        </is>
      </c>
      <c r="C838" s="207" t="inlineStr">
        <is>
          <t>Chờ ký</t>
        </is>
      </c>
      <c r="D838" s="207" t="inlineStr">
        <is>
          <t>Pending For Signature</t>
        </is>
      </c>
      <c r="E838" s="3" t="n"/>
      <c r="F838" s="3" t="n"/>
      <c r="G838" s="3">
        <f>IFERROR(__xludf.DUMMYFUNCTION("GOOGLETRANSLATE(C838,""vi"",""km"")"),"កំពុងរង់ចាំហត្ថលេខា")</f>
        <v/>
      </c>
      <c r="H838" s="207" t="n"/>
      <c r="J838" s="3" t="inlineStr">
        <is>
          <t>កំពុងរង់ចាំហត្ថលេខា</t>
        </is>
      </c>
      <c r="K838" s="217" t="inlineStr">
        <is>
          <t>កំពុងរង់ចាំហត្ថលេខា</t>
        </is>
      </c>
      <c r="S838" s="163" t="n"/>
    </row>
    <row r="839" ht="15.75" customHeight="1" s="305">
      <c r="A839" s="217" t="inlineStr">
        <is>
          <t>ACCOUNT_EDIT.CONTRACT_STATUS_SIGNED</t>
        </is>
      </c>
      <c r="B839" s="160" t="inlineStr">
        <is>
          <t>已签署</t>
        </is>
      </c>
      <c r="C839" s="207" t="inlineStr">
        <is>
          <t>Đã ký</t>
        </is>
      </c>
      <c r="D839" s="207" t="inlineStr">
        <is>
          <t>Signed</t>
        </is>
      </c>
      <c r="E839" s="3" t="n"/>
      <c r="F839" s="3" t="n"/>
      <c r="G839" s="3">
        <f>IFERROR(__xludf.DUMMYFUNCTION("GOOGLETRANSLATE(C839,""vi"",""km"")"),"បានចុះហត្ថលេខា")</f>
        <v/>
      </c>
      <c r="H839" s="207" t="n"/>
      <c r="J839" s="3" t="inlineStr">
        <is>
          <t>បានចុះហត្ថលេខា</t>
        </is>
      </c>
      <c r="K839" s="217" t="inlineStr">
        <is>
          <t>បានចុះហត្ថលេខា</t>
        </is>
      </c>
      <c r="S839" s="163" t="n"/>
    </row>
    <row r="840" ht="15.75" customHeight="1" s="305">
      <c r="A840" s="217" t="inlineStr">
        <is>
          <t>ACCOUNT_EDIT.CONTRACT_TYPE</t>
        </is>
      </c>
      <c r="B840" s="160" t="inlineStr">
        <is>
          <t>支付方式</t>
        </is>
      </c>
      <c r="C840" s="207" t="inlineStr">
        <is>
          <t>Loại thanh toán:</t>
        </is>
      </c>
      <c r="D840" s="207" t="inlineStr">
        <is>
          <t>Contract Type</t>
        </is>
      </c>
      <c r="E840" s="3" t="n"/>
      <c r="F840" s="3" t="n"/>
      <c r="G840" s="3">
        <f>IFERROR(__xludf.DUMMYFUNCTION("GOOGLETRANSLATE(C840,""vi"",""km"")"),"ប្រភេទនៃការបង់ប្រាក់៖")</f>
        <v/>
      </c>
      <c r="H840" s="207" t="n"/>
      <c r="J840" s="3" t="inlineStr">
        <is>
          <t>ប្រភេទនៃការបង់ប្រាក់៖</t>
        </is>
      </c>
      <c r="K840" s="217" t="inlineStr">
        <is>
          <t>ប្រភេទនៃការបង់ប្រាក់៖</t>
        </is>
      </c>
      <c r="S840" s="163" t="n"/>
    </row>
    <row r="841" ht="15.75" customHeight="1" s="305">
      <c r="A841" s="217" t="inlineStr">
        <is>
          <t>ACCOUNT_EDIT.MESSAGE_UPDATE_USER_INFO_SUCCESS</t>
        </is>
      </c>
      <c r="B841" s="160" t="inlineStr">
        <is>
          <t>信息更新成功</t>
        </is>
      </c>
      <c r="C841" s="207" t="inlineStr">
        <is>
          <t>Cập nhật thông tin thành công</t>
        </is>
      </c>
      <c r="D841" s="207" t="inlineStr">
        <is>
          <t>Information updated successfully</t>
        </is>
      </c>
      <c r="E841" s="3" t="n"/>
      <c r="F841" s="3" t="n"/>
      <c r="G841" s="3">
        <f>IFERROR(__xludf.DUMMYFUNCTION("GOOGLETRANSLATE(C841,""vi"",""km"")"),"ព័ត៌មានត្រូវបានធ្វើបច្ចុប្បន្នភាពដោយជោគជ័យ។")</f>
        <v/>
      </c>
      <c r="H841" s="207" t="n"/>
      <c r="J841" s="3" t="inlineStr">
        <is>
          <t>ព័ត៌មានត្រូវបានធ្វើបច្ចុប្បន្នភាពដោយជោគជ័យ។</t>
        </is>
      </c>
      <c r="K841" s="217" t="inlineStr">
        <is>
          <t>ព័ត៌មានត្រូវបានធ្វើបច្ចុប្បន្នភាពដោយជោគជ័យ។</t>
        </is>
      </c>
      <c r="S841" s="163" t="n"/>
    </row>
    <row r="842" ht="15.75" customHeight="1" s="305">
      <c r="A842" s="217" t="inlineStr">
        <is>
          <t>CAR_RENTAL.CAR</t>
        </is>
      </c>
      <c r="B842" s="160" t="inlineStr">
        <is>
          <t>车辆</t>
        </is>
      </c>
      <c r="C842" s="207" t="inlineStr">
        <is>
          <t>Xe</t>
        </is>
      </c>
      <c r="D842" s="207" t="inlineStr">
        <is>
          <t>Car</t>
        </is>
      </c>
      <c r="E842" s="3" t="n"/>
      <c r="F842" s="3" t="n"/>
      <c r="G842" s="3">
        <f>IFERROR(__xludf.DUMMYFUNCTION("GOOGLETRANSLATE(C842,""vi"",""km"")"),"រថយន្ត")</f>
        <v/>
      </c>
      <c r="H842" s="207" t="n"/>
      <c r="J842" s="3" t="inlineStr">
        <is>
          <t>រថយន្ត</t>
        </is>
      </c>
      <c r="K842" s="217" t="inlineStr">
        <is>
          <t>រថយន្ត</t>
        </is>
      </c>
      <c r="S842" s="163" t="n"/>
    </row>
    <row r="843" ht="15.75" customHeight="1" s="305">
      <c r="A843" s="217" t="inlineStr">
        <is>
          <t>CAR_RENTAL.CONTINUE_CREATE</t>
        </is>
      </c>
      <c r="B843" s="160" t="inlineStr">
        <is>
          <t>继续创建请求</t>
        </is>
      </c>
      <c r="C843" s="207" t="inlineStr">
        <is>
          <t>Tiếp tục tạo yêu cầu</t>
        </is>
      </c>
      <c r="D843" s="207" t="inlineStr">
        <is>
          <t>Continue creating requests</t>
        </is>
      </c>
      <c r="E843" s="3" t="n"/>
      <c r="F843" s="3" t="n"/>
      <c r="G843" s="3">
        <f>IFERROR(__xludf.DUMMYFUNCTION("GOOGLETRANSLATE(C843,""vi"",""km"")"),"បន្តបង្កើតសំណើ")</f>
        <v/>
      </c>
      <c r="H843" s="207" t="n"/>
      <c r="J843" s="3" t="inlineStr">
        <is>
          <t>បន្តបង្កើតសំណើ</t>
        </is>
      </c>
      <c r="K843" s="217" t="inlineStr">
        <is>
          <t>បន្តបង្កើតសំណើ</t>
        </is>
      </c>
      <c r="S843" s="163" t="n"/>
    </row>
    <row r="844" ht="15.75" customHeight="1" s="305">
      <c r="A844" s="217" t="inlineStr">
        <is>
          <t>CAR_RENTAL.CREATE_REQUEST</t>
        </is>
      </c>
      <c r="B844" s="160" t="inlineStr">
        <is>
          <t>创建请求</t>
        </is>
      </c>
      <c r="C844" s="207" t="inlineStr">
        <is>
          <t>Tạo yêu cầu</t>
        </is>
      </c>
      <c r="D844" s="207" t="inlineStr">
        <is>
          <t>Create Request</t>
        </is>
      </c>
      <c r="E844" s="3" t="n"/>
      <c r="F844" s="3" t="n"/>
      <c r="G844" s="3">
        <f>IFERROR(__xludf.DUMMYFUNCTION("GOOGLETRANSLATE(C844,""vi"",""km"")"),"បង្កើតសំណើមួយ")</f>
        <v/>
      </c>
      <c r="H844" s="207" t="n"/>
      <c r="J844" s="3" t="inlineStr">
        <is>
          <t>បង្កើតសំណើមួយ</t>
        </is>
      </c>
      <c r="K844" s="217" t="inlineStr">
        <is>
          <t>បង្កើតសំណើមួយ</t>
        </is>
      </c>
      <c r="S844" s="163" t="n"/>
    </row>
    <row r="845" ht="15.75" customHeight="1" s="305">
      <c r="A845" s="217" t="inlineStr">
        <is>
          <t>CAR_RENTAL.CREATE_SUCCESS</t>
        </is>
      </c>
      <c r="B845" s="160" t="inlineStr">
        <is>
          <t>请求创建成功</t>
        </is>
      </c>
      <c r="C845" s="207" t="inlineStr">
        <is>
          <t>Tạo yêu cầu thành công</t>
        </is>
      </c>
      <c r="D845" s="207" t="inlineStr">
        <is>
          <t>Request created successfully</t>
        </is>
      </c>
      <c r="E845" s="3" t="n"/>
      <c r="F845" s="3" t="n"/>
      <c r="G845" s="3">
        <f>IFERROR(__xludf.DUMMYFUNCTION("GOOGLETRANSLATE(C845,""vi"",""km"")"),"សំណើត្រូវបានបង្កើតដោយជោគជ័យ")</f>
        <v/>
      </c>
      <c r="H845" s="207" t="n"/>
      <c r="J845" s="3" t="inlineStr">
        <is>
          <t>សំណើត្រូវបានបង្កើតដោយជោគជ័យ</t>
        </is>
      </c>
      <c r="K845" s="217" t="inlineStr">
        <is>
          <t>សំណើត្រូវបានបង្កើតដោយជោគជ័យ</t>
        </is>
      </c>
      <c r="S845" s="163" t="n"/>
    </row>
    <row r="846" ht="15.75" customHeight="1" s="305">
      <c r="A846" s="217" t="inlineStr">
        <is>
          <t>CAR_RENTAL.LIST_REQUEST</t>
        </is>
      </c>
      <c r="B846" s="160" t="inlineStr">
        <is>
          <t>请求列表</t>
        </is>
      </c>
      <c r="C846" s="207" t="inlineStr">
        <is>
          <t>Danh sách yêu cầu</t>
        </is>
      </c>
      <c r="D846" s="207" t="inlineStr">
        <is>
          <t>Request List</t>
        </is>
      </c>
      <c r="E846" s="3" t="n"/>
      <c r="F846" s="3" t="n"/>
      <c r="G846" s="3">
        <f>IFERROR(__xludf.DUMMYFUNCTION("GOOGLETRANSLATE(C846,""vi"",""km"")"),"បញ្ជីនៃតម្រូវការ")</f>
        <v/>
      </c>
      <c r="H846" s="207" t="n"/>
      <c r="J846" s="3" t="inlineStr">
        <is>
          <t>បញ្ជីនៃតម្រូវការ</t>
        </is>
      </c>
      <c r="K846" s="217" t="inlineStr">
        <is>
          <t>បញ្ជីនៃតម្រូវការ</t>
        </is>
      </c>
      <c r="S846" s="163" t="n"/>
    </row>
    <row r="847" ht="15.75" customHeight="1" s="305">
      <c r="A847" s="217" t="inlineStr">
        <is>
          <t>CAR_RENTAL.MERCHANDISE_WEIGHT</t>
        </is>
      </c>
      <c r="B847" s="160" t="inlineStr">
        <is>
          <t>重量（公斤）</t>
        </is>
      </c>
      <c r="C847" s="207" t="inlineStr">
        <is>
          <t>KL (kg)</t>
        </is>
      </c>
      <c r="D847" s="207" t="inlineStr">
        <is>
          <t>Wt (g)</t>
        </is>
      </c>
      <c r="E847" s="3" t="n"/>
      <c r="F847" s="3" t="n"/>
      <c r="G847" s="3">
        <f>IFERROR(__xludf.DUMMYFUNCTION("GOOGLETRANSLATE(C847,""vi"",""km"")"),"ទម្ងន់ (គីឡូក្រាម)")</f>
        <v/>
      </c>
      <c r="H847" s="207" t="n"/>
      <c r="J847" s="3" t="inlineStr">
        <is>
          <t>ទម្ងន់ (គីឡូក្រាម)</t>
        </is>
      </c>
      <c r="K847" s="217" t="inlineStr">
        <is>
          <t>ទម្ងន់ (គីឡូក្រាម)</t>
        </is>
      </c>
      <c r="S847" s="163" t="n"/>
    </row>
    <row r="848" ht="15.75" customHeight="1" s="305">
      <c r="A848" s="217" t="inlineStr">
        <is>
          <t>CAR_RENTAL.MORE</t>
        </is>
      </c>
      <c r="B848" s="160" t="inlineStr">
        <is>
          <t>查看更多</t>
        </is>
      </c>
      <c r="C848" s="207" t="inlineStr">
        <is>
          <t>Xem thêm</t>
        </is>
      </c>
      <c r="D848" s="207" t="inlineStr">
        <is>
          <t>See More</t>
        </is>
      </c>
      <c r="E848" s="3" t="n"/>
      <c r="F848" s="3" t="n"/>
      <c r="G848" s="3">
        <f>IFERROR(__xludf.DUMMYFUNCTION("GOOGLETRANSLATE(C848,""vi"",""km"")"),"មើលបន្ថែម")</f>
        <v/>
      </c>
      <c r="H848" s="207" t="n"/>
      <c r="J848" s="3" t="inlineStr">
        <is>
          <t>មើលបន្ថែម</t>
        </is>
      </c>
      <c r="K848" s="217" t="inlineStr">
        <is>
          <t>មើលបន្ថែម</t>
        </is>
      </c>
      <c r="S848" s="163" t="n"/>
    </row>
    <row r="849" ht="15.75" customHeight="1" s="305">
      <c r="A849" s="217" t="inlineStr">
        <is>
          <t>CAR_RENTAL.NUMBER_DAY</t>
        </is>
      </c>
      <c r="B849" s="160" t="inlineStr">
        <is>
          <t>天数</t>
        </is>
      </c>
      <c r="C849" s="207" t="inlineStr">
        <is>
          <t>Số ngày</t>
        </is>
      </c>
      <c r="D849" s="207" t="inlineStr">
        <is>
          <t>Number of Days</t>
        </is>
      </c>
      <c r="E849" s="3" t="n"/>
      <c r="F849" s="3" t="n"/>
      <c r="G849" s="3">
        <f>IFERROR(__xludf.DUMMYFUNCTION("GOOGLETRANSLATE(C849,""vi"",""km"")"),"ចំនួនថ្ងៃ")</f>
        <v/>
      </c>
      <c r="H849" s="207" t="n"/>
      <c r="J849" s="3" t="inlineStr">
        <is>
          <t>ចំនួនថ្ងៃ</t>
        </is>
      </c>
      <c r="K849" s="217" t="inlineStr">
        <is>
          <t>ចំនួនថ្ងៃ</t>
        </is>
      </c>
      <c r="S849" s="163" t="n"/>
    </row>
    <row r="850" ht="15.75" customHeight="1" s="305">
      <c r="A850" s="217" t="inlineStr">
        <is>
          <t>CAR_RENTAL.PLEASE_ENTER_INFO</t>
        </is>
      </c>
      <c r="B850" s="160" t="inlineStr">
        <is>
          <t>请填写以上所有信息以查看可用的车辆类型</t>
        </is>
      </c>
      <c r="C850" s="207" t="inlineStr">
        <is>
          <t>Vui lòng điền đầy đủ thông tin bên trên để xem loại xe</t>
        </is>
      </c>
      <c r="D850" s="207" t="inlineStr">
        <is>
          <t>Please fill in all the information above to view available car types</t>
        </is>
      </c>
      <c r="E850" s="3" t="n"/>
      <c r="F850" s="3" t="n"/>
      <c r="G850" s="3">
        <f>IFERROR(__xludf.DUMMYFUNCTION("GOOGLETRANSLATE(C850,""vi"",""km"")"),"សូមបំពេញព័ត៌មានខាងលើដើម្បីមើលប្រភេទយានយន្ត។")</f>
        <v/>
      </c>
      <c r="H850" s="207" t="n"/>
      <c r="J850" s="3" t="inlineStr">
        <is>
          <t>សូមបំពេញព័ត៌មានខាងលើដើម្បីមើលប្រភេទយានយន្ត។</t>
        </is>
      </c>
      <c r="K850" s="217" t="inlineStr">
        <is>
          <t>សូមបំពេញព័ត៌មានខាងលើដើម្បីមើលប្រភេទយានយន្ត។</t>
        </is>
      </c>
      <c r="S850" s="163" t="n"/>
    </row>
    <row r="851" ht="15.75" customHeight="1" s="305">
      <c r="A851" s="217" t="inlineStr">
        <is>
          <t>CAR_RENTAL.PRICE_ORGINAL</t>
        </is>
      </c>
      <c r="B851" s="160" t="inlineStr">
        <is>
          <t>全程包车价（协议价）</t>
        </is>
      </c>
      <c r="C851" s="207" t="inlineStr">
        <is>
          <t>Giá nguyên chuyến theo thảo thuận</t>
        </is>
      </c>
      <c r="D851" s="207" t="inlineStr">
        <is>
          <t>Full Trip Price by Agreement</t>
        </is>
      </c>
      <c r="E851" s="3" t="n"/>
      <c r="F851" s="3" t="n"/>
      <c r="G851" s="3">
        <f>IFERROR(__xludf.DUMMYFUNCTION("GOOGLETRANSLATE(C851,""vi"",""km"")"),"តម្លៃដឹកជញ្ជូនពេញមួយឡានអាចចរចាបាន។")</f>
        <v/>
      </c>
      <c r="H851" s="207" t="n"/>
      <c r="J851" s="3" t="inlineStr">
        <is>
          <t>តម្លៃដឹកជញ្ជូនពេញមួយឡានអាចចរចាបាន។</t>
        </is>
      </c>
      <c r="K851" s="217" t="inlineStr">
        <is>
          <t>តម្លៃដឹកជញ្ជូនពេញមួយឡានអាចចរចាបាន។</t>
        </is>
      </c>
      <c r="S851" s="163" t="n"/>
    </row>
    <row r="852" ht="15.75" customHeight="1" s="305">
      <c r="A852" s="217" t="inlineStr">
        <is>
          <t>CAR_RENTAL.RECEIVER</t>
        </is>
      </c>
      <c r="B852" s="160" t="inlineStr">
        <is>
          <t>接收方</t>
        </is>
      </c>
      <c r="C852" s="207" t="inlineStr">
        <is>
          <t>Thu người nhận:</t>
        </is>
      </c>
      <c r="D852" s="207" t="inlineStr">
        <is>
          <t>Receiver:</t>
        </is>
      </c>
      <c r="E852" s="3" t="n"/>
      <c r="F852" s="3" t="n"/>
      <c r="G852" s="3">
        <f>IFERROR(__xludf.DUMMYFUNCTION("GOOGLETRANSLATE(C852,""vi"",""km"")"),"ប្រមូលពីអ្នកទទួល៖")</f>
        <v/>
      </c>
      <c r="H852" s="207" t="n"/>
      <c r="J852" s="3" t="inlineStr">
        <is>
          <t>ប្រមូលពីអ្នកទទួល៖</t>
        </is>
      </c>
      <c r="K852" s="217" t="inlineStr">
        <is>
          <t>ប្រមូលពីអ្នកទទួល៖</t>
        </is>
      </c>
      <c r="S852" s="163" t="n"/>
    </row>
    <row r="853" ht="15.75" customHeight="1" s="305">
      <c r="A853" s="217" t="inlineStr">
        <is>
          <t>CAR_RENTAL.TITLE</t>
        </is>
      </c>
      <c r="B853" s="160" t="inlineStr">
        <is>
          <t>汽车租赁</t>
        </is>
      </c>
      <c r="C853" s="207" t="inlineStr">
        <is>
          <t>Thuê xe</t>
        </is>
      </c>
      <c r="D853" s="207" t="inlineStr">
        <is>
          <t>Car Rental</t>
        </is>
      </c>
      <c r="E853" s="3" t="n"/>
      <c r="F853" s="3" t="n"/>
      <c r="G853" s="3">
        <f>IFERROR(__xludf.DUMMYFUNCTION("GOOGLETRANSLATE(C853,""vi"",""km"")"),"ជួលឡាន")</f>
        <v/>
      </c>
      <c r="H853" s="207" t="n"/>
      <c r="J853" s="3" t="inlineStr">
        <is>
          <t>ជួលឡាន</t>
        </is>
      </c>
      <c r="K853" s="217" t="inlineStr">
        <is>
          <t>ជួលឡាន</t>
        </is>
      </c>
      <c r="S853" s="163" t="n"/>
    </row>
    <row r="854" ht="15.75" customHeight="1" s="305">
      <c r="A854" s="217" t="inlineStr">
        <is>
          <t>CAR_RENTAL.TRANSPORT</t>
        </is>
      </c>
      <c r="B854" s="160" t="inlineStr">
        <is>
          <t>运输</t>
        </is>
      </c>
      <c r="C854" s="207" t="inlineStr">
        <is>
          <t>Vận tải</t>
        </is>
      </c>
      <c r="D854" s="207" t="inlineStr">
        <is>
          <t>Transport</t>
        </is>
      </c>
      <c r="E854" s="3" t="n"/>
      <c r="F854" s="3" t="n"/>
      <c r="G854" s="3">
        <f>IFERROR(__xludf.DUMMYFUNCTION("GOOGLETRANSLATE(C854,""vi"",""km"")"),"ការដឹកជញ្ជូន")</f>
        <v/>
      </c>
      <c r="H854" s="207" t="n"/>
      <c r="J854" s="3" t="inlineStr">
        <is>
          <t>ការដឹកជញ្ជូន</t>
        </is>
      </c>
      <c r="K854" s="217" t="inlineStr">
        <is>
          <t>ការដឹកជញ្ជូន</t>
        </is>
      </c>
      <c r="S854" s="163" t="n"/>
    </row>
    <row r="855" ht="15.75" customHeight="1" s="305">
      <c r="A855" s="217" t="inlineStr">
        <is>
          <t>CAR_RENTAL.TYPE</t>
        </is>
      </c>
      <c r="B855" s="160" t="inlineStr">
        <is>
          <t>车辆类型</t>
        </is>
      </c>
      <c r="C855" s="207" t="inlineStr">
        <is>
          <t>Loại xe</t>
        </is>
      </c>
      <c r="D855" s="207" t="inlineStr">
        <is>
          <t>Car Type</t>
        </is>
      </c>
      <c r="E855" s="3" t="n"/>
      <c r="F855" s="3" t="n"/>
      <c r="G855" s="3">
        <f>IFERROR(__xludf.DUMMYFUNCTION("GOOGLETRANSLATE(C855,""vi"",""km"")"),"ប្រភេទយានយន្ត")</f>
        <v/>
      </c>
      <c r="H855" s="207" t="n"/>
      <c r="J855" s="3" t="inlineStr">
        <is>
          <t>ប្រភេទយានយន្ត</t>
        </is>
      </c>
      <c r="K855" s="217" t="inlineStr">
        <is>
          <t>ប្រភេទយានយន្ត</t>
        </is>
      </c>
      <c r="S855" s="163" t="n"/>
    </row>
    <row r="856" ht="15.75" customHeight="1" s="305">
      <c r="A856" s="217" t="inlineStr">
        <is>
          <t>CAR_RENTAL.WEIGHT_UNIT</t>
        </is>
      </c>
      <c r="B856" s="160" t="inlineStr">
        <is>
          <t>公斤</t>
        </is>
      </c>
      <c r="C856" s="207" t="inlineStr">
        <is>
          <t>kg</t>
        </is>
      </c>
      <c r="D856" s="207" t="inlineStr">
        <is>
          <t>g</t>
        </is>
      </c>
      <c r="E856" s="3" t="n"/>
      <c r="F856" s="3" t="n"/>
      <c r="G856" s="3">
        <f>IFERROR(__xludf.DUMMYFUNCTION("GOOGLETRANSLATE(C856,""vi"",""km"")"),"គីឡូក្រាម")</f>
        <v/>
      </c>
      <c r="H856" s="207" t="n"/>
      <c r="J856" s="3" t="inlineStr">
        <is>
          <t>គីឡូក្រាម</t>
        </is>
      </c>
      <c r="K856" s="217" t="inlineStr">
        <is>
          <t>គីឡូក្រាម</t>
        </is>
      </c>
      <c r="S856" s="163" t="n"/>
    </row>
    <row r="857" ht="15.75" customHeight="1" s="305">
      <c r="A857" s="217" t="inlineStr">
        <is>
          <t>CAR_RENTAL_STATUS.CONFIRMED</t>
        </is>
      </c>
      <c r="B857" s="160" t="inlineStr">
        <is>
          <t>待接收</t>
        </is>
      </c>
      <c r="C857" s="207" t="inlineStr">
        <is>
          <t>Chờ tiếp nhận</t>
        </is>
      </c>
      <c r="D857" s="207" t="inlineStr">
        <is>
          <t>Pending acceptance</t>
        </is>
      </c>
      <c r="E857" s="3" t="n"/>
      <c r="F857" s="3" t="n"/>
      <c r="G857" s="3">
        <f>IFERROR(__xludf.DUMMYFUNCTION("GOOGLETRANSLATE(C857,""vi"",""km"")"),"កំពុងរង់ចាំបង្កាន់ដៃ")</f>
        <v/>
      </c>
      <c r="H857" s="207" t="n"/>
      <c r="J857" s="3" t="inlineStr">
        <is>
          <t>កំពុងរង់ចាំបុងបញ្ញើ</t>
        </is>
      </c>
      <c r="K857" s="217" t="inlineStr">
        <is>
          <t>កំពុងរង់ចាំបុងបញ្ញើ</t>
        </is>
      </c>
      <c r="S857" s="163" t="n"/>
    </row>
    <row r="858" ht="15.75" customHeight="1" s="305">
      <c r="A858" s="217" t="inlineStr">
        <is>
          <t>CAR_RENTAL_STATUS.SHIPPED</t>
        </is>
      </c>
      <c r="B858" s="160" t="inlineStr">
        <is>
          <t>交货成功</t>
        </is>
      </c>
      <c r="C858" s="207" t="inlineStr">
        <is>
          <t>Giao thành công</t>
        </is>
      </c>
      <c r="D858" s="207" t="inlineStr">
        <is>
          <t>Delivered</t>
        </is>
      </c>
      <c r="E858" s="3" t="n"/>
      <c r="F858" s="3" t="n"/>
      <c r="G858" s="3">
        <f>IFERROR(__xludf.DUMMYFUNCTION("GOOGLETRANSLATE(C858,""vi"",""km"")"),"ការដឹកជញ្ជូនទទួលបានជោគជ័យ")</f>
        <v/>
      </c>
      <c r="H858" s="207" t="n"/>
      <c r="J858" s="3" t="inlineStr">
        <is>
          <t>ដឹកជញ្ជូនជោគជ័យ</t>
        </is>
      </c>
      <c r="K858" s="217" t="inlineStr">
        <is>
          <t>ដឹកជញ្ជូនជោគជ័យ</t>
        </is>
      </c>
      <c r="S858" s="163" t="n"/>
    </row>
    <row r="859" ht="15.75" customHeight="1" s="305">
      <c r="A859" s="217" t="inlineStr">
        <is>
          <t>CAR_RENTAL_STATUS.SHIPPING</t>
        </is>
      </c>
      <c r="B859" s="160" t="inlineStr">
        <is>
          <t>运货中</t>
        </is>
      </c>
      <c r="C859" s="207" t="inlineStr">
        <is>
          <t>Đang giao hàng</t>
        </is>
      </c>
      <c r="D859" s="207" t="inlineStr">
        <is>
          <t>Delivering</t>
        </is>
      </c>
      <c r="E859" s="3" t="n"/>
      <c r="F859" s="3" t="n"/>
      <c r="G859" s="3">
        <f>IFERROR(__xludf.DUMMYFUNCTION("GOOGLETRANSLATE(C859,""vi"",""km"")"),"ការដឹកជញ្ជូនកំពុងដំណើរការ")</f>
        <v/>
      </c>
      <c r="H859" s="207" t="n"/>
      <c r="J859" s="3" t="inlineStr">
        <is>
          <t>កំពុងដឹកចែកអីវ៉ាន់</t>
        </is>
      </c>
      <c r="K859" s="217" t="inlineStr">
        <is>
          <t>កំពុងដឹកចែកអីវ៉ាន់</t>
        </is>
      </c>
      <c r="S859" s="163" t="n"/>
    </row>
    <row r="860" ht="15.75" customHeight="1" s="305">
      <c r="A860" s="217" t="inlineStr">
        <is>
          <t>CAR_RENTAL_STATUS.WAITING_TO_RECEIVE</t>
        </is>
      </c>
      <c r="B860" s="160" t="inlineStr">
        <is>
          <t>已接收</t>
        </is>
      </c>
      <c r="C860" s="207" t="inlineStr">
        <is>
          <t>Đã tiếp nhận</t>
        </is>
      </c>
      <c r="D860" s="207" t="inlineStr">
        <is>
          <t>Accepted</t>
        </is>
      </c>
      <c r="E860" s="3" t="n"/>
      <c r="F860" s="3" t="n"/>
      <c r="G860" s="3">
        <f>IFERROR(__xludf.DUMMYFUNCTION("GOOGLETRANSLATE(C860,""vi"",""km"")"),"បានទទួល")</f>
        <v/>
      </c>
      <c r="H860" s="207" t="n"/>
      <c r="J860" s="3" t="inlineStr">
        <is>
          <t>បានទទួល</t>
        </is>
      </c>
      <c r="K860" s="217" t="inlineStr">
        <is>
          <t>បានទទួល</t>
        </is>
      </c>
      <c r="S860" s="163" t="n"/>
    </row>
    <row r="861" ht="15.75" customHeight="1" s="305">
      <c r="A861" s="217" t="inlineStr">
        <is>
          <t>COD_PRICE.TRANSACTION_ID</t>
        </is>
      </c>
      <c r="B861" s="160" t="inlineStr">
        <is>
          <t>交易编号</t>
        </is>
      </c>
      <c r="C861" s="207" t="inlineStr">
        <is>
          <t>Mã giao dịch</t>
        </is>
      </c>
      <c r="D861" s="207" t="inlineStr">
        <is>
          <t>Transaction ID</t>
        </is>
      </c>
      <c r="E861" s="3" t="n"/>
      <c r="F861" s="3" t="n"/>
      <c r="G861" s="3">
        <f>IFERROR(__xludf.DUMMYFUNCTION("GOOGLETRANSLATE(C861,""vi"",""km"")"),"លេខកូដប្រតិបត្តិការ")</f>
        <v/>
      </c>
      <c r="H861" s="207" t="n"/>
      <c r="J861" s="3" t="inlineStr">
        <is>
          <t>លេខកូដប្រតិបត្តិការ</t>
        </is>
      </c>
      <c r="K861" s="217" t="inlineStr">
        <is>
          <t>លេខកូដប្រតិបត្តិការ</t>
        </is>
      </c>
      <c r="S861" s="163" t="n"/>
    </row>
    <row r="862" ht="15.75" customHeight="1" s="305">
      <c r="A862" s="217" t="inlineStr">
        <is>
          <t>COMMON.AN_ERROR_OCCURRED</t>
        </is>
      </c>
      <c r="B862" s="160" t="inlineStr">
        <is>
          <t>发生错误，请重试</t>
        </is>
      </c>
      <c r="C862" s="207" t="inlineStr">
        <is>
          <t>Có lỗi xảy ra xin vui lòng thử lại</t>
        </is>
      </c>
      <c r="D862" s="207" t="inlineStr">
        <is>
          <t>An error occurred, please try again</t>
        </is>
      </c>
      <c r="E862" s="3" t="n"/>
      <c r="F862" s="3" t="n"/>
      <c r="G862" s="3">
        <f>IFERROR(__xludf.DUMMYFUNCTION("GOOGLETRANSLATE(C862,""vi"",""km"")"),"មានកំហុសកើតឡើង សូមព្យាយាមម្តងទៀត។")</f>
        <v/>
      </c>
      <c r="H862" s="207" t="n"/>
      <c r="J862" s="3" t="inlineStr">
        <is>
          <t>មានកំហុសកើតឡើង សូមព្យាយាមម្តងទៀត។</t>
        </is>
      </c>
      <c r="K862" s="217" t="inlineStr">
        <is>
          <t>មានកំហុសកើតឡើង សូមព្យាយាមម្តងទៀត។</t>
        </is>
      </c>
      <c r="S862" s="163" t="n"/>
    </row>
    <row r="863" ht="15.75" customHeight="1" s="305">
      <c r="A863" s="217" t="inlineStr">
        <is>
          <t>COMMON.MONEY_UNIT</t>
        </is>
      </c>
      <c r="B863" s="160" t="inlineStr">
        <is>
          <t>Kip</t>
        </is>
      </c>
      <c r="C863" s="207" t="inlineStr">
        <is>
          <t>Kip</t>
        </is>
      </c>
      <c r="D863" s="207" t="inlineStr">
        <is>
          <t>Kip</t>
        </is>
      </c>
      <c r="E863" s="3" t="n"/>
      <c r="F863" s="3" t="n"/>
      <c r="G863" s="3">
        <f>IFERROR(__xludf.DUMMYFUNCTION("GOOGLETRANSLATE(C863,""vi"",""km"")"),"គីប")</f>
        <v/>
      </c>
      <c r="H863" s="207" t="n"/>
      <c r="J863" s="3" t="inlineStr">
        <is>
          <t>គីប</t>
        </is>
      </c>
      <c r="K863" s="217" t="inlineStr">
        <is>
          <t>គីប</t>
        </is>
      </c>
      <c r="S863" s="163" t="n"/>
    </row>
    <row r="864" ht="15.75" customHeight="1" s="305">
      <c r="A864" s="217" t="inlineStr">
        <is>
          <t>CREATE_ORDER.POSTPAID_SENDER</t>
        </is>
      </c>
      <c r="B864" s="160" t="inlineStr">
        <is>
          <t>寄件方后付</t>
        </is>
      </c>
      <c r="C864" s="207" t="inlineStr">
        <is>
          <t>Người gửi trả sau</t>
        </is>
      </c>
      <c r="D864" s="207" t="inlineStr">
        <is>
          <t>Sender pays later</t>
        </is>
      </c>
      <c r="E864" s="3" t="n"/>
      <c r="F864" s="3" t="n"/>
      <c r="G864" s="3">
        <f>IFERROR(__xludf.DUMMYFUNCTION("GOOGLETRANSLATE(C864,""vi"",""km"")"),"អ្នកផ្ញើបង់ប្រាក់ក្រោយ")</f>
        <v/>
      </c>
      <c r="H864" s="207" t="n"/>
      <c r="J864" s="3" t="inlineStr">
        <is>
          <t>អ្នកផ្ញើបង់ប្រាក់ក្រោយ</t>
        </is>
      </c>
      <c r="K864" s="217" t="inlineStr">
        <is>
          <t>អ្នកផ្ញើបង់ប្រាក់ក្រោយ</t>
        </is>
      </c>
      <c r="S864" s="163" t="n"/>
    </row>
    <row r="865" ht="15.75" customHeight="1" s="305">
      <c r="A865" s="217" t="inlineStr">
        <is>
          <t>ESTIMATE_FEE.INPUT_SIZE</t>
        </is>
      </c>
      <c r="B865" s="160" t="inlineStr">
        <is>
          <t>请输入尺寸</t>
        </is>
      </c>
      <c r="C865" s="207" t="inlineStr">
        <is>
          <t>Vui lòng nhập kích thước</t>
        </is>
      </c>
      <c r="D865" s="207" t="inlineStr">
        <is>
          <t>Please enter dimensions</t>
        </is>
      </c>
      <c r="E865" s="3" t="n"/>
      <c r="F865" s="3" t="n"/>
      <c r="G865" s="3">
        <f>IFERROR(__xludf.DUMMYFUNCTION("GOOGLETRANSLATE(C865,""vi"",""km"")"),"សូមបញ្ចូលវិមាត្រ។")</f>
        <v/>
      </c>
      <c r="H865" s="207" t="n"/>
      <c r="J865" s="3" t="inlineStr">
        <is>
          <t>សូមបញ្ចូលវិមាត្រ។</t>
        </is>
      </c>
      <c r="K865" s="217" t="inlineStr">
        <is>
          <t>សូមបញ្ចូលវិមាត្រ។</t>
        </is>
      </c>
      <c r="S865" s="163" t="n"/>
    </row>
    <row r="866" ht="15.75" customHeight="1" s="305">
      <c r="A866" s="217" t="inlineStr">
        <is>
          <t>ESTIMATE_FEE.LENGTH_WIDTH_HEIGHT</t>
        </is>
      </c>
      <c r="B866" s="160" t="inlineStr">
        <is>
          <t>长 x 宽 x 高</t>
        </is>
      </c>
      <c r="C866" s="207" t="inlineStr">
        <is>
          <t>Dài + Rộng + Cao</t>
        </is>
      </c>
      <c r="D866" s="207" t="inlineStr">
        <is>
          <t>Length x Width x Height</t>
        </is>
      </c>
      <c r="E866" s="3" t="n"/>
      <c r="F866" s="3" t="n"/>
      <c r="G866" s="3">
        <f>IFERROR(__xludf.DUMMYFUNCTION("GOOGLETRANSLATE(C866,""vi"",""km"")"),"បណ្តោយ + ទទឹង + កម្ពស់")</f>
        <v/>
      </c>
      <c r="H866" s="207" t="n"/>
      <c r="J866" s="3" t="inlineStr">
        <is>
          <t>បណ្តោយ + ទទឹង + កម្ពស់</t>
        </is>
      </c>
      <c r="K866" s="217" t="inlineStr">
        <is>
          <t>បណ្តោយ + ទទឹង + កម្ពស់</t>
        </is>
      </c>
      <c r="S866" s="163" t="n"/>
    </row>
    <row r="867" ht="15.75" customHeight="1" s="305">
      <c r="A867" s="217" t="inlineStr">
        <is>
          <t>ESTIMATE_FEE.SIZE_INTEGER</t>
        </is>
      </c>
      <c r="B867" s="160" t="inlineStr">
        <is>
          <t>必需为正整数（大于 0）</t>
        </is>
      </c>
      <c r="C867" s="207" t="inlineStr">
        <is>
          <t>Nhập số nguyên dương &gt; 0</t>
        </is>
      </c>
      <c r="D867" s="207" t="inlineStr">
        <is>
          <t>Positive integer (&gt; 0) required</t>
        </is>
      </c>
      <c r="E867" s="3" t="n"/>
      <c r="F867" s="3" t="n"/>
      <c r="G867" s="3">
        <f>IFERROR(__xludf.DUMMYFUNCTION("GOOGLETRANSLATE(C867,""vi"",""km"")"),"បញ្ចូលចំនួនគត់វិជ្ជមាន &gt; 0")</f>
        <v/>
      </c>
      <c r="H867" s="207" t="n"/>
      <c r="J867" s="3" t="inlineStr">
        <is>
          <t>បញ្ចូលចំនួនគត់វិជ្ជមាន &gt; 0</t>
        </is>
      </c>
      <c r="K867" s="217" t="inlineStr">
        <is>
          <t>បញ្ចូលចំនួនគត់វិជ្ជមាន &gt; 0</t>
        </is>
      </c>
      <c r="S867" s="163" t="n"/>
    </row>
    <row r="868" ht="15.75" customHeight="1" s="305">
      <c r="A868" s="217" t="inlineStr">
        <is>
          <t>MANAGE_ORDER.ALL_TIME</t>
        </is>
      </c>
      <c r="B868" s="160" t="inlineStr">
        <is>
          <t>全部</t>
        </is>
      </c>
      <c r="C868" s="207" t="inlineStr">
        <is>
          <t>Tất cả</t>
        </is>
      </c>
      <c r="D868" s="213" t="inlineStr">
        <is>
          <t>All</t>
        </is>
      </c>
      <c r="E868" s="3" t="n"/>
      <c r="F868" s="3" t="n"/>
      <c r="G868" s="3">
        <f>IFERROR(__xludf.DUMMYFUNCTION("GOOGLETRANSLATE(C868,""vi"",""km"")"),"ទាំងអស់")</f>
        <v/>
      </c>
      <c r="H868" s="213" t="n"/>
      <c r="J868" s="3" t="inlineStr">
        <is>
          <t>ទាំងអស់</t>
        </is>
      </c>
      <c r="K868" s="217" t="inlineStr">
        <is>
          <t>ទាំងអស់</t>
        </is>
      </c>
      <c r="S868" s="163" t="n"/>
    </row>
    <row r="869" ht="15.75" customHeight="1" s="305">
      <c r="A869" s="217" t="inlineStr">
        <is>
          <t>SETTING_SCREEN.VERSION</t>
        </is>
      </c>
      <c r="B869" s="160" t="inlineStr">
        <is>
          <t>版本</t>
        </is>
      </c>
      <c r="C869" s="207" t="inlineStr">
        <is>
          <t>Phiên bản:</t>
        </is>
      </c>
      <c r="D869" s="207" t="inlineStr">
        <is>
          <t>Version:</t>
        </is>
      </c>
      <c r="E869" s="3" t="n"/>
      <c r="F869" s="3" t="n"/>
      <c r="G869" s="3">
        <f>IFERROR(__xludf.DUMMYFUNCTION("GOOGLETRANSLATE(C869,""vi"",""km"")"),"កំណែ៖")</f>
        <v/>
      </c>
      <c r="H869" s="207" t="n"/>
      <c r="J869" s="3" t="inlineStr">
        <is>
          <t>កំណែ៖</t>
        </is>
      </c>
      <c r="K869" s="217" t="inlineStr">
        <is>
          <t>កំណែ៖</t>
        </is>
      </c>
      <c r="S869" s="163" t="n"/>
    </row>
    <row r="870" ht="15.75" customHeight="1" s="305">
      <c r="A870" s="217" t="inlineStr">
        <is>
          <t>VALIDATE_ORDER.INPUT_SIZE</t>
        </is>
      </c>
      <c r="B870" s="160" t="inlineStr">
        <is>
          <t>请输入尺寸</t>
        </is>
      </c>
      <c r="C870" s="215" t="inlineStr">
        <is>
          <t>Vui lòng nhập kích thước</t>
        </is>
      </c>
      <c r="D870" s="215" t="inlineStr">
        <is>
          <t>Please enter dimensions</t>
        </is>
      </c>
      <c r="E870" s="3" t="n"/>
      <c r="F870" s="3" t="n"/>
      <c r="G870" s="3">
        <f>IFERROR(__xludf.DUMMYFUNCTION("GOOGLETRANSLATE(C870,""vi"",""km"")"),"សូមបញ្ចូលវិមាត្រ។")</f>
        <v/>
      </c>
      <c r="H870" s="215" t="n"/>
      <c r="J870" s="3" t="inlineStr">
        <is>
          <t>សូមបញ្ចូលវិមាត្រ។</t>
        </is>
      </c>
      <c r="K870" s="217" t="inlineStr">
        <is>
          <t>សូមបញ្ចូលវិមាត្រ។</t>
        </is>
      </c>
      <c r="S870" s="163" t="n"/>
    </row>
    <row r="871" ht="15.75" customHeight="1" s="305">
      <c r="A871" s="217" t="inlineStr">
        <is>
          <t>VALIDATE_ORDER.SIZE_INTEGER</t>
        </is>
      </c>
      <c r="B871" s="160" t="inlineStr">
        <is>
          <t>必需为正整数（大于 0）</t>
        </is>
      </c>
      <c r="C871" s="215" t="inlineStr">
        <is>
          <t>Nhập số nguyên dương &gt; 0</t>
        </is>
      </c>
      <c r="D871" s="215" t="inlineStr">
        <is>
          <t>Positive integer (&gt; 0) required</t>
        </is>
      </c>
      <c r="E871" s="3" t="n"/>
      <c r="F871" s="3" t="n"/>
      <c r="G871" s="3">
        <f>IFERROR(__xludf.DUMMYFUNCTION("GOOGLETRANSLATE(C871,""vi"",""km"")"),"បញ្ចូលចំនួនគត់វិជ្ជមាន &gt; 0")</f>
        <v/>
      </c>
      <c r="H871" s="215" t="n"/>
      <c r="J871" s="3" t="inlineStr">
        <is>
          <t>បញ្ចូលចំនួនគត់វិជ្ជមាន &gt; 0</t>
        </is>
      </c>
      <c r="K871" s="217" t="inlineStr">
        <is>
          <t>បញ្ចូលចំនួនគត់វិជ្ជមាន &gt; 0</t>
        </is>
      </c>
      <c r="S871" s="163" t="n"/>
    </row>
    <row r="872" ht="15.75" customHeight="1" s="305">
      <c r="A872" s="217" t="inlineStr">
        <is>
          <t>COMMON.CONFIRM</t>
        </is>
      </c>
      <c r="B872" s="217" t="inlineStr">
        <is>
          <t>确认</t>
        </is>
      </c>
      <c r="C872" s="215" t="inlineStr">
        <is>
          <t>Xác nhận</t>
        </is>
      </c>
      <c r="D872" s="215" t="inlineStr">
        <is>
          <t>Confirm</t>
        </is>
      </c>
      <c r="E872" s="3" t="n"/>
      <c r="F872" s="3" t="n"/>
      <c r="G872" s="3">
        <f>IFERROR(__xludf.DUMMYFUNCTION("GOOGLETRANSLATE(C872,""vi"",""km"")"),"បញ្ជាក់")</f>
        <v/>
      </c>
      <c r="H872" s="215" t="n"/>
      <c r="J872" s="3" t="inlineStr">
        <is>
          <t>បញ្ជាក់</t>
        </is>
      </c>
      <c r="K872" s="217" t="inlineStr">
        <is>
          <t>បញ្ជាក់</t>
        </is>
      </c>
      <c r="S872" s="163" t="n"/>
    </row>
    <row r="873" ht="15.75" customHeight="1" s="305">
      <c r="A873" s="217" t="inlineStr">
        <is>
          <t>COMMON.G_WEIGHT_UNIT</t>
        </is>
      </c>
      <c r="B873" s="217" t="inlineStr">
        <is>
          <t>克</t>
        </is>
      </c>
      <c r="C873" s="215" t="inlineStr">
        <is>
          <t>g</t>
        </is>
      </c>
      <c r="D873" s="215" t="inlineStr">
        <is>
          <t>g</t>
        </is>
      </c>
      <c r="E873" s="3" t="n"/>
      <c r="F873" s="3" t="n"/>
      <c r="G873" s="3">
        <f>IFERROR(__xludf.DUMMYFUNCTION("GOOGLETRANSLATE(C873,""vi"",""km"")"),"អង្ករ")</f>
        <v/>
      </c>
      <c r="H873" s="215" t="n"/>
      <c r="J873" s="3" t="inlineStr">
        <is>
          <t>អង្ករ</t>
        </is>
      </c>
      <c r="K873" s="217" t="inlineStr">
        <is>
          <t>អង្ករ</t>
        </is>
      </c>
      <c r="S873" s="163" t="n"/>
    </row>
    <row r="874" ht="15.75" customHeight="1" s="305">
      <c r="A874" s="217" t="inlineStr">
        <is>
          <t>COMMON.KG_WEIGHT_UNIT</t>
        </is>
      </c>
      <c r="B874" s="217" t="inlineStr">
        <is>
          <t>公斤</t>
        </is>
      </c>
      <c r="C874" s="215" t="inlineStr">
        <is>
          <t>kg</t>
        </is>
      </c>
      <c r="D874" s="215" t="inlineStr">
        <is>
          <t>kg</t>
        </is>
      </c>
      <c r="E874" s="3" t="n"/>
      <c r="F874" s="3" t="n"/>
      <c r="G874" s="3">
        <f>IFERROR(__xludf.DUMMYFUNCTION("GOOGLETRANSLATE(C874,""vi"",""km"")"),"គីឡូក្រាម")</f>
        <v/>
      </c>
      <c r="H874" s="215" t="n"/>
      <c r="J874" s="3" t="inlineStr">
        <is>
          <t>គីឡូក្រាម</t>
        </is>
      </c>
      <c r="K874" s="217" t="inlineStr">
        <is>
          <t>គីឡូក្រាម</t>
        </is>
      </c>
      <c r="S874" s="163" t="n"/>
    </row>
    <row r="875" ht="15.75" customHeight="1" s="305">
      <c r="A875" s="217" t="inlineStr">
        <is>
          <t>COMMON.NOTIFICATION_TITLE</t>
        </is>
      </c>
      <c r="B875" s="217" t="inlineStr">
        <is>
          <t>通知</t>
        </is>
      </c>
      <c r="C875" s="215" t="inlineStr">
        <is>
          <t>Thông báo</t>
        </is>
      </c>
      <c r="D875" s="215" t="inlineStr">
        <is>
          <t>Notifications</t>
        </is>
      </c>
      <c r="E875" s="3" t="n"/>
      <c r="F875" s="3" t="n"/>
      <c r="G875" s="3">
        <f>IFERROR(__xludf.DUMMYFUNCTION("GOOGLETRANSLATE(C875,""vi"",""km"")"),"ការជូនដំណឹង")</f>
        <v/>
      </c>
      <c r="H875" s="215" t="n"/>
      <c r="J875" s="3" t="inlineStr">
        <is>
          <t>ការជូនដំណឹង</t>
        </is>
      </c>
      <c r="K875" s="217" t="inlineStr">
        <is>
          <t>ការជូនដំណឹង</t>
        </is>
      </c>
      <c r="S875" s="163" t="n"/>
    </row>
    <row r="876" ht="15.75" customHeight="1" s="305">
      <c r="A876" s="217" t="inlineStr">
        <is>
          <t>COD_PRICE.ACCOUNT_HOST_REQUIRED</t>
        </is>
      </c>
      <c r="B876" s="217" t="inlineStr">
        <is>
          <t>請填寫帳戶持有人姓名</t>
        </is>
      </c>
      <c r="C876" s="215" t="inlineStr">
        <is>
          <t>Chủ tài khoản không được để trống</t>
        </is>
      </c>
      <c r="D876" s="215" t="inlineStr">
        <is>
          <t>Account holder name is required</t>
        </is>
      </c>
      <c r="E876" s="3" t="n"/>
      <c r="F876" s="3" t="n"/>
      <c r="G876" s="3">
        <f>IFERROR(__xludf.DUMMYFUNCTION("GOOGLETRANSLATE(C876,""vi"",""km"")"),"ឈ្មោះ​ម្ចាស់​គណនី​មិន​អាច​ទុក​ឲ្យ​ទទេ​បាន​ទេ។")</f>
        <v/>
      </c>
      <c r="H876" s="215" t="n"/>
      <c r="J876" s="3" t="inlineStr">
        <is>
          <t>ឈ្មោះម្ចាស់គណនីមិនអាចទុកឲ្យទទេបានទេ។</t>
        </is>
      </c>
      <c r="K876" s="217" t="inlineStr">
        <is>
          <t>ឈ្មោះម្ចាស់គណនីមិនអាចទុកឲ្យទទេបានទេ។</t>
        </is>
      </c>
      <c r="S876" s="163" t="n"/>
    </row>
    <row r="877" ht="15.75" customHeight="1" s="305">
      <c r="A877" s="217" t="inlineStr">
        <is>
          <t>COD_PRICE.ACCOUNT_NUMBER_REQUIRED</t>
        </is>
      </c>
      <c r="B877" s="217" t="inlineStr">
        <is>
          <t>請填寫帳戶號碼</t>
        </is>
      </c>
      <c r="C877" s="215" t="inlineStr">
        <is>
          <t>Số tài khoản không được để trống</t>
        </is>
      </c>
      <c r="D877" s="215" t="inlineStr">
        <is>
          <t>Account number is required</t>
        </is>
      </c>
      <c r="E877" s="3" t="n"/>
      <c r="F877" s="3" t="n"/>
      <c r="G877" s="3">
        <f>IFERROR(__xludf.DUMMYFUNCTION("GOOGLETRANSLATE(C877,""vi"",""km"")"),"លេខគណនីមិនត្រូវទុកចោលទទេឡើយ។")</f>
        <v/>
      </c>
      <c r="H877" s="215" t="n"/>
      <c r="J877" s="3" t="inlineStr">
        <is>
          <t>លេខគណនីមិនត្រូវទុកចោលទទេឡើយ។</t>
        </is>
      </c>
      <c r="K877" s="217" t="inlineStr">
        <is>
          <t>លេខគណនីមិនត្រូវទុកចោលទទេឡើយ។</t>
        </is>
      </c>
      <c r="S877" s="163" t="n"/>
    </row>
    <row r="878" ht="15.75" customHeight="1" s="305">
      <c r="A878" s="217" t="inlineStr">
        <is>
          <t>COD_PRICE.BANK_NAME_REQUIRED</t>
        </is>
      </c>
      <c r="B878" s="217" t="inlineStr">
        <is>
          <t>請填寫銀行名稱</t>
        </is>
      </c>
      <c r="C878" s="215" t="inlineStr">
        <is>
          <t>Ngân hàng không được để trống</t>
        </is>
      </c>
      <c r="D878" s="215" t="inlineStr">
        <is>
          <t>Bank name is required</t>
        </is>
      </c>
      <c r="E878" s="3" t="n"/>
      <c r="F878" s="3" t="n"/>
      <c r="G878" s="3">
        <f>IFERROR(__xludf.DUMMYFUNCTION("GOOGLETRANSLATE(C878,""vi"",""km"")"),"ធនាគារមិនត្រូវទុកចោលទទេឡើយ។")</f>
        <v/>
      </c>
      <c r="H878" s="215" t="n"/>
      <c r="J878" s="3" t="inlineStr">
        <is>
          <t>ធនាគារមិនត្រូវទុកចោលទទេឡើយ។</t>
        </is>
      </c>
      <c r="K878" s="217" t="inlineStr">
        <is>
          <t>ធនាគារមិនត្រូវទុកចោលទទេឡើយ។</t>
        </is>
      </c>
      <c r="S878" s="163" t="n"/>
    </row>
    <row r="879" ht="15.75" customHeight="1" s="305">
      <c r="A879" s="217" t="inlineStr">
        <is>
          <t>COD_PRICE.COD</t>
        </is>
      </c>
      <c r="B879" s="217" t="inlineStr">
        <is>
          <t>COD</t>
        </is>
      </c>
      <c r="C879" s="215" t="inlineStr">
        <is>
          <t>COD</t>
        </is>
      </c>
      <c r="D879" s="215" t="inlineStr">
        <is>
          <t>COD</t>
        </is>
      </c>
      <c r="E879" s="3" t="n"/>
      <c r="F879" s="3" t="n"/>
      <c r="G879" s="3">
        <f>IFERROR(__xludf.DUMMYFUNCTION("GOOGLETRANSLATE(C879,""vi"",""km"")"),"ប្រតិបត្តិការ​ទូទាត់​ថ្លៃ​សេវា​ (COD)")</f>
        <v/>
      </c>
      <c r="H879" s="215" t="n"/>
      <c r="J879" s="3" t="inlineStr">
        <is>
          <t>ប្រតិបត្តិការទូទាត់ថ្លៃសេវា (COD)</t>
        </is>
      </c>
      <c r="K879" s="217" t="inlineStr">
        <is>
          <t>ប្រតិបត្តិការទូទាត់ថ្លៃសេវា (COD)</t>
        </is>
      </c>
      <c r="S879" s="163" t="n"/>
    </row>
    <row r="880" ht="15.75" customHeight="1" s="305">
      <c r="A880" s="217" t="inlineStr">
        <is>
          <t>COD_PRICE.COD_AMOUNT</t>
        </is>
      </c>
      <c r="B880" s="217" t="inlineStr">
        <is>
          <t>貨到付款金額</t>
        </is>
      </c>
      <c r="C880" s="215" t="inlineStr">
        <is>
          <t>Tiền COD</t>
        </is>
      </c>
      <c r="D880" s="215" t="inlineStr">
        <is>
          <t>COD Amount</t>
        </is>
      </c>
      <c r="E880" s="3" t="n"/>
      <c r="F880" s="3" t="n"/>
      <c r="G880" s="3">
        <f>IFERROR(__xludf.DUMMYFUNCTION("GOOGLETRANSLATE(C880,""vi"",""km"")"),"បង់ប្រាក់ពេលទទួលទំនិញ (COD)")</f>
        <v/>
      </c>
      <c r="H880" s="215" t="n"/>
      <c r="J880" s="3" t="inlineStr">
        <is>
          <t>ប្រាក់ COD</t>
        </is>
      </c>
      <c r="K880" s="217" t="inlineStr">
        <is>
          <t>ប្រាក់ COD</t>
        </is>
      </c>
      <c r="S880" s="163" t="n"/>
    </row>
    <row r="881" ht="15.75" customHeight="1" s="305">
      <c r="A881" s="217" t="inlineStr">
        <is>
          <t>COD_PRICE.COD_PENDING_PAYMENT_AMOUNT</t>
        </is>
      </c>
      <c r="B881" s="217" t="inlineStr">
        <is>
          <t>待支付的貨到付款金額</t>
        </is>
      </c>
      <c r="C881" s="215" t="inlineStr">
        <is>
          <t>Tiền COD chờ thanh toán</t>
        </is>
      </c>
      <c r="D881" s="215" t="inlineStr">
        <is>
          <t>Pending COD Payment</t>
        </is>
      </c>
      <c r="E881" s="3" t="n"/>
      <c r="F881" s="3" t="n"/>
      <c r="G881" s="3">
        <f>IFERROR(__xludf.DUMMYFUNCTION("GOOGLETRANSLATE(C881,""vi"",""km"")"),"ការទូទាត់ប្រាក់ពេលទទួលទំនិញ (COD) ដែលកំពុងរង់ចាំ")</f>
        <v/>
      </c>
      <c r="H881" s="215" t="n"/>
      <c r="J881" s="3" t="inlineStr">
        <is>
          <t>ការទូទាត់ប្រាក់ពេលទទួលទំនិញ (COD) ដែលកំពុងរង់ចាំ</t>
        </is>
      </c>
      <c r="K881" s="217" t="inlineStr">
        <is>
          <t>ការទូទាត់ប្រាក់ពេលទទួលទំនិញ (COD) ដែលកំពុងរង់ចាំ</t>
        </is>
      </c>
      <c r="S881" s="163" t="n"/>
    </row>
    <row r="882" ht="15.75" customHeight="1" s="305">
      <c r="A882" s="217" t="inlineStr">
        <is>
          <t>COD_PRICE.COD_RECONCILED_AMOUNT</t>
        </is>
      </c>
      <c r="B882" s="217" t="inlineStr">
        <is>
          <t>已對帳的貨到付款金額</t>
        </is>
      </c>
      <c r="C882" s="215" t="inlineStr">
        <is>
          <t>Tiền COD đã đối soát</t>
        </is>
      </c>
      <c r="D882" s="215" t="inlineStr">
        <is>
          <t>Reconciled COD Amount</t>
        </is>
      </c>
      <c r="E882" s="3" t="n"/>
      <c r="F882" s="3" t="n"/>
      <c r="G882" s="3">
        <f>IFERROR(__xludf.DUMMYFUNCTION("GOOGLETRANSLATE(C882,""vi"",""km"")"),"ការទូទាត់ប្រាក់​ពេល​ទទួល​បាន​ទំនិញ (COD) ត្រូវ​បាន​ផ្សះផ្សា​ហើយ។")</f>
        <v/>
      </c>
      <c r="H882" s="215" t="n"/>
      <c r="J882" s="3" t="inlineStr">
        <is>
          <t>ការទូទាត់ប្រាក់ពេលទទួលបានទំនិញ (COD) ត្រូវបានផ្សះផ្សាហើយ។</t>
        </is>
      </c>
      <c r="K882" s="217" t="inlineStr">
        <is>
          <t>ការទូទាត់ប្រាក់ពេលទទួលបានទំនិញ (COD) ត្រូវបានផ្សះផ្សាហើយ។</t>
        </is>
      </c>
      <c r="S882" s="163" t="n"/>
    </row>
    <row r="883" ht="15.75" customHeight="1" s="305">
      <c r="A883" s="217" t="inlineStr">
        <is>
          <t>COD_PRICE.COD_SUMMARY_TOOLTIP</t>
        </is>
      </c>
      <c r="B883" s="217" t="inlineStr">
        <is>
          <t>已對帳 COD 款項：指已成功送達並完成對帳的 COD 總金額</t>
        </is>
      </c>
      <c r="C883" s="215" t="inlineStr">
        <is>
          <t>Tiền COD đã đối soát: Là tổng số tiền COD của các đơn hàng đã được đối soát thành công.</t>
        </is>
      </c>
      <c r="D883" s="215" t="inlineStr">
        <is>
          <t>Reconciled COD payments: Total successfully reconciled COD amount.</t>
        </is>
      </c>
      <c r="E883" s="3" t="n"/>
      <c r="F883" s="3" t="n"/>
      <c r="G883" s="3">
        <f>IFERROR(__xludf.DUMMYFUNCTION("GOOGLETRANSLATE(C883,""vi"",""km"")"),"ចំនួនទឹកប្រាក់ COD ដែលបានផ្សះផ្សា៖ នេះគឺជាចំនួនទឹកប្រាក់ COD សរុបសម្រាប់ការបញ្ជាទិញដែលត្រូវបានផ្សះផ្សាដោយជោគជ័យ។")</f>
        <v/>
      </c>
      <c r="H883" s="215" t="n"/>
      <c r="J883" s="3" t="inlineStr">
        <is>
          <t>ចំនួនទឹកប្រាក់ COD ដែលបានផ្សះផ្សា៖ នេះគឺជាចំនួនទឹកប្រាក់ COD សរុបសម្រាប់ការបញ្ជាទិញដែលត្រូវបានផ្សះផ្សាដោយជោគជ័យ។</t>
        </is>
      </c>
      <c r="K883" s="217" t="inlineStr">
        <is>
          <t>ចំនួនទឹកប្រាក់ COD ដែលបានផ្សះផ្សា៖ នេះគឺជាចំនួនទឹកប្រាក់ COD សរុបសម្រាប់ការបញ្ជាទិញដែលត្រូវបានផ្សះផ្សាដោយជោគជ័យ។</t>
        </is>
      </c>
      <c r="S883" s="163" t="n"/>
    </row>
    <row r="884" ht="15.75" customHeight="1" s="305">
      <c r="A884" s="217" t="inlineStr">
        <is>
          <t>COD_PRICE.COD_UNRECONCILED_AMOUNT</t>
        </is>
      </c>
      <c r="B884" s="217" t="inlineStr">
        <is>
          <t>未對帳的貨到付款金額</t>
        </is>
      </c>
      <c r="C884" s="215" t="inlineStr">
        <is>
          <t>Tiền COD chưa đối soát</t>
        </is>
      </c>
      <c r="D884" s="215" t="inlineStr">
        <is>
          <t>Unreconciled COD Amount</t>
        </is>
      </c>
      <c r="E884" s="3" t="n"/>
      <c r="F884" s="3" t="n"/>
      <c r="G884" s="3">
        <f>IFERROR(__xludf.DUMMYFUNCTION("GOOGLETRANSLATE(C884,""vi"",""km"")"),"ការទូទាត់ប្រាក់ពេលទទួលទំនិញ (COD) មិនទាន់ត្រូវបានផ្សះផ្សានៅឡើយទេ។")</f>
        <v/>
      </c>
      <c r="H884" s="215" t="n"/>
      <c r="J884" s="3" t="inlineStr">
        <is>
          <t>ការទូទាត់ប្រាក់ពេលទទួលទំនិញ (COD) មិនទាន់ត្រូវបានផ្សះផ្សានៅឡើយទេ។</t>
        </is>
      </c>
      <c r="K884" s="217" t="inlineStr">
        <is>
          <t>ការទូទាត់ប្រាក់ពេលទទួលទំនិញ (COD) មិនទាន់ត្រូវបានផ្សះផ្សានៅឡើយទេ។</t>
        </is>
      </c>
      <c r="S884" s="163" t="n"/>
    </row>
    <row r="885" ht="15.75" customHeight="1" s="305">
      <c r="A885" s="217" t="inlineStr">
        <is>
          <t>COD_PRICE.COD_UNRECONCILED_TOOLTIP</t>
        </is>
      </c>
      <c r="B885" s="217" t="inlineStr">
        <is>
          <t>未對帳 COD 款項：指已成功送達但尚未完成對帳的 COD 總金額</t>
        </is>
      </c>
      <c r="C885" s="215" t="inlineStr">
        <is>
          <t>Tiền COD chưa đối soát: Là tổng số tiền COD của các đơn hàng đã giao thành công nhưng chưa được đối soát.</t>
        </is>
      </c>
      <c r="D885" s="215" t="inlineStr">
        <is>
          <t>Unreconciled COD payments: Total COD from delivered orders pending reconciliation.</t>
        </is>
      </c>
      <c r="E885" s="3" t="n"/>
      <c r="F885" s="3" t="n"/>
      <c r="G885" s="3">
        <f>IFERROR(__xludf.DUMMYFUNCTION("GOOGLETRANSLATE(C885,""vi"",""km"")"),"ការទូទាត់ COD ដែលមិនទាន់បានផ្សះផ្សា៖ នេះគឺជាចំនួនទឹកប្រាក់សរុបនៃការទូទាត់ COD សម្រាប់ការបញ្ជាទិញដែលត្រូវបានដឹកជញ្ជូនដោយជោគជ័យ ប៉ុន្តែមិនទាន់បានផ្សះផ្សានៅឡើយទេ។")</f>
        <v/>
      </c>
      <c r="H885" s="215" t="n"/>
      <c r="J885" s="3" t="inlineStr">
        <is>
          <t>ការទូទាត់ COD ដែលមិនទាន់បានផ្សះផ្សា៖ នេះគឺជាចំនួនទឹកប្រាក់សរុបនៃការទូទាត់ COD សម្រាប់ការបញ្ជាទិញដែលត្រូវបានដឹកជញ្ជូនដោយជោគជ័យ ប៉ុន្តែមិនទាន់បានផ្សះផ្សានៅឡើយទេ។</t>
        </is>
      </c>
      <c r="K885" s="217" t="inlineStr">
        <is>
          <t>ការទូទាត់ COD ដែលមិនទាន់បានផ្សះផ្សា៖ នេះគឺជាចំនួនទឹកប្រាក់សរុបនៃការទូទាត់ COD សម្រាប់ការបញ្ជាទិញដែលត្រូវបានដឹកជញ្ជូនដោយជោគជ័យ ប៉ុន្តែមិនទាន់បានផ្សះផ្សានៅឡើយទេ។</t>
        </is>
      </c>
      <c r="S885" s="163" t="n"/>
    </row>
    <row r="886" ht="15.75" customHeight="1" s="305">
      <c r="A886" s="217" t="inlineStr">
        <is>
          <t>COD_PRICE.DELIVERY_DATE</t>
        </is>
      </c>
      <c r="B886" s="217" t="inlineStr">
        <is>
          <t>送貨日期</t>
        </is>
      </c>
      <c r="C886" s="215" t="inlineStr">
        <is>
          <t>Ngày giao</t>
        </is>
      </c>
      <c r="D886" s="215" t="inlineStr">
        <is>
          <t>Delivery Date</t>
        </is>
      </c>
      <c r="E886" s="3" t="n"/>
      <c r="F886" s="3" t="n"/>
      <c r="G886" s="3">
        <f>IFERROR(__xludf.DUMMYFUNCTION("GOOGLETRANSLATE(C886,""vi"",""km"")"),"កាលបរិច្ឆេទដឹកជញ្ជូន")</f>
        <v/>
      </c>
      <c r="H886" s="215" t="n"/>
      <c r="J886" s="3" t="inlineStr">
        <is>
          <t>កាលបរិច្ឆេទដឹកជញ្ជូន</t>
        </is>
      </c>
      <c r="K886" s="217" t="inlineStr">
        <is>
          <t>កាលបរិច្ឆេទដឹកជញ្ជូន</t>
        </is>
      </c>
      <c r="S886" s="163" t="n"/>
    </row>
    <row r="887" ht="15.75" customHeight="1" s="305">
      <c r="A887" s="217" t="inlineStr">
        <is>
          <t>COD_PRICE.DELIVERY_FEE</t>
        </is>
      </c>
      <c r="B887" s="217" t="inlineStr">
        <is>
          <t>運費</t>
        </is>
      </c>
      <c r="C887" s="215" t="inlineStr">
        <is>
          <t>Tiền cước</t>
        </is>
      </c>
      <c r="D887" s="215" t="inlineStr">
        <is>
          <t>Delivery Fee</t>
        </is>
      </c>
      <c r="E887" s="3" t="n"/>
      <c r="F887" s="3" t="n"/>
      <c r="G887" s="3">
        <f>IFERROR(__xludf.DUMMYFUNCTION("GOOGLETRANSLATE(C887,""vi"",""km"")"),"តម្លៃសំបុត្រ")</f>
        <v/>
      </c>
      <c r="H887" s="215" t="n"/>
      <c r="J887" s="3" t="inlineStr">
        <is>
          <t>តម្លៃសំបុត្រ</t>
        </is>
      </c>
      <c r="K887" s="217" t="inlineStr">
        <is>
          <t>តម្លៃសំបុត្រ</t>
        </is>
      </c>
      <c r="S887" s="163" t="n"/>
    </row>
    <row r="888" ht="15.75" customHeight="1" s="305">
      <c r="A888" s="217" t="inlineStr">
        <is>
          <t>COD_PRICE.ENTER_ORDER_ID</t>
        </is>
      </c>
      <c r="B888" s="217" t="inlineStr">
        <is>
          <t>輸入訂單編號</t>
        </is>
      </c>
      <c r="C888" s="215" t="inlineStr">
        <is>
          <t>Nhập mã đơn</t>
        </is>
      </c>
      <c r="D888" s="215" t="inlineStr">
        <is>
          <t>Enter Order Code</t>
        </is>
      </c>
      <c r="E888" s="3" t="n"/>
      <c r="F888" s="3" t="n"/>
      <c r="G888" s="3">
        <f>IFERROR(__xludf.DUMMYFUNCTION("GOOGLETRANSLATE(C888,""vi"",""km"")"),"បញ្ចូលលេខកូដបញ្ជាទិញ")</f>
        <v/>
      </c>
      <c r="H888" s="215" t="n"/>
      <c r="J888" s="3" t="inlineStr">
        <is>
          <t>បញ្ចូលលេខកូដបញ្ជាទិញ</t>
        </is>
      </c>
      <c r="K888" s="217" t="inlineStr">
        <is>
          <t>បញ្ចូលលេខកូដបញ្ជាទិញ</t>
        </is>
      </c>
      <c r="S888" s="163" t="n"/>
    </row>
    <row r="889" ht="15.75" customHeight="1" s="305">
      <c r="A889" s="217" t="inlineStr">
        <is>
          <t>COD_PRICE.ENTER_PAYMENT_VOUCHER_ID</t>
        </is>
      </c>
      <c r="B889" s="217" t="inlineStr">
        <is>
          <t>輸入付款憑證編號</t>
        </is>
      </c>
      <c r="C889" s="215" t="inlineStr">
        <is>
          <t>Nhập mã phiếu chi</t>
        </is>
      </c>
      <c r="D889" s="215" t="inlineStr">
        <is>
          <t>Enter Payment Voucher ID</t>
        </is>
      </c>
      <c r="E889" s="3" t="n"/>
      <c r="F889" s="3" t="n"/>
      <c r="G889" s="3">
        <f>IFERROR(__xludf.DUMMYFUNCTION("GOOGLETRANSLATE(C889,""vi"",""km"")"),"បញ្ចូលលេខកូដប័ណ្ណទូទាត់")</f>
        <v/>
      </c>
      <c r="H889" s="215" t="n"/>
      <c r="J889" s="3" t="inlineStr">
        <is>
          <t>បញ្ចូលលេខកូដបុងចំណាយ</t>
        </is>
      </c>
      <c r="K889" s="217" t="inlineStr">
        <is>
          <t>បញ្ចូលលេខកូដបុងចំណាយ</t>
        </is>
      </c>
      <c r="S889" s="163" t="n"/>
    </row>
    <row r="890" ht="15.75" customHeight="1" s="305">
      <c r="A890" s="217" t="inlineStr">
        <is>
          <t>COD_PRICE.ENTER_STATEMENT_CODE</t>
        </is>
      </c>
      <c r="B890" s="217" t="inlineStr">
        <is>
          <t>輸入對帳表編號</t>
        </is>
      </c>
      <c r="C890" s="215" t="inlineStr">
        <is>
          <t>Nhập mã bảng kê</t>
        </is>
      </c>
      <c r="D890" s="215" t="inlineStr">
        <is>
          <t>Enter statement code</t>
        </is>
      </c>
      <c r="E890" s="3" t="n"/>
      <c r="F890" s="3" t="n"/>
      <c r="G890" s="3">
        <f>IFERROR(__xludf.DUMMYFUNCTION("GOOGLETRANSLATE(C890,""vi"",""km"")"),"បញ្ចូលលេខកូដសេចក្តីថ្លែងការណ៍")</f>
        <v/>
      </c>
      <c r="H890" s="215" t="n"/>
      <c r="J890" s="3" t="inlineStr">
        <is>
          <t>បញ្ចូលលេខកូដសេចក្តីថ្លែងការណ៍</t>
        </is>
      </c>
      <c r="K890" s="217" t="inlineStr">
        <is>
          <t>បញ្ចូលលេខកូដសេចក្តីថ្លែងការណ៍</t>
        </is>
      </c>
      <c r="S890" s="163" t="n"/>
    </row>
    <row r="891" ht="15.75" customHeight="1" s="305">
      <c r="A891" s="217" t="inlineStr">
        <is>
          <t>COD_PRICE.FEE</t>
        </is>
      </c>
      <c r="B891" s="217" t="inlineStr">
        <is>
          <t>運費</t>
        </is>
      </c>
      <c r="C891" s="215" t="inlineStr">
        <is>
          <t>Cước</t>
        </is>
      </c>
      <c r="D891" s="215" t="inlineStr">
        <is>
          <t>Delivery Fee</t>
        </is>
      </c>
      <c r="E891" s="3" t="n"/>
      <c r="F891" s="3" t="n"/>
      <c r="G891" s="3">
        <f>IFERROR(__xludf.DUMMYFUNCTION("GOOGLETRANSLATE(C891,""vi"",""km"")"),"ថ្លៃសេវា")</f>
        <v/>
      </c>
      <c r="H891" s="215" t="n"/>
      <c r="J891" s="3" t="inlineStr">
        <is>
          <t>ថ្លៃសេវា</t>
        </is>
      </c>
      <c r="K891" s="217" t="inlineStr">
        <is>
          <t>ថ្លៃសេវា</t>
        </is>
      </c>
      <c r="S891" s="163" t="n"/>
    </row>
    <row r="892" ht="15.75" customHeight="1" s="305">
      <c r="A892" s="217" t="inlineStr">
        <is>
          <t>COD_PRICE.FEE_RECONCILED_AMOUNT</t>
        </is>
      </c>
      <c r="B892" s="217" t="inlineStr">
        <is>
          <t>已對帳的運費金額</t>
        </is>
      </c>
      <c r="C892" s="215" t="inlineStr">
        <is>
          <t>Tiền cước đã đối soát</t>
        </is>
      </c>
      <c r="D892" s="215" t="inlineStr">
        <is>
          <t>Reconciled shipping fees</t>
        </is>
      </c>
      <c r="E892" s="3" t="n"/>
      <c r="F892" s="3" t="n"/>
      <c r="G892" s="3">
        <f>IFERROR(__xludf.DUMMYFUNCTION("GOOGLETRANSLATE(C892,""vi"",""km"")"),"ថ្លៃដឹកជញ្ជូនត្រូវបានផ្សះផ្សាហើយ។")</f>
        <v/>
      </c>
      <c r="H892" s="215" t="n"/>
      <c r="J892" s="3" t="inlineStr">
        <is>
          <t>ថ្លៃដឹកជញ្ជូនត្រូវបានផ្សះផ្សាហើយ។</t>
        </is>
      </c>
      <c r="K892" s="217" t="inlineStr">
        <is>
          <t>ថ្លៃដឹកជញ្ជូនត្រូវបានផ្សះផ្សាហើយ។</t>
        </is>
      </c>
      <c r="S892" s="163" t="n"/>
    </row>
    <row r="893" ht="15.75" customHeight="1" s="305">
      <c r="A893" s="217" t="inlineStr">
        <is>
          <t>COD_PRICE.FEE_SUMMARY_TOOLTIP</t>
        </is>
      </c>
      <c r="B893" s="217" t="inlineStr">
        <is>
          <t>已對帳費用：指已成功送達並完成對帳的費用總額</t>
        </is>
      </c>
      <c r="C893" s="215" t="inlineStr">
        <is>
          <t>Tiền cước đã đối soát: Là tổng số tiền cước của các đơn hàng đã được đối soát thành công.</t>
        </is>
      </c>
      <c r="D893" s="215" t="inlineStr">
        <is>
          <t>Reconciled shipping fees: Total shipping fees of orders that have been successfully reconciled</t>
        </is>
      </c>
      <c r="E893" s="3" t="n"/>
      <c r="F893" s="3" t="n"/>
      <c r="G893" s="3">
        <f>IFERROR(__xludf.DUMMYFUNCTION("GOOGLETRANSLATE(C893,""vi"",""km"")"),"ថ្លៃដឹកជញ្ជូនដែលបានផ្សះផ្សា៖ នេះគឺជាថ្លៃដឹកជញ្ជូនសរុបសម្រាប់ការបញ្ជាទិញដែលត្រូវបានផ្សះផ្សាដោយជោគជ័យ។")</f>
        <v/>
      </c>
      <c r="H893" s="215" t="n"/>
      <c r="J893" s="3" t="inlineStr">
        <is>
          <t>ថ្លៃដឹកជញ្ជូនដែលបានផ្សះផ្សា៖ នេះគឺជាថ្លៃដឹកជញ្ជូនសរុបសម្រាប់ការបញ្ជាទិញដែលត្រូវបានផ្សះផ្សាដោយជោគជ័យ។</t>
        </is>
      </c>
      <c r="K893" s="217" t="inlineStr">
        <is>
          <t>ថ្លៃដឹកជញ្ជូនដែលបានផ្សះផ្សា៖ នេះគឺជាថ្លៃដឹកជញ្ជូនសរុបសម្រាប់ការបញ្ជាទិញដែលត្រូវបានផ្សះផ្សាដោយជោគជ័យ។</t>
        </is>
      </c>
      <c r="S893" s="163" t="n"/>
    </row>
    <row r="894" ht="15.75" customHeight="1" s="305">
      <c r="A894" s="217" t="inlineStr">
        <is>
          <t>COD_PRICE.FEE_UNRECONCILED_AMOUNT</t>
        </is>
      </c>
      <c r="B894" s="217" t="inlineStr">
        <is>
          <t>未對帳的運費金額</t>
        </is>
      </c>
      <c r="C894" s="215" t="inlineStr">
        <is>
          <t>Tiền cước chưa đối soát</t>
        </is>
      </c>
      <c r="D894" s="215" t="inlineStr">
        <is>
          <t>Unreconciled shipping fees</t>
        </is>
      </c>
      <c r="E894" s="3" t="n"/>
      <c r="F894" s="3" t="n"/>
      <c r="G894" s="3">
        <f>IFERROR(__xludf.DUMMYFUNCTION("GOOGLETRANSLATE(C894,""vi"",""km"")"),"ថ្លៃដឹកជញ្ជូនដែលមិនទាន់បានសម្របសម្រួល")</f>
        <v/>
      </c>
      <c r="H894" s="215" t="n"/>
      <c r="J894" s="3" t="inlineStr">
        <is>
          <t>ថ្លៃដឹកជញ្ជូនដែលមិនទាន់បានសម្របសម្រួល</t>
        </is>
      </c>
      <c r="K894" s="217" t="inlineStr">
        <is>
          <t>ថ្លៃដឹកជញ្ជូនដែលមិនទាន់បានសម្របសម្រួល</t>
        </is>
      </c>
      <c r="S894" s="163" t="n"/>
    </row>
    <row r="895" ht="15.75" customHeight="1" s="305">
      <c r="A895" s="217" t="inlineStr">
        <is>
          <t>COD_PRICE.FEE_UNRECONCILED_TOOLTIP</t>
        </is>
      </c>
      <c r="B895" s="217" t="inlineStr">
        <is>
          <t>未對帳費用：指已成功送達但尚未完成對帳的費用總額</t>
        </is>
      </c>
      <c r="C895" s="215" t="inlineStr">
        <is>
          <t>Tiền cước chưa đối soát: Là tổng số tiền cước của các đơn hàng đã hoàn tất nhưng chưa được hệ thống đối soát.</t>
        </is>
      </c>
      <c r="D895" s="215" t="inlineStr">
        <is>
          <t>Unreconciled shipping fees: Total shipping fees for completed orders pending reconciled.</t>
        </is>
      </c>
      <c r="E895" s="3" t="n"/>
      <c r="F895" s="3" t="n"/>
      <c r="G895" s="3">
        <f>IFERROR(__xludf.DUMMYFUNCTION("GOOGLETRANSLATE(C895,""vi"",""km"")"),"ថ្លៃដឹកជញ្ជូនដែលមិនទាន់បានផ្សះផ្សា៖ នេះគឺជាចំនួនសរុបនៃថ្លៃដឹកជញ្ជូនសម្រាប់ការបញ្ជាទិញដែលបានបញ្ចប់ ដែលមិនទាន់ត្រូវបានផ្សះផ្សាដោយប្រព័ន្ធ។")</f>
        <v/>
      </c>
      <c r="H895" s="215" t="n"/>
      <c r="J895" s="3" t="inlineStr">
        <is>
          <t>ថ្លៃដឹកជញ្ជូនដែលមិនទាន់បានផ្សះផ្សា៖ នេះគឺជាចំនួនសរុបនៃថ្លៃដឹកជញ្ជូនសម្រាប់ការបញ្ជាទិញដែលបានបញ្ចប់ ដែលមិនទាន់ត្រូវបានផ្សះផ្សាដោយប្រព័ន្ធ។</t>
        </is>
      </c>
      <c r="K895" s="217" t="inlineStr">
        <is>
          <t>ថ្លៃដឹកជញ្ជូនដែលមិនទាន់បានផ្សះផ្សា៖ នេះគឺជាចំនួនសរុបនៃថ្លៃដឹកជញ្ជូនសម្រាប់ការបញ្ជាទិញដែលបានបញ្ចប់ ដែលមិនទាន់ត្រូវបានផ្សះផ្សាដោយប្រព័ន្ធ។</t>
        </is>
      </c>
      <c r="S895" s="163" t="n"/>
    </row>
    <row r="896" ht="15.75" customHeight="1" s="305">
      <c r="A896" s="217" t="inlineStr">
        <is>
          <t>COD_PRICE.HINT_SERCH_SERVICE_AGENT</t>
        </is>
      </c>
      <c r="B896" s="217" t="inlineStr">
        <is>
          <t>輸入代理名稱或地址</t>
        </is>
      </c>
      <c r="C896" s="215" t="inlineStr">
        <is>
          <t>Nhập tên, địa chỉ đại lý</t>
        </is>
      </c>
      <c r="D896" s="215" t="inlineStr">
        <is>
          <t>Enter authorized agent name or address</t>
        </is>
      </c>
      <c r="E896" s="3" t="n"/>
      <c r="F896" s="3" t="n"/>
      <c r="G896" s="3">
        <f>IFERROR(__xludf.DUMMYFUNCTION("GOOGLETRANSLATE(C896,""vi"",""km"")"),"បញ្ចូលឈ្មោះ និងអាសយដ្ឋានរបស់អ្នកចែកចាយ។")</f>
        <v/>
      </c>
      <c r="H896" s="215" t="n"/>
      <c r="J896" s="3" t="inlineStr">
        <is>
          <t>បញ្ចូលឈ្មោះ និងអាសយដ្ឋានរបស់អ្នកចែកចាយ។</t>
        </is>
      </c>
      <c r="K896" s="217" t="inlineStr">
        <is>
          <t>បញ្ចូលឈ្មោះ និងអាសយដ្ឋានរបស់អ្នកចែកចាយ។</t>
        </is>
      </c>
      <c r="S896" s="163" t="n"/>
    </row>
    <row r="897" ht="15.75" customHeight="1" s="305">
      <c r="A897" s="217" t="inlineStr">
        <is>
          <t>COD_PRICE.HINT_SERVICE_AGENT</t>
        </is>
      </c>
      <c r="B897" s="217" t="inlineStr">
        <is>
          <t>授權代理</t>
        </is>
      </c>
      <c r="C897" s="215" t="inlineStr">
        <is>
          <t>Đại lý nhận hàng</t>
        </is>
      </c>
      <c r="D897" s="215" t="inlineStr">
        <is>
          <t>Authorized agent</t>
        </is>
      </c>
      <c r="E897" s="3" t="n"/>
      <c r="F897" s="3" t="n"/>
      <c r="G897" s="3">
        <f>IFERROR(__xludf.DUMMYFUNCTION("GOOGLETRANSLATE(C897,""vi"",""km"")"),"ភ្នាក់ងារទទួល")</f>
        <v/>
      </c>
      <c r="H897" s="215" t="n"/>
      <c r="J897" s="3" t="inlineStr">
        <is>
          <t>ភ្នាក់ងារទទួល</t>
        </is>
      </c>
      <c r="K897" s="217" t="inlineStr">
        <is>
          <t>ភ្នាក់ងារទទួល</t>
        </is>
      </c>
      <c r="S897" s="163" t="n"/>
    </row>
    <row r="898" ht="15.75" customHeight="1" s="305">
      <c r="A898" s="217" t="inlineStr">
        <is>
          <t>COD_PRICE.HINT_TEXT_THE_REFERRER_INFORMATION</t>
        </is>
      </c>
      <c r="B898" s="217" t="inlineStr">
        <is>
          <t>輸入推薦人資訊</t>
        </is>
      </c>
      <c r="C898" s="215" t="inlineStr">
        <is>
          <t>Nhập thông tin người giới thiệu</t>
        </is>
      </c>
      <c r="D898" s="215" t="inlineStr">
        <is>
          <t>Enter referrer information</t>
        </is>
      </c>
      <c r="E898" s="3" t="n"/>
      <c r="F898" s="3" t="n"/>
      <c r="G898" s="3">
        <f>IFERROR(__xludf.DUMMYFUNCTION("GOOGLETRANSLATE(C898,""vi"",""km"")"),"បញ្ចូលព័ត៌មានអ្នកបញ្ជូនបន្ត។")</f>
        <v/>
      </c>
      <c r="H898" s="215" t="n"/>
      <c r="J898" s="3" t="inlineStr">
        <is>
          <t>បញ្ចូលព័ត៌មានអ្នកបញ្ជូនបន្ត។</t>
        </is>
      </c>
      <c r="K898" s="217" t="inlineStr">
        <is>
          <t>បញ្ចូលព័ត៌មានអ្នកបញ្ជូនបន្ត។</t>
        </is>
      </c>
      <c r="S898" s="163" t="n"/>
    </row>
    <row r="899" ht="15.75" customHeight="1" s="305">
      <c r="A899" s="217" t="inlineStr">
        <is>
          <t>COD_PRICE.INFORMATION</t>
        </is>
      </c>
      <c r="B899" s="217" t="inlineStr">
        <is>
          <t>資訊</t>
        </is>
      </c>
      <c r="C899" s="215" t="inlineStr">
        <is>
          <t>Thông tin</t>
        </is>
      </c>
      <c r="D899" s="215" t="inlineStr">
        <is>
          <t>Information</t>
        </is>
      </c>
      <c r="E899" s="3" t="n"/>
      <c r="F899" s="3" t="n"/>
      <c r="G899" s="3">
        <f>IFERROR(__xludf.DUMMYFUNCTION("GOOGLETRANSLATE(C899,""vi"",""km"")"),"ព័ត៌មាន")</f>
        <v/>
      </c>
      <c r="H899" s="215" t="n"/>
      <c r="J899" s="3" t="inlineStr">
        <is>
          <t>ព័ត៌មាន</t>
        </is>
      </c>
      <c r="K899" s="217" t="inlineStr">
        <is>
          <t>ព័ត៌មាន</t>
        </is>
      </c>
      <c r="S899" s="163" t="n"/>
    </row>
    <row r="900" ht="15.75" customHeight="1" s="305">
      <c r="A900" s="217" t="inlineStr">
        <is>
          <t>COD_PRICE.LOOKUP_RESULT</t>
        </is>
      </c>
      <c r="B900" s="217" t="inlineStr">
        <is>
          <t>查詢結果</t>
        </is>
      </c>
      <c r="C900" s="215" t="inlineStr">
        <is>
          <t>Tra cứu kết quả</t>
        </is>
      </c>
      <c r="D900" s="215" t="inlineStr">
        <is>
          <t>Check result</t>
        </is>
      </c>
      <c r="E900" s="3" t="n"/>
      <c r="F900" s="3" t="n"/>
      <c r="G900" s="3">
        <f>IFERROR(__xludf.DUMMYFUNCTION("GOOGLETRANSLATE(C900,""vi"",""km"")"),"ពិនិត្យមើលលទ្ធផល")</f>
        <v/>
      </c>
      <c r="H900" s="215" t="n"/>
      <c r="J900" s="3" t="inlineStr">
        <is>
          <t>ពិនិត្យមើលលទ្ធផល</t>
        </is>
      </c>
      <c r="K900" s="217" t="inlineStr">
        <is>
          <t>ពិនិត្យមើលលទ្ធផល</t>
        </is>
      </c>
      <c r="S900" s="163" t="n"/>
    </row>
    <row r="901" ht="15.75" customHeight="1" s="305">
      <c r="A901" s="217" t="inlineStr">
        <is>
          <t>COD_PRICE.MERCHANDISE_AMOUNT</t>
        </is>
      </c>
      <c r="B901" s="217" t="inlineStr">
        <is>
          <t>貨品金額</t>
        </is>
      </c>
      <c r="C901" s="215" t="inlineStr">
        <is>
          <t>Tiền hàng</t>
        </is>
      </c>
      <c r="D901" s="215" t="inlineStr">
        <is>
          <t>Merchandise Amount</t>
        </is>
      </c>
      <c r="E901" s="3" t="n"/>
      <c r="F901" s="3" t="n"/>
      <c r="G901" s="3">
        <f>IFERROR(__xludf.DUMMYFUNCTION("GOOGLETRANSLATE(C901,""vi"",""km"")"),"តម្លៃទំនិញ")</f>
        <v/>
      </c>
      <c r="H901" s="215" t="n"/>
      <c r="J901" s="3" t="inlineStr">
        <is>
          <t>តម្លៃទំនិញ</t>
        </is>
      </c>
      <c r="K901" s="217" t="inlineStr">
        <is>
          <t>តម្លៃទំនិញ</t>
        </is>
      </c>
      <c r="S901" s="163" t="n"/>
    </row>
    <row r="902" ht="15.75" customHeight="1" s="305">
      <c r="A902" s="217" t="inlineStr">
        <is>
          <t>COD_PRICE.MSG_CHOOSE_DATE_PAYMENT</t>
        </is>
      </c>
      <c r="B902" s="217" t="inlineStr">
        <is>
          <t>請選擇付款日期</t>
        </is>
      </c>
      <c r="C902" s="215" t="inlineStr">
        <is>
          <t>Vui lòng chọn ngày thanh toán</t>
        </is>
      </c>
      <c r="D902" s="215" t="inlineStr">
        <is>
          <t>Please select a payment date</t>
        </is>
      </c>
      <c r="E902" s="3" t="n"/>
      <c r="F902" s="3" t="n"/>
      <c r="G902" s="3">
        <f>IFERROR(__xludf.DUMMYFUNCTION("GOOGLETRANSLATE(C902,""vi"",""km"")"),"សូមជ្រើសរើសកាលបរិច្ឆេទទូទាត់របស់អ្នក។")</f>
        <v/>
      </c>
      <c r="H902" s="215" t="n"/>
      <c r="J902" s="3" t="inlineStr">
        <is>
          <t>សូមជ្រើសរើសកាលបរិច្ឆេទទូទាត់របស់អ្នក។</t>
        </is>
      </c>
      <c r="K902" s="217" t="inlineStr">
        <is>
          <t>សូមជ្រើសរើសកាលបរិច្ឆេទទូទាត់របស់អ្នក។</t>
        </is>
      </c>
      <c r="S902" s="163" t="n"/>
    </row>
    <row r="903" ht="15.75" customHeight="1" s="305">
      <c r="A903" s="217" t="inlineStr">
        <is>
          <t>COD_PRICE.MSG_INVALID_OTP</t>
        </is>
      </c>
      <c r="B903" s="217" t="inlineStr">
        <is>
          <t>OTP 驗證碼無效</t>
        </is>
      </c>
      <c r="C903" s="215" t="inlineStr">
        <is>
          <t>Mã OTP không hợp lệ</t>
        </is>
      </c>
      <c r="D903" s="215" t="inlineStr">
        <is>
          <t>Invalid OTP code</t>
        </is>
      </c>
      <c r="E903" s="3" t="n"/>
      <c r="F903" s="3" t="n"/>
      <c r="G903" s="3">
        <f>IFERROR(__xludf.DUMMYFUNCTION("GOOGLETRANSLATE(C903,""vi"",""km"")"),"លេខកូដ OTP មិនត្រឹមត្រូវ")</f>
        <v/>
      </c>
      <c r="H903" s="215" t="n"/>
      <c r="J903" s="3" t="inlineStr">
        <is>
          <t>លេខកូដ OTP មិនត្រឹមត្រូវ</t>
        </is>
      </c>
      <c r="K903" s="217" t="inlineStr">
        <is>
          <t>លេខកូដ OTP មិនត្រឹមត្រូវ</t>
        </is>
      </c>
      <c r="S903" s="163" t="n"/>
    </row>
    <row r="904" ht="15.75" customHeight="1" s="305">
      <c r="A904" s="217" t="inlineStr">
        <is>
          <t>COD_PRICE.NOT_PAID</t>
        </is>
      </c>
      <c r="B904" s="217" t="inlineStr">
        <is>
          <t>未付款</t>
        </is>
      </c>
      <c r="C904" s="215" t="inlineStr">
        <is>
          <t>Chưa trả</t>
        </is>
      </c>
      <c r="D904" s="215" t="inlineStr">
        <is>
          <t>Not Refunded</t>
        </is>
      </c>
      <c r="E904" s="3" t="n"/>
      <c r="F904" s="3" t="n"/>
      <c r="G904" s="3">
        <f>IFERROR(__xludf.DUMMYFUNCTION("GOOGLETRANSLATE(C904,""vi"",""km"")"),"មិនទាន់បានបង់ប្រាក់នៅឡើយទេ")</f>
        <v/>
      </c>
      <c r="H904" s="215" t="n"/>
      <c r="J904" s="3" t="inlineStr">
        <is>
          <t>មិនទាន់ទូទាត់</t>
        </is>
      </c>
      <c r="K904" s="217" t="inlineStr">
        <is>
          <t>មិនទាន់ទូទាត់</t>
        </is>
      </c>
      <c r="S904" s="163" t="n"/>
    </row>
    <row r="905" ht="15.75" customHeight="1" s="305">
      <c r="A905" s="217" t="inlineStr">
        <is>
          <t>COD_PRICE.NO_DATA_FOUND</t>
        </is>
      </c>
      <c r="B905" s="217" t="inlineStr">
        <is>
          <t>找不到符合的資料</t>
        </is>
      </c>
      <c r="C905" s="215" t="inlineStr">
        <is>
          <t>Không tìm thấy dữ liệu phù hợp</t>
        </is>
      </c>
      <c r="D905" s="215" t="inlineStr">
        <is>
          <t>No matching data found</t>
        </is>
      </c>
      <c r="E905" s="3" t="n"/>
      <c r="F905" s="3" t="n"/>
      <c r="G905" s="3">
        <f>IFERROR(__xludf.DUMMYFUNCTION("GOOGLETRANSLATE(C905,""vi"",""km"")"),"រកមិនឃើញទិន្នន័យដែលត្រូវគ្នាទេ។")</f>
        <v/>
      </c>
      <c r="H905" s="215" t="n"/>
      <c r="J905" s="3" t="inlineStr">
        <is>
          <t>រកមិនឃើញទិន្នន័យដែលត្រូវគ្នាទេ។</t>
        </is>
      </c>
      <c r="K905" s="217" t="inlineStr">
        <is>
          <t>រកមិនឃើញទិន្នន័យដែលត្រូវគ្នាទេ។</t>
        </is>
      </c>
      <c r="S905" s="163" t="n"/>
    </row>
    <row r="906" ht="15.75" customHeight="1" s="305">
      <c r="A906" s="217" t="inlineStr">
        <is>
          <t>COD_PRICE.ORDER</t>
        </is>
      </c>
      <c r="B906" s="217" t="inlineStr">
        <is>
          <t>訂單</t>
        </is>
      </c>
      <c r="C906" s="215" t="inlineStr">
        <is>
          <t>đơn</t>
        </is>
      </c>
      <c r="D906" s="215" t="inlineStr">
        <is>
          <t>order</t>
        </is>
      </c>
      <c r="E906" s="3" t="n"/>
      <c r="F906" s="3" t="n"/>
      <c r="G906" s="3">
        <f>IFERROR(__xludf.DUMMYFUNCTION("GOOGLETRANSLATE(C906,""vi"",""km"")"),"នៅលីវ")</f>
        <v/>
      </c>
      <c r="H906" s="99" t="n"/>
      <c r="J906" s="3" t="inlineStr">
        <is>
          <t>នៅលីវ</t>
        </is>
      </c>
      <c r="K906" s="217" t="inlineStr">
        <is>
          <t>នៅលីវ</t>
        </is>
      </c>
      <c r="S906" s="163" t="n"/>
    </row>
    <row r="907" ht="15.75" customHeight="1" s="305">
      <c r="A907" s="217" t="inlineStr">
        <is>
          <t>COD_PRICE.ORDERS</t>
        </is>
      </c>
      <c r="B907" s="217" t="inlineStr">
        <is>
          <t>訂單</t>
        </is>
      </c>
      <c r="C907" s="215" t="inlineStr">
        <is>
          <t>Đơn hàng</t>
        </is>
      </c>
      <c r="D907" s="215" t="inlineStr">
        <is>
          <t>Orders</t>
        </is>
      </c>
      <c r="E907" s="3" t="n"/>
      <c r="F907" s="3" t="n"/>
      <c r="G907" s="3">
        <f>IFERROR(__xludf.DUMMYFUNCTION("GOOGLETRANSLATE(C907,""vi"",""km"")"),"ការបញ្ជាទិញ")</f>
        <v/>
      </c>
      <c r="H907" s="215" t="n"/>
      <c r="J907" s="3" t="inlineStr">
        <is>
          <t>ការបញ្ជាទិញ</t>
        </is>
      </c>
      <c r="K907" s="217" t="inlineStr">
        <is>
          <t>ការបញ្ជាទិញ</t>
        </is>
      </c>
      <c r="S907" s="163" t="n"/>
    </row>
    <row r="908" ht="15.75" customHeight="1" s="305">
      <c r="A908" s="217" t="inlineStr">
        <is>
          <t>COD_PRICE.ORDER_MORE</t>
        </is>
      </c>
      <c r="B908" s="217" t="inlineStr">
        <is>
          <t>訂單</t>
        </is>
      </c>
      <c r="C908" s="215" t="inlineStr">
        <is>
          <t>đơn</t>
        </is>
      </c>
      <c r="D908" s="215" t="inlineStr">
        <is>
          <t>orders</t>
        </is>
      </c>
      <c r="E908" s="3" t="n"/>
      <c r="F908" s="3" t="n"/>
      <c r="G908" s="3">
        <f>IFERROR(__xludf.DUMMYFUNCTION("GOOGLETRANSLATE(C908,""vi"",""km"")"),"នៅលីវ")</f>
        <v/>
      </c>
      <c r="H908" s="215" t="n"/>
      <c r="J908" s="3" t="inlineStr">
        <is>
          <t>នៅលីវ</t>
        </is>
      </c>
      <c r="K908" s="217" t="inlineStr">
        <is>
          <t>នៅលីវ</t>
        </is>
      </c>
      <c r="S908" s="163" t="n"/>
    </row>
    <row r="909" ht="15.75" customHeight="1" s="305">
      <c r="A909" s="217" t="inlineStr">
        <is>
          <t>COD_PRICE.PAID</t>
        </is>
      </c>
      <c r="B909" s="217" t="inlineStr">
        <is>
          <t>已付款</t>
        </is>
      </c>
      <c r="C909" s="215" t="inlineStr">
        <is>
          <t>Đã thanh toán</t>
        </is>
      </c>
      <c r="D909" s="215" t="inlineStr">
        <is>
          <t>Paid</t>
        </is>
      </c>
      <c r="E909" s="3" t="n"/>
      <c r="F909" s="3" t="n"/>
      <c r="G909" s="3">
        <f>IFERROR(__xludf.DUMMYFUNCTION("GOOGLETRANSLATE(C909,""vi"",""km"")"),"ការទូទាត់ត្រូវបានធ្វើឡើង។")</f>
        <v/>
      </c>
      <c r="H909" s="215" t="n"/>
      <c r="J909" s="3" t="inlineStr">
        <is>
          <t>ការទូទាត់ត្រូវបានធ្វើឡើង។</t>
        </is>
      </c>
      <c r="K909" s="217" t="inlineStr">
        <is>
          <t>ការទូទាត់ត្រូវបានធ្វើឡើង។</t>
        </is>
      </c>
      <c r="S909" s="163" t="n"/>
    </row>
    <row r="910" ht="15.75" customHeight="1" s="305">
      <c r="A910" s="217" t="inlineStr">
        <is>
          <t>COD_PRICE.PAID_COD_AMOUNT</t>
        </is>
      </c>
      <c r="B910" s="217" t="inlineStr">
        <is>
          <t>已付款的貨到付款金額</t>
        </is>
      </c>
      <c r="C910" s="215" t="inlineStr">
        <is>
          <t>Tiền COD đã thanh toán</t>
        </is>
      </c>
      <c r="D910" s="215" t="inlineStr">
        <is>
          <t>Paid COD Amount</t>
        </is>
      </c>
      <c r="E910" s="3" t="n"/>
      <c r="F910" s="3" t="n"/>
      <c r="G910" s="3">
        <f>IFERROR(__xludf.DUMMYFUNCTION("GOOGLETRANSLATE(C910,""vi"",""km"")"),"ការទូទាត់ប្រាក់ភ្លាមៗពេលទទួលទំនិញ (COD) ត្រូវបានធ្វើឡើង។")</f>
        <v/>
      </c>
      <c r="H910" s="215" t="n"/>
      <c r="J910" s="3" t="inlineStr">
        <is>
          <t>ការទូទាត់ប្រាក់ភ្លាមៗពេលទទួលទំនិញ (COD) ត្រូវបានធ្វើឡើង។</t>
        </is>
      </c>
      <c r="K910" s="217" t="inlineStr">
        <is>
          <t>ការទូទាត់ប្រាក់ភ្លាមៗពេលទទួលទំនិញ (COD) ត្រូវបានធ្វើឡើង។</t>
        </is>
      </c>
      <c r="S910" s="163" t="n"/>
    </row>
    <row r="911" ht="15.75" customHeight="1" s="305">
      <c r="A911" s="217" t="inlineStr">
        <is>
          <t>COD_PRICE.PAID_SHIPPING_FEE</t>
        </is>
      </c>
      <c r="B911" s="217" t="inlineStr">
        <is>
          <t>已付款運費</t>
        </is>
      </c>
      <c r="C911" s="215" t="inlineStr">
        <is>
          <t>Tiền cước đã thanh toán</t>
        </is>
      </c>
      <c r="D911" s="215" t="inlineStr">
        <is>
          <t>Paid Shipping Fee</t>
        </is>
      </c>
      <c r="E911" s="3" t="n"/>
      <c r="F911" s="3" t="n"/>
      <c r="G911" s="3">
        <f>IFERROR(__xludf.DUMMYFUNCTION("GOOGLETRANSLATE(C911,""vi"",""km"")"),"ថ្លៃដឹកជញ្ជូនត្រូវបានបង់រួចហើយ។")</f>
        <v/>
      </c>
      <c r="H911" s="215" t="n"/>
      <c r="J911" s="3" t="inlineStr">
        <is>
          <t>ថ្លៃដឹកជញ្ជូនត្រូវបានបង់រួចហើយ។</t>
        </is>
      </c>
      <c r="K911" s="217" t="inlineStr">
        <is>
          <t>ថ្លៃដឹកជញ្ជូនត្រូវបានបង់រួចហើយ។</t>
        </is>
      </c>
      <c r="S911" s="163" t="n"/>
    </row>
    <row r="912" ht="15.75" customHeight="1" s="305">
      <c r="A912" s="217" t="inlineStr">
        <is>
          <t>COD_PRICE.PAID_SUCCESS</t>
        </is>
      </c>
      <c r="B912" s="217" t="inlineStr">
        <is>
          <t>已付款</t>
        </is>
      </c>
      <c r="C912" s="215" t="inlineStr">
        <is>
          <t>Đã trả</t>
        </is>
      </c>
      <c r="D912" s="215" t="inlineStr">
        <is>
          <t>Refunded</t>
        </is>
      </c>
      <c r="E912" s="3" t="n"/>
      <c r="F912" s="3" t="n"/>
      <c r="G912" s="3">
        <f>IFERROR(__xludf.DUMMYFUNCTION("GOOGLETRANSLATE(C912,""vi"",""km"")"),"បានបង់ប្រាក់")</f>
        <v/>
      </c>
      <c r="H912" s="215" t="n"/>
      <c r="J912" s="3" t="inlineStr">
        <is>
          <t>បានទូទាត់រួចរាល់</t>
        </is>
      </c>
      <c r="K912" s="217" t="inlineStr">
        <is>
          <t>បានទូទាត់រួចរាល់</t>
        </is>
      </c>
      <c r="S912" s="163" t="n"/>
    </row>
    <row r="913" ht="15.75" customHeight="1" s="305">
      <c r="A913" s="217" t="inlineStr">
        <is>
          <t>COD_PRICE.PAYMENT</t>
        </is>
      </c>
      <c r="B913" s="217" t="inlineStr">
        <is>
          <t>付款</t>
        </is>
      </c>
      <c r="C913" s="3" t="inlineStr">
        <is>
          <t>Thanh toán</t>
        </is>
      </c>
      <c r="D913" s="3" t="inlineStr">
        <is>
          <t>Payment</t>
        </is>
      </c>
      <c r="E913" s="3" t="n"/>
      <c r="F913" s="3" t="n"/>
      <c r="G913" s="3">
        <f>IFERROR(__xludf.DUMMYFUNCTION("GOOGLETRANSLATE(C913,""vi"",""km"")"),"បង់ប្រាក់")</f>
        <v/>
      </c>
      <c r="J913" s="3" t="inlineStr">
        <is>
          <t>បង់ប្រាក់</t>
        </is>
      </c>
      <c r="K913" s="217" t="inlineStr">
        <is>
          <t>បង់ប្រាក់</t>
        </is>
      </c>
      <c r="S913" s="163" t="n"/>
    </row>
    <row r="914" ht="15.75" customHeight="1" s="305">
      <c r="A914" s="217" t="inlineStr">
        <is>
          <t>COD_PRICE.PAYMENT_AMOUNT</t>
        </is>
      </c>
      <c r="B914" s="217" t="inlineStr">
        <is>
          <t>付款金額</t>
        </is>
      </c>
      <c r="C914" s="3" t="inlineStr">
        <is>
          <t>Số tiền thanh toán</t>
        </is>
      </c>
      <c r="D914" s="3" t="inlineStr">
        <is>
          <t>Payment Amount</t>
        </is>
      </c>
      <c r="E914" s="3" t="n"/>
      <c r="F914" s="3" t="n"/>
      <c r="G914" s="3">
        <f>IFERROR(__xludf.DUMMYFUNCTION("GOOGLETRANSLATE(C914,""vi"",""km"")"),"ចំនួនទឹកប្រាក់ដែលត្រូវបង់")</f>
        <v/>
      </c>
      <c r="J914" s="3" t="inlineStr">
        <is>
          <t>ចំនួនទឹកប្រាក់ដែលត្រូវបង់</t>
        </is>
      </c>
      <c r="K914" s="217" t="inlineStr">
        <is>
          <t>ចំនួនទឹកប្រាក់ដែលត្រូវបង់</t>
        </is>
      </c>
      <c r="S914" s="163" t="n"/>
    </row>
    <row r="915" ht="15.75" customHeight="1" s="305">
      <c r="A915" s="217" t="inlineStr">
        <is>
          <t>COD_PRICE.PAYMENT_ORDER_SENT</t>
        </is>
      </c>
      <c r="B915" s="217" t="inlineStr">
        <is>
          <t>付款指令已送出</t>
        </is>
      </c>
      <c r="C915" s="3" t="inlineStr">
        <is>
          <t>Đã gửi lệnh chi</t>
        </is>
      </c>
      <c r="D915" s="3" t="inlineStr">
        <is>
          <t>Payment Order Sent</t>
        </is>
      </c>
      <c r="E915" s="3" t="n"/>
      <c r="F915" s="3" t="n"/>
      <c r="G915" s="3">
        <f>IFERROR(__xludf.DUMMYFUNCTION("GOOGLETRANSLATE(C915,""vi"",""km"")"),"បញ្ជាទូទាត់ត្រូវបានផ្ញើ។")</f>
        <v/>
      </c>
      <c r="J915" s="3" t="inlineStr">
        <is>
          <t>បញ្ជាទូទាត់ត្រូវបានផ្ញើ។</t>
        </is>
      </c>
      <c r="K915" s="217" t="inlineStr">
        <is>
          <t>បញ្ជាទូទាត់ត្រូវបានផ្ញើ។</t>
        </is>
      </c>
      <c r="S915" s="163" t="n"/>
    </row>
    <row r="916" ht="15.75" customHeight="1" s="305">
      <c r="A916" s="217" t="inlineStr">
        <is>
          <t>COD_PRICE.PAYMENT_VOUCHER_DETAILS</t>
        </is>
      </c>
      <c r="B916" s="217" t="inlineStr">
        <is>
          <t>付款憑證詳情</t>
        </is>
      </c>
      <c r="C916" s="3" t="inlineStr">
        <is>
          <t>Chi tiết phiếu chi</t>
        </is>
      </c>
      <c r="D916" s="3" t="inlineStr">
        <is>
          <t>Payment Voucher Details</t>
        </is>
      </c>
      <c r="E916" s="3" t="n"/>
      <c r="F916" s="3" t="n"/>
      <c r="G916" s="3">
        <f>IFERROR(__xludf.DUMMYFUNCTION("GOOGLETRANSLATE(C916,""vi"",""km"")"),"ព័ត៌មានលម្អិតអំពីប័ណ្ណទូទាត់")</f>
        <v/>
      </c>
      <c r="J916" s="3" t="inlineStr">
        <is>
          <t>ព័ត៌មានលម្អិតបុងចំណាយ</t>
        </is>
      </c>
      <c r="K916" s="217" t="inlineStr">
        <is>
          <t>ព័ត៌មានលម្អិតបុងចំណាយ</t>
        </is>
      </c>
      <c r="S916" s="163" t="n"/>
    </row>
    <row r="917" ht="15.75" customHeight="1" s="305">
      <c r="A917" s="217" t="inlineStr">
        <is>
          <t>COD_PRICE.PAYMENT_VOUCHER_ID</t>
        </is>
      </c>
      <c r="B917" s="217" t="inlineStr">
        <is>
          <t>付款憑證編號</t>
        </is>
      </c>
      <c r="C917" s="3" t="inlineStr">
        <is>
          <t>Mã bảng kê</t>
        </is>
      </c>
      <c r="D917" s="3" t="inlineStr">
        <is>
          <t>Payment Voucher ID</t>
        </is>
      </c>
      <c r="E917" s="3" t="n"/>
      <c r="F917" s="3" t="n"/>
      <c r="G917" s="3">
        <f>IFERROR(__xludf.DUMMYFUNCTION("GOOGLETRANSLATE(C917,""vi"",""km"")"),"កូដ​សេចក្តីថ្លែងការណ៍")</f>
        <v/>
      </c>
      <c r="J917" s="3" t="inlineStr">
        <is>
          <t>កូដសេចក្តីថ្លែងការណ៍</t>
        </is>
      </c>
      <c r="K917" s="217" t="inlineStr">
        <is>
          <t>កូដសេចក្តីថ្លែងការណ៍</t>
        </is>
      </c>
      <c r="S917" s="163" t="n"/>
    </row>
    <row r="918" ht="15.75" customHeight="1" s="305">
      <c r="A918" s="217" t="inlineStr">
        <is>
          <t>COD_PRICE.PENDING_PAYMENT</t>
        </is>
      </c>
      <c r="B918" s="217" t="inlineStr">
        <is>
          <t>待付款</t>
        </is>
      </c>
      <c r="C918" s="3" t="inlineStr">
        <is>
          <t>Chờ thanh toán</t>
        </is>
      </c>
      <c r="D918" s="3" t="inlineStr">
        <is>
          <t>Pending Payment</t>
        </is>
      </c>
      <c r="E918" s="3" t="n"/>
      <c r="F918" s="3" t="n"/>
      <c r="G918" s="3">
        <f>IFERROR(__xludf.DUMMYFUNCTION("GOOGLETRANSLATE(C918,""vi"",""km"")"),"កំពុងរង់ចាំការទូទាត់")</f>
        <v/>
      </c>
      <c r="J918" s="3" t="inlineStr">
        <is>
          <t>កំពុងរង់ចាំការទូទាត់</t>
        </is>
      </c>
      <c r="K918" s="217" t="inlineStr">
        <is>
          <t>កំពុងរង់ចាំការទូទាត់</t>
        </is>
      </c>
      <c r="S918" s="163" t="n"/>
    </row>
    <row r="919" ht="15.75" customHeight="1" s="305">
      <c r="A919" s="217" t="inlineStr">
        <is>
          <t>COD_PRICE.PENDING_SHIPPING_FEE</t>
        </is>
      </c>
      <c r="B919" s="217" t="inlineStr">
        <is>
          <t>待付款運費</t>
        </is>
      </c>
      <c r="C919" s="3" t="inlineStr">
        <is>
          <t>Tiền cước chờ thanh toán</t>
        </is>
      </c>
      <c r="D919" s="3" t="inlineStr">
        <is>
          <t>Pending Shipping Fee</t>
        </is>
      </c>
      <c r="E919" s="3" t="n"/>
      <c r="F919" s="3" t="n"/>
      <c r="G919" s="3">
        <f>IFERROR(__xludf.DUMMYFUNCTION("GOOGLETRANSLATE(C919,""vi"",""km"")"),"ការគិតថ្លៃដែលមិនទាន់សម្រេច")</f>
        <v/>
      </c>
      <c r="J919" s="3" t="inlineStr">
        <is>
          <t>ការគិតថ្លៃដែលមិនទាន់សម្រេច</t>
        </is>
      </c>
      <c r="K919" s="217" t="inlineStr">
        <is>
          <t>ការគិតថ្លៃដែលមិនទាន់សម្រេច</t>
        </is>
      </c>
      <c r="S919" s="163" t="n"/>
    </row>
    <row r="920" ht="15.75" customHeight="1" s="305">
      <c r="A920" s="217" t="inlineStr">
        <is>
          <t>COD_PRICE.PLACEHOLDER_SERVICE_AGENT</t>
        </is>
      </c>
      <c r="B920" s="217" t="inlineStr">
        <is>
          <t>選擇收款授權代理</t>
        </is>
      </c>
      <c r="C920" s="3" t="inlineStr">
        <is>
          <t>Chọn đại lý nhận hàng</t>
        </is>
      </c>
      <c r="D920" s="3" t="inlineStr">
        <is>
          <t>Select receiving authorized agent</t>
        </is>
      </c>
      <c r="E920" s="3" t="n"/>
      <c r="F920" s="3" t="n"/>
      <c r="G920" s="3">
        <f>IFERROR(__xludf.DUMMYFUNCTION("GOOGLETRANSLATE(C920,""vi"",""km"")"),"ជ្រើសរើសភ្នាក់ងារដឹកជញ្ជូន")</f>
        <v/>
      </c>
      <c r="J920" s="3" t="inlineStr">
        <is>
          <t>ជ្រើសរើសភ្នាក់ងារដឹកជញ្ជូន</t>
        </is>
      </c>
      <c r="K920" s="217" t="inlineStr">
        <is>
          <t>ជ្រើសរើសភ្នាក់ងារដឹកជញ្ជូន</t>
        </is>
      </c>
      <c r="S920" s="163" t="n"/>
    </row>
    <row r="921" ht="15.75" customHeight="1" s="305">
      <c r="A921" s="217" t="inlineStr">
        <is>
          <t>COD_PRICE.PLEASE_USE_BANK_APP_TO_PAY</t>
        </is>
      </c>
      <c r="B921" s="217" t="inlineStr">
        <is>
          <t>請使用任何銀行應用程式進行付款，並在收到交易結果前不要關閉應用程式。</t>
        </is>
      </c>
      <c r="C921" s="3" t="inlineStr">
        <is>
          <t>Vui lòng sử dụng ứng dụng ngân hàng bất kỳ để thanh toán và không tắt ứng dụng cho đến khi nhận được kết quả giao dịch</t>
        </is>
      </c>
      <c r="D921" s="3" t="inlineStr">
        <is>
          <t>Please use any bank app to pay and do not turn off the app until you receive the transaction result</t>
        </is>
      </c>
      <c r="E921" s="3" t="n"/>
      <c r="F921" s="3" t="n"/>
      <c r="G921" s="3">
        <f>IFERROR(__xludf.DUMMYFUNCTION("GOOGLETRANSLATE(C921,""vi"",""km"")"),"សូមប្រើប្រាស់កម្មវិធីធនាគារណាមួយដើម្បីធ្វើការទូទាត់ ហើយកុំបិទកម្មវិធីរហូតដល់អ្នកទទួលបានការបញ្ជាក់ប្រតិបត្តិការ។")</f>
        <v/>
      </c>
      <c r="J921" s="3" t="inlineStr">
        <is>
          <t>សូមប្រើប្រាស់កម្មវិធីធនាគារណាមួយដើម្បីធ្វើការទូទាត់ ហើយកុំបិទកម្មវិធីរហូតដល់អ្នកទទួលបានការបញ្ជាក់ប្រតិបត្តិការ។</t>
        </is>
      </c>
      <c r="K921" s="217" t="inlineStr">
        <is>
          <t>សូមប្រើប្រាស់កម្មវិធីធនាគារណាមួយដើម្បីធ្វើការទូទាត់ ហើយកុំបិទកម្មវិធីរហូតដល់អ្នកទទួលបានការបញ្ជាក់ប្រតិបត្តិការ។</t>
        </is>
      </c>
      <c r="S921" s="163" t="n"/>
    </row>
    <row r="922" ht="15.75" customHeight="1" s="305">
      <c r="A922" s="217" t="inlineStr">
        <is>
          <t>COD_PRICE.PROCESSING</t>
        </is>
      </c>
      <c r="B922" s="217" t="inlineStr">
        <is>
          <t>付款中</t>
        </is>
      </c>
      <c r="C922" s="3" t="inlineStr">
        <is>
          <t>Đang xử lý</t>
        </is>
      </c>
      <c r="D922" s="3" t="inlineStr">
        <is>
          <t>Processing</t>
        </is>
      </c>
      <c r="E922" s="3" t="n"/>
      <c r="F922" s="3" t="n"/>
      <c r="G922" s="3">
        <f>IFERROR(__xludf.DUMMYFUNCTION("GOOGLETRANSLATE(C922,""vi"",""km"")"),"កំពុងដំណើរការ")</f>
        <v/>
      </c>
      <c r="J922" s="3" t="inlineStr">
        <is>
          <t>កំពុងដំណើរការ</t>
        </is>
      </c>
      <c r="K922" s="217" t="inlineStr">
        <is>
          <t>កំពុងដំណើរការ</t>
        </is>
      </c>
      <c r="S922" s="163" t="n"/>
    </row>
    <row r="923" ht="15.75" customHeight="1" s="305">
      <c r="A923" s="217" t="inlineStr">
        <is>
          <t>COD_PRICE.RECEIPT_DATE</t>
        </is>
      </c>
      <c r="B923" s="217" t="inlineStr">
        <is>
          <t>收貨日期</t>
        </is>
      </c>
      <c r="C923" s="3" t="inlineStr">
        <is>
          <t>Ngày nhận</t>
        </is>
      </c>
      <c r="D923" s="3" t="inlineStr">
        <is>
          <t>Receipt Date</t>
        </is>
      </c>
      <c r="E923" s="3" t="n"/>
      <c r="F923" s="3" t="n"/>
      <c r="G923" s="3">
        <f>IFERROR(__xludf.DUMMYFUNCTION("GOOGLETRANSLATE(C923,""vi"",""km"")"),"កាលបរិច្ឆេទទទួលបាន")</f>
        <v/>
      </c>
      <c r="J923" s="3" t="inlineStr">
        <is>
          <t>កាលបរិច្ឆេទទទួល</t>
        </is>
      </c>
      <c r="K923" s="217" t="inlineStr">
        <is>
          <t>កាលបរិច្ឆេទទទួល</t>
        </is>
      </c>
      <c r="S923" s="163" t="n"/>
    </row>
    <row r="924" ht="15.75" customHeight="1" s="305">
      <c r="A924" s="217" t="inlineStr">
        <is>
          <t>COD_PRICE.RECEIVED_AMOUNT</t>
        </is>
      </c>
      <c r="B924" s="217" t="inlineStr">
        <is>
          <t>實收金額</t>
        </is>
      </c>
      <c r="C924" s="3" t="inlineStr">
        <is>
          <t>Tiền nhận</t>
        </is>
      </c>
      <c r="D924" s="3" t="inlineStr">
        <is>
          <t>Received Amount</t>
        </is>
      </c>
      <c r="E924" s="3" t="n"/>
      <c r="F924" s="3" t="n"/>
      <c r="G924" s="3">
        <f>IFERROR(__xludf.DUMMYFUNCTION("GOOGLETRANSLATE(C924,""vi"",""km"")"),"ប្រាក់ដែលទទួលបាន")</f>
        <v/>
      </c>
      <c r="J924" s="3" t="inlineStr">
        <is>
          <t>ប្រាក់ដែលទទួលបាន</t>
        </is>
      </c>
      <c r="K924" s="217" t="inlineStr">
        <is>
          <t>ប្រាក់ដែលទទួលបាន</t>
        </is>
      </c>
      <c r="S924" s="163" t="n"/>
    </row>
    <row r="925" ht="15.75" customHeight="1" s="305">
      <c r="A925" s="217" t="inlineStr">
        <is>
          <t>COD_PRICE.RECEIVING_ACCOUNT</t>
        </is>
      </c>
      <c r="B925" s="217" t="inlineStr">
        <is>
          <t>收款帳戶</t>
        </is>
      </c>
      <c r="C925" s="3" t="inlineStr">
        <is>
          <t>Tài khoản nhận tiền</t>
        </is>
      </c>
      <c r="D925" s="3" t="inlineStr">
        <is>
          <t>Receiving Account</t>
        </is>
      </c>
      <c r="E925" s="3" t="n"/>
      <c r="F925" s="3" t="n"/>
      <c r="G925" s="3">
        <f>IFERROR(__xludf.DUMMYFUNCTION("GOOGLETRANSLATE(C925,""vi"",""km"")"),"គណនីទទួល")</f>
        <v/>
      </c>
      <c r="J925" s="3" t="inlineStr">
        <is>
          <t>គណនីទទួល</t>
        </is>
      </c>
      <c r="K925" s="217" t="inlineStr">
        <is>
          <t>គណនីទទួល</t>
        </is>
      </c>
      <c r="S925" s="163" t="n"/>
    </row>
    <row r="926" ht="15.75" customHeight="1" s="305">
      <c r="A926" s="217" t="inlineStr">
        <is>
          <t>COD_PRICE.RECONCILIATION_DATE</t>
        </is>
      </c>
      <c r="B926" s="217" t="inlineStr">
        <is>
          <t>對帳日期</t>
        </is>
      </c>
      <c r="C926" s="3" t="inlineStr">
        <is>
          <t>Ngày đối soát</t>
        </is>
      </c>
      <c r="D926" s="3" t="inlineStr">
        <is>
          <t>Reconciliation Date</t>
        </is>
      </c>
      <c r="E926" s="3" t="n"/>
      <c r="F926" s="3" t="n"/>
      <c r="G926" s="3">
        <f>IFERROR(__xludf.DUMMYFUNCTION("GOOGLETRANSLATE(C926,""vi"",""km"")"),"កាលបរិច្ឆេទផ្សះផ្សា")</f>
        <v/>
      </c>
      <c r="J926" s="3" t="inlineStr">
        <is>
          <t>កាលបរិច្ឆេទផ្សះផ្សា</t>
        </is>
      </c>
      <c r="K926" s="217" t="inlineStr">
        <is>
          <t>កាលបរិច្ឆេទផ្សះផ្សា</t>
        </is>
      </c>
      <c r="S926" s="163" t="n"/>
    </row>
    <row r="927" ht="15.75" customHeight="1" s="305">
      <c r="A927" s="217" t="inlineStr">
        <is>
          <t>COD_PRICE.SAVE_INFO</t>
        </is>
      </c>
      <c r="B927" s="217" t="inlineStr">
        <is>
          <t>儲存</t>
        </is>
      </c>
      <c r="C927" s="3" t="inlineStr">
        <is>
          <t>Lưu thông tin</t>
        </is>
      </c>
      <c r="D927" s="3" t="inlineStr">
        <is>
          <t>Save</t>
        </is>
      </c>
      <c r="E927" s="3" t="n"/>
      <c r="F927" s="3" t="n"/>
      <c r="G927" s="3">
        <f>IFERROR(__xludf.DUMMYFUNCTION("GOOGLETRANSLATE(C927,""vi"",""km"")"),"រក្សាទុកព័ត៌មាន")</f>
        <v/>
      </c>
      <c r="J927" s="3" t="inlineStr">
        <is>
          <t>រក្សាទុកព័ត៌មាន</t>
        </is>
      </c>
      <c r="K927" s="217" t="inlineStr">
        <is>
          <t>រក្សាទុកព័ត៌មាន</t>
        </is>
      </c>
      <c r="S927" s="163" t="n"/>
    </row>
    <row r="928" ht="15.75" customHeight="1" s="305">
      <c r="A928" s="217" t="inlineStr">
        <is>
          <t>COD_PRICE.SHIPPING_FEE</t>
        </is>
      </c>
      <c r="B928" s="217" t="inlineStr">
        <is>
          <t>運費</t>
        </is>
      </c>
      <c r="C928" s="3" t="inlineStr">
        <is>
          <t>Tiền cước</t>
        </is>
      </c>
      <c r="D928" s="3" t="inlineStr">
        <is>
          <t>Shipping Fee</t>
        </is>
      </c>
      <c r="E928" s="3" t="n"/>
      <c r="F928" s="3" t="n"/>
      <c r="G928" s="3">
        <f>IFERROR(__xludf.DUMMYFUNCTION("GOOGLETRANSLATE(C928,""vi"",""km"")"),"តម្លៃសំបុត្រ")</f>
        <v/>
      </c>
      <c r="J928" s="3" t="inlineStr">
        <is>
          <t>តម្លៃសំបុត្រ</t>
        </is>
      </c>
      <c r="K928" s="217" t="inlineStr">
        <is>
          <t>តម្លៃសំបុត្រ</t>
        </is>
      </c>
      <c r="S928" s="163" t="n"/>
    </row>
    <row r="929" ht="15.75" customHeight="1" s="305">
      <c r="A929" s="217" t="inlineStr">
        <is>
          <t>COD_PRICE.STATEMENTS</t>
        </is>
      </c>
      <c r="B929" s="217" t="inlineStr">
        <is>
          <t>對帳表</t>
        </is>
      </c>
      <c r="C929" s="3" t="inlineStr">
        <is>
          <t>Bảng kê</t>
        </is>
      </c>
      <c r="D929" s="3" t="inlineStr">
        <is>
          <t>Statements</t>
        </is>
      </c>
      <c r="E929" s="3" t="n"/>
      <c r="F929" s="3" t="n"/>
      <c r="G929" s="3">
        <f>IFERROR(__xludf.DUMMYFUNCTION("GOOGLETRANSLATE(C929,""vi"",""km"")"),"សេចក្តីថ្លែងការណ៍")</f>
        <v/>
      </c>
      <c r="J929" s="3" t="inlineStr">
        <is>
          <t>សេចក្តីថ្លែងការណ៍</t>
        </is>
      </c>
      <c r="K929" s="217" t="inlineStr">
        <is>
          <t>សេចក្តីថ្លែងការណ៍</t>
        </is>
      </c>
      <c r="S929" s="163" t="n"/>
    </row>
    <row r="930" ht="15.75" customHeight="1" s="305">
      <c r="A930" s="217" t="inlineStr">
        <is>
          <t>COD_PRICE.STATEMENT_DETAILS</t>
        </is>
      </c>
      <c r="B930" s="217" t="inlineStr">
        <is>
          <t>對帳單詳情</t>
        </is>
      </c>
      <c r="C930" s="3" t="inlineStr">
        <is>
          <t>Chi tiết bảng kê</t>
        </is>
      </c>
      <c r="D930" s="3" t="inlineStr">
        <is>
          <t>Statement details</t>
        </is>
      </c>
      <c r="E930" s="3" t="n"/>
      <c r="F930" s="3" t="n"/>
      <c r="G930" s="3">
        <f>IFERROR(__xludf.DUMMYFUNCTION("GOOGLETRANSLATE(C930,""vi"",""km"")"),"ព័ត៌មានលម្អិតនៃសេចក្តីថ្លែងការណ៍")</f>
        <v/>
      </c>
      <c r="J930" s="3" t="inlineStr">
        <is>
          <t>ព័ត៌មានលម្អិតនៃសេចក្តីថ្លែងការណ៍</t>
        </is>
      </c>
      <c r="K930" s="217" t="inlineStr">
        <is>
          <t>ព័ត៌មានលម្អិតនៃសេចក្តីថ្លែងការណ៍</t>
        </is>
      </c>
      <c r="S930" s="163" t="n"/>
    </row>
    <row r="931" ht="15.75" customHeight="1" s="305">
      <c r="A931" s="217" t="inlineStr">
        <is>
          <t>COD_PRICE.TAB_INFO</t>
        </is>
      </c>
      <c r="B931" s="217" t="inlineStr">
        <is>
          <t>資訊</t>
        </is>
      </c>
      <c r="C931" s="3" t="inlineStr">
        <is>
          <t>Thông tin</t>
        </is>
      </c>
      <c r="D931" s="3" t="inlineStr">
        <is>
          <t>Information</t>
        </is>
      </c>
      <c r="E931" s="3" t="n"/>
      <c r="F931" s="3" t="n"/>
      <c r="G931" s="3">
        <f>IFERROR(__xludf.DUMMYFUNCTION("GOOGLETRANSLATE(C931,""vi"",""km"")"),"ព័ត៌មាន")</f>
        <v/>
      </c>
      <c r="J931" s="3" t="inlineStr">
        <is>
          <t>ព័ត៌មាន</t>
        </is>
      </c>
      <c r="K931" s="217" t="inlineStr">
        <is>
          <t>ព័ត៌មាន</t>
        </is>
      </c>
      <c r="S931" s="163" t="n"/>
    </row>
    <row r="932" ht="15.75" customHeight="1" s="305">
      <c r="A932" s="217" t="inlineStr">
        <is>
          <t>COD_PRICE.TEXT_NOTE_OTP</t>
        </is>
      </c>
      <c r="B932" s="217" t="inlineStr">
        <is>
          <t>注意：每小時最多可接收 5 則 SMS</t>
        </is>
      </c>
      <c r="C932" s="3" t="inlineStr">
        <is>
          <t>Lưu ý: Bạn chỉ có thể nhận tối đa 5 SMS/giờ</t>
        </is>
      </c>
      <c r="D932" s="3" t="inlineStr">
        <is>
          <t>Note: You can receive a maximum of 5 SMS per hour</t>
        </is>
      </c>
      <c r="E932" s="3" t="n"/>
      <c r="F932" s="3" t="n"/>
      <c r="G932" s="3">
        <f>IFERROR(__xludf.DUMMYFUNCTION("GOOGLETRANSLATE(C932,""vi"",""km"")"),"ចំណាំ៖ អ្នកអាចទទួលបានសារ SMS អតិបរមា 5 សារក្នុងមួយម៉ោង។")</f>
        <v/>
      </c>
      <c r="J932" s="3" t="inlineStr">
        <is>
          <t>ចំណាំ៖ អ្នកអាចទទួលបានសារ SMS អតិបរមា 5 សារក្នុងមួយម៉ោង។</t>
        </is>
      </c>
      <c r="K932" s="217" t="inlineStr">
        <is>
          <t>ចំណាំ៖ អ្នកអាចទទួលបានសារ SMS អតិបរមា 5 សារក្នុងមួយម៉ោង។</t>
        </is>
      </c>
      <c r="S932" s="163" t="n"/>
    </row>
    <row r="933" ht="15.75" customHeight="1" s="305">
      <c r="A933" s="217" t="inlineStr">
        <is>
          <t>COD_PRICE.TITLE_PAYMENT_PERIOD</t>
        </is>
      </c>
      <c r="B933" s="217" t="inlineStr">
        <is>
          <t>付款週期</t>
        </is>
      </c>
      <c r="C933" s="3" t="inlineStr">
        <is>
          <t>Kỳ thanh toán</t>
        </is>
      </c>
      <c r="D933" s="3" t="inlineStr">
        <is>
          <t>Payment period</t>
        </is>
      </c>
      <c r="E933" s="3" t="n"/>
      <c r="F933" s="3" t="n"/>
      <c r="G933" s="3">
        <f>IFERROR(__xludf.DUMMYFUNCTION("GOOGLETRANSLATE(C933,""vi"",""km"")"),"រយៈពេលទូទាត់")</f>
        <v/>
      </c>
      <c r="J933" s="3" t="inlineStr">
        <is>
          <t>រយៈពេលទូទាត់</t>
        </is>
      </c>
      <c r="K933" s="217" t="inlineStr">
        <is>
          <t>រយៈពេលទូទាត់</t>
        </is>
      </c>
      <c r="S933" s="163" t="n"/>
    </row>
    <row r="934" ht="15.75" customHeight="1" s="305">
      <c r="A934" s="217" t="inlineStr">
        <is>
          <t>COD_PRICE.TITLE_QUIT_SCREEN</t>
        </is>
      </c>
      <c r="B934" s="217" t="inlineStr">
        <is>
          <t>離開畫面</t>
        </is>
      </c>
      <c r="C934" s="3" t="inlineStr">
        <is>
          <t>Thoát màn hình</t>
        </is>
      </c>
      <c r="D934" s="3" t="inlineStr">
        <is>
          <t>Exit screen</t>
        </is>
      </c>
      <c r="E934" s="3" t="n"/>
      <c r="F934" s="3" t="n"/>
      <c r="G934" s="3">
        <f>IFERROR(__xludf.DUMMYFUNCTION("GOOGLETRANSLATE(C934,""vi"",""km"")"),"អេក្រង់ចេញ")</f>
        <v/>
      </c>
      <c r="J934" s="3" t="inlineStr">
        <is>
          <t>អេក្រង់ចេញ</t>
        </is>
      </c>
      <c r="K934" s="217" t="inlineStr">
        <is>
          <t>អេក្រង់ចេញ</t>
        </is>
      </c>
      <c r="S934" s="163" t="n"/>
    </row>
    <row r="935" ht="15.75" customHeight="1" s="305">
      <c r="A935" s="217" t="inlineStr">
        <is>
          <t>COD_PRICE.TITLE_SELECT_SERVICE_AGENT_MODAL</t>
        </is>
      </c>
      <c r="B935" s="217" t="inlineStr">
        <is>
          <t>選擇授權代理</t>
        </is>
      </c>
      <c r="C935" s="3" t="inlineStr">
        <is>
          <t>Chọn đại lý</t>
        </is>
      </c>
      <c r="D935" s="3" t="inlineStr">
        <is>
          <t>Select authorized agent</t>
        </is>
      </c>
      <c r="E935" s="3" t="n"/>
      <c r="F935" s="3" t="n"/>
      <c r="G935" s="3">
        <f>IFERROR(__xludf.DUMMYFUNCTION("GOOGLETRANSLATE(C935,""vi"",""km"")"),"ជ្រើសរើសអ្នកចែកចាយ")</f>
        <v/>
      </c>
      <c r="J935" s="3" t="inlineStr">
        <is>
          <t>ជ្រើសរើសអ្នកចែកចាយ</t>
        </is>
      </c>
      <c r="K935" s="217" t="inlineStr">
        <is>
          <t>ជ្រើសរើសអ្នកចែកចាយ</t>
        </is>
      </c>
      <c r="S935" s="163" t="n"/>
    </row>
    <row r="936" ht="15.75" customHeight="1" s="305">
      <c r="A936" s="217" t="inlineStr">
        <is>
          <t>COD_PRICE.TITLE_SUPPORT</t>
        </is>
      </c>
      <c r="B936" s="217" t="inlineStr">
        <is>
          <t>支援</t>
        </is>
      </c>
      <c r="C936" s="3" t="inlineStr">
        <is>
          <t>Hỗ trợ</t>
        </is>
      </c>
      <c r="D936" s="3" t="inlineStr">
        <is>
          <t>Support</t>
        </is>
      </c>
      <c r="E936" s="3" t="n"/>
      <c r="F936" s="3" t="n"/>
      <c r="G936" s="3">
        <f>IFERROR(__xludf.DUMMYFUNCTION("GOOGLETRANSLATE(C936,""vi"",""km"")"),"ការគាំទ្រ")</f>
        <v/>
      </c>
      <c r="J936" s="3" t="inlineStr">
        <is>
          <t>ជំនួយ/ផ្នែកគាំទ្រ</t>
        </is>
      </c>
      <c r="K936" s="217" t="inlineStr">
        <is>
          <t>ជំនួយ/ផ្នែកគាំទ្រ</t>
        </is>
      </c>
      <c r="S936" s="163" t="n"/>
    </row>
    <row r="937" ht="15.75" customHeight="1" s="305">
      <c r="A937" s="217" t="inlineStr">
        <is>
          <t>COD_PRICE.TITLE_UPDATE_TIME</t>
        </is>
      </c>
      <c r="B937" s="217" t="inlineStr">
        <is>
          <t>更新時間</t>
        </is>
      </c>
      <c r="C937" s="3" t="inlineStr">
        <is>
          <t>Thời gian cập nhật</t>
        </is>
      </c>
      <c r="D937" s="3" t="inlineStr">
        <is>
          <t>Update time</t>
        </is>
      </c>
      <c r="E937" s="3" t="n"/>
      <c r="F937" s="3" t="n"/>
      <c r="G937" s="3">
        <f>IFERROR(__xludf.DUMMYFUNCTION("GOOGLETRANSLATE(C937,""vi"",""km"")"),"ពេលវេលាធ្វើបច្ចុប្បន្នភាព")</f>
        <v/>
      </c>
      <c r="J937" s="3" t="inlineStr">
        <is>
          <t>ពេលវេលាធ្វើបច្ចុប្បន្នភាព</t>
        </is>
      </c>
      <c r="K937" s="217" t="inlineStr">
        <is>
          <t>ពេលវេលាធ្វើបច្ចុប្បន្នភាព</t>
        </is>
      </c>
      <c r="S937" s="163" t="n"/>
    </row>
    <row r="938" ht="15.75" customHeight="1" s="305">
      <c r="A938" s="217" t="inlineStr">
        <is>
          <t>COD_PRICE.TITLE_WARNING_OUT_SCREEN_CHANGE_INFO</t>
        </is>
      </c>
      <c r="B938" s="217" t="inlineStr">
        <is>
          <t>若離開此畫面，您所做的變更可能不會被儲存</t>
        </is>
      </c>
      <c r="C938" s="3" t="inlineStr">
        <is>
          <t>Các thay đổi bạn đã thực hiện có thể không được lưu nếu thoát màn hình</t>
        </is>
      </c>
      <c r="D938" s="3" t="inlineStr">
        <is>
          <t>Changes you have made may not be saved if you exit the screen</t>
        </is>
      </c>
      <c r="E938" s="3" t="n"/>
      <c r="F938" s="3" t="n"/>
      <c r="G938" s="3">
        <f>IFERROR(__xludf.DUMMYFUNCTION("GOOGLETRANSLATE(C938,""vi"",""km"")"),"ការផ្លាស់ប្ដូរដែលអ្នកបានធ្វើអាចនឹងមិនត្រូវបានរក្សាទុកទេ ប្រសិនបើអ្នកចាកចេញពីអេក្រង់។")</f>
        <v/>
      </c>
      <c r="J938" s="3" t="inlineStr">
        <is>
          <t>ការផ្លាស់ប្ដូរដែលអ្នកបានធ្វើអាចនឹងមិនត្រូវបានរក្សាទុកទេ ប្រសិនបើអ្នកចាកចេញពីអេក្រង់។</t>
        </is>
      </c>
      <c r="K938" s="217" t="inlineStr">
        <is>
          <t>ការផ្លាស់ប្ដូរដែលអ្នកបានធ្វើអាចនឹងមិនត្រូវបានរក្សាទុកទេ ប្រសិនបើអ្នកចាកចេញពីអេក្រង់។</t>
        </is>
      </c>
      <c r="S938" s="163" t="n"/>
    </row>
    <row r="939" ht="15.75" customHeight="1" s="305">
      <c r="A939" s="217" t="inlineStr">
        <is>
          <t>COD_PRICE.TITLE_WARNING_TOOLTIP</t>
        </is>
      </c>
      <c r="B939" s="217" t="inlineStr">
        <is>
          <t>若跳過付款資訊，將無法建立 COD 訂單</t>
        </is>
      </c>
      <c r="C939" s="3" t="inlineStr">
        <is>
          <t>Bạn sẽ không thể tạo đơn COD nếu bỏ qua thông tin thanh toán</t>
        </is>
      </c>
      <c r="D939" s="3" t="inlineStr">
        <is>
          <t>You will not be able to create COD order if payment information is skipped</t>
        </is>
      </c>
      <c r="E939" s="3" t="n"/>
      <c r="F939" s="3" t="n"/>
      <c r="G939" s="3">
        <f>IFERROR(__xludf.DUMMYFUNCTION("GOOGLETRANSLATE(C939,""vi"",""km"")"),"អ្នកនឹងមិនអាចបង្កើតការបញ្ជាទិញ COD បានទេ ប្រសិនបើអ្នកលុបព័ត៌មានទូទាត់។")</f>
        <v/>
      </c>
      <c r="J939" s="3" t="inlineStr">
        <is>
          <t>អ្នកនឹងមិនអាចបង្កើតការបញ្ជាទិញ COD បានទេ ប្រសិនបើអ្នកលុបព័ត៌មានទូទាត់។</t>
        </is>
      </c>
      <c r="K939" s="217" t="inlineStr">
        <is>
          <t>អ្នកនឹងមិនអាចបង្កើតការបញ្ជាទិញ COD បានទេ ប្រសិនបើអ្នកលុបព័ត៌មានទូទាត់។</t>
        </is>
      </c>
      <c r="S939" s="163" t="n"/>
    </row>
    <row r="940" ht="15.75" customHeight="1" s="305">
      <c r="A940" s="217" t="inlineStr">
        <is>
          <t>COD_PRICE.TOTAL_FEE</t>
        </is>
      </c>
      <c r="B940" s="217" t="inlineStr">
        <is>
          <t>總運費</t>
        </is>
      </c>
      <c r="C940" s="3" t="inlineStr">
        <is>
          <t>Tổng cước</t>
        </is>
      </c>
      <c r="D940" s="3" t="inlineStr">
        <is>
          <t>Total Fee</t>
        </is>
      </c>
      <c r="E940" s="3" t="n"/>
      <c r="F940" s="3" t="n"/>
      <c r="G940" s="3">
        <f>IFERROR(__xludf.DUMMYFUNCTION("GOOGLETRANSLATE(C940,""vi"",""km"")"),"ការគិតថ្លៃសរុប")</f>
        <v/>
      </c>
      <c r="J940" s="3" t="inlineStr">
        <is>
          <t>ថ្លៃដឹកជញ្ជូនសរុប</t>
        </is>
      </c>
      <c r="K940" s="217" t="inlineStr">
        <is>
          <t>ថ្លៃដឹកជញ្ជូនសរុប</t>
        </is>
      </c>
      <c r="S940" s="163" t="n"/>
    </row>
    <row r="941" ht="15.75" customHeight="1" s="305">
      <c r="A941" s="217" t="inlineStr">
        <is>
          <t>COD_PRICE.TOTAL_PAID_AMOUNT</t>
        </is>
      </c>
      <c r="B941" s="217" t="inlineStr">
        <is>
          <t>已付款總金額</t>
        </is>
      </c>
      <c r="C941" s="3" t="inlineStr">
        <is>
          <t>Tổng tiền đã thanh toán</t>
        </is>
      </c>
      <c r="D941" s="3" t="inlineStr">
        <is>
          <t>Total Paid Amount</t>
        </is>
      </c>
      <c r="E941" s="3" t="n"/>
      <c r="F941" s="3" t="n"/>
      <c r="G941" s="3">
        <f>IFERROR(__xludf.DUMMYFUNCTION("GOOGLETRANSLATE(C941,""vi"",""km"")"),"ចំនួនទឹកប្រាក់សរុបដែលបានបង់")</f>
        <v/>
      </c>
      <c r="J941" s="3" t="inlineStr">
        <is>
          <t>ចំនួនទឹកប្រាក់សរុបដែលបានបង់</t>
        </is>
      </c>
      <c r="K941" s="217" t="inlineStr">
        <is>
          <t>ចំនួនទឹកប្រាក់សរុបដែលបានបង់</t>
        </is>
      </c>
      <c r="S941" s="163" t="n"/>
    </row>
    <row r="942" ht="15.75" customHeight="1" s="305">
      <c r="A942" s="217" t="inlineStr">
        <is>
          <t>COD_PRICE.TOTAL_PENDING_PAYMENT_AMOUNT</t>
        </is>
      </c>
      <c r="B942" s="217" t="inlineStr">
        <is>
          <t>待付款總金額</t>
        </is>
      </c>
      <c r="C942" s="3" t="inlineStr">
        <is>
          <t>Tổng tiền chờ thanh toán</t>
        </is>
      </c>
      <c r="D942" s="3" t="inlineStr">
        <is>
          <t>Total Pending Payment Amount</t>
        </is>
      </c>
      <c r="E942" s="3" t="n"/>
      <c r="F942" s="3" t="n"/>
      <c r="G942" s="3">
        <f>IFERROR(__xludf.DUMMYFUNCTION("GOOGLETRANSLATE(C942,""vi"",""km"")"),"ចំនួនទឹកប្រាក់សរុបដែលកំពុងរង់ចាំការទូទាត់")</f>
        <v/>
      </c>
      <c r="J942" s="3" t="inlineStr">
        <is>
          <t>ចំនួនទឹកប្រាក់សរុបដែលកំពុងរង់ចាំការទូទាត់</t>
        </is>
      </c>
      <c r="K942" s="217" t="inlineStr">
        <is>
          <t>ចំនួនទឹកប្រាក់សរុបដែលកំពុងរង់ចាំការទូទាត់</t>
        </is>
      </c>
      <c r="S942" s="163" t="n"/>
    </row>
    <row r="943" ht="15.75" customHeight="1" s="305">
      <c r="A943" s="217" t="inlineStr">
        <is>
          <t>COD_PRICE.TOTAL_UNRECONCILED_COD_AMOUNT</t>
        </is>
      </c>
      <c r="B943" s="217" t="inlineStr">
        <is>
          <t>未對帳貨到付款總額</t>
        </is>
      </c>
      <c r="C943" s="3" t="inlineStr">
        <is>
          <t>Tổng tiền COD chưa đối soát</t>
        </is>
      </c>
      <c r="D943" s="3" t="inlineStr">
        <is>
          <t>Total Unreconciled COD Amount</t>
        </is>
      </c>
      <c r="E943" s="3" t="n"/>
      <c r="F943" s="3" t="n"/>
      <c r="G943" s="3">
        <f>IFERROR(__xludf.DUMMYFUNCTION("GOOGLETRANSLATE(C943,""vi"",""km"")"),"ចំនួនទឹកប្រាក់ COD សរុបមិនទាន់បានផ្សះផ្សានៅឡើយទេ")</f>
        <v/>
      </c>
      <c r="J943" s="3" t="inlineStr">
        <is>
          <t>ចំនួនទឹកប្រាក់ COD សរុបមិនទាន់បានផ្សះផ្សានៅឡើយទេ</t>
        </is>
      </c>
      <c r="K943" s="217" t="inlineStr">
        <is>
          <t>ចំនួនទឹកប្រាក់ COD សរុបមិនទាន់បានផ្សះផ្សានៅឡើយទេ</t>
        </is>
      </c>
      <c r="S943" s="163" t="n"/>
    </row>
    <row r="944" ht="15.75" customHeight="1" s="305">
      <c r="A944" s="217" t="inlineStr">
        <is>
          <t>COD_PRICE.TOTAL_UNRECONCILED_SHIPPING_FEE</t>
        </is>
      </c>
      <c r="B944" s="217" t="inlineStr">
        <is>
          <t>未對帳運費總額</t>
        </is>
      </c>
      <c r="C944" s="3" t="inlineStr">
        <is>
          <t>Tổng tiền cước chưa đối soát</t>
        </is>
      </c>
      <c r="D944" s="3" t="inlineStr">
        <is>
          <t>Total Unreconciled Shipping Fee</t>
        </is>
      </c>
      <c r="E944" s="3" t="n"/>
      <c r="F944" s="3" t="n"/>
      <c r="G944" s="3">
        <f>IFERROR(__xludf.DUMMYFUNCTION("GOOGLETRANSLATE(C944,""vi"",""km"")"),"ថ្លៃដឹកជញ្ជូនសរុបដែលមិនទាន់បានផ្ទៀងផ្ទាត់")</f>
        <v/>
      </c>
      <c r="J944" s="3" t="inlineStr">
        <is>
          <t>ថ្លៃដឹកជញ្ជូនសរុបដែលមិនទាន់បានផ្ទៀងផ្ទាត់</t>
        </is>
      </c>
      <c r="K944" s="217" t="inlineStr">
        <is>
          <t>ថ្លៃដឹកជញ្ជូនសរុបដែលមិនទាន់បានផ្ទៀងផ្ទាត់</t>
        </is>
      </c>
      <c r="S944" s="163" t="n"/>
    </row>
    <row r="945" ht="15.75" customHeight="1" s="305">
      <c r="A945" s="217" t="inlineStr">
        <is>
          <t>UPDATE_VERSION.CURRENT_VERSION</t>
        </is>
      </c>
      <c r="B945" s="217" t="inlineStr">
        <is>
          <t>当前版本：</t>
        </is>
      </c>
      <c r="C945" s="3" t="inlineStr">
        <is>
          <t>Phiên bản hiện tại:</t>
        </is>
      </c>
      <c r="D945" s="3" t="inlineStr">
        <is>
          <t>Current version:</t>
        </is>
      </c>
      <c r="E945" s="3" t="n"/>
      <c r="F945" s="3" t="n"/>
      <c r="G945" s="3">
        <f>IFERROR(__xludf.DUMMYFUNCTION("GOOGLETRANSLATE(C945,""vi"",""km"")"),"កំណែបច្ចុប្បន្ន៖")</f>
        <v/>
      </c>
      <c r="J945" s="3" t="inlineStr">
        <is>
          <t>កំណែបច្ចុប្បន្ន៖</t>
        </is>
      </c>
      <c r="K945" s="217" t="inlineStr">
        <is>
          <t>កំណែបច្ចុប្បន្ន៖</t>
        </is>
      </c>
      <c r="S945" s="163" t="n"/>
    </row>
    <row r="946" ht="15.75" customHeight="1" s="305">
      <c r="A946" s="217" t="inlineStr">
        <is>
          <t>UPDATE_VERSION.FORCE_UPDATE_BUTTON_TEXT</t>
        </is>
      </c>
      <c r="B946" s="217" t="inlineStr">
        <is>
          <t>立即更新</t>
        </is>
      </c>
      <c r="C946" s="3" t="inlineStr">
        <is>
          <t>Cập nhật ngay</t>
        </is>
      </c>
      <c r="D946" s="3" t="inlineStr">
        <is>
          <t>Update Now</t>
        </is>
      </c>
      <c r="E946" s="3" t="n"/>
      <c r="F946" s="3" t="n"/>
      <c r="G946" s="3">
        <f>IFERROR(__xludf.DUMMYFUNCTION("GOOGLETRANSLATE(C946,""vi"",""km"")"),"ធ្វើបច្ចុប្បន្នភាពឥឡូវនេះ")</f>
        <v/>
      </c>
      <c r="J946" s="3" t="inlineStr">
        <is>
          <t>ធ្វើបច្ចុប្បន្នភាពឥឡូវនេះ</t>
        </is>
      </c>
      <c r="K946" s="217" t="inlineStr">
        <is>
          <t>ធ្វើបច្ចុប្បន្នភាពឥឡូវនេះ</t>
        </is>
      </c>
      <c r="S946" s="163" t="n"/>
    </row>
    <row r="947" ht="15.75" customHeight="1" s="305">
      <c r="A947" s="217" t="inlineStr">
        <is>
          <t>UPDATE_VERSION.FORCE_UPDATE_MESSAGE</t>
        </is>
      </c>
      <c r="B947" s="217" t="inlineStr">
        <is>
          <t>应用程序有新版本可用。请更新后继续使用。</t>
        </is>
      </c>
      <c r="C947" s="3" t="inlineStr">
        <is>
          <t>Đã có phiên bản ứng dụng mới hơn. Vui lòng cập nhật để tiếp tục sử dụng.</t>
        </is>
      </c>
      <c r="D947" s="3" t="inlineStr">
        <is>
          <t>A newer version of the app is available. Please update to continue using.</t>
        </is>
      </c>
      <c r="E947" s="3" t="n"/>
      <c r="F947" s="3" t="n"/>
      <c r="G947" s="3">
        <f>IFERROR(__xludf.DUMMYFUNCTION("GOOGLETRANSLATE(C947,""vi"",""km"")"),"កម្មវិធី​កំណែ​ថ្មី​ជាង​នេះ​មាន​ហើយ។ សូម​ធ្វើ​បច្ចុប្បន្នភាព​ដើម្បី​បន្ត​ប្រើប្រាស់​វា។")</f>
        <v/>
      </c>
      <c r="J947" s="3" t="inlineStr">
        <is>
          <t>កម្មវិធីកំណែថ្មីជាងនេះមានហើយ។ សូមធ្វើបច្ចុប្បន្នភាពដើម្បីបន្តប្រើប្រាស់វា។</t>
        </is>
      </c>
      <c r="K947" s="217" t="inlineStr">
        <is>
          <t>កម្មវិធីកំណែថ្មីជាងនេះមានហើយ។ សូមធ្វើបច្ចុប្បន្នភាពដើម្បីបន្តប្រើប្រាស់វា។</t>
        </is>
      </c>
      <c r="S947" s="163" t="n"/>
    </row>
    <row r="948" ht="15.75" customHeight="1" s="305">
      <c r="A948" s="217" t="inlineStr">
        <is>
          <t>UPDATE_VERSION.FORCE_UPDATE_TITLE</t>
        </is>
      </c>
      <c r="B948" s="217" t="inlineStr">
        <is>
          <t>强制更新</t>
        </is>
      </c>
      <c r="C948" s="3" t="inlineStr">
        <is>
          <t>Yêu cầu cập nhật</t>
        </is>
      </c>
      <c r="D948" s="3" t="inlineStr">
        <is>
          <t>Update Required</t>
        </is>
      </c>
      <c r="E948" s="3" t="n"/>
      <c r="F948" s="3" t="n"/>
      <c r="G948" s="3">
        <f>IFERROR(__xludf.DUMMYFUNCTION("GOOGLETRANSLATE(C948,""vi"",""km"")"),"សំណើសុំធ្វើបច្ចុប្បន្នភាព")</f>
        <v/>
      </c>
      <c r="J948" s="3" t="inlineStr">
        <is>
          <t>សំណើសុំធ្វើបច្ចុប្បន្នភាព</t>
        </is>
      </c>
      <c r="K948" s="217" t="inlineStr">
        <is>
          <t>សំណើសុំធ្វើបច្ចុប្បន្នភាព</t>
        </is>
      </c>
      <c r="S948" s="163" t="n"/>
    </row>
    <row r="949" ht="15.75" customHeight="1" s="305">
      <c r="A949" s="217" t="inlineStr">
        <is>
          <t>UPDATE_VERSION.SUPPORTED_VERSIONS</t>
        </is>
      </c>
      <c r="B949" s="217" t="inlineStr">
        <is>
          <t>支持的版本：</t>
        </is>
      </c>
      <c r="C949" s="3" t="inlineStr">
        <is>
          <t>Phiên bản yêu cầu:</t>
        </is>
      </c>
      <c r="D949" s="3" t="inlineStr">
        <is>
          <t>Supported versions:</t>
        </is>
      </c>
      <c r="E949" s="3" t="n"/>
      <c r="F949" s="3" t="n"/>
      <c r="G949" s="3">
        <f>IFERROR(__xludf.DUMMYFUNCTION("GOOGLETRANSLATE(C949,""vi"",""km"")"),"កំណែដែលត្រូវការ៖")</f>
        <v/>
      </c>
      <c r="J949" s="3" t="inlineStr">
        <is>
          <t>កំណែដែលត្រូវការ៖</t>
        </is>
      </c>
      <c r="K949" s="217" t="inlineStr">
        <is>
          <t>កំណែដែលត្រូវការ៖</t>
        </is>
      </c>
      <c r="S949" s="163" t="n"/>
    </row>
    <row r="950" ht="15.75" customHeight="1" s="305">
      <c r="A950" s="217" t="inlineStr">
        <is>
          <t>UPDATE_VERSION.VERSION_EMPTY</t>
        </is>
      </c>
      <c r="B950" s="217" t="inlineStr">
        <is>
          <t>未找到有效的版本信息。</t>
        </is>
      </c>
      <c r="C950" s="3" t="inlineStr">
        <is>
          <t>Không tìm thấy thông tin phiên bản hợp lệ.</t>
        </is>
      </c>
      <c r="D950" s="3" t="inlineStr">
        <is>
          <t>No valid version information found.</t>
        </is>
      </c>
      <c r="E950" s="3" t="n"/>
      <c r="F950" s="3" t="n"/>
      <c r="G950" s="3">
        <f>IFERROR(__xludf.DUMMYFUNCTION("GOOGLETRANSLATE(C950,""vi"",""km"")"),"រកមិនឃើញព័ត៌មានកំណែដែលត្រឹមត្រូវទេ។")</f>
        <v/>
      </c>
      <c r="J950" s="3" t="inlineStr">
        <is>
          <t>រកមិនឃើញព័ត៌មានកំណែដែលត្រឹមត្រូវទេ។</t>
        </is>
      </c>
      <c r="K950" s="217" t="inlineStr">
        <is>
          <t>រកមិនឃើញព័ត៌មានកំណែដែលត្រឹមត្រូវទេ។</t>
        </is>
      </c>
      <c r="S950" s="163" t="n"/>
    </row>
    <row r="951" ht="15.75" customHeight="1" s="305">
      <c r="A951" s="217" t="inlineStr">
        <is>
          <t>ACCOUNT_EDIT.BUSINESS_TYPE</t>
        </is>
      </c>
      <c r="B951" s="217" t="inlineStr">
        <is>
          <t>分类</t>
        </is>
      </c>
      <c r="C951" s="3" t="inlineStr">
        <is>
          <t>Phân loại</t>
        </is>
      </c>
      <c r="D951" s="3" t="inlineStr">
        <is>
          <t>Business Type</t>
        </is>
      </c>
      <c r="E951" s="3" t="n"/>
      <c r="F951" s="3" t="n"/>
      <c r="G951" s="3">
        <f>IFERROR(__xludf.DUMMYFUNCTION("GOOGLETRANSLATE(C951,""vi"",""km"")"),"ចាត់ថ្នាក់")</f>
        <v/>
      </c>
      <c r="J951" s="3" t="inlineStr">
        <is>
          <t>ចាត់ថ្នាក់</t>
        </is>
      </c>
      <c r="K951" s="217" t="inlineStr">
        <is>
          <t>ចាត់ថ្នាក់</t>
        </is>
      </c>
      <c r="S951" s="163" t="n"/>
    </row>
    <row r="952" ht="15.75" customHeight="1" s="305">
      <c r="A952" s="217" t="inlineStr">
        <is>
          <t>ACCOUNT_EDIT.EVERY_DAY</t>
        </is>
      </c>
      <c r="B952" s="217" t="inlineStr">
        <is>
          <t>每天</t>
        </is>
      </c>
      <c r="C952" s="3" t="inlineStr">
        <is>
          <t>Hàng ngày</t>
        </is>
      </c>
      <c r="D952" s="3" t="inlineStr">
        <is>
          <t>Every day</t>
        </is>
      </c>
      <c r="E952" s="3" t="n"/>
      <c r="F952" s="3" t="n"/>
      <c r="G952" s="3">
        <f>IFERROR(__xludf.DUMMYFUNCTION("GOOGLETRANSLATE(C952,""vi"",""km"")"),"រាល់ថ្ងៃ")</f>
        <v/>
      </c>
      <c r="J952" s="3" t="inlineStr">
        <is>
          <t>រាល់ថ្ងៃ</t>
        </is>
      </c>
      <c r="K952" s="217" t="inlineStr">
        <is>
          <t>រាល់ថ្ងៃ</t>
        </is>
      </c>
      <c r="S952" s="163" t="n"/>
    </row>
    <row r="953" ht="15.75" customHeight="1" s="305">
      <c r="A953" s="217" t="inlineStr">
        <is>
          <t>ACCOUNT_EDIT.TAX_ID</t>
        </is>
      </c>
      <c r="B953" s="217" t="inlineStr">
        <is>
          <t>税务号</t>
        </is>
      </c>
      <c r="C953" s="3" t="inlineStr">
        <is>
          <t>Mã số thuế</t>
        </is>
      </c>
      <c r="D953" s="3" t="inlineStr">
        <is>
          <t>Tax ID</t>
        </is>
      </c>
      <c r="E953" s="3" t="n"/>
      <c r="F953" s="3" t="n"/>
      <c r="G953" s="3">
        <f>IFERROR(__xludf.DUMMYFUNCTION("GOOGLETRANSLATE(C953,""vi"",""km"")"),"លេខសម្គាល់ពន្ធ")</f>
        <v/>
      </c>
      <c r="J953" s="3" t="inlineStr">
        <is>
          <t>លេខសម្គាល់ពន្ធ</t>
        </is>
      </c>
      <c r="K953" s="217" t="inlineStr">
        <is>
          <t>លេខសម្គាល់ពន្ធ</t>
        </is>
      </c>
      <c r="S953" s="163" t="n"/>
    </row>
    <row r="954" ht="15.75" customHeight="1" s="305">
      <c r="A954" s="217" t="inlineStr">
        <is>
          <t>ACCOUNT_EDIT.TAX_INFO</t>
        </is>
      </c>
      <c r="B954" s="217" t="inlineStr">
        <is>
          <t>税务信息</t>
        </is>
      </c>
      <c r="C954" s="3" t="inlineStr">
        <is>
          <t>Thông tin thuế</t>
        </is>
      </c>
      <c r="D954" s="3" t="inlineStr">
        <is>
          <t>Tax Information</t>
        </is>
      </c>
      <c r="E954" s="3" t="n"/>
      <c r="F954" s="3" t="n"/>
      <c r="G954" s="3">
        <f>IFERROR(__xludf.DUMMYFUNCTION("GOOGLETRANSLATE(C954,""vi"",""km"")"),"ព័ត៌មានពន្ធ")</f>
        <v/>
      </c>
      <c r="J954" s="3" t="inlineStr">
        <is>
          <t>ព័ត៌មានពន្ធ</t>
        </is>
      </c>
      <c r="K954" s="217" t="inlineStr">
        <is>
          <t>ព័ត៌មានពន្ធ</t>
        </is>
      </c>
      <c r="S954" s="163" t="n"/>
    </row>
    <row r="955" ht="15.75" customHeight="1" s="305">
      <c r="A955" s="217" t="inlineStr">
        <is>
          <t>COMMON.CANCEL</t>
        </is>
      </c>
      <c r="B955" s="217" t="inlineStr">
        <is>
          <t>取消</t>
        </is>
      </c>
      <c r="C955" s="3" t="inlineStr">
        <is>
          <t>Huỷ bỏ</t>
        </is>
      </c>
      <c r="D955" s="3" t="inlineStr">
        <is>
          <t>Cancel</t>
        </is>
      </c>
      <c r="E955" s="3" t="n"/>
      <c r="F955" s="3" t="n"/>
      <c r="G955" s="3">
        <f>IFERROR(__xludf.DUMMYFUNCTION("GOOGLETRANSLATE(C955,""vi"",""km"")"),"បោះបង់")</f>
        <v/>
      </c>
      <c r="J955" s="3" t="inlineStr">
        <is>
          <t>បោះបង់</t>
        </is>
      </c>
      <c r="K955" s="217" t="inlineStr">
        <is>
          <t>បោះបង់</t>
        </is>
      </c>
      <c r="S955" s="163" t="n"/>
    </row>
    <row r="956" ht="15.75" customHeight="1" s="305">
      <c r="A956" s="217" t="inlineStr">
        <is>
          <t>COMMON.SETTING</t>
        </is>
      </c>
      <c r="B956" s="217" t="inlineStr">
        <is>
          <t>设置</t>
        </is>
      </c>
      <c r="C956" s="3" t="inlineStr">
        <is>
          <t>Cài đặt</t>
        </is>
      </c>
      <c r="D956" s="3" t="inlineStr">
        <is>
          <t>Setting</t>
        </is>
      </c>
      <c r="E956" s="3" t="n"/>
      <c r="F956" s="3" t="n"/>
      <c r="G956" s="3">
        <f>IFERROR(__xludf.DUMMYFUNCTION("GOOGLETRANSLATE(C956,""vi"",""km"")"),"ការកំណត់")</f>
        <v/>
      </c>
      <c r="J956" s="3" t="inlineStr">
        <is>
          <t>ការកំណត់</t>
        </is>
      </c>
      <c r="K956" s="217" t="inlineStr">
        <is>
          <t>ការកំណត់</t>
        </is>
      </c>
      <c r="S956" s="163" t="n"/>
    </row>
    <row r="957" ht="15.75" customHeight="1" s="305">
      <c r="A957" s="217" t="inlineStr">
        <is>
          <t>MANAGE_ORDER.CHOOSE_TEMPLATE</t>
        </is>
      </c>
      <c r="B957" s="217" t="inlineStr">
        <is>
          <t>选择打印模板</t>
        </is>
      </c>
      <c r="C957" s="3" t="inlineStr">
        <is>
          <t>Chọn loại mẫu in</t>
        </is>
      </c>
      <c r="D957" s="3" t="inlineStr">
        <is>
          <t>Choose template</t>
        </is>
      </c>
      <c r="E957" s="3" t="n"/>
      <c r="F957" s="3" t="n"/>
      <c r="G957" s="3">
        <f>IFERROR(__xludf.DUMMYFUNCTION("GOOGLETRANSLATE(C957,""vi"",""km"")"),"ជ្រើសរើសប្រភេទគំរូបោះពុម្ព")</f>
        <v/>
      </c>
      <c r="J957" s="3" t="inlineStr">
        <is>
          <t>ជ្រើសរើសប្រភេទគំរូព្រីន</t>
        </is>
      </c>
      <c r="K957" s="217" t="inlineStr">
        <is>
          <t>ជ្រើសរើសប្រភេទគំរូព្រីន</t>
        </is>
      </c>
      <c r="S957" s="163" t="n"/>
    </row>
    <row r="958" ht="15.75" customHeight="1" s="305">
      <c r="A958" s="217" t="inlineStr">
        <is>
          <t>MANAGE_ORDER.COMPLETE</t>
        </is>
      </c>
      <c r="B958" s="217" t="inlineStr">
        <is>
          <t>完成</t>
        </is>
      </c>
      <c r="C958" s="3" t="inlineStr">
        <is>
          <t>Hoàn thành</t>
        </is>
      </c>
      <c r="D958" s="3" t="inlineStr">
        <is>
          <t>Completed</t>
        </is>
      </c>
      <c r="E958" s="3" t="n"/>
      <c r="F958" s="3" t="n"/>
      <c r="G958" s="3">
        <f>IFERROR(__xludf.DUMMYFUNCTION("GOOGLETRANSLATE(C958,""vi"",""km"")"),"ពេញលេញ")</f>
        <v/>
      </c>
      <c r="J958" s="3" t="inlineStr">
        <is>
          <t>បានបញ្ចប់</t>
        </is>
      </c>
      <c r="K958" s="217" t="inlineStr">
        <is>
          <t>បានបញ្ចប់</t>
        </is>
      </c>
      <c r="S958" s="163" t="n"/>
    </row>
    <row r="959" ht="15.75" customHeight="1" s="305">
      <c r="A959" s="217" t="inlineStr">
        <is>
          <t>MANAGE_ORDER.CONFIG_PRINT</t>
        </is>
      </c>
      <c r="B959" s="217" t="inlineStr">
        <is>
          <t>打印模板配置</t>
        </is>
      </c>
      <c r="C959" s="3" t="inlineStr">
        <is>
          <t>Cấu hình mẫu in</t>
        </is>
      </c>
      <c r="D959" s="3" t="inlineStr">
        <is>
          <t>Print config</t>
        </is>
      </c>
      <c r="E959" s="3" t="n"/>
      <c r="F959" s="3" t="n"/>
      <c r="G959" s="3">
        <f>IFERROR(__xludf.DUMMYFUNCTION("GOOGLETRANSLATE(C959,""vi"",""km"")"),"ការកំណត់រចនាសម្ព័ន្ធគំរូបោះពុម្ព")</f>
        <v/>
      </c>
      <c r="J959" s="3" t="inlineStr">
        <is>
          <t>ការកំណត់រចនាសម្ព័ន្ធគំរូព្រីន</t>
        </is>
      </c>
      <c r="K959" s="217" t="inlineStr">
        <is>
          <t>ការកំណត់រចនាសម្ព័ន្ធគំរូព្រីន</t>
        </is>
      </c>
      <c r="S959" s="163" t="n"/>
    </row>
    <row r="960" ht="15.75" customHeight="1" s="305">
      <c r="A960" s="217" t="inlineStr">
        <is>
          <t>MANAGE_ORDER.DEVICE_CONNECT</t>
        </is>
      </c>
      <c r="B960" s="217" t="inlineStr">
        <is>
          <t>链接设备</t>
        </is>
      </c>
      <c r="C960" s="3" t="inlineStr">
        <is>
          <t>Thiết bị kết nối</t>
        </is>
      </c>
      <c r="D960" s="3" t="inlineStr">
        <is>
          <t>Connect device</t>
        </is>
      </c>
      <c r="E960" s="3" t="n"/>
      <c r="F960" s="3" t="n"/>
      <c r="G960" s="3">
        <f>IFERROR(__xludf.DUMMYFUNCTION("GOOGLETRANSLATE(C960,""vi"",""km"")"),"ឧបករណ៍ភ្ជាប់")</f>
        <v/>
      </c>
      <c r="J960" s="3" t="inlineStr">
        <is>
          <t>ឧបករណ៍ភ្ជាប់</t>
        </is>
      </c>
      <c r="K960" s="217" t="inlineStr">
        <is>
          <t>ឧបករណ៍ភ្ជាប់</t>
        </is>
      </c>
      <c r="S960" s="163" t="n"/>
    </row>
    <row r="961" ht="15.75" customHeight="1" s="305">
      <c r="A961" s="217" t="inlineStr">
        <is>
          <t>MANAGE_ORDER.EMPTY_BILL_PRINT</t>
        </is>
      </c>
      <c r="B961" s="217" t="inlineStr">
        <is>
          <t>获取运单信息出现错误</t>
        </is>
      </c>
      <c r="C961" s="3" t="inlineStr">
        <is>
          <t>Có lỗi khi lấy thông tin vận đơn</t>
        </is>
      </c>
      <c r="D961" s="3" t="inlineStr">
        <is>
          <t>Error retrieving bill information</t>
        </is>
      </c>
      <c r="E961" s="3" t="n"/>
      <c r="F961" s="3" t="n"/>
      <c r="G961" s="3">
        <f>IFERROR(__xludf.DUMMYFUNCTION("GOOGLETRANSLATE(C961,""vi"",""km"")"),"មានកំហុសក្នុងការទាញយកព័ត៌មានវិក្កយបត្រដឹកជញ្ជូន។")</f>
        <v/>
      </c>
      <c r="J961" s="3" t="inlineStr">
        <is>
          <t>មានកំហុសក្នុងការទាញយកព័ត៌មានបុងបញ្ញើ។</t>
        </is>
      </c>
      <c r="K961" s="217" t="inlineStr">
        <is>
          <t>មានកំហុសក្នុងការទាញយកព័ត៌មានបុងបញ្ញើ។</t>
        </is>
      </c>
      <c r="S961" s="163" t="n"/>
    </row>
    <row r="962" ht="15.75" customHeight="1" s="305">
      <c r="A962" s="217" t="inlineStr">
        <is>
          <t>MANAGE_ORDER.ESTABLISHED</t>
        </is>
      </c>
      <c r="B962" s="217" t="inlineStr">
        <is>
          <t>已设置</t>
        </is>
      </c>
      <c r="C962" s="3" t="inlineStr">
        <is>
          <t>Đã thiết lập</t>
        </is>
      </c>
      <c r="D962" s="3" t="inlineStr">
        <is>
          <t>Established</t>
        </is>
      </c>
      <c r="E962" s="3" t="n"/>
      <c r="F962" s="3" t="n"/>
      <c r="G962" s="3">
        <f>IFERROR(__xludf.DUMMYFUNCTION("GOOGLETRANSLATE(C962,""vi"",""km"")"),"ដំឡើង")</f>
        <v/>
      </c>
      <c r="J962" s="3" t="inlineStr">
        <is>
          <t>ដំឡើង</t>
        </is>
      </c>
      <c r="K962" s="217" t="inlineStr">
        <is>
          <t>ដំឡើង</t>
        </is>
      </c>
      <c r="S962" s="163" t="n"/>
    </row>
    <row r="963" ht="15.75" customHeight="1" s="305">
      <c r="A963" s="217" t="inlineStr">
        <is>
          <t>MANAGE_ORDER.FORGOT_DEVICE</t>
        </is>
      </c>
      <c r="B963" s="217" t="inlineStr">
        <is>
          <t>忘设备</t>
        </is>
      </c>
      <c r="C963" s="3" t="inlineStr">
        <is>
          <t>Quên thiết bị</t>
        </is>
      </c>
      <c r="D963" s="3" t="inlineStr">
        <is>
          <t>Forgot printers</t>
        </is>
      </c>
      <c r="E963" s="3" t="n"/>
      <c r="F963" s="3" t="n"/>
      <c r="G963" s="3">
        <f>IFERROR(__xludf.DUMMYFUNCTION("GOOGLETRANSLATE(C963,""vi"",""km"")"),"ភ្លេចឧបករណ៍ហើយ")</f>
        <v/>
      </c>
      <c r="J963" s="3" t="inlineStr">
        <is>
          <t>ភ្លេចឧបករណ៍ហើយ</t>
        </is>
      </c>
      <c r="K963" s="217" t="inlineStr">
        <is>
          <t>ភ្លេចឧបករណ៍ហើយ</t>
        </is>
      </c>
      <c r="S963" s="163" t="n"/>
    </row>
    <row r="964" ht="15.75" customHeight="1" s="305">
      <c r="A964" s="217" t="inlineStr">
        <is>
          <t>MANAGE_ORDER.IP_ADDRESS_INVALID</t>
        </is>
      </c>
      <c r="B964" s="217" t="inlineStr">
        <is>
          <t>IP 定义不正确</t>
        </is>
      </c>
      <c r="C964" s="3" t="inlineStr">
        <is>
          <t>IP không đúng định dạng</t>
        </is>
      </c>
      <c r="D964" s="3" t="inlineStr">
        <is>
          <t>IP address is invalid</t>
        </is>
      </c>
      <c r="E964" s="3" t="n"/>
      <c r="F964" s="3" t="n"/>
      <c r="G964" s="3">
        <f>IFERROR(__xludf.DUMMYFUNCTION("GOOGLETRANSLATE(C964,""vi"",""km"")"),"អាសយដ្ឋាន IP មិនមានទម្រង់ត្រឹមត្រូវទេ។")</f>
        <v/>
      </c>
      <c r="J964" s="3" t="inlineStr">
        <is>
          <t>អាសយដ្ឋាន IP មិនមានទម្រង់ត្រឹមត្រូវទេ។</t>
        </is>
      </c>
      <c r="K964" s="217" t="inlineStr">
        <is>
          <t>អាសយដ្ឋាន IP មិនមានទម្រង់ត្រឹមត្រូវទេ។</t>
        </is>
      </c>
      <c r="S964" s="163" t="n"/>
    </row>
    <row r="965" ht="15.75" customHeight="1" s="305">
      <c r="A965" s="217" t="inlineStr">
        <is>
          <t>MANAGE_ORDER.NOT_YET_SET_UP</t>
        </is>
      </c>
      <c r="B965" s="217" t="inlineStr">
        <is>
          <t>未设置</t>
        </is>
      </c>
      <c r="C965" s="3" t="inlineStr">
        <is>
          <t>Chưa thiết lập</t>
        </is>
      </c>
      <c r="D965" s="3" t="inlineStr">
        <is>
          <t>Not set up</t>
        </is>
      </c>
      <c r="E965" s="3" t="n"/>
      <c r="F965" s="3" t="n"/>
      <c r="G965" s="3">
        <f>IFERROR(__xludf.DUMMYFUNCTION("GOOGLETRANSLATE(C965,""vi"",""km"")"),"មិនទាន់បានដំឡើងនៅឡើយទេ")</f>
        <v/>
      </c>
      <c r="J965" s="3" t="inlineStr">
        <is>
          <t>មិនទាន់បានដំឡើងនៅឡើយទេ</t>
        </is>
      </c>
      <c r="K965" s="217" t="inlineStr">
        <is>
          <t>មិនទាន់បានដំឡើងនៅឡើយទេ</t>
        </is>
      </c>
      <c r="S965" s="163" t="n"/>
    </row>
    <row r="966" ht="15.75" customHeight="1" s="305">
      <c r="A966" s="217" t="inlineStr">
        <is>
          <t>MANAGE_ORDER.PRINTING</t>
        </is>
      </c>
      <c r="B966" s="217" t="inlineStr">
        <is>
          <t>正在打印</t>
        </is>
      </c>
      <c r="C966" s="3" t="inlineStr">
        <is>
          <t>Đang in...</t>
        </is>
      </c>
      <c r="D966" s="3" t="inlineStr">
        <is>
          <t>Printing...</t>
        </is>
      </c>
      <c r="E966" s="3" t="n"/>
      <c r="F966" s="3" t="n"/>
      <c r="G966" s="3">
        <f>IFERROR(__xludf.DUMMYFUNCTION("GOOGLETRANSLATE(C966,""vi"",""km"")"),"ការបោះពុម្ពកំពុងដំណើរការ...")</f>
        <v/>
      </c>
      <c r="J966" s="3" t="inlineStr">
        <is>
          <t>ការព្រីនកំពុងដំណើរការ...</t>
        </is>
      </c>
      <c r="K966" s="217" t="inlineStr">
        <is>
          <t>ការព្រីនកំពុងដំណើរការ...</t>
        </is>
      </c>
      <c r="S966" s="163" t="n"/>
    </row>
    <row r="967" ht="15.75" customHeight="1" s="305">
      <c r="A967" s="217" t="inlineStr">
        <is>
          <t>MANAGE_ORDER.RESCAN</t>
        </is>
      </c>
      <c r="B967" s="217" t="inlineStr">
        <is>
          <t>重新刷</t>
        </is>
      </c>
      <c r="C967" s="3" t="inlineStr">
        <is>
          <t>Quét lại</t>
        </is>
      </c>
      <c r="D967" s="3" t="inlineStr">
        <is>
          <t>Rescan</t>
        </is>
      </c>
      <c r="E967" s="3" t="n"/>
      <c r="F967" s="3" t="n"/>
      <c r="G967" s="3">
        <f>IFERROR(__xludf.DUMMYFUNCTION("GOOGLETRANSLATE(C967,""vi"",""km"")"),"ស្កេនឡើងវិញ")</f>
        <v/>
      </c>
      <c r="J967" s="3" t="inlineStr">
        <is>
          <t>ស្កេនឡើងវិញ</t>
        </is>
      </c>
      <c r="K967" s="217" t="inlineStr">
        <is>
          <t>ស្កេនឡើងវិញ</t>
        </is>
      </c>
      <c r="S967" s="163" t="n"/>
    </row>
    <row r="968" ht="15.75" customHeight="1" s="305">
      <c r="A968" s="217" t="inlineStr">
        <is>
          <t>MANAGE_ORDER.SCANNING</t>
        </is>
      </c>
      <c r="B968" s="217" t="inlineStr">
        <is>
          <t>正在刷</t>
        </is>
      </c>
      <c r="C968" s="3" t="inlineStr">
        <is>
          <t>Đang quét...</t>
        </is>
      </c>
      <c r="D968" s="3" t="inlineStr">
        <is>
          <t>Scanning...</t>
        </is>
      </c>
      <c r="E968" s="3" t="n"/>
      <c r="F968" s="3" t="n"/>
      <c r="G968" s="3">
        <f>IFERROR(__xludf.DUMMYFUNCTION("GOOGLETRANSLATE(C968,""vi"",""km"")"),"ការស្កេនកំពុងដំណើរការ...")</f>
        <v/>
      </c>
      <c r="J968" s="3" t="inlineStr">
        <is>
          <t>ការស្កេនកំពុងដំណើរការ...</t>
        </is>
      </c>
      <c r="K968" s="217" t="inlineStr">
        <is>
          <t>ការស្កេនកំពុងដំណើរការ...</t>
        </is>
      </c>
      <c r="S968" s="163" t="n"/>
    </row>
    <row r="969" ht="15.75" customHeight="1" s="305">
      <c r="A969" s="217" t="inlineStr">
        <is>
          <t>MANAGE_ORDER.SCAN_DEVICE</t>
        </is>
      </c>
      <c r="B969" s="217" t="inlineStr">
        <is>
          <t>搜索设备</t>
        </is>
      </c>
      <c r="C969" s="3" t="inlineStr">
        <is>
          <t>Quét thiết bị</t>
        </is>
      </c>
      <c r="D969" s="3" t="inlineStr">
        <is>
          <t>Scan for printers</t>
        </is>
      </c>
      <c r="E969" s="3" t="n"/>
      <c r="F969" s="3" t="n"/>
      <c r="G969" s="3">
        <f>IFERROR(__xludf.DUMMYFUNCTION("GOOGLETRANSLATE(C969,""vi"",""km"")"),"ស្កេនឧបករណ៍")</f>
        <v/>
      </c>
      <c r="J969" s="3" t="inlineStr">
        <is>
          <t>ស្កេនឧបករណ៍</t>
        </is>
      </c>
      <c r="K969" s="217" t="inlineStr">
        <is>
          <t>ស្កេនឧបករណ៍</t>
        </is>
      </c>
      <c r="S969" s="163" t="n"/>
    </row>
    <row r="970" ht="15.75" customHeight="1" s="305">
      <c r="A970" s="217" t="inlineStr">
        <is>
          <t>MANAGE_ORDER.TEMPLATE</t>
        </is>
      </c>
      <c r="B970" s="217" t="inlineStr">
        <is>
          <t>打印模板</t>
        </is>
      </c>
      <c r="C970" s="3" t="inlineStr">
        <is>
          <t>Mẫu in</t>
        </is>
      </c>
      <c r="D970" s="3" t="inlineStr">
        <is>
          <t>Template</t>
        </is>
      </c>
      <c r="E970" s="3" t="n"/>
      <c r="F970" s="3" t="n"/>
      <c r="G970" s="3">
        <f>IFERROR(__xludf.DUMMYFUNCTION("GOOGLETRANSLATE(C970,""vi"",""km"")"),"គំរូបោះពុម្ព")</f>
        <v/>
      </c>
      <c r="J970" s="3" t="inlineStr">
        <is>
          <t>គំរូព្រីន</t>
        </is>
      </c>
      <c r="K970" s="217" t="inlineStr">
        <is>
          <t>គំរូព្រីន</t>
        </is>
      </c>
      <c r="S970" s="163" t="n"/>
    </row>
    <row r="971" ht="15.75" customHeight="1" s="305">
      <c r="A971" s="217" t="inlineStr">
        <is>
          <t>MANAGE_ORDER.TITLE_INPUT_IP_PRINTER</t>
        </is>
      </c>
      <c r="B971" s="217" t="inlineStr">
        <is>
          <t>填打印机 IP</t>
        </is>
      </c>
      <c r="C971" s="3" t="inlineStr">
        <is>
          <t>Nhập địa chỉ IP máy in</t>
        </is>
      </c>
      <c r="D971" s="3" t="inlineStr">
        <is>
          <t>Add printer by IP address</t>
        </is>
      </c>
      <c r="E971" s="3" t="n"/>
      <c r="F971" s="3" t="n"/>
      <c r="G971" s="3">
        <f>IFERROR(__xludf.DUMMYFUNCTION("GOOGLETRANSLATE(C971,""vi"",""km"")"),"បញ្ចូលអាសយដ្ឋាន IP របស់ម៉ាស៊ីនបោះពុម្ព។")</f>
        <v/>
      </c>
      <c r="J971" s="3" t="inlineStr">
        <is>
          <t>បញ្ចូលអាសយដ្ឋាន IP របស់ម៉ាស៊ីនព្រីន។</t>
        </is>
      </c>
      <c r="K971" s="217" t="inlineStr">
        <is>
          <t>បញ្ចូលអាសយដ្ឋាន IP របស់ម៉ាស៊ីនព្រីន។</t>
        </is>
      </c>
      <c r="S971" s="163" t="n"/>
    </row>
    <row r="972" ht="15.75" customHeight="1" s="305">
      <c r="A972" s="217" t="inlineStr">
        <is>
          <t>COD_PRICE.CLOSE</t>
        </is>
      </c>
      <c r="B972" s="217" t="inlineStr">
        <is>
          <t>关闭</t>
        </is>
      </c>
      <c r="C972" s="3" t="inlineStr">
        <is>
          <t>Đóng</t>
        </is>
      </c>
      <c r="D972" s="3" t="inlineStr">
        <is>
          <t>Close</t>
        </is>
      </c>
      <c r="E972" s="3" t="n"/>
      <c r="F972" s="3" t="n"/>
      <c r="G972" s="3">
        <f>IFERROR(__xludf.DUMMYFUNCTION("GOOGLETRANSLATE(C972,""vi"",""km"")"),"បិទ")</f>
        <v/>
      </c>
      <c r="J972" s="3" t="inlineStr">
        <is>
          <t>បិទ</t>
        </is>
      </c>
      <c r="K972" s="217" t="inlineStr">
        <is>
          <t>បិទ</t>
        </is>
      </c>
      <c r="S972" s="163" t="n"/>
    </row>
    <row r="973" ht="15.75" customHeight="1" s="305">
      <c r="A973" s="217" t="inlineStr">
        <is>
          <t>COD_PRICE.CONFIRM</t>
        </is>
      </c>
      <c r="B973" s="217" t="inlineStr">
        <is>
          <t>确认</t>
        </is>
      </c>
      <c r="C973" s="3" t="inlineStr">
        <is>
          <t>Xác nhận</t>
        </is>
      </c>
      <c r="D973" s="3" t="inlineStr">
        <is>
          <t>Confirm</t>
        </is>
      </c>
      <c r="E973" s="3" t="n"/>
      <c r="F973" s="3" t="n"/>
      <c r="G973" s="3">
        <f>IFERROR(__xludf.DUMMYFUNCTION("GOOGLETRANSLATE(C973,""vi"",""km"")"),"បញ្ជាក់")</f>
        <v/>
      </c>
      <c r="J973" s="3" t="inlineStr">
        <is>
          <t>បញ្ជាក់</t>
        </is>
      </c>
      <c r="K973" s="217" t="inlineStr">
        <is>
          <t>បញ្ជាក់</t>
        </is>
      </c>
      <c r="S973" s="163" t="n"/>
    </row>
    <row r="974" ht="15.75" customHeight="1" s="305">
      <c r="A974" s="217" t="inlineStr">
        <is>
          <t>COD_PRICE.CONFIRM_GO_BACK</t>
        </is>
      </c>
      <c r="B974" s="217" t="inlineStr">
        <is>
          <t>您确认退回吗？</t>
        </is>
      </c>
      <c r="C974" s="3" t="inlineStr">
        <is>
          <t>Bạn có xác nhận quay lại không?</t>
        </is>
      </c>
      <c r="D974" s="3" t="inlineStr">
        <is>
          <t>Do you confirm to go back?</t>
        </is>
      </c>
      <c r="E974" s="3" t="n"/>
      <c r="F974" s="3" t="n"/>
      <c r="G974" s="3">
        <f>IFERROR(__xludf.DUMMYFUNCTION("GOOGLETRANSLATE(C974,""vi"",""km"")"),"តើអ្នកបញ្ជាក់ពីការត្រឡប់មកវិញរបស់អ្នកទេ?")</f>
        <v/>
      </c>
      <c r="J974" s="3" t="inlineStr">
        <is>
          <t>តើអ្នកបញ្ជាក់ពីការត្រឡប់មកវិញរបស់អ្នកទេ?</t>
        </is>
      </c>
      <c r="K974" s="217" t="inlineStr">
        <is>
          <t>តើអ្នកបញ្ជាក់ពីការត្រឡប់មកវិញរបស់អ្នកទេ?</t>
        </is>
      </c>
      <c r="S974" s="163" t="n"/>
    </row>
    <row r="975" ht="15.75" customHeight="1" s="305">
      <c r="A975" s="217" t="inlineStr">
        <is>
          <t>COD_PRICE.COPIED_SUCCESSFULLY</t>
        </is>
      </c>
      <c r="B975" s="217" t="inlineStr">
        <is>
          <t>复制成功</t>
        </is>
      </c>
      <c r="C975" s="3" t="inlineStr">
        <is>
          <t>Sao chép thành công</t>
        </is>
      </c>
      <c r="D975" s="3" t="inlineStr">
        <is>
          <t>Copied successfully</t>
        </is>
      </c>
      <c r="E975" s="3" t="n"/>
      <c r="F975" s="3" t="n"/>
      <c r="G975" s="3">
        <f>IFERROR(__xludf.DUMMYFUNCTION("GOOGLETRANSLATE(C975,""vi"",""km"")"),"ការចម្លងបានជោគជ័យ")</f>
        <v/>
      </c>
      <c r="J975" s="3" t="inlineStr">
        <is>
          <t>ការចម្លងបានជោគជ័យ</t>
        </is>
      </c>
      <c r="K975" s="217" t="inlineStr">
        <is>
          <t>ការចម្លងបានជោគជ័យ</t>
        </is>
      </c>
      <c r="S975" s="163" t="n"/>
    </row>
    <row r="976" ht="15.75" customHeight="1" s="305">
      <c r="A976" s="217" t="inlineStr">
        <is>
          <t>COD_PRICE.NOT_SUCCESS</t>
        </is>
      </c>
      <c r="B976" s="217" t="inlineStr">
        <is>
          <t>未成功</t>
        </is>
      </c>
      <c r="C976" s="3" t="inlineStr">
        <is>
          <t>Chưa thành công</t>
        </is>
      </c>
      <c r="D976" s="3" t="inlineStr">
        <is>
          <t>Not Success</t>
        </is>
      </c>
      <c r="E976" s="3" t="n"/>
      <c r="F976" s="3" t="n"/>
      <c r="G976" s="3">
        <f>IFERROR(__xludf.DUMMYFUNCTION("GOOGLETRANSLATE(C976,""vi"",""km"")"),"មិនជោគជ័យទេ")</f>
        <v/>
      </c>
      <c r="J976" s="3" t="inlineStr">
        <is>
          <t>មិនជោគជ័យទេ</t>
        </is>
      </c>
      <c r="K976" s="217" t="inlineStr">
        <is>
          <t>មិនជោគជ័យទេ</t>
        </is>
      </c>
      <c r="S976" s="163" t="n"/>
    </row>
    <row r="977" ht="15.75" customHeight="1" s="305">
      <c r="A977" s="217" t="inlineStr">
        <is>
          <t>COD_PRICE.PAYMENT_INFO</t>
        </is>
      </c>
      <c r="B977" s="217" t="inlineStr">
        <is>
          <t>付款信息</t>
        </is>
      </c>
      <c r="C977" s="3" t="inlineStr">
        <is>
          <t>Thông tin thanh toán</t>
        </is>
      </c>
      <c r="D977" s="3" t="inlineStr">
        <is>
          <t>Payment Information</t>
        </is>
      </c>
      <c r="E977" s="3" t="n"/>
      <c r="F977" s="3" t="n"/>
      <c r="G977" s="3">
        <f>IFERROR(__xludf.DUMMYFUNCTION("GOOGLETRANSLATE(C977,""vi"",""km"")"),"ព័ត៌មាន​ទូទាត់")</f>
        <v/>
      </c>
      <c r="J977" s="3" t="inlineStr">
        <is>
          <t>ព័ត៌មានទូទាត់</t>
        </is>
      </c>
      <c r="K977" s="217" t="inlineStr">
        <is>
          <t>ព័ត៌មានទូទាត់</t>
        </is>
      </c>
      <c r="S977" s="163" t="n"/>
    </row>
    <row r="978" ht="15.75" customHeight="1" s="305">
      <c r="A978" s="217" t="inlineStr">
        <is>
          <t>COD_PRICE.PAYMENT_NOT_RECORDED</t>
        </is>
      </c>
      <c r="B978" s="217" t="inlineStr">
        <is>
          <t>交易未记录</t>
        </is>
      </c>
      <c r="C978" s="3" t="inlineStr">
        <is>
          <t>Giao dịch chưa được ghi nhận!</t>
        </is>
      </c>
      <c r="D978" s="3" t="inlineStr">
        <is>
          <t>Transaction has not been recorded!</t>
        </is>
      </c>
      <c r="E978" s="3" t="n"/>
      <c r="F978" s="3" t="n"/>
      <c r="G978" s="3">
        <f>IFERROR(__xludf.DUMMYFUNCTION("GOOGLETRANSLATE(C978,""vi"",""km"")"),"ប្រតិបត្តិការមិនទាន់ត្រូវបានកត់ត្រាទុកទេ!")</f>
        <v/>
      </c>
      <c r="J978" s="3" t="inlineStr">
        <is>
          <t>ប្រតិបត្តិការមិនទាន់ត្រូវបានកត់ត្រាទុកទេ!</t>
        </is>
      </c>
      <c r="K978" s="217" t="inlineStr">
        <is>
          <t>ប្រតិបត្តិការមិនទាន់ត្រូវបានកត់ត្រាទុកទេ!</t>
        </is>
      </c>
      <c r="S978" s="163" t="n"/>
    </row>
    <row r="979" ht="15.75" customHeight="1" s="305">
      <c r="A979" s="217" t="inlineStr">
        <is>
          <t>COD_PRICE.PAYMENT_SUCCESSFUL</t>
        </is>
      </c>
      <c r="B979" s="217" t="inlineStr">
        <is>
          <t>付款成功</t>
        </is>
      </c>
      <c r="C979" s="3" t="inlineStr">
        <is>
          <t>Thanh toán thành công</t>
        </is>
      </c>
      <c r="D979" s="3" t="inlineStr">
        <is>
          <t>Payment successful</t>
        </is>
      </c>
      <c r="E979" s="3" t="n"/>
      <c r="F979" s="3" t="n"/>
      <c r="G979" s="3">
        <f>IFERROR(__xludf.DUMMYFUNCTION("GOOGLETRANSLATE(C979,""vi"",""km"")"),"ការទូទាត់បានជោគជ័យ")</f>
        <v/>
      </c>
      <c r="J979" s="3" t="inlineStr">
        <is>
          <t>ការទូទាត់ជោគជ័យ</t>
        </is>
      </c>
      <c r="K979" s="217" t="inlineStr">
        <is>
          <t>ការទូទាត់ជោគជ័យ</t>
        </is>
      </c>
      <c r="S979" s="163" t="n"/>
    </row>
    <row r="980" ht="15.75" customHeight="1" s="305">
      <c r="A980" s="217" t="inlineStr">
        <is>
          <t>COD_PRICE.PAY_TIME</t>
        </is>
      </c>
      <c r="B980" s="217" t="inlineStr">
        <is>
          <t>交易时间</t>
        </is>
      </c>
      <c r="C980" s="3" t="inlineStr">
        <is>
          <t>Thời gian giao dịch</t>
        </is>
      </c>
      <c r="D980" s="3" t="inlineStr">
        <is>
          <t>Payment time</t>
        </is>
      </c>
      <c r="E980" s="3" t="n"/>
      <c r="F980" s="3" t="n"/>
      <c r="G980" s="3">
        <f>IFERROR(__xludf.DUMMYFUNCTION("GOOGLETRANSLATE(C980,""vi"",""km"")"),"ម៉ោងជួញដូរ")</f>
        <v/>
      </c>
      <c r="J980" s="3" t="inlineStr">
        <is>
          <t>ម៉ោងជួញដូរ</t>
        </is>
      </c>
      <c r="K980" s="217" t="inlineStr">
        <is>
          <t>ម៉ោងជួញដូរ</t>
        </is>
      </c>
      <c r="S980" s="163" t="n"/>
    </row>
    <row r="981" ht="15.75" customHeight="1" s="305">
      <c r="A981" s="217" t="inlineStr">
        <is>
          <t>COD_PRICE.PENDING</t>
        </is>
      </c>
      <c r="B981" s="217" t="inlineStr">
        <is>
          <t>未付款</t>
        </is>
      </c>
      <c r="C981" s="3" t="inlineStr">
        <is>
          <t>Chưa thanh toán</t>
        </is>
      </c>
      <c r="D981" s="3" t="inlineStr">
        <is>
          <t>Unpaid</t>
        </is>
      </c>
      <c r="E981" s="3" t="n"/>
      <c r="F981" s="3" t="n"/>
      <c r="G981" s="3">
        <f>IFERROR(__xludf.DUMMYFUNCTION("GOOGLETRANSLATE(C981,""vi"",""km"")"),"មិនទាន់បានបង់ប្រាក់")</f>
        <v/>
      </c>
      <c r="J981" s="3" t="inlineStr">
        <is>
          <t>មិនទាន់បានបង់ប្រាក់</t>
        </is>
      </c>
      <c r="K981" s="217" t="inlineStr">
        <is>
          <t>មិនទាន់បានបង់ប្រាក់</t>
        </is>
      </c>
      <c r="S981" s="163" t="n"/>
    </row>
    <row r="982" ht="15.75" customHeight="1" s="305">
      <c r="A982" s="217" t="inlineStr">
        <is>
          <t>COD_PRICE.PLEASE_TRY_AGAIN</t>
        </is>
      </c>
      <c r="B982" s="217" t="inlineStr">
        <is>
          <t>请重试</t>
        </is>
      </c>
      <c r="C982" s="3" t="inlineStr">
        <is>
          <t>Vui lòng thực hiện lại</t>
        </is>
      </c>
      <c r="D982" s="3" t="inlineStr">
        <is>
          <t>Please try again</t>
        </is>
      </c>
      <c r="E982" s="3" t="n"/>
      <c r="F982" s="3" t="n"/>
      <c r="G982" s="3">
        <f>IFERROR(__xludf.DUMMYFUNCTION("GOOGLETRANSLATE(C982,""vi"",""km"")"),"សូមព្យាយាមម្តងទៀត។")</f>
        <v/>
      </c>
      <c r="J982" s="3" t="inlineStr">
        <is>
          <t>សូមព្យាយាមម្តងទៀត</t>
        </is>
      </c>
      <c r="K982" s="217" t="inlineStr">
        <is>
          <t>សូមព្យាយាមម្តងទៀត</t>
        </is>
      </c>
      <c r="S982" s="163" t="n"/>
    </row>
    <row r="983" ht="15.75" customHeight="1" s="305">
      <c r="A983" s="217" t="inlineStr">
        <is>
          <t>COD_PRICE.QR_CANCEL_WARNING</t>
        </is>
      </c>
      <c r="B983" s="217" t="inlineStr">
        <is>
          <t>执行退回时，二维码将被取消</t>
        </is>
      </c>
      <c r="C983" s="3" t="inlineStr">
        <is>
          <t>Mã QR sẽ bị hủy khi thực hiện thao tác quay lại</t>
        </is>
      </c>
      <c r="D983" s="3" t="inlineStr">
        <is>
          <t>QR code will be canceled when you go back</t>
        </is>
      </c>
      <c r="E983" s="3" t="n"/>
      <c r="F983" s="3" t="n"/>
      <c r="G983" s="3">
        <f>IFERROR(__xludf.DUMMYFUNCTION("GOOGLETRANSLATE(C983,""vi"",""km"")"),"លេខកូដ QR នឹងត្រូវបានលុបចោលនៅពេលអ្នកអនុវត្តប្រតិបត្តិការហៅឡើងវិញ។")</f>
        <v/>
      </c>
      <c r="J983" s="3" t="inlineStr">
        <is>
          <t>លេខកូដ QR នឹងត្រូវបានលុបចោលនៅពេលអ្នកអនុវត្តប្រតិបត្តិការហៅឡើងវិញ។</t>
        </is>
      </c>
      <c r="K983" s="217" t="inlineStr">
        <is>
          <t>លេខកូដ QR នឹងត្រូវបានលុបចោលនៅពេលអ្នកអនុវត្តប្រតិបត្តិការហៅឡើងវិញ។</t>
        </is>
      </c>
      <c r="S983" s="163" t="n"/>
    </row>
    <row r="984" ht="15.75" customHeight="1" s="305">
      <c r="A984" s="217" t="inlineStr">
        <is>
          <t>COD_PRICE.STATUS</t>
        </is>
      </c>
      <c r="B984" s="217" t="inlineStr">
        <is>
          <t>状态</t>
        </is>
      </c>
      <c r="C984" s="3" t="inlineStr">
        <is>
          <t>Trạng thái</t>
        </is>
      </c>
      <c r="D984" s="3" t="inlineStr">
        <is>
          <t>Status</t>
        </is>
      </c>
      <c r="E984" s="3" t="n"/>
      <c r="F984" s="3" t="n"/>
      <c r="G984" s="3">
        <f>IFERROR(__xludf.DUMMYFUNCTION("GOOGLETRANSLATE(C984,""vi"",""km"")"),"ស្ថានភាព")</f>
        <v/>
      </c>
      <c r="J984" s="3" t="inlineStr">
        <is>
          <t>ស្ថានភាព</t>
        </is>
      </c>
      <c r="K984" s="217" t="inlineStr">
        <is>
          <t>ស្ថានភាព</t>
        </is>
      </c>
      <c r="S984" s="163" t="n"/>
    </row>
    <row r="985" ht="15.75" customHeight="1" s="305">
      <c r="A985" s="217" t="inlineStr">
        <is>
          <t>COD_PRICE.SUCCESS</t>
        </is>
      </c>
      <c r="B985" s="217" t="inlineStr">
        <is>
          <t>成功</t>
        </is>
      </c>
      <c r="C985" s="3" t="inlineStr">
        <is>
          <t>Thành công</t>
        </is>
      </c>
      <c r="D985" s="3" t="inlineStr">
        <is>
          <t>Success</t>
        </is>
      </c>
      <c r="E985" s="3" t="n"/>
      <c r="F985" s="3" t="n"/>
      <c r="G985" s="3">
        <f>IFERROR(__xludf.DUMMYFUNCTION("GOOGLETRANSLATE(C985,""vi"",""km"")"),"ជោគជ័យ")</f>
        <v/>
      </c>
      <c r="J985" s="3" t="inlineStr">
        <is>
          <t>ជោគជ័យ</t>
        </is>
      </c>
      <c r="K985" s="217" t="inlineStr">
        <is>
          <t>ជោគជ័យ</t>
        </is>
      </c>
      <c r="S985" s="163" t="n"/>
    </row>
    <row r="986" ht="15.75" customHeight="1" s="305">
      <c r="A986" s="217" t="inlineStr">
        <is>
          <t>COD_PRICE.TOTAL_PAYMENT_AMOUNT</t>
        </is>
      </c>
      <c r="B986" s="217" t="inlineStr">
        <is>
          <t>总付款金额</t>
        </is>
      </c>
      <c r="C986" s="3" t="inlineStr">
        <is>
          <t>Tổng tiền thanh toán:</t>
        </is>
      </c>
      <c r="D986" s="3" t="inlineStr">
        <is>
          <t>Total payment amount:</t>
        </is>
      </c>
      <c r="E986" s="3" t="n"/>
      <c r="F986" s="3" t="n"/>
      <c r="G986" s="3">
        <f>IFERROR(__xludf.DUMMYFUNCTION("GOOGLETRANSLATE(C986,""vi"",""km"")"),"ចំនួនទឹកប្រាក់សរុបដែលត្រូវបង់៖")</f>
        <v/>
      </c>
      <c r="J986" s="3" t="inlineStr">
        <is>
          <t>ចំនួនទឹកប្រាក់សរុបដែលត្រូវបង់៖</t>
        </is>
      </c>
      <c r="K986" s="217" t="inlineStr">
        <is>
          <t>ចំនួនទឹកប្រាក់សរុបដែលត្រូវបង់៖</t>
        </is>
      </c>
      <c r="S986" s="163" t="n"/>
    </row>
    <row r="987" ht="15.75" customHeight="1" s="305">
      <c r="A987" s="217" t="inlineStr">
        <is>
          <t>COD_PRICE.TRANSACTION_NOT_RECONCILED</t>
        </is>
      </c>
      <c r="B987" s="217" t="inlineStr">
        <is>
          <t>交易未记录，请重试</t>
        </is>
      </c>
      <c r="C987" s="3" t="inlineStr">
        <is>
          <t>Giao dịch chưa được ghi nhận. Vui lòng thực hiện lại</t>
        </is>
      </c>
      <c r="D987" s="3" t="inlineStr">
        <is>
          <t>The transaction has not been recorded. Please try again.</t>
        </is>
      </c>
      <c r="E987" s="3" t="n"/>
      <c r="F987" s="3" t="n"/>
      <c r="G987" s="3">
        <f>IFERROR(__xludf.DUMMYFUNCTION("GOOGLETRANSLATE(C987,""vi"",""km"")"),"ប្រតិបត្តិការនេះមិនត្រូវបានកត់ត្រាទុកទេ។ សូមព្យាយាមម្តងទៀត។")</f>
        <v/>
      </c>
      <c r="J987" s="3" t="inlineStr">
        <is>
          <t>ប្រតិបត្តិការនេះមិនត្រូវបានកត់ត្រាទុកទេ។ សូមព្យាយាមម្តងទៀត។</t>
        </is>
      </c>
      <c r="K987" s="217" t="inlineStr">
        <is>
          <t>ប្រតិបត្តិការនេះមិនត្រូវបានកត់ត្រាទុកទេ។ សូមព្យាយាមម្តងទៀត។</t>
        </is>
      </c>
      <c r="S987" s="163" t="n"/>
    </row>
    <row r="988" ht="15.75" customHeight="1" s="305">
      <c r="A988" s="217" t="inlineStr">
        <is>
          <t>COMMON.NO_DATA_FOUND</t>
        </is>
      </c>
      <c r="B988" s="217" t="inlineStr">
        <is>
          <t>无数据</t>
        </is>
      </c>
      <c r="C988" s="3" t="inlineStr">
        <is>
          <t>Không có dữ liệu</t>
        </is>
      </c>
      <c r="D988" s="3" t="inlineStr">
        <is>
          <t>No data found</t>
        </is>
      </c>
      <c r="E988" s="3" t="n"/>
      <c r="F988" s="3" t="n"/>
      <c r="G988" s="3">
        <f>IFERROR(__xludf.DUMMYFUNCTION("GOOGLETRANSLATE(C988,""vi"",""km"")"),"គ្មានទិន្នន័យ")</f>
        <v/>
      </c>
      <c r="J988" s="3" t="inlineStr">
        <is>
          <t>មិនមានទិន្នន័យទេ</t>
        </is>
      </c>
      <c r="K988" s="217" t="inlineStr">
        <is>
          <t>មិនមានទិន្នន័យទេ</t>
        </is>
      </c>
      <c r="S988" s="163" t="n"/>
    </row>
    <row r="989" ht="15.75" customHeight="1" s="305">
      <c r="A989" s="217" t="inlineStr">
        <is>
          <t>LABEL_TEMPLATE.ADDRESS</t>
        </is>
      </c>
      <c r="B989" s="217" t="inlineStr">
        <is>
          <t>地址</t>
        </is>
      </c>
      <c r="C989" s="3" t="inlineStr">
        <is>
          <t>ທີ່ຢູ່/Address:</t>
        </is>
      </c>
      <c r="D989" s="3" t="inlineStr">
        <is>
          <t>ທີ່ຢູ່/Address:</t>
        </is>
      </c>
      <c r="E989" s="3" t="n"/>
      <c r="F989" s="3" t="n"/>
      <c r="G989" s="3">
        <f>IFERROR(__xludf.DUMMYFUNCTION("GOOGLETRANSLATE(C989,""vi"",""km"")"),"អាសយដ្ឋាន៖")</f>
        <v/>
      </c>
      <c r="J989" s="3" t="inlineStr">
        <is>
          <t>អាសយដ្ឋាន៖</t>
        </is>
      </c>
      <c r="K989" s="217" t="inlineStr">
        <is>
          <t>អាសយដ្ឋាន៖</t>
        </is>
      </c>
      <c r="S989" s="163" t="n"/>
    </row>
    <row r="990" ht="15.75" customHeight="1" s="305">
      <c r="A990" s="217" t="inlineStr">
        <is>
          <t>LABEL_TEMPLATE.COD</t>
        </is>
      </c>
      <c r="B990" s="217" t="inlineStr">
        <is>
          <t>货到付款</t>
        </is>
      </c>
      <c r="C990" s="3" t="inlineStr">
        <is>
          <t>COD:</t>
        </is>
      </c>
      <c r="D990" s="3" t="inlineStr">
        <is>
          <t>COD:</t>
        </is>
      </c>
      <c r="E990" s="3" t="n"/>
      <c r="F990" s="3" t="n"/>
      <c r="G990" s="3">
        <f>IFERROR(__xludf.DUMMYFUNCTION("GOOGLETRANSLATE(C990,""vi"",""km"")"),"ប្រតិបត្តិការ​ទូទាត់​ថ្លៃ​សេវា​៖")</f>
        <v/>
      </c>
      <c r="J990" s="3" t="inlineStr">
        <is>
          <t>ប្រតិបត្តិការទូទាត់ថ្លៃសេវា៖</t>
        </is>
      </c>
      <c r="K990" s="217" t="inlineStr">
        <is>
          <t>ប្រតិបត្តិការទូទាត់ថ្លៃសេវា៖</t>
        </is>
      </c>
      <c r="S990" s="163" t="n"/>
    </row>
    <row r="991" ht="15.75" customHeight="1" s="305">
      <c r="A991" s="217" t="inlineStr">
        <is>
          <t>LABEL_TEMPLATE.DELIVERY_NOTE</t>
        </is>
      </c>
      <c r="C991" s="3" t="inlineStr">
        <is>
          <t>ກະລຸນາຮັບເຄື່ອງພາຍໃນ7 ວັນຫຼັງຈາກເຄື່ອງຮອດສາຂາປາຍທາງຖ້າບໍ່ຮັບເຄື່ອງຈະຖຶກຕີກັບ.</t>
        </is>
      </c>
      <c r="D991" s="3" t="inlineStr">
        <is>
          <t>ກະລຸນາຮັບເຄື່ອງພາຍໃນ7 ວັນຫຼັງຈາກເຄື່ອງຮອດສາຂາປາຍທາງຖ້າບໍ່ຮັບເຄື່ອງຈະຖຶກຕີກັບ.</t>
        </is>
      </c>
      <c r="E991" s="3" t="n"/>
      <c r="F991" s="3" t="n"/>
      <c r="G991" s="3">
        <f>IFERROR(__xludf.DUMMYFUNCTION("GOOGLETRANSLATE(C991,""vi"",""km"")"),"ការចំណាយជាមធ្យម 7 ថ្ង ន្រទូ រទូទរណ៍នឹងទទួ លបានចំពោះ។")</f>
        <v/>
      </c>
      <c r="J991" s="3" t="inlineStr">
        <is>
          <t>ការចំណាយជាមធ្យម 7 ថ្ង ន្រទូ រទូទរណ៍នឹងទទួ លបានចំពោះ។</t>
        </is>
      </c>
      <c r="K991" s="217" t="inlineStr">
        <is>
          <t>ការចំណាយជាមធ្យម 7 ថ្ង ន្រទូ រទូទរណ៍នឹងទទួ លបានចំពោះ។</t>
        </is>
      </c>
      <c r="S991" s="163" t="n"/>
    </row>
    <row r="992" ht="15.75" customHeight="1" s="305">
      <c r="A992" s="217" t="inlineStr">
        <is>
          <t>LABEL_TEMPLATE.FEE</t>
        </is>
      </c>
      <c r="B992" s="217" t="inlineStr">
        <is>
          <t>费</t>
        </is>
      </c>
      <c r="C992" s="3" t="inlineStr">
        <is>
          <t>ຄ່າທຳນຽມ/Fee:</t>
        </is>
      </c>
      <c r="D992" s="3" t="inlineStr">
        <is>
          <t>ຄ່າທຳນຽມ/Fee:</t>
        </is>
      </c>
      <c r="E992" s="3" t="n"/>
      <c r="F992" s="3" t="n"/>
      <c r="G992" s="3">
        <f>IFERROR(__xludf.DUMMYFUNCTION("GOOGLETRANSLATE(C992,""vi"",""km"")"),"ថ្លៃសេវា/ថ្លៃសេវា៖")</f>
        <v/>
      </c>
      <c r="J992" s="3" t="inlineStr">
        <is>
          <t>ថ្លៃសេវា/ថ្លៃសេវា៖</t>
        </is>
      </c>
      <c r="K992" s="217" t="inlineStr">
        <is>
          <t>ថ្លៃសេវា/ថ្លៃសេវា៖</t>
        </is>
      </c>
      <c r="S992" s="163" t="n"/>
    </row>
    <row r="993" ht="15.75" customHeight="1" s="305">
      <c r="A993" s="217" t="inlineStr">
        <is>
          <t>LABEL_TEMPLATE.NAME</t>
        </is>
      </c>
      <c r="B993" s="217" t="inlineStr">
        <is>
          <t>姓名</t>
        </is>
      </c>
      <c r="C993" s="3" t="inlineStr">
        <is>
          <t>ຊື່/Name:</t>
        </is>
      </c>
      <c r="D993" s="3" t="inlineStr">
        <is>
          <t>ຊື່/Name:</t>
        </is>
      </c>
      <c r="E993" s="3" t="n"/>
      <c r="F993" s="3" t="n"/>
      <c r="G993" s="3">
        <f>IFERROR(__xludf.DUMMYFUNCTION("GOOGLETRANSLATE(C993,""vi"",""km"")"),"ឈ្មោះ/ឈ្មោះ:")</f>
        <v/>
      </c>
      <c r="J993" s="3" t="inlineStr">
        <is>
          <t>ឈ្មោះ/ឈ្មោះ:</t>
        </is>
      </c>
      <c r="K993" s="217" t="inlineStr">
        <is>
          <t>ឈ្មោះ/ឈ្មោះ:</t>
        </is>
      </c>
      <c r="S993" s="163" t="n"/>
    </row>
    <row r="994" ht="15.75" customHeight="1" s="305">
      <c r="A994" s="217" t="inlineStr">
        <is>
          <t>LABEL_TEMPLATE.ORDER_DATE</t>
        </is>
      </c>
      <c r="B994" s="217" t="inlineStr">
        <is>
          <t>下单时间</t>
        </is>
      </c>
      <c r="C994" s="3" t="inlineStr">
        <is>
          <t>ວັນທີ່ສ້າງບິນ/Order Date</t>
        </is>
      </c>
      <c r="D994" s="3" t="inlineStr">
        <is>
          <t>ວັນທີ່ສ້າງບິນ/Order Date</t>
        </is>
      </c>
      <c r="E994" s="3" t="n"/>
      <c r="F994" s="3" t="n"/>
      <c r="G994" s="3">
        <f>IFERROR(__xludf.DUMMYFUNCTION("GOOGLETRANSLATE(C994,""vi"",""km"")"),"កាលបរិច្ឆេទបញ្ជាទិញ")</f>
        <v/>
      </c>
      <c r="J994" s="3" t="inlineStr">
        <is>
          <t>កាលបរិច្ឆេទបញ្ជាទិញ</t>
        </is>
      </c>
      <c r="K994" s="217" t="inlineStr">
        <is>
          <t>កាលបរិច្ឆេទបញ្ជាទិញ</t>
        </is>
      </c>
      <c r="S994" s="163" t="n"/>
    </row>
    <row r="995" ht="15.75" customHeight="1" s="305">
      <c r="A995" s="217" t="inlineStr">
        <is>
          <t>LABEL_TEMPLATE.PHONE</t>
        </is>
      </c>
      <c r="B995" s="217" t="inlineStr">
        <is>
          <t>手机号码</t>
        </is>
      </c>
      <c r="C995" s="3" t="inlineStr">
        <is>
          <t>ໂທລະສັບ/Phone:</t>
        </is>
      </c>
      <c r="D995" s="3" t="inlineStr">
        <is>
          <t>ໂທລະສັບ/Phone:</t>
        </is>
      </c>
      <c r="E995" s="3" t="n"/>
      <c r="F995" s="3" t="n"/>
      <c r="G995" s="3">
        <f>IFERROR(__xludf.DUMMYFUNCTION("GOOGLETRANSLATE(C995,""vi"",""km"")"),"ទូរស័ព្ទ/ទូរស័ព្ទ៖")</f>
        <v/>
      </c>
      <c r="J995" s="3" t="inlineStr">
        <is>
          <t>ទូរស័ព្ទ/ទូរស័ព្ទ៖</t>
        </is>
      </c>
      <c r="K995" s="217" t="inlineStr">
        <is>
          <t>ទូរស័ព្ទ/ទូរស័ព្ទ៖</t>
        </is>
      </c>
      <c r="S995" s="163" t="n"/>
    </row>
    <row r="996" ht="15.75" customHeight="1" s="305">
      <c r="A996" s="217" t="inlineStr">
        <is>
          <t>LABEL_TEMPLATE.TOTAL_AMOUNT</t>
        </is>
      </c>
      <c r="B996" s="217" t="inlineStr">
        <is>
          <t>总金额</t>
        </is>
      </c>
      <c r="C996" s="3" t="inlineStr">
        <is>
          <t>ລວມ/Total Amount</t>
        </is>
      </c>
      <c r="D996" s="3" t="inlineStr">
        <is>
          <t>ລວມ/Total Amount</t>
        </is>
      </c>
      <c r="E996" s="3" t="n"/>
      <c r="F996" s="3" t="n"/>
      <c r="G996" s="3">
        <f>IFERROR(__xludf.DUMMYFUNCTION("GOOGLETRANSLATE(C996,""vi"",""km"")"),"សរុប/ចំនួនសរុប")</f>
        <v/>
      </c>
      <c r="J996" s="3" t="inlineStr">
        <is>
          <t>សរុប/ចំនួនសរុប</t>
        </is>
      </c>
      <c r="K996" s="217" t="inlineStr">
        <is>
          <t>សរុប/ចំនួនសរុប</t>
        </is>
      </c>
      <c r="S996" s="163" t="n"/>
    </row>
    <row r="997" ht="15.75" customHeight="1" s="305">
      <c r="A997" s="217" t="inlineStr">
        <is>
          <t>LABEL_TEMPLATE.VAT</t>
        </is>
      </c>
      <c r="B997" s="217" t="inlineStr">
        <is>
          <t>增值税</t>
        </is>
      </c>
      <c r="C997" s="3" t="inlineStr">
        <is>
          <t>VAT</t>
        </is>
      </c>
      <c r="D997" s="3" t="inlineStr">
        <is>
          <t>VAT</t>
        </is>
      </c>
      <c r="E997" s="3" t="n"/>
      <c r="F997" s="3" t="n"/>
      <c r="G997" s="3">
        <f>IFERROR(__xludf.DUMMYFUNCTION("GOOGLETRANSLATE(C997,""vi"",""km"")"),"អាករលើតម្លៃបន្ថែម")</f>
        <v/>
      </c>
      <c r="J997" s="3" t="inlineStr">
        <is>
          <t>អាករលើតម្លៃបន្ថែម</t>
        </is>
      </c>
      <c r="K997" s="217" t="inlineStr">
        <is>
          <t>អាករលើតម្លៃបន្ថែម</t>
        </is>
      </c>
      <c r="S997" s="163" t="n"/>
    </row>
    <row r="998" ht="15.75" customHeight="1" s="305">
      <c r="A998" s="217" t="inlineStr">
        <is>
          <t>SETTING_SCREEN.COMING_SOON</t>
        </is>
      </c>
      <c r="B998" s="217" t="inlineStr">
        <is>
          <t>功能正在发展中</t>
        </is>
      </c>
      <c r="C998" s="3" t="inlineStr">
        <is>
          <t>Tính năng đang phát triển!</t>
        </is>
      </c>
      <c r="D998" s="3" t="inlineStr">
        <is>
          <t>Feature is coming soon!</t>
        </is>
      </c>
      <c r="E998" s="3" t="n"/>
      <c r="F998" s="3" t="n"/>
      <c r="G998" s="3">
        <f>IFERROR(__xludf.DUMMYFUNCTION("GOOGLETRANSLATE(C998,""vi"",""km"")"),"មុខងារកំពុងស្ថិតក្នុងការអភិវឌ្ឍន៍!")</f>
        <v/>
      </c>
      <c r="J998" s="3" t="inlineStr">
        <is>
          <t>មុខងារកំពុងស្ថិតក្នុងការអភិវឌ្ឍន៍!</t>
        </is>
      </c>
      <c r="K998" s="217" t="inlineStr">
        <is>
          <t>មុខងារកំពុងស្ថិតក្នុងការអភិវឌ្ឍន៍!</t>
        </is>
      </c>
      <c r="S998" s="163" t="n"/>
    </row>
    <row r="999" ht="15.75" customHeight="1" s="305">
      <c r="A999" s="217" t="inlineStr">
        <is>
          <t>COD_PRICE.ORDER_CODE_COPIED</t>
        </is>
      </c>
      <c r="C999" s="3" t="inlineStr">
        <is>
          <t>Đã sao chép mã đơn</t>
        </is>
      </c>
      <c r="D999" s="3" t="inlineStr">
        <is>
          <t>Order code copied</t>
        </is>
      </c>
      <c r="E999" s="3" t="n"/>
      <c r="F999" s="3" t="n"/>
      <c r="G999" s="3">
        <f>IFERROR(__xludf.DUMMYFUNCTION("GOOGLETRANSLATE(C999,""vi"",""km"")"),"លេខកូដបញ្ជាទិញត្រូវបានចម្លងហើយ។")</f>
        <v/>
      </c>
      <c r="J999" s="3" t="inlineStr">
        <is>
          <t>លេខកូដបញ្ជាទិញត្រូវបានចម្លងហើយ។</t>
        </is>
      </c>
      <c r="K999" s="217" t="inlineStr">
        <is>
          <t>លេខកូដបញ្ជាទិញត្រូវបានចម្លងហើយ។</t>
        </is>
      </c>
      <c r="S999" s="163" t="n"/>
    </row>
    <row r="1000" ht="15.75" customHeight="1" s="305">
      <c r="A1000" s="217" t="inlineStr">
        <is>
          <t>COD_PRICE.PAYMENT_VOUCHER_CODE_COPIED</t>
        </is>
      </c>
      <c r="C1000" s="3" t="inlineStr">
        <is>
          <t>Đã sao chép mã phiếu chi</t>
        </is>
      </c>
      <c r="D1000" s="3" t="inlineStr">
        <is>
          <t>Payment voucher code copied</t>
        </is>
      </c>
      <c r="E1000" s="3" t="n"/>
      <c r="F1000" s="3" t="n"/>
      <c r="G1000" s="3">
        <f>IFERROR(__xludf.DUMMYFUNCTION("GOOGLETRANSLATE(C1000,""vi"",""km"")"),"លេខកូដប័ណ្ណទូទាត់ត្រូវបានចម្លងហើយ។")</f>
        <v/>
      </c>
      <c r="J1000" s="3" t="inlineStr">
        <is>
          <t>លេខកូដបុងចំណាយត្រូវបានចម្លងហើយ។</t>
        </is>
      </c>
      <c r="K1000" s="217" t="inlineStr">
        <is>
          <t>លេខកូដបុងចំណាយត្រូវបានចម្លងហើយ។</t>
        </is>
      </c>
      <c r="S1000" s="163" t="n"/>
    </row>
    <row r="1001" ht="15.75" customHeight="1" s="305">
      <c r="A1001" s="217" t="inlineStr">
        <is>
          <t>COD_PRICE.STATEMENT_CODE_COPIED</t>
        </is>
      </c>
      <c r="C1001" s="3" t="inlineStr">
        <is>
          <t>Đã sao chép mã bảng kê</t>
        </is>
      </c>
      <c r="D1001" s="3" t="inlineStr">
        <is>
          <t>Statement code copied</t>
        </is>
      </c>
      <c r="E1001" s="3" t="n"/>
      <c r="F1001" s="3" t="n"/>
      <c r="G1001" s="3">
        <f>IFERROR(__xludf.DUMMYFUNCTION("GOOGLETRANSLATE(C1001,""vi"",""km"")"),"កូដ​សេចក្តីថ្លែងការណ៍​ត្រូវបាន​ចម្លង​ហើយ។")</f>
        <v/>
      </c>
      <c r="J1001" s="3" t="inlineStr">
        <is>
          <t>កូដសេចក្តីថ្លែងការណ៍ត្រូវបានចម្លងហើយ។</t>
        </is>
      </c>
      <c r="K1001" s="217" t="inlineStr">
        <is>
          <t>កូដសេចក្តីថ្លែងការណ៍ត្រូវបានចម្លងហើយ។</t>
        </is>
      </c>
      <c r="S1001" s="163" t="n"/>
    </row>
    <row r="1002" ht="15.75" customHeight="1" s="305">
      <c r="A1002" s="217" t="inlineStr">
        <is>
          <t>COMMON.NO_PHONE_NUMBER</t>
        </is>
      </c>
      <c r="C1002" s="3" t="inlineStr">
        <is>
          <t>Số điện thoại không tồn tại</t>
        </is>
      </c>
      <c r="D1002" s="3" t="inlineStr">
        <is>
          <t>Phone number does not exist</t>
        </is>
      </c>
      <c r="E1002" s="3" t="n"/>
      <c r="F1002" s="3" t="n"/>
      <c r="G1002" s="3">
        <f>IFERROR(__xludf.DUMMYFUNCTION("GOOGLETRANSLATE(C1002,""vi"",""km"")"),"លេខទូរស័ព្ទនេះមិនមានទេ។")</f>
        <v/>
      </c>
      <c r="J1002" s="3" t="inlineStr">
        <is>
          <t>លេខទូរស័ព្ទនេះមិនមានទេ។</t>
        </is>
      </c>
      <c r="K1002" s="217" t="inlineStr">
        <is>
          <t>លេខទូរស័ព្ទនេះមិនមានទេ។</t>
        </is>
      </c>
      <c r="S1002" s="163" t="n"/>
    </row>
    <row r="1003" ht="15.75" customHeight="1" s="305">
      <c r="A1003" s="217" t="inlineStr">
        <is>
          <t>DETAIL_ORDER.ACTION_ORDER_JOURNEY</t>
        </is>
      </c>
      <c r="C1003" s="3" t="inlineStr">
        <is>
          <t>Hành trình</t>
        </is>
      </c>
      <c r="D1003" s="3" t="inlineStr">
        <is>
          <t>Tracking</t>
        </is>
      </c>
      <c r="E1003" s="3" t="n"/>
      <c r="F1003" s="3" t="n"/>
      <c r="G1003" s="3">
        <f>IFERROR(__xludf.DUMMYFUNCTION("GOOGLETRANSLATE(C1003,""vi"",""km"")"),"ដំណើរកម្សាន្ត")</f>
        <v/>
      </c>
      <c r="J1003" s="3" t="inlineStr">
        <is>
          <t>ដំណើរឆ្លងកាត់បញ្ញើ</t>
        </is>
      </c>
      <c r="K1003" s="217" t="inlineStr">
        <is>
          <t>ដំណើរឆ្លងកាត់បញ្ញើ</t>
        </is>
      </c>
      <c r="S1003" s="163" t="n"/>
    </row>
    <row r="1004" ht="15.75" customHeight="1" s="305">
      <c r="A1004" s="217" t="inlineStr">
        <is>
          <t>DETAIL_ORDER.CALL_DELIVERY_COURIER</t>
        </is>
      </c>
      <c r="C1004" s="3" t="inlineStr">
        <is>
          <t>Gọi NV giao</t>
        </is>
      </c>
      <c r="D1004" s="3" t="inlineStr">
        <is>
          <t>Call delivery agent</t>
        </is>
      </c>
      <c r="E1004" s="3" t="n"/>
      <c r="F1004" s="3" t="n"/>
      <c r="G1004" s="3">
        <f>IFERROR(__xludf.DUMMYFUNCTION("GOOGLETRANSLATE(C1004,""vi"",""km"")"),"ហៅបុគ្គលិកដឹកជញ្ជូន។")</f>
        <v/>
      </c>
      <c r="J1004" s="3" t="inlineStr">
        <is>
          <t>ហៅបុគ្គលិកដឹកជញ្ជូន។</t>
        </is>
      </c>
      <c r="K1004" s="217" t="inlineStr">
        <is>
          <t>ហៅបុគ្គលិកដឹកជញ្ជូន។</t>
        </is>
      </c>
      <c r="S1004" s="163" t="n"/>
    </row>
    <row r="1005" ht="15.75" customHeight="1" s="305">
      <c r="A1005" s="217" t="inlineStr">
        <is>
          <t>DETAIL_ORDER.CALL_SENDER</t>
        </is>
      </c>
      <c r="C1005" s="3" t="inlineStr">
        <is>
          <t>Gọi người gửi</t>
        </is>
      </c>
      <c r="D1005" s="3" t="inlineStr">
        <is>
          <t>Call sender</t>
        </is>
      </c>
      <c r="E1005" s="3" t="n"/>
      <c r="F1005" s="3" t="n"/>
      <c r="G1005" s="3">
        <f>IFERROR(__xludf.DUMMYFUNCTION("GOOGLETRANSLATE(C1005,""vi"",""km"")"),"ហៅទូរស័ព្ទទៅអ្នកផ្ញើ")</f>
        <v/>
      </c>
      <c r="J1005" s="3" t="inlineStr">
        <is>
          <t>ហៅទូរស័ព្ទទៅអ្នកផ្ញើ</t>
        </is>
      </c>
      <c r="K1005" s="217" t="inlineStr">
        <is>
          <t>ហៅទូរស័ព្ទទៅអ្នកផ្ញើ</t>
        </is>
      </c>
      <c r="S1005" s="163" t="n"/>
    </row>
    <row r="1006" ht="15.75" customHeight="1" s="305">
      <c r="A1006" s="217" t="inlineStr">
        <is>
          <t>DETAIL_ORDER.CONTACT_HISTORY</t>
        </is>
      </c>
      <c r="C1006" s="3" t="inlineStr">
        <is>
          <t>Lịch sử liên lạc</t>
        </is>
      </c>
      <c r="D1006" s="3" t="inlineStr">
        <is>
          <t>Call history</t>
        </is>
      </c>
      <c r="E1006" s="3" t="n"/>
      <c r="F1006" s="3" t="n"/>
      <c r="G1006" s="3">
        <f>IFERROR(__xludf.DUMMYFUNCTION("GOOGLETRANSLATE(C1006,""vi"",""km"")"),"ប្រវត្តិទំនាក់ទំនង")</f>
        <v/>
      </c>
      <c r="J1006" s="3" t="inlineStr">
        <is>
          <t>ប្រវត្តិទំនាក់ទំនង</t>
        </is>
      </c>
      <c r="K1006" s="217" t="inlineStr">
        <is>
          <t>ប្រវត្តិទំនាក់ទំនង</t>
        </is>
      </c>
      <c r="S1006" s="163" t="n"/>
    </row>
    <row r="1007" ht="15.75" customHeight="1" s="305">
      <c r="A1007" s="217" t="inlineStr">
        <is>
          <t>DETAIL_ORDER.COPY_PHONE_NUMBER</t>
        </is>
      </c>
      <c r="C1007" s="3" t="inlineStr">
        <is>
          <t>Sao chép số điện thoại</t>
        </is>
      </c>
      <c r="D1007" s="3" t="inlineStr">
        <is>
          <t>Copy phone number</t>
        </is>
      </c>
      <c r="E1007" s="3" t="n"/>
      <c r="F1007" s="3" t="n"/>
      <c r="G1007" s="3">
        <f>IFERROR(__xludf.DUMMYFUNCTION("GOOGLETRANSLATE(C1007,""vi"",""km"")"),"ចម្លងលេខទូរស័ព្ទ")</f>
        <v/>
      </c>
      <c r="J1007" s="3" t="inlineStr">
        <is>
          <t>ចម្លងលេខទូរស័ព្ទ</t>
        </is>
      </c>
      <c r="K1007" s="217" t="inlineStr">
        <is>
          <t>ចម្លងលេខទូរស័ព្ទ</t>
        </is>
      </c>
      <c r="S1007" s="163" t="n"/>
    </row>
    <row r="1008" ht="15.75" customHeight="1" s="305">
      <c r="A1008" s="217" t="inlineStr">
        <is>
          <t>DETAIL_ORDER.COURIER</t>
        </is>
      </c>
      <c r="C1008" s="3" t="inlineStr">
        <is>
          <t>Bưu tá</t>
        </is>
      </c>
      <c r="D1008" s="3" t="inlineStr">
        <is>
          <t>Postman</t>
        </is>
      </c>
      <c r="E1008" s="3" t="n"/>
      <c r="F1008" s="3" t="n"/>
      <c r="G1008" s="3">
        <f>IFERROR(__xludf.DUMMYFUNCTION("GOOGLETRANSLATE(C1008,""vi"",""km"")"),"អ្នករត់សំបុត្រ")</f>
        <v/>
      </c>
      <c r="J1008" s="3" t="inlineStr">
        <is>
          <t>បុគ្គលិកដឹកជញ្ជូន</t>
        </is>
      </c>
      <c r="K1008" s="217" t="inlineStr">
        <is>
          <t>បុគ្គលិកដឹកជញ្ជូន</t>
        </is>
      </c>
      <c r="S1008" s="163" t="n"/>
    </row>
    <row r="1009" ht="15.75" customHeight="1" s="305">
      <c r="A1009" s="217" t="inlineStr">
        <is>
          <t>DETAIL_ORDER.DELIVERY_COURIER</t>
        </is>
      </c>
      <c r="C1009" s="3" t="inlineStr">
        <is>
          <t>Bưu tá giao</t>
        </is>
      </c>
      <c r="D1009" s="3" t="inlineStr">
        <is>
          <t>Delivery postman</t>
        </is>
      </c>
      <c r="E1009" s="3" t="n"/>
      <c r="F1009" s="3" t="n"/>
      <c r="G1009" s="3">
        <f>IFERROR(__xludf.DUMMYFUNCTION("GOOGLETRANSLATE(C1009,""vi"",""km"")"),"ការដឹកជញ្ជូនរបស់ប្រៃសណីយ៍")</f>
        <v/>
      </c>
      <c r="J1009" s="3" t="inlineStr">
        <is>
          <t>បុគ្គលិកដឹកជញ្ជូន</t>
        </is>
      </c>
      <c r="K1009" s="217" t="inlineStr">
        <is>
          <t>បុគ្គលិកដឹកជញ្ជូន</t>
        </is>
      </c>
      <c r="S1009" s="163" t="n"/>
    </row>
    <row r="1010" ht="15.75" customHeight="1" s="305">
      <c r="A1010" s="217" t="inlineStr">
        <is>
          <t>MANAGE_ORDER.RECEIVED_ORDER</t>
        </is>
      </c>
      <c r="C1010" s="3" t="inlineStr">
        <is>
          <t>Đơn nhận</t>
        </is>
      </c>
      <c r="D1010" s="3" t="inlineStr">
        <is>
          <t>Received Orders</t>
        </is>
      </c>
      <c r="E1010" s="3" t="n"/>
      <c r="F1010" s="3" t="n"/>
      <c r="G1010" s="3">
        <f>IFERROR(__xludf.DUMMYFUNCTION("GOOGLETRANSLATE(C1010,""vi"",""km"")"),"បង្កាន់ដៃ")</f>
        <v/>
      </c>
      <c r="J1010" s="3" t="inlineStr">
        <is>
          <t>បុងបញ្ញើ</t>
        </is>
      </c>
      <c r="K1010" s="217" t="inlineStr">
        <is>
          <t>បុងបញ្ញើ</t>
        </is>
      </c>
      <c r="S1010" s="163" t="n"/>
    </row>
    <row r="1011" ht="15.75" customHeight="1" s="305">
      <c r="A1011" s="217" t="inlineStr">
        <is>
          <t>MANAGE_ORDER.SENT_ORDER</t>
        </is>
      </c>
      <c r="C1011" s="3" t="inlineStr">
        <is>
          <t>Đơn gửi</t>
        </is>
      </c>
      <c r="D1011" s="3" t="inlineStr">
        <is>
          <t>Sent Orders</t>
        </is>
      </c>
      <c r="E1011" s="3" t="n"/>
      <c r="F1011" s="3" t="n"/>
      <c r="G1011" s="3">
        <f>IFERROR(__xludf.DUMMYFUNCTION("GOOGLETRANSLATE(C1011,""vi"",""km"")"),"ទម្រង់បែបបទដាក់ស្នើ")</f>
        <v/>
      </c>
      <c r="J1011" s="3" t="inlineStr">
        <is>
          <t>ទម្រង់បែបបទដាក់ស្នើ</t>
        </is>
      </c>
      <c r="K1011" s="217" t="inlineStr">
        <is>
          <t>ទម្រង់បែបបទដាក់ស្នើ</t>
        </is>
      </c>
      <c r="S1011" s="163" t="n"/>
    </row>
    <row r="1012" ht="15.75" customHeight="1" s="305">
      <c r="A1012" s="217" t="inlineStr">
        <is>
          <t>MANAGE_ORDER.STATUS_CONFIRM_STORAGE</t>
        </is>
      </c>
      <c r="C1012" s="3" t="inlineStr">
        <is>
          <t>Lưu kho</t>
        </is>
      </c>
      <c r="D1012" s="3" t="inlineStr">
        <is>
          <t>In warehouse</t>
        </is>
      </c>
      <c r="E1012" s="3" t="n"/>
      <c r="F1012" s="3" t="n"/>
      <c r="G1012" s="3">
        <f>IFERROR(__xludf.DUMMYFUNCTION("GOOGLETRANSLATE(C1012,""vi"",""km"")"),"ការផ្ទុក")</f>
        <v/>
      </c>
      <c r="J1012" s="3" t="inlineStr">
        <is>
          <t>រក្សាទុកក្នុងឃ្លាំង</t>
        </is>
      </c>
      <c r="K1012" s="217" t="inlineStr">
        <is>
          <t>រក្សាទុកក្នុងឃ្លាំង</t>
        </is>
      </c>
      <c r="S1012" s="163" t="n"/>
    </row>
    <row r="1013" ht="15.75" customHeight="1" s="305">
      <c r="A1013" s="217" t="inlineStr">
        <is>
          <t>COD_PRICE.ACCOUNT_NUMBER_NOT_VALID</t>
        </is>
      </c>
      <c r="C1013" s="3" t="inlineStr">
        <is>
          <t>Số tài khoản không hợp lệ</t>
        </is>
      </c>
      <c r="D1013" s="3" t="inlineStr">
        <is>
          <t>Invalid account number</t>
        </is>
      </c>
      <c r="E1013" s="3" t="n"/>
      <c r="F1013" s="3" t="n"/>
      <c r="G1013" s="3">
        <f>IFERROR(__xludf.DUMMYFUNCTION("GOOGLETRANSLATE(C1013,""vi"",""km"")"),"លេខគណនីមិនត្រឹមត្រូវ")</f>
        <v/>
      </c>
      <c r="J1013" s="3" t="inlineStr">
        <is>
          <t>លេខគណនីមិនត្រឹមត្រូវ</t>
        </is>
      </c>
      <c r="K1013" s="217" t="inlineStr">
        <is>
          <t>លេខគណនីមិនត្រឹមត្រូវ</t>
        </is>
      </c>
      <c r="S1013" s="163" t="n"/>
    </row>
    <row r="1014" ht="15.75" customHeight="1" s="305">
      <c r="A1014" s="217" t="inlineStr">
        <is>
          <t>COMPLAINT.CANCEL_COMPLAINT</t>
        </is>
      </c>
      <c r="C1014" s="3" t="inlineStr">
        <is>
          <t>Huỷ khiếu nại</t>
        </is>
      </c>
      <c r="D1014" s="3" t="inlineStr">
        <is>
          <t>Cancel complaint</t>
        </is>
      </c>
      <c r="E1014" s="3" t="n"/>
      <c r="F1014" s="3" t="n"/>
      <c r="G1014" s="3">
        <f>IFERROR(__xludf.DUMMYFUNCTION("GOOGLETRANSLATE(C1014,""vi"",""km"")"),"លុបចោលពាក្យបណ្តឹង។")</f>
        <v/>
      </c>
      <c r="J1014" s="3" t="inlineStr">
        <is>
          <t>លុបចោលពាក្យបណ្តឹង។</t>
        </is>
      </c>
      <c r="K1014" s="217" t="inlineStr">
        <is>
          <t>លុបចោលពាក្យបណ្តឹង។</t>
        </is>
      </c>
      <c r="S1014" s="163" t="n"/>
    </row>
    <row r="1015" ht="15.75" customHeight="1" s="305">
      <c r="A1015" s="217" t="inlineStr">
        <is>
          <t>COMPLAINT.CANCEL_CONFIRM_DESC</t>
        </is>
      </c>
      <c r="C1015" s="3" t="inlineStr">
        <is>
          <t>Bạn có muốn huỷ khiếu nại {{code}} không?</t>
        </is>
      </c>
      <c r="D1015" s="3" t="inlineStr">
        <is>
          <t>Do you want to cancel complaint {{code}}?</t>
        </is>
      </c>
      <c r="E1015" s="3" t="n"/>
      <c r="F1015" s="3" t="n"/>
      <c r="G1015" s="3">
        <f>IFERROR(__xludf.DUMMYFUNCTION("GOOGLETRANSLATE(C1015,""vi"",""km"")"),"តើអ្នកចង់លុបចោលពាក្យបណ្តឹង {{code}} ដែរឬទេ?")</f>
        <v/>
      </c>
      <c r="J1015" s="3" t="inlineStr">
        <is>
          <t>តើអ្នកចង់លុបចោលពាក្យបណ្តឹង {{code}} ដែរឬទេ?</t>
        </is>
      </c>
      <c r="K1015" s="217" t="inlineStr">
        <is>
          <t>តើអ្នកចង់លុបចោលពាក្យបណ្តឹង {{code}} ដែរឬទេ?</t>
        </is>
      </c>
      <c r="S1015" s="163" t="n"/>
    </row>
    <row r="1016" ht="15.75" customHeight="1" s="305">
      <c r="A1016" s="217" t="inlineStr">
        <is>
          <t>COMPLAINT.CANCEL_CONFIRM_TITLE</t>
        </is>
      </c>
      <c r="C1016" s="3" t="inlineStr">
        <is>
          <t>Huỷ khiếu nại</t>
        </is>
      </c>
      <c r="D1016" s="3" t="inlineStr">
        <is>
          <t>Cancel complaint</t>
        </is>
      </c>
      <c r="E1016" s="3" t="n"/>
      <c r="F1016" s="3" t="n"/>
      <c r="G1016" s="3">
        <f>IFERROR(__xludf.DUMMYFUNCTION("GOOGLETRANSLATE(C1016,""vi"",""km"")"),"លុបចោលពាក្យបណ្តឹង។")</f>
        <v/>
      </c>
      <c r="J1016" s="3" t="inlineStr">
        <is>
          <t>លុបចោលពាក្យបណ្តឹង។</t>
        </is>
      </c>
      <c r="K1016" s="217" t="inlineStr">
        <is>
          <t>លុបចោលពាក្យបណ្តឹង។</t>
        </is>
      </c>
      <c r="S1016" s="163" t="n"/>
    </row>
    <row r="1017" ht="15.75" customHeight="1" s="305">
      <c r="A1017" s="217" t="inlineStr">
        <is>
          <t>COMPLAINT.CANCEL_SUCCESS</t>
        </is>
      </c>
      <c r="C1017" s="3" t="inlineStr">
        <is>
          <t>Huỷ khiếu nại thành công!</t>
        </is>
      </c>
      <c r="D1017" s="3" t="inlineStr">
        <is>
          <t>Complaint cancelled successfully!</t>
        </is>
      </c>
      <c r="E1017" s="3" t="n"/>
      <c r="F1017" s="3" t="n"/>
      <c r="G1017" s="3">
        <f>IFERROR(__xludf.DUMMYFUNCTION("GOOGLETRANSLATE(C1017,""vi"",""km"")"),"ពាក្យបណ្តឹងត្រូវបានលុបចោលដោយជោគជ័យ!")</f>
        <v/>
      </c>
      <c r="J1017" s="3" t="inlineStr">
        <is>
          <t>ពាក្យបណ្តឹងត្រូវបានលុបចោលដោយជោគជ័យ!</t>
        </is>
      </c>
      <c r="K1017" s="217" t="inlineStr">
        <is>
          <t>ពាក្យបណ្តឹងត្រូវបានលុបចោលដោយជោគជ័យ!</t>
        </is>
      </c>
      <c r="S1017" s="163" t="n"/>
    </row>
    <row r="1018" ht="15.75" customHeight="1" s="305">
      <c r="A1018" s="217" t="inlineStr">
        <is>
          <t>COMPLAINT.COMPLAINT_CODE</t>
        </is>
      </c>
      <c r="C1018" s="3" t="inlineStr">
        <is>
          <t>Mã khiếu nại</t>
        </is>
      </c>
      <c r="D1018" s="3" t="inlineStr">
        <is>
          <t>Complaint code</t>
        </is>
      </c>
      <c r="E1018" s="3" t="n"/>
      <c r="F1018" s="3" t="n"/>
      <c r="G1018" s="3">
        <f>IFERROR(__xludf.DUMMYFUNCTION("GOOGLETRANSLATE(C1018,""vi"",""km"")"),"លេខកូដពាក្យបណ្តឹង")</f>
        <v/>
      </c>
      <c r="J1018" s="3" t="inlineStr">
        <is>
          <t>លេខកូដពាក្យបណ្តឹង</t>
        </is>
      </c>
      <c r="K1018" s="217" t="inlineStr">
        <is>
          <t>លេខកូដពាក្យបណ្តឹង</t>
        </is>
      </c>
      <c r="S1018" s="163" t="n"/>
    </row>
    <row r="1019" ht="15.75" customHeight="1" s="305">
      <c r="A1019" s="217" t="inlineStr">
        <is>
          <t>COMPLAINT.CONTENT_COMPLAINT</t>
        </is>
      </c>
      <c r="C1019" s="3" t="inlineStr">
        <is>
          <t>Nội dung khiếu nại</t>
        </is>
      </c>
      <c r="D1019" s="3" t="inlineStr">
        <is>
          <t>Complaint content</t>
        </is>
      </c>
      <c r="E1019" s="3" t="n"/>
      <c r="F1019" s="3" t="n"/>
      <c r="G1019" s="3">
        <f>IFERROR(__xludf.DUMMYFUNCTION("GOOGLETRANSLATE(C1019,""vi"",""km"")"),"ខ្លឹមសារនៃពាក្យបណ្តឹង")</f>
        <v/>
      </c>
      <c r="J1019" s="3" t="inlineStr">
        <is>
          <t>ខ្លឹមសារនៃពាក្យបណ្តឹង</t>
        </is>
      </c>
      <c r="K1019" s="217" t="inlineStr">
        <is>
          <t>ខ្លឹមសារនៃពាក្យបណ្តឹង</t>
        </is>
      </c>
      <c r="S1019" s="163" t="n"/>
    </row>
    <row r="1020" ht="15.75" customHeight="1" s="305">
      <c r="A1020" s="217" t="inlineStr">
        <is>
          <t>COMPLAINT.CONTENT_LABEL</t>
        </is>
      </c>
      <c r="C1020" s="3" t="inlineStr">
        <is>
          <t>Nội dung khiếu nại:</t>
        </is>
      </c>
      <c r="D1020" s="3" t="inlineStr">
        <is>
          <t>Complaint content:</t>
        </is>
      </c>
      <c r="E1020" s="3" t="n"/>
      <c r="F1020" s="3" t="n"/>
      <c r="G1020" s="3">
        <f>IFERROR(__xludf.DUMMYFUNCTION("GOOGLETRANSLATE(C1020,""vi"",""km"")"),"ខ្លឹមសារនៃពាក្យបណ្តឹង៖")</f>
        <v/>
      </c>
      <c r="J1020" s="3" t="inlineStr">
        <is>
          <t>ខ្លឹមសារនៃពាក្យបណ្តឹង៖</t>
        </is>
      </c>
      <c r="K1020" s="217" t="inlineStr">
        <is>
          <t>ខ្លឹមសារនៃពាក្យបណ្តឹង៖</t>
        </is>
      </c>
      <c r="S1020" s="163" t="n"/>
    </row>
    <row r="1021" ht="15.75" customHeight="1" s="305">
      <c r="A1021" s="217" t="inlineStr">
        <is>
          <t>COMPLAINT.CONTENT_MAX_LENGTH</t>
        </is>
      </c>
      <c r="C1021" s="3" t="inlineStr">
        <is>
          <t>Nội dung tối đa 1000 ký tự</t>
        </is>
      </c>
      <c r="D1021" s="3" t="inlineStr">
        <is>
          <t>Content must be at most 1000 characters</t>
        </is>
      </c>
      <c r="E1021" s="3" t="n"/>
      <c r="F1021" s="3" t="n"/>
      <c r="G1021" s="3">
        <f>IFERROR(__xludf.DUMMYFUNCTION("GOOGLETRANSLATE(C1021,""vi"",""km"")"),"ប្រវែង​មាតិកា៖ ១០០០ តួអក្សរ")</f>
        <v/>
      </c>
      <c r="J1021" s="3" t="inlineStr">
        <is>
          <t>ប្រវែងមាតិកា៖ ១០០០ តួអក្សរ</t>
        </is>
      </c>
      <c r="K1021" s="217" t="inlineStr">
        <is>
          <t>ប្រវែងមាតិកា៖ ១០០០ តួអក្សរ</t>
        </is>
      </c>
      <c r="S1021" s="163" t="n"/>
    </row>
    <row r="1022" ht="15.75" customHeight="1" s="305">
      <c r="A1022" s="217" t="inlineStr">
        <is>
          <t>COMPLAINT.CONTENT_REQUIRED</t>
        </is>
      </c>
      <c r="C1022" s="3" t="inlineStr">
        <is>
          <t>Nội dung không được để trống</t>
        </is>
      </c>
      <c r="D1022" s="3" t="inlineStr">
        <is>
          <t>Content cannot be empty</t>
        </is>
      </c>
      <c r="E1022" s="3" t="n"/>
      <c r="F1022" s="3" t="n"/>
      <c r="G1022" s="3">
        <f>IFERROR(__xludf.DUMMYFUNCTION("GOOGLETRANSLATE(C1022,""vi"",""km"")"),"វាលនេះមិនត្រូវទុកចោលឱ្យទទេទេ។")</f>
        <v/>
      </c>
      <c r="J1022" s="3" t="inlineStr">
        <is>
          <t>វាលនេះមិនត្រូវទុកចោលឱ្យទទេទេ។</t>
        </is>
      </c>
      <c r="K1022" s="217" t="inlineStr">
        <is>
          <t>វាលនេះមិនត្រូវទុកចោលឱ្យទទេទេ។</t>
        </is>
      </c>
      <c r="S1022" s="163" t="n"/>
    </row>
    <row r="1023" ht="15.75" customHeight="1" s="305">
      <c r="A1023" s="217" t="inlineStr">
        <is>
          <t>COMPLAINT.COPIED_CODE</t>
        </is>
      </c>
      <c r="C1023" s="3" t="inlineStr">
        <is>
          <t>Đã sao chép mã khiếu nại</t>
        </is>
      </c>
      <c r="D1023" s="3" t="inlineStr">
        <is>
          <t>Copied complaint code</t>
        </is>
      </c>
      <c r="E1023" s="3" t="n"/>
      <c r="F1023" s="3" t="n"/>
      <c r="G1023" s="3">
        <f>IFERROR(__xludf.DUMMYFUNCTION("GOOGLETRANSLATE(C1023,""vi"",""km"")"),"លេខកូដពាក្យបណ្តឹងត្រូវបានចម្លងហើយ។")</f>
        <v/>
      </c>
      <c r="J1023" s="3" t="inlineStr">
        <is>
          <t>លេខកូដពាក្យបណ្តឹងត្រូវបានចម្លងហើយ។</t>
        </is>
      </c>
      <c r="K1023" s="217" t="inlineStr">
        <is>
          <t>លេខកូដពាក្យបណ្តឹងត្រូវបានចម្លងហើយ។</t>
        </is>
      </c>
      <c r="S1023" s="163" t="n"/>
    </row>
    <row r="1024" ht="15.75" customHeight="1" s="305">
      <c r="A1024" s="217" t="inlineStr">
        <is>
          <t>COMPLAINT.CREATED_PREFIX</t>
        </is>
      </c>
      <c r="C1024" s="3" t="inlineStr">
        <is>
          <t>Tạo</t>
        </is>
      </c>
      <c r="D1024" s="3" t="inlineStr">
        <is>
          <t>Created at</t>
        </is>
      </c>
      <c r="E1024" s="3" t="n"/>
      <c r="F1024" s="3" t="n"/>
      <c r="G1024" s="3">
        <f>IFERROR(__xludf.DUMMYFUNCTION("GOOGLETRANSLATE(C1024,""vi"",""km"")"),"បង្កើត")</f>
        <v/>
      </c>
      <c r="J1024" s="3" t="inlineStr">
        <is>
          <t>បង្កើត</t>
        </is>
      </c>
      <c r="K1024" s="217" t="inlineStr">
        <is>
          <t>បង្កើត</t>
        </is>
      </c>
      <c r="S1024" s="163" t="n"/>
    </row>
    <row r="1025" ht="15.75" customHeight="1" s="305">
      <c r="A1025" s="217" t="inlineStr">
        <is>
          <t>COMPLAINT.CREATE_COMPLAINT</t>
        </is>
      </c>
      <c r="C1025" s="3" t="inlineStr">
        <is>
          <t>Tạo khiếu nại</t>
        </is>
      </c>
      <c r="D1025" s="3" t="inlineStr">
        <is>
          <t>Create complaint</t>
        </is>
      </c>
      <c r="E1025" s="3" t="n"/>
      <c r="F1025" s="3" t="n"/>
      <c r="G1025" s="3">
        <f>IFERROR(__xludf.DUMMYFUNCTION("GOOGLETRANSLATE(C1025,""vi"",""km"")"),"បង្កើតពាក្យបណ្តឹង")</f>
        <v/>
      </c>
      <c r="J1025" s="3" t="inlineStr">
        <is>
          <t>បង្កើតពាក្យបណ្តឹង</t>
        </is>
      </c>
      <c r="K1025" s="217" t="inlineStr">
        <is>
          <t>បង្កើតពាក្យបណ្តឹង</t>
        </is>
      </c>
      <c r="S1025" s="163" t="n"/>
    </row>
    <row r="1026" ht="15.75" customHeight="1" s="305">
      <c r="A1026" s="217" t="inlineStr">
        <is>
          <t>COMPLAINT.CREATE_COMPLAINT_NEW</t>
        </is>
      </c>
      <c r="C1026" s="3" t="inlineStr">
        <is>
          <t>Tạo khiếu nại mới</t>
        </is>
      </c>
      <c r="D1026" s="3" t="inlineStr">
        <is>
          <t>Create new complaint</t>
        </is>
      </c>
      <c r="E1026" s="3" t="n"/>
      <c r="F1026" s="3" t="n"/>
      <c r="G1026" s="3">
        <f>IFERROR(__xludf.DUMMYFUNCTION("GOOGLETRANSLATE(C1026,""vi"",""km"")"),"បង្កើតពាក្យបណ្តឹងថ្មីមួយ")</f>
        <v/>
      </c>
      <c r="J1026" s="3" t="inlineStr">
        <is>
          <t>បង្កើតពាក្យបណ្តឹងថ្មីមួយ</t>
        </is>
      </c>
      <c r="K1026" s="217" t="inlineStr">
        <is>
          <t>បង្កើតពាក្យបណ្តឹងថ្មីមួយ</t>
        </is>
      </c>
      <c r="S1026" s="163" t="n"/>
    </row>
    <row r="1027" ht="15.75" customHeight="1" s="305">
      <c r="A1027" s="217" t="inlineStr">
        <is>
          <t>COMPLAINT.CREATE_SUCCESS_MODAL_DESC</t>
        </is>
      </c>
      <c r="C1027" s="3" t="inlineStr">
        <is>
          <t>đã được ghi nhận. Metfone Express sẽ phản hồi lại bạn trong thời gian sớm nhất!</t>
        </is>
      </c>
      <c r="D1027" s="3" t="inlineStr">
        <is>
          <t>has been recorded. Metfone Express will respond as soon as possible!</t>
        </is>
      </c>
      <c r="E1027" s="3" t="n"/>
      <c r="F1027" s="3" t="n"/>
      <c r="G1027" s="3">
        <f>IFERROR(__xludf.DUMMYFUNCTION("GOOGLETRANSLATE(C1027,""vi"",""km"")"),"សំណើរបស់អ្នកត្រូវបានកត់សម្គាល់។ Metfone Express នឹងឆ្លើយតបទៅអ្នកវិញឱ្យបានឆាប់តាមដែលអាចធ្វើទៅបាន!")</f>
        <v/>
      </c>
      <c r="H1027" s="217" t="inlineStr">
        <is>
          <t>សំណួររបស់អ្នកត្រូវបានកត់សម្គាល់។ Metfone Express នឹងឆ្លើយតបទៅអ្នកវិញឱ្យបានឆាប់តាមដែលអាចធ្វើទៅបាន!</t>
        </is>
      </c>
      <c r="J1027" s="3" t="inlineStr">
        <is>
          <t>សំណួររបស់អ្នកត្រូវបានកត់សម្គាល់។ Metfone Express នឹងឆ្លើយតបទៅអ្នកវិញឱ្យបានឆាប់តាមដែលអាចធ្វើទៅបាន!</t>
        </is>
      </c>
      <c r="K1027" s="217" t="inlineStr">
        <is>
          <t>សំណួររបស់អ្នកត្រូវបានកត់សម្គាល់។ Metfone Express នឹងឆ្លើយតបទៅអ្នកវិញឱ្យបានឆាប់តាមដែលអាចធ្វើទៅបាន!</t>
        </is>
      </c>
      <c r="S1027" s="163" t="n"/>
    </row>
    <row r="1028" ht="15.75" customHeight="1" s="305">
      <c r="A1028" s="217" t="inlineStr">
        <is>
          <t>COMPLAINT.CREATE_SUCCESS_MODAL_TITLE</t>
        </is>
      </c>
      <c r="C1028" s="3" t="inlineStr">
        <is>
          <t>Gửi khiếu nại thành công</t>
        </is>
      </c>
      <c r="D1028" s="3" t="inlineStr">
        <is>
          <t>Complaint submitted successfully</t>
        </is>
      </c>
      <c r="E1028" s="3" t="n"/>
      <c r="F1028" s="3" t="n"/>
      <c r="G1028" s="3">
        <f>IFERROR(__xludf.DUMMYFUNCTION("GOOGLETRANSLATE(C1028,""vi"",""km"")"),"ពាក្យបណ្តឹងត្រូវបានដាក់ជូនដោយជោគជ័យ។")</f>
        <v/>
      </c>
      <c r="J1028" s="3" t="inlineStr">
        <is>
          <t>ពាក្យបណ្តឹងត្រូវបានដាក់ជូនដោយជោគជ័យ។</t>
        </is>
      </c>
      <c r="K1028" s="217" t="inlineStr">
        <is>
          <t>ពាក្យបណ្តឹងត្រូវបានដាក់ជូនដោយជោគជ័យ។</t>
        </is>
      </c>
      <c r="S1028" s="163" t="n"/>
    </row>
    <row r="1029" ht="15.75" customHeight="1" s="305">
      <c r="A1029" s="217" t="inlineStr">
        <is>
          <t>COMPLAINT.CUSTOMER_FEEDBACK</t>
        </is>
      </c>
      <c r="C1029" s="3" t="inlineStr">
        <is>
          <t>Phản hồi KH:</t>
        </is>
      </c>
      <c r="D1029" s="3" t="inlineStr">
        <is>
          <t>Customer feedback:</t>
        </is>
      </c>
      <c r="E1029" s="3" t="n"/>
      <c r="F1029" s="3" t="n"/>
      <c r="G1029" s="3">
        <f>IFERROR(__xludf.DUMMYFUNCTION("GOOGLETRANSLATE(C1029,""vi"",""km"")"),"មតិប្រតិកម្មរបស់អតិថិជន៖")</f>
        <v/>
      </c>
      <c r="J1029" s="3" t="inlineStr">
        <is>
          <t>មតិប្រតិកម្មរបស់អតិថិជន៖</t>
        </is>
      </c>
      <c r="K1029" s="217" t="inlineStr">
        <is>
          <t>មតិប្រតិកម្មរបស់អតិថិជន៖</t>
        </is>
      </c>
      <c r="S1029" s="163" t="n"/>
    </row>
    <row r="1030" ht="15.75" customHeight="1" s="305">
      <c r="A1030" s="217" t="inlineStr">
        <is>
          <t>COMPLAINT.EMPTY_COMPLAINT</t>
        </is>
      </c>
      <c r="C1030" s="3" t="inlineStr">
        <is>
          <t>Không có khiếu nại nào</t>
        </is>
      </c>
      <c r="D1030" s="3" t="inlineStr">
        <is>
          <t>No complaints</t>
        </is>
      </c>
      <c r="E1030" s="3" t="n"/>
      <c r="F1030" s="3" t="n"/>
      <c r="G1030" s="3">
        <f>IFERROR(__xludf.DUMMYFUNCTION("GOOGLETRANSLATE(C1030,""vi"",""km"")"),"គ្មានការត្អូញត្អែរទេ")</f>
        <v/>
      </c>
      <c r="J1030" s="3" t="inlineStr">
        <is>
          <t>គ្មានការត្អូញត្អែរទេ</t>
        </is>
      </c>
      <c r="K1030" s="217" t="inlineStr">
        <is>
          <t>គ្មានការត្អូញត្អែរទេ</t>
        </is>
      </c>
      <c r="S1030" s="163" t="n"/>
    </row>
    <row r="1031" ht="15.75" customHeight="1" s="305">
      <c r="A1031" s="217" t="inlineStr">
        <is>
          <t>COMPLAINT.EMPTY_COMPLAINT_DESC</t>
        </is>
      </c>
      <c r="C1031" s="3" t="inlineStr">
        <is>
          <t>Cảm ơn bạn đã tin dùng dịch vụ. Vui lòng thêm góp ý để Metfone Express phục vụ tốt hơn!</t>
        </is>
      </c>
      <c r="D1031" s="3" t="inlineStr">
        <is>
          <t>Thank you for using our service. Please add suggestions to help Metfone Express serve you better!</t>
        </is>
      </c>
      <c r="E1031" s="3" t="n"/>
      <c r="F1031" s="3" t="n"/>
      <c r="G1031" s="3">
        <f>IFERROR(__xludf.DUMMYFUNCTION("GOOGLETRANSLATE(C1031,""vi"",""km"")"),"សូមអរគុណសម្រាប់ការប្រើប្រាស់សេវាកម្មរបស់យើង។ សូមផ្តល់មតិយោបល់ ដើម្បីឱ្យ Metfone Express អាចបម្រើអ្នកបានកាន់តែប្រសើរ!")</f>
        <v/>
      </c>
      <c r="H1031" s="217" t="inlineStr">
        <is>
          <t>សូមអរគុណសម្រាប់ការជ្រើសរើសសេវាកម្មរបស់យើង។ សូមផ្តល់មតិយោបល់ ដើម្បីឱ្យ Metfone Express អាចបម្រើអ្នកបានកាន់តែប្រសើរ!</t>
        </is>
      </c>
      <c r="J1031" s="3" t="inlineStr">
        <is>
          <t>សូមអរគុណសម្រាប់ការជ្រើសរើសសេវាកម្មរបស់យើង។ សូមផ្តល់មតិយោបល់ ដើម្បីឱ្យ Metfone Express អាចបម្រើអ្នកបានកាន់តែប្រសើរ!</t>
        </is>
      </c>
      <c r="K1031" s="217" t="inlineStr">
        <is>
          <t>សូមអរគុណសម្រាប់ការជ្រើសរើសសេវាកម្មរបស់យើង។ សូមផ្តល់មតិយោបល់ ដើម្បីឱ្យ Metfone Express អាចបម្រើអ្នកបានកាន់តែប្រសើរ!</t>
        </is>
      </c>
      <c r="S1031" s="163" t="n"/>
    </row>
    <row r="1032" ht="15.75" customHeight="1" s="305">
      <c r="A1032" s="217" t="inlineStr">
        <is>
          <t>COMPLAINT.EMPTY_COMPLAINT_TITLE</t>
        </is>
      </c>
      <c r="C1032" s="3" t="inlineStr">
        <is>
          <t>Danh sách trống</t>
        </is>
      </c>
      <c r="D1032" s="3" t="inlineStr">
        <is>
          <t>Empty list</t>
        </is>
      </c>
      <c r="E1032" s="3" t="n"/>
      <c r="F1032" s="3" t="n"/>
      <c r="G1032" s="3">
        <f>IFERROR(__xludf.DUMMYFUNCTION("GOOGLETRANSLATE(C1032,""vi"",""km"")"),"បញ្ជីទទេ")</f>
        <v/>
      </c>
      <c r="J1032" s="3" t="inlineStr">
        <is>
          <t>បញ្ជីទទេ</t>
        </is>
      </c>
      <c r="K1032" s="217" t="inlineStr">
        <is>
          <t>បញ្ជីទទេ</t>
        </is>
      </c>
      <c r="S1032" s="163" t="n"/>
    </row>
    <row r="1033" ht="15.75" customHeight="1" s="305">
      <c r="A1033" s="217" t="inlineStr">
        <is>
          <t>COMPLAINT.EXTENSION_REASON</t>
        </is>
      </c>
      <c r="C1033" s="3" t="inlineStr">
        <is>
          <t>Lý do gia hạn:</t>
        </is>
      </c>
      <c r="D1033" s="3" t="inlineStr">
        <is>
          <t>Extension reason:</t>
        </is>
      </c>
      <c r="E1033" s="3" t="n"/>
      <c r="F1033" s="3" t="n"/>
      <c r="G1033" s="3">
        <f>IFERROR(__xludf.DUMMYFUNCTION("GOOGLETRANSLATE(C1033,""vi"",""km"")"),"មូលហេតុនៃការបន្ត៖")</f>
        <v/>
      </c>
      <c r="J1033" s="3" t="inlineStr">
        <is>
          <t>មូលហេតុនៃការបន្ត៖</t>
        </is>
      </c>
      <c r="K1033" s="217" t="inlineStr">
        <is>
          <t>មូលហេតុនៃការបន្ត៖</t>
        </is>
      </c>
      <c r="S1033" s="163" t="n"/>
    </row>
    <row r="1034" ht="15.75" customHeight="1" s="305">
      <c r="A1034" s="217" t="inlineStr">
        <is>
          <t>COMPLAINT.GET_ORDER_ERROR</t>
        </is>
      </c>
      <c r="C1034" s="3" t="inlineStr">
        <is>
          <t>Không tìm thấy thông tin đơn hàng</t>
        </is>
      </c>
      <c r="D1034" s="3" t="inlineStr">
        <is>
          <t>Order information not found</t>
        </is>
      </c>
      <c r="E1034" s="3" t="n"/>
      <c r="F1034" s="3" t="n"/>
      <c r="G1034" s="3">
        <f>IFERROR(__xludf.DUMMYFUNCTION("GOOGLETRANSLATE(C1034,""vi"",""km"")"),"រកមិនឃើញព័ត៌មានបញ្ជាទិញទេ។")</f>
        <v/>
      </c>
      <c r="J1034" s="3" t="inlineStr">
        <is>
          <t>រកមិនឃើញព័ត៌មានបញ្ជាទិញទេ។</t>
        </is>
      </c>
      <c r="K1034" s="217" t="inlineStr">
        <is>
          <t>រកមិនឃើញព័ត៌មានបញ្ជាទិញទេ។</t>
        </is>
      </c>
      <c r="S1034" s="163" t="n"/>
    </row>
    <row r="1035" ht="15.75" customHeight="1" s="305">
      <c r="A1035" s="217" t="inlineStr">
        <is>
          <t>COMPLAINT.GET_ORDER_SUCCESS</t>
        </is>
      </c>
      <c r="C1035" s="3" t="inlineStr">
        <is>
          <t>Đã lấy thông tin đơn hàng thành công</t>
        </is>
      </c>
      <c r="D1035" s="3" t="inlineStr">
        <is>
          <t>Order information retrieved successfully</t>
        </is>
      </c>
      <c r="E1035" s="3" t="n"/>
      <c r="F1035" s="3" t="n"/>
      <c r="G1035" s="3">
        <f>IFERROR(__xludf.DUMMYFUNCTION("GOOGLETRANSLATE(C1035,""vi"",""km"")"),"ព័ត៌មានការបញ្ជាទិញត្រូវបានទាញយកដោយជោគជ័យ។")</f>
        <v/>
      </c>
      <c r="J1035" s="3" t="inlineStr">
        <is>
          <t>ព័ត៌មានការបញ្ជាទិញត្រូវបានទាញយកដោយជោគជ័យ។</t>
        </is>
      </c>
      <c r="K1035" s="217" t="inlineStr">
        <is>
          <t>ព័ត៌មានការបញ្ជាទិញត្រូវបានទាញយកដោយជោគជ័យ។</t>
        </is>
      </c>
      <c r="S1035" s="163" t="n"/>
    </row>
    <row r="1036" ht="15.75" customHeight="1" s="305">
      <c r="A1036" s="217" t="inlineStr">
        <is>
          <t>COMPLAINT.INPUT_CONTENT</t>
        </is>
      </c>
      <c r="C1036" s="3" t="inlineStr">
        <is>
          <t>Nhập nội dung khiếu nại</t>
        </is>
      </c>
      <c r="D1036" s="3" t="inlineStr">
        <is>
          <t>Enter complaint content</t>
        </is>
      </c>
      <c r="E1036" s="3" t="n"/>
      <c r="F1036" s="3" t="n"/>
      <c r="G1036" s="3">
        <f>IFERROR(__xludf.DUMMYFUNCTION("GOOGLETRANSLATE(C1036,""vi"",""km"")"),"បញ្ចូលព័ត៌មានលម្អិតនៃពាក្យបណ្តឹង។")</f>
        <v/>
      </c>
      <c r="J1036" s="3" t="inlineStr">
        <is>
          <t>បញ្ចូលព័ត៌មានលម្អិតនៃពាក្យបណ្តឹង។</t>
        </is>
      </c>
      <c r="K1036" s="217" t="inlineStr">
        <is>
          <t>បញ្ចូលព័ត៌មានលម្អិតនៃពាក្យបណ្តឹង។</t>
        </is>
      </c>
      <c r="S1036" s="163" t="n"/>
    </row>
    <row r="1037" ht="15.75" customHeight="1" s="305">
      <c r="A1037" s="217" t="inlineStr">
        <is>
          <t>COMPLAINT.INPUT_ORDER_ID</t>
        </is>
      </c>
      <c r="C1037" s="3" t="inlineStr">
        <is>
          <t>Nhập mã đơn hàng</t>
        </is>
      </c>
      <c r="D1037" s="3" t="inlineStr">
        <is>
          <t>Enter order ID</t>
        </is>
      </c>
      <c r="E1037" s="3" t="n"/>
      <c r="F1037" s="3" t="n"/>
      <c r="G1037" s="3">
        <f>IFERROR(__xludf.DUMMYFUNCTION("GOOGLETRANSLATE(C1037,""vi"",""km"")"),"បញ្ចូលលេខកូដបញ្ជាទិញ")</f>
        <v/>
      </c>
      <c r="J1037" s="3" t="inlineStr">
        <is>
          <t>បញ្ចូលលេខកូដបញ្ជាទិញ</t>
        </is>
      </c>
      <c r="K1037" s="217" t="inlineStr">
        <is>
          <t>បញ្ចូលលេខកូដបញ្ជាទិញ</t>
        </is>
      </c>
      <c r="S1037" s="163" t="n"/>
    </row>
    <row r="1038" ht="15.75" customHeight="1" s="305">
      <c r="A1038" s="217" t="inlineStr">
        <is>
          <t>COMPLAINT.NOT_FOUND</t>
        </is>
      </c>
      <c r="C1038" s="3" t="inlineStr">
        <is>
          <t>Không tìm thấy khiếu nại</t>
        </is>
      </c>
      <c r="D1038" s="3" t="inlineStr">
        <is>
          <t>Complaint not found</t>
        </is>
      </c>
      <c r="E1038" s="3" t="n"/>
      <c r="F1038" s="3" t="n"/>
      <c r="G1038" s="3">
        <f>IFERROR(__xludf.DUMMYFUNCTION("GOOGLETRANSLATE(C1038,""vi"",""km"")"),"រកមិនឃើញពាក្យបណ្តឹងទេ។")</f>
        <v/>
      </c>
      <c r="J1038" s="3" t="inlineStr">
        <is>
          <t>រកមិនឃើញពាក្យបណ្តឹងទេ។</t>
        </is>
      </c>
      <c r="K1038" s="217" t="inlineStr">
        <is>
          <t>រកមិនឃើញពាក្យបណ្តឹងទេ។</t>
        </is>
      </c>
      <c r="S1038" s="163" t="n"/>
    </row>
    <row r="1039" ht="15.75" customHeight="1" s="305">
      <c r="A1039" s="217" t="inlineStr">
        <is>
          <t>COMPLAINT.ORDER_ID</t>
        </is>
      </c>
      <c r="C1039" s="3" t="inlineStr">
        <is>
          <t>Mã đơn hàng</t>
        </is>
      </c>
      <c r="D1039" s="3" t="inlineStr">
        <is>
          <t>Order ID</t>
        </is>
      </c>
      <c r="E1039" s="3" t="n"/>
      <c r="F1039" s="3" t="n"/>
      <c r="G1039" s="3">
        <f>IFERROR(__xludf.DUMMYFUNCTION("GOOGLETRANSLATE(C1039,""vi"",""km"")"),"លេខកូដបញ្ជាទិញ")</f>
        <v/>
      </c>
      <c r="J1039" s="3" t="inlineStr">
        <is>
          <t>លេខកូដបុងបញ្ញើ</t>
        </is>
      </c>
      <c r="K1039" s="217" t="inlineStr">
        <is>
          <t>លេខកូដបុងបញ្ញើ</t>
        </is>
      </c>
      <c r="S1039" s="163" t="n"/>
    </row>
    <row r="1040" ht="15.75" customHeight="1" s="305">
      <c r="A1040" s="217" t="inlineStr">
        <is>
          <t>COMPLAINT.ORDER_ID_REQUIRED</t>
        </is>
      </c>
      <c r="C1040" s="3" t="inlineStr">
        <is>
          <t>Mã đơn hàng không được để trống</t>
        </is>
      </c>
      <c r="D1040" s="3" t="inlineStr">
        <is>
          <t>Order ID cannot be empty</t>
        </is>
      </c>
      <c r="E1040" s="3" t="n"/>
      <c r="F1040" s="3" t="n"/>
      <c r="G1040" s="3">
        <f>IFERROR(__xludf.DUMMYFUNCTION("GOOGLETRANSLATE(C1040,""vi"",""km"")"),"លេខបញ្ជាទិញមិនអាចទុកចោលឱ្យនៅទទេបានទេ។")</f>
        <v/>
      </c>
      <c r="J1040" s="3" t="inlineStr">
        <is>
          <t>លេខបញ្ជាទិញមិនអាចទុកចោលឱ្យនៅទទេបានទេ។</t>
        </is>
      </c>
      <c r="K1040" s="217" t="inlineStr">
        <is>
          <t>លេខបញ្ជាទិញមិនអាចទុកចោលឱ្យនៅទទេបានទេ។</t>
        </is>
      </c>
      <c r="S1040" s="163" t="n"/>
    </row>
    <row r="1041" ht="15.75" customHeight="1" s="305">
      <c r="A1041" s="217" t="inlineStr">
        <is>
          <t>COMPLAINT.ORDER_PREFIX</t>
        </is>
      </c>
      <c r="C1041" s="3" t="inlineStr">
        <is>
          <t>Đơn #</t>
        </is>
      </c>
      <c r="D1041" s="3" t="inlineStr">
        <is>
          <t>Order #</t>
        </is>
      </c>
      <c r="E1041" s="3" t="n"/>
      <c r="F1041" s="3" t="n"/>
      <c r="G1041" s="3">
        <f>IFERROR(__xludf.DUMMYFUNCTION("GOOGLETRANSLATE(C1041,""vi"",""km"")"),"លេខ​តែមួយ")</f>
        <v/>
      </c>
      <c r="J1041" s="3" t="inlineStr">
        <is>
          <t>លេខតែមួយ</t>
        </is>
      </c>
      <c r="K1041" s="217" t="inlineStr">
        <is>
          <t>លេខតែមួយ</t>
        </is>
      </c>
      <c r="S1041" s="163" t="n"/>
    </row>
    <row r="1042" ht="15.75" customHeight="1" s="305">
      <c r="A1042" s="217" t="inlineStr">
        <is>
          <t>COMPLAINT.PROCESSING_INFO</t>
        </is>
      </c>
      <c r="C1042" s="3" t="inlineStr">
        <is>
          <t>Thông tin xử lý</t>
        </is>
      </c>
      <c r="D1042" s="3" t="inlineStr">
        <is>
          <t>Processing info</t>
        </is>
      </c>
      <c r="E1042" s="3" t="n"/>
      <c r="F1042" s="3" t="n"/>
      <c r="G1042" s="3">
        <f>IFERROR(__xludf.DUMMYFUNCTION("GOOGLETRANSLATE(C1042,""vi"",""km"")"),"ព័ត៌មានកំពុងដំណើរការ")</f>
        <v/>
      </c>
      <c r="J1042" s="3" t="inlineStr">
        <is>
          <t>ព័ត៌មានកំពុងដំណើរការ</t>
        </is>
      </c>
      <c r="K1042" s="217" t="inlineStr">
        <is>
          <t>ព័ត៌មានកំពុងដំណើរការ</t>
        </is>
      </c>
      <c r="S1042" s="163" t="n"/>
    </row>
    <row r="1043" ht="15.75" customHeight="1" s="305">
      <c r="A1043" s="217" t="inlineStr">
        <is>
          <t>COMPLAINT.PROCESSING_RESULT</t>
        </is>
      </c>
      <c r="C1043" s="3" t="inlineStr">
        <is>
          <t>Kết quả xử lý:</t>
        </is>
      </c>
      <c r="D1043" s="3" t="inlineStr">
        <is>
          <t>Processing result:</t>
        </is>
      </c>
      <c r="E1043" s="3" t="n"/>
      <c r="F1043" s="3" t="n"/>
      <c r="G1043" s="3">
        <f>IFERROR(__xludf.DUMMYFUNCTION("GOOGLETRANSLATE(C1043,""vi"",""km"")"),"លទ្ធផលដំណើរការ៖")</f>
        <v/>
      </c>
      <c r="J1043" s="3" t="inlineStr">
        <is>
          <t>លទ្ធផលដំណើរការ៖</t>
        </is>
      </c>
      <c r="K1043" s="217" t="inlineStr">
        <is>
          <t>លទ្ធផលដំណើរការ៖</t>
        </is>
      </c>
      <c r="S1043" s="163" t="n"/>
    </row>
    <row r="1044" ht="15.75" customHeight="1" s="305">
      <c r="A1044" s="217" t="inlineStr">
        <is>
          <t>COMPLAINT.RESULTS</t>
        </is>
      </c>
      <c r="C1044" s="3" t="inlineStr">
        <is>
          <t>kết quả</t>
        </is>
      </c>
      <c r="D1044" s="3" t="inlineStr">
        <is>
          <t>results</t>
        </is>
      </c>
      <c r="E1044" s="3" t="n"/>
      <c r="F1044" s="3" t="n"/>
      <c r="G1044" s="3">
        <f>IFERROR(__xludf.DUMMYFUNCTION("GOOGLETRANSLATE(C1044,""vi"",""km"")"),"លទ្ធផល")</f>
        <v/>
      </c>
      <c r="J1044" s="3" t="inlineStr">
        <is>
          <t>លទ្ធផល</t>
        </is>
      </c>
      <c r="K1044" s="217" t="inlineStr">
        <is>
          <t>លទ្ធផល</t>
        </is>
      </c>
      <c r="S1044" s="163" t="n"/>
    </row>
    <row r="1045" ht="15.75" customHeight="1" s="305">
      <c r="A1045" s="217" t="inlineStr">
        <is>
          <t>COMPLAINT.SEARCH_ORDER_PLACEHOLDER</t>
        </is>
      </c>
      <c r="C1045" s="3" t="inlineStr">
        <is>
          <t>Nhập mã đơn hàng...</t>
        </is>
      </c>
      <c r="D1045" s="3" t="inlineStr">
        <is>
          <t>Enter order code...</t>
        </is>
      </c>
      <c r="E1045" s="3" t="n"/>
      <c r="F1045" s="3" t="n"/>
      <c r="G1045" s="3">
        <f>IFERROR(__xludf.DUMMYFUNCTION("GOOGLETRANSLATE(C1045,""vi"",""km"")"),"បញ្ចូលលេខបញ្ជាទិញរបស់អ្នក...")</f>
        <v/>
      </c>
      <c r="J1045" s="3" t="inlineStr">
        <is>
          <t>បញ្ចូលលេខបញ្ជាទិញរបស់អ្នក...</t>
        </is>
      </c>
      <c r="K1045" s="217" t="inlineStr">
        <is>
          <t>បញ្ចូលលេខបញ្ជាទិញរបស់អ្នក...</t>
        </is>
      </c>
      <c r="S1045" s="163" t="n"/>
    </row>
    <row r="1046" ht="15.75" customHeight="1" s="305">
      <c r="A1046" s="217" t="inlineStr">
        <is>
          <t>COMPLAINT.SELECT_ADDRESS_REQUIRED</t>
        </is>
      </c>
      <c r="C1046" s="3" t="inlineStr">
        <is>
          <t>Vui lòng chọn địa chỉ lấy hàng</t>
        </is>
      </c>
      <c r="D1046" s="3" t="inlineStr">
        <is>
          <t>Please select a pickup address</t>
        </is>
      </c>
      <c r="E1046" s="3" t="n"/>
      <c r="F1046" s="3" t="n"/>
      <c r="G1046" s="3">
        <f>IFERROR(__xludf.DUMMYFUNCTION("GOOGLETRANSLATE(C1046,""vi"",""km"")"),"សូមជ្រើសរើសអាសយដ្ឋានទទួល។")</f>
        <v/>
      </c>
      <c r="J1046" s="3" t="inlineStr">
        <is>
          <t>សូមជ្រើសរើសអាសយដ្ឋានទទួល។</t>
        </is>
      </c>
      <c r="K1046" s="217" t="inlineStr">
        <is>
          <t>សូមជ្រើសរើសអាសយដ្ឋានទទួល។</t>
        </is>
      </c>
      <c r="S1046" s="163" t="n"/>
    </row>
    <row r="1047" ht="15.75" customHeight="1" s="305">
      <c r="A1047" s="217" t="inlineStr">
        <is>
          <t>COMPLAINT.SELECT_SENDER_ADDRESS</t>
        </is>
      </c>
      <c r="C1047" s="3" t="inlineStr">
        <is>
          <t>Chọn địa chỉ gửi hàng</t>
        </is>
      </c>
      <c r="D1047" s="3" t="inlineStr">
        <is>
          <t>Select sender address</t>
        </is>
      </c>
      <c r="E1047" s="3" t="n"/>
      <c r="F1047" s="3" t="n"/>
      <c r="G1047" s="3">
        <f>IFERROR(__xludf.DUMMYFUNCTION("GOOGLETRANSLATE(C1047,""vi"",""km"")"),"ជ្រើសរើសអាសយដ្ឋានដឹកជញ្ជូន")</f>
        <v/>
      </c>
      <c r="J1047" s="3" t="inlineStr">
        <is>
          <t>ជ្រើសរើសអាសយដ្ឋានដឹកជញ្ជូន</t>
        </is>
      </c>
      <c r="K1047" s="217" t="inlineStr">
        <is>
          <t>ជ្រើសរើសអាសយដ្ឋានដឹកជញ្ជូន</t>
        </is>
      </c>
      <c r="S1047" s="163" t="n"/>
    </row>
    <row r="1048" ht="15.75" customHeight="1" s="305">
      <c r="A1048" s="217" t="inlineStr">
        <is>
          <t>COMPLAINT.SELECT_TYPE</t>
        </is>
      </c>
      <c r="C1048" s="3" t="inlineStr">
        <is>
          <t>Chọn loại khiếu nại</t>
        </is>
      </c>
      <c r="D1048" s="3" t="inlineStr">
        <is>
          <t>Select complaint type</t>
        </is>
      </c>
      <c r="E1048" s="3" t="n"/>
      <c r="F1048" s="3" t="n"/>
      <c r="G1048" s="3">
        <f>IFERROR(__xludf.DUMMYFUNCTION("GOOGLETRANSLATE(C1048,""vi"",""km"")"),"ជ្រើសរើសប្រភេទពាក្យបណ្តឹង")</f>
        <v/>
      </c>
      <c r="J1048" s="3" t="inlineStr">
        <is>
          <t>ជ្រើសរើសប្រភេទពាក្យបណ្តឹង</t>
        </is>
      </c>
      <c r="K1048" s="217" t="inlineStr">
        <is>
          <t>ជ្រើសរើសប្រភេទពាក្យបណ្តឹង</t>
        </is>
      </c>
      <c r="S1048" s="163" t="n"/>
    </row>
    <row r="1049" ht="15.75" customHeight="1" s="305">
      <c r="A1049" s="217" t="inlineStr">
        <is>
          <t>COMPLAINT.SENDER_ADDRESS</t>
        </is>
      </c>
      <c r="C1049" s="3" t="inlineStr">
        <is>
          <t>Địa chỉ gửi hàng</t>
        </is>
      </c>
      <c r="D1049" s="3" t="inlineStr">
        <is>
          <t>Sender address</t>
        </is>
      </c>
      <c r="E1049" s="3" t="n"/>
      <c r="F1049" s="3" t="n"/>
      <c r="G1049" s="3">
        <f>IFERROR(__xludf.DUMMYFUNCTION("GOOGLETRANSLATE(C1049,""vi"",""km"")"),"អាសយដ្ឋានដឹកជញ្ជូន")</f>
        <v/>
      </c>
      <c r="J1049" s="3" t="inlineStr">
        <is>
          <t>អាសយដ្ឋានដឹកជញ្ជូន</t>
        </is>
      </c>
      <c r="K1049" s="217" t="inlineStr">
        <is>
          <t>អាសយដ្ឋានដឹកជញ្ជូន</t>
        </is>
      </c>
      <c r="S1049" s="163" t="n"/>
    </row>
    <row r="1050" ht="15.75" customHeight="1" s="305">
      <c r="A1050" s="217" t="inlineStr">
        <is>
          <t>COMPLAINT.SEND_COMPLAIN</t>
        </is>
      </c>
      <c r="C1050" s="3" t="inlineStr">
        <is>
          <t>Gửi khiếu nại</t>
        </is>
      </c>
      <c r="D1050" s="3" t="inlineStr">
        <is>
          <t>Send complaint</t>
        </is>
      </c>
      <c r="E1050" s="3" t="n"/>
      <c r="F1050" s="3" t="n"/>
      <c r="G1050" s="3">
        <f>IFERROR(__xludf.DUMMYFUNCTION("GOOGLETRANSLATE(C1050,""vi"",""km"")"),"ដាក់ពាក្យបណ្តឹង")</f>
        <v/>
      </c>
      <c r="J1050" s="3" t="inlineStr">
        <is>
          <t>ដាក់ពាក្យបណ្តឹង</t>
        </is>
      </c>
      <c r="K1050" s="217" t="inlineStr">
        <is>
          <t>ដាក់ពាក្យបណ្តឹង</t>
        </is>
      </c>
      <c r="S1050" s="163" t="n"/>
    </row>
    <row r="1051" ht="15.75" customHeight="1" s="305">
      <c r="A1051" s="217" t="inlineStr">
        <is>
          <t>COMPLAINT.STATUS_ASSIGNED</t>
        </is>
      </c>
      <c r="C1051" s="3" t="inlineStr">
        <is>
          <t>Đã phân công</t>
        </is>
      </c>
      <c r="D1051" s="3" t="inlineStr">
        <is>
          <t>Assigned</t>
        </is>
      </c>
      <c r="E1051" s="3" t="n"/>
      <c r="F1051" s="3" t="n"/>
      <c r="G1051" s="3">
        <f>IFERROR(__xludf.DUMMYFUNCTION("GOOGLETRANSLATE(C1051,""vi"",""km"")"),"បានចាត់តាំង")</f>
        <v/>
      </c>
      <c r="J1051" s="3" t="inlineStr">
        <is>
          <t>បានចាត់តាំង</t>
        </is>
      </c>
      <c r="K1051" s="217" t="inlineStr">
        <is>
          <t>បានចាត់តាំង</t>
        </is>
      </c>
      <c r="S1051" s="163" t="n"/>
    </row>
    <row r="1052" ht="15.75" customHeight="1" s="305">
      <c r="A1052" s="217" t="inlineStr">
        <is>
          <t>COMPLAINT.STATUS_CANCELLED</t>
        </is>
      </c>
      <c r="C1052" s="3" t="inlineStr">
        <is>
          <t>Đã huỷ</t>
        </is>
      </c>
      <c r="D1052" s="3" t="inlineStr">
        <is>
          <t>Cancelled</t>
        </is>
      </c>
      <c r="E1052" s="3" t="n"/>
      <c r="F1052" s="3" t="n"/>
      <c r="G1052" s="3">
        <f>IFERROR(__xludf.DUMMYFUNCTION("GOOGLETRANSLATE(C1052,""vi"",""km"")"),"បានលុបចោល")</f>
        <v/>
      </c>
      <c r="J1052" s="3" t="inlineStr">
        <is>
          <t>បានលុបចោល</t>
        </is>
      </c>
      <c r="K1052" s="217" t="inlineStr">
        <is>
          <t>បានលុបចោល</t>
        </is>
      </c>
      <c r="S1052" s="163" t="n"/>
    </row>
    <row r="1053" ht="15.75" customHeight="1" s="305">
      <c r="A1053" s="217" t="inlineStr">
        <is>
          <t>COMPLAINT.STATUS_COMPLETED</t>
        </is>
      </c>
      <c r="C1053" s="3" t="inlineStr">
        <is>
          <t>Đã hoàn thành</t>
        </is>
      </c>
      <c r="D1053" s="3" t="inlineStr">
        <is>
          <t>Completed</t>
        </is>
      </c>
      <c r="E1053" s="3" t="n"/>
      <c r="F1053" s="3" t="n"/>
      <c r="G1053" s="3">
        <f>IFERROR(__xludf.DUMMYFUNCTION("GOOGLETRANSLATE(C1053,""vi"",""km"")"),"បានបញ្ចប់")</f>
        <v/>
      </c>
      <c r="J1053" s="3" t="inlineStr">
        <is>
          <t>បានបញ្ចប់</t>
        </is>
      </c>
      <c r="K1053" s="217" t="inlineStr">
        <is>
          <t>បានបញ្ចប់</t>
        </is>
      </c>
      <c r="S1053" s="163" t="n"/>
    </row>
    <row r="1054" ht="15.75" customHeight="1" s="305">
      <c r="A1054" s="217" t="inlineStr">
        <is>
          <t>COMPLAINT.STATUS_IN_PROGRESS</t>
        </is>
      </c>
      <c r="C1054" s="3" t="inlineStr">
        <is>
          <t>Đang xử lý</t>
        </is>
      </c>
      <c r="D1054" s="3" t="inlineStr">
        <is>
          <t>In progress</t>
        </is>
      </c>
      <c r="E1054" s="3" t="n"/>
      <c r="F1054" s="3" t="n"/>
      <c r="G1054" s="3">
        <f>IFERROR(__xludf.DUMMYFUNCTION("GOOGLETRANSLATE(C1054,""vi"",""km"")"),"កំពុងដំណើរការ")</f>
        <v/>
      </c>
      <c r="J1054" s="3" t="inlineStr">
        <is>
          <t>កំពុងដំណើរការ</t>
        </is>
      </c>
      <c r="K1054" s="217" t="inlineStr">
        <is>
          <t>កំពុងដំណើរការ</t>
        </is>
      </c>
      <c r="S1054" s="163" t="n"/>
    </row>
    <row r="1055" ht="15.75" customHeight="1" s="305">
      <c r="A1055" s="217" t="inlineStr">
        <is>
          <t>COMPLAINT.STATUS_PROCESSED</t>
        </is>
      </c>
      <c r="C1055" s="3" t="inlineStr">
        <is>
          <t>Đã xử lý</t>
        </is>
      </c>
      <c r="D1055" s="3" t="inlineStr">
        <is>
          <t>Processed</t>
        </is>
      </c>
      <c r="E1055" s="3" t="n"/>
      <c r="F1055" s="3" t="n"/>
      <c r="G1055" s="3">
        <f>IFERROR(__xludf.DUMMYFUNCTION("GOOGLETRANSLATE(C1055,""vi"",""km"")"),"បានដំណើរការ")</f>
        <v/>
      </c>
      <c r="J1055" s="3" t="inlineStr">
        <is>
          <t>បានដំណើរការ</t>
        </is>
      </c>
      <c r="K1055" s="217" t="inlineStr">
        <is>
          <t>បានដំណើរការ</t>
        </is>
      </c>
      <c r="S1055" s="163" t="n"/>
    </row>
    <row r="1056" ht="15.75" customHeight="1" s="305">
      <c r="A1056" s="217" t="inlineStr">
        <is>
          <t>COMPLAINT.STATUS_WAITING</t>
        </is>
      </c>
      <c r="C1056" s="3" t="inlineStr">
        <is>
          <t>Chờ tiếp nhận</t>
        </is>
      </c>
      <c r="D1056" s="3" t="inlineStr">
        <is>
          <t>Waiting</t>
        </is>
      </c>
      <c r="E1056" s="3" t="n"/>
      <c r="F1056" s="3" t="n"/>
      <c r="G1056" s="3">
        <f>IFERROR(__xludf.DUMMYFUNCTION("GOOGLETRANSLATE(C1056,""vi"",""km"")"),"កំពុងរង់ចាំបង្កាន់ដៃ")</f>
        <v/>
      </c>
      <c r="J1056" s="3" t="inlineStr">
        <is>
          <t>កំពុងរង់ចាំបុងបញ្ញើ</t>
        </is>
      </c>
      <c r="K1056" s="217" t="inlineStr">
        <is>
          <t>កំពុងរង់ចាំបុងបញ្ញើ</t>
        </is>
      </c>
      <c r="S1056" s="163" t="n"/>
    </row>
    <row r="1057" ht="15.75" customHeight="1" s="305">
      <c r="A1057" s="217" t="inlineStr">
        <is>
          <t>COMPLAINT.TITLE</t>
        </is>
      </c>
      <c r="C1057" s="3" t="inlineStr">
        <is>
          <t>Khiếu nại</t>
        </is>
      </c>
      <c r="D1057" s="3" t="inlineStr">
        <is>
          <t>Complaint</t>
        </is>
      </c>
      <c r="E1057" s="3" t="n"/>
      <c r="F1057" s="3" t="n"/>
      <c r="G1057" s="3">
        <f>IFERROR(__xludf.DUMMYFUNCTION("GOOGLETRANSLATE(C1057,""vi"",""km"")"),"ពាក្យបណ្តឹង")</f>
        <v/>
      </c>
      <c r="J1057" s="3" t="inlineStr">
        <is>
          <t>ពាក្យបណ្ដឹង</t>
        </is>
      </c>
      <c r="K1057" s="217" t="inlineStr">
        <is>
          <t>ពាក្យបណ្ដឹង</t>
        </is>
      </c>
      <c r="S1057" s="163" t="n"/>
    </row>
    <row r="1058" ht="15.75" customHeight="1" s="305">
      <c r="A1058" s="217" t="inlineStr">
        <is>
          <t>COMPLAINT.TITLE_CREATE_COMPLAINT</t>
        </is>
      </c>
      <c r="C1058" s="3" t="inlineStr">
        <is>
          <t>Tạo khiếu nại đơn hàng</t>
        </is>
      </c>
      <c r="D1058" s="3" t="inlineStr">
        <is>
          <t>Create order complaint</t>
        </is>
      </c>
      <c r="E1058" s="3" t="n"/>
      <c r="F1058" s="3" t="n"/>
      <c r="G1058" s="3">
        <f>IFERROR(__xludf.DUMMYFUNCTION("GOOGLETRANSLATE(C1058,""vi"",""km"")"),"បង្កើតពាក្យបណ្តឹងបញ្ជាទិញ")</f>
        <v/>
      </c>
      <c r="J1058" s="3" t="inlineStr">
        <is>
          <t>បង្កើតពាក្យបណ្តឹងបញ្ជាទិញ</t>
        </is>
      </c>
      <c r="K1058" s="217" t="inlineStr">
        <is>
          <t>បង្កើតពាក្យបណ្តឹងបញ្ជាទិញ</t>
        </is>
      </c>
      <c r="S1058" s="163" t="n"/>
    </row>
    <row r="1059" ht="15.75" customHeight="1" s="305">
      <c r="A1059" s="217" t="inlineStr">
        <is>
          <t>COMPLAINT.TITLE_CREATE_SUGGESTION</t>
        </is>
      </c>
      <c r="C1059" s="3" t="inlineStr">
        <is>
          <t>Tạo góp ý/ Khiếu nại mới</t>
        </is>
      </c>
      <c r="D1059" s="3" t="inlineStr">
        <is>
          <t>Create new suggestion/complaint</t>
        </is>
      </c>
      <c r="E1059" s="3" t="n"/>
      <c r="F1059" s="3" t="n"/>
      <c r="G1059" s="3">
        <f>IFERROR(__xludf.DUMMYFUNCTION("GOOGLETRANSLATE(C1059,""vi"",""km"")"),"បង្កើតមតិយោបល់/ពាក្យបណ្តឹងថ្មី")</f>
        <v/>
      </c>
      <c r="J1059" s="3" t="inlineStr">
        <is>
          <t>បង្កើតមតិយោបល់/ពាក្យបណ្តឹងថ្មី</t>
        </is>
      </c>
      <c r="K1059" s="217" t="inlineStr">
        <is>
          <t>បង្កើតមតិយោបល់/ពាក្យបណ្តឹងថ្មី</t>
        </is>
      </c>
      <c r="S1059" s="163" t="n"/>
    </row>
    <row r="1060" ht="15.75" customHeight="1" s="305">
      <c r="A1060" s="217" t="inlineStr">
        <is>
          <t>COMPLAINT.TITLE_DETAIL</t>
        </is>
      </c>
      <c r="C1060" s="3" t="inlineStr">
        <is>
          <t>Chi tiết khiếu nại</t>
        </is>
      </c>
      <c r="D1060" s="3" t="inlineStr">
        <is>
          <t>Complaint Detail</t>
        </is>
      </c>
      <c r="E1060" s="3" t="n"/>
      <c r="F1060" s="3" t="n"/>
      <c r="G1060" s="3">
        <f>IFERROR(__xludf.DUMMYFUNCTION("GOOGLETRANSLATE(C1060,""vi"",""km"")"),"ព័ត៌មានលម្អិតអំពីពាក្យបណ្តឹង")</f>
        <v/>
      </c>
      <c r="J1060" s="3" t="inlineStr">
        <is>
          <t>ព័ត៌មានលម្អិតអំពីពាក្យបណ្តឹង</t>
        </is>
      </c>
      <c r="K1060" s="217" t="inlineStr">
        <is>
          <t>ព័ត៌មានលម្អិតអំពីពាក្យបណ្តឹង</t>
        </is>
      </c>
      <c r="S1060" s="163" t="n"/>
    </row>
    <row r="1061" ht="15.75" customHeight="1" s="305">
      <c r="A1061" s="217" t="inlineStr">
        <is>
          <t>COMPLAINT.TYPE_COMPLAINT</t>
        </is>
      </c>
      <c r="C1061" s="3" t="inlineStr">
        <is>
          <t>Loại Khiếu nại</t>
        </is>
      </c>
      <c r="D1061" s="3" t="inlineStr">
        <is>
          <t>Complaint type</t>
        </is>
      </c>
      <c r="E1061" s="3" t="n"/>
      <c r="F1061" s="3" t="n"/>
      <c r="G1061" s="3">
        <f>IFERROR(__xludf.DUMMYFUNCTION("GOOGLETRANSLATE(C1061,""vi"",""km"")"),"ប្រភេទនៃពាក្យបណ្តឹង")</f>
        <v/>
      </c>
      <c r="J1061" s="3" t="inlineStr">
        <is>
          <t>ប្រភេទនៃពាក្យបណ្តឹង</t>
        </is>
      </c>
      <c r="K1061" s="217" t="inlineStr">
        <is>
          <t>ប្រភេទនៃពាក្យបណ្តឹង</t>
        </is>
      </c>
      <c r="S1061" s="163" t="n"/>
    </row>
    <row r="1062" ht="15.75" customHeight="1" s="305">
      <c r="A1062" s="217" t="inlineStr">
        <is>
          <t>COMPLAINT.TYPE_REQUIRED</t>
        </is>
      </c>
      <c r="C1062" s="3" t="inlineStr">
        <is>
          <t>Vui lòng chọn loại khiếu nại</t>
        </is>
      </c>
      <c r="D1062" s="3" t="inlineStr">
        <is>
          <t>Please select a complaint type</t>
        </is>
      </c>
      <c r="E1062" s="3" t="n"/>
      <c r="F1062" s="3" t="n"/>
      <c r="G1062" s="3">
        <f>IFERROR(__xludf.DUMMYFUNCTION("GOOGLETRANSLATE(C1062,""vi"",""km"")"),"សូមជ្រើសរើសប្រភេទពាក្យបណ្តឹង។")</f>
        <v/>
      </c>
      <c r="J1062" s="3" t="inlineStr">
        <is>
          <t>សូមជ្រើសរើសប្រភេទពាក្យបណ្តឹង។</t>
        </is>
      </c>
      <c r="K1062" s="217" t="inlineStr">
        <is>
          <t>សូមជ្រើសរើសប្រភេទពាក្យបណ្តឹង។</t>
        </is>
      </c>
      <c r="S1062" s="163" t="n"/>
    </row>
    <row r="1063" ht="15.75" customHeight="1" s="305">
      <c r="A1063" s="217" t="inlineStr">
        <is>
          <t>CREATE_ORDER.SEARCH_CH</t>
        </is>
      </c>
      <c r="C1063" s="3" t="inlineStr">
        <is>
          <t>Tìm kiếm cửa hàng</t>
        </is>
      </c>
      <c r="D1063" s="3" t="inlineStr">
        <is>
          <t>Search store</t>
        </is>
      </c>
      <c r="E1063" s="3" t="n"/>
      <c r="F1063" s="3" t="n"/>
      <c r="G1063" s="3">
        <f>IFERROR(__xludf.DUMMYFUNCTION("GOOGLETRANSLATE(C1063,""vi"",""km"")"),"ស្វែងរកហាង")</f>
        <v/>
      </c>
      <c r="J1063" s="3" t="inlineStr">
        <is>
          <t>ស្វែងរកហាង</t>
        </is>
      </c>
      <c r="K1063" s="217" t="inlineStr">
        <is>
          <t>ស្វែងរកហាង</t>
        </is>
      </c>
      <c r="S1063" s="163" t="n"/>
    </row>
    <row r="1064" ht="15.75" customHeight="1" s="305">
      <c r="A1064" s="217" t="inlineStr">
        <is>
          <t>CREATE_ORDER.VIEW_FORWARD_ORDER_DETAIL</t>
        </is>
      </c>
      <c r="C1064" s="3" t="inlineStr">
        <is>
          <t>Chi tiết đơn chuyển tiếp</t>
        </is>
      </c>
      <c r="D1064" s="3" t="inlineStr">
        <is>
          <t>Forwarding order details</t>
        </is>
      </c>
      <c r="E1064" s="3" t="n"/>
      <c r="F1064" s="3" t="n"/>
      <c r="G1064" s="3">
        <f>IFERROR(__xludf.DUMMYFUNCTION("GOOGLETRANSLATE(C1064,""vi"",""km"")"),"ព័ត៌មានលម្អិតអំពីការផ្ទេរ")</f>
        <v/>
      </c>
      <c r="J1064" s="3" t="inlineStr">
        <is>
          <t>ព័ត៌មានលម្អិតអំពីការផ្ទេរ</t>
        </is>
      </c>
      <c r="K1064" s="217" t="inlineStr">
        <is>
          <t>ព័ត៌មានលម្អិតអំពីការផ្ទេរ</t>
        </is>
      </c>
      <c r="S1064" s="163" t="n"/>
    </row>
    <row r="1065" ht="15.75" customHeight="1" s="305">
      <c r="A1065" s="217" t="inlineStr">
        <is>
          <t>CREATE_WAREHOUSE_SCREEN.ENTER_NAME</t>
        </is>
      </c>
      <c r="C1065" s="3" t="inlineStr">
        <is>
          <t>Vui lòng nhập tên</t>
        </is>
      </c>
      <c r="D1065" s="3" t="inlineStr">
        <is>
          <t>Please enter name</t>
        </is>
      </c>
      <c r="E1065" s="3" t="n"/>
      <c r="F1065" s="3" t="n"/>
      <c r="G1065" s="3">
        <f>IFERROR(__xludf.DUMMYFUNCTION("GOOGLETRANSLATE(C1065,""vi"",""km"")"),"សូមបញ្ចូលឈ្មោះរបស់អ្នក")</f>
        <v/>
      </c>
      <c r="J1065" s="3" t="inlineStr">
        <is>
          <t>សូមបញ្ចូលឈ្មោះរបស់អ្នក</t>
        </is>
      </c>
      <c r="K1065" s="217" t="inlineStr">
        <is>
          <t>សូមបញ្ចូលឈ្មោះរបស់អ្នក</t>
        </is>
      </c>
      <c r="S1065" s="163" t="n"/>
    </row>
    <row r="1066" ht="15.75" customHeight="1" s="305">
      <c r="A1066" s="217" t="inlineStr">
        <is>
          <t>CREATE_WAREHOUSE_SCREEN.ENTER_PHONE_NUMBER</t>
        </is>
      </c>
      <c r="C1066" s="3" t="inlineStr">
        <is>
          <t>Vui lòng nhập số điện thoại</t>
        </is>
      </c>
      <c r="D1066" s="3" t="inlineStr">
        <is>
          <t>Please enter phone number</t>
        </is>
      </c>
      <c r="E1066" s="3" t="n"/>
      <c r="F1066" s="3" t="n"/>
      <c r="G1066" s="3">
        <f>IFERROR(__xludf.DUMMYFUNCTION("GOOGLETRANSLATE(C1066,""vi"",""km"")"),"សូមបញ្ចូលលេខទូរស័ព្ទរបស់អ្នក។")</f>
        <v/>
      </c>
      <c r="J1066" s="3" t="inlineStr">
        <is>
          <t>សូមបញ្ចូលលេខទូរស័ព្ទរបស់អ្នក។</t>
        </is>
      </c>
      <c r="K1066" s="217" t="inlineStr">
        <is>
          <t>សូមបញ្ចូលលេខទូរស័ព្ទរបស់អ្នក។</t>
        </is>
      </c>
      <c r="S1066" s="163" t="n"/>
    </row>
    <row r="1067" ht="15.75" customHeight="1" s="305">
      <c r="A1067" s="217" t="inlineStr">
        <is>
          <t>CREATE_WAREHOUSE_SCREEN.SELECT_ADDRESS</t>
        </is>
      </c>
      <c r="C1067" s="3" t="inlineStr">
        <is>
          <t>Vui lòng nhập địa chỉ</t>
        </is>
      </c>
      <c r="D1067" s="3" t="inlineStr">
        <is>
          <t>Please enter address</t>
        </is>
      </c>
      <c r="E1067" s="3" t="n"/>
      <c r="F1067" s="3" t="n"/>
      <c r="G1067" s="3">
        <f>IFERROR(__xludf.DUMMYFUNCTION("GOOGLETRANSLATE(C1067,""vi"",""km"")"),"សូមបញ្ចូលអាសយដ្ឋាន")</f>
        <v/>
      </c>
      <c r="J1067" s="3" t="inlineStr">
        <is>
          <t>សូមបញ្ចូលអាសយដ្ឋាន</t>
        </is>
      </c>
      <c r="K1067" s="217" t="inlineStr">
        <is>
          <t>សូមបញ្ចូលអាសយដ្ឋាន</t>
        </is>
      </c>
      <c r="S1067" s="163" t="n"/>
    </row>
    <row r="1068" ht="15.75" customHeight="1" s="305">
      <c r="A1068" s="217" t="inlineStr">
        <is>
          <t>CREATE_WAREHOUSE_SCREEN.SELECT_ADDRESS_TYPE</t>
        </is>
      </c>
      <c r="C1068" s="3" t="inlineStr">
        <is>
          <t>Vui lòng chọn loại địa chỉ</t>
        </is>
      </c>
      <c r="D1068" s="3" t="inlineStr">
        <is>
          <t>Please select address type</t>
        </is>
      </c>
      <c r="E1068" s="3" t="n"/>
      <c r="F1068" s="3" t="n"/>
      <c r="G1068" s="3">
        <f>IFERROR(__xludf.DUMMYFUNCTION("GOOGLETRANSLATE(C1068,""vi"",""km"")"),"សូមជ្រើសរើសប្រភេទអាសយដ្ឋាន។")</f>
        <v/>
      </c>
      <c r="J1068" s="3" t="inlineStr">
        <is>
          <t>សូមជ្រើសរើសប្រភេទអាសយដ្ឋាន។</t>
        </is>
      </c>
      <c r="K1068" s="217" t="inlineStr">
        <is>
          <t>សូមជ្រើសរើសប្រភេទអាសយដ្ឋាន។</t>
        </is>
      </c>
      <c r="S1068" s="163" t="n"/>
    </row>
    <row r="1069" ht="15.75" customHeight="1" s="305">
      <c r="A1069" s="217" t="inlineStr">
        <is>
          <t>CREATE_WAREHOUSE_SCREEN.SELECT_DISTRICT_PLEASE</t>
        </is>
      </c>
      <c r="C1069" s="3" t="inlineStr">
        <is>
          <t>Vui lòng chọn mường</t>
        </is>
      </c>
      <c r="D1069" s="3" t="inlineStr">
        <is>
          <t>Please select district</t>
        </is>
      </c>
      <c r="E1069" s="3" t="n"/>
      <c r="F1069" s="3" t="n"/>
      <c r="G1069" s="3">
        <f>IFERROR(__xludf.DUMMYFUNCTION("GOOGLETRANSLATE(C1069,""vi"",""km"")"),"សូមជ្រើសរើសស្រុកមួយ។")</f>
        <v/>
      </c>
      <c r="J1069" s="3" t="inlineStr">
        <is>
          <t>សូមជ្រើសរើសស្រុកមួយ។</t>
        </is>
      </c>
      <c r="K1069" s="217" t="inlineStr">
        <is>
          <t>សូមជ្រើសរើសស្រុកមួយ។</t>
        </is>
      </c>
      <c r="S1069" s="163" t="n"/>
    </row>
    <row r="1070" ht="15.75" customHeight="1" s="305">
      <c r="A1070" s="217" t="inlineStr">
        <is>
          <t>CREATE_WAREHOUSE_SCREEN.SELECT_PROVINCE</t>
        </is>
      </c>
      <c r="C1070" s="3" t="inlineStr">
        <is>
          <t>Vui lòng chọn tỉnh</t>
        </is>
      </c>
      <c r="D1070" s="3" t="inlineStr">
        <is>
          <t>Please select province</t>
        </is>
      </c>
      <c r="E1070" s="3" t="n"/>
      <c r="F1070" s="3" t="n"/>
      <c r="G1070" s="3">
        <f>IFERROR(__xludf.DUMMYFUNCTION("GOOGLETRANSLATE(C1070,""vi"",""km"")"),"សូមជ្រើសរើសខេត្តមួយ")</f>
        <v/>
      </c>
      <c r="J1070" s="3" t="inlineStr">
        <is>
          <t>សូមជ្រើសរើសខេត្តមួយ</t>
        </is>
      </c>
      <c r="K1070" s="217" t="inlineStr">
        <is>
          <t>សូមជ្រើសរើសខេត្តមួយ</t>
        </is>
      </c>
      <c r="S1070" s="163" t="n"/>
    </row>
    <row r="1071" ht="15.75" customHeight="1" s="305">
      <c r="A1071" s="217" t="inlineStr">
        <is>
          <t>CREATE_WAREHOUSE_SCREEN.SELECT_TOWN_PLEASE</t>
        </is>
      </c>
      <c r="C1071" s="3" t="inlineStr">
        <is>
          <t>Vui lòng chọn bản</t>
        </is>
      </c>
      <c r="D1071" s="3" t="inlineStr">
        <is>
          <t>Please select town</t>
        </is>
      </c>
      <c r="E1071" s="3" t="n"/>
      <c r="F1071" s="3" t="n"/>
      <c r="G1071" s="3">
        <f>IFERROR(__xludf.DUMMYFUNCTION("GOOGLETRANSLATE(C1071,""vi"",""km"")"),"សូមជ្រើសរើសកំណែ")</f>
        <v/>
      </c>
      <c r="J1071" s="3" t="inlineStr">
        <is>
          <t>សូមជ្រើសរើសកំណែ</t>
        </is>
      </c>
      <c r="K1071" s="217" t="inlineStr">
        <is>
          <t>សូមជ្រើសរើសកំណែ</t>
        </is>
      </c>
      <c r="S1071" s="163" t="n"/>
    </row>
    <row r="1072" ht="15.75" customHeight="1" s="305">
      <c r="A1072" s="217" t="inlineStr">
        <is>
          <t>MANAGE_ORDER.DEVICE_CONNECTED</t>
        </is>
      </c>
      <c r="C1072" s="3" t="inlineStr">
        <is>
          <t>Thiết bị đã kết nối</t>
        </is>
      </c>
      <c r="D1072" s="3" t="inlineStr">
        <is>
          <t>Loading templates...</t>
        </is>
      </c>
      <c r="E1072" s="3" t="n"/>
      <c r="F1072" s="3" t="n"/>
      <c r="G1072" s="3">
        <f>IFERROR(__xludf.DUMMYFUNCTION("GOOGLETRANSLATE(C1072,""vi"",""km"")"),"ឧបករណ៍​ត្រូវ​បាន​ភ្ជាប់​ហើយ។")</f>
        <v/>
      </c>
      <c r="J1072" s="3" t="inlineStr">
        <is>
          <t>ឧបករណ៍ត្រូវបានភ្ជាប់ហើយ។</t>
        </is>
      </c>
      <c r="K1072" s="217" t="inlineStr">
        <is>
          <t>ឧបករណ៍ត្រូវបានភ្ជាប់ហើយ។</t>
        </is>
      </c>
      <c r="S1072" s="163" t="n"/>
    </row>
    <row r="1073" ht="15.75" customHeight="1" s="305">
      <c r="A1073" s="217" t="inlineStr">
        <is>
          <t>MANAGE_ORDER.VIEW_DETAIL</t>
        </is>
      </c>
      <c r="C1073" s="3" t="inlineStr">
        <is>
          <t>Xem chi tiết</t>
        </is>
      </c>
      <c r="D1073" s="3" t="inlineStr">
        <is>
          <t>View Detail</t>
        </is>
      </c>
      <c r="E1073" s="3" t="n"/>
      <c r="F1073" s="3" t="n"/>
      <c r="G1073" s="3">
        <f>IFERROR(__xludf.DUMMYFUNCTION("GOOGLETRANSLATE(C1073,""vi"",""km"")"),"មើលព័ត៌មានលម្អិត")</f>
        <v/>
      </c>
      <c r="J1073" s="3" t="inlineStr">
        <is>
          <t>មើលព័ត៌មានលម្អិត</t>
        </is>
      </c>
      <c r="K1073" s="217" t="inlineStr">
        <is>
          <t>មើលព័ត៌មានលម្អិត</t>
        </is>
      </c>
      <c r="S1073" s="163" t="n"/>
    </row>
    <row r="1074" ht="15.75" customHeight="1" s="305">
      <c r="A1074" s="217" t="inlineStr">
        <is>
          <t>NOTIFI_SET.NOTIFICATION_SETTINGS</t>
        </is>
      </c>
      <c r="C1074" s="3" t="inlineStr">
        <is>
          <t>Cài đặt thông báo</t>
        </is>
      </c>
      <c r="D1074" s="3" t="inlineStr">
        <is>
          <t>Notification Settings</t>
        </is>
      </c>
      <c r="E1074" s="3" t="n"/>
      <c r="F1074" s="3" t="n"/>
      <c r="G1074" s="3">
        <f>IFERROR(__xludf.DUMMYFUNCTION("GOOGLETRANSLATE(C1074,""vi"",""km"")"),"រៀបចំការជូនដំណឹង")</f>
        <v/>
      </c>
      <c r="J1074" s="3" t="inlineStr">
        <is>
          <t>រៀបចំការជូនដំណឹង</t>
        </is>
      </c>
      <c r="K1074" s="217" t="inlineStr">
        <is>
          <t>រៀបចំការជូនដំណឹង</t>
        </is>
      </c>
      <c r="S1074" s="163" t="n"/>
    </row>
    <row r="1075" ht="15.75" customHeight="1" s="305">
      <c r="A1075" s="217" t="inlineStr">
        <is>
          <t>NOTIFI_SET.ORDER_NOTIFICATION</t>
        </is>
      </c>
      <c r="C1075" s="3" t="inlineStr">
        <is>
          <t>Thông báo đơn hàng</t>
        </is>
      </c>
      <c r="D1075" s="3" t="inlineStr">
        <is>
          <t>Order Notification</t>
        </is>
      </c>
      <c r="E1075" s="3" t="n"/>
      <c r="F1075" s="3" t="n"/>
      <c r="G1075" s="3">
        <f>IFERROR(__xludf.DUMMYFUNCTION("GOOGLETRANSLATE(C1075,""vi"",""km"")"),"ការជូនដំណឹងអំពីការបញ្ជាទិញ")</f>
        <v/>
      </c>
      <c r="J1075" s="3" t="inlineStr">
        <is>
          <t>ការជូនដំណឹងអំពីការបញ្ជាទិញ</t>
        </is>
      </c>
      <c r="K1075" s="217" t="inlineStr">
        <is>
          <t>ការជូនដំណឹងអំពីការបញ្ជាទិញ</t>
        </is>
      </c>
      <c r="S1075" s="163" t="n"/>
    </row>
    <row r="1076" ht="15.75" customHeight="1" s="305">
      <c r="A1076" s="217" t="inlineStr">
        <is>
          <t>NOTIFI_SET.SAVE_INFO_SUCCESS</t>
        </is>
      </c>
      <c r="C1076" s="3" t="inlineStr">
        <is>
          <t>Lưu thông tin thành công!</t>
        </is>
      </c>
      <c r="D1076" s="3" t="inlineStr">
        <is>
          <t>Saved successfully!</t>
        </is>
      </c>
      <c r="E1076" s="3" t="n"/>
      <c r="F1076" s="3" t="n"/>
      <c r="G1076" s="3">
        <f>IFERROR(__xludf.DUMMYFUNCTION("GOOGLETRANSLATE(C1076,""vi"",""km"")"),"ព័ត៌មានត្រូវបានរក្សាទុកដោយជោគជ័យ!")</f>
        <v/>
      </c>
      <c r="J1076" s="3" t="inlineStr">
        <is>
          <t>ព័ត៌មានត្រូវបានរក្សាទុកដោយជោគជ័យ!</t>
        </is>
      </c>
      <c r="K1076" s="217" t="inlineStr">
        <is>
          <t>ព័ត៌មានត្រូវបានរក្សាទុកដោយជោគជ័យ!</t>
        </is>
      </c>
      <c r="S1076" s="163" t="n"/>
    </row>
    <row r="1077" ht="15.75" customHeight="1" s="305">
      <c r="A1077" s="217" t="inlineStr">
        <is>
          <t>QR_SCANNER.DETECTING</t>
        </is>
      </c>
      <c r="C1077" s="3" t="inlineStr">
        <is>
          <t>Đang nhận diện mã QR...</t>
        </is>
      </c>
      <c r="D1077" s="3" t="inlineStr">
        <is>
          <t>Detecting QR code...</t>
        </is>
      </c>
      <c r="E1077" s="3" t="n"/>
      <c r="F1077" s="3" t="n"/>
      <c r="G1077" s="3">
        <f>IFERROR(__xludf.DUMMYFUNCTION("GOOGLETRANSLATE(C1077,""vi"",""km"")"),"ការកំណត់អត្តសញ្ញាណលេខកូដ QR...")</f>
        <v/>
      </c>
      <c r="J1077" s="3" t="inlineStr">
        <is>
          <t>ការកំណត់អត្តសញ្ញាណលេខកូដ QR...</t>
        </is>
      </c>
      <c r="K1077" s="217" t="inlineStr">
        <is>
          <t>ការកំណត់អត្តសញ្ញាណលេខកូដ QR...</t>
        </is>
      </c>
      <c r="S1077" s="163" t="n"/>
    </row>
    <row r="1078" ht="15.75" customHeight="1" s="305">
      <c r="A1078" s="217" t="inlineStr">
        <is>
          <t>QR_SCANNER.DETECT_ERROR</t>
        </is>
      </c>
      <c r="C1078" s="3" t="inlineStr">
        <is>
          <t>Không thể đọc mã QR từ ảnh. Vui lòng thử lại.</t>
        </is>
      </c>
      <c r="D1078" s="3" t="inlineStr">
        <is>
          <t>Cannot read QR code from the image. Please try again.</t>
        </is>
      </c>
      <c r="E1078" s="3" t="n"/>
      <c r="F1078" s="3" t="n"/>
      <c r="G1078" s="3">
        <f>IFERROR(__xludf.DUMMYFUNCTION("GOOGLETRANSLATE(C1078,""vi"",""km"")"),"មិនអាចអានលេខកូដ QR ពីរូបភាពបានទេ។ សូមព្យាយាមម្តងទៀត។")</f>
        <v/>
      </c>
      <c r="J1078" s="3" t="inlineStr">
        <is>
          <t>មិនអាចអានលេខកូដ QR ពីរូបភាពបានទេ។ សូមព្យាយាមម្តងទៀត។</t>
        </is>
      </c>
      <c r="K1078" s="217" t="inlineStr">
        <is>
          <t>មិនអាចអានលេខកូដ QR ពីរូបភាពបានទេ។ សូមព្យាយាមម្តងទៀត។</t>
        </is>
      </c>
      <c r="S1078" s="163" t="n"/>
    </row>
    <row r="1079" ht="15.75" customHeight="1" s="305">
      <c r="A1079" s="217" t="inlineStr">
        <is>
          <t>QR_SCANNER.INSTRUCTION</t>
        </is>
      </c>
      <c r="C1079" s="3" t="inlineStr">
        <is>
          <t>Đặt mã QR vào khung để lấy thông tin mã đơn hàng</t>
        </is>
      </c>
      <c r="D1079" s="3" t="inlineStr">
        <is>
          <t>Place QR code inside the frame to retrieve order code information</t>
        </is>
      </c>
      <c r="E1079" s="3" t="n"/>
      <c r="F1079" s="3" t="n"/>
      <c r="G1079" s="3">
        <f>IFERROR(__xludf.DUMMYFUNCTION("GOOGLETRANSLATE(C1079,""vi"",""km"")"),"ដាក់លេខកូដ QR នៅក្នុងប្រអប់ ដើម្បីទទួលបានព័ត៌មានលេខបញ្ជាទិញរបស់អ្នក។")</f>
        <v/>
      </c>
      <c r="J1079" s="3" t="inlineStr">
        <is>
          <t>ដាក់លេខកូដ QR នៅក្នុងប្រអប់ ដើម្បីទទួលបានព័ត៌មានលេខបញ្ជាទិញរបស់អ្នក។</t>
        </is>
      </c>
      <c r="K1079" s="217" t="inlineStr">
        <is>
          <t>ដាក់លេខកូដ QR នៅក្នុងប្រអប់ ដើម្បីទទួលបានព័ត៌មានលេខបញ្ជាទិញរបស់អ្នក។</t>
        </is>
      </c>
      <c r="S1079" s="163" t="n"/>
    </row>
    <row r="1080" ht="15.75" customHeight="1" s="305">
      <c r="A1080" s="217" t="inlineStr">
        <is>
          <t>QR_SCANNER.NOT_FOUND</t>
        </is>
      </c>
      <c r="C1080" s="3" t="inlineStr">
        <is>
          <t>Không tìm thấy mã QR trong ảnh. Vui lòng thử lại.</t>
        </is>
      </c>
      <c r="D1080" s="3" t="inlineStr">
        <is>
          <t>QR code not found in the image. Please try again.</t>
        </is>
      </c>
      <c r="E1080" s="3" t="n"/>
      <c r="F1080" s="3" t="n"/>
      <c r="G1080" s="3">
        <f>IFERROR(__xludf.DUMMYFUNCTION("GOOGLETRANSLATE(C1080,""vi"",""km"")"),"រកមិនឃើញលេខកូដ QR នៅក្នុងរូបភាពទេ។ សូមព្យាយាមម្តងទៀត។")</f>
        <v/>
      </c>
      <c r="J1080" s="3" t="inlineStr">
        <is>
          <t>រកមិនឃើញលេខកូដ QR នៅក្នុងរូបភាពទេ។ សូមព្យាយាមម្តងទៀត។</t>
        </is>
      </c>
      <c r="K1080" s="217" t="inlineStr">
        <is>
          <t>រកមិនឃើញលេខកូដ QR នៅក្នុងរូបភាពទេ។ សូមព្យាយាមម្តងទៀត។</t>
        </is>
      </c>
      <c r="S1080" s="163" t="n"/>
    </row>
    <row r="1081" ht="15.75" customHeight="1" s="305">
      <c r="A1081" s="217" t="inlineStr">
        <is>
          <t>QR_SCANNER.UPLOAD_BUTTON</t>
        </is>
      </c>
      <c r="C1081" s="3" t="inlineStr">
        <is>
          <t>Tải ảnh QR lên</t>
        </is>
      </c>
      <c r="D1081" s="3" t="inlineStr">
        <is>
          <t>Upload QR image</t>
        </is>
      </c>
      <c r="E1081" s="3" t="n"/>
      <c r="F1081" s="3" t="n"/>
      <c r="G1081" s="3">
        <f>IFERROR(__xludf.DUMMYFUNCTION("GOOGLETRANSLATE(C1081,""vi"",""km"")"),"ផ្ទុកឡើងរូបភាពកូដ QR")</f>
        <v/>
      </c>
      <c r="J1081" s="3" t="inlineStr">
        <is>
          <t>ផ្ទុកឡើងរូបភាពកូដ QR</t>
        </is>
      </c>
      <c r="K1081" s="217" t="inlineStr">
        <is>
          <t>ផ្ទុកឡើងរូបភាពកូដ QR</t>
        </is>
      </c>
      <c r="S1081" s="163" t="n"/>
    </row>
    <row r="1082" ht="15.75" customHeight="1" s="305">
      <c r="A1082" s="217" t="inlineStr">
        <is>
          <t>DETAIL_ORDER.DELIVERY_PHOTO</t>
        </is>
      </c>
      <c r="C1082" s="3" t="inlineStr">
        <is>
          <t>Ảnh giao hàng</t>
        </is>
      </c>
      <c r="D1082" s="3" t="inlineStr">
        <is>
          <t>Delivery image</t>
        </is>
      </c>
      <c r="E1082" s="3" t="n"/>
      <c r="F1082" s="3" t="n"/>
      <c r="G1082" s="3">
        <f>IFERROR(__xludf.DUMMYFUNCTION("GOOGLETRANSLATE(C1082,""vi"",""km"")"),"រូបថតដឹកជញ្ជូន")</f>
        <v/>
      </c>
      <c r="J1082" s="3" t="inlineStr">
        <is>
          <t>រូបថតដឹកជញ្ជូន</t>
        </is>
      </c>
      <c r="K1082" s="217" t="inlineStr">
        <is>
          <t>រូបថតដឹកជញ្ជូន</t>
        </is>
      </c>
      <c r="S1082" s="163" t="n"/>
    </row>
    <row r="1083" ht="15.75" customHeight="1" s="305">
      <c r="A1083" s="217" t="inlineStr">
        <is>
          <t>ACCOUNT_EDIT.CLOSE</t>
        </is>
      </c>
      <c r="C1083" s="3" t="inlineStr">
        <is>
          <t>Đóng</t>
        </is>
      </c>
      <c r="D1083" s="3" t="inlineStr">
        <is>
          <t>Close</t>
        </is>
      </c>
      <c r="E1083" s="3" t="n"/>
      <c r="F1083" s="3" t="n"/>
      <c r="G1083" s="3">
        <f>IFERROR(__xludf.DUMMYFUNCTION("GOOGLETRANSLATE(C1083,""vi"",""km"")"),"បិទ")</f>
        <v/>
      </c>
      <c r="J1083" s="3" t="inlineStr">
        <is>
          <t>បិទ</t>
        </is>
      </c>
      <c r="K1083" s="217" t="inlineStr">
        <is>
          <t>បិទ</t>
        </is>
      </c>
      <c r="S1083" s="163" t="n"/>
    </row>
    <row r="1084" ht="15.75" customHeight="1" s="305">
      <c r="A1084" s="217" t="inlineStr">
        <is>
          <t>ACCOUNT_EDIT.EXIT_SCREEN</t>
        </is>
      </c>
      <c r="C1084" s="3" t="inlineStr">
        <is>
          <t>Thoát màn hình</t>
        </is>
      </c>
      <c r="D1084" s="3" t="inlineStr">
        <is>
          <t>Exit screen</t>
        </is>
      </c>
      <c r="E1084" s="3" t="n"/>
      <c r="F1084" s="3" t="n"/>
      <c r="G1084" s="3">
        <f>IFERROR(__xludf.DUMMYFUNCTION("GOOGLETRANSLATE(C1084,""vi"",""km"")"),"អេក្រង់ចេញ")</f>
        <v/>
      </c>
      <c r="J1084" s="3" t="inlineStr">
        <is>
          <t>អេក្រង់ចេញ</t>
        </is>
      </c>
      <c r="K1084" s="217" t="inlineStr">
        <is>
          <t>អេក្រង់ចេញ</t>
        </is>
      </c>
      <c r="S1084" s="163" t="n"/>
    </row>
    <row r="1085" ht="15.75" customHeight="1" s="305">
      <c r="A1085" s="217" t="inlineStr">
        <is>
          <t>ACCOUNT_EDIT.MAX_100_CHARACTERS</t>
        </is>
      </c>
      <c r="C1085" s="3" t="inlineStr">
        <is>
          <t>Nhập tối đa 100 ký tự</t>
        </is>
      </c>
      <c r="D1085" s="3" t="inlineStr">
        <is>
          <t>Maximum 100 characters</t>
        </is>
      </c>
      <c r="E1085" s="3" t="n"/>
      <c r="F1085" s="3" t="n"/>
      <c r="G1085" s="3">
        <f>IFERROR(__xludf.DUMMYFUNCTION("GOOGLETRANSLATE(C1085,""vi"",""km"")"),"បញ្ចូលតួអក្សរអតិបរមា 100 តួអក្សរ។")</f>
        <v/>
      </c>
      <c r="J1085" s="3" t="inlineStr">
        <is>
          <t>បញ្ចូលតួអក្សរអតិបរមា 100 តួអក្សរ។</t>
        </is>
      </c>
      <c r="K1085" s="217" t="inlineStr">
        <is>
          <t>បញ្ចូលតួអក្សរអតិបរមា 100 តួអក្សរ។</t>
        </is>
      </c>
      <c r="S1085" s="163" t="n"/>
    </row>
    <row r="1086" ht="15.75" customHeight="1" s="305">
      <c r="A1086" s="217" t="inlineStr">
        <is>
          <t>ACCOUNT_EDIT.MAX_255_CHARACTERS</t>
        </is>
      </c>
      <c r="C1086" s="3" t="inlineStr">
        <is>
          <t>Nhập tối đa 255 ký tự</t>
        </is>
      </c>
      <c r="D1086" s="3" t="inlineStr">
        <is>
          <t>Maximum 255 characters</t>
        </is>
      </c>
      <c r="E1086" s="3" t="n"/>
      <c r="F1086" s="3" t="n"/>
      <c r="G1086" s="3">
        <f>IFERROR(__xludf.DUMMYFUNCTION("GOOGLETRANSLATE(C1086,""vi"",""km"")"),"បញ្ចូលតួអក្សរអតិបរមា 255 តួអក្សរ។")</f>
        <v/>
      </c>
      <c r="J1086" s="3" t="inlineStr">
        <is>
          <t>បញ្ចូលតួអក្សរអតិបរមា 255 តួអក្សរ។</t>
        </is>
      </c>
      <c r="K1086" s="217" t="inlineStr">
        <is>
          <t>បញ្ចូលតួអក្សរអតិបរមា 255 តួអក្សរ។</t>
        </is>
      </c>
      <c r="S1086" s="163" t="n"/>
    </row>
    <row r="1087" ht="15.75" customHeight="1" s="305">
      <c r="A1087" s="217" t="inlineStr">
        <is>
          <t>ACCOUNT_EDIT.MAX_50_CHARACTERS</t>
        </is>
      </c>
      <c r="C1087" s="3" t="inlineStr">
        <is>
          <t>Nhập tối đa 50 ký tự</t>
        </is>
      </c>
      <c r="D1087" s="3" t="inlineStr">
        <is>
          <t>Maximum 50 characters</t>
        </is>
      </c>
      <c r="E1087" s="3" t="n"/>
      <c r="F1087" s="3" t="n"/>
      <c r="G1087" s="3">
        <f>IFERROR(__xludf.DUMMYFUNCTION("GOOGLETRANSLATE(C1087,""vi"",""km"")"),"បញ្ចូលតួអក្សរអតិបរមា 50 តួអក្សរ។")</f>
        <v/>
      </c>
      <c r="J1087" s="3" t="inlineStr">
        <is>
          <t>បញ្ចូលតួអក្សរអតិបរមា 50 តួអក្សរ។</t>
        </is>
      </c>
      <c r="K1087" s="217" t="inlineStr">
        <is>
          <t>បញ្ចូលតួអក្សរអតិបរមា 50 តួអក្សរ។</t>
        </is>
      </c>
      <c r="S1087" s="163" t="n"/>
    </row>
    <row r="1088" ht="15.75" customHeight="1" s="305">
      <c r="A1088" s="217" t="inlineStr">
        <is>
          <t>ACCOUNT_EDIT.PLEASE_ENTER_ADDRESS</t>
        </is>
      </c>
      <c r="C1088" s="3" t="inlineStr">
        <is>
          <t>Vui lòng nhập địa chỉ</t>
        </is>
      </c>
      <c r="D1088" s="3" t="inlineStr">
        <is>
          <t>Please enter address</t>
        </is>
      </c>
      <c r="E1088" s="3" t="n"/>
      <c r="F1088" s="3" t="n"/>
      <c r="G1088" s="3">
        <f>IFERROR(__xludf.DUMMYFUNCTION("GOOGLETRANSLATE(C1088,""vi"",""km"")"),"សូមបញ្ចូលអាសយដ្ឋាន")</f>
        <v/>
      </c>
      <c r="J1088" s="3" t="inlineStr">
        <is>
          <t>សូមបញ្ចូលអាសយដ្ឋាន</t>
        </is>
      </c>
      <c r="K1088" s="217" t="inlineStr">
        <is>
          <t>សូមបញ្ចូលអាសយដ្ឋាន</t>
        </is>
      </c>
      <c r="S1088" s="163" t="n"/>
    </row>
    <row r="1089" ht="15.75" customHeight="1" s="305">
      <c r="A1089" s="217" t="inlineStr">
        <is>
          <t>ACCOUNT_EDIT.PLEASE_ENTER_FULL_NAME</t>
        </is>
      </c>
      <c r="C1089" s="3" t="inlineStr">
        <is>
          <t>Vui lòng nhập họ tên</t>
        </is>
      </c>
      <c r="D1089" s="3" t="inlineStr">
        <is>
          <t>Please enter full name</t>
        </is>
      </c>
      <c r="E1089" s="3" t="n"/>
      <c r="F1089" s="3" t="n"/>
      <c r="G1089" s="3">
        <f>IFERROR(__xludf.DUMMYFUNCTION("GOOGLETRANSLATE(C1089,""vi"",""km"")"),"សូមបញ្ចូលឈ្មោះពេញរបស់អ្នក។")</f>
        <v/>
      </c>
      <c r="J1089" s="3" t="inlineStr">
        <is>
          <t>សូមបញ្ចូលឈ្មោះពេញរបស់អ្នក។</t>
        </is>
      </c>
      <c r="K1089" s="217" t="inlineStr">
        <is>
          <t>សូមបញ្ចូលឈ្មោះពេញរបស់អ្នក។</t>
        </is>
      </c>
      <c r="S1089" s="163" t="n"/>
    </row>
    <row r="1090" ht="15.75" customHeight="1" s="305">
      <c r="A1090" s="217" t="inlineStr">
        <is>
          <t>ACCOUNT_EDIT.PLEASE_ENTER_PHONE_NUMBER</t>
        </is>
      </c>
      <c r="C1090" s="3" t="inlineStr">
        <is>
          <t>Vui lòng nhập số điện thoại</t>
        </is>
      </c>
      <c r="D1090" s="3" t="inlineStr">
        <is>
          <t>Please enter phone number</t>
        </is>
      </c>
      <c r="E1090" s="3" t="n"/>
      <c r="F1090" s="3" t="n"/>
      <c r="G1090" s="3">
        <f>IFERROR(__xludf.DUMMYFUNCTION("GOOGLETRANSLATE(C1090,""vi"",""km"")"),"សូមបញ្ចូលលេខទូរស័ព្ទរបស់អ្នក។")</f>
        <v/>
      </c>
      <c r="J1090" s="3" t="inlineStr">
        <is>
          <t>សូមបញ្ចូលលេខទូរស័ព្ទរបស់អ្នក។</t>
        </is>
      </c>
      <c r="K1090" s="217" t="inlineStr">
        <is>
          <t>សូមបញ្ចូលលេខទូរស័ព្ទរបស់អ្នក។</t>
        </is>
      </c>
      <c r="S1090" s="163" t="n"/>
    </row>
    <row r="1091" ht="15.75" customHeight="1" s="305">
      <c r="A1091" s="217" t="inlineStr">
        <is>
          <t>ACCOUNT_EDIT.PLEASE_ENTER_VALID_EMAIL</t>
        </is>
      </c>
      <c r="C1091" s="3" t="inlineStr">
        <is>
          <t>Vui lòng điền đúng định dạng email</t>
        </is>
      </c>
      <c r="D1091" s="3" t="inlineStr">
        <is>
          <t>Please enter a valid email format</t>
        </is>
      </c>
      <c r="E1091" s="3" t="n"/>
      <c r="F1091" s="3" t="n"/>
      <c r="G1091" s="3">
        <f>IFERROR(__xludf.DUMMYFUNCTION("GOOGLETRANSLATE(C1091,""vi"",""km"")"),"សូមបំពេញអ៊ីមែលក្នុងទម្រង់ត្រឹមត្រូវ។")</f>
        <v/>
      </c>
      <c r="J1091" s="3" t="inlineStr">
        <is>
          <t>សូមបញ្ចូលទម្រង់អ៊ីមែលឲ្យបានត្រឹមត្រូវ</t>
        </is>
      </c>
      <c r="K1091" s="217" t="inlineStr">
        <is>
          <t>សូមបញ្ចូលទម្រង់អ៊ីមែលឲ្យបានត្រឹមត្រូវ</t>
        </is>
      </c>
      <c r="S1091" s="163" t="n"/>
    </row>
    <row r="1092" ht="15.75" customHeight="1" s="305">
      <c r="A1092" s="217" t="inlineStr">
        <is>
          <t>ACCOUNT_EDIT.PLEASE_SELECT_REGION_DISTRICT_TOWN</t>
        </is>
      </c>
      <c r="C1092" s="3" t="inlineStr">
        <is>
          <t>Vui lòng chọn tỉnh/mường/bản</t>
        </is>
      </c>
      <c r="D1092" s="3" t="inlineStr">
        <is>
          <t>Please select province/district/village</t>
        </is>
      </c>
      <c r="E1092" s="3" t="n"/>
      <c r="F1092" s="3" t="n"/>
      <c r="G1092" s="3">
        <f>IFERROR(__xludf.DUMMYFUNCTION("GOOGLETRANSLATE(C1092,""vi"",""km"")"),"សូមជ្រើសរើសខេត្ត/ស្រុក/ភូមិ")</f>
        <v/>
      </c>
      <c r="J1092" s="3" t="inlineStr">
        <is>
          <t>សូមជ្រើសរើសខេត្ត/ស្រុក/ភូមិ</t>
        </is>
      </c>
      <c r="K1092" s="217" t="inlineStr">
        <is>
          <t>សូមជ្រើសរើសខេត្ត/ស្រុក/ភូមិ</t>
        </is>
      </c>
      <c r="S1092" s="163" t="n"/>
    </row>
    <row r="1093" ht="15.75" customHeight="1" s="305">
      <c r="A1093" s="217" t="inlineStr">
        <is>
          <t>ACCOUNT_EDIT.RECEIVE_AGENT</t>
        </is>
      </c>
      <c r="C1093" s="3" t="inlineStr">
        <is>
          <t>Đại lý nhận</t>
        </is>
      </c>
      <c r="D1093" s="3" t="inlineStr">
        <is>
          <t>Receive Agent</t>
        </is>
      </c>
      <c r="E1093" s="3" t="n"/>
      <c r="F1093" s="3" t="n"/>
      <c r="G1093" s="3">
        <f>IFERROR(__xludf.DUMMYFUNCTION("GOOGLETRANSLATE(C1093,""vi"",""km"")"),"ភ្នាក់ងារទទួល")</f>
        <v/>
      </c>
      <c r="J1093" s="3" t="inlineStr">
        <is>
          <t>ភ្នាក់ងារទទួល</t>
        </is>
      </c>
      <c r="K1093" s="217" t="inlineStr">
        <is>
          <t>ភ្នាក់ងារទទួល</t>
        </is>
      </c>
      <c r="S1093" s="163" t="n"/>
    </row>
    <row r="1094" ht="15.75" customHeight="1" s="305">
      <c r="A1094" s="217" t="inlineStr">
        <is>
          <t>ACCOUNT_EDIT.UNSAVED_CHANGES_WARNING</t>
        </is>
      </c>
      <c r="C1094" s="3" t="inlineStr">
        <is>
          <t>Các thông tin bạn đã cập nhật có thể không được lưu nếu thoát màn hình</t>
        </is>
      </c>
      <c r="D1094" s="3" t="inlineStr">
        <is>
          <t>The information you have updated may not be saved if you exit this screen</t>
        </is>
      </c>
      <c r="E1094" s="3" t="n"/>
      <c r="F1094" s="3" t="n"/>
      <c r="G1094" s="3">
        <f>IFERROR(__xludf.DUMMYFUNCTION("GOOGLETRANSLATE(C1094,""vi"",""km"")"),"ព័ត៌មានដែលអ្នកបានធ្វើបច្ចុប្បន្នភាពអាចនឹងមិនត្រូវបានរក្សាទុកទេ ប្រសិនបើអ្នកចាកចេញពីអេក្រង់។")</f>
        <v/>
      </c>
      <c r="J1094" s="3" t="inlineStr">
        <is>
          <t>ព័ត៌មានដែលអ្នកបានធ្វើបច្ចុប្បន្នភាពអាចនឹងមិនត្រូវបានរក្សាទុកទេ ប្រសិនបើអ្នកចាកចេញពីអេក្រង់។</t>
        </is>
      </c>
      <c r="K1094" s="217" t="inlineStr">
        <is>
          <t>ព័ត៌មានដែលអ្នកបានធ្វើបច្ចុប្បន្នភាពអាចនឹងមិនត្រូវបានរក្សាទុកទេ ប្រសិនបើអ្នកចាកចេញពីអេក្រង់។</t>
        </is>
      </c>
      <c r="S1094" s="163" t="n"/>
    </row>
    <row r="1095" ht="15.75" customHeight="1" s="305">
      <c r="A1095" s="217" t="inlineStr">
        <is>
          <t>ACCOUNT_EDIT.WARNING_TITLE</t>
        </is>
      </c>
      <c r="C1095" s="3" t="inlineStr">
        <is>
          <t>Thông báo</t>
        </is>
      </c>
      <c r="D1095" s="3" t="inlineStr">
        <is>
          <t>Notice</t>
        </is>
      </c>
      <c r="E1095" s="3" t="n"/>
      <c r="F1095" s="3" t="n"/>
      <c r="G1095" s="3">
        <f>IFERROR(__xludf.DUMMYFUNCTION("GOOGLETRANSLATE(C1095,""vi"",""km"")"),"ការជូនដំណឹង")</f>
        <v/>
      </c>
      <c r="J1095" s="3" t="inlineStr">
        <is>
          <t>ការជូនដំណឹង</t>
        </is>
      </c>
      <c r="K1095" s="217" t="inlineStr">
        <is>
          <t>ការជូនដំណឹង</t>
        </is>
      </c>
      <c r="S1095" s="163" t="n"/>
    </row>
    <row r="1096" ht="15.75" customHeight="1" s="305">
      <c r="A1096" s="217" t="inlineStr">
        <is>
          <t>COD_PRICE.LAST_UPDATED</t>
        </is>
      </c>
      <c r="C1096" s="3" t="inlineStr">
        <is>
          <t>Cập nhật lần cuối</t>
        </is>
      </c>
      <c r="D1096" s="3" t="inlineStr">
        <is>
          <t>Last updated</t>
        </is>
      </c>
      <c r="E1096" s="3" t="n"/>
      <c r="F1096" s="3" t="n"/>
      <c r="G1096" s="3">
        <f>IFERROR(__xludf.DUMMYFUNCTION("GOOGLETRANSLATE(C1096,""vi"",""km"")"),"បានធ្វើបច្ចុប្បន្នភាពចុងក្រោយ")</f>
        <v/>
      </c>
      <c r="J1096" s="3" t="inlineStr">
        <is>
          <t>បានធ្វើបច្ចុប្បន្នភាពចុងក្រោយ</t>
        </is>
      </c>
      <c r="K1096" s="217" t="inlineStr">
        <is>
          <t>បានធ្វើបច្ចុប្បន្នភាពចុងក្រោយ</t>
        </is>
      </c>
      <c r="S1096" s="163" t="n"/>
    </row>
    <row r="1097" ht="15.75" customHeight="1" s="305">
      <c r="A1097" s="217" t="inlineStr">
        <is>
          <t>MANAGE_ORDER.ADDED_WIFI_PRINTER</t>
        </is>
      </c>
      <c r="C1097" s="3" t="inlineStr">
        <is>
          <t>Đã thêm máy in WiFi {{ip}}</t>
        </is>
      </c>
      <c r="D1097" s="3" t="inlineStr">
        <is>
          <t>Added WiFi printer {{ip}}</t>
        </is>
      </c>
      <c r="E1097" s="3" t="n"/>
      <c r="F1097" s="3" t="n"/>
      <c r="G1097" s="3">
        <f>IFERROR(__xludf.DUMMYFUNCTION("GOOGLETRANSLATE(C1097,""vi"",""km"")"),"ម៉ាស៊ីនបោះពុម្ព WiFi {{ip}} ត្រូវបានបន្ថែម។")</f>
        <v/>
      </c>
      <c r="H1097" s="217" t="inlineStr">
        <is>
          <t>បានបន្ថែមម៉ាស៊ីនបោះពុម្ព WiFi {{ip}}</t>
        </is>
      </c>
      <c r="J1097" s="3" t="inlineStr">
        <is>
          <t>បានបន្ថែមម៉ាស៊ីនព្រីន WiFi {{ip}}</t>
        </is>
      </c>
      <c r="K1097" s="217" t="inlineStr">
        <is>
          <t>បានបន្ថែមម៉ាស៊ីនព្រីន WiFi {{ip}}</t>
        </is>
      </c>
      <c r="S1097" s="163" t="n"/>
    </row>
    <row r="1098" ht="15.75" customHeight="1" s="305">
      <c r="A1098" s="217" t="inlineStr">
        <is>
          <t>ACCOUNT_EDIT.TAX_ID_REQUIRED</t>
        </is>
      </c>
      <c r="C1098" s="3" t="inlineStr">
        <is>
          <t>Vui lòng nhập mã số thuế</t>
        </is>
      </c>
      <c r="D1098" s="3" t="inlineStr">
        <is>
          <t>Please enter Tax ID</t>
        </is>
      </c>
      <c r="E1098" s="3" t="n"/>
      <c r="F1098" s="3" t="n"/>
      <c r="G1098" s="3">
        <f>IFERROR(__xludf.DUMMYFUNCTION("GOOGLETRANSLATE(C1098,""vi"",""km"")"),"សូមបញ្ចូលលេខសម្គាល់ពន្ធរបស់អ្នក។")</f>
        <v/>
      </c>
      <c r="J1098" s="3" t="inlineStr">
        <is>
          <t>សូមបញ្ចូលលេខសម្គាល់ពន្ធរបស់អ្នក។</t>
        </is>
      </c>
      <c r="K1098" s="217" t="inlineStr">
        <is>
          <t>សូមបញ្ចូលលេខសម្គាល់ពន្ធរបស់អ្នក។</t>
        </is>
      </c>
      <c r="S1098" s="163" t="n"/>
    </row>
    <row r="1099" ht="15.75" customHeight="1" s="305">
      <c r="A1099" s="217" t="inlineStr">
        <is>
          <t>ACCOUNT_EDIT.INVALID_TAX_ID</t>
        </is>
      </c>
      <c r="C1099" s="3" t="inlineStr">
        <is>
          <t>Định dạng mã số thuế không hợp lệ (VD: L001-123456789)</t>
        </is>
      </c>
      <c r="D1099" s="3" t="inlineStr">
        <is>
          <t>Invalid tax ID format (e.g. L001-123456789)</t>
        </is>
      </c>
      <c r="E1099" s="3" t="n"/>
      <c r="F1099" s="3" t="n"/>
      <c r="G1099" s="3">
        <f>IFERROR(__xludf.DUMMYFUNCTION("GOOGLETRANSLATE(C1099,""vi"",""km"")"),"ទម្រង់លេខសម្គាល់ពន្ធមិនត្រឹមត្រូវ (ឧ. L001-123456789)")</f>
        <v/>
      </c>
      <c r="H1099" s="217" t="inlineStr">
        <is>
          <t>ទម្រង់លេខសម្គាល់ពន្ធមិនត្រឹមត្រូវ (ឧ. L001-123456789)</t>
        </is>
      </c>
      <c r="J1099" s="3" t="inlineStr">
        <is>
          <t>ទម្រង់លេខសម្គាល់ពន្ធមិនត្រឹមត្រូវ (ឧ. L001-123456789)</t>
        </is>
      </c>
      <c r="K1099" s="217" t="inlineStr">
        <is>
          <t>ទម្រង់លេខសម្គាល់ពន្ធមិនត្រឹមត្រូវ (ឧ. L001-123456789)</t>
        </is>
      </c>
      <c r="S1099" s="163" t="n"/>
    </row>
    <row r="1100" ht="15.75" customHeight="1" s="305">
      <c r="C1100" s="3" t="n"/>
      <c r="D1100" s="3" t="n"/>
      <c r="E1100" s="3" t="n"/>
      <c r="F1100" s="3" t="n"/>
      <c r="G1100" s="3" t="n"/>
      <c r="J1100" s="3" t="inlineStr"/>
      <c r="K1100" s="217" t="inlineStr"/>
      <c r="S1100" s="163" t="n"/>
    </row>
    <row r="1101" ht="15.75" customHeight="1" s="305">
      <c r="C1101" s="3" t="n"/>
      <c r="D1101" s="3" t="n"/>
      <c r="E1101" s="3" t="n"/>
      <c r="F1101" s="3" t="n"/>
      <c r="G1101" s="3" t="n"/>
      <c r="J1101" s="3" t="inlineStr"/>
      <c r="K1101" s="217" t="inlineStr"/>
      <c r="S1101" s="163" t="n"/>
    </row>
    <row r="1102" ht="15.75" customHeight="1" s="305">
      <c r="C1102" s="3" t="n"/>
      <c r="D1102" s="3" t="n"/>
      <c r="E1102" s="3" t="n"/>
      <c r="F1102" s="3" t="n"/>
      <c r="G1102" s="3" t="n"/>
      <c r="J1102" s="3" t="inlineStr"/>
      <c r="K1102" s="217" t="inlineStr"/>
      <c r="S1102" s="163" t="n"/>
    </row>
  </sheetData>
  <pageMargins left="0.75" right="0.75" top="1" bottom="1" header="0" footer="0"/>
  <pageSetup orientation="portrait"/>
</worksheet>
</file>

<file path=xl/worksheets/sheet9.xml><?xml version="1.0" encoding="utf-8"?>
<worksheet xmlns="http://schemas.openxmlformats.org/spreadsheetml/2006/main">
  <sheetPr>
    <outlinePr summaryBelow="0" summaryRight="0"/>
    <pageSetUpPr/>
  </sheetPr>
  <dimension ref="A1:E1420"/>
  <sheetViews>
    <sheetView workbookViewId="0">
      <selection activeCell="A1" sqref="A1"/>
    </sheetView>
  </sheetViews>
  <sheetFormatPr baseColWidth="8" defaultColWidth="14.43" defaultRowHeight="15" customHeight="1"/>
  <cols>
    <col width="41.29" customWidth="1" style="305" min="1" max="1"/>
    <col width="44.86" customWidth="1" style="305" min="3" max="3"/>
    <col width="78.86" customWidth="1" style="305" min="4" max="4"/>
    <col width="92.56999999999999" customWidth="1" style="305" min="5" max="5"/>
  </cols>
  <sheetData>
    <row r="1">
      <c r="A1" s="152" t="inlineStr">
        <is>
          <t>key</t>
        </is>
      </c>
      <c r="B1" s="152" t="inlineStr">
        <is>
          <t>Cambodia</t>
        </is>
      </c>
      <c r="C1" s="152" t="inlineStr">
        <is>
          <t>English</t>
        </is>
      </c>
      <c r="D1" s="152" t="inlineStr">
        <is>
          <t>Chinese</t>
        </is>
      </c>
      <c r="E1" s="307" t="inlineStr">
        <is>
          <t>cam Thean</t>
        </is>
      </c>
    </row>
    <row r="2">
      <c r="A2" s="165" t="inlineStr">
        <is>
          <t>common.search</t>
        </is>
      </c>
      <c r="B2" s="156" t="inlineStr">
        <is>
          <t>ស្វែងរក</t>
        </is>
      </c>
      <c r="C2" s="165" t="inlineStr">
        <is>
          <t>Search</t>
        </is>
      </c>
      <c r="D2" s="165" t="inlineStr">
        <is>
          <t>搜索</t>
        </is>
      </c>
      <c r="E2" s="156" t="inlineStr">
        <is>
          <t>ស្វែងរក</t>
        </is>
      </c>
    </row>
    <row r="3">
      <c r="A3" s="165" t="inlineStr">
        <is>
          <t>common.page</t>
        </is>
      </c>
      <c r="B3" s="156" t="inlineStr">
        <is>
          <t>ទំព័រ</t>
        </is>
      </c>
      <c r="C3" s="165" t="inlineStr">
        <is>
          <t>page</t>
        </is>
      </c>
      <c r="D3" s="157" t="inlineStr">
        <is>
          <t>--</t>
        </is>
      </c>
      <c r="E3" s="156" t="inlineStr">
        <is>
          <t>ទំព័រ</t>
        </is>
      </c>
    </row>
    <row r="4">
      <c r="A4" s="165" t="inlineStr">
        <is>
          <t>common.create</t>
        </is>
      </c>
      <c r="B4" s="156" t="inlineStr">
        <is>
          <t>បន្ថែមថ្មី</t>
        </is>
      </c>
      <c r="C4" s="165" t="inlineStr">
        <is>
          <t>Add</t>
        </is>
      </c>
      <c r="D4" s="165" t="inlineStr">
        <is>
          <t>新增</t>
        </is>
      </c>
      <c r="E4" s="156" t="inlineStr">
        <is>
          <t>បន្ថែមថ្មី</t>
        </is>
      </c>
    </row>
    <row r="5">
      <c r="A5" s="165" t="inlineStr">
        <is>
          <t>common.titleSearch</t>
        </is>
      </c>
      <c r="B5" s="156" t="inlineStr">
        <is>
          <t>បញ្ចូលពាក្យគន្លឹះស្វែងរក</t>
        </is>
      </c>
      <c r="C5" s="158" t="inlineStr">
        <is>
          <t>Enter keyword</t>
        </is>
      </c>
      <c r="D5" s="165" t="inlineStr">
        <is>
          <t>输入关键词</t>
        </is>
      </c>
      <c r="E5" s="156" t="inlineStr">
        <is>
          <t>បញ្ចូលពាក្យគន្លឹះស្វែងរក</t>
        </is>
      </c>
    </row>
    <row r="6">
      <c r="A6" s="165" t="inlineStr">
        <is>
          <t>common.stt</t>
        </is>
      </c>
      <c r="B6" s="156" t="inlineStr">
        <is>
          <t>ល.រ</t>
        </is>
      </c>
      <c r="C6" s="165" t="inlineStr">
        <is>
          <t>No.</t>
        </is>
      </c>
      <c r="D6" s="165" t="inlineStr">
        <is>
          <t>序号</t>
        </is>
      </c>
      <c r="E6" s="156" t="inlineStr">
        <is>
          <t>ល.រ</t>
        </is>
      </c>
    </row>
    <row r="7">
      <c r="A7" s="165" t="inlineStr">
        <is>
          <t>common.fullname</t>
        </is>
      </c>
      <c r="B7" s="156" t="inlineStr">
        <is>
          <t>ឈ្មោះពេញ</t>
        </is>
      </c>
      <c r="C7" s="165" t="inlineStr">
        <is>
          <t>Full name</t>
        </is>
      </c>
      <c r="D7" s="165" t="inlineStr">
        <is>
          <t>姓名</t>
        </is>
      </c>
      <c r="E7" s="156" t="inlineStr">
        <is>
          <t>ឈ្មោះពេញ</t>
        </is>
      </c>
    </row>
    <row r="8">
      <c r="A8" s="165" t="inlineStr">
        <is>
          <t>common.address</t>
        </is>
      </c>
      <c r="B8" s="156" t="inlineStr">
        <is>
          <t>អាសយដ្ឋាន</t>
        </is>
      </c>
      <c r="C8" s="165" t="inlineStr">
        <is>
          <t>Address</t>
        </is>
      </c>
      <c r="D8" s="165" t="inlineStr">
        <is>
          <t>地址</t>
        </is>
      </c>
      <c r="E8" s="156" t="inlineStr">
        <is>
          <t>អាសយដ្ឋាន</t>
        </is>
      </c>
    </row>
    <row r="9">
      <c r="A9" s="165" t="inlineStr">
        <is>
          <t>common.email</t>
        </is>
      </c>
      <c r="B9" s="156" t="inlineStr">
        <is>
          <t>អ៊ីមែល</t>
        </is>
      </c>
      <c r="C9" s="165" t="inlineStr">
        <is>
          <t>Email</t>
        </is>
      </c>
      <c r="D9" s="165" t="inlineStr">
        <is>
          <t>电子邮件</t>
        </is>
      </c>
      <c r="E9" s="156" t="inlineStr">
        <is>
          <t>អ៊ីមែល</t>
        </is>
      </c>
    </row>
    <row r="10">
      <c r="A10" s="165" t="inlineStr">
        <is>
          <t>common.phone</t>
        </is>
      </c>
      <c r="B10" s="156" t="inlineStr">
        <is>
          <t>លេខទូរស័ព្ទ</t>
        </is>
      </c>
      <c r="C10" s="165" t="inlineStr">
        <is>
          <t>Phone number</t>
        </is>
      </c>
      <c r="D10" s="165" t="inlineStr">
        <is>
          <t>手机号码</t>
        </is>
      </c>
      <c r="E10" s="156" t="inlineStr">
        <is>
          <t>លេខទូរស័ព្ទ</t>
        </is>
      </c>
    </row>
    <row r="11">
      <c r="A11" s="165" t="inlineStr">
        <is>
          <t>common.tool</t>
        </is>
      </c>
      <c r="B11" s="156" t="inlineStr">
        <is>
          <t>ឧបករណ៍</t>
        </is>
      </c>
      <c r="C11" s="165" t="inlineStr">
        <is>
          <t>Tool</t>
        </is>
      </c>
      <c r="D11" s="165" t="inlineStr">
        <is>
          <t>工具</t>
        </is>
      </c>
      <c r="E11" s="156" t="inlineStr">
        <is>
          <t>ឧបករណ៍</t>
        </is>
      </c>
    </row>
    <row r="12">
      <c r="A12" s="165" t="inlineStr">
        <is>
          <t>common.handle</t>
        </is>
      </c>
      <c r="B12" s="156" t="inlineStr">
        <is>
          <t>ប្រតិបត្តិការ</t>
        </is>
      </c>
      <c r="C12" s="165" t="inlineStr">
        <is>
          <t>Action</t>
        </is>
      </c>
      <c r="D12" s="165" t="inlineStr">
        <is>
          <t>操作</t>
        </is>
      </c>
      <c r="E12" s="156" t="inlineStr">
        <is>
          <t>ប្រតិបត្តិការ</t>
        </is>
      </c>
    </row>
    <row r="13">
      <c r="A13" s="165" t="inlineStr">
        <is>
          <t>common.confirm</t>
        </is>
      </c>
      <c r="B13" s="156" t="inlineStr">
        <is>
          <t>បញ្ជាក់</t>
        </is>
      </c>
      <c r="C13" s="165" t="inlineStr">
        <is>
          <t>Confirm</t>
        </is>
      </c>
      <c r="D13" s="165" t="inlineStr">
        <is>
          <t>确认</t>
        </is>
      </c>
      <c r="E13" s="156" t="inlineStr">
        <is>
          <t>បញ្ជាក់</t>
        </is>
      </c>
    </row>
    <row r="14">
      <c r="A14" s="165" t="inlineStr">
        <is>
          <t>common.selectPostOffice</t>
        </is>
      </c>
      <c r="B14" s="156" t="inlineStr">
        <is>
          <t>ការិយាល័យប្រៃសណីយ៍</t>
        </is>
      </c>
      <c r="C14" s="165" t="inlineStr">
        <is>
          <t>Post office</t>
        </is>
      </c>
      <c r="D14" s="165" t="inlineStr">
        <is>
          <t>邮政网点</t>
        </is>
      </c>
      <c r="E14" s="156" t="inlineStr">
        <is>
          <t>ការិយាល័យប្រៃសណីយ៍</t>
        </is>
      </c>
    </row>
    <row r="15">
      <c r="A15" s="165" t="inlineStr">
        <is>
          <t>common.notification</t>
        </is>
      </c>
      <c r="B15" s="156" t="inlineStr">
        <is>
          <t>ការជូនដំណឹង</t>
        </is>
      </c>
      <c r="C15" s="165" t="inlineStr">
        <is>
          <t>Notification</t>
        </is>
      </c>
      <c r="D15" s="165" t="inlineStr">
        <is>
          <t>通知</t>
        </is>
      </c>
      <c r="E15" s="156" t="inlineStr">
        <is>
          <t>ការជូនដំណឹង</t>
        </is>
      </c>
    </row>
    <row r="16">
      <c r="A16" s="165" t="inlineStr">
        <is>
          <t>common.update</t>
        </is>
      </c>
      <c r="B16" s="156" t="inlineStr">
        <is>
          <t>ធ្វើបច្ចុប្បន្នភាព</t>
        </is>
      </c>
      <c r="C16" s="165" t="inlineStr">
        <is>
          <t>Update</t>
        </is>
      </c>
      <c r="D16" s="165" t="inlineStr">
        <is>
          <t>更新</t>
        </is>
      </c>
      <c r="E16" s="156" t="inlineStr">
        <is>
          <t>ធ្វើបច្ចុប្បន្នភាព</t>
        </is>
      </c>
    </row>
    <row r="17">
      <c r="A17" s="165" t="inlineStr">
        <is>
          <t>common.createSuccess</t>
        </is>
      </c>
      <c r="B17" s="156" t="inlineStr">
        <is>
          <t>បង្កើត និងដាក់ស្នើអនុម័តការបញ្ជាទិញជោគជ័យ</t>
        </is>
      </c>
      <c r="C17" s="165" t="inlineStr">
        <is>
          <t>Create and submit order approval successfully</t>
        </is>
      </c>
      <c r="D17" s="165" t="inlineStr">
        <is>
          <t>创建并提交订单审核成功</t>
        </is>
      </c>
      <c r="E17" s="156" t="inlineStr">
        <is>
          <t>បង្កើត និងដាក់ស្នើអនុម័តការបញ្ជាទិញជោគជ័យ</t>
        </is>
      </c>
    </row>
    <row r="18">
      <c r="A18" s="165" t="inlineStr">
        <is>
          <t>common.updateSuccess</t>
        </is>
      </c>
      <c r="B18" s="156" t="inlineStr">
        <is>
          <t>ធ្វើបច្ចុប្បន្នភាពជោគជ័យ</t>
        </is>
      </c>
      <c r="C18" s="165" t="inlineStr">
        <is>
          <t>Update successful</t>
        </is>
      </c>
      <c r="D18" s="165" t="inlineStr">
        <is>
          <t>更新成功</t>
        </is>
      </c>
      <c r="E18" s="156" t="inlineStr">
        <is>
          <t>ធ្វើបច្ចុប្បន្នភាពជោគជ័យ</t>
        </is>
      </c>
    </row>
    <row r="19">
      <c r="A19" s="165" t="inlineStr">
        <is>
          <t>common.createFail</t>
        </is>
      </c>
      <c r="B19" s="156" t="inlineStr">
        <is>
          <t>បន្ថែមថ្មីបរាជ័យ</t>
        </is>
      </c>
      <c r="C19" s="165" t="inlineStr">
        <is>
          <t>Add new failed</t>
        </is>
      </c>
      <c r="D19" s="165" t="inlineStr">
        <is>
          <t>新增失败</t>
        </is>
      </c>
      <c r="E19" s="156" t="inlineStr">
        <is>
          <t>បន្ថែមថ្មីបរាជ័យ</t>
        </is>
      </c>
    </row>
    <row r="20">
      <c r="A20" s="165" t="inlineStr">
        <is>
          <t>common.updateFail</t>
        </is>
      </c>
      <c r="B20" s="156" t="inlineStr">
        <is>
          <t>ធ្វើបច្ចុប្បន្នភាពបរាជ័យ</t>
        </is>
      </c>
      <c r="C20" s="165" t="inlineStr">
        <is>
          <t>Update failed</t>
        </is>
      </c>
      <c r="D20" s="165" t="inlineStr">
        <is>
          <t>更新失败</t>
        </is>
      </c>
      <c r="E20" s="156" t="inlineStr">
        <is>
          <t>ធ្វើបច្ចុប្បន្នភាពបរាជ័យ</t>
        </is>
      </c>
    </row>
    <row r="21">
      <c r="A21" s="165" t="inlineStr">
        <is>
          <t>common.fail</t>
        </is>
      </c>
      <c r="B21" s="156" t="inlineStr">
        <is>
          <t>បរាជ័យ</t>
        </is>
      </c>
      <c r="C21" s="165" t="inlineStr">
        <is>
          <t>Failed</t>
        </is>
      </c>
      <c r="D21" s="165" t="inlineStr">
        <is>
          <t>失败</t>
        </is>
      </c>
      <c r="E21" s="156" t="inlineStr">
        <is>
          <t>បរាជ័យ</t>
        </is>
      </c>
    </row>
    <row r="22">
      <c r="A22" s="165" t="inlineStr">
        <is>
          <t>common.systemError</t>
        </is>
      </c>
      <c r="B22" s="156" t="inlineStr">
        <is>
          <t>កំហុសប្រព័ន្ធ!</t>
        </is>
      </c>
      <c r="C22" s="165" t="inlineStr">
        <is>
          <t>System error!</t>
        </is>
      </c>
      <c r="D22" s="165" t="inlineStr">
        <is>
          <t>系统错误！</t>
        </is>
      </c>
      <c r="E22" s="156" t="inlineStr">
        <is>
          <t>កំហុសប្រព័ន្ធ!</t>
        </is>
      </c>
    </row>
    <row r="23">
      <c r="A23" s="165" t="inlineStr">
        <is>
          <t>common.cancel</t>
        </is>
      </c>
      <c r="B23" s="156" t="inlineStr">
        <is>
          <t>លុបចោល</t>
        </is>
      </c>
      <c r="C23" s="165" t="inlineStr">
        <is>
          <t>Cancel</t>
        </is>
      </c>
      <c r="D23" s="165" t="inlineStr">
        <is>
          <t>取消</t>
        </is>
      </c>
      <c r="E23" s="156" t="inlineStr">
        <is>
          <t>លុបចោល</t>
        </is>
      </c>
    </row>
    <row r="24">
      <c r="A24" s="165" t="inlineStr">
        <is>
          <t>common.save</t>
        </is>
      </c>
      <c r="B24" s="156" t="inlineStr">
        <is>
          <t>រក្សាទុក</t>
        </is>
      </c>
      <c r="C24" s="165" t="inlineStr">
        <is>
          <t>Save</t>
        </is>
      </c>
      <c r="D24" s="165" t="inlineStr">
        <is>
          <t>保存</t>
        </is>
      </c>
      <c r="E24" s="156" t="inlineStr">
        <is>
          <t>រក្សាទុក</t>
        </is>
      </c>
    </row>
    <row r="25">
      <c r="A25" s="165" t="inlineStr">
        <is>
          <t>common.noneEmpty</t>
        </is>
      </c>
      <c r="B25" s="156" t="inlineStr">
        <is>
          <t>មិនអាចទុកនៅទទេបានទេ</t>
        </is>
      </c>
      <c r="C25" s="165" t="inlineStr">
        <is>
          <t>Cannot be empty</t>
        </is>
      </c>
      <c r="D25" s="165" t="inlineStr">
        <is>
          <t>此项不能为空</t>
        </is>
      </c>
      <c r="E25" s="156" t="inlineStr">
        <is>
          <t>មិនអាចទុកនៅទទេបានទេ</t>
        </is>
      </c>
    </row>
    <row r="26">
      <c r="A26" s="165" t="inlineStr">
        <is>
          <t>common.empty</t>
        </is>
      </c>
      <c r="B26" s="156" t="inlineStr">
        <is>
          <t>ទម្រង់មិនត្រឹមត្រូវទេ</t>
        </is>
      </c>
      <c r="C26" s="165" t="inlineStr">
        <is>
          <t>Incorrect format</t>
        </is>
      </c>
      <c r="D26" s="165" t="inlineStr">
        <is>
          <t>格式不正确</t>
        </is>
      </c>
      <c r="E26" s="156" t="inlineStr">
        <is>
          <t>ទម្រង់មិនត្រឹមត្រូវទេ</t>
        </is>
      </c>
    </row>
    <row r="27">
      <c r="A27" s="165" t="inlineStr">
        <is>
          <t>common.ok</t>
        </is>
      </c>
      <c r="B27" s="156" t="inlineStr">
        <is>
          <t>យល់ព្រម</t>
        </is>
      </c>
      <c r="C27" s="165" t="inlineStr">
        <is>
          <t>Ok</t>
        </is>
      </c>
      <c r="D27" s="165" t="inlineStr">
        <is>
          <t>确定</t>
        </is>
      </c>
      <c r="E27" s="156" t="inlineStr">
        <is>
          <t>យល់ព្រម</t>
        </is>
      </c>
    </row>
    <row r="28">
      <c r="A28" s="165" t="inlineStr">
        <is>
          <t>common.record</t>
        </is>
      </c>
      <c r="B28" s="156" t="inlineStr">
        <is>
          <t>កំណត់ត្រា</t>
        </is>
      </c>
      <c r="C28" s="165" t="inlineStr">
        <is>
          <t>Record</t>
        </is>
      </c>
      <c r="D28" s="165" t="inlineStr">
        <is>
          <t>记录</t>
        </is>
      </c>
      <c r="E28" s="156" t="inlineStr">
        <is>
          <t>កំណត់ត្រា</t>
        </is>
      </c>
    </row>
    <row r="29">
      <c r="A29" s="165" t="inlineStr">
        <is>
          <t>common.close</t>
        </is>
      </c>
      <c r="B29" s="156" t="inlineStr">
        <is>
          <t>បិទ</t>
        </is>
      </c>
      <c r="C29" s="165" t="inlineStr">
        <is>
          <t>Close</t>
        </is>
      </c>
      <c r="D29" s="165" t="inlineStr">
        <is>
          <t>关闭</t>
        </is>
      </c>
      <c r="E29" s="156" t="inlineStr">
        <is>
          <t>បិទ</t>
        </is>
      </c>
    </row>
    <row r="30">
      <c r="A30" s="165" t="inlineStr">
        <is>
          <t>common.validateEmail</t>
        </is>
      </c>
      <c r="B30" s="156" t="inlineStr">
        <is>
          <t>សូមបញ្ចូលទម្រង់អ៊ីមែលឲ្យបានត្រឹមត្រូវ</t>
        </is>
      </c>
      <c r="C30" s="165" t="inlineStr">
        <is>
          <t>Please enter a valid email format</t>
        </is>
      </c>
      <c r="D30" s="165" t="inlineStr">
        <is>
          <t>请输入有效的邮箱格式</t>
        </is>
      </c>
      <c r="E30" s="156" t="inlineStr">
        <is>
          <t>សូមបញ្ចូលទម្រង់អ៊ីមែលឲ្យបានត្រឹមត្រូវ</t>
        </is>
      </c>
    </row>
    <row r="31">
      <c r="A31" s="165" t="inlineStr">
        <is>
          <t>common.all</t>
        </is>
      </c>
      <c r="B31" s="156" t="inlineStr">
        <is>
          <t>ទាំងអស់</t>
        </is>
      </c>
      <c r="C31" s="165" t="inlineStr">
        <is>
          <t>All</t>
        </is>
      </c>
      <c r="D31" s="165" t="inlineStr">
        <is>
          <t>全部</t>
        </is>
      </c>
      <c r="E31" s="156" t="inlineStr">
        <is>
          <t>ទាំងអស់</t>
        </is>
      </c>
    </row>
    <row r="32">
      <c r="A32" s="165" t="inlineStr">
        <is>
          <t>common.total</t>
        </is>
      </c>
      <c r="B32" s="156" t="inlineStr">
        <is>
          <t>សរុប</t>
        </is>
      </c>
      <c r="C32" s="165" t="inlineStr">
        <is>
          <t>Total</t>
        </is>
      </c>
      <c r="D32" s="165" t="inlineStr">
        <is>
          <t>总计</t>
        </is>
      </c>
      <c r="E32" s="156" t="inlineStr">
        <is>
          <t>សរុប</t>
        </is>
      </c>
    </row>
    <row r="33">
      <c r="A33" s="165" t="inlineStr">
        <is>
          <t>common.hello</t>
        </is>
      </c>
      <c r="B33" s="156" t="inlineStr">
        <is>
          <t>សួស្តី</t>
        </is>
      </c>
      <c r="C33" s="165" t="inlineStr">
        <is>
          <t>Hello</t>
        </is>
      </c>
      <c r="D33" s="158" t="inlineStr">
        <is>
          <t>您好</t>
        </is>
      </c>
      <c r="E33" s="156" t="inlineStr">
        <is>
          <t>សួស្តី</t>
        </is>
      </c>
    </row>
    <row r="34">
      <c r="A34" s="165" t="inlineStr">
        <is>
          <t>common.lookUpOrders</t>
        </is>
      </c>
      <c r="B34" s="156" t="inlineStr">
        <is>
          <t>បញ្ចូលលេខកូដបញ្ញើ ឬលេខទូរស័ព្ទ</t>
        </is>
      </c>
      <c r="C34" s="165" t="inlineStr">
        <is>
          <t>Enter tracking number, phone number</t>
        </is>
      </c>
      <c r="D34" s="165" t="inlineStr">
        <is>
          <t>请输入运单号、手机号</t>
        </is>
      </c>
      <c r="E34" s="156" t="inlineStr">
        <is>
          <t>បញ្ចូលលេខកូដបញ្ញើ ឬលេខទូរស័ព្ទ</t>
        </is>
      </c>
    </row>
    <row r="35">
      <c r="A35" s="165" t="inlineStr">
        <is>
          <t>common.lookUpOrdersHeader</t>
        </is>
      </c>
      <c r="B35" s="156" t="inlineStr">
        <is>
          <t>តាមដានបញ្ញើ</t>
        </is>
      </c>
      <c r="C35" s="165" t="inlineStr">
        <is>
          <t>Track orders</t>
        </is>
      </c>
      <c r="D35" s="165" t="inlineStr">
        <is>
          <t>订单追踪</t>
        </is>
      </c>
      <c r="E35" s="156" t="inlineStr">
        <is>
          <t>តាមដានបញ្ញើ</t>
        </is>
      </c>
    </row>
    <row r="36">
      <c r="A36" s="165" t="inlineStr">
        <is>
          <t>common.home</t>
        </is>
      </c>
      <c r="B36" s="156" t="inlineStr">
        <is>
          <t>ទំព័រដើម</t>
        </is>
      </c>
      <c r="C36" s="165" t="inlineStr">
        <is>
          <t>Home</t>
        </is>
      </c>
      <c r="D36" s="165" t="inlineStr">
        <is>
          <t>首页</t>
        </is>
      </c>
      <c r="E36" s="156" t="inlineStr">
        <is>
          <t>ទំព័រដើម</t>
        </is>
      </c>
    </row>
    <row r="37">
      <c r="A37" s="165" t="inlineStr">
        <is>
          <t>common.createOrder</t>
        </is>
      </c>
      <c r="B37" s="156" t="inlineStr">
        <is>
          <t>បង្កើតការបញ្ជាទិញ</t>
        </is>
      </c>
      <c r="C37" s="165" t="inlineStr">
        <is>
          <t>Create order</t>
        </is>
      </c>
      <c r="D37" s="165" t="inlineStr">
        <is>
          <t>创建订单</t>
        </is>
      </c>
      <c r="E37" s="156" t="inlineStr">
        <is>
          <t>បង្កើតការបញ្ជាទិញ</t>
        </is>
      </c>
    </row>
    <row r="38">
      <c r="A38" s="165" t="inlineStr">
        <is>
          <t>common.management</t>
        </is>
      </c>
      <c r="B38" s="156" t="inlineStr">
        <is>
          <t>ការគ្រប់គ្រង</t>
        </is>
      </c>
      <c r="C38" s="165" t="inlineStr">
        <is>
          <t>Management</t>
        </is>
      </c>
      <c r="D38" s="165" t="inlineStr">
        <is>
          <t>管理</t>
        </is>
      </c>
      <c r="E38" s="156" t="inlineStr">
        <is>
          <t>ការគ្រប់គ្រង</t>
        </is>
      </c>
    </row>
    <row r="39">
      <c r="A39" s="165" t="inlineStr">
        <is>
          <t>common.managementOrders</t>
        </is>
      </c>
      <c r="B39" s="156" t="inlineStr">
        <is>
          <t>គ្រប់គ្រងការបញ្ជាទិញ</t>
        </is>
      </c>
      <c r="C39" s="165" t="inlineStr">
        <is>
          <t>Order management</t>
        </is>
      </c>
      <c r="D39" s="165" t="inlineStr">
        <is>
          <t>订单管理</t>
        </is>
      </c>
      <c r="E39" s="156" t="inlineStr">
        <is>
          <t>គ្រប់គ្រងការបញ្ជាទិញ</t>
        </is>
      </c>
    </row>
    <row r="40">
      <c r="A40" s="165" t="inlineStr">
        <is>
          <t>common.cashFlowStatistics</t>
        </is>
      </c>
      <c r="B40" s="156" t="inlineStr">
        <is>
          <t>ស្ថិតិលំហូរសាច់ប្រាក់</t>
        </is>
      </c>
      <c r="C40" s="165" t="inlineStr">
        <is>
          <t>Cash flow statistics</t>
        </is>
      </c>
      <c r="D40" s="165" t="inlineStr">
        <is>
          <t>资金流水统计</t>
        </is>
      </c>
      <c r="E40" s="156" t="inlineStr">
        <is>
          <t>ស្ថិតិលំហូរសាច់ប្រាក់</t>
        </is>
      </c>
    </row>
    <row r="41">
      <c r="A41" s="165" t="inlineStr">
        <is>
          <t>common.expireToken</t>
        </is>
      </c>
      <c r="B41" s="156" t="inlineStr">
        <is>
          <t>សម័យការចូលប្រើប្រាស់បានផុតកំណត់ សូមចូលប្រព័ន្ធម្តងទៀត</t>
        </is>
      </c>
      <c r="C41" s="165" t="inlineStr">
        <is>
          <t>Session expired, please log in again</t>
        </is>
      </c>
      <c r="D41" s="165" t="inlineStr">
        <is>
          <t>对话已过期，请重新登录</t>
        </is>
      </c>
      <c r="E41" s="156" t="inlineStr">
        <is>
          <t>សម័យការចូលប្រើប្រាស់បានផុតកំណត់ សូមចូលប្រព័ន្ធម្តងទៀត</t>
        </is>
      </c>
    </row>
    <row r="42">
      <c r="A42" s="165" t="inlineStr">
        <is>
          <t>common.disconnectServer</t>
        </is>
      </c>
      <c r="B42" s="156" t="inlineStr">
        <is>
          <t>ដាច់ការតភ្ជាប់ទៅកាន់ម៉ាស៊ីនបម្រើ សូមព្យាយាមម្តងទៀត</t>
        </is>
      </c>
      <c r="C42" s="165" t="inlineStr">
        <is>
          <t>Lost connection to server. Please try again</t>
        </is>
      </c>
      <c r="D42" s="165" t="inlineStr">
        <is>
          <t>服务器连接失败，请重试</t>
        </is>
      </c>
      <c r="E42" s="156" t="inlineStr">
        <is>
          <t>ដាច់ការតភ្ជាប់ទៅកាន់ម៉ាស៊ីនបម្រើ សូមព្យាយាមម្តងទៀត</t>
        </is>
      </c>
    </row>
    <row r="43">
      <c r="A43" s="165" t="inlineStr">
        <is>
          <t>common.noData</t>
        </is>
      </c>
      <c r="B43" s="156" t="inlineStr">
        <is>
          <t>មិនមានទិន្នន័យទេ</t>
        </is>
      </c>
      <c r="C43" s="165" t="inlineStr">
        <is>
          <t>No data</t>
        </is>
      </c>
      <c r="D43" s="165" t="inlineStr">
        <is>
          <t>暂无数据</t>
        </is>
      </c>
      <c r="E43" s="156" t="inlineStr">
        <is>
          <t>មិនមានទិន្នន័យទេ</t>
        </is>
      </c>
    </row>
    <row r="44">
      <c r="A44" s="165" t="inlineStr">
        <is>
          <t>common.pleaseSelectBill</t>
        </is>
      </c>
      <c r="B44" s="156" t="inlineStr">
        <is>
          <t>សូមជ្រើសរើសបញ្ញើមួយ</t>
        </is>
      </c>
      <c r="C44" s="165" t="inlineStr">
        <is>
          <t>Please select an order</t>
        </is>
      </c>
      <c r="D44" s="165" t="inlineStr">
        <is>
          <t>请选择一个订单</t>
        </is>
      </c>
      <c r="E44" s="156" t="inlineStr">
        <is>
          <t>សូមជ្រើសរើសបញ្ញើមួយ</t>
        </is>
      </c>
    </row>
    <row r="45">
      <c r="A45" s="165" t="inlineStr">
        <is>
          <t>common.createOrderExcel</t>
        </is>
      </c>
      <c r="B45" s="156" t="inlineStr">
        <is>
          <t>បង្កើតបញ្ញើតាមរយៈ Excel</t>
        </is>
      </c>
      <c r="C45" s="165" t="inlineStr">
        <is>
          <t>Create order by Excel</t>
        </is>
      </c>
      <c r="D45" s="165" t="inlineStr">
        <is>
          <t>通过Excel创建订单</t>
        </is>
      </c>
      <c r="E45" s="156" t="inlineStr">
        <is>
          <t>បង្កើតបញ្ញើតាមរយៈ Excel</t>
        </is>
      </c>
    </row>
    <row r="46">
      <c r="A46" s="165" t="inlineStr">
        <is>
          <t>common.seeDetail</t>
        </is>
      </c>
      <c r="B46" s="156" t="inlineStr">
        <is>
          <t>មើលព័ត៌មានលម្អិត</t>
        </is>
      </c>
      <c r="C46" s="165" t="inlineStr">
        <is>
          <t>See details</t>
        </is>
      </c>
      <c r="D46" s="165" t="inlineStr">
        <is>
          <t>查看详情</t>
        </is>
      </c>
      <c r="E46" s="156" t="inlineStr">
        <is>
          <t>មើលព័ត៌មានលម្អិត</t>
        </is>
      </c>
    </row>
    <row r="47">
      <c r="A47" s="165" t="inlineStr">
        <is>
          <t>common.pleaseReloadPage</t>
        </is>
      </c>
      <c r="B47" s="156" t="inlineStr">
        <is>
          <t>សូមដំណើរការទំព័រឡើងវិញ!</t>
        </is>
      </c>
      <c r="C47" s="165" t="inlineStr">
        <is>
          <t>Please reload the page!</t>
        </is>
      </c>
      <c r="D47" s="165" t="inlineStr">
        <is>
          <t>请刷新页面</t>
        </is>
      </c>
      <c r="E47" s="156" t="inlineStr">
        <is>
          <t>សូមដំណើរការទំព័រឡើងវិញ!</t>
        </is>
      </c>
    </row>
    <row r="48">
      <c r="A48" s="165" t="inlineStr">
        <is>
          <t>common.reload</t>
        </is>
      </c>
      <c r="B48" s="156" t="inlineStr">
        <is>
          <t>ដំណើរការឡើងវិញ</t>
        </is>
      </c>
      <c r="C48" s="165" t="inlineStr">
        <is>
          <t>Reload</t>
        </is>
      </c>
      <c r="D48" s="165" t="inlineStr">
        <is>
          <t>刷新</t>
        </is>
      </c>
      <c r="E48" s="156" t="inlineStr">
        <is>
          <t>ដំណើរការឡើងវិញ</t>
        </is>
      </c>
    </row>
    <row r="49">
      <c r="A49" s="165" t="inlineStr">
        <is>
          <t>common.logout</t>
        </is>
      </c>
      <c r="B49" s="156" t="inlineStr">
        <is>
          <t>ចាកចេញពីប្រព័ន្ធ</t>
        </is>
      </c>
      <c r="C49" s="165" t="inlineStr">
        <is>
          <t>Log out</t>
        </is>
      </c>
      <c r="D49" s="165" t="inlineStr">
        <is>
          <t>退出登录</t>
        </is>
      </c>
      <c r="E49" s="156" t="inlineStr">
        <is>
          <t>ចាកចេញពីប្រព័ន្ធ</t>
        </is>
      </c>
    </row>
    <row r="50">
      <c r="A50" s="165" t="inlineStr">
        <is>
          <t>common.systemErrorDescription</t>
        </is>
      </c>
      <c r="B50" s="156" t="inlineStr">
        <is>
          <t>មិនអាចបញ្ជូនទៅកាន់កម្មវិធីបានទេដោយសារបញ្ហាប្រព័ន្ធ សូមទាក់ទងផ្នែក IT ដើម្បីទទួលបានជំនួយ។</t>
        </is>
      </c>
      <c r="C50" s="165" t="inlineStr">
        <is>
          <t>Unable to redirect to the application due to a system error, please contact IT department for assistance.</t>
        </is>
      </c>
      <c r="D50" s="165" t="inlineStr">
        <is>
          <t>因系统错误无法跳转至应用，请联系IT部门寻求协助。</t>
        </is>
      </c>
      <c r="E50" s="156" t="inlineStr">
        <is>
          <t>មិនអាចបញ្ជូនទៅកាន់កម្មវិធីបានទេដោយសារបញ្ហាប្រព័ន្ធ សូមទាក់ទងផ្នែក IT ដើម្បីទទួលបានជំនួយ។</t>
        </is>
      </c>
    </row>
    <row r="51">
      <c r="A51" s="165" t="inlineStr">
        <is>
          <t>common.backHome</t>
        </is>
      </c>
      <c r="B51" s="156" t="inlineStr">
        <is>
          <t>ត្រឡប់ទៅទំព័រដើម!</t>
        </is>
      </c>
      <c r="C51" s="165" t="inlineStr">
        <is>
          <t>Back to home!</t>
        </is>
      </c>
      <c r="D51" s="165" t="inlineStr">
        <is>
          <t>返回首页！</t>
        </is>
      </c>
      <c r="E51" s="156" t="inlineStr">
        <is>
          <t>ត្រឡប់ទៅទំព័រដើម!</t>
        </is>
      </c>
    </row>
    <row r="52">
      <c r="A52" s="165" t="inlineStr">
        <is>
          <t>common.date</t>
        </is>
      </c>
      <c r="B52" s="156" t="inlineStr">
        <is>
          <t>កាលបរិច្ឆេទ</t>
        </is>
      </c>
      <c r="C52" s="165" t="inlineStr">
        <is>
          <t>Date</t>
        </is>
      </c>
      <c r="D52" s="165" t="inlineStr">
        <is>
          <t>日期</t>
        </is>
      </c>
      <c r="E52" s="156" t="inlineStr">
        <is>
          <t>កាលបរិច្ឆេទ</t>
        </is>
      </c>
    </row>
    <row r="53">
      <c r="A53" s="165" t="inlineStr">
        <is>
          <t>common.notiFeatureNotWorking</t>
        </is>
      </c>
      <c r="B53" s="156" t="inlineStr">
        <is>
          <t>មុខងារនេះមិនអាចប្រើបានទេនៅពេលអ្នកចម្លង Link ។ សូមត្រឡប់ទៅទំព័រមុន!</t>
        </is>
      </c>
      <c r="C53" s="165" t="inlineStr">
        <is>
          <t>Feature not available when copying the link. Please go back to the previous page!</t>
        </is>
      </c>
      <c r="D53" s="165" t="inlineStr">
        <is>
          <t>复制链接时该功能不可用。请返回上一页面！</t>
        </is>
      </c>
      <c r="E53" s="156" t="inlineStr">
        <is>
          <t>មុខងារនេះមិនអាចប្រើបានទេនៅពេលអ្នកចម្លង Link ។ សូមត្រឡប់ទៅទំព័រមុន!</t>
        </is>
      </c>
    </row>
    <row r="54">
      <c r="A54" s="165" t="inlineStr">
        <is>
          <t>common.goBack</t>
        </is>
      </c>
      <c r="B54" s="156" t="inlineStr">
        <is>
          <t>ថយក្រោយ!</t>
        </is>
      </c>
      <c r="C54" s="165" t="inlineStr">
        <is>
          <t>Go back!</t>
        </is>
      </c>
      <c r="D54" s="165" t="inlineStr">
        <is>
          <t>返回！</t>
        </is>
      </c>
      <c r="E54" s="156" t="inlineStr">
        <is>
          <t>ថយក្រោយ!</t>
        </is>
      </c>
    </row>
    <row r="55">
      <c r="A55" s="165" t="inlineStr">
        <is>
          <t>common.copySuccess</t>
        </is>
      </c>
      <c r="B55" s="156" t="inlineStr">
        <is>
          <t>ចម្លងបានជោគជ័យ!</t>
        </is>
      </c>
      <c r="C55" s="165" t="inlineStr">
        <is>
          <t>Copy successful!</t>
        </is>
      </c>
      <c r="D55" s="165" t="inlineStr">
        <is>
          <t>复制成功！</t>
        </is>
      </c>
      <c r="E55" s="156" t="inlineStr">
        <is>
          <t>ចម្លងបានជោគជ័យ!</t>
        </is>
      </c>
    </row>
    <row r="56">
      <c r="A56" s="165" t="inlineStr">
        <is>
          <t>common.copyError</t>
        </is>
      </c>
      <c r="B56" s="156" t="inlineStr">
        <is>
          <t>ពេលកំពុងចម្លងមានមានបញ្ហាកើតឡើង៖ {{error}}</t>
        </is>
      </c>
      <c r="C56" s="165" t="inlineStr">
        <is>
          <t>An error occurred while copying: {{error}}</t>
        </is>
      </c>
      <c r="D56" s="165" t="inlineStr">
        <is>
          <t>复制出错：{{error}}</t>
        </is>
      </c>
      <c r="E56" s="156" t="inlineStr">
        <is>
          <t>ពេលកំពុងចម្លងមានមានបញ្ហាកើតឡើង៖ {{error}}</t>
        </is>
      </c>
    </row>
    <row r="57">
      <c r="A57" s="165" t="inlineStr">
        <is>
          <t>common.goods</t>
        </is>
      </c>
      <c r="B57" s="156" t="inlineStr">
        <is>
          <t>ទំនិញ</t>
        </is>
      </c>
      <c r="C57" s="165" t="inlineStr">
        <is>
          <t>Goods</t>
        </is>
      </c>
      <c r="D57" s="165" t="inlineStr">
        <is>
          <t>货物</t>
        </is>
      </c>
      <c r="E57" s="156" t="inlineStr">
        <is>
          <t>ទំនិញ</t>
        </is>
      </c>
    </row>
    <row r="58">
      <c r="A58" s="165" t="inlineStr">
        <is>
          <t>common.doc</t>
        </is>
      </c>
      <c r="B58" s="156" t="inlineStr">
        <is>
          <t>ឯកសារ</t>
        </is>
      </c>
      <c r="C58" s="165" t="inlineStr">
        <is>
          <t>Document</t>
        </is>
      </c>
      <c r="D58" s="165" t="inlineStr">
        <is>
          <t>文件</t>
        </is>
      </c>
      <c r="E58" s="156" t="inlineStr">
        <is>
          <t>ឯកសារ</t>
        </is>
      </c>
    </row>
    <row r="59">
      <c r="A59" s="165" t="inlineStr">
        <is>
          <t>common.pack</t>
        </is>
      </c>
      <c r="B59" s="156" t="inlineStr">
        <is>
          <t>កញ្ចប់ទំនិញ</t>
        </is>
      </c>
      <c r="C59" s="165" t="inlineStr">
        <is>
          <t>Package</t>
        </is>
      </c>
      <c r="D59" s="165" t="inlineStr">
        <is>
          <t>包裹</t>
        </is>
      </c>
      <c r="E59" s="156" t="inlineStr">
        <is>
          <t>កញ្ចប់ទំនិញ</t>
        </is>
      </c>
    </row>
    <row r="60">
      <c r="A60" s="165" t="inlineStr">
        <is>
          <t>common.validateError</t>
        </is>
      </c>
      <c r="B60" s="156" t="inlineStr">
        <is>
          <t>សូមបំពេញព័ត៌មានទាំងអស់ឱ្យបានត្រឹមត្រូវ</t>
        </is>
      </c>
      <c r="C60" s="165" t="inlineStr">
        <is>
          <t>Please fill in the information correctly and completely</t>
        </is>
      </c>
      <c r="D60" s="165" t="inlineStr">
        <is>
          <t>请正确并完整地填写信息</t>
        </is>
      </c>
      <c r="E60" s="156" t="inlineStr">
        <is>
          <t>សូមបំពេញព័ត៌មានទាំងអស់ឱ្យបានត្រឹមត្រូវ</t>
        </is>
      </c>
    </row>
    <row r="61">
      <c r="A61" s="165" t="inlineStr">
        <is>
          <t>common.featureIncoming</t>
        </is>
      </c>
      <c r="B61" s="156" t="inlineStr">
        <is>
          <t>មុខងារនេះកំពុងស្ថិតក្នុងការអភិវឌ្ឍន៍!</t>
        </is>
      </c>
      <c r="C61" s="165" t="inlineStr">
        <is>
          <t>Feature is under development!</t>
        </is>
      </c>
      <c r="D61" s="165" t="inlineStr">
        <is>
          <t>功能开发中！</t>
        </is>
      </c>
      <c r="E61" s="156" t="inlineStr">
        <is>
          <t>មុខងារនេះកំពុងស្ថិតក្នុងការអភិវឌ្ឍន៍!</t>
        </is>
      </c>
    </row>
    <row r="62">
      <c r="A62" s="165" t="inlineStr">
        <is>
          <t>common.somethingWrong</t>
        </is>
      </c>
      <c r="B62" s="156" t="inlineStr">
        <is>
          <t>មានបញ្ហាកើតឡើង!</t>
        </is>
      </c>
      <c r="C62" s="165" t="inlineStr">
        <is>
          <t>Something went wrong!</t>
        </is>
      </c>
      <c r="D62" s="165" t="inlineStr">
        <is>
          <t>出错了！</t>
        </is>
      </c>
      <c r="E62" s="156" t="inlineStr">
        <is>
          <t>មានបញ្ហាកើតឡើង!</t>
        </is>
      </c>
    </row>
    <row r="63">
      <c r="A63" s="165" t="inlineStr">
        <is>
          <t>common.error</t>
        </is>
      </c>
      <c r="B63" s="156" t="inlineStr">
        <is>
          <t>មានបញ្ហា</t>
        </is>
      </c>
      <c r="C63" s="165" t="inlineStr">
        <is>
          <t>Error</t>
        </is>
      </c>
      <c r="D63" s="165" t="inlineStr">
        <is>
          <t>错误</t>
        </is>
      </c>
      <c r="E63" s="156" t="inlineStr">
        <is>
          <t>មានបញ្ហា</t>
        </is>
      </c>
    </row>
    <row r="64">
      <c r="A64" s="165" t="inlineStr">
        <is>
          <t>common.areYouSureLogOut</t>
        </is>
      </c>
      <c r="B64" s="156" t="inlineStr">
        <is>
          <t>តើអ្នកចង់ចាកចេញទេ?</t>
        </is>
      </c>
      <c r="C64" s="165" t="inlineStr">
        <is>
          <t>Are you sure you want to log out?</t>
        </is>
      </c>
      <c r="D64" s="165" t="inlineStr">
        <is>
          <t>确认退出登录？</t>
        </is>
      </c>
      <c r="E64" s="156" t="inlineStr">
        <is>
          <t>តើអ្នកចង់ចាកចេញទេ?</t>
        </is>
      </c>
    </row>
    <row r="65">
      <c r="A65" s="165" t="inlineStr">
        <is>
          <t>common.other</t>
        </is>
      </c>
      <c r="B65" s="156" t="inlineStr">
        <is>
          <t>ផ្សេងៗ</t>
        </is>
      </c>
      <c r="C65" s="165" t="inlineStr">
        <is>
          <t>Other</t>
        </is>
      </c>
      <c r="D65" s="165" t="inlineStr">
        <is>
          <t>其他</t>
        </is>
      </c>
      <c r="E65" s="156" t="inlineStr">
        <is>
          <t>ផ្សេងៗ</t>
        </is>
      </c>
    </row>
    <row r="66">
      <c r="A66" s="165" t="inlineStr">
        <is>
          <t>common.select</t>
        </is>
      </c>
      <c r="B66" s="156" t="inlineStr">
        <is>
          <t>ជ្រើសរើស</t>
        </is>
      </c>
      <c r="C66" s="165" t="inlineStr">
        <is>
          <t>Select</t>
        </is>
      </c>
      <c r="D66" s="165" t="inlineStr">
        <is>
          <t>选择</t>
        </is>
      </c>
      <c r="E66" s="156" t="inlineStr">
        <is>
          <t>ជ្រើសរើស</t>
        </is>
      </c>
    </row>
    <row r="67">
      <c r="A67" s="165" t="inlineStr">
        <is>
          <t>common.add</t>
        </is>
      </c>
      <c r="B67" s="156" t="inlineStr">
        <is>
          <t>Add</t>
        </is>
      </c>
      <c r="C67" s="165" t="inlineStr">
        <is>
          <t>Add</t>
        </is>
      </c>
      <c r="D67" s="165" t="inlineStr">
        <is>
          <t>添加</t>
        </is>
      </c>
      <c r="E67" s="156" t="inlineStr">
        <is>
          <t>Add</t>
        </is>
      </c>
    </row>
    <row r="68">
      <c r="A68" s="165" t="inlineStr">
        <is>
          <t>common.exit</t>
        </is>
      </c>
      <c r="B68" s="156" t="inlineStr">
        <is>
          <t>ចាកចេញ</t>
        </is>
      </c>
      <c r="C68" s="165" t="inlineStr">
        <is>
          <t>Exit</t>
        </is>
      </c>
      <c r="D68" s="165" t="inlineStr">
        <is>
          <t>退出</t>
        </is>
      </c>
      <c r="E68" s="156" t="inlineStr">
        <is>
          <t>ចាកចេញ</t>
        </is>
      </c>
    </row>
    <row r="69">
      <c r="A69" s="165" t="inlineStr">
        <is>
          <t>common.skip</t>
        </is>
      </c>
      <c r="B69" s="156" t="inlineStr">
        <is>
          <t>រំលង</t>
        </is>
      </c>
      <c r="C69" s="165" t="inlineStr">
        <is>
          <t>Skip</t>
        </is>
      </c>
      <c r="D69" s="165" t="inlineStr">
        <is>
          <t>跳过</t>
        </is>
      </c>
      <c r="E69" s="156" t="inlineStr">
        <is>
          <t>រំលង</t>
        </is>
      </c>
    </row>
    <row r="70">
      <c r="A70" s="165" t="inlineStr">
        <is>
          <t>common.lookup</t>
        </is>
      </c>
      <c r="B70" s="156" t="inlineStr">
        <is>
          <t>ស្វែងរក</t>
        </is>
      </c>
      <c r="C70" s="165" t="inlineStr">
        <is>
          <t>Lookup</t>
        </is>
      </c>
      <c r="D70" s="165" t="inlineStr">
        <is>
          <t>查询</t>
        </is>
      </c>
      <c r="E70" s="156" t="inlineStr">
        <is>
          <t>ស្វែងរក</t>
        </is>
      </c>
    </row>
    <row r="71">
      <c r="A71" s="165" t="inlineStr">
        <is>
          <t>common.feeLookup</t>
        </is>
      </c>
      <c r="B71" s="156" t="inlineStr">
        <is>
          <t>ស្វែងរកថ្លៃសេវា</t>
        </is>
      </c>
      <c r="C71" s="165" t="inlineStr">
        <is>
          <t>Fee Lookup</t>
        </is>
      </c>
      <c r="D71" s="165" t="inlineStr">
        <is>
          <t>运费查询</t>
        </is>
      </c>
      <c r="E71" s="156" t="inlineStr">
        <is>
          <t>ស្វែងរកថ្លៃសេវា</t>
        </is>
      </c>
    </row>
    <row r="72">
      <c r="A72" s="165" t="inlineStr">
        <is>
          <t>common.success</t>
        </is>
      </c>
      <c r="B72" s="156" t="inlineStr">
        <is>
          <t>ជោគជ័យ</t>
        </is>
      </c>
      <c r="C72" s="165" t="inlineStr">
        <is>
          <t>Success</t>
        </is>
      </c>
      <c r="D72" s="165" t="inlineStr">
        <is>
          <t>成功</t>
        </is>
      </c>
      <c r="E72" s="156" t="inlineStr">
        <is>
          <t>ជោគជ័យ</t>
        </is>
      </c>
    </row>
    <row r="73">
      <c r="A73" s="165" t="inlineStr">
        <is>
          <t>common.failed</t>
        </is>
      </c>
      <c r="B73" s="156" t="inlineStr">
        <is>
          <t>បរាជ័យ</t>
        </is>
      </c>
      <c r="C73" s="165" t="inlineStr">
        <is>
          <t>Failed</t>
        </is>
      </c>
      <c r="D73" s="165" t="inlineStr">
        <is>
          <t>失败</t>
        </is>
      </c>
      <c r="E73" s="156" t="inlineStr">
        <is>
          <t>បរាជ័យ</t>
        </is>
      </c>
    </row>
    <row r="74">
      <c r="A74" s="165" t="inlineStr">
        <is>
          <t>common.inProgress</t>
        </is>
      </c>
      <c r="B74" s="156" t="inlineStr">
        <is>
          <t>កំពុងដំណើរការ</t>
        </is>
      </c>
      <c r="C74" s="165" t="inlineStr">
        <is>
          <t>In Progress</t>
        </is>
      </c>
      <c r="D74" s="165" t="inlineStr">
        <is>
          <t>进行中</t>
        </is>
      </c>
      <c r="E74" s="156" t="inlineStr">
        <is>
          <t>កំពុងដំណើរការ</t>
        </is>
      </c>
    </row>
    <row r="75">
      <c r="A75" s="165" t="inlineStr">
        <is>
          <t>common.invoiceManagement</t>
        </is>
      </c>
      <c r="B75" s="156" t="inlineStr">
        <is>
          <t>គ្រប់គ្រងការចេញវិក្កយបត្រ</t>
        </is>
      </c>
      <c r="C75" s="165" t="inlineStr">
        <is>
          <t>Invoice Issurance Management</t>
        </is>
      </c>
      <c r="D75" s="157" t="inlineStr">
        <is>
          <t>--</t>
        </is>
      </c>
      <c r="E75" s="156" t="inlineStr">
        <is>
          <t>គ្រប់គ្រងការចេញវិក្កយបត្រ</t>
        </is>
      </c>
    </row>
    <row r="76">
      <c r="A76" s="165" t="inlineStr">
        <is>
          <t>slice.createOrder</t>
        </is>
      </c>
      <c r="B76" s="156" t="inlineStr">
        <is>
          <t>បង្កើតការបញ្ជាទិញ</t>
        </is>
      </c>
      <c r="C76" s="165" t="inlineStr">
        <is>
          <t>Create order</t>
        </is>
      </c>
      <c r="D76" s="165" t="inlineStr">
        <is>
          <t>创建订单</t>
        </is>
      </c>
      <c r="E76" s="156" t="inlineStr">
        <is>
          <t>បង្កើតការបញ្ជាទិញ</t>
        </is>
      </c>
    </row>
    <row r="77">
      <c r="A77" s="165" t="inlineStr">
        <is>
          <t>slice.singleOrder</t>
        </is>
      </c>
      <c r="B77" s="156" t="inlineStr">
        <is>
          <t>បង្កើតប៉ុងបញ្ញើរាយ</t>
        </is>
      </c>
      <c r="C77" s="165" t="inlineStr">
        <is>
          <t>Create single order</t>
        </is>
      </c>
      <c r="D77" s="165" t="inlineStr">
        <is>
          <t>创建单个订单</t>
        </is>
      </c>
      <c r="E77" s="156" t="inlineStr">
        <is>
          <t>បង្កើតប៉ុងបញ្ញើរាយ</t>
        </is>
      </c>
    </row>
    <row r="78">
      <c r="A78" s="165" t="inlineStr">
        <is>
          <t>slice.excelOrder</t>
        </is>
      </c>
      <c r="B78" s="156" t="inlineStr">
        <is>
          <t>បង្កើតបញ្ញើតាមរយៈ Excel</t>
        </is>
      </c>
      <c r="C78" s="165" t="inlineStr">
        <is>
          <t>Create order by Excel</t>
        </is>
      </c>
      <c r="D78" s="165" t="inlineStr">
        <is>
          <t>通过Excel创建订单</t>
        </is>
      </c>
      <c r="E78" s="156" t="inlineStr">
        <is>
          <t>បង្កើតបញ្ញើតាមរយៈ Excel</t>
        </is>
      </c>
    </row>
    <row r="79">
      <c r="A79" s="165" t="inlineStr">
        <is>
          <t>slice.settingUser</t>
        </is>
      </c>
      <c r="B79" s="156" t="inlineStr">
        <is>
          <t>ការកំណត់គណនី</t>
        </is>
      </c>
      <c r="C79" s="165" t="inlineStr">
        <is>
          <t>Account settings</t>
        </is>
      </c>
      <c r="D79" s="165" t="inlineStr">
        <is>
          <t>账户设置</t>
        </is>
      </c>
      <c r="E79" s="156" t="inlineStr">
        <is>
          <t>ការកំណត់គណនី</t>
        </is>
      </c>
    </row>
    <row r="80">
      <c r="A80" s="165" t="inlineStr">
        <is>
          <t>validate.maxLength</t>
        </is>
      </c>
      <c r="B80" s="156" t="inlineStr">
        <is>
          <t>{{field}} អតិបរមា {{length}} តួអក្សរលេខ</t>
        </is>
      </c>
      <c r="C80" s="165" t="inlineStr">
        <is>
          <t>{{field}} can be a maximum of {{length}} characters</t>
        </is>
      </c>
      <c r="D80" s="165" t="inlineStr">
        <is>
          <t>{{field}} 最多可输入 {{length}} 个字符</t>
        </is>
      </c>
      <c r="E80" s="156" t="inlineStr">
        <is>
          <t>{{field}} អតិបរមា {{length}} តួអក្សរលេខ</t>
        </is>
      </c>
    </row>
    <row r="81">
      <c r="A81" s="165" t="inlineStr">
        <is>
          <t>validate.minLength</t>
        </is>
      </c>
      <c r="B81" s="156" t="inlineStr">
        <is>
          <t>{{field}} អប្បបរមា {{length}} តួអក្សរលេខ</t>
        </is>
      </c>
      <c r="C81" s="165" t="inlineStr">
        <is>
          <t>{{field}} must be at least {{length}} characters</t>
        </is>
      </c>
      <c r="D81" s="157" t="inlineStr">
        <is>
          <t>--</t>
        </is>
      </c>
      <c r="E81" s="156" t="inlineStr">
        <is>
          <t>{{field}} អប្បបរមា {{length}} តួអក្សរលេខ</t>
        </is>
      </c>
    </row>
    <row r="82">
      <c r="A82" s="165" t="inlineStr">
        <is>
          <t>validate.max100</t>
        </is>
      </c>
      <c r="B82" s="156" t="inlineStr">
        <is>
          <t>បញ្ចូលជាអតិបរមា 100 តួអក្សរលេខ</t>
        </is>
      </c>
      <c r="C82" s="165" t="inlineStr">
        <is>
          <t>Enter a maximum of 100 characters</t>
        </is>
      </c>
      <c r="D82" s="165" t="inlineStr">
        <is>
          <t>最多输入100个字符</t>
        </is>
      </c>
      <c r="E82" s="156" t="inlineStr">
        <is>
          <t>បញ្ចូលជាអតិបរមា 100 តួអក្សរលេខ</t>
        </is>
      </c>
    </row>
    <row r="83">
      <c r="A83" s="165" t="inlineStr">
        <is>
          <t>validate.startWithSpace</t>
        </is>
      </c>
      <c r="B83" s="156" t="inlineStr">
        <is>
          <t>{{field}} មិនអាចចាប់ផ្តើមដោយចន្លោះបានទេ</t>
        </is>
      </c>
      <c r="C83" s="165" t="inlineStr">
        <is>
          <t>{{field}} cannot start with a space</t>
        </is>
      </c>
      <c r="D83" s="165" t="inlineStr">
        <is>
          <t>{{field}} 不能以空格开头</t>
        </is>
      </c>
      <c r="E83" s="156" t="inlineStr">
        <is>
          <t>{{field}} មិនអាចចាប់ផ្តើមដោយចន្លោះបានទេ</t>
        </is>
      </c>
    </row>
    <row r="84">
      <c r="A84" s="165" t="inlineStr">
        <is>
          <t>validate.validateEmail</t>
        </is>
      </c>
      <c r="B84" s="156" t="inlineStr">
        <is>
          <t>សូមបញ្ចូលទម្រង់អ៊ីមែលឲ្យបានត្រឹមត្រូវ</t>
        </is>
      </c>
      <c r="C84" s="165" t="inlineStr">
        <is>
          <t>Please enter a valid email format</t>
        </is>
      </c>
      <c r="D84" s="165" t="inlineStr">
        <is>
          <t>请输入有效的邮箱格式</t>
        </is>
      </c>
      <c r="E84" s="156" t="inlineStr">
        <is>
          <t>សូមបញ្ចូលទម្រង់អ៊ីមែលឲ្យបានត្រឹមត្រូវ</t>
        </is>
      </c>
    </row>
    <row r="85">
      <c r="A85" s="165" t="inlineStr">
        <is>
          <t>validate.empty</t>
        </is>
      </c>
      <c r="B85" s="156" t="inlineStr">
        <is>
          <t>ការបញ្ចូលទម្រង់មិនត្រូវ</t>
        </is>
      </c>
      <c r="C85" s="165" t="inlineStr">
        <is>
          <t>Invalid format</t>
        </is>
      </c>
      <c r="D85" s="165" t="inlineStr">
        <is>
          <t>格式无效</t>
        </is>
      </c>
      <c r="E85" s="156" t="inlineStr">
        <is>
          <t>ការបញ្ចូលទម្រង់មិនត្រូវ</t>
        </is>
      </c>
    </row>
    <row r="86">
      <c r="A86" s="165" t="inlineStr">
        <is>
          <t>validate.acceptOnlyNumber</t>
        </is>
      </c>
      <c r="B86" s="156" t="inlineStr">
        <is>
          <t>សូមបញ្ចូលតែលេខប៉ុណ្ណោះ</t>
        </is>
      </c>
      <c r="C86" s="165" t="inlineStr">
        <is>
          <t>Please enter numbers only</t>
        </is>
      </c>
      <c r="D86" s="165" t="inlineStr">
        <is>
          <t>请输入数字</t>
        </is>
      </c>
      <c r="E86" s="156" t="inlineStr">
        <is>
          <t>សូមបញ្ចូលតែលេខប៉ុណ្ណោះ</t>
        </is>
      </c>
    </row>
    <row r="87">
      <c r="A87" s="165" t="inlineStr">
        <is>
          <t>validate.pleaseSelectService</t>
        </is>
      </c>
      <c r="B87" s="156" t="inlineStr">
        <is>
          <t>សូមជ្រើសរើសសេវាកម្ម!</t>
        </is>
      </c>
      <c r="C87" s="165" t="inlineStr">
        <is>
          <t>Please select service !</t>
        </is>
      </c>
      <c r="D87" s="165" t="inlineStr">
        <is>
          <t>请选择服务！</t>
        </is>
      </c>
      <c r="E87" s="156" t="inlineStr">
        <is>
          <t>សូមជ្រើសរើសសេវាកម្ម!</t>
        </is>
      </c>
    </row>
    <row r="88">
      <c r="A88" s="165" t="inlineStr">
        <is>
          <t>auth.login</t>
        </is>
      </c>
      <c r="B88" s="156" t="inlineStr">
        <is>
          <t>ចូលប្រព័ន្ធ</t>
        </is>
      </c>
      <c r="C88" s="165" t="inlineStr">
        <is>
          <t>Login</t>
        </is>
      </c>
      <c r="D88" s="165" t="inlineStr">
        <is>
          <t>登录</t>
        </is>
      </c>
      <c r="E88" s="156" t="inlineStr">
        <is>
          <t>ចូលប្រព័ន្ធ</t>
        </is>
      </c>
    </row>
    <row r="89">
      <c r="A89" s="165" t="inlineStr">
        <is>
          <t>auth.account</t>
        </is>
      </c>
      <c r="B89" s="156" t="inlineStr">
        <is>
          <t>លេខទូរស័ព្ទ</t>
        </is>
      </c>
      <c r="C89" s="165" t="inlineStr">
        <is>
          <t>Phone number</t>
        </is>
      </c>
      <c r="D89" s="165" t="inlineStr">
        <is>
          <t>手机号码</t>
        </is>
      </c>
      <c r="E89" s="156" t="inlineStr">
        <is>
          <t>លេខទូរស័ព្ទ</t>
        </is>
      </c>
    </row>
    <row r="90">
      <c r="A90" s="165" t="inlineStr">
        <is>
          <t>auth.accountOrEmail</t>
        </is>
      </c>
      <c r="B90" s="156" t="inlineStr">
        <is>
          <t>លេខទូរស័ព្ទ/អ៊ីមែល</t>
        </is>
      </c>
      <c r="C90" s="165" t="inlineStr">
        <is>
          <t>Phone number/Email</t>
        </is>
      </c>
      <c r="D90" s="165" t="inlineStr">
        <is>
          <t>手机号/邮箱</t>
        </is>
      </c>
      <c r="E90" s="156" t="inlineStr">
        <is>
          <t>លេខទូរស័ព្ទ/អ៊ីមែល</t>
        </is>
      </c>
    </row>
    <row r="91">
      <c r="A91" s="165" t="inlineStr">
        <is>
          <t>auth.placeholderAccount</t>
        </is>
      </c>
      <c r="B91" s="156" t="inlineStr">
        <is>
          <t>បញ្ចូលលេខទូរស័ព្ទ</t>
        </is>
      </c>
      <c r="C91" s="165" t="inlineStr">
        <is>
          <t>Enter phone number</t>
        </is>
      </c>
      <c r="D91" s="165" t="inlineStr">
        <is>
          <t>请输入手机号码</t>
        </is>
      </c>
      <c r="E91" s="156" t="inlineStr">
        <is>
          <t>បញ្ចូលលេខទូរស័ព្ទ</t>
        </is>
      </c>
    </row>
    <row r="92">
      <c r="A92" s="165" t="inlineStr">
        <is>
          <t>auth.placeholderAccountOrEmail</t>
        </is>
      </c>
      <c r="B92" s="156" t="inlineStr">
        <is>
          <t>បញ្ចូលលេខទូរស័ព្ទ/អ៊ីមែល</t>
        </is>
      </c>
      <c r="C92" s="165" t="inlineStr">
        <is>
          <t>Enter phone number/Email</t>
        </is>
      </c>
      <c r="D92" s="165" t="inlineStr">
        <is>
          <t>请输入手机号或邮箱</t>
        </is>
      </c>
      <c r="E92" s="156" t="inlineStr">
        <is>
          <t>បញ្ចូលលេខទូរស័ព្ទ/អ៊ីមែល</t>
        </is>
      </c>
    </row>
    <row r="93">
      <c r="A93" s="165" t="inlineStr">
        <is>
          <t>auth.password</t>
        </is>
      </c>
      <c r="B93" s="156" t="inlineStr">
        <is>
          <t>ពាក្យសម្ងាត់</t>
        </is>
      </c>
      <c r="C93" s="165" t="inlineStr">
        <is>
          <t>Password</t>
        </is>
      </c>
      <c r="D93" s="165" t="inlineStr">
        <is>
          <t>密码</t>
        </is>
      </c>
      <c r="E93" s="156" t="inlineStr">
        <is>
          <t>ពាក្យសម្ងាត់</t>
        </is>
      </c>
    </row>
    <row r="94">
      <c r="A94" s="165" t="inlineStr">
        <is>
          <t>auth.placeholderPassword</t>
        </is>
      </c>
      <c r="B94" s="156" t="inlineStr">
        <is>
          <t>បញ្ចូលពាក្យសម្ងាត់</t>
        </is>
      </c>
      <c r="C94" s="165" t="inlineStr">
        <is>
          <t>Enter password</t>
        </is>
      </c>
      <c r="D94" s="165" t="inlineStr">
        <is>
          <t>请输入密码</t>
        </is>
      </c>
      <c r="E94" s="156" t="inlineStr">
        <is>
          <t>បញ្ចូលពាក្យសម្ងាត់</t>
        </is>
      </c>
    </row>
    <row r="95">
      <c r="A95" s="165" t="inlineStr">
        <is>
          <t>auth.requiredAccount</t>
        </is>
      </c>
      <c r="B95" s="156" t="inlineStr">
        <is>
          <t>លេខទូរស័ព្ទមិនអាចទុកចន្លោះបានទេ</t>
        </is>
      </c>
      <c r="C95" s="165" t="inlineStr">
        <is>
          <t>Phone number cannot be empty</t>
        </is>
      </c>
      <c r="D95" s="165" t="inlineStr">
        <is>
          <t>请输入手机号码</t>
        </is>
      </c>
      <c r="E95" s="156" t="inlineStr">
        <is>
          <t>លេខទូរស័ព្ទមិនអាចទុកចន្លោះបានទេ</t>
        </is>
      </c>
    </row>
    <row r="96">
      <c r="A96" s="165" t="inlineStr">
        <is>
          <t>auth.requiredAccountOrEmail</t>
        </is>
      </c>
      <c r="B96" s="156" t="inlineStr">
        <is>
          <t>លេខទូរស័ព្ទ/អ៊ីមែលមិនអាចទុកចន្លោះបានទេ</t>
        </is>
      </c>
      <c r="C96" s="165" t="inlineStr">
        <is>
          <t>Phone number/Email cannot be empty</t>
        </is>
      </c>
      <c r="D96" s="165" t="inlineStr">
        <is>
          <t>手机号/邮箱不能为空</t>
        </is>
      </c>
      <c r="E96" s="156" t="inlineStr">
        <is>
          <t>លេខទូរស័ព្ទ/អ៊ីមែលមិនអាចទុកចន្លោះបានទេ</t>
        </is>
      </c>
    </row>
    <row r="97">
      <c r="A97" s="165" t="inlineStr">
        <is>
          <t>auth.requiredPassword</t>
        </is>
      </c>
      <c r="B97" s="156" t="inlineStr">
        <is>
          <t>ពាក្យសម្ងាត់មិនអាចទុកឲ្យចន្លោះបានទេ</t>
        </is>
      </c>
      <c r="C97" s="165" t="inlineStr">
        <is>
          <t>Password cannot be empty</t>
        </is>
      </c>
      <c r="D97" s="165" t="inlineStr">
        <is>
          <t>请输入密码</t>
        </is>
      </c>
      <c r="E97" s="156" t="inlineStr">
        <is>
          <t>ពាក្យសម្ងាត់មិនអាចទុកឲ្យចន្លោះបានទេ</t>
        </is>
      </c>
    </row>
    <row r="98">
      <c r="A98" s="165" t="inlineStr">
        <is>
          <t>auth.requiredRePassword</t>
        </is>
      </c>
      <c r="B98" s="156" t="inlineStr">
        <is>
          <t>បញ្ចូលពាក្យសម្ងាត់ឡើងវិញមិនអាចទុកចន្លោះបានទេ</t>
        </is>
      </c>
      <c r="C98" s="165" t="inlineStr">
        <is>
          <t>Confirm password cannot be empty</t>
        </is>
      </c>
      <c r="D98" s="165" t="inlineStr">
        <is>
          <t>确认密码不能为空</t>
        </is>
      </c>
      <c r="E98" s="156" t="inlineStr">
        <is>
          <t>បញ្ចូលពាក្យសម្ងាត់ឡើងវិញមិនអាចទុកចន្លោះបានទេ</t>
        </is>
      </c>
    </row>
    <row r="99">
      <c r="A99" s="165" t="inlineStr">
        <is>
          <t>auth.forgotPassword</t>
        </is>
      </c>
      <c r="B99" s="156" t="inlineStr">
        <is>
          <t>ភ្លេចពាក្យសម្ងាត់</t>
        </is>
      </c>
      <c r="C99" s="165" t="inlineStr">
        <is>
          <t>Forgot password</t>
        </is>
      </c>
      <c r="D99" s="165" t="inlineStr">
        <is>
          <t>忘记密码？</t>
        </is>
      </c>
      <c r="E99" s="156" t="inlineStr">
        <is>
          <t>ភ្លេចពាក្យសម្ងាត់</t>
        </is>
      </c>
    </row>
    <row r="100">
      <c r="A100" s="165" t="inlineStr">
        <is>
          <t>auth.loginWithQr</t>
        </is>
      </c>
      <c r="B100" s="156" t="inlineStr">
        <is>
          <t>ចូលដោយប្រើ QR កូដ</t>
        </is>
      </c>
      <c r="C100" s="165" t="inlineStr">
        <is>
          <t>Login with QR Code</t>
        </is>
      </c>
      <c r="D100" s="165" t="inlineStr">
        <is>
          <t>扫码登录</t>
        </is>
      </c>
      <c r="E100" s="156" t="inlineStr">
        <is>
          <t>ចូលដោយប្រើ QR កូដ</t>
        </is>
      </c>
    </row>
    <row r="101">
      <c r="A101" s="165" t="inlineStr">
        <is>
          <t>auth.notAnAccount</t>
        </is>
      </c>
      <c r="B101" s="156" t="inlineStr">
        <is>
          <t>អ្នកមិនទាន់បានចុះឈ្មោះគណនីទេមែនទេ?</t>
        </is>
      </c>
      <c r="C101" s="165" t="inlineStr">
        <is>
          <t>Don't have an account?</t>
        </is>
      </c>
      <c r="D101" s="165" t="inlineStr">
        <is>
          <t>没有账户？</t>
        </is>
      </c>
      <c r="E101" s="156" t="inlineStr">
        <is>
          <t>អ្នកមិនទាន់បានចុះឈ្មោះគណនីទេមែនទេ?</t>
        </is>
      </c>
    </row>
    <row r="102">
      <c r="A102" s="165" t="inlineStr">
        <is>
          <t>auth.registerNow</t>
        </is>
      </c>
      <c r="B102" s="156" t="inlineStr">
        <is>
          <t>ចុះឈ្មោះឥឡូវនេះ</t>
        </is>
      </c>
      <c r="C102" s="165" t="inlineStr">
        <is>
          <t>Register now</t>
        </is>
      </c>
      <c r="D102" s="165" t="inlineStr">
        <is>
          <t>立即注册</t>
        </is>
      </c>
      <c r="E102" s="156" t="inlineStr">
        <is>
          <t>ចុះឈ្មោះឥឡូវនេះ</t>
        </is>
      </c>
    </row>
    <row r="103">
      <c r="A103" s="165" t="inlineStr">
        <is>
          <t>auth.invalidPhoneNumber</t>
        </is>
      </c>
      <c r="B103" s="156" t="inlineStr">
        <is>
          <t>លេខទូរស័ព្ទមិនត្រឹមត្រូវ</t>
        </is>
      </c>
      <c r="C103" s="165" t="inlineStr">
        <is>
          <t>Invalid phone number</t>
        </is>
      </c>
      <c r="D103" s="165" t="inlineStr">
        <is>
          <t>手机号码格式错误</t>
        </is>
      </c>
      <c r="E103" s="156" t="inlineStr">
        <is>
          <t>លេខទូរស័ព្ទមិនត្រឹមត្រូវ</t>
        </is>
      </c>
    </row>
    <row r="104">
      <c r="A104" s="165" t="inlineStr">
        <is>
          <t>auth.descriptionForgotPass</t>
        </is>
      </c>
      <c r="B104" s="156" t="inlineStr">
        <is>
          <t>ដើម្បីស្តារពាក្យសម្ងាត់ឡើងវិញ សូមបញ្ចូលលេខទូរស័ព្ទដែលចុះឈ្មោះក្នុងប្រព័ន្ធ</t>
        </is>
      </c>
      <c r="C104" s="165" t="inlineStr">
        <is>
          <t>To recover your password, please enter the phone number used to register on the system</t>
        </is>
      </c>
      <c r="D104" s="165" t="inlineStr">
        <is>
          <t>请输入您注册时使用的手机号以找回密码</t>
        </is>
      </c>
      <c r="E104" s="156" t="inlineStr">
        <is>
          <t>ដើម្បីស្តារពាក្យសម្ងាត់ឡើងវិញ សូមបញ្ចូលលេខទូរស័ព្ទដែលចុះឈ្មោះក្នុងប្រព័ន្ធ</t>
        </is>
      </c>
    </row>
    <row r="105">
      <c r="A105" s="165" t="inlineStr">
        <is>
          <t>auth.restore</t>
        </is>
      </c>
      <c r="B105" s="156" t="inlineStr">
        <is>
          <t>ស្ដារឡើងវិញ</t>
        </is>
      </c>
      <c r="C105" s="165" t="inlineStr">
        <is>
          <t>Recover</t>
        </is>
      </c>
      <c r="D105" s="165" t="inlineStr">
        <is>
          <t>找回</t>
        </is>
      </c>
      <c r="E105" s="156" t="inlineStr">
        <is>
          <t>ស្ដារឡើងវិញ</t>
        </is>
      </c>
    </row>
    <row r="106">
      <c r="A106" s="165" t="inlineStr">
        <is>
          <t>auth.pleaseEnterOtp</t>
        </is>
      </c>
      <c r="B106" s="156" t="inlineStr">
        <is>
          <t>សូមបញ្ចូល OTP!</t>
        </is>
      </c>
      <c r="C106" s="165" t="inlineStr">
        <is>
          <t>Please enter OTP!</t>
        </is>
      </c>
      <c r="D106" s="165" t="inlineStr">
        <is>
          <t>请输入验证码</t>
        </is>
      </c>
      <c r="E106" s="156" t="inlineStr">
        <is>
          <t>សូមបញ្ចូល OTP!</t>
        </is>
      </c>
    </row>
    <row r="107">
      <c r="A107" s="165" t="inlineStr">
        <is>
          <t>auth.goBack</t>
        </is>
      </c>
      <c r="B107" s="156" t="inlineStr">
        <is>
          <t>ថយក្រោយ</t>
        </is>
      </c>
      <c r="C107" s="165" t="inlineStr">
        <is>
          <t>Go back</t>
        </is>
      </c>
      <c r="D107" s="165" t="inlineStr">
        <is>
          <t>返回</t>
        </is>
      </c>
      <c r="E107" s="156" t="inlineStr">
        <is>
          <t>ថយក្រោយ</t>
        </is>
      </c>
    </row>
    <row r="108">
      <c r="A108" s="165" t="inlineStr">
        <is>
          <t>auth.confirmOtp</t>
        </is>
      </c>
      <c r="B108" s="156" t="inlineStr">
        <is>
          <t>បញ្ជាក់ OTP</t>
        </is>
      </c>
      <c r="C108" s="165" t="inlineStr">
        <is>
          <t>Confirm OTP</t>
        </is>
      </c>
      <c r="D108" s="165" t="inlineStr">
        <is>
          <t>验证验证码</t>
        </is>
      </c>
      <c r="E108" s="156" t="inlineStr">
        <is>
          <t>បញ្ជាក់ OTP</t>
        </is>
      </c>
    </row>
    <row r="109">
      <c r="A109" s="165" t="inlineStr">
        <is>
          <t>auth.notiEnterOtp</t>
        </is>
      </c>
      <c r="B109" s="156" t="inlineStr">
        <is>
          <t>បញ្ចូល OTP ដែលបានផ្ញើទៅកាន់លេខទូរស័ព្ទរបស់អ្នក</t>
        </is>
      </c>
      <c r="C109" s="165" t="inlineStr">
        <is>
          <t>Enter the OTP sent to the phone number</t>
        </is>
      </c>
      <c r="D109" s="165" t="inlineStr">
        <is>
          <t>请输入刚通过手机号 {{sdt}} 发送至Telegram的验证码</t>
        </is>
      </c>
      <c r="E109" s="156" t="inlineStr">
        <is>
          <t>បញ្ចូល OTP ដែលបានផ្ញើទៅកាន់លេខទូរស័ព្ទរបស់អ្នក</t>
        </is>
      </c>
    </row>
    <row r="110">
      <c r="A110" s="165" t="inlineStr">
        <is>
          <t>auth.notiEnterOtp1</t>
        </is>
      </c>
      <c r="B110" s="156" t="inlineStr">
        <is>
          <t>បញ្ចូល OTP ដែលបានផ្ញើទៅ</t>
        </is>
      </c>
      <c r="C110" s="165" t="inlineStr">
        <is>
          <t>Please operate on</t>
        </is>
      </c>
      <c r="D110" s="165" t="inlineStr">
        <is>
          <t>请在您的设备上操作</t>
        </is>
      </c>
      <c r="E110" s="156" t="inlineStr">
        <is>
          <t>បញ្ចូល OTP ដែលបានផ្ញើទៅ</t>
        </is>
      </c>
    </row>
    <row r="111">
      <c r="A111" s="165" t="inlineStr">
        <is>
          <t>auth.notiEnterOtp2</t>
        </is>
      </c>
      <c r="B111" s="156" t="inlineStr">
        <is>
          <t>ដើម្បីទទួល OTP</t>
        </is>
      </c>
      <c r="C111" s="165" t="inlineStr">
        <is>
          <t>to receive OTP</t>
        </is>
      </c>
      <c r="D111" s="165" t="inlineStr">
        <is>
          <t>以接收验证码</t>
        </is>
      </c>
      <c r="E111" s="156" t="inlineStr">
        <is>
          <t>ដើម្បីទទួល OTP</t>
        </is>
      </c>
    </row>
    <row r="112">
      <c r="A112" s="165" t="inlineStr">
        <is>
          <t>auth.questionOtp</t>
        </is>
      </c>
      <c r="B112" s="156" t="inlineStr">
        <is>
          <t>អ្នកមិនទាន់បានទទួល OTP ទេមែនទេ?</t>
        </is>
      </c>
      <c r="C112" s="165" t="inlineStr">
        <is>
          <t>Didn't receive the OTP?</t>
        </is>
      </c>
      <c r="D112" s="165" t="inlineStr">
        <is>
          <t>未收到验证码？</t>
        </is>
      </c>
      <c r="E112" s="156" t="inlineStr">
        <is>
          <t>អ្នកមិនទាន់បានទទួល OTP ទេមែនទេ?</t>
        </is>
      </c>
    </row>
    <row r="113">
      <c r="A113" s="165" t="inlineStr">
        <is>
          <t>auth.resend</t>
        </is>
      </c>
      <c r="B113" s="156" t="inlineStr">
        <is>
          <t>ផ្ញើម្តងទៀត</t>
        </is>
      </c>
      <c r="C113" s="165" t="inlineStr">
        <is>
          <t>Resend</t>
        </is>
      </c>
      <c r="D113" s="165" t="inlineStr">
        <is>
          <t>重新发送</t>
        </is>
      </c>
      <c r="E113" s="156" t="inlineStr">
        <is>
          <t>ផ្ញើម្តងទៀត</t>
        </is>
      </c>
    </row>
    <row r="114">
      <c r="A114" s="165" t="inlineStr">
        <is>
          <t>auth.resendIn</t>
        </is>
      </c>
      <c r="B114" s="156" t="inlineStr">
        <is>
          <t>ផ្ញើម្តងទៀតពេលក្រោយ ({{time}}s)</t>
        </is>
      </c>
      <c r="C114" s="165" t="inlineStr">
        <is>
          <t>Resend in ({{time}}s)</t>
        </is>
      </c>
      <c r="D114" s="165" t="inlineStr">
        <is>
          <t>({{time}}秒后)重新发送</t>
        </is>
      </c>
      <c r="E114" s="156" t="inlineStr">
        <is>
          <t>ផ្ញើម្តងទៀតពេលក្រោយ ({{time}}s)</t>
        </is>
      </c>
    </row>
    <row r="115">
      <c r="A115" s="165" t="inlineStr">
        <is>
          <t>auth.register</t>
        </is>
      </c>
      <c r="B115" s="156" t="inlineStr">
        <is>
          <t>ចុះឈ្មោះ</t>
        </is>
      </c>
      <c r="C115" s="165" t="inlineStr">
        <is>
          <t>Register</t>
        </is>
      </c>
      <c r="D115" s="165" t="inlineStr">
        <is>
          <t>注册</t>
        </is>
      </c>
      <c r="E115" s="156" t="inlineStr">
        <is>
          <t>ចុះឈ្មោះ</t>
        </is>
      </c>
    </row>
    <row r="116">
      <c r="A116" s="165" t="inlineStr">
        <is>
          <t>auth.fullName</t>
        </is>
      </c>
      <c r="B116" s="156" t="inlineStr">
        <is>
          <t>ឈ្មោះពេញ</t>
        </is>
      </c>
      <c r="C116" s="165" t="inlineStr">
        <is>
          <t>Full name</t>
        </is>
      </c>
      <c r="D116" s="165" t="inlineStr">
        <is>
          <t>姓名</t>
        </is>
      </c>
      <c r="E116" s="156" t="inlineStr">
        <is>
          <t>ឈ្មោះពេញ</t>
        </is>
      </c>
    </row>
    <row r="117">
      <c r="A117" s="165" t="inlineStr">
        <is>
          <t>auth.phoneNumber</t>
        </is>
      </c>
      <c r="B117" s="156" t="inlineStr">
        <is>
          <t>លេខទូរស័ព្ទ</t>
        </is>
      </c>
      <c r="C117" s="165" t="inlineStr">
        <is>
          <t>Phone number</t>
        </is>
      </c>
      <c r="D117" s="165" t="inlineStr">
        <is>
          <t>手机号码</t>
        </is>
      </c>
      <c r="E117" s="156" t="inlineStr">
        <is>
          <t>លេខទូរស័ព្ទ</t>
        </is>
      </c>
    </row>
    <row r="118">
      <c r="A118" s="165" t="inlineStr">
        <is>
          <t>auth.confirmPassword</t>
        </is>
      </c>
      <c r="B118" s="156" t="inlineStr">
        <is>
          <t>បញ្ចូលពាក្យសម្ងាត់ម្តងទៀត</t>
        </is>
      </c>
      <c r="C118" s="165" t="inlineStr">
        <is>
          <t>Confirm password</t>
        </is>
      </c>
      <c r="D118" s="165" t="inlineStr">
        <is>
          <t>确认密码</t>
        </is>
      </c>
      <c r="E118" s="156" t="inlineStr">
        <is>
          <t>បញ្ចូលពាក្យសម្ងាត់ម្តងទៀត</t>
        </is>
      </c>
    </row>
    <row r="119">
      <c r="A119" s="165" t="inlineStr">
        <is>
          <t>auth.placeholderFullName</t>
        </is>
      </c>
      <c r="B119" s="156" t="inlineStr">
        <is>
          <t>បញ្ចូលឈ្មោះនិងនាមត្រកូល</t>
        </is>
      </c>
      <c r="C119" s="165" t="inlineStr">
        <is>
          <t>Enter full name</t>
        </is>
      </c>
      <c r="D119" s="165" t="inlineStr">
        <is>
          <t>请输入姓名</t>
        </is>
      </c>
      <c r="E119" s="156" t="inlineStr">
        <is>
          <t>បញ្ចូលឈ្មោះនិងនាមត្រកូល</t>
        </is>
      </c>
    </row>
    <row r="120">
      <c r="A120" s="165" t="inlineStr">
        <is>
          <t>auth.placeholderPhoneNumber</t>
        </is>
      </c>
      <c r="B120" s="156" t="inlineStr">
        <is>
          <t>បញ្ចូលលេខទូរស័ព្ទ</t>
        </is>
      </c>
      <c r="C120" s="165" t="inlineStr">
        <is>
          <t>Enter phone number</t>
        </is>
      </c>
      <c r="D120" s="165" t="inlineStr">
        <is>
          <t>请输入手机号码</t>
        </is>
      </c>
      <c r="E120" s="156" t="inlineStr">
        <is>
          <t>បញ្ចូលលេខទូរស័ព្ទ</t>
        </is>
      </c>
    </row>
    <row r="121">
      <c r="A121" s="165" t="inlineStr">
        <is>
          <t>auth.placeholderConfirmPassword</t>
        </is>
      </c>
      <c r="B121" s="156" t="inlineStr">
        <is>
          <t>បញ្ចូលពាក្យសម្ងាត់ម្តងទៀត</t>
        </is>
      </c>
      <c r="C121" s="165" t="inlineStr">
        <is>
          <t>Re-enter password</t>
        </is>
      </c>
      <c r="D121" s="165" t="inlineStr">
        <is>
          <t>确认密码</t>
        </is>
      </c>
      <c r="E121" s="156" t="inlineStr">
        <is>
          <t>បញ្ចូលពាក្យសម្ងាត់ម្តងទៀត</t>
        </is>
      </c>
    </row>
    <row r="122">
      <c r="A122" s="165" t="inlineStr">
        <is>
          <t>auth.passwordMismatch</t>
        </is>
      </c>
      <c r="B122" s="156" t="inlineStr">
        <is>
          <t>ពាក្យសម្ងាត់មិនដូចគ្នាទេ</t>
        </is>
      </c>
      <c r="C122" s="165" t="inlineStr">
        <is>
          <t>Re-enter password does not match</t>
        </is>
      </c>
      <c r="D122" s="165" t="inlineStr">
        <is>
          <t>两次输入的密码不一致</t>
        </is>
      </c>
      <c r="E122" s="156" t="inlineStr">
        <is>
          <t>ពាក្យសម្ងាត់មិនដូចគ្នាទេ</t>
        </is>
      </c>
    </row>
    <row r="123">
      <c r="A123" s="165" t="inlineStr">
        <is>
          <t>auth.passwordAlphaNumeric</t>
        </is>
      </c>
      <c r="B123" s="156" t="inlineStr">
        <is>
          <t>ពាក្យសម្ងាត់ត្រូវតែមានប្រវែងពី 6-20 តួអក្សរលេខ និងរួមបញ្ចូលអក្សរ និងលេខ</t>
        </is>
      </c>
      <c r="C123" s="165" t="inlineStr">
        <is>
          <t>Password must be 6-20 characters, including letters and numbers</t>
        </is>
      </c>
      <c r="D123" s="165" t="inlineStr">
        <is>
          <t>密码长度为6-20位，需包含字母和数字</t>
        </is>
      </c>
      <c r="E123" s="156" t="inlineStr">
        <is>
          <t>ពាក្យសម្ងាត់ត្រូវតែមានប្រវែងពី 6-20 តួអក្សរលេខ និងរួមបញ្ចូលអក្សរ និងលេខ</t>
        </is>
      </c>
    </row>
    <row r="124">
      <c r="A124" s="165" t="inlineStr">
        <is>
          <t>auth.requiredFullName</t>
        </is>
      </c>
      <c r="B124" s="156" t="inlineStr">
        <is>
          <t>ឈ្មោះនិងនាមត្រកូលមិនអាចទុកចោលទទេបានទេ</t>
        </is>
      </c>
      <c r="C124" s="165" t="inlineStr">
        <is>
          <t>Full name cannot be empty</t>
        </is>
      </c>
      <c r="D124" s="165" t="inlineStr">
        <is>
          <t>请输入姓名</t>
        </is>
      </c>
      <c r="E124" s="156" t="inlineStr">
        <is>
          <t>ឈ្មោះនិងនាមត្រកូលមិនអាចទុកចោលទទេបានទេ</t>
        </is>
      </c>
    </row>
    <row r="125">
      <c r="A125" s="165" t="inlineStr">
        <is>
          <t>auth.requiredPhoneNumber</t>
        </is>
      </c>
      <c r="B125" s="156" t="inlineStr">
        <is>
          <t>លេខទូរស័ព្ទមិនអាចទុកចោលទទេបានទេ</t>
        </is>
      </c>
      <c r="C125" s="165" t="inlineStr">
        <is>
          <t>Phone number cannot be empty</t>
        </is>
      </c>
      <c r="D125" s="165" t="inlineStr">
        <is>
          <t>请输入手机号码</t>
        </is>
      </c>
      <c r="E125" s="156" t="inlineStr">
        <is>
          <t>លេខទូរស័ព្ទមិនអាចទុកចោលទទេបានទេ</t>
        </is>
      </c>
    </row>
    <row r="126">
      <c r="A126" s="165" t="inlineStr">
        <is>
          <t>auth.alreadyHaveAnAccount</t>
        </is>
      </c>
      <c r="B126" s="156" t="inlineStr">
        <is>
          <t>តើអតិថិជនមានគណនីហើយឬនៅ?</t>
        </is>
      </c>
      <c r="C126" s="165" t="inlineStr">
        <is>
          <t>Already have an account?</t>
        </is>
      </c>
      <c r="D126" s="165" t="inlineStr">
        <is>
          <t>已有账户？</t>
        </is>
      </c>
      <c r="E126" s="156" t="inlineStr">
        <is>
          <t>តើអតិថិជនមានគណនីហើយឬនៅ?</t>
        </is>
      </c>
    </row>
    <row r="127">
      <c r="A127" s="165" t="inlineStr">
        <is>
          <t>auth.loginNow</t>
        </is>
      </c>
      <c r="B127" s="156" t="inlineStr">
        <is>
          <t>ចូលឥឡូវនេះ</t>
        </is>
      </c>
      <c r="C127" s="165" t="inlineStr">
        <is>
          <t>Login now</t>
        </is>
      </c>
      <c r="D127" s="165" t="inlineStr">
        <is>
          <t>立即登录</t>
        </is>
      </c>
      <c r="E127" s="156" t="inlineStr">
        <is>
          <t>ចូលឥឡូវនេះ</t>
        </is>
      </c>
    </row>
    <row r="128">
      <c r="A128" s="165" t="inlineStr">
        <is>
          <t>auth.createAccSuccess</t>
        </is>
      </c>
      <c r="B128" s="156" t="inlineStr">
        <is>
          <t>បង្កើតគណនីបានជោគជ័យ</t>
        </is>
      </c>
      <c r="C128" s="165" t="inlineStr">
        <is>
          <t>Account created successfully</t>
        </is>
      </c>
      <c r="D128" s="165" t="inlineStr">
        <is>
          <t>账户创建成功</t>
        </is>
      </c>
      <c r="E128" s="156" t="inlineStr">
        <is>
          <t>បង្កើតគណនីបានជោគជ័យ</t>
        </is>
      </c>
    </row>
    <row r="129">
      <c r="A129" s="165" t="inlineStr">
        <is>
          <t>auth.loginWithOtp</t>
        </is>
      </c>
      <c r="B129" s="156" t="inlineStr">
        <is>
          <t>ចូលដោយប្រើ OTP</t>
        </is>
      </c>
      <c r="C129" s="165" t="inlineStr">
        <is>
          <t>Login with OTP</t>
        </is>
      </c>
      <c r="D129" s="165" t="inlineStr">
        <is>
          <t>使用验证码登录</t>
        </is>
      </c>
      <c r="E129" s="156" t="inlineStr">
        <is>
          <t>ចូលដោយប្រើ OTP</t>
        </is>
      </c>
    </row>
    <row r="130">
      <c r="A130" s="165" t="inlineStr">
        <is>
          <t>auth.loginSuccess</t>
        </is>
      </c>
      <c r="B130" s="156" t="inlineStr">
        <is>
          <t>ចូលបានជោគជ័យ</t>
        </is>
      </c>
      <c r="C130" s="165" t="inlineStr">
        <is>
          <t>Login successful</t>
        </is>
      </c>
      <c r="D130" s="165" t="inlineStr">
        <is>
          <t>登录成功</t>
        </is>
      </c>
      <c r="E130" s="156" t="inlineStr">
        <is>
          <t>ចូលបានជោគជ័យ</t>
        </is>
      </c>
    </row>
    <row r="131">
      <c r="A131" s="165" t="inlineStr">
        <is>
          <t>auth.registerSuccess</t>
        </is>
      </c>
      <c r="B131" s="156" t="inlineStr">
        <is>
          <t>ការចុះឈ្មោះបានជោគជ័យ</t>
        </is>
      </c>
      <c r="C131" s="165" t="inlineStr">
        <is>
          <t>Registration successful</t>
        </is>
      </c>
      <c r="D131" s="165" t="inlineStr">
        <is>
          <t>注册成功</t>
        </is>
      </c>
      <c r="E131" s="156" t="inlineStr">
        <is>
          <t>ការចុះឈ្មោះបានជោគជ័យ</t>
        </is>
      </c>
    </row>
    <row r="132">
      <c r="A132" s="165" t="inlineStr">
        <is>
          <t>auth.regexLengthAlphaNumeric</t>
        </is>
      </c>
      <c r="B132" s="156" t="inlineStr">
        <is>
          <t>ពាក្យសម្ងាត់ត្រូវតែមានប្រវែងពី 8-20 តួអក្សរលេខ និងរួមបញ្ចូលអក្សរ និងលេខ</t>
        </is>
      </c>
      <c r="C132" s="165" t="inlineStr">
        <is>
          <t>Password must be 8-20 characters, including letters and numbers</t>
        </is>
      </c>
      <c r="D132" s="165" t="inlineStr">
        <is>
          <t>密码长度为8-20位，需包含字母和数字</t>
        </is>
      </c>
      <c r="E132" s="156" t="inlineStr">
        <is>
          <t>ពាក្យសម្ងាត់ត្រូវតែមានប្រវែងពី 8-20 តួអក្សរលេខ និងរួមបញ្ចូលអក្សរ និងលេខ</t>
        </is>
      </c>
    </row>
    <row r="133">
      <c r="A133" s="165" t="inlineStr">
        <is>
          <t>auth.regexUpperLowerCase</t>
        </is>
      </c>
      <c r="B133" s="156" t="inlineStr">
        <is>
          <t>ពាក្យសម្ងាត់បញ្ចូលត្រូវមានតួអក្សរធំ (A-Z) និងអក្សរតូច (a-z)</t>
        </is>
      </c>
      <c r="C133" s="165" t="inlineStr">
        <is>
          <t>Password must include uppercase (A-Z) and lowercase (a-z) letters</t>
        </is>
      </c>
      <c r="D133" s="165" t="inlineStr">
        <is>
          <t>需同时包含大写字母(A-Z)和小写字母(a-z)</t>
        </is>
      </c>
      <c r="E133" s="156" t="inlineStr">
        <is>
          <t>ពាក្យសម្ងាត់បញ្ចូលត្រូវមានតួអក្សរធំ (A-Z) និងអក្សរតូច (a-z)</t>
        </is>
      </c>
    </row>
    <row r="134">
      <c r="A134" s="165" t="inlineStr">
        <is>
          <t>auth.regexNoWhitespaceNoAccents</t>
        </is>
      </c>
      <c r="B134" s="156" t="inlineStr">
        <is>
          <t>មិនរាប់បញ្ចូលចន្លោះនិងសញ្ញា</t>
        </is>
      </c>
      <c r="C134" s="165" t="inlineStr">
        <is>
          <t>No whitespace or accented characters</t>
        </is>
      </c>
      <c r="D134" s="165" t="inlineStr">
        <is>
          <t>不能包含空格或带音调符号的字母</t>
        </is>
      </c>
      <c r="E134" s="156" t="inlineStr">
        <is>
          <t>មិនរាប់បញ្ចូលចន្លោះនិងសញ្ញា</t>
        </is>
      </c>
    </row>
    <row r="135">
      <c r="A135" s="165" t="inlineStr">
        <is>
          <t>auth.phoneExist</t>
        </is>
      </c>
      <c r="B135" s="156" t="inlineStr">
        <is>
          <t>លេខទូរស័ព្ទបានប្រើរួចហើយ សូមបន្តចូល។</t>
        </is>
      </c>
      <c r="C135" s="165" t="inlineStr">
        <is>
          <t>Phone number is already in use, please log in.</t>
        </is>
      </c>
      <c r="D135" s="165" t="inlineStr">
        <is>
          <t>手机号已被注册，请直接登录</t>
        </is>
      </c>
      <c r="E135" s="156" t="inlineStr">
        <is>
          <t>លេខទូរស័ព្ទបានប្រើរួចហើយ សូមបន្តចូល។</t>
        </is>
      </c>
    </row>
    <row r="136">
      <c r="A136" s="165" t="inlineStr">
        <is>
          <t>auth.otpIncorrect</t>
        </is>
      </c>
      <c r="B136" s="156" t="inlineStr">
        <is>
          <t>លេខកូដ OTP មិនត្រឹមត្រូវ។ សូមព្យាយាមម្តងទៀត</t>
        </is>
      </c>
      <c r="C136" s="165" t="inlineStr">
        <is>
          <t>Incorrect OTP. Please try again</t>
        </is>
      </c>
      <c r="D136" s="165" t="inlineStr">
        <is>
          <t>验证码错误，请重新输入</t>
        </is>
      </c>
      <c r="E136" s="156" t="inlineStr">
        <is>
          <t>លេខកូដ OTP មិនត្រឹមត្រូវ។ សូមព្យាយាមម្តងទៀត</t>
        </is>
      </c>
    </row>
    <row r="137">
      <c r="A137" s="165" t="inlineStr">
        <is>
          <t>auth.accountNotExist</t>
        </is>
      </c>
      <c r="B137" s="156" t="inlineStr">
        <is>
          <t>មិនទាន់មានគណនីនៅឡើយទេ!</t>
        </is>
      </c>
      <c r="C137" s="165" t="inlineStr">
        <is>
          <t>Account does not exist</t>
        </is>
      </c>
      <c r="D137" s="165" t="inlineStr">
        <is>
          <t>账户不存在</t>
        </is>
      </c>
      <c r="E137" s="156" t="inlineStr">
        <is>
          <t>មិនទាន់មានគណនីនៅឡើយទេ!</t>
        </is>
      </c>
    </row>
    <row r="138">
      <c r="A138" s="165" t="inlineStr">
        <is>
          <t>auth.accountNotExistContent1</t>
        </is>
      </c>
      <c r="B138" s="156" t="inlineStr">
        <is>
          <t>លេខទូរស័ព្ទ</t>
        </is>
      </c>
      <c r="C138" s="165" t="inlineStr">
        <is>
          <t>Phone number</t>
        </is>
      </c>
      <c r="D138" s="165" t="inlineStr">
        <is>
          <t>手机号码</t>
        </is>
      </c>
      <c r="E138" s="156" t="inlineStr">
        <is>
          <t>លេខទូរស័ព្ទ</t>
        </is>
      </c>
    </row>
    <row r="139">
      <c r="A139" s="165" t="inlineStr">
        <is>
          <t>auth.accountNotExistContent3</t>
        </is>
      </c>
      <c r="B139" s="156" t="inlineStr">
        <is>
          <t>មិនទាន់មាននៅក្នុងប្រព័ន្ធទេ។</t>
        </is>
      </c>
      <c r="C139" s="165" t="inlineStr">
        <is>
          <t>does not exist in the system.</t>
        </is>
      </c>
      <c r="D139" s="165" t="inlineStr">
        <is>
          <t>在系统中不存在。</t>
        </is>
      </c>
      <c r="E139" s="156" t="inlineStr">
        <is>
          <t>មិនទាន់មាននៅក្នុងប្រព័ន្ធទេ។</t>
        </is>
      </c>
    </row>
    <row r="140">
      <c r="A140" s="165" t="inlineStr">
        <is>
          <t>auth.accountNotExistContent2</t>
        </is>
      </c>
      <c r="B140" s="156" t="inlineStr">
        <is>
          <t>តើអ្នកចង់បង្កើតគណនីថ្មីជាមួយលេខទូរស័ព្ទនេះទេ?</t>
        </is>
      </c>
      <c r="C140" s="165" t="inlineStr">
        <is>
          <t>Would you like to create a new account with this phone number?</t>
        </is>
      </c>
      <c r="D140" s="165" t="inlineStr">
        <is>
          <t>是否使用此手机号创建新账户？</t>
        </is>
      </c>
      <c r="E140" s="156" t="inlineStr">
        <is>
          <t>តើអ្នកចង់បង្កើតគណនីថ្មីជាមួយលេខទូរស័ព្ទនេះទេ?</t>
        </is>
      </c>
    </row>
    <row r="141">
      <c r="A141" s="165" t="inlineStr">
        <is>
          <t>auth.continueLoginOtp</t>
        </is>
      </c>
      <c r="B141" s="156" t="inlineStr">
        <is>
          <t>បន្តចូលដោយ OTP</t>
        </is>
      </c>
      <c r="C141" s="165" t="inlineStr">
        <is>
          <t>Continue logging in with OTP</t>
        </is>
      </c>
      <c r="D141" s="165" t="inlineStr">
        <is>
          <t>继续使用验证码登录</t>
        </is>
      </c>
      <c r="E141" s="156" t="inlineStr">
        <is>
          <t>បន្តចូលដោយ OTP</t>
        </is>
      </c>
    </row>
    <row r="142">
      <c r="A142" s="165" t="inlineStr">
        <is>
          <t>auth.createAccount</t>
        </is>
      </c>
      <c r="B142" s="156" t="inlineStr">
        <is>
          <t>បង្កើតគណនី</t>
        </is>
      </c>
      <c r="C142" s="165" t="inlineStr">
        <is>
          <t>Create account</t>
        </is>
      </c>
      <c r="D142" s="165" t="inlineStr">
        <is>
          <t>注册新账户</t>
        </is>
      </c>
      <c r="E142" s="156" t="inlineStr">
        <is>
          <t>បង្កើតគណនី</t>
        </is>
      </c>
    </row>
    <row r="143">
      <c r="A143" s="165" t="inlineStr">
        <is>
          <t>auth.infoIncorrect</t>
        </is>
      </c>
      <c r="B143" s="156" t="inlineStr">
        <is>
          <t>ពាក្យសម្ងាត់មិនត្រឹមត្រូវ</t>
        </is>
      </c>
      <c r="C143" s="165" t="inlineStr">
        <is>
          <t>Incorrect password</t>
        </is>
      </c>
      <c r="D143" s="165" t="inlineStr">
        <is>
          <t>密码错误</t>
        </is>
      </c>
      <c r="E143" s="156" t="inlineStr">
        <is>
          <t>ពាក្យសម្ងាត់មិនត្រឹមត្រូវ</t>
        </is>
      </c>
    </row>
    <row r="144">
      <c r="A144" s="165" t="inlineStr">
        <is>
          <t>auth.phoneNotExist</t>
        </is>
      </c>
      <c r="B144" s="156" t="inlineStr">
        <is>
          <t>លេខទូរស័ព្ទមិនទាន់មាននៅក្នុងប្រព័ន្ធទេ</t>
        </is>
      </c>
      <c r="C144" s="165" t="inlineStr">
        <is>
          <t>Phone number does not exist in the system</t>
        </is>
      </c>
      <c r="D144" s="165" t="inlineStr">
        <is>
          <t>该手机号未注册</t>
        </is>
      </c>
      <c r="E144" s="156" t="inlineStr">
        <is>
          <t>លេខទូរស័ព្ទមិនទាន់មាននៅក្នុងប្រព័ន្ធទេ</t>
        </is>
      </c>
    </row>
    <row r="145">
      <c r="A145" s="165" t="inlineStr">
        <is>
          <t>auth.enterSdt</t>
        </is>
      </c>
      <c r="B145" s="156" t="inlineStr">
        <is>
          <t>បញ្ចូលលេខទូរស័ព្ទ</t>
        </is>
      </c>
      <c r="C145" s="165" t="inlineStr">
        <is>
          <t>Enter phone number</t>
        </is>
      </c>
      <c r="D145" s="165" t="inlineStr">
        <is>
          <t>请输入手机号码</t>
        </is>
      </c>
      <c r="E145" s="156" t="inlineStr">
        <is>
          <t>បញ្ចូលលេខទូរស័ព្ទ</t>
        </is>
      </c>
    </row>
    <row r="146">
      <c r="A146" s="165" t="inlineStr">
        <is>
          <t>auth.accessReject</t>
        </is>
      </c>
      <c r="B146" s="156" t="inlineStr">
        <is>
          <t>ការចូលប្រើមិនត្រឹមត្រូវ</t>
        </is>
      </c>
      <c r="C146" s="165" t="inlineStr">
        <is>
          <t>Unauthorized access</t>
        </is>
      </c>
      <c r="D146" s="165" t="inlineStr">
        <is>
          <t>未经授权的访问</t>
        </is>
      </c>
      <c r="E146" s="156" t="inlineStr">
        <is>
          <t>ការចូលប្រើមិនត្រឹមត្រូវ</t>
        </is>
      </c>
    </row>
    <row r="147">
      <c r="A147" s="165" t="inlineStr">
        <is>
          <t>auth.fullNameMustBeAtLeast5Characters</t>
        </is>
      </c>
      <c r="B147" s="156" t="inlineStr">
        <is>
          <t>ឈ្មោះនិងនាមត្រកូលត្រូវតែមានយ៉ាងហោចណាស់ ៥ តួអក្សរ</t>
        </is>
      </c>
      <c r="C147" s="165" t="inlineStr">
        <is>
          <t>Full name must be at least 5 characters</t>
        </is>
      </c>
      <c r="D147" s="165" t="inlineStr">
        <is>
          <t>姓名长度至少5个字符</t>
        </is>
      </c>
      <c r="E147" s="156" t="inlineStr">
        <is>
          <t>ឈ្មោះនិងនាមត្រកូលត្រូវតែមានយ៉ាងហោចណាស់ ៥ តួអក្សរ</t>
        </is>
      </c>
    </row>
    <row r="148">
      <c r="A148" s="165" t="inlineStr">
        <is>
          <t>auth.fullNameCannotContainAllSpaces</t>
        </is>
      </c>
      <c r="B148" s="156" t="inlineStr">
        <is>
          <t>ឈ្មោះនិងនាមត្រកូលមិនត្រូវមានចន្លោះទេ</t>
        </is>
      </c>
      <c r="C148" s="165" t="inlineStr">
        <is>
          <t>Full name cannot contain only spaces</t>
        </is>
      </c>
      <c r="D148" s="165" t="inlineStr">
        <is>
          <t>姓名不能仅为空格</t>
        </is>
      </c>
      <c r="E148" s="156" t="inlineStr">
        <is>
          <t>ឈ្មោះនិងនាមត្រកូលមិនត្រូវមានចន្លោះទេ</t>
        </is>
      </c>
    </row>
    <row r="149">
      <c r="A149" s="165" t="inlineStr">
        <is>
          <t>auth.otpReceive</t>
        </is>
      </c>
      <c r="B149" s="156" t="inlineStr">
        <is>
          <t>ទទួល OTP</t>
        </is>
      </c>
      <c r="C149" s="165" t="inlineStr">
        <is>
          <t>Receive OTP</t>
        </is>
      </c>
      <c r="D149" s="165" t="inlineStr">
        <is>
          <t>接受验证码</t>
        </is>
      </c>
      <c r="E149" s="156" t="inlineStr">
        <is>
          <t>ទទួល OTP</t>
        </is>
      </c>
    </row>
    <row r="150">
      <c r="A150" s="165" t="inlineStr">
        <is>
          <t>auth.otpMethodSelection</t>
        </is>
      </c>
      <c r="B150" s="156" t="inlineStr">
        <is>
          <t>សូមជ្រើសរើសវិធីសាស្ត្រដើម្បីទទួល OTP</t>
        </is>
      </c>
      <c r="C150" s="165" t="inlineStr">
        <is>
          <t>Please select OTP delivery method</t>
        </is>
      </c>
      <c r="D150" s="165" t="inlineStr">
        <is>
          <t>选择验证码接收方式</t>
        </is>
      </c>
      <c r="E150" s="156" t="inlineStr">
        <is>
          <t>សូមជ្រើសរើសវិធីសាស្ត្រដើម្បីទទួល OTP</t>
        </is>
      </c>
    </row>
    <row r="151">
      <c r="A151" s="165" t="inlineStr">
        <is>
          <t>auth.otpRegistration</t>
        </is>
      </c>
      <c r="B151" s="156" t="inlineStr">
        <is>
          <t>ចុះឈ្មោះដើម្បីទទួល OTP</t>
        </is>
      </c>
      <c r="C151" s="165" t="inlineStr">
        <is>
          <t>Register for OTP</t>
        </is>
      </c>
      <c r="D151" s="165" t="inlineStr">
        <is>
          <t>注册验证码接收功能</t>
        </is>
      </c>
      <c r="E151" s="156" t="inlineStr">
        <is>
          <t>ចុះឈ្មោះដើម្បីទទួល OTP</t>
        </is>
      </c>
    </row>
    <row r="152">
      <c r="A152" s="165" t="inlineStr">
        <is>
          <t>auth.continue</t>
        </is>
      </c>
      <c r="B152" s="156" t="inlineStr">
        <is>
          <t>បន្ត</t>
        </is>
      </c>
      <c r="C152" s="165" t="inlineStr">
        <is>
          <t>Continue</t>
        </is>
      </c>
      <c r="D152" s="165" t="inlineStr">
        <is>
          <t>继续</t>
        </is>
      </c>
      <c r="E152" s="156" t="inlineStr">
        <is>
          <t>បន្ត</t>
        </is>
      </c>
    </row>
    <row r="153">
      <c r="A153" s="165" t="inlineStr">
        <is>
          <t>auth.pleaseAccess</t>
        </is>
      </c>
      <c r="B153" s="156" t="inlineStr">
        <is>
          <t>សូមអតិថិជនចូលដើម្បីប្រើប្រាក់</t>
        </is>
      </c>
      <c r="C153" s="165" t="inlineStr">
        <is>
          <t>Please access</t>
        </is>
      </c>
      <c r="D153" s="165" t="inlineStr">
        <is>
          <t>请打开</t>
        </is>
      </c>
      <c r="E153" s="156" t="inlineStr">
        <is>
          <t>សូមអតិថិជនចូលដើម្បីប្រើប្រាក់</t>
        </is>
      </c>
    </row>
    <row r="154">
      <c r="A154" s="165" t="inlineStr">
        <is>
          <t>auth.orScanQR</t>
        </is>
      </c>
      <c r="B154" s="156" t="inlineStr">
        <is>
          <t>ឬស្កេនលេខកូដ QR នៅលើកម្មវិធី</t>
        </is>
      </c>
      <c r="C154" s="165" t="inlineStr">
        <is>
          <t>or scan the QR code in the app</t>
        </is>
      </c>
      <c r="D154" s="165" t="inlineStr">
        <is>
          <t>或扫描App内的二维码</t>
        </is>
      </c>
      <c r="E154" s="156" t="inlineStr">
        <is>
          <t>ឬស្កេនលេខកូដ QR នៅលើកម្មវិធី</t>
        </is>
      </c>
    </row>
    <row r="155">
      <c r="A155" s="165" t="inlineStr">
        <is>
          <t>auth.withAccount</t>
        </is>
      </c>
      <c r="B155" s="156" t="inlineStr">
        <is>
          <t>ដោយប្រើគណនីរបស់អ្នក</t>
        </is>
      </c>
      <c r="C155" s="165" t="inlineStr">
        <is>
          <t>with the account</t>
        </is>
      </c>
      <c r="D155" s="165" t="inlineStr">
        <is>
          <t>使用账户</t>
        </is>
      </c>
      <c r="E155" s="156" t="inlineStr">
        <is>
          <t>ដោយប្រើគណនីរបស់អ្នក</t>
        </is>
      </c>
    </row>
    <row r="156">
      <c r="A156" s="165" t="inlineStr">
        <is>
          <t>auth.registerOtp</t>
        </is>
      </c>
      <c r="B156" s="156" t="inlineStr">
        <is>
          <t>ដើម្បីចុះឈ្មោះទួល OTP</t>
        </is>
      </c>
      <c r="C156" s="165" t="inlineStr">
        <is>
          <t>to register for OTP</t>
        </is>
      </c>
      <c r="D156" s="165" t="inlineStr">
        <is>
          <t>以开通验证码接收功能</t>
        </is>
      </c>
      <c r="E156" s="156" t="inlineStr">
        <is>
          <t>ដើម្បីចុះឈ្មោះទួល OTP</t>
        </is>
      </c>
    </row>
    <row r="157">
      <c r="A157" s="165" t="inlineStr">
        <is>
          <t>auth.accountNotPass</t>
        </is>
      </c>
      <c r="B157" s="156" t="inlineStr">
        <is>
          <t>គណនីនេះមិនមានពាក្យសម្ងាត់ទេ សូមចូលតាមរយៈ OTP</t>
        </is>
      </c>
      <c r="C157" s="165" t="inlineStr">
        <is>
          <t>This account does not have a password, please log in via OTP</t>
        </is>
      </c>
      <c r="D157" s="165" t="inlineStr">
        <is>
          <t>此账户未设置密码，请通过验证码登录</t>
        </is>
      </c>
      <c r="E157" s="156" t="inlineStr">
        <is>
          <t>គណនីនេះមិនមានពាក្យសម្ងាត់ទេ សូមចូលតាមរយៈ OTP</t>
        </is>
      </c>
    </row>
    <row r="158">
      <c r="A158" s="165" t="inlineStr">
        <is>
          <t>auth.userManual</t>
        </is>
      </c>
      <c r="B158" s="156" t="inlineStr">
        <is>
          <t>ការណែនាំសម្រាប់ការទទួល OTP នៅលើ Telegram</t>
        </is>
      </c>
      <c r="C158" s="165" t="inlineStr">
        <is>
          <t>Guide to Receiving OTP on Telegram</t>
        </is>
      </c>
      <c r="D158" s="165" t="inlineStr">
        <is>
          <t>Telegram 验证码接收指南</t>
        </is>
      </c>
      <c r="E158" s="156" t="inlineStr">
        <is>
          <t>ការណែនាំសម្រាប់ការទទួល OTP នៅលើ Telegram</t>
        </is>
      </c>
    </row>
    <row r="159">
      <c r="A159" s="165" t="inlineStr">
        <is>
          <t>auth.instructionstTitle</t>
        </is>
      </c>
      <c r="B159" s="156" t="inlineStr">
        <is>
          <t>ការណែនាំសម្រាប់ចុះឈ្មោះដើម្បីទទួល OTP នៅលើ Telegram</t>
        </is>
      </c>
      <c r="C159" s="165" t="inlineStr">
        <is>
          <t>Instructions for Registering to Receive OTP on Telegram</t>
        </is>
      </c>
      <c r="D159" s="165" t="inlineStr">
        <is>
          <t>Telegram 验证码接收注册指南</t>
        </is>
      </c>
      <c r="E159" s="156" t="inlineStr">
        <is>
          <t>ការណែនាំសម្រាប់ចុះឈ្មោះដើម្បីទទួល OTP នៅលើ Telegram</t>
        </is>
      </c>
    </row>
    <row r="160">
      <c r="A160" s="165" t="inlineStr">
        <is>
          <t>auth.pleaseOperateOn</t>
        </is>
      </c>
      <c r="B160" s="156" t="inlineStr">
        <is>
          <t>សូមអតិថិជនអនុវត្តតាមជំហានខាងលើ</t>
        </is>
      </c>
      <c r="C160" s="165" t="inlineStr">
        <is>
          <t>Please operate on</t>
        </is>
      </c>
      <c r="D160" s="165" t="inlineStr">
        <is>
          <t>请在您的{{设备}}上操作</t>
        </is>
      </c>
      <c r="E160" s="156" t="inlineStr">
        <is>
          <t>សូមអតិថិជនអនុវត្តតាមជំហានខាងលើ</t>
        </is>
      </c>
    </row>
    <row r="161">
      <c r="A161" s="165" t="inlineStr">
        <is>
          <t>auth.toGetOtp</t>
        </is>
      </c>
      <c r="B161" s="156" t="inlineStr">
        <is>
          <t>ដើម្បីទទួល OTP</t>
        </is>
      </c>
      <c r="C161" s="165" t="inlineStr">
        <is>
          <t>to receive OTP</t>
        </is>
      </c>
      <c r="D161" s="165" t="inlineStr">
        <is>
          <t>以接收验证码</t>
        </is>
      </c>
      <c r="E161" s="156" t="inlineStr">
        <is>
          <t>ដើម្បីទទួល OTP</t>
        </is>
      </c>
    </row>
    <row r="162">
      <c r="A162" s="165" t="inlineStr">
        <is>
          <t>auth.noteOtp1</t>
        </is>
      </c>
      <c r="B162" s="156" t="inlineStr">
        <is>
          <t>ចំណាំ៖ សូមប្រាកដថាអ្នកចុះឈ្មោះដើម្បីទទួលបាន OTP នៅលើ</t>
        </is>
      </c>
      <c r="C162" s="165" t="inlineStr">
        <is>
          <t>Note: Please ensure you register to receive OTP on</t>
        </is>
      </c>
      <c r="D162" s="165" t="inlineStr">
        <is>
          <t>注意：请确保您已使用手机号在</t>
        </is>
      </c>
      <c r="E162" s="156" t="inlineStr">
        <is>
          <t>ចំណាំ៖ សូមប្រាកដថាអ្នកចុះឈ្មោះដើម្បីទទួលបាន OTP នៅលើ</t>
        </is>
      </c>
    </row>
    <row r="163">
      <c r="A163" s="165" t="inlineStr">
        <is>
          <t>auth.noteOtp2</t>
        </is>
      </c>
      <c r="B163" s="156" t="inlineStr">
        <is>
          <t>តាមលេខទូរស័ព្ទ</t>
        </is>
      </c>
      <c r="C163" s="165" t="inlineStr">
        <is>
          <t>using your phone number</t>
        </is>
      </c>
      <c r="D163" s="165" t="inlineStr">
        <is>
          <t>通过您的手机号</t>
        </is>
      </c>
      <c r="E163" s="156" t="inlineStr">
        <is>
          <t>តាមលេខទូរស័ព្ទ</t>
        </is>
      </c>
    </row>
    <row r="164">
      <c r="A164" s="165" t="inlineStr">
        <is>
          <t>auth.description1</t>
        </is>
      </c>
      <c r="B164" s="156" t="inlineStr">
        <is>
          <t>ខ្ញុំយល់ព្រមជាមួយ</t>
        </is>
      </c>
      <c r="C164" s="165" t="inlineStr">
        <is>
          <t>I agree with</t>
        </is>
      </c>
      <c r="D164" s="165" t="inlineStr">
        <is>
          <t>我已阅读并同意</t>
        </is>
      </c>
      <c r="E164" s="156" t="inlineStr">
        <is>
          <t>ខ្ញុំយល់ព្រមជាមួយ</t>
        </is>
      </c>
    </row>
    <row r="165">
      <c r="A165" s="165" t="inlineStr">
        <is>
          <t>auth.description2</t>
        </is>
      </c>
      <c r="B165" s="156" t="inlineStr">
        <is>
          <t>លក្ខខណ្ឌ និងបទប្បញ្ញត្តិរបស់ VTP កម្ពុជា</t>
        </is>
      </c>
      <c r="C165" s="165" t="inlineStr">
        <is>
          <t>VTP Cambodia's Terms &amp; Conditions</t>
        </is>
      </c>
      <c r="D165" s="165" t="inlineStr">
        <is>
          <t>《VTP柬埔寨用户协议》</t>
        </is>
      </c>
      <c r="E165" s="156" t="inlineStr">
        <is>
          <t>លក្ខខណ្ឌ និងបទប្បញ្ញត្តិរបស់ VTP កម្ពុជា</t>
        </is>
      </c>
    </row>
    <row r="166">
      <c r="A166" s="165" t="inlineStr">
        <is>
          <t>auth.youMustAgreeToTheTerms</t>
        </is>
      </c>
      <c r="B166" s="156" t="inlineStr">
        <is>
          <t>អ្នកត្រូវតែយល់ព្រមតាមលក្ខខណ្ឌ</t>
        </is>
      </c>
      <c r="C166" s="165" t="inlineStr">
        <is>
          <t>You must agree to the terms</t>
        </is>
      </c>
      <c r="D166" s="165" t="inlineStr">
        <is>
          <t>请阅读并同意相关协议</t>
        </is>
      </c>
      <c r="E166" s="156" t="inlineStr">
        <is>
          <t>អ្នកត្រូវតែយល់ព្រមតាមលក្ខខណ្ឌ</t>
        </is>
      </c>
    </row>
    <row r="167">
      <c r="A167" s="165" t="inlineStr">
        <is>
          <t>auth.startButton</t>
        </is>
      </c>
      <c r="B167" s="156" t="inlineStr">
        <is>
          <t>ចុចប៊ូតុងចាប់ផ្តើមដើម្បីធ្វើឱ្យឆានែល chatbot ដំណើការ</t>
        </is>
      </c>
      <c r="C167" s="165" t="inlineStr">
        <is>
          <t>Press the Start button to activate the chatbot channel</t>
        </is>
      </c>
      <c r="D167" s="165" t="inlineStr">
        <is>
          <t>请按下‘Start’按钮以启用聊天机器人频道</t>
        </is>
      </c>
      <c r="E167" s="156" t="inlineStr">
        <is>
          <t>ចុចប៊ូតុងចាប់ផ្តើមដើម្បីធ្វើឱ្យឆានែល chatbot ដំណើការ</t>
        </is>
      </c>
    </row>
    <row r="168">
      <c r="A168" s="165" t="inlineStr">
        <is>
          <t>auth.functionKey</t>
        </is>
      </c>
      <c r="B168" s="156" t="inlineStr">
        <is>
          <t>ចុចក្តាតមុខងារ</t>
        </is>
      </c>
      <c r="C168" s="165" t="inlineStr">
        <is>
          <t>Press the function key</t>
        </is>
      </c>
      <c r="D168" s="165" t="inlineStr">
        <is>
          <t>请按功能键</t>
        </is>
      </c>
      <c r="E168" s="156" t="inlineStr">
        <is>
          <t>ចុចក្តាតមុខងារ</t>
        </is>
      </c>
    </row>
    <row r="169">
      <c r="A169" s="165" t="inlineStr">
        <is>
          <t>auth.shareContactHint1</t>
        </is>
      </c>
      <c r="B169" s="156" t="inlineStr">
        <is>
          <t>និង ជ្រើសរើសក្តារ "Share Contact" នៅទីតាំងក្តារចុច</t>
        </is>
      </c>
      <c r="C169" s="165" t="inlineStr">
        <is>
          <t>and select the 'Share contact' key on the keyboard</t>
        </is>
      </c>
      <c r="D169" s="165" t="inlineStr">
        <is>
          <t>并在键盘上选择'Share contact' 键</t>
        </is>
      </c>
      <c r="E169" s="156" t="inlineStr">
        <is>
          <t>និង ជ្រើសរើសក្តារ "Share Contact" នៅទីតាំងក្តារចុច</t>
        </is>
      </c>
    </row>
    <row r="170">
      <c r="A170" s="165" t="inlineStr">
        <is>
          <t>auth.shareContactHint2</t>
        </is>
      </c>
      <c r="B170" s="156" t="inlineStr">
        <is>
          <t>ជ្រើសរើស "Share contact"</t>
        </is>
      </c>
      <c r="C170" s="165" t="inlineStr">
        <is>
          <t>Select 'Share contact'</t>
        </is>
      </c>
      <c r="D170" s="165" t="inlineStr">
        <is>
          <t>选择'Share contact'</t>
        </is>
      </c>
      <c r="E170" s="156" t="inlineStr">
        <is>
          <t>ជ្រើសរើស "Share contact"</t>
        </is>
      </c>
    </row>
    <row r="171">
      <c r="A171" s="165" t="inlineStr">
        <is>
          <t>auth.limitOtp</t>
        </is>
      </c>
      <c r="B171" s="156" t="inlineStr">
        <is>
          <t>អ្នកបានទទួលសារ SMS ច្រើនជាង 5 ដង សូមព្យាយាមម្តងទៀតនៅពេលក្រោយ</t>
        </is>
      </c>
      <c r="C171" s="165" t="inlineStr">
        <is>
          <t>You have received more than 5 SMS, please try again later</t>
        </is>
      </c>
      <c r="D171" s="157" t="inlineStr">
        <is>
          <t>--</t>
        </is>
      </c>
      <c r="E171" s="156" t="inlineStr">
        <is>
          <t>អ្នកបានទទួលសារ SMS ច្រើនជាង 5 ដង សូមព្យាយាមម្តងទៀតនៅពេលក្រោយ</t>
        </is>
      </c>
    </row>
    <row r="172">
      <c r="A172" s="165" t="inlineStr">
        <is>
          <t>auth.termsAndConditions</t>
        </is>
      </c>
      <c r="B172" s="156" t="inlineStr">
        <is>
          <t>លក្ខខណ្ឌ និងបទប្បញ្ញត្តិ</t>
        </is>
      </c>
      <c r="C172" s="165" t="inlineStr">
        <is>
          <t>Terms and Conditions</t>
        </is>
      </c>
      <c r="D172" s="157" t="inlineStr">
        <is>
          <t>--</t>
        </is>
      </c>
      <c r="E172" s="156" t="inlineStr">
        <is>
          <t>លក្ខខណ្ឌ និងបទប្បញ្ញត្តិ</t>
        </is>
      </c>
    </row>
    <row r="173">
      <c r="A173" s="165" t="inlineStr">
        <is>
          <t>auth.telegramOtpSuccess</t>
        </is>
      </c>
      <c r="B173" s="156" t="inlineStr">
        <is>
          <t>អតិថិជនចុះឈ្មោះទទួល OTP តាមតេឡេក្រាមបានជោគជ័យនិងប្រព័ន្ធផ្ញើ OTP ចុះឈ្មោះភ្លាមក្រោយពេលសារបានបញ្ជាក់</t>
        </is>
      </c>
      <c r="C173" s="165" t="inlineStr">
        <is>
          <t>You have successfully registered to receive OTP via Telegram, and the system will send the registration OTP immediately after the confirmation message.</t>
        </is>
      </c>
      <c r="D173" s="165" t="inlineStr">
        <is>
          <t>您已成功注册通过Telegram接收验证码，系统将在确认后立即发送验证码。</t>
        </is>
      </c>
      <c r="E173" s="156" t="inlineStr">
        <is>
          <t>អតិថិជនចុះឈ្មោះទទួល OTP តាមតេឡេក្រាមបានជោគជ័យនិងប្រព័ន្ធផ្ញើ OTP ចុះឈ្មោះភ្លាមក្រោយពេលសារបានបញ្ជាក់</t>
        </is>
      </c>
    </row>
    <row r="174">
      <c r="A174" s="165" t="inlineStr">
        <is>
          <t>auth.noteOtp</t>
        </is>
      </c>
      <c r="B174" s="156" t="inlineStr">
        <is>
          <t>ចំណាំ៖ អ្នកអាចទទួលបានសារ SMS អតិបរមា 5 ដងប៉ុណ្ណោះ/ម៉ោង</t>
        </is>
      </c>
      <c r="C174" s="165" t="inlineStr">
        <is>
          <t>Note: You can only receive up to 5 SMS per hour</t>
        </is>
      </c>
      <c r="D174" s="165" t="inlineStr">
        <is>
          <t>注意：每小时最多接收5条短信</t>
        </is>
      </c>
      <c r="E174" s="156" t="inlineStr">
        <is>
          <t>ចំណាំ៖ អ្នកអាចទទួលបានសារ SMS អតិបរមា 5 ដងប៉ុណ្ណោះ/ម៉ោង</t>
        </is>
      </c>
    </row>
    <row r="175">
      <c r="A175" s="165" t="inlineStr">
        <is>
          <t>manageOrders.notiMaxlengthExcel</t>
        </is>
      </c>
      <c r="B175" s="156" t="inlineStr">
        <is>
          <t>ចំនួនការប៉ុងបញ្ញើដែលបានជ្រើសរើសមិនអាចលើសពី 2000 ប៉ុង</t>
        </is>
      </c>
      <c r="C175" s="165" t="inlineStr">
        <is>
          <t>The number of selected applications is no more than 2000.</t>
        </is>
      </c>
      <c r="D175" s="165" t="inlineStr">
        <is>
          <t>已选订单数量不能超过2000笔。</t>
        </is>
      </c>
      <c r="E175" s="156" t="inlineStr">
        <is>
          <t>ចំនួនការប៉ុងបញ្ញើដែលបានជ្រើសរើសមិនអាចលើសពី 2000 ប៉ុង</t>
        </is>
      </c>
    </row>
    <row r="176">
      <c r="A176" s="165" t="inlineStr">
        <is>
          <t>manageOrders.orderCancelSuccess</t>
        </is>
      </c>
      <c r="B176" s="156" t="inlineStr">
        <is>
          <t>ប៉ុងបញ្ញើត្រូវបានលុបចោលដោយជោគជ័យ៖</t>
        </is>
      </c>
      <c r="C176" s="165" t="inlineStr">
        <is>
          <t>Order cancellation successful:</t>
        </is>
      </c>
      <c r="D176" s="165" t="inlineStr">
        <is>
          <t>取消订单成功：</t>
        </is>
      </c>
      <c r="E176" s="156" t="inlineStr">
        <is>
          <t>ប៉ុងបញ្ញើត្រូវបានលុបចោលដោយជោគជ័យ៖</t>
        </is>
      </c>
    </row>
    <row r="177">
      <c r="A177" s="165" t="inlineStr">
        <is>
          <t>manageOrders.orderCancelFailed</t>
        </is>
      </c>
      <c r="B177" s="156" t="inlineStr">
        <is>
          <t>ប៉ុងបញ្ញើត្រូវបានលុបចោលដោយបរាជ័យ៖</t>
        </is>
      </c>
      <c r="C177" s="165" t="inlineStr">
        <is>
          <t>Order cancellation failed:</t>
        </is>
      </c>
      <c r="D177" s="165" t="inlineStr">
        <is>
          <t>订单取消失败：</t>
        </is>
      </c>
      <c r="E177" s="156" t="inlineStr">
        <is>
          <t>ប៉ុងបញ្ញើត្រូវបានលុបចោលដោយបរាជ័យ៖</t>
        </is>
      </c>
    </row>
    <row r="178">
      <c r="A178" s="165" t="inlineStr">
        <is>
          <t>manageOrders.orderCancelStatus</t>
        </is>
      </c>
      <c r="B178" s="156" t="inlineStr">
        <is>
          <t>ស្ថានភាពលុបចោល</t>
        </is>
      </c>
      <c r="C178" s="165" t="inlineStr">
        <is>
          <t>Cancellation status</t>
        </is>
      </c>
      <c r="D178" s="165" t="inlineStr">
        <is>
          <t>取消状态</t>
        </is>
      </c>
      <c r="E178" s="156" t="inlineStr">
        <is>
          <t>ស្ថានភាពលុបចោល</t>
        </is>
      </c>
    </row>
    <row r="179">
      <c r="A179" s="165" t="inlineStr">
        <is>
          <t>manageOrders.orderCancelContinue</t>
        </is>
      </c>
      <c r="B179" s="156" t="inlineStr">
        <is>
          <t>បន្តលុបចោល</t>
        </is>
      </c>
      <c r="C179" s="165" t="inlineStr">
        <is>
          <t>Continue cancellation</t>
        </is>
      </c>
      <c r="D179" s="165" t="inlineStr">
        <is>
          <t>继续取消</t>
        </is>
      </c>
      <c r="E179" s="156" t="inlineStr">
        <is>
          <t>បន្តលុបចោល</t>
        </is>
      </c>
    </row>
    <row r="180">
      <c r="A180" s="165" t="inlineStr">
        <is>
          <t>manageOrders.totalOrders</t>
        </is>
      </c>
      <c r="B180" s="156" t="inlineStr">
        <is>
          <t>សរុបប៉ុងបញ្ញើ ({{total}} ប៉ុងបញ្ញើ)</t>
        </is>
      </c>
      <c r="C180" s="165" t="inlineStr">
        <is>
          <t>Total orders ({{total}} orders)</t>
        </is>
      </c>
      <c r="D180" s="165" t="inlineStr">
        <is>
          <t>总订单数 ({{total}} 笔)</t>
        </is>
      </c>
      <c r="E180" s="156" t="inlineStr">
        <is>
          <t>សរុបប៉ុងបញ្ញើ ({{total}} ប៉ុងបញ្ញើ)</t>
        </is>
      </c>
    </row>
    <row r="181">
      <c r="A181" s="165" t="inlineStr">
        <is>
          <t>manageOrders.successTab</t>
        </is>
      </c>
      <c r="B181" s="156" t="inlineStr">
        <is>
          <t>បានទយកដោយជោគជ័យ ({{total}} ប៉ុងបញ្ញើ)</t>
        </is>
      </c>
      <c r="C181" s="165" t="inlineStr">
        <is>
          <t>Successfully picked up ({{total}} orders)</t>
        </is>
      </c>
      <c r="D181" s="165" t="inlineStr">
        <is>
          <t>({{total}} 取件成功</t>
        </is>
      </c>
      <c r="E181" s="156" t="inlineStr">
        <is>
          <t>បានទយកដោយជោគជ័យ ({{total}} ប៉ុងបញ្ញើ)</t>
        </is>
      </c>
    </row>
    <row r="182">
      <c r="A182" s="165" t="inlineStr">
        <is>
          <t>manageOrders.waitTab</t>
        </is>
      </c>
      <c r="B182" s="156" t="inlineStr">
        <is>
          <t>រង់ចាំការយក ({{total}} ប៉ុងបញ្ញើ)</t>
        </is>
      </c>
      <c r="C182" s="165" t="inlineStr">
        <is>
          <t>Waiting for pickup ({{total}} orders)</t>
        </is>
      </c>
      <c r="D182" s="165" t="inlineStr">
        <is>
          <t>({{total}} 笔待取件</t>
        </is>
      </c>
      <c r="E182" s="156" t="inlineStr">
        <is>
          <t>រង់ចាំការយក ({{total}} ប៉ុងបញ្ញើ)</t>
        </is>
      </c>
    </row>
    <row r="183">
      <c r="A183" s="165" t="inlineStr">
        <is>
          <t>manageOrders.cancelTab</t>
        </is>
      </c>
      <c r="B183" s="156" t="inlineStr">
        <is>
          <t>បោះបង់ការទទួលយក ({{total}} ប៉ុងបញ្ញើ)</t>
        </is>
      </c>
      <c r="C183" s="165" t="inlineStr">
        <is>
          <t>Pickup cancelled ({{total}} orders)</t>
        </is>
      </c>
      <c r="D183" s="165" t="inlineStr">
        <is>
          <t>取件取消 ({{total}} 笔订单)</t>
        </is>
      </c>
      <c r="E183" s="156" t="inlineStr">
        <is>
          <t>បោះបង់ការទទួលយក ({{total}} ប៉ុងបញ្ញើ)</t>
        </is>
      </c>
    </row>
    <row r="184">
      <c r="A184" s="165" t="inlineStr">
        <is>
          <t>manageOrders.draftTab</t>
        </is>
      </c>
      <c r="B184" s="156" t="inlineStr">
        <is>
          <t>ប៉ុងបញ្ញើព្រាង ({{total}} ប៉ុងបញ្ញើ)</t>
        </is>
      </c>
      <c r="C184" s="165" t="inlineStr">
        <is>
          <t>Draft orders ({{total}} orders)</t>
        </is>
      </c>
      <c r="D184" s="165" t="inlineStr">
        <is>
          <t>订单草稿 ({{total}} 笔)</t>
        </is>
      </c>
      <c r="E184" s="156" t="inlineStr">
        <is>
          <t>ប៉ុងបញ្ញើព្រាង ({{total}} ប៉ុងបញ្ញើ)</t>
        </is>
      </c>
    </row>
    <row r="185">
      <c r="A185" s="165" t="inlineStr">
        <is>
          <t>manageOrders.all</t>
        </is>
      </c>
      <c r="B185" s="156" t="inlineStr">
        <is>
          <t>ទាំងអស់ ({{total}})</t>
        </is>
      </c>
      <c r="C185" s="165" t="inlineStr">
        <is>
          <t>All ({{total}})</t>
        </is>
      </c>
      <c r="D185" s="165" t="inlineStr">
        <is>
          <t>全部 ({{total}})</t>
        </is>
      </c>
      <c r="E185" s="156" t="inlineStr">
        <is>
          <t>ទាំងអស់ ({{total}})</t>
        </is>
      </c>
    </row>
    <row r="186">
      <c r="A186" s="165" t="inlineStr">
        <is>
          <t>manageOrders.receiving</t>
        </is>
      </c>
      <c r="B186" s="156" t="inlineStr">
        <is>
          <t>កំពុងយកអីវ៉ាន់ ({{total}})</t>
        </is>
      </c>
      <c r="C186" s="165" t="inlineStr">
        <is>
          <t>Picking up ({{total}})</t>
        </is>
      </c>
      <c r="D186" s="165" t="inlineStr">
        <is>
          <t>揽收中 ({{total}})</t>
        </is>
      </c>
      <c r="E186" s="156" t="inlineStr">
        <is>
          <t>កំពុងយកអីវ៉ាន់ ({{total}})</t>
        </is>
      </c>
    </row>
    <row r="187">
      <c r="A187" s="165" t="inlineStr">
        <is>
          <t>manageOrders.received</t>
        </is>
      </c>
      <c r="B187" s="156" t="inlineStr">
        <is>
          <t>បានយកអីវ៉ាន់ ({{total}})</t>
        </is>
      </c>
      <c r="C187" s="165" t="inlineStr">
        <is>
          <t>Picked up ({{total}})</t>
        </is>
      </c>
      <c r="D187" s="165" t="inlineStr">
        <is>
          <t>({{total}})已揽收</t>
        </is>
      </c>
      <c r="E187" s="156" t="inlineStr">
        <is>
          <t>បានយកអីវ៉ាន់ ({{total}})</t>
        </is>
      </c>
    </row>
    <row r="188">
      <c r="A188" s="165" t="inlineStr">
        <is>
          <t>manageOrders.transiting</t>
        </is>
      </c>
      <c r="B188" s="156" t="inlineStr">
        <is>
          <t>កំពុងដឹកទៅប្រគល់អីវ៉ាន់ ({{total}})</t>
        </is>
      </c>
      <c r="C188" s="165" t="inlineStr">
        <is>
          <t>In transit for delivery ({{total}})</t>
        </is>
      </c>
      <c r="D188" s="165" t="inlineStr">
        <is>
          <t>({{total}})派送途中</t>
        </is>
      </c>
      <c r="E188" s="156" t="inlineStr">
        <is>
          <t>កំពុងដឹកទៅប្រគល់អីវ៉ាន់ ({{total}})</t>
        </is>
      </c>
    </row>
    <row r="189">
      <c r="A189" s="165" t="inlineStr">
        <is>
          <t>manageOrders.shipping</t>
        </is>
      </c>
      <c r="B189" s="156" t="inlineStr">
        <is>
          <t>កំពុងប្រគល់អីវ៉ាន់ ({{total}})</t>
        </is>
      </c>
      <c r="C189" s="165" t="inlineStr">
        <is>
          <t>Shipping ({{total}})</t>
        </is>
      </c>
      <c r="D189" s="165" t="inlineStr">
        <is>
          <t>({{total}})运输中</t>
        </is>
      </c>
      <c r="E189" s="156" t="inlineStr">
        <is>
          <t>កំពុងប្រគល់អីវ៉ាន់ ({{total}})</t>
        </is>
      </c>
    </row>
    <row r="190">
      <c r="A190" s="165" t="inlineStr">
        <is>
          <t>manageOrders.shipped</t>
        </is>
      </c>
      <c r="B190" s="156" t="inlineStr">
        <is>
          <t>ប្រគល់បានជោគជ័យ ({{total}})</t>
        </is>
      </c>
      <c r="C190" s="165" t="inlineStr">
        <is>
          <t>Delivered successfully ({{total}})</t>
        </is>
      </c>
      <c r="D190" s="165" t="inlineStr">
        <is>
          <t>({{total}})派送成功</t>
        </is>
      </c>
      <c r="E190" s="156" t="inlineStr">
        <is>
          <t>ប្រគល់បានជោគជ័យ ({{total}})</t>
        </is>
      </c>
    </row>
    <row r="191">
      <c r="A191" s="165" t="inlineStr">
        <is>
          <t>manageOrders.returnRequest</t>
        </is>
      </c>
      <c r="B191" s="156" t="inlineStr">
        <is>
          <t>ការជូនដំណឹងអំពីការប្រគល់ត្រលប់មកវិញ ({{total}})</t>
        </is>
      </c>
      <c r="C191" s="165" t="inlineStr">
        <is>
          <t>Return request ({{total}})</t>
        </is>
      </c>
      <c r="D191" s="165" t="inlineStr">
        <is>
          <t>({{total}})退货请求</t>
        </is>
      </c>
      <c r="E191" s="156" t="inlineStr">
        <is>
          <t>ការជូនដំណឹងអំពីការប្រគល់ត្រលប់មកវិញ ({{total}})</t>
        </is>
      </c>
    </row>
    <row r="192">
      <c r="A192" s="165" t="inlineStr">
        <is>
          <t>manageOrders.new</t>
        </is>
      </c>
      <c r="B192" s="156" t="inlineStr">
        <is>
          <t>បង្កើតថ្មី ({{total}})</t>
        </is>
      </c>
      <c r="C192" s="165" t="inlineStr">
        <is>
          <t>New ({{total}})</t>
        </is>
      </c>
      <c r="D192" s="165" t="inlineStr">
        <is>
          <t>新订单 ({{total}})</t>
        </is>
      </c>
      <c r="E192" s="156" t="inlineStr">
        <is>
          <t>បង្កើតថ្មី ({{total}})</t>
        </is>
      </c>
    </row>
    <row r="193">
      <c r="A193" s="165" t="inlineStr">
        <is>
          <t>manageOrders.confirmed</t>
        </is>
      </c>
      <c r="B193" s="156" t="inlineStr">
        <is>
          <t>មិនទាន់បានទទួល ({{total}})</t>
        </is>
      </c>
      <c r="C193" s="165" t="inlineStr">
        <is>
          <t>Not received ({{total}})</t>
        </is>
      </c>
      <c r="D193" s="165" t="inlineStr">
        <is>
          <t>({{total}}订单未收到货</t>
        </is>
      </c>
      <c r="E193" s="156" t="inlineStr">
        <is>
          <t>មិនទាន់បានទទួល ({{total}})</t>
        </is>
      </c>
    </row>
    <row r="194">
      <c r="A194" s="165" t="inlineStr">
        <is>
          <t>manageOrders.waitingToReceive</t>
        </is>
      </c>
      <c r="B194" s="156" t="inlineStr">
        <is>
          <t>បានទទួល ({{total}})</t>
        </is>
      </c>
      <c r="C194" s="165" t="inlineStr">
        <is>
          <t>Received ({{total}})</t>
        </is>
      </c>
      <c r="D194" s="165" t="inlineStr">
        <is>
          <t>({{total}})已收货</t>
        </is>
      </c>
      <c r="E194" s="156" t="inlineStr">
        <is>
          <t>បានទទួល ({{total}})</t>
        </is>
      </c>
    </row>
    <row r="195">
      <c r="A195" s="165" t="inlineStr">
        <is>
          <t>manageOrders.cancelled</t>
        </is>
      </c>
      <c r="B195" s="156" t="inlineStr">
        <is>
          <t>បោះបង់ចោល ({{total}})</t>
        </is>
      </c>
      <c r="C195" s="165" t="inlineStr">
        <is>
          <t>Pickup cancelled ({{total}})</t>
        </is>
      </c>
      <c r="D195" s="165" t="inlineStr">
        <is>
          <t>取件取消 ({{total}})</t>
        </is>
      </c>
      <c r="E195" s="156" t="inlineStr">
        <is>
          <t>បោះបង់ចោល ({{total}})</t>
        </is>
      </c>
    </row>
    <row r="196">
      <c r="A196" s="165" t="inlineStr">
        <is>
          <t>manageOrders.receiveAgain</t>
        </is>
      </c>
      <c r="B196" s="156" t="inlineStr">
        <is>
          <t>ណាត់យកម្តងទៀត ({{total}})</t>
        </is>
      </c>
      <c r="C196" s="165" t="inlineStr">
        <is>
          <t>Re-pickup scheduled ({{total}})</t>
        </is>
      </c>
      <c r="D196" s="165" t="inlineStr">
        <is>
          <t>已安排重新取件 ({{total}})</t>
        </is>
      </c>
      <c r="E196" s="156" t="inlineStr">
        <is>
          <t>ណាត់យកម្តងទៀត ({{total}})</t>
        </is>
      </c>
    </row>
    <row r="197">
      <c r="A197" s="165" t="inlineStr">
        <is>
          <t>manageOrders.receiveFailed</t>
        </is>
      </c>
      <c r="B197" s="156" t="inlineStr">
        <is>
          <t>យកឥវ៉ាន់មិនបាន ({{total}})</t>
        </is>
      </c>
      <c r="C197" s="165" t="inlineStr">
        <is>
          <t>Pickup failed ({{total}})</t>
        </is>
      </c>
      <c r="D197" s="165" t="inlineStr">
        <is>
          <t>({{total}})取件失败</t>
        </is>
      </c>
      <c r="E197" s="156" t="inlineStr">
        <is>
          <t>យកឥវ៉ាន់មិនបាន ({{total}})</t>
        </is>
      </c>
    </row>
    <row r="198">
      <c r="A198" s="165" t="inlineStr">
        <is>
          <t>manageOrders.shipAgain</t>
        </is>
      </c>
      <c r="B198" s="156" t="inlineStr">
        <is>
          <t>ណាត់ប្រគល់ម្តងទៀត ({{total}})</t>
        </is>
      </c>
      <c r="C198" s="165" t="inlineStr">
        <is>
          <t>Re-delivery scheduled ({{total}})</t>
        </is>
      </c>
      <c r="D198" s="165" t="inlineStr">
        <is>
          <t>({{total}})已安排再次派送</t>
        </is>
      </c>
      <c r="E198" s="156" t="inlineStr">
        <is>
          <t>ណាត់ប្រគល់ម្តងទៀត ({{total}})</t>
        </is>
      </c>
    </row>
    <row r="199">
      <c r="A199" s="165" t="inlineStr">
        <is>
          <t>manageOrders.shipFailed</t>
        </is>
      </c>
      <c r="B199" s="156" t="inlineStr">
        <is>
          <t>ប្រគល់អីវ៉ាន់មិនបាន ({{total}})</t>
        </is>
      </c>
      <c r="C199" s="165" t="inlineStr">
        <is>
          <t>Delivery failed ({{total}})</t>
        </is>
      </c>
      <c r="D199" s="165" t="inlineStr">
        <is>
          <t>({{total}})派送失败</t>
        </is>
      </c>
      <c r="E199" s="156" t="inlineStr">
        <is>
          <t>ប្រគល់អីវ៉ាន់មិនបាន ({{total}})</t>
        </is>
      </c>
    </row>
    <row r="200">
      <c r="A200" s="165" t="inlineStr">
        <is>
          <t>manageOrders.partialShipRequest</t>
        </is>
      </c>
      <c r="B200" s="156" t="inlineStr">
        <is>
          <t>ស្នើសុំប្រគល់១ផ្នែក ({{total}})</t>
        </is>
      </c>
      <c r="C200" s="165" t="inlineStr">
        <is>
          <t>Partial delivery request ({{total}})</t>
        </is>
      </c>
      <c r="D200" s="165" t="inlineStr">
        <is>
          <t>部分派送请求 ({{total}})</t>
        </is>
      </c>
      <c r="E200" s="156" t="inlineStr">
        <is>
          <t>ស្នើសុំប្រគល់១ផ្នែក ({{total}})</t>
        </is>
      </c>
    </row>
    <row r="201">
      <c r="A201" s="165" t="inlineStr">
        <is>
          <t>manageOrders.partiallyShipped</t>
        </is>
      </c>
      <c r="B201" s="156" t="inlineStr">
        <is>
          <t>ប្រគល់បានជោគជ័យ១ផ្នែក ({{total}})</t>
        </is>
      </c>
      <c r="C201" s="165" t="inlineStr">
        <is>
          <t>Partially delivered successfully ({{total}})</t>
        </is>
      </c>
      <c r="D201" s="165" t="inlineStr">
        <is>
          <t>部分派送成功 ({{total}})</t>
        </is>
      </c>
      <c r="E201" s="156" t="inlineStr">
        <is>
          <t>ប្រគល់បានជោគជ័យ១ផ្នែក ({{total}})</t>
        </is>
      </c>
    </row>
    <row r="202">
      <c r="A202" s="165" t="inlineStr">
        <is>
          <t>manageOrders.disposal</t>
        </is>
      </c>
      <c r="B202" s="156" t="inlineStr">
        <is>
          <t>បានកម្ទិចចោល ({{total}})</t>
        </is>
      </c>
      <c r="C202" s="165" t="inlineStr">
        <is>
          <t>Disposed ({{total}})</t>
        </is>
      </c>
      <c r="D202" s="165" t="inlineStr">
        <is>
          <t>已处置 ({{total}})</t>
        </is>
      </c>
      <c r="E202" s="156" t="inlineStr">
        <is>
          <t>បានកម្ទិចចោល ({{total}})</t>
        </is>
      </c>
    </row>
    <row r="203">
      <c r="A203" s="165" t="inlineStr">
        <is>
          <t>manageOrders.returnConfirmed</t>
        </is>
      </c>
      <c r="B203" s="156" t="inlineStr">
        <is>
          <t>បានយល់ព្រមការសងត្រលប់វិញ ({{total}})</t>
        </is>
      </c>
      <c r="C203" s="165" t="inlineStr">
        <is>
          <t>Return approved ({{total}})</t>
        </is>
      </c>
      <c r="D203" s="165" t="inlineStr">
        <is>
          <t>({{total}})退货已批准</t>
        </is>
      </c>
      <c r="E203" s="156" t="inlineStr">
        <is>
          <t>បានយល់ព្រមការសងត្រលប់វិញ ({{total}})</t>
        </is>
      </c>
    </row>
    <row r="204">
      <c r="A204" s="165" t="inlineStr">
        <is>
          <t>manageOrders.returnAgain</t>
        </is>
      </c>
      <c r="B204" s="156" t="inlineStr">
        <is>
          <t>ផ្អាក់ការសងឥវ៉ាន់ត្រលប់មកវិញ ({{total}})</t>
        </is>
      </c>
      <c r="C204" s="165" t="inlineStr">
        <is>
          <t>Return rescheduled ({{total}})</t>
        </is>
      </c>
      <c r="D204" s="165" t="inlineStr">
        <is>
          <t>({{total}})已重新安排退回</t>
        </is>
      </c>
      <c r="E204" s="156" t="inlineStr">
        <is>
          <t>ផ្អាក់ការសងឥវ៉ាន់ត្រលប់មកវិញ ({{total}})</t>
        </is>
      </c>
    </row>
    <row r="205">
      <c r="A205" s="165" t="inlineStr">
        <is>
          <t>manageOrders.returnSuccessful</t>
        </is>
      </c>
      <c r="B205" s="156" t="inlineStr">
        <is>
          <t>បានសងឥវ៉ាន់ត្រលប់មកវិញ ({{total}})</t>
        </is>
      </c>
      <c r="C205" s="165" t="inlineStr">
        <is>
          <t>Returned successfully ({{total}})</t>
        </is>
      </c>
      <c r="D205" s="165" t="inlineStr">
        <is>
          <t>({{total}})退回成功</t>
        </is>
      </c>
      <c r="E205" s="156" t="inlineStr">
        <is>
          <t>បានសងឥវ៉ាន់ត្រលប់មកវិញ ({{total}})</t>
        </is>
      </c>
    </row>
    <row r="206">
      <c r="A206" s="165" t="inlineStr">
        <is>
          <t>manageOrders.returning</t>
        </is>
      </c>
      <c r="B206" s="156" t="inlineStr">
        <is>
          <t>កំពុងប្រគល់ត្រលប់មកវិញ ({{total}})</t>
        </is>
      </c>
      <c r="C206" s="165" t="inlineStr">
        <is>
          <t>In return transit ({{total}})</t>
        </is>
      </c>
      <c r="D206" s="165" t="inlineStr">
        <is>
          <t>({{total}})退回运输中</t>
        </is>
      </c>
      <c r="E206" s="156" t="inlineStr">
        <is>
          <t>កំពុងប្រគល់ត្រលប់មកវិញ ({{total}})</t>
        </is>
      </c>
    </row>
    <row r="207">
      <c r="A207" s="165" t="inlineStr">
        <is>
          <t>manageOrders.shipperReturn</t>
        </is>
      </c>
      <c r="B207" s="156" t="inlineStr">
        <is>
          <t>កំពុងដឹកជញ្ជូនពីការប្រគល់ត្រលប់មកវិញ ({{total}})</t>
        </is>
      </c>
      <c r="C207" s="165" t="inlineStr">
        <is>
          <t>Being returned ({{total}})</t>
        </is>
      </c>
      <c r="D207" s="165" t="inlineStr">
        <is>
          <t>({{total}})正在退回</t>
        </is>
      </c>
      <c r="E207" s="156" t="inlineStr">
        <is>
          <t>កំពុងដឹកជញ្ជូនពីការប្រគល់ត្រលប់មកវិញ ({{total}})</t>
        </is>
      </c>
    </row>
    <row r="208">
      <c r="A208" s="165" t="inlineStr">
        <is>
          <t>manageOrders.changeAddress</t>
        </is>
      </c>
      <c r="B208" s="156" t="inlineStr">
        <is>
          <t>ដឹកបញ្ជូនតាមអាសយដ្ឋានថ្មី ({{total}})</t>
        </is>
      </c>
      <c r="C208" s="165" t="inlineStr">
        <is>
          <t>Address change ({{total}})</t>
        </is>
      </c>
      <c r="D208" s="165" t="inlineStr">
        <is>
          <t>地址变更 ({{total}})</t>
        </is>
      </c>
      <c r="E208" s="156" t="inlineStr">
        <is>
          <t>ដឹកបញ្ជូនតាមអាសយដ្ឋានថ្មី ({{total}})</t>
        </is>
      </c>
    </row>
    <row r="209">
      <c r="A209" s="165" t="inlineStr">
        <is>
          <t>manageOrders.codeBill</t>
        </is>
      </c>
      <c r="B209" s="156" t="inlineStr">
        <is>
          <t>លេខកូដបុងបញ្ញើ</t>
        </is>
      </c>
      <c r="C209" s="165" t="inlineStr">
        <is>
          <t>Bill of lading code</t>
        </is>
      </c>
      <c r="D209" s="165" t="inlineStr">
        <is>
          <t>运单号</t>
        </is>
      </c>
      <c r="E209" s="156" t="inlineStr">
        <is>
          <t>លេខកូដបុងបញ្ញើ</t>
        </is>
      </c>
    </row>
    <row r="210">
      <c r="A210" s="165" t="inlineStr">
        <is>
          <t>manageOrders.codeOrder</t>
        </is>
      </c>
      <c r="B210" s="156" t="inlineStr">
        <is>
          <t>លេខកូដបុងបញ្ញើ</t>
        </is>
      </c>
      <c r="C210" s="165" t="inlineStr">
        <is>
          <t>Order code</t>
        </is>
      </c>
      <c r="D210" s="165" t="inlineStr">
        <is>
          <t>订单编号</t>
        </is>
      </c>
      <c r="E210" s="156" t="inlineStr">
        <is>
          <t>លេខកូដបុងបញ្ញើ</t>
        </is>
      </c>
    </row>
    <row r="211">
      <c r="A211" s="165" t="inlineStr">
        <is>
          <t>manageOrders.sender</t>
        </is>
      </c>
      <c r="B211" s="156" t="inlineStr">
        <is>
          <t>អ្នកផ្ញើ</t>
        </is>
      </c>
      <c r="C211" s="165" t="inlineStr">
        <is>
          <t>Sender</t>
        </is>
      </c>
      <c r="D211" s="165" t="inlineStr">
        <is>
          <t>寄件人</t>
        </is>
      </c>
      <c r="E211" s="156" t="inlineStr">
        <is>
          <t>អ្នកផ្ញើ</t>
        </is>
      </c>
    </row>
    <row r="212">
      <c r="A212" s="165" t="inlineStr">
        <is>
          <t>manageOrders.receiver</t>
        </is>
      </c>
      <c r="B212" s="156" t="inlineStr">
        <is>
          <t>អ្នកទទួល</t>
        </is>
      </c>
      <c r="C212" s="165" t="inlineStr">
        <is>
          <t>Receiver</t>
        </is>
      </c>
      <c r="D212" s="165" t="inlineStr">
        <is>
          <t>收件人</t>
        </is>
      </c>
      <c r="E212" s="156" t="inlineStr">
        <is>
          <t>អ្នកទទួល</t>
        </is>
      </c>
    </row>
    <row r="213">
      <c r="A213" s="165" t="inlineStr">
        <is>
          <t>manageOrders.goods</t>
        </is>
      </c>
      <c r="B213" s="156" t="inlineStr">
        <is>
          <t>ទំនិញ</t>
        </is>
      </c>
      <c r="C213" s="165" t="inlineStr">
        <is>
          <t>Goods</t>
        </is>
      </c>
      <c r="D213" s="165" t="inlineStr">
        <is>
          <t>货物</t>
        </is>
      </c>
      <c r="E213" s="156" t="inlineStr">
        <is>
          <t>ទំនិញ</t>
        </is>
      </c>
    </row>
    <row r="214">
      <c r="A214" s="165" t="inlineStr">
        <is>
          <t>manageOrders.status</t>
        </is>
      </c>
      <c r="B214" s="156" t="inlineStr">
        <is>
          <t>ស្ថានភាព</t>
        </is>
      </c>
      <c r="C214" s="165" t="inlineStr">
        <is>
          <t>Status</t>
        </is>
      </c>
      <c r="D214" s="165" t="inlineStr">
        <is>
          <t>状态</t>
        </is>
      </c>
      <c r="E214" s="156" t="inlineStr">
        <is>
          <t>ស្ថានភាព</t>
        </is>
      </c>
    </row>
    <row r="215">
      <c r="A215" s="165" t="inlineStr">
        <is>
          <t>manageOrders.dateOfEstablishment</t>
        </is>
      </c>
      <c r="B215" s="156" t="inlineStr">
        <is>
          <t>ថ្ងៃបង្កើត</t>
        </is>
      </c>
      <c r="C215" s="165" t="inlineStr">
        <is>
          <t>Creation date</t>
        </is>
      </c>
      <c r="D215" s="165" t="inlineStr">
        <is>
          <t>创建日期</t>
        </is>
      </c>
      <c r="E215" s="156" t="inlineStr">
        <is>
          <t>ថ្ងៃបង្កើត</t>
        </is>
      </c>
    </row>
    <row r="216">
      <c r="A216" s="165" t="inlineStr">
        <is>
          <t>manageOrders.collect</t>
        </is>
      </c>
      <c r="B216" s="156" t="inlineStr">
        <is>
          <t>ការប្រមូលជំនួស ({{CURRENCY}})</t>
        </is>
      </c>
      <c r="C216" s="165" t="inlineStr">
        <is>
          <t>Collection ({{CURRENCY}})</t>
        </is>
      </c>
      <c r="D216" s="165" t="inlineStr">
        <is>
          <t>代收金额 ({{CURRENCY}})</t>
        </is>
      </c>
      <c r="E216" s="156" t="inlineStr">
        <is>
          <t>ការប្រមូលជំនួស ({{CURRENCY}})</t>
        </is>
      </c>
    </row>
    <row r="217">
      <c r="A217" s="165" t="inlineStr">
        <is>
          <t>manageOrders.totalFare</t>
        </is>
      </c>
      <c r="B217" s="156" t="inlineStr">
        <is>
          <t>សរុបថ្លៃសេវា ({{CURRENCY}})</t>
        </is>
      </c>
      <c r="C217" s="165" t="inlineStr">
        <is>
          <t>Total fee ({{CURRENCY}})</t>
        </is>
      </c>
      <c r="D217" s="165" t="inlineStr">
        <is>
          <t>总费用 ({{CURRENCY}})</t>
        </is>
      </c>
      <c r="E217" s="156" t="inlineStr">
        <is>
          <t>សរុបថ្លៃសេវា ({{CURRENCY}})</t>
        </is>
      </c>
    </row>
    <row r="218">
      <c r="A218" s="165" t="inlineStr">
        <is>
          <t>manageOrders.printornot</t>
        </is>
      </c>
      <c r="B218" s="156" t="inlineStr">
        <is>
          <t>ព្រីន/មិនទាន់ព្រីន</t>
        </is>
      </c>
      <c r="C218" s="165" t="inlineStr">
        <is>
          <t>Printed/Not printed</t>
        </is>
      </c>
      <c r="D218" s="165" t="inlineStr">
        <is>
          <t>已打印/未打印</t>
        </is>
      </c>
      <c r="E218" s="156" t="inlineStr">
        <is>
          <t>ព្រីន/មិនទាន់ព្រីន</t>
        </is>
      </c>
    </row>
    <row r="219">
      <c r="A219" s="165" t="inlineStr">
        <is>
          <t>manageOrders.chatWithCskh</t>
        </is>
      </c>
      <c r="B219" s="156" t="inlineStr">
        <is>
          <t>ជជែកជាមួយបុគ្គលិកផ្នែកថែទាំអតិថិជន</t>
        </is>
      </c>
      <c r="C219" s="165" t="inlineStr">
        <is>
          <t>Chat with customer service</t>
        </is>
      </c>
      <c r="D219" s="165" t="inlineStr">
        <is>
          <t>联系客服</t>
        </is>
      </c>
      <c r="E219" s="156" t="inlineStr">
        <is>
          <t>ជជែកជាមួយបុគ្គលិកផ្នែកថែទាំអតិថិជន</t>
        </is>
      </c>
    </row>
    <row r="220">
      <c r="A220" s="165" t="inlineStr">
        <is>
          <t>manageOrders.cancelOrder</t>
        </is>
      </c>
      <c r="B220" s="156" t="inlineStr">
        <is>
          <t>លុបបុងបញ្ញើ</t>
        </is>
      </c>
      <c r="C220" s="165" t="inlineStr">
        <is>
          <t>Cancel order</t>
        </is>
      </c>
      <c r="D220" s="165" t="inlineStr">
        <is>
          <t>取消订单</t>
        </is>
      </c>
      <c r="E220" s="156" t="inlineStr">
        <is>
          <t>លុបបុងបញ្ញើ</t>
        </is>
      </c>
    </row>
    <row r="221">
      <c r="A221" s="165" t="inlineStr">
        <is>
          <t>manageOrders.changeStatus</t>
        </is>
      </c>
      <c r="B221" s="156" t="inlineStr">
        <is>
          <t>ផ្លាស់ប្តូរស្ថានភាពព្រីន</t>
        </is>
      </c>
      <c r="C221" s="165" t="inlineStr">
        <is>
          <t>Change print status</t>
        </is>
      </c>
      <c r="D221" s="165" t="inlineStr">
        <is>
          <t>更改打印状态</t>
        </is>
      </c>
      <c r="E221" s="156" t="inlineStr">
        <is>
          <t>ផ្លាស់ប្តូរស្ថានភាពព្រីន</t>
        </is>
      </c>
    </row>
    <row r="222">
      <c r="A222" s="165" t="inlineStr">
        <is>
          <t>manageOrders.printOrder</t>
        </is>
      </c>
      <c r="B222" s="156" t="inlineStr">
        <is>
          <t>ព្រីនបុងបញ្ញើ</t>
        </is>
      </c>
      <c r="C222" s="165" t="inlineStr">
        <is>
          <t>Print order</t>
        </is>
      </c>
      <c r="D222" s="165" t="inlineStr">
        <is>
          <t>打印订单</t>
        </is>
      </c>
      <c r="E222" s="156" t="inlineStr">
        <is>
          <t>ព្រីនបុងបញ្ញើ</t>
        </is>
      </c>
    </row>
    <row r="223">
      <c r="A223" s="165" t="inlineStr">
        <is>
          <t>manageOrders.infoPostman</t>
        </is>
      </c>
      <c r="B223" s="156" t="inlineStr">
        <is>
          <t>ព័ត៌មានបុគ្គលិកដឹកជញ្ជូន</t>
        </is>
      </c>
      <c r="C223" s="165" t="inlineStr">
        <is>
          <t>Postman information</t>
        </is>
      </c>
      <c r="D223" s="165" t="inlineStr">
        <is>
          <t>快递员信息</t>
        </is>
      </c>
      <c r="E223" s="156" t="inlineStr">
        <is>
          <t>ព័ត៌មានបុគ្គលិកដឹកជញ្ជូន</t>
        </is>
      </c>
    </row>
    <row r="224">
      <c r="A224" s="165" t="inlineStr">
        <is>
          <t>manageOrders.saveTemplate</t>
        </is>
      </c>
      <c r="B224" s="156" t="inlineStr">
        <is>
          <t>រក្សាទុកគំរូ</t>
        </is>
      </c>
      <c r="C224" s="165" t="inlineStr">
        <is>
          <t>Save template</t>
        </is>
      </c>
      <c r="D224" s="165" t="inlineStr">
        <is>
          <t>保存模板</t>
        </is>
      </c>
      <c r="E224" s="156" t="inlineStr">
        <is>
          <t>រក្សាទុកគំរូ</t>
        </is>
      </c>
    </row>
    <row r="225">
      <c r="A225" s="165" t="inlineStr">
        <is>
          <t>manageOrders.copyBill</t>
        </is>
      </c>
      <c r="B225" s="156" t="inlineStr">
        <is>
          <t>ចម្លងបុងបញ្ញើ</t>
        </is>
      </c>
      <c r="C225" s="165" t="inlineStr">
        <is>
          <t>Copy order</t>
        </is>
      </c>
      <c r="D225" s="165" t="inlineStr">
        <is>
          <t>复制订单</t>
        </is>
      </c>
      <c r="E225" s="156" t="inlineStr">
        <is>
          <t>ចម្លងបុងបញ្ញើ</t>
        </is>
      </c>
    </row>
    <row r="226">
      <c r="A226" s="165" t="inlineStr">
        <is>
          <t>manageOrders.partDelivery</t>
        </is>
      </c>
      <c r="B226" s="156" t="inlineStr">
        <is>
          <t>ប្រគល់១ផ្នែក</t>
        </is>
      </c>
      <c r="C226" s="165" t="inlineStr">
        <is>
          <t>Partial delivery</t>
        </is>
      </c>
      <c r="D226" s="165" t="inlineStr">
        <is>
          <t>部分派送</t>
        </is>
      </c>
      <c r="E226" s="156" t="inlineStr">
        <is>
          <t>ប្រគល់១ផ្នែក</t>
        </is>
      </c>
    </row>
    <row r="227">
      <c r="A227" s="165" t="inlineStr">
        <is>
          <t>manageOrders.storage</t>
        </is>
      </c>
      <c r="B227" s="156" t="inlineStr">
        <is>
          <t>រក្សាទុកក្នុងឃ្លាំង</t>
        </is>
      </c>
      <c r="C227" s="165" t="inlineStr">
        <is>
          <t>In storage</t>
        </is>
      </c>
      <c r="D227" s="165" t="inlineStr">
        <is>
          <t>已入库</t>
        </is>
      </c>
      <c r="E227" s="156" t="inlineStr">
        <is>
          <t>រក្សាទុកក្នុងឃ្លាំង</t>
        </is>
      </c>
    </row>
    <row r="228">
      <c r="A228" s="165" t="inlineStr">
        <is>
          <t>manageOrders.RECEIVING</t>
        </is>
      </c>
      <c r="B228" s="156" t="inlineStr">
        <is>
          <t>កំពុងទៅយកអីវ៉ាន់</t>
        </is>
      </c>
      <c r="C228" s="165" t="inlineStr">
        <is>
          <t>Picking up</t>
        </is>
      </c>
      <c r="D228" s="165" t="inlineStr">
        <is>
          <t>揽收中</t>
        </is>
      </c>
      <c r="E228" s="156" t="inlineStr">
        <is>
          <t>កំពុងទៅយកអីវ៉ាន់</t>
        </is>
      </c>
    </row>
    <row r="229">
      <c r="A229" s="165" t="inlineStr">
        <is>
          <t>manageOrders.RECEIVED</t>
        </is>
      </c>
      <c r="B229" s="156" t="inlineStr">
        <is>
          <t>បានយកអីវ៉ាន់រួចរាល់</t>
        </is>
      </c>
      <c r="C229" s="165" t="inlineStr">
        <is>
          <t>Picked up</t>
        </is>
      </c>
      <c r="D229" s="165" t="inlineStr">
        <is>
          <t>已揽收</t>
        </is>
      </c>
      <c r="E229" s="156" t="inlineStr">
        <is>
          <t>បានយកអីវ៉ាន់រួចរាល់</t>
        </is>
      </c>
    </row>
    <row r="230">
      <c r="A230" s="165" t="inlineStr">
        <is>
          <t>manageOrders.TRANSITING</t>
        </is>
      </c>
      <c r="B230" s="156" t="inlineStr">
        <is>
          <t>កំពុងដឹកជញ្ជូនចែកចាយ</t>
        </is>
      </c>
      <c r="C230" s="165" t="inlineStr">
        <is>
          <t>In transit for delivery</t>
        </is>
      </c>
      <c r="D230" s="165" t="inlineStr">
        <is>
          <t>派送途中</t>
        </is>
      </c>
      <c r="E230" s="156" t="inlineStr">
        <is>
          <t>កំពុងដឹកជញ្ជូនចែកចាយ</t>
        </is>
      </c>
    </row>
    <row r="231">
      <c r="A231" s="165" t="inlineStr">
        <is>
          <t>manageOrders.SHIPPING</t>
        </is>
      </c>
      <c r="B231" s="156" t="inlineStr">
        <is>
          <t>កំពុងដឹកចែកអីវ៉ាន់</t>
        </is>
      </c>
      <c r="C231" s="165" t="inlineStr">
        <is>
          <t>Shipping</t>
        </is>
      </c>
      <c r="D231" s="165" t="inlineStr">
        <is>
          <t>运输中</t>
        </is>
      </c>
      <c r="E231" s="156" t="inlineStr">
        <is>
          <t>កំពុងដឹកចែកអីវ៉ាន់</t>
        </is>
      </c>
    </row>
    <row r="232">
      <c r="A232" s="165" t="inlineStr">
        <is>
          <t>manageOrders.SHIPPED</t>
        </is>
      </c>
      <c r="B232" s="156" t="inlineStr">
        <is>
          <t>ដឹកជញ្ជូនជោគជ័យ</t>
        </is>
      </c>
      <c r="C232" s="165" t="inlineStr">
        <is>
          <t>Delivered successfully</t>
        </is>
      </c>
      <c r="D232" s="165" t="inlineStr">
        <is>
          <t>派送成功</t>
        </is>
      </c>
      <c r="E232" s="156" t="inlineStr">
        <is>
          <t>ដឹកជញ្ជូនជោគជ័យ</t>
        </is>
      </c>
    </row>
    <row r="233">
      <c r="A233" s="165" t="inlineStr">
        <is>
          <t>manageOrders.RETURN_REQUEST</t>
        </is>
      </c>
      <c r="B233" s="156" t="inlineStr">
        <is>
          <t>ជូនដំណឹងអំពីការប្រគល់ត្រឡប់</t>
        </is>
      </c>
      <c r="C233" s="165" t="inlineStr">
        <is>
          <t>Return request</t>
        </is>
      </c>
      <c r="D233" s="165" t="inlineStr">
        <is>
          <t>退货请求</t>
        </is>
      </c>
      <c r="E233" s="156" t="inlineStr">
        <is>
          <t>ជូនដំណឹងអំពីការប្រគល់ត្រឡប់</t>
        </is>
      </c>
    </row>
    <row r="234">
      <c r="A234" s="165" t="inlineStr">
        <is>
          <t>manageOrders.NEW</t>
        </is>
      </c>
      <c r="B234" s="156" t="inlineStr">
        <is>
          <t>បង្កើតថ្មី</t>
        </is>
      </c>
      <c r="C234" s="165" t="inlineStr">
        <is>
          <t>New</t>
        </is>
      </c>
      <c r="D234" s="165" t="inlineStr">
        <is>
          <t>新订单</t>
        </is>
      </c>
      <c r="E234" s="156" t="inlineStr">
        <is>
          <t>បង្កើតថ្មី</t>
        </is>
      </c>
    </row>
    <row r="235">
      <c r="A235" s="165" t="inlineStr">
        <is>
          <t>manageOrders.CONFIRMED</t>
        </is>
      </c>
      <c r="B235" s="156" t="inlineStr">
        <is>
          <t>មិនទាន់ទទួល</t>
        </is>
      </c>
      <c r="C235" s="165" t="inlineStr">
        <is>
          <t>Not received</t>
        </is>
      </c>
      <c r="D235" s="165" t="inlineStr">
        <is>
          <t>未收到货</t>
        </is>
      </c>
      <c r="E235" s="156" t="inlineStr">
        <is>
          <t>មិនទាន់ទទួល</t>
        </is>
      </c>
    </row>
    <row r="236">
      <c r="A236" s="165" t="inlineStr">
        <is>
          <t>manageOrders.WAITING_TO_RECEIVE</t>
        </is>
      </c>
      <c r="B236" s="156" t="inlineStr">
        <is>
          <t>បានទទួល</t>
        </is>
      </c>
      <c r="C236" s="165" t="inlineStr">
        <is>
          <t>Received</t>
        </is>
      </c>
      <c r="D236" s="165" t="inlineStr">
        <is>
          <t>已收货</t>
        </is>
      </c>
      <c r="E236" s="156" t="inlineStr">
        <is>
          <t>បានទទួល</t>
        </is>
      </c>
    </row>
    <row r="237">
      <c r="A237" s="165" t="inlineStr">
        <is>
          <t>manageOrders.CANCELLED</t>
        </is>
      </c>
      <c r="B237" s="156" t="inlineStr">
        <is>
          <t>បោះបង់ការទទួលយកឥវ៉ាន់</t>
        </is>
      </c>
      <c r="C237" s="165" t="inlineStr">
        <is>
          <t>Pickup cancelled</t>
        </is>
      </c>
      <c r="D237" s="165" t="inlineStr">
        <is>
          <t>取件已取消</t>
        </is>
      </c>
      <c r="E237" s="156" t="inlineStr">
        <is>
          <t>បោះបង់ការទទួលយកឥវ៉ាន់</t>
        </is>
      </c>
    </row>
    <row r="238">
      <c r="A238" s="165" t="inlineStr">
        <is>
          <t>manageOrders.RECEIVE_AGAIN</t>
        </is>
      </c>
      <c r="B238" s="156" t="inlineStr">
        <is>
          <t>ណាត់ពេលទៅយកម្តងទៀត</t>
        </is>
      </c>
      <c r="C238" s="165" t="inlineStr">
        <is>
          <t>Re-pickup scheduled</t>
        </is>
      </c>
      <c r="D238" s="165" t="inlineStr">
        <is>
          <t>已安排重新取件</t>
        </is>
      </c>
      <c r="E238" s="156" t="inlineStr">
        <is>
          <t>ណាត់ពេលទៅយកម្តងទៀត</t>
        </is>
      </c>
    </row>
    <row r="239">
      <c r="A239" s="165" t="inlineStr">
        <is>
          <t>manageOrders.RECEIVE_FAILED</t>
        </is>
      </c>
      <c r="B239" s="156" t="inlineStr">
        <is>
          <t>យកអីវ៉ាន់មិនបានសម្រេច</t>
        </is>
      </c>
      <c r="C239" s="165" t="inlineStr">
        <is>
          <t>Pickup failed</t>
        </is>
      </c>
      <c r="D239" s="165" t="inlineStr">
        <is>
          <t>取件失败</t>
        </is>
      </c>
      <c r="E239" s="156" t="inlineStr">
        <is>
          <t>យកអីវ៉ាន់មិនបានសម្រេច</t>
        </is>
      </c>
    </row>
    <row r="240">
      <c r="A240" s="165" t="inlineStr">
        <is>
          <t>manageOrders.SHIP_AGAIN</t>
        </is>
      </c>
      <c r="B240" s="156" t="inlineStr">
        <is>
          <t>ណាត់ពេលដឹកជញ្ជូនម្តងទៀត</t>
        </is>
      </c>
      <c r="C240" s="165" t="inlineStr">
        <is>
          <t>Re-delivery scheduled</t>
        </is>
      </c>
      <c r="D240" s="165" t="inlineStr">
        <is>
          <t>已安排再次派送</t>
        </is>
      </c>
      <c r="E240" s="156" t="inlineStr">
        <is>
          <t>ណាត់ពេលដឹកជញ្ជូនម្តងទៀត</t>
        </is>
      </c>
    </row>
    <row r="241">
      <c r="A241" s="165" t="inlineStr">
        <is>
          <t>manageOrders.SHIP_FAILED</t>
        </is>
      </c>
      <c r="B241" s="156" t="inlineStr">
        <is>
          <t>ដឹកជញ្ជូនមិនបានសម្រេច</t>
        </is>
      </c>
      <c r="C241" s="165" t="inlineStr">
        <is>
          <t>Delivery failed</t>
        </is>
      </c>
      <c r="D241" s="165" t="inlineStr">
        <is>
          <t>派送失败</t>
        </is>
      </c>
      <c r="E241" s="156" t="inlineStr">
        <is>
          <t>ដឹកជញ្ជូនមិនបានសម្រេច</t>
        </is>
      </c>
    </row>
    <row r="242">
      <c r="A242" s="165" t="inlineStr">
        <is>
          <t>manageOrders.PARTIAL_SHIP_REQUEST</t>
        </is>
      </c>
      <c r="B242" s="156" t="inlineStr">
        <is>
          <t>ស្នើសុំដឹកជញ្ជូនមួយផ្នែក</t>
        </is>
      </c>
      <c r="C242" s="165" t="inlineStr">
        <is>
          <t>Partial delivery request</t>
        </is>
      </c>
      <c r="D242" s="165" t="inlineStr">
        <is>
          <t>请求部分派送</t>
        </is>
      </c>
      <c r="E242" s="156" t="inlineStr">
        <is>
          <t>ស្នើសុំដឹកជញ្ជូនមួយផ្នែក</t>
        </is>
      </c>
    </row>
    <row r="243">
      <c r="A243" s="165" t="inlineStr">
        <is>
          <t>manageOrders.PARTIALLY_SHIPPED</t>
        </is>
      </c>
      <c r="B243" s="156" t="inlineStr">
        <is>
          <t>ដឹកជញ្ជូនជោគជ័យមួយផ្នែក</t>
        </is>
      </c>
      <c r="C243" s="165" t="inlineStr">
        <is>
          <t>Partially delivered successfully</t>
        </is>
      </c>
      <c r="D243" s="165" t="inlineStr">
        <is>
          <t>部分派送成功</t>
        </is>
      </c>
      <c r="E243" s="156" t="inlineStr">
        <is>
          <t>ដឹកជញ្ជូនជោគជ័យមួយផ្នែក</t>
        </is>
      </c>
    </row>
    <row r="244">
      <c r="A244" s="165" t="inlineStr">
        <is>
          <t>manageOrders.CHANGE_ADDRESS</t>
        </is>
      </c>
      <c r="B244" s="156" t="inlineStr">
        <is>
          <t>ដឹកជញ្ជូនទៅកាន់អាសយដ្ឋានថ្មី</t>
        </is>
      </c>
      <c r="C244" s="165" t="inlineStr">
        <is>
          <t>Address change</t>
        </is>
      </c>
      <c r="D244" s="165" t="inlineStr">
        <is>
          <t>地址已变更</t>
        </is>
      </c>
      <c r="E244" s="156" t="inlineStr">
        <is>
          <t>ដឹកជញ្ជូនទៅកាន់អាសយដ្ឋានថ្មី</t>
        </is>
      </c>
    </row>
    <row r="245">
      <c r="A245" s="165" t="inlineStr">
        <is>
          <t>manageOrders.SHIPPER_RETURN</t>
        </is>
      </c>
      <c r="B245" s="156" t="inlineStr">
        <is>
          <t>កំពុងដឹកជញ្ជូនត្រឡប់</t>
        </is>
      </c>
      <c r="C245" s="165" t="inlineStr">
        <is>
          <t>Being returned</t>
        </is>
      </c>
      <c r="D245" s="165" t="inlineStr">
        <is>
          <t>正在退回</t>
        </is>
      </c>
      <c r="E245" s="156" t="inlineStr">
        <is>
          <t>កំពុងដឹកជញ្ជូនត្រឡប់</t>
        </is>
      </c>
    </row>
    <row r="246">
      <c r="A246" s="165" t="inlineStr">
        <is>
          <t>manageOrders.RETURNING</t>
        </is>
      </c>
      <c r="B246" s="156" t="inlineStr">
        <is>
          <t>កំពុងប្រគល់ត្រឡប់</t>
        </is>
      </c>
      <c r="C246" s="165" t="inlineStr">
        <is>
          <t>In return transit</t>
        </is>
      </c>
      <c r="D246" s="165" t="inlineStr">
        <is>
          <t>退回运输中</t>
        </is>
      </c>
      <c r="E246" s="156" t="inlineStr">
        <is>
          <t>កំពុងប្រគល់ត្រឡប់</t>
        </is>
      </c>
    </row>
    <row r="247">
      <c r="A247" s="165" t="inlineStr">
        <is>
          <t>manageOrders.RETURN_SUCCESSFUL</t>
        </is>
      </c>
      <c r="B247" s="156" t="inlineStr">
        <is>
          <t>បានប្រគល់ត្រឡប់</t>
        </is>
      </c>
      <c r="C247" s="165" t="inlineStr">
        <is>
          <t>Returned successfully</t>
        </is>
      </c>
      <c r="D247" s="165" t="inlineStr">
        <is>
          <t>退回成功</t>
        </is>
      </c>
      <c r="E247" s="156" t="inlineStr">
        <is>
          <t>បានប្រគល់ត្រឡប់</t>
        </is>
      </c>
    </row>
    <row r="248">
      <c r="A248" s="165" t="inlineStr">
        <is>
          <t>manageOrders.RETURN_AGAIN</t>
        </is>
      </c>
      <c r="B248" s="156" t="inlineStr">
        <is>
          <t>ផ្អាក់ការសងឥវ៉ាន់ត្រលប់មកវិញ</t>
        </is>
      </c>
      <c r="C248" s="165" t="inlineStr">
        <is>
          <t>Return rescheduled</t>
        </is>
      </c>
      <c r="D248" s="165" t="inlineStr">
        <is>
          <t>已重新安排退回</t>
        </is>
      </c>
      <c r="E248" s="156" t="inlineStr">
        <is>
          <t>ផ្អាក់ការសងឥវ៉ាន់ត្រលប់មកវិញ</t>
        </is>
      </c>
    </row>
    <row r="249">
      <c r="A249" s="165" t="inlineStr">
        <is>
          <t>manageOrders.DISPOSAL</t>
        </is>
      </c>
      <c r="B249" s="156" t="inlineStr">
        <is>
          <t>បានកម្ទេចចោល</t>
        </is>
      </c>
      <c r="C249" s="165" t="inlineStr">
        <is>
          <t>Disposed</t>
        </is>
      </c>
      <c r="D249" s="165" t="inlineStr">
        <is>
          <t>已处置</t>
        </is>
      </c>
      <c r="E249" s="156" t="inlineStr">
        <is>
          <t>បានកម្ទេចចោល</t>
        </is>
      </c>
    </row>
    <row r="250">
      <c r="A250" s="165" t="inlineStr">
        <is>
          <t>manageOrders.RETURN_CONFIRMED</t>
        </is>
      </c>
      <c r="B250" s="156" t="inlineStr">
        <is>
          <t>បានអនុម័តការប្រគល់ត្រឡប់</t>
        </is>
      </c>
      <c r="C250" s="165" t="inlineStr">
        <is>
          <t>Return approved</t>
        </is>
      </c>
      <c r="D250" s="165" t="inlineStr">
        <is>
          <t>退货已批准</t>
        </is>
      </c>
      <c r="E250" s="156" t="inlineStr">
        <is>
          <t>បានអនុម័តការប្រគល់ត្រឡប់</t>
        </is>
      </c>
    </row>
    <row r="251">
      <c r="A251" s="165" t="inlineStr">
        <is>
          <t>manageOrders.printed</t>
        </is>
      </c>
      <c r="B251" s="156" t="inlineStr">
        <is>
          <t>បានព្រីន</t>
        </is>
      </c>
      <c r="C251" s="165" t="inlineStr">
        <is>
          <t>Printed</t>
        </is>
      </c>
      <c r="D251" s="165" t="inlineStr">
        <is>
          <t>已打印</t>
        </is>
      </c>
      <c r="E251" s="156" t="inlineStr">
        <is>
          <t>បានព្រីន</t>
        </is>
      </c>
    </row>
    <row r="252">
      <c r="A252" s="165" t="inlineStr">
        <is>
          <t>manageOrders.notPrinted</t>
        </is>
      </c>
      <c r="B252" s="156" t="inlineStr">
        <is>
          <t>មិនទាន់ព្រីន</t>
        </is>
      </c>
      <c r="C252" s="165" t="inlineStr">
        <is>
          <t>Not printed</t>
        </is>
      </c>
      <c r="D252" s="165" t="inlineStr">
        <is>
          <t>未打印</t>
        </is>
      </c>
      <c r="E252" s="156" t="inlineStr">
        <is>
          <t>មិនទាន់ព្រីន</t>
        </is>
      </c>
    </row>
    <row r="253">
      <c r="A253" s="165" t="inlineStr">
        <is>
          <t>manageOrders.selectOnePage</t>
        </is>
      </c>
      <c r="B253" s="156" t="inlineStr">
        <is>
          <t>ជ្រើសរើសទំព័រ១</t>
        </is>
      </c>
      <c r="C253" s="165" t="inlineStr">
        <is>
          <t>Select one page</t>
        </is>
      </c>
      <c r="D253" s="165" t="inlineStr">
        <is>
          <t>选择单页</t>
        </is>
      </c>
      <c r="E253" s="156" t="inlineStr">
        <is>
          <t>ជ្រើសរើសទំព័រ១</t>
        </is>
      </c>
    </row>
    <row r="254">
      <c r="A254" s="165" t="inlineStr">
        <is>
          <t>manageOrders.importExcel</t>
        </is>
      </c>
      <c r="B254" s="156" t="inlineStr">
        <is>
          <t>បញ្ចូលក្នុង excel</t>
        </is>
      </c>
      <c r="C254" s="165" t="inlineStr">
        <is>
          <t>Import Excel</t>
        </is>
      </c>
      <c r="D254" s="165" t="inlineStr">
        <is>
          <t>导入Excel</t>
        </is>
      </c>
      <c r="E254" s="156" t="inlineStr">
        <is>
          <t>បញ្ចូលក្នុង excel</t>
        </is>
      </c>
    </row>
    <row r="255">
      <c r="A255" s="165" t="inlineStr">
        <is>
          <t>manageOrders.exportExcel</t>
        </is>
      </c>
      <c r="B255" s="156" t="inlineStr">
        <is>
          <t>ចេញ excel</t>
        </is>
      </c>
      <c r="C255" s="165" t="inlineStr">
        <is>
          <t>Export Excel</t>
        </is>
      </c>
      <c r="D255" s="165" t="inlineStr">
        <is>
          <t>导出Excel</t>
        </is>
      </c>
      <c r="E255" s="156" t="inlineStr">
        <is>
          <t>ចេញ excel</t>
        </is>
      </c>
    </row>
    <row r="256">
      <c r="A256" s="165" t="inlineStr">
        <is>
          <t>manageOrders.printBill</t>
        </is>
      </c>
      <c r="B256" s="156" t="inlineStr">
        <is>
          <t>ព្រីនបុងបញ្ញើ</t>
        </is>
      </c>
      <c r="C256" s="165" t="inlineStr">
        <is>
          <t>Print order</t>
        </is>
      </c>
      <c r="D256" s="165" t="inlineStr">
        <is>
          <t>打印订单</t>
        </is>
      </c>
      <c r="E256" s="156" t="inlineStr">
        <is>
          <t>ព្រីនបុងបញ្ញើ</t>
        </is>
      </c>
    </row>
    <row r="257">
      <c r="A257" s="165" t="inlineStr">
        <is>
          <t>manageOrders.printNote</t>
        </is>
      </c>
      <c r="B257" s="156" t="inlineStr">
        <is>
          <t>អ្នកបានជ្រើសរើស {{totalSelect}} ប៉ុងបញ្ញើក្នុងចំនួនសរុប {{total}} បុងបញ្ញើ</t>
        </is>
      </c>
      <c r="C257" s="165" t="inlineStr">
        <is>
          <t>You have selected {{totalSelect}} out of {{total}} orders</t>
        </is>
      </c>
      <c r="D257" s="165" t="inlineStr">
        <is>
          <t>已选 {{totalSelect}} / {{total}} 笔订单</t>
        </is>
      </c>
      <c r="E257" s="156" t="inlineStr">
        <is>
          <t>អ្នកបានជ្រើសរើស {{totalSelect}} ប៉ុងបញ្ញើក្នុងចំនួនសរុប {{total}} បុងបញ្ញើ</t>
        </is>
      </c>
    </row>
    <row r="258">
      <c r="A258" s="165" t="inlineStr">
        <is>
          <t>manageOrders.printNote1</t>
        </is>
      </c>
      <c r="B258" s="156" t="inlineStr">
        <is>
          <t>របៀបរៀបចំ</t>
        </is>
      </c>
      <c r="C258" s="165" t="inlineStr">
        <is>
          <t>Sorting method</t>
        </is>
      </c>
      <c r="D258" s="165" t="inlineStr">
        <is>
          <t>排序方式</t>
        </is>
      </c>
      <c r="E258" s="156" t="inlineStr">
        <is>
          <t>របៀបរៀបចំ</t>
        </is>
      </c>
    </row>
    <row r="259">
      <c r="A259" s="165" t="inlineStr">
        <is>
          <t>manageOrders.confirmChangeStatusPrint</t>
        </is>
      </c>
      <c r="B259" s="156" t="inlineStr">
        <is>
          <t>បញ្ជាក់ការផ្លាស់ប្តូរស្ថានភាពព្រីន</t>
        </is>
      </c>
      <c r="C259" s="165" t="inlineStr">
        <is>
          <t>Confirm change of print status</t>
        </is>
      </c>
      <c r="D259" s="165" t="inlineStr">
        <is>
          <t>确认更改打印状态</t>
        </is>
      </c>
      <c r="E259" s="156" t="inlineStr">
        <is>
          <t>បញ្ជាក់ការផ្លាស់ប្តូរស្ថានភាពព្រីន</t>
        </is>
      </c>
    </row>
    <row r="260">
      <c r="A260" s="165" t="inlineStr">
        <is>
          <t>manageOrders.radio1</t>
        </is>
      </c>
      <c r="B260" s="156" t="inlineStr">
        <is>
          <t>១ច្បាប់</t>
        </is>
      </c>
      <c r="C260" s="165" t="inlineStr">
        <is>
          <t>1 copy</t>
        </is>
      </c>
      <c r="D260" s="165" t="inlineStr">
        <is>
          <t>1 份</t>
        </is>
      </c>
      <c r="E260" s="156" t="inlineStr">
        <is>
          <t>១ច្បាប់</t>
        </is>
      </c>
    </row>
    <row r="261">
      <c r="A261" s="165" t="inlineStr">
        <is>
          <t>manageOrders.radio2</t>
        </is>
      </c>
      <c r="B261" s="156" t="inlineStr">
        <is>
          <t>២ច្បាប់</t>
        </is>
      </c>
      <c r="C261" s="165" t="inlineStr">
        <is>
          <t>2 copies</t>
        </is>
      </c>
      <c r="D261" s="165" t="inlineStr">
        <is>
          <t>2 份</t>
        </is>
      </c>
      <c r="E261" s="156" t="inlineStr">
        <is>
          <t>២ច្បាប់</t>
        </is>
      </c>
    </row>
    <row r="262">
      <c r="A262" s="165" t="inlineStr">
        <is>
          <t>manageOrders.labelRadio</t>
        </is>
      </c>
      <c r="B262" s="156" t="inlineStr">
        <is>
          <t>ចំនួនច្បាប់ដែលត្រូវព្រីនលើប៉ុងបញ្ញើតែមួយ</t>
        </is>
      </c>
      <c r="C262" s="165" t="inlineStr">
        <is>
          <t>Number of copies to print per order</t>
        </is>
      </c>
      <c r="D262" s="165" t="inlineStr">
        <is>
          <t>每单打印份数</t>
        </is>
      </c>
      <c r="E262" s="156" t="inlineStr">
        <is>
          <t>ចំនួនច្បាប់ដែលត្រូវព្រីនលើប៉ុងបញ្ញើតែមួយ</t>
        </is>
      </c>
    </row>
    <row r="263">
      <c r="A263" s="165" t="inlineStr">
        <is>
          <t>manageOrders.selectSizePrint</t>
        </is>
      </c>
      <c r="B263" s="156" t="inlineStr">
        <is>
          <t>ជ្រើសរើសទំហំព្រីន</t>
        </is>
      </c>
      <c r="C263" s="165" t="inlineStr">
        <is>
          <t>Select print size</t>
        </is>
      </c>
      <c r="D263" s="165" t="inlineStr">
        <is>
          <t>选择打印尺寸</t>
        </is>
      </c>
      <c r="E263" s="156" t="inlineStr">
        <is>
          <t>ជ្រើសរើសទំហំព្រីន</t>
        </is>
      </c>
    </row>
    <row r="264">
      <c r="A264" s="165" t="inlineStr">
        <is>
          <t>manageOrders.printA5</t>
        </is>
      </c>
      <c r="B264" s="156" t="inlineStr">
        <is>
          <t>ព្រីនព A5</t>
        </is>
      </c>
      <c r="C264" s="165" t="inlineStr">
        <is>
          <t>Print A5</t>
        </is>
      </c>
      <c r="D264" s="165" t="inlineStr">
        <is>
          <t>打印 A5</t>
        </is>
      </c>
      <c r="E264" s="156" t="inlineStr">
        <is>
          <t>ព្រីនព A5</t>
        </is>
      </c>
    </row>
    <row r="265">
      <c r="A265" s="165" t="inlineStr">
        <is>
          <t>manageOrders.printA6</t>
        </is>
      </c>
      <c r="B265" s="156" t="inlineStr">
        <is>
          <t>ព្រីន A6</t>
        </is>
      </c>
      <c r="C265" s="165" t="inlineStr">
        <is>
          <t>Print A6</t>
        </is>
      </c>
      <c r="D265" s="165" t="inlineStr">
        <is>
          <t>打印 A6</t>
        </is>
      </c>
      <c r="E265" s="156" t="inlineStr">
        <is>
          <t>ព្រីន A6</t>
        </is>
      </c>
    </row>
    <row r="266">
      <c r="A266" s="165" t="inlineStr">
        <is>
          <t>manageOrders.printA7</t>
        </is>
      </c>
      <c r="B266" s="156" t="inlineStr">
        <is>
          <t>ព្រីន A7</t>
        </is>
      </c>
      <c r="C266" s="165" t="inlineStr">
        <is>
          <t>Print A7</t>
        </is>
      </c>
      <c r="D266" s="165" t="inlineStr">
        <is>
          <t>打印 A7</t>
        </is>
      </c>
      <c r="E266" s="156" t="inlineStr">
        <is>
          <t>ព្រីន A7</t>
        </is>
      </c>
    </row>
    <row r="267">
      <c r="A267" s="165" t="inlineStr">
        <is>
          <t>manageOrders.recipientMoney</t>
        </is>
      </c>
      <c r="B267" s="156" t="inlineStr">
        <is>
          <t>យកប្រាក់ពីអ្នកទទួល</t>
        </is>
      </c>
      <c r="C267" s="165" t="inlineStr">
        <is>
          <t>Amount collected from recipient</t>
        </is>
      </c>
      <c r="D267" s="165" t="inlineStr">
        <is>
          <t>向收件人收取的金额</t>
        </is>
      </c>
      <c r="E267" s="156" t="inlineStr">
        <is>
          <t>យកប្រាក់ពីអ្នកទទួល</t>
        </is>
      </c>
    </row>
    <row r="268">
      <c r="A268" s="165" t="inlineStr">
        <is>
          <t>manageOrders.ascendingOrder</t>
        </is>
      </c>
      <c r="B268" s="156" t="inlineStr">
        <is>
          <t>លំដាប់ឡើង</t>
        </is>
      </c>
      <c r="C268" s="165" t="inlineStr">
        <is>
          <t>Ascending order</t>
        </is>
      </c>
      <c r="D268" s="165" t="inlineStr">
        <is>
          <t>升序</t>
        </is>
      </c>
      <c r="E268" s="156" t="inlineStr">
        <is>
          <t>លំដាប់ឡើង</t>
        </is>
      </c>
    </row>
    <row r="269">
      <c r="A269" s="165" t="inlineStr">
        <is>
          <t>manageOrders.descendingOrder</t>
        </is>
      </c>
      <c r="B269" s="156" t="inlineStr">
        <is>
          <t>លំដាប់ចុះ</t>
        </is>
      </c>
      <c r="C269" s="165" t="inlineStr">
        <is>
          <t>Descending order</t>
        </is>
      </c>
      <c r="D269" s="165" t="inlineStr">
        <is>
          <t>降序</t>
        </is>
      </c>
      <c r="E269" s="156" t="inlineStr">
        <is>
          <t>លំដាប់ចុះ</t>
        </is>
      </c>
    </row>
    <row r="270">
      <c r="A270" s="165" t="inlineStr">
        <is>
          <t>manageOrders.updateListTime</t>
        </is>
      </c>
      <c r="B270" s="156" t="inlineStr">
        <is>
          <t>ធ្វើបច្ចុប្បន្នភាពបញ្ជីលើកចុងក្រោយនៅពេលវេលា{{time}}</t>
        </is>
      </c>
      <c r="C270" s="165" t="inlineStr">
        <is>
          <t>Last list update at {{time}}</t>
        </is>
      </c>
      <c r="D270" s="165" t="inlineStr">
        <is>
          <t>列表最后更新于 {{time}}</t>
        </is>
      </c>
      <c r="E270" s="156" t="inlineStr">
        <is>
          <t>ធ្វើបច្ចុប្បន្នភាពបញ្ជីលើកចុងក្រោយនៅពេលវេលា{{time}}</t>
        </is>
      </c>
    </row>
    <row r="271">
      <c r="A271" s="165" t="inlineStr">
        <is>
          <t>manageOrders.orderSent</t>
        </is>
      </c>
      <c r="B271" s="156" t="inlineStr">
        <is>
          <t>ប៉ុងបញ្ញើផ្ញើឥវ៉ាន់ទៅ</t>
        </is>
      </c>
      <c r="C271" s="165" t="inlineStr">
        <is>
          <t>Sent orders</t>
        </is>
      </c>
      <c r="D271" s="165" t="inlineStr">
        <is>
          <t>已发出订单</t>
        </is>
      </c>
      <c r="E271" s="156" t="inlineStr">
        <is>
          <t>ប៉ុងបញ្ញើផ្ញើឥវ៉ាន់ទៅ</t>
        </is>
      </c>
    </row>
    <row r="272">
      <c r="A272" s="165" t="inlineStr">
        <is>
          <t>manageOrders.orderReceived</t>
        </is>
      </c>
      <c r="B272" s="156" t="inlineStr">
        <is>
          <t>ប៉ុងបញ្ញើទទួលឥវ៉ាន់</t>
        </is>
      </c>
      <c r="C272" s="165" t="inlineStr">
        <is>
          <t>Received orders</t>
        </is>
      </c>
      <c r="D272" s="165" t="inlineStr">
        <is>
          <t>已接收订单</t>
        </is>
      </c>
      <c r="E272" s="156" t="inlineStr">
        <is>
          <t>ប៉ុងបញ្ញើទទួលឥវ៉ាន់</t>
        </is>
      </c>
    </row>
    <row r="273">
      <c r="A273" s="165" t="inlineStr">
        <is>
          <t>manageOrders.warehouse</t>
        </is>
      </c>
      <c r="B273" s="156" t="inlineStr">
        <is>
          <t>ឃ្លាំងឥវ៉ាន់</t>
        </is>
      </c>
      <c r="C273" s="165" t="inlineStr">
        <is>
          <t>Warehouse</t>
        </is>
      </c>
      <c r="D273" s="165" t="inlineStr">
        <is>
          <t>仓库</t>
        </is>
      </c>
      <c r="E273" s="156" t="inlineStr">
        <is>
          <t>ឃ្លាំងឥវ៉ាន់</t>
        </is>
      </c>
    </row>
    <row r="274">
      <c r="A274" s="165" t="inlineStr">
        <is>
          <t>manageOrders.allWarehouse</t>
        </is>
      </c>
      <c r="B274" s="156" t="inlineStr">
        <is>
          <t>ឃ្លាំងឥវ៉ាន់ទាំងអស់</t>
        </is>
      </c>
      <c r="C274" s="165" t="inlineStr">
        <is>
          <t>All warehouses</t>
        </is>
      </c>
      <c r="D274" s="165" t="inlineStr">
        <is>
          <t>所有仓库</t>
        </is>
      </c>
      <c r="E274" s="156" t="inlineStr">
        <is>
          <t>ឃ្លាំងឥវ៉ាន់ទាំងអស់</t>
        </is>
      </c>
    </row>
    <row r="275">
      <c r="A275" s="165" t="inlineStr">
        <is>
          <t>manageOrders.payer</t>
        </is>
      </c>
      <c r="B275" s="156" t="inlineStr">
        <is>
          <t>អ្នកបង់ថ្លៃសេវា</t>
        </is>
      </c>
      <c r="C275" s="165" t="inlineStr">
        <is>
          <t>Payer</t>
        </is>
      </c>
      <c r="D275" s="165" t="inlineStr">
        <is>
          <t>付款方</t>
        </is>
      </c>
      <c r="E275" s="156" t="inlineStr">
        <is>
          <t>អ្នកបង់ថ្លៃសេវា</t>
        </is>
      </c>
    </row>
    <row r="276">
      <c r="A276" s="165" t="inlineStr">
        <is>
          <t>manageOrders.selectByService</t>
        </is>
      </c>
      <c r="B276" s="156" t="inlineStr">
        <is>
          <t>ជ្រើសរើសតាមសេវាកម្ម</t>
        </is>
      </c>
      <c r="C276" s="165" t="inlineStr">
        <is>
          <t>Select by service</t>
        </is>
      </c>
      <c r="D276" s="165" t="inlineStr">
        <is>
          <t>按服务筛选</t>
        </is>
      </c>
      <c r="E276" s="156" t="inlineStr">
        <is>
          <t>ជ្រើសរើសតាមសេវាកម្ម</t>
        </is>
      </c>
    </row>
    <row r="277">
      <c r="A277" s="165" t="inlineStr">
        <is>
          <t>manageOrders.select</t>
        </is>
      </c>
      <c r="B277" s="156" t="inlineStr">
        <is>
          <t>ជ្រើសរើស</t>
        </is>
      </c>
      <c r="C277" s="165" t="inlineStr">
        <is>
          <t>Select</t>
        </is>
      </c>
      <c r="D277" s="165" t="inlineStr">
        <is>
          <t>选择</t>
        </is>
      </c>
      <c r="E277" s="156" t="inlineStr">
        <is>
          <t>ជ្រើសរើស</t>
        </is>
      </c>
    </row>
    <row r="278">
      <c r="A278" s="165" t="inlineStr">
        <is>
          <t>manageOrders.listOrders</t>
        </is>
      </c>
      <c r="B278" s="156" t="inlineStr">
        <is>
          <t>បញ្ជីប៉ុងបញ្ញើ</t>
        </is>
      </c>
      <c r="C278" s="165" t="inlineStr">
        <is>
          <t>Order list</t>
        </is>
      </c>
      <c r="D278" s="165" t="inlineStr">
        <is>
          <t>订单列表</t>
        </is>
      </c>
      <c r="E278" s="156" t="inlineStr">
        <is>
          <t>បញ្ជីប៉ុងបញ្ញើ</t>
        </is>
      </c>
    </row>
    <row r="279">
      <c r="A279" s="165" t="inlineStr">
        <is>
          <t>manageOrders.operation</t>
        </is>
      </c>
      <c r="B279" s="156" t="inlineStr">
        <is>
          <t>ប្រតិបត្តិការ</t>
        </is>
      </c>
      <c r="C279" s="165" t="inlineStr">
        <is>
          <t>Actions</t>
        </is>
      </c>
      <c r="D279" s="165" t="inlineStr">
        <is>
          <t>操作</t>
        </is>
      </c>
      <c r="E279" s="156" t="inlineStr">
        <is>
          <t>ប្រតិបត្តិការ</t>
        </is>
      </c>
    </row>
    <row r="280">
      <c r="A280" s="165" t="inlineStr">
        <is>
          <t>manageOrders.confirmCancelOrder</t>
        </is>
      </c>
      <c r="B280" s="156" t="inlineStr">
        <is>
          <t>បញ្ជាក់ការលុបប៉ុងបញ្ញើចោល</t>
        </is>
      </c>
      <c r="C280" s="165" t="inlineStr">
        <is>
          <t>Confirm order cancellation</t>
        </is>
      </c>
      <c r="D280" s="165" t="inlineStr">
        <is>
          <t>确认取消订单</t>
        </is>
      </c>
      <c r="E280" s="156" t="inlineStr">
        <is>
          <t>បញ្ជាក់ការលុបប៉ុងបញ្ញើចោល</t>
        </is>
      </c>
    </row>
    <row r="281">
      <c r="A281" s="165" t="inlineStr">
        <is>
          <t>manageOrders.pleaseSelectReason</t>
        </is>
      </c>
      <c r="B281" s="156" t="inlineStr">
        <is>
          <t>សូមជ្រើសមូលហេតុលុបប៉ុងបញ្ញើ</t>
        </is>
      </c>
      <c r="C281" s="165" t="inlineStr">
        <is>
          <t>Please select a reason for cancellation</t>
        </is>
      </c>
      <c r="D281" s="165" t="inlineStr">
        <is>
          <t>请选择取消原因</t>
        </is>
      </c>
      <c r="E281" s="156" t="inlineStr">
        <is>
          <t>សូមជ្រើសមូលហេតុលុបប៉ុងបញ្ញើ</t>
        </is>
      </c>
    </row>
    <row r="282">
      <c r="A282" s="165" t="inlineStr">
        <is>
          <t>manageOrders.pleaseSelectReasonMuti</t>
        </is>
      </c>
      <c r="B282" s="156" t="inlineStr">
        <is>
          <t>សូមជ្រើសរើសហេតុផលនៃការចង់លុបប៉ុងចោលដែលបានជ្រើសរើស</t>
        </is>
      </c>
      <c r="C282" s="165" t="inlineStr">
        <is>
          <t>Please select reason for canceling selected orders</t>
        </is>
      </c>
      <c r="D282" s="165" t="inlineStr">
        <is>
          <t>请选择取消这些订单的原因</t>
        </is>
      </c>
      <c r="E282" s="156" t="inlineStr">
        <is>
          <t>សូមជ្រើសរើសហេតុផលនៃការចង់លុបប៉ុងចោលដែលបានជ្រើសរើស</t>
        </is>
      </c>
    </row>
    <row r="283">
      <c r="A283" s="165" t="inlineStr">
        <is>
          <t>manageOrders.pleaseEnterReasonOther</t>
        </is>
      </c>
      <c r="B283" s="156" t="inlineStr">
        <is>
          <t>សូមបញ្ចូលហេតុផលផ្សេងទៀត</t>
        </is>
      </c>
      <c r="C283" s="165" t="inlineStr">
        <is>
          <t>Please enter another reason</t>
        </is>
      </c>
      <c r="D283" s="165" t="inlineStr">
        <is>
          <t>请输入其他原因</t>
        </is>
      </c>
      <c r="E283" s="156" t="inlineStr">
        <is>
          <t>សូមបញ្ចូលហេតុផលផ្សេងទៀត</t>
        </is>
      </c>
    </row>
    <row r="284">
      <c r="A284" s="165" t="inlineStr">
        <is>
          <t>manageOrders.duplicateOrder</t>
        </is>
      </c>
      <c r="B284" s="156" t="inlineStr">
        <is>
          <t>ការបញ្ជាទិញស្ទួន</t>
        </is>
      </c>
      <c r="C284" s="165" t="inlineStr">
        <is>
          <t>Duplicate order</t>
        </is>
      </c>
      <c r="D284" s="165" t="inlineStr">
        <is>
          <t>重复订单</t>
        </is>
      </c>
      <c r="E284" s="156" t="inlineStr">
        <is>
          <t>ការបញ្ជាទិញស្ទួន</t>
        </is>
      </c>
    </row>
    <row r="285">
      <c r="A285" s="165" t="inlineStr">
        <is>
          <t>manageOrders.reasonOther</t>
        </is>
      </c>
      <c r="B285" s="156" t="inlineStr">
        <is>
          <t>ហេតុផលផ្សេងទៀត</t>
        </is>
      </c>
      <c r="C285" s="165" t="inlineStr">
        <is>
          <t>Other reason</t>
        </is>
      </c>
      <c r="D285" s="165" t="inlineStr">
        <is>
          <t>其他原因</t>
        </is>
      </c>
      <c r="E285" s="156" t="inlineStr">
        <is>
          <t>ហេតុផលផ្សេងទៀត</t>
        </is>
      </c>
    </row>
    <row r="286">
      <c r="A286" s="165" t="inlineStr">
        <is>
          <t>manageOrders.pickupTimeTooLong</t>
        </is>
      </c>
      <c r="B286" s="156" t="inlineStr">
        <is>
          <t>យកឥវ៉ាន់យូរពេក</t>
        </is>
      </c>
      <c r="C286" s="165" t="inlineStr">
        <is>
          <t>Pickup took too long</t>
        </is>
      </c>
      <c r="D286" s="165" t="inlineStr">
        <is>
          <t>取件耗时过长</t>
        </is>
      </c>
      <c r="E286" s="156" t="inlineStr">
        <is>
          <t>យកឥវ៉ាន់យូរពេក</t>
        </is>
      </c>
    </row>
    <row r="287">
      <c r="A287" s="165" t="inlineStr">
        <is>
          <t>manageOrders.wrongInfo</t>
        </is>
      </c>
      <c r="B287" s="156" t="inlineStr">
        <is>
          <t>សរសេរខុសព័ត៌មានឥវ៉ាន់</t>
        </is>
      </c>
      <c r="C287" s="165" t="inlineStr">
        <is>
          <t>Incorrect product information</t>
        </is>
      </c>
      <c r="D287" s="165" t="inlineStr">
        <is>
          <t>商品信息有误</t>
        </is>
      </c>
      <c r="E287" s="156" t="inlineStr">
        <is>
          <t>សរសេរខុសព័ត៌មានឥវ៉ាន់</t>
        </is>
      </c>
    </row>
    <row r="288">
      <c r="A288" s="165" t="inlineStr">
        <is>
          <t>manageOrders.cancelOrderSuccess</t>
        </is>
      </c>
      <c r="B288" s="156" t="inlineStr">
        <is>
          <t>លុបចោលប៉ុងបញ្ញើបានជោគជ័យ</t>
        </is>
      </c>
      <c r="C288" s="165" t="inlineStr">
        <is>
          <t>Order cancelled successfully</t>
        </is>
      </c>
      <c r="D288" s="165" t="inlineStr">
        <is>
          <t>订单取消成功</t>
        </is>
      </c>
      <c r="E288" s="156" t="inlineStr">
        <is>
          <t>លុបចោលប៉ុងបញ្ញើបានជោគជ័យ</t>
        </is>
      </c>
    </row>
    <row r="289">
      <c r="A289" s="165" t="inlineStr">
        <is>
          <t>manageOrders.noImage</t>
        </is>
      </c>
      <c r="B289" s="156" t="inlineStr">
        <is>
          <t>គ្មានរូបភាព</t>
        </is>
      </c>
      <c r="C289" s="165" t="inlineStr">
        <is>
          <t>No image</t>
        </is>
      </c>
      <c r="D289" s="165" t="inlineStr">
        <is>
          <t>暂无图片</t>
        </is>
      </c>
      <c r="E289" s="156" t="inlineStr">
        <is>
          <t>គ្មានរូបភាព</t>
        </is>
      </c>
    </row>
    <row r="290">
      <c r="A290" s="165" t="inlineStr">
        <is>
          <t>manageOrders.toolTipSearch</t>
        </is>
      </c>
      <c r="B290" s="156" t="inlineStr">
        <is>
          <t>ស្វែងរកព័ត៌មានប៉ុងបញ្ញើដោយបញ្ចូល លេខកូដប៉ុងបញ្ញើ លេខទូរស័ព្ទរបស់អ្នកទទួល ឬស្វែងរកប៉ុងបញ្ញើច្រើន រួមទាំងលេខកូដប៉ុងបញ្ញើដែលដកឃ្លាដោយសញ្ញាក្បៀស (អតិបរមា 10 ប៉ុងបញ្ញើ/លេខទូរស័ព្ទ)</t>
        </is>
      </c>
      <c r="C290" s="165" t="inlineStr">
        <is>
          <t>Search for max 10 orders with order IDs, receiver's phone numbers, separated by commas</t>
        </is>
      </c>
      <c r="D290" s="165" t="inlineStr">
        <is>
          <t>最多可搜索10个订单，请输入订单号或收件人手机号，用逗号分隔</t>
        </is>
      </c>
      <c r="E290" s="156" t="inlineStr">
        <is>
          <t>ស្វែងរកព័ត៌មានប៉ុងបញ្ញើដោយបញ្ចូល លេខកូដប៉ុងបញ្ញើ លេខទូរស័ព្ទរបស់អ្នកទទួល ឬស្វែងរកប៉ុងបញ្ញើច្រើន រួមទាំងលេខកូដប៉ុងបញ្ញើដែលដកឃ្លាដោយសញ្ញាក្បៀស (អតិបរមា 10 ប៉ុងបញ្ញើ/លេខទូរស័ព្ទ)</t>
        </is>
      </c>
    </row>
    <row r="291">
      <c r="A291" s="165" t="inlineStr">
        <is>
          <t>manageOrders.page</t>
        </is>
      </c>
      <c r="B291" s="156" t="inlineStr">
        <is>
          <t>ទំព័រ</t>
        </is>
      </c>
      <c r="C291" s="165" t="inlineStr">
        <is>
          <t>Page</t>
        </is>
      </c>
      <c r="D291" s="165" t="inlineStr">
        <is>
          <t>页码</t>
        </is>
      </c>
      <c r="E291" s="156" t="inlineStr">
        <is>
          <t>ទំព័រ</t>
        </is>
      </c>
    </row>
    <row r="292">
      <c r="A292" s="165" t="inlineStr">
        <is>
          <t>manageOrders.unSelect</t>
        </is>
      </c>
      <c r="B292" s="156" t="inlineStr">
        <is>
          <t>លុបការជ្រើសរើស</t>
        </is>
      </c>
      <c r="C292" s="165" t="inlineStr">
        <is>
          <t>Deselect</t>
        </is>
      </c>
      <c r="D292" s="165" t="inlineStr">
        <is>
          <t>取消选择</t>
        </is>
      </c>
      <c r="E292" s="156" t="inlineStr">
        <is>
          <t>លុបការជ្រើសរើស</t>
        </is>
      </c>
    </row>
    <row r="293">
      <c r="A293" s="165" t="inlineStr">
        <is>
          <t>manageOrders.totalOrder</t>
        </is>
      </c>
      <c r="B293" s="156" t="inlineStr">
        <is>
          <t>សរុបប៉ុងបញ្ញើ៖</t>
        </is>
      </c>
      <c r="C293" s="165" t="inlineStr">
        <is>
          <t>Total orders:</t>
        </is>
      </c>
      <c r="D293" s="165" t="inlineStr">
        <is>
          <t>订单总数：</t>
        </is>
      </c>
      <c r="E293" s="156" t="inlineStr">
        <is>
          <t>សរុបប៉ុងបញ្ញើ៖</t>
        </is>
      </c>
    </row>
    <row r="294">
      <c r="A294" s="165" t="inlineStr">
        <is>
          <t>manageOrders.approveOrder</t>
        </is>
      </c>
      <c r="B294" s="156" t="inlineStr">
        <is>
          <t>អនុម័តប៉ុងបញ្ញើ</t>
        </is>
      </c>
      <c r="C294" s="165" t="inlineStr">
        <is>
          <t>Approve order</t>
        </is>
      </c>
      <c r="D294" s="165" t="inlineStr">
        <is>
          <t>审核通过订单</t>
        </is>
      </c>
      <c r="E294" s="156" t="inlineStr">
        <is>
          <t>អនុម័តប៉ុងបញ្ញើ</t>
        </is>
      </c>
    </row>
    <row r="295">
      <c r="A295" s="165" t="inlineStr">
        <is>
          <t>manageOrders.editOrder</t>
        </is>
      </c>
      <c r="B295" s="156" t="inlineStr">
        <is>
          <t>កែសម្រួលប៉ុងបញ្ញើ</t>
        </is>
      </c>
      <c r="C295" s="165" t="inlineStr">
        <is>
          <t>Edit order</t>
        </is>
      </c>
      <c r="D295" s="165" t="inlineStr">
        <is>
          <t>编辑订单</t>
        </is>
      </c>
      <c r="E295" s="156" t="inlineStr">
        <is>
          <t>កែសម្រួលប៉ុងបញ្ញើ</t>
        </is>
      </c>
    </row>
    <row r="296">
      <c r="A296" s="165" t="inlineStr">
        <is>
          <t>manageOrders.accept</t>
        </is>
      </c>
      <c r="B296" s="156" t="inlineStr">
        <is>
          <t>យល់ព្រម</t>
        </is>
      </c>
      <c r="C296" s="165" t="inlineStr">
        <is>
          <t>Accept</t>
        </is>
      </c>
      <c r="D296" s="165" t="inlineStr">
        <is>
          <t>接受</t>
        </is>
      </c>
      <c r="E296" s="156" t="inlineStr">
        <is>
          <t>យល់ព្រម</t>
        </is>
      </c>
    </row>
    <row r="297">
      <c r="A297" s="165" t="inlineStr">
        <is>
          <t>manageOrders.reject</t>
        </is>
      </c>
      <c r="B297" s="156" t="inlineStr">
        <is>
          <t>បដិសេធ</t>
        </is>
      </c>
      <c r="C297" s="165" t="inlineStr">
        <is>
          <t>Reject</t>
        </is>
      </c>
      <c r="D297" s="165" t="inlineStr">
        <is>
          <t>拒绝</t>
        </is>
      </c>
      <c r="E297" s="156" t="inlineStr">
        <is>
          <t>បដិសេធ</t>
        </is>
      </c>
    </row>
    <row r="298">
      <c r="A298" s="165" t="inlineStr">
        <is>
          <t>manageOrders.returnOrder</t>
        </is>
      </c>
      <c r="B298" s="156" t="inlineStr">
        <is>
          <t>សងត្រលប់ប៉ុងបញ្ញើមកវិញ</t>
        </is>
      </c>
      <c r="C298" s="165" t="inlineStr">
        <is>
          <t>Return order</t>
        </is>
      </c>
      <c r="D298" s="165" t="inlineStr">
        <is>
          <t>退回订单</t>
        </is>
      </c>
      <c r="E298" s="156" t="inlineStr">
        <is>
          <t>សងត្រលប់ប៉ុងបញ្ញើមកវិញ</t>
        </is>
      </c>
    </row>
    <row r="299">
      <c r="A299" s="165" t="inlineStr">
        <is>
          <t>manageOrders.continueDelivery</t>
        </is>
      </c>
      <c r="B299" s="156" t="inlineStr">
        <is>
          <t>ដឹកជញ្ជូនបន្ត</t>
        </is>
      </c>
      <c r="C299" s="165" t="inlineStr">
        <is>
          <t>Redelivery</t>
        </is>
      </c>
      <c r="D299" s="165" t="inlineStr">
        <is>
          <t>再次派送</t>
        </is>
      </c>
      <c r="E299" s="156" t="inlineStr">
        <is>
          <t>ដឹកជញ្ជូនបន្ត</t>
        </is>
      </c>
    </row>
    <row r="300">
      <c r="A300" s="165" t="inlineStr">
        <is>
          <t>manageOrders.storeOrder</t>
        </is>
      </c>
      <c r="B300" s="156" t="inlineStr">
        <is>
          <t>រក្សាទុកក្នុងឃ្លាំង</t>
        </is>
      </c>
      <c r="C300" s="165" t="inlineStr">
        <is>
          <t>Store order</t>
        </is>
      </c>
      <c r="D300" s="165" t="inlineStr">
        <is>
          <t>存储订单</t>
        </is>
      </c>
      <c r="E300" s="156" t="inlineStr">
        <is>
          <t>រក្សាទុកក្នុងឃ្លាំង</t>
        </is>
      </c>
    </row>
    <row r="301">
      <c r="A301" s="165" t="inlineStr">
        <is>
          <t>manageOrders.infoOrder</t>
        </is>
      </c>
      <c r="B301" s="156" t="inlineStr">
        <is>
          <t>ព័ត៌មានប៉ុងបញ្ញើឥវ៉ាន់</t>
        </is>
      </c>
      <c r="C301" s="165" t="inlineStr">
        <is>
          <t>Order information</t>
        </is>
      </c>
      <c r="D301" s="165" t="inlineStr">
        <is>
          <t>订单信息</t>
        </is>
      </c>
      <c r="E301" s="156" t="inlineStr">
        <is>
          <t>ព័ត៌មានប៉ុងបញ្ញើឥវ៉ាន់</t>
        </is>
      </c>
    </row>
    <row r="302">
      <c r="A302" s="165" t="inlineStr">
        <is>
          <t>manageOrders.deliveryNotificationImage</t>
        </is>
      </c>
      <c r="B302" s="156" t="inlineStr">
        <is>
          <t>រូបថតបញ្ជាក់ពីការប្រគល់ឥវ៉ាន់</t>
        </is>
      </c>
      <c r="C302" s="165" t="inlineStr">
        <is>
          <t>Delivery notification image</t>
        </is>
      </c>
      <c r="D302" s="165" t="inlineStr">
        <is>
          <t>派送通知凭证</t>
        </is>
      </c>
      <c r="E302" s="156" t="inlineStr">
        <is>
          <t>រូបថតបញ្ជាក់ពីការប្រគល់ឥវ៉ាន់</t>
        </is>
      </c>
    </row>
    <row r="303">
      <c r="A303" s="165" t="inlineStr">
        <is>
          <t>manageOrders.shippingImage</t>
        </is>
      </c>
      <c r="B303" s="156" t="inlineStr">
        <is>
          <t>រូបថតពីការផ្ញើអីវ៉ាន់</t>
        </is>
      </c>
      <c r="C303" s="165" t="inlineStr">
        <is>
          <t>Shipping image</t>
        </is>
      </c>
      <c r="D303" s="165" t="inlineStr">
        <is>
          <t>物流凭证照片</t>
        </is>
      </c>
      <c r="E303" s="156" t="inlineStr">
        <is>
          <t>រូបថតពីការផ្ញើអីវ៉ាន់</t>
        </is>
      </c>
    </row>
    <row r="304">
      <c r="A304" s="165" t="inlineStr">
        <is>
          <t>manageOrders.areYouSureYouCanReturnTheOrder</t>
        </is>
      </c>
      <c r="B304" s="156" t="inlineStr">
        <is>
          <t>អតិថិជនពិតជាចង់សងត្រឡប់ប៉ុងបញ្ញើឥវ៉ាន់មកវិញ {{order}} មែនទេ?</t>
        </is>
      </c>
      <c r="C304" s="165" t="inlineStr">
        <is>
          <t>Are you sure you can return the order {{order}} ?</t>
        </is>
      </c>
      <c r="D304" s="165" t="inlineStr">
        <is>
          <t>确认订单 {{order}} 可以退回了吗？</t>
        </is>
      </c>
      <c r="E304" s="156" t="inlineStr">
        <is>
          <t>អតិថិជនពិតជាចង់សងត្រឡប់ប៉ុងបញ្ញើឥវ៉ាន់មកវិញ {{order}} មែនទេ?</t>
        </is>
      </c>
    </row>
    <row r="305">
      <c r="A305" s="165" t="inlineStr">
        <is>
          <t>manageOrders.orderCompletedSuccessfully</t>
        </is>
      </c>
      <c r="B305" s="156" t="inlineStr">
        <is>
          <t>សងត្រឡប់ប៉ុងបញ្ញើឥវ៉ាន់ដោយជោគជ័យ</t>
        </is>
      </c>
      <c r="C305" s="165" t="inlineStr">
        <is>
          <t>Order completed successfully !</t>
        </is>
      </c>
      <c r="D305" s="165" t="inlineStr">
        <is>
          <t>订单已完成！</t>
        </is>
      </c>
      <c r="E305" s="156" t="inlineStr">
        <is>
          <t>សងត្រឡប់ប៉ុងបញ្ញើឥវ៉ាន់ដោយជោគជ័យ</t>
        </is>
      </c>
    </row>
    <row r="306">
      <c r="A306" s="165" t="inlineStr">
        <is>
          <t>manageOrders.orderScope</t>
        </is>
      </c>
      <c r="B306" s="156" t="inlineStr">
        <is>
          <t>ប្រភេទបុងបញ្ញើ</t>
        </is>
      </c>
      <c r="C306" s="165" t="inlineStr">
        <is>
          <t>Order Type</t>
        </is>
      </c>
      <c r="D306" s="165" t="inlineStr">
        <is>
          <t>订单类型</t>
        </is>
      </c>
      <c r="E306" s="156" t="inlineStr">
        <is>
          <t>ប្រភេទបុងបញ្ញើ</t>
        </is>
      </c>
    </row>
    <row r="307">
      <c r="A307" s="165" t="inlineStr">
        <is>
          <t>manageOrders.DOMESTIC</t>
        </is>
      </c>
      <c r="B307" s="156" t="inlineStr">
        <is>
          <t>ក្នុងប្រទេស</t>
        </is>
      </c>
      <c r="C307" s="165" t="inlineStr">
        <is>
          <t>Domestic</t>
        </is>
      </c>
      <c r="D307" s="165" t="inlineStr">
        <is>
          <t>国内</t>
        </is>
      </c>
      <c r="E307" s="156" t="inlineStr">
        <is>
          <t>ក្នុងប្រទេស</t>
        </is>
      </c>
    </row>
    <row r="308">
      <c r="A308" s="165" t="inlineStr">
        <is>
          <t>manageOrders.INTERNATIONAL</t>
        </is>
      </c>
      <c r="B308" s="156" t="inlineStr">
        <is>
          <t>អន្តរជាតិ</t>
        </is>
      </c>
      <c r="C308" s="165" t="inlineStr">
        <is>
          <t>International</t>
        </is>
      </c>
      <c r="D308" s="165" t="inlineStr">
        <is>
          <t>国际</t>
        </is>
      </c>
      <c r="E308" s="156" t="inlineStr">
        <is>
          <t>អន្តរជាតិ</t>
        </is>
      </c>
    </row>
    <row r="309">
      <c r="A309" s="165" t="inlineStr">
        <is>
          <t>manageOrders.confirmForward</t>
        </is>
      </c>
      <c r="B309" s="156" t="inlineStr">
        <is>
          <t>អតិថិជនពិតជាចង់បដិសេធការសងត្រឡប់ប៉ុងបញ្ញើឥវ៉ាន់មកវិញ {{order}} មែនទេ?</t>
        </is>
      </c>
      <c r="C309" s="165" t="inlineStr">
        <is>
          <t>Are you sure to redeliver the order</t>
        </is>
      </c>
      <c r="D309" s="165" t="inlineStr">
        <is>
          <t>确认要再次派送此订单吗？</t>
        </is>
      </c>
      <c r="E309" s="156" t="inlineStr">
        <is>
          <t>អតិថិជនពិតជាចង់បដិសេធការសងត្រឡប់ប៉ុងបញ្ញើឥវ៉ាន់មកវិញ {{order}} មែនទេ?</t>
        </is>
      </c>
    </row>
    <row r="310">
      <c r="A310" s="165" t="inlineStr">
        <is>
          <t>manageOrders.handleForward</t>
        </is>
      </c>
      <c r="B310" s="156" t="inlineStr">
        <is>
          <t>ប្រគល់បន្តទៀត</t>
        </is>
      </c>
      <c r="C310" s="165" t="inlineStr">
        <is>
          <t>?</t>
        </is>
      </c>
      <c r="D310" s="165" t="inlineStr">
        <is>
          <t>处理转发</t>
        </is>
      </c>
      <c r="E310" s="156" t="inlineStr">
        <is>
          <t>ប្រគល់បន្តទៀត</t>
        </is>
      </c>
    </row>
    <row r="311">
      <c r="A311" s="165" t="inlineStr">
        <is>
          <t>manageOrders.continueDeliverySuccess</t>
        </is>
      </c>
      <c r="B311" s="156" t="inlineStr">
        <is>
          <t>ស្នើសុំប្រគល់ឥវ៉ាន់បន្តដែលបានបង្កើតប៉ុងបញ្ញើដោយជោគជ័យ</t>
        </is>
      </c>
      <c r="C311" s="165" t="inlineStr">
        <is>
          <t>Redelivery request sent!</t>
        </is>
      </c>
      <c r="D311" s="165" t="inlineStr">
        <is>
          <t>再次派送请求已发送！</t>
        </is>
      </c>
      <c r="E311" s="156" t="inlineStr">
        <is>
          <t>ស្នើសុំប្រគល់ឥវ៉ាន់បន្តដែលបានបង្កើតប៉ុងបញ្ញើដោយជោគជ័យ</t>
        </is>
      </c>
    </row>
    <row r="312">
      <c r="A312" s="165" t="inlineStr">
        <is>
          <t>manageOrders.continueDeliveryReason</t>
        </is>
      </c>
      <c r="B312" s="156" t="inlineStr">
        <is>
          <t>ហេតុផលដែលត្រូវប្រគល់បន្ត</t>
        </is>
      </c>
      <c r="C312" s="165" t="inlineStr">
        <is>
          <t>Contents</t>
        </is>
      </c>
      <c r="D312" s="165" t="inlineStr">
        <is>
          <t>内件品名</t>
        </is>
      </c>
      <c r="E312" s="156" t="inlineStr">
        <is>
          <t>ហេតុផលដែលត្រូវប្រគល់បន្ត</t>
        </is>
      </c>
    </row>
    <row r="313">
      <c r="A313" s="165" t="inlineStr">
        <is>
          <t>manageOrders.continueDeliveryReasonPlaceholder</t>
        </is>
      </c>
      <c r="B313" s="156" t="inlineStr">
        <is>
          <t>បញ្ចូលហេតុផលប្រគល់បន្ត</t>
        </is>
      </c>
      <c r="C313" s="165" t="inlineStr">
        <is>
          <t>Enter contents</t>
        </is>
      </c>
      <c r="D313" s="165" t="inlineStr">
        <is>
          <t>输入内容</t>
        </is>
      </c>
      <c r="E313" s="156" t="inlineStr">
        <is>
          <t>បញ្ចូលហេតុផលប្រគល់បន្ត</t>
        </is>
      </c>
    </row>
    <row r="314">
      <c r="A314" s="165" t="inlineStr">
        <is>
          <t>manageOrders.titleForward</t>
        </is>
      </c>
      <c r="B314" s="156" t="inlineStr">
        <is>
          <t>បញ្ជាក់ការប្រគល់បន្ត</t>
        </is>
      </c>
      <c r="C314" s="165" t="inlineStr">
        <is>
          <t>Confirm</t>
        </is>
      </c>
      <c r="D314" s="165" t="inlineStr">
        <is>
          <t>确认</t>
        </is>
      </c>
      <c r="E314" s="156" t="inlineStr">
        <is>
          <t>បញ្ជាក់ការប្រគល់បន្ត</t>
        </is>
      </c>
    </row>
    <row r="315">
      <c r="A315" s="165" t="inlineStr">
        <is>
          <t>columnExcel.status</t>
        </is>
      </c>
      <c r="B315" s="156" t="inlineStr">
        <is>
          <t>ស្ថានភាព</t>
        </is>
      </c>
      <c r="C315" s="165" t="inlineStr">
        <is>
          <t>Status</t>
        </is>
      </c>
      <c r="D315" s="165" t="inlineStr">
        <is>
          <t>订单状态</t>
        </is>
      </c>
      <c r="E315" s="156" t="inlineStr">
        <is>
          <t>ស្ថានភាព</t>
        </is>
      </c>
    </row>
    <row r="316">
      <c r="A316" s="165" t="inlineStr">
        <is>
          <t>columnExcel.totalFare</t>
        </is>
      </c>
      <c r="B316" s="156" t="inlineStr">
        <is>
          <t>ថ្លៃដឹកជញ្ជូនសរុប</t>
        </is>
      </c>
      <c r="C316" s="165" t="inlineStr">
        <is>
          <t>Total fare</t>
        </is>
      </c>
      <c r="D316" s="165" t="inlineStr">
        <is>
          <t>总运费</t>
        </is>
      </c>
      <c r="E316" s="156" t="inlineStr">
        <is>
          <t>ថ្លៃដឹកជញ្ជូនសរុប</t>
        </is>
      </c>
    </row>
    <row r="317">
      <c r="A317" s="165" t="inlineStr">
        <is>
          <t>columnExcel.promoCode</t>
        </is>
      </c>
      <c r="B317" s="156" t="inlineStr">
        <is>
          <t>លេខកូដប្រូម៉ូសិន</t>
        </is>
      </c>
      <c r="C317" s="165" t="inlineStr">
        <is>
          <t>Promo code</t>
        </is>
      </c>
      <c r="D317" s="165" t="inlineStr">
        <is>
          <t>优惠码</t>
        </is>
      </c>
      <c r="E317" s="156" t="inlineStr">
        <is>
          <t>លេខកូដប្រូម៉ូសិន</t>
        </is>
      </c>
    </row>
    <row r="318">
      <c r="A318" s="165" t="inlineStr">
        <is>
          <t>columnExcel.orderCode</t>
        </is>
      </c>
      <c r="B318" s="156" t="inlineStr">
        <is>
          <t>លេខកូដបុងបញ្ញើ</t>
        </is>
      </c>
      <c r="C318" s="165" t="inlineStr">
        <is>
          <t>Order code</t>
        </is>
      </c>
      <c r="D318" s="165" t="inlineStr">
        <is>
          <t>订单编号</t>
        </is>
      </c>
      <c r="E318" s="156" t="inlineStr">
        <is>
          <t>លេខកូដបុងបញ្ញើ</t>
        </is>
      </c>
    </row>
    <row r="319">
      <c r="A319" s="165" t="inlineStr">
        <is>
          <t>columnExcel.recipientName</t>
        </is>
      </c>
      <c r="B319" s="156" t="inlineStr">
        <is>
          <t>ឈ្មោះអ្នកទទួល</t>
        </is>
      </c>
      <c r="C319" s="165" t="inlineStr">
        <is>
          <t>Recipient's name</t>
        </is>
      </c>
      <c r="D319" s="165" t="inlineStr">
        <is>
          <t>收件人姓名</t>
        </is>
      </c>
      <c r="E319" s="156" t="inlineStr">
        <is>
          <t>ឈ្មោះអ្នកទទួល</t>
        </is>
      </c>
    </row>
    <row r="320">
      <c r="A320" s="165" t="inlineStr">
        <is>
          <t>columnExcel.phone</t>
        </is>
      </c>
      <c r="B320" s="156" t="inlineStr">
        <is>
          <t>លេខទូរស័ព្ទ</t>
        </is>
      </c>
      <c r="C320" s="165" t="inlineStr">
        <is>
          <t>Phone number</t>
        </is>
      </c>
      <c r="D320" s="165" t="inlineStr">
        <is>
          <t>手机号码</t>
        </is>
      </c>
      <c r="E320" s="156" t="inlineStr">
        <is>
          <t>លេខទូរស័ព្ទ</t>
        </is>
      </c>
    </row>
    <row r="321">
      <c r="A321" s="165" t="inlineStr">
        <is>
          <t>columnExcel.deliveryAddress</t>
        </is>
      </c>
      <c r="B321" s="156" t="inlineStr">
        <is>
          <t>អាសយដ្ឋានទទួល</t>
        </is>
      </c>
      <c r="C321" s="165" t="inlineStr">
        <is>
          <t>Delivery address</t>
        </is>
      </c>
      <c r="D321" s="165" t="inlineStr">
        <is>
          <t>收货地址</t>
        </is>
      </c>
      <c r="E321" s="156" t="inlineStr">
        <is>
          <t>អាសយដ្ឋានទទួល</t>
        </is>
      </c>
    </row>
    <row r="322">
      <c r="A322" s="165" t="inlineStr">
        <is>
          <t>columnExcel.productName</t>
        </is>
      </c>
      <c r="B322" s="156" t="inlineStr">
        <is>
          <t>ឈ្មោះឥវ៉ាន់</t>
        </is>
      </c>
      <c r="C322" s="165" t="inlineStr">
        <is>
          <t>Product name</t>
        </is>
      </c>
      <c r="D322" s="165" t="inlineStr">
        <is>
          <t>商品名称</t>
        </is>
      </c>
      <c r="E322" s="156" t="inlineStr">
        <is>
          <t>ឈ្មោះឥវ៉ាន់</t>
        </is>
      </c>
    </row>
    <row r="323">
      <c r="A323" s="165" t="inlineStr">
        <is>
          <t>columnExcel.quantity</t>
        </is>
      </c>
      <c r="B323" s="156" t="inlineStr">
        <is>
          <t>ចំនួន</t>
        </is>
      </c>
      <c r="C323" s="165" t="inlineStr">
        <is>
          <t>Quantity</t>
        </is>
      </c>
      <c r="D323" s="165" t="inlineStr">
        <is>
          <t>数量</t>
        </is>
      </c>
      <c r="E323" s="156" t="inlineStr">
        <is>
          <t>ចំនួន</t>
        </is>
      </c>
    </row>
    <row r="324">
      <c r="A324" s="165" t="inlineStr">
        <is>
          <t>columnExcel.weight</t>
        </is>
      </c>
      <c r="B324" s="156" t="inlineStr">
        <is>
          <t>ទម្ងន់ (ក្រាម)</t>
        </is>
      </c>
      <c r="C324" s="165" t="inlineStr">
        <is>
          <t>Weight (g)</t>
        </is>
      </c>
      <c r="D324" s="165" t="inlineStr">
        <is>
          <t>重量 (克)</t>
        </is>
      </c>
      <c r="E324" s="156" t="inlineStr">
        <is>
          <t>ទម្ងន់ (ក្រាម)</t>
        </is>
      </c>
    </row>
    <row r="325">
      <c r="A325" s="165" t="inlineStr">
        <is>
          <t>columnExcel.labelWeight</t>
        </is>
      </c>
      <c r="B325" s="156" t="inlineStr">
        <is>
          <t>ទម្ងន់</t>
        </is>
      </c>
      <c r="C325" s="165" t="inlineStr">
        <is>
          <t>Weight</t>
        </is>
      </c>
      <c r="D325" s="165" t="inlineStr">
        <is>
          <t>重量</t>
        </is>
      </c>
      <c r="E325" s="156" t="inlineStr">
        <is>
          <t>ទម្ងន់</t>
        </is>
      </c>
    </row>
    <row r="326">
      <c r="A326" s="165" t="inlineStr">
        <is>
          <t>columnExcel.value</t>
        </is>
      </c>
      <c r="B326" s="156" t="inlineStr">
        <is>
          <t>តម្លៃ</t>
        </is>
      </c>
      <c r="C326" s="165" t="inlineStr">
        <is>
          <t>Value</t>
        </is>
      </c>
      <c r="D326" s="165" t="inlineStr">
        <is>
          <t>商品声明价值</t>
        </is>
      </c>
      <c r="E326" s="156" t="inlineStr">
        <is>
          <t>តម្លៃ</t>
        </is>
      </c>
    </row>
    <row r="327">
      <c r="A327" s="165" t="inlineStr">
        <is>
          <t>columnExcel.codAmount</t>
        </is>
      </c>
      <c r="B327" s="156" t="inlineStr">
        <is>
          <t>ប្រាក់ប្រមូលជំនួស (COD)</t>
        </is>
      </c>
      <c r="C327" s="165" t="inlineStr">
        <is>
          <t>Cash on delivery (COD) amount</t>
        </is>
      </c>
      <c r="D327" s="165" t="inlineStr">
        <is>
          <t>代收货款金额</t>
        </is>
      </c>
      <c r="E327" s="156" t="inlineStr">
        <is>
          <t>ប្រាក់ប្រមូលជំនួស (COD)</t>
        </is>
      </c>
    </row>
    <row r="328">
      <c r="A328" s="165" t="inlineStr">
        <is>
          <t>columnExcel.productType</t>
        </is>
      </c>
      <c r="B328" s="156" t="inlineStr">
        <is>
          <t>ប្រភេទទំនិញ</t>
        </is>
      </c>
      <c r="C328" s="165" t="inlineStr">
        <is>
          <t>Product type</t>
        </is>
      </c>
      <c r="D328" s="165" t="inlineStr">
        <is>
          <t>商品类型</t>
        </is>
      </c>
      <c r="E328" s="156" t="inlineStr">
        <is>
          <t>ប្រភេទទំនិញ</t>
        </is>
      </c>
    </row>
    <row r="329">
      <c r="A329" s="165" t="inlineStr">
        <is>
          <t>columnExcel.serviceType</t>
        </is>
      </c>
      <c r="B329" s="156" t="inlineStr">
        <is>
          <t>សេវាកម្ម</t>
        </is>
      </c>
      <c r="C329" s="165" t="inlineStr">
        <is>
          <t>Service type</t>
        </is>
      </c>
      <c r="D329" s="165" t="inlineStr">
        <is>
          <t>服务类型</t>
        </is>
      </c>
      <c r="E329" s="156" t="inlineStr">
        <is>
          <t>សេវាកម្ម</t>
        </is>
      </c>
    </row>
    <row r="330">
      <c r="A330" s="165" t="inlineStr">
        <is>
          <t>columnExcel.additionalService</t>
        </is>
      </c>
      <c r="B330" s="156" t="inlineStr">
        <is>
          <t>សេវាកម្មបន្ថែម</t>
        </is>
      </c>
      <c r="C330" s="165" t="inlineStr">
        <is>
          <t>Additional service</t>
        </is>
      </c>
      <c r="D330" s="165" t="inlineStr">
        <is>
          <t>附加服务</t>
        </is>
      </c>
      <c r="E330" s="156" t="inlineStr">
        <is>
          <t>សេវាកម្មបន្ថែម</t>
        </is>
      </c>
    </row>
    <row r="331">
      <c r="A331" s="165" t="inlineStr">
        <is>
          <t>columnExcel.length</t>
        </is>
      </c>
      <c r="B331" s="156" t="inlineStr">
        <is>
          <t>ប្រវែង</t>
        </is>
      </c>
      <c r="C331" s="165" t="inlineStr">
        <is>
          <t>Length (cm)</t>
        </is>
      </c>
      <c r="D331" s="165" t="inlineStr">
        <is>
          <t>长 (厘米)</t>
        </is>
      </c>
      <c r="E331" s="156" t="inlineStr">
        <is>
          <t>ប្រវែង</t>
        </is>
      </c>
    </row>
    <row r="332">
      <c r="A332" s="165" t="inlineStr">
        <is>
          <t>columnExcel.width</t>
        </is>
      </c>
      <c r="B332" s="156" t="inlineStr">
        <is>
          <t>ទទឹង</t>
        </is>
      </c>
      <c r="C332" s="165" t="inlineStr">
        <is>
          <t>Width (cm)</t>
        </is>
      </c>
      <c r="D332" s="165" t="inlineStr">
        <is>
          <t>宽度 (厘米)</t>
        </is>
      </c>
      <c r="E332" s="156" t="inlineStr">
        <is>
          <t>ទទឹង</t>
        </is>
      </c>
    </row>
    <row r="333">
      <c r="A333" s="165" t="inlineStr">
        <is>
          <t>columnExcel.height</t>
        </is>
      </c>
      <c r="B333" s="156" t="inlineStr">
        <is>
          <t>កម្ពស់</t>
        </is>
      </c>
      <c r="C333" s="165" t="inlineStr">
        <is>
          <t>Height (cm)</t>
        </is>
      </c>
      <c r="D333" s="165" t="inlineStr">
        <is>
          <t>高 (厘米)</t>
        </is>
      </c>
      <c r="E333" s="156" t="inlineStr">
        <is>
          <t>កម្ពស់</t>
        </is>
      </c>
    </row>
    <row r="334">
      <c r="A334" s="165" t="inlineStr">
        <is>
          <t>columnExcel.feePayer</t>
        </is>
      </c>
      <c r="B334" s="156" t="inlineStr">
        <is>
          <t>អ្នកបង់ថ្លៃសេវា</t>
        </is>
      </c>
      <c r="C334" s="165" t="inlineStr">
        <is>
          <t>Fee payer</t>
        </is>
      </c>
      <c r="D334" s="165" t="inlineStr">
        <is>
          <t>费用付款方</t>
        </is>
      </c>
      <c r="E334" s="156" t="inlineStr">
        <is>
          <t>អ្នកបង់ថ្លៃសេវា</t>
        </is>
      </c>
    </row>
    <row r="335">
      <c r="A335" s="165" t="inlineStr">
        <is>
          <t>columnExcel.scheduledDeliveryTime</t>
        </is>
      </c>
      <c r="B335" s="156" t="inlineStr">
        <is>
          <t>ពេលវេលាណាត់ទទួលឥវ៉ាន់</t>
        </is>
      </c>
      <c r="C335" s="165" t="inlineStr">
        <is>
          <t>Scheduled delivery time</t>
        </is>
      </c>
      <c r="D335" s="165" t="inlineStr">
        <is>
          <t>派送时间</t>
        </is>
      </c>
      <c r="E335" s="156" t="inlineStr">
        <is>
          <t>ពេលវេលាណាត់ទទួលឥវ៉ាន់</t>
        </is>
      </c>
    </row>
    <row r="336">
      <c r="A336" s="165" t="inlineStr">
        <is>
          <t>columnExcel.notes</t>
        </is>
      </c>
      <c r="B336" s="156" t="inlineStr">
        <is>
          <t>ចំណាំ</t>
        </is>
      </c>
      <c r="C336" s="165" t="inlineStr">
        <is>
          <t>Notes</t>
        </is>
      </c>
      <c r="D336" s="165" t="inlineStr">
        <is>
          <t>备注</t>
        </is>
      </c>
      <c r="E336" s="156" t="inlineStr">
        <is>
          <t>ចំណាំ</t>
        </is>
      </c>
    </row>
    <row r="337">
      <c r="A337" s="165" t="inlineStr">
        <is>
          <t>columnExcel.createOrder</t>
        </is>
      </c>
      <c r="B337" s="156" t="inlineStr">
        <is>
          <t>បង្កើតការបញ្ជាទិញ</t>
        </is>
      </c>
      <c r="C337" s="165" t="inlineStr">
        <is>
          <t>Create order</t>
        </is>
      </c>
      <c r="D337" s="165" t="inlineStr">
        <is>
          <t>创建订单</t>
        </is>
      </c>
      <c r="E337" s="156" t="inlineStr">
        <is>
          <t>បង្កើតការបញ្ជាទិញ</t>
        </is>
      </c>
    </row>
    <row r="338">
      <c r="A338" s="165" t="inlineStr">
        <is>
          <t>columnExcel.openFile</t>
        </is>
      </c>
      <c r="B338" s="156" t="inlineStr">
        <is>
          <t>បើកហ្វាល</t>
        </is>
      </c>
      <c r="C338" s="165" t="inlineStr">
        <is>
          <t>Open file</t>
        </is>
      </c>
      <c r="D338" s="165" t="inlineStr">
        <is>
          <t>打开文件</t>
        </is>
      </c>
      <c r="E338" s="156" t="inlineStr">
        <is>
          <t>បើកហ្វាល</t>
        </is>
      </c>
    </row>
    <row r="339">
      <c r="A339" s="165" t="inlineStr">
        <is>
          <t>columnExcel.draft</t>
        </is>
      </c>
      <c r="B339" s="156" t="inlineStr">
        <is>
          <t>រក្សាទុកជាព្រាង</t>
        </is>
      </c>
      <c r="C339" s="165" t="inlineStr">
        <is>
          <t>Save draft</t>
        </is>
      </c>
      <c r="D339" s="165" t="inlineStr">
        <is>
          <t>保存草稿</t>
        </is>
      </c>
      <c r="E339" s="156" t="inlineStr">
        <is>
          <t>រក្សាទុកជាព្រាង</t>
        </is>
      </c>
    </row>
    <row r="340">
      <c r="A340" s="165" t="inlineStr">
        <is>
          <t>columnExcel.downloadTemplate</t>
        </is>
      </c>
      <c r="B340" s="156" t="inlineStr">
        <is>
          <t>ទាញយកឯកសារគំរូ</t>
        </is>
      </c>
      <c r="C340" s="165" t="inlineStr">
        <is>
          <t>Download template file</t>
        </is>
      </c>
      <c r="D340" s="165" t="inlineStr">
        <is>
          <t>下载模板文件</t>
        </is>
      </c>
      <c r="E340" s="156" t="inlineStr">
        <is>
          <t>ទាញយកឯកសារគំរូ</t>
        </is>
      </c>
    </row>
    <row r="341">
      <c r="A341" s="165" t="inlineStr">
        <is>
          <t>columnExcel.historyDownloadFile</t>
        </is>
      </c>
      <c r="B341" s="156" t="inlineStr">
        <is>
          <t>ប្រវត្តិទាញយកហ្វាល</t>
        </is>
      </c>
      <c r="C341" s="165" t="inlineStr">
        <is>
          <t>Download file history</t>
        </is>
      </c>
      <c r="D341" s="165" t="inlineStr">
        <is>
          <t>下载历史文件</t>
        </is>
      </c>
      <c r="E341" s="156" t="inlineStr">
        <is>
          <t>ប្រវត្តិទាញយកហ្វាល</t>
        </is>
      </c>
    </row>
    <row r="342">
      <c r="A342" s="165" t="inlineStr">
        <is>
          <t>columnExcel.size</t>
        </is>
      </c>
      <c r="B342" s="156" t="inlineStr">
        <is>
          <t>ទំហំ (ប្រវែង+ទទឹង+កម្ពស់)(សង់ទីម៉ែត)</t>
        </is>
      </c>
      <c r="C342" s="165" t="inlineStr">
        <is>
          <t>Size (L+W+H) (cm)</t>
        </is>
      </c>
      <c r="D342" s="157" t="inlineStr">
        <is>
          <t>--</t>
        </is>
      </c>
      <c r="E342" s="156" t="inlineStr">
        <is>
          <t>ទំហំ (ប្រវែង+ទទឹង+កម្ពស់)(សង់ទីម៉ែត)</t>
        </is>
      </c>
    </row>
    <row r="343">
      <c r="A343" s="165" t="inlineStr">
        <is>
          <t>createOrders.titleSuccess</t>
        </is>
      </c>
      <c r="B343" s="156" t="inlineStr">
        <is>
          <t>បង្កើតប៉ុងបញ្ញើបានជោគជ័យ!</t>
        </is>
      </c>
      <c r="C343" s="165" t="inlineStr">
        <is>
          <t>Order created successfully!</t>
        </is>
      </c>
      <c r="D343" s="165" t="inlineStr">
        <is>
          <t>订单创建成功！</t>
        </is>
      </c>
      <c r="E343" s="156" t="inlineStr">
        <is>
          <t>បង្កើតប៉ុងបញ្ញើបានជោគជ័យ!</t>
        </is>
      </c>
    </row>
    <row r="344">
      <c r="A344" s="165" t="inlineStr">
        <is>
          <t>createOrders.contentSuccess</t>
        </is>
      </c>
      <c r="B344" s="156" t="inlineStr">
        <is>
          <t>{{count}} ការបង្កើតប៉ុងបញ្ញើបានជោគជ័យ។ អ្នកអាចចូលទៅផ្នែកគ្រប់គ្រងប៉ុងបញ្ញើ ដើម្បីមើលបញ្ជីប៉ុងបញ្ញើ ឬទាញយក ហ្វាល Excel ផ្សេងទៀត។</t>
        </is>
      </c>
      <c r="C344" s="165" t="inlineStr">
        <is>
          <t>{{count}} orders have been created successfully. You can go to the order management section to view the list of orders or upload another excel file.</t>
        </is>
      </c>
      <c r="D344" s="165" t="inlineStr">
        <is>
          <t>已成功创建 {{count}} 笔订单。您可前往订单管理处查看订单列表，或继续上传另一份Excel文件。</t>
        </is>
      </c>
      <c r="E344" s="156" t="inlineStr">
        <is>
          <t>{{count}} ការបង្កើតប៉ុងបញ្ញើបានជោគជ័យ។ អ្នកអាចចូលទៅផ្នែកគ្រប់គ្រងប៉ុងបញ្ញើ ដើម្បីមើលបញ្ជីប៉ុងបញ្ញើ ឬទាញយក ហ្វាល Excel ផ្សេងទៀត។</t>
        </is>
      </c>
    </row>
    <row r="345">
      <c r="A345" s="165" t="inlineStr">
        <is>
          <t>createOrders.typeFileInvalid</t>
        </is>
      </c>
      <c r="B345" s="156" t="inlineStr">
        <is>
          <t>ប្រភេទហ្វាលមិនសមស្រប!</t>
        </is>
      </c>
      <c r="C345" s="165" t="inlineStr">
        <is>
          <t>Invalid file type!</t>
        </is>
      </c>
      <c r="D345" s="165" t="inlineStr">
        <is>
          <t>文件类型无效！</t>
        </is>
      </c>
      <c r="E345" s="156" t="inlineStr">
        <is>
          <t>ប្រភេទហ្វាលមិនសមស្រប!</t>
        </is>
      </c>
    </row>
    <row r="346">
      <c r="A346" s="165" t="inlineStr">
        <is>
          <t>createOrders.pleaseSelectInfoSender</t>
        </is>
      </c>
      <c r="B346" s="156" t="inlineStr">
        <is>
          <t>សូមជ្រើសរើសយកព័ត៌មានអ្នកផ្ញើ!</t>
        </is>
      </c>
      <c r="C346" s="165" t="inlineStr">
        <is>
          <t>Please select sender information!</t>
        </is>
      </c>
      <c r="D346" s="165" t="inlineStr">
        <is>
          <t>请选择发件人信息！</t>
        </is>
      </c>
      <c r="E346" s="156" t="inlineStr">
        <is>
          <t>សូមជ្រើសរើសយកព័ត៌មានអ្នកផ្ញើ!</t>
        </is>
      </c>
    </row>
    <row r="347">
      <c r="A347" s="165" t="inlineStr">
        <is>
          <t>createOrders.importOrdersFromFile</t>
        </is>
      </c>
      <c r="B347" s="156" t="inlineStr">
        <is>
          <t>បញ្ចូលប៉ុងបញ្ញើពីហ្វាល</t>
        </is>
      </c>
      <c r="C347" s="165" t="inlineStr">
        <is>
          <t>Import orders from file</t>
        </is>
      </c>
      <c r="D347" s="165" t="inlineStr">
        <is>
          <t>从文件导入订单</t>
        </is>
      </c>
      <c r="E347" s="156" t="inlineStr">
        <is>
          <t>បញ្ចូលប៉ុងបញ្ញើពីហ្វាល</t>
        </is>
      </c>
    </row>
    <row r="348">
      <c r="A348" s="165" t="inlineStr">
        <is>
          <t>createOrders.selectInfoSender</t>
        </is>
      </c>
      <c r="B348" s="156" t="inlineStr">
        <is>
          <t>ជ្រើសរើសព័ត៌មានអ្នកផ្ញើ</t>
        </is>
      </c>
      <c r="C348" s="165" t="inlineStr">
        <is>
          <t>Select sender information</t>
        </is>
      </c>
      <c r="D348" s="165" t="inlineStr">
        <is>
          <t>选择发件人信息</t>
        </is>
      </c>
      <c r="E348" s="156" t="inlineStr">
        <is>
          <t>ជ្រើសរើសព័ត៌មានអ្នកផ្ញើ</t>
        </is>
      </c>
    </row>
    <row r="349">
      <c r="A349" s="165" t="inlineStr">
        <is>
          <t>createOrders.validApplication</t>
        </is>
      </c>
      <c r="B349" s="156" t="inlineStr">
        <is>
          <t>ប៉ុងបញ្ញើសមស្រប៖ {{totalAccept}}/{{total}}</t>
        </is>
      </c>
      <c r="C349" s="165" t="inlineStr">
        <is>
          <t>Valid orders: {{totalAccept}}/{{total}}</t>
        </is>
      </c>
      <c r="D349" s="165" t="inlineStr">
        <is>
          <t>有效订单：{{totalAccept}}/{{total}}</t>
        </is>
      </c>
      <c r="E349" s="156" t="inlineStr">
        <is>
          <t>ប៉ុងបញ្ញើសមស្រប៖ {{totalAccept}}/{{total}}</t>
        </is>
      </c>
    </row>
    <row r="350">
      <c r="A350" s="165" t="inlineStr">
        <is>
          <t>createOrders.errorForm</t>
        </is>
      </c>
      <c r="B350" s="156" t="inlineStr">
        <is>
          <t>ប៉ុងបញ្ញើមានបញ្ហា៖ {{totalError}}/{{total}}</t>
        </is>
      </c>
      <c r="C350" s="165" t="inlineStr">
        <is>
          <t>Error orders: {{totalError}}/{{total}}</t>
        </is>
      </c>
      <c r="D350" s="165" t="inlineStr">
        <is>
          <t>错误订单：{{totalError}}/{{total}}</t>
        </is>
      </c>
      <c r="E350" s="156" t="inlineStr">
        <is>
          <t>ប៉ុងបញ្ញើមានបញ្ហា៖ {{totalError}}/{{total}}</t>
        </is>
      </c>
    </row>
    <row r="351">
      <c r="A351" s="165" t="inlineStr">
        <is>
          <t>createOrders.processingOrderCreation</t>
        </is>
      </c>
      <c r="B351" s="156" t="inlineStr">
        <is>
          <t>កំពុងដំណើរការបង្កើតប៉ុងបញ្ញើ</t>
        </is>
      </c>
      <c r="C351" s="165" t="inlineStr">
        <is>
          <t>Processing order creation</t>
        </is>
      </c>
      <c r="D351" s="165" t="inlineStr">
        <is>
          <t>正在处理订单创建…</t>
        </is>
      </c>
      <c r="E351" s="156" t="inlineStr">
        <is>
          <t>កំពុងដំណើរការបង្កើតប៉ុងបញ្ញើ</t>
        </is>
      </c>
    </row>
    <row r="352">
      <c r="A352" s="165" t="inlineStr">
        <is>
          <t>createOrders.validApplication1</t>
        </is>
      </c>
      <c r="B352" s="156" t="inlineStr">
        <is>
          <t>ប៉ុងបញ្ញើសមស្រប៖</t>
        </is>
      </c>
      <c r="C352" s="165" t="inlineStr">
        <is>
          <t>Valid orders:</t>
        </is>
      </c>
      <c r="D352" s="165" t="inlineStr">
        <is>
          <t>有效订单：</t>
        </is>
      </c>
      <c r="E352" s="156" t="inlineStr">
        <is>
          <t>ប៉ុងបញ្ញើសមស្រប៖</t>
        </is>
      </c>
    </row>
    <row r="353">
      <c r="A353" s="165" t="inlineStr">
        <is>
          <t>createOrders.errorForm1</t>
        </is>
      </c>
      <c r="B353" s="156" t="inlineStr">
        <is>
          <t>ប៉ុងបញ្ញើមានបញ្ហា៖</t>
        </is>
      </c>
      <c r="C353" s="165" t="inlineStr">
        <is>
          <t>Error orders:</t>
        </is>
      </c>
      <c r="D353" s="165" t="inlineStr">
        <is>
          <t>错误订单：</t>
        </is>
      </c>
      <c r="E353" s="156" t="inlineStr">
        <is>
          <t>ប៉ុងបញ្ញើមានបញ្ហា៖</t>
        </is>
      </c>
    </row>
    <row r="354">
      <c r="A354" s="165" t="inlineStr">
        <is>
          <t>createOrders.dowloadFileError</t>
        </is>
      </c>
      <c r="B354" s="156" t="inlineStr">
        <is>
          <t>ទាញយកហ្វាលមានបញ្ហា</t>
        </is>
      </c>
      <c r="C354" s="165" t="inlineStr">
        <is>
          <t>Download error file</t>
        </is>
      </c>
      <c r="D354" s="165" t="inlineStr">
        <is>
          <t>下载文件错误</t>
        </is>
      </c>
      <c r="E354" s="156" t="inlineStr">
        <is>
          <t>ទាញយកហ្វាលមានបញ្ហា</t>
        </is>
      </c>
    </row>
    <row r="355">
      <c r="A355" s="165" t="inlineStr">
        <is>
          <t>createOrders.pleaseUploadFileExcel</t>
        </is>
      </c>
      <c r="B355" s="156" t="inlineStr">
        <is>
          <t>សូមផ្ទុកហ្វាល excel</t>
        </is>
      </c>
      <c r="C355" s="165" t="inlineStr">
        <is>
          <t>Please upload an excel file</t>
        </is>
      </c>
      <c r="D355" s="165" t="inlineStr">
        <is>
          <t>请上传Excel文件</t>
        </is>
      </c>
      <c r="E355" s="156" t="inlineStr">
        <is>
          <t>សូមផ្ទុកហ្វាល excel</t>
        </is>
      </c>
    </row>
    <row r="356">
      <c r="A356" s="165" t="inlineStr">
        <is>
          <t>createOrders.line</t>
        </is>
      </c>
      <c r="B356" s="156" t="inlineStr">
        <is>
          <t>ជួរ {{id}}</t>
        </is>
      </c>
      <c r="C356" s="165" t="inlineStr">
        <is>
          <t>Line {{id}}</t>
        </is>
      </c>
      <c r="D356" s="165" t="inlineStr">
        <is>
          <t>第 {{id}} 行</t>
        </is>
      </c>
      <c r="E356" s="156" t="inlineStr">
        <is>
          <t>ជួរ {{id}}</t>
        </is>
      </c>
    </row>
    <row r="357">
      <c r="A357" s="165" t="inlineStr">
        <is>
          <t>createOrders.missingData</t>
        </is>
      </c>
      <c r="B357" s="156" t="inlineStr">
        <is>
          <t>ខ្វះទិន្នន័យ៖ {{fields}}</t>
        </is>
      </c>
      <c r="C357" s="165" t="inlineStr">
        <is>
          <t>Missing data: {{fields}}</t>
        </is>
      </c>
      <c r="D357" s="165" t="inlineStr">
        <is>
          <t>数据缺失：{{fields}}</t>
        </is>
      </c>
      <c r="E357" s="156" t="inlineStr">
        <is>
          <t>ខ្វះទិន្នន័យ៖ {{fields}}</t>
        </is>
      </c>
    </row>
    <row r="358">
      <c r="A358" s="165" t="inlineStr">
        <is>
          <t>createOrders.wrongFormatFile</t>
        </is>
      </c>
      <c r="B358" s="156" t="inlineStr">
        <is>
          <t>អតិថិជនទើបតែទាញយកហ្វាល excel ខុសទម្រង់ សូមអតិថិជនទាញយកហ្វាល ថ្មីតាមគម្រូនេះ</t>
        </is>
      </c>
      <c r="C358" s="165" t="inlineStr">
        <is>
          <t>You have uploaded an excel file in the wrong format. Please re-upload a new file according to the sample file format.</t>
        </is>
      </c>
      <c r="D358" s="165" t="inlineStr">
        <is>
          <t>您上传的Excel文件格式有误，请根据示例文件格式重新上传。</t>
        </is>
      </c>
      <c r="E358" s="156" t="inlineStr">
        <is>
          <t>អតិថិជនទើបតែទាញយកហ្វាល excel ខុសទម្រង់ សូមអតិថិជនទាញយកហ្វាល ថ្មីតាមគម្រូនេះ</t>
        </is>
      </c>
    </row>
    <row r="359">
      <c r="A359" s="165" t="inlineStr">
        <is>
          <t>createOrders.maxTotalFile</t>
        </is>
      </c>
      <c r="B359" s="156" t="inlineStr">
        <is>
          <t>ចំនួនប៉ុងបញ្ញើបានលើសពី 1000 ប៉ុង។ សូមពិនិត្យមើលម្តងទៀត</t>
        </is>
      </c>
      <c r="C359" s="165" t="inlineStr">
        <is>
          <t>The number of orders has exceeded 1000. Please check again.</t>
        </is>
      </c>
      <c r="D359" s="165" t="inlineStr">
        <is>
          <t>订单数量已超过200单，请检查。</t>
        </is>
      </c>
      <c r="E359" s="156" t="inlineStr">
        <is>
          <t>ចំនួនប៉ុងបញ្ញើបានលើសពី 1000 ប៉ុង។ សូមពិនិត្យមើលម្តងទៀត</t>
        </is>
      </c>
    </row>
    <row r="360">
      <c r="A360" s="165" t="inlineStr">
        <is>
          <t>createOrders.notFoundImport</t>
        </is>
      </c>
      <c r="B360" s="156" t="inlineStr">
        <is>
          <t>មិនស្វែងរកឃើញប៉ុងបញ្ញើ។ សូមបញ្ចូលព័ត៌មានឲ្យបានពេញលេញ</t>
        </is>
      </c>
      <c r="C360" s="165" t="inlineStr">
        <is>
          <t>No orders found. Please enter complete information.</t>
        </is>
      </c>
      <c r="D360" s="165" t="inlineStr">
        <is>
          <t>未找到订单，请输入完整信息。</t>
        </is>
      </c>
      <c r="E360" s="156" t="inlineStr">
        <is>
          <t>មិនស្វែងរកឃើញប៉ុងបញ្ញើ។ សូមបញ្ចូលព័ត៌មានឲ្យបានពេញលេញ</t>
        </is>
      </c>
    </row>
    <row r="361">
      <c r="A361" s="165" t="inlineStr">
        <is>
          <t>createSingleOrder.title</t>
        </is>
      </c>
      <c r="B361" s="156" t="inlineStr">
        <is>
          <t>បង្កើតប៉ុងបញ្ញើរាយ</t>
        </is>
      </c>
      <c r="C361" s="165" t="inlineStr">
        <is>
          <t>Create Single Order</t>
        </is>
      </c>
      <c r="D361" s="165" t="inlineStr">
        <is>
          <t>示例备注</t>
        </is>
      </c>
      <c r="E361" s="156" t="inlineStr">
        <is>
          <t>បង្កើតប៉ុងបញ្ញើរាយ</t>
        </is>
      </c>
    </row>
    <row r="362">
      <c r="A362" s="165" t="inlineStr">
        <is>
          <t>createSingleOrder.sender</t>
        </is>
      </c>
      <c r="B362" s="156" t="inlineStr">
        <is>
          <t>អ្នកផ្ញើ</t>
        </is>
      </c>
      <c r="C362" s="165" t="inlineStr">
        <is>
          <t>Sender</t>
        </is>
      </c>
      <c r="D362" s="165" t="inlineStr">
        <is>
          <t>服务</t>
        </is>
      </c>
      <c r="E362" s="156" t="inlineStr">
        <is>
          <t>អ្នកផ្ញើ</t>
        </is>
      </c>
    </row>
    <row r="363">
      <c r="A363" s="165" t="inlineStr">
        <is>
          <t>createSingleOrder.sendAtPostOffice</t>
        </is>
      </c>
      <c r="B363" s="156" t="inlineStr">
        <is>
          <t>ផ្ញើនៅការិយាល័យប្រៃសណីយ៍</t>
        </is>
      </c>
      <c r="C363" s="165" t="inlineStr">
        <is>
          <t>Send at post office</t>
        </is>
      </c>
      <c r="D363" s="165" t="inlineStr">
        <is>
          <t>邮局寄件</t>
        </is>
      </c>
      <c r="E363" s="156" t="inlineStr">
        <is>
          <t>ផ្ញើនៅការិយាល័យប្រៃសណីយ៍</t>
        </is>
      </c>
    </row>
    <row r="364">
      <c r="A364" s="165" t="inlineStr">
        <is>
          <t>createSingleOrder.addressSender</t>
        </is>
      </c>
      <c r="B364" s="156" t="inlineStr">
        <is>
          <t>អាសយដ្ឋានផ្ញើ</t>
        </is>
      </c>
      <c r="C364" s="165" t="inlineStr">
        <is>
          <t>Sender's address</t>
        </is>
      </c>
      <c r="D364" s="165" t="inlineStr">
        <is>
          <t>寄件人地址</t>
        </is>
      </c>
      <c r="E364" s="156" t="inlineStr">
        <is>
          <t>អាសយដ្ឋានផ្ញើ</t>
        </is>
      </c>
    </row>
    <row r="365">
      <c r="A365" s="165" t="inlineStr">
        <is>
          <t>createSingleOrder.addressSenderPlaceholder</t>
        </is>
      </c>
      <c r="B365" s="156" t="inlineStr">
        <is>
          <t>ជ្រើសរើសអាសយដ្ឋានរបស់អ្នកផ្ញើ</t>
        </is>
      </c>
      <c r="C365" s="165" t="inlineStr">
        <is>
          <t>Select sender's address</t>
        </is>
      </c>
      <c r="D365" s="165" t="inlineStr">
        <is>
          <t>选择寄件人地址</t>
        </is>
      </c>
      <c r="E365" s="156" t="inlineStr">
        <is>
          <t>ជ្រើសរើសអាសយដ្ឋានរបស់អ្នកផ្ញើ</t>
        </is>
      </c>
    </row>
    <row r="366">
      <c r="A366" s="165" t="inlineStr">
        <is>
          <t>createSingleOrder.receiver</t>
        </is>
      </c>
      <c r="B366" s="156" t="inlineStr">
        <is>
          <t>អ្នកទទួល</t>
        </is>
      </c>
      <c r="C366" s="165" t="inlineStr">
        <is>
          <t>Receiver</t>
        </is>
      </c>
      <c r="D366" s="165" t="inlineStr">
        <is>
          <t>收件人</t>
        </is>
      </c>
      <c r="E366" s="156" t="inlineStr">
        <is>
          <t>អ្នកទទួល</t>
        </is>
      </c>
    </row>
    <row r="367">
      <c r="A367" s="165" t="inlineStr">
        <is>
          <t>createSingleOrder.phone</t>
        </is>
      </c>
      <c r="B367" s="156" t="inlineStr">
        <is>
          <t>លេខទូរស័ព្ទ</t>
        </is>
      </c>
      <c r="C367" s="165" t="inlineStr">
        <is>
          <t>Phone number</t>
        </is>
      </c>
      <c r="D367" s="165" t="inlineStr">
        <is>
          <t>电话号码</t>
        </is>
      </c>
      <c r="E367" s="156" t="inlineStr">
        <is>
          <t>លេខទូរស័ព្ទ</t>
        </is>
      </c>
    </row>
    <row r="368">
      <c r="A368" s="165" t="inlineStr">
        <is>
          <t>createSingleOrder.phonePlaceholder</t>
        </is>
      </c>
      <c r="B368" s="156" t="inlineStr">
        <is>
          <t>បញ្ចូលលេខទូរស័ព្ទ</t>
        </is>
      </c>
      <c r="C368" s="165" t="inlineStr">
        <is>
          <t>Enter phone number</t>
        </is>
      </c>
      <c r="D368" s="165" t="inlineStr">
        <is>
          <t>请输入电话号码</t>
        </is>
      </c>
      <c r="E368" s="156" t="inlineStr">
        <is>
          <t>បញ្ចូលលេខទូរស័ព្ទ</t>
        </is>
      </c>
    </row>
    <row r="369">
      <c r="A369" s="165" t="inlineStr">
        <is>
          <t>createSingleOrder.fullName</t>
        </is>
      </c>
      <c r="B369" s="156" t="inlineStr">
        <is>
          <t>ឈ្មោះពេញ</t>
        </is>
      </c>
      <c r="C369" s="165" t="inlineStr">
        <is>
          <t>Full name</t>
        </is>
      </c>
      <c r="D369" s="165" t="inlineStr">
        <is>
          <t>姓名</t>
        </is>
      </c>
      <c r="E369" s="156" t="inlineStr">
        <is>
          <t>ឈ្មោះពេញ</t>
        </is>
      </c>
    </row>
    <row r="370">
      <c r="A370" s="165" t="inlineStr">
        <is>
          <t>createSingleOrder.fullNamePlaceholder</t>
        </is>
      </c>
      <c r="B370" s="156" t="inlineStr">
        <is>
          <t>បញ្ចូលឈ្មោះពេញ</t>
        </is>
      </c>
      <c r="C370" s="165" t="inlineStr">
        <is>
          <t>Enter full name</t>
        </is>
      </c>
      <c r="D370" s="165" t="inlineStr">
        <is>
          <t>请输入姓名</t>
        </is>
      </c>
      <c r="E370" s="156" t="inlineStr">
        <is>
          <t>បញ្ចូលឈ្មោះពេញ</t>
        </is>
      </c>
    </row>
    <row r="371">
      <c r="A371" s="165" t="inlineStr">
        <is>
          <t>createSingleOrder.address</t>
        </is>
      </c>
      <c r="B371" s="156" t="inlineStr">
        <is>
          <t>អាសយដ្ឋាន</t>
        </is>
      </c>
      <c r="C371" s="165" t="inlineStr">
        <is>
          <t>Address</t>
        </is>
      </c>
      <c r="D371" s="165" t="inlineStr">
        <is>
          <t>地址</t>
        </is>
      </c>
      <c r="E371" s="156" t="inlineStr">
        <is>
          <t>អាសយដ្ឋាន</t>
        </is>
      </c>
    </row>
    <row r="372">
      <c r="A372" s="165" t="inlineStr">
        <is>
          <t>createSingleOrder.addressPlaceholder</t>
        </is>
      </c>
      <c r="B372" s="156" t="inlineStr">
        <is>
          <t>បញ្ចូលអាសយដ្ឋាន</t>
        </is>
      </c>
      <c r="C372" s="165" t="inlineStr">
        <is>
          <t>Enter address</t>
        </is>
      </c>
      <c r="D372" s="165" t="inlineStr">
        <is>
          <t>请输入地址</t>
        </is>
      </c>
      <c r="E372" s="156" t="inlineStr">
        <is>
          <t>បញ្ចូលអាសយដ្ឋាន</t>
        </is>
      </c>
    </row>
    <row r="373">
      <c r="A373" s="165" t="inlineStr">
        <is>
          <t>createSingleOrder.province</t>
        </is>
      </c>
      <c r="B373" s="156" t="inlineStr">
        <is>
          <t>សហព័ន្ធ/តំបន់</t>
        </is>
      </c>
      <c r="C373" s="165" t="inlineStr">
        <is>
          <t>State/Region</t>
        </is>
      </c>
      <c r="D373" s="165" t="inlineStr">
        <is>
          <t>省/州</t>
        </is>
      </c>
      <c r="E373" s="156" t="inlineStr">
        <is>
          <t>សហព័ន្ធ/តំបន់</t>
        </is>
      </c>
    </row>
    <row r="374">
      <c r="A374" s="165" t="inlineStr">
        <is>
          <t>createSingleOrder.provincePlaceholder</t>
        </is>
      </c>
      <c r="B374" s="156" t="inlineStr">
        <is>
          <t>ជ្រើសរើសសហព័ន្ធ/តំបន់</t>
        </is>
      </c>
      <c r="C374" s="165" t="inlineStr">
        <is>
          <t>Select state/region</t>
        </is>
      </c>
      <c r="D374" s="165" t="inlineStr">
        <is>
          <t>选择省/州</t>
        </is>
      </c>
      <c r="E374" s="156" t="inlineStr">
        <is>
          <t>ជ្រើសរើសសហព័ន្ធ/តំបន់</t>
        </is>
      </c>
    </row>
    <row r="375">
      <c r="A375" s="165" t="inlineStr">
        <is>
          <t>createSingleOrder.district</t>
        </is>
      </c>
      <c r="B375" s="156" t="inlineStr">
        <is>
          <t>មឿង (ស្រុក/ប្រទេស)</t>
        </is>
      </c>
      <c r="C375" s="165" t="inlineStr">
        <is>
          <t>District</t>
        </is>
      </c>
      <c r="D375" s="165" t="inlineStr">
        <is>
          <t>区/县</t>
        </is>
      </c>
      <c r="E375" s="156" t="inlineStr">
        <is>
          <t>មឿង (ស្រុក/ប្រទេស)</t>
        </is>
      </c>
    </row>
    <row r="376">
      <c r="A376" s="165" t="inlineStr">
        <is>
          <t>createSingleOrder.districtPlaceholder</t>
        </is>
      </c>
      <c r="B376" s="156" t="inlineStr">
        <is>
          <t>ជ្រើសរើសមឿង (ស្រុក/ប្រទេស)</t>
        </is>
      </c>
      <c r="C376" s="165" t="inlineStr">
        <is>
          <t>Select district</t>
        </is>
      </c>
      <c r="D376" s="165" t="inlineStr">
        <is>
          <t>选择区/县</t>
        </is>
      </c>
      <c r="E376" s="156" t="inlineStr">
        <is>
          <t>ជ្រើសរើសមឿង (ស្រុក/ប្រទេស)</t>
        </is>
      </c>
    </row>
    <row r="377">
      <c r="A377" s="165" t="inlineStr">
        <is>
          <t>createSingleOrder.ward</t>
        </is>
      </c>
      <c r="B377" s="156" t="inlineStr">
        <is>
          <t>ទីក្រុង</t>
        </is>
      </c>
      <c r="C377" s="165" t="inlineStr">
        <is>
          <t>Town/Neighborhood</t>
        </is>
      </c>
      <c r="D377" s="165" t="inlineStr">
        <is>
          <t>乡镇/街道</t>
        </is>
      </c>
      <c r="E377" s="156" t="inlineStr">
        <is>
          <t>ទីក្រុង</t>
        </is>
      </c>
    </row>
    <row r="378">
      <c r="A378" s="165" t="inlineStr">
        <is>
          <t>createSingleOrder.wardPlaceholder</t>
        </is>
      </c>
      <c r="B378" s="156" t="inlineStr">
        <is>
          <t>ជ្រើសរើសទីក្រុង</t>
        </is>
      </c>
      <c r="C378" s="165" t="inlineStr">
        <is>
          <t>Select town/neighborhood</t>
        </is>
      </c>
      <c r="D378" s="165" t="inlineStr">
        <is>
          <t>选择乡镇/街道</t>
        </is>
      </c>
      <c r="E378" s="156" t="inlineStr">
        <is>
          <t>ជ្រើសរើសទីក្រុង</t>
        </is>
      </c>
    </row>
    <row r="379">
      <c r="A379" s="165" t="inlineStr">
        <is>
          <t>createSingleOrder.parcelInformation</t>
        </is>
      </c>
      <c r="B379" s="156" t="inlineStr">
        <is>
          <t>ព័ត៌មានទំនិញ</t>
        </is>
      </c>
      <c r="C379" s="165" t="inlineStr">
        <is>
          <t>Parcel information</t>
        </is>
      </c>
      <c r="D379" s="165" t="inlineStr">
        <is>
          <t>包裹信息</t>
        </is>
      </c>
      <c r="E379" s="156" t="inlineStr">
        <is>
          <t>ព័ត៌មានទំនិញ</t>
        </is>
      </c>
    </row>
    <row r="380">
      <c r="A380" s="165" t="inlineStr">
        <is>
          <t>createSingleOrder.parcelType</t>
        </is>
      </c>
      <c r="B380" s="156" t="inlineStr">
        <is>
          <t>ប្រភេទមុខទំនិញ</t>
        </is>
      </c>
      <c r="C380" s="165" t="inlineStr">
        <is>
          <t>Parcel type</t>
        </is>
      </c>
      <c r="D380" s="165" t="inlineStr">
        <is>
          <t>包裹类型</t>
        </is>
      </c>
      <c r="E380" s="156" t="inlineStr">
        <is>
          <t>ប្រភេទមុខទំនិញ</t>
        </is>
      </c>
    </row>
    <row r="381">
      <c r="A381" s="165" t="inlineStr">
        <is>
          <t>createSingleOrder.goods</t>
        </is>
      </c>
      <c r="B381" s="156" t="inlineStr">
        <is>
          <t>ក្បាលដី</t>
        </is>
      </c>
      <c r="C381" s="165" t="inlineStr">
        <is>
          <t>Package</t>
        </is>
      </c>
      <c r="D381" s="165" t="inlineStr">
        <is>
          <t>包裹</t>
        </is>
      </c>
      <c r="E381" s="156" t="inlineStr">
        <is>
          <t>ក្បាលដី</t>
        </is>
      </c>
    </row>
    <row r="382">
      <c r="A382" s="165" t="inlineStr">
        <is>
          <t>createSingleOrder.document</t>
        </is>
      </c>
      <c r="B382" s="162" t="inlineStr">
        <is>
          <t>ឯកសារ</t>
        </is>
      </c>
      <c r="C382" s="165" t="inlineStr">
        <is>
          <t>Document</t>
        </is>
      </c>
      <c r="D382" s="165" t="inlineStr">
        <is>
          <t>文件</t>
        </is>
      </c>
      <c r="E382" s="156" t="inlineStr">
        <is>
          <t>ឯកសារ</t>
        </is>
      </c>
    </row>
    <row r="383">
      <c r="A383" s="165" t="inlineStr">
        <is>
          <t>createSingleOrder.parcel</t>
        </is>
      </c>
      <c r="B383" s="162" t="inlineStr">
        <is>
          <t>ទំនិញ</t>
        </is>
      </c>
      <c r="C383" s="165" t="inlineStr">
        <is>
          <t>Goods</t>
        </is>
      </c>
      <c r="D383" s="165" t="inlineStr">
        <is>
          <t>货物/商品</t>
        </is>
      </c>
      <c r="E383" s="156" t="inlineStr">
        <is>
          <t>ទំនិញ</t>
        </is>
      </c>
    </row>
    <row r="384">
      <c r="A384" s="165" t="inlineStr">
        <is>
          <t>createSingleOrder.parcelName</t>
        </is>
      </c>
      <c r="B384" s="162" t="inlineStr">
        <is>
          <t>ឈ្មោះទំនិញ</t>
        </is>
      </c>
      <c r="C384" s="165" t="inlineStr">
        <is>
          <t>Parcel name</t>
        </is>
      </c>
      <c r="D384" s="165" t="inlineStr">
        <is>
          <t>包裹名称</t>
        </is>
      </c>
      <c r="E384" s="156" t="inlineStr">
        <is>
          <t>ឈ្មោះទំនិញ</t>
        </is>
      </c>
    </row>
    <row r="385">
      <c r="A385" s="165" t="inlineStr">
        <is>
          <t>createSingleOrder.parcelQuantity</t>
        </is>
      </c>
      <c r="B385" s="162" t="inlineStr">
        <is>
          <t>បរិមាណ</t>
        </is>
      </c>
      <c r="C385" s="165" t="inlineStr">
        <is>
          <t>Quantity</t>
        </is>
      </c>
      <c r="D385" s="165" t="inlineStr">
        <is>
          <t>数量</t>
        </is>
      </c>
      <c r="E385" s="156" t="inlineStr">
        <is>
          <t>បរិមាណ</t>
        </is>
      </c>
    </row>
    <row r="386">
      <c r="A386" s="165" t="inlineStr">
        <is>
          <t>createSingleOrder.parcelWeight</t>
        </is>
      </c>
      <c r="B386" s="162" t="inlineStr">
        <is>
          <t>ទម្ងន់ (ក្រាម)</t>
        </is>
      </c>
      <c r="C386" s="165" t="inlineStr">
        <is>
          <t>Weight (g)</t>
        </is>
      </c>
      <c r="D386" s="165" t="inlineStr">
        <is>
          <t>重量 (克)</t>
        </is>
      </c>
      <c r="E386" s="156" t="inlineStr">
        <is>
          <t>ទម្ងន់ (ក្រាម)</t>
        </is>
      </c>
    </row>
    <row r="387">
      <c r="A387" s="165" t="inlineStr">
        <is>
          <t>createSingleOrder.parcelValue</t>
        </is>
      </c>
      <c r="B387" s="162" t="inlineStr">
        <is>
          <t>តម្លៃ (ប្រទេស/ប្រាក់)</t>
        </is>
      </c>
      <c r="C387" s="165" t="inlineStr">
        <is>
          <t>Value ({{countryMoney}})</t>
        </is>
      </c>
      <c r="D387" s="165" t="inlineStr">
        <is>
          <t>声明价值 ({{countryMoney}})</t>
        </is>
      </c>
      <c r="E387" s="156" t="inlineStr">
        <is>
          <t>តម្លៃ (ប្រទេស/ប្រាក់)</t>
        </is>
      </c>
    </row>
    <row r="388">
      <c r="A388" s="165" t="inlineStr">
        <is>
          <t>createSingleOrder.validateParcel</t>
        </is>
      </c>
      <c r="B388" s="162" t="inlineStr">
        <is>
          <t>ព័ត៌មានទំនិញត្រូវតែបញ្ចូលឲ្យបានពេញលេញ</t>
        </is>
      </c>
      <c r="C388" s="165" t="inlineStr">
        <is>
          <t>Parcel information must be fully entered</t>
        </is>
      </c>
      <c r="D388" s="165" t="inlineStr">
        <is>
          <t>请完整填写包裹信息</t>
        </is>
      </c>
      <c r="E388" s="156" t="inlineStr">
        <is>
          <t>ព័ត៌មានទំនិញត្រូវតែបញ្ចូលឲ្យបានពេញលេញ</t>
        </is>
      </c>
    </row>
    <row r="389">
      <c r="A389" s="165" t="inlineStr">
        <is>
          <t>createSingleOrder.totalWeight</t>
        </is>
      </c>
      <c r="B389" s="162" t="inlineStr">
        <is>
          <t>ទម្ងន់</t>
        </is>
      </c>
      <c r="C389" s="165" t="inlineStr">
        <is>
          <t>Total weight</t>
        </is>
      </c>
      <c r="D389" s="165" t="inlineStr">
        <is>
          <t>总重量</t>
        </is>
      </c>
      <c r="E389" s="156" t="inlineStr">
        <is>
          <t>ទម្ងន់</t>
        </is>
      </c>
    </row>
    <row r="390">
      <c r="A390" s="165" t="inlineStr">
        <is>
          <t>createSingleOrder.totalValue</t>
        </is>
      </c>
      <c r="B390" s="162" t="inlineStr">
        <is>
          <t>តម្លៃសរុប</t>
        </is>
      </c>
      <c r="C390" s="165" t="inlineStr">
        <is>
          <t>Total value</t>
        </is>
      </c>
      <c r="D390" s="165" t="inlineStr">
        <is>
          <t>总声明价值</t>
        </is>
      </c>
      <c r="E390" s="156" t="inlineStr">
        <is>
          <t>តម្លៃសរុប</t>
        </is>
      </c>
    </row>
    <row r="391">
      <c r="A391" s="165" t="inlineStr">
        <is>
          <t>createSingleOrder.size</t>
        </is>
      </c>
      <c r="B391" s="162" t="inlineStr">
        <is>
          <t>ទំហំ(ប្រវែង+ទទឹង+កម្ពស់)(សង់ទីម៉ែត)</t>
        </is>
      </c>
      <c r="C391" s="165" t="inlineStr">
        <is>
          <t>Size (L+W+H) (cm)</t>
        </is>
      </c>
      <c r="D391" s="165" t="inlineStr">
        <is>
          <t>尺寸</t>
        </is>
      </c>
      <c r="E391" s="156" t="inlineStr">
        <is>
          <t>ទំហំ(ប្រវែង+ទទឹង+កម្ពស់)(សង់ទីម៉ែត)</t>
        </is>
      </c>
    </row>
    <row r="392">
      <c r="A392" s="165" t="inlineStr">
        <is>
          <t>createSingleOrder.sizePlaceholder</t>
        </is>
      </c>
      <c r="B392" s="162" t="inlineStr">
        <is>
          <t>បញ្ចូលប្រវែង+ទទឹង+កម្ពស់</t>
        </is>
      </c>
      <c r="C392" s="165" t="inlineStr">
        <is>
          <t>Enter Length + Width + Height</t>
        </is>
      </c>
      <c r="D392" s="157" t="inlineStr">
        <is>
          <t>--</t>
        </is>
      </c>
      <c r="E392" s="156" t="inlineStr">
        <is>
          <t>បញ្ចូលប្រវែង+ទទឹង+កម្ពស់</t>
        </is>
      </c>
    </row>
    <row r="393">
      <c r="A393" s="165" t="inlineStr">
        <is>
          <t>createSingleOrder.length</t>
        </is>
      </c>
      <c r="B393" s="156" t="inlineStr">
        <is>
          <t>ប្រវែង(សង់ទីម៉ែត)</t>
        </is>
      </c>
      <c r="C393" s="165" t="inlineStr">
        <is>
          <t>Length (cm)</t>
        </is>
      </c>
      <c r="D393" s="165" t="inlineStr">
        <is>
          <t>长度（厘米）</t>
        </is>
      </c>
      <c r="E393" s="156" t="inlineStr">
        <is>
          <t>ប្រវែង(សង់ទីម៉ែត)</t>
        </is>
      </c>
    </row>
    <row r="394">
      <c r="A394" s="165" t="inlineStr">
        <is>
          <t>createSingleOrder.width</t>
        </is>
      </c>
      <c r="B394" s="156" t="inlineStr">
        <is>
          <t>ទទឹង(សង់ទីម៉ែត)</t>
        </is>
      </c>
      <c r="C394" s="165" t="inlineStr">
        <is>
          <t>Width (cm)</t>
        </is>
      </c>
      <c r="D394" s="165" t="inlineStr">
        <is>
          <t>宽度 (厘米)</t>
        </is>
      </c>
      <c r="E394" s="156" t="inlineStr">
        <is>
          <t>ទទឹង(សង់ទីម៉ែត)</t>
        </is>
      </c>
    </row>
    <row r="395">
      <c r="A395" s="165" t="inlineStr">
        <is>
          <t>createSingleOrder.height</t>
        </is>
      </c>
      <c r="B395" s="156" t="inlineStr">
        <is>
          <t>កម្ពស់(សង់ទីម៉ែត)</t>
        </is>
      </c>
      <c r="C395" s="165" t="inlineStr">
        <is>
          <t>Height (cm)</t>
        </is>
      </c>
      <c r="D395" s="165" t="inlineStr">
        <is>
          <t>高度（厘米）</t>
        </is>
      </c>
      <c r="E395" s="156" t="inlineStr">
        <is>
          <t>កម្ពស់(សង់ទីម៉ែត)</t>
        </is>
      </c>
    </row>
    <row r="396">
      <c r="A396" s="165" t="inlineStr">
        <is>
          <t>createSingleOrder.parcelLength</t>
        </is>
      </c>
      <c r="B396" s="156" t="inlineStr">
        <is>
          <t>ប្រវែង</t>
        </is>
      </c>
      <c r="C396" s="165" t="inlineStr">
        <is>
          <t>length</t>
        </is>
      </c>
      <c r="D396" s="157" t="inlineStr">
        <is>
          <t>--</t>
        </is>
      </c>
      <c r="E396" s="156" t="inlineStr">
        <is>
          <t>ប្រវែង</t>
        </is>
      </c>
    </row>
    <row r="397">
      <c r="A397" s="165" t="inlineStr">
        <is>
          <t>createSingleOrder.parcelWidth</t>
        </is>
      </c>
      <c r="B397" s="156" t="inlineStr">
        <is>
          <t>បណ្តោយ</t>
        </is>
      </c>
      <c r="C397" s="165" t="inlineStr">
        <is>
          <t>width</t>
        </is>
      </c>
      <c r="D397" s="157" t="inlineStr">
        <is>
          <t>--</t>
        </is>
      </c>
      <c r="E397" s="156" t="inlineStr">
        <is>
          <t>បណ្តោយ</t>
        </is>
      </c>
    </row>
    <row r="398">
      <c r="A398" s="165" t="inlineStr">
        <is>
          <t>createSingleOrder.parcelHeight</t>
        </is>
      </c>
      <c r="B398" s="156" t="inlineStr">
        <is>
          <t>កម្ពស់</t>
        </is>
      </c>
      <c r="C398" s="165" t="inlineStr">
        <is>
          <t>height</t>
        </is>
      </c>
      <c r="D398" s="157" t="inlineStr">
        <is>
          <t>--</t>
        </is>
      </c>
      <c r="E398" s="156" t="inlineStr">
        <is>
          <t>កម្ពស់</t>
        </is>
      </c>
    </row>
    <row r="399">
      <c r="A399" s="165" t="inlineStr">
        <is>
          <t>createSingleOrder.codInformation</t>
        </is>
      </c>
      <c r="B399" s="156" t="inlineStr">
        <is>
          <t>ព័ត៌មានថ្លៃសេវា</t>
        </is>
      </c>
      <c r="C399" s="165" t="inlineStr">
        <is>
          <t>COD information</t>
        </is>
      </c>
      <c r="D399" s="165" t="inlineStr">
        <is>
          <t>代收货款信息</t>
        </is>
      </c>
      <c r="E399" s="156" t="inlineStr">
        <is>
          <t>ព័ត៌មានថ្លៃសេវា</t>
        </is>
      </c>
    </row>
    <row r="400">
      <c r="A400" s="165" t="inlineStr">
        <is>
          <t>createSingleOrder.collectionMoney</t>
        </is>
      </c>
      <c r="B400" s="156" t="inlineStr">
        <is>
          <t>ប្រាក់ប្រមូលជំនួស (COD)</t>
        </is>
      </c>
      <c r="C400" s="165" t="inlineStr">
        <is>
          <t>Cash on delivery</t>
        </is>
      </c>
      <c r="D400" s="165" t="inlineStr">
        <is>
          <t>货到付款</t>
        </is>
      </c>
      <c r="E400" s="156" t="inlineStr">
        <is>
          <t>ប្រាក់ប្រមូលជំនួស (COD)</t>
        </is>
      </c>
    </row>
    <row r="401">
      <c r="A401" s="165" t="inlineStr">
        <is>
          <t>createSingleOrder.codLabel</t>
        </is>
      </c>
      <c r="B401" s="156" t="inlineStr">
        <is>
          <t>ប្រមូលជំនួសដោយប្រាក់អីវ៉ាន់</t>
        </is>
      </c>
      <c r="C401" s="165" t="inlineStr">
        <is>
          <t>Cash on delivery for goods</t>
        </is>
      </c>
      <c r="D401" s="165" t="inlineStr">
        <is>
          <t>商品代收款</t>
        </is>
      </c>
      <c r="E401" s="156" t="inlineStr">
        <is>
          <t>ប្រមូលជំនួសដោយប្រាក់អីវ៉ាន់</t>
        </is>
      </c>
    </row>
    <row r="402">
      <c r="A402" s="165" t="inlineStr">
        <is>
          <t>createSingleOrder.codLabel2</t>
        </is>
      </c>
      <c r="B402" s="156" t="inlineStr">
        <is>
          <t>បុងបញ្ញើមានប្រាក់COD</t>
        </is>
      </c>
      <c r="C402" s="165" t="inlineStr">
        <is>
          <t>Order with COD</t>
        </is>
      </c>
      <c r="D402" s="165" t="inlineStr">
        <is>
          <t>代收货款订单</t>
        </is>
      </c>
      <c r="E402" s="156" t="inlineStr">
        <is>
          <t>បុងបញ្ញើមានប្រាក់COD</t>
        </is>
      </c>
    </row>
    <row r="403">
      <c r="A403" s="165" t="inlineStr">
        <is>
          <t>createSingleOrder.payer</t>
        </is>
      </c>
      <c r="B403" s="156" t="inlineStr">
        <is>
          <t>អ្នកចេញថ្លៃសេវា</t>
        </is>
      </c>
      <c r="C403" s="165" t="inlineStr">
        <is>
          <t>Payer</t>
        </is>
      </c>
      <c r="D403" s="165" t="inlineStr">
        <is>
          <t>付款方</t>
        </is>
      </c>
      <c r="E403" s="156" t="inlineStr">
        <is>
          <t>អ្នកចេញថ្លៃសេវា</t>
        </is>
      </c>
    </row>
    <row r="404">
      <c r="A404" s="165" t="inlineStr">
        <is>
          <t>createSingleOrder.seller</t>
        </is>
      </c>
      <c r="B404" s="156" t="inlineStr">
        <is>
          <t>អ្នកផ្ញើ</t>
        </is>
      </c>
      <c r="C404" s="165" t="inlineStr">
        <is>
          <t>Sender</t>
        </is>
      </c>
      <c r="D404" s="165" t="inlineStr">
        <is>
          <t>寄件人</t>
        </is>
      </c>
      <c r="E404" s="156" t="inlineStr">
        <is>
          <t>អ្នកផ្ញើ</t>
        </is>
      </c>
    </row>
    <row r="405">
      <c r="A405" s="165" t="inlineStr">
        <is>
          <t>createSingleOrder.consignee</t>
        </is>
      </c>
      <c r="B405" s="156" t="inlineStr">
        <is>
          <t>អ្នកទទួល</t>
        </is>
      </c>
      <c r="C405" s="165" t="inlineStr">
        <is>
          <t>Receiver</t>
        </is>
      </c>
      <c r="D405" s="165" t="inlineStr">
        <is>
          <t>收件人</t>
        </is>
      </c>
      <c r="E405" s="156" t="inlineStr">
        <is>
          <t>អ្នកទទួល</t>
        </is>
      </c>
    </row>
    <row r="406">
      <c r="A406" s="165" t="inlineStr">
        <is>
          <t>createSingleOrder.totalMoney</t>
        </is>
      </c>
      <c r="B406" s="156" t="inlineStr">
        <is>
          <t>ថ្លៃដឹកជញ្ជូនសរុប</t>
        </is>
      </c>
      <c r="C406" s="165" t="inlineStr">
        <is>
          <t>Total fee</t>
        </is>
      </c>
      <c r="D406" s="165" t="inlineStr">
        <is>
          <t>费用总计</t>
        </is>
      </c>
      <c r="E406" s="156" t="inlineStr">
        <is>
          <t>ថ្លៃដឹកជញ្ជូនសរុប</t>
        </is>
      </c>
    </row>
    <row r="407">
      <c r="A407" s="165" t="inlineStr">
        <is>
          <t>createSingleOrder.service</t>
        </is>
      </c>
      <c r="B407" s="156" t="inlineStr">
        <is>
          <t>សេវាកម្ម</t>
        </is>
      </c>
      <c r="C407" s="165" t="inlineStr">
        <is>
          <t>Service</t>
        </is>
      </c>
      <c r="D407" s="165" t="inlineStr">
        <is>
          <t>服务</t>
        </is>
      </c>
      <c r="E407" s="156" t="inlineStr">
        <is>
          <t>សេវាកម្ម</t>
        </is>
      </c>
    </row>
    <row r="408">
      <c r="A408" s="165" t="inlineStr">
        <is>
          <t>createSingleOrder.VAT</t>
        </is>
      </c>
      <c r="B408" s="156" t="inlineStr">
        <is>
          <t>VAT</t>
        </is>
      </c>
      <c r="C408" s="165" t="inlineStr">
        <is>
          <t>VAT</t>
        </is>
      </c>
      <c r="D408" s="165" t="inlineStr">
        <is>
          <t>增值税</t>
        </is>
      </c>
      <c r="E408" s="156" t="inlineStr">
        <is>
          <t>VAT</t>
        </is>
      </c>
    </row>
    <row r="409">
      <c r="A409" s="165" t="inlineStr">
        <is>
          <t>createSingleOrder.totalCod</t>
        </is>
      </c>
      <c r="B409" s="156" t="inlineStr">
        <is>
          <t>ថ្លៃដឹកជញ្ជូនសរុប</t>
        </is>
      </c>
      <c r="C409" s="165" t="inlineStr">
        <is>
          <t>Total COD</t>
        </is>
      </c>
      <c r="D409" s="165" t="inlineStr">
        <is>
          <t>代收货款总额</t>
        </is>
      </c>
      <c r="E409" s="156" t="inlineStr">
        <is>
          <t>ថ្លៃដឹកជញ្ជូនសរុប</t>
        </is>
      </c>
    </row>
    <row r="410">
      <c r="A410" s="165" t="inlineStr">
        <is>
          <t>createSingleOrder.renew</t>
        </is>
      </c>
      <c r="B410" s="156" t="inlineStr">
        <is>
          <t>ផ្ទុកឡើងវិញ</t>
        </is>
      </c>
      <c r="C410" s="165" t="inlineStr">
        <is>
          <t>Refresh</t>
        </is>
      </c>
      <c r="D410" s="165" t="inlineStr">
        <is>
          <t>刷新</t>
        </is>
      </c>
      <c r="E410" s="156" t="inlineStr">
        <is>
          <t>ផ្ទុកឡើងវិញ</t>
        </is>
      </c>
    </row>
    <row r="411">
      <c r="A411" s="165" t="inlineStr">
        <is>
          <t>createSingleOrder.saveDraft</t>
        </is>
      </c>
      <c r="B411" s="156" t="inlineStr">
        <is>
          <t>រក្សាទុកជាគម្រូ</t>
        </is>
      </c>
      <c r="C411" s="165" t="inlineStr">
        <is>
          <t>Save draft</t>
        </is>
      </c>
      <c r="D411" s="165" t="inlineStr">
        <is>
          <t>保存草稿</t>
        </is>
      </c>
      <c r="E411" s="156" t="inlineStr">
        <is>
          <t>រក្សាទុកជាគម្រូ</t>
        </is>
      </c>
    </row>
    <row r="412">
      <c r="A412" s="165" t="inlineStr">
        <is>
          <t>createSingleOrder.mainService</t>
        </is>
      </c>
      <c r="B412" s="156" t="inlineStr">
        <is>
          <t>សេវាកម្មសំខាន់</t>
        </is>
      </c>
      <c r="C412" s="165" t="inlineStr">
        <is>
          <t>Main service</t>
        </is>
      </c>
      <c r="D412" s="165" t="inlineStr">
        <is>
          <t>主要服务</t>
        </is>
      </c>
      <c r="E412" s="156" t="inlineStr">
        <is>
          <t>សេវាកម្មសំខាន់</t>
        </is>
      </c>
    </row>
    <row r="413">
      <c r="A413" s="165" t="inlineStr">
        <is>
          <t>createSingleOrder.weightCalculator</t>
        </is>
      </c>
      <c r="B413" s="156" t="inlineStr">
        <is>
          <t>ទម្ងន់គិតថ្លៃសេវា</t>
        </is>
      </c>
      <c r="C413" s="165" t="inlineStr">
        <is>
          <t>Chargeable weight</t>
        </is>
      </c>
      <c r="D413" s="165" t="inlineStr">
        <is>
          <t>计费重量</t>
        </is>
      </c>
      <c r="E413" s="156" t="inlineStr">
        <is>
          <t>ទម្ងន់គិតថ្លៃសេវា</t>
        </is>
      </c>
    </row>
    <row r="414">
      <c r="A414" s="165" t="inlineStr">
        <is>
          <t>createSingleOrder.addService</t>
        </is>
      </c>
      <c r="B414" s="156" t="inlineStr">
        <is>
          <t>សេវាកម្មបូកបន្ថែម</t>
        </is>
      </c>
      <c r="C414" s="165" t="inlineStr">
        <is>
          <t>Additional service ({{total}})</t>
        </is>
      </c>
      <c r="D414" s="165" t="inlineStr">
        <is>
          <t>附加服务 ({{total}})</t>
        </is>
      </c>
      <c r="E414" s="156" t="inlineStr">
        <is>
          <t>សេវាកម្មបូកបន្ថែម</t>
        </is>
      </c>
    </row>
    <row r="415">
      <c r="A415" s="165" t="inlineStr">
        <is>
          <t>createSingleOrder.titleConfirmReset</t>
        </is>
      </c>
      <c r="B415" s="156" t="inlineStr">
        <is>
          <t>តើអ្នកពិតជាចង់បង្កើតបុងបញ្ញើអីវ៉ាន់មួយផ្សេងទៀតដែរទេ?</t>
        </is>
      </c>
      <c r="C415" s="165" t="inlineStr">
        <is>
          <t>Are you sure you want to create another order?</t>
        </is>
      </c>
      <c r="D415" s="165" t="inlineStr">
        <is>
          <t>确认要创建另一个订单吗？</t>
        </is>
      </c>
      <c r="E415" s="156" t="inlineStr">
        <is>
          <t>តើអ្នកពិតជាចង់បង្កើតបុងបញ្ញើអីវ៉ាន់មួយផ្សេងទៀតដែរទេ?</t>
        </is>
      </c>
    </row>
    <row r="416">
      <c r="A416" s="165" t="inlineStr">
        <is>
          <t>createSingleOrder.descConfirmReset</t>
        </is>
      </c>
      <c r="B416" s="156" t="inlineStr">
        <is>
          <t>ចំណាំ៖ រាល់ឯកសារកក្នុងពេលបច្ចុប្បន្នទាំងអស់នឹងត្រូវបានបាត់</t>
        </is>
      </c>
      <c r="C416" s="165" t="inlineStr">
        <is>
          <t>Note: All current data will be lost</t>
        </is>
      </c>
      <c r="D416" s="165" t="inlineStr">
        <is>
          <t>注意：所有当前数据将会丢失</t>
        </is>
      </c>
      <c r="E416" s="156" t="inlineStr">
        <is>
          <t>ចំណាំ៖ រាល់ឯកសារកក្នុងពេលបច្ចុប្បន្នទាំងអស់នឹងត្រូវបានបាត់</t>
        </is>
      </c>
    </row>
    <row r="417">
      <c r="A417" s="165" t="inlineStr">
        <is>
          <t>createSingleOrder.titleSaveDraft</t>
        </is>
      </c>
      <c r="B417" s="156" t="inlineStr">
        <is>
          <t>អតិថិជនពិតជាចង់រក្សាទុកក្រដាសព្រៀងបុងបញ្ញើនេះដែរទេ?</t>
        </is>
      </c>
      <c r="C417" s="165" t="inlineStr">
        <is>
          <t>Are you sure you want to save this order draft?</t>
        </is>
      </c>
      <c r="D417" s="165" t="inlineStr">
        <is>
          <t>确认要保存此订单草稿吗？</t>
        </is>
      </c>
      <c r="E417" s="156" t="inlineStr">
        <is>
          <t>អតិថិជនពិតជាចង់រក្សាទុកក្រដាសព្រៀងបុងបញ្ញើនេះដែរទេ?</t>
        </is>
      </c>
    </row>
    <row r="418">
      <c r="A418" s="165" t="inlineStr">
        <is>
          <t>createSingleOrder.createOrder</t>
        </is>
      </c>
      <c r="B418" s="156" t="inlineStr">
        <is>
          <t>អតិថិជនពិតជាចង់បង្កើតបុងបញ្ញើអីវ៉ាន់នេះមែនទេ?</t>
        </is>
      </c>
      <c r="C418" s="165" t="inlineStr">
        <is>
          <t>Are you sure you want to create this order?</t>
        </is>
      </c>
      <c r="D418" s="165" t="inlineStr">
        <is>
          <t>确认要创建此订单吗？</t>
        </is>
      </c>
      <c r="E418" s="156" t="inlineStr">
        <is>
          <t>អតិថិជនពិតជាចង់បង្កើតបុងបញ្ញើអីវ៉ាន់នេះមែនទេ?</t>
        </is>
      </c>
    </row>
    <row r="419">
      <c r="A419" s="165" t="inlineStr">
        <is>
          <t>createSingleOrder.createSuccess</t>
        </is>
      </c>
      <c r="B419" s="156" t="inlineStr">
        <is>
          <t>បានបង្កើតនិងដាក់ស្នើបុងបញ្ញើបានជោគជ័យ</t>
        </is>
      </c>
      <c r="C419" s="165" t="inlineStr">
        <is>
          <t>Order created and submitted for approval successfully</t>
        </is>
      </c>
      <c r="D419" s="165" t="inlineStr">
        <is>
          <t>订单已创建并提交深刻成功</t>
        </is>
      </c>
      <c r="E419" s="156" t="inlineStr">
        <is>
          <t>បានបង្កើតនិងដាក់ស្នើបុងបញ្ញើបានជោគជ័យ</t>
        </is>
      </c>
    </row>
    <row r="420">
      <c r="A420" s="165" t="inlineStr">
        <is>
          <t>createSingleOrder.printDescription</t>
        </is>
      </c>
      <c r="B420" s="156" t="inlineStr">
        <is>
          <t>ចំនួនច្បាប់ត្រូវព្រីនលើសពី១បុងបញ្ញើ</t>
        </is>
      </c>
      <c r="C420" s="165" t="inlineStr">
        <is>
          <t>Number of copies to print on one order</t>
        </is>
      </c>
      <c r="D420" s="165" t="inlineStr">
        <is>
          <t>订单打印份数</t>
        </is>
      </c>
      <c r="E420" s="156" t="inlineStr">
        <is>
          <t>ចំនួនច្បាប់ត្រូវព្រីនលើសពី១បុងបញ្ញើ</t>
        </is>
      </c>
    </row>
    <row r="421">
      <c r="A421" s="165" t="inlineStr">
        <is>
          <t>createSingleOrder.page</t>
        </is>
      </c>
      <c r="B421" s="156" t="inlineStr">
        <is>
          <t>ច្បាប់</t>
        </is>
      </c>
      <c r="C421" s="165" t="inlineStr">
        <is>
          <t>copy</t>
        </is>
      </c>
      <c r="D421" s="165" t="inlineStr">
        <is>
          <t>复制</t>
        </is>
      </c>
      <c r="E421" s="156" t="inlineStr">
        <is>
          <t>ច្បាប់</t>
        </is>
      </c>
    </row>
    <row r="422">
      <c r="A422" s="165" t="inlineStr">
        <is>
          <t>createSingleOrder.saveDraftSuccess</t>
        </is>
      </c>
      <c r="B422" s="156" t="inlineStr">
        <is>
          <t>រក្សាទុកក្រដាសព្រៀងបុងបញ្ញើបានជោគជ័យ!</t>
        </is>
      </c>
      <c r="C422" s="165" t="inlineStr">
        <is>
          <t>Order draft saved successfully!</t>
        </is>
      </c>
      <c r="D422" s="165" t="inlineStr">
        <is>
          <t>订单草稿保存成功！</t>
        </is>
      </c>
      <c r="E422" s="156" t="inlineStr">
        <is>
          <t>រក្សាទុកក្រដាសព្រៀងបុងបញ្ញើបានជោគជ័យ!</t>
        </is>
      </c>
    </row>
    <row r="423">
      <c r="A423" s="165" t="inlineStr">
        <is>
          <t>createSingleOrder.validatePhone</t>
        </is>
      </c>
      <c r="B423" s="156" t="inlineStr">
        <is>
          <t>លេខទូរស័ព្ទមិនសមស្រប!</t>
        </is>
      </c>
      <c r="C423" s="165" t="inlineStr">
        <is>
          <t>Invalid phone number!</t>
        </is>
      </c>
      <c r="D423" s="165" t="inlineStr">
        <is>
          <t>电话号码无效！</t>
        </is>
      </c>
      <c r="E423" s="156" t="inlineStr">
        <is>
          <t>លេខទូរស័ព្ទមិនសមស្រប!</t>
        </is>
      </c>
    </row>
    <row r="424">
      <c r="A424" s="165" t="inlineStr">
        <is>
          <t>createSingleOrder.pickupAppointment</t>
        </is>
      </c>
      <c r="B424" s="156" t="inlineStr">
        <is>
          <t>ពេលវេលាណាត់យកអីវ៉ាន់</t>
        </is>
      </c>
      <c r="C424" s="165" t="inlineStr">
        <is>
          <t>Pickup appointment time</t>
        </is>
      </c>
      <c r="D424" s="165" t="inlineStr">
        <is>
          <t>预约取件时间</t>
        </is>
      </c>
      <c r="E424" s="156" t="inlineStr">
        <is>
          <t>ពេលវេលាណាត់យកអីវ៉ាន់</t>
        </is>
      </c>
    </row>
    <row r="425">
      <c r="A425" s="165" t="inlineStr">
        <is>
          <t>createSingleOrder.deliveryAppointment</t>
        </is>
      </c>
      <c r="B425" s="156" t="inlineStr">
        <is>
          <t>ពេលវេលាណាត់ប្រគល់អីវ៉ាន់</t>
        </is>
      </c>
      <c r="C425" s="165" t="inlineStr">
        <is>
          <t>Delivery appointment time</t>
        </is>
      </c>
      <c r="D425" s="165" t="inlineStr">
        <is>
          <t>预约派送时间</t>
        </is>
      </c>
      <c r="E425" s="156" t="inlineStr">
        <is>
          <t>ពេលវេលាណាត់ប្រគល់អីវ៉ាន់</t>
        </is>
      </c>
    </row>
    <row r="426">
      <c r="A426" s="165" t="inlineStr">
        <is>
          <t>createSingleOrder.all_day</t>
        </is>
      </c>
      <c r="B426" s="156" t="inlineStr">
        <is>
          <t>ពេញមួយថ្ងៃ</t>
        </is>
      </c>
      <c r="C426" s="165" t="inlineStr">
        <is>
          <t>All day</t>
        </is>
      </c>
      <c r="D426" s="165" t="inlineStr">
        <is>
          <t>全天</t>
        </is>
      </c>
      <c r="E426" s="156" t="inlineStr">
        <is>
          <t>ពេញមួយថ្ងៃ</t>
        </is>
      </c>
    </row>
    <row r="427">
      <c r="A427" s="165" t="inlineStr">
        <is>
          <t>createSingleOrder.morning</t>
        </is>
      </c>
      <c r="B427" s="156" t="inlineStr">
        <is>
          <t>ពេលព្រឹក (7:00-12:00)</t>
        </is>
      </c>
      <c r="C427" s="165" t="inlineStr">
        <is>
          <t>Morning (7:00 AM - 12:00 PM)</t>
        </is>
      </c>
      <c r="D427" s="165" t="inlineStr">
        <is>
          <t>上午 (7:00 - 12:00)</t>
        </is>
      </c>
      <c r="E427" s="156" t="inlineStr">
        <is>
          <t>ពេលព្រឹក (7:00-12:00)</t>
        </is>
      </c>
    </row>
    <row r="428">
      <c r="A428" s="165" t="inlineStr">
        <is>
          <t>createSingleOrder.afternoon</t>
        </is>
      </c>
      <c r="B428" s="156" t="inlineStr">
        <is>
          <t>ពេលរសៀល (13:00-18:00)</t>
        </is>
      </c>
      <c r="C428" s="165" t="inlineStr">
        <is>
          <t>Afternoon (1:00 PM - 6:00 PM)</t>
        </is>
      </c>
      <c r="D428" s="165" t="inlineStr">
        <is>
          <t>下午 (13:00 - 18:00)</t>
        </is>
      </c>
      <c r="E428" s="156" t="inlineStr">
        <is>
          <t>ពេលរសៀល (13:00-18:00)</t>
        </is>
      </c>
    </row>
    <row r="429">
      <c r="A429" s="165" t="inlineStr">
        <is>
          <t>createSingleOrder.night</t>
        </is>
      </c>
      <c r="B429" s="156" t="inlineStr">
        <is>
          <t>ពេលយប់ (18:00-21:00)</t>
        </is>
      </c>
      <c r="C429" s="165" t="inlineStr">
        <is>
          <t>Evening (6:00 PM - 9:00 PM)</t>
        </is>
      </c>
      <c r="D429" s="165" t="inlineStr">
        <is>
          <t>晚上 (18:00 - 21:00)</t>
        </is>
      </c>
      <c r="E429" s="156" t="inlineStr">
        <is>
          <t>ពេលយប់ (18:00-21:00)</t>
        </is>
      </c>
    </row>
    <row r="430">
      <c r="A430" s="165" t="inlineStr">
        <is>
          <t>createSingleOrder.office_hours</t>
        </is>
      </c>
      <c r="B430" s="156" t="inlineStr">
        <is>
          <t>ពេលវេលាធ្វើការ (7:00-11:00, 13:00-18:00)</t>
        </is>
      </c>
      <c r="C430" s="165" t="inlineStr">
        <is>
          <t>Office hours (7:00 AM - 11:00 AM, 1:00 PM - 6:00 PM)</t>
        </is>
      </c>
      <c r="D430" s="165" t="inlineStr">
        <is>
          <t>办公时间 (7:00-11:00, 13:00-18:00)</t>
        </is>
      </c>
      <c r="E430" s="156" t="inlineStr">
        <is>
          <t>ពេលវេលាធ្វើការ (7:00-11:00, 13:00-18:00)</t>
        </is>
      </c>
    </row>
    <row r="431">
      <c r="A431" s="165" t="inlineStr">
        <is>
          <t>createSingleOrder.sunday</t>
        </is>
      </c>
      <c r="B431" s="156" t="inlineStr">
        <is>
          <t>ថ្ងៃអាទិត្យ</t>
        </is>
      </c>
      <c r="C431" s="165" t="inlineStr">
        <is>
          <t>Sunday</t>
        </is>
      </c>
      <c r="D431" s="165" t="inlineStr">
        <is>
          <t>周日</t>
        </is>
      </c>
      <c r="E431" s="156" t="inlineStr">
        <is>
          <t>ថ្ងៃអាទិត្យ</t>
        </is>
      </c>
    </row>
    <row r="432">
      <c r="A432" s="165" t="inlineStr">
        <is>
          <t>createSingleOrder.warehouseManager</t>
        </is>
      </c>
      <c r="B432" s="156" t="inlineStr">
        <is>
          <t>គ្រប់គ្រងឃ្លាំងផ្ញើអីវ៉ាន់</t>
        </is>
      </c>
      <c r="C432" s="165" t="inlineStr">
        <is>
          <t>Warehouse manager</t>
        </is>
      </c>
      <c r="D432" s="165" t="inlineStr">
        <is>
          <t>仓库管理员</t>
        </is>
      </c>
      <c r="E432" s="156" t="inlineStr">
        <is>
          <t>គ្រប់គ្រងឃ្លាំងផ្ញើអីវ៉ាន់</t>
        </is>
      </c>
    </row>
    <row r="433">
      <c r="A433" s="165" t="inlineStr">
        <is>
          <t>createSingleOrder.AddalternativePhones</t>
        </is>
      </c>
      <c r="B433" s="156" t="inlineStr">
        <is>
          <t>បន្ថែមលេខទូរស័ព្ទជំនួស</t>
        </is>
      </c>
      <c r="C433" s="165" t="inlineStr">
        <is>
          <t>Add alternative phone numbers</t>
        </is>
      </c>
      <c r="D433" s="165" t="inlineStr">
        <is>
          <t>添加备用电话</t>
        </is>
      </c>
      <c r="E433" s="156" t="inlineStr">
        <is>
          <t>បន្ថែមលេខទូរស័ព្ទជំនួស</t>
        </is>
      </c>
    </row>
    <row r="434">
      <c r="A434" s="165" t="inlineStr">
        <is>
          <t>createSingleOrder.titleAlternativePhones</t>
        </is>
      </c>
      <c r="B434" s="156" t="inlineStr">
        <is>
          <t>បន្ថែមលេខទូរស័ព្ទជំនួស</t>
        </is>
      </c>
      <c r="C434" s="165" t="inlineStr">
        <is>
          <t>Add alternative phone number</t>
        </is>
      </c>
      <c r="D434" s="165" t="inlineStr">
        <is>
          <t>添加备用电话</t>
        </is>
      </c>
      <c r="E434" s="156" t="inlineStr">
        <is>
          <t>បន្ថែមលេខទូរស័ព្ទជំនួស</t>
        </is>
      </c>
    </row>
    <row r="435">
      <c r="A435" s="165" t="inlineStr">
        <is>
          <t>createSingleOrder.alternativePhones</t>
        </is>
      </c>
      <c r="B435" s="156" t="inlineStr">
        <is>
          <t>លេខទូរស័ព្ទជំនួស</t>
        </is>
      </c>
      <c r="C435" s="165" t="inlineStr">
        <is>
          <t>Alternative phone numbers</t>
        </is>
      </c>
      <c r="D435" s="165" t="inlineStr">
        <is>
          <t>备用电话</t>
        </is>
      </c>
      <c r="E435" s="156" t="inlineStr">
        <is>
          <t>លេខទូរស័ព្ទជំនួស</t>
        </is>
      </c>
    </row>
    <row r="436">
      <c r="A436" s="165" t="inlineStr">
        <is>
          <t>createSingleOrder.alternativePhonesPlaceholder</t>
        </is>
      </c>
      <c r="B436" s="156" t="inlineStr">
        <is>
          <t>បញ្ចូលលេខទូរស័ព្ទជំនួស</t>
        </is>
      </c>
      <c r="C436" s="165" t="inlineStr">
        <is>
          <t>Enter alternative phone number</t>
        </is>
      </c>
      <c r="D436" s="165" t="inlineStr">
        <is>
          <t>请输入备用电话</t>
        </is>
      </c>
      <c r="E436" s="156" t="inlineStr">
        <is>
          <t>បញ្ចូលលេខទូរស័ព្ទជំនួស</t>
        </is>
      </c>
    </row>
    <row r="437">
      <c r="A437" s="165" t="inlineStr">
        <is>
          <t>createSingleOrder.alternativePhonesNote</t>
        </is>
      </c>
      <c r="B437" s="156" t="inlineStr">
        <is>
          <t>*ចំណាំ: លេខទូរស័ព្ទជំនួសត្រូវបំបែកដោយក្បៀសតម្កល់ (comma).</t>
        </is>
      </c>
      <c r="C437" s="165" t="inlineStr">
        <is>
          <t>*Note: Alternative phone numbers will be separated by commas.</t>
        </is>
      </c>
      <c r="D437" s="165" t="inlineStr">
        <is>
          <t>注：多个备用电话请用逗号分隔。</t>
        </is>
      </c>
      <c r="E437" s="156" t="inlineStr">
        <is>
          <t>*ចំណាំ: លេខទូរស័ព្ទជំនួសត្រូវបំបែកដោយក្បៀសតម្កល់ (comma).</t>
        </is>
      </c>
    </row>
    <row r="438">
      <c r="A438" s="165" t="inlineStr">
        <is>
          <t>createSingleOrder.changeWeight</t>
        </is>
      </c>
      <c r="B438" s="156" t="inlineStr">
        <is>
          <t>បម្លែង</t>
        </is>
      </c>
      <c r="C438" s="165" t="inlineStr">
        <is>
          <t>Convert</t>
        </is>
      </c>
      <c r="D438" s="165" t="inlineStr">
        <is>
          <t>换算</t>
        </is>
      </c>
      <c r="E438" s="156" t="inlineStr">
        <is>
          <t>បម្លែង</t>
        </is>
      </c>
    </row>
    <row r="439">
      <c r="A439" s="165" t="inlineStr">
        <is>
          <t>createSingleOrder.changeWeightNote</t>
        </is>
      </c>
      <c r="B439" s="156" t="inlineStr">
        <is>
          <t>ទម្ងន់បានបម្លែងពីទំហំអីវ៉ាន់</t>
        </is>
      </c>
      <c r="C439" s="165" t="inlineStr">
        <is>
          <t>Weight converted from parcel dimensions</t>
        </is>
      </c>
      <c r="D439" s="165" t="inlineStr">
        <is>
          <t>根据包裹尺寸换算重量</t>
        </is>
      </c>
      <c r="E439" s="156" t="inlineStr">
        <is>
          <t>ទម្ងន់បានបម្លែងពីទំហំអីវ៉ាន់</t>
        </is>
      </c>
    </row>
    <row r="440">
      <c r="A440" s="165" t="inlineStr">
        <is>
          <t>createSingleOrder.reference</t>
        </is>
      </c>
      <c r="B440" s="156" t="inlineStr">
        <is>
          <t>លេខកូដបុងបញ្ញើសម្រាប់អតិថិជនជាអ្នកកំណត់ចំណាំ</t>
        </is>
      </c>
      <c r="C440" s="165" t="inlineStr">
        <is>
          <t>Self-managed order code</t>
        </is>
      </c>
      <c r="D440" s="165" t="inlineStr">
        <is>
          <t>自编订单号</t>
        </is>
      </c>
      <c r="E440" s="156" t="inlineStr">
        <is>
          <t>លេខកូដបុងបញ្ញើសម្រាប់អតិថិជនជាអ្នកកំណត់ចំណាំ</t>
        </is>
      </c>
    </row>
    <row r="441">
      <c r="A441" s="165" t="inlineStr">
        <is>
          <t>createSingleOrder.referencePlaceholder</t>
        </is>
      </c>
      <c r="B441" s="156" t="inlineStr">
        <is>
          <t>បញ្ចូលលេខកូដបុងបញ្ញើ</t>
        </is>
      </c>
      <c r="C441" s="165" t="inlineStr">
        <is>
          <t>Enter order code</t>
        </is>
      </c>
      <c r="D441" s="165" t="inlineStr">
        <is>
          <t>请输入订单号</t>
        </is>
      </c>
      <c r="E441" s="156" t="inlineStr">
        <is>
          <t>បញ្ចូលលេខកូដបុងបញ្ញើ</t>
        </is>
      </c>
    </row>
    <row r="442">
      <c r="A442" s="165" t="inlineStr">
        <is>
          <t>createSingleOrder.parcelDescription</t>
        </is>
      </c>
      <c r="B442" s="156" t="inlineStr">
        <is>
          <t>ចំណាំ</t>
        </is>
      </c>
      <c r="C442" s="165" t="inlineStr">
        <is>
          <t>Notes</t>
        </is>
      </c>
      <c r="D442" s="165" t="inlineStr">
        <is>
          <t>备注</t>
        </is>
      </c>
      <c r="E442" s="156" t="inlineStr">
        <is>
          <t>ចំណាំ</t>
        </is>
      </c>
    </row>
    <row r="443">
      <c r="A443" s="165" t="inlineStr">
        <is>
          <t>createSingleOrder.parcelDescriptionPlaceholder</t>
        </is>
      </c>
      <c r="B443" s="156" t="inlineStr">
        <is>
          <t>បញ្ចូលកំណត់ចំណាំ</t>
        </is>
      </c>
      <c r="C443" s="165" t="inlineStr">
        <is>
          <t>Enter notes</t>
        </is>
      </c>
      <c r="D443" s="165" t="inlineStr">
        <is>
          <t>请输入备注</t>
        </is>
      </c>
      <c r="E443" s="156" t="inlineStr">
        <is>
          <t>បញ្ចូលកំណត់ចំណាំ</t>
        </is>
      </c>
    </row>
    <row r="444">
      <c r="A444" s="165" t="inlineStr">
        <is>
          <t>createSingleOrder.templateDescription</t>
        </is>
      </c>
      <c r="B444" s="156" t="inlineStr">
        <is>
          <t>កត់ចំណាំគម្រូ</t>
        </is>
      </c>
      <c r="C444" s="165" t="inlineStr">
        <is>
          <t>Sample notes</t>
        </is>
      </c>
      <c r="D444" s="165" t="inlineStr">
        <is>
          <t>尺寸</t>
        </is>
      </c>
      <c r="E444" s="156" t="inlineStr">
        <is>
          <t>កត់ចំណាំគម្រូ</t>
        </is>
      </c>
    </row>
    <row r="445">
      <c r="A445" s="165" t="inlineStr">
        <is>
          <t>createSingleOrder.emptyNameParcel</t>
        </is>
      </c>
      <c r="B445" s="156" t="inlineStr">
        <is>
          <t>ប្រភេទអីវ៉ាន់មិនអាចទុកចន្លោះបានទេ</t>
        </is>
      </c>
      <c r="C445" s="165" t="inlineStr">
        <is>
          <t>Parcel name cannot be empty</t>
        </is>
      </c>
      <c r="D445" s="165" t="inlineStr">
        <is>
          <t>请填写包裹名称</t>
        </is>
      </c>
      <c r="E445" s="156" t="inlineStr">
        <is>
          <t>ប្រភេទអីវ៉ាន់មិនអាចទុកចន្លោះបានទេ</t>
        </is>
      </c>
    </row>
    <row r="446">
      <c r="A446" s="165" t="inlineStr">
        <is>
          <t>createSingleOrder.emptyWeightParcel</t>
        </is>
      </c>
      <c r="B446" s="156" t="inlineStr">
        <is>
          <t>ទម្ងន់មិនអាចទុកចន្លោះបានទេ</t>
        </is>
      </c>
      <c r="C446" s="165" t="inlineStr">
        <is>
          <t>Weight cannot be empty</t>
        </is>
      </c>
      <c r="D446" s="165" t="inlineStr">
        <is>
          <t>请填写重量</t>
        </is>
      </c>
      <c r="E446" s="156" t="inlineStr">
        <is>
          <t>ទម្ងន់មិនអាចទុកចន្លោះបានទេ</t>
        </is>
      </c>
    </row>
    <row r="447">
      <c r="A447" s="165" t="inlineStr">
        <is>
          <t>createSingleOrder.emptyQuantityParcel</t>
        </is>
      </c>
      <c r="B447" s="156" t="inlineStr">
        <is>
          <t>ចំនួនមិនអាចទុកចន្លោះបានទេ</t>
        </is>
      </c>
      <c r="C447" s="165" t="inlineStr">
        <is>
          <t>Quantity cannot be empty</t>
        </is>
      </c>
      <c r="D447" s="165" t="inlineStr">
        <is>
          <t>请填写数量</t>
        </is>
      </c>
      <c r="E447" s="156" t="inlineStr">
        <is>
          <t>ចំនួនមិនអាចទុកចន្លោះបានទេ</t>
        </is>
      </c>
    </row>
    <row r="448">
      <c r="A448" s="165" t="inlineStr">
        <is>
          <t>createSingleOrder.invalidAddress</t>
        </is>
      </c>
      <c r="B448" s="156" t="inlineStr">
        <is>
          <t>ទីតាំងមិនសមស្រប</t>
        </is>
      </c>
      <c r="C448" s="165" t="inlineStr">
        <is>
          <t>Invalid address</t>
        </is>
      </c>
      <c r="D448" s="165" t="inlineStr">
        <is>
          <t>地址无效</t>
        </is>
      </c>
      <c r="E448" s="156" t="inlineStr">
        <is>
          <t>ទីតាំងមិនសមស្រប</t>
        </is>
      </c>
    </row>
    <row r="449">
      <c r="A449" s="165" t="inlineStr">
        <is>
          <t>createSingleOrder.referenceAddress</t>
        </is>
      </c>
      <c r="B449" s="156" t="inlineStr">
        <is>
          <t>លេខកូដបុងបញ្ញើដែលគ្រប់គ្រងដោយខ្លួនឯងមិនសមស្រប</t>
        </is>
      </c>
      <c r="C449" s="165" t="inlineStr">
        <is>
          <t>Self-managed order code is invalid</t>
        </is>
      </c>
      <c r="D449" s="165" t="inlineStr">
        <is>
          <t>自编订单号无效</t>
        </is>
      </c>
      <c r="E449" s="156" t="inlineStr">
        <is>
          <t>លេខកូដបុងបញ្ញើដែលគ្រប់គ្រងដោយខ្លួនឯងមិនសមស្រប</t>
        </is>
      </c>
    </row>
    <row r="450">
      <c r="A450" s="165" t="inlineStr">
        <is>
          <t>createSingleOrder.quantityGreaterThanZero</t>
        </is>
      </c>
      <c r="B450" s="156" t="inlineStr">
        <is>
          <t>ចំនួួនត្រូវតែធំជាង 0</t>
        </is>
      </c>
      <c r="C450" s="165" t="inlineStr">
        <is>
          <t>Quantity must be greater than 0</t>
        </is>
      </c>
      <c r="D450" s="165" t="inlineStr">
        <is>
          <t>数量必须大于0</t>
        </is>
      </c>
      <c r="E450" s="156" t="inlineStr">
        <is>
          <t>ចំនួួនត្រូវតែធំជាង 0</t>
        </is>
      </c>
    </row>
    <row r="451">
      <c r="A451" s="165" t="inlineStr">
        <is>
          <t>createSingleOrder.weightGreaterThanZero</t>
        </is>
      </c>
      <c r="B451" s="156" t="inlineStr">
        <is>
          <t>ទម្ងន់ត្រូវតែធំជាង 0</t>
        </is>
      </c>
      <c r="C451" s="165" t="inlineStr">
        <is>
          <t>Weight must be greater than 0</t>
        </is>
      </c>
      <c r="D451" s="165" t="inlineStr">
        <is>
          <t>重量必须大于0</t>
        </is>
      </c>
      <c r="E451" s="156" t="inlineStr">
        <is>
          <t>ទម្ងន់ត្រូវតែធំជាង 0</t>
        </is>
      </c>
    </row>
    <row r="452">
      <c r="A452" s="165" t="inlineStr">
        <is>
          <t>createSingleOrder.pleaseEnterWidth</t>
        </is>
      </c>
      <c r="B452" s="156" t="inlineStr">
        <is>
          <t>សូមបញ្ចូលទទឹង</t>
        </is>
      </c>
      <c r="C452" s="165" t="inlineStr">
        <is>
          <t>Please enter width</t>
        </is>
      </c>
      <c r="D452" s="165" t="inlineStr">
        <is>
          <t>请输入宽度</t>
        </is>
      </c>
      <c r="E452" s="156" t="inlineStr">
        <is>
          <t>សូមបញ្ចូលទទឹង</t>
        </is>
      </c>
    </row>
    <row r="453">
      <c r="A453" s="165" t="inlineStr">
        <is>
          <t>createSingleOrder.pleaseEnterLength</t>
        </is>
      </c>
      <c r="B453" s="156" t="inlineStr">
        <is>
          <t>សូមបញ្ចូលប្រវែង</t>
        </is>
      </c>
      <c r="C453" s="165" t="inlineStr">
        <is>
          <t>Please enter length</t>
        </is>
      </c>
      <c r="D453" s="165" t="inlineStr">
        <is>
          <t>请输入长度</t>
        </is>
      </c>
      <c r="E453" s="156" t="inlineStr">
        <is>
          <t>សូមបញ្ចូលប្រវែង</t>
        </is>
      </c>
    </row>
    <row r="454">
      <c r="A454" s="165" t="inlineStr">
        <is>
          <t>createSingleOrder.pleaseEnterHeight</t>
        </is>
      </c>
      <c r="B454" s="156" t="inlineStr">
        <is>
          <t>សូមបញ្ចូលកម្ពស់</t>
        </is>
      </c>
      <c r="C454" s="165" t="inlineStr">
        <is>
          <t>Please enter height</t>
        </is>
      </c>
      <c r="D454" s="165" t="inlineStr">
        <is>
          <t>请输入高度</t>
        </is>
      </c>
      <c r="E454" s="156" t="inlineStr">
        <is>
          <t>សូមបញ្ចូលកម្ពស់</t>
        </is>
      </c>
    </row>
    <row r="455">
      <c r="A455" s="165" t="inlineStr">
        <is>
          <t>createSingleOrder.enterUpTo9Characters</t>
        </is>
      </c>
      <c r="B455" s="156" t="inlineStr">
        <is>
          <t>បញ្ចូលបានយ៉ាងច្រើន 9 តួអក្សរលេខ</t>
        </is>
      </c>
      <c r="C455" s="165" t="inlineStr">
        <is>
          <t>Enter up to 9 characters</t>
        </is>
      </c>
      <c r="D455" s="165" t="inlineStr">
        <is>
          <t>最多输入9个字符</t>
        </is>
      </c>
      <c r="E455" s="156" t="inlineStr">
        <is>
          <t>បញ្ចូលបានយ៉ាងច្រើន 9 តួអក្សរលេខ</t>
        </is>
      </c>
    </row>
    <row r="456">
      <c r="A456" s="165" t="inlineStr">
        <is>
          <t>createSingleOrder.enterUpTo6Characters</t>
        </is>
      </c>
      <c r="B456" s="156" t="inlineStr">
        <is>
          <t>បញ្ចូលបានយ៉ាងច្រើន 6 តួអក្សរលេខ</t>
        </is>
      </c>
      <c r="C456" s="165" t="inlineStr">
        <is>
          <t>Enter up to 6 characters</t>
        </is>
      </c>
      <c r="D456" s="165" t="inlineStr">
        <is>
          <t>最多输入6个字符</t>
        </is>
      </c>
      <c r="E456" s="156" t="inlineStr">
        <is>
          <t>បញ្ចូលបានយ៉ាងច្រើន 6 តួអក្សរលេខ</t>
        </is>
      </c>
    </row>
    <row r="457">
      <c r="A457" s="165" t="inlineStr">
        <is>
          <t>createSingleOrder.enterUpTo5Characters</t>
        </is>
      </c>
      <c r="B457" s="156" t="inlineStr">
        <is>
          <t>បញ្ចូលបានយ៉ាងច្រើន 5 តួអក្សរលេខ</t>
        </is>
      </c>
      <c r="C457" s="165" t="inlineStr">
        <is>
          <t>Enter up to 5 characters</t>
        </is>
      </c>
      <c r="D457" s="165" t="inlineStr">
        <is>
          <t>最多输入5个字符</t>
        </is>
      </c>
      <c r="E457" s="156" t="inlineStr">
        <is>
          <t>បញ្ចូលបានយ៉ាងច្រើន 5 តួអក្សរលេខ</t>
        </is>
      </c>
    </row>
    <row r="458">
      <c r="A458" s="165" t="inlineStr">
        <is>
          <t>createSingleOrder.enterUpTo11Characters</t>
        </is>
      </c>
      <c r="B458" s="156" t="inlineStr">
        <is>
          <t>បញ្ចូលបានយ៉ាងច្រើន 11 តួអក្សរលេខ</t>
        </is>
      </c>
      <c r="C458" s="165" t="inlineStr">
        <is>
          <t>Enter up to 11 characters</t>
        </is>
      </c>
      <c r="D458" s="165" t="inlineStr">
        <is>
          <t>最多输入11个字符</t>
        </is>
      </c>
      <c r="E458" s="156" t="inlineStr">
        <is>
          <t>បញ្ចូលបានយ៉ាងច្រើន 11 តួអក្សរលេខ</t>
        </is>
      </c>
    </row>
    <row r="459">
      <c r="A459" s="165" t="inlineStr">
        <is>
          <t>createSingleOrder.max3phones</t>
        </is>
      </c>
      <c r="B459" s="156" t="inlineStr">
        <is>
          <t>អាចបញ្ចូលបានយ៉ាងច្រើន 3 លេខទូរស័ព្ទ</t>
        </is>
      </c>
      <c r="C459" s="165" t="inlineStr">
        <is>
          <t>You can only enter a maximum of 3 phone numbers</t>
        </is>
      </c>
      <c r="D459" s="165" t="inlineStr">
        <is>
          <t>最多只能输入3个电话号码</t>
        </is>
      </c>
      <c r="E459" s="156" t="inlineStr">
        <is>
          <t>អាចបញ្ចូលបានយ៉ាងច្រើន 3 លេខទូរស័ព្ទ</t>
        </is>
      </c>
    </row>
    <row r="460">
      <c r="A460" s="165" t="inlineStr">
        <is>
          <t>createSingleOrder.max2phones</t>
        </is>
      </c>
      <c r="B460" s="156" t="inlineStr">
        <is>
          <t>អាចបញ្ចូលបានយ៉ាងច្រើន 2 លេខទូរស័ព្ទ</t>
        </is>
      </c>
      <c r="C460" s="165" t="inlineStr">
        <is>
          <t>You can only enter a maximum of 2 phone numbers</t>
        </is>
      </c>
      <c r="D460" s="165" t="inlineStr">
        <is>
          <t>最多只能输入2个电话号码</t>
        </is>
      </c>
      <c r="E460" s="156" t="inlineStr">
        <is>
          <t>អាចបញ្ចូលបានយ៉ាងច្រើន 2 លេខទូរស័ព្ទ</t>
        </is>
      </c>
    </row>
    <row r="461">
      <c r="A461" s="165" t="inlineStr">
        <is>
          <t>createSingleOrder.enterPositiveInteger</t>
        </is>
      </c>
      <c r="B461" s="156" t="inlineStr">
        <is>
          <t>អាចបញ្ចូលបានតែលេខវិជ្ជមាន</t>
        </is>
      </c>
      <c r="C461" s="165" t="inlineStr">
        <is>
          <t>Only positive integers can be entered</t>
        </is>
      </c>
      <c r="D461" s="165" t="inlineStr">
        <is>
          <t>只能输入正整数</t>
        </is>
      </c>
      <c r="E461" s="156" t="inlineStr">
        <is>
          <t>អាចបញ្ចូលបានតែលេខវិជ្ជមាន</t>
        </is>
      </c>
    </row>
    <row r="462">
      <c r="A462" s="165" t="inlineStr">
        <is>
          <t>createSingleOrder.domestic</t>
        </is>
      </c>
      <c r="B462" s="156" t="inlineStr">
        <is>
          <t>ក្នុងប្រទេស</t>
        </is>
      </c>
      <c r="C462" s="165" t="inlineStr">
        <is>
          <t>Domestic</t>
        </is>
      </c>
      <c r="D462" s="157" t="inlineStr">
        <is>
          <t>--</t>
        </is>
      </c>
      <c r="E462" s="156" t="inlineStr">
        <is>
          <t>ក្នុងប្រទេស</t>
        </is>
      </c>
    </row>
    <row r="463">
      <c r="A463" s="165" t="inlineStr">
        <is>
          <t>createSingleOrder.international</t>
        </is>
      </c>
      <c r="B463" s="156" t="inlineStr">
        <is>
          <t>អន្តរជាតិ</t>
        </is>
      </c>
      <c r="C463" s="165" t="inlineStr">
        <is>
          <t>International</t>
        </is>
      </c>
      <c r="D463" s="157" t="inlineStr">
        <is>
          <t>--</t>
        </is>
      </c>
      <c r="E463" s="156" t="inlineStr">
        <is>
          <t>អន្តរជាតិ</t>
        </is>
      </c>
    </row>
    <row r="464">
      <c r="A464" s="165" t="inlineStr">
        <is>
          <t>createSingleOrder.sizeOver</t>
        </is>
      </c>
      <c r="B464" s="156" t="inlineStr">
        <is>
          <t>ទំហំមួយជ្រុងនៃកញ្ចប់ទំនិញមិនអាចលើស {{value}} សង់ទីម៉ែត្រ បានទេ។ សូមយកទំនិញមកកាន់ការិយាល័យប្រៃសណីយ៍ដែលនៅជិតបំផុត ដើម្បីទទួលបានជំនួយ។</t>
        </is>
      </c>
      <c r="C464" s="165" t="inlineStr">
        <is>
          <t>The single - side lenght must not exceed {{value}}cm. Please bring the item to the post office.</t>
        </is>
      </c>
      <c r="D464" s="157" t="inlineStr">
        <is>
          <t>--</t>
        </is>
      </c>
      <c r="E464" s="156" t="inlineStr">
        <is>
          <t>ទំហំមួយជ្រុងនៃកញ្ចប់ទំនិញមិនអាចលើស {{value}} សង់ទីម៉ែត្រ បានទេ។ សូមយកទំនិញមកកាន់ការិយាល័យប្រៃសណីយ៍ដែលនៅជិតបំផុត ដើម្បីទទួលបានជំនួយ។</t>
        </is>
      </c>
    </row>
    <row r="465">
      <c r="A465" s="165" t="inlineStr">
        <is>
          <t>createSingleOrder.weightOver</t>
        </is>
      </c>
      <c r="B465" s="156" t="inlineStr">
        <is>
          <t>ទម្ងន់គណនាថ្លៃសេវាបុងបញ្ញើមិនអាចលើសពី {{value}} ក្រាម។ សូមយកចេញក្រៅការិយាល័យប្រៃសណីយ៍ដែលនៅជិតបំផុតដើម្បីទទួលបានជំនួយ</t>
        </is>
      </c>
      <c r="C465" s="165" t="inlineStr">
        <is>
          <t>The chargeable weight must not exceed {{value}}g. Please bring the item to the post office.</t>
        </is>
      </c>
      <c r="D465" s="157" t="inlineStr">
        <is>
          <t>--</t>
        </is>
      </c>
      <c r="E465" s="156" t="inlineStr">
        <is>
          <t>ទម្ងន់គណនាថ្លៃសេវាបុងបញ្ញើមិនអាចលើសពី {{value}} ក្រាម។ សូមយកចេញក្រៅការិយាល័យប្រៃសណីយ៍ដែលនៅជិតបំផុតដើម្បីទទួលបានជំនួយ</t>
        </is>
      </c>
    </row>
    <row r="466">
      <c r="A466" s="165" t="inlineStr">
        <is>
          <t>createSingleOrder.otherInformation</t>
        </is>
      </c>
      <c r="B466" s="156" t="inlineStr">
        <is>
          <t>ព័ត៌មានផ្សេង</t>
        </is>
      </c>
      <c r="C466" s="165" t="inlineStr">
        <is>
          <t>Other Information</t>
        </is>
      </c>
      <c r="D466" s="157" t="inlineStr">
        <is>
          <t>--</t>
        </is>
      </c>
      <c r="E466" s="156" t="inlineStr">
        <is>
          <t>ព័ត៌មានផ្សេង</t>
        </is>
      </c>
    </row>
    <row r="467">
      <c r="A467" s="165" t="inlineStr">
        <is>
          <t>createSingleOrder.maxSize</t>
        </is>
      </c>
      <c r="B467" s="156" t="inlineStr">
        <is>
          <t>បញ្ចូលទំហំច្រើនបំផុត 5000</t>
        </is>
      </c>
      <c r="C467" s="165" t="inlineStr">
        <is>
          <t>Enter maximum size 5000</t>
        </is>
      </c>
      <c r="D467" s="157" t="inlineStr">
        <is>
          <t>--</t>
        </is>
      </c>
      <c r="E467" s="156" t="inlineStr">
        <is>
          <t>បញ្ចូលទំហំច្រើនបំផុត 5000</t>
        </is>
      </c>
    </row>
    <row r="468">
      <c r="A468" s="165" t="inlineStr">
        <is>
          <t>createSingleOrder.calculatorSize</t>
        </is>
      </c>
      <c r="B468" s="156" t="inlineStr">
        <is>
          <t>សរុបទំហំ (សង់ទីម៉ែត)</t>
        </is>
      </c>
      <c r="C468" s="165" t="inlineStr">
        <is>
          <t>Total size (cm)</t>
        </is>
      </c>
      <c r="D468" s="157" t="inlineStr">
        <is>
          <t>--</t>
        </is>
      </c>
      <c r="E468" s="156" t="inlineStr">
        <is>
          <t>សរុបទំហំ (សង់ទីម៉ែត)</t>
        </is>
      </c>
    </row>
    <row r="469">
      <c r="A469" s="165" t="inlineStr">
        <is>
          <t>createSingleOrder.paymentType</t>
        </is>
      </c>
      <c r="B469" s="156" t="inlineStr">
        <is>
          <t>វិធីសាស្រ្តទូទាត់ថ្លៃសេវា</t>
        </is>
      </c>
      <c r="C469" s="165" t="inlineStr">
        <is>
          <t>Payment method</t>
        </is>
      </c>
      <c r="D469" s="157" t="inlineStr">
        <is>
          <t>--</t>
        </is>
      </c>
      <c r="E469" s="156" t="inlineStr">
        <is>
          <t>វិធីសាស្រ្តទូទាត់ថ្លៃសេវា</t>
        </is>
      </c>
    </row>
    <row r="470">
      <c r="A470" s="165" t="inlineStr">
        <is>
          <t>createSingleOrder.discount</t>
        </is>
      </c>
      <c r="B470" s="156" t="inlineStr">
        <is>
          <t>បញ្ចុះតម្លៃ</t>
        </is>
      </c>
      <c r="C470" s="165" t="inlineStr">
        <is>
          <t>Discount</t>
        </is>
      </c>
      <c r="D470" s="157" t="inlineStr">
        <is>
          <t>--</t>
        </is>
      </c>
      <c r="E470" s="156" t="inlineStr">
        <is>
          <t>បញ្ចុះតម្លៃ</t>
        </is>
      </c>
    </row>
    <row r="471">
      <c r="A471" s="165" t="inlineStr">
        <is>
          <t>createSingleOrder.discount_date</t>
        </is>
      </c>
      <c r="B471" s="156" t="inlineStr">
        <is>
          <t>បញ្ចុះតម្លៃ &lt;b&gt;{{value}}&lt;/b&gt; គ្រប់បុងបញ្ញើចាប់ពី {{from}} - {{to}}</t>
        </is>
      </c>
      <c r="C471" s="165" t="inlineStr">
        <is>
          <t>Discount &lt;b&gt;{{value}}&lt;/b&gt; every order from {{from}} - {{to}}</t>
        </is>
      </c>
      <c r="D471" s="157" t="inlineStr">
        <is>
          <t>--</t>
        </is>
      </c>
      <c r="E471" s="156" t="inlineStr">
        <is>
          <t>បញ្ចុះតម្លៃ &lt;b&gt;{{value}}&lt;/b&gt; គ្រប់បុងបញ្ញើចាប់ពី {{from}} - {{to}}</t>
        </is>
      </c>
    </row>
    <row r="472">
      <c r="A472" s="165" t="inlineStr">
        <is>
          <t>createSingleOrder.estimated_time</t>
        </is>
      </c>
      <c r="B472" s="156" t="inlineStr">
        <is>
          <t>ពេលវេលាកំណត់ប្រគល់អីវ៉ាន់</t>
        </is>
      </c>
      <c r="C472" s="165" t="inlineStr">
        <is>
          <t>Time estimated</t>
        </is>
      </c>
      <c r="D472" s="157" t="inlineStr">
        <is>
          <t>--</t>
        </is>
      </c>
      <c r="E472" s="156" t="inlineStr">
        <is>
          <t>ពេលវេលាកំណត់ប្រគល់អីវ៉ាន់</t>
        </is>
      </c>
    </row>
    <row r="473">
      <c r="A473" s="165" t="inlineStr">
        <is>
          <t>createSingleOrder.totalPayment</t>
        </is>
      </c>
      <c r="B473" s="156" t="inlineStr">
        <is>
          <t>សរុុប</t>
        </is>
      </c>
      <c r="C473" s="165" t="inlineStr">
        <is>
          <t>Total payment</t>
        </is>
      </c>
      <c r="D473" s="157" t="inlineStr">
        <is>
          <t>--</t>
        </is>
      </c>
      <c r="E473" s="156" t="inlineStr">
        <is>
          <t>សរុុប</t>
        </is>
      </c>
    </row>
    <row r="474">
      <c r="A474" s="165" t="inlineStr">
        <is>
          <t>createSingleOrder.invoice</t>
        </is>
      </c>
      <c r="B474" s="156" t="inlineStr">
        <is>
          <t>ស្នើសុំចេញបុងបញ្ញើ</t>
        </is>
      </c>
      <c r="C474" s="165" t="inlineStr">
        <is>
          <t>Request Invoice</t>
        </is>
      </c>
      <c r="D474" s="157" t="inlineStr">
        <is>
          <t>--</t>
        </is>
      </c>
      <c r="E474" s="156" t="inlineStr">
        <is>
          <t>ស្នើសុំចេញបុងបញ្ញើ</t>
        </is>
      </c>
    </row>
    <row r="475">
      <c r="A475" s="165" t="inlineStr">
        <is>
          <t>createSingleOrder.invoiceRequest</t>
        </is>
      </c>
      <c r="B475" s="156" t="inlineStr">
        <is>
          <t>ស្នើសុំចេញបុងបញ្ញើ</t>
        </is>
      </c>
      <c r="C475" s="165" t="inlineStr">
        <is>
          <t>Request Invoice</t>
        </is>
      </c>
      <c r="D475" s="157" t="inlineStr">
        <is>
          <t>--</t>
        </is>
      </c>
      <c r="E475" s="156" t="inlineStr">
        <is>
          <t>ស្នើសុំចេញបុងបញ្ញើ</t>
        </is>
      </c>
    </row>
    <row r="476">
      <c r="A476" s="165" t="inlineStr">
        <is>
          <t>createSingleOrder.invoiceBySender</t>
        </is>
      </c>
      <c r="B476" s="156" t="inlineStr">
        <is>
          <t>ចេញបុងបញ្ញើតាមព័ត៌មានអ្នកផ្ញើ</t>
        </is>
      </c>
      <c r="C476" s="165" t="inlineStr">
        <is>
          <t>Issue invoice based on sender information</t>
        </is>
      </c>
      <c r="D476" s="157" t="inlineStr">
        <is>
          <t>--</t>
        </is>
      </c>
      <c r="E476" s="156" t="inlineStr">
        <is>
          <t>ចេញបុងបញ្ញើតាមព័ត៌មានអ្នកផ្ញើ</t>
        </is>
      </c>
    </row>
    <row r="477">
      <c r="A477" s="165" t="inlineStr">
        <is>
          <t>createSingleOrder.invoiceByReceiver</t>
        </is>
      </c>
      <c r="B477" s="156" t="inlineStr">
        <is>
          <t>ចេញបុងបញ្ញើតាមព័ត៌មានអ្នកទទួល</t>
        </is>
      </c>
      <c r="C477" s="165" t="inlineStr">
        <is>
          <t>Issue invoice based on receiver information</t>
        </is>
      </c>
      <c r="D477" s="157" t="inlineStr">
        <is>
          <t>--</t>
        </is>
      </c>
      <c r="E477" s="156" t="inlineStr">
        <is>
          <t>ចេញបុងបញ្ញើតាមព័ត៌មានអ្នកទទួល</t>
        </is>
      </c>
    </row>
    <row r="478">
      <c r="A478" s="165" t="inlineStr">
        <is>
          <t>createSingleOrder.homePickup</t>
        </is>
      </c>
      <c r="B478" s="156" t="inlineStr">
        <is>
          <t>ផ្ញើនៅផ្ទះ</t>
        </is>
      </c>
      <c r="C478" s="165" t="inlineStr">
        <is>
          <t>Home pickup</t>
        </is>
      </c>
      <c r="D478" s="157" t="inlineStr">
        <is>
          <t>--</t>
        </is>
      </c>
      <c r="E478" s="156" t="inlineStr">
        <is>
          <t>ផ្ញើនៅផ្ទះ</t>
        </is>
      </c>
    </row>
    <row r="479">
      <c r="A479" s="165" t="inlineStr">
        <is>
          <t>createSingleOrder.storeDropOff</t>
        </is>
      </c>
      <c r="B479" s="156" t="inlineStr">
        <is>
          <t>ផ្ញើនៅហាង</t>
        </is>
      </c>
      <c r="C479" s="165" t="inlineStr">
        <is>
          <t>Store drop-off</t>
        </is>
      </c>
      <c r="D479" s="157" t="inlineStr">
        <is>
          <t>--</t>
        </is>
      </c>
      <c r="E479" s="156" t="inlineStr">
        <is>
          <t>ផ្ញើនៅហាង</t>
        </is>
      </c>
    </row>
    <row r="480">
      <c r="A480" s="165" t="inlineStr">
        <is>
          <t>createSingleOrder.receiverHomeDelivery</t>
        </is>
      </c>
      <c r="B480" s="156" t="inlineStr">
        <is>
          <t>ទទួលនៅផ្ទះ</t>
        </is>
      </c>
      <c r="C480" s="165" t="inlineStr">
        <is>
          <t>Pickup at home</t>
        </is>
      </c>
      <c r="D480" s="157" t="inlineStr">
        <is>
          <t>--</t>
        </is>
      </c>
      <c r="E480" s="156" t="inlineStr">
        <is>
          <t>ទទួលនៅផ្ទះ</t>
        </is>
      </c>
    </row>
    <row r="481">
      <c r="A481" s="165" t="inlineStr">
        <is>
          <t>createSingleOrder.recommendation</t>
        </is>
      </c>
      <c r="B481" s="156" t="inlineStr">
        <is>
          <t>សំណើរ</t>
        </is>
      </c>
      <c r="C481" s="165" t="inlineStr">
        <is>
          <t>Recommendation</t>
        </is>
      </c>
      <c r="D481" s="157" t="inlineStr">
        <is>
          <t>--</t>
        </is>
      </c>
      <c r="E481" s="156" t="inlineStr">
        <is>
          <t>សំណើរ</t>
        </is>
      </c>
    </row>
    <row r="482">
      <c r="A482" s="165" t="inlineStr">
        <is>
          <t>createSingleOrder.searchPostOffice</t>
        </is>
      </c>
      <c r="B482" s="156" t="inlineStr">
        <is>
          <t>ស្វែងរកហាង</t>
        </is>
      </c>
      <c r="C482" s="165" t="inlineStr">
        <is>
          <t>Search store</t>
        </is>
      </c>
      <c r="D482" s="157" t="inlineStr">
        <is>
          <t>--</t>
        </is>
      </c>
      <c r="E482" s="156" t="inlineStr">
        <is>
          <t>ស្វែងរកហាង</t>
        </is>
      </c>
    </row>
    <row r="483">
      <c r="A483" s="165" t="inlineStr">
        <is>
          <t>createSingleOrder.manageSenderInfo</t>
        </is>
      </c>
      <c r="B483" s="156" t="inlineStr">
        <is>
          <t>គ្រប់គ្រងព័ត៌មានអ្នកផ្ញើ</t>
        </is>
      </c>
      <c r="C483" s="165" t="inlineStr">
        <is>
          <t>Manage sender information</t>
        </is>
      </c>
      <c r="D483" s="157" t="inlineStr">
        <is>
          <t>--</t>
        </is>
      </c>
      <c r="E483" s="156" t="inlineStr">
        <is>
          <t>គ្រប់គ្រងព័ត៌មានអ្នកផ្ញើ</t>
        </is>
      </c>
    </row>
    <row r="484">
      <c r="A484" s="165" t="inlineStr">
        <is>
          <t>createSingleOrder.storeDelivery</t>
        </is>
      </c>
      <c r="B484" s="156" t="inlineStr">
        <is>
          <t>ហាងប្រគល់អីវ៉ាន់</t>
        </is>
      </c>
      <c r="C484" s="165" t="inlineStr">
        <is>
          <t>Delivery store</t>
        </is>
      </c>
      <c r="D484" s="157" t="inlineStr">
        <is>
          <t>--</t>
        </is>
      </c>
      <c r="E484" s="156" t="inlineStr">
        <is>
          <t>ហាងប្រគល់អីវ៉ាន់</t>
        </is>
      </c>
    </row>
    <row r="485">
      <c r="A485" s="165" t="inlineStr">
        <is>
          <t>createSingleOrder.storeDeliveryPlaceholder</t>
        </is>
      </c>
      <c r="B485" s="156" t="inlineStr">
        <is>
          <t>ជ្រើសរើសហាងប្រគល់អីវ៉ាន់</t>
        </is>
      </c>
      <c r="C485" s="165" t="inlineStr">
        <is>
          <t>Select delivery store</t>
        </is>
      </c>
      <c r="D485" s="157" t="inlineStr">
        <is>
          <t>--</t>
        </is>
      </c>
      <c r="E485" s="156" t="inlineStr">
        <is>
          <t>ជ្រើសរើសហាងប្រគល់អីវ៉ាន់</t>
        </is>
      </c>
    </row>
    <row r="486">
      <c r="A486" s="165" t="inlineStr">
        <is>
          <t>createSingleOrder.storeDeliveryAddress</t>
        </is>
      </c>
      <c r="B486" s="156" t="inlineStr">
        <is>
          <t>ទីតាំងហាង</t>
        </is>
      </c>
      <c r="C486" s="165" t="inlineStr">
        <is>
          <t>Store address</t>
        </is>
      </c>
      <c r="D486" s="157" t="inlineStr">
        <is>
          <t>--</t>
        </is>
      </c>
      <c r="E486" s="156" t="inlineStr">
        <is>
          <t>ទីតាំងហាង</t>
        </is>
      </c>
    </row>
    <row r="487">
      <c r="A487" s="165" t="inlineStr">
        <is>
          <t>createSingleOrder.addressSend</t>
        </is>
      </c>
      <c r="B487" s="156" t="inlineStr">
        <is>
          <t>ទីតាំងផ្ញើ</t>
        </is>
      </c>
      <c r="C487" s="165" t="inlineStr">
        <is>
          <t>Sender address</t>
        </is>
      </c>
      <c r="D487" s="157" t="inlineStr">
        <is>
          <t>--</t>
        </is>
      </c>
      <c r="E487" s="156" t="inlineStr">
        <is>
          <t>ទីតាំងផ្ញើ</t>
        </is>
      </c>
    </row>
    <row r="488">
      <c r="A488" s="165" t="inlineStr">
        <is>
          <t>editOrder.title</t>
        </is>
      </c>
      <c r="B488" s="156" t="inlineStr">
        <is>
          <t>កែបុងបញ្ញើ</t>
        </is>
      </c>
      <c r="C488" s="165" t="inlineStr">
        <is>
          <t>Edit Order</t>
        </is>
      </c>
      <c r="D488" s="165" t="inlineStr">
        <is>
          <t>修改订单</t>
        </is>
      </c>
      <c r="E488" s="156" t="inlineStr">
        <is>
          <t>កែបុងបញ្ញើ</t>
        </is>
      </c>
    </row>
    <row r="489">
      <c r="A489" s="165" t="inlineStr">
        <is>
          <t>editOrder.cancel</t>
        </is>
      </c>
      <c r="B489" s="156" t="inlineStr">
        <is>
          <t>លុបចោល</t>
        </is>
      </c>
      <c r="C489" s="165" t="inlineStr">
        <is>
          <t>Cancel</t>
        </is>
      </c>
      <c r="D489" s="165" t="inlineStr">
        <is>
          <t>取消</t>
        </is>
      </c>
      <c r="E489" s="156" t="inlineStr">
        <is>
          <t>លុបចោល</t>
        </is>
      </c>
    </row>
    <row r="490">
      <c r="A490" s="165" t="inlineStr">
        <is>
          <t>editOrder.update</t>
        </is>
      </c>
      <c r="B490" s="156" t="inlineStr">
        <is>
          <t>ធ្វើបច្ចុប្បន្នភាព</t>
        </is>
      </c>
      <c r="C490" s="165" t="inlineStr">
        <is>
          <t>Update</t>
        </is>
      </c>
      <c r="D490" s="165" t="inlineStr">
        <is>
          <t>更新</t>
        </is>
      </c>
      <c r="E490" s="156" t="inlineStr">
        <is>
          <t>ធ្វើបច្ចុប្បន្នភាព</t>
        </is>
      </c>
    </row>
    <row r="491">
      <c r="A491" s="165" t="inlineStr">
        <is>
          <t>editOrder.editOrder</t>
        </is>
      </c>
      <c r="B491" s="156" t="inlineStr">
        <is>
          <t>អតិថិជនពិតជាចង់កែបុងបញ្ញើនេះដែរទេ?</t>
        </is>
      </c>
      <c r="C491" s="165" t="inlineStr">
        <is>
          <t>Are you sure you want to edit this order?</t>
        </is>
      </c>
      <c r="D491" s="165" t="inlineStr">
        <is>
          <t>确认要修改此订单吗？</t>
        </is>
      </c>
      <c r="E491" s="156" t="inlineStr">
        <is>
          <t>អតិថិជនពិតជាចង់កែបុងបញ្ញើនេះដែរទេ?</t>
        </is>
      </c>
    </row>
    <row r="492">
      <c r="A492" s="165" t="inlineStr">
        <is>
          <t>editOrder.editOrderSuccess</t>
        </is>
      </c>
      <c r="B492" s="156" t="inlineStr">
        <is>
          <t>កែបុុងបញ្ញើ</t>
        </is>
      </c>
      <c r="C492" s="165" t="inlineStr">
        <is>
          <t>Successfully edited order {{id}}!</t>
        </is>
      </c>
      <c r="D492" s="165" t="inlineStr">
        <is>
          <t>订单 {{id}} 修改成功！</t>
        </is>
      </c>
      <c r="E492" s="156" t="inlineStr">
        <is>
          <t>កែបុុងបញ្ញើ</t>
        </is>
      </c>
    </row>
    <row r="493">
      <c r="A493" s="165" t="inlineStr">
        <is>
          <t>editOrder.validateCod</t>
        </is>
      </c>
      <c r="B493" s="156" t="inlineStr">
        <is>
          <t>Tiền thu hộ mới không được lớn hơn tiền thu hộ trước đó</t>
        </is>
      </c>
      <c r="C493" s="165" t="inlineStr">
        <is>
          <t>The new cash on delivery amount cannot be greater than the previous amount</t>
        </is>
      </c>
      <c r="D493" s="165" t="inlineStr">
        <is>
          <t>新的代收货款金额不得高于原金额</t>
        </is>
      </c>
      <c r="E493" s="156" t="inlineStr">
        <is>
          <t>Tiền thu hộ mới không được lớn hơn tiền thu hộ trước đó</t>
        </is>
      </c>
    </row>
    <row r="494">
      <c r="A494" s="165" t="inlineStr">
        <is>
          <t>editOrder.continueEdit</t>
        </is>
      </c>
      <c r="B494" s="156" t="inlineStr">
        <is>
          <t>បន្តកែសម្រួល</t>
        </is>
      </c>
      <c r="C494" s="165" t="inlineStr">
        <is>
          <t>Continue Editing</t>
        </is>
      </c>
      <c r="D494" s="165" t="inlineStr">
        <is>
          <t>继续编辑</t>
        </is>
      </c>
      <c r="E494" s="156" t="inlineStr">
        <is>
          <t>បន្តកែសម្រួល</t>
        </is>
      </c>
    </row>
    <row r="495">
      <c r="A495" s="165" t="inlineStr">
        <is>
          <t>editOrder.contentContinueEdit</t>
        </is>
      </c>
      <c r="B495" s="156" t="inlineStr">
        <is>
          <t>អតិថិជនពិតជាចង់ចាកចេញពីអេក្រង់កែបុងបញ្ញើមែនទេ?</t>
        </is>
      </c>
      <c r="C495" s="165" t="inlineStr">
        <is>
          <t>Are you sure you want to exit the edit screen?</t>
        </is>
      </c>
      <c r="D495" s="165" t="inlineStr">
        <is>
          <t>确认要退出编辑页面吗？</t>
        </is>
      </c>
      <c r="E495" s="156" t="inlineStr">
        <is>
          <t>អតិថិជនពិតជាចង់ចាកចេញពីអេក្រង់កែបុងបញ្ញើមែនទេ?</t>
        </is>
      </c>
    </row>
    <row r="496">
      <c r="A496" s="165" t="inlineStr">
        <is>
          <t>editOrder.listTemplateDes1</t>
        </is>
      </c>
      <c r="B496" s="156" t="inlineStr">
        <is>
          <t>ប្រគល់អីវ៉ាន់ម្តងទៀតមួយផ្នែក ទទួលអីវ៉ាន់ម្តងទៀតពីអតិថិជន។</t>
        </is>
      </c>
      <c r="C496" s="165" t="inlineStr">
        <is>
          <t>Partial delivery, receive returned product from customer</t>
        </is>
      </c>
      <c r="D496" s="165" t="inlineStr">
        <is>
          <t>部分投递，并向客户取回部分货物</t>
        </is>
      </c>
      <c r="E496" s="156" t="inlineStr">
        <is>
          <t>ប្រគល់អីវ៉ាន់ម្តងទៀតមួយផ្នែក ទទួលអីវ៉ាន់ម្តងទៀតពីអតិថិជន។</t>
        </is>
      </c>
    </row>
    <row r="497">
      <c r="A497" s="165" t="inlineStr">
        <is>
          <t>editOrder.listTemplateDes2</t>
        </is>
      </c>
      <c r="B497" s="156" t="inlineStr">
        <is>
          <t>អីវ៉ាន់ងាយបែកបាក់ ទទួលយកអីវ៉ាន់ម្តងទៀតពីអតិថិជន</t>
        </is>
      </c>
      <c r="C497" s="165" t="inlineStr">
        <is>
          <t>Fragile item, please handle with care</t>
        </is>
      </c>
      <c r="D497" s="165" t="inlineStr">
        <is>
          <t>易碎品，请小心搬运</t>
        </is>
      </c>
      <c r="E497" s="156" t="inlineStr">
        <is>
          <t>អីវ៉ាន់ងាយបែកបាក់ ទទួលយកអីវ៉ាន់ម្តងទៀតពីអតិថិជន</t>
        </is>
      </c>
    </row>
    <row r="498">
      <c r="A498" s="165" t="inlineStr">
        <is>
          <t>editOrder.listTemplateDes3</t>
        </is>
      </c>
      <c r="B498" s="156" t="inlineStr">
        <is>
          <t>ខលទៅអតិថិជនមុនពេលប្រគល់</t>
        </is>
      </c>
      <c r="C498" s="165" t="inlineStr">
        <is>
          <t>Call customer before delivery</t>
        </is>
      </c>
      <c r="D498" s="165" t="inlineStr">
        <is>
          <t>派送前电话联系客户</t>
        </is>
      </c>
      <c r="E498" s="156" t="inlineStr">
        <is>
          <t>ខលទៅអតិថិជនមុនពេលប្រគល់</t>
        </is>
      </c>
    </row>
    <row r="499">
      <c r="A499" s="165" t="inlineStr">
        <is>
          <t>editOrder.listTemplateDes4</t>
        </is>
      </c>
      <c r="B499" s="156" t="inlineStr">
        <is>
          <t>ប្រគល់អីវ៉ាន់ក្នុងម៉ោងធ្វើការ</t>
        </is>
      </c>
      <c r="C499" s="165" t="inlineStr">
        <is>
          <t>Deliver during business hours</t>
        </is>
      </c>
      <c r="D499" s="165" t="inlineStr">
        <is>
          <t>请在营业时间内派送</t>
        </is>
      </c>
      <c r="E499" s="156" t="inlineStr">
        <is>
          <t>ប្រគល់អីវ៉ាន់ក្នុងម៉ោងធ្វើការ</t>
        </is>
      </c>
    </row>
    <row r="500">
      <c r="A500" s="165" t="inlineStr">
        <is>
          <t>editOrder.listTemplateDes5</t>
        </is>
      </c>
      <c r="B500" s="156" t="inlineStr">
        <is>
          <t>ឲ្យអតិថិជនបើកមើលអីវ៉ាន់</t>
        </is>
      </c>
      <c r="C500" s="165" t="inlineStr">
        <is>
          <t>Allow customer to inspect item</t>
        </is>
      </c>
      <c r="D500" s="165" t="inlineStr">
        <is>
          <t>允许客户开箱验视</t>
        </is>
      </c>
      <c r="E500" s="156" t="inlineStr">
        <is>
          <t>ឲ្យអតិថិជនបើកមើលអីវ៉ាន់</t>
        </is>
      </c>
    </row>
    <row r="501">
      <c r="A501" s="165" t="inlineStr">
        <is>
          <t>cashFlowStatistics.statistical</t>
        </is>
      </c>
      <c r="B501" s="156" t="inlineStr">
        <is>
          <t>ស្ថិតិ</t>
        </is>
      </c>
      <c r="C501" s="165" t="inlineStr">
        <is>
          <t>Statistics</t>
        </is>
      </c>
      <c r="D501" s="165" t="inlineStr">
        <is>
          <t>数据统计</t>
        </is>
      </c>
      <c r="E501" s="156" t="inlineStr">
        <is>
          <t>ស្ថិតិ</t>
        </is>
      </c>
    </row>
    <row r="502">
      <c r="A502" s="165" t="inlineStr">
        <is>
          <t>cashFlowStatistics.cashFlow</t>
        </is>
      </c>
      <c r="B502" s="156" t="inlineStr">
        <is>
          <t>ចរន្តសាច់ប្រាក់</t>
        </is>
      </c>
      <c r="C502" s="165" t="inlineStr">
        <is>
          <t>Cash Flow</t>
        </is>
      </c>
      <c r="D502" s="165" t="inlineStr">
        <is>
          <t>资金流水</t>
        </is>
      </c>
      <c r="E502" s="156" t="inlineStr">
        <is>
          <t>ចរន្តសាច់ប្រាក់</t>
        </is>
      </c>
    </row>
    <row r="503">
      <c r="A503" s="165" t="inlineStr">
        <is>
          <t>settingUser.titlePage</t>
        </is>
      </c>
      <c r="B503" s="156" t="inlineStr">
        <is>
          <t>ការកំណត់គណនី</t>
        </is>
      </c>
      <c r="C503" s="165" t="inlineStr">
        <is>
          <t>Account Settings</t>
        </is>
      </c>
      <c r="D503" s="165" t="inlineStr">
        <is>
          <t>账户设置</t>
        </is>
      </c>
      <c r="E503" s="156" t="inlineStr">
        <is>
          <t>ការកំណត់គណនី</t>
        </is>
      </c>
    </row>
    <row r="504">
      <c r="A504" s="165" t="inlineStr">
        <is>
          <t>settingUser.accountInformation</t>
        </is>
      </c>
      <c r="B504" s="156" t="inlineStr">
        <is>
          <t>ព័ត៌មានគណនី</t>
        </is>
      </c>
      <c r="C504" s="165" t="inlineStr">
        <is>
          <t>Account Information</t>
        </is>
      </c>
      <c r="D504" s="165" t="inlineStr">
        <is>
          <t>账户信息</t>
        </is>
      </c>
      <c r="E504" s="156" t="inlineStr">
        <is>
          <t>ព័ត៌មានគណនី</t>
        </is>
      </c>
    </row>
    <row r="505">
      <c r="A505" s="165" t="inlineStr">
        <is>
          <t>settingUser.warehouseSettings</t>
        </is>
      </c>
      <c r="B505" s="156" t="inlineStr">
        <is>
          <t>ការកំណត់ឃ្លាំងអីវ៉ាន់</t>
        </is>
      </c>
      <c r="C505" s="165" t="inlineStr">
        <is>
          <t>Warehouse Settings</t>
        </is>
      </c>
      <c r="D505" s="165" t="inlineStr">
        <is>
          <t>仓库设置</t>
        </is>
      </c>
      <c r="E505" s="156" t="inlineStr">
        <is>
          <t>ការកំណត់ឃ្លាំងអីវ៉ាន់</t>
        </is>
      </c>
    </row>
    <row r="506">
      <c r="A506" s="165" t="inlineStr">
        <is>
          <t>settingUser.tokenManagement</t>
        </is>
      </c>
      <c r="B506" s="156" t="inlineStr">
        <is>
          <t>គ្រប់គ្រង token</t>
        </is>
      </c>
      <c r="C506" s="165" t="inlineStr">
        <is>
          <t>Token Management</t>
        </is>
      </c>
      <c r="D506" s="165" t="inlineStr">
        <is>
          <t>Token 管理</t>
        </is>
      </c>
      <c r="E506" s="156" t="inlineStr">
        <is>
          <t>គ្រប់គ្រង token</t>
        </is>
      </c>
    </row>
    <row r="507">
      <c r="A507" s="165" t="inlineStr">
        <is>
          <t>settingUser.manageWebhooks</t>
        </is>
      </c>
      <c r="B507" s="156" t="inlineStr">
        <is>
          <t>គ្រប់គ្រង webhook</t>
        </is>
      </c>
      <c r="C507" s="165" t="inlineStr">
        <is>
          <t>Manage Webhooks</t>
        </is>
      </c>
      <c r="D507" s="165" t="inlineStr">
        <is>
          <t>Webhook管理</t>
        </is>
      </c>
      <c r="E507" s="156" t="inlineStr">
        <is>
          <t>គ្រប់គ្រង webhook</t>
        </is>
      </c>
    </row>
    <row r="508">
      <c r="A508" s="165" t="inlineStr">
        <is>
          <t>settingUser.fullName</t>
        </is>
      </c>
      <c r="B508" s="156" t="inlineStr">
        <is>
          <t>គោត្តនាម និងនាម</t>
        </is>
      </c>
      <c r="C508" s="165" t="inlineStr">
        <is>
          <t>Full Name</t>
        </is>
      </c>
      <c r="D508" s="165" t="inlineStr">
        <is>
          <t>姓名</t>
        </is>
      </c>
      <c r="E508" s="156" t="inlineStr">
        <is>
          <t>គោត្តនាម និងនាម</t>
        </is>
      </c>
    </row>
    <row r="509">
      <c r="A509" s="165" t="inlineStr">
        <is>
          <t>settingUser.fullNamePlaceholder</t>
        </is>
      </c>
      <c r="B509" s="156" t="inlineStr">
        <is>
          <t>បញ្ចូលគោត្តនាម និងនាម</t>
        </is>
      </c>
      <c r="C509" s="165" t="inlineStr">
        <is>
          <t>Enter full name</t>
        </is>
      </c>
      <c r="D509" s="165" t="inlineStr">
        <is>
          <t>请输入姓名</t>
        </is>
      </c>
      <c r="E509" s="156" t="inlineStr">
        <is>
          <t>បញ្ចូលគោត្តនាម និងនាម</t>
        </is>
      </c>
    </row>
    <row r="510">
      <c r="A510" s="165" t="inlineStr">
        <is>
          <t>settingUser.dateOfBirth</t>
        </is>
      </c>
      <c r="B510" s="156" t="inlineStr">
        <is>
          <t>ថ្ងៃកំណើត</t>
        </is>
      </c>
      <c r="C510" s="165" t="inlineStr">
        <is>
          <t>Date of Birth</t>
        </is>
      </c>
      <c r="D510" s="165" t="inlineStr">
        <is>
          <t>出生日期</t>
        </is>
      </c>
      <c r="E510" s="156" t="inlineStr">
        <is>
          <t>ថ្ងៃកំណើត</t>
        </is>
      </c>
    </row>
    <row r="511">
      <c r="A511" s="165" t="inlineStr">
        <is>
          <t>settingUser.dateOfBirthPlaceholder</t>
        </is>
      </c>
      <c r="B511" s="156" t="inlineStr">
        <is>
          <t>ជ្រើសរើសថ្ងៃ</t>
        </is>
      </c>
      <c r="C511" s="165" t="inlineStr">
        <is>
          <t>Select date</t>
        </is>
      </c>
      <c r="D511" s="165" t="inlineStr">
        <is>
          <t>选择日期</t>
        </is>
      </c>
      <c r="E511" s="156" t="inlineStr">
        <is>
          <t>ជ្រើសរើសថ្ងៃ</t>
        </is>
      </c>
    </row>
    <row r="512">
      <c r="A512" s="165" t="inlineStr">
        <is>
          <t>settingUser.phone</t>
        </is>
      </c>
      <c r="B512" s="156" t="inlineStr">
        <is>
          <t>លេខទូរស័ព្ទ</t>
        </is>
      </c>
      <c r="C512" s="165" t="inlineStr">
        <is>
          <t>Phone Number</t>
        </is>
      </c>
      <c r="D512" s="165" t="inlineStr">
        <is>
          <t>手机号码</t>
        </is>
      </c>
      <c r="E512" s="156" t="inlineStr">
        <is>
          <t>លេខទូរស័ព្ទ</t>
        </is>
      </c>
    </row>
    <row r="513">
      <c r="A513" s="165" t="inlineStr">
        <is>
          <t>settingUser.phonePlaceholder</t>
        </is>
      </c>
      <c r="B513" s="156" t="inlineStr">
        <is>
          <t>បញ្ចូលលេខទូរស័ព្ទ</t>
        </is>
      </c>
      <c r="C513" s="165" t="inlineStr">
        <is>
          <t>Enter phone number</t>
        </is>
      </c>
      <c r="D513" s="165" t="inlineStr">
        <is>
          <t>请输入手机号码</t>
        </is>
      </c>
      <c r="E513" s="156" t="inlineStr">
        <is>
          <t>បញ្ចូលលេខទូរស័ព្ទ</t>
        </is>
      </c>
    </row>
    <row r="514">
      <c r="A514" s="165" t="inlineStr">
        <is>
          <t>settingUser.email</t>
        </is>
      </c>
      <c r="B514" s="156" t="inlineStr">
        <is>
          <t>អ៊ីម៉ែល</t>
        </is>
      </c>
      <c r="C514" s="165" t="inlineStr">
        <is>
          <t>Email</t>
        </is>
      </c>
      <c r="D514" s="165" t="inlineStr">
        <is>
          <t>电子邮箱</t>
        </is>
      </c>
      <c r="E514" s="156" t="inlineStr">
        <is>
          <t>អ៊ីម៉ែល</t>
        </is>
      </c>
    </row>
    <row r="515">
      <c r="A515" s="165" t="inlineStr">
        <is>
          <t>settingUser.emailPlaceholder</t>
        </is>
      </c>
      <c r="B515" s="156" t="inlineStr">
        <is>
          <t>បញ្ចូលអ៊ីម៉ែល</t>
        </is>
      </c>
      <c r="C515" s="165" t="inlineStr">
        <is>
          <t>Enter email</t>
        </is>
      </c>
      <c r="D515" s="165" t="inlineStr">
        <is>
          <t>请输入电子邮箱</t>
        </is>
      </c>
      <c r="E515" s="156" t="inlineStr">
        <is>
          <t>បញ្ចូលអ៊ីម៉ែល</t>
        </is>
      </c>
    </row>
    <row r="516">
      <c r="A516" s="165" t="inlineStr">
        <is>
          <t>settingUser.address</t>
        </is>
      </c>
      <c r="B516" s="156" t="inlineStr">
        <is>
          <t>អាសយដ្ឋានលម្អិត</t>
        </is>
      </c>
      <c r="C516" s="165" t="inlineStr">
        <is>
          <t>Detailed Address</t>
        </is>
      </c>
      <c r="D516" s="165" t="inlineStr">
        <is>
          <t>详细地址</t>
        </is>
      </c>
      <c r="E516" s="156" t="inlineStr">
        <is>
          <t>អាសយដ្ឋានលម្អិត</t>
        </is>
      </c>
    </row>
    <row r="517">
      <c r="A517" s="165" t="inlineStr">
        <is>
          <t>settingUser.change</t>
        </is>
      </c>
      <c r="B517" s="156" t="inlineStr">
        <is>
          <t>ផ្លាស់ប្តូរ</t>
        </is>
      </c>
      <c r="C517" s="165" t="inlineStr">
        <is>
          <t>Change</t>
        </is>
      </c>
      <c r="D517" s="165" t="inlineStr">
        <is>
          <t>更改</t>
        </is>
      </c>
      <c r="E517" s="156" t="inlineStr">
        <is>
          <t>ផ្លាស់ប្តូរ</t>
        </is>
      </c>
    </row>
    <row r="518">
      <c r="A518" s="165" t="inlineStr">
        <is>
          <t>settingUser.idCard</t>
        </is>
      </c>
      <c r="B518" s="156" t="inlineStr">
        <is>
          <t>អត្តសញ្ញាណប័ណ្ណ/លេខសម្គាល់ក្នុងអត្តសញ្ញាណប័ណ្ណ</t>
        </is>
      </c>
      <c r="C518" s="165" t="inlineStr">
        <is>
          <t>ID Card</t>
        </is>
      </c>
      <c r="D518" s="165" t="inlineStr">
        <is>
          <t>身份证</t>
        </is>
      </c>
      <c r="E518" s="156" t="inlineStr">
        <is>
          <t>អត្តសញ្ញាណប័ណ្ណ/លេខសម្គាល់ក្នុងអត្តសញ្ញាណប័ណ្ណ</t>
        </is>
      </c>
    </row>
    <row r="519">
      <c r="A519" s="165" t="inlineStr">
        <is>
          <t>settingUser.billingInformation</t>
        </is>
      </c>
      <c r="B519" s="156" t="inlineStr">
        <is>
          <t>ព័ត៌មានទូទាត់</t>
        </is>
      </c>
      <c r="C519" s="165" t="inlineStr">
        <is>
          <t>Billing Information</t>
        </is>
      </c>
      <c r="D519" s="165" t="inlineStr">
        <is>
          <t>收款信息</t>
        </is>
      </c>
      <c r="E519" s="156" t="inlineStr">
        <is>
          <t>ព័ត៌មានទូទាត់</t>
        </is>
      </c>
    </row>
    <row r="520">
      <c r="A520" s="165" t="inlineStr">
        <is>
          <t>settingUser.feePaymentInformation</t>
        </is>
      </c>
      <c r="B520" s="156" t="inlineStr">
        <is>
          <t>ព័ត៌មានទូូទាត់ថ្លៃសេវា</t>
        </is>
      </c>
      <c r="C520" s="165" t="inlineStr">
        <is>
          <t>Fee Payment Information</t>
        </is>
      </c>
      <c r="D520" s="165" t="inlineStr">
        <is>
          <t>费用支付信息</t>
        </is>
      </c>
      <c r="E520" s="156" t="inlineStr">
        <is>
          <t>ព័ត៌មានទូូទាត់ថ្លៃសេវា</t>
        </is>
      </c>
    </row>
    <row r="521">
      <c r="A521" s="165" t="inlineStr">
        <is>
          <t>settingUser.bank</t>
        </is>
      </c>
      <c r="B521" s="156" t="inlineStr">
        <is>
          <t>ធនាគារ</t>
        </is>
      </c>
      <c r="C521" s="165" t="inlineStr">
        <is>
          <t>Bank</t>
        </is>
      </c>
      <c r="D521" s="165" t="inlineStr">
        <is>
          <t>银行</t>
        </is>
      </c>
      <c r="E521" s="156" t="inlineStr">
        <is>
          <t>ធនាគារ</t>
        </is>
      </c>
    </row>
    <row r="522">
      <c r="A522" s="165" t="inlineStr">
        <is>
          <t>settingUser.accountNumber</t>
        </is>
      </c>
      <c r="B522" s="156" t="inlineStr">
        <is>
          <t>លេខគណនីធនាគារ</t>
        </is>
      </c>
      <c r="C522" s="165" t="inlineStr">
        <is>
          <t>Account Number</t>
        </is>
      </c>
      <c r="D522" s="165" t="inlineStr">
        <is>
          <t>账号</t>
        </is>
      </c>
      <c r="E522" s="156" t="inlineStr">
        <is>
          <t>លេខគណនីធនាគារ</t>
        </is>
      </c>
    </row>
    <row r="523">
      <c r="A523" s="165" t="inlineStr">
        <is>
          <t>settingUser.accountOwner</t>
        </is>
      </c>
      <c r="B523" s="156" t="inlineStr">
        <is>
          <t>ម្ចាស់គណនី</t>
        </is>
      </c>
      <c r="C523" s="165" t="inlineStr">
        <is>
          <t>Account Owner</t>
        </is>
      </c>
      <c r="D523" s="165" t="inlineStr">
        <is>
          <t>账户持有人</t>
        </is>
      </c>
      <c r="E523" s="156" t="inlineStr">
        <is>
          <t>ម្ចាស់គណនី</t>
        </is>
      </c>
    </row>
    <row r="524">
      <c r="A524" s="165" t="inlineStr">
        <is>
          <t>settingUser.feePaymentInfo</t>
        </is>
      </c>
      <c r="B524" s="156" t="inlineStr">
        <is>
          <t>វិធីសាស្រ្តទូទាត់</t>
        </is>
      </c>
      <c r="C524" s="165" t="inlineStr">
        <is>
          <t>Payment Method</t>
        </is>
      </c>
      <c r="D524" s="165" t="inlineStr">
        <is>
          <t>支付方式</t>
        </is>
      </c>
      <c r="E524" s="156" t="inlineStr">
        <is>
          <t>វិធីសាស្រ្តទូទាត់</t>
        </is>
      </c>
    </row>
    <row r="525">
      <c r="A525" s="165" t="inlineStr">
        <is>
          <t>settingUser.codPaymentInfo</t>
        </is>
      </c>
      <c r="B525" s="156" t="inlineStr">
        <is>
          <t>របៀបទូទាត់</t>
        </is>
      </c>
      <c r="C525" s="165" t="inlineStr">
        <is>
          <t>Payment Type</t>
        </is>
      </c>
      <c r="D525" s="165" t="inlineStr">
        <is>
          <t>付款类型</t>
        </is>
      </c>
      <c r="E525" s="156" t="inlineStr">
        <is>
          <t>របៀបទូទាត់</t>
        </is>
      </c>
    </row>
    <row r="526">
      <c r="A526" s="165" t="inlineStr">
        <is>
          <t>settingUser.codPaymentInformation</t>
        </is>
      </c>
      <c r="B526" s="156" t="inlineStr">
        <is>
          <t>ព័ត៌មានទូទាត់ COD</t>
        </is>
      </c>
      <c r="C526" s="165" t="inlineStr">
        <is>
          <t>COD Payment Information</t>
        </is>
      </c>
      <c r="D526" s="165" t="inlineStr">
        <is>
          <t>代收货款收款信息</t>
        </is>
      </c>
      <c r="E526" s="156" t="inlineStr">
        <is>
          <t>ព័ត៌មានទូទាត់ COD</t>
        </is>
      </c>
    </row>
    <row r="527">
      <c r="A527" s="165" t="inlineStr">
        <is>
          <t>settingUser.MON_WED_FRI</t>
        </is>
      </c>
      <c r="B527" s="156" t="inlineStr">
        <is>
          <t>ថ្ងៃ ច័ន្ទ ពុធ សុក្រ រាល់សប្តាហ៍</t>
        </is>
      </c>
      <c r="C527" s="165" t="inlineStr">
        <is>
          <t>Every Monday, Wednesday, Friday</t>
        </is>
      </c>
      <c r="D527" s="165" t="inlineStr">
        <is>
          <t>每周一、三、五</t>
        </is>
      </c>
      <c r="E527" s="156" t="inlineStr">
        <is>
          <t>ថ្ងៃ ច័ន្ទ ពុធ សុក្រ រាល់សប្តាហ៍</t>
        </is>
      </c>
    </row>
    <row r="528">
      <c r="A528" s="165" t="inlineStr">
        <is>
          <t>settingUser.TUE_THU</t>
        </is>
      </c>
      <c r="B528" s="156" t="inlineStr">
        <is>
          <t>ថ្ងៃ អង្គារ ព្រហស្បត្តិ៍ រាល់សប្តាហ៍</t>
        </is>
      </c>
      <c r="C528" s="165" t="inlineStr">
        <is>
          <t>Every Tuesday, Thursday</t>
        </is>
      </c>
      <c r="D528" s="165" t="inlineStr">
        <is>
          <t>每周二、四</t>
        </is>
      </c>
      <c r="E528" s="156" t="inlineStr">
        <is>
          <t>ថ្ងៃ អង្គារ ព្រហស្បត្តិ៍ រាល់សប្តាហ៍</t>
        </is>
      </c>
    </row>
    <row r="529">
      <c r="A529" s="165" t="inlineStr">
        <is>
          <t>settingUser.FIXED_DATE</t>
        </is>
      </c>
      <c r="B529" s="156" t="inlineStr">
        <is>
          <t>ថ្ងៃក្នុងខែ</t>
        </is>
      </c>
      <c r="C529" s="165" t="inlineStr">
        <is>
          <t>Fixed Dates in the Month</t>
        </is>
      </c>
      <c r="D529" s="165" t="inlineStr">
        <is>
          <t>每月固定日期</t>
        </is>
      </c>
      <c r="E529" s="156" t="inlineStr">
        <is>
          <t>ថ្ងៃក្នុងខែ</t>
        </is>
      </c>
    </row>
    <row r="530">
      <c r="A530" s="165" t="inlineStr">
        <is>
          <t>settingUser.selectDate</t>
        </is>
      </c>
      <c r="B530" s="156" t="inlineStr">
        <is>
          <t>ជ្រើសរើសថ្ងៃ</t>
        </is>
      </c>
      <c r="C530" s="165" t="inlineStr">
        <is>
          <t>Select Date</t>
        </is>
      </c>
      <c r="D530" s="165" t="inlineStr">
        <is>
          <t>选择日期</t>
        </is>
      </c>
      <c r="E530" s="156" t="inlineStr">
        <is>
          <t>ជ្រើសរើសថ្ងៃ</t>
        </is>
      </c>
    </row>
    <row r="531">
      <c r="A531" s="165" t="inlineStr">
        <is>
          <t>settingUser.descriptionSelectDate</t>
        </is>
      </c>
      <c r="B531" s="156" t="inlineStr">
        <is>
          <t>អ្នកអាចជ្រើសរើសច្រើនថ្ងៃក្នុងខែ៖</t>
        </is>
      </c>
      <c r="C531" s="165" t="inlineStr">
        <is>
          <t>You can select multiple dates in the month:</t>
        </is>
      </c>
      <c r="D531" s="165" t="inlineStr">
        <is>
          <t>您可选择本月的多个日期：</t>
        </is>
      </c>
      <c r="E531" s="156" t="inlineStr">
        <is>
          <t>អ្នកអាចជ្រើសរើសច្រើនថ្ងៃក្នុងខែ៖</t>
        </is>
      </c>
    </row>
    <row r="532">
      <c r="A532" s="165" t="inlineStr">
        <is>
          <t>settingUser.selectedAll</t>
        </is>
      </c>
      <c r="B532" s="156" t="inlineStr">
        <is>
          <t>ជ្រើសរើសទាំងអស់</t>
        </is>
      </c>
      <c r="C532" s="165" t="inlineStr">
        <is>
          <t>Select All</t>
        </is>
      </c>
      <c r="D532" s="165" t="inlineStr">
        <is>
          <t>全选</t>
        </is>
      </c>
      <c r="E532" s="156" t="inlineStr">
        <is>
          <t>ជ្រើសរើសទាំងអស់</t>
        </is>
      </c>
    </row>
    <row r="533">
      <c r="A533" s="165" t="inlineStr">
        <is>
          <t>settingUser.selectedAllDay</t>
        </is>
      </c>
      <c r="B533" s="156" t="inlineStr">
        <is>
          <t>ជ្រើសរើសថ្ងៃទាំងអស់ក្នុងខែ</t>
        </is>
      </c>
      <c r="C533" s="165" t="inlineStr">
        <is>
          <t>Select All Days in the Month</t>
        </is>
      </c>
      <c r="D533" s="165" t="inlineStr">
        <is>
          <t>选择本月所有日期</t>
        </is>
      </c>
      <c r="E533" s="156" t="inlineStr">
        <is>
          <t>ជ្រើសរើសថ្ងៃទាំងអស់ក្នុងខែ</t>
        </is>
      </c>
    </row>
    <row r="534">
      <c r="A534" s="165" t="inlineStr">
        <is>
          <t>settingUser.days</t>
        </is>
      </c>
      <c r="B534" s="156" t="inlineStr">
        <is>
          <t>ថ្ងៃ</t>
        </is>
      </c>
      <c r="C534" s="165" t="inlineStr">
        <is>
          <t>Days</t>
        </is>
      </c>
      <c r="D534" s="165" t="inlineStr">
        <is>
          <t>天</t>
        </is>
      </c>
      <c r="E534" s="156" t="inlineStr">
        <is>
          <t>ថ្ងៃ</t>
        </is>
      </c>
    </row>
    <row r="535">
      <c r="A535" s="165" t="inlineStr">
        <is>
          <t>settingUser.monthly</t>
        </is>
      </c>
      <c r="B535" s="156" t="inlineStr">
        <is>
          <t>រៀងរាល់ខែ</t>
        </is>
      </c>
      <c r="C535" s="165" t="inlineStr">
        <is>
          <t>Monthly</t>
        </is>
      </c>
      <c r="D535" s="165" t="inlineStr">
        <is>
          <t>每月</t>
        </is>
      </c>
      <c r="E535" s="156" t="inlineStr">
        <is>
          <t>រៀងរាល់ខែ</t>
        </is>
      </c>
    </row>
    <row r="536">
      <c r="A536" s="165" t="inlineStr">
        <is>
          <t>settingUser.note</t>
        </is>
      </c>
      <c r="B536" s="156" t="inlineStr">
        <is>
          <t>ចំណាំ</t>
        </is>
      </c>
      <c r="C536" s="165" t="inlineStr">
        <is>
          <t>Note</t>
        </is>
      </c>
      <c r="D536" s="165" t="inlineStr">
        <is>
          <t>备注</t>
        </is>
      </c>
      <c r="E536" s="156" t="inlineStr">
        <is>
          <t>ចំណាំ</t>
        </is>
      </c>
    </row>
    <row r="537">
      <c r="A537" s="165" t="inlineStr">
        <is>
          <t>settingUser.noteDate</t>
        </is>
      </c>
      <c r="B537" s="156" t="inlineStr">
        <is>
          <t>ពេលអ្នកជ្រើសរើសថ្ងៃទី៣១ ជាមួយនឹងខែដែលមានតែ ២៨ ២៩ ៣០ នោះវិក័យប័ត្រនឹងលោតចូលចុងខែនីមួយៗ។</t>
        </is>
      </c>
      <c r="C537" s="165" t="inlineStr">
        <is>
          <t>If you select the 31st, for months with 28, 29, or 30 days, the invoice will be generated at the end of each month.</t>
        </is>
      </c>
      <c r="D537" s="165" t="inlineStr">
        <is>
          <t>若选择31日，则在仅有28、29或30天的月份中，系统将在当月最后一天生成账单。</t>
        </is>
      </c>
      <c r="E537" s="156" t="inlineStr">
        <is>
          <t>ពេលអ្នកជ្រើសរើសថ្ងៃទី៣១ ជាមួយនឹងខែដែលមានតែ ២៨ ២៩ ៣០ នោះវិក័យប័ត្រនឹងលោតចូលចុងខែនីមួយៗ។</t>
        </is>
      </c>
    </row>
    <row r="538">
      <c r="A538" s="165" t="inlineStr">
        <is>
          <t>settingUser.saveSelect</t>
        </is>
      </c>
      <c r="B538" s="156" t="inlineStr">
        <is>
          <t>រក្សាទុកការជ្រើសរើស</t>
        </is>
      </c>
      <c r="C538" s="165" t="inlineStr">
        <is>
          <t>Save Options</t>
        </is>
      </c>
      <c r="D538" s="165" t="inlineStr">
        <is>
          <t>保存设置</t>
        </is>
      </c>
      <c r="E538" s="156" t="inlineStr">
        <is>
          <t>រក្សាទុកការជ្រើសរើស</t>
        </is>
      </c>
    </row>
    <row r="539">
      <c r="A539" s="165" t="inlineStr">
        <is>
          <t>settingUser.constPayment.DEDUCTED_FROM_COD</t>
        </is>
      </c>
      <c r="B539" s="156" t="inlineStr">
        <is>
          <t>ដកថ្លៃសេវាដឹកជញ្ជូនក្នុងប្រាក់ COD</t>
        </is>
      </c>
      <c r="C539" s="165" t="inlineStr">
        <is>
          <t>Deduct service fee from COD amount</t>
        </is>
      </c>
      <c r="D539" s="165" t="inlineStr">
        <is>
          <t>从代收金额中扣除手续费</t>
        </is>
      </c>
      <c r="E539" s="156" t="inlineStr">
        <is>
          <t>ដកថ្លៃសេវាដឹកជញ្ជូនក្នុងប្រាក់ COD</t>
        </is>
      </c>
    </row>
    <row r="540">
      <c r="A540" s="165" t="inlineStr">
        <is>
          <t>settingUser.constPayment.BANK_TRANSFER</t>
        </is>
      </c>
      <c r="B540" s="156" t="inlineStr">
        <is>
          <t>ផ្ទេរប្រាក់</t>
        </is>
      </c>
      <c r="C540" s="165" t="inlineStr">
        <is>
          <t>Bank Transfer</t>
        </is>
      </c>
      <c r="D540" s="165" t="inlineStr">
        <is>
          <t>银行转账</t>
        </is>
      </c>
      <c r="E540" s="156" t="inlineStr">
        <is>
          <t>ផ្ទេរប្រាក់</t>
        </is>
      </c>
    </row>
    <row r="541">
      <c r="A541" s="165" t="inlineStr">
        <is>
          <t>settingUser.validateBillingCycleDayOfMonth</t>
        </is>
      </c>
      <c r="B541" s="156" t="inlineStr">
        <is>
          <t>សូមជ្រើសរើសយ៉ាងតិចមួយថ្ងៃក្នុងខែ</t>
        </is>
      </c>
      <c r="C541" s="165" t="inlineStr">
        <is>
          <t>Please select at least one day in the month</t>
        </is>
      </c>
      <c r="D541" s="165" t="inlineStr">
        <is>
          <t>请至少选择月内的一个日期</t>
        </is>
      </c>
      <c r="E541" s="156" t="inlineStr">
        <is>
          <t>សូមជ្រើសរើសយ៉ាងតិចមួយថ្ងៃក្នុងខែ</t>
        </is>
      </c>
    </row>
    <row r="542">
      <c r="A542" s="165" t="inlineStr">
        <is>
          <t>statistical.today</t>
        </is>
      </c>
      <c r="B542" s="156" t="inlineStr">
        <is>
          <t>ថ្ងៃនេះ</t>
        </is>
      </c>
      <c r="C542" s="165" t="inlineStr">
        <is>
          <t>Today</t>
        </is>
      </c>
      <c r="D542" s="165" t="inlineStr">
        <is>
          <t>今天</t>
        </is>
      </c>
      <c r="E542" s="156" t="inlineStr">
        <is>
          <t>ថ្ងៃនេះ</t>
        </is>
      </c>
    </row>
    <row r="543">
      <c r="A543" s="165" t="inlineStr">
        <is>
          <t>statistical.yesterday</t>
        </is>
      </c>
      <c r="B543" s="156" t="inlineStr">
        <is>
          <t>ម្សិលមិញ</t>
        </is>
      </c>
      <c r="C543" s="165" t="inlineStr">
        <is>
          <t>Yesterday</t>
        </is>
      </c>
      <c r="D543" s="165" t="inlineStr">
        <is>
          <t>昨天</t>
        </is>
      </c>
      <c r="E543" s="156" t="inlineStr">
        <is>
          <t>ម្សិលមិញ</t>
        </is>
      </c>
    </row>
    <row r="544">
      <c r="A544" s="165" t="inlineStr">
        <is>
          <t>statistical.last7Days</t>
        </is>
      </c>
      <c r="B544" s="156" t="inlineStr">
        <is>
          <t>7 ថ្ងៃមុន</t>
        </is>
      </c>
      <c r="C544" s="165" t="inlineStr">
        <is>
          <t>Last 7 Days</t>
        </is>
      </c>
      <c r="D544" s="165" t="inlineStr">
        <is>
          <t>过去7天</t>
        </is>
      </c>
      <c r="E544" s="156" t="inlineStr">
        <is>
          <t>7 ថ្ងៃមុន</t>
        </is>
      </c>
    </row>
    <row r="545">
      <c r="A545" s="165" t="inlineStr">
        <is>
          <t>statistical.last14Days</t>
        </is>
      </c>
      <c r="B545" s="156" t="inlineStr">
        <is>
          <t>14 ថ្ងៃមុន</t>
        </is>
      </c>
      <c r="C545" s="165" t="inlineStr">
        <is>
          <t>Last 14 Days</t>
        </is>
      </c>
      <c r="D545" s="165" t="inlineStr">
        <is>
          <t>过去14天</t>
        </is>
      </c>
      <c r="E545" s="156" t="inlineStr">
        <is>
          <t>14 ថ្ងៃមុន</t>
        </is>
      </c>
    </row>
    <row r="546">
      <c r="A546" s="165" t="inlineStr">
        <is>
          <t>statistical.last30Days</t>
        </is>
      </c>
      <c r="B546" s="156" t="inlineStr">
        <is>
          <t>30 ថ្ងៃមុន</t>
        </is>
      </c>
      <c r="C546" s="165" t="inlineStr">
        <is>
          <t>Last 30 Days</t>
        </is>
      </c>
      <c r="D546" s="165" t="inlineStr">
        <is>
          <t>过去30天</t>
        </is>
      </c>
      <c r="E546" s="156" t="inlineStr">
        <is>
          <t>30 ថ្ងៃមុន</t>
        </is>
      </c>
    </row>
    <row r="547">
      <c r="A547" s="165" t="inlineStr">
        <is>
          <t>statistical.thisMonth</t>
        </is>
      </c>
      <c r="B547" s="156" t="inlineStr">
        <is>
          <t>ខែនេះ</t>
        </is>
      </c>
      <c r="C547" s="165" t="inlineStr">
        <is>
          <t>This Month</t>
        </is>
      </c>
      <c r="D547" s="165" t="inlineStr">
        <is>
          <t>本月</t>
        </is>
      </c>
      <c r="E547" s="156" t="inlineStr">
        <is>
          <t>ខែនេះ</t>
        </is>
      </c>
    </row>
    <row r="548">
      <c r="A548" s="165" t="inlineStr">
        <is>
          <t>statistical.lastWeek</t>
        </is>
      </c>
      <c r="B548" s="156" t="inlineStr">
        <is>
          <t>សប្តាហ៍មុន</t>
        </is>
      </c>
      <c r="C548" s="165" t="inlineStr">
        <is>
          <t>Last Week</t>
        </is>
      </c>
      <c r="D548" s="165" t="inlineStr">
        <is>
          <t>上周</t>
        </is>
      </c>
      <c r="E548" s="156" t="inlineStr">
        <is>
          <t>សប្តាហ៍មុន</t>
        </is>
      </c>
    </row>
    <row r="549">
      <c r="A549" s="165" t="inlineStr">
        <is>
          <t>statistical.lastMonth</t>
        </is>
      </c>
      <c r="B549" s="156" t="inlineStr">
        <is>
          <t>ខែមុន</t>
        </is>
      </c>
      <c r="C549" s="165" t="inlineStr">
        <is>
          <t>Last Month</t>
        </is>
      </c>
      <c r="D549" s="165" t="inlineStr">
        <is>
          <t>上月</t>
        </is>
      </c>
      <c r="E549" s="156" t="inlineStr">
        <is>
          <t>ខែមុន</t>
        </is>
      </c>
    </row>
    <row r="550">
      <c r="A550" s="165" t="inlineStr">
        <is>
          <t>statistical.orderCountLabel</t>
        </is>
      </c>
      <c r="B550" s="156" t="inlineStr">
        <is>
          <t>ចំនួនបុងបញ្ញើ</t>
        </is>
      </c>
      <c r="C550" s="165" t="inlineStr">
        <is>
          <t>Order Count</t>
        </is>
      </c>
      <c r="D550" s="165" t="inlineStr">
        <is>
          <t>订单笔数</t>
        </is>
      </c>
      <c r="E550" s="156" t="inlineStr">
        <is>
          <t>ចំនួនបុងបញ្ញើ</t>
        </is>
      </c>
    </row>
    <row r="551">
      <c r="A551" s="165" t="inlineStr">
        <is>
          <t>statistical.orderCount</t>
        </is>
      </c>
      <c r="B551" s="156" t="inlineStr">
        <is>
          <t>លេខបុងបញ្ញើ</t>
        </is>
      </c>
      <c r="C551" s="165" t="inlineStr">
        <is>
          <t>Number of Orders</t>
        </is>
      </c>
      <c r="D551" s="165" t="inlineStr">
        <is>
          <t>订单数量</t>
        </is>
      </c>
      <c r="E551" s="156" t="inlineStr">
        <is>
          <t>លេខបុងបញ្ញើ</t>
        </is>
      </c>
    </row>
    <row r="552">
      <c r="A552" s="165" t="inlineStr">
        <is>
          <t>statistical.codAmount</t>
        </is>
      </c>
      <c r="B552" s="156" t="inlineStr">
        <is>
          <t>ប្រាក់ COD ({{current}})</t>
        </is>
      </c>
      <c r="C552" s="165" t="inlineStr">
        <is>
          <t>COD Amount ({{current}})</t>
        </is>
      </c>
      <c r="D552" s="165" t="inlineStr">
        <is>
          <t>代收货款金额 ({{current}})</t>
        </is>
      </c>
      <c r="E552" s="156" t="inlineStr">
        <is>
          <t>ប្រាក់ COD ({{current}})</t>
        </is>
      </c>
    </row>
    <row r="553">
      <c r="A553" s="165" t="inlineStr">
        <is>
          <t>statistical.shippingFee</t>
        </is>
      </c>
      <c r="B553" s="156" t="inlineStr">
        <is>
          <t>ថ្លៃសេវា ({{current}})</t>
        </is>
      </c>
      <c r="C553" s="165" t="inlineStr">
        <is>
          <t>Shipping Fee ({{current}})</t>
        </is>
      </c>
      <c r="D553" s="165" t="inlineStr">
        <is>
          <t>运费金额 ({{current}})</t>
        </is>
      </c>
      <c r="E553" s="156" t="inlineStr">
        <is>
          <t>ថ្លៃសេវា ({{current}})</t>
        </is>
      </c>
    </row>
    <row r="554">
      <c r="A554" s="165" t="inlineStr">
        <is>
          <t>statistical.otherStatus</t>
        </is>
      </c>
      <c r="B554" s="156" t="inlineStr">
        <is>
          <t>ធ្វើស្ថិតិរាល់បុងបញ្ញើដែលមិនទាន់ទទួលបានជោគជ័យ</t>
        </is>
      </c>
      <c r="C554" s="165" t="inlineStr">
        <is>
          <t>Statistics of orders that have not been successfully received.</t>
        </is>
      </c>
      <c r="D554" s="165" t="inlineStr">
        <is>
          <t>其他状态：此状态下的订单不计入总运费和总代收货款。</t>
        </is>
      </c>
      <c r="E554" s="156" t="inlineStr">
        <is>
          <t>ធ្វើស្ថិតិរាល់បុងបញ្ញើដែលមិនទាន់ទទួលបានជោគជ័យ</t>
        </is>
      </c>
    </row>
    <row r="555">
      <c r="A555" s="165" t="inlineStr">
        <is>
          <t>statistical.moneyByStatus</t>
        </is>
      </c>
      <c r="B555" s="156" t="inlineStr">
        <is>
          <t>ថ្លៃអីវ៉ាន់តាមស្ថានភាព</t>
        </is>
      </c>
      <c r="C555" s="165" t="inlineStr">
        <is>
          <t>Money by Status</t>
        </is>
      </c>
      <c r="D555" s="165" t="inlineStr">
        <is>
          <t>按状态统计金额</t>
        </is>
      </c>
      <c r="E555" s="156" t="inlineStr">
        <is>
          <t>ថ្លៃអីវ៉ាន់តាមស្ថានភាព</t>
        </is>
      </c>
    </row>
    <row r="556">
      <c r="A556" s="165" t="inlineStr">
        <is>
          <t>statistical.bySentDate</t>
        </is>
      </c>
      <c r="B556" s="156" t="inlineStr">
        <is>
          <t>គិតតាមថ្ងៃផ្ញើ</t>
        </is>
      </c>
      <c r="C556" s="165" t="inlineStr">
        <is>
          <t>Calculated by Sent Date</t>
        </is>
      </c>
      <c r="D556" s="165" t="inlineStr">
        <is>
          <t>按发出日期统计</t>
        </is>
      </c>
      <c r="E556" s="156" t="inlineStr">
        <is>
          <t>គិតតាមថ្ងៃផ្ញើ</t>
        </is>
      </c>
    </row>
    <row r="557">
      <c r="A557" s="165" t="inlineStr">
        <is>
          <t>statistical.statusExplanation</t>
        </is>
      </c>
      <c r="B557" s="156" t="inlineStr">
        <is>
          <t>ធ្វើស្ថិ្ថតិរាល់បុងបញ្ញើដែលបានទទួលដោយជោគជ័យ</t>
        </is>
      </c>
      <c r="C557" s="165" t="inlineStr">
        <is>
          <t>Statistics of orders that have been successfully received.</t>
        </is>
      </c>
      <c r="D557" s="165" t="inlineStr">
        <is>
          <t>以下状态订单统计：{{status}}</t>
        </is>
      </c>
      <c r="E557" s="156" t="inlineStr">
        <is>
          <t>ធ្វើស្ថិ្ថតិរាល់បុងបញ្ញើដែលបានទទួលដោយជោគជ័យ</t>
        </is>
      </c>
    </row>
    <row r="558">
      <c r="A558" s="165" t="inlineStr">
        <is>
          <t>statistical.codIncludesShipping</t>
        </is>
      </c>
      <c r="B558" s="156" t="inlineStr">
        <is>
          <t>COD រួមបញ្ចូលទាំងថ្លៃសេវាអ្នកទទួលជាអ្នកចេញ</t>
        </is>
      </c>
      <c r="C558" s="165" t="inlineStr">
        <is>
          <t>COD includes recipient's shipping fee</t>
        </is>
      </c>
      <c r="D558" s="165" t="inlineStr">
        <is>
          <t>代收金额包含收件人运费</t>
        </is>
      </c>
      <c r="E558" s="156" t="inlineStr">
        <is>
          <t>COD រួមបញ្ចូលទាំងថ្លៃសេវាអ្នកទទួលជាអ្នកចេញ</t>
        </is>
      </c>
    </row>
    <row r="559">
      <c r="A559" s="165" t="inlineStr">
        <is>
          <t>statistical.codExcludesShipping</t>
        </is>
      </c>
      <c r="B559" s="156" t="inlineStr">
        <is>
          <t>COD មិនរួមបញ្ចូលជាមួយថ្លៃសេវាអ្នកទទួលជាអ្នកចេញ</t>
        </is>
      </c>
      <c r="C559" s="165" t="inlineStr">
        <is>
          <t>COD excludes recipient's shipping fee</t>
        </is>
      </c>
      <c r="D559" s="165" t="inlineStr">
        <is>
          <t>代收金额不含收件人运费</t>
        </is>
      </c>
      <c r="E559" s="156" t="inlineStr">
        <is>
          <t>COD មិនរួមបញ្ចូលជាមួយថ្លៃសេវាអ្នកទទួលជាអ្នកចេញ</t>
        </is>
      </c>
    </row>
    <row r="560">
      <c r="A560" s="165" t="inlineStr">
        <is>
          <t>statistical.totalOrders</t>
        </is>
      </c>
      <c r="B560" s="156" t="inlineStr">
        <is>
          <t>សរុបបុងបញ្ញើ</t>
        </is>
      </c>
      <c r="C560" s="165" t="inlineStr">
        <is>
          <t>Total Orders</t>
        </is>
      </c>
      <c r="D560" s="165" t="inlineStr">
        <is>
          <t>订单总数</t>
        </is>
      </c>
      <c r="E560" s="156" t="inlineStr">
        <is>
          <t>សរុបបុងបញ្ញើ</t>
        </is>
      </c>
    </row>
    <row r="561">
      <c r="A561" s="165" t="inlineStr">
        <is>
          <t>statistical.successfulDeliveries</t>
        </is>
      </c>
      <c r="B561" s="156" t="inlineStr">
        <is>
          <t>ដឹកជញ្ជូនជោគជ័យ</t>
        </is>
      </c>
      <c r="C561" s="165" t="inlineStr">
        <is>
          <t>Successful Deliveries</t>
        </is>
      </c>
      <c r="D561" s="165" t="inlineStr">
        <is>
          <t>成功派送</t>
        </is>
      </c>
      <c r="E561" s="156" t="inlineStr">
        <is>
          <t>ដឹកជញ្ជូនជោគជ័យ</t>
        </is>
      </c>
    </row>
    <row r="562">
      <c r="A562" s="165" t="inlineStr">
        <is>
          <t>statistical.successfulReturns</t>
        </is>
      </c>
      <c r="B562" s="156" t="inlineStr">
        <is>
          <t>ត្រឡប់បានជោគជ័យ</t>
        </is>
      </c>
      <c r="C562" s="165" t="inlineStr">
        <is>
          <t>Successful Returns</t>
        </is>
      </c>
      <c r="D562" s="165" t="inlineStr">
        <is>
          <t>成功退回</t>
        </is>
      </c>
      <c r="E562" s="156" t="inlineStr">
        <is>
          <t>ត្រឡប់បានជោគជ័យ</t>
        </is>
      </c>
    </row>
    <row r="563">
      <c r="A563" s="165" t="inlineStr">
        <is>
          <t>statistical.totalCod</t>
        </is>
      </c>
      <c r="B563" s="156" t="inlineStr">
        <is>
          <t>សរុុបប្រាក់ប្រមូលជំនួស (COD)</t>
        </is>
      </c>
      <c r="C563" s="165" t="inlineStr">
        <is>
          <t>Total COD Amount</t>
        </is>
      </c>
      <c r="D563" s="165" t="inlineStr">
        <is>
          <t>代收货款总额</t>
        </is>
      </c>
      <c r="E563" s="156" t="inlineStr">
        <is>
          <t>សរុុបប្រាក់ប្រមូលជំនួស (COD)</t>
        </is>
      </c>
    </row>
    <row r="564">
      <c r="A564" s="165" t="inlineStr">
        <is>
          <t>statistical.totalShippingFee</t>
        </is>
      </c>
      <c r="B564" s="156" t="inlineStr">
        <is>
          <t>សរុបថ្លៃសេវា</t>
        </is>
      </c>
      <c r="C564" s="165" t="inlineStr">
        <is>
          <t>Total Shipping Fee</t>
        </is>
      </c>
      <c r="D564" s="165" t="inlineStr">
        <is>
          <t>运费总额</t>
        </is>
      </c>
      <c r="E564" s="156" t="inlineStr">
        <is>
          <t>សរុបថ្លៃសេវា</t>
        </is>
      </c>
    </row>
    <row r="565">
      <c r="A565" s="165" t="inlineStr">
        <is>
          <t>statistical.order</t>
        </is>
      </c>
      <c r="B565" s="156" t="inlineStr">
        <is>
          <t>បុងបញ្ញើ</t>
        </is>
      </c>
      <c r="C565" s="165" t="inlineStr">
        <is>
          <t>Order</t>
        </is>
      </c>
      <c r="D565" s="165" t="inlineStr">
        <is>
          <t>订单</t>
        </is>
      </c>
      <c r="E565" s="156" t="inlineStr">
        <is>
          <t>បុងបញ្ញើ</t>
        </is>
      </c>
    </row>
    <row r="566">
      <c r="A566" s="165" t="inlineStr">
        <is>
          <t>statistical.otherStatusColumn</t>
        </is>
      </c>
      <c r="B566" s="156" t="inlineStr">
        <is>
          <t>ស្ថានភាពផ្សេង</t>
        </is>
      </c>
      <c r="C566" s="165" t="inlineStr">
        <is>
          <t>Other Status</t>
        </is>
      </c>
      <c r="D566" s="165" t="inlineStr">
        <is>
          <t>其他状态</t>
        </is>
      </c>
      <c r="E566" s="156" t="inlineStr">
        <is>
          <t>ស្ថានភាពផ្សេង</t>
        </is>
      </c>
    </row>
    <row r="567">
      <c r="A567" s="165" t="inlineStr">
        <is>
          <t>detailOrder.trackingCodeLabel</t>
        </is>
      </c>
      <c r="B567" s="156" t="inlineStr">
        <is>
          <t>លេខកូូដវិក័យប័ត្រដឹកជញ្ជូន៖</t>
        </is>
      </c>
      <c r="C567" s="165" t="inlineStr">
        <is>
          <t>Tracking Code:</t>
        </is>
      </c>
      <c r="D567" s="165" t="inlineStr">
        <is>
          <t>运单号：</t>
        </is>
      </c>
      <c r="E567" s="156" t="inlineStr">
        <is>
          <t>លេខកូូដវិក័យប័ត្រដឹកជញ្ជូន៖</t>
        </is>
      </c>
    </row>
    <row r="568">
      <c r="A568" s="165" t="inlineStr">
        <is>
          <t>detailOrder.trackingInfo</t>
        </is>
      </c>
      <c r="B568" s="156" t="inlineStr">
        <is>
          <t>ព័ត៌មានកូូដវិក័យប័ត្រដឹកជញ្ជូន</t>
        </is>
      </c>
      <c r="C568" s="165" t="inlineStr">
        <is>
          <t>Tracking Code Information</t>
        </is>
      </c>
      <c r="D568" s="165" t="inlineStr">
        <is>
          <t>运单信息</t>
        </is>
      </c>
      <c r="E568" s="156" t="inlineStr">
        <is>
          <t>ព័ត៌មានកូូដវិក័យប័ត្រដឹកជញ្ជូន</t>
        </is>
      </c>
    </row>
    <row r="569">
      <c r="A569" s="165" t="inlineStr">
        <is>
          <t>detailOrder.orderCodeLabel</t>
        </is>
      </c>
      <c r="B569" s="156" t="inlineStr">
        <is>
          <t>លេខកូដបុងបញ្ញើ៖</t>
        </is>
      </c>
      <c r="C569" s="165" t="inlineStr">
        <is>
          <t>Order Code:</t>
        </is>
      </c>
      <c r="D569" s="165" t="inlineStr">
        <is>
          <t>订单编号:</t>
        </is>
      </c>
      <c r="E569" s="156" t="inlineStr">
        <is>
          <t>លេខកូដបុងបញ្ញើ៖</t>
        </is>
      </c>
    </row>
    <row r="570">
      <c r="A570" s="165" t="inlineStr">
        <is>
          <t>detailOrder.creationDate</t>
        </is>
      </c>
      <c r="B570" s="156" t="inlineStr">
        <is>
          <t>ថ្ងៃបង្កើត៖</t>
        </is>
      </c>
      <c r="C570" s="165" t="inlineStr">
        <is>
          <t>Creation Date:</t>
        </is>
      </c>
      <c r="D570" s="165" t="inlineStr">
        <is>
          <t>创建日期:</t>
        </is>
      </c>
      <c r="E570" s="156" t="inlineStr">
        <is>
          <t>ថ្ងៃបង្កើត៖</t>
        </is>
      </c>
    </row>
    <row r="571">
      <c r="A571" s="165" t="inlineStr">
        <is>
          <t>detailOrder.expectedReceiveDate</t>
        </is>
      </c>
      <c r="B571" s="156" t="inlineStr">
        <is>
          <t>ថ្ងៃទទួលអីវ៉ាន់តាមការកំណត់៖</t>
        </is>
      </c>
      <c r="C571" s="165" t="inlineStr">
        <is>
          <t>Expected Receive Date:</t>
        </is>
      </c>
      <c r="D571" s="165" t="inlineStr">
        <is>
          <t>预计揽收日期:</t>
        </is>
      </c>
      <c r="E571" s="156" t="inlineStr">
        <is>
          <t>ថ្ងៃទទួលអីវ៉ាន់តាមការកំណត់៖</t>
        </is>
      </c>
    </row>
    <row r="572">
      <c r="A572" s="165" t="inlineStr">
        <is>
          <t>detailOrder.expectedDeliveryDate</t>
        </is>
      </c>
      <c r="B572" s="156" t="inlineStr">
        <is>
          <t>ថ្ងៃប្រគល់អីវ៉ាន់តាមការកំណត់៖</t>
        </is>
      </c>
      <c r="C572" s="165" t="inlineStr">
        <is>
          <t>Expected Delivery Date:</t>
        </is>
      </c>
      <c r="D572" s="165" t="inlineStr">
        <is>
          <t>预计派送日期:</t>
        </is>
      </c>
      <c r="E572" s="156" t="inlineStr">
        <is>
          <t>ថ្ងៃប្រគល់អីវ៉ាន់តាមការកំណត់៖</t>
        </is>
      </c>
    </row>
    <row r="573">
      <c r="A573" s="165" t="inlineStr">
        <is>
          <t>detailOrder.shippingService</t>
        </is>
      </c>
      <c r="B573" s="156" t="inlineStr">
        <is>
          <t>សេវាកម្មដឹកជញ្ជូន៖</t>
        </is>
      </c>
      <c r="C573" s="165" t="inlineStr">
        <is>
          <t>Shipping Service:</t>
        </is>
      </c>
      <c r="D573" s="165" t="inlineStr">
        <is>
          <t>运输服务：</t>
        </is>
      </c>
      <c r="E573" s="156" t="inlineStr">
        <is>
          <t>សេវាកម្មដឹកជញ្ជូន៖</t>
        </is>
      </c>
    </row>
    <row r="574">
      <c r="A574" s="165" t="inlineStr">
        <is>
          <t>detailOrder.additionalService</t>
        </is>
      </c>
      <c r="B574" s="156" t="inlineStr">
        <is>
          <t>សេវាកម្មបូកបន្ថែម៖</t>
        </is>
      </c>
      <c r="C574" s="165" t="inlineStr">
        <is>
          <t>Additional Service:</t>
        </is>
      </c>
      <c r="D574" s="165" t="inlineStr">
        <is>
          <t>附加服务:</t>
        </is>
      </c>
      <c r="E574" s="156" t="inlineStr">
        <is>
          <t>សេវាកម្មបូកបន្ថែម៖</t>
        </is>
      </c>
    </row>
    <row r="575">
      <c r="A575" s="165" t="inlineStr">
        <is>
          <t>detailOrder.senderReceiverInfo</t>
        </is>
      </c>
      <c r="B575" s="156" t="inlineStr">
        <is>
          <t>ព័ត៌មានផ្ញើទទួល</t>
        </is>
      </c>
      <c r="C575" s="165" t="inlineStr">
        <is>
          <t>Sender and Receiver Information</t>
        </is>
      </c>
      <c r="D575" s="165" t="inlineStr">
        <is>
          <t>寄件与收件信息</t>
        </is>
      </c>
      <c r="E575" s="156" t="inlineStr">
        <is>
          <t>ព័ត៌មានផ្ញើទទួល</t>
        </is>
      </c>
    </row>
    <row r="576">
      <c r="A576" s="165" t="inlineStr">
        <is>
          <t>detailOrder.allDayPickup</t>
        </is>
      </c>
      <c r="B576" s="156" t="inlineStr">
        <is>
          <t>ទទួលអីវ៉ាន់ពេញមួយថ្ងៃ</t>
        </is>
      </c>
      <c r="C576" s="165" t="inlineStr">
        <is>
          <t>All-day Pickup</t>
        </is>
      </c>
      <c r="D576" s="165" t="inlineStr">
        <is>
          <t>全天取件</t>
        </is>
      </c>
      <c r="E576" s="156" t="inlineStr">
        <is>
          <t>ទទួលអីវ៉ាន់ពេញមួយថ្ងៃ</t>
        </is>
      </c>
    </row>
    <row r="577">
      <c r="A577" s="165" t="inlineStr">
        <is>
          <t>detailOrder.feeAndCod</t>
        </is>
      </c>
      <c r="B577" s="156" t="inlineStr">
        <is>
          <t>សេវានិងប្រាក់ប្រមូលជំនួស COD</t>
        </is>
      </c>
      <c r="C577" s="165" t="inlineStr">
        <is>
          <t>Fees and COD</t>
        </is>
      </c>
      <c r="D577" s="165" t="inlineStr">
        <is>
          <t>费用与代收款</t>
        </is>
      </c>
      <c r="E577" s="156" t="inlineStr">
        <is>
          <t>សេវានិងប្រាក់ប្រមូលជំនួស COD</t>
        </is>
      </c>
    </row>
    <row r="578">
      <c r="A578" s="165" t="inlineStr">
        <is>
          <t>detailOrder.paymentMethod</t>
        </is>
      </c>
      <c r="B578" s="156" t="inlineStr">
        <is>
          <t>វិធីសាស្រ្ត៖</t>
        </is>
      </c>
      <c r="C578" s="165" t="inlineStr">
        <is>
          <t>Payment Method:</t>
        </is>
      </c>
      <c r="D578" s="165" t="inlineStr">
        <is>
          <t>支付方式：</t>
        </is>
      </c>
      <c r="E578" s="156" t="inlineStr">
        <is>
          <t>វិធីសាស្រ្ត៖</t>
        </is>
      </c>
    </row>
    <row r="579">
      <c r="A579" s="165" t="inlineStr">
        <is>
          <t>detailOrder.shippingFee</t>
        </is>
      </c>
      <c r="B579" s="156" t="inlineStr">
        <is>
          <t>សេវាដឹកជញ្ជូន(១)៖</t>
        </is>
      </c>
      <c r="C579" s="165" t="inlineStr">
        <is>
          <t>Shipping Fee (1):</t>
        </is>
      </c>
      <c r="D579" s="165" t="inlineStr">
        <is>
          <t>基础运费 (1)：</t>
        </is>
      </c>
      <c r="E579" s="156" t="inlineStr">
        <is>
          <t>សេវាដឹកជញ្ជូន(១)៖</t>
        </is>
      </c>
    </row>
    <row r="580">
      <c r="A580" s="165" t="inlineStr">
        <is>
          <t>detailOrder.shippingFeeClone</t>
        </is>
      </c>
      <c r="B580" s="156" t="inlineStr">
        <is>
          <t>សេវាដឹកជញ្ជូន</t>
        </is>
      </c>
      <c r="C580" s="165" t="inlineStr">
        <is>
          <t>Shipping Fee</t>
        </is>
      </c>
      <c r="D580" s="165" t="inlineStr">
        <is>
          <t>运费</t>
        </is>
      </c>
      <c r="E580" s="156" t="inlineStr">
        <is>
          <t>សេវាដឹកជញ្ជូន</t>
        </is>
      </c>
    </row>
    <row r="581">
      <c r="A581" s="165" t="inlineStr">
        <is>
          <t>detailOrder.payerInfo</t>
        </is>
      </c>
      <c r="B581" s="156" t="inlineStr">
        <is>
          <t>អ្នកចេញថ្លៃសេវា៖</t>
        </is>
      </c>
      <c r="C581" s="165" t="inlineStr">
        <is>
          <t>Payer Info (1):</t>
        </is>
      </c>
      <c r="D581" s="165" t="inlineStr">
        <is>
          <t>付款方信息 (1)：</t>
        </is>
      </c>
      <c r="E581" s="156" t="inlineStr">
        <is>
          <t>អ្នកចេញថ្លៃសេវា៖</t>
        </is>
      </c>
    </row>
    <row r="582">
      <c r="A582" s="165" t="inlineStr">
        <is>
          <t>detailOrder.additionalFee</t>
        </is>
      </c>
      <c r="B582" s="156" t="inlineStr">
        <is>
          <t>សរុបថ្លៃ</t>
        </is>
      </c>
      <c r="C582" s="165" t="inlineStr">
        <is>
          <t>Total Additional Fees (2):</t>
        </is>
      </c>
      <c r="D582" s="165" t="inlineStr">
        <is>
          <t>附加费用总计 (2项):</t>
        </is>
      </c>
      <c r="E582" s="156" t="inlineStr">
        <is>
          <t>សរុបថ្លៃ</t>
        </is>
      </c>
    </row>
    <row r="583">
      <c r="A583" s="165" t="inlineStr">
        <is>
          <t>detailOrder.totalFee</t>
        </is>
      </c>
      <c r="B583" s="156" t="inlineStr">
        <is>
          <t>សរុប(1+2+3)៖</t>
        </is>
      </c>
      <c r="C583" s="165" t="inlineStr">
        <is>
          <t>Total Fee (1 + 2):</t>
        </is>
      </c>
      <c r="D583" s="165" t="inlineStr">
        <is>
          <t>总费用 (1 + 2)：</t>
        </is>
      </c>
      <c r="E583" s="156" t="inlineStr">
        <is>
          <t>សរុប(1+2+3)៖</t>
        </is>
      </c>
    </row>
    <row r="584">
      <c r="A584" s="165" t="inlineStr">
        <is>
          <t>detailOrder.codAmount</t>
        </is>
      </c>
      <c r="B584" s="156" t="inlineStr">
        <is>
          <t>ប្រាក់ប្រមូលជំនួស៖</t>
        </is>
      </c>
      <c r="C584" s="165" t="inlineStr">
        <is>
          <t>COD Amount:</t>
        </is>
      </c>
      <c r="D584" s="165" t="inlineStr">
        <is>
          <t>代收货款金额:</t>
        </is>
      </c>
      <c r="E584" s="156" t="inlineStr">
        <is>
          <t>ប្រាក់ប្រមូលជំនួស៖</t>
        </is>
      </c>
    </row>
    <row r="585">
      <c r="A585" s="165" t="inlineStr">
        <is>
          <t>detailOrder.receiverPayment</t>
        </is>
      </c>
      <c r="B585" s="156" t="inlineStr">
        <is>
          <t>ប្រមូលប្រាក់ពីអ្នកទទួល៖</t>
        </is>
      </c>
      <c r="C585" s="165" t="inlineStr">
        <is>
          <t>Recipient's Payment:</t>
        </is>
      </c>
      <c r="D585" s="165" t="inlineStr">
        <is>
          <t>收件人付款：</t>
        </is>
      </c>
      <c r="E585" s="156" t="inlineStr">
        <is>
          <t>ប្រមូលប្រាក់ពីអ្នកទទួល៖</t>
        </is>
      </c>
    </row>
    <row r="586">
      <c r="A586" s="165" t="inlineStr">
        <is>
          <t>detailOrder.orderHistory</t>
        </is>
      </c>
      <c r="B586" s="156" t="inlineStr">
        <is>
          <t>ប្រវត្តិកែបុងបញ្ញើ</t>
        </is>
      </c>
      <c r="C586" s="165" t="inlineStr">
        <is>
          <t>Order Modification History</t>
        </is>
      </c>
      <c r="D586" s="165" t="inlineStr">
        <is>
          <t>订单修改记录</t>
        </is>
      </c>
      <c r="E586" s="156" t="inlineStr">
        <is>
          <t>ប្រវត្តិកែបុងបញ្ញើ</t>
        </is>
      </c>
    </row>
    <row r="587">
      <c r="A587" s="165" t="inlineStr">
        <is>
          <t>detailOrder.goodsInformation</t>
        </is>
      </c>
      <c r="B587" s="156" t="inlineStr">
        <is>
          <t>ព័ត៌មានអីវ៉ាន់</t>
        </is>
      </c>
      <c r="C587" s="165" t="inlineStr">
        <is>
          <t>Goods Information</t>
        </is>
      </c>
      <c r="D587" s="165" t="inlineStr">
        <is>
          <t>货物信息</t>
        </is>
      </c>
      <c r="E587" s="156" t="inlineStr">
        <is>
          <t>ព័ត៌មានអីវ៉ាន់</t>
        </is>
      </c>
    </row>
    <row r="588">
      <c r="A588" s="165" t="inlineStr">
        <is>
          <t>detailOrder.productName</t>
        </is>
      </c>
      <c r="B588" s="156" t="inlineStr">
        <is>
          <t>ប្រភេទអីវ៉ាន់៖</t>
        </is>
      </c>
      <c r="C588" s="165" t="inlineStr">
        <is>
          <t>Product Name:</t>
        </is>
      </c>
      <c r="D588" s="165" t="inlineStr">
        <is>
          <t>商品名称：</t>
        </is>
      </c>
      <c r="E588" s="156" t="inlineStr">
        <is>
          <t>ប្រភេទអីវ៉ាន់៖</t>
        </is>
      </c>
    </row>
    <row r="589">
      <c r="A589" s="165" t="inlineStr">
        <is>
          <t>detailOrder.quantity</t>
        </is>
      </c>
      <c r="B589" s="156" t="inlineStr">
        <is>
          <t>ចំនួន៖</t>
        </is>
      </c>
      <c r="C589" s="165" t="inlineStr">
        <is>
          <t>Quantity:</t>
        </is>
      </c>
      <c r="D589" s="165" t="inlineStr">
        <is>
          <t>数量：</t>
        </is>
      </c>
      <c r="E589" s="156" t="inlineStr">
        <is>
          <t>ចំនួន៖</t>
        </is>
      </c>
    </row>
    <row r="590">
      <c r="A590" s="165" t="inlineStr">
        <is>
          <t>detailOrder.weight</t>
        </is>
      </c>
      <c r="B590" s="156" t="inlineStr">
        <is>
          <t>ទម្ងន់៖</t>
        </is>
      </c>
      <c r="C590" s="165" t="inlineStr">
        <is>
          <t>Weight:</t>
        </is>
      </c>
      <c r="D590" s="165" t="inlineStr">
        <is>
          <t>重量：</t>
        </is>
      </c>
      <c r="E590" s="156" t="inlineStr">
        <is>
          <t>ទម្ងន់៖</t>
        </is>
      </c>
    </row>
    <row r="591">
      <c r="A591" s="165" t="inlineStr">
        <is>
          <t>detailOrder.value</t>
        </is>
      </c>
      <c r="B591" s="156" t="inlineStr">
        <is>
          <t>តម្លៃ៖</t>
        </is>
      </c>
      <c r="C591" s="165" t="inlineStr">
        <is>
          <t>Value:</t>
        </is>
      </c>
      <c r="D591" s="165" t="inlineStr">
        <is>
          <t>声明价值：</t>
        </is>
      </c>
      <c r="E591" s="156" t="inlineStr">
        <is>
          <t>តម្លៃ៖</t>
        </is>
      </c>
    </row>
    <row r="592">
      <c r="A592" s="165" t="inlineStr">
        <is>
          <t>detailOrder.totalWeight</t>
        </is>
      </c>
      <c r="B592" s="156" t="inlineStr">
        <is>
          <t>សរុបទម្ងន់៖</t>
        </is>
      </c>
      <c r="C592" s="165" t="inlineStr">
        <is>
          <t>Total Weight:</t>
        </is>
      </c>
      <c r="D592" s="165" t="inlineStr">
        <is>
          <t>总重量：</t>
        </is>
      </c>
      <c r="E592" s="156" t="inlineStr">
        <is>
          <t>សរុបទម្ងន់៖</t>
        </is>
      </c>
    </row>
    <row r="593">
      <c r="A593" s="165" t="inlineStr">
        <is>
          <t>detailOrder.totalChargeableWeight</t>
        </is>
      </c>
      <c r="B593" s="156" t="inlineStr">
        <is>
          <t>សរុុបទម្ងន់គិតថ្លៃសេវា៖</t>
        </is>
      </c>
      <c r="C593" s="165" t="inlineStr">
        <is>
          <t>Total Chargeable Weight:</t>
        </is>
      </c>
      <c r="D593" s="165" t="inlineStr">
        <is>
          <t>总计费重量：</t>
        </is>
      </c>
      <c r="E593" s="156" t="inlineStr">
        <is>
          <t>សរុុបទម្ងន់គិតថ្លៃសេវា៖</t>
        </is>
      </c>
    </row>
    <row r="594">
      <c r="A594" s="165" t="inlineStr">
        <is>
          <t>detailOrder.totalValue</t>
        </is>
      </c>
      <c r="B594" s="156" t="inlineStr">
        <is>
          <t>តម្លៃសរុប៖</t>
        </is>
      </c>
      <c r="C594" s="165" t="inlineStr">
        <is>
          <t>Total Value:</t>
        </is>
      </c>
      <c r="D594" s="165" t="inlineStr">
        <is>
          <t>总声明价值：</t>
        </is>
      </c>
      <c r="E594" s="156" t="inlineStr">
        <is>
          <t>តម្លៃសរុប៖</t>
        </is>
      </c>
    </row>
    <row r="595">
      <c r="A595" s="165" t="inlineStr">
        <is>
          <t>detailOrder.goodsType</t>
        </is>
      </c>
      <c r="B595" s="156" t="inlineStr">
        <is>
          <t>ប្រភេទអីវ៉ាន់៖</t>
        </is>
      </c>
      <c r="C595" s="165" t="inlineStr">
        <is>
          <t>Type of Goods:</t>
        </is>
      </c>
      <c r="D595" s="165" t="inlineStr">
        <is>
          <t>货物类型:</t>
        </is>
      </c>
      <c r="E595" s="156" t="inlineStr">
        <is>
          <t>ប្រភេទអីវ៉ាន់៖</t>
        </is>
      </c>
    </row>
    <row r="596">
      <c r="A596" s="165" t="inlineStr">
        <is>
          <t>detailOrder.specialGoodsNature</t>
        </is>
      </c>
      <c r="B596" s="156" t="inlineStr">
        <is>
          <t>លក្ខណៈពិសេសរបស់ទំនិញ៖</t>
        </is>
      </c>
      <c r="C596" s="165" t="inlineStr">
        <is>
          <t>Special Nature of Goods:</t>
        </is>
      </c>
      <c r="D596" s="165" t="inlineStr">
        <is>
          <t>特殊货物性质：</t>
        </is>
      </c>
      <c r="E596" s="156" t="inlineStr">
        <is>
          <t>លក្ខណៈពិសេសរបស់ទំនិញ៖</t>
        </is>
      </c>
    </row>
    <row r="597">
      <c r="A597" s="165" t="inlineStr">
        <is>
          <t>detailOrder.dimensions</t>
        </is>
      </c>
      <c r="B597" s="156" t="inlineStr">
        <is>
          <t>សរុបទំហំ៖</t>
        </is>
      </c>
      <c r="C597" s="165" t="inlineStr">
        <is>
          <t>Total dimensions:</t>
        </is>
      </c>
      <c r="D597" s="165" t="inlineStr">
        <is>
          <t>包裹尺寸:</t>
        </is>
      </c>
      <c r="E597" s="156" t="inlineStr">
        <is>
          <t>សរុបទំហំ៖</t>
        </is>
      </c>
    </row>
    <row r="598">
      <c r="A598" s="165" t="inlineStr">
        <is>
          <t>detailOrder.trackingNotes</t>
        </is>
      </c>
      <c r="B598" s="156" t="inlineStr">
        <is>
          <t>កត់ចំណាំវិក័យប័ត្រដឹកជញ្ជូន៖</t>
        </is>
      </c>
      <c r="C598" s="165" t="inlineStr">
        <is>
          <t>Tracking Notes:</t>
        </is>
      </c>
      <c r="D598" s="165" t="inlineStr">
        <is>
          <t>追踪备注：</t>
        </is>
      </c>
      <c r="E598" s="156" t="inlineStr">
        <is>
          <t>កត់ចំណាំវិក័យប័ត្រដឹកជញ្ជូន៖</t>
        </is>
      </c>
    </row>
    <row r="599">
      <c r="A599" s="165" t="inlineStr">
        <is>
          <t>detailOrder.pickupRequest</t>
        </is>
      </c>
      <c r="B599" s="156" t="inlineStr">
        <is>
          <t>ស្នើសុំយកអីវ៉ាន់៖</t>
        </is>
      </c>
      <c r="C599" s="165" t="inlineStr">
        <is>
          <t>Pickup Request:</t>
        </is>
      </c>
      <c r="D599" s="165" t="inlineStr">
        <is>
          <t>取件要求：</t>
        </is>
      </c>
      <c r="E599" s="156" t="inlineStr">
        <is>
          <t>ស្នើសុំយកអីវ៉ាន់៖</t>
        </is>
      </c>
    </row>
    <row r="600">
      <c r="A600" s="165" t="inlineStr">
        <is>
          <t>detailOrder.sendAtPostOffice</t>
        </is>
      </c>
      <c r="B600" s="156" t="inlineStr">
        <is>
          <t>ផ្ញើនៅការិយាល័យប្រៃសណីយ៍</t>
        </is>
      </c>
      <c r="C600" s="165" t="inlineStr">
        <is>
          <t>Send at Post Office</t>
        </is>
      </c>
      <c r="D600" s="165" t="inlineStr">
        <is>
          <t>网点自寄</t>
        </is>
      </c>
      <c r="E600" s="156" t="inlineStr">
        <is>
          <t>ផ្ញើនៅការិយាល័យប្រៃសណីយ៍</t>
        </is>
      </c>
    </row>
    <row r="601">
      <c r="A601" s="165" t="inlineStr">
        <is>
          <t>detailOrder.otherRequests</t>
        </is>
      </c>
      <c r="B601" s="156" t="inlineStr">
        <is>
          <t>សំណើរផ្សេងៗ៖</t>
        </is>
      </c>
      <c r="C601" s="165" t="inlineStr">
        <is>
          <t>Other Requests:</t>
        </is>
      </c>
      <c r="D601" s="165" t="inlineStr">
        <is>
          <t>其他要求：</t>
        </is>
      </c>
      <c r="E601" s="156" t="inlineStr">
        <is>
          <t>សំណើរផ្សេងៗ៖</t>
        </is>
      </c>
    </row>
    <row r="602">
      <c r="A602" s="165" t="inlineStr">
        <is>
          <t>detailOrder.customerVideoInspection</t>
        </is>
      </c>
      <c r="B602" s="156" t="inlineStr">
        <is>
          <t>អនុញ្ញាត្តិឲ្យអតិថិជនថតវីដេអូពិនិត្យរួមគ្នា</t>
        </is>
      </c>
      <c r="C602" s="165" t="inlineStr">
        <is>
          <t>Customer Video Inspection</t>
        </is>
      </c>
      <c r="D602" s="165" t="inlineStr">
        <is>
          <t>客户视频验货</t>
        </is>
      </c>
      <c r="E602" s="156" t="inlineStr">
        <is>
          <t>អនុញ្ញាត្តិឲ្យអតិថិជនថតវីដេអូពិនិត្យរួមគ្នា</t>
        </is>
      </c>
    </row>
    <row r="603">
      <c r="A603" s="165" t="inlineStr">
        <is>
          <t>detailOrder.courierInfo</t>
        </is>
      </c>
      <c r="B603" s="156" t="inlineStr">
        <is>
          <t>ព័ត៌មានអ្នកដឹកជញ្ជូន៖</t>
        </is>
      </c>
      <c r="C603" s="165" t="inlineStr">
        <is>
          <t>Courier Information:</t>
        </is>
      </c>
      <c r="D603" s="165" t="inlineStr">
        <is>
          <t>快递员信息:</t>
        </is>
      </c>
      <c r="E603" s="156" t="inlineStr">
        <is>
          <t>ព័ត៌មានអ្នកដឹកជញ្ជូន៖</t>
        </is>
      </c>
    </row>
    <row r="604">
      <c r="A604" s="165" t="inlineStr">
        <is>
          <t>detailOrder.orderJourney</t>
        </is>
      </c>
      <c r="B604" s="156" t="inlineStr">
        <is>
          <t>ដំណើរការដឹកជញ្ជូន</t>
        </is>
      </c>
      <c r="C604" s="165" t="inlineStr">
        <is>
          <t>Order Journey</t>
        </is>
      </c>
      <c r="D604" s="165" t="inlineStr">
        <is>
          <t>订单物流轨迹</t>
        </is>
      </c>
      <c r="E604" s="156" t="inlineStr">
        <is>
          <t>ដំណើរការដឹកជញ្ជូន</t>
        </is>
      </c>
    </row>
    <row r="605">
      <c r="A605" s="165" t="inlineStr">
        <is>
          <t>detailOrder.impactHistory</t>
        </is>
      </c>
      <c r="B605" s="156" t="inlineStr">
        <is>
          <t>ប្រវត្តិនៃផលប៉ះពាល់</t>
        </is>
      </c>
      <c r="C605" s="165" t="inlineStr">
        <is>
          <t>Impact History</t>
        </is>
      </c>
      <c r="D605" s="165" t="inlineStr">
        <is>
          <t>异常记录</t>
        </is>
      </c>
      <c r="E605" s="156" t="inlineStr">
        <is>
          <t>ប្រវត្តិនៃផលប៉ះពាល់</t>
        </is>
      </c>
    </row>
    <row r="606">
      <c r="A606" s="165" t="inlineStr">
        <is>
          <t>detailOrder.contactHistory</t>
        </is>
      </c>
      <c r="B606" s="156" t="inlineStr">
        <is>
          <t>ប្រវត្តិទំនាក់ទំនង</t>
        </is>
      </c>
      <c r="C606" s="165" t="inlineStr">
        <is>
          <t>Contact History</t>
        </is>
      </c>
      <c r="D606" s="165" t="inlineStr">
        <is>
          <t>查看记录</t>
        </is>
      </c>
      <c r="E606" s="156" t="inlineStr">
        <is>
          <t>ប្រវត្តិទំនាក់ទំនង</t>
        </is>
      </c>
    </row>
    <row r="607">
      <c r="A607" s="165" t="inlineStr">
        <is>
          <t>detailOrder.surcharge</t>
        </is>
      </c>
      <c r="B607" s="156" t="inlineStr">
        <is>
          <t>ថ្លៃសេវាបន្ថែម</t>
        </is>
      </c>
      <c r="C607" s="165" t="inlineStr">
        <is>
          <t>Surcharge</t>
        </is>
      </c>
      <c r="D607" s="165" t="inlineStr">
        <is>
          <t>附加费</t>
        </is>
      </c>
      <c r="E607" s="156" t="inlineStr">
        <is>
          <t>ថ្លៃសេវាបន្ថែម</t>
        </is>
      </c>
    </row>
    <row r="608">
      <c r="A608" s="165" t="inlineStr">
        <is>
          <t>detailOrder.detailReturn</t>
        </is>
      </c>
      <c r="B608" s="156" t="inlineStr">
        <is>
          <t>លម្អិ្អតពីបុងត្រឡប់</t>
        </is>
      </c>
      <c r="C608" s="165" t="inlineStr">
        <is>
          <t>Return order details</t>
        </is>
      </c>
      <c r="D608" s="157" t="inlineStr">
        <is>
          <t>--</t>
        </is>
      </c>
      <c r="E608" s="156" t="inlineStr">
        <is>
          <t>លម្អិ្អតពីបុងត្រឡប់</t>
        </is>
      </c>
    </row>
    <row r="609">
      <c r="A609" s="165" t="inlineStr">
        <is>
          <t>detailOrder.storeAddress</t>
        </is>
      </c>
      <c r="B609" s="156" t="inlineStr">
        <is>
          <t>ហាង {{address}}</t>
        </is>
      </c>
      <c r="C609" s="165" t="inlineStr">
        <is>
          <t>Store {{address}}</t>
        </is>
      </c>
      <c r="D609" s="157" t="inlineStr">
        <is>
          <t>--</t>
        </is>
      </c>
      <c r="E609" s="156" t="inlineStr">
        <is>
          <t>ហាង {{address}}</t>
        </is>
      </c>
    </row>
    <row r="610">
      <c r="A610" s="165" t="inlineStr">
        <is>
          <t>detailOrder.sendAtStore</t>
        </is>
      </c>
      <c r="B610" s="156" t="inlineStr">
        <is>
          <t>ផ្ញើនៅហាង</t>
        </is>
      </c>
      <c r="C610" s="165" t="inlineStr">
        <is>
          <t>Send at store</t>
        </is>
      </c>
      <c r="D610" s="157" t="inlineStr">
        <is>
          <t>--</t>
        </is>
      </c>
      <c r="E610" s="156" t="inlineStr">
        <is>
          <t>ផ្ញើនៅហាង</t>
        </is>
      </c>
    </row>
    <row r="611">
      <c r="A611" s="165" t="inlineStr">
        <is>
          <t>detailOrder.sendAtHome</t>
        </is>
      </c>
      <c r="B611" s="156" t="inlineStr">
        <is>
          <t>ផ្ញើនៅផ្ទះ</t>
        </is>
      </c>
      <c r="C611" s="165" t="inlineStr">
        <is>
          <t>Send at home</t>
        </is>
      </c>
      <c r="D611" s="157" t="inlineStr">
        <is>
          <t>--</t>
        </is>
      </c>
      <c r="E611" s="156" t="inlineStr">
        <is>
          <t>ផ្ញើនៅផ្ទះ</t>
        </is>
      </c>
    </row>
    <row r="612">
      <c r="A612" s="165" t="inlineStr">
        <is>
          <t>detailOrder.receiveAtStore</t>
        </is>
      </c>
      <c r="B612" s="156" t="inlineStr">
        <is>
          <t>ទទួលនៅហាង</t>
        </is>
      </c>
      <c r="C612" s="165" t="inlineStr">
        <is>
          <t>Receive at store</t>
        </is>
      </c>
      <c r="D612" s="157" t="inlineStr">
        <is>
          <t>--</t>
        </is>
      </c>
      <c r="E612" s="156" t="inlineStr">
        <is>
          <t>ទទួលនៅហាង</t>
        </is>
      </c>
    </row>
    <row r="613">
      <c r="A613" s="165" t="inlineStr">
        <is>
          <t>detailOrder.receiveAtHome</t>
        </is>
      </c>
      <c r="B613" s="156" t="inlineStr">
        <is>
          <t>ទទួលនៅផ្ទះ</t>
        </is>
      </c>
      <c r="C613" s="165" t="inlineStr">
        <is>
          <t>Receive at home</t>
        </is>
      </c>
      <c r="D613" s="157" t="inlineStr">
        <is>
          <t>--</t>
        </is>
      </c>
      <c r="E613" s="156" t="inlineStr">
        <is>
          <t>ទទួលនៅផ្ទះ</t>
        </is>
      </c>
    </row>
    <row r="614">
      <c r="A614" s="165" t="inlineStr">
        <is>
          <t>detailOrder.deliveryRequest</t>
        </is>
      </c>
      <c r="B614" s="156" t="inlineStr">
        <is>
          <t>ស្នើសុំទទួលអីវ៉ាន់</t>
        </is>
      </c>
      <c r="C614" s="165" t="inlineStr">
        <is>
          <t>Pickup request:</t>
        </is>
      </c>
      <c r="D614" s="157" t="inlineStr">
        <is>
          <t>--</t>
        </is>
      </c>
      <c r="E614" s="156" t="inlineStr">
        <is>
          <t>ស្នើសុំទទួលអីវ៉ាន់</t>
        </is>
      </c>
    </row>
    <row r="615">
      <c r="A615" s="165" t="inlineStr">
        <is>
          <t>detailOrder.sendAtStoreName</t>
        </is>
      </c>
      <c r="B615" s="156" t="inlineStr">
        <is>
          <t>ផ្ញើនៅហាង {{name}}</t>
        </is>
      </c>
      <c r="C615" s="165" t="inlineStr">
        <is>
          <t>Send at {{name}} store</t>
        </is>
      </c>
      <c r="D615" s="157" t="inlineStr">
        <is>
          <t>--</t>
        </is>
      </c>
      <c r="E615" s="156" t="inlineStr">
        <is>
          <t>ផ្ញើនៅហាង {{name}}</t>
        </is>
      </c>
    </row>
    <row r="616">
      <c r="A616" s="165" t="inlineStr">
        <is>
          <t>detailOrder.receiveAtStoreName</t>
        </is>
      </c>
      <c r="B616" s="156" t="inlineStr">
        <is>
          <t>ទទួលនៅហាង {{name}}</t>
        </is>
      </c>
      <c r="C616" s="165" t="inlineStr">
        <is>
          <t>Receive at {{name}} store</t>
        </is>
      </c>
      <c r="D616" s="157" t="inlineStr">
        <is>
          <t>--</t>
        </is>
      </c>
      <c r="E616" s="156" t="inlineStr">
        <is>
          <t>ទទួលនៅហាង {{name}}</t>
        </is>
      </c>
    </row>
    <row r="617">
      <c r="A617" s="165" t="inlineStr">
        <is>
          <t>warehouseSetting.setDefaultAddressSuccess</t>
        </is>
      </c>
      <c r="B617" s="156" t="inlineStr">
        <is>
          <t>កំណត់អាសយដ្ឋានពេញលេញបានជោគជ័យ</t>
        </is>
      </c>
      <c r="C617" s="165" t="inlineStr">
        <is>
          <t>Successfully set default address</t>
        </is>
      </c>
      <c r="D617" s="165" t="inlineStr">
        <is>
          <t>默认地址设置成功</t>
        </is>
      </c>
      <c r="E617" s="156" t="inlineStr">
        <is>
          <t>កំណត់អាសយដ្ឋានពេញលេញបានជោគជ័យ</t>
        </is>
      </c>
    </row>
    <row r="618">
      <c r="A618" s="165" t="inlineStr">
        <is>
          <t>warehouseSetting.setAsDefault</t>
        </is>
      </c>
      <c r="B618" s="156" t="inlineStr">
        <is>
          <t>កំណត់ឲ្យបានច្បាស់លាស់</t>
        </is>
      </c>
      <c r="C618" s="165" t="inlineStr">
        <is>
          <t>Set as Default</t>
        </is>
      </c>
      <c r="D618" s="165" t="inlineStr">
        <is>
          <t>设为默认</t>
        </is>
      </c>
      <c r="E618" s="156" t="inlineStr">
        <is>
          <t>កំណត់ឲ្យបានច្បាស់លាស់</t>
        </is>
      </c>
    </row>
    <row r="619">
      <c r="A619" s="165" t="inlineStr">
        <is>
          <t>warehouseSetting.stopActivity</t>
        </is>
      </c>
      <c r="B619" s="156" t="inlineStr">
        <is>
          <t>បញ្ឈប់សកម្មភាព</t>
        </is>
      </c>
      <c r="C619" s="165" t="inlineStr">
        <is>
          <t>Deactivate</t>
        </is>
      </c>
      <c r="D619" s="165" t="inlineStr">
        <is>
          <t>停用</t>
        </is>
      </c>
      <c r="E619" s="156" t="inlineStr">
        <is>
          <t>បញ្ឈប់សកម្មភាព</t>
        </is>
      </c>
    </row>
    <row r="620">
      <c r="A620" s="165" t="inlineStr">
        <is>
          <t>warehouseSetting.active</t>
        </is>
      </c>
      <c r="B620" s="156" t="inlineStr">
        <is>
          <t>កំពុងដំណើរការ</t>
        </is>
      </c>
      <c r="C620" s="165" t="inlineStr">
        <is>
          <t>Active</t>
        </is>
      </c>
      <c r="D620" s="165" t="inlineStr">
        <is>
          <t>已启用</t>
        </is>
      </c>
      <c r="E620" s="156" t="inlineStr">
        <is>
          <t>កំពុងដំណើរការ</t>
        </is>
      </c>
    </row>
    <row r="621">
      <c r="A621" s="165" t="inlineStr">
        <is>
          <t>warehouseSetting.inactive</t>
        </is>
      </c>
      <c r="B621" s="156" t="inlineStr">
        <is>
          <t>បញ្ឈប់សកម្មភាព</t>
        </is>
      </c>
      <c r="C621" s="165" t="inlineStr">
        <is>
          <t>Inactive</t>
        </is>
      </c>
      <c r="D621" s="165" t="inlineStr">
        <is>
          <t>已停用</t>
        </is>
      </c>
      <c r="E621" s="156" t="inlineStr">
        <is>
          <t>បញ្ឈប់សកម្មភាព</t>
        </is>
      </c>
    </row>
    <row r="622">
      <c r="A622" s="165" t="inlineStr">
        <is>
          <t>warehouseSetting.searchPlaceholder</t>
        </is>
      </c>
      <c r="B622" s="156" t="inlineStr">
        <is>
          <t>បញ្ចូលគោត្តនាម និងនាម លេខទូរស័ព្ទដើម្បីស្វែងរក</t>
        </is>
      </c>
      <c r="C622" s="165" t="inlineStr">
        <is>
          <t>Enter full name or phone number to search</t>
        </is>
      </c>
      <c r="D622" s="165" t="inlineStr">
        <is>
          <t>请输入姓名或电话号码进行搜索</t>
        </is>
      </c>
      <c r="E622" s="156" t="inlineStr">
        <is>
          <t>បញ្ចូលគោត្តនាម និងនាម លេខទូរស័ព្ទដើម្បីស្វែងរក</t>
        </is>
      </c>
    </row>
    <row r="623">
      <c r="A623" s="165" t="inlineStr">
        <is>
          <t>warehouseSetting.uploadExcelFile</t>
        </is>
      </c>
      <c r="B623" s="156" t="inlineStr">
        <is>
          <t>ផ្ទុកឯកសារ Excel</t>
        </is>
      </c>
      <c r="C623" s="165" t="inlineStr">
        <is>
          <t>Upload Excel File</t>
        </is>
      </c>
      <c r="D623" s="165" t="inlineStr">
        <is>
          <t>上传Excel文件</t>
        </is>
      </c>
      <c r="E623" s="156" t="inlineStr">
        <is>
          <t>ផ្ទុកឯកសារ Excel</t>
        </is>
      </c>
    </row>
    <row r="624">
      <c r="A624" s="165" t="inlineStr">
        <is>
          <t>warehouseSetting.downloadSampleFile</t>
        </is>
      </c>
      <c r="B624" s="156" t="inlineStr">
        <is>
          <t>ទាញយកឯកសារគំរូ</t>
        </is>
      </c>
      <c r="C624" s="165" t="inlineStr">
        <is>
          <t>Download Sample File</t>
        </is>
      </c>
      <c r="D624" s="165" t="inlineStr">
        <is>
          <t>下载示例文件</t>
        </is>
      </c>
      <c r="E624" s="156" t="inlineStr">
        <is>
          <t>ទាញយកឯកសារគំរូ</t>
        </is>
      </c>
    </row>
    <row r="625">
      <c r="A625" s="165" t="inlineStr">
        <is>
          <t>warehouseSetting.addSender</t>
        </is>
      </c>
      <c r="B625" s="156" t="inlineStr">
        <is>
          <t>បន្ថែមឃ្លាំងអីវ៉ាន់</t>
        </is>
      </c>
      <c r="C625" s="165" t="inlineStr">
        <is>
          <t>Add Sender</t>
        </is>
      </c>
      <c r="D625" s="165" t="inlineStr">
        <is>
          <t>新增寄件人</t>
        </is>
      </c>
      <c r="E625" s="156" t="inlineStr">
        <is>
          <t>បន្ថែមឃ្លាំងអីវ៉ាន់</t>
        </is>
      </c>
    </row>
    <row r="626">
      <c r="A626" s="165" t="inlineStr">
        <is>
          <t>warehouseSetting.addressDefault</t>
        </is>
      </c>
      <c r="B626" s="156" t="inlineStr">
        <is>
          <t>អាសយដ្ឋានជាក់លាក់</t>
        </is>
      </c>
      <c r="C626" s="165" t="inlineStr">
        <is>
          <t>Default Address</t>
        </is>
      </c>
      <c r="D626" s="165" t="inlineStr">
        <is>
          <t>默认地址</t>
        </is>
      </c>
      <c r="E626" s="156" t="inlineStr">
        <is>
          <t>អាសយដ្ឋានជាក់លាក់</t>
        </is>
      </c>
    </row>
    <row r="627">
      <c r="A627" s="165" t="inlineStr">
        <is>
          <t>warehouseSetting.editSuccess</t>
        </is>
      </c>
      <c r="B627" s="156" t="inlineStr">
        <is>
          <t>កែប្រែបានជោគជ័យ!</t>
        </is>
      </c>
      <c r="C627" s="165" t="inlineStr">
        <is>
          <t>Edit successful!</t>
        </is>
      </c>
      <c r="D627" s="165" t="inlineStr">
        <is>
          <t>编辑成功！</t>
        </is>
      </c>
      <c r="E627" s="156" t="inlineStr">
        <is>
          <t>កែប្រែបានជោគជ័យ!</t>
        </is>
      </c>
    </row>
    <row r="628">
      <c r="A628" s="165" t="inlineStr">
        <is>
          <t>warehouseSetting.addSuccess</t>
        </is>
      </c>
      <c r="B628" s="156" t="inlineStr">
        <is>
          <t>បន្ថែមថ្មីបានជោគជ័យ!</t>
        </is>
      </c>
      <c r="C628" s="165" t="inlineStr">
        <is>
          <t>Addition successful!</t>
        </is>
      </c>
      <c r="D628" s="165" t="inlineStr">
        <is>
          <t>新增成功！</t>
        </is>
      </c>
      <c r="E628" s="156" t="inlineStr">
        <is>
          <t>បន្ថែមថ្មីបានជោគជ័យ!</t>
        </is>
      </c>
    </row>
    <row r="629">
      <c r="A629" s="165" t="inlineStr">
        <is>
          <t>warehouseSetting.editWarehouse</t>
        </is>
      </c>
      <c r="B629" s="156" t="inlineStr">
        <is>
          <t>ប្តូរឃ្លាំងអីវ៉ាន់</t>
        </is>
      </c>
      <c r="C629" s="165" t="inlineStr">
        <is>
          <t>Edit Warehouse</t>
        </is>
      </c>
      <c r="D629" s="165" t="inlineStr">
        <is>
          <t>编辑仓库</t>
        </is>
      </c>
      <c r="E629" s="156" t="inlineStr">
        <is>
          <t>ប្តូរឃ្លាំងអីវ៉ាន់</t>
        </is>
      </c>
    </row>
    <row r="630">
      <c r="A630" s="165" t="inlineStr">
        <is>
          <t>warehouseSetting.addWarehouse</t>
        </is>
      </c>
      <c r="B630" s="156" t="inlineStr">
        <is>
          <t>បន្ថែ្ថមឃ្លាំងអីវ៉ាន់</t>
        </is>
      </c>
      <c r="C630" s="165" t="inlineStr">
        <is>
          <t>Add Warehouse</t>
        </is>
      </c>
      <c r="D630" s="165" t="inlineStr">
        <is>
          <t>新增仓库</t>
        </is>
      </c>
      <c r="E630" s="156" t="inlineStr">
        <is>
          <t>បន្ថែ្ថមឃ្លាំងអីវ៉ាន់</t>
        </is>
      </c>
    </row>
    <row r="631">
      <c r="A631" s="164" t="inlineStr">
        <is>
          <t>warehouseSetting.name</t>
        </is>
      </c>
      <c r="B631" s="156" t="inlineStr">
        <is>
          <t>ឈ្មោះ</t>
        </is>
      </c>
      <c r="C631" s="165" t="inlineStr">
        <is>
          <t>Name</t>
        </is>
      </c>
      <c r="D631" s="165" t="inlineStr">
        <is>
          <t>姓名</t>
        </is>
      </c>
      <c r="E631" s="156" t="inlineStr">
        <is>
          <t>ឈ្មោះ</t>
        </is>
      </c>
    </row>
    <row r="632">
      <c r="A632" s="165" t="inlineStr">
        <is>
          <t>warehouseSetting.enterContactOrWarehouseNameRequired</t>
        </is>
      </c>
      <c r="B632" s="156" t="inlineStr">
        <is>
          <t>បញ្ចូលឈ្មោះអ្នកទាក់ទង/ឃ្លាំងផ្ញើអីវ៉ាន់!</t>
        </is>
      </c>
      <c r="C632" s="165" t="inlineStr">
        <is>
          <t>Please enter the contact name or warehouse name!</t>
        </is>
      </c>
      <c r="D632" s="165" t="inlineStr">
        <is>
          <t>请输入联系人姓名或仓库名称！</t>
        </is>
      </c>
      <c r="E632" s="156" t="inlineStr">
        <is>
          <t>បញ្ចូលឈ្មោះអ្នកទាក់ទង/ឃ្លាំងផ្ញើអីវ៉ាន់!</t>
        </is>
      </c>
    </row>
    <row r="633">
      <c r="A633" s="165" t="inlineStr">
        <is>
          <t>warehouseSetting.enterContactOrWarehouseName</t>
        </is>
      </c>
      <c r="B633" s="156" t="inlineStr">
        <is>
          <t>បញ្ចូលឈ្មោះអ្នកទាក់ទង/ឃ្លាំងផ្ញើអីវ៉ាន់</t>
        </is>
      </c>
      <c r="C633" s="165" t="inlineStr">
        <is>
          <t>Enter the contact name or warehouse name</t>
        </is>
      </c>
      <c r="D633" s="165" t="inlineStr">
        <is>
          <t>请输入联系人姓名或仓库名称</t>
        </is>
      </c>
      <c r="E633" s="156" t="inlineStr">
        <is>
          <t>បញ្ចូលឈ្មោះអ្នកទាក់ទង/ឃ្លាំងផ្ញើអីវ៉ាន់</t>
        </is>
      </c>
    </row>
    <row r="634">
      <c r="A634" s="165" t="inlineStr">
        <is>
          <t>warehouseSetting.phoneNumber</t>
        </is>
      </c>
      <c r="B634" s="156" t="inlineStr">
        <is>
          <t>លេខទូរស័ព្ទ</t>
        </is>
      </c>
      <c r="C634" s="165" t="inlineStr">
        <is>
          <t>Phone Number</t>
        </is>
      </c>
      <c r="D634" s="165" t="inlineStr">
        <is>
          <t>电话号码</t>
        </is>
      </c>
      <c r="E634" s="156" t="inlineStr">
        <is>
          <t>លេខទូរស័ព្ទ</t>
        </is>
      </c>
    </row>
    <row r="635">
      <c r="A635" s="165" t="inlineStr">
        <is>
          <t>warehouseSetting.enterShippingPhoneNumberRequired</t>
        </is>
      </c>
      <c r="B635" s="156" t="inlineStr">
        <is>
          <t>បញ្ចូលលេខទូរស័ព្ទផ្ញើអីវ៉ាន់!</t>
        </is>
      </c>
      <c r="C635" s="165" t="inlineStr">
        <is>
          <t>Please enter the shipping phone number!</t>
        </is>
      </c>
      <c r="D635" s="165" t="inlineStr">
        <is>
          <t>请输入收货人电话！</t>
        </is>
      </c>
      <c r="E635" s="156" t="inlineStr">
        <is>
          <t>បញ្ចូលលេខទូរស័ព្ទផ្ញើអីវ៉ាន់!</t>
        </is>
      </c>
    </row>
    <row r="636">
      <c r="A636" s="165" t="inlineStr">
        <is>
          <t>warehouseSetting.invalidPhoneNumber</t>
        </is>
      </c>
      <c r="B636" s="156" t="inlineStr">
        <is>
          <t>លេខទូរស័ព្ទមិនសមស្រប!</t>
        </is>
      </c>
      <c r="C636" s="165" t="inlineStr">
        <is>
          <t>Invalid phone number!</t>
        </is>
      </c>
      <c r="D636" s="165" t="inlineStr">
        <is>
          <t>电话号码无效！</t>
        </is>
      </c>
      <c r="E636" s="156" t="inlineStr">
        <is>
          <t>លេខទូរស័ព្ទមិនសមស្រប!</t>
        </is>
      </c>
    </row>
    <row r="637">
      <c r="A637" s="165" t="inlineStr">
        <is>
          <t>warehouseSetting.enterShippingPhoneNumber</t>
        </is>
      </c>
      <c r="B637" s="156" t="inlineStr">
        <is>
          <t>បញ្ចូលលេខទូរស័ព្ទផ្ញើអីវ៉ាន់</t>
        </is>
      </c>
      <c r="C637" s="165" t="inlineStr">
        <is>
          <t>Enter the shipping phone number</t>
        </is>
      </c>
      <c r="D637" s="165" t="inlineStr">
        <is>
          <t>请输入收货人电话</t>
        </is>
      </c>
      <c r="E637" s="156" t="inlineStr">
        <is>
          <t>បញ្ចូលលេខទូរស័ព្ទផ្ញើអីវ៉ាន់</t>
        </is>
      </c>
    </row>
    <row r="638">
      <c r="A638" s="165" t="inlineStr">
        <is>
          <t>warehouseSetting.region</t>
        </is>
      </c>
      <c r="B638" s="156" t="inlineStr">
        <is>
          <t>សហព័ន្ធ/តំបន់</t>
        </is>
      </c>
      <c r="C638" s="165" t="inlineStr">
        <is>
          <t>Region</t>
        </is>
      </c>
      <c r="D638" s="165" t="inlineStr">
        <is>
          <t>大区</t>
        </is>
      </c>
      <c r="E638" s="156" t="inlineStr">
        <is>
          <t>សហព័ន្ធ/តំបន់</t>
        </is>
      </c>
    </row>
    <row r="639">
      <c r="A639" s="165" t="inlineStr">
        <is>
          <t>warehouseSetting.selectRegionRequired</t>
        </is>
      </c>
      <c r="B639" s="156" t="inlineStr">
        <is>
          <t>សូមជ្រើសរើសសហព័ន្ធ/តំបន់!</t>
        </is>
      </c>
      <c r="C639" s="165" t="inlineStr">
        <is>
          <t>Please select a Region!</t>
        </is>
      </c>
      <c r="D639" s="165" t="inlineStr">
        <is>
          <t>请选择大区！</t>
        </is>
      </c>
      <c r="E639" s="156" t="inlineStr">
        <is>
          <t>សូមជ្រើសរើសសហព័ន្ធ/តំបន់!</t>
        </is>
      </c>
    </row>
    <row r="640">
      <c r="A640" s="165" t="inlineStr">
        <is>
          <t>warehouseSetting.selectRegion</t>
        </is>
      </c>
      <c r="B640" s="156" t="inlineStr">
        <is>
          <t>ជ្រើសរើសសហព័ន្ធ/តំបន់</t>
        </is>
      </c>
      <c r="C640" s="165" t="inlineStr">
        <is>
          <t>Select Region</t>
        </is>
      </c>
      <c r="D640" s="165" t="inlineStr">
        <is>
          <t>选择大区</t>
        </is>
      </c>
      <c r="E640" s="156" t="inlineStr">
        <is>
          <t>ជ្រើសរើសសហព័ន្ធ/តំបន់</t>
        </is>
      </c>
    </row>
    <row r="641">
      <c r="A641" s="165" t="inlineStr">
        <is>
          <t>warehouseSetting.province</t>
        </is>
      </c>
      <c r="B641" s="156" t="inlineStr">
        <is>
          <t>សហព័ន្ធ/តំបន់</t>
        </is>
      </c>
      <c r="C641" s="165" t="inlineStr">
        <is>
          <t>Province</t>
        </is>
      </c>
      <c r="D641" s="165" t="inlineStr">
        <is>
          <t>省</t>
        </is>
      </c>
      <c r="E641" s="156" t="inlineStr">
        <is>
          <t>សហព័ន្ធ/តំបន់</t>
        </is>
      </c>
    </row>
    <row r="642">
      <c r="A642" s="165" t="inlineStr">
        <is>
          <t>warehouseSetting.selectProvinceRequired</t>
        </is>
      </c>
      <c r="B642" s="156" t="inlineStr">
        <is>
          <t>សូមជ្រើសរើសសហព័ន្ធ/តំបន់!</t>
        </is>
      </c>
      <c r="C642" s="165" t="inlineStr">
        <is>
          <t>Please select a Province!</t>
        </is>
      </c>
      <c r="D642" s="165" t="inlineStr">
        <is>
          <t>请选择省！</t>
        </is>
      </c>
      <c r="E642" s="156" t="inlineStr">
        <is>
          <t>សូមជ្រើសរើសសហព័ន្ធ/តំបន់!</t>
        </is>
      </c>
    </row>
    <row r="643">
      <c r="A643" s="165" t="inlineStr">
        <is>
          <t>warehouseSetting.selectProvince</t>
        </is>
      </c>
      <c r="B643" s="156" t="inlineStr">
        <is>
          <t>ជ្រើសរើសសហព័ន្ធ/តំបន់</t>
        </is>
      </c>
      <c r="C643" s="165" t="inlineStr">
        <is>
          <t>Select Province</t>
        </is>
      </c>
      <c r="D643" s="165" t="inlineStr">
        <is>
          <t>选择省</t>
        </is>
      </c>
      <c r="E643" s="156" t="inlineStr">
        <is>
          <t>ជ្រើសរើសសហព័ន្ធ/តំបន់</t>
        </is>
      </c>
    </row>
    <row r="644">
      <c r="A644" s="165" t="inlineStr">
        <is>
          <t>warehouseSetting.district</t>
        </is>
      </c>
      <c r="B644" s="156" t="inlineStr">
        <is>
          <t>ស្រុក/ខណ្ឌ</t>
        </is>
      </c>
      <c r="C644" s="165" t="inlineStr">
        <is>
          <t>District</t>
        </is>
      </c>
      <c r="D644" s="165" t="inlineStr">
        <is>
          <t>区/县</t>
        </is>
      </c>
      <c r="E644" s="156" t="inlineStr">
        <is>
          <t>ស្រុក/ខណ្ឌ</t>
        </is>
      </c>
    </row>
    <row r="645">
      <c r="A645" s="165" t="inlineStr">
        <is>
          <t>warehouseSetting.selectDistrictRequired</t>
        </is>
      </c>
      <c r="B645" s="156" t="inlineStr">
        <is>
          <t>សូមជ្រើសរើសស្រុក/ខណ្ឌ!</t>
        </is>
      </c>
      <c r="C645" s="165" t="inlineStr">
        <is>
          <t>Please select a District!</t>
        </is>
      </c>
      <c r="D645" s="165" t="inlineStr">
        <is>
          <t>请选择区/县！</t>
        </is>
      </c>
      <c r="E645" s="156" t="inlineStr">
        <is>
          <t>សូមជ្រើសរើសស្រុក/ខណ្ឌ!</t>
        </is>
      </c>
    </row>
    <row r="646">
      <c r="A646" s="165" t="inlineStr">
        <is>
          <t>warehouseSetting.selectDistrict</t>
        </is>
      </c>
      <c r="B646" s="156" t="inlineStr">
        <is>
          <t>ជ្រើសរើសស្រុក/ខណ្ឌ</t>
        </is>
      </c>
      <c r="C646" s="165" t="inlineStr">
        <is>
          <t>Select District</t>
        </is>
      </c>
      <c r="D646" s="165" t="inlineStr">
        <is>
          <t>选择区/县</t>
        </is>
      </c>
      <c r="E646" s="156" t="inlineStr">
        <is>
          <t>ជ្រើសរើសស្រុក/ខណ្ឌ</t>
        </is>
      </c>
    </row>
    <row r="647">
      <c r="A647" s="165" t="inlineStr">
        <is>
          <t>warehouseSetting.town</t>
        </is>
      </c>
      <c r="B647" s="156" t="inlineStr">
        <is>
          <t>ខេត្ត</t>
        </is>
      </c>
      <c r="C647" s="165" t="inlineStr">
        <is>
          <t>Town</t>
        </is>
      </c>
      <c r="D647" s="165" t="inlineStr">
        <is>
          <t>乡镇</t>
        </is>
      </c>
      <c r="E647" s="156" t="inlineStr">
        <is>
          <t>ខេត្ត</t>
        </is>
      </c>
    </row>
    <row r="648">
      <c r="A648" s="165" t="inlineStr">
        <is>
          <t>warehouseSetting.selectTownRequired</t>
        </is>
      </c>
      <c r="B648" s="156" t="inlineStr">
        <is>
          <t>សូមជ្រើសរើសខេត្តជាមុន!</t>
        </is>
      </c>
      <c r="C648" s="165" t="inlineStr">
        <is>
          <t>Please select a Town!</t>
        </is>
      </c>
      <c r="D648" s="165" t="inlineStr">
        <is>
          <t>请选择乡镇！</t>
        </is>
      </c>
      <c r="E648" s="156" t="inlineStr">
        <is>
          <t>សូមជ្រើសរើសខេត្តជាមុន!</t>
        </is>
      </c>
    </row>
    <row r="649">
      <c r="A649" s="165" t="inlineStr">
        <is>
          <t>warehouseSetting.selectTown</t>
        </is>
      </c>
      <c r="B649" s="156" t="inlineStr">
        <is>
          <t>ជ្រើសរើសខេត្ត</t>
        </is>
      </c>
      <c r="C649" s="165" t="inlineStr">
        <is>
          <t>Select Town</t>
        </is>
      </c>
      <c r="D649" s="165" t="inlineStr">
        <is>
          <t>选择乡镇</t>
        </is>
      </c>
      <c r="E649" s="156" t="inlineStr">
        <is>
          <t>ជ្រើសរើសខេត្ត</t>
        </is>
      </c>
    </row>
    <row r="650">
      <c r="A650" s="165" t="inlineStr">
        <is>
          <t>warehouseSetting.commune</t>
        </is>
      </c>
      <c r="B650" s="156" t="inlineStr">
        <is>
          <t>ខេត្ត</t>
        </is>
      </c>
      <c r="C650" s="165" t="inlineStr">
        <is>
          <t>Commune</t>
        </is>
      </c>
      <c r="D650" s="165" t="inlineStr">
        <is>
          <t>公社</t>
        </is>
      </c>
      <c r="E650" s="156" t="inlineStr">
        <is>
          <t>ខេត្ត</t>
        </is>
      </c>
    </row>
    <row r="651">
      <c r="A651" s="165" t="inlineStr">
        <is>
          <t>warehouseSetting.selectCommuneRequired</t>
        </is>
      </c>
      <c r="B651" s="156" t="inlineStr">
        <is>
          <t>សូមជ្រើសរើសខេត្តជាមុុន!</t>
        </is>
      </c>
      <c r="C651" s="165" t="inlineStr">
        <is>
          <t>Please select a Commune!</t>
        </is>
      </c>
      <c r="D651" s="165" t="inlineStr">
        <is>
          <t>请选择公社！</t>
        </is>
      </c>
      <c r="E651" s="156" t="inlineStr">
        <is>
          <t>សូមជ្រើសរើសខេត្តជាមុុន!</t>
        </is>
      </c>
    </row>
    <row r="652">
      <c r="A652" s="165" t="inlineStr">
        <is>
          <t>warehouseSetting.selectCommune</t>
        </is>
      </c>
      <c r="B652" s="156" t="inlineStr">
        <is>
          <t>ជ្រើសរើសខេត្ត</t>
        </is>
      </c>
      <c r="C652" s="165" t="inlineStr">
        <is>
          <t>Select Commune</t>
        </is>
      </c>
      <c r="D652" s="165" t="inlineStr">
        <is>
          <t>选择公社</t>
        </is>
      </c>
      <c r="E652" s="156" t="inlineStr">
        <is>
          <t>ជ្រើសរើសខេត្ត</t>
        </is>
      </c>
    </row>
    <row r="653">
      <c r="A653" s="165" t="inlineStr">
        <is>
          <t>warehouseSetting.address</t>
        </is>
      </c>
      <c r="B653" s="156" t="inlineStr">
        <is>
          <t>អាសយដ្ឋាន</t>
        </is>
      </c>
      <c r="C653" s="165" t="inlineStr">
        <is>
          <t>Address</t>
        </is>
      </c>
      <c r="D653" s="165" t="inlineStr">
        <is>
          <t>地址</t>
        </is>
      </c>
      <c r="E653" s="156" t="inlineStr">
        <is>
          <t>អាសយដ្ឋាន</t>
        </is>
      </c>
    </row>
    <row r="654">
      <c r="A654" s="165" t="inlineStr">
        <is>
          <t>warehouseSetting.enterShippingAddressRequired</t>
        </is>
      </c>
      <c r="B654" s="156" t="inlineStr">
        <is>
          <t>បញ្ចូលទីតាំងផ្ញើអីវ៉ាន់!</t>
        </is>
      </c>
      <c r="C654" s="165" t="inlineStr">
        <is>
          <t>Please enter the shipping address!</t>
        </is>
      </c>
      <c r="D654" s="165" t="inlineStr">
        <is>
          <t>请输入收货地址！</t>
        </is>
      </c>
      <c r="E654" s="156" t="inlineStr">
        <is>
          <t>បញ្ចូលទីតាំងផ្ញើអីវ៉ាន់!</t>
        </is>
      </c>
    </row>
    <row r="655">
      <c r="A655" s="165" t="inlineStr">
        <is>
          <t>warehouseSetting.enterShippingAddress</t>
        </is>
      </c>
      <c r="B655" s="156" t="inlineStr">
        <is>
          <t>បញ្ចូលអាសយដ្ឋានផ្ញើ</t>
        </is>
      </c>
      <c r="C655" s="165" t="inlineStr">
        <is>
          <t>Enter the shipping address</t>
        </is>
      </c>
      <c r="D655" s="165" t="inlineStr">
        <is>
          <t>请输入收货地址</t>
        </is>
      </c>
      <c r="E655" s="156" t="inlineStr">
        <is>
          <t>បញ្ចូលអាសយដ្ឋានផ្ញើ</t>
        </is>
      </c>
    </row>
    <row r="656">
      <c r="A656" s="165" t="inlineStr">
        <is>
          <t>warehouseSetting.addressType</t>
        </is>
      </c>
      <c r="B656" s="156" t="inlineStr">
        <is>
          <t>ប្រភេទទីតាំង</t>
        </is>
      </c>
      <c r="C656" s="165" t="inlineStr">
        <is>
          <t>Address Type</t>
        </is>
      </c>
      <c r="D656" s="165" t="inlineStr">
        <is>
          <t>地址类型</t>
        </is>
      </c>
      <c r="E656" s="156" t="inlineStr">
        <is>
          <t>ប្រភេទទីតាំង</t>
        </is>
      </c>
    </row>
    <row r="657">
      <c r="A657" s="165" t="inlineStr">
        <is>
          <t>warehouseSetting.selectAddressTypeRequired</t>
        </is>
      </c>
      <c r="B657" s="156" t="inlineStr">
        <is>
          <t>សូមជ្រើសរើសប្រភេទទីតាំង!</t>
        </is>
      </c>
      <c r="C657" s="165" t="inlineStr">
        <is>
          <t>Please select an address type!</t>
        </is>
      </c>
      <c r="D657" s="165" t="inlineStr">
        <is>
          <t>请选择地址类型！</t>
        </is>
      </c>
      <c r="E657" s="156" t="inlineStr">
        <is>
          <t>សូមជ្រើសរើសប្រភេទទីតាំង!</t>
        </is>
      </c>
    </row>
    <row r="658">
      <c r="A658" s="165" t="inlineStr">
        <is>
          <t>warehouseSetting.home</t>
        </is>
      </c>
      <c r="B658" s="156" t="inlineStr">
        <is>
          <t>ទំព័រដើម</t>
        </is>
      </c>
      <c r="C658" s="165" t="inlineStr">
        <is>
          <t>Home</t>
        </is>
      </c>
      <c r="D658" s="165" t="inlineStr">
        <is>
          <t>住宅</t>
        </is>
      </c>
      <c r="E658" s="156" t="inlineStr">
        <is>
          <t>ទំព័រដើម</t>
        </is>
      </c>
    </row>
    <row r="659">
      <c r="A659" s="165" t="inlineStr">
        <is>
          <t>warehouseSetting.office</t>
        </is>
      </c>
      <c r="B659" s="156" t="inlineStr">
        <is>
          <t>ការិយាល័យ</t>
        </is>
      </c>
      <c r="C659" s="165" t="inlineStr">
        <is>
          <t>Office</t>
        </is>
      </c>
      <c r="D659" s="165" t="inlineStr">
        <is>
          <t>公司</t>
        </is>
      </c>
      <c r="E659" s="156" t="inlineStr">
        <is>
          <t>ការិយាល័យ</t>
        </is>
      </c>
    </row>
    <row r="660">
      <c r="A660" s="165" t="inlineStr">
        <is>
          <t>warehouseSetting.warehouse</t>
        </is>
      </c>
      <c r="B660" s="156" t="inlineStr">
        <is>
          <t>ឃ្លាំង</t>
        </is>
      </c>
      <c r="C660" s="165" t="inlineStr">
        <is>
          <t>Warehouse</t>
        </is>
      </c>
      <c r="D660" s="165" t="inlineStr">
        <is>
          <t>仓库</t>
        </is>
      </c>
      <c r="E660" s="156" t="inlineStr">
        <is>
          <t>ឃ្លាំង</t>
        </is>
      </c>
    </row>
    <row r="661">
      <c r="A661" s="165" t="inlineStr">
        <is>
          <t>warehouseSetting.postOffice</t>
        </is>
      </c>
      <c r="B661" s="156" t="inlineStr">
        <is>
          <t>ការិយាល័យប្រៃសណីយ៍</t>
        </is>
      </c>
      <c r="C661" s="165" t="inlineStr">
        <is>
          <t>Post Office</t>
        </is>
      </c>
      <c r="D661" s="165" t="inlineStr">
        <is>
          <t>邮政网点</t>
        </is>
      </c>
      <c r="E661" s="156" t="inlineStr">
        <is>
          <t>ការិយាល័យប្រៃសណីយ៍</t>
        </is>
      </c>
    </row>
    <row r="662">
      <c r="A662" s="165" t="inlineStr">
        <is>
          <t>warehouseSetting.save</t>
        </is>
      </c>
      <c r="B662" s="156" t="inlineStr">
        <is>
          <t>រក្សាទុក</t>
        </is>
      </c>
      <c r="C662" s="165" t="inlineStr">
        <is>
          <t>Save</t>
        </is>
      </c>
      <c r="D662" s="165" t="inlineStr">
        <is>
          <t>保存</t>
        </is>
      </c>
      <c r="E662" s="156" t="inlineStr">
        <is>
          <t>រក្សាទុក</t>
        </is>
      </c>
    </row>
    <row r="663">
      <c r="A663" s="165" t="inlineStr">
        <is>
          <t>warehouseSetting.deleteWarehouse</t>
        </is>
      </c>
      <c r="B663" s="156" t="inlineStr">
        <is>
          <t>បញ្ឈប់សកម្មភាព</t>
        </is>
      </c>
      <c r="C663" s="165" t="inlineStr">
        <is>
          <t>Deactivate</t>
        </is>
      </c>
      <c r="D663" s="165" t="inlineStr">
        <is>
          <t>停用</t>
        </is>
      </c>
      <c r="E663" s="156" t="inlineStr">
        <is>
          <t>បញ្ឈប់សកម្មភាព</t>
        </is>
      </c>
    </row>
    <row r="664">
      <c r="A664" s="165" t="inlineStr">
        <is>
          <t>warehouseSetting.deleteWarehouseSuccess</t>
        </is>
      </c>
      <c r="B664" s="156" t="inlineStr">
        <is>
          <t>បញ្ឈប់សកម្មភាពឃ្លាំងបានជោគជ័យ</t>
        </is>
      </c>
      <c r="C664" s="165" t="inlineStr">
        <is>
          <t>Deactivate warehouse successfully</t>
        </is>
      </c>
      <c r="D664" s="165" t="inlineStr">
        <is>
          <t>仓库停用成功</t>
        </is>
      </c>
      <c r="E664" s="156" t="inlineStr">
        <is>
          <t>បញ្ឈប់សកម្មភាពឃ្លាំងបានជោគជ័យ</t>
        </is>
      </c>
    </row>
    <row r="665">
      <c r="A665" s="165" t="inlineStr">
        <is>
          <t>warehouseSetting.activate</t>
        </is>
      </c>
      <c r="B665" s="156" t="inlineStr">
        <is>
          <t>សកម្ម</t>
        </is>
      </c>
      <c r="C665" s="165" t="inlineStr">
        <is>
          <t>Activate</t>
        </is>
      </c>
      <c r="D665" s="165" t="inlineStr">
        <is>
          <t>启用</t>
        </is>
      </c>
      <c r="E665" s="156" t="inlineStr">
        <is>
          <t>សកម្ម</t>
        </is>
      </c>
    </row>
    <row r="666">
      <c r="A666" s="165" t="inlineStr">
        <is>
          <t>warehouseSetting.warehouseDefault</t>
        </is>
      </c>
      <c r="B666" s="156" t="inlineStr">
        <is>
          <t>ឃ្លាំងអីវ៉ាន់កំពុងបានកំណត់ច្បាស់លាស់</t>
        </is>
      </c>
      <c r="C666" s="165" t="inlineStr">
        <is>
          <t>Warehouse currently set as default</t>
        </is>
      </c>
      <c r="D666" s="165" t="inlineStr">
        <is>
          <t>此仓库当前为默认仓库</t>
        </is>
      </c>
      <c r="E666" s="156" t="inlineStr">
        <is>
          <t>ឃ្លាំងអីវ៉ាន់កំពុងបានកំណត់ច្បាស់លាស់</t>
        </is>
      </c>
    </row>
    <row r="667">
      <c r="A667" s="165" t="inlineStr">
        <is>
          <t>warehouseSetting.warehouseSettingDefault1</t>
        </is>
      </c>
      <c r="B667" s="156" t="inlineStr">
        <is>
          <t>អតិថិជនបញ្ជាក់កំណត់ឃ្លាំង</t>
        </is>
      </c>
      <c r="C667" s="165" t="inlineStr">
        <is>
          <t>You confirm the warehouse reservation</t>
        </is>
      </c>
      <c r="D667" s="165" t="inlineStr">
        <is>
          <t>请确认仓库预约信息</t>
        </is>
      </c>
      <c r="E667" s="156" t="inlineStr">
        <is>
          <t>អតិថិជនបញ្ជាក់កំណត់ឃ្លាំង</t>
        </is>
      </c>
    </row>
    <row r="668">
      <c r="A668" s="165" t="inlineStr">
        <is>
          <t>warehouseSetting.warehouseSettingDefault2</t>
        </is>
      </c>
      <c r="B668" s="156" t="inlineStr">
        <is>
          <t>កំណត់ឃ្លាំងជាលំនាំដើម?</t>
        </is>
      </c>
      <c r="C668" s="165" t="inlineStr">
        <is>
          <t>Make the warehouse default?</t>
        </is>
      </c>
      <c r="D668" s="165" t="inlineStr">
        <is>
          <t>是否将此仓库设为默认？</t>
        </is>
      </c>
      <c r="E668" s="156" t="inlineStr">
        <is>
          <t>កំណត់ឃ្លាំងជាលំនាំដើម?</t>
        </is>
      </c>
    </row>
    <row r="669">
      <c r="A669" s="165" t="inlineStr">
        <is>
          <t>warehouseSetting.warehouseSettingStop1</t>
        </is>
      </c>
      <c r="B669" s="156" t="inlineStr">
        <is>
          <t>អ្នកចង់បញ្ឈប់សកម្មភាពឃ្លាំង</t>
        </is>
      </c>
      <c r="C669" s="165" t="inlineStr">
        <is>
          <t>You want to stop the warehouse activity</t>
        </is>
      </c>
      <c r="D669" s="165" t="inlineStr">
        <is>
          <t>确定要停用此仓库吗？</t>
        </is>
      </c>
      <c r="E669" s="156" t="inlineStr">
        <is>
          <t>អ្នកចង់បញ្ឈប់សកម្មភាពឃ្លាំង</t>
        </is>
      </c>
    </row>
    <row r="670">
      <c r="A670" s="165" t="inlineStr">
        <is>
          <t>warehouseSetting.warehouseSettingActive1</t>
        </is>
      </c>
      <c r="B670" s="156" t="inlineStr">
        <is>
          <t>អ្នកចង់មានសកម្មភាពឃ្លាំង</t>
        </is>
      </c>
      <c r="C670" s="165" t="inlineStr">
        <is>
          <t>You want to activate the warehouse</t>
        </is>
      </c>
      <c r="D670" s="165" t="inlineStr">
        <is>
          <t>确定要启用此仓库吗？</t>
        </is>
      </c>
      <c r="E670" s="156" t="inlineStr">
        <is>
          <t>អ្នកចង់មានសកម្មភាពឃ្លាំង</t>
        </is>
      </c>
    </row>
    <row r="671">
      <c r="A671" s="165" t="inlineStr">
        <is>
          <t>warehouseSetting.activeWarehouseSuccess</t>
        </is>
      </c>
      <c r="B671" s="156" t="inlineStr">
        <is>
          <t>បន្តសកម្មភាពឃ្លាំងបានជោគជ័យ</t>
        </is>
      </c>
      <c r="C671" s="165" t="inlineStr">
        <is>
          <t>Activate the warehouse successfully</t>
        </is>
      </c>
      <c r="D671" s="165" t="inlineStr">
        <is>
          <t>仓库启用成功</t>
        </is>
      </c>
      <c r="E671" s="156" t="inlineStr">
        <is>
          <t>បន្តសកម្មភាពឃ្លាំងបានជោគជ័យ</t>
        </is>
      </c>
    </row>
    <row r="672">
      <c r="A672" s="165" t="inlineStr">
        <is>
          <t>historyImport.stt</t>
        </is>
      </c>
      <c r="B672" s="156" t="inlineStr">
        <is>
          <t>ល.រ</t>
        </is>
      </c>
      <c r="C672" s="165" t="inlineStr">
        <is>
          <t>No.</t>
        </is>
      </c>
      <c r="D672" s="165" t="inlineStr">
        <is>
          <t>序号</t>
        </is>
      </c>
      <c r="E672" s="156" t="inlineStr">
        <is>
          <t>ល.រ</t>
        </is>
      </c>
    </row>
    <row r="673">
      <c r="A673" s="165" t="inlineStr">
        <is>
          <t>historyImport.complete</t>
        </is>
      </c>
      <c r="B673" s="156" t="inlineStr">
        <is>
          <t>បានបញ្ចប់</t>
        </is>
      </c>
      <c r="C673" s="165" t="inlineStr">
        <is>
          <t>Completed</t>
        </is>
      </c>
      <c r="D673" s="165" t="inlineStr">
        <is>
          <t>已完成</t>
        </is>
      </c>
      <c r="E673" s="156" t="inlineStr">
        <is>
          <t>បានបញ្ចប់</t>
        </is>
      </c>
    </row>
    <row r="674">
      <c r="A674" s="165" t="inlineStr">
        <is>
          <t>historyImport.processing</t>
        </is>
      </c>
      <c r="B674" s="156" t="inlineStr">
        <is>
          <t>កំពុងដំណើរការ</t>
        </is>
      </c>
      <c r="C674" s="165" t="inlineStr">
        <is>
          <t>Processing</t>
        </is>
      </c>
      <c r="D674" s="165" t="inlineStr">
        <is>
          <t>处理中</t>
        </is>
      </c>
      <c r="E674" s="156" t="inlineStr">
        <is>
          <t>កំពុងដំណើរការ</t>
        </is>
      </c>
    </row>
    <row r="675">
      <c r="A675" s="165" t="inlineStr">
        <is>
          <t>historyImport.createdAt</t>
        </is>
      </c>
      <c r="B675" s="156" t="inlineStr">
        <is>
          <t>ថ្ងៃទាញយក</t>
        </is>
      </c>
      <c r="C675" s="165" t="inlineStr">
        <is>
          <t>Upload Date</t>
        </is>
      </c>
      <c r="D675" s="165" t="inlineStr">
        <is>
          <t>上传日期</t>
        </is>
      </c>
      <c r="E675" s="156" t="inlineStr">
        <is>
          <t>ថ្ងៃទាញយក</t>
        </is>
      </c>
    </row>
    <row r="676">
      <c r="A676" s="165" t="inlineStr">
        <is>
          <t>historyImport.nameFile</t>
        </is>
      </c>
      <c r="B676" s="156" t="inlineStr">
        <is>
          <t>ឈ្មោះឯកសារ</t>
        </is>
      </c>
      <c r="C676" s="165" t="inlineStr">
        <is>
          <t>File Name</t>
        </is>
      </c>
      <c r="D676" s="165" t="inlineStr">
        <is>
          <t>文件名称</t>
        </is>
      </c>
      <c r="E676" s="156" t="inlineStr">
        <is>
          <t>ឈ្មោះឯកសារ</t>
        </is>
      </c>
    </row>
    <row r="677">
      <c r="A677" s="165" t="inlineStr">
        <is>
          <t>historyImport.capacity</t>
        </is>
      </c>
      <c r="B677" s="156" t="inlineStr">
        <is>
          <t>ទំហំ</t>
        </is>
      </c>
      <c r="C677" s="165" t="inlineStr">
        <is>
          <t>Capacity</t>
        </is>
      </c>
      <c r="D677" s="165" t="inlineStr">
        <is>
          <t>承载量/容积</t>
        </is>
      </c>
      <c r="E677" s="156" t="inlineStr">
        <is>
          <t>ទំហំ</t>
        </is>
      </c>
    </row>
    <row r="678">
      <c r="A678" s="165" t="inlineStr">
        <is>
          <t>historyImport.warehouse</t>
        </is>
      </c>
      <c r="B678" s="156" t="inlineStr">
        <is>
          <t>ឃ្លាំង</t>
        </is>
      </c>
      <c r="C678" s="165" t="inlineStr">
        <is>
          <t>Warehouse</t>
        </is>
      </c>
      <c r="D678" s="165" t="inlineStr">
        <is>
          <t>仓库</t>
        </is>
      </c>
      <c r="E678" s="156" t="inlineStr">
        <is>
          <t>ឃ្លាំង</t>
        </is>
      </c>
    </row>
    <row r="679">
      <c r="A679" s="165" t="inlineStr">
        <is>
          <t>historyImport.formCreatedSuccessfully</t>
        </is>
      </c>
      <c r="B679" s="156" t="inlineStr">
        <is>
          <t>បង្កើតបុងបញ្ញើបានជោគជ័យ</t>
        </is>
      </c>
      <c r="C679" s="165" t="inlineStr">
        <is>
          <t>Order Created Successfully</t>
        </is>
      </c>
      <c r="D679" s="165" t="inlineStr">
        <is>
          <t>订单创建成功</t>
        </is>
      </c>
      <c r="E679" s="156" t="inlineStr">
        <is>
          <t>បង្កើតបុងបញ្ញើបានជោគជ័យ</t>
        </is>
      </c>
    </row>
    <row r="680">
      <c r="A680" s="165" t="inlineStr">
        <is>
          <t>locationCommon.regionMM</t>
        </is>
      </c>
      <c r="B680" s="156" t="inlineStr">
        <is>
          <t>សហព័ន្ធ/តំបន់</t>
        </is>
      </c>
      <c r="C680" s="165" t="inlineStr">
        <is>
          <t>Region</t>
        </is>
      </c>
      <c r="D680" s="165" t="inlineStr">
        <is>
          <t>大区</t>
        </is>
      </c>
      <c r="E680" s="156" t="inlineStr">
        <is>
          <t>សហព័ន្ធ/តំបន់</t>
        </is>
      </c>
    </row>
    <row r="681">
      <c r="A681" s="165" t="inlineStr">
        <is>
          <t>locationCommon.districtMM</t>
        </is>
      </c>
      <c r="B681" s="156" t="inlineStr">
        <is>
          <t>ស្រុក/ខណ្ឌ</t>
        </is>
      </c>
      <c r="C681" s="165" t="inlineStr">
        <is>
          <t>District</t>
        </is>
      </c>
      <c r="D681" s="165" t="inlineStr">
        <is>
          <t>区/县</t>
        </is>
      </c>
      <c r="E681" s="156" t="inlineStr">
        <is>
          <t>ស្រុក/ខណ្ឌ</t>
        </is>
      </c>
    </row>
    <row r="682">
      <c r="A682" s="165" t="inlineStr">
        <is>
          <t>locationCommon.wardMM</t>
        </is>
      </c>
      <c r="B682" s="156" t="inlineStr">
        <is>
          <t>ឃុំ/សង្កាត់</t>
        </is>
      </c>
      <c r="C682" s="165" t="inlineStr">
        <is>
          <t>Ward</t>
        </is>
      </c>
      <c r="D682" s="165" t="inlineStr">
        <is>
          <t>坊</t>
        </is>
      </c>
      <c r="E682" s="156" t="inlineStr">
        <is>
          <t>ឃុំ/សង្កាត់</t>
        </is>
      </c>
    </row>
    <row r="683">
      <c r="A683" s="165" t="inlineStr">
        <is>
          <t>locationCommon.provinceCam</t>
        </is>
      </c>
      <c r="B683" s="156" t="inlineStr">
        <is>
          <t>ខេត្ត</t>
        </is>
      </c>
      <c r="C683" s="165" t="inlineStr">
        <is>
          <t>Province</t>
        </is>
      </c>
      <c r="D683" s="165" t="inlineStr">
        <is>
          <t>省</t>
        </is>
      </c>
      <c r="E683" s="156" t="inlineStr">
        <is>
          <t>ខេត្ត</t>
        </is>
      </c>
    </row>
    <row r="684">
      <c r="A684" s="165" t="inlineStr">
        <is>
          <t>locationCommon.districtCam</t>
        </is>
      </c>
      <c r="B684" s="156" t="inlineStr">
        <is>
          <t>ស្រុក</t>
        </is>
      </c>
      <c r="C684" s="165" t="inlineStr">
        <is>
          <t>District</t>
        </is>
      </c>
      <c r="D684" s="165" t="inlineStr">
        <is>
          <t>区/县</t>
        </is>
      </c>
      <c r="E684" s="156" t="inlineStr">
        <is>
          <t>ស្រុក</t>
        </is>
      </c>
    </row>
    <row r="685">
      <c r="A685" s="165" t="inlineStr">
        <is>
          <t>locationCommon.communeCam</t>
        </is>
      </c>
      <c r="B685" s="156" t="inlineStr">
        <is>
          <t>ឃុំ</t>
        </is>
      </c>
      <c r="C685" s="165" t="inlineStr">
        <is>
          <t>Commune</t>
        </is>
      </c>
      <c r="D685" s="165" t="inlineStr">
        <is>
          <t>公社</t>
        </is>
      </c>
      <c r="E685" s="156" t="inlineStr">
        <is>
          <t>ឃុំ</t>
        </is>
      </c>
    </row>
    <row r="686">
      <c r="A686" s="165" t="inlineStr">
        <is>
          <t>locationCommon.provinceLaos</t>
        </is>
      </c>
      <c r="B686" s="156" t="inlineStr">
        <is>
          <t>ខេត្ត</t>
        </is>
      </c>
      <c r="C686" s="165" t="inlineStr">
        <is>
          <t>Province</t>
        </is>
      </c>
      <c r="D686" s="165" t="inlineStr">
        <is>
          <t>省</t>
        </is>
      </c>
      <c r="E686" s="156" t="inlineStr">
        <is>
          <t>ខេត្ត</t>
        </is>
      </c>
    </row>
    <row r="687">
      <c r="A687" s="165" t="inlineStr">
        <is>
          <t>locationCommon.districtLaos</t>
        </is>
      </c>
      <c r="B687" t="inlineStr">
        <is>
          <t>ស្រុក</t>
        </is>
      </c>
      <c r="C687" s="165" t="inlineStr">
        <is>
          <t>District</t>
        </is>
      </c>
      <c r="D687" s="165" t="inlineStr">
        <is>
          <t>区/县</t>
        </is>
      </c>
      <c r="E687" t="inlineStr">
        <is>
          <t>ស្រុក</t>
        </is>
      </c>
    </row>
    <row r="688">
      <c r="A688" s="165" t="inlineStr">
        <is>
          <t>locationCommon.villageLaos</t>
        </is>
      </c>
      <c r="B688" t="inlineStr">
        <is>
          <t>ភូមិ</t>
        </is>
      </c>
      <c r="C688" s="165" t="inlineStr">
        <is>
          <t>Village</t>
        </is>
      </c>
      <c r="D688" s="165" t="inlineStr">
        <is>
          <t>村庄</t>
        </is>
      </c>
      <c r="E688" t="inlineStr">
        <is>
          <t>ភូមិ</t>
        </is>
      </c>
    </row>
    <row r="689">
      <c r="A689" s="165" t="inlineStr">
        <is>
          <t>locationCommon.selectRegionMM</t>
        </is>
      </c>
      <c r="B689" t="inlineStr">
        <is>
          <t>ជ្រើសរើសសហព័ន្ធ/តំបន់</t>
        </is>
      </c>
      <c r="C689" s="165" t="inlineStr">
        <is>
          <t>Select Region</t>
        </is>
      </c>
      <c r="D689" s="165" t="inlineStr">
        <is>
          <t>选择社区</t>
        </is>
      </c>
      <c r="E689" t="inlineStr">
        <is>
          <t>ជ្រើសរើសសហព័ន្ធ/តំបន់</t>
        </is>
      </c>
    </row>
    <row r="690">
      <c r="A690" s="165" t="inlineStr">
        <is>
          <t>locationCommon.selectDistrictMM</t>
        </is>
      </c>
      <c r="B690" t="inlineStr">
        <is>
          <t>ស្រុក/ខណ្ឌ</t>
        </is>
      </c>
      <c r="C690" s="165" t="inlineStr">
        <is>
          <t>Select District</t>
        </is>
      </c>
      <c r="D690" s="165" t="inlineStr">
        <is>
          <t>选择区/县</t>
        </is>
      </c>
      <c r="E690" t="inlineStr">
        <is>
          <t>ស្រុក/ខណ្ឌ</t>
        </is>
      </c>
    </row>
    <row r="691">
      <c r="A691" s="165" t="inlineStr">
        <is>
          <t>locationCommon.selectWardMM</t>
        </is>
      </c>
      <c r="B691" t="inlineStr">
        <is>
          <t>ឃុំ/សង្កាត់</t>
        </is>
      </c>
      <c r="C691" s="165" t="inlineStr">
        <is>
          <t>Select Ward</t>
        </is>
      </c>
      <c r="D691" s="165" t="inlineStr">
        <is>
          <t>选择坊</t>
        </is>
      </c>
      <c r="E691" t="inlineStr">
        <is>
          <t>ឃុំ/សង្កាត់</t>
        </is>
      </c>
    </row>
    <row r="692">
      <c r="A692" s="165" t="inlineStr">
        <is>
          <t>locationCommon.selectProvinceCam</t>
        </is>
      </c>
      <c r="B692" t="inlineStr">
        <is>
          <t>ខេត្ត</t>
        </is>
      </c>
      <c r="C692" s="165" t="inlineStr">
        <is>
          <t>Select Province</t>
        </is>
      </c>
      <c r="D692" s="165" t="inlineStr">
        <is>
          <t>选择省</t>
        </is>
      </c>
      <c r="E692" t="inlineStr">
        <is>
          <t>ខេត្ត</t>
        </is>
      </c>
    </row>
    <row r="693">
      <c r="A693" s="165" t="inlineStr">
        <is>
          <t>locationCommon.selectDistrictCam</t>
        </is>
      </c>
      <c r="B693" t="inlineStr">
        <is>
          <t>ស្រុក</t>
        </is>
      </c>
      <c r="C693" s="165" t="inlineStr">
        <is>
          <t>Select District</t>
        </is>
      </c>
      <c r="D693" s="165" t="inlineStr">
        <is>
          <t>选择区/县</t>
        </is>
      </c>
      <c r="E693" t="inlineStr">
        <is>
          <t>ស្រុក</t>
        </is>
      </c>
    </row>
    <row r="694">
      <c r="A694" s="165" t="inlineStr">
        <is>
          <t>locationCommon.selectCommuneCam</t>
        </is>
      </c>
      <c r="B694" t="inlineStr">
        <is>
          <t>ឃុំ</t>
        </is>
      </c>
      <c r="C694" s="165" t="inlineStr">
        <is>
          <t>Select Commune</t>
        </is>
      </c>
      <c r="D694" s="165" t="inlineStr">
        <is>
          <t>选择公社</t>
        </is>
      </c>
      <c r="E694" t="inlineStr">
        <is>
          <t>ឃុំ</t>
        </is>
      </c>
    </row>
    <row r="695">
      <c r="A695" s="165" t="inlineStr">
        <is>
          <t>locationCommon.selectProvinceLaos</t>
        </is>
      </c>
      <c r="B695" t="inlineStr">
        <is>
          <t>ខេត្ត</t>
        </is>
      </c>
      <c r="C695" s="165" t="inlineStr">
        <is>
          <t>Select Province</t>
        </is>
      </c>
      <c r="D695" s="165" t="inlineStr">
        <is>
          <t>选择省</t>
        </is>
      </c>
      <c r="E695" t="inlineStr">
        <is>
          <t>ខេត្ត</t>
        </is>
      </c>
    </row>
    <row r="696">
      <c r="A696" s="165" t="inlineStr">
        <is>
          <t>locationCommon.selectDistrictLaos</t>
        </is>
      </c>
      <c r="B696" t="inlineStr">
        <is>
          <t>ស្រុក</t>
        </is>
      </c>
      <c r="C696" s="165" t="inlineStr">
        <is>
          <t>Select District</t>
        </is>
      </c>
      <c r="D696" s="165" t="inlineStr">
        <is>
          <t>选择区/县</t>
        </is>
      </c>
      <c r="E696" t="inlineStr">
        <is>
          <t>ស្រុក</t>
        </is>
      </c>
    </row>
    <row r="697">
      <c r="A697" s="165" t="inlineStr">
        <is>
          <t>locationCommon.selectVillageLaos</t>
        </is>
      </c>
      <c r="B697" t="inlineStr">
        <is>
          <t>ភូូមិ</t>
        </is>
      </c>
      <c r="C697" s="165" t="inlineStr">
        <is>
          <t>Select Village</t>
        </is>
      </c>
      <c r="D697" s="165" t="inlineStr">
        <is>
          <t>选择村庄</t>
        </is>
      </c>
      <c r="E697" t="inlineStr">
        <is>
          <t>ភូូមិ</t>
        </is>
      </c>
    </row>
    <row r="698">
      <c r="A698" s="165" t="inlineStr">
        <is>
          <t>feeLookup.shippingRoute</t>
        </is>
      </c>
      <c r="B698" t="inlineStr">
        <is>
          <t>ផ្លូវដឹកជញ្ជូន</t>
        </is>
      </c>
      <c r="C698" s="165" t="inlineStr">
        <is>
          <t>Shipping Route</t>
        </is>
      </c>
      <c r="D698" s="165" t="inlineStr">
        <is>
          <t>运输路线</t>
        </is>
      </c>
      <c r="E698" t="inlineStr">
        <is>
          <t>ផ្លូវដឹកជញ្ជូន</t>
        </is>
      </c>
    </row>
    <row r="699">
      <c r="A699" s="165" t="inlineStr">
        <is>
          <t>feeLookup.domestic</t>
        </is>
      </c>
      <c r="B699" t="inlineStr">
        <is>
          <t>ក្នុងប្រទេស</t>
        </is>
      </c>
      <c r="C699" s="165" t="inlineStr">
        <is>
          <t>Domestic</t>
        </is>
      </c>
      <c r="D699" s="165" t="inlineStr">
        <is>
          <t>国内</t>
        </is>
      </c>
      <c r="E699" t="inlineStr">
        <is>
          <t>ក្នុងប្រទេស</t>
        </is>
      </c>
    </row>
    <row r="700">
      <c r="A700" s="165" t="inlineStr">
        <is>
          <t>feeLookup.sentFrom</t>
        </is>
      </c>
      <c r="B700" t="inlineStr">
        <is>
          <t>ផ្ញើពី</t>
        </is>
      </c>
      <c r="C700" s="165" t="inlineStr">
        <is>
          <t>Sent from</t>
        </is>
      </c>
      <c r="D700" s="165" t="inlineStr">
        <is>
          <t>寄自</t>
        </is>
      </c>
      <c r="E700" t="inlineStr">
        <is>
          <t>ផ្ញើពី</t>
        </is>
      </c>
    </row>
    <row r="701">
      <c r="A701" s="165" t="inlineStr">
        <is>
          <t>feeLookup.comeFrom</t>
        </is>
      </c>
      <c r="B701" t="inlineStr">
        <is>
          <t>ទៅកាន់</t>
        </is>
      </c>
      <c r="C701" s="165" t="inlineStr">
        <is>
          <t>Come from</t>
        </is>
      </c>
      <c r="D701" s="165" t="inlineStr">
        <is>
          <t>来源</t>
        </is>
      </c>
      <c r="E701" t="inlineStr">
        <is>
          <t>ទៅកាន់</t>
        </is>
      </c>
    </row>
    <row r="702">
      <c r="A702" s="165" t="inlineStr">
        <is>
          <t>feeLookup.productSize</t>
        </is>
      </c>
      <c r="B702" t="inlineStr">
        <is>
          <t>ទំហំទំនិញ(ប្រវែង+ទទឹង+កម្ពស់)(សង់ទីម៉ែត)</t>
        </is>
      </c>
      <c r="C702" s="165" t="inlineStr">
        <is>
          <t>Size (L+W+H) (cm)</t>
        </is>
      </c>
      <c r="D702" s="165" t="inlineStr">
        <is>
          <t>包裹尺寸</t>
        </is>
      </c>
      <c r="E702" t="inlineStr">
        <is>
          <t>ទំហំទំនិញ(ប្រវែង+ទទឹង+កម្ពស់)(សង់ទីម៉ែត)</t>
        </is>
      </c>
    </row>
    <row r="703">
      <c r="A703" s="165" t="inlineStr">
        <is>
          <t>feeLookup.checkFees</t>
        </is>
      </c>
      <c r="B703" t="inlineStr">
        <is>
          <t>ត្រួតពិនិត្យថ្លៃសេវា</t>
        </is>
      </c>
      <c r="C703" s="165" t="inlineStr">
        <is>
          <t>Check fees</t>
        </is>
      </c>
      <c r="D703" s="165" t="inlineStr">
        <is>
          <t>查询运费</t>
        </is>
      </c>
      <c r="E703" t="inlineStr">
        <is>
          <t>ត្រួតពិនិត្យថ្លៃសេវា</t>
        </is>
      </c>
    </row>
    <row r="704">
      <c r="A704" s="165" t="inlineStr">
        <is>
          <t>feeLookup.resultLookup</t>
        </is>
      </c>
      <c r="B704" t="inlineStr">
        <is>
          <t>លទ្ធផលស្វែងរក</t>
        </is>
      </c>
      <c r="C704" s="165" t="inlineStr">
        <is>
          <t>Research results</t>
        </is>
      </c>
      <c r="D704" s="165" t="inlineStr">
        <is>
          <t>查询结果</t>
        </is>
      </c>
      <c r="E704" t="inlineStr">
        <is>
          <t>លទ្ធផលស្វែងរក</t>
        </is>
      </c>
    </row>
    <row r="705">
      <c r="A705" s="165" t="inlineStr">
        <is>
          <t>feeLookup.contact_nearest_location</t>
        </is>
      </c>
      <c r="B705" t="inlineStr">
        <is>
          <t>ត្រូវរកទីតាំងផ្ញើជិតបំផុតដើម្បីទទួលតម្លៃល្អបំផុត</t>
        </is>
      </c>
      <c r="C705" s="165" t="inlineStr">
        <is>
          <t>Contact the nearest location for better rates</t>
        </is>
      </c>
      <c r="D705" s="165" t="inlineStr">
        <is>
          <t>联系最近网点获取优惠价格</t>
        </is>
      </c>
      <c r="E705" t="inlineStr">
        <is>
          <t>ត្រូវរកទីតាំងផ្ញើជិតបំផុតដើម្បីទទួលតម្លៃល្អបំផុត</t>
        </is>
      </c>
    </row>
    <row r="706">
      <c r="A706" s="165" t="inlineStr">
        <is>
          <t>feeLookup.find_nearest_post_office</t>
        </is>
      </c>
      <c r="B706" t="inlineStr">
        <is>
          <t>ស្វែងរកការិយាល័យប្រៃសណីយ៍ដែលជិតបំផុត</t>
        </is>
      </c>
      <c r="C706" s="165" t="inlineStr">
        <is>
          <t>Find the nearest post office</t>
        </is>
      </c>
      <c r="D706" s="165" t="inlineStr">
        <is>
          <t>查找最近网点</t>
        </is>
      </c>
      <c r="E706" t="inlineStr">
        <is>
          <t>ស្វែងរកការិយាល័យប្រៃសណីយ៍ដែលជិតបំផុត</t>
        </is>
      </c>
    </row>
    <row r="707">
      <c r="A707" s="165" t="inlineStr">
        <is>
          <t>feeLookup.suitableService</t>
        </is>
      </c>
      <c r="B707" t="inlineStr">
        <is>
          <t>សេវាដែលសមស្រប</t>
        </is>
      </c>
      <c r="C707" s="165" t="inlineStr">
        <is>
          <t>Suitable service</t>
        </is>
      </c>
      <c r="D707" s="165" t="inlineStr">
        <is>
          <t>推荐服务</t>
        </is>
      </c>
      <c r="E707" t="inlineStr">
        <is>
          <t>សេវាដែលសមស្រប</t>
        </is>
      </c>
    </row>
    <row r="708">
      <c r="A708" s="165" t="inlineStr">
        <is>
          <t>feeLookup.send</t>
        </is>
      </c>
      <c r="B708" t="inlineStr">
        <is>
          <t>ផ្ញើ</t>
        </is>
      </c>
      <c r="C708" s="165" t="inlineStr">
        <is>
          <t>Send</t>
        </is>
      </c>
      <c r="D708" s="165" t="inlineStr">
        <is>
          <t>发送</t>
        </is>
      </c>
      <c r="E708" t="inlineStr">
        <is>
          <t>ផ្ញើ</t>
        </is>
      </c>
    </row>
    <row r="709">
      <c r="A709" s="165" t="inlineStr">
        <is>
          <t>feeLookup.chargeableWeight</t>
        </is>
      </c>
      <c r="B709" t="inlineStr">
        <is>
          <t>ទម្ងន់គិតថ្លៃសេវា</t>
        </is>
      </c>
      <c r="C709" s="165" t="inlineStr">
        <is>
          <t>Chargeable weight</t>
        </is>
      </c>
      <c r="D709" s="165" t="inlineStr">
        <is>
          <t>计费重量</t>
        </is>
      </c>
      <c r="E709" t="inlineStr">
        <is>
          <t>ទម្ងន់គិតថ្លៃសេវា</t>
        </is>
      </c>
    </row>
    <row r="710">
      <c r="A710" s="165" t="inlineStr">
        <is>
          <t>feeLookup.pleaseEnterCollectionMoney</t>
        </is>
      </c>
      <c r="B710" t="inlineStr">
        <is>
          <t>សូមបញ្ចូលទឹកប្រាក់ប្រមូលជំនួស!</t>
        </is>
      </c>
      <c r="C710" s="165" t="inlineStr">
        <is>
          <t>Please enter collection money !</t>
        </is>
      </c>
      <c r="D710" s="165" t="inlineStr">
        <is>
          <t>请输入代收金额！</t>
        </is>
      </c>
      <c r="E710" t="inlineStr">
        <is>
          <t>សូមបញ្ចូលទឹកប្រាក់ប្រមូលជំនួស!</t>
        </is>
      </c>
    </row>
    <row r="711">
      <c r="A711" s="165" t="inlineStr">
        <is>
          <t>feeLookup.collectionAmountMustBeGreaterThanZero</t>
        </is>
      </c>
      <c r="B711" t="inlineStr">
        <is>
          <t>ទឹកប្រាក់ទទួលជំនួសត្រូវធំជាង 0!</t>
        </is>
      </c>
      <c r="C711" s="165" t="inlineStr">
        <is>
          <t>The collection amount must be greater than zero !</t>
        </is>
      </c>
      <c r="D711" s="165" t="inlineStr">
        <is>
          <t>代收金额必须大于零！</t>
        </is>
      </c>
      <c r="E711" t="inlineStr">
        <is>
          <t>ទឹកប្រាក់ទទួលជំនួសត្រូវធំជាង 0!</t>
        </is>
      </c>
    </row>
    <row r="712">
      <c r="A712" s="165" t="inlineStr">
        <is>
          <t>feeLookup.estimatedDeliveryDays_one</t>
        </is>
      </c>
      <c r="B712" t="inlineStr">
        <is>
          <t>Estimated delivery time: {{count}} day</t>
        </is>
      </c>
      <c r="C712" s="165" t="inlineStr">
        <is>
          <t>Estimated delivery time: {{count}} day</t>
        </is>
      </c>
      <c r="D712" s="157" t="inlineStr">
        <is>
          <t>--</t>
        </is>
      </c>
      <c r="E712" t="inlineStr">
        <is>
          <t>Estimated delivery time: {{count}} day</t>
        </is>
      </c>
    </row>
    <row r="713">
      <c r="A713" s="165" t="inlineStr">
        <is>
          <t>feeLookup.estimatedDeliveryDays_other</t>
        </is>
      </c>
      <c r="B713" t="inlineStr">
        <is>
          <t>Estimated delivery time: {{count}} days</t>
        </is>
      </c>
      <c r="C713" s="165" t="inlineStr">
        <is>
          <t>Estimated delivery time: {{count}} days</t>
        </is>
      </c>
      <c r="D713" s="157" t="inlineStr">
        <is>
          <t>--</t>
        </is>
      </c>
      <c r="E713" t="inlineStr">
        <is>
          <t>Estimated delivery time: {{count}} days</t>
        </is>
      </c>
    </row>
    <row r="714">
      <c r="A714" s="165" t="inlineStr">
        <is>
          <t>postOfficeLookup.title</t>
        </is>
      </c>
      <c r="B714" t="inlineStr">
        <is>
          <t>ស្វែងរកការិយាល័យប្រៃសណីយ៍</t>
        </is>
      </c>
      <c r="C714" s="165" t="inlineStr">
        <is>
          <t>Post Office Lookup</t>
        </is>
      </c>
      <c r="D714" s="165" t="inlineStr">
        <is>
          <t>查找网点</t>
        </is>
      </c>
      <c r="E714" t="inlineStr">
        <is>
          <t>ស្វែងរកការិយាល័យប្រៃសណីយ៍</t>
        </is>
      </c>
    </row>
    <row r="715">
      <c r="A715" s="165" t="inlineStr">
        <is>
          <t>postOfficeLookup.networkOfPostOffices</t>
        </is>
      </c>
      <c r="B715" t="inlineStr">
        <is>
          <t>បណ្តាយការិយាល័យប្រៃសណីយ៍</t>
        </is>
      </c>
      <c r="C715" s="165" t="inlineStr">
        <is>
          <t>Network of Post Offices</t>
        </is>
      </c>
      <c r="D715" s="165" t="inlineStr">
        <is>
          <t>邮政网点网络</t>
        </is>
      </c>
      <c r="E715" t="inlineStr">
        <is>
          <t>បណ្តាយការិយាល័យប្រៃសណីយ៍</t>
        </is>
      </c>
    </row>
    <row r="716">
      <c r="A716" s="165" t="inlineStr">
        <is>
          <t>postOfficeLookup.suggestedPostOffices</t>
        </is>
      </c>
      <c r="B716" t="inlineStr">
        <is>
          <t>ណែនាំជូនការិយាល័យប្រៃសណីយ៍</t>
        </is>
      </c>
      <c r="C716" s="165" t="inlineStr">
        <is>
          <t>Suggested Post Offices</t>
        </is>
      </c>
      <c r="D716" s="165" t="inlineStr">
        <is>
          <t>推荐网点</t>
        </is>
      </c>
      <c r="E716" t="inlineStr">
        <is>
          <t>ណែនាំជូនការិយាល័យប្រៃសណីយ៍</t>
        </is>
      </c>
    </row>
    <row r="717">
      <c r="A717" s="165" t="inlineStr">
        <is>
          <t>postOfficeLookup.directions</t>
        </is>
      </c>
      <c r="B717" t="inlineStr">
        <is>
          <t>នាំផ្លូវ</t>
        </is>
      </c>
      <c r="C717" s="165" t="inlineStr">
        <is>
          <t>Directions</t>
        </is>
      </c>
      <c r="D717" s="165" t="inlineStr">
        <is>
          <t>导航</t>
        </is>
      </c>
      <c r="E717" t="inlineStr">
        <is>
          <t>នាំផ្លូវ</t>
        </is>
      </c>
    </row>
    <row r="718">
      <c r="A718" s="165" t="inlineStr">
        <is>
          <t>postOfficeLookup.postOfficeManager</t>
        </is>
      </c>
      <c r="B718" t="inlineStr">
        <is>
          <t>អ្នកគ្រប់គ្រងការិយាល័យប្រៃសណីយ៍</t>
        </is>
      </c>
      <c r="C718" s="165" t="inlineStr">
        <is>
          <t>Post Office Manager</t>
        </is>
      </c>
      <c r="D718" s="165" t="inlineStr">
        <is>
          <t>邮政网点负责人</t>
        </is>
      </c>
      <c r="E718" t="inlineStr">
        <is>
          <t>អ្នកគ្រប់គ្រងការិយាល័យប្រៃសណីយ៍</t>
        </is>
      </c>
    </row>
    <row r="719">
      <c r="A719" s="165" t="inlineStr">
        <is>
          <t>postOfficeLookup.postOfficeList</t>
        </is>
      </c>
      <c r="B719" t="inlineStr">
        <is>
          <t>បញ្ជីការិយាល័យប្រៃសណីយ៍</t>
        </is>
      </c>
      <c r="C719" s="165" t="inlineStr">
        <is>
          <t>List of Post Offices</t>
        </is>
      </c>
      <c r="D719" s="165" t="inlineStr">
        <is>
          <t>邮政网点列表</t>
        </is>
      </c>
      <c r="E719" t="inlineStr">
        <is>
          <t>បញ្ជីការិយាល័យប្រៃសណីយ៍</t>
        </is>
      </c>
    </row>
    <row r="720">
      <c r="A720" s="165" t="inlineStr">
        <is>
          <t>listOfProhibitedItems.rule1</t>
        </is>
      </c>
      <c r="B720" t="inlineStr">
        <is>
          <t>1. សត្វរស់, ផ្នែករាងកាយ ឬផលិតផលរបស់សត្វមានជីវិត</t>
        </is>
      </c>
      <c r="C720" s="165" t="inlineStr">
        <is>
          <t>1. Live animals, body parts or products of live animals.</t>
        </is>
      </c>
      <c r="D720" s="165" t="inlineStr">
        <is>
          <t>1. 活体动物、动物身体部位或其制品。</t>
        </is>
      </c>
      <c r="E720" t="inlineStr">
        <is>
          <t>1. សត្វរស់, ផ្នែករាងកាយ ឬផលិតផលរបស់សត្វមានជីវិត</t>
        </is>
      </c>
    </row>
    <row r="721">
      <c r="A721" s="165" t="inlineStr">
        <is>
          <t>listOfProhibitedItems.rule2</t>
        </is>
      </c>
      <c r="B721" t="inlineStr">
        <is>
          <t>2. អាវុធ គ្រាប់រំសេវ គ្រឿងផ្ទុះ សម្ភារៈយោធា</t>
        </is>
      </c>
      <c r="C721" s="165" t="inlineStr">
        <is>
          <t>2. Weapons, ammunition, explosives, military equipment.</t>
        </is>
      </c>
      <c r="D721" s="165" t="inlineStr">
        <is>
          <t>2. 武器、弹药、爆炸物及军事装备。</t>
        </is>
      </c>
      <c r="E721" t="inlineStr">
        <is>
          <t>2. អាវុធ គ្រាប់រំសេវ គ្រឿងផ្ទុះ សម្ភារៈយោធា</t>
        </is>
      </c>
    </row>
    <row r="722">
      <c r="A722" s="165" t="inlineStr">
        <is>
          <t>listOfProhibitedItems.rule3</t>
        </is>
      </c>
      <c r="B722" t="inlineStr">
        <is>
          <t>3. ពុល ឬផ្ទុះ ងាយឆេះ និងគ្រោះថ្នាក់ គ្មានអនាម័យ និងបំពុល</t>
        </is>
      </c>
      <c r="C722" s="165" t="inlineStr">
        <is>
          <t>3. Explosive, flammable objects or substances and substances that are dangerous, unsanitary, or pollutants.</t>
        </is>
      </c>
      <c r="D722" s="165" t="inlineStr">
        <is>
          <t>3. 易燃易爆物品、危险品、污秽物及环境污染物。</t>
        </is>
      </c>
      <c r="E722" t="inlineStr">
        <is>
          <t>3. ពុល ឬផ្ទុះ ងាយឆេះ និងគ្រោះថ្នាក់ គ្មានអនាម័យ និងបំពុល</t>
        </is>
      </c>
    </row>
    <row r="723">
      <c r="A723" s="165" t="inlineStr">
        <is>
          <t>listOfProhibitedItems.rule4</t>
        </is>
      </c>
      <c r="B723" t="inlineStr">
        <is>
          <t>4. លុយខ្មែរ រូបិយប័ណ្ណបរទេស និងឯកសារទាំងអស់មានតម្លៃដូចគ្នាទៅនឹងលុយ។</t>
        </is>
      </c>
      <c r="C723" s="165" t="inlineStr">
        <is>
          <t>4. Cambodian money, foreign money and treasury notes with the same value as money.</t>
        </is>
      </c>
      <c r="D723" s="165" t="inlineStr">
        <is>
          <t>4. 柬埔寨货币、外币及具有货币价值的票据。</t>
        </is>
      </c>
      <c r="E723" t="inlineStr">
        <is>
          <t>4. លុយខ្មែរ រូបិយប័ណ្ណបរទេស និងឯកសារទាំងអស់មានតម្លៃដូចគ្នាទៅនឹងលុយ។</t>
        </is>
      </c>
    </row>
    <row r="724">
      <c r="A724" s="165" t="inlineStr">
        <is>
          <t>listOfProhibitedItems.rule5</t>
        </is>
      </c>
      <c r="B724" t="inlineStr">
        <is>
          <t>5. លោហធាតុមានតម្លៃ (មាស ប្រាក់ ប្លាទីន...), ត្បូង ឬផលិតផលផ្សេងទៀតធ្វើពីលោហធាតុ ឬត្បូងមានតម្លៃ (មិនត្រូវបានផ្ញើតាមប្រៃសណីយ៍ជាមួយនឹងតម្លៃដែលបានរាយបញ្ជី)</t>
        </is>
      </c>
      <c r="C724" s="165" t="inlineStr">
        <is>
          <t>5. Precious metals (gold, silver, platinum, etc.), precious stones or other products made from precious metals or precious stones (please send them in the declared value parcel).</t>
        </is>
      </c>
      <c r="D724" s="165" t="inlineStr">
        <is>
          <t>5. 贵金属（金、银、铂金等）、宝石及其制品（含在保价邮件内）。</t>
        </is>
      </c>
      <c r="E724" t="inlineStr">
        <is>
          <t>5. លោហធាតុមានតម្លៃ (មាស ប្រាក់ ប្លាទីន...), ត្បូង ឬផលិតផលផ្សេងទៀតធ្វើពីលោហធាតុ ឬត្បូងមានតម្លៃ (មិនត្រូវបានផ្ញើតាមប្រៃសណីយ៍ជាមួយនឹងតម្លៃដែលបានរាយបញ្ជី)</t>
        </is>
      </c>
    </row>
    <row r="725">
      <c r="A725" s="165" t="inlineStr">
        <is>
          <t>listOfProhibitedItems.rule6</t>
        </is>
      </c>
      <c r="B725" t="inlineStr">
        <is>
          <t>6. អាភៀន, សមាសធាតុពីអាភៀន, សារធាតុហាមឃាត់, សារធាតុរំញោចសរសៃប្រសាទ</t>
        </is>
      </c>
      <c r="C725" s="165" t="inlineStr">
        <is>
          <t>6. Opium, opium compounds, narcotics, psychotropic substances.</t>
        </is>
      </c>
      <c r="D725" s="165" t="inlineStr">
        <is>
          <t>6. 鸦片、鸦片制剂、毒品及精神类药品。</t>
        </is>
      </c>
      <c r="E725" t="inlineStr">
        <is>
          <t>6. អាភៀន, សមាសធាតុពីអាភៀន, សារធាតុហាមឃាត់, សារធាតុរំញោចសរសៃប្រសាទ</t>
        </is>
      </c>
    </row>
    <row r="726">
      <c r="A726" s="165" t="inlineStr">
        <is>
          <t>listOfProhibitedItems.rule7</t>
        </is>
      </c>
      <c r="B726" t="inlineStr">
        <is>
          <t>7. វត្ថុបុរាណ វត្ថុបុរាណ និងសម្បត្តិជាតិ ជាកម្មសិទ្ធិរបស់រដ្ឋ អង្គការនយោបាយ និងអង្គការនយោបាយសង្គម។ វត្ថុបុរាណ និងវត្ថុតាងមិនមែនជាកម្មសិទ្ធិរបស់រដ្ឋ អង្គការនយោបាយ ឬសង្គមនយោបាយទេ។</t>
        </is>
      </c>
      <c r="C726" s="165" t="inlineStr">
        <is>
          <t>7. Relics, antiques, national treasures owned by the State, owned by political organizations, socio-political organizations. Relics, antiques not owned by the State, owned by political organizations, socio-political organizations.</t>
        </is>
      </c>
      <c r="D726" s="165" t="inlineStr">
        <is>
          <t>7. 属于国家、政治组织、政治-社会组织所有的文物、古物、国宝；以及不属于上述机构所有的文物、古物。</t>
        </is>
      </c>
      <c r="E726" t="inlineStr">
        <is>
          <t>7. វត្ថុបុរាណ វត្ថុបុរាណ និងសម្បត្តិជាតិ ជាកម្មសិទ្ធិរបស់រដ្ឋ អង្គការនយោបាយ និងអង្គការនយោបាយសង្គម។ វត្ថុបុរាណ និងវត្ថុតាងមិនមែនជាកម្មសិទ្ធិរបស់រដ្ឋ អង្គការនយោបាយ ឬសង្គមនយោបាយទេ។</t>
        </is>
      </c>
    </row>
    <row r="727">
      <c r="A727" s="165" t="inlineStr">
        <is>
          <t>listOfProhibitedItems.rule8</t>
        </is>
      </c>
      <c r="B727" t="inlineStr">
        <is>
          <t>8. ទំនិញប្រៃសណីយ៍រួមមានទំនិញជាច្រើនដែលត្រូវបានផ្ញើទៅកាន់អាសយដ្ឋានអ្នកទទួលផ្សេងៗគ្នាជាច្រើន។</t>
        </is>
      </c>
      <c r="C727" s="165" t="inlineStr">
        <is>
          <t>8. Postal items containing multiple letters sent to multiple recipient addresses.</t>
        </is>
      </c>
      <c r="D727" s="165" t="inlineStr">
        <is>
          <t>8. 一个邮件内包含多封信件且寄往多个不同收件地址的。</t>
        </is>
      </c>
      <c r="E727" t="inlineStr">
        <is>
          <t>8. ទំនិញប្រៃសណីយ៍រួមមានទំនិញជាច្រើនដែលត្រូវបានផ្ញើទៅកាន់អាសយដ្ឋានអ្នកទទួលផ្សេងៗគ្នាជាច្រើន។</t>
        </is>
      </c>
    </row>
    <row r="728">
      <c r="A728" s="165" t="inlineStr">
        <is>
          <t>listOfProhibitedItems.rule9</t>
        </is>
      </c>
      <c r="B728" t="inlineStr">
        <is>
          <t>9. ខ្លឹមសារអាសអាភាស ប្រឆាំងរដ្ឋ សម្ភារៈនេះមានគោលបំណងធ្វើឱ្យខូចសណ្តាប់ធ្នាប់សាធារណៈប្រឆាំងនឹងតុលាការ និងរដ្ឋ។</t>
        </is>
      </c>
      <c r="C728" s="165" t="inlineStr">
        <is>
          <t>9. All kinds of obscene and reactionary cultural products, printed products and documents that disrupt public order and oppose the Royal Family and the State.</t>
        </is>
      </c>
      <c r="D728" s="165" t="inlineStr">
        <is>
          <t>9. 淫秽、反动的文化产品，以及旨在破坏公共安全秩序、反对王室、国家的印刷品和资料。</t>
        </is>
      </c>
      <c r="E728" t="inlineStr">
        <is>
          <t>9. ខ្លឹមសារអាសអាភាស ប្រឆាំងរដ្ឋ សម្ភារៈនេះមានគោលបំណងធ្វើឱ្យខូចសណ្តាប់ធ្នាប់សាធារណៈប្រឆាំងនឹងតុលាការ និងរដ្ឋ។</t>
        </is>
      </c>
    </row>
    <row r="729">
      <c r="A729" s="165" t="inlineStr">
        <is>
          <t>listOfProhibitedItems.rule10</t>
        </is>
      </c>
      <c r="B729" t="inlineStr">
        <is>
          <t>10. ប្រភេទទំនិញ និងទំនិញដែលរដ្ឋហាមប្រាមមិនឱ្យចរាចរ ធ្វើអាជីវកម្ម ការនាំចេញ និងនាំចូល</t>
        </is>
      </c>
      <c r="C729" s="165" t="inlineStr">
        <is>
          <t>10. Types of products and goods that the State prohibits from circulation, trading, exporting and importing.</t>
        </is>
      </c>
      <c r="D729" s="165" t="inlineStr">
        <is>
          <t>10. 国家禁止流通、禁止经营、禁止进出口的物品和商品。</t>
        </is>
      </c>
      <c r="E729" t="inlineStr">
        <is>
          <t>10. ប្រភេទទំនិញ និងទំនិញដែលរដ្ឋហាមប្រាមមិនឱ្យចរាចរ ធ្វើអាជីវកម្ម ការនាំចេញ និងនាំចូល</t>
        </is>
      </c>
    </row>
    <row r="730">
      <c r="A730" s="165" t="inlineStr">
        <is>
          <t>listOfProhibitedItems.rule11</t>
        </is>
      </c>
      <c r="B730" t="inlineStr">
        <is>
          <t>11. អត្ថបទ ការព្រីនផ្សាយ និងទំនិញដែលត្រូវបានហាមឃាត់ពីប្រទេសម្ចាស់ផ្ទះ នេះបើយោងតាមសហភាពប្រៃសណីយ៍សកល (UPU)</t>
        </is>
      </c>
      <c r="C730" s="165" t="inlineStr">
        <is>
          <t>11. Products, items, publications, and goods prohibited from being imported into the receiving country according to the notice of the Universal Postal Union (UPU).</t>
        </is>
      </c>
      <c r="D730" s="165" t="inlineStr">
        <is>
          <t>11. 根据万国邮政联盟(UPU)通知，禁止寄往目的地国家的物品、出版物和商品。</t>
        </is>
      </c>
      <c r="E730" t="inlineStr">
        <is>
          <t>11. អត្ថបទ ការព្រីនផ្សាយ និងទំនិញដែលត្រូវបានហាមឃាត់ពីប្រទេសម្ចាស់ផ្ទះ នេះបើយោងតាមសហភាពប្រៃសណីយ៍សកល (UPU)</t>
        </is>
      </c>
    </row>
    <row r="731">
      <c r="A731" s="165" t="inlineStr">
        <is>
          <t>listOfProhibitedItems.labelMenu</t>
        </is>
      </c>
      <c r="B731" t="inlineStr">
        <is>
          <t>បញ្ជីមុខទំនិញហាមឃាត់</t>
        </is>
      </c>
      <c r="C731" s="165" t="inlineStr">
        <is>
          <t>List of prohibited items</t>
        </is>
      </c>
      <c r="D731" s="165" t="inlineStr">
        <is>
          <t>禁运物品列表</t>
        </is>
      </c>
      <c r="E731" t="inlineStr">
        <is>
          <t>បញ្ជីមុខទំនិញហាមឃាត់</t>
        </is>
      </c>
    </row>
    <row r="732">
      <c r="A732" s="165" t="inlineStr">
        <is>
          <t>invoiceManagement.codeBill</t>
        </is>
      </c>
      <c r="B732" t="inlineStr">
        <is>
          <t>លេខកូដបុងបញ្ញើ</t>
        </is>
      </c>
      <c r="C732" s="165" t="inlineStr">
        <is>
          <t>Order ID</t>
        </is>
      </c>
      <c r="D732" s="157" t="inlineStr">
        <is>
          <t>--</t>
        </is>
      </c>
      <c r="E732" t="inlineStr">
        <is>
          <t>លេខកូដបុងបញ្ញើ</t>
        </is>
      </c>
    </row>
    <row r="733">
      <c r="A733" s="165" t="inlineStr">
        <is>
          <t>invoiceManagement.codeBillPlaceholder</t>
        </is>
      </c>
      <c r="B733" t="inlineStr">
        <is>
          <t>បញ្ចូលកូដបុងដឹកជញ្ជូន</t>
        </is>
      </c>
      <c r="C733" s="165" t="inlineStr">
        <is>
          <t>Enter invoice ID</t>
        </is>
      </c>
      <c r="D733" s="157" t="inlineStr">
        <is>
          <t>--</t>
        </is>
      </c>
      <c r="E733" t="inlineStr">
        <is>
          <t>បញ្ចូលកូដបុងដឹកជញ្ជូន</t>
        </is>
      </c>
    </row>
    <row r="734">
      <c r="A734" s="165" t="inlineStr">
        <is>
          <t>invoiceManagement.createdAt</t>
        </is>
      </c>
      <c r="B734" t="inlineStr">
        <is>
          <t>ថ្ងៃស្នើសុំ</t>
        </is>
      </c>
      <c r="C734" s="165" t="inlineStr">
        <is>
          <t>Request Date</t>
        </is>
      </c>
      <c r="D734" s="157" t="inlineStr">
        <is>
          <t>--</t>
        </is>
      </c>
      <c r="E734" t="inlineStr">
        <is>
          <t>ថ្ងៃស្នើសុំ</t>
        </is>
      </c>
    </row>
    <row r="735">
      <c r="A735" s="165" t="inlineStr">
        <is>
          <t>invoiceManagement.status</t>
        </is>
      </c>
      <c r="B735" t="inlineStr">
        <is>
          <t>ស្ថានភាព</t>
        </is>
      </c>
      <c r="C735" s="165" t="inlineStr">
        <is>
          <t>Status</t>
        </is>
      </c>
      <c r="D735" s="157" t="inlineStr">
        <is>
          <t>--</t>
        </is>
      </c>
      <c r="E735" t="inlineStr">
        <is>
          <t>ស្ថានភាព</t>
        </is>
      </c>
    </row>
    <row r="736">
      <c r="A736" s="165" t="inlineStr">
        <is>
          <t>invoiceManagement.time</t>
        </is>
      </c>
      <c r="B736" t="inlineStr">
        <is>
          <t>ពេលវេលា</t>
        </is>
      </c>
      <c r="C736" s="165" t="inlineStr">
        <is>
          <t>Time</t>
        </is>
      </c>
      <c r="D736" s="157" t="inlineStr">
        <is>
          <t>--</t>
        </is>
      </c>
      <c r="E736" t="inlineStr">
        <is>
          <t>ពេលវេលា</t>
        </is>
      </c>
    </row>
    <row r="737">
      <c r="A737" s="165" t="inlineStr">
        <is>
          <t>invoiceManagement.exportDate</t>
        </is>
      </c>
      <c r="B737" t="inlineStr">
        <is>
          <t>ថ្ងៃចេញបុងបញ្ញើ</t>
        </is>
      </c>
      <c r="C737" s="165" t="inlineStr">
        <is>
          <t>Invoice date</t>
        </is>
      </c>
      <c r="D737" s="157" t="inlineStr">
        <is>
          <t>--</t>
        </is>
      </c>
      <c r="E737" t="inlineStr">
        <is>
          <t>ថ្ងៃចេញបុងបញ្ញើ</t>
        </is>
      </c>
    </row>
    <row r="738">
      <c r="A738" s="165" t="inlineStr">
        <is>
          <t>invoiceManagement.preTaxMoney</t>
        </is>
      </c>
      <c r="B738" t="inlineStr">
        <is>
          <t>ប្រាក់មិនទាន់គិតពន្ធ({{CURRENCY}})</t>
        </is>
      </c>
      <c r="C738" s="165" t="inlineStr">
        <is>
          <t>Service charge before tax ({{CURRENCY}})</t>
        </is>
      </c>
      <c r="D738" s="157" t="inlineStr">
        <is>
          <t>--</t>
        </is>
      </c>
      <c r="E738" t="inlineStr">
        <is>
          <t>ប្រាក់មិនទាន់គិតពន្ធ({{CURRENCY}})</t>
        </is>
      </c>
    </row>
    <row r="739">
      <c r="A739" s="165" t="inlineStr">
        <is>
          <t>invoiceManagement.invoiceFile</t>
        </is>
      </c>
      <c r="B739" t="inlineStr">
        <is>
          <t>File បុងបញ្ញើ</t>
        </is>
      </c>
      <c r="C739" s="165" t="inlineStr">
        <is>
          <t>File details</t>
        </is>
      </c>
      <c r="D739" s="157" t="inlineStr">
        <is>
          <t>--</t>
        </is>
      </c>
      <c r="E739" t="inlineStr">
        <is>
          <t>File បុងបញ្ញើ</t>
        </is>
      </c>
    </row>
    <row r="740">
      <c r="A740" s="165" t="inlineStr">
        <is>
          <t>invoiceManagement.afterTaxMoney</t>
        </is>
      </c>
      <c r="B740" t="inlineStr">
        <is>
          <t>ប្រាក់ក្រោយពេលគិតពន្ធ({{CURRENCY}})</t>
        </is>
      </c>
      <c r="C740" s="165" t="inlineStr">
        <is>
          <t>Service charge after tax ({{CURRENCY}})</t>
        </is>
      </c>
      <c r="D740" s="157" t="inlineStr">
        <is>
          <t>--</t>
        </is>
      </c>
      <c r="E740" t="inlineStr">
        <is>
          <t>ប្រាក់ក្រោយពេលគិតពន្ធ({{CURRENCY}})</t>
        </is>
      </c>
    </row>
    <row r="741">
      <c r="A741" s="165" t="inlineStr">
        <is>
          <t>invoiceManagement.vat</t>
        </is>
      </c>
      <c r="B741" t="inlineStr">
        <is>
          <t>ពន្ធ ({{CURRENCY}})</t>
        </is>
      </c>
      <c r="C741" s="165" t="inlineStr">
        <is>
          <t>VAT ({{CURRENCY}})</t>
        </is>
      </c>
      <c r="D741" s="157" t="inlineStr">
        <is>
          <t>--</t>
        </is>
      </c>
      <c r="E741" t="inlineStr">
        <is>
          <t>ពន្ធ ({{CURRENCY}})</t>
        </is>
      </c>
    </row>
    <row r="742">
      <c r="A742" s="165" t="inlineStr">
        <is>
          <t>invoiceManagement.print</t>
        </is>
      </c>
      <c r="B742" t="inlineStr">
        <is>
          <t>ព្រីន</t>
        </is>
      </c>
      <c r="C742" s="165" t="inlineStr">
        <is>
          <t>Print</t>
        </is>
      </c>
      <c r="D742" s="157" t="inlineStr">
        <is>
          <t>--</t>
        </is>
      </c>
      <c r="E742" t="inlineStr">
        <is>
          <t>ព្រីន</t>
        </is>
      </c>
    </row>
    <row r="743">
      <c r="A743" s="165" t="inlineStr">
        <is>
          <t>invoiceManagement.INVOICE_RECORD_SYNCING</t>
        </is>
      </c>
      <c r="B743" t="inlineStr">
        <is>
          <t>កំពុុងចេញបុងបញ្ញើ</t>
        </is>
      </c>
      <c r="C743" s="165" t="inlineStr">
        <is>
          <t>Issuing Invoice</t>
        </is>
      </c>
      <c r="D743" s="157" t="inlineStr">
        <is>
          <t>--</t>
        </is>
      </c>
      <c r="E743" t="inlineStr">
        <is>
          <t>កំពុុងចេញបុងបញ្ញើ</t>
        </is>
      </c>
    </row>
    <row r="744">
      <c r="A744" s="165" t="inlineStr">
        <is>
          <t>invoiceManagement.INVOICE_RECORD_SUCCESS</t>
        </is>
      </c>
      <c r="B744" t="inlineStr">
        <is>
          <t>ចេញបុងបញ្ញើបានជោគជ័យ</t>
        </is>
      </c>
      <c r="C744" s="165" t="inlineStr">
        <is>
          <t>Invoice issued successfully</t>
        </is>
      </c>
      <c r="D744" s="157" t="inlineStr">
        <is>
          <t>--</t>
        </is>
      </c>
      <c r="E744" t="inlineStr">
        <is>
          <t>ចេញបុងបញ្ញើបានជោគជ័យ</t>
        </is>
      </c>
    </row>
    <row r="745">
      <c r="A745" s="165" t="inlineStr">
        <is>
          <t>invoiceManagement.day</t>
        </is>
      </c>
      <c r="B745" t="inlineStr">
        <is>
          <t>ជ្រើសរើសថ្ងៃ</t>
        </is>
      </c>
      <c r="C745" s="165" t="inlineStr">
        <is>
          <t>Select date</t>
        </is>
      </c>
      <c r="D745" s="157" t="inlineStr">
        <is>
          <t>--</t>
        </is>
      </c>
      <c r="E745" t="inlineStr">
        <is>
          <t>ជ្រើសរើសថ្ងៃ</t>
        </is>
      </c>
    </row>
    <row r="746">
      <c r="A746" s="165" t="inlineStr">
        <is>
          <t>invoiceManagement.week</t>
        </is>
      </c>
      <c r="B746" t="inlineStr">
        <is>
          <t>សប្តាហ៍នេះ</t>
        </is>
      </c>
      <c r="C746" s="165" t="inlineStr">
        <is>
          <t>This week</t>
        </is>
      </c>
      <c r="D746" s="157" t="inlineStr">
        <is>
          <t>--</t>
        </is>
      </c>
      <c r="E746" t="inlineStr">
        <is>
          <t>សប្តាហ៍នេះ</t>
        </is>
      </c>
    </row>
    <row r="747">
      <c r="A747" s="165" t="inlineStr">
        <is>
          <t>invoiceManagement.month</t>
        </is>
      </c>
      <c r="B747" t="inlineStr">
        <is>
          <t>ខែនេះ</t>
        </is>
      </c>
      <c r="C747" s="165" t="inlineStr">
        <is>
          <t>This month</t>
        </is>
      </c>
      <c r="D747" s="157" t="inlineStr">
        <is>
          <t>--</t>
        </is>
      </c>
      <c r="E747" t="inlineStr">
        <is>
          <t>ខែនេះ</t>
        </is>
      </c>
    </row>
    <row r="748">
      <c r="A748" s="165" t="inlineStr">
        <is>
          <t>invoiceManagement.accumulated</t>
        </is>
      </c>
      <c r="B748" t="inlineStr">
        <is>
          <t>កំណើនប្រាក់តាមខែ</t>
        </is>
      </c>
      <c r="C748" s="165" t="inlineStr">
        <is>
          <t>Month-to-date total</t>
        </is>
      </c>
      <c r="D748" s="157" t="inlineStr">
        <is>
          <t>--</t>
        </is>
      </c>
      <c r="E748" t="inlineStr">
        <is>
          <t>កំណើនប្រាក់តាមខែ</t>
        </is>
      </c>
    </row>
    <row r="749">
      <c r="A749" s="165" t="inlineStr">
        <is>
          <t>invoiceManagement.apply</t>
        </is>
      </c>
      <c r="B749" t="inlineStr">
        <is>
          <t>អនុវត្ត</t>
        </is>
      </c>
      <c r="C749" s="165" t="inlineStr">
        <is>
          <t>Áp dụng</t>
        </is>
      </c>
      <c r="D749" s="157" t="inlineStr">
        <is>
          <t>--</t>
        </is>
      </c>
      <c r="E749" t="inlineStr">
        <is>
          <t>អនុវត្ត</t>
        </is>
      </c>
    </row>
    <row r="750">
      <c r="A750" s="165" t="inlineStr">
        <is>
          <t>invoiceManagement.invoiceEmpty</t>
        </is>
      </c>
      <c r="B750" t="inlineStr">
        <is>
          <t>មិនទាន់មានបុងបញ្ញើដើម្បីព្រីន</t>
        </is>
      </c>
      <c r="C750" s="165" t="inlineStr">
        <is>
          <t>No invoices available to print!</t>
        </is>
      </c>
      <c r="D750" s="157" t="inlineStr">
        <is>
          <t>--</t>
        </is>
      </c>
      <c r="E750" t="inlineStr">
        <is>
          <t>មិនទាន់មានបុងបញ្ញើដើម្បីព្រីន</t>
        </is>
      </c>
    </row>
    <row r="751">
      <c r="A751" s="165" t="inlineStr">
        <is>
          <t>invoiceManagement.title</t>
        </is>
      </c>
      <c r="B751" t="inlineStr">
        <is>
          <t>គ្រប់គ្រងការចេញបុងបញ្ញើ</t>
        </is>
      </c>
      <c r="C751" s="165" t="inlineStr">
        <is>
          <t>Invoice Issurance Management</t>
        </is>
      </c>
      <c r="D751" s="157" t="inlineStr">
        <is>
          <t>--</t>
        </is>
      </c>
      <c r="E751" t="inlineStr">
        <is>
          <t>គ្រប់គ្រងការចេញបុងបញ្ញើ</t>
        </is>
      </c>
    </row>
    <row r="752">
      <c r="A752" s="165" t="inlineStr">
        <is>
          <t>invoiceManagement.updateListTime</t>
        </is>
      </c>
      <c r="B752" t="inlineStr">
        <is>
          <t>អាប់ដេតបញ្ជីពេលចុងក្រោយនៅម៉ោង {{time}}</t>
        </is>
      </c>
      <c r="C752" s="165" t="inlineStr">
        <is>
          <t>Last updated at {{time}}</t>
        </is>
      </c>
      <c r="D752" s="157" t="inlineStr">
        <is>
          <t>--</t>
        </is>
      </c>
      <c r="E752" t="inlineStr">
        <is>
          <t>អាប់ដេតបញ្ជីពេលចុងក្រោយនៅម៉ោង {{time}}</t>
        </is>
      </c>
    </row>
    <row r="753">
      <c r="A753" s="165" t="inlineStr">
        <is>
          <t>invoiceManagement.record</t>
        </is>
      </c>
      <c r="B753" t="inlineStr">
        <is>
          <t>សរុបបុងបញ្ញើ</t>
        </is>
      </c>
      <c r="C753" s="165" t="inlineStr">
        <is>
          <t>Total Invoices</t>
        </is>
      </c>
      <c r="D753" s="157" t="inlineStr">
        <is>
          <t>--</t>
        </is>
      </c>
      <c r="E753" t="inlineStr">
        <is>
          <t>សរុបបុងបញ្ញើ</t>
        </is>
      </c>
    </row>
    <row r="754">
      <c r="A754" s="165" t="n"/>
      <c r="B754" t="inlineStr"/>
      <c r="C754" s="165" t="n"/>
      <c r="D754" s="165" t="n"/>
      <c r="E754" t="inlineStr"/>
    </row>
    <row r="755">
      <c r="B755" t="inlineStr"/>
      <c r="D755" s="165" t="n"/>
      <c r="E755" t="inlineStr"/>
    </row>
    <row r="756">
      <c r="B756" t="inlineStr"/>
      <c r="D756" s="165" t="n"/>
      <c r="E756" t="inlineStr"/>
    </row>
    <row r="757">
      <c r="B757" t="inlineStr"/>
      <c r="D757" s="165" t="n"/>
      <c r="E757" t="inlineStr"/>
    </row>
    <row r="758">
      <c r="B758" t="inlineStr"/>
      <c r="D758" s="165" t="n"/>
      <c r="E758" t="inlineStr"/>
    </row>
    <row r="759">
      <c r="B759" t="inlineStr"/>
      <c r="D759" s="165" t="n"/>
      <c r="E759" t="inlineStr"/>
    </row>
    <row r="760">
      <c r="B760" t="inlineStr"/>
      <c r="D760" s="165" t="n"/>
      <c r="E760" t="inlineStr"/>
    </row>
    <row r="761">
      <c r="B761" t="inlineStr"/>
      <c r="D761" s="165" t="n"/>
      <c r="E761" t="inlineStr"/>
    </row>
    <row r="762">
      <c r="B762" t="inlineStr"/>
      <c r="D762" s="165" t="n"/>
      <c r="E762" t="inlineStr"/>
    </row>
    <row r="763">
      <c r="B763" t="inlineStr"/>
      <c r="D763" s="165" t="n"/>
      <c r="E763" t="inlineStr"/>
    </row>
    <row r="764">
      <c r="B764" t="inlineStr"/>
      <c r="D764" s="165" t="n"/>
      <c r="E764" t="inlineStr"/>
    </row>
    <row r="765">
      <c r="B765" t="inlineStr"/>
      <c r="D765" s="165" t="n"/>
      <c r="E765" t="inlineStr"/>
    </row>
    <row r="766">
      <c r="B766" t="inlineStr"/>
      <c r="D766" s="165" t="n"/>
      <c r="E766" t="inlineStr"/>
    </row>
    <row r="767">
      <c r="B767" t="inlineStr"/>
      <c r="D767" s="165" t="n"/>
      <c r="E767" t="inlineStr"/>
    </row>
    <row r="768">
      <c r="B768" t="inlineStr"/>
      <c r="D768" s="165" t="n"/>
      <c r="E768" t="inlineStr"/>
    </row>
    <row r="769">
      <c r="B769" t="inlineStr"/>
      <c r="D769" s="165" t="n"/>
      <c r="E769" t="inlineStr"/>
    </row>
    <row r="770">
      <c r="B770" t="inlineStr"/>
      <c r="D770" s="165" t="n"/>
      <c r="E770" t="inlineStr"/>
    </row>
    <row r="771">
      <c r="B771" t="inlineStr"/>
      <c r="D771" s="165" t="n"/>
      <c r="E771" t="inlineStr"/>
    </row>
    <row r="772">
      <c r="B772" t="inlineStr"/>
      <c r="D772" s="165" t="n"/>
      <c r="E772" t="inlineStr"/>
    </row>
    <row r="773">
      <c r="B773" t="inlineStr"/>
      <c r="D773" s="165" t="n"/>
      <c r="E773" t="inlineStr"/>
    </row>
    <row r="774">
      <c r="B774" t="inlineStr"/>
      <c r="D774" s="165" t="n"/>
      <c r="E774" t="inlineStr"/>
    </row>
    <row r="775">
      <c r="B775" t="inlineStr"/>
      <c r="D775" s="165" t="n"/>
      <c r="E775" t="inlineStr"/>
    </row>
    <row r="776">
      <c r="B776" t="inlineStr"/>
      <c r="D776" s="165" t="n"/>
      <c r="E776" t="inlineStr"/>
    </row>
    <row r="777">
      <c r="B777" t="inlineStr"/>
      <c r="D777" s="165" t="n"/>
      <c r="E777" t="inlineStr"/>
    </row>
    <row r="778">
      <c r="B778" t="inlineStr"/>
      <c r="D778" s="165" t="n"/>
      <c r="E778" t="inlineStr"/>
    </row>
    <row r="779">
      <c r="B779" t="inlineStr"/>
      <c r="D779" s="165" t="n"/>
      <c r="E779" t="inlineStr"/>
    </row>
    <row r="780">
      <c r="B780" t="inlineStr"/>
      <c r="D780" s="165" t="n"/>
      <c r="E780" t="inlineStr"/>
    </row>
    <row r="781">
      <c r="B781" t="inlineStr"/>
      <c r="D781" s="165" t="n"/>
      <c r="E781" t="inlineStr"/>
    </row>
    <row r="782">
      <c r="B782" t="inlineStr"/>
      <c r="D782" s="165" t="n"/>
      <c r="E782" t="inlineStr"/>
    </row>
    <row r="783">
      <c r="B783" t="inlineStr"/>
      <c r="D783" s="165" t="n"/>
      <c r="E783" t="inlineStr"/>
    </row>
    <row r="784">
      <c r="B784" t="inlineStr"/>
      <c r="D784" s="165" t="n"/>
      <c r="E784" t="inlineStr"/>
    </row>
    <row r="785">
      <c r="B785" t="inlineStr"/>
      <c r="D785" s="165" t="n"/>
      <c r="E785" t="inlineStr"/>
    </row>
    <row r="786">
      <c r="B786" t="inlineStr"/>
      <c r="D786" s="165" t="n"/>
      <c r="E786" t="inlineStr"/>
    </row>
    <row r="787">
      <c r="B787" t="inlineStr"/>
      <c r="D787" s="165" t="n"/>
      <c r="E787" t="inlineStr"/>
    </row>
    <row r="788">
      <c r="B788" t="inlineStr"/>
      <c r="D788" s="165" t="n"/>
      <c r="E788" t="inlineStr"/>
    </row>
    <row r="789">
      <c r="B789" t="inlineStr"/>
      <c r="D789" s="165" t="n"/>
      <c r="E789" t="inlineStr"/>
    </row>
    <row r="790">
      <c r="B790" t="inlineStr"/>
      <c r="D790" s="165" t="n"/>
      <c r="E790" t="inlineStr"/>
    </row>
    <row r="791">
      <c r="B791" t="inlineStr"/>
      <c r="D791" s="165" t="n"/>
      <c r="E791" t="inlineStr"/>
    </row>
    <row r="792">
      <c r="B792" t="inlineStr"/>
      <c r="D792" s="165" t="n"/>
      <c r="E792" t="inlineStr"/>
    </row>
    <row r="793">
      <c r="B793" t="inlineStr"/>
      <c r="D793" s="165" t="n"/>
      <c r="E793" t="inlineStr"/>
    </row>
    <row r="794">
      <c r="B794" t="inlineStr"/>
      <c r="D794" s="165" t="n"/>
      <c r="E794" t="inlineStr"/>
    </row>
    <row r="795">
      <c r="B795" t="inlineStr"/>
      <c r="D795" s="165" t="n"/>
      <c r="E795" t="inlineStr"/>
    </row>
    <row r="796">
      <c r="B796" t="inlineStr"/>
      <c r="D796" s="165" t="n"/>
      <c r="E796" t="inlineStr"/>
    </row>
    <row r="797">
      <c r="B797" t="inlineStr"/>
      <c r="D797" s="165" t="n"/>
      <c r="E797" t="inlineStr"/>
    </row>
    <row r="798">
      <c r="B798" t="inlineStr"/>
      <c r="D798" s="165" t="n"/>
      <c r="E798" t="inlineStr"/>
    </row>
    <row r="799">
      <c r="B799" t="inlineStr"/>
      <c r="D799" s="165" t="n"/>
      <c r="E799" t="inlineStr"/>
    </row>
    <row r="800">
      <c r="B800" t="inlineStr"/>
      <c r="D800" s="165" t="n"/>
      <c r="E800" t="inlineStr"/>
    </row>
    <row r="801">
      <c r="B801" t="inlineStr"/>
      <c r="D801" s="165" t="n"/>
      <c r="E801" t="inlineStr"/>
    </row>
    <row r="802">
      <c r="B802" t="inlineStr"/>
      <c r="D802" s="165" t="n"/>
      <c r="E802" t="inlineStr"/>
    </row>
    <row r="803">
      <c r="B803" t="inlineStr"/>
      <c r="D803" s="165" t="n"/>
      <c r="E803" t="inlineStr"/>
    </row>
    <row r="804">
      <c r="B804" t="inlineStr"/>
      <c r="D804" s="165" t="n"/>
      <c r="E804" t="inlineStr"/>
    </row>
    <row r="805">
      <c r="B805" t="inlineStr"/>
      <c r="D805" s="165" t="n"/>
      <c r="E805" t="inlineStr"/>
    </row>
    <row r="806">
      <c r="B806" t="inlineStr"/>
      <c r="D806" s="165" t="n"/>
      <c r="E806" t="inlineStr"/>
    </row>
    <row r="807">
      <c r="B807" t="inlineStr"/>
      <c r="D807" s="165" t="n"/>
      <c r="E807" t="inlineStr"/>
    </row>
    <row r="808">
      <c r="B808" t="inlineStr"/>
      <c r="D808" s="165" t="n"/>
      <c r="E808" t="inlineStr"/>
    </row>
    <row r="809">
      <c r="B809" t="inlineStr"/>
      <c r="D809" s="165" t="n"/>
      <c r="E809" t="inlineStr"/>
    </row>
    <row r="810">
      <c r="B810" t="inlineStr"/>
      <c r="D810" s="165" t="n"/>
      <c r="E810" t="inlineStr"/>
    </row>
    <row r="811">
      <c r="B811" t="inlineStr"/>
      <c r="D811" s="165" t="n"/>
      <c r="E811" t="inlineStr"/>
    </row>
    <row r="812">
      <c r="B812" t="inlineStr"/>
      <c r="D812" s="165" t="n"/>
      <c r="E812" t="inlineStr"/>
    </row>
    <row r="813">
      <c r="B813" t="inlineStr"/>
      <c r="D813" s="165" t="n"/>
      <c r="E813" t="inlineStr"/>
    </row>
    <row r="814">
      <c r="B814" t="inlineStr"/>
      <c r="D814" s="165" t="n"/>
      <c r="E814" t="inlineStr"/>
    </row>
    <row r="815">
      <c r="B815" t="inlineStr"/>
      <c r="D815" s="165" t="n"/>
      <c r="E815" t="inlineStr"/>
    </row>
    <row r="816">
      <c r="B816" t="inlineStr"/>
      <c r="D816" s="165" t="n"/>
      <c r="E816" t="inlineStr"/>
    </row>
    <row r="817">
      <c r="B817" t="inlineStr"/>
      <c r="D817" s="165" t="n"/>
      <c r="E817" t="inlineStr"/>
    </row>
    <row r="818">
      <c r="B818" t="inlineStr"/>
      <c r="D818" s="165" t="n"/>
      <c r="E818" t="inlineStr"/>
    </row>
    <row r="819">
      <c r="B819" t="inlineStr"/>
      <c r="D819" s="165" t="n"/>
      <c r="E819" t="inlineStr"/>
    </row>
    <row r="820">
      <c r="B820" t="inlineStr"/>
      <c r="D820" s="165" t="n"/>
      <c r="E820" t="inlineStr"/>
    </row>
    <row r="821">
      <c r="B821" t="inlineStr"/>
      <c r="D821" s="165" t="n"/>
      <c r="E821" t="inlineStr"/>
    </row>
    <row r="822">
      <c r="B822" t="inlineStr"/>
      <c r="D822" s="165" t="n"/>
      <c r="E822" t="inlineStr"/>
    </row>
    <row r="823">
      <c r="B823" t="inlineStr"/>
      <c r="D823" s="165" t="n"/>
      <c r="E823" t="inlineStr"/>
    </row>
    <row r="824">
      <c r="B824" t="inlineStr"/>
      <c r="D824" s="165" t="n"/>
      <c r="E824" t="inlineStr"/>
    </row>
    <row r="825">
      <c r="B825" t="inlineStr"/>
      <c r="D825" s="165" t="n"/>
      <c r="E825" t="inlineStr"/>
    </row>
    <row r="826">
      <c r="B826" t="inlineStr"/>
      <c r="D826" s="165" t="n"/>
      <c r="E826" t="inlineStr"/>
    </row>
    <row r="827">
      <c r="B827" t="inlineStr"/>
      <c r="D827" s="165" t="n"/>
      <c r="E827" t="inlineStr"/>
    </row>
    <row r="828">
      <c r="B828" t="inlineStr"/>
      <c r="D828" s="165" t="n"/>
      <c r="E828" t="inlineStr"/>
    </row>
    <row r="829">
      <c r="B829" t="inlineStr"/>
      <c r="D829" s="165" t="n"/>
      <c r="E829" t="inlineStr"/>
    </row>
    <row r="830">
      <c r="B830" t="inlineStr"/>
      <c r="D830" s="165" t="n"/>
      <c r="E830" t="inlineStr"/>
    </row>
    <row r="831">
      <c r="B831" t="inlineStr"/>
      <c r="D831" s="165" t="n"/>
      <c r="E831" t="inlineStr"/>
    </row>
    <row r="832">
      <c r="B832" t="inlineStr"/>
      <c r="D832" s="165" t="n"/>
      <c r="E832" t="inlineStr"/>
    </row>
    <row r="833">
      <c r="B833" t="inlineStr"/>
      <c r="D833" s="165" t="n"/>
      <c r="E833" t="inlineStr"/>
    </row>
    <row r="834">
      <c r="B834" t="inlineStr"/>
      <c r="D834" s="165" t="n"/>
      <c r="E834" t="inlineStr"/>
    </row>
    <row r="835">
      <c r="B835" t="inlineStr"/>
      <c r="D835" s="165" t="n"/>
      <c r="E835" t="inlineStr"/>
    </row>
    <row r="836">
      <c r="B836" t="inlineStr"/>
      <c r="D836" s="165" t="n"/>
      <c r="E836" t="inlineStr"/>
    </row>
    <row r="837">
      <c r="B837" t="inlineStr"/>
      <c r="D837" s="165" t="n"/>
      <c r="E837" t="inlineStr"/>
    </row>
    <row r="838">
      <c r="B838" t="inlineStr"/>
      <c r="D838" s="165" t="n"/>
      <c r="E838" t="inlineStr"/>
    </row>
    <row r="839">
      <c r="B839" t="inlineStr"/>
      <c r="D839" s="165" t="n"/>
      <c r="E839" t="inlineStr"/>
    </row>
    <row r="840">
      <c r="B840" t="inlineStr"/>
      <c r="D840" s="165" t="n"/>
      <c r="E840" t="inlineStr"/>
    </row>
    <row r="841">
      <c r="B841" t="inlineStr"/>
      <c r="D841" s="165" t="n"/>
      <c r="E841" t="inlineStr"/>
    </row>
    <row r="842">
      <c r="B842" t="inlineStr"/>
      <c r="D842" s="165" t="n"/>
      <c r="E842" t="inlineStr"/>
    </row>
    <row r="843">
      <c r="B843" t="inlineStr"/>
      <c r="D843" s="165" t="n"/>
      <c r="E843" t="inlineStr"/>
    </row>
    <row r="844">
      <c r="B844" t="inlineStr"/>
      <c r="D844" s="165" t="n"/>
      <c r="E844" t="inlineStr"/>
    </row>
    <row r="845">
      <c r="B845" t="inlineStr"/>
      <c r="D845" s="165" t="n"/>
      <c r="E845" t="inlineStr"/>
    </row>
    <row r="846">
      <c r="B846" t="inlineStr"/>
      <c r="D846" s="165" t="n"/>
      <c r="E846" t="inlineStr"/>
    </row>
    <row r="847">
      <c r="B847" t="inlineStr"/>
      <c r="D847" s="165" t="n"/>
      <c r="E847" t="inlineStr"/>
    </row>
    <row r="848">
      <c r="B848" t="inlineStr"/>
      <c r="D848" s="165" t="n"/>
      <c r="E848" t="inlineStr"/>
    </row>
    <row r="849">
      <c r="B849" t="inlineStr"/>
      <c r="D849" s="165" t="n"/>
      <c r="E849" t="inlineStr"/>
    </row>
    <row r="850">
      <c r="B850" t="inlineStr"/>
      <c r="D850" s="165" t="n"/>
      <c r="E850" t="inlineStr"/>
    </row>
    <row r="851">
      <c r="B851" t="inlineStr"/>
      <c r="D851" s="165" t="n"/>
      <c r="E851" t="inlineStr"/>
    </row>
    <row r="852">
      <c r="B852" t="inlineStr"/>
      <c r="D852" s="165" t="n"/>
      <c r="E852" t="inlineStr"/>
    </row>
    <row r="853">
      <c r="B853" t="inlineStr"/>
      <c r="D853" s="165" t="n"/>
      <c r="E853" t="inlineStr"/>
    </row>
    <row r="854">
      <c r="B854" t="inlineStr"/>
      <c r="D854" s="165" t="n"/>
      <c r="E854" t="inlineStr"/>
    </row>
    <row r="855">
      <c r="B855" t="inlineStr"/>
      <c r="D855" s="165" t="n"/>
      <c r="E855" t="inlineStr"/>
    </row>
    <row r="856">
      <c r="B856" t="inlineStr"/>
      <c r="D856" s="165" t="n"/>
      <c r="E856" t="inlineStr"/>
    </row>
    <row r="857">
      <c r="B857" t="inlineStr"/>
      <c r="D857" s="165" t="n"/>
      <c r="E857" t="inlineStr"/>
    </row>
    <row r="858">
      <c r="B858" t="inlineStr"/>
      <c r="D858" s="165" t="n"/>
      <c r="E858" t="inlineStr"/>
    </row>
    <row r="859">
      <c r="B859" t="inlineStr"/>
      <c r="D859" s="165" t="n"/>
      <c r="E859" t="inlineStr"/>
    </row>
    <row r="860">
      <c r="B860" t="inlineStr"/>
      <c r="D860" s="165" t="n"/>
      <c r="E860" t="inlineStr"/>
    </row>
    <row r="861">
      <c r="B861" t="inlineStr"/>
      <c r="D861" s="165" t="n"/>
      <c r="E861" t="inlineStr"/>
    </row>
    <row r="862">
      <c r="B862" t="inlineStr"/>
      <c r="D862" s="165" t="n"/>
      <c r="E862" t="inlineStr"/>
    </row>
    <row r="863">
      <c r="B863" t="inlineStr"/>
      <c r="D863" s="165" t="n"/>
      <c r="E863" t="inlineStr"/>
    </row>
    <row r="864">
      <c r="B864" t="inlineStr"/>
      <c r="D864" s="165" t="n"/>
      <c r="E864" t="inlineStr"/>
    </row>
    <row r="865">
      <c r="B865" t="inlineStr"/>
      <c r="D865" s="165" t="n"/>
      <c r="E865" t="inlineStr"/>
    </row>
    <row r="866">
      <c r="B866" t="inlineStr"/>
      <c r="D866" s="165" t="n"/>
      <c r="E866" t="inlineStr"/>
    </row>
    <row r="867">
      <c r="B867" t="inlineStr"/>
      <c r="D867" s="165" t="n"/>
      <c r="E867" t="inlineStr"/>
    </row>
    <row r="868">
      <c r="B868" t="inlineStr"/>
      <c r="D868" s="165" t="n"/>
      <c r="E868" t="inlineStr"/>
    </row>
    <row r="869">
      <c r="B869" t="inlineStr"/>
      <c r="D869" s="165" t="n"/>
      <c r="E869" t="inlineStr"/>
    </row>
    <row r="870">
      <c r="B870" t="inlineStr"/>
      <c r="D870" s="165" t="n"/>
      <c r="E870" t="inlineStr"/>
    </row>
    <row r="871">
      <c r="B871" t="inlineStr"/>
      <c r="D871" s="165" t="n"/>
      <c r="E871" t="inlineStr"/>
    </row>
    <row r="872">
      <c r="B872" t="inlineStr"/>
      <c r="D872" s="165" t="n"/>
      <c r="E872" t="inlineStr"/>
    </row>
    <row r="873">
      <c r="B873" t="inlineStr"/>
      <c r="D873" s="165" t="n"/>
      <c r="E873" t="inlineStr"/>
    </row>
    <row r="874">
      <c r="B874" t="inlineStr"/>
      <c r="D874" s="165" t="n"/>
      <c r="E874" t="inlineStr"/>
    </row>
    <row r="875">
      <c r="B875" t="inlineStr"/>
      <c r="D875" s="165" t="n"/>
      <c r="E875" t="inlineStr"/>
    </row>
    <row r="876">
      <c r="B876" t="inlineStr"/>
      <c r="D876" s="165" t="n"/>
      <c r="E876" t="inlineStr"/>
    </row>
    <row r="877">
      <c r="B877" t="inlineStr"/>
      <c r="D877" s="165" t="n"/>
      <c r="E877" t="inlineStr"/>
    </row>
    <row r="878">
      <c r="B878" t="inlineStr"/>
      <c r="D878" s="165" t="n"/>
      <c r="E878" t="inlineStr"/>
    </row>
    <row r="879">
      <c r="B879" t="inlineStr"/>
      <c r="D879" s="165" t="n"/>
      <c r="E879" t="inlineStr"/>
    </row>
    <row r="880">
      <c r="B880" t="inlineStr"/>
      <c r="D880" s="165" t="n"/>
      <c r="E880" t="inlineStr"/>
    </row>
    <row r="881">
      <c r="B881" t="inlineStr"/>
      <c r="D881" s="165" t="n"/>
      <c r="E881" t="inlineStr"/>
    </row>
    <row r="882">
      <c r="B882" t="inlineStr"/>
      <c r="D882" s="165" t="n"/>
      <c r="E882" t="inlineStr"/>
    </row>
    <row r="883">
      <c r="B883" t="inlineStr"/>
      <c r="D883" s="165" t="n"/>
      <c r="E883" t="inlineStr"/>
    </row>
    <row r="884">
      <c r="B884" t="inlineStr"/>
      <c r="D884" s="165" t="n"/>
      <c r="E884" t="inlineStr"/>
    </row>
    <row r="885">
      <c r="B885" t="inlineStr"/>
      <c r="D885" s="165" t="n"/>
      <c r="E885" t="inlineStr"/>
    </row>
    <row r="886">
      <c r="B886" t="inlineStr"/>
      <c r="D886" s="165" t="n"/>
      <c r="E886" t="inlineStr"/>
    </row>
    <row r="887">
      <c r="B887" t="inlineStr"/>
      <c r="D887" s="165" t="n"/>
      <c r="E887" t="inlineStr"/>
    </row>
    <row r="888">
      <c r="B888" t="inlineStr"/>
      <c r="D888" s="165" t="n"/>
      <c r="E888" t="inlineStr"/>
    </row>
    <row r="889">
      <c r="B889" t="inlineStr"/>
      <c r="D889" s="165" t="n"/>
      <c r="E889" t="inlineStr"/>
    </row>
    <row r="890">
      <c r="B890" t="inlineStr"/>
      <c r="D890" s="165" t="n"/>
      <c r="E890" t="inlineStr"/>
    </row>
    <row r="891">
      <c r="B891" t="inlineStr"/>
      <c r="D891" s="165" t="n"/>
      <c r="E891" t="inlineStr"/>
    </row>
    <row r="892">
      <c r="B892" t="inlineStr"/>
      <c r="D892" s="165" t="n"/>
      <c r="E892" t="inlineStr"/>
    </row>
    <row r="893">
      <c r="B893" t="inlineStr"/>
      <c r="D893" s="165" t="n"/>
      <c r="E893" t="inlineStr"/>
    </row>
    <row r="894">
      <c r="B894" t="inlineStr"/>
      <c r="D894" s="165" t="n"/>
      <c r="E894" t="inlineStr"/>
    </row>
    <row r="895">
      <c r="B895" t="inlineStr"/>
      <c r="D895" s="165" t="n"/>
      <c r="E895" t="inlineStr"/>
    </row>
    <row r="896">
      <c r="B896" t="inlineStr"/>
      <c r="D896" s="165" t="n"/>
      <c r="E896" t="inlineStr"/>
    </row>
    <row r="897">
      <c r="B897" t="inlineStr"/>
      <c r="D897" s="165" t="n"/>
      <c r="E897" t="inlineStr"/>
    </row>
    <row r="898">
      <c r="B898" t="inlineStr"/>
      <c r="D898" s="165" t="n"/>
      <c r="E898" t="inlineStr"/>
    </row>
    <row r="899">
      <c r="B899" t="inlineStr"/>
      <c r="D899" s="165" t="n"/>
      <c r="E899" t="inlineStr"/>
    </row>
    <row r="900">
      <c r="B900" t="inlineStr"/>
      <c r="D900" s="165" t="n"/>
      <c r="E900" t="inlineStr"/>
    </row>
    <row r="901">
      <c r="B901" t="inlineStr"/>
      <c r="D901" s="165" t="n"/>
      <c r="E901" t="inlineStr"/>
    </row>
    <row r="902">
      <c r="B902" t="inlineStr"/>
      <c r="D902" s="165" t="n"/>
      <c r="E902" t="inlineStr"/>
    </row>
    <row r="903">
      <c r="B903" t="inlineStr"/>
      <c r="D903" s="165" t="n"/>
      <c r="E903" t="inlineStr"/>
    </row>
    <row r="904">
      <c r="B904" t="inlineStr"/>
      <c r="D904" s="165" t="n"/>
      <c r="E904" t="inlineStr"/>
    </row>
    <row r="905">
      <c r="B905" t="inlineStr"/>
      <c r="D905" s="165" t="n"/>
      <c r="E905" t="inlineStr"/>
    </row>
    <row r="906">
      <c r="B906" t="inlineStr"/>
      <c r="D906" s="165" t="n"/>
      <c r="E906" t="inlineStr"/>
    </row>
    <row r="907">
      <c r="B907" t="inlineStr"/>
      <c r="D907" s="165" t="n"/>
      <c r="E907" t="inlineStr"/>
    </row>
    <row r="908">
      <c r="B908" t="inlineStr"/>
      <c r="D908" s="165" t="n"/>
      <c r="E908" t="inlineStr"/>
    </row>
    <row r="909">
      <c r="B909" t="inlineStr"/>
      <c r="D909" s="165" t="n"/>
      <c r="E909" t="inlineStr"/>
    </row>
    <row r="910">
      <c r="B910" t="inlineStr"/>
      <c r="D910" s="165" t="n"/>
      <c r="E910" t="inlineStr"/>
    </row>
    <row r="911">
      <c r="B911" t="inlineStr"/>
      <c r="D911" s="165" t="n"/>
      <c r="E911" t="inlineStr"/>
    </row>
    <row r="912">
      <c r="B912" t="inlineStr"/>
      <c r="D912" s="165" t="n"/>
      <c r="E912" t="inlineStr"/>
    </row>
    <row r="913">
      <c r="B913" t="inlineStr"/>
      <c r="D913" s="165" t="n"/>
      <c r="E913" t="inlineStr"/>
    </row>
    <row r="914">
      <c r="B914" t="inlineStr"/>
      <c r="D914" s="165" t="n"/>
      <c r="E914" t="inlineStr"/>
    </row>
    <row r="915">
      <c r="B915" t="inlineStr"/>
      <c r="D915" s="165" t="n"/>
      <c r="E915" t="inlineStr"/>
    </row>
    <row r="916">
      <c r="B916" t="inlineStr"/>
      <c r="D916" s="165" t="n"/>
      <c r="E916" t="inlineStr"/>
    </row>
    <row r="917">
      <c r="B917" t="inlineStr"/>
      <c r="D917" s="165" t="n"/>
      <c r="E917" t="inlineStr"/>
    </row>
    <row r="918">
      <c r="B918" t="inlineStr"/>
      <c r="D918" s="165" t="n"/>
      <c r="E918" t="inlineStr"/>
    </row>
    <row r="919">
      <c r="B919" t="inlineStr"/>
      <c r="D919" s="165" t="n"/>
      <c r="E919" t="inlineStr"/>
    </row>
    <row r="920">
      <c r="B920" t="inlineStr"/>
      <c r="D920" s="165" t="n"/>
      <c r="E920" t="inlineStr"/>
    </row>
    <row r="921">
      <c r="B921" t="inlineStr"/>
      <c r="D921" s="165" t="n"/>
      <c r="E921" t="inlineStr"/>
    </row>
    <row r="922">
      <c r="B922" t="inlineStr"/>
      <c r="D922" s="165" t="n"/>
      <c r="E922" t="inlineStr"/>
    </row>
    <row r="923">
      <c r="B923" t="inlineStr"/>
      <c r="D923" s="165" t="n"/>
      <c r="E923" t="inlineStr"/>
    </row>
    <row r="924">
      <c r="B924" t="inlineStr"/>
      <c r="D924" s="165" t="n"/>
      <c r="E924" t="inlineStr"/>
    </row>
    <row r="925">
      <c r="B925" t="inlineStr"/>
      <c r="D925" s="165" t="n"/>
      <c r="E925" t="inlineStr"/>
    </row>
    <row r="926">
      <c r="B926" t="inlineStr"/>
      <c r="D926" s="165" t="n"/>
      <c r="E926" t="inlineStr"/>
    </row>
    <row r="927">
      <c r="B927" t="inlineStr"/>
      <c r="D927" s="165" t="n"/>
      <c r="E927" t="inlineStr"/>
    </row>
    <row r="928">
      <c r="B928" t="inlineStr"/>
      <c r="D928" s="165" t="n"/>
      <c r="E928" t="inlineStr"/>
    </row>
    <row r="929">
      <c r="B929" t="inlineStr"/>
      <c r="D929" s="165" t="n"/>
      <c r="E929" t="inlineStr"/>
    </row>
    <row r="930">
      <c r="B930" t="inlineStr"/>
      <c r="D930" s="165" t="n"/>
      <c r="E930" t="inlineStr"/>
    </row>
    <row r="931">
      <c r="B931" t="inlineStr"/>
      <c r="D931" s="165" t="n"/>
      <c r="E931" t="inlineStr"/>
    </row>
    <row r="932">
      <c r="B932" t="inlineStr"/>
      <c r="D932" s="165" t="n"/>
      <c r="E932" t="inlineStr"/>
    </row>
    <row r="933">
      <c r="B933" t="inlineStr"/>
      <c r="D933" s="165" t="n"/>
      <c r="E933" t="inlineStr"/>
    </row>
    <row r="934">
      <c r="B934" t="inlineStr"/>
      <c r="D934" s="165" t="n"/>
      <c r="E934" t="inlineStr"/>
    </row>
    <row r="935">
      <c r="B935" t="inlineStr"/>
      <c r="D935" s="165" t="n"/>
      <c r="E935" t="inlineStr"/>
    </row>
    <row r="936">
      <c r="B936" t="inlineStr"/>
      <c r="D936" s="165" t="n"/>
      <c r="E936" t="inlineStr"/>
    </row>
    <row r="937">
      <c r="B937" t="inlineStr"/>
      <c r="D937" s="165" t="n"/>
      <c r="E937" t="inlineStr"/>
    </row>
    <row r="938">
      <c r="B938" t="inlineStr"/>
      <c r="D938" s="165" t="n"/>
      <c r="E938" t="inlineStr"/>
    </row>
    <row r="939">
      <c r="B939" t="inlineStr"/>
      <c r="D939" s="165" t="n"/>
      <c r="E939" t="inlineStr"/>
    </row>
    <row r="940">
      <c r="B940" t="inlineStr"/>
      <c r="D940" s="165" t="n"/>
      <c r="E940" t="inlineStr"/>
    </row>
    <row r="941">
      <c r="B941" t="inlineStr"/>
      <c r="D941" s="165" t="n"/>
      <c r="E941" t="inlineStr"/>
    </row>
    <row r="942">
      <c r="B942" t="inlineStr"/>
      <c r="D942" s="165" t="n"/>
      <c r="E942" t="inlineStr"/>
    </row>
    <row r="943">
      <c r="B943" t="inlineStr"/>
      <c r="D943" s="165" t="n"/>
      <c r="E943" t="inlineStr"/>
    </row>
    <row r="944">
      <c r="B944" t="inlineStr"/>
      <c r="D944" s="165" t="n"/>
      <c r="E944" t="inlineStr"/>
    </row>
    <row r="945">
      <c r="B945" t="inlineStr"/>
      <c r="D945" s="165" t="n"/>
      <c r="E945" t="inlineStr"/>
    </row>
    <row r="946">
      <c r="B946" t="inlineStr"/>
      <c r="D946" s="165" t="n"/>
      <c r="E946" t="inlineStr"/>
    </row>
    <row r="947">
      <c r="B947" t="inlineStr"/>
      <c r="D947" s="165" t="n"/>
      <c r="E947" t="inlineStr"/>
    </row>
    <row r="948">
      <c r="B948" t="inlineStr"/>
      <c r="D948" s="165" t="n"/>
      <c r="E948" t="inlineStr"/>
    </row>
    <row r="949">
      <c r="B949" t="inlineStr"/>
      <c r="D949" s="165" t="n"/>
      <c r="E949" t="inlineStr"/>
    </row>
    <row r="950">
      <c r="B950" t="inlineStr"/>
      <c r="D950" s="165" t="n"/>
      <c r="E950" t="inlineStr"/>
    </row>
    <row r="951">
      <c r="B951" t="inlineStr"/>
      <c r="D951" s="165" t="n"/>
      <c r="E951" t="inlineStr"/>
    </row>
    <row r="952">
      <c r="B952" t="inlineStr"/>
      <c r="D952" s="165" t="n"/>
      <c r="E952" t="inlineStr"/>
    </row>
    <row r="953">
      <c r="B953" t="inlineStr"/>
      <c r="D953" s="165" t="n"/>
      <c r="E953" t="inlineStr"/>
    </row>
    <row r="954">
      <c r="B954" t="inlineStr"/>
      <c r="D954" s="165" t="n"/>
      <c r="E954" t="inlineStr"/>
    </row>
    <row r="955">
      <c r="B955" t="inlineStr"/>
      <c r="D955" s="165" t="n"/>
      <c r="E955" t="inlineStr"/>
    </row>
    <row r="956">
      <c r="B956" t="inlineStr"/>
      <c r="D956" s="165" t="n"/>
      <c r="E956" t="inlineStr"/>
    </row>
    <row r="957">
      <c r="B957" t="inlineStr"/>
      <c r="D957" s="165" t="n"/>
      <c r="E957" t="inlineStr"/>
    </row>
    <row r="958">
      <c r="B958" t="inlineStr"/>
      <c r="D958" s="165" t="n"/>
      <c r="E958" t="inlineStr"/>
    </row>
    <row r="959">
      <c r="B959" t="inlineStr"/>
      <c r="D959" s="165" t="n"/>
      <c r="E959" t="inlineStr"/>
    </row>
    <row r="960">
      <c r="B960" t="inlineStr"/>
      <c r="D960" s="165" t="n"/>
      <c r="E960" t="inlineStr"/>
    </row>
    <row r="961">
      <c r="B961" t="inlineStr"/>
      <c r="D961" s="165" t="n"/>
      <c r="E961" t="inlineStr"/>
    </row>
    <row r="962">
      <c r="B962" t="inlineStr"/>
      <c r="D962" s="165" t="n"/>
      <c r="E962" t="inlineStr"/>
    </row>
    <row r="963">
      <c r="B963" t="inlineStr"/>
      <c r="D963" s="165" t="n"/>
      <c r="E963" t="inlineStr"/>
    </row>
    <row r="964">
      <c r="B964" t="inlineStr"/>
      <c r="D964" s="165" t="n"/>
      <c r="E964" t="inlineStr"/>
    </row>
    <row r="965">
      <c r="B965" t="inlineStr"/>
      <c r="D965" s="165" t="n"/>
      <c r="E965" t="inlineStr"/>
    </row>
    <row r="966">
      <c r="B966" t="inlineStr"/>
      <c r="D966" s="165" t="n"/>
      <c r="E966" t="inlineStr"/>
    </row>
    <row r="967">
      <c r="B967" t="inlineStr"/>
      <c r="D967" s="165" t="n"/>
      <c r="E967" t="inlineStr"/>
    </row>
    <row r="968">
      <c r="B968" t="inlineStr"/>
      <c r="D968" s="165" t="n"/>
      <c r="E968" t="inlineStr"/>
    </row>
    <row r="969">
      <c r="B969" t="inlineStr"/>
      <c r="D969" s="165" t="n"/>
      <c r="E969" t="inlineStr"/>
    </row>
    <row r="970">
      <c r="B970" t="inlineStr"/>
      <c r="D970" s="165" t="n"/>
      <c r="E970" t="inlineStr"/>
    </row>
    <row r="971">
      <c r="B971" t="inlineStr"/>
      <c r="D971" s="165" t="n"/>
      <c r="E971" t="inlineStr"/>
    </row>
    <row r="972">
      <c r="B972" t="inlineStr"/>
      <c r="D972" s="165" t="n"/>
      <c r="E972" t="inlineStr"/>
    </row>
    <row r="973">
      <c r="B973" t="inlineStr"/>
      <c r="D973" s="165" t="n"/>
      <c r="E973" t="inlineStr"/>
    </row>
    <row r="974">
      <c r="B974" t="inlineStr"/>
      <c r="D974" s="165" t="n"/>
      <c r="E974" t="inlineStr"/>
    </row>
    <row r="975">
      <c r="B975" t="inlineStr"/>
      <c r="D975" s="165" t="n"/>
      <c r="E975" t="inlineStr"/>
    </row>
    <row r="976">
      <c r="B976" t="inlineStr"/>
      <c r="D976" s="165" t="n"/>
      <c r="E976" t="inlineStr"/>
    </row>
    <row r="977">
      <c r="B977" t="inlineStr"/>
      <c r="D977" s="165" t="n"/>
      <c r="E977" t="inlineStr"/>
    </row>
    <row r="978">
      <c r="B978" t="inlineStr"/>
      <c r="D978" s="165" t="n"/>
      <c r="E978" t="inlineStr"/>
    </row>
    <row r="979">
      <c r="B979" t="inlineStr"/>
      <c r="D979" s="165" t="n"/>
      <c r="E979" t="inlineStr"/>
    </row>
    <row r="980">
      <c r="B980" t="inlineStr"/>
      <c r="D980" s="165" t="n"/>
      <c r="E980" t="inlineStr"/>
    </row>
    <row r="981">
      <c r="B981" t="inlineStr"/>
      <c r="D981" s="165" t="n"/>
      <c r="E981" t="inlineStr"/>
    </row>
    <row r="982">
      <c r="B982" t="inlineStr"/>
      <c r="D982" s="165" t="n"/>
      <c r="E982" t="inlineStr"/>
    </row>
    <row r="983">
      <c r="B983" t="inlineStr"/>
      <c r="D983" s="165" t="n"/>
      <c r="E983" t="inlineStr"/>
    </row>
    <row r="984">
      <c r="B984" t="inlineStr"/>
      <c r="D984" s="165" t="n"/>
      <c r="E984" t="inlineStr"/>
    </row>
    <row r="985">
      <c r="B985" t="inlineStr"/>
      <c r="D985" s="165" t="n"/>
      <c r="E985" t="inlineStr"/>
    </row>
    <row r="986">
      <c r="B986" t="inlineStr"/>
      <c r="D986" s="165" t="n"/>
      <c r="E986" t="inlineStr"/>
    </row>
    <row r="987">
      <c r="B987" t="inlineStr"/>
      <c r="D987" s="165" t="n"/>
      <c r="E987" t="inlineStr"/>
    </row>
    <row r="988">
      <c r="B988" t="inlineStr"/>
      <c r="D988" s="165" t="n"/>
      <c r="E988" t="inlineStr"/>
    </row>
    <row r="989">
      <c r="B989" t="inlineStr"/>
      <c r="D989" s="165" t="n"/>
      <c r="E989" t="inlineStr"/>
    </row>
    <row r="990">
      <c r="B990" t="inlineStr"/>
      <c r="D990" s="165" t="n"/>
      <c r="E990" t="inlineStr"/>
    </row>
    <row r="991">
      <c r="B991" t="inlineStr"/>
      <c r="D991" s="165" t="n"/>
      <c r="E991" t="inlineStr"/>
    </row>
    <row r="992">
      <c r="B992" t="inlineStr"/>
      <c r="D992" s="165" t="n"/>
      <c r="E992" t="inlineStr"/>
    </row>
    <row r="993">
      <c r="B993" t="inlineStr"/>
      <c r="D993" s="165" t="n"/>
      <c r="E993" t="inlineStr"/>
    </row>
    <row r="994">
      <c r="B994" t="inlineStr"/>
      <c r="D994" s="165" t="n"/>
      <c r="E994" t="inlineStr"/>
    </row>
    <row r="995">
      <c r="B995" t="inlineStr"/>
      <c r="D995" s="165" t="n"/>
      <c r="E995" t="inlineStr"/>
    </row>
    <row r="996">
      <c r="B996" t="inlineStr"/>
      <c r="D996" s="165" t="n"/>
      <c r="E996" t="inlineStr"/>
    </row>
    <row r="997">
      <c r="B997" t="inlineStr"/>
      <c r="D997" s="165" t="n"/>
      <c r="E997" t="inlineStr"/>
    </row>
    <row r="998">
      <c r="B998" t="inlineStr"/>
      <c r="D998" s="165" t="n"/>
      <c r="E998" t="inlineStr"/>
    </row>
    <row r="999">
      <c r="B999" t="inlineStr"/>
      <c r="D999" s="165" t="n"/>
      <c r="E999" t="inlineStr"/>
    </row>
    <row r="1000">
      <c r="B1000" t="inlineStr"/>
      <c r="D1000" s="165" t="n"/>
      <c r="E1000" t="inlineStr"/>
    </row>
    <row r="1001">
      <c r="B1001" t="inlineStr"/>
      <c r="D1001" s="165" t="n"/>
      <c r="E1001" t="inlineStr"/>
    </row>
    <row r="1002">
      <c r="B1002" t="inlineStr"/>
      <c r="D1002" s="165" t="n"/>
      <c r="E1002" t="inlineStr"/>
    </row>
    <row r="1003">
      <c r="B1003" t="inlineStr"/>
      <c r="D1003" s="165" t="n"/>
      <c r="E1003" t="inlineStr"/>
    </row>
    <row r="1004">
      <c r="B1004" t="inlineStr"/>
      <c r="D1004" s="165" t="n"/>
      <c r="E1004" t="inlineStr"/>
    </row>
    <row r="1005">
      <c r="B1005" t="inlineStr"/>
      <c r="D1005" s="165" t="n"/>
      <c r="E1005" t="inlineStr"/>
    </row>
    <row r="1006">
      <c r="B1006" t="inlineStr"/>
      <c r="D1006" s="165" t="n"/>
      <c r="E1006" t="inlineStr"/>
    </row>
    <row r="1007">
      <c r="B1007" t="inlineStr"/>
      <c r="D1007" s="165" t="n"/>
      <c r="E1007" t="inlineStr"/>
    </row>
    <row r="1008">
      <c r="B1008" t="inlineStr"/>
      <c r="D1008" s="165" t="n"/>
      <c r="E1008" t="inlineStr"/>
    </row>
    <row r="1009">
      <c r="B1009" t="inlineStr"/>
      <c r="D1009" s="165" t="n"/>
      <c r="E1009" t="inlineStr"/>
    </row>
    <row r="1010">
      <c r="B1010" t="inlineStr"/>
      <c r="D1010" s="165" t="n"/>
      <c r="E1010" t="inlineStr"/>
    </row>
    <row r="1011">
      <c r="B1011" t="inlineStr"/>
      <c r="D1011" s="165" t="n"/>
      <c r="E1011" t="inlineStr"/>
    </row>
    <row r="1012">
      <c r="B1012" t="inlineStr"/>
      <c r="D1012" s="165" t="n"/>
      <c r="E1012" t="inlineStr"/>
    </row>
    <row r="1013">
      <c r="B1013" t="inlineStr"/>
      <c r="D1013" s="165" t="n"/>
      <c r="E1013" t="inlineStr"/>
    </row>
    <row r="1014">
      <c r="B1014" t="inlineStr"/>
      <c r="D1014" s="165" t="n"/>
      <c r="E1014" t="inlineStr"/>
    </row>
    <row r="1015">
      <c r="B1015" t="inlineStr"/>
      <c r="D1015" s="165" t="n"/>
      <c r="E1015" t="inlineStr"/>
    </row>
    <row r="1016">
      <c r="B1016" t="inlineStr"/>
      <c r="D1016" s="165" t="n"/>
      <c r="E1016" t="inlineStr"/>
    </row>
    <row r="1017">
      <c r="B1017" t="inlineStr"/>
      <c r="D1017" s="165" t="n"/>
      <c r="E1017" t="inlineStr"/>
    </row>
    <row r="1018">
      <c r="B1018" t="inlineStr"/>
      <c r="D1018" s="165" t="n"/>
      <c r="E1018" t="inlineStr"/>
    </row>
    <row r="1019">
      <c r="B1019" t="inlineStr"/>
      <c r="D1019" s="165" t="n"/>
      <c r="E1019" t="inlineStr"/>
    </row>
    <row r="1020">
      <c r="B1020" t="inlineStr"/>
      <c r="D1020" s="165" t="n"/>
      <c r="E1020" t="inlineStr"/>
    </row>
    <row r="1021">
      <c r="B1021" t="inlineStr"/>
      <c r="D1021" s="165" t="n"/>
      <c r="E1021" t="inlineStr"/>
    </row>
    <row r="1022">
      <c r="B1022" t="inlineStr"/>
      <c r="D1022" s="165" t="n"/>
      <c r="E1022" t="inlineStr"/>
    </row>
    <row r="1023">
      <c r="B1023" t="inlineStr"/>
      <c r="D1023" s="165" t="n"/>
      <c r="E1023" t="inlineStr"/>
    </row>
    <row r="1024">
      <c r="B1024" t="inlineStr"/>
      <c r="D1024" s="165" t="n"/>
      <c r="E1024" t="inlineStr"/>
    </row>
    <row r="1025">
      <c r="B1025" t="inlineStr"/>
      <c r="D1025" s="165" t="n"/>
      <c r="E1025" t="inlineStr"/>
    </row>
    <row r="1026">
      <c r="B1026" t="inlineStr"/>
      <c r="D1026" s="165" t="n"/>
      <c r="E1026" t="inlineStr"/>
    </row>
    <row r="1027">
      <c r="B1027" t="inlineStr"/>
      <c r="D1027" s="165" t="n"/>
      <c r="E1027" t="inlineStr"/>
    </row>
    <row r="1028">
      <c r="B1028" t="inlineStr"/>
      <c r="D1028" s="165" t="n"/>
      <c r="E1028" t="inlineStr"/>
    </row>
    <row r="1029">
      <c r="B1029" t="inlineStr"/>
      <c r="D1029" s="165" t="n"/>
      <c r="E1029" t="inlineStr"/>
    </row>
    <row r="1030">
      <c r="B1030" t="inlineStr"/>
      <c r="D1030" s="165" t="n"/>
      <c r="E1030" t="inlineStr"/>
    </row>
    <row r="1031">
      <c r="B1031" t="inlineStr"/>
      <c r="D1031" s="165" t="n"/>
      <c r="E1031" t="inlineStr"/>
    </row>
    <row r="1032">
      <c r="B1032" t="inlineStr"/>
      <c r="D1032" s="165" t="n"/>
      <c r="E1032" t="inlineStr"/>
    </row>
    <row r="1033">
      <c r="B1033" t="inlineStr"/>
      <c r="D1033" s="165" t="n"/>
      <c r="E1033" t="inlineStr"/>
    </row>
    <row r="1034">
      <c r="B1034" t="inlineStr"/>
      <c r="D1034" s="165" t="n"/>
      <c r="E1034" t="inlineStr"/>
    </row>
    <row r="1035">
      <c r="B1035" t="inlineStr"/>
      <c r="D1035" s="165" t="n"/>
      <c r="E1035" t="inlineStr"/>
    </row>
    <row r="1036">
      <c r="B1036" t="inlineStr"/>
      <c r="D1036" s="165" t="n"/>
      <c r="E1036" t="inlineStr"/>
    </row>
    <row r="1037">
      <c r="B1037" t="inlineStr"/>
      <c r="D1037" s="165" t="n"/>
      <c r="E1037" t="inlineStr"/>
    </row>
    <row r="1038">
      <c r="B1038" t="inlineStr"/>
      <c r="D1038" s="165" t="n"/>
      <c r="E1038" t="inlineStr"/>
    </row>
    <row r="1039">
      <c r="B1039" t="inlineStr"/>
      <c r="D1039" s="165" t="n"/>
      <c r="E1039" t="inlineStr"/>
    </row>
    <row r="1040">
      <c r="B1040" t="inlineStr"/>
      <c r="D1040" s="165" t="n"/>
      <c r="E1040" t="inlineStr"/>
    </row>
    <row r="1041">
      <c r="B1041" t="inlineStr"/>
      <c r="D1041" s="165" t="n"/>
      <c r="E1041" t="inlineStr"/>
    </row>
    <row r="1042">
      <c r="B1042" t="inlineStr"/>
      <c r="D1042" s="165" t="n"/>
      <c r="E1042" t="inlineStr"/>
    </row>
    <row r="1043">
      <c r="B1043" t="inlineStr"/>
      <c r="D1043" s="165" t="n"/>
      <c r="E1043" t="inlineStr"/>
    </row>
    <row r="1044">
      <c r="B1044" t="inlineStr"/>
      <c r="D1044" s="165" t="n"/>
      <c r="E1044" t="inlineStr"/>
    </row>
    <row r="1045">
      <c r="B1045" t="inlineStr"/>
      <c r="D1045" s="165" t="n"/>
      <c r="E1045" t="inlineStr"/>
    </row>
    <row r="1046">
      <c r="B1046" t="inlineStr"/>
      <c r="D1046" s="165" t="n"/>
      <c r="E1046" t="inlineStr"/>
    </row>
    <row r="1047">
      <c r="B1047" t="inlineStr"/>
      <c r="D1047" s="165" t="n"/>
      <c r="E1047" t="inlineStr"/>
    </row>
    <row r="1048">
      <c r="B1048" t="inlineStr"/>
      <c r="D1048" s="165" t="n"/>
      <c r="E1048" t="inlineStr"/>
    </row>
    <row r="1049">
      <c r="B1049" t="inlineStr"/>
      <c r="D1049" s="165" t="n"/>
      <c r="E1049" t="inlineStr"/>
    </row>
    <row r="1050">
      <c r="B1050" t="inlineStr"/>
      <c r="D1050" s="165" t="n"/>
      <c r="E1050" t="inlineStr"/>
    </row>
    <row r="1051">
      <c r="B1051" t="inlineStr"/>
      <c r="D1051" s="165" t="n"/>
      <c r="E1051" t="inlineStr"/>
    </row>
    <row r="1052">
      <c r="B1052" t="inlineStr"/>
      <c r="D1052" s="165" t="n"/>
      <c r="E1052" t="inlineStr"/>
    </row>
    <row r="1053">
      <c r="B1053" t="inlineStr"/>
      <c r="D1053" s="165" t="n"/>
      <c r="E1053" t="inlineStr"/>
    </row>
    <row r="1054">
      <c r="B1054" t="inlineStr"/>
      <c r="D1054" s="165" t="n"/>
      <c r="E1054" t="inlineStr"/>
    </row>
    <row r="1055">
      <c r="B1055" t="inlineStr"/>
      <c r="D1055" s="165" t="n"/>
      <c r="E1055" t="inlineStr"/>
    </row>
    <row r="1056">
      <c r="B1056" t="inlineStr"/>
      <c r="D1056" s="165" t="n"/>
      <c r="E1056" t="inlineStr"/>
    </row>
    <row r="1057">
      <c r="B1057" t="inlineStr"/>
      <c r="D1057" s="165" t="n"/>
      <c r="E1057" t="inlineStr"/>
    </row>
    <row r="1058">
      <c r="B1058" t="inlineStr"/>
      <c r="D1058" s="165" t="n"/>
      <c r="E1058" t="inlineStr"/>
    </row>
    <row r="1059">
      <c r="B1059" t="inlineStr"/>
      <c r="D1059" s="165" t="n"/>
      <c r="E1059" t="inlineStr"/>
    </row>
    <row r="1060">
      <c r="B1060" t="inlineStr"/>
      <c r="D1060" s="165" t="n"/>
      <c r="E1060" t="inlineStr"/>
    </row>
    <row r="1061">
      <c r="B1061" t="inlineStr"/>
      <c r="D1061" s="165" t="n"/>
      <c r="E1061" t="inlineStr"/>
    </row>
    <row r="1062">
      <c r="B1062" t="inlineStr"/>
      <c r="D1062" s="165" t="n"/>
      <c r="E1062" t="inlineStr"/>
    </row>
    <row r="1063">
      <c r="B1063" t="inlineStr"/>
      <c r="D1063" s="165" t="n"/>
      <c r="E1063" t="inlineStr"/>
    </row>
    <row r="1064">
      <c r="B1064" t="inlineStr"/>
      <c r="D1064" s="165" t="n"/>
      <c r="E1064" t="inlineStr"/>
    </row>
    <row r="1065">
      <c r="B1065" t="inlineStr"/>
      <c r="D1065" s="165" t="n"/>
      <c r="E1065" t="inlineStr"/>
    </row>
    <row r="1066">
      <c r="B1066" t="inlineStr"/>
      <c r="D1066" s="165" t="n"/>
      <c r="E1066" t="inlineStr"/>
    </row>
    <row r="1067">
      <c r="B1067" t="inlineStr"/>
      <c r="D1067" s="165" t="n"/>
      <c r="E1067" t="inlineStr"/>
    </row>
    <row r="1068">
      <c r="B1068" t="inlineStr"/>
      <c r="D1068" s="165" t="n"/>
      <c r="E1068" t="inlineStr"/>
    </row>
    <row r="1069">
      <c r="B1069" t="inlineStr"/>
      <c r="D1069" s="165" t="n"/>
      <c r="E1069" t="inlineStr"/>
    </row>
    <row r="1070">
      <c r="B1070" t="inlineStr"/>
      <c r="D1070" s="165" t="n"/>
      <c r="E1070" t="inlineStr"/>
    </row>
    <row r="1071">
      <c r="B1071" t="inlineStr"/>
      <c r="D1071" s="165" t="n"/>
      <c r="E1071" t="inlineStr"/>
    </row>
    <row r="1072">
      <c r="B1072" t="inlineStr"/>
      <c r="D1072" s="165" t="n"/>
      <c r="E1072" t="inlineStr"/>
    </row>
    <row r="1073">
      <c r="B1073" t="inlineStr"/>
      <c r="D1073" s="165" t="n"/>
      <c r="E1073" t="inlineStr"/>
    </row>
    <row r="1074">
      <c r="B1074" t="inlineStr"/>
      <c r="D1074" s="165" t="n"/>
      <c r="E1074" t="inlineStr"/>
    </row>
    <row r="1075">
      <c r="B1075" t="inlineStr"/>
      <c r="D1075" s="165" t="n"/>
      <c r="E1075" t="inlineStr"/>
    </row>
    <row r="1076">
      <c r="B1076" t="inlineStr"/>
      <c r="D1076" s="165" t="n"/>
      <c r="E1076" t="inlineStr"/>
    </row>
    <row r="1077">
      <c r="B1077" t="inlineStr"/>
      <c r="D1077" s="165" t="n"/>
      <c r="E1077" t="inlineStr"/>
    </row>
    <row r="1078">
      <c r="B1078" t="inlineStr"/>
      <c r="D1078" s="165" t="n"/>
      <c r="E1078" t="inlineStr"/>
    </row>
    <row r="1079">
      <c r="B1079" t="inlineStr"/>
      <c r="D1079" s="165" t="n"/>
      <c r="E1079" t="inlineStr"/>
    </row>
    <row r="1080">
      <c r="B1080" t="inlineStr"/>
      <c r="D1080" s="165" t="n"/>
      <c r="E1080" t="inlineStr"/>
    </row>
    <row r="1081">
      <c r="B1081" t="inlineStr"/>
      <c r="D1081" s="165" t="n"/>
      <c r="E1081" t="inlineStr"/>
    </row>
    <row r="1082">
      <c r="B1082" t="inlineStr"/>
      <c r="D1082" s="165" t="n"/>
      <c r="E1082" t="inlineStr"/>
    </row>
    <row r="1083">
      <c r="B1083" t="inlineStr"/>
      <c r="D1083" s="165" t="n"/>
      <c r="E1083" t="inlineStr"/>
    </row>
    <row r="1084">
      <c r="B1084" t="inlineStr"/>
      <c r="D1084" s="165" t="n"/>
      <c r="E1084" t="inlineStr"/>
    </row>
    <row r="1085">
      <c r="B1085" t="inlineStr"/>
      <c r="D1085" s="165" t="n"/>
      <c r="E1085" t="inlineStr"/>
    </row>
    <row r="1086">
      <c r="B1086" t="inlineStr"/>
      <c r="D1086" s="165" t="n"/>
      <c r="E1086" t="inlineStr"/>
    </row>
    <row r="1087">
      <c r="B1087" t="inlineStr"/>
      <c r="D1087" s="165" t="n"/>
      <c r="E1087" t="inlineStr"/>
    </row>
    <row r="1088">
      <c r="B1088" t="inlineStr"/>
      <c r="D1088" s="165" t="n"/>
      <c r="E1088" t="inlineStr"/>
    </row>
    <row r="1089">
      <c r="B1089" t="inlineStr"/>
      <c r="D1089" s="165" t="n"/>
      <c r="E1089" t="inlineStr"/>
    </row>
    <row r="1090">
      <c r="B1090" t="inlineStr"/>
      <c r="D1090" s="165" t="n"/>
      <c r="E1090" t="inlineStr"/>
    </row>
    <row r="1091">
      <c r="B1091" t="inlineStr"/>
      <c r="D1091" s="165" t="n"/>
      <c r="E1091" t="inlineStr"/>
    </row>
    <row r="1092">
      <c r="B1092" t="inlineStr"/>
      <c r="D1092" s="165" t="n"/>
      <c r="E1092" t="inlineStr"/>
    </row>
    <row r="1093">
      <c r="B1093" t="inlineStr"/>
      <c r="D1093" s="165" t="n"/>
      <c r="E1093" t="inlineStr"/>
    </row>
    <row r="1094">
      <c r="B1094" t="inlineStr"/>
      <c r="D1094" s="165" t="n"/>
      <c r="E1094" t="inlineStr"/>
    </row>
    <row r="1095">
      <c r="B1095" t="inlineStr"/>
      <c r="D1095" s="165" t="n"/>
      <c r="E1095" t="inlineStr"/>
    </row>
    <row r="1096">
      <c r="B1096" t="inlineStr"/>
      <c r="D1096" s="165" t="n"/>
      <c r="E1096" t="inlineStr"/>
    </row>
    <row r="1097">
      <c r="B1097" t="inlineStr"/>
      <c r="D1097" s="165" t="n"/>
      <c r="E1097" t="inlineStr"/>
    </row>
    <row r="1098">
      <c r="B1098" t="inlineStr"/>
      <c r="D1098" s="165" t="n"/>
      <c r="E1098" t="inlineStr"/>
    </row>
    <row r="1099">
      <c r="B1099" t="inlineStr"/>
      <c r="D1099" s="165" t="n"/>
      <c r="E1099" t="inlineStr"/>
    </row>
    <row r="1100">
      <c r="B1100" t="inlineStr"/>
      <c r="D1100" s="165" t="n"/>
      <c r="E1100" t="inlineStr"/>
    </row>
    <row r="1101">
      <c r="B1101" t="inlineStr"/>
      <c r="D1101" s="165" t="n"/>
      <c r="E1101" t="inlineStr"/>
    </row>
    <row r="1102">
      <c r="B1102" t="inlineStr"/>
      <c r="D1102" s="165" t="n"/>
      <c r="E1102" t="inlineStr"/>
    </row>
    <row r="1103">
      <c r="B1103" t="inlineStr"/>
      <c r="D1103" s="165" t="n"/>
      <c r="E1103" t="inlineStr"/>
    </row>
    <row r="1104">
      <c r="B1104" t="inlineStr"/>
      <c r="D1104" s="165" t="n"/>
      <c r="E1104" t="inlineStr"/>
    </row>
    <row r="1105">
      <c r="B1105" t="inlineStr"/>
      <c r="D1105" s="165" t="n"/>
      <c r="E1105" t="inlineStr"/>
    </row>
    <row r="1106">
      <c r="B1106" t="inlineStr"/>
      <c r="D1106" s="165" t="n"/>
      <c r="E1106" t="inlineStr"/>
    </row>
    <row r="1107">
      <c r="B1107" t="inlineStr"/>
      <c r="D1107" s="165" t="n"/>
      <c r="E1107" t="inlineStr"/>
    </row>
    <row r="1108">
      <c r="B1108" t="inlineStr"/>
      <c r="D1108" s="165" t="n"/>
      <c r="E1108" t="inlineStr"/>
    </row>
    <row r="1109">
      <c r="B1109" t="inlineStr"/>
      <c r="D1109" s="165" t="n"/>
      <c r="E1109" t="inlineStr"/>
    </row>
    <row r="1110">
      <c r="B1110" t="inlineStr"/>
      <c r="D1110" s="165" t="n"/>
      <c r="E1110" t="inlineStr"/>
    </row>
    <row r="1111">
      <c r="B1111" t="inlineStr"/>
      <c r="D1111" s="165" t="n"/>
      <c r="E1111" t="inlineStr"/>
    </row>
    <row r="1112">
      <c r="B1112" t="inlineStr"/>
      <c r="D1112" s="165" t="n"/>
      <c r="E1112" t="inlineStr"/>
    </row>
    <row r="1113">
      <c r="B1113" t="inlineStr"/>
      <c r="D1113" s="165" t="n"/>
      <c r="E1113" t="inlineStr"/>
    </row>
    <row r="1114">
      <c r="B1114" t="inlineStr"/>
      <c r="D1114" s="165" t="n"/>
      <c r="E1114" t="inlineStr"/>
    </row>
    <row r="1115">
      <c r="B1115" t="inlineStr"/>
      <c r="D1115" s="165" t="n"/>
      <c r="E1115" t="inlineStr"/>
    </row>
    <row r="1116">
      <c r="B1116" t="inlineStr"/>
      <c r="D1116" s="165" t="n"/>
      <c r="E1116" t="inlineStr"/>
    </row>
    <row r="1117">
      <c r="B1117" t="inlineStr"/>
      <c r="D1117" s="165" t="n"/>
      <c r="E1117" t="inlineStr"/>
    </row>
    <row r="1118">
      <c r="B1118" t="inlineStr"/>
      <c r="D1118" s="165" t="n"/>
      <c r="E1118" t="inlineStr"/>
    </row>
    <row r="1119">
      <c r="B1119" t="inlineStr"/>
      <c r="D1119" s="165" t="n"/>
      <c r="E1119" t="inlineStr"/>
    </row>
    <row r="1120">
      <c r="B1120" t="inlineStr"/>
      <c r="D1120" s="165" t="n"/>
      <c r="E1120" t="inlineStr"/>
    </row>
    <row r="1121">
      <c r="B1121" t="inlineStr"/>
      <c r="D1121" s="165" t="n"/>
      <c r="E1121" t="inlineStr"/>
    </row>
    <row r="1122">
      <c r="B1122" t="inlineStr"/>
      <c r="D1122" s="165" t="n"/>
      <c r="E1122" t="inlineStr"/>
    </row>
    <row r="1123">
      <c r="B1123" t="inlineStr"/>
      <c r="D1123" s="165" t="n"/>
      <c r="E1123" t="inlineStr"/>
    </row>
    <row r="1124">
      <c r="B1124" t="inlineStr"/>
      <c r="D1124" s="165" t="n"/>
      <c r="E1124" t="inlineStr"/>
    </row>
    <row r="1125">
      <c r="B1125" t="inlineStr"/>
      <c r="D1125" s="165" t="n"/>
      <c r="E1125" t="inlineStr"/>
    </row>
    <row r="1126">
      <c r="B1126" t="inlineStr"/>
      <c r="D1126" s="165" t="n"/>
      <c r="E1126" t="inlineStr"/>
    </row>
    <row r="1127">
      <c r="B1127" t="inlineStr"/>
      <c r="D1127" s="165" t="n"/>
      <c r="E1127" t="inlineStr"/>
    </row>
    <row r="1128">
      <c r="B1128" t="inlineStr"/>
      <c r="D1128" s="165" t="n"/>
      <c r="E1128" t="inlineStr"/>
    </row>
    <row r="1129">
      <c r="B1129" t="inlineStr"/>
      <c r="D1129" s="165" t="n"/>
      <c r="E1129" t="inlineStr"/>
    </row>
    <row r="1130">
      <c r="B1130" t="inlineStr"/>
      <c r="D1130" s="165" t="n"/>
      <c r="E1130" t="inlineStr"/>
    </row>
    <row r="1131">
      <c r="B1131" t="inlineStr"/>
      <c r="D1131" s="165" t="n"/>
      <c r="E1131" t="inlineStr"/>
    </row>
    <row r="1132">
      <c r="B1132" t="inlineStr"/>
      <c r="D1132" s="165" t="n"/>
      <c r="E1132" t="inlineStr"/>
    </row>
    <row r="1133">
      <c r="B1133" t="inlineStr"/>
      <c r="D1133" s="165" t="n"/>
      <c r="E1133" t="inlineStr"/>
    </row>
    <row r="1134">
      <c r="B1134" t="inlineStr"/>
      <c r="D1134" s="165" t="n"/>
      <c r="E1134" t="inlineStr"/>
    </row>
    <row r="1135">
      <c r="B1135" t="inlineStr"/>
      <c r="D1135" s="165" t="n"/>
      <c r="E1135" t="inlineStr"/>
    </row>
    <row r="1136">
      <c r="B1136" t="inlineStr"/>
      <c r="D1136" s="165" t="n"/>
      <c r="E1136" t="inlineStr"/>
    </row>
    <row r="1137">
      <c r="B1137" t="inlineStr"/>
      <c r="D1137" s="165" t="n"/>
      <c r="E1137" t="inlineStr"/>
    </row>
    <row r="1138">
      <c r="B1138" t="inlineStr"/>
      <c r="D1138" s="165" t="n"/>
      <c r="E1138" t="inlineStr"/>
    </row>
    <row r="1139">
      <c r="B1139" t="inlineStr"/>
      <c r="D1139" s="165" t="n"/>
      <c r="E1139" t="inlineStr"/>
    </row>
    <row r="1140">
      <c r="B1140" t="inlineStr"/>
      <c r="D1140" s="165" t="n"/>
      <c r="E1140" t="inlineStr"/>
    </row>
    <row r="1141">
      <c r="B1141" t="inlineStr"/>
      <c r="D1141" s="165" t="n"/>
      <c r="E1141" t="inlineStr"/>
    </row>
    <row r="1142">
      <c r="B1142" t="inlineStr"/>
      <c r="D1142" s="165" t="n"/>
      <c r="E1142" t="inlineStr"/>
    </row>
    <row r="1143">
      <c r="B1143" t="inlineStr"/>
      <c r="D1143" s="165" t="n"/>
      <c r="E1143" t="inlineStr"/>
    </row>
    <row r="1144">
      <c r="B1144" t="inlineStr"/>
      <c r="D1144" s="165" t="n"/>
      <c r="E1144" t="inlineStr"/>
    </row>
    <row r="1145">
      <c r="B1145" t="inlineStr"/>
      <c r="D1145" s="165" t="n"/>
      <c r="E1145" t="inlineStr"/>
    </row>
    <row r="1146">
      <c r="B1146" t="inlineStr"/>
      <c r="D1146" s="165" t="n"/>
      <c r="E1146" t="inlineStr"/>
    </row>
    <row r="1147">
      <c r="B1147" t="inlineStr"/>
      <c r="D1147" s="165" t="n"/>
      <c r="E1147" t="inlineStr"/>
    </row>
    <row r="1148">
      <c r="B1148" t="inlineStr"/>
      <c r="D1148" s="165" t="n"/>
      <c r="E1148" t="inlineStr"/>
    </row>
    <row r="1149">
      <c r="B1149" t="inlineStr"/>
      <c r="D1149" s="165" t="n"/>
      <c r="E1149" t="inlineStr"/>
    </row>
    <row r="1150">
      <c r="B1150" t="inlineStr"/>
      <c r="D1150" s="165" t="n"/>
      <c r="E1150" t="inlineStr"/>
    </row>
    <row r="1151">
      <c r="B1151" t="inlineStr"/>
      <c r="D1151" s="165" t="n"/>
      <c r="E1151" t="inlineStr"/>
    </row>
    <row r="1152">
      <c r="B1152" t="inlineStr"/>
      <c r="D1152" s="165" t="n"/>
      <c r="E1152" t="inlineStr"/>
    </row>
    <row r="1153">
      <c r="B1153" t="inlineStr"/>
      <c r="D1153" s="165" t="n"/>
      <c r="E1153" t="inlineStr"/>
    </row>
    <row r="1154">
      <c r="B1154" t="inlineStr"/>
      <c r="D1154" s="165" t="n"/>
      <c r="E1154" t="inlineStr"/>
    </row>
    <row r="1155">
      <c r="B1155" t="inlineStr"/>
      <c r="D1155" s="165" t="n"/>
      <c r="E1155" t="inlineStr"/>
    </row>
    <row r="1156">
      <c r="B1156" t="inlineStr"/>
      <c r="D1156" s="165" t="n"/>
      <c r="E1156" t="inlineStr"/>
    </row>
    <row r="1157">
      <c r="B1157" t="inlineStr"/>
      <c r="D1157" s="165" t="n"/>
      <c r="E1157" t="inlineStr"/>
    </row>
    <row r="1158">
      <c r="B1158" t="inlineStr"/>
      <c r="D1158" s="165" t="n"/>
      <c r="E1158" t="inlineStr"/>
    </row>
    <row r="1159">
      <c r="B1159" t="inlineStr"/>
      <c r="D1159" s="165" t="n"/>
      <c r="E1159" t="inlineStr"/>
    </row>
    <row r="1160">
      <c r="B1160" t="inlineStr"/>
      <c r="D1160" s="165" t="n"/>
      <c r="E1160" t="inlineStr"/>
    </row>
    <row r="1161">
      <c r="B1161" t="inlineStr"/>
      <c r="D1161" s="165" t="n"/>
      <c r="E1161" t="inlineStr"/>
    </row>
    <row r="1162">
      <c r="B1162" t="inlineStr"/>
      <c r="D1162" s="165" t="n"/>
      <c r="E1162" t="inlineStr"/>
    </row>
    <row r="1163">
      <c r="B1163" t="inlineStr"/>
      <c r="D1163" s="165" t="n"/>
      <c r="E1163" t="inlineStr"/>
    </row>
    <row r="1164">
      <c r="B1164" t="inlineStr"/>
      <c r="D1164" s="165" t="n"/>
      <c r="E1164" t="inlineStr"/>
    </row>
    <row r="1165">
      <c r="B1165" t="inlineStr"/>
      <c r="D1165" s="165" t="n"/>
      <c r="E1165" t="inlineStr"/>
    </row>
    <row r="1166">
      <c r="B1166" t="inlineStr"/>
      <c r="D1166" s="165" t="n"/>
      <c r="E1166" t="inlineStr"/>
    </row>
    <row r="1167">
      <c r="B1167" t="inlineStr"/>
      <c r="D1167" s="165" t="n"/>
      <c r="E1167" t="inlineStr"/>
    </row>
    <row r="1168">
      <c r="B1168" t="inlineStr"/>
      <c r="D1168" s="165" t="n"/>
      <c r="E1168" t="inlineStr"/>
    </row>
    <row r="1169">
      <c r="B1169" t="inlineStr"/>
      <c r="D1169" s="165" t="n"/>
      <c r="E1169" t="inlineStr"/>
    </row>
    <row r="1170">
      <c r="B1170" t="inlineStr"/>
      <c r="D1170" s="165" t="n"/>
      <c r="E1170" t="inlineStr"/>
    </row>
    <row r="1171">
      <c r="B1171" t="inlineStr"/>
      <c r="D1171" s="165" t="n"/>
      <c r="E1171" t="inlineStr"/>
    </row>
    <row r="1172">
      <c r="B1172" t="inlineStr"/>
      <c r="D1172" s="165" t="n"/>
      <c r="E1172" t="inlineStr"/>
    </row>
    <row r="1173">
      <c r="B1173" t="inlineStr"/>
      <c r="D1173" s="165" t="n"/>
      <c r="E1173" t="inlineStr"/>
    </row>
    <row r="1174">
      <c r="B1174" t="inlineStr"/>
      <c r="D1174" s="165" t="n"/>
      <c r="E1174" t="inlineStr"/>
    </row>
    <row r="1175">
      <c r="B1175" t="inlineStr"/>
      <c r="D1175" s="165" t="n"/>
      <c r="E1175" t="inlineStr"/>
    </row>
    <row r="1176">
      <c r="B1176" t="inlineStr"/>
      <c r="D1176" s="165" t="n"/>
      <c r="E1176" t="inlineStr"/>
    </row>
    <row r="1177">
      <c r="B1177" t="inlineStr"/>
      <c r="D1177" s="165" t="n"/>
      <c r="E1177" t="inlineStr"/>
    </row>
    <row r="1178">
      <c r="B1178" t="inlineStr"/>
      <c r="D1178" s="165" t="n"/>
      <c r="E1178" t="inlineStr"/>
    </row>
    <row r="1179">
      <c r="B1179" t="inlineStr"/>
      <c r="D1179" s="165" t="n"/>
      <c r="E1179" t="inlineStr"/>
    </row>
    <row r="1180">
      <c r="B1180" t="inlineStr"/>
      <c r="D1180" s="165" t="n"/>
      <c r="E1180" t="inlineStr"/>
    </row>
    <row r="1181">
      <c r="B1181" t="inlineStr"/>
      <c r="D1181" s="165" t="n"/>
      <c r="E1181" t="inlineStr"/>
    </row>
    <row r="1182">
      <c r="B1182" t="inlineStr"/>
      <c r="D1182" s="165" t="n"/>
      <c r="E1182" t="inlineStr"/>
    </row>
    <row r="1183">
      <c r="B1183" t="inlineStr"/>
      <c r="D1183" s="165" t="n"/>
      <c r="E1183" t="inlineStr"/>
    </row>
    <row r="1184">
      <c r="B1184" t="inlineStr"/>
      <c r="D1184" s="165" t="n"/>
      <c r="E1184" t="inlineStr"/>
    </row>
    <row r="1185">
      <c r="B1185" t="inlineStr"/>
      <c r="D1185" s="165" t="n"/>
      <c r="E1185" t="inlineStr"/>
    </row>
    <row r="1186">
      <c r="B1186" t="inlineStr"/>
      <c r="D1186" s="165" t="n"/>
      <c r="E1186" t="inlineStr"/>
    </row>
    <row r="1187">
      <c r="B1187" t="inlineStr"/>
      <c r="D1187" s="165" t="n"/>
      <c r="E1187" t="inlineStr"/>
    </row>
    <row r="1188">
      <c r="B1188" t="inlineStr"/>
      <c r="D1188" s="165" t="n"/>
      <c r="E1188" t="inlineStr"/>
    </row>
    <row r="1189">
      <c r="B1189" t="inlineStr"/>
      <c r="D1189" s="165" t="n"/>
      <c r="E1189" t="inlineStr"/>
    </row>
    <row r="1190">
      <c r="B1190" t="inlineStr"/>
      <c r="D1190" s="165" t="n"/>
      <c r="E1190" t="inlineStr"/>
    </row>
    <row r="1191">
      <c r="B1191" t="inlineStr"/>
      <c r="D1191" s="165" t="n"/>
      <c r="E1191" t="inlineStr"/>
    </row>
    <row r="1192">
      <c r="B1192" t="inlineStr"/>
      <c r="D1192" s="165" t="n"/>
      <c r="E1192" t="inlineStr"/>
    </row>
    <row r="1193">
      <c r="B1193" t="inlineStr"/>
      <c r="D1193" s="165" t="n"/>
      <c r="E1193" t="inlineStr"/>
    </row>
    <row r="1194">
      <c r="B1194" t="inlineStr"/>
      <c r="D1194" s="165" t="n"/>
      <c r="E1194" t="inlineStr"/>
    </row>
    <row r="1195">
      <c r="B1195" t="inlineStr"/>
      <c r="D1195" s="165" t="n"/>
      <c r="E1195" t="inlineStr"/>
    </row>
    <row r="1196">
      <c r="B1196" t="inlineStr"/>
      <c r="D1196" s="165" t="n"/>
      <c r="E1196" t="inlineStr"/>
    </row>
    <row r="1197">
      <c r="B1197" t="inlineStr"/>
      <c r="D1197" s="165" t="n"/>
      <c r="E1197" t="inlineStr"/>
    </row>
    <row r="1198">
      <c r="B1198" t="inlineStr"/>
      <c r="D1198" s="165" t="n"/>
      <c r="E1198" t="inlineStr"/>
    </row>
    <row r="1199">
      <c r="B1199" t="inlineStr"/>
      <c r="D1199" s="165" t="n"/>
      <c r="E1199" t="inlineStr"/>
    </row>
    <row r="1200">
      <c r="B1200" t="inlineStr"/>
      <c r="D1200" s="165" t="n"/>
      <c r="E1200" t="inlineStr"/>
    </row>
    <row r="1201">
      <c r="B1201" t="inlineStr"/>
      <c r="D1201" s="165" t="n"/>
      <c r="E1201" t="inlineStr"/>
    </row>
    <row r="1202">
      <c r="B1202" t="inlineStr"/>
      <c r="D1202" s="165" t="n"/>
      <c r="E1202" t="inlineStr"/>
    </row>
    <row r="1203">
      <c r="B1203" t="inlineStr"/>
      <c r="D1203" s="165" t="n"/>
      <c r="E1203" t="inlineStr"/>
    </row>
    <row r="1204">
      <c r="B1204" t="inlineStr"/>
      <c r="D1204" s="165" t="n"/>
      <c r="E1204" t="inlineStr"/>
    </row>
    <row r="1205">
      <c r="B1205" t="inlineStr"/>
      <c r="D1205" s="165" t="n"/>
      <c r="E1205" t="inlineStr"/>
    </row>
    <row r="1206">
      <c r="B1206" t="inlineStr"/>
      <c r="D1206" s="165" t="n"/>
      <c r="E1206" t="inlineStr"/>
    </row>
    <row r="1207">
      <c r="B1207" t="inlineStr"/>
      <c r="D1207" s="165" t="n"/>
      <c r="E1207" t="inlineStr"/>
    </row>
    <row r="1208">
      <c r="B1208" t="inlineStr"/>
      <c r="D1208" s="165" t="n"/>
      <c r="E1208" t="inlineStr"/>
    </row>
    <row r="1209">
      <c r="B1209" t="inlineStr"/>
      <c r="D1209" s="165" t="n"/>
      <c r="E1209" t="inlineStr"/>
    </row>
    <row r="1210">
      <c r="B1210" t="inlineStr"/>
      <c r="D1210" s="165" t="n"/>
      <c r="E1210" t="inlineStr"/>
    </row>
    <row r="1211">
      <c r="B1211" t="inlineStr"/>
      <c r="D1211" s="165" t="n"/>
      <c r="E1211" t="inlineStr"/>
    </row>
    <row r="1212">
      <c r="B1212" t="inlineStr"/>
      <c r="D1212" s="165" t="n"/>
      <c r="E1212" t="inlineStr"/>
    </row>
    <row r="1213">
      <c r="B1213" t="inlineStr"/>
      <c r="D1213" s="165" t="n"/>
      <c r="E1213" t="inlineStr"/>
    </row>
    <row r="1214">
      <c r="B1214" t="inlineStr"/>
      <c r="D1214" s="165" t="n"/>
      <c r="E1214" t="inlineStr"/>
    </row>
    <row r="1215">
      <c r="B1215" t="inlineStr"/>
      <c r="D1215" s="165" t="n"/>
      <c r="E1215" t="inlineStr"/>
    </row>
    <row r="1216">
      <c r="B1216" t="inlineStr"/>
      <c r="D1216" s="165" t="n"/>
      <c r="E1216" t="inlineStr"/>
    </row>
    <row r="1217">
      <c r="B1217" t="inlineStr"/>
      <c r="D1217" s="165" t="n"/>
      <c r="E1217" t="inlineStr"/>
    </row>
    <row r="1218">
      <c r="B1218" t="inlineStr"/>
      <c r="D1218" s="165" t="n"/>
      <c r="E1218" t="inlineStr"/>
    </row>
    <row r="1219">
      <c r="B1219" t="inlineStr"/>
      <c r="D1219" s="165" t="n"/>
      <c r="E1219" t="inlineStr"/>
    </row>
    <row r="1220">
      <c r="B1220" t="inlineStr"/>
      <c r="D1220" s="165" t="n"/>
      <c r="E1220" t="inlineStr"/>
    </row>
    <row r="1221">
      <c r="B1221" t="inlineStr"/>
      <c r="D1221" s="165" t="n"/>
      <c r="E1221" t="inlineStr"/>
    </row>
    <row r="1222">
      <c r="B1222" t="inlineStr"/>
      <c r="D1222" s="165" t="n"/>
      <c r="E1222" t="inlineStr"/>
    </row>
    <row r="1223">
      <c r="B1223" t="inlineStr"/>
      <c r="D1223" s="165" t="n"/>
      <c r="E1223" t="inlineStr"/>
    </row>
    <row r="1224">
      <c r="B1224" t="inlineStr"/>
      <c r="D1224" s="165" t="n"/>
      <c r="E1224" t="inlineStr"/>
    </row>
    <row r="1225">
      <c r="B1225" t="inlineStr"/>
      <c r="D1225" s="165" t="n"/>
      <c r="E1225" t="inlineStr"/>
    </row>
    <row r="1226">
      <c r="B1226" t="inlineStr"/>
      <c r="D1226" s="165" t="n"/>
      <c r="E1226" t="inlineStr"/>
    </row>
    <row r="1227">
      <c r="B1227" t="inlineStr"/>
      <c r="D1227" s="165" t="n"/>
      <c r="E1227" t="inlineStr"/>
    </row>
    <row r="1228">
      <c r="B1228" t="inlineStr"/>
      <c r="D1228" s="165" t="n"/>
      <c r="E1228" t="inlineStr"/>
    </row>
    <row r="1229">
      <c r="B1229" t="inlineStr"/>
      <c r="D1229" s="165" t="n"/>
      <c r="E1229" t="inlineStr"/>
    </row>
    <row r="1230">
      <c r="B1230" t="inlineStr"/>
      <c r="D1230" s="165" t="n"/>
      <c r="E1230" t="inlineStr"/>
    </row>
    <row r="1231">
      <c r="B1231" t="inlineStr"/>
      <c r="D1231" s="165" t="n"/>
      <c r="E1231" t="inlineStr"/>
    </row>
    <row r="1232">
      <c r="B1232" t="inlineStr"/>
      <c r="D1232" s="165" t="n"/>
      <c r="E1232" t="inlineStr"/>
    </row>
    <row r="1233">
      <c r="B1233" t="inlineStr"/>
      <c r="D1233" s="165" t="n"/>
      <c r="E1233" t="inlineStr"/>
    </row>
    <row r="1234">
      <c r="B1234" t="inlineStr"/>
      <c r="D1234" s="165" t="n"/>
      <c r="E1234" t="inlineStr"/>
    </row>
    <row r="1235">
      <c r="B1235" t="inlineStr"/>
      <c r="D1235" s="165" t="n"/>
      <c r="E1235" t="inlineStr"/>
    </row>
    <row r="1236">
      <c r="B1236" t="inlineStr"/>
      <c r="D1236" s="165" t="n"/>
      <c r="E1236" t="inlineStr"/>
    </row>
    <row r="1237">
      <c r="B1237" t="inlineStr"/>
      <c r="D1237" s="165" t="n"/>
      <c r="E1237" t="inlineStr"/>
    </row>
    <row r="1238">
      <c r="B1238" t="inlineStr"/>
      <c r="D1238" s="165" t="n"/>
      <c r="E1238" t="inlineStr"/>
    </row>
    <row r="1239">
      <c r="B1239" t="inlineStr"/>
      <c r="D1239" s="165" t="n"/>
      <c r="E1239" t="inlineStr"/>
    </row>
    <row r="1240">
      <c r="B1240" t="inlineStr"/>
      <c r="D1240" s="165" t="n"/>
      <c r="E1240" t="inlineStr"/>
    </row>
    <row r="1241">
      <c r="B1241" t="inlineStr"/>
      <c r="D1241" s="165" t="n"/>
      <c r="E1241" t="inlineStr"/>
    </row>
    <row r="1242">
      <c r="B1242" t="inlineStr"/>
      <c r="D1242" s="165" t="n"/>
      <c r="E1242" t="inlineStr"/>
    </row>
    <row r="1243">
      <c r="B1243" t="inlineStr"/>
      <c r="D1243" s="165" t="n"/>
      <c r="E1243" t="inlineStr"/>
    </row>
    <row r="1244">
      <c r="B1244" t="inlineStr"/>
      <c r="D1244" s="165" t="n"/>
      <c r="E1244" t="inlineStr"/>
    </row>
    <row r="1245">
      <c r="B1245" t="inlineStr"/>
      <c r="D1245" s="165" t="n"/>
      <c r="E1245" t="inlineStr"/>
    </row>
    <row r="1246">
      <c r="B1246" t="inlineStr"/>
      <c r="D1246" s="165" t="n"/>
      <c r="E1246" t="inlineStr"/>
    </row>
    <row r="1247">
      <c r="B1247" t="inlineStr"/>
      <c r="D1247" s="165" t="n"/>
      <c r="E1247" t="inlineStr"/>
    </row>
    <row r="1248">
      <c r="B1248" t="inlineStr"/>
      <c r="D1248" s="165" t="n"/>
      <c r="E1248" t="inlineStr"/>
    </row>
    <row r="1249">
      <c r="B1249" t="inlineStr"/>
      <c r="D1249" s="165" t="n"/>
      <c r="E1249" t="inlineStr"/>
    </row>
    <row r="1250">
      <c r="B1250" t="inlineStr"/>
      <c r="D1250" s="165" t="n"/>
      <c r="E1250" t="inlineStr"/>
    </row>
    <row r="1251">
      <c r="B1251" t="inlineStr"/>
      <c r="D1251" s="165" t="n"/>
      <c r="E1251" t="inlineStr"/>
    </row>
    <row r="1252">
      <c r="B1252" t="inlineStr"/>
      <c r="D1252" s="165" t="n"/>
      <c r="E1252" t="inlineStr"/>
    </row>
    <row r="1253">
      <c r="B1253" t="inlineStr"/>
      <c r="D1253" s="165" t="n"/>
      <c r="E1253" t="inlineStr"/>
    </row>
    <row r="1254">
      <c r="B1254" t="inlineStr"/>
      <c r="D1254" s="165" t="n"/>
      <c r="E1254" t="inlineStr"/>
    </row>
    <row r="1255">
      <c r="B1255" t="inlineStr"/>
      <c r="D1255" s="165" t="n"/>
      <c r="E1255" t="inlineStr"/>
    </row>
    <row r="1256">
      <c r="B1256" t="inlineStr"/>
      <c r="D1256" s="165" t="n"/>
      <c r="E1256" t="inlineStr"/>
    </row>
    <row r="1257">
      <c r="B1257" t="inlineStr"/>
      <c r="D1257" s="165" t="n"/>
      <c r="E1257" t="inlineStr"/>
    </row>
    <row r="1258">
      <c r="B1258" t="inlineStr"/>
      <c r="D1258" s="165" t="n"/>
      <c r="E1258" t="inlineStr"/>
    </row>
    <row r="1259">
      <c r="B1259" t="inlineStr"/>
      <c r="D1259" s="165" t="n"/>
      <c r="E1259" t="inlineStr"/>
    </row>
    <row r="1260">
      <c r="B1260" t="inlineStr"/>
      <c r="D1260" s="165" t="n"/>
      <c r="E1260" t="inlineStr"/>
    </row>
    <row r="1261">
      <c r="B1261" t="inlineStr"/>
      <c r="D1261" s="165" t="n"/>
      <c r="E1261" t="inlineStr"/>
    </row>
    <row r="1262">
      <c r="B1262" t="inlineStr"/>
      <c r="D1262" s="165" t="n"/>
      <c r="E1262" t="inlineStr"/>
    </row>
    <row r="1263">
      <c r="B1263" t="inlineStr"/>
      <c r="D1263" s="165" t="n"/>
      <c r="E1263" t="inlineStr"/>
    </row>
    <row r="1264">
      <c r="B1264" t="inlineStr"/>
      <c r="D1264" s="165" t="n"/>
      <c r="E1264" t="inlineStr"/>
    </row>
    <row r="1265">
      <c r="B1265" t="inlineStr"/>
      <c r="D1265" s="165" t="n"/>
      <c r="E1265" t="inlineStr"/>
    </row>
    <row r="1266">
      <c r="B1266" t="inlineStr"/>
      <c r="D1266" s="165" t="n"/>
      <c r="E1266" t="inlineStr"/>
    </row>
    <row r="1267">
      <c r="B1267" t="inlineStr"/>
      <c r="D1267" s="165" t="n"/>
      <c r="E1267" t="inlineStr"/>
    </row>
    <row r="1268">
      <c r="B1268" t="inlineStr"/>
      <c r="D1268" s="165" t="n"/>
      <c r="E1268" t="inlineStr"/>
    </row>
    <row r="1269">
      <c r="B1269" t="inlineStr"/>
      <c r="D1269" s="165" t="n"/>
      <c r="E1269" t="inlineStr"/>
    </row>
    <row r="1270">
      <c r="B1270" t="inlineStr"/>
      <c r="D1270" s="165" t="n"/>
      <c r="E1270" t="inlineStr"/>
    </row>
    <row r="1271">
      <c r="B1271" t="inlineStr"/>
      <c r="D1271" s="165" t="n"/>
      <c r="E1271" t="inlineStr"/>
    </row>
    <row r="1272">
      <c r="B1272" t="inlineStr"/>
      <c r="D1272" s="165" t="n"/>
      <c r="E1272" t="inlineStr"/>
    </row>
    <row r="1273">
      <c r="B1273" t="inlineStr"/>
      <c r="D1273" s="165" t="n"/>
      <c r="E1273" t="inlineStr"/>
    </row>
    <row r="1274">
      <c r="B1274" t="inlineStr"/>
      <c r="D1274" s="165" t="n"/>
      <c r="E1274" t="inlineStr"/>
    </row>
    <row r="1275">
      <c r="B1275" t="inlineStr"/>
      <c r="D1275" s="165" t="n"/>
      <c r="E1275" t="inlineStr"/>
    </row>
    <row r="1276">
      <c r="B1276" t="inlineStr"/>
      <c r="D1276" s="165" t="n"/>
      <c r="E1276" t="inlineStr"/>
    </row>
    <row r="1277">
      <c r="B1277" t="inlineStr"/>
      <c r="D1277" s="165" t="n"/>
      <c r="E1277" t="inlineStr"/>
    </row>
    <row r="1278">
      <c r="B1278" t="inlineStr"/>
      <c r="D1278" s="165" t="n"/>
      <c r="E1278" t="inlineStr"/>
    </row>
    <row r="1279">
      <c r="B1279" t="inlineStr"/>
      <c r="D1279" s="165" t="n"/>
      <c r="E1279" t="inlineStr"/>
    </row>
    <row r="1280">
      <c r="B1280" t="inlineStr"/>
      <c r="D1280" s="165" t="n"/>
      <c r="E1280" t="inlineStr"/>
    </row>
    <row r="1281">
      <c r="B1281" t="inlineStr"/>
      <c r="D1281" s="165" t="n"/>
      <c r="E1281" t="inlineStr"/>
    </row>
    <row r="1282">
      <c r="B1282" t="inlineStr"/>
      <c r="D1282" s="165" t="n"/>
      <c r="E1282" t="inlineStr"/>
    </row>
    <row r="1283">
      <c r="B1283" t="inlineStr"/>
      <c r="D1283" s="165" t="n"/>
      <c r="E1283" t="inlineStr"/>
    </row>
    <row r="1284">
      <c r="B1284" t="inlineStr"/>
      <c r="D1284" s="165" t="n"/>
      <c r="E1284" t="inlineStr"/>
    </row>
    <row r="1285">
      <c r="B1285" t="inlineStr"/>
      <c r="D1285" s="165" t="n"/>
      <c r="E1285" t="inlineStr"/>
    </row>
    <row r="1286">
      <c r="B1286" t="inlineStr"/>
      <c r="D1286" s="165" t="n"/>
      <c r="E1286" t="inlineStr"/>
    </row>
    <row r="1287">
      <c r="B1287" t="inlineStr"/>
      <c r="D1287" s="165" t="n"/>
      <c r="E1287" t="inlineStr"/>
    </row>
    <row r="1288">
      <c r="B1288" t="inlineStr"/>
      <c r="D1288" s="165" t="n"/>
      <c r="E1288" t="inlineStr"/>
    </row>
    <row r="1289">
      <c r="B1289" t="inlineStr"/>
      <c r="D1289" s="165" t="n"/>
      <c r="E1289" t="inlineStr"/>
    </row>
    <row r="1290">
      <c r="B1290" t="inlineStr"/>
      <c r="D1290" s="165" t="n"/>
      <c r="E1290" t="inlineStr"/>
    </row>
    <row r="1291">
      <c r="B1291" t="inlineStr"/>
      <c r="D1291" s="165" t="n"/>
      <c r="E1291" t="inlineStr"/>
    </row>
    <row r="1292">
      <c r="B1292" t="inlineStr"/>
      <c r="D1292" s="165" t="n"/>
      <c r="E1292" t="inlineStr"/>
    </row>
    <row r="1293">
      <c r="B1293" t="inlineStr"/>
      <c r="D1293" s="165" t="n"/>
      <c r="E1293" t="inlineStr"/>
    </row>
    <row r="1294">
      <c r="B1294" t="inlineStr"/>
      <c r="D1294" s="165" t="n"/>
      <c r="E1294" t="inlineStr"/>
    </row>
    <row r="1295">
      <c r="B1295" t="inlineStr"/>
      <c r="D1295" s="165" t="n"/>
      <c r="E1295" t="inlineStr"/>
    </row>
    <row r="1296">
      <c r="B1296" t="inlineStr"/>
      <c r="D1296" s="165" t="n"/>
      <c r="E1296" t="inlineStr"/>
    </row>
    <row r="1297">
      <c r="B1297" t="inlineStr"/>
      <c r="D1297" s="165" t="n"/>
      <c r="E1297" t="inlineStr"/>
    </row>
    <row r="1298">
      <c r="B1298" t="inlineStr"/>
      <c r="D1298" s="165" t="n"/>
      <c r="E1298" t="inlineStr"/>
    </row>
    <row r="1299">
      <c r="B1299" t="inlineStr"/>
      <c r="D1299" s="165" t="n"/>
      <c r="E1299" t="inlineStr"/>
    </row>
    <row r="1300">
      <c r="B1300" t="inlineStr"/>
      <c r="D1300" s="165" t="n"/>
      <c r="E1300" t="inlineStr"/>
    </row>
    <row r="1301">
      <c r="B1301" t="inlineStr"/>
      <c r="D1301" s="165" t="n"/>
      <c r="E1301" t="inlineStr"/>
    </row>
    <row r="1302">
      <c r="B1302" t="inlineStr"/>
      <c r="D1302" s="165" t="n"/>
      <c r="E1302" t="inlineStr"/>
    </row>
    <row r="1303">
      <c r="B1303" t="inlineStr"/>
      <c r="D1303" s="165" t="n"/>
      <c r="E1303" t="inlineStr"/>
    </row>
    <row r="1304">
      <c r="B1304" t="inlineStr"/>
      <c r="D1304" s="165" t="n"/>
      <c r="E1304" t="inlineStr"/>
    </row>
    <row r="1305">
      <c r="B1305" t="inlineStr"/>
      <c r="D1305" s="165" t="n"/>
      <c r="E1305" t="inlineStr"/>
    </row>
    <row r="1306">
      <c r="B1306" t="inlineStr"/>
      <c r="D1306" s="165" t="n"/>
      <c r="E1306" t="inlineStr"/>
    </row>
    <row r="1307">
      <c r="B1307" t="inlineStr"/>
      <c r="D1307" s="165" t="n"/>
      <c r="E1307" t="inlineStr"/>
    </row>
    <row r="1308">
      <c r="B1308" t="inlineStr"/>
      <c r="D1308" s="165" t="n"/>
      <c r="E1308" t="inlineStr"/>
    </row>
    <row r="1309">
      <c r="B1309" t="inlineStr"/>
      <c r="D1309" s="165" t="n"/>
      <c r="E1309" t="inlineStr"/>
    </row>
    <row r="1310">
      <c r="B1310" t="inlineStr"/>
      <c r="D1310" s="165" t="n"/>
      <c r="E1310" t="inlineStr"/>
    </row>
    <row r="1311">
      <c r="B1311" t="inlineStr"/>
      <c r="D1311" s="165" t="n"/>
      <c r="E1311" t="inlineStr"/>
    </row>
    <row r="1312">
      <c r="B1312" t="inlineStr"/>
      <c r="D1312" s="165" t="n"/>
      <c r="E1312" t="inlineStr"/>
    </row>
    <row r="1313">
      <c r="B1313" t="inlineStr"/>
      <c r="D1313" s="165" t="n"/>
      <c r="E1313" t="inlineStr"/>
    </row>
    <row r="1314">
      <c r="B1314" t="inlineStr"/>
      <c r="D1314" s="165" t="n"/>
      <c r="E1314" t="inlineStr"/>
    </row>
    <row r="1315">
      <c r="B1315" t="inlineStr"/>
      <c r="D1315" s="165" t="n"/>
      <c r="E1315" t="inlineStr"/>
    </row>
    <row r="1316">
      <c r="B1316" t="inlineStr"/>
      <c r="D1316" s="165" t="n"/>
      <c r="E1316" t="inlineStr"/>
    </row>
    <row r="1317">
      <c r="B1317" t="inlineStr"/>
      <c r="D1317" s="165" t="n"/>
      <c r="E1317" t="inlineStr"/>
    </row>
    <row r="1318">
      <c r="B1318" t="inlineStr"/>
      <c r="D1318" s="165" t="n"/>
      <c r="E1318" t="inlineStr"/>
    </row>
    <row r="1319">
      <c r="B1319" t="inlineStr"/>
      <c r="D1319" s="165" t="n"/>
      <c r="E1319" t="inlineStr"/>
    </row>
    <row r="1320">
      <c r="B1320" t="inlineStr"/>
      <c r="D1320" s="165" t="n"/>
      <c r="E1320" t="inlineStr"/>
    </row>
    <row r="1321">
      <c r="B1321" t="inlineStr"/>
      <c r="D1321" s="165" t="n"/>
      <c r="E1321" t="inlineStr"/>
    </row>
    <row r="1322">
      <c r="B1322" t="inlineStr"/>
      <c r="D1322" s="165" t="n"/>
      <c r="E1322" t="inlineStr"/>
    </row>
    <row r="1323">
      <c r="B1323" t="inlineStr"/>
      <c r="D1323" s="165" t="n"/>
      <c r="E1323" t="inlineStr"/>
    </row>
    <row r="1324">
      <c r="B1324" t="inlineStr"/>
      <c r="D1324" s="165" t="n"/>
      <c r="E1324" t="inlineStr"/>
    </row>
    <row r="1325">
      <c r="B1325" t="inlineStr"/>
      <c r="D1325" s="165" t="n"/>
      <c r="E1325" t="inlineStr"/>
    </row>
    <row r="1326">
      <c r="B1326" t="inlineStr"/>
      <c r="D1326" s="165" t="n"/>
      <c r="E1326" t="inlineStr"/>
    </row>
    <row r="1327">
      <c r="B1327" t="inlineStr"/>
      <c r="D1327" s="165" t="n"/>
      <c r="E1327" t="inlineStr"/>
    </row>
    <row r="1328">
      <c r="B1328" t="inlineStr"/>
      <c r="D1328" s="165" t="n"/>
      <c r="E1328" t="inlineStr"/>
    </row>
    <row r="1329">
      <c r="B1329" t="inlineStr"/>
      <c r="D1329" s="165" t="n"/>
      <c r="E1329" t="inlineStr"/>
    </row>
    <row r="1330">
      <c r="B1330" t="inlineStr"/>
      <c r="D1330" s="165" t="n"/>
      <c r="E1330" t="inlineStr"/>
    </row>
    <row r="1331">
      <c r="B1331" t="inlineStr"/>
      <c r="D1331" s="165" t="n"/>
      <c r="E1331" t="inlineStr"/>
    </row>
    <row r="1332">
      <c r="B1332" t="inlineStr"/>
      <c r="D1332" s="165" t="n"/>
      <c r="E1332" t="inlineStr"/>
    </row>
    <row r="1333">
      <c r="B1333" t="inlineStr"/>
      <c r="D1333" s="165" t="n"/>
      <c r="E1333" t="inlineStr"/>
    </row>
    <row r="1334">
      <c r="B1334" t="inlineStr"/>
      <c r="D1334" s="165" t="n"/>
      <c r="E1334" t="inlineStr"/>
    </row>
    <row r="1335">
      <c r="B1335" t="inlineStr"/>
      <c r="D1335" s="165" t="n"/>
      <c r="E1335" t="inlineStr"/>
    </row>
    <row r="1336">
      <c r="B1336" t="inlineStr"/>
      <c r="D1336" s="165" t="n"/>
      <c r="E1336" t="inlineStr"/>
    </row>
    <row r="1337">
      <c r="B1337" t="inlineStr"/>
      <c r="D1337" s="165" t="n"/>
      <c r="E1337" t="inlineStr"/>
    </row>
    <row r="1338">
      <c r="B1338" t="inlineStr"/>
      <c r="D1338" s="165" t="n"/>
      <c r="E1338" t="inlineStr"/>
    </row>
    <row r="1339">
      <c r="B1339" t="inlineStr"/>
      <c r="D1339" s="165" t="n"/>
      <c r="E1339" t="inlineStr"/>
    </row>
    <row r="1340">
      <c r="B1340" t="inlineStr"/>
      <c r="D1340" s="165" t="n"/>
      <c r="E1340" t="inlineStr"/>
    </row>
    <row r="1341">
      <c r="B1341" t="inlineStr"/>
      <c r="D1341" s="165" t="n"/>
      <c r="E1341" t="inlineStr"/>
    </row>
    <row r="1342">
      <c r="B1342" t="inlineStr"/>
      <c r="D1342" s="165" t="n"/>
      <c r="E1342" t="inlineStr"/>
    </row>
    <row r="1343">
      <c r="B1343" t="inlineStr"/>
      <c r="D1343" s="165" t="n"/>
      <c r="E1343" t="inlineStr"/>
    </row>
    <row r="1344">
      <c r="B1344" t="inlineStr"/>
      <c r="D1344" s="165" t="n"/>
      <c r="E1344" t="inlineStr"/>
    </row>
    <row r="1345">
      <c r="B1345" t="inlineStr"/>
      <c r="D1345" s="165" t="n"/>
      <c r="E1345" t="inlineStr"/>
    </row>
    <row r="1346">
      <c r="B1346" t="inlineStr"/>
      <c r="D1346" s="165" t="n"/>
      <c r="E1346" t="inlineStr"/>
    </row>
    <row r="1347">
      <c r="B1347" t="inlineStr"/>
      <c r="D1347" s="165" t="n"/>
      <c r="E1347" t="inlineStr"/>
    </row>
    <row r="1348">
      <c r="B1348" t="inlineStr"/>
      <c r="D1348" s="165" t="n"/>
      <c r="E1348" t="inlineStr"/>
    </row>
    <row r="1349">
      <c r="B1349" t="inlineStr"/>
      <c r="D1349" s="165" t="n"/>
      <c r="E1349" t="inlineStr"/>
    </row>
    <row r="1350">
      <c r="B1350" t="inlineStr"/>
      <c r="D1350" s="165" t="n"/>
      <c r="E1350" t="inlineStr"/>
    </row>
    <row r="1351">
      <c r="B1351" t="inlineStr"/>
      <c r="D1351" s="165" t="n"/>
      <c r="E1351" t="inlineStr"/>
    </row>
    <row r="1352">
      <c r="B1352" t="inlineStr"/>
      <c r="D1352" s="165" t="n"/>
      <c r="E1352" t="inlineStr"/>
    </row>
    <row r="1353">
      <c r="B1353" t="inlineStr"/>
      <c r="D1353" s="165" t="n"/>
      <c r="E1353" t="inlineStr"/>
    </row>
    <row r="1354">
      <c r="B1354" t="inlineStr"/>
      <c r="D1354" s="165" t="n"/>
      <c r="E1354" t="inlineStr"/>
    </row>
    <row r="1355">
      <c r="B1355" t="inlineStr"/>
      <c r="D1355" s="165" t="n"/>
      <c r="E1355" t="inlineStr"/>
    </row>
    <row r="1356">
      <c r="B1356" t="inlineStr"/>
      <c r="D1356" s="165" t="n"/>
      <c r="E1356" t="inlineStr"/>
    </row>
    <row r="1357">
      <c r="B1357" t="inlineStr"/>
      <c r="D1357" s="165" t="n"/>
      <c r="E1357" t="inlineStr"/>
    </row>
    <row r="1358">
      <c r="B1358" t="inlineStr"/>
      <c r="D1358" s="165" t="n"/>
      <c r="E1358" t="inlineStr"/>
    </row>
    <row r="1359">
      <c r="B1359" t="inlineStr"/>
      <c r="D1359" s="165" t="n"/>
      <c r="E1359" t="inlineStr"/>
    </row>
    <row r="1360">
      <c r="B1360" t="inlineStr"/>
      <c r="D1360" s="165" t="n"/>
      <c r="E1360" t="inlineStr"/>
    </row>
    <row r="1361">
      <c r="B1361" t="inlineStr"/>
      <c r="D1361" s="165" t="n"/>
      <c r="E1361" t="inlineStr"/>
    </row>
    <row r="1362">
      <c r="B1362" t="inlineStr"/>
      <c r="D1362" s="165" t="n"/>
      <c r="E1362" t="inlineStr"/>
    </row>
    <row r="1363">
      <c r="B1363" t="inlineStr"/>
      <c r="D1363" s="165" t="n"/>
      <c r="E1363" t="inlineStr"/>
    </row>
    <row r="1364">
      <c r="B1364" t="inlineStr"/>
      <c r="D1364" s="165" t="n"/>
      <c r="E1364" t="inlineStr"/>
    </row>
    <row r="1365">
      <c r="B1365" t="inlineStr"/>
      <c r="D1365" s="165" t="n"/>
      <c r="E1365" t="inlineStr"/>
    </row>
    <row r="1366">
      <c r="B1366" t="inlineStr"/>
      <c r="D1366" s="165" t="n"/>
      <c r="E1366" t="inlineStr"/>
    </row>
    <row r="1367">
      <c r="B1367" t="inlineStr"/>
      <c r="D1367" s="165" t="n"/>
      <c r="E1367" t="inlineStr"/>
    </row>
    <row r="1368">
      <c r="B1368" t="inlineStr"/>
      <c r="D1368" s="165" t="n"/>
      <c r="E1368" t="inlineStr"/>
    </row>
    <row r="1369">
      <c r="B1369" t="inlineStr"/>
      <c r="D1369" s="165" t="n"/>
      <c r="E1369" t="inlineStr"/>
    </row>
    <row r="1370">
      <c r="B1370" t="inlineStr"/>
      <c r="D1370" s="165" t="n"/>
      <c r="E1370" t="inlineStr"/>
    </row>
    <row r="1371">
      <c r="B1371" t="inlineStr"/>
      <c r="D1371" s="165" t="n"/>
      <c r="E1371" t="inlineStr"/>
    </row>
    <row r="1372">
      <c r="B1372" t="inlineStr"/>
      <c r="D1372" s="165" t="n"/>
      <c r="E1372" t="inlineStr"/>
    </row>
    <row r="1373">
      <c r="B1373" t="inlineStr"/>
      <c r="D1373" s="165" t="n"/>
      <c r="E1373" t="inlineStr"/>
    </row>
    <row r="1374">
      <c r="B1374" t="inlineStr"/>
      <c r="D1374" s="165" t="n"/>
      <c r="E1374" t="inlineStr"/>
    </row>
    <row r="1375">
      <c r="B1375" t="inlineStr"/>
      <c r="D1375" s="165" t="n"/>
      <c r="E1375" t="inlineStr"/>
    </row>
    <row r="1376">
      <c r="B1376" t="inlineStr"/>
      <c r="D1376" s="165" t="n"/>
      <c r="E1376" t="inlineStr"/>
    </row>
    <row r="1377">
      <c r="B1377" t="inlineStr"/>
      <c r="D1377" s="165" t="n"/>
      <c r="E1377" t="inlineStr"/>
    </row>
    <row r="1378">
      <c r="B1378" t="inlineStr"/>
      <c r="D1378" s="165" t="n"/>
      <c r="E1378" t="inlineStr"/>
    </row>
    <row r="1379">
      <c r="B1379" t="inlineStr"/>
      <c r="D1379" s="165" t="n"/>
      <c r="E1379" t="inlineStr"/>
    </row>
    <row r="1380">
      <c r="B1380" t="inlineStr"/>
      <c r="D1380" s="165" t="n"/>
      <c r="E1380" t="inlineStr"/>
    </row>
    <row r="1381">
      <c r="B1381" t="inlineStr"/>
      <c r="D1381" s="165" t="n"/>
      <c r="E1381" t="inlineStr"/>
    </row>
    <row r="1382">
      <c r="B1382" t="inlineStr"/>
      <c r="D1382" s="165" t="n"/>
      <c r="E1382" t="inlineStr"/>
    </row>
    <row r="1383">
      <c r="B1383" t="inlineStr"/>
      <c r="D1383" s="165" t="n"/>
      <c r="E1383" t="inlineStr"/>
    </row>
    <row r="1384">
      <c r="B1384" t="inlineStr"/>
      <c r="D1384" s="165" t="n"/>
      <c r="E1384" t="inlineStr"/>
    </row>
    <row r="1385">
      <c r="B1385" t="inlineStr"/>
      <c r="D1385" s="165" t="n"/>
      <c r="E1385" t="inlineStr"/>
    </row>
    <row r="1386">
      <c r="B1386" t="inlineStr"/>
      <c r="D1386" s="165" t="n"/>
      <c r="E1386" t="inlineStr"/>
    </row>
    <row r="1387">
      <c r="B1387" t="inlineStr"/>
      <c r="D1387" s="165" t="n"/>
      <c r="E1387" t="inlineStr"/>
    </row>
    <row r="1388">
      <c r="B1388" t="inlineStr"/>
      <c r="D1388" s="165" t="n"/>
      <c r="E1388" t="inlineStr"/>
    </row>
    <row r="1389">
      <c r="B1389" t="inlineStr"/>
      <c r="D1389" s="165" t="n"/>
      <c r="E1389" t="inlineStr"/>
    </row>
    <row r="1390">
      <c r="B1390" t="inlineStr"/>
      <c r="D1390" s="165" t="n"/>
      <c r="E1390" t="inlineStr"/>
    </row>
    <row r="1391">
      <c r="B1391" t="inlineStr"/>
      <c r="D1391" s="165" t="n"/>
      <c r="E1391" t="inlineStr"/>
    </row>
    <row r="1392">
      <c r="B1392" t="inlineStr"/>
      <c r="D1392" s="165" t="n"/>
      <c r="E1392" t="inlineStr"/>
    </row>
    <row r="1393">
      <c r="B1393" t="inlineStr"/>
      <c r="D1393" s="165" t="n"/>
      <c r="E1393" t="inlineStr"/>
    </row>
    <row r="1394">
      <c r="B1394" t="inlineStr"/>
      <c r="D1394" s="165" t="n"/>
      <c r="E1394" t="inlineStr"/>
    </row>
    <row r="1395">
      <c r="B1395" t="inlineStr"/>
      <c r="D1395" s="165" t="n"/>
      <c r="E1395" t="inlineStr"/>
    </row>
    <row r="1396">
      <c r="B1396" t="inlineStr"/>
      <c r="D1396" s="165" t="n"/>
      <c r="E1396" t="inlineStr"/>
    </row>
    <row r="1397">
      <c r="B1397" t="inlineStr"/>
      <c r="D1397" s="165" t="n"/>
      <c r="E1397" t="inlineStr"/>
    </row>
    <row r="1398">
      <c r="B1398" t="inlineStr"/>
      <c r="D1398" s="165" t="n"/>
      <c r="E1398" t="inlineStr"/>
    </row>
    <row r="1399">
      <c r="B1399" t="inlineStr"/>
      <c r="D1399" s="165" t="n"/>
      <c r="E1399" t="inlineStr"/>
    </row>
    <row r="1400">
      <c r="B1400" t="inlineStr"/>
      <c r="D1400" s="165" t="n"/>
      <c r="E1400" t="inlineStr"/>
    </row>
    <row r="1401">
      <c r="B1401" t="inlineStr"/>
      <c r="D1401" s="165" t="n"/>
      <c r="E1401" t="inlineStr"/>
    </row>
    <row r="1402">
      <c r="B1402" t="inlineStr"/>
      <c r="D1402" s="165" t="n"/>
      <c r="E1402" t="inlineStr"/>
    </row>
    <row r="1403">
      <c r="B1403" t="inlineStr"/>
      <c r="D1403" s="165" t="n"/>
      <c r="E1403" t="inlineStr"/>
    </row>
    <row r="1404">
      <c r="B1404" t="inlineStr"/>
      <c r="D1404" s="165" t="n"/>
      <c r="E1404" t="inlineStr"/>
    </row>
    <row r="1405">
      <c r="B1405" t="inlineStr"/>
      <c r="D1405" s="165" t="n"/>
      <c r="E1405" t="inlineStr"/>
    </row>
    <row r="1406">
      <c r="B1406" t="inlineStr"/>
      <c r="D1406" s="165" t="n"/>
      <c r="E1406" t="inlineStr"/>
    </row>
    <row r="1407">
      <c r="B1407" t="inlineStr"/>
      <c r="D1407" s="165" t="n"/>
      <c r="E1407" t="inlineStr"/>
    </row>
    <row r="1408">
      <c r="B1408" t="inlineStr"/>
      <c r="D1408" s="165" t="n"/>
      <c r="E1408" t="inlineStr"/>
    </row>
    <row r="1409">
      <c r="B1409" t="inlineStr"/>
      <c r="D1409" s="165" t="n"/>
      <c r="E1409" t="inlineStr"/>
    </row>
    <row r="1410">
      <c r="B1410" t="inlineStr"/>
      <c r="D1410" s="165" t="n"/>
      <c r="E1410" t="inlineStr"/>
    </row>
    <row r="1411">
      <c r="B1411" t="inlineStr"/>
      <c r="D1411" s="165" t="n"/>
      <c r="E1411" t="inlineStr"/>
    </row>
    <row r="1412">
      <c r="B1412" t="inlineStr"/>
      <c r="D1412" s="165" t="n"/>
      <c r="E1412" t="inlineStr"/>
    </row>
    <row r="1413">
      <c r="B1413" t="inlineStr"/>
      <c r="D1413" s="165" t="n"/>
      <c r="E1413" t="inlineStr"/>
    </row>
    <row r="1414">
      <c r="B1414" t="inlineStr"/>
      <c r="D1414" s="165" t="n"/>
      <c r="E1414" t="inlineStr"/>
    </row>
    <row r="1415">
      <c r="B1415" t="inlineStr"/>
      <c r="D1415" s="165" t="n"/>
      <c r="E1415" t="inlineStr"/>
    </row>
    <row r="1416">
      <c r="B1416" t="inlineStr"/>
      <c r="D1416" s="165" t="n"/>
      <c r="E1416" t="inlineStr"/>
    </row>
    <row r="1417">
      <c r="B1417" t="inlineStr"/>
      <c r="D1417" s="165" t="n"/>
      <c r="E1417" t="inlineStr"/>
    </row>
    <row r="1418">
      <c r="B1418" t="inlineStr"/>
      <c r="D1418" s="165" t="n"/>
      <c r="E1418" t="inlineStr"/>
    </row>
    <row r="1419">
      <c r="B1419" t="inlineStr"/>
      <c r="D1419" s="165" t="n"/>
      <c r="E1419" t="inlineStr"/>
    </row>
    <row r="1420">
      <c r="B1420" t="inlineStr"/>
      <c r="D1420" s="165" t="n"/>
      <c r="E1420" t="inlineStr"/>
    </row>
  </sheetData>
  <autoFilter ref="$A$1:$D$753"/>
  <conditionalFormatting sqref="D1:D1420">
    <cfRule type="containsText" priority="1" operator="containsText" dxfId="0" text="--">
      <formula>NOT(ISERROR(SEARCH(("--"),(D1))))</formula>
    </cfRule>
  </conditionalFormatting>
  <hyperlinks>
    <hyperlink xmlns:r="http://schemas.openxmlformats.org/officeDocument/2006/relationships" ref="A631" r:id="rId1"/>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46"/>
  <sheetViews>
    <sheetView workbookViewId="0">
      <selection activeCell="A1" sqref="A1"/>
    </sheetView>
  </sheetViews>
  <sheetFormatPr baseColWidth="8" defaultColWidth="14.43" defaultRowHeight="15" customHeight="1"/>
  <cols>
    <col width="14.71" customWidth="1" style="305" min="1" max="1"/>
    <col width="16.86" customWidth="1" style="305" min="2" max="2"/>
    <col width="21.86" customWidth="1" style="305" min="3" max="3"/>
    <col width="24.86" customWidth="1" style="305" min="4" max="4"/>
    <col width="37.86" customWidth="1" style="305" min="5" max="5"/>
    <col width="10.71" customWidth="1" style="305" min="6" max="27"/>
  </cols>
  <sheetData>
    <row r="1">
      <c r="A1" s="169" t="inlineStr">
        <is>
          <t>key</t>
        </is>
      </c>
      <c r="B1" s="169" t="inlineStr">
        <is>
          <t>vi</t>
        </is>
      </c>
      <c r="C1" s="168" t="inlineStr">
        <is>
          <t>en</t>
        </is>
      </c>
      <c r="D1" s="150" t="inlineStr">
        <is>
          <t>GG Dịch</t>
        </is>
      </c>
      <c r="E1" s="169" t="inlineStr">
        <is>
          <t>cam Nita</t>
        </is>
      </c>
      <c r="F1" s="308" t="inlineStr">
        <is>
          <t>cam Thean</t>
        </is>
      </c>
    </row>
    <row r="2">
      <c r="A2" s="170" t="n">
        <v>100</v>
      </c>
      <c r="B2" s="171" t="inlineStr">
        <is>
          <t>Tạo mới</t>
        </is>
      </c>
      <c r="C2" s="172" t="inlineStr">
        <is>
          <t>NEW</t>
        </is>
      </c>
      <c r="D2" s="173">
        <f>IFERROR(__xludf.DUMMYFUNCTION("GOOGLETRANSLATE(B2,""vi"",""km"")"),"បង្កើតថ្មី")</f>
        <v/>
      </c>
      <c r="E2" s="174" t="inlineStr">
        <is>
          <t>បង្កើតថ្មី</t>
        </is>
      </c>
      <c r="F2" t="inlineStr">
        <is>
          <t>បង្កើតថ្មី</t>
        </is>
      </c>
    </row>
    <row r="3">
      <c r="A3" s="170" t="n">
        <v>110</v>
      </c>
      <c r="B3" s="171" t="inlineStr">
        <is>
          <t>Chưa tiếp nhận</t>
        </is>
      </c>
      <c r="C3" s="172" t="inlineStr">
        <is>
          <t>Confirmed</t>
        </is>
      </c>
      <c r="D3" s="173">
        <f>IFERROR(__xludf.DUMMYFUNCTION("GOOGLETRANSLATE(B3,""vi"",""km"")"),"មិនទាន់ទទួលបាននៅឡើយទេ")</f>
        <v/>
      </c>
      <c r="E3" s="174" t="inlineStr">
        <is>
          <t>មិនទាន់ទទួល</t>
        </is>
      </c>
      <c r="F3" t="inlineStr">
        <is>
          <t>មិនទាន់ទទួល</t>
        </is>
      </c>
    </row>
    <row r="4">
      <c r="A4" s="170" t="n">
        <v>120</v>
      </c>
      <c r="B4" s="171" t="inlineStr">
        <is>
          <t>Đã tiếp nhận</t>
        </is>
      </c>
      <c r="C4" s="172" t="inlineStr">
        <is>
          <t>Waiting to receive</t>
        </is>
      </c>
      <c r="D4" s="173">
        <f>IFERROR(__xludf.DUMMYFUNCTION("GOOGLETRANSLATE(B4,""vi"",""km"")"),"បានទទួល")</f>
        <v/>
      </c>
      <c r="E4" s="174" t="inlineStr">
        <is>
          <t>បានទទួល</t>
        </is>
      </c>
      <c r="F4" t="inlineStr">
        <is>
          <t>បានទទួល</t>
        </is>
      </c>
    </row>
    <row r="5">
      <c r="A5" s="170" t="n">
        <v>200</v>
      </c>
      <c r="B5" s="171" t="inlineStr">
        <is>
          <t>Đang lấy hàng</t>
        </is>
      </c>
      <c r="C5" s="172" t="inlineStr">
        <is>
          <t>Receiving</t>
        </is>
      </c>
      <c r="D5" s="173">
        <f>IFERROR(__xludf.DUMMYFUNCTION("GOOGLETRANSLATE(B5,""vi"",""km"")"),"កំពុង​ទៅ​យក​ទំនិញ")</f>
        <v/>
      </c>
      <c r="E5" s="174" t="inlineStr">
        <is>
          <t>កំពុងទៅយកអីវ៉ាន់</t>
        </is>
      </c>
      <c r="F5" t="inlineStr">
        <is>
          <t>កំពុងទៅយកអីវ៉ាន់</t>
        </is>
      </c>
    </row>
    <row r="6">
      <c r="A6" s="170" t="n">
        <v>201</v>
      </c>
      <c r="B6" s="171" t="inlineStr">
        <is>
          <t>Hủy đơn</t>
        </is>
      </c>
      <c r="C6" s="172" t="inlineStr">
        <is>
          <t>Cancelled</t>
        </is>
      </c>
      <c r="D6" s="173">
        <f>IFERROR(__xludf.DUMMYFUNCTION("GOOGLETRANSLATE(B6,""vi"",""km"")"),"លុបចោលការបញ្ជាទិញ")</f>
        <v/>
      </c>
      <c r="E6" s="174" t="inlineStr">
        <is>
          <t>លុបបុងចោល</t>
        </is>
      </c>
      <c r="F6" t="inlineStr">
        <is>
          <t>លុបបុងចោល</t>
        </is>
      </c>
    </row>
    <row r="7">
      <c r="A7" s="170" t="n">
        <v>210</v>
      </c>
      <c r="B7" s="171" t="inlineStr">
        <is>
          <t>Đã lấy hàng</t>
        </is>
      </c>
      <c r="C7" s="172" t="inlineStr">
        <is>
          <t>Received</t>
        </is>
      </c>
      <c r="D7" s="173">
        <f>IFERROR(__xludf.DUMMYFUNCTION("GOOGLETRANSLATE(B7,""vi"",""km"")"),"ទំនិញត្រូវបានទទួល។")</f>
        <v/>
      </c>
      <c r="E7" s="174" t="inlineStr">
        <is>
          <t>បានយកអីវ៉ាន់រួចរាល់</t>
        </is>
      </c>
      <c r="F7" t="inlineStr">
        <is>
          <t>បានយកអីវ៉ាន់រួចរាល់</t>
        </is>
      </c>
    </row>
    <row r="8">
      <c r="A8" s="170" t="n">
        <v>220</v>
      </c>
      <c r="B8" s="171" t="inlineStr">
        <is>
          <t>Hẹn lấy lại</t>
        </is>
      </c>
      <c r="C8" s="172" t="inlineStr">
        <is>
          <t>Receive again</t>
        </is>
      </c>
      <c r="D8" s="173">
        <f>IFERROR(__xludf.DUMMYFUNCTION("GOOGLETRANSLATE(B8,""vi"",""km"")"),"ជួបគ្នាម្តងទៀត")</f>
        <v/>
      </c>
      <c r="E8" s="174" t="inlineStr">
        <is>
          <t>ណាត់ពេលទៅយកម្តងទៀត</t>
        </is>
      </c>
      <c r="F8" t="inlineStr">
        <is>
          <t>ណាត់ពេលទៅយកម្តងទៀត</t>
        </is>
      </c>
    </row>
    <row r="9">
      <c r="A9" s="170" t="n">
        <v>230</v>
      </c>
      <c r="B9" s="171" t="inlineStr">
        <is>
          <t>Không lấy được hàng</t>
        </is>
      </c>
      <c r="C9" s="172" t="inlineStr">
        <is>
          <t>Receive failed</t>
        </is>
      </c>
      <c r="D9" s="173">
        <f>IFERROR(__xludf.DUMMYFUNCTION("GOOGLETRANSLATE(B9,""vi"",""km"")"),"មិនអាចទទួលទំនិញបានទេ។")</f>
        <v/>
      </c>
      <c r="E9" s="174" t="inlineStr">
        <is>
          <t>យកអីវ៉ាន់មិនបានសម្រេច</t>
        </is>
      </c>
      <c r="F9" t="inlineStr">
        <is>
          <t>យកអីវ៉ាន់មិនបានសម្រេច</t>
        </is>
      </c>
    </row>
    <row r="10">
      <c r="A10" s="170" t="n">
        <v>300</v>
      </c>
      <c r="B10" s="171" t="inlineStr">
        <is>
          <t>Đang vận chuyển giao</t>
        </is>
      </c>
      <c r="C10" s="172" t="inlineStr">
        <is>
          <t>Transiting</t>
        </is>
      </c>
      <c r="D10" s="173">
        <f>IFERROR(__xludf.DUMMYFUNCTION("GOOGLETRANSLATE(B10,""vi"",""km"")"),"បច្ចុប្បន្នកំពុងដឹកជញ្ជូន។")</f>
        <v/>
      </c>
      <c r="E10" s="174" t="inlineStr">
        <is>
          <t>កំពុងដឹកជញ្ជូនចែកចាយ</t>
        </is>
      </c>
      <c r="F10" t="inlineStr">
        <is>
          <t>កំពុងដឹកជញ្ជូនចែកចាយ</t>
        </is>
      </c>
    </row>
    <row r="11">
      <c r="A11" s="175" t="n">
        <v>301</v>
      </c>
      <c r="B11" s="176" t="inlineStr">
        <is>
          <t>Loại bỏ đơn khỏi tải</t>
        </is>
      </c>
      <c r="C11" s="177" t="inlineStr">
        <is>
          <t>Remove order from load</t>
        </is>
      </c>
      <c r="D11" s="173">
        <f>IFERROR(__xludf.DUMMYFUNCTION("GOOGLETRANSLATE(B11,""vi"",""km"")"),"យកលំដាប់ចេញពីបន្ទុក។")</f>
        <v/>
      </c>
      <c r="E11" s="174" t="inlineStr">
        <is>
          <t>ដកបុងចេញពីបាវ</t>
        </is>
      </c>
      <c r="F11" t="inlineStr">
        <is>
          <t>ដកបុងចេញពីបាវ</t>
        </is>
      </c>
    </row>
    <row r="12">
      <c r="A12" s="178" t="n">
        <v>302</v>
      </c>
      <c r="B12" s="179" t="inlineStr">
        <is>
          <t>Hoàn thành tải</t>
        </is>
      </c>
      <c r="C12" s="180" t="inlineStr">
        <is>
          <t>Complete load</t>
        </is>
      </c>
      <c r="D12" s="173">
        <f>IFERROR(__xludf.DUMMYFUNCTION("GOOGLETRANSLATE(B12,""vi"",""km"")"),"ការទាញយកបានបញ្ចប់")</f>
        <v/>
      </c>
      <c r="E12" s="174" t="inlineStr">
        <is>
          <t>បញ្ចប់ការផ្ទុកទំនិញ</t>
        </is>
      </c>
      <c r="F12" t="inlineStr">
        <is>
          <t>បញ្ចប់ការផ្ទុកទំនិញ</t>
        </is>
      </c>
    </row>
    <row r="13">
      <c r="A13" s="178" t="n">
        <v>303</v>
      </c>
      <c r="B13" s="179" t="inlineStr">
        <is>
          <t>Gửi yêu cầu vận tải</t>
        </is>
      </c>
      <c r="C13" s="180" t="inlineStr">
        <is>
          <t>Submit tranport request</t>
        </is>
      </c>
      <c r="D13" s="173">
        <f>IFERROR(__xludf.DUMMYFUNCTION("GOOGLETRANSLATE(B13,""vi"",""km"")"),"ដាក់ស្នើសំណើដឹកជញ្ជូន។")</f>
        <v/>
      </c>
      <c r="E13" s="174" t="inlineStr">
        <is>
          <t>ផ្ញើសំណើដឹកជញ្ជូន</t>
        </is>
      </c>
      <c r="F13" t="inlineStr">
        <is>
          <t>ផ្ញើសំណើដឹកជញ្ជូន</t>
        </is>
      </c>
    </row>
    <row r="14">
      <c r="A14" s="178" t="n">
        <v>304</v>
      </c>
      <c r="B14" s="179" t="inlineStr">
        <is>
          <t>Xác nhận đến đơn vị</t>
        </is>
      </c>
      <c r="C14" s="180" t="inlineStr">
        <is>
          <t>Check in</t>
        </is>
      </c>
      <c r="D14" s="173">
        <f>IFERROR(__xludf.DUMMYFUNCTION("GOOGLETRANSLATE(B14,""vi"",""km"")"),"ការបញ្ជាក់ទៅកាន់អង្គភាព")</f>
        <v/>
      </c>
      <c r="E14" s="174" t="inlineStr">
        <is>
          <t>បញ្ជាក់ការមកដល់សាខា/ឃ្លាំង</t>
        </is>
      </c>
      <c r="F14" t="inlineStr">
        <is>
          <t>បញ្ជាក់ការមកដល់សាខា/ឃ្លាំង</t>
        </is>
      </c>
    </row>
    <row r="15">
      <c r="A15" s="178" t="n">
        <v>305</v>
      </c>
      <c r="B15" s="179" t="inlineStr">
        <is>
          <t>Tạo bàn giao</t>
        </is>
      </c>
      <c r="C15" s="180" t="inlineStr">
        <is>
          <t>Create handover</t>
        </is>
      </c>
      <c r="D15" s="173">
        <f>IFERROR(__xludf.DUMMYFUNCTION("GOOGLETRANSLATE(B15,""vi"",""km"")"),"បង្កើតការប្រគល់")</f>
        <v/>
      </c>
      <c r="E15" s="174" t="inlineStr">
        <is>
          <t>បង្កើតការប្រគល់ទទួល</t>
        </is>
      </c>
      <c r="F15" t="inlineStr">
        <is>
          <t>បង្កើតការប្រគល់ទទួល</t>
        </is>
      </c>
    </row>
    <row r="16">
      <c r="A16" s="178" t="n">
        <v>306</v>
      </c>
      <c r="B16" s="179" t="inlineStr">
        <is>
          <t>Nhận bàn giao</t>
        </is>
      </c>
      <c r="C16" s="180" t="inlineStr">
        <is>
          <t>Receive handover</t>
        </is>
      </c>
      <c r="D16" s="173">
        <f>IFERROR(__xludf.DUMMYFUNCTION("GOOGLETRANSLATE(B16,""vi"",""km"")"),"ស្វែងរកការប្រគល់")</f>
        <v/>
      </c>
      <c r="E16" s="174" t="inlineStr">
        <is>
          <t>ទទួលការប្រគល់ទទួល</t>
        </is>
      </c>
      <c r="F16" t="inlineStr">
        <is>
          <t>ទទួលការប្រគល់ទទួល</t>
        </is>
      </c>
    </row>
    <row r="17">
      <c r="A17" s="178" t="n">
        <v>307</v>
      </c>
      <c r="B17" s="179" t="inlineStr">
        <is>
          <t>Từ chối nhận bàn giao</t>
        </is>
      </c>
      <c r="C17" s="180" t="inlineStr">
        <is>
          <t>Reject to receive handover</t>
        </is>
      </c>
      <c r="D17" s="173">
        <f>IFERROR(__xludf.DUMMYFUNCTION("GOOGLETRANSLATE(B17,""vi"",""km"")"),"បដិសេធមិនទទួលយកការប្រគល់ជូន។")</f>
        <v/>
      </c>
      <c r="E17" s="174" t="inlineStr">
        <is>
          <t>បដិសេធទទួលការប្រគល់</t>
        </is>
      </c>
      <c r="F17" t="inlineStr">
        <is>
          <t>បដិសេធទទួលការប្រគល់</t>
        </is>
      </c>
    </row>
    <row r="18">
      <c r="A18" s="178" t="n">
        <v>308</v>
      </c>
      <c r="B18" s="179" t="inlineStr">
        <is>
          <t>Xác nhận rời đơn vị</t>
        </is>
      </c>
      <c r="C18" s="180" t="inlineStr">
        <is>
          <t>Check out</t>
        </is>
      </c>
      <c r="D18" s="173">
        <f>IFERROR(__xludf.DUMMYFUNCTION("GOOGLETRANSLATE(B18,""vi"",""km"")"),"ការបញ្ជាក់ពីការចាកចេញពីអង្គភាព")</f>
        <v/>
      </c>
      <c r="E18" s="174" t="inlineStr">
        <is>
          <t>បញ្ជាក់ការចាកចេញពីសាខា/ឃ្លាំង</t>
        </is>
      </c>
      <c r="F18" t="inlineStr">
        <is>
          <t>បញ្ជាក់ការចាកចេញពីសាខា/ឃ្លាំង</t>
        </is>
      </c>
    </row>
    <row r="19">
      <c r="A19" s="178" t="n">
        <v>309</v>
      </c>
      <c r="B19" s="179" t="inlineStr">
        <is>
          <t>Nhận bưu gửi</t>
        </is>
      </c>
      <c r="C19" s="180" t="inlineStr">
        <is>
          <t>Exploited</t>
        </is>
      </c>
      <c r="D19" s="173">
        <f>IFERROR(__xludf.DUMMYFUNCTION("GOOGLETRANSLATE(B19,""vi"",""km"")"),"ទទួល​សំបុត្រ")</f>
        <v/>
      </c>
      <c r="E19" s="181" t="inlineStr">
        <is>
          <t>ទទួលបុងបញ្ញើ</t>
        </is>
      </c>
      <c r="F19" t="inlineStr">
        <is>
          <t>ទទួលបុងបញ្ញើ</t>
        </is>
      </c>
    </row>
    <row r="20">
      <c r="A20" s="170" t="n">
        <v>309</v>
      </c>
      <c r="B20" s="171" t="inlineStr">
        <is>
          <t>Nhận bưu gửi - Chuyển tiếp</t>
        </is>
      </c>
      <c r="C20" s="172" t="inlineStr">
        <is>
          <t>Exploited-Fowarding</t>
        </is>
      </c>
      <c r="D20" s="173">
        <f>IFERROR(__xludf.DUMMYFUNCTION("GOOGLETRANSLATE(B20,""vi"",""km"")"),"ទទួលសំបុត្រ - បញ្ជូនបន្ត")</f>
        <v/>
      </c>
      <c r="E20" s="181" t="inlineStr">
        <is>
          <t>ទទួលបុងបញ្ញើ - បញ្ជូនបន្ត</t>
        </is>
      </c>
      <c r="F20" t="inlineStr">
        <is>
          <t>ទទួលបុងបញ្ញើ - បញ្ជូនបន្ត</t>
        </is>
      </c>
    </row>
    <row r="21" ht="15.75" customHeight="1" s="305">
      <c r="A21" s="175" t="n">
        <v>400</v>
      </c>
      <c r="B21" s="182" t="inlineStr">
        <is>
          <t>Đang giao hàng</t>
        </is>
      </c>
      <c r="C21" s="183" t="inlineStr">
        <is>
          <t>Shipping</t>
        </is>
      </c>
      <c r="D21" s="173">
        <f>IFERROR(__xludf.DUMMYFUNCTION("GOOGLETRANSLATE(B21,""vi"",""km"")"),"ការដឹកជញ្ជូនកំពុងដំណើរការ")</f>
        <v/>
      </c>
      <c r="E21" s="181" t="inlineStr">
        <is>
          <t>កំពុងដឹកចែកអីវ៉ាន់</t>
        </is>
      </c>
      <c r="F21" t="inlineStr">
        <is>
          <t>កំពុងដឹកចែកអីវ៉ាន់</t>
        </is>
      </c>
    </row>
    <row r="22" ht="15.75" customHeight="1" s="305">
      <c r="A22" s="175" t="n">
        <v>401</v>
      </c>
      <c r="B22" s="182" t="inlineStr">
        <is>
          <t xml:space="preserve">Xác nhận phân công
</t>
        </is>
      </c>
      <c r="C22" s="183" t="inlineStr">
        <is>
          <t>Confirm assignment</t>
        </is>
      </c>
      <c r="D22" s="173">
        <f>IFERROR(__xludf.DUMMYFUNCTION("GOOGLETRANSLATE(B22,""vi"",""km"")"),"បញ្ជាក់ការចាត់តាំង")</f>
        <v/>
      </c>
      <c r="E22" s="181" t="inlineStr">
        <is>
          <t>បញ្ជាក់ការចាត់តាំងការងារ</t>
        </is>
      </c>
      <c r="F22" t="inlineStr">
        <is>
          <t>បញ្ជាក់ការចាត់តាំងការងារ</t>
        </is>
      </c>
    </row>
    <row r="23" ht="15.75" customHeight="1" s="305">
      <c r="A23" s="170" t="n">
        <v>410</v>
      </c>
      <c r="B23" s="171" t="inlineStr">
        <is>
          <t>Giao thành công</t>
        </is>
      </c>
      <c r="C23" s="172" t="inlineStr">
        <is>
          <t>Shipped</t>
        </is>
      </c>
      <c r="D23" s="173">
        <f>IFERROR(__xludf.DUMMYFUNCTION("GOOGLETRANSLATE(B23,""vi"",""km"")"),"ការដឹកជញ្ជូនទទួលបានជោគជ័យ")</f>
        <v/>
      </c>
      <c r="E23" s="174" t="inlineStr">
        <is>
          <t>ដឹកជញ្ជូនជោគជ័យ</t>
        </is>
      </c>
      <c r="F23" t="inlineStr">
        <is>
          <t>ដឹកជញ្ជូនជោគជ័យ</t>
        </is>
      </c>
    </row>
    <row r="24" ht="15.75" customHeight="1" s="305">
      <c r="A24" s="170" t="n">
        <v>420</v>
      </c>
      <c r="B24" s="171" t="inlineStr">
        <is>
          <t>Hẹn giao lại</t>
        </is>
      </c>
      <c r="C24" s="172" t="inlineStr">
        <is>
          <t>Ship again</t>
        </is>
      </c>
      <c r="D24" s="173">
        <f>IFERROR(__xludf.DUMMYFUNCTION("GOOGLETRANSLATE(B24,""vi"",""km"")"),"ការដឹកជញ្ជូនត្រូវបានកំណត់ពេលឡើងវិញ")</f>
        <v/>
      </c>
      <c r="E24" s="174" t="inlineStr">
        <is>
          <t>ណាត់ពេលដឹកជញ្ជូនម្តងទៀត</t>
        </is>
      </c>
      <c r="F24" t="inlineStr">
        <is>
          <t>ណាត់ពេលដឹកជញ្ជូនម្តងទៀត</t>
        </is>
      </c>
    </row>
    <row r="25" ht="15.75" customHeight="1" s="305">
      <c r="A25" s="170" t="n">
        <v>430</v>
      </c>
      <c r="B25" s="171" t="inlineStr">
        <is>
          <t>Không giao được hàng</t>
        </is>
      </c>
      <c r="C25" s="172" t="inlineStr">
        <is>
          <t>Ship failed</t>
        </is>
      </c>
      <c r="D25" s="173">
        <f>IFERROR(__xludf.DUMMYFUNCTION("GOOGLETRANSLATE(B25,""vi"",""km"")"),"មិនអាចដឹកជញ្ជូនបានទេ")</f>
        <v/>
      </c>
      <c r="E25" s="174" t="inlineStr">
        <is>
          <t>ដឹកជញ្ជូនមិនបានសម្រេច</t>
        </is>
      </c>
      <c r="F25" t="inlineStr">
        <is>
          <t>ដឹកជញ្ជូនមិនបានសម្រេច</t>
        </is>
      </c>
    </row>
    <row r="26" ht="15.75" customHeight="1" s="305">
      <c r="A26" s="170" t="n">
        <v>440</v>
      </c>
      <c r="B26" s="171" t="inlineStr">
        <is>
          <t>Yêu cầu giao 1 phần</t>
        </is>
      </c>
      <c r="C26" s="172" t="inlineStr">
        <is>
          <t>partial ship request</t>
        </is>
      </c>
      <c r="D26" s="173">
        <f>IFERROR(__xludf.DUMMYFUNCTION("GOOGLETRANSLATE(B26,""vi"",""km"")"),"ស្នើសុំការដឹកជញ្ជូន ១ ចំណែក")</f>
        <v/>
      </c>
      <c r="E26" s="174" t="inlineStr">
        <is>
          <t>ស្នើសុំដឹកជញ្ជូនមួយផ្នែក</t>
        </is>
      </c>
      <c r="F26" t="inlineStr">
        <is>
          <t>ស្នើសុំដឹកជញ្ជូនមួយផ្នែក</t>
        </is>
      </c>
    </row>
    <row r="27" ht="15.75" customHeight="1" s="305">
      <c r="A27" s="170" t="n">
        <v>441</v>
      </c>
      <c r="B27" s="171" t="inlineStr">
        <is>
          <t>Giao thành công 1 phần</t>
        </is>
      </c>
      <c r="C27" s="172" t="inlineStr">
        <is>
          <t>partially shipped</t>
        </is>
      </c>
      <c r="D27" s="173">
        <f>IFERROR(__xludf.DUMMYFUNCTION("GOOGLETRANSLATE(B27,""vi"",""km"")"),"ការដឹកជញ្ជូនដោយផ្នែកទទួលបានជោគជ័យ។")</f>
        <v/>
      </c>
      <c r="E27" s="174" t="inlineStr">
        <is>
          <t>ដឹកជញ្ជូនជោគជ័យមួយផ្នែក</t>
        </is>
      </c>
      <c r="F27" t="inlineStr">
        <is>
          <t>ដឹកជញ្ជូនជោគជ័យមួយផ្នែក</t>
        </is>
      </c>
    </row>
    <row r="28" ht="15.75" customHeight="1" s="305">
      <c r="A28" s="170" t="n">
        <v>450</v>
      </c>
      <c r="B28" s="171" t="inlineStr">
        <is>
          <t>Yêu cầu chuyển địa chỉ</t>
        </is>
      </c>
      <c r="C28" s="184" t="inlineStr">
        <is>
          <t>Forwarding request</t>
        </is>
      </c>
      <c r="D28" s="173">
        <f>IFERROR(__xludf.DUMMYFUNCTION("GOOGLETRANSLATE(B28,""vi"",""km"")"),"សំណើសុំផ្លាស់ប្តូរអាសយដ្ឋាន")</f>
        <v/>
      </c>
      <c r="E28" s="174" t="inlineStr">
        <is>
          <t>ស្នើសុំប្តូរអាសយដ្ឋានដឹកជញ្ជូន</t>
        </is>
      </c>
      <c r="F28" t="inlineStr">
        <is>
          <t>ស្នើសុំប្តូរអាសយដ្ឋានដឹកជញ្ជូន</t>
        </is>
      </c>
    </row>
    <row r="29" ht="15.75" customHeight="1" s="305">
      <c r="A29" s="170" t="n">
        <v>460</v>
      </c>
      <c r="B29" s="171" t="inlineStr">
        <is>
          <t>Thông báo chuyển hoàn</t>
        </is>
      </c>
      <c r="C29" s="172" t="inlineStr">
        <is>
          <t>Return request</t>
        </is>
      </c>
      <c r="D29" s="173">
        <f>IFERROR(__xludf.DUMMYFUNCTION("GOOGLETRANSLATE(B29,""vi"",""km"")"),"ការជូនដំណឹងអំពីការសងប្រាក់វិញ")</f>
        <v/>
      </c>
      <c r="E29" s="181" t="inlineStr">
        <is>
          <t>ជូនដំណឹងអំពីការប្រគល់ត្រឡប់</t>
        </is>
      </c>
      <c r="F29" t="inlineStr">
        <is>
          <t>ជូនដំណឹងអំពីការប្រគល់ត្រឡប់</t>
        </is>
      </c>
    </row>
    <row r="30" ht="15.75" customHeight="1" s="305">
      <c r="A30" s="170" t="n">
        <v>470</v>
      </c>
      <c r="B30" s="171" t="inlineStr">
        <is>
          <t>Đã duyệt hoàn</t>
        </is>
      </c>
      <c r="C30" s="172" t="inlineStr">
        <is>
          <t>Return confirmed</t>
        </is>
      </c>
      <c r="D30" s="173">
        <f>IFERROR(__xludf.DUMMYFUNCTION("GOOGLETRANSLATE(B30,""vi"",""km"")"),"យល់ព្រម")</f>
        <v/>
      </c>
      <c r="E30" s="174" t="inlineStr">
        <is>
          <t>បានអនុម័តការប្រគល់ត្រឡប់</t>
        </is>
      </c>
      <c r="F30" t="inlineStr">
        <is>
          <t>បានអនុម័តការប្រគល់ត្រឡប់</t>
        </is>
      </c>
    </row>
    <row r="31" ht="15.75" customHeight="1" s="305">
      <c r="A31" s="170" t="n">
        <v>471</v>
      </c>
      <c r="B31" s="171" t="inlineStr">
        <is>
          <t>Từ chối hoàn</t>
        </is>
      </c>
      <c r="C31" s="184" t="inlineStr">
        <is>
          <t>Reject to return</t>
        </is>
      </c>
      <c r="D31" s="173">
        <f>IFERROR(__xludf.DUMMYFUNCTION("GOOGLETRANSLATE(B31,""vi"",""km"")"),"បដិសេធការសងប្រាក់វិញ")</f>
        <v/>
      </c>
      <c r="E31" s="174" t="inlineStr">
        <is>
          <t>បដិសេធការប្រគល់ត្រឡប់</t>
        </is>
      </c>
      <c r="F31" t="inlineStr">
        <is>
          <t>បដិសេធការប្រគល់ត្រឡប់</t>
        </is>
      </c>
    </row>
    <row r="32" ht="15.75" customHeight="1" s="305">
      <c r="A32" s="170" t="n">
        <v>472</v>
      </c>
      <c r="B32" s="171" t="inlineStr">
        <is>
          <t>Lưu kho</t>
        </is>
      </c>
      <c r="C32" s="184" t="inlineStr">
        <is>
          <t>Storage</t>
        </is>
      </c>
      <c r="D32" s="173">
        <f>IFERROR(__xludf.DUMMYFUNCTION("GOOGLETRANSLATE(B32,""vi"",""km"")"),"ការផ្ទុក")</f>
        <v/>
      </c>
      <c r="E32" s="174" t="inlineStr">
        <is>
          <t>រក្សាទុកក្នុងឃ្លាំង</t>
        </is>
      </c>
      <c r="F32" t="inlineStr">
        <is>
          <t>រក្សាទុកក្នុងឃ្លាំង</t>
        </is>
      </c>
    </row>
    <row r="33" ht="15.75" customHeight="1" s="305">
      <c r="A33" s="170" t="n">
        <v>473</v>
      </c>
      <c r="B33" s="171" t="inlineStr">
        <is>
          <t>Phát tiếp</t>
        </is>
      </c>
      <c r="C33" s="185" t="inlineStr">
        <is>
          <t>ReDelivery</t>
        </is>
      </c>
      <c r="D33" s="173">
        <f>IFERROR(__xludf.DUMMYFUNCTION("GOOGLETRANSLATE(B33,""vi"",""km"")"),"លេងម្តងទៀត")</f>
        <v/>
      </c>
      <c r="E33" s="181" t="inlineStr">
        <is>
          <t>ដឹកជញ្ជូនបន្ត</t>
        </is>
      </c>
      <c r="F33" t="inlineStr">
        <is>
          <t>ដឹកជញ្ជូនបន្ត</t>
        </is>
      </c>
    </row>
    <row r="34" ht="15.75" customHeight="1" s="305">
      <c r="A34" s="170" t="n">
        <v>480</v>
      </c>
      <c r="B34" s="171" t="inlineStr">
        <is>
          <t>Chuyển giao địa chỉ mới</t>
        </is>
      </c>
      <c r="C34" s="184" t="inlineStr">
        <is>
          <t>Change address</t>
        </is>
      </c>
      <c r="D34" s="173">
        <f>IFERROR(__xludf.DUMMYFUNCTION("GOOGLETRANSLATE(B34,""vi"",""km"")"),"ផ្ទេរទៅអាសយដ្ឋានថ្មី។")</f>
        <v/>
      </c>
      <c r="E34" s="174" t="inlineStr">
        <is>
          <t>ដឹកជញ្ជូនទៅកាន់អាសយដ្ឋានថ្មី</t>
        </is>
      </c>
      <c r="F34" t="inlineStr">
        <is>
          <t>ដឹកជញ្ជូនទៅកាន់អាសយដ្ឋានថ្មី</t>
        </is>
      </c>
    </row>
    <row r="35" ht="15.75" customHeight="1" s="305">
      <c r="A35" s="170" t="n">
        <v>500</v>
      </c>
      <c r="B35" s="171" t="inlineStr">
        <is>
          <t>Đang vận chuyển hoàn</t>
        </is>
      </c>
      <c r="C35" s="172" t="inlineStr">
        <is>
          <t>Shipper return</t>
        </is>
      </c>
      <c r="D35" s="173">
        <f>IFERROR(__xludf.DUMMYFUNCTION("GOOGLETRANSLATE(B35,""vi"",""km"")"),"បច្ចុប្បន្នកំពុងដំណើរការ។")</f>
        <v/>
      </c>
      <c r="E35" s="174" t="inlineStr">
        <is>
          <t>កំពុងដឹកជញ្ជូនត្រឡប់</t>
        </is>
      </c>
      <c r="F35" t="inlineStr">
        <is>
          <t>កំពុងដឹកជញ្ជូនត្រឡប់</t>
        </is>
      </c>
    </row>
    <row r="36" ht="15.75" customHeight="1" s="305">
      <c r="A36" s="170" t="n">
        <v>510</v>
      </c>
      <c r="B36" s="171" t="inlineStr">
        <is>
          <t>Đang giao hoàn</t>
        </is>
      </c>
      <c r="C36" s="172" t="inlineStr">
        <is>
          <t>Returning</t>
        </is>
      </c>
      <c r="D36" s="173">
        <f>IFERROR(__xludf.DUMMYFUNCTION("GOOGLETRANSLATE(B36,""vi"",""km"")"),"កំពុងដំណើរការ")</f>
        <v/>
      </c>
      <c r="E36" s="174" t="inlineStr">
        <is>
          <t>កំពុងប្រគល់ទំនិញត្រឡប់</t>
        </is>
      </c>
      <c r="F36" t="inlineStr">
        <is>
          <t>កំពុងប្រគល់ទំនិញត្រឡប់</t>
        </is>
      </c>
    </row>
    <row r="37" ht="15.75" customHeight="1" s="305">
      <c r="A37" s="170" t="n">
        <v>511</v>
      </c>
      <c r="B37" s="171" t="inlineStr">
        <is>
          <t>Xác nhận phân công hoàn</t>
        </is>
      </c>
      <c r="C37" s="172" t="inlineStr">
        <is>
          <t>Confirm return assignment</t>
        </is>
      </c>
      <c r="D37" s="173">
        <f>IFERROR(__xludf.DUMMYFUNCTION("GOOGLETRANSLATE(B37,""vi"",""km"")"),"បញ្ជាក់ថាកិច្ចការបានបញ្ចប់")</f>
        <v/>
      </c>
      <c r="E37" s="174" t="inlineStr">
        <is>
          <t>បញ្ជាក់ការចាត់តាំងប្រគល់ត្រឡប់</t>
        </is>
      </c>
      <c r="F37" t="inlineStr">
        <is>
          <t>បញ្ជាក់ការចាត់តាំងប្រគល់ត្រឡប់</t>
        </is>
      </c>
    </row>
    <row r="38" ht="15.75" customHeight="1" s="305">
      <c r="A38" s="170" t="n">
        <v>520</v>
      </c>
      <c r="B38" s="171" t="inlineStr">
        <is>
          <t>Đã trả hàng</t>
        </is>
      </c>
      <c r="C38" s="172" t="inlineStr">
        <is>
          <t>Return successful</t>
        </is>
      </c>
      <c r="D38" s="173">
        <f>IFERROR(__xludf.DUMMYFUNCTION("GOOGLETRANSLATE(B38,""vi"",""km"")"),"បានត្រឡប់មកវិញ")</f>
        <v/>
      </c>
      <c r="E38" s="174" t="inlineStr">
        <is>
          <t>បានប្រគល់ទំនិញត្រឡប់</t>
        </is>
      </c>
      <c r="F38" t="inlineStr">
        <is>
          <t>បានប្រគល់ទំនិញត្រឡប់</t>
        </is>
      </c>
    </row>
    <row r="39" ht="15.75" customHeight="1" s="305">
      <c r="A39" s="170" t="n">
        <v>530</v>
      </c>
      <c r="B39" s="171" t="inlineStr">
        <is>
          <t>Hẹn trả hàng</t>
        </is>
      </c>
      <c r="C39" s="172" t="inlineStr">
        <is>
          <t>Return again</t>
        </is>
      </c>
      <c r="D39" s="173">
        <f>IFERROR(__xludf.DUMMYFUNCTION("GOOGLETRANSLATE(B39,""vi"",""km"")"),"កំណត់ពេលដឹកជញ្ជូន")</f>
        <v/>
      </c>
      <c r="E39" s="174" t="inlineStr">
        <is>
          <t>ណាត់ពេលប្រគល់ត្រឡប់ម្តងទៀត</t>
        </is>
      </c>
      <c r="F39" t="inlineStr">
        <is>
          <t>ណាត់ពេលប្រគល់ត្រឡប់ម្តងទៀត</t>
        </is>
      </c>
    </row>
    <row r="40" ht="15.75" customHeight="1" s="305">
      <c r="A40" s="170" t="n">
        <v>540</v>
      </c>
      <c r="B40" s="171" t="inlineStr">
        <is>
          <t>Không trả được hàng</t>
        </is>
      </c>
      <c r="C40" s="172" t="inlineStr">
        <is>
          <t>Return failed</t>
        </is>
      </c>
      <c r="D40" s="173">
        <f>IFERROR(__xludf.DUMMYFUNCTION("GOOGLETRANSLATE(B40,""vi"",""km"")"),"មិនអាចប្រគល់ទំនិញវិញបានទេ។")</f>
        <v/>
      </c>
      <c r="E40" s="174" t="inlineStr">
        <is>
          <t>ប្រគល់ត្រឡប់មិនបានសម្រេច</t>
        </is>
      </c>
      <c r="F40" t="inlineStr">
        <is>
          <t>ប្រគល់ត្រឡប់មិនបានសម្រេច</t>
        </is>
      </c>
    </row>
    <row r="41" ht="15.75" customHeight="1" s="305">
      <c r="A41" s="170" t="n">
        <v>550</v>
      </c>
      <c r="B41" s="171" t="inlineStr">
        <is>
          <t>Đã tiêu hủy</t>
        </is>
      </c>
      <c r="C41" s="172" t="inlineStr">
        <is>
          <t>Disposal</t>
        </is>
      </c>
      <c r="D41" s="173">
        <f>IFERROR(__xludf.DUMMYFUNCTION("GOOGLETRANSLATE(B41,""vi"",""km"")"),"បំផ្លាញចោល")</f>
        <v/>
      </c>
      <c r="E41" s="174" t="inlineStr">
        <is>
          <t>បានកម្ទេចចោល</t>
        </is>
      </c>
      <c r="F41" t="inlineStr">
        <is>
          <t>បានកម្ទេចចោល</t>
        </is>
      </c>
    </row>
    <row r="42" ht="15.75" customHeight="1" s="305">
      <c r="A42" s="170" t="n">
        <v>309</v>
      </c>
      <c r="B42" s="171" t="inlineStr">
        <is>
          <t>Nhận bưu gửi - Chuyển tiếp</t>
        </is>
      </c>
      <c r="C42" s="172" t="inlineStr">
        <is>
          <t>Exploited-Fowarding</t>
        </is>
      </c>
      <c r="D42" s="173">
        <f>IFERROR(__xludf.DUMMYFUNCTION("GOOGLETRANSLATE(B42,""vi"",""km"")"),"ទទួលសំបុត្រ - បញ្ជូនបន្ត")</f>
        <v/>
      </c>
      <c r="E42" s="174" t="inlineStr">
        <is>
          <t>ទទួលបុងបញ្ញើ - បញ្ជូនបន្ត</t>
        </is>
      </c>
      <c r="F42" t="inlineStr">
        <is>
          <t>ទទួលបុងបញ្ញើ - បញ្ជូនបន្ត</t>
        </is>
      </c>
    </row>
    <row r="43" ht="15.75" customHeight="1" s="305">
      <c r="A43" s="189" t="n">
        <v>400</v>
      </c>
      <c r="B43" s="190" t="inlineStr">
        <is>
          <t>Phân công giao - Chưa hoàn thành</t>
        </is>
      </c>
      <c r="C43" s="191" t="inlineStr">
        <is>
          <t>Assigned to deliver - Not completed</t>
        </is>
      </c>
      <c r="D43" s="173">
        <f>IFERROR(__xludf.DUMMYFUNCTION("GOOGLETRANSLATE(B43,""vi"",""km"")"),"កិច្ចការ - មិនទាន់បានបញ្ចប់នៅឡើយទេ")</f>
        <v/>
      </c>
      <c r="E43" s="181" t="inlineStr">
        <is>
          <t>ចាត់តាំងការដឹកជញ្ជូន - មិនទាន់បញ្ចប់</t>
        </is>
      </c>
      <c r="F43" t="inlineStr">
        <is>
          <t>ចាត់តាំងការដឹកជញ្ជូន - មិនទាន់បញ្ចប់</t>
        </is>
      </c>
    </row>
    <row r="44" ht="15.75" customHeight="1" s="305">
      <c r="A44" s="189" t="n">
        <v>401</v>
      </c>
      <c r="B44" s="190" t="inlineStr">
        <is>
          <t>Phân công giao - Đã hoàn thành</t>
        </is>
      </c>
      <c r="C44" s="191" t="inlineStr">
        <is>
          <t xml:space="preserve">Assigned to deliver
</t>
        </is>
      </c>
      <c r="D44" s="173">
        <f>IFERROR(__xludf.DUMMYFUNCTION("GOOGLETRANSLATE(B44,""vi"",""km"")"),"កិច្ចការបានបញ្ចប់")</f>
        <v/>
      </c>
      <c r="E44" s="181" t="inlineStr">
        <is>
          <t>ចាត់តាំងការដឹកជញ្ជូន - បានបញ្ចប់</t>
        </is>
      </c>
      <c r="F44" t="inlineStr">
        <is>
          <t>ចាត់តាំងការដឹកជញ្ជូន - បានបញ្ចប់</t>
        </is>
      </c>
    </row>
    <row r="45" ht="15.75" customHeight="1" s="305">
      <c r="A45" s="189" t="n">
        <v>402</v>
      </c>
      <c r="B45" s="190" t="inlineStr">
        <is>
          <t>Xác nhận phân công</t>
        </is>
      </c>
      <c r="C45" s="191" t="inlineStr">
        <is>
          <t xml:space="preserve">Assignment confirmation
</t>
        </is>
      </c>
      <c r="D45" s="173">
        <f>IFERROR(__xludf.DUMMYFUNCTION("GOOGLETRANSLATE(B45,""vi"",""km"")"),"បញ្ជាក់​ការចាត់តាំង")</f>
        <v/>
      </c>
      <c r="E45" s="181" t="inlineStr">
        <is>
          <t>បញ្ជាក់ការចាត់តាំងការងារ</t>
        </is>
      </c>
      <c r="F45" t="inlineStr">
        <is>
          <t>បញ្ជាក់ការចាត់តាំងការងារ</t>
        </is>
      </c>
    </row>
    <row r="46" ht="15.75" customHeight="1" s="305">
      <c r="A46" s="189" t="n">
        <v>311</v>
      </c>
      <c r="B46" s="190" t="inlineStr">
        <is>
          <t>Đang vận chuyển giao</t>
        </is>
      </c>
      <c r="C46" s="191" t="inlineStr">
        <is>
          <t>Being delivered</t>
        </is>
      </c>
      <c r="D46" s="173">
        <f>IFERROR(__xludf.DUMMYFUNCTION("GOOGLETRANSLATE(B46,""vi"",""km"")"),"បច្ចុប្បន្នកំពុងដឹកជញ្ជូន។")</f>
        <v/>
      </c>
      <c r="E46" s="181" t="inlineStr">
        <is>
          <t>កំពុងដឹកជញ្ជូនចែកចាយ</t>
        </is>
      </c>
      <c r="F46" t="inlineStr">
        <is>
          <t>កំពុងដឹកជញ្ជូនចែកចាយ</t>
        </is>
      </c>
    </row>
    <row r="47" ht="15.75" customHeight="1" s="305"/>
    <row r="48" ht="15.75" customHeight="1" s="305"/>
    <row r="49" ht="15.75" customHeight="1" s="305"/>
    <row r="50" ht="15.75" customHeight="1" s="305"/>
    <row r="51" ht="15.75" customHeight="1" s="305"/>
    <row r="52" ht="15.75" customHeight="1" s="305"/>
    <row r="53" ht="15.75" customHeight="1" s="305"/>
    <row r="54" ht="15.75" customHeight="1" s="305"/>
    <row r="55" ht="15.75" customHeight="1" s="305"/>
    <row r="56" ht="15.75" customHeight="1" s="305"/>
    <row r="57" ht="15.75" customHeight="1" s="305"/>
    <row r="58" ht="15.75" customHeight="1" s="305"/>
    <row r="59" ht="15.75" customHeight="1" s="305"/>
    <row r="60" ht="15.75" customHeight="1" s="305"/>
    <row r="61" ht="15.75" customHeight="1" s="305"/>
    <row r="62" ht="15.75" customHeight="1" s="305"/>
    <row r="63" ht="15.75" customHeight="1" s="305"/>
    <row r="64" ht="15.75" customHeight="1" s="305"/>
    <row r="65" ht="15.75" customHeight="1" s="305"/>
    <row r="66" ht="15.75" customHeight="1" s="305"/>
    <row r="67" ht="15.75" customHeight="1" s="305"/>
    <row r="68" ht="15.75" customHeight="1" s="305"/>
    <row r="69" ht="15.75" customHeight="1" s="305"/>
    <row r="70" ht="15.75" customHeight="1" s="305"/>
    <row r="71" ht="15.75" customHeight="1" s="305"/>
    <row r="72" ht="15.75" customHeight="1" s="305"/>
    <row r="73" ht="15.75" customHeight="1" s="305"/>
    <row r="74" ht="15.75" customHeight="1" s="305"/>
    <row r="75" ht="15.75" customHeight="1" s="305"/>
    <row r="76" ht="15.75" customHeight="1" s="305"/>
    <row r="77" ht="15.75" customHeight="1" s="305"/>
    <row r="78" ht="15.75" customHeight="1" s="305"/>
    <row r="79" ht="15.75" customHeight="1" s="305"/>
    <row r="80" ht="15.75" customHeight="1" s="305"/>
    <row r="81" ht="15.75" customHeight="1" s="305"/>
    <row r="82" ht="15.75" customHeight="1" s="305"/>
    <row r="83" ht="15.75" customHeight="1" s="305"/>
    <row r="84" ht="15.75" customHeight="1" s="305"/>
    <row r="85" ht="15.75" customHeight="1" s="305"/>
    <row r="86" ht="15.75" customHeight="1" s="305"/>
    <row r="87" ht="15.75" customHeight="1" s="305"/>
    <row r="88" ht="15.75" customHeight="1" s="305"/>
    <row r="89" ht="15.75" customHeight="1" s="305"/>
    <row r="90" ht="15.75" customHeight="1" s="305"/>
    <row r="91" ht="15.75" customHeight="1" s="305"/>
    <row r="92" ht="15.75" customHeight="1" s="305"/>
    <row r="93" ht="15.75" customHeight="1" s="305"/>
    <row r="94" ht="15.75" customHeight="1" s="305"/>
    <row r="95" ht="15.75" customHeight="1" s="305"/>
    <row r="96" ht="15.75" customHeight="1" s="305"/>
    <row r="97" ht="15.75" customHeight="1" s="305"/>
    <row r="98" ht="15.75" customHeight="1" s="305"/>
    <row r="99" ht="15.75" customHeight="1" s="305"/>
    <row r="100" ht="15.75" customHeight="1" s="305"/>
    <row r="101" ht="15.75" customHeight="1" s="305"/>
    <row r="102" ht="15.75" customHeight="1" s="305"/>
    <row r="103" ht="15.75" customHeight="1" s="305"/>
    <row r="104" ht="15.75" customHeight="1" s="305"/>
    <row r="105" ht="15.75" customHeight="1" s="305"/>
    <row r="106" ht="15.75" customHeight="1" s="305"/>
    <row r="107" ht="15.75" customHeight="1" s="305"/>
    <row r="108" ht="15.75" customHeight="1" s="305"/>
    <row r="109" ht="15.75" customHeight="1" s="305"/>
    <row r="110" ht="15.75" customHeight="1" s="305"/>
    <row r="111" ht="15.75" customHeight="1" s="305"/>
    <row r="112" ht="15.75" customHeight="1" s="305"/>
    <row r="113" ht="15.75" customHeight="1" s="305"/>
    <row r="114" ht="15.75" customHeight="1" s="305"/>
    <row r="115" ht="15.75" customHeight="1" s="305"/>
    <row r="116" ht="15.75" customHeight="1" s="305"/>
    <row r="117" ht="15.75" customHeight="1" s="305"/>
    <row r="118" ht="15.75" customHeight="1" s="305"/>
    <row r="119" ht="15.75" customHeight="1" s="305"/>
    <row r="120" ht="15.75" customHeight="1" s="305"/>
    <row r="121" ht="15.75" customHeight="1" s="305"/>
    <row r="122" ht="15.75" customHeight="1" s="305"/>
    <row r="123" ht="15.75" customHeight="1" s="305"/>
    <row r="124" ht="15.75" customHeight="1" s="305"/>
    <row r="125" ht="15.75" customHeight="1" s="305"/>
    <row r="126" ht="15.75" customHeight="1" s="305"/>
    <row r="127" ht="15.75" customHeight="1" s="305"/>
    <row r="128" ht="15.75" customHeight="1" s="305"/>
    <row r="129" ht="15.75" customHeight="1" s="305"/>
    <row r="130" ht="15.75" customHeight="1" s="305"/>
    <row r="131" ht="15.75" customHeight="1" s="305"/>
    <row r="132" ht="15.75" customHeight="1" s="305"/>
    <row r="133" ht="15.75" customHeight="1" s="305"/>
    <row r="134" ht="15.75" customHeight="1" s="305"/>
    <row r="135" ht="15.75" customHeight="1" s="305"/>
    <row r="136" ht="15.75" customHeight="1" s="305"/>
    <row r="137" ht="15.75" customHeight="1" s="305"/>
    <row r="138" ht="15.75" customHeight="1" s="305"/>
    <row r="139" ht="15.75" customHeight="1" s="305"/>
    <row r="140" ht="15.75" customHeight="1" s="305"/>
    <row r="141" ht="15.75" customHeight="1" s="305"/>
    <row r="142" ht="15.75" customHeight="1" s="305"/>
    <row r="143" ht="15.75" customHeight="1" s="305"/>
    <row r="144" ht="15.75" customHeight="1" s="305"/>
    <row r="145" ht="15.75" customHeight="1" s="305"/>
    <row r="146" ht="15.75" customHeight="1" s="305"/>
    <row r="147" ht="15.75" customHeight="1" s="305"/>
    <row r="148" ht="15.75" customHeight="1" s="305"/>
    <row r="149" ht="15.75" customHeight="1" s="305"/>
    <row r="150" ht="15.75" customHeight="1" s="305"/>
    <row r="151" ht="15.75" customHeight="1" s="305"/>
    <row r="152" ht="15.75" customHeight="1" s="305"/>
    <row r="153" ht="15.75" customHeight="1" s="305"/>
    <row r="154" ht="15.75" customHeight="1" s="305"/>
    <row r="155" ht="15.75" customHeight="1" s="305"/>
    <row r="156" ht="15.75" customHeight="1" s="305"/>
    <row r="157" ht="15.75" customHeight="1" s="305"/>
    <row r="158" ht="15.75" customHeight="1" s="305"/>
    <row r="159" ht="15.75" customHeight="1" s="305"/>
    <row r="160" ht="15.75" customHeight="1" s="305"/>
    <row r="161" ht="15.75" customHeight="1" s="305"/>
    <row r="162" ht="15.75" customHeight="1" s="305"/>
    <row r="163" ht="15.75" customHeight="1" s="305"/>
    <row r="164" ht="15.75" customHeight="1" s="305"/>
    <row r="165" ht="15.75" customHeight="1" s="305"/>
    <row r="166" ht="15.75" customHeight="1" s="305"/>
    <row r="167" ht="15.75" customHeight="1" s="305"/>
    <row r="168" ht="15.75" customHeight="1" s="305"/>
    <row r="169" ht="15.75" customHeight="1" s="305"/>
    <row r="170" ht="15.75" customHeight="1" s="305"/>
    <row r="171" ht="15.75" customHeight="1" s="305"/>
    <row r="172" ht="15.75" customHeight="1" s="305"/>
    <row r="173" ht="15.75" customHeight="1" s="305"/>
    <row r="174" ht="15.75" customHeight="1" s="305"/>
    <row r="175" ht="15.75" customHeight="1" s="305"/>
    <row r="176" ht="15.75" customHeight="1" s="305"/>
    <row r="177" ht="15.75" customHeight="1" s="305"/>
    <row r="178" ht="15.75" customHeight="1" s="305"/>
    <row r="179" ht="15.75" customHeight="1" s="305"/>
    <row r="180" ht="15.75" customHeight="1" s="305"/>
    <row r="181" ht="15.75" customHeight="1" s="305"/>
    <row r="182" ht="15.75" customHeight="1" s="305"/>
    <row r="183" ht="15.75" customHeight="1" s="305"/>
    <row r="184" ht="15.75" customHeight="1" s="305"/>
    <row r="185" ht="15.75" customHeight="1" s="305"/>
    <row r="186" ht="15.75" customHeight="1" s="305"/>
    <row r="187" ht="15.75" customHeight="1" s="305"/>
    <row r="188" ht="15.75" customHeight="1" s="305"/>
    <row r="189" ht="15.75" customHeight="1" s="305"/>
    <row r="190" ht="15.75" customHeight="1" s="305"/>
    <row r="191" ht="15.75" customHeight="1" s="305"/>
    <row r="192" ht="15.75" customHeight="1" s="305"/>
    <row r="193" ht="15.75" customHeight="1" s="305"/>
    <row r="194" ht="15.75" customHeight="1" s="305"/>
    <row r="195" ht="15.75" customHeight="1" s="305"/>
    <row r="196" ht="15.75" customHeight="1" s="305"/>
    <row r="197" ht="15.75" customHeight="1" s="305"/>
    <row r="198" ht="15.75" customHeight="1" s="305"/>
    <row r="199" ht="15.75" customHeight="1" s="305"/>
    <row r="200" ht="15.75" customHeight="1" s="305"/>
    <row r="201" ht="15.75" customHeight="1" s="305"/>
    <row r="202" ht="15.75" customHeight="1" s="305"/>
    <row r="203" ht="15.75" customHeight="1" s="305"/>
    <row r="204" ht="15.75" customHeight="1" s="305"/>
    <row r="205" ht="15.75" customHeight="1" s="305"/>
    <row r="206" ht="15.75" customHeight="1" s="305"/>
    <row r="207" ht="15.75" customHeight="1" s="305"/>
    <row r="208" ht="15.75" customHeight="1" s="305"/>
    <row r="209" ht="15.75" customHeight="1" s="305"/>
    <row r="210" ht="15.75" customHeight="1" s="305"/>
    <row r="211" ht="15.75" customHeight="1" s="305"/>
    <row r="212" ht="15.75" customHeight="1" s="305"/>
    <row r="213" ht="15.75" customHeight="1" s="305"/>
    <row r="214" ht="15.75" customHeight="1" s="305"/>
    <row r="215" ht="15.75" customHeight="1" s="305"/>
    <row r="216" ht="15.75" customHeight="1" s="305"/>
    <row r="217" ht="15.75" customHeight="1" s="305"/>
    <row r="218" ht="15.75" customHeight="1" s="305"/>
    <row r="219" ht="15.75" customHeight="1" s="305"/>
    <row r="220" ht="15.75" customHeight="1" s="305"/>
    <row r="221" ht="15.75" customHeight="1" s="305"/>
    <row r="222" ht="15.75" customHeight="1" s="305"/>
    <row r="223" ht="15.75" customHeight="1" s="305"/>
    <row r="224" ht="15.75" customHeight="1" s="305"/>
    <row r="225" ht="15.75" customHeight="1" s="305"/>
    <row r="226" ht="15.75" customHeight="1" s="305"/>
    <row r="227" ht="15.75" customHeight="1" s="305"/>
    <row r="228" ht="15.75" customHeight="1" s="305"/>
    <row r="229" ht="15.75" customHeight="1" s="305"/>
    <row r="230" ht="15.75" customHeight="1" s="305"/>
    <row r="231" ht="15.75" customHeight="1" s="305"/>
    <row r="232" ht="15.75" customHeight="1" s="305"/>
    <row r="233" ht="15.75" customHeight="1" s="305"/>
    <row r="234" ht="15.75" customHeight="1" s="305"/>
    <row r="235" ht="15.75" customHeight="1" s="305"/>
    <row r="236" ht="15.75" customHeight="1" s="305"/>
    <row r="237" ht="15.75" customHeight="1" s="305"/>
    <row r="238" ht="15.75" customHeight="1" s="305"/>
    <row r="239" ht="15.75" customHeight="1" s="305"/>
    <row r="240" ht="15.75" customHeight="1" s="305"/>
    <row r="241" ht="15.75" customHeight="1" s="305"/>
    <row r="242" ht="15.75" customHeight="1" s="305"/>
    <row r="243" ht="15.75" customHeight="1" s="305"/>
    <row r="244" ht="15.75" customHeight="1" s="305"/>
    <row r="245" ht="15.75" customHeight="1" s="305"/>
    <row r="246" ht="15.75" customHeight="1" s="305"/>
    <row r="247" ht="15.75" customHeight="1" s="305"/>
    <row r="248" ht="15.75" customHeight="1" s="305"/>
    <row r="249" ht="15.75" customHeight="1" s="305"/>
    <row r="250" ht="15.75" customHeight="1" s="305"/>
    <row r="251" ht="15.75" customHeight="1" s="305"/>
    <row r="252" ht="15.75" customHeight="1" s="305"/>
    <row r="253" ht="15.75" customHeight="1" s="305"/>
    <row r="254" ht="15.75" customHeight="1" s="305"/>
    <row r="255" ht="15.75" customHeight="1" s="305"/>
    <row r="256" ht="15.75" customHeight="1" s="305"/>
    <row r="257" ht="15.75" customHeight="1" s="305"/>
    <row r="258" ht="15.75" customHeight="1" s="305"/>
    <row r="259" ht="15.75" customHeight="1" s="305"/>
    <row r="260" ht="15.75" customHeight="1" s="305"/>
    <row r="261" ht="15.75" customHeight="1" s="305"/>
    <row r="262" ht="15.75" customHeight="1" s="305"/>
    <row r="263" ht="15.75" customHeight="1" s="305"/>
    <row r="264" ht="15.75" customHeight="1" s="305"/>
    <row r="265" ht="15.75" customHeight="1" s="305"/>
    <row r="266" ht="15.75" customHeight="1" s="305"/>
    <row r="267" ht="15.75" customHeight="1" s="305"/>
    <row r="268" ht="15.75" customHeight="1" s="305"/>
    <row r="269" ht="15.75" customHeight="1" s="305"/>
    <row r="270" ht="15.75" customHeight="1" s="305"/>
    <row r="271" ht="15.75" customHeight="1" s="305"/>
    <row r="272" ht="15.75" customHeight="1" s="305"/>
    <row r="273" ht="15.75" customHeight="1" s="305"/>
    <row r="274" ht="15.75" customHeight="1" s="305"/>
    <row r="275" ht="15.75" customHeight="1" s="305"/>
    <row r="276" ht="15.75" customHeight="1" s="305"/>
    <row r="277" ht="15.75" customHeight="1" s="305"/>
    <row r="278" ht="15.75" customHeight="1" s="305"/>
    <row r="279" ht="15.75" customHeight="1" s="305"/>
    <row r="280" ht="15.75" customHeight="1" s="305"/>
    <row r="281" ht="15.75" customHeight="1" s="305"/>
    <row r="282" ht="15.75" customHeight="1" s="305"/>
    <row r="283" ht="15.75" customHeight="1" s="305"/>
    <row r="284" ht="15.75" customHeight="1" s="305"/>
    <row r="285" ht="15.75" customHeight="1" s="305"/>
    <row r="286" ht="15.75" customHeight="1" s="305"/>
    <row r="287" ht="15.75" customHeight="1" s="305"/>
    <row r="288" ht="15.75" customHeight="1" s="305"/>
    <row r="289" ht="15.75" customHeight="1" s="305"/>
    <row r="290" ht="15.75" customHeight="1" s="305"/>
    <row r="291" ht="15.75" customHeight="1" s="305"/>
    <row r="292" ht="15.75" customHeight="1" s="305"/>
    <row r="293" ht="15.75" customHeight="1" s="305"/>
    <row r="294" ht="15.75" customHeight="1" s="305"/>
    <row r="295" ht="15.75" customHeight="1" s="305"/>
    <row r="296" ht="15.75" customHeight="1" s="305"/>
    <row r="297" ht="15.75" customHeight="1" s="305"/>
    <row r="298" ht="15.75" customHeight="1" s="305"/>
    <row r="299" ht="15.75" customHeight="1" s="305"/>
    <row r="300" ht="15.75" customHeight="1" s="305"/>
    <row r="301" ht="15.75" customHeight="1" s="305"/>
    <row r="302" ht="15.75" customHeight="1" s="305"/>
    <row r="303" ht="15.75" customHeight="1" s="305"/>
    <row r="304" ht="15.75" customHeight="1" s="305"/>
    <row r="305" ht="15.75" customHeight="1" s="305"/>
    <row r="306" ht="15.75" customHeight="1" s="305"/>
    <row r="307" ht="15.75" customHeight="1" s="305"/>
    <row r="308" ht="15.75" customHeight="1" s="305"/>
    <row r="309" ht="15.75" customHeight="1" s="305"/>
    <row r="310" ht="15.75" customHeight="1" s="305"/>
    <row r="311" ht="15.75" customHeight="1" s="305"/>
    <row r="312" ht="15.75" customHeight="1" s="305"/>
    <row r="313" ht="15.75" customHeight="1" s="305"/>
    <row r="314" ht="15.75" customHeight="1" s="305"/>
    <row r="315" ht="15.75" customHeight="1" s="305"/>
    <row r="316" ht="15.75" customHeight="1" s="305"/>
    <row r="317" ht="15.75" customHeight="1" s="305"/>
    <row r="318" ht="15.75" customHeight="1" s="305"/>
    <row r="319" ht="15.75" customHeight="1" s="305"/>
    <row r="320" ht="15.75" customHeight="1" s="305"/>
    <row r="321" ht="15.75" customHeight="1" s="305"/>
    <row r="322" ht="15.75" customHeight="1" s="305"/>
    <row r="323" ht="15.75" customHeight="1" s="305"/>
    <row r="324" ht="15.75" customHeight="1" s="305"/>
    <row r="325" ht="15.75" customHeight="1" s="305"/>
    <row r="326" ht="15.75" customHeight="1" s="305"/>
    <row r="327" ht="15.75" customHeight="1" s="305"/>
    <row r="328" ht="15.75" customHeight="1" s="305"/>
    <row r="329" ht="15.75" customHeight="1" s="305"/>
    <row r="330" ht="15.75" customHeight="1" s="305"/>
    <row r="331" ht="15.75" customHeight="1" s="305"/>
    <row r="332" ht="15.75" customHeight="1" s="305"/>
    <row r="333" ht="15.75" customHeight="1" s="305"/>
    <row r="334" ht="15.75" customHeight="1" s="305"/>
    <row r="335" ht="15.75" customHeight="1" s="305"/>
    <row r="336" ht="15.75" customHeight="1" s="305"/>
    <row r="337" ht="15.75" customHeight="1" s="305"/>
    <row r="338" ht="15.75" customHeight="1" s="305"/>
    <row r="339" ht="15.75" customHeight="1" s="305"/>
    <row r="340" ht="15.75" customHeight="1" s="305"/>
    <row r="341" ht="15.75" customHeight="1" s="305"/>
    <row r="342" ht="15.75" customHeight="1" s="305"/>
    <row r="343" ht="15.75" customHeight="1" s="305"/>
    <row r="344" ht="15.75" customHeight="1" s="305"/>
    <row r="345" ht="15.75" customHeight="1" s="305"/>
    <row r="346" ht="15.75" customHeight="1" s="305"/>
    <row r="347" ht="15.75" customHeight="1" s="305"/>
    <row r="348" ht="15.75" customHeight="1" s="305"/>
    <row r="349" ht="15.75" customHeight="1" s="305"/>
    <row r="350" ht="15.75" customHeight="1" s="305"/>
    <row r="351" ht="15.75" customHeight="1" s="305"/>
    <row r="352" ht="15.75" customHeight="1" s="305"/>
    <row r="353" ht="15.75" customHeight="1" s="305"/>
    <row r="354" ht="15.75" customHeight="1" s="305"/>
    <row r="355" ht="15.75" customHeight="1" s="305"/>
    <row r="356" ht="15.75" customHeight="1" s="305"/>
    <row r="357" ht="15.75" customHeight="1" s="305"/>
    <row r="358" ht="15.75" customHeight="1" s="305"/>
    <row r="359" ht="15.75" customHeight="1" s="305"/>
    <row r="360" ht="15.75" customHeight="1" s="305"/>
    <row r="361" ht="15.75" customHeight="1" s="305"/>
    <row r="362" ht="15.75" customHeight="1" s="305"/>
    <row r="363" ht="15.75" customHeight="1" s="305"/>
    <row r="364" ht="15.75" customHeight="1" s="305"/>
    <row r="365" ht="15.75" customHeight="1" s="305"/>
    <row r="366" ht="15.75" customHeight="1" s="305"/>
    <row r="367" ht="15.75" customHeight="1" s="305"/>
    <row r="368" ht="15.75" customHeight="1" s="305"/>
    <row r="369" ht="15.75" customHeight="1" s="305"/>
    <row r="370" ht="15.75" customHeight="1" s="305"/>
    <row r="371" ht="15.75" customHeight="1" s="305"/>
    <row r="372" ht="15.75" customHeight="1" s="305"/>
    <row r="373" ht="15.75" customHeight="1" s="305"/>
    <row r="374" ht="15.75" customHeight="1" s="305"/>
    <row r="375" ht="15.75" customHeight="1" s="305"/>
    <row r="376" ht="15.75" customHeight="1" s="305"/>
    <row r="377" ht="15.75" customHeight="1" s="305"/>
    <row r="378" ht="15.75" customHeight="1" s="305"/>
    <row r="379" ht="15.75" customHeight="1" s="305"/>
    <row r="380" ht="15.75" customHeight="1" s="305"/>
    <row r="381" ht="15.75" customHeight="1" s="305"/>
    <row r="382" ht="15.75" customHeight="1" s="305"/>
    <row r="383" ht="15.75" customHeight="1" s="305"/>
    <row r="384" ht="15.75" customHeight="1" s="305"/>
    <row r="385" ht="15.75" customHeight="1" s="305"/>
    <row r="386" ht="15.75" customHeight="1" s="305"/>
    <row r="387" ht="15.75" customHeight="1" s="305"/>
    <row r="388" ht="15.75" customHeight="1" s="305"/>
    <row r="389" ht="15.75" customHeight="1" s="305"/>
    <row r="390" ht="15.75" customHeight="1" s="305"/>
    <row r="391" ht="15.75" customHeight="1" s="305"/>
    <row r="392" ht="15.75" customHeight="1" s="305"/>
    <row r="393" ht="15.75" customHeight="1" s="305"/>
    <row r="394" ht="15.75" customHeight="1" s="305"/>
    <row r="395" ht="15.75" customHeight="1" s="305"/>
    <row r="396" ht="15.75" customHeight="1" s="305"/>
    <row r="397" ht="15.75" customHeight="1" s="305"/>
    <row r="398" ht="15.75" customHeight="1" s="305"/>
    <row r="399" ht="15.75" customHeight="1" s="305"/>
    <row r="400" ht="15.75" customHeight="1" s="305"/>
    <row r="401" ht="15.75" customHeight="1" s="305"/>
    <row r="402" ht="15.75" customHeight="1" s="305"/>
    <row r="403" ht="15.75" customHeight="1" s="305"/>
    <row r="404" ht="15.75" customHeight="1" s="305"/>
    <row r="405" ht="15.75" customHeight="1" s="305"/>
    <row r="406" ht="15.75" customHeight="1" s="305"/>
    <row r="407" ht="15.75" customHeight="1" s="305"/>
    <row r="408" ht="15.75" customHeight="1" s="305"/>
    <row r="409" ht="15.75" customHeight="1" s="305"/>
    <row r="410" ht="15.75" customHeight="1" s="305"/>
    <row r="411" ht="15.75" customHeight="1" s="305"/>
    <row r="412" ht="15.75" customHeight="1" s="305"/>
    <row r="413" ht="15.75" customHeight="1" s="305"/>
    <row r="414" ht="15.75" customHeight="1" s="305"/>
    <row r="415" ht="15.75" customHeight="1" s="305"/>
    <row r="416" ht="15.75" customHeight="1" s="305"/>
    <row r="417" ht="15.75" customHeight="1" s="305"/>
    <row r="418" ht="15.75" customHeight="1" s="305"/>
    <row r="419" ht="15.75" customHeight="1" s="305"/>
    <row r="420" ht="15.75" customHeight="1" s="305"/>
    <row r="421" ht="15.75" customHeight="1" s="305"/>
    <row r="422" ht="15.75" customHeight="1" s="305"/>
    <row r="423" ht="15.75" customHeight="1" s="305"/>
    <row r="424" ht="15.75" customHeight="1" s="305"/>
    <row r="425" ht="15.75" customHeight="1" s="305"/>
    <row r="426" ht="15.75" customHeight="1" s="305"/>
    <row r="427" ht="15.75" customHeight="1" s="305"/>
    <row r="428" ht="15.75" customHeight="1" s="305"/>
    <row r="429" ht="15.75" customHeight="1" s="305"/>
    <row r="430" ht="15.75" customHeight="1" s="305"/>
    <row r="431" ht="15.75" customHeight="1" s="305"/>
    <row r="432" ht="15.75" customHeight="1" s="305"/>
    <row r="433" ht="15.75" customHeight="1" s="305"/>
    <row r="434" ht="15.75" customHeight="1" s="305"/>
    <row r="435" ht="15.75" customHeight="1" s="305"/>
    <row r="436" ht="15.75" customHeight="1" s="305"/>
    <row r="437" ht="15.75" customHeight="1" s="305"/>
    <row r="438" ht="15.75" customHeight="1" s="305"/>
    <row r="439" ht="15.75" customHeight="1" s="305"/>
    <row r="440" ht="15.75" customHeight="1" s="305"/>
    <row r="441" ht="15.75" customHeight="1" s="305"/>
    <row r="442" ht="15.75" customHeight="1" s="305"/>
    <row r="443" ht="15.75" customHeight="1" s="305"/>
    <row r="444" ht="15.75" customHeight="1" s="305"/>
    <row r="445" ht="15.75" customHeight="1" s="305"/>
    <row r="446" ht="15.75" customHeight="1" s="305"/>
    <row r="447" ht="15.75" customHeight="1" s="305"/>
    <row r="448" ht="15.75" customHeight="1" s="305"/>
    <row r="449" ht="15.75" customHeight="1" s="305"/>
    <row r="450" ht="15.75" customHeight="1" s="305"/>
    <row r="451" ht="15.75" customHeight="1" s="305"/>
    <row r="452" ht="15.75" customHeight="1" s="305"/>
    <row r="453" ht="15.75" customHeight="1" s="305"/>
    <row r="454" ht="15.75" customHeight="1" s="305"/>
    <row r="455" ht="15.75" customHeight="1" s="305"/>
    <row r="456" ht="15.75" customHeight="1" s="305"/>
    <row r="457" ht="15.75" customHeight="1" s="305"/>
    <row r="458" ht="15.75" customHeight="1" s="305"/>
    <row r="459" ht="15.75" customHeight="1" s="305"/>
    <row r="460" ht="15.75" customHeight="1" s="305"/>
    <row r="461" ht="15.75" customHeight="1" s="305"/>
    <row r="462" ht="15.75" customHeight="1" s="305"/>
    <row r="463" ht="15.75" customHeight="1" s="305"/>
    <row r="464" ht="15.75" customHeight="1" s="305"/>
    <row r="465" ht="15.75" customHeight="1" s="305"/>
    <row r="466" ht="15.75" customHeight="1" s="305"/>
    <row r="467" ht="15.75" customHeight="1" s="305"/>
    <row r="468" ht="15.75" customHeight="1" s="305"/>
    <row r="469" ht="15.75" customHeight="1" s="305"/>
    <row r="470" ht="15.75" customHeight="1" s="305"/>
    <row r="471" ht="15.75" customHeight="1" s="305"/>
    <row r="472" ht="15.75" customHeight="1" s="305"/>
    <row r="473" ht="15.75" customHeight="1" s="305"/>
    <row r="474" ht="15.75" customHeight="1" s="305"/>
    <row r="475" ht="15.75" customHeight="1" s="305"/>
    <row r="476" ht="15.75" customHeight="1" s="305"/>
    <row r="477" ht="15.75" customHeight="1" s="305"/>
    <row r="478" ht="15.75" customHeight="1" s="305"/>
    <row r="479" ht="15.75" customHeight="1" s="305"/>
    <row r="480" ht="15.75" customHeight="1" s="305"/>
    <row r="481" ht="15.75" customHeight="1" s="305"/>
    <row r="482" ht="15.75" customHeight="1" s="305"/>
    <row r="483" ht="15.75" customHeight="1" s="305"/>
    <row r="484" ht="15.75" customHeight="1" s="305"/>
    <row r="485" ht="15.75" customHeight="1" s="305"/>
    <row r="486" ht="15.75" customHeight="1" s="305"/>
    <row r="487" ht="15.75" customHeight="1" s="305"/>
    <row r="488" ht="15.75" customHeight="1" s="305"/>
    <row r="489" ht="15.75" customHeight="1" s="305"/>
    <row r="490" ht="15.75" customHeight="1" s="305"/>
    <row r="491" ht="15.75" customHeight="1" s="305"/>
    <row r="492" ht="15.75" customHeight="1" s="305"/>
    <row r="493" ht="15.75" customHeight="1" s="305"/>
    <row r="494" ht="15.75" customHeight="1" s="305"/>
    <row r="495" ht="15.75" customHeight="1" s="305"/>
    <row r="496" ht="15.75" customHeight="1" s="305"/>
    <row r="497" ht="15.75" customHeight="1" s="305"/>
    <row r="498" ht="15.75" customHeight="1" s="305"/>
    <row r="499" ht="15.75" customHeight="1" s="305"/>
    <row r="500" ht="15.75" customHeight="1" s="305"/>
    <row r="501" ht="15.75" customHeight="1" s="305"/>
    <row r="502" ht="15.75" customHeight="1" s="305"/>
    <row r="503" ht="15.75" customHeight="1" s="305"/>
    <row r="504" ht="15.75" customHeight="1" s="305"/>
    <row r="505" ht="15.75" customHeight="1" s="305"/>
    <row r="506" ht="15.75" customHeight="1" s="305"/>
    <row r="507" ht="15.75" customHeight="1" s="305"/>
    <row r="508" ht="15.75" customHeight="1" s="305"/>
    <row r="509" ht="15.75" customHeight="1" s="305"/>
    <row r="510" ht="15.75" customHeight="1" s="305"/>
    <row r="511" ht="15.75" customHeight="1" s="305"/>
    <row r="512" ht="15.75" customHeight="1" s="305"/>
    <row r="513" ht="15.75" customHeight="1" s="305"/>
    <row r="514" ht="15.75" customHeight="1" s="305"/>
    <row r="515" ht="15.75" customHeight="1" s="305"/>
    <row r="516" ht="15.75" customHeight="1" s="305"/>
    <row r="517" ht="15.75" customHeight="1" s="305"/>
    <row r="518" ht="15.75" customHeight="1" s="305"/>
    <row r="519" ht="15.75" customHeight="1" s="305"/>
    <row r="520" ht="15.75" customHeight="1" s="305"/>
    <row r="521" ht="15.75" customHeight="1" s="305"/>
    <row r="522" ht="15.75" customHeight="1" s="305"/>
    <row r="523" ht="15.75" customHeight="1" s="305"/>
    <row r="524" ht="15.75" customHeight="1" s="305"/>
    <row r="525" ht="15.75" customHeight="1" s="305"/>
    <row r="526" ht="15.75" customHeight="1" s="305"/>
    <row r="527" ht="15.75" customHeight="1" s="305"/>
    <row r="528" ht="15.75" customHeight="1" s="305"/>
    <row r="529" ht="15.75" customHeight="1" s="305"/>
    <row r="530" ht="15.75" customHeight="1" s="305"/>
    <row r="531" ht="15.75" customHeight="1" s="305"/>
    <row r="532" ht="15.75" customHeight="1" s="305"/>
    <row r="533" ht="15.75" customHeight="1" s="305"/>
    <row r="534" ht="15.75" customHeight="1" s="305"/>
    <row r="535" ht="15.75" customHeight="1" s="305"/>
    <row r="536" ht="15.75" customHeight="1" s="305"/>
    <row r="537" ht="15.75" customHeight="1" s="305"/>
    <row r="538" ht="15.75" customHeight="1" s="305"/>
    <row r="539" ht="15.75" customHeight="1" s="305"/>
    <row r="540" ht="15.75" customHeight="1" s="305"/>
    <row r="541" ht="15.75" customHeight="1" s="305"/>
    <row r="542" ht="15.75" customHeight="1" s="305"/>
    <row r="543" ht="15.75" customHeight="1" s="305"/>
    <row r="544" ht="15.75" customHeight="1" s="305"/>
    <row r="545" ht="15.75" customHeight="1" s="305"/>
    <row r="546" ht="15.75" customHeight="1" s="305"/>
    <row r="547" ht="15.75" customHeight="1" s="305"/>
    <row r="548" ht="15.75" customHeight="1" s="305"/>
    <row r="549" ht="15.75" customHeight="1" s="305"/>
    <row r="550" ht="15.75" customHeight="1" s="305"/>
    <row r="551" ht="15.75" customHeight="1" s="305"/>
    <row r="552" ht="15.75" customHeight="1" s="305"/>
    <row r="553" ht="15.75" customHeight="1" s="305"/>
    <row r="554" ht="15.75" customHeight="1" s="305"/>
    <row r="555" ht="15.75" customHeight="1" s="305"/>
    <row r="556" ht="15.75" customHeight="1" s="305"/>
    <row r="557" ht="15.75" customHeight="1" s="305"/>
    <row r="558" ht="15.75" customHeight="1" s="305"/>
    <row r="559" ht="15.75" customHeight="1" s="305"/>
    <row r="560" ht="15.75" customHeight="1" s="305"/>
    <row r="561" ht="15.75" customHeight="1" s="305"/>
    <row r="562" ht="15.75" customHeight="1" s="305"/>
    <row r="563" ht="15.75" customHeight="1" s="305"/>
    <row r="564" ht="15.75" customHeight="1" s="305"/>
    <row r="565" ht="15.75" customHeight="1" s="305"/>
    <row r="566" ht="15.75" customHeight="1" s="305"/>
    <row r="567" ht="15.75" customHeight="1" s="305"/>
    <row r="568" ht="15.75" customHeight="1" s="305"/>
    <row r="569" ht="15.75" customHeight="1" s="305"/>
    <row r="570" ht="15.75" customHeight="1" s="305"/>
    <row r="571" ht="15.75" customHeight="1" s="305"/>
    <row r="572" ht="15.75" customHeight="1" s="305"/>
    <row r="573" ht="15.75" customHeight="1" s="305"/>
    <row r="574" ht="15.75" customHeight="1" s="305"/>
    <row r="575" ht="15.75" customHeight="1" s="305"/>
    <row r="576" ht="15.75" customHeight="1" s="305"/>
    <row r="577" ht="15.75" customHeight="1" s="305"/>
    <row r="578" ht="15.75" customHeight="1" s="305"/>
    <row r="579" ht="15.75" customHeight="1" s="305"/>
    <row r="580" ht="15.75" customHeight="1" s="305"/>
    <row r="581" ht="15.75" customHeight="1" s="305"/>
    <row r="582" ht="15.75" customHeight="1" s="305"/>
    <row r="583" ht="15.75" customHeight="1" s="305"/>
    <row r="584" ht="15.75" customHeight="1" s="305"/>
    <row r="585" ht="15.75" customHeight="1" s="305"/>
    <row r="586" ht="15.75" customHeight="1" s="305"/>
    <row r="587" ht="15.75" customHeight="1" s="305"/>
    <row r="588" ht="15.75" customHeight="1" s="305"/>
    <row r="589" ht="15.75" customHeight="1" s="305"/>
    <row r="590" ht="15.75" customHeight="1" s="305"/>
    <row r="591" ht="15.75" customHeight="1" s="305"/>
    <row r="592" ht="15.75" customHeight="1" s="305"/>
    <row r="593" ht="15.75" customHeight="1" s="305"/>
    <row r="594" ht="15.75" customHeight="1" s="305"/>
    <row r="595" ht="15.75" customHeight="1" s="305"/>
    <row r="596" ht="15.75" customHeight="1" s="305"/>
    <row r="597" ht="15.75" customHeight="1" s="305"/>
    <row r="598" ht="15.75" customHeight="1" s="305"/>
    <row r="599" ht="15.75" customHeight="1" s="305"/>
    <row r="600" ht="15.75" customHeight="1" s="305"/>
    <row r="601" ht="15.75" customHeight="1" s="305"/>
    <row r="602" ht="15.75" customHeight="1" s="305"/>
    <row r="603" ht="15.75" customHeight="1" s="305"/>
    <row r="604" ht="15.75" customHeight="1" s="305"/>
    <row r="605" ht="15.75" customHeight="1" s="305"/>
    <row r="606" ht="15.75" customHeight="1" s="305"/>
    <row r="607" ht="15.75" customHeight="1" s="305"/>
    <row r="608" ht="15.75" customHeight="1" s="305"/>
    <row r="609" ht="15.75" customHeight="1" s="305"/>
    <row r="610" ht="15.75" customHeight="1" s="305"/>
    <row r="611" ht="15.75" customHeight="1" s="305"/>
    <row r="612" ht="15.75" customHeight="1" s="305"/>
    <row r="613" ht="15.75" customHeight="1" s="305"/>
    <row r="614" ht="15.75" customHeight="1" s="305"/>
    <row r="615" ht="15.75" customHeight="1" s="305"/>
    <row r="616" ht="15.75" customHeight="1" s="305"/>
    <row r="617" ht="15.75" customHeight="1" s="305"/>
    <row r="618" ht="15.75" customHeight="1" s="305"/>
    <row r="619" ht="15.75" customHeight="1" s="305"/>
    <row r="620" ht="15.75" customHeight="1" s="305"/>
    <row r="621" ht="15.75" customHeight="1" s="305"/>
    <row r="622" ht="15.75" customHeight="1" s="305"/>
    <row r="623" ht="15.75" customHeight="1" s="305"/>
    <row r="624" ht="15.75" customHeight="1" s="305"/>
    <row r="625" ht="15.75" customHeight="1" s="305"/>
    <row r="626" ht="15.75" customHeight="1" s="305"/>
    <row r="627" ht="15.75" customHeight="1" s="305"/>
    <row r="628" ht="15.75" customHeight="1" s="305"/>
    <row r="629" ht="15.75" customHeight="1" s="305"/>
    <row r="630" ht="15.75" customHeight="1" s="305"/>
    <row r="631" ht="15.75" customHeight="1" s="305"/>
    <row r="632" ht="15.75" customHeight="1" s="305"/>
    <row r="633" ht="15.75" customHeight="1" s="305"/>
    <row r="634" ht="15.75" customHeight="1" s="305"/>
    <row r="635" ht="15.75" customHeight="1" s="305"/>
    <row r="636" ht="15.75" customHeight="1" s="305"/>
    <row r="637" ht="15.75" customHeight="1" s="305"/>
    <row r="638" ht="15.75" customHeight="1" s="305"/>
    <row r="639" ht="15.75" customHeight="1" s="305"/>
    <row r="640" ht="15.75" customHeight="1" s="305"/>
    <row r="641" ht="15.75" customHeight="1" s="305"/>
    <row r="642" ht="15.75" customHeight="1" s="305"/>
    <row r="643" ht="15.75" customHeight="1" s="305"/>
    <row r="644" ht="15.75" customHeight="1" s="305"/>
    <row r="645" ht="15.75" customHeight="1" s="305"/>
    <row r="646" ht="15.75" customHeight="1" s="305"/>
    <row r="647" ht="15.75" customHeight="1" s="305"/>
    <row r="648" ht="15.75" customHeight="1" s="305"/>
    <row r="649" ht="15.75" customHeight="1" s="305"/>
    <row r="650" ht="15.75" customHeight="1" s="305"/>
    <row r="651" ht="15.75" customHeight="1" s="305"/>
    <row r="652" ht="15.75" customHeight="1" s="305"/>
    <row r="653" ht="15.75" customHeight="1" s="305"/>
    <row r="654" ht="15.75" customHeight="1" s="305"/>
    <row r="655" ht="15.75" customHeight="1" s="305"/>
    <row r="656" ht="15.75" customHeight="1" s="305"/>
    <row r="657" ht="15.75" customHeight="1" s="305"/>
    <row r="658" ht="15.75" customHeight="1" s="305"/>
    <row r="659" ht="15.75" customHeight="1" s="305"/>
    <row r="660" ht="15.75" customHeight="1" s="305"/>
    <row r="661" ht="15.75" customHeight="1" s="305"/>
    <row r="662" ht="15.75" customHeight="1" s="305"/>
    <row r="663" ht="15.75" customHeight="1" s="305"/>
    <row r="664" ht="15.75" customHeight="1" s="305"/>
    <row r="665" ht="15.75" customHeight="1" s="305"/>
    <row r="666" ht="15.75" customHeight="1" s="305"/>
    <row r="667" ht="15.75" customHeight="1" s="305"/>
    <row r="668" ht="15.75" customHeight="1" s="305"/>
    <row r="669" ht="15.75" customHeight="1" s="305"/>
    <row r="670" ht="15.75" customHeight="1" s="305"/>
    <row r="671" ht="15.75" customHeight="1" s="305"/>
    <row r="672" ht="15.75" customHeight="1" s="305"/>
    <row r="673" ht="15.75" customHeight="1" s="305"/>
    <row r="674" ht="15.75" customHeight="1" s="305"/>
    <row r="675" ht="15.75" customHeight="1" s="305"/>
    <row r="676" ht="15.75" customHeight="1" s="305"/>
    <row r="677" ht="15.75" customHeight="1" s="305"/>
    <row r="678" ht="15.75" customHeight="1" s="305"/>
    <row r="679" ht="15.75" customHeight="1" s="305"/>
    <row r="680" ht="15.75" customHeight="1" s="305"/>
    <row r="681" ht="15.75" customHeight="1" s="305"/>
    <row r="682" ht="15.75" customHeight="1" s="305"/>
    <row r="683" ht="15.75" customHeight="1" s="305"/>
    <row r="684" ht="15.75" customHeight="1" s="305"/>
    <row r="685" ht="15.75" customHeight="1" s="305"/>
    <row r="686" ht="15.75" customHeight="1" s="305"/>
    <row r="687" ht="15.75" customHeight="1" s="305"/>
    <row r="688" ht="15.75" customHeight="1" s="305"/>
    <row r="689" ht="15.75" customHeight="1" s="305"/>
    <row r="690" ht="15.75" customHeight="1" s="305"/>
    <row r="691" ht="15.75" customHeight="1" s="305"/>
    <row r="692" ht="15.75" customHeight="1" s="305"/>
    <row r="693" ht="15.75" customHeight="1" s="305"/>
    <row r="694" ht="15.75" customHeight="1" s="305"/>
    <row r="695" ht="15.75" customHeight="1" s="305"/>
    <row r="696" ht="15.75" customHeight="1" s="305"/>
    <row r="697" ht="15.75" customHeight="1" s="305"/>
    <row r="698" ht="15.75" customHeight="1" s="305"/>
    <row r="699" ht="15.75" customHeight="1" s="305"/>
    <row r="700" ht="15.75" customHeight="1" s="305"/>
    <row r="701" ht="15.75" customHeight="1" s="305"/>
    <row r="702" ht="15.75" customHeight="1" s="305"/>
    <row r="703" ht="15.75" customHeight="1" s="305"/>
    <row r="704" ht="15.75" customHeight="1" s="305"/>
    <row r="705" ht="15.75" customHeight="1" s="305"/>
    <row r="706" ht="15.75" customHeight="1" s="305"/>
    <row r="707" ht="15.75" customHeight="1" s="305"/>
    <row r="708" ht="15.75" customHeight="1" s="305"/>
    <row r="709" ht="15.75" customHeight="1" s="305"/>
    <row r="710" ht="15.75" customHeight="1" s="305"/>
    <row r="711" ht="15.75" customHeight="1" s="305"/>
    <row r="712" ht="15.75" customHeight="1" s="305"/>
    <row r="713" ht="15.75" customHeight="1" s="305"/>
    <row r="714" ht="15.75" customHeight="1" s="305"/>
    <row r="715" ht="15.75" customHeight="1" s="305"/>
    <row r="716" ht="15.75" customHeight="1" s="305"/>
    <row r="717" ht="15.75" customHeight="1" s="305"/>
    <row r="718" ht="15.75" customHeight="1" s="305"/>
    <row r="719" ht="15.75" customHeight="1" s="305"/>
    <row r="720" ht="15.75" customHeight="1" s="305"/>
    <row r="721" ht="15.75" customHeight="1" s="305"/>
    <row r="722" ht="15.75" customHeight="1" s="305"/>
    <row r="723" ht="15.75" customHeight="1" s="305"/>
    <row r="724" ht="15.75" customHeight="1" s="305"/>
    <row r="725" ht="15.75" customHeight="1" s="305"/>
    <row r="726" ht="15.75" customHeight="1" s="305"/>
    <row r="727" ht="15.75" customHeight="1" s="305"/>
    <row r="728" ht="15.75" customHeight="1" s="305"/>
    <row r="729" ht="15.75" customHeight="1" s="305"/>
    <row r="730" ht="15.75" customHeight="1" s="305"/>
    <row r="731" ht="15.75" customHeight="1" s="305"/>
    <row r="732" ht="15.75" customHeight="1" s="305"/>
    <row r="733" ht="15.75" customHeight="1" s="305"/>
    <row r="734" ht="15.75" customHeight="1" s="305"/>
    <row r="735" ht="15.75" customHeight="1" s="305"/>
    <row r="736" ht="15.75" customHeight="1" s="305"/>
    <row r="737" ht="15.75" customHeight="1" s="305"/>
    <row r="738" ht="15.75" customHeight="1" s="305"/>
    <row r="739" ht="15.75" customHeight="1" s="305"/>
    <row r="740" ht="15.75" customHeight="1" s="305"/>
    <row r="741" ht="15.75" customHeight="1" s="305"/>
    <row r="742" ht="15.75" customHeight="1" s="305"/>
    <row r="743" ht="15.75" customHeight="1" s="305"/>
    <row r="744" ht="15.75" customHeight="1" s="305"/>
    <row r="745" ht="15.75" customHeight="1" s="305"/>
    <row r="746" ht="15.75" customHeight="1" s="305"/>
    <row r="747" ht="15.75" customHeight="1" s="305"/>
    <row r="748" ht="15.75" customHeight="1" s="305"/>
    <row r="749" ht="15.75" customHeight="1" s="305"/>
    <row r="750" ht="15.75" customHeight="1" s="305"/>
    <row r="751" ht="15.75" customHeight="1" s="305"/>
    <row r="752" ht="15.75" customHeight="1" s="305"/>
    <row r="753" ht="15.75" customHeight="1" s="305"/>
    <row r="754" ht="15.75" customHeight="1" s="305"/>
    <row r="755" ht="15.75" customHeight="1" s="305"/>
    <row r="756" ht="15.75" customHeight="1" s="305"/>
    <row r="757" ht="15.75" customHeight="1" s="305"/>
    <row r="758" ht="15.75" customHeight="1" s="305"/>
    <row r="759" ht="15.75" customHeight="1" s="305"/>
    <row r="760" ht="15.75" customHeight="1" s="305"/>
    <row r="761" ht="15.75" customHeight="1" s="305"/>
    <row r="762" ht="15.75" customHeight="1" s="305"/>
    <row r="763" ht="15.75" customHeight="1" s="305"/>
    <row r="764" ht="15.75" customHeight="1" s="305"/>
    <row r="765" ht="15.75" customHeight="1" s="305"/>
    <row r="766" ht="15.75" customHeight="1" s="305"/>
    <row r="767" ht="15.75" customHeight="1" s="305"/>
    <row r="768" ht="15.75" customHeight="1" s="305"/>
    <row r="769" ht="15.75" customHeight="1" s="305"/>
    <row r="770" ht="15.75" customHeight="1" s="305"/>
    <row r="771" ht="15.75" customHeight="1" s="305"/>
    <row r="772" ht="15.75" customHeight="1" s="305"/>
    <row r="773" ht="15.75" customHeight="1" s="305"/>
    <row r="774" ht="15.75" customHeight="1" s="305"/>
    <row r="775" ht="15.75" customHeight="1" s="305"/>
    <row r="776" ht="15.75" customHeight="1" s="305"/>
    <row r="777" ht="15.75" customHeight="1" s="305"/>
    <row r="778" ht="15.75" customHeight="1" s="305"/>
    <row r="779" ht="15.75" customHeight="1" s="305"/>
    <row r="780" ht="15.75" customHeight="1" s="305"/>
    <row r="781" ht="15.75" customHeight="1" s="305"/>
    <row r="782" ht="15.75" customHeight="1" s="305"/>
    <row r="783" ht="15.75" customHeight="1" s="305"/>
    <row r="784" ht="15.75" customHeight="1" s="305"/>
    <row r="785" ht="15.75" customHeight="1" s="305"/>
    <row r="786" ht="15.75" customHeight="1" s="305"/>
    <row r="787" ht="15.75" customHeight="1" s="305"/>
    <row r="788" ht="15.75" customHeight="1" s="305"/>
    <row r="789" ht="15.75" customHeight="1" s="305"/>
    <row r="790" ht="15.75" customHeight="1" s="305"/>
    <row r="791" ht="15.75" customHeight="1" s="305"/>
    <row r="792" ht="15.75" customHeight="1" s="305"/>
    <row r="793" ht="15.75" customHeight="1" s="305"/>
    <row r="794" ht="15.75" customHeight="1" s="305"/>
    <row r="795" ht="15.75" customHeight="1" s="305"/>
    <row r="796" ht="15.75" customHeight="1" s="305"/>
    <row r="797" ht="15.75" customHeight="1" s="305"/>
    <row r="798" ht="15.75" customHeight="1" s="305"/>
    <row r="799" ht="15.75" customHeight="1" s="305"/>
    <row r="800" ht="15.75" customHeight="1" s="305"/>
    <row r="801" ht="15.75" customHeight="1" s="305"/>
    <row r="802" ht="15.75" customHeight="1" s="305"/>
    <row r="803" ht="15.75" customHeight="1" s="305"/>
    <row r="804" ht="15.75" customHeight="1" s="305"/>
    <row r="805" ht="15.75" customHeight="1" s="305"/>
    <row r="806" ht="15.75" customHeight="1" s="305"/>
    <row r="807" ht="15.75" customHeight="1" s="305"/>
    <row r="808" ht="15.75" customHeight="1" s="305"/>
    <row r="809" ht="15.75" customHeight="1" s="305"/>
    <row r="810" ht="15.75" customHeight="1" s="305"/>
    <row r="811" ht="15.75" customHeight="1" s="305"/>
    <row r="812" ht="15.75" customHeight="1" s="305"/>
    <row r="813" ht="15.75" customHeight="1" s="305"/>
    <row r="814" ht="15.75" customHeight="1" s="305"/>
    <row r="815" ht="15.75" customHeight="1" s="305"/>
    <row r="816" ht="15.75" customHeight="1" s="305"/>
    <row r="817" ht="15.75" customHeight="1" s="305"/>
    <row r="818" ht="15.75" customHeight="1" s="305"/>
    <row r="819" ht="15.75" customHeight="1" s="305"/>
    <row r="820" ht="15.75" customHeight="1" s="305"/>
    <row r="821" ht="15.75" customHeight="1" s="305"/>
    <row r="822" ht="15.75" customHeight="1" s="305"/>
    <row r="823" ht="15.75" customHeight="1" s="305"/>
    <row r="824" ht="15.75" customHeight="1" s="305"/>
    <row r="825" ht="15.75" customHeight="1" s="305"/>
    <row r="826" ht="15.75" customHeight="1" s="305"/>
    <row r="827" ht="15.75" customHeight="1" s="305"/>
    <row r="828" ht="15.75" customHeight="1" s="305"/>
    <row r="829" ht="15.75" customHeight="1" s="305"/>
    <row r="830" ht="15.75" customHeight="1" s="305"/>
    <row r="831" ht="15.75" customHeight="1" s="305"/>
    <row r="832" ht="15.75" customHeight="1" s="305"/>
    <row r="833" ht="15.75" customHeight="1" s="305"/>
    <row r="834" ht="15.75" customHeight="1" s="305"/>
    <row r="835" ht="15.75" customHeight="1" s="305"/>
    <row r="836" ht="15.75" customHeight="1" s="305"/>
    <row r="837" ht="15.75" customHeight="1" s="305"/>
    <row r="838" ht="15.75" customHeight="1" s="305"/>
    <row r="839" ht="15.75" customHeight="1" s="305"/>
    <row r="840" ht="15.75" customHeight="1" s="305"/>
    <row r="841" ht="15.75" customHeight="1" s="305"/>
    <row r="842" ht="15.75" customHeight="1" s="305"/>
    <row r="843" ht="15.75" customHeight="1" s="305"/>
    <row r="844" ht="15.75" customHeight="1" s="305"/>
    <row r="845" ht="15.75" customHeight="1" s="305"/>
    <row r="846" ht="15.75" customHeight="1" s="305"/>
    <row r="847" ht="15.75" customHeight="1" s="305"/>
    <row r="848" ht="15.75" customHeight="1" s="305"/>
    <row r="849" ht="15.75" customHeight="1" s="305"/>
    <row r="850" ht="15.75" customHeight="1" s="305"/>
    <row r="851" ht="15.75" customHeight="1" s="305"/>
    <row r="852" ht="15.75" customHeight="1" s="305"/>
    <row r="853" ht="15.75" customHeight="1" s="305"/>
    <row r="854" ht="15.75" customHeight="1" s="305"/>
    <row r="855" ht="15.75" customHeight="1" s="305"/>
    <row r="856" ht="15.75" customHeight="1" s="305"/>
    <row r="857" ht="15.75" customHeight="1" s="305"/>
    <row r="858" ht="15.75" customHeight="1" s="305"/>
    <row r="859" ht="15.75" customHeight="1" s="305"/>
    <row r="860" ht="15.75" customHeight="1" s="305"/>
    <row r="861" ht="15.75" customHeight="1" s="305"/>
    <row r="862" ht="15.75" customHeight="1" s="305"/>
    <row r="863" ht="15.75" customHeight="1" s="305"/>
    <row r="864" ht="15.75" customHeight="1" s="305"/>
    <row r="865" ht="15.75" customHeight="1" s="305"/>
    <row r="866" ht="15.75" customHeight="1" s="305"/>
    <row r="867" ht="15.75" customHeight="1" s="305"/>
    <row r="868" ht="15.75" customHeight="1" s="305"/>
    <row r="869" ht="15.75" customHeight="1" s="305"/>
    <row r="870" ht="15.75" customHeight="1" s="305"/>
    <row r="871" ht="15.75" customHeight="1" s="305"/>
    <row r="872" ht="15.75" customHeight="1" s="305"/>
    <row r="873" ht="15.75" customHeight="1" s="305"/>
    <row r="874" ht="15.75" customHeight="1" s="305"/>
    <row r="875" ht="15.75" customHeight="1" s="305"/>
    <row r="876" ht="15.75" customHeight="1" s="305"/>
    <row r="877" ht="15.75" customHeight="1" s="305"/>
    <row r="878" ht="15.75" customHeight="1" s="305"/>
    <row r="879" ht="15.75" customHeight="1" s="305"/>
    <row r="880" ht="15.75" customHeight="1" s="305"/>
    <row r="881" ht="15.75" customHeight="1" s="305"/>
    <row r="882" ht="15.75" customHeight="1" s="305"/>
    <row r="883" ht="15.75" customHeight="1" s="305"/>
    <row r="884" ht="15.75" customHeight="1" s="305"/>
    <row r="885" ht="15.75" customHeight="1" s="305"/>
    <row r="886" ht="15.75" customHeight="1" s="305"/>
    <row r="887" ht="15.75" customHeight="1" s="305"/>
    <row r="888" ht="15.75" customHeight="1" s="305"/>
    <row r="889" ht="15.75" customHeight="1" s="305"/>
    <row r="890" ht="15.75" customHeight="1" s="305"/>
    <row r="891" ht="15.75" customHeight="1" s="305"/>
    <row r="892" ht="15.75" customHeight="1" s="305"/>
    <row r="893" ht="15.75" customHeight="1" s="305"/>
    <row r="894" ht="15.75" customHeight="1" s="305"/>
    <row r="895" ht="15.75" customHeight="1" s="305"/>
    <row r="896" ht="15.75" customHeight="1" s="305"/>
    <row r="897" ht="15.75" customHeight="1" s="305"/>
    <row r="898" ht="15.75" customHeight="1" s="305"/>
    <row r="899" ht="15.75" customHeight="1" s="305"/>
    <row r="900" ht="15.75" customHeight="1" s="305"/>
    <row r="901" ht="15.75" customHeight="1" s="305"/>
    <row r="902" ht="15.75" customHeight="1" s="305"/>
    <row r="903" ht="15.75" customHeight="1" s="305"/>
    <row r="904" ht="15.75" customHeight="1" s="305"/>
    <row r="905" ht="15.75" customHeight="1" s="305"/>
    <row r="906" ht="15.75" customHeight="1" s="305"/>
    <row r="907" ht="15.75" customHeight="1" s="305"/>
    <row r="908" ht="15.75" customHeight="1" s="305"/>
    <row r="909" ht="15.75" customHeight="1" s="305"/>
    <row r="910" ht="15.75" customHeight="1" s="305"/>
    <row r="911" ht="15.75" customHeight="1" s="305"/>
    <row r="912" ht="15.75" customHeight="1" s="305"/>
    <row r="913" ht="15.75" customHeight="1" s="305"/>
    <row r="914" ht="15.75" customHeight="1" s="305"/>
    <row r="915" ht="15.75" customHeight="1" s="305"/>
    <row r="916" ht="15.75" customHeight="1" s="305"/>
    <row r="917" ht="15.75" customHeight="1" s="305"/>
    <row r="918" ht="15.75" customHeight="1" s="305"/>
    <row r="919" ht="15.75" customHeight="1" s="305"/>
    <row r="920" ht="15.75" customHeight="1" s="305"/>
    <row r="921" ht="15.75" customHeight="1" s="305"/>
    <row r="922" ht="15.75" customHeight="1" s="305"/>
    <row r="923" ht="15.75" customHeight="1" s="305"/>
    <row r="924" ht="15.75" customHeight="1" s="305"/>
    <row r="925" ht="15.75" customHeight="1" s="305"/>
    <row r="926" ht="15.75" customHeight="1" s="305"/>
    <row r="927" ht="15.75" customHeight="1" s="305"/>
    <row r="928" ht="15.75" customHeight="1" s="305"/>
    <row r="929" ht="15.75" customHeight="1" s="305"/>
    <row r="930" ht="15.75" customHeight="1" s="305"/>
    <row r="931" ht="15.75" customHeight="1" s="305"/>
    <row r="932" ht="15.75" customHeight="1" s="305"/>
    <row r="933" ht="15.75" customHeight="1" s="305"/>
    <row r="934" ht="15.75" customHeight="1" s="305"/>
    <row r="935" ht="15.75" customHeight="1" s="305"/>
    <row r="936" ht="15.75" customHeight="1" s="305"/>
    <row r="937" ht="15.75" customHeight="1" s="305"/>
    <row r="938" ht="15.75" customHeight="1" s="305"/>
    <row r="939" ht="15.75" customHeight="1" s="305"/>
    <row r="940" ht="15.75" customHeight="1" s="305"/>
    <row r="941" ht="15.75" customHeight="1" s="305"/>
    <row r="942" ht="15.75" customHeight="1" s="305"/>
    <row r="943" ht="15.75" customHeight="1" s="305"/>
    <row r="944" ht="15.75" customHeight="1" s="305"/>
    <row r="945" ht="15.75" customHeight="1" s="305"/>
    <row r="946" ht="15.75" customHeight="1" s="305"/>
    <row r="947" ht="15.75" customHeight="1" s="305"/>
    <row r="948" ht="15.75" customHeight="1" s="305"/>
    <row r="949" ht="15.75" customHeight="1" s="305"/>
    <row r="950" ht="15.75" customHeight="1" s="305"/>
    <row r="951" ht="15.75" customHeight="1" s="305"/>
    <row r="952" ht="15.75" customHeight="1" s="305"/>
    <row r="953" ht="15.75" customHeight="1" s="305"/>
    <row r="954" ht="15.75" customHeight="1" s="305"/>
    <row r="955" ht="15.75" customHeight="1" s="305"/>
    <row r="956" ht="15.75" customHeight="1" s="305"/>
    <row r="957" ht="15.75" customHeight="1" s="305"/>
    <row r="958" ht="15.75" customHeight="1" s="305"/>
    <row r="959" ht="15.75" customHeight="1" s="305"/>
    <row r="960" ht="15.75" customHeight="1" s="305"/>
    <row r="961" ht="15.75" customHeight="1" s="305"/>
    <row r="962" ht="15.75" customHeight="1" s="305"/>
    <row r="963" ht="15.75" customHeight="1" s="305"/>
    <row r="964" ht="15.75" customHeight="1" s="305"/>
    <row r="965" ht="15.75" customHeight="1" s="305"/>
    <row r="966" ht="15.75" customHeight="1" s="305"/>
    <row r="967" ht="15.75" customHeight="1" s="305"/>
    <row r="968" ht="15.75" customHeight="1" s="305"/>
    <row r="969" ht="15.75" customHeight="1" s="305"/>
    <row r="970" ht="15.75" customHeight="1" s="305"/>
    <row r="971" ht="15.75" customHeight="1" s="305"/>
    <row r="972" ht="15.75" customHeight="1" s="305"/>
    <row r="973" ht="15.75" customHeight="1" s="305"/>
    <row r="974" ht="15.75" customHeight="1" s="305"/>
    <row r="975" ht="15.75" customHeight="1" s="305"/>
    <row r="976" ht="15.75" customHeight="1" s="305"/>
    <row r="977" ht="15.75" customHeight="1" s="305"/>
    <row r="978" ht="15.75" customHeight="1" s="305"/>
    <row r="979" ht="15.75" customHeight="1" s="305"/>
    <row r="980" ht="15.75" customHeight="1" s="305"/>
    <row r="981" ht="15.75" customHeight="1" s="305"/>
    <row r="982" ht="15.75" customHeight="1" s="305"/>
    <row r="983" ht="15.75" customHeight="1" s="305"/>
    <row r="984" ht="15.75" customHeight="1" s="305"/>
    <row r="985" ht="15.75" customHeight="1" s="305"/>
    <row r="986" ht="15.75" customHeight="1" s="305"/>
    <row r="987" ht="15.75" customHeight="1" s="305"/>
    <row r="988" ht="15.75" customHeight="1" s="305"/>
    <row r="989" ht="15.75" customHeight="1" s="305"/>
    <row r="990" ht="15.75" customHeight="1" s="305"/>
    <row r="991" ht="15.75" customHeight="1" s="305"/>
    <row r="992" ht="15.75" customHeight="1" s="305"/>
    <row r="993" ht="15.75" customHeight="1" s="305"/>
    <row r="994" ht="15.75" customHeight="1" s="305"/>
    <row r="995" ht="15.75" customHeight="1" s="305"/>
    <row r="996" ht="15.75" customHeight="1" s="305"/>
    <row r="997" ht="15.75" customHeight="1" s="305"/>
    <row r="998" ht="15.75" customHeight="1" s="305"/>
    <row r="999" ht="15.75" customHeight="1" s="305"/>
    <row r="1000" ht="15.75" customHeight="1" s="305"/>
    <row r="1001" ht="15.75" customHeight="1" s="305"/>
  </sheetData>
  <pageMargins left="0.7" right="0.7" top="0.75" bottom="0.75" header="0" footer="0"/>
  <pageSetup orientation="landscape"/>
</worksheet>
</file>

<file path=xl/worksheets/sheet11.xml><?xml version="1.0" encoding="utf-8"?>
<worksheet xmlns="http://schemas.openxmlformats.org/spreadsheetml/2006/main">
  <sheetPr>
    <outlinePr summaryBelow="1" summaryRight="1"/>
    <pageSetUpPr/>
  </sheetPr>
  <dimension ref="A1:AB1001"/>
  <sheetViews>
    <sheetView workbookViewId="0">
      <selection activeCell="A1" sqref="A1"/>
    </sheetView>
  </sheetViews>
  <sheetFormatPr baseColWidth="8" defaultColWidth="14.43" defaultRowHeight="15" customHeight="1"/>
  <cols>
    <col width="23.71" customWidth="1" style="305" min="1" max="1"/>
    <col width="33" customWidth="1" style="305" min="2" max="2"/>
    <col width="24.14" customWidth="1" style="305" min="3" max="3"/>
    <col width="31.86" customWidth="1" style="305" min="4" max="6"/>
    <col width="29" customWidth="1" style="305" min="7" max="7"/>
    <col width="10.71" customWidth="1" style="305" min="8" max="28"/>
  </cols>
  <sheetData>
    <row r="1">
      <c r="A1" s="192" t="inlineStr">
        <is>
          <t>express-user-service</t>
        </is>
      </c>
      <c r="B1" s="67" t="n"/>
      <c r="C1" s="67" t="n"/>
      <c r="D1" s="150" t="inlineStr">
        <is>
          <t>GG Dịch</t>
        </is>
      </c>
      <c r="E1" s="67" t="n"/>
      <c r="F1" s="67" t="n"/>
      <c r="G1" s="67" t="n"/>
      <c r="I1" s="67" t="n"/>
      <c r="J1" s="67" t="n"/>
      <c r="K1" s="67" t="n"/>
      <c r="L1" s="67" t="n"/>
      <c r="M1" s="67" t="n"/>
      <c r="N1" s="67" t="n"/>
      <c r="O1" s="67" t="n"/>
      <c r="P1" s="67" t="n"/>
      <c r="Q1" s="67" t="n"/>
      <c r="R1" s="67" t="n"/>
      <c r="S1" s="67" t="n"/>
      <c r="T1" s="67" t="n"/>
      <c r="U1" s="67" t="n"/>
      <c r="V1" s="67" t="n"/>
      <c r="W1" s="67" t="n"/>
      <c r="X1" s="67" t="n"/>
      <c r="Y1" s="67" t="n"/>
      <c r="Z1" s="67" t="n"/>
      <c r="AA1" s="67" t="n"/>
      <c r="AB1" s="67" t="n"/>
    </row>
    <row r="2">
      <c r="A2" s="193" t="inlineStr">
        <is>
          <t>key</t>
        </is>
      </c>
      <c r="B2" s="193" t="inlineStr">
        <is>
          <t>vi</t>
        </is>
      </c>
      <c r="C2" s="193" t="inlineStr">
        <is>
          <t>en</t>
        </is>
      </c>
      <c r="E2" s="193" t="inlineStr">
        <is>
          <t>kh-Nita</t>
        </is>
      </c>
      <c r="F2" s="193" t="inlineStr">
        <is>
          <t>cam-final</t>
        </is>
      </c>
      <c r="G2" s="193" t="inlineStr">
        <is>
          <t>chinese</t>
        </is>
      </c>
      <c r="H2" s="308" t="inlineStr">
        <is>
          <t>cam Thean</t>
        </is>
      </c>
      <c r="I2" s="67" t="n"/>
      <c r="J2" s="67" t="n"/>
      <c r="K2" s="67" t="n"/>
      <c r="L2" s="67" t="n"/>
      <c r="M2" s="67" t="n"/>
      <c r="N2" s="67" t="n"/>
      <c r="O2" s="67" t="n"/>
      <c r="P2" s="67" t="n"/>
      <c r="Q2" s="67" t="n"/>
      <c r="R2" s="67" t="n"/>
      <c r="S2" s="67" t="n"/>
      <c r="T2" s="67" t="n"/>
      <c r="U2" s="67" t="n"/>
      <c r="V2" s="67" t="n"/>
      <c r="W2" s="67" t="n"/>
      <c r="X2" s="67" t="n"/>
      <c r="Y2" s="67" t="n"/>
      <c r="Z2" s="67" t="n"/>
      <c r="AA2" s="67" t="n"/>
      <c r="AB2" s="67" t="n"/>
    </row>
    <row r="3">
      <c r="A3" s="67" t="inlineStr">
        <is>
          <t>INVALID_USER_LOGIN</t>
        </is>
      </c>
      <c r="B3" s="67" t="inlineStr">
        <is>
          <t>Số điện thoại không tồn tại trên hệ thống.</t>
        </is>
      </c>
      <c r="C3" s="67" t="inlineStr">
        <is>
          <t>Phone number is not existed in the system.</t>
        </is>
      </c>
      <c r="D3" s="3">
        <f>IFERROR(__xludf.DUMMYFUNCTION("GOOGLETRANSLATE(B3,""vi"",""km"")"),"លេខទូរស័ព្ទនេះមិនមាននៅក្នុងប្រព័ន្ធទេ។")</f>
        <v/>
      </c>
      <c r="E3" s="67" t="inlineStr">
        <is>
          <t>លេខទូរស័ព្ទមិនមាននៅក្នុងប្រព័ន្ធទេ។</t>
        </is>
      </c>
      <c r="F3" s="3" t="inlineStr">
        <is>
          <t>លេខទូរស័ព្ទនេះមិនមាននៅក្នុងប្រព័ន្ធទេ។</t>
        </is>
      </c>
      <c r="G3" s="67" t="n"/>
      <c r="H3" t="inlineStr">
        <is>
          <t>លេខទូរស័ព្ទនេះមិនមាននៅក្នុងប្រព័ន្ធទេ។</t>
        </is>
      </c>
      <c r="I3" s="67" t="n"/>
      <c r="J3" s="67" t="n"/>
      <c r="K3" s="67" t="n"/>
      <c r="L3" s="67" t="n"/>
      <c r="M3" s="67" t="n"/>
      <c r="N3" s="67" t="n"/>
      <c r="O3" s="67" t="n"/>
      <c r="P3" s="67" t="n"/>
      <c r="Q3" s="67" t="n"/>
      <c r="R3" s="67" t="n"/>
      <c r="S3" s="67" t="n"/>
      <c r="T3" s="67" t="n"/>
      <c r="U3" s="67" t="n"/>
      <c r="V3" s="67" t="n"/>
      <c r="W3" s="67" t="n"/>
      <c r="X3" s="67" t="n"/>
      <c r="Y3" s="67" t="n"/>
      <c r="Z3" s="67" t="n"/>
      <c r="AA3" s="67" t="n"/>
      <c r="AB3" s="67" t="n"/>
    </row>
    <row r="4">
      <c r="A4" s="67" t="inlineStr">
        <is>
          <t>INVALID_PASSWORD_LOGIN</t>
        </is>
      </c>
      <c r="B4" s="67" t="inlineStr">
        <is>
          <t>Mật khẩu không đúng.</t>
        </is>
      </c>
      <c r="C4" s="67" t="inlineStr">
        <is>
          <t>Password is incorrect.</t>
        </is>
      </c>
      <c r="D4" s="3">
        <f>IFERROR(__xludf.DUMMYFUNCTION("GOOGLETRANSLATE(B4,""vi"",""km"")"),"ពាក្យសម្ងាត់មិនត្រឹមត្រូវ។")</f>
        <v/>
      </c>
      <c r="E4" s="67" t="inlineStr">
        <is>
          <t>ពាក្យសម្ងាត់មិនត្រឹមត្រូវ។</t>
        </is>
      </c>
      <c r="F4" s="3" t="inlineStr">
        <is>
          <t>ពាក្យសម្ងាត់មិនត្រឹមត្រូវ។</t>
        </is>
      </c>
      <c r="G4" s="67" t="n"/>
      <c r="H4" t="inlineStr">
        <is>
          <t>ពាក្យសម្ងាត់មិនត្រឹមត្រូវ។</t>
        </is>
      </c>
      <c r="I4" s="67" t="n"/>
      <c r="J4" s="67" t="n"/>
      <c r="K4" s="67" t="n"/>
      <c r="L4" s="67" t="n"/>
      <c r="M4" s="67" t="n"/>
      <c r="N4" s="67" t="n"/>
      <c r="O4" s="67" t="n"/>
      <c r="P4" s="67" t="n"/>
      <c r="Q4" s="67" t="n"/>
      <c r="R4" s="67" t="n"/>
      <c r="S4" s="67" t="n"/>
      <c r="T4" s="67" t="n"/>
      <c r="U4" s="67" t="n"/>
      <c r="V4" s="67" t="n"/>
      <c r="W4" s="67" t="n"/>
      <c r="X4" s="67" t="n"/>
      <c r="Y4" s="67" t="n"/>
      <c r="Z4" s="67" t="n"/>
      <c r="AA4" s="67" t="n"/>
      <c r="AB4" s="67" t="n"/>
    </row>
    <row r="5">
      <c r="A5" s="67" t="inlineStr">
        <is>
          <t>INVALID_ACCESS_TOKEN</t>
        </is>
      </c>
      <c r="B5" s="67" t="inlineStr">
        <is>
          <t>Mã truy cập không đúng.</t>
        </is>
      </c>
      <c r="C5" s="67" t="inlineStr">
        <is>
          <t>Invalid access token.</t>
        </is>
      </c>
      <c r="D5" s="3">
        <f>IFERROR(__xludf.DUMMYFUNCTION("GOOGLETRANSLATE(B5,""vi"",""km"")"),"លេខកូដចូលប្រើមិនត្រឹមត្រូវ។")</f>
        <v/>
      </c>
      <c r="E5" s="67" t="inlineStr">
        <is>
          <t>លេខកូដចូលប្រើមិនត្រឹមត្រូវ។</t>
        </is>
      </c>
      <c r="F5" s="3" t="inlineStr">
        <is>
          <t>លេខកូដចូលប្រើមិនត្រឹមត្រូវ។</t>
        </is>
      </c>
      <c r="G5" s="67" t="n"/>
      <c r="H5" t="inlineStr">
        <is>
          <t>លេខកូដចូលប្រើមិនត្រឹមត្រូវ។</t>
        </is>
      </c>
      <c r="I5" s="67" t="n"/>
      <c r="J5" s="67" t="n"/>
      <c r="K5" s="67" t="n"/>
      <c r="L5" s="67" t="n"/>
      <c r="M5" s="67" t="n"/>
      <c r="N5" s="67" t="n"/>
      <c r="O5" s="67" t="n"/>
      <c r="P5" s="67" t="n"/>
      <c r="Q5" s="67" t="n"/>
      <c r="R5" s="67" t="n"/>
      <c r="S5" s="67" t="n"/>
      <c r="T5" s="67" t="n"/>
      <c r="U5" s="67" t="n"/>
      <c r="V5" s="67" t="n"/>
      <c r="W5" s="67" t="n"/>
      <c r="X5" s="67" t="n"/>
      <c r="Y5" s="67" t="n"/>
      <c r="Z5" s="67" t="n"/>
      <c r="AA5" s="67" t="n"/>
      <c r="AB5" s="67" t="n"/>
    </row>
    <row r="6">
      <c r="A6" s="67" t="inlineStr">
        <is>
          <t>INVALID_CLIENT_CREDENTIAL</t>
        </is>
      </c>
      <c r="B6" s="67" t="inlineStr">
        <is>
          <t>Sai thông tin khách hàng.</t>
        </is>
      </c>
      <c r="C6" s="67" t="inlineStr">
        <is>
          <t>Invalid client credential.</t>
        </is>
      </c>
      <c r="D6" s="3">
        <f>IFERROR(__xludf.DUMMYFUNCTION("GOOGLETRANSLATE(B6,""vi"",""km"")"),"ព័ត៌មានអតិថិជនមិនត្រឹមត្រូវ។")</f>
        <v/>
      </c>
      <c r="E6" s="67" t="inlineStr">
        <is>
          <t>ព័ត៌មានអតិថិជនមិនត្រឹមត្រូវ។</t>
        </is>
      </c>
      <c r="F6" s="3" t="inlineStr">
        <is>
          <t>ព័ត៌មានអតិថិជនមិនត្រឹមត្រូវ។</t>
        </is>
      </c>
      <c r="G6" s="67" t="n"/>
      <c r="H6" t="inlineStr">
        <is>
          <t>ព័ត៌មានអតិថិជនមិនត្រឹមត្រូវ។</t>
        </is>
      </c>
      <c r="I6" s="67" t="n"/>
      <c r="J6" s="67" t="n"/>
      <c r="K6" s="67" t="n"/>
      <c r="L6" s="67" t="n"/>
      <c r="M6" s="67" t="n"/>
      <c r="N6" s="67" t="n"/>
      <c r="O6" s="67" t="n"/>
      <c r="P6" s="67" t="n"/>
      <c r="Q6" s="67" t="n"/>
      <c r="R6" s="67" t="n"/>
      <c r="S6" s="67" t="n"/>
      <c r="T6" s="67" t="n"/>
      <c r="U6" s="67" t="n"/>
      <c r="V6" s="67" t="n"/>
      <c r="W6" s="67" t="n"/>
      <c r="X6" s="67" t="n"/>
      <c r="Y6" s="67" t="n"/>
      <c r="Z6" s="67" t="n"/>
      <c r="AA6" s="67" t="n"/>
      <c r="AB6" s="67" t="n"/>
    </row>
    <row r="7">
      <c r="A7" s="67" t="inlineStr">
        <is>
          <t>ACCOUNT_DISABLED</t>
        </is>
      </c>
      <c r="B7" s="67" t="inlineStr">
        <is>
          <t>Tài khoản bị khoá!</t>
        </is>
      </c>
      <c r="C7" s="67" t="inlineStr">
        <is>
          <t>Account disabled.</t>
        </is>
      </c>
      <c r="D7" s="3">
        <f>IFERROR(__xludf.DUMMYFUNCTION("GOOGLETRANSLATE(B7,""vi"",""km"")"),"គណនីត្រូវបានចាក់សោ!")</f>
        <v/>
      </c>
      <c r="E7" s="67" t="inlineStr">
        <is>
          <t>គណនីត្រូវបានចាក់សោ!</t>
        </is>
      </c>
      <c r="F7" s="3" t="inlineStr">
        <is>
          <t>គណនីត្រូវបានចាក់សោ!</t>
        </is>
      </c>
      <c r="G7" s="67" t="n"/>
      <c r="H7" t="inlineStr">
        <is>
          <t>គណនីត្រូវបានចាក់សោ!</t>
        </is>
      </c>
      <c r="I7" s="67" t="n"/>
      <c r="J7" s="67" t="n"/>
      <c r="K7" s="67" t="n"/>
      <c r="L7" s="67" t="n"/>
      <c r="M7" s="67" t="n"/>
      <c r="N7" s="67" t="n"/>
      <c r="O7" s="67" t="n"/>
      <c r="P7" s="67" t="n"/>
      <c r="Q7" s="67" t="n"/>
      <c r="R7" s="67" t="n"/>
      <c r="S7" s="67" t="n"/>
      <c r="T7" s="67" t="n"/>
      <c r="U7" s="67" t="n"/>
      <c r="V7" s="67" t="n"/>
      <c r="W7" s="67" t="n"/>
      <c r="X7" s="67" t="n"/>
      <c r="Y7" s="67" t="n"/>
      <c r="Z7" s="67" t="n"/>
      <c r="AA7" s="67" t="n"/>
      <c r="AB7" s="67" t="n"/>
    </row>
    <row r="8">
      <c r="A8" s="67" t="inlineStr">
        <is>
          <t>SESSION_NOT_FOUND</t>
        </is>
      </c>
      <c r="B8" s="67" t="inlineStr">
        <is>
          <t>Phiên đăng nhập không tồn tại!</t>
        </is>
      </c>
      <c r="C8" s="67" t="inlineStr">
        <is>
          <t>Session not found!</t>
        </is>
      </c>
      <c r="D8" s="3">
        <f>IFERROR(__xludf.DUMMYFUNCTION("GOOGLETRANSLATE(B8,""vi"",""km"")"),"វគ្គចូលមិនមានទេ!")</f>
        <v/>
      </c>
      <c r="E8" s="67" t="inlineStr">
        <is>
          <t>វគ្គចូលមិនមានទេ!</t>
        </is>
      </c>
      <c r="F8" s="3" t="inlineStr">
        <is>
          <t>វគ្គចូលមិនមានទេ!</t>
        </is>
      </c>
      <c r="G8" s="67" t="n"/>
      <c r="H8" t="inlineStr">
        <is>
          <t>វគ្គចូលមិនមានទេ!</t>
        </is>
      </c>
      <c r="I8" s="67" t="n"/>
      <c r="J8" s="67" t="n"/>
      <c r="K8" s="67" t="n"/>
      <c r="L8" s="67" t="n"/>
      <c r="M8" s="67" t="n"/>
      <c r="N8" s="67" t="n"/>
      <c r="O8" s="67" t="n"/>
      <c r="P8" s="67" t="n"/>
      <c r="Q8" s="67" t="n"/>
      <c r="R8" s="67" t="n"/>
      <c r="S8" s="67" t="n"/>
      <c r="T8" s="67" t="n"/>
      <c r="U8" s="67" t="n"/>
      <c r="V8" s="67" t="n"/>
      <c r="W8" s="67" t="n"/>
      <c r="X8" s="67" t="n"/>
      <c r="Y8" s="67" t="n"/>
      <c r="Z8" s="67" t="n"/>
      <c r="AA8" s="67" t="n"/>
      <c r="AB8" s="67" t="n"/>
    </row>
    <row r="9">
      <c r="A9" s="192" t="inlineStr">
        <is>
          <t>express-tracking-service</t>
        </is>
      </c>
      <c r="B9" s="67" t="n"/>
      <c r="C9" s="67" t="n"/>
      <c r="D9" s="3" t="n"/>
      <c r="E9" s="67" t="n"/>
      <c r="F9" s="3" t="inlineStr"/>
      <c r="G9" s="67" t="n"/>
      <c r="H9" t="inlineStr"/>
      <c r="I9" s="67" t="n"/>
      <c r="J9" s="67" t="n"/>
      <c r="K9" s="67" t="n"/>
      <c r="L9" s="67" t="n"/>
      <c r="M9" s="67" t="n"/>
      <c r="N9" s="67" t="n"/>
      <c r="O9" s="67" t="n"/>
      <c r="P9" s="67" t="n"/>
      <c r="Q9" s="67" t="n"/>
      <c r="R9" s="67" t="n"/>
      <c r="S9" s="67" t="n"/>
      <c r="T9" s="67" t="n"/>
      <c r="U9" s="67" t="n"/>
      <c r="V9" s="67" t="n"/>
      <c r="W9" s="67" t="n"/>
      <c r="X9" s="67" t="n"/>
      <c r="Y9" s="67" t="n"/>
      <c r="Z9" s="67" t="n"/>
      <c r="AA9" s="67" t="n"/>
      <c r="AB9" s="67" t="n"/>
    </row>
    <row r="10">
      <c r="A10" s="193" t="inlineStr">
        <is>
          <t>key</t>
        </is>
      </c>
      <c r="B10" s="193" t="inlineStr">
        <is>
          <t>vi</t>
        </is>
      </c>
      <c r="C10" s="193" t="inlineStr">
        <is>
          <t>en</t>
        </is>
      </c>
      <c r="D10" s="3">
        <f>IFERROR(__xludf.DUMMYFUNCTION("GOOGLETRANSLATE(B10,""vi"",""km"")"),"វី")</f>
        <v/>
      </c>
      <c r="E10" s="195" t="inlineStr">
        <is>
          <t>kh-Nita</t>
        </is>
      </c>
      <c r="F10" s="3" t="inlineStr">
        <is>
          <t>វី</t>
        </is>
      </c>
      <c r="G10" s="195" t="inlineStr">
        <is>
          <t>chinese</t>
        </is>
      </c>
      <c r="H10" t="inlineStr">
        <is>
          <t>វី</t>
        </is>
      </c>
      <c r="I10" s="67" t="n"/>
      <c r="J10" s="67" t="n"/>
      <c r="K10" s="67" t="n"/>
      <c r="L10" s="67" t="n"/>
      <c r="M10" s="67" t="n"/>
      <c r="N10" s="67" t="n"/>
      <c r="O10" s="67" t="n"/>
      <c r="P10" s="67" t="n"/>
      <c r="Q10" s="67" t="n"/>
      <c r="R10" s="67" t="n"/>
      <c r="S10" s="67" t="n"/>
      <c r="T10" s="67" t="n"/>
      <c r="U10" s="67" t="n"/>
      <c r="V10" s="67" t="n"/>
      <c r="W10" s="67" t="n"/>
      <c r="X10" s="67" t="n"/>
      <c r="Y10" s="67" t="n"/>
      <c r="Z10" s="67" t="n"/>
      <c r="AA10" s="67" t="n"/>
      <c r="AB10" s="67" t="n"/>
    </row>
    <row r="11">
      <c r="A11" s="67" t="inlineStr">
        <is>
          <t>DB_EXCEPTION</t>
        </is>
      </c>
      <c r="B11" s="67" t="inlineStr">
        <is>
          <t>LỖI_CƠ_SỞ_DỮ_LIỆU</t>
        </is>
      </c>
      <c r="C11" s="67" t="inlineStr">
        <is>
          <t>DB_EXCEPTION</t>
        </is>
      </c>
      <c r="D11" s="3">
        <f>IFERROR(__xludf.DUMMYFUNCTION("GOOGLETRANSLATE(B11,""vi"",""km"")"),"កំហុសមូលដ្ឋានទិន្នន័យ")</f>
        <v/>
      </c>
      <c r="E11" s="67" t="inlineStr">
        <is>
          <t>DATABASE_ERROR</t>
        </is>
      </c>
      <c r="F11" s="3" t="inlineStr">
        <is>
          <t>កំហុសមូលដ្ឋានទិន្នន័យ</t>
        </is>
      </c>
      <c r="G11" s="67" t="n"/>
      <c r="H11" t="inlineStr">
        <is>
          <t>កំហុសមូលដ្ឋានទិន្នន័យ</t>
        </is>
      </c>
      <c r="I11" s="67" t="n"/>
      <c r="J11" s="67" t="n"/>
      <c r="K11" s="67" t="n"/>
      <c r="L11" s="67" t="n"/>
      <c r="M11" s="67" t="n"/>
      <c r="N11" s="67" t="n"/>
      <c r="O11" s="67" t="n"/>
      <c r="P11" s="67" t="n"/>
      <c r="Q11" s="67" t="n"/>
      <c r="R11" s="67" t="n"/>
      <c r="S11" s="67" t="n"/>
      <c r="T11" s="67" t="n"/>
      <c r="U11" s="67" t="n"/>
      <c r="V11" s="67" t="n"/>
      <c r="W11" s="67" t="n"/>
      <c r="X11" s="67" t="n"/>
      <c r="Y11" s="67" t="n"/>
      <c r="Z11" s="67" t="n"/>
      <c r="AA11" s="67" t="n"/>
      <c r="AB11" s="67" t="n"/>
    </row>
    <row r="12">
      <c r="A12" s="67" t="inlineStr">
        <is>
          <t>BAD_REQUEST</t>
        </is>
      </c>
      <c r="B12" s="67" t="inlineStr">
        <is>
          <t>LỖI_YÊU_CẦU</t>
        </is>
      </c>
      <c r="C12" s="67" t="inlineStr">
        <is>
          <t>BAD_REQUEST</t>
        </is>
      </c>
      <c r="D12" s="3">
        <f>IFERROR(__xludf.DUMMYFUNCTION("GOOGLETRANSLATE(B12,""vi"",""km"")"),"កំហុសសំណើ")</f>
        <v/>
      </c>
      <c r="E12" s="67" t="inlineStr">
        <is>
          <t>REQUEST_ERROR</t>
        </is>
      </c>
      <c r="F12" s="3" t="inlineStr">
        <is>
          <t>កំហុសសំណើ</t>
        </is>
      </c>
      <c r="G12" s="67" t="n"/>
      <c r="H12" t="inlineStr">
        <is>
          <t>កំហុសសំណើ</t>
        </is>
      </c>
      <c r="I12" s="67" t="n"/>
      <c r="J12" s="67" t="n"/>
      <c r="K12" s="67" t="n"/>
      <c r="L12" s="67" t="n"/>
      <c r="M12" s="67" t="n"/>
      <c r="N12" s="67" t="n"/>
      <c r="O12" s="67" t="n"/>
      <c r="P12" s="67" t="n"/>
      <c r="Q12" s="67" t="n"/>
      <c r="R12" s="67" t="n"/>
      <c r="S12" s="67" t="n"/>
      <c r="T12" s="67" t="n"/>
      <c r="U12" s="67" t="n"/>
      <c r="V12" s="67" t="n"/>
      <c r="W12" s="67" t="n"/>
      <c r="X12" s="67" t="n"/>
      <c r="Y12" s="67" t="n"/>
      <c r="Z12" s="67" t="n"/>
      <c r="AA12" s="67" t="n"/>
      <c r="AB12" s="67" t="n"/>
    </row>
    <row r="13">
      <c r="A13" s="67" t="inlineStr">
        <is>
          <t>BAD_REQUEST_FMT</t>
        </is>
      </c>
      <c r="B13" s="67" t="inlineStr">
        <is>
          <t>LỖI_YÊU_CẦU</t>
        </is>
      </c>
      <c r="C13" s="67" t="inlineStr">
        <is>
          <t>BAD_REQUEST</t>
        </is>
      </c>
      <c r="D13" s="3">
        <f>IFERROR(__xludf.DUMMYFUNCTION("GOOGLETRANSLATE(B13,""vi"",""km"")"),"កំហុសសំណើ")</f>
        <v/>
      </c>
      <c r="E13" s="67" t="inlineStr">
        <is>
          <t>REQUEST_ERROR</t>
        </is>
      </c>
      <c r="F13" s="3" t="inlineStr">
        <is>
          <t>កំហុសសំណើ</t>
        </is>
      </c>
      <c r="G13" s="67" t="n"/>
      <c r="H13" t="inlineStr">
        <is>
          <t>កំហុសសំណើ</t>
        </is>
      </c>
      <c r="I13" s="67" t="n"/>
      <c r="J13" s="67" t="n"/>
      <c r="K13" s="67" t="n"/>
      <c r="L13" s="67" t="n"/>
      <c r="M13" s="67" t="n"/>
      <c r="N13" s="67" t="n"/>
      <c r="O13" s="67" t="n"/>
      <c r="P13" s="67" t="n"/>
      <c r="Q13" s="67" t="n"/>
      <c r="R13" s="67" t="n"/>
      <c r="S13" s="67" t="n"/>
      <c r="T13" s="67" t="n"/>
      <c r="U13" s="67" t="n"/>
      <c r="V13" s="67" t="n"/>
      <c r="W13" s="67" t="n"/>
      <c r="X13" s="67" t="n"/>
      <c r="Y13" s="67" t="n"/>
      <c r="Z13" s="67" t="n"/>
      <c r="AA13" s="67" t="n"/>
      <c r="AB13" s="67" t="n"/>
    </row>
    <row r="14">
      <c r="A14" s="67" t="inlineStr">
        <is>
          <t>BAD_RESPONSE</t>
        </is>
      </c>
      <c r="B14" s="67" t="inlineStr">
        <is>
          <t>Không rõ cấu trúc phản hồi</t>
        </is>
      </c>
      <c r="C14" s="67" t="inlineStr">
        <is>
          <t>Unknown response schema</t>
        </is>
      </c>
      <c r="D14" s="3">
        <f>IFERROR(__xludf.DUMMYFUNCTION("GOOGLETRANSLATE(B14,""vi"",""km"")"),"រចនាសម្ព័ន្ធមតិប្រតិកម្មមិនច្បាស់លាស់។")</f>
        <v/>
      </c>
      <c r="E14" s="67" t="n"/>
      <c r="F14" s="3" t="inlineStr">
        <is>
          <t>រចនាសម្ព័ន្ធមតិប្រតិកម្មមិនច្បាស់លាស់។</t>
        </is>
      </c>
      <c r="G14" s="67" t="n"/>
      <c r="H14" t="inlineStr">
        <is>
          <t>រចនាសម្ព័ន្ធមតិប្រតិកម្មមិនច្បាស់លាស់។</t>
        </is>
      </c>
      <c r="I14" s="67" t="n"/>
      <c r="J14" s="67" t="n"/>
      <c r="K14" s="67" t="n"/>
      <c r="L14" s="67" t="n"/>
      <c r="M14" s="67" t="n"/>
      <c r="N14" s="67" t="n"/>
      <c r="O14" s="67" t="n"/>
      <c r="P14" s="67" t="n"/>
      <c r="Q14" s="67" t="n"/>
      <c r="R14" s="67" t="n"/>
      <c r="S14" s="67" t="n"/>
      <c r="T14" s="67" t="n"/>
      <c r="U14" s="67" t="n"/>
      <c r="V14" s="67" t="n"/>
      <c r="W14" s="67" t="n"/>
      <c r="X14" s="67" t="n"/>
      <c r="Y14" s="67" t="n"/>
      <c r="Z14" s="67" t="n"/>
      <c r="AA14" s="67" t="n"/>
      <c r="AB14" s="67" t="n"/>
    </row>
    <row r="15">
      <c r="A15" s="67" t="inlineStr">
        <is>
          <t>ENUM_NOT_SUPPORTED</t>
        </is>
      </c>
      <c r="B15" s="67" t="inlineStr">
        <is>
          <t>Giá trị enum không được hỗ trợ</t>
        </is>
      </c>
      <c r="C15" s="67" t="inlineStr">
        <is>
          <t>Not supported enum value</t>
        </is>
      </c>
      <c r="D15" s="3">
        <f>IFERROR(__xludf.DUMMYFUNCTION("GOOGLETRANSLATE(B15,""vi"",""km"")"),"តម្លៃ​បញ្ចូល​មិន​ត្រូវ​បាន​គាំទ្រ​ទេ។")</f>
        <v/>
      </c>
      <c r="E15" s="196" t="inlineStr">
        <is>
          <t>តម្លៃ Enum មិនត្រូវបាន</t>
        </is>
      </c>
      <c r="F15" s="3" t="inlineStr">
        <is>
          <t>តម្លៃបញ្ចូលមិនត្រូវបានគាំទ្រទេ។</t>
        </is>
      </c>
      <c r="G15" s="67" t="n"/>
      <c r="H15" t="inlineStr">
        <is>
          <t>តម្លៃបញ្ចូលមិនត្រូវបានគាំទ្រទេ។</t>
        </is>
      </c>
      <c r="I15" s="67" t="n"/>
      <c r="J15" s="67" t="n"/>
      <c r="K15" s="67" t="n"/>
      <c r="L15" s="67" t="n"/>
      <c r="M15" s="67" t="n"/>
      <c r="N15" s="67" t="n"/>
      <c r="O15" s="67" t="n"/>
      <c r="P15" s="67" t="n"/>
      <c r="Q15" s="67" t="n"/>
      <c r="R15" s="67" t="n"/>
      <c r="S15" s="67" t="n"/>
      <c r="T15" s="67" t="n"/>
      <c r="U15" s="67" t="n"/>
      <c r="V15" s="67" t="n"/>
      <c r="W15" s="67" t="n"/>
      <c r="X15" s="67" t="n"/>
      <c r="Y15" s="67" t="n"/>
      <c r="Z15" s="67" t="n"/>
      <c r="AA15" s="67" t="n"/>
      <c r="AB15" s="67" t="n"/>
    </row>
    <row r="16">
      <c r="A16" s="67" t="inlineStr">
        <is>
          <t>MULTI_TOKEN</t>
        </is>
      </c>
      <c r="B16" s="67" t="inlineStr">
        <is>
          <t>Không chấp nhận multi token</t>
        </is>
      </c>
      <c r="C16" s="67" t="inlineStr">
        <is>
          <t>Multi token not accepted</t>
        </is>
      </c>
      <c r="D16" s="3">
        <f>IFERROR(__xludf.DUMMYFUNCTION("GOOGLETRANSLATE(B16,""vi"",""km"")"),"ថូខឹនច្រើនមិនត្រូវបានទទួលយកទេ។")</f>
        <v/>
      </c>
      <c r="E16" s="67" t="n"/>
      <c r="F16" s="3" t="inlineStr">
        <is>
          <t>ថូខឹនច្រើនមិនត្រូវបានទទួលយកទេ។</t>
        </is>
      </c>
      <c r="G16" s="67" t="n"/>
      <c r="H16" t="inlineStr">
        <is>
          <t>ថូខឹនច្រើនមិនត្រូវបានទទួលយកទេ។</t>
        </is>
      </c>
      <c r="I16" s="67" t="n"/>
      <c r="J16" s="67" t="n"/>
      <c r="K16" s="67" t="n"/>
      <c r="L16" s="67" t="n"/>
      <c r="M16" s="67" t="n"/>
      <c r="N16" s="67" t="n"/>
      <c r="O16" s="67" t="n"/>
      <c r="P16" s="67" t="n"/>
      <c r="Q16" s="67" t="n"/>
      <c r="R16" s="67" t="n"/>
      <c r="S16" s="67" t="n"/>
      <c r="T16" s="67" t="n"/>
      <c r="U16" s="67" t="n"/>
      <c r="V16" s="67" t="n"/>
      <c r="W16" s="67" t="n"/>
      <c r="X16" s="67" t="n"/>
      <c r="Y16" s="67" t="n"/>
      <c r="Z16" s="67" t="n"/>
      <c r="AA16" s="67" t="n"/>
      <c r="AB16" s="67" t="n"/>
    </row>
    <row r="17">
      <c r="A17" s="67" t="inlineStr">
        <is>
          <t>CORE_EMPTY_RESPONSE</t>
        </is>
      </c>
      <c r="B17" s="67" t="inlineStr">
        <is>
          <t>Kết quả trống từ hạ tầng cơ bản</t>
        </is>
      </c>
      <c r="C17" s="67" t="inlineStr">
        <is>
          <t>Empty result from core</t>
        </is>
      </c>
      <c r="D17" s="3">
        <f>IFERROR(__xludf.DUMMYFUNCTION("GOOGLETRANSLATE(B17,""vi"",""km"")"),"លទ្ធផលគឺកង្វះហេដ្ឋារចនាសម្ព័ន្ធជាមូលដ្ឋាន។")</f>
        <v/>
      </c>
      <c r="E17" s="67" t="n"/>
      <c r="F17" s="3" t="inlineStr">
        <is>
          <t>លទ្ធផលគឺកង្វះហេដ្ឋារចនាសម្ព័ន្ធជាមូលដ្ឋាន។</t>
        </is>
      </c>
      <c r="G17" s="67" t="n"/>
      <c r="H17" t="inlineStr">
        <is>
          <t>លទ្ធផលគឺកង្វះហេដ្ឋារចនាសម្ព័ន្ធជាមូលដ្ឋាន។</t>
        </is>
      </c>
      <c r="I17" s="67" t="n"/>
      <c r="J17" s="67" t="n"/>
      <c r="K17" s="67" t="n"/>
      <c r="L17" s="67" t="n"/>
      <c r="M17" s="67" t="n"/>
      <c r="N17" s="67" t="n"/>
      <c r="O17" s="67" t="n"/>
      <c r="P17" s="67" t="n"/>
      <c r="Q17" s="67" t="n"/>
      <c r="R17" s="67" t="n"/>
      <c r="S17" s="67" t="n"/>
      <c r="T17" s="67" t="n"/>
      <c r="U17" s="67" t="n"/>
      <c r="V17" s="67" t="n"/>
      <c r="W17" s="67" t="n"/>
      <c r="X17" s="67" t="n"/>
      <c r="Y17" s="67" t="n"/>
      <c r="Z17" s="67" t="n"/>
      <c r="AA17" s="67" t="n"/>
      <c r="AB17" s="67" t="n"/>
    </row>
    <row r="18">
      <c r="A18" s="67" t="inlineStr">
        <is>
          <t>CORE_RESPONSE_TOO_LONG</t>
        </is>
      </c>
      <c r="B18" s="67" t="inlineStr">
        <is>
          <t>Phản hồi từ hạ tầng cơ bản quá dài</t>
        </is>
      </c>
      <c r="C18" s="67" t="inlineStr">
        <is>
          <t>CORE response too long</t>
        </is>
      </c>
      <c r="D18" s="3">
        <f>IFERROR(__xludf.DUMMYFUNCTION("GOOGLETRANSLATE(B18,""vi"",""km"")"),"ការឆ្លើយតបពីហេដ្ឋារចនាសម្ព័ន្ធមូលដ្ឋានវែងពេក។")</f>
        <v/>
      </c>
      <c r="E18" s="67" t="inlineStr">
        <is>
          <t>ការឆ្លើយតបពីហេដ្ឋារចនាសម្ព័ន្ធមូលដ្ឋានវែងពេក</t>
        </is>
      </c>
      <c r="F18" s="3" t="inlineStr">
        <is>
          <t>ការឆ្លើយតបពីហេដ្ឋារចនាសម្ព័ន្ធមូលដ្ឋានវែងពេក។</t>
        </is>
      </c>
      <c r="G18" s="67" t="n"/>
      <c r="H18" t="inlineStr">
        <is>
          <t>ការឆ្លើយតបពីហេដ្ឋារចនាសម្ព័ន្ធមូលដ្ឋានវែងពេក។</t>
        </is>
      </c>
      <c r="I18" s="67" t="n"/>
      <c r="J18" s="67" t="n"/>
      <c r="K18" s="67" t="n"/>
      <c r="L18" s="67" t="n"/>
      <c r="M18" s="67" t="n"/>
      <c r="N18" s="67" t="n"/>
      <c r="O18" s="67" t="n"/>
      <c r="P18" s="67" t="n"/>
      <c r="Q18" s="67" t="n"/>
      <c r="R18" s="67" t="n"/>
      <c r="S18" s="67" t="n"/>
      <c r="T18" s="67" t="n"/>
      <c r="U18" s="67" t="n"/>
      <c r="V18" s="67" t="n"/>
      <c r="W18" s="67" t="n"/>
      <c r="X18" s="67" t="n"/>
      <c r="Y18" s="67" t="n"/>
      <c r="Z18" s="67" t="n"/>
      <c r="AA18" s="67" t="n"/>
      <c r="AB18" s="67" t="n"/>
    </row>
    <row r="19">
      <c r="A19" s="67" t="inlineStr">
        <is>
          <t>NOT_EXISTS_IN_ASSIGNED</t>
        </is>
      </c>
      <c r="B19" s="67" t="inlineStr">
        <is>
          <t>Đơn hàng không tồn tại trong lịch giao hàng đã được phân công của người phát</t>
        </is>
      </c>
      <c r="C19" s="67" t="inlineStr">
        <is>
          <t>The order does not exist in the assigned delivery of the postman</t>
        </is>
      </c>
      <c r="D19" s="3">
        <f>IFERROR(__xludf.DUMMYFUNCTION("GOOGLETRANSLATE(B19,""vi"",""km"")"),"ការបញ្ជាទិញនេះមិនមាននៅក្នុងកាលវិភាគដឹកជញ្ជូនដែលបានកំណត់ទៅអ្នកដឹកជញ្ជូនទេ។")</f>
        <v/>
      </c>
      <c r="E19" s="67" t="inlineStr">
        <is>
          <t>ការបញ្ជាទិញមិនមាននៅក្នុងកាលវិភាគដឹកជញ្ជូនដែលបានកំណត់របស់អ្នកផ្ញើទេ</t>
        </is>
      </c>
      <c r="F19" s="3" t="inlineStr">
        <is>
          <t>ការបញ្ជាទិញនេះមិនមាននៅក្នុងកាលវិភាគដឹកជញ្ជូនដែលបានកំណត់ទៅអ្នកដឹកជញ្ជូនទេ។</t>
        </is>
      </c>
      <c r="G19" s="67" t="n"/>
      <c r="H19" t="inlineStr">
        <is>
          <t>ការបញ្ជាទិញនេះមិនមាននៅក្នុងកាលវិភាគដឹកជញ្ជូនដែលបានកំណត់ទៅអ្នកដឹកជញ្ជូនទេ។</t>
        </is>
      </c>
      <c r="I19" s="67" t="n"/>
      <c r="J19" s="67" t="n"/>
      <c r="K19" s="67" t="n"/>
      <c r="L19" s="67" t="n"/>
      <c r="M19" s="67" t="n"/>
      <c r="N19" s="67" t="n"/>
      <c r="O19" s="67" t="n"/>
      <c r="P19" s="67" t="n"/>
      <c r="Q19" s="67" t="n"/>
      <c r="R19" s="67" t="n"/>
      <c r="S19" s="67" t="n"/>
      <c r="T19" s="67" t="n"/>
      <c r="U19" s="67" t="n"/>
      <c r="V19" s="67" t="n"/>
      <c r="W19" s="67" t="n"/>
      <c r="X19" s="67" t="n"/>
      <c r="Y19" s="67" t="n"/>
      <c r="Z19" s="67" t="n"/>
      <c r="AA19" s="67" t="n"/>
      <c r="AB19" s="67" t="n"/>
    </row>
    <row r="20">
      <c r="A20" s="67" t="inlineStr">
        <is>
          <t>HAS_FINAL_STATUS</t>
        </is>
      </c>
      <c r="B20" s="67" t="inlineStr">
        <is>
          <t>Đơn hàng đã đạt đến trạng thái cuối cùng của mình</t>
        </is>
      </c>
      <c r="C20" s="67" t="inlineStr">
        <is>
          <t>The order has reached its final status</t>
        </is>
      </c>
      <c r="D20" s="3">
        <f>IFERROR(__xludf.DUMMYFUNCTION("GOOGLETRANSLATE(B20,""vi"",""km"")"),"ការបញ្ជាទិញបានឈានដល់ស្ថានភាពចុងក្រោយរបស់វា។")</f>
        <v/>
      </c>
      <c r="E20" s="67" t="inlineStr">
        <is>
          <t>បុងបញ្ញើបានឈានដល់ស្ថានភាពចុងក្រោយរបស់វាហើយ</t>
        </is>
      </c>
      <c r="F20" s="3" t="inlineStr">
        <is>
          <t>ការបញ្ជាទិញបានឈានដល់ស្ថានភាពចុងក្រោយរបស់វា។</t>
        </is>
      </c>
      <c r="G20" s="67" t="n"/>
      <c r="H20" t="inlineStr">
        <is>
          <t>ការបញ្ជាទិញបានឈានដល់ស្ថានភាពចុងក្រោយរបស់វា។</t>
        </is>
      </c>
      <c r="I20" s="67" t="n"/>
      <c r="J20" s="67" t="n"/>
      <c r="K20" s="67" t="n"/>
      <c r="L20" s="67" t="n"/>
      <c r="M20" s="67" t="n"/>
      <c r="N20" s="67" t="n"/>
      <c r="O20" s="67" t="n"/>
      <c r="P20" s="67" t="n"/>
      <c r="Q20" s="67" t="n"/>
      <c r="R20" s="67" t="n"/>
      <c r="S20" s="67" t="n"/>
      <c r="T20" s="67" t="n"/>
      <c r="U20" s="67" t="n"/>
      <c r="V20" s="67" t="n"/>
      <c r="W20" s="67" t="n"/>
      <c r="X20" s="67" t="n"/>
      <c r="Y20" s="67" t="n"/>
      <c r="Z20" s="67" t="n"/>
      <c r="AA20" s="67" t="n"/>
      <c r="AB20" s="67" t="n"/>
    </row>
    <row r="21" ht="15.75" customHeight="1" s="305">
      <c r="A21" s="67" t="inlineStr">
        <is>
          <t>FORWARDED_ANOTHER_POST</t>
        </is>
      </c>
      <c r="B21" s="67" t="inlineStr">
        <is>
          <t>Đơn hàng đã được chuyển tiếp đến một bưu cục khác</t>
        </is>
      </c>
      <c r="C21" s="67" t="inlineStr">
        <is>
          <t>The order has been forwarded to another post office</t>
        </is>
      </c>
      <c r="D21" s="3">
        <f>IFERROR(__xludf.DUMMYFUNCTION("GOOGLETRANSLATE(B21,""vi"",""km"")"),"ការបញ្ជាទិញត្រូវបានបញ្ជូនបន្តទៅកាន់ការិយាល័យប្រៃសណីយ៍ផ្សេង។")</f>
        <v/>
      </c>
      <c r="E21" s="67" t="inlineStr">
        <is>
          <t>បុុងបញ្ញើត្រូវបានបញ្ជូនបន្តទៅដល់ការិយាល័យប្រៃសណីយ៍ផ្សេងទៀត</t>
        </is>
      </c>
      <c r="F21" s="3" t="inlineStr">
        <is>
          <t>ការបញ្ជាទិញត្រូវបានបញ្ជូនបន្តទៅកាន់ការិយាល័យប្រៃសណីយ៍ផ្សេង។</t>
        </is>
      </c>
      <c r="G21" s="67" t="n"/>
      <c r="H21" t="inlineStr">
        <is>
          <t>ការបញ្ជាទិញត្រូវបានបញ្ជូនបន្តទៅកាន់ការិយាល័យប្រៃសណីយ៍ផ្សេង។</t>
        </is>
      </c>
      <c r="I21" s="67" t="n"/>
      <c r="J21" s="67" t="n"/>
      <c r="K21" s="67" t="n"/>
      <c r="L21" s="67" t="n"/>
      <c r="M21" s="67" t="n"/>
      <c r="N21" s="67" t="n"/>
      <c r="O21" s="67" t="n"/>
      <c r="P21" s="67" t="n"/>
      <c r="Q21" s="67" t="n"/>
      <c r="R21" s="67" t="n"/>
      <c r="S21" s="67" t="n"/>
      <c r="T21" s="67" t="n"/>
      <c r="U21" s="67" t="n"/>
      <c r="V21" s="67" t="n"/>
      <c r="W21" s="67" t="n"/>
      <c r="X21" s="67" t="n"/>
      <c r="Y21" s="67" t="n"/>
      <c r="Z21" s="67" t="n"/>
      <c r="AA21" s="67" t="n"/>
      <c r="AB21" s="67" t="n"/>
    </row>
    <row r="22" ht="15.75" customHeight="1" s="305">
      <c r="A22" s="67" t="inlineStr">
        <is>
          <t>NOT_RETURN_LIST</t>
        </is>
      </c>
      <c r="B22" s="67" t="inlineStr">
        <is>
          <t>Đơn hàng không có trong danh sách đơn hàng trả lại</t>
        </is>
      </c>
      <c r="C22" s="67" t="inlineStr">
        <is>
          <t>The order is not on the return list</t>
        </is>
      </c>
      <c r="D22" s="3">
        <f>IFERROR(__xludf.DUMMYFUNCTION("GOOGLETRANSLATE(B22,""vi"",""km"")"),"ការបញ្ជាទិញនេះមិនមាននៅក្នុងបញ្ជីនៃការបញ្ជាទិញដែលបានប្រគល់មកវិញទេ។")</f>
        <v/>
      </c>
      <c r="E22" s="67" t="inlineStr">
        <is>
          <t>បុងបញ្ញើមិនមានក្នុងបញ្ជីបុងបញ្ញើដែលបានត្រលប់មកទេ</t>
        </is>
      </c>
      <c r="F22" s="3" t="inlineStr">
        <is>
          <t>ការបញ្ជាទិញនេះមិនមាននៅក្នុងបញ្ជីនៃការបញ្ជាទិញដែលបានប្រគល់មកវិញទេ។</t>
        </is>
      </c>
      <c r="G22" s="67" t="n"/>
      <c r="H22" t="inlineStr">
        <is>
          <t>ការបញ្ជាទិញនេះមិនមាននៅក្នុងបញ្ជីនៃការបញ្ជាទិញដែលបានប្រគល់មកវិញទេ។</t>
        </is>
      </c>
      <c r="I22" s="67" t="n"/>
      <c r="J22" s="67" t="n"/>
      <c r="K22" s="67" t="n"/>
      <c r="L22" s="67" t="n"/>
      <c r="M22" s="67" t="n"/>
      <c r="N22" s="67" t="n"/>
      <c r="O22" s="67" t="n"/>
      <c r="P22" s="67" t="n"/>
      <c r="Q22" s="67" t="n"/>
      <c r="R22" s="67" t="n"/>
      <c r="S22" s="67" t="n"/>
      <c r="T22" s="67" t="n"/>
      <c r="U22" s="67" t="n"/>
      <c r="V22" s="67" t="n"/>
      <c r="W22" s="67" t="n"/>
      <c r="X22" s="67" t="n"/>
      <c r="Y22" s="67" t="n"/>
      <c r="Z22" s="67" t="n"/>
      <c r="AA22" s="67" t="n"/>
      <c r="AB22" s="67" t="n"/>
    </row>
    <row r="23" ht="15.75" customHeight="1" s="305">
      <c r="A23" s="67" t="inlineStr">
        <is>
          <t>NOT_FORWARDING_STATUS</t>
        </is>
      </c>
      <c r="B23" s="67" t="inlineStr">
        <is>
          <t>Đơn hàng không ở trong trạng thái chuyển tiếp và không thể sửa đổi</t>
        </is>
      </c>
      <c r="C23" s="67" t="inlineStr">
        <is>
          <t>The order is not in the forwarding status and cannot be modified</t>
        </is>
      </c>
      <c r="D23" s="3">
        <f>IFERROR(__xludf.DUMMYFUNCTION("GOOGLETRANSLATE(B23,""vi"",""km"")"),"ការបញ្ជាទិញនេះមិនស្ថិតនៅក្នុងការដឹកជញ្ជូនទេ ហើយមិនអាចកែប្រែបានទេ។")</f>
        <v/>
      </c>
      <c r="E23" s="67" t="inlineStr">
        <is>
          <t>បុងបញ្ញើ នេះមិនស្ថិតនៅក្នុងស្ថានភាពបញ្ជូនបន្តទេ ហើយមិនអាចកែប្រែបានទេ។</t>
        </is>
      </c>
      <c r="F23" s="3" t="inlineStr">
        <is>
          <t>ការបញ្ជាទិញនេះមិនស្ថិតនៅក្នុងការដឹកជញ្ជូនទេ ហើយមិនអាចកែប្រែបានទេ។</t>
        </is>
      </c>
      <c r="G23" s="67" t="n"/>
      <c r="H23" t="inlineStr">
        <is>
          <t>ការបញ្ជាទិញនេះមិនស្ថិតនៅក្នុងការដឹកជញ្ជូនទេ ហើយមិនអាចកែប្រែបានទេ។</t>
        </is>
      </c>
      <c r="I23" s="67" t="n"/>
      <c r="J23" s="67" t="n"/>
      <c r="K23" s="67" t="n"/>
      <c r="L23" s="67" t="n"/>
      <c r="M23" s="67" t="n"/>
      <c r="N23" s="67" t="n"/>
      <c r="O23" s="67" t="n"/>
      <c r="P23" s="67" t="n"/>
      <c r="Q23" s="67" t="n"/>
      <c r="R23" s="67" t="n"/>
      <c r="S23" s="67" t="n"/>
      <c r="T23" s="67" t="n"/>
      <c r="U23" s="67" t="n"/>
      <c r="V23" s="67" t="n"/>
      <c r="W23" s="67" t="n"/>
      <c r="X23" s="67" t="n"/>
      <c r="Y23" s="67" t="n"/>
      <c r="Z23" s="67" t="n"/>
      <c r="AA23" s="67" t="n"/>
      <c r="AB23" s="67" t="n"/>
    </row>
    <row r="24" ht="15.75" customHeight="1" s="305">
      <c r="A24" s="67" t="inlineStr">
        <is>
          <t>NOT_ALLOWS_PARTIAL_DELIVERY</t>
        </is>
      </c>
      <c r="B24" s="67" t="inlineStr">
        <is>
          <t>Đơn hàng không ở trong trạng thái cho phép yêu cầu giao hàng một phần</t>
        </is>
      </c>
      <c r="C24" s="67" t="inlineStr">
        <is>
          <t>The order is not in a status that allows partial delivery requests</t>
        </is>
      </c>
      <c r="D24" s="3">
        <f>IFERROR(__xludf.DUMMYFUNCTION("GOOGLETRANSLATE(B24,""vi"",""km"")"),"ការបញ្ជាទិញនេះមិនស្ថិតក្នុងស្ថានភាពដែលអនុញ្ញាតឱ្យមានសំណើដឹកជញ្ជូនដោយផ្នែកទេ។")</f>
        <v/>
      </c>
      <c r="E24" s="67" t="inlineStr">
        <is>
          <t>បុងបញ្ញើមិនមាននៅក្នុងស្ថានភាពស្នើសុំដឹកជញ្ជូនមួយផ្នែក</t>
        </is>
      </c>
      <c r="F24" s="3" t="inlineStr">
        <is>
          <t>ការបញ្ជាទិញនេះមិនស្ថិតក្នុងស្ថានភាពដែលអនុញ្ញាតឱ្យមានសំណើដឹកជញ្ជូនដោយផ្នែកទេ។</t>
        </is>
      </c>
      <c r="G24" s="67" t="n"/>
      <c r="H24" t="inlineStr">
        <is>
          <t>ការបញ្ជាទិញនេះមិនស្ថិតក្នុងស្ថានភាពដែលអនុញ្ញាតឱ្យមានសំណើដឹកជញ្ជូនដោយផ្នែកទេ។</t>
        </is>
      </c>
      <c r="I24" s="67" t="n"/>
      <c r="J24" s="67" t="n"/>
      <c r="K24" s="67" t="n"/>
      <c r="L24" s="67" t="n"/>
      <c r="M24" s="67" t="n"/>
      <c r="N24" s="67" t="n"/>
      <c r="O24" s="67" t="n"/>
      <c r="P24" s="67" t="n"/>
      <c r="Q24" s="67" t="n"/>
      <c r="R24" s="67" t="n"/>
      <c r="S24" s="67" t="n"/>
      <c r="T24" s="67" t="n"/>
      <c r="U24" s="67" t="n"/>
      <c r="V24" s="67" t="n"/>
      <c r="W24" s="67" t="n"/>
      <c r="X24" s="67" t="n"/>
      <c r="Y24" s="67" t="n"/>
      <c r="Z24" s="67" t="n"/>
      <c r="AA24" s="67" t="n"/>
      <c r="AB24" s="67" t="n"/>
    </row>
    <row r="25" ht="15.75" customHeight="1" s="305">
      <c r="A25" s="67" t="inlineStr">
        <is>
          <t>NOT_PARTIAL_DELIVERY</t>
        </is>
      </c>
      <c r="B25" s="67" t="inlineStr">
        <is>
          <t>Đơn hàng không có yêu cầu giao hàng một phần</t>
        </is>
      </c>
      <c r="C25" s="67" t="inlineStr">
        <is>
          <t>The order does not have a partial delivery request</t>
        </is>
      </c>
      <c r="D25" s="3">
        <f>IFERROR(__xludf.DUMMYFUNCTION("GOOGLETRANSLATE(B25,""vi"",""km"")"),"ការបញ្ជាទិញមិនតម្រូវឱ្យមានការដឹកជញ្ជូនដោយផ្នែកទេ។")</f>
        <v/>
      </c>
      <c r="E25" s="67" t="inlineStr">
        <is>
          <t>បុងបញ្ញើមិនមានការស្នើសុំឲ្យប្រគល់អីវ៉ាន់ មួយផ្នែកទេ</t>
        </is>
      </c>
      <c r="F25" s="3" t="inlineStr">
        <is>
          <t>ការបញ្ជាទិញមិនតម្រូវឱ្យមានការដឹកជញ្ជូនដោយផ្នែកទេ។</t>
        </is>
      </c>
      <c r="G25" s="67" t="n"/>
      <c r="H25" t="inlineStr">
        <is>
          <t>ការបញ្ជាទិញមិនតម្រូវឱ្យមានការដឹកជញ្ជូនដោយផ្នែកទេ។</t>
        </is>
      </c>
      <c r="I25" s="67" t="n"/>
      <c r="J25" s="67" t="n"/>
      <c r="K25" s="67" t="n"/>
      <c r="L25" s="67" t="n"/>
      <c r="M25" s="67" t="n"/>
      <c r="N25" s="67" t="n"/>
      <c r="O25" s="67" t="n"/>
      <c r="P25" s="67" t="n"/>
      <c r="Q25" s="67" t="n"/>
      <c r="R25" s="67" t="n"/>
      <c r="S25" s="67" t="n"/>
      <c r="T25" s="67" t="n"/>
      <c r="U25" s="67" t="n"/>
      <c r="V25" s="67" t="n"/>
      <c r="W25" s="67" t="n"/>
      <c r="X25" s="67" t="n"/>
      <c r="Y25" s="67" t="n"/>
      <c r="Z25" s="67" t="n"/>
      <c r="AA25" s="67" t="n"/>
      <c r="AB25" s="67" t="n"/>
    </row>
    <row r="26" ht="15.75" customHeight="1" s="305">
      <c r="A26" s="67" t="inlineStr">
        <is>
          <t>PARTIAL_DELIVERY_CANCELED</t>
        </is>
      </c>
      <c r="B26" s="67" t="inlineStr">
        <is>
          <t>Yêu cầu giao hàng một phần đã bị huỷ</t>
        </is>
      </c>
      <c r="C26" s="67" t="inlineStr">
        <is>
          <t>The partial delivery request has been canceled</t>
        </is>
      </c>
      <c r="D26" s="3">
        <f>IFERROR(__xludf.DUMMYFUNCTION("GOOGLETRANSLATE(B26,""vi"",""km"")"),"សំណើ​ដឹកជញ្ជូន​មិន​ពេញលេញ​ត្រូវ​បាន​លុបចោល។")</f>
        <v/>
      </c>
      <c r="E26" s="67" t="inlineStr">
        <is>
          <t>ស្នើសុំប្រគល់អីវ៉ាន់មួយផ្នែកដែលបានលុបចោល</t>
        </is>
      </c>
      <c r="F26" s="3" t="inlineStr">
        <is>
          <t>សំណើដឹកជញ្ជូនមិនពេញលេញត្រូវបានលុបចោល។</t>
        </is>
      </c>
      <c r="G26" s="67" t="n"/>
      <c r="H26" t="inlineStr">
        <is>
          <t>សំណើដឹកជញ្ជូនមិនពេញលេញត្រូវបានលុបចោល។</t>
        </is>
      </c>
      <c r="I26" s="67" t="n"/>
      <c r="J26" s="67" t="n"/>
      <c r="K26" s="67" t="n"/>
      <c r="L26" s="67" t="n"/>
      <c r="M26" s="67" t="n"/>
      <c r="N26" s="67" t="n"/>
      <c r="O26" s="67" t="n"/>
      <c r="P26" s="67" t="n"/>
      <c r="Q26" s="67" t="n"/>
      <c r="R26" s="67" t="n"/>
      <c r="S26" s="67" t="n"/>
      <c r="T26" s="67" t="n"/>
      <c r="U26" s="67" t="n"/>
      <c r="V26" s="67" t="n"/>
      <c r="W26" s="67" t="n"/>
      <c r="X26" s="67" t="n"/>
      <c r="Y26" s="67" t="n"/>
      <c r="Z26" s="67" t="n"/>
      <c r="AA26" s="67" t="n"/>
      <c r="AB26" s="67" t="n"/>
    </row>
    <row r="27" ht="15.75" customHeight="1" s="305">
      <c r="A27" s="67" t="inlineStr">
        <is>
          <t>USER_NOT_EXISTS</t>
        </is>
      </c>
      <c r="B27" s="67" t="inlineStr">
        <is>
          <t>Người dùng không tồn tại</t>
        </is>
      </c>
      <c r="C27" s="67" t="inlineStr">
        <is>
          <t>The user does not exist</t>
        </is>
      </c>
      <c r="D27" s="3">
        <f>IFERROR(__xludf.DUMMYFUNCTION("GOOGLETRANSLATE(B27,""vi"",""km"")"),"អ្នកប្រើប្រាស់មិនមានទេ។")</f>
        <v/>
      </c>
      <c r="E27" s="67" t="inlineStr">
        <is>
          <t>អ្នកប្រើប្រាស់មិនមានទេ</t>
        </is>
      </c>
      <c r="F27" s="3" t="inlineStr">
        <is>
          <t>អ្នកប្រើប្រាស់មិនមានទេ។</t>
        </is>
      </c>
      <c r="G27" s="67" t="n"/>
      <c r="H27" t="inlineStr">
        <is>
          <t>អ្នកប្រើប្រាស់មិនមានទេ។</t>
        </is>
      </c>
      <c r="I27" s="67" t="n"/>
      <c r="J27" s="67" t="n"/>
      <c r="K27" s="67" t="n"/>
      <c r="L27" s="67" t="n"/>
      <c r="M27" s="67" t="n"/>
      <c r="N27" s="67" t="n"/>
      <c r="O27" s="67" t="n"/>
      <c r="P27" s="67" t="n"/>
      <c r="Q27" s="67" t="n"/>
      <c r="R27" s="67" t="n"/>
      <c r="S27" s="67" t="n"/>
      <c r="T27" s="67" t="n"/>
      <c r="U27" s="67" t="n"/>
      <c r="V27" s="67" t="n"/>
      <c r="W27" s="67" t="n"/>
      <c r="X27" s="67" t="n"/>
      <c r="Y27" s="67" t="n"/>
      <c r="Z27" s="67" t="n"/>
      <c r="AA27" s="67" t="n"/>
      <c r="AB27" s="67" t="n"/>
    </row>
    <row r="28" ht="15.75" customHeight="1" s="305">
      <c r="A28" s="67" t="inlineStr">
        <is>
          <t>USER_EXISTS</t>
        </is>
      </c>
      <c r="B28" s="67" t="inlineStr">
        <is>
          <t>Người dùng đã tồn tại</t>
        </is>
      </c>
      <c r="C28" s="67" t="inlineStr">
        <is>
          <t>The user is already exist</t>
        </is>
      </c>
      <c r="D28" s="3">
        <f>IFERROR(__xludf.DUMMYFUNCTION("GOOGLETRANSLATE(B28,""vi"",""km"")"),"អ្នកប្រើប្រាស់មានរួចហើយ។")</f>
        <v/>
      </c>
      <c r="E28" s="67" t="inlineStr">
        <is>
          <t>អ្នកប្រើប្រាស់មានរួចហើយ</t>
        </is>
      </c>
      <c r="F28" s="3" t="inlineStr">
        <is>
          <t>អ្នកប្រើប្រាស់មានរួចហើយ។</t>
        </is>
      </c>
      <c r="G28" s="67" t="n"/>
      <c r="H28" t="inlineStr">
        <is>
          <t>អ្នកប្រើប្រាស់មានរួចហើយ។</t>
        </is>
      </c>
      <c r="I28" s="67" t="n"/>
      <c r="J28" s="67" t="n"/>
      <c r="K28" s="67" t="n"/>
      <c r="L28" s="67" t="n"/>
      <c r="M28" s="67" t="n"/>
      <c r="N28" s="67" t="n"/>
      <c r="O28" s="67" t="n"/>
      <c r="P28" s="67" t="n"/>
      <c r="Q28" s="67" t="n"/>
      <c r="R28" s="67" t="n"/>
      <c r="S28" s="67" t="n"/>
      <c r="T28" s="67" t="n"/>
      <c r="U28" s="67" t="n"/>
      <c r="V28" s="67" t="n"/>
      <c r="W28" s="67" t="n"/>
      <c r="X28" s="67" t="n"/>
      <c r="Y28" s="67" t="n"/>
      <c r="Z28" s="67" t="n"/>
      <c r="AA28" s="67" t="n"/>
      <c r="AB28" s="67" t="n"/>
    </row>
    <row r="29" ht="15.75" customHeight="1" s="305">
      <c r="A29" s="67" t="inlineStr">
        <is>
          <t>ASSIGMENT_NOT_EXIST</t>
        </is>
      </c>
      <c r="B29" s="67" t="inlineStr">
        <is>
          <t>Phiên phân công không tồn tại</t>
        </is>
      </c>
      <c r="C29" s="67" t="inlineStr">
        <is>
          <t>The assignment session does not exist</t>
        </is>
      </c>
      <c r="D29" s="3">
        <f>IFERROR(__xludf.DUMMYFUNCTION("GOOGLETRANSLATE(B29,""vi"",""km"")"),"វគ្គ​ចាត់តាំង​មិនមានទេ។")</f>
        <v/>
      </c>
      <c r="E29" s="67" t="n"/>
      <c r="F29" s="3" t="inlineStr">
        <is>
          <t>វគ្គចាត់តាំងមិនមានទេ។</t>
        </is>
      </c>
      <c r="G29" s="67" t="n"/>
      <c r="H29" t="inlineStr">
        <is>
          <t>វគ្គចាត់តាំងមិនមានទេ។</t>
        </is>
      </c>
      <c r="I29" s="67" t="n"/>
      <c r="J29" s="67" t="n"/>
      <c r="K29" s="67" t="n"/>
      <c r="L29" s="67" t="n"/>
      <c r="M29" s="67" t="n"/>
      <c r="N29" s="67" t="n"/>
      <c r="O29" s="67" t="n"/>
      <c r="P29" s="67" t="n"/>
      <c r="Q29" s="67" t="n"/>
      <c r="R29" s="67" t="n"/>
      <c r="S29" s="67" t="n"/>
      <c r="T29" s="67" t="n"/>
      <c r="U29" s="67" t="n"/>
      <c r="V29" s="67" t="n"/>
      <c r="W29" s="67" t="n"/>
      <c r="X29" s="67" t="n"/>
      <c r="Y29" s="67" t="n"/>
      <c r="Z29" s="67" t="n"/>
      <c r="AA29" s="67" t="n"/>
      <c r="AB29" s="67" t="n"/>
    </row>
    <row r="30" ht="15.75" customHeight="1" s="305">
      <c r="A30" s="67" t="inlineStr">
        <is>
          <t>ASSIGMENT_ENDED</t>
        </is>
      </c>
      <c r="B30" s="67" t="inlineStr">
        <is>
          <t>Phiên phân công đã kết thúc</t>
        </is>
      </c>
      <c r="C30" s="67" t="inlineStr">
        <is>
          <t>The assignment session has ended</t>
        </is>
      </c>
      <c r="D30" s="3">
        <f>IFERROR(__xludf.DUMMYFUNCTION("GOOGLETRANSLATE(B30,""vi"",""km"")"),"វគ្គ​ប្រគល់​ភារកិច្ច​បាន​បញ្ចប់​ហើយ។")</f>
        <v/>
      </c>
      <c r="E30" s="67" t="n"/>
      <c r="F30" s="3" t="inlineStr">
        <is>
          <t>វគ្គប្រគល់ភារកិច្ចបានបញ្ចប់ហើយ។</t>
        </is>
      </c>
      <c r="G30" s="67" t="n"/>
      <c r="H30" t="inlineStr">
        <is>
          <t>វគ្គប្រគល់ភារកិច្ចបានបញ្ចប់ហើយ។</t>
        </is>
      </c>
      <c r="I30" s="67" t="n"/>
      <c r="J30" s="67" t="n"/>
      <c r="K30" s="67" t="n"/>
      <c r="L30" s="67" t="n"/>
      <c r="M30" s="67" t="n"/>
      <c r="N30" s="67" t="n"/>
      <c r="O30" s="67" t="n"/>
      <c r="P30" s="67" t="n"/>
      <c r="Q30" s="67" t="n"/>
      <c r="R30" s="67" t="n"/>
      <c r="S30" s="67" t="n"/>
      <c r="T30" s="67" t="n"/>
      <c r="U30" s="67" t="n"/>
      <c r="V30" s="67" t="n"/>
      <c r="W30" s="67" t="n"/>
      <c r="X30" s="67" t="n"/>
      <c r="Y30" s="67" t="n"/>
      <c r="Z30" s="67" t="n"/>
      <c r="AA30" s="67" t="n"/>
      <c r="AB30" s="67" t="n"/>
    </row>
    <row r="31" ht="15.75" customHeight="1" s="305">
      <c r="A31" s="67" t="inlineStr">
        <is>
          <t>ASSIGMENT_COMPLETED</t>
        </is>
      </c>
      <c r="B31" s="67" t="inlineStr">
        <is>
          <t>Phiên phân công đã hoàn thành</t>
        </is>
      </c>
      <c r="C31" s="67" t="inlineStr">
        <is>
          <t>The assignment session has been completed</t>
        </is>
      </c>
      <c r="D31" s="3">
        <f>IFERROR(__xludf.DUMMYFUNCTION("GOOGLETRANSLATE(B31,""vi"",""km"")"),"វគ្គ​ប្រគល់​ភារកិច្ច​ត្រូវ​បាន​បញ្ចប់។")</f>
        <v/>
      </c>
      <c r="E31" s="67" t="n"/>
      <c r="F31" s="3" t="inlineStr">
        <is>
          <t>វគ្គប្រគល់ភារកិច្ចត្រូវបានបញ្ចប់។</t>
        </is>
      </c>
      <c r="G31" s="67" t="n"/>
      <c r="H31" t="inlineStr">
        <is>
          <t>វគ្គប្រគល់ភារកិច្ចត្រូវបានបញ្ចប់។</t>
        </is>
      </c>
      <c r="I31" s="67" t="n"/>
      <c r="J31" s="67" t="n"/>
      <c r="K31" s="67" t="n"/>
      <c r="L31" s="67" t="n"/>
      <c r="M31" s="67" t="n"/>
      <c r="N31" s="67" t="n"/>
      <c r="O31" s="67" t="n"/>
      <c r="P31" s="67" t="n"/>
      <c r="Q31" s="67" t="n"/>
      <c r="R31" s="67" t="n"/>
      <c r="S31" s="67" t="n"/>
      <c r="T31" s="67" t="n"/>
      <c r="U31" s="67" t="n"/>
      <c r="V31" s="67" t="n"/>
      <c r="W31" s="67" t="n"/>
      <c r="X31" s="67" t="n"/>
      <c r="Y31" s="67" t="n"/>
      <c r="Z31" s="67" t="n"/>
      <c r="AA31" s="67" t="n"/>
      <c r="AB31" s="67" t="n"/>
    </row>
    <row r="32" ht="15.75" customHeight="1" s="305">
      <c r="A32" s="67" t="inlineStr">
        <is>
          <t>ASSIGMENT_NOT_COMPLETED</t>
        </is>
      </c>
      <c r="B32" s="67" t="inlineStr">
        <is>
          <t>Phiên phân công không hoàn thành</t>
        </is>
      </c>
      <c r="C32" s="67" t="inlineStr">
        <is>
          <t>The assignment session does not complete</t>
        </is>
      </c>
      <c r="D32" s="3">
        <f>IFERROR(__xludf.DUMMYFUNCTION("GOOGLETRANSLATE(B32,""vi"",""km"")"),"វគ្គ​ប្រគល់​ភារកិច្ច​មិន​ទាន់​ចប់​សព្វគ្រប់​នៅ​ឡើយ​ទេ។")</f>
        <v/>
      </c>
      <c r="E32" s="67" t="n"/>
      <c r="F32" s="3" t="inlineStr">
        <is>
          <t>វគ្គប្រគល់ភារកិច្ចមិនទាន់ចប់សព្វគ្រប់នៅឡើយទេ។</t>
        </is>
      </c>
      <c r="G32" s="67" t="n"/>
      <c r="H32" t="inlineStr">
        <is>
          <t>វគ្គប្រគល់ភារកិច្ចមិនទាន់ចប់សព្វគ្រប់នៅឡើយទេ។</t>
        </is>
      </c>
      <c r="I32" s="67" t="n"/>
      <c r="J32" s="67" t="n"/>
      <c r="K32" s="67" t="n"/>
      <c r="L32" s="67" t="n"/>
      <c r="M32" s="67" t="n"/>
      <c r="N32" s="67" t="n"/>
      <c r="O32" s="67" t="n"/>
      <c r="P32" s="67" t="n"/>
      <c r="Q32" s="67" t="n"/>
      <c r="R32" s="67" t="n"/>
      <c r="S32" s="67" t="n"/>
      <c r="T32" s="67" t="n"/>
      <c r="U32" s="67" t="n"/>
      <c r="V32" s="67" t="n"/>
      <c r="W32" s="67" t="n"/>
      <c r="X32" s="67" t="n"/>
      <c r="Y32" s="67" t="n"/>
      <c r="Z32" s="67" t="n"/>
      <c r="AA32" s="67" t="n"/>
      <c r="AB32" s="67" t="n"/>
    </row>
    <row r="33" ht="15.75" customHeight="1" s="305">
      <c r="A33" s="67" t="inlineStr">
        <is>
          <t>ASSIGMENT_EMPTY</t>
        </is>
      </c>
      <c r="B33" s="67" t="inlineStr">
        <is>
          <t>Phiên phân công trống, thêm đơn hàng đẻ hoàn thành</t>
        </is>
      </c>
      <c r="C33" s="67" t="inlineStr">
        <is>
          <t>Empty assignment session, add orders to complete</t>
        </is>
      </c>
      <c r="D33" s="3">
        <f>IFERROR(__xludf.DUMMYFUNCTION("GOOGLETRANSLATE(B33,""vi"",""km"")"),"វេន​នេះ​ទទេ​ហើយ សូម​បន្ថែម​ការ​បញ្ជា​ទិញ​បន្ថែម​ទៀត​ដើម្បី​បញ្ចប់។")</f>
        <v/>
      </c>
      <c r="E33" s="67" t="n"/>
      <c r="F33" s="3" t="inlineStr">
        <is>
          <t>វេននេះទទេហើយ សូមបន្ថែមការបញ្ជាទិញបន្ថែមទៀតដើម្បីបញ្ចប់។</t>
        </is>
      </c>
      <c r="G33" s="67" t="n"/>
      <c r="H33" t="inlineStr">
        <is>
          <t>វេននេះទទេហើយ សូមបន្ថែមការបញ្ជាទិញបន្ថែមទៀតដើម្បីបញ្ចប់។</t>
        </is>
      </c>
      <c r="I33" s="67" t="n"/>
      <c r="J33" s="67" t="n"/>
      <c r="K33" s="67" t="n"/>
      <c r="L33" s="67" t="n"/>
      <c r="M33" s="67" t="n"/>
      <c r="N33" s="67" t="n"/>
      <c r="O33" s="67" t="n"/>
      <c r="P33" s="67" t="n"/>
      <c r="Q33" s="67" t="n"/>
      <c r="R33" s="67" t="n"/>
      <c r="S33" s="67" t="n"/>
      <c r="T33" s="67" t="n"/>
      <c r="U33" s="67" t="n"/>
      <c r="V33" s="67" t="n"/>
      <c r="W33" s="67" t="n"/>
      <c r="X33" s="67" t="n"/>
      <c r="Y33" s="67" t="n"/>
      <c r="Z33" s="67" t="n"/>
      <c r="AA33" s="67" t="n"/>
      <c r="AB33" s="67" t="n"/>
    </row>
    <row r="34" ht="15.75" customHeight="1" s="305">
      <c r="A34" s="67" t="inlineStr">
        <is>
          <t>ORDER_NOT_EXIST</t>
        </is>
      </c>
      <c r="B34" s="67" t="inlineStr">
        <is>
          <t>Đơn hàng không tồn tại</t>
        </is>
      </c>
      <c r="C34" s="67" t="inlineStr">
        <is>
          <t>The order is not exist</t>
        </is>
      </c>
      <c r="D34" s="3">
        <f>IFERROR(__xludf.DUMMYFUNCTION("GOOGLETRANSLATE(B34,""vi"",""km"")"),"ការបញ្ជាទិញនេះមិនមានទេ។")</f>
        <v/>
      </c>
      <c r="E34" s="67" t="inlineStr">
        <is>
          <t>បុងបញ្ញើមិនមាន</t>
        </is>
      </c>
      <c r="F34" s="3" t="inlineStr">
        <is>
          <t>ការបញ្ជាទិញនេះមិនមានទេ។</t>
        </is>
      </c>
      <c r="G34" s="67" t="n"/>
      <c r="H34" t="inlineStr">
        <is>
          <t>ការបញ្ជាទិញនេះមិនមានទេ។</t>
        </is>
      </c>
      <c r="I34" s="67" t="n"/>
      <c r="J34" s="67" t="n"/>
      <c r="K34" s="67" t="n"/>
      <c r="L34" s="67" t="n"/>
      <c r="M34" s="67" t="n"/>
      <c r="N34" s="67" t="n"/>
      <c r="O34" s="67" t="n"/>
      <c r="P34" s="67" t="n"/>
      <c r="Q34" s="67" t="n"/>
      <c r="R34" s="67" t="n"/>
      <c r="S34" s="67" t="n"/>
      <c r="T34" s="67" t="n"/>
      <c r="U34" s="67" t="n"/>
      <c r="V34" s="67" t="n"/>
      <c r="W34" s="67" t="n"/>
      <c r="X34" s="67" t="n"/>
      <c r="Y34" s="67" t="n"/>
      <c r="Z34" s="67" t="n"/>
      <c r="AA34" s="67" t="n"/>
      <c r="AB34" s="67" t="n"/>
    </row>
    <row r="35" ht="15.75" customHeight="1" s="305">
      <c r="A35" s="67" t="inlineStr">
        <is>
          <t>NOT_ALLOWED_ASSIGNED</t>
        </is>
      </c>
      <c r="B35" s="67" t="inlineStr">
        <is>
          <t>Đơn hàng không được phép được phân công</t>
        </is>
      </c>
      <c r="C35" s="67" t="inlineStr">
        <is>
          <t>The order is not allowed to be assigned</t>
        </is>
      </c>
      <c r="D35" s="3">
        <f>IFERROR(__xludf.DUMMYFUNCTION("GOOGLETRANSLATE(B35,""vi"",""km"")"),"ការបញ្ជាទិញមិនត្រូវបានអនុញ្ញាតឱ្យផ្ទេរទេ។")</f>
        <v/>
      </c>
      <c r="E35" s="67" t="inlineStr">
        <is>
          <t>បុុងបញ្ញើមិនអនុញ្ញាត្តិឲ្យបែងចែកទេ</t>
        </is>
      </c>
      <c r="F35" s="3" t="inlineStr">
        <is>
          <t>ការបញ្ជាទិញមិនត្រូវបានអនុញ្ញាតឱ្យផ្ទេរទេ។</t>
        </is>
      </c>
      <c r="G35" s="67" t="n"/>
      <c r="H35" t="inlineStr">
        <is>
          <t>ការបញ្ជាទិញមិនត្រូវបានអនុញ្ញាតឱ្យផ្ទេរទេ។</t>
        </is>
      </c>
      <c r="I35" s="67" t="n"/>
      <c r="J35" s="67" t="n"/>
      <c r="K35" s="67" t="n"/>
      <c r="L35" s="67" t="n"/>
      <c r="M35" s="67" t="n"/>
      <c r="N35" s="67" t="n"/>
      <c r="O35" s="67" t="n"/>
      <c r="P35" s="67" t="n"/>
      <c r="Q35" s="67" t="n"/>
      <c r="R35" s="67" t="n"/>
      <c r="S35" s="67" t="n"/>
      <c r="T35" s="67" t="n"/>
      <c r="U35" s="67" t="n"/>
      <c r="V35" s="67" t="n"/>
      <c r="W35" s="67" t="n"/>
      <c r="X35" s="67" t="n"/>
      <c r="Y35" s="67" t="n"/>
      <c r="Z35" s="67" t="n"/>
      <c r="AA35" s="67" t="n"/>
      <c r="AB35" s="67" t="n"/>
    </row>
    <row r="36" ht="15.75" customHeight="1" s="305">
      <c r="A36" s="67" t="inlineStr">
        <is>
          <t>ASSIGNED_TO_SOMEONE</t>
        </is>
      </c>
      <c r="B36" s="67" t="inlineStr">
        <is>
          <t>Đơn hàng đã được phân công cho người khác</t>
        </is>
      </c>
      <c r="C36" s="67" t="inlineStr">
        <is>
          <t>The order has been assigned to someone else</t>
        </is>
      </c>
      <c r="D36" s="3">
        <f>IFERROR(__xludf.DUMMYFUNCTION("GOOGLETRANSLATE(B36,""vi"",""km"")"),"ការបញ្ជាទិញត្រូវបានចាត់ចែងទៅអ្នកផ្សេង។")</f>
        <v/>
      </c>
      <c r="E36" s="67" t="inlineStr">
        <is>
          <t>បុុងបញ្ញើបានបែងចែកឲ្យអ្នកផ្សេង</t>
        </is>
      </c>
      <c r="F36" s="3" t="inlineStr">
        <is>
          <t>ការបញ្ជាទិញត្រូវបានចាត់ចែងទៅអ្នកផ្សេង។</t>
        </is>
      </c>
      <c r="G36" s="67" t="n"/>
      <c r="H36" t="inlineStr">
        <is>
          <t>ការបញ្ជាទិញត្រូវបានចាត់ចែងទៅអ្នកផ្សេង។</t>
        </is>
      </c>
      <c r="I36" s="67" t="n"/>
      <c r="J36" s="67" t="n"/>
      <c r="K36" s="67" t="n"/>
      <c r="L36" s="67" t="n"/>
      <c r="M36" s="67" t="n"/>
      <c r="N36" s="67" t="n"/>
      <c r="O36" s="67" t="n"/>
      <c r="P36" s="67" t="n"/>
      <c r="Q36" s="67" t="n"/>
      <c r="R36" s="67" t="n"/>
      <c r="S36" s="67" t="n"/>
      <c r="T36" s="67" t="n"/>
      <c r="U36" s="67" t="n"/>
      <c r="V36" s="67" t="n"/>
      <c r="W36" s="67" t="n"/>
      <c r="X36" s="67" t="n"/>
      <c r="Y36" s="67" t="n"/>
      <c r="Z36" s="67" t="n"/>
      <c r="AA36" s="67" t="n"/>
      <c r="AB36" s="67" t="n"/>
    </row>
    <row r="37" ht="15.75" customHeight="1" s="305">
      <c r="A37" s="67" t="inlineStr">
        <is>
          <t>ADDED_TO_ASSIGNMENT</t>
        </is>
      </c>
      <c r="B37" s="67" t="inlineStr">
        <is>
          <t>Đơn hàng đã được thêm vào danh sách phân công</t>
        </is>
      </c>
      <c r="C37" s="67" t="inlineStr">
        <is>
          <t>The order has been added to the assignment list</t>
        </is>
      </c>
      <c r="D37" s="3">
        <f>IFERROR(__xludf.DUMMYFUNCTION("GOOGLETRANSLATE(B37,""vi"",""km"")"),"ការបញ្ជាទិញត្រូវបានបន្ថែមទៅក្នុងបញ្ជីកិច្ចការ។")</f>
        <v/>
      </c>
      <c r="E37" s="67" t="inlineStr">
        <is>
          <t>បុងបញ្ញើបានបន្ថែមចូលក្នុងបញ្ជីបែងចែក</t>
        </is>
      </c>
      <c r="F37" s="3" t="inlineStr">
        <is>
          <t>ការបញ្ជាទិញត្រូវបានបន្ថែមទៅក្នុងបញ្ជីកិច្ចការ។</t>
        </is>
      </c>
      <c r="G37" s="67" t="n"/>
      <c r="H37" t="inlineStr">
        <is>
          <t>ការបញ្ជាទិញត្រូវបានបន្ថែមទៅក្នុងបញ្ជីកិច្ចការ។</t>
        </is>
      </c>
      <c r="I37" s="67" t="n"/>
      <c r="J37" s="67" t="n"/>
      <c r="K37" s="67" t="n"/>
      <c r="L37" s="67" t="n"/>
      <c r="M37" s="67" t="n"/>
      <c r="N37" s="67" t="n"/>
      <c r="O37" s="67" t="n"/>
      <c r="P37" s="67" t="n"/>
      <c r="Q37" s="67" t="n"/>
      <c r="R37" s="67" t="n"/>
      <c r="S37" s="67" t="n"/>
      <c r="T37" s="67" t="n"/>
      <c r="U37" s="67" t="n"/>
      <c r="V37" s="67" t="n"/>
      <c r="W37" s="67" t="n"/>
      <c r="X37" s="67" t="n"/>
      <c r="Y37" s="67" t="n"/>
      <c r="Z37" s="67" t="n"/>
      <c r="AA37" s="67" t="n"/>
      <c r="AB37" s="67" t="n"/>
    </row>
    <row r="38" ht="15.75" customHeight="1" s="305">
      <c r="A38" s="67" t="inlineStr">
        <is>
          <t>ORDER_HAS_CONFIRMED</t>
        </is>
      </c>
      <c r="B38" s="67" t="inlineStr">
        <is>
          <t>Đơn hàng đã được xác nhận</t>
        </is>
      </c>
      <c r="C38" s="67" t="inlineStr">
        <is>
          <t>The order has been confirmed</t>
        </is>
      </c>
      <c r="D38" s="3">
        <f>IFERROR(__xludf.DUMMYFUNCTION("GOOGLETRANSLATE(B38,""vi"",""km"")"),"ការបញ្ជាទិញត្រូវបានបញ្ជាក់។")</f>
        <v/>
      </c>
      <c r="E38" s="67" t="inlineStr">
        <is>
          <t>បុងបញ្ញើត្រូវបានបញ្ជាក់</t>
        </is>
      </c>
      <c r="F38" s="3" t="inlineStr">
        <is>
          <t>ការបញ្ជាទិញត្រូវបានបញ្ជាក់។</t>
        </is>
      </c>
      <c r="G38" s="67" t="n"/>
      <c r="H38" t="inlineStr">
        <is>
          <t>ការបញ្ជាទិញត្រូវបានបញ្ជាក់។</t>
        </is>
      </c>
      <c r="I38" s="67" t="n"/>
      <c r="J38" s="67" t="n"/>
      <c r="K38" s="67" t="n"/>
      <c r="L38" s="67" t="n"/>
      <c r="M38" s="67" t="n"/>
      <c r="N38" s="67" t="n"/>
      <c r="O38" s="67" t="n"/>
      <c r="P38" s="67" t="n"/>
      <c r="Q38" s="67" t="n"/>
      <c r="R38" s="67" t="n"/>
      <c r="S38" s="67" t="n"/>
      <c r="T38" s="67" t="n"/>
      <c r="U38" s="67" t="n"/>
      <c r="V38" s="67" t="n"/>
      <c r="W38" s="67" t="n"/>
      <c r="X38" s="67" t="n"/>
      <c r="Y38" s="67" t="n"/>
      <c r="Z38" s="67" t="n"/>
      <c r="AA38" s="67" t="n"/>
      <c r="AB38" s="67" t="n"/>
    </row>
    <row r="39" ht="15.75" customHeight="1" s="305">
      <c r="A39" s="67" t="inlineStr">
        <is>
          <t>NO_ORDERS_IN_ASSIGMENT</t>
        </is>
      </c>
      <c r="B39" s="67" t="inlineStr">
        <is>
          <t>Không có đơn hàng nào trong danh sách phân công</t>
        </is>
      </c>
      <c r="C39" s="67" t="inlineStr">
        <is>
          <t>No orders in the assignment list</t>
        </is>
      </c>
      <c r="D39" s="3">
        <f>IFERROR(__xludf.DUMMYFUNCTION("GOOGLETRANSLATE(B39,""vi"",""km"")"),"មិនមានការបញ្ជាទិញនៅក្នុងបញ្ជីកិច្ចការទេ។")</f>
        <v/>
      </c>
      <c r="E39" s="67" t="inlineStr">
        <is>
          <t>មិនមានបុងបញ្ញើណាមួយក្នុងបញ្ជីបែងចែក</t>
        </is>
      </c>
      <c r="F39" s="3" t="inlineStr">
        <is>
          <t>មិនមានការបញ្ជាទិញនៅក្នុងបញ្ជីកិច្ចការទេ។</t>
        </is>
      </c>
      <c r="G39" s="67" t="n"/>
      <c r="H39" t="inlineStr">
        <is>
          <t>មិនមានការបញ្ជាទិញនៅក្នុងបញ្ជីកិច្ចការទេ។</t>
        </is>
      </c>
      <c r="I39" s="67" t="n"/>
      <c r="J39" s="67" t="n"/>
      <c r="K39" s="67" t="n"/>
      <c r="L39" s="67" t="n"/>
      <c r="M39" s="67" t="n"/>
      <c r="N39" s="67" t="n"/>
      <c r="O39" s="67" t="n"/>
      <c r="P39" s="67" t="n"/>
      <c r="Q39" s="67" t="n"/>
      <c r="R39" s="67" t="n"/>
      <c r="S39" s="67" t="n"/>
      <c r="T39" s="67" t="n"/>
      <c r="U39" s="67" t="n"/>
      <c r="V39" s="67" t="n"/>
      <c r="W39" s="67" t="n"/>
      <c r="X39" s="67" t="n"/>
      <c r="Y39" s="67" t="n"/>
      <c r="Z39" s="67" t="n"/>
      <c r="AA39" s="67" t="n"/>
      <c r="AB39" s="67" t="n"/>
    </row>
    <row r="40" ht="15.75" customHeight="1" s="305">
      <c r="A40" s="67" t="inlineStr">
        <is>
          <t>NOT_ALLOWED_TRANSFERRED</t>
        </is>
      </c>
      <c r="B40" s="67" t="inlineStr">
        <is>
          <t>Đơn hàng không được phép chuyển (trả la, chuyển tiếp)</t>
        </is>
      </c>
      <c r="C40" s="67" t="inlineStr">
        <is>
          <t>The order is not allowed to be transferred (returned, forwarded)</t>
        </is>
      </c>
      <c r="D40" s="3">
        <f>IFERROR(__xludf.DUMMYFUNCTION("GOOGLETRANSLATE(B40,""vi"",""km"")"),"ការបញ្ជាទិញមិនត្រូវបានអនុញ្ញាតឱ្យផ្ទេរ (ប្រគល់ជូនវិញ បញ្ជូនបន្ត) ទេ។")</f>
        <v/>
      </c>
      <c r="E40" s="67" t="inlineStr">
        <is>
          <t>បុងបញ្ញើមិនអនុញ្ញាតិ្តផ្ទេរ (ប្រគល់ត្រលប់ បញ្ជូនបន្ត)</t>
        </is>
      </c>
      <c r="F40" s="3" t="inlineStr">
        <is>
          <t>ការបញ្ជាទិញមិនត្រូវបានអនុញ្ញាតឱ្យផ្ទេរ (ប្រគល់ជូនវិញ បញ្ជូនបន្ត) ទេ។</t>
        </is>
      </c>
      <c r="G40" s="67" t="n"/>
      <c r="H40" t="inlineStr">
        <is>
          <t>ការបញ្ជាទិញមិនត្រូវបានអនុញ្ញាតឱ្យផ្ទេរ (ប្រគល់ជូនវិញ បញ្ជូនបន្ត) ទេ។</t>
        </is>
      </c>
      <c r="I40" s="67" t="n"/>
      <c r="J40" s="67" t="n"/>
      <c r="K40" s="67" t="n"/>
      <c r="L40" s="67" t="n"/>
      <c r="M40" s="67" t="n"/>
      <c r="N40" s="67" t="n"/>
      <c r="O40" s="67" t="n"/>
      <c r="P40" s="67" t="n"/>
      <c r="Q40" s="67" t="n"/>
      <c r="R40" s="67" t="n"/>
      <c r="S40" s="67" t="n"/>
      <c r="T40" s="67" t="n"/>
      <c r="U40" s="67" t="n"/>
      <c r="V40" s="67" t="n"/>
      <c r="W40" s="67" t="n"/>
      <c r="X40" s="67" t="n"/>
      <c r="Y40" s="67" t="n"/>
      <c r="Z40" s="67" t="n"/>
      <c r="AA40" s="67" t="n"/>
      <c r="AB40" s="67" t="n"/>
    </row>
    <row r="41" ht="15.75" customHeight="1" s="305">
      <c r="A41" s="67" t="inlineStr">
        <is>
          <t>MUST_DIFFERENT_EMPLOYEE</t>
        </is>
      </c>
      <c r="B41" s="67" t="inlineStr">
        <is>
          <t>Người xử lý chuyển tiếp phải khách với người xử lý hiện tại.</t>
        </is>
      </c>
      <c r="C41" s="67" t="inlineStr">
        <is>
          <t>The employee handling the transfer must be different from the current employee</t>
        </is>
      </c>
      <c r="D41" s="3">
        <f>IFERROR(__xludf.DUMMYFUNCTION("GOOGLETRANSLATE(B41,""vi"",""km"")"),"អ្នកដែលដោះស្រាយការផ្លាស់ប្តូរត្រូវតែខុសពីអ្នកដែលដោះស្រាយការផ្លាស់ប្តូរបច្ចុប្បន្ន។")</f>
        <v/>
      </c>
      <c r="E41" s="67" t="inlineStr">
        <is>
          <t>អ្នកដោះស្រាយបញ្ជូនបន្តត្រូវតែជាអតិថិជនជាមួយអ្នកដោះស្រាយបច្ចុប្បន្ន</t>
        </is>
      </c>
      <c r="F41" s="3" t="inlineStr">
        <is>
          <t>អ្នកដែលដោះស្រាយការផ្លាស់ប្តូរត្រូវតែខុសពីអ្នកដែលដោះស្រាយការផ្លាស់ប្តូរបច្ចុប្បន្ន។</t>
        </is>
      </c>
      <c r="G41" s="67" t="n"/>
      <c r="H41" t="inlineStr">
        <is>
          <t>អ្នកដែលដោះស្រាយការផ្លាស់ប្តូរត្រូវតែខុសពីអ្នកដែលដោះស្រាយការផ្លាស់ប្តូរបច្ចុប្បន្ន។</t>
        </is>
      </c>
      <c r="I41" s="67" t="n"/>
      <c r="J41" s="67" t="n"/>
      <c r="K41" s="67" t="n"/>
      <c r="L41" s="67" t="n"/>
      <c r="M41" s="67" t="n"/>
      <c r="N41" s="67" t="n"/>
      <c r="O41" s="67" t="n"/>
      <c r="P41" s="67" t="n"/>
      <c r="Q41" s="67" t="n"/>
      <c r="R41" s="67" t="n"/>
      <c r="S41" s="67" t="n"/>
      <c r="T41" s="67" t="n"/>
      <c r="U41" s="67" t="n"/>
      <c r="V41" s="67" t="n"/>
      <c r="W41" s="67" t="n"/>
      <c r="X41" s="67" t="n"/>
      <c r="Y41" s="67" t="n"/>
      <c r="Z41" s="67" t="n"/>
      <c r="AA41" s="67" t="n"/>
      <c r="AB41" s="67" t="n"/>
    </row>
    <row r="42" ht="15.75" customHeight="1" s="305">
      <c r="A42" s="67" t="inlineStr">
        <is>
          <t>ORDER_NOT_PICKUP</t>
        </is>
      </c>
      <c r="B42" s="67" t="inlineStr">
        <is>
          <t>Đơn hàng chưa được đón lên.</t>
        </is>
      </c>
      <c r="C42" s="67" t="inlineStr">
        <is>
          <t>The order has not been picked up yet</t>
        </is>
      </c>
      <c r="D42" s="3">
        <f>IFERROR(__xludf.DUMMYFUNCTION("GOOGLETRANSLATE(B42,""vi"",""km"")"),"ការបញ្ជាទិញមិនទាន់ត្រូវបានទទួលយកនៅឡើយទេ។")</f>
        <v/>
      </c>
      <c r="E42" s="196" t="inlineStr">
        <is>
          <t>បុងបញ្ញើមិនទាន់បាន</t>
        </is>
      </c>
      <c r="F42" s="3" t="inlineStr">
        <is>
          <t>ការបញ្ជាទិញមិនទាន់ត្រូវបានទទួលយកនៅឡើយទេ។</t>
        </is>
      </c>
      <c r="G42" s="67" t="n"/>
      <c r="H42" t="inlineStr">
        <is>
          <t>ការបញ្ជាទិញមិនទាន់ត្រូវបានទទួលយកនៅឡើយទេ។</t>
        </is>
      </c>
      <c r="I42" s="67" t="n"/>
      <c r="J42" s="67" t="n"/>
      <c r="K42" s="67" t="n"/>
      <c r="L42" s="67" t="n"/>
      <c r="M42" s="67" t="n"/>
      <c r="N42" s="67" t="n"/>
      <c r="O42" s="67" t="n"/>
      <c r="P42" s="67" t="n"/>
      <c r="Q42" s="67" t="n"/>
      <c r="R42" s="67" t="n"/>
      <c r="S42" s="67" t="n"/>
      <c r="T42" s="67" t="n"/>
      <c r="U42" s="67" t="n"/>
      <c r="V42" s="67" t="n"/>
      <c r="W42" s="67" t="n"/>
      <c r="X42" s="67" t="n"/>
      <c r="Y42" s="67" t="n"/>
      <c r="Z42" s="67" t="n"/>
      <c r="AA42" s="67" t="n"/>
      <c r="AB42" s="67" t="n"/>
    </row>
    <row r="43" ht="15.75" customHeight="1" s="305">
      <c r="A43" s="67" t="inlineStr">
        <is>
          <t>CUSTOMER_NOT_FOUND</t>
        </is>
      </c>
      <c r="B43" s="67" t="inlineStr">
        <is>
          <t>Không tìm thấy thông tin khách hàng.</t>
        </is>
      </c>
      <c r="C43" s="67" t="inlineStr">
        <is>
          <t>Customer is not found.</t>
        </is>
      </c>
      <c r="D43" s="3">
        <f>IFERROR(__xludf.DUMMYFUNCTION("GOOGLETRANSLATE(B43,""vi"",""km"")"),"រកមិនឃើញព័ត៌មានអតិថិជនទេ។")</f>
        <v/>
      </c>
      <c r="E43" s="67" t="inlineStr">
        <is>
          <t>មិនបានឃើញព័ត៌មានអតិថិជន</t>
        </is>
      </c>
      <c r="F43" s="3" t="inlineStr">
        <is>
          <t>រកមិនឃើញព័ត៌មានអតិថិជនទេ។</t>
        </is>
      </c>
      <c r="G43" s="67" t="n"/>
      <c r="H43" t="inlineStr">
        <is>
          <t>រកមិនឃើញព័ត៌មានអតិថិជនទេ។</t>
        </is>
      </c>
      <c r="I43" s="67" t="n"/>
      <c r="J43" s="67" t="n"/>
      <c r="K43" s="67" t="n"/>
      <c r="L43" s="67" t="n"/>
      <c r="M43" s="67" t="n"/>
      <c r="N43" s="67" t="n"/>
      <c r="O43" s="67" t="n"/>
      <c r="P43" s="67" t="n"/>
      <c r="Q43" s="67" t="n"/>
      <c r="R43" s="67" t="n"/>
      <c r="S43" s="67" t="n"/>
      <c r="T43" s="67" t="n"/>
      <c r="U43" s="67" t="n"/>
      <c r="V43" s="67" t="n"/>
      <c r="W43" s="67" t="n"/>
      <c r="X43" s="67" t="n"/>
      <c r="Y43" s="67" t="n"/>
      <c r="Z43" s="67" t="n"/>
      <c r="AA43" s="67" t="n"/>
      <c r="AB43" s="67" t="n"/>
    </row>
    <row r="44" ht="15.75" customHeight="1" s="305">
      <c r="A44" s="67" t="inlineStr">
        <is>
          <t>CUSTOMER_REQUEST_DATA_INVALID</t>
        </is>
      </c>
      <c r="B44" s="67" t="inlineStr">
        <is>
          <t>Thông tin tìm kiếm khách hàng không hợp lệ.</t>
        </is>
      </c>
      <c r="C44" s="67" t="inlineStr">
        <is>
          <t>Invalid customer search information.</t>
        </is>
      </c>
      <c r="D44" s="3">
        <f>IFERROR(__xludf.DUMMYFUNCTION("GOOGLETRANSLATE(B44,""vi"",""km"")"),"ព័ត៌មានស្វែងរកអតិថិជនមិនត្រឹមត្រូវ។")</f>
        <v/>
      </c>
      <c r="E44" s="67" t="inlineStr">
        <is>
          <t>ព័ត៌មានស្វែងរកអតិថិជនមិនត្រឹមត្រូវ</t>
        </is>
      </c>
      <c r="F44" s="3" t="inlineStr">
        <is>
          <t>ព័ត៌មានស្វែងរកអតិថិជនមិនត្រឹមត្រូវ។</t>
        </is>
      </c>
      <c r="G44" s="67" t="n"/>
      <c r="H44" t="inlineStr">
        <is>
          <t>ព័ត៌មានស្វែងរកអតិថិជនមិនត្រឹមត្រូវ។</t>
        </is>
      </c>
      <c r="I44" s="67" t="n"/>
      <c r="J44" s="67" t="n"/>
      <c r="K44" s="67" t="n"/>
      <c r="L44" s="67" t="n"/>
      <c r="M44" s="67" t="n"/>
      <c r="N44" s="67" t="n"/>
      <c r="O44" s="67" t="n"/>
      <c r="P44" s="67" t="n"/>
      <c r="Q44" s="67" t="n"/>
      <c r="R44" s="67" t="n"/>
      <c r="S44" s="67" t="n"/>
      <c r="T44" s="67" t="n"/>
      <c r="U44" s="67" t="n"/>
      <c r="V44" s="67" t="n"/>
      <c r="W44" s="67" t="n"/>
      <c r="X44" s="67" t="n"/>
      <c r="Y44" s="67" t="n"/>
      <c r="Z44" s="67" t="n"/>
      <c r="AA44" s="67" t="n"/>
      <c r="AB44" s="67" t="n"/>
    </row>
    <row r="45" ht="15.75" customHeight="1" s="305">
      <c r="A45" s="67" t="inlineStr">
        <is>
          <t>CUSTOMER_RESPONSE_DATA_INVALID</t>
        </is>
      </c>
      <c r="B45" s="67" t="inlineStr">
        <is>
          <t>Thông tin phản hồi khách hàng không hợp lệ.</t>
        </is>
      </c>
      <c r="C45" s="67" t="inlineStr">
        <is>
          <t>Invalid customer response information.</t>
        </is>
      </c>
      <c r="D45" s="3">
        <f>IFERROR(__xludf.DUMMYFUNCTION("GOOGLETRANSLATE(B45,""vi"",""km"")"),"ព័ត៌មាន​មតិ​កែលម្អ​របស់​អតិថិជន​មិន​ត្រឹមត្រូវ។")</f>
        <v/>
      </c>
      <c r="E45" s="67" t="inlineStr">
        <is>
          <t>ព័ត៌មានឆ្លើយតបអតិថិជនមិនត្រឹមត្រូវ</t>
        </is>
      </c>
      <c r="F45" s="3" t="inlineStr">
        <is>
          <t>ព័ត៌មានមតិកែលម្អរបស់អតិថិជនមិនត្រឹមត្រូវ។</t>
        </is>
      </c>
      <c r="G45" s="67" t="n"/>
      <c r="H45" t="inlineStr">
        <is>
          <t>ព័ត៌មានមតិកែលម្អរបស់អតិថិជនមិនត្រឹមត្រូវ។</t>
        </is>
      </c>
      <c r="I45" s="67" t="n"/>
      <c r="J45" s="67" t="n"/>
      <c r="K45" s="67" t="n"/>
      <c r="L45" s="67" t="n"/>
      <c r="M45" s="67" t="n"/>
      <c r="N45" s="67" t="n"/>
      <c r="O45" s="67" t="n"/>
      <c r="P45" s="67" t="n"/>
      <c r="Q45" s="67" t="n"/>
      <c r="R45" s="67" t="n"/>
      <c r="S45" s="67" t="n"/>
      <c r="T45" s="67" t="n"/>
      <c r="U45" s="67" t="n"/>
      <c r="V45" s="67" t="n"/>
      <c r="W45" s="67" t="n"/>
      <c r="X45" s="67" t="n"/>
      <c r="Y45" s="67" t="n"/>
      <c r="Z45" s="67" t="n"/>
      <c r="AA45" s="67" t="n"/>
      <c r="AB45" s="67" t="n"/>
    </row>
    <row r="46" ht="15.75" customHeight="1" s="305">
      <c r="A46" s="67" t="inlineStr">
        <is>
          <t>CUSTOMER_CREATE_FAIL</t>
        </is>
      </c>
      <c r="B46" s="67" t="inlineStr">
        <is>
          <t>Tạo mới thông tin khách hàng thất bại.</t>
        </is>
      </c>
      <c r="C46" s="67" t="inlineStr">
        <is>
          <t>Create new customer is fail.</t>
        </is>
      </c>
      <c r="D46" s="3">
        <f>IFERROR(__xludf.DUMMYFUNCTION("GOOGLETRANSLATE(B46,""vi"",""km"")"),"ការបង្កើតព័ត៌មានអតិថិជនថ្មីបានបរាជ័យ។")</f>
        <v/>
      </c>
      <c r="E46" s="67" t="inlineStr">
        <is>
          <t>បង្កើតព័ត៌មានថ្មីសម្រាប់អតិថិជនបានបរាជ័យ</t>
        </is>
      </c>
      <c r="F46" s="3" t="inlineStr">
        <is>
          <t>ការបង្កើតព័ត៌មានអតិថិជនថ្មីបានបរាជ័យ។</t>
        </is>
      </c>
      <c r="G46" s="67" t="n"/>
      <c r="H46" t="inlineStr">
        <is>
          <t>ការបង្កើតព័ត៌មានអតិថិជនថ្មីបានបរាជ័យ។</t>
        </is>
      </c>
      <c r="I46" s="67" t="n"/>
      <c r="J46" s="67" t="n"/>
      <c r="K46" s="67" t="n"/>
      <c r="L46" s="67" t="n"/>
      <c r="M46" s="67" t="n"/>
      <c r="N46" s="67" t="n"/>
      <c r="O46" s="67" t="n"/>
      <c r="P46" s="67" t="n"/>
      <c r="Q46" s="67" t="n"/>
      <c r="R46" s="67" t="n"/>
      <c r="S46" s="67" t="n"/>
      <c r="T46" s="67" t="n"/>
      <c r="U46" s="67" t="n"/>
      <c r="V46" s="67" t="n"/>
      <c r="W46" s="67" t="n"/>
      <c r="X46" s="67" t="n"/>
      <c r="Y46" s="67" t="n"/>
      <c r="Z46" s="67" t="n"/>
      <c r="AA46" s="67" t="n"/>
      <c r="AB46" s="67" t="n"/>
    </row>
    <row r="47" ht="15.75" customHeight="1" s="305">
      <c r="A47" s="67" t="inlineStr">
        <is>
          <t>CUSTOMER_UPDATE_FAIL</t>
        </is>
      </c>
      <c r="B47" s="67" t="inlineStr">
        <is>
          <t>Cập nhật thông tin khách hàng thất bại.</t>
        </is>
      </c>
      <c r="C47" s="67" t="inlineStr">
        <is>
          <t>Update customer information is fail.</t>
        </is>
      </c>
      <c r="D47" s="3">
        <f>IFERROR(__xludf.DUMMYFUNCTION("GOOGLETRANSLATE(B47,""vi"",""km"")"),"ការអាប់ដេតព័ត៌មានអតិថិជនបរាជ័យ។")</f>
        <v/>
      </c>
      <c r="E47" s="67" t="inlineStr">
        <is>
          <t>អាប់ដេតព័ត៌មានអតិថិជនបរាជ័យ</t>
        </is>
      </c>
      <c r="F47" s="3" t="inlineStr">
        <is>
          <t>ការអាប់ដេតព័ត៌មានអតិថិជនបរាជ័យ។</t>
        </is>
      </c>
      <c r="G47" s="67" t="n"/>
      <c r="H47" t="inlineStr">
        <is>
          <t>ការអាប់ដេតព័ត៌មានអតិថិជនបរាជ័យ។</t>
        </is>
      </c>
      <c r="I47" s="67" t="n"/>
      <c r="J47" s="67" t="n"/>
      <c r="K47" s="67" t="n"/>
      <c r="L47" s="67" t="n"/>
      <c r="M47" s="67" t="n"/>
      <c r="N47" s="67" t="n"/>
      <c r="O47" s="67" t="n"/>
      <c r="P47" s="67" t="n"/>
      <c r="Q47" s="67" t="n"/>
      <c r="R47" s="67" t="n"/>
      <c r="S47" s="67" t="n"/>
      <c r="T47" s="67" t="n"/>
      <c r="U47" s="67" t="n"/>
      <c r="V47" s="67" t="n"/>
      <c r="W47" s="67" t="n"/>
      <c r="X47" s="67" t="n"/>
      <c r="Y47" s="67" t="n"/>
      <c r="Z47" s="67" t="n"/>
      <c r="AA47" s="67" t="n"/>
      <c r="AB47" s="67" t="n"/>
    </row>
    <row r="48" ht="15.75" customHeight="1" s="305">
      <c r="A48" s="67" t="inlineStr">
        <is>
          <t>ORDER_CREATE_FAIL</t>
        </is>
      </c>
      <c r="B48" s="67" t="inlineStr">
        <is>
          <t>Tạo thông tin đơn hàng thất bại.</t>
        </is>
      </c>
      <c r="C48" s="67" t="inlineStr">
        <is>
          <t>Create new order is fail.</t>
        </is>
      </c>
      <c r="D48" s="3">
        <f>IFERROR(__xludf.DUMMYFUNCTION("GOOGLETRANSLATE(B48,""vi"",""km"")"),"បង្កើតព័ត៌មានសម្រាប់ការបញ្ជាទិញដែលបរាជ័យ។")</f>
        <v/>
      </c>
      <c r="E48" s="67" t="inlineStr">
        <is>
          <t>បង្កើ្កតព័ត៌មានបុងបញ្ញើបានបរាជ័យ</t>
        </is>
      </c>
      <c r="F48" s="3" t="inlineStr">
        <is>
          <t>បង្កើតព័ត៌មានសម្រាប់ការបញ្ជាទិញដែលបរាជ័យ។</t>
        </is>
      </c>
      <c r="G48" s="67" t="n"/>
      <c r="H48" t="inlineStr">
        <is>
          <t>បង្កើតព័ត៌មានសម្រាប់ការបញ្ជាទិញដែលបរាជ័យ។</t>
        </is>
      </c>
      <c r="I48" s="67" t="n"/>
      <c r="J48" s="67" t="n"/>
      <c r="K48" s="67" t="n"/>
      <c r="L48" s="67" t="n"/>
      <c r="M48" s="67" t="n"/>
      <c r="N48" s="67" t="n"/>
      <c r="O48" s="67" t="n"/>
      <c r="P48" s="67" t="n"/>
      <c r="Q48" s="67" t="n"/>
      <c r="R48" s="67" t="n"/>
      <c r="S48" s="67" t="n"/>
      <c r="T48" s="67" t="n"/>
      <c r="U48" s="67" t="n"/>
      <c r="V48" s="67" t="n"/>
      <c r="W48" s="67" t="n"/>
      <c r="X48" s="67" t="n"/>
      <c r="Y48" s="67" t="n"/>
      <c r="Z48" s="67" t="n"/>
      <c r="AA48" s="67" t="n"/>
      <c r="AB48" s="67" t="n"/>
    </row>
    <row r="49" ht="15.75" customHeight="1" s="305">
      <c r="A49" s="67" t="inlineStr">
        <is>
          <t>ORDER_UPDATE_FAIL</t>
        </is>
      </c>
      <c r="B49" s="67" t="inlineStr">
        <is>
          <t>Cập nhật thông tin đơn hàng thất bại.</t>
        </is>
      </c>
      <c r="C49" s="67" t="inlineStr">
        <is>
          <t>Update order information is fail.</t>
        </is>
      </c>
      <c r="D49" s="3">
        <f>IFERROR(__xludf.DUMMYFUNCTION("GOOGLETRANSLATE(B49,""vi"",""km"")"),"ធ្វើបច្ចុប្បន្នភាពព័ត៌មានលើការបញ្ជាទិញដែលបរាជ័យ។")</f>
        <v/>
      </c>
      <c r="E49" s="67" t="inlineStr">
        <is>
          <t>អាប់ដេតព័ត៌មានបុងបញ្ញើបានបរាជ័យ</t>
        </is>
      </c>
      <c r="F49" s="3" t="inlineStr">
        <is>
          <t>ធ្វើបច្ចុប្បន្នភាពព័ត៌មានលើការបញ្ជាទិញដែលបរាជ័យ។</t>
        </is>
      </c>
      <c r="G49" s="67" t="n"/>
      <c r="H49" t="inlineStr">
        <is>
          <t>ធ្វើបច្ចុប្បន្នភាពព័ត៌មានលើការបញ្ជាទិញដែលបរាជ័យ។</t>
        </is>
      </c>
      <c r="I49" s="67" t="n"/>
      <c r="J49" s="67" t="n"/>
      <c r="K49" s="67" t="n"/>
      <c r="L49" s="67" t="n"/>
      <c r="M49" s="67" t="n"/>
      <c r="N49" s="67" t="n"/>
      <c r="O49" s="67" t="n"/>
      <c r="P49" s="67" t="n"/>
      <c r="Q49" s="67" t="n"/>
      <c r="R49" s="67" t="n"/>
      <c r="S49" s="67" t="n"/>
      <c r="T49" s="67" t="n"/>
      <c r="U49" s="67" t="n"/>
      <c r="V49" s="67" t="n"/>
      <c r="W49" s="67" t="n"/>
      <c r="X49" s="67" t="n"/>
      <c r="Y49" s="67" t="n"/>
      <c r="Z49" s="67" t="n"/>
      <c r="AA49" s="67" t="n"/>
      <c r="AB49" s="67" t="n"/>
    </row>
    <row r="50" ht="15.75" customHeight="1" s="305">
      <c r="A50" s="67" t="inlineStr">
        <is>
          <t>ORDER_NOT_FOUND</t>
        </is>
      </c>
      <c r="B50" s="67" t="inlineStr">
        <is>
          <t>Không tìm thấy thông tin đơn hàng.</t>
        </is>
      </c>
      <c r="C50" s="67" t="inlineStr">
        <is>
          <t>Order is not found.</t>
        </is>
      </c>
      <c r="D50" s="3">
        <f>IFERROR(__xludf.DUMMYFUNCTION("GOOGLETRANSLATE(B50,""vi"",""km"")"),"រកមិនឃើញព័ត៌មានបញ្ជាទិញទេ។")</f>
        <v/>
      </c>
      <c r="E50" s="67" t="inlineStr">
        <is>
          <t>មិនអាចស្វែងរកព័ត៌មានបុងបញ្ញើបានទេ</t>
        </is>
      </c>
      <c r="F50" s="3" t="inlineStr">
        <is>
          <t>រកមិនឃើញព័ត៌មានបញ្ជាទិញទេ។</t>
        </is>
      </c>
      <c r="G50" s="67" t="n"/>
      <c r="H50" t="inlineStr">
        <is>
          <t>រកមិនឃើញព័ត៌មានបញ្ជាទិញទេ។</t>
        </is>
      </c>
      <c r="I50" s="67" t="n"/>
      <c r="J50" s="67" t="n"/>
      <c r="K50" s="67" t="n"/>
      <c r="L50" s="67" t="n"/>
      <c r="M50" s="67" t="n"/>
      <c r="N50" s="67" t="n"/>
      <c r="O50" s="67" t="n"/>
      <c r="P50" s="67" t="n"/>
      <c r="Q50" s="67" t="n"/>
      <c r="R50" s="67" t="n"/>
      <c r="S50" s="67" t="n"/>
      <c r="T50" s="67" t="n"/>
      <c r="U50" s="67" t="n"/>
      <c r="V50" s="67" t="n"/>
      <c r="W50" s="67" t="n"/>
      <c r="X50" s="67" t="n"/>
      <c r="Y50" s="67" t="n"/>
      <c r="Z50" s="67" t="n"/>
      <c r="AA50" s="67" t="n"/>
      <c r="AB50" s="67" t="n"/>
    </row>
    <row r="51" ht="15.75" customHeight="1" s="305">
      <c r="A51" s="67" t="inlineStr">
        <is>
          <t>ORDER_REQUEST_DATA_INVALID</t>
        </is>
      </c>
      <c r="B51" s="67" t="inlineStr">
        <is>
          <t>Thông tin tìm kiếm đơn hàng không hợp lệ.</t>
        </is>
      </c>
      <c r="C51" s="67" t="inlineStr">
        <is>
          <t>Invalid order search information.</t>
        </is>
      </c>
      <c r="D51" s="3">
        <f>IFERROR(__xludf.DUMMYFUNCTION("GOOGLETRANSLATE(B51,""vi"",""km"")"),"ព័ត៌មានស្វែងរកការបញ្ជាទិញមិនត្រឹមត្រូវ។")</f>
        <v/>
      </c>
      <c r="E51" s="67" t="inlineStr">
        <is>
          <t>ព័ត៌មានស្វែ្វងរកបុងបញ្ញើមិនត្រឹមត្រូវ</t>
        </is>
      </c>
      <c r="F51" s="3" t="inlineStr">
        <is>
          <t>ព័ត៌មានស្វែងរកការបញ្ជាទិញមិនត្រឹមត្រូវ។</t>
        </is>
      </c>
      <c r="G51" s="67" t="n"/>
      <c r="H51" t="inlineStr">
        <is>
          <t>ព័ត៌មានស្វែងរកការបញ្ជាទិញមិនត្រឹមត្រូវ។</t>
        </is>
      </c>
      <c r="I51" s="67" t="n"/>
      <c r="J51" s="67" t="n"/>
      <c r="K51" s="67" t="n"/>
      <c r="L51" s="67" t="n"/>
      <c r="M51" s="67" t="n"/>
      <c r="N51" s="67" t="n"/>
      <c r="O51" s="67" t="n"/>
      <c r="P51" s="67" t="n"/>
      <c r="Q51" s="67" t="n"/>
      <c r="R51" s="67" t="n"/>
      <c r="S51" s="67" t="n"/>
      <c r="T51" s="67" t="n"/>
      <c r="U51" s="67" t="n"/>
      <c r="V51" s="67" t="n"/>
      <c r="W51" s="67" t="n"/>
      <c r="X51" s="67" t="n"/>
      <c r="Y51" s="67" t="n"/>
      <c r="Z51" s="67" t="n"/>
      <c r="AA51" s="67" t="n"/>
      <c r="AB51" s="67" t="n"/>
    </row>
    <row r="52" ht="15.75" customHeight="1" s="305">
      <c r="A52" s="67" t="inlineStr">
        <is>
          <t>ORDER_RESPONSE_DATA_INVALID</t>
        </is>
      </c>
      <c r="B52" s="67" t="inlineStr">
        <is>
          <t>Thông tin phản hồi đơn hàng không hợp lệ.</t>
        </is>
      </c>
      <c r="C52" s="67" t="inlineStr">
        <is>
          <t>Invalid order response information.</t>
        </is>
      </c>
      <c r="D52" s="3">
        <f>IFERROR(__xludf.DUMMYFUNCTION("GOOGLETRANSLATE(B52,""vi"",""km"")"),"ព័ត៌មាន​មតិ​កែលម្អ​ការ​បញ្ជាទិញ​មិន​ត្រឹមត្រូវ។")</f>
        <v/>
      </c>
      <c r="E52" s="67" t="inlineStr">
        <is>
          <t>ព័ត៌មានឆ្លើ្លយតបបុងបញ្ញើមិនត្រឹមត្រូវ</t>
        </is>
      </c>
      <c r="F52" s="3" t="inlineStr">
        <is>
          <t>ព័ត៌មានមតិកែលម្អការបញ្ជាទិញមិនត្រឹមត្រូវ។</t>
        </is>
      </c>
      <c r="G52" s="67" t="n"/>
      <c r="H52" t="inlineStr">
        <is>
          <t>ព័ត៌មានមតិកែលម្អការបញ្ជាទិញមិនត្រឹមត្រូវ។</t>
        </is>
      </c>
      <c r="I52" s="67" t="n"/>
      <c r="J52" s="67" t="n"/>
      <c r="K52" s="67" t="n"/>
      <c r="L52" s="67" t="n"/>
      <c r="M52" s="67" t="n"/>
      <c r="N52" s="67" t="n"/>
      <c r="O52" s="67" t="n"/>
      <c r="P52" s="67" t="n"/>
      <c r="Q52" s="67" t="n"/>
      <c r="R52" s="67" t="n"/>
      <c r="S52" s="67" t="n"/>
      <c r="T52" s="67" t="n"/>
      <c r="U52" s="67" t="n"/>
      <c r="V52" s="67" t="n"/>
      <c r="W52" s="67" t="n"/>
      <c r="X52" s="67" t="n"/>
      <c r="Y52" s="67" t="n"/>
      <c r="Z52" s="67" t="n"/>
      <c r="AA52" s="67" t="n"/>
      <c r="AB52" s="67" t="n"/>
    </row>
    <row r="53" ht="15.75" customHeight="1" s="305">
      <c r="A53" s="67" t="inlineStr">
        <is>
          <t>WAREHOUSE_NOT_FOUND</t>
        </is>
      </c>
      <c r="B53" s="67" t="inlineStr">
        <is>
          <t>Không tìm thấy thông tin kho hàng.</t>
        </is>
      </c>
      <c r="C53" s="67" t="inlineStr">
        <is>
          <t>Warehouse is not found.</t>
        </is>
      </c>
      <c r="D53" s="3">
        <f>IFERROR(__xludf.DUMMYFUNCTION("GOOGLETRANSLATE(B53,""vi"",""km"")"),"រកមិនឃើញព័ត៌មានឃ្លាំងទេ។")</f>
        <v/>
      </c>
      <c r="E53" s="67" t="inlineStr">
        <is>
          <t>មិនឃើញព័ត៌មានឃ្លាំងអីវ៉ាន់</t>
        </is>
      </c>
      <c r="F53" s="3" t="inlineStr">
        <is>
          <t>រកមិនឃើញព័ត៌មានឃ្លាំងទេ។</t>
        </is>
      </c>
      <c r="G53" s="67" t="n"/>
      <c r="H53" t="inlineStr">
        <is>
          <t>រកមិនឃើញព័ត៌មានឃ្លាំងទេ។</t>
        </is>
      </c>
      <c r="I53" s="67" t="n"/>
      <c r="J53" s="67" t="n"/>
      <c r="K53" s="67" t="n"/>
      <c r="L53" s="67" t="n"/>
      <c r="M53" s="67" t="n"/>
      <c r="N53" s="67" t="n"/>
      <c r="O53" s="67" t="n"/>
      <c r="P53" s="67" t="n"/>
      <c r="Q53" s="67" t="n"/>
      <c r="R53" s="67" t="n"/>
      <c r="S53" s="67" t="n"/>
      <c r="T53" s="67" t="n"/>
      <c r="U53" s="67" t="n"/>
      <c r="V53" s="67" t="n"/>
      <c r="W53" s="67" t="n"/>
      <c r="X53" s="67" t="n"/>
      <c r="Y53" s="67" t="n"/>
      <c r="Z53" s="67" t="n"/>
      <c r="AA53" s="67" t="n"/>
      <c r="AB53" s="67" t="n"/>
    </row>
    <row r="54" ht="15.75" customHeight="1" s="305">
      <c r="A54" s="67" t="inlineStr">
        <is>
          <t>WAREHOUSE_REQUEST_DATA_INVALID</t>
        </is>
      </c>
      <c r="B54" s="67" t="inlineStr">
        <is>
          <t>Thông tin tìm kiếm kho hàng không hợp lệ.</t>
        </is>
      </c>
      <c r="C54" s="67" t="inlineStr">
        <is>
          <t>Invalid warehouse search information.</t>
        </is>
      </c>
      <c r="D54" s="3">
        <f>IFERROR(__xludf.DUMMYFUNCTION("GOOGLETRANSLATE(B54,""vi"",""km"")"),"ព័ត៌មានស្វែងរកឃ្លាំងមិនត្រឹមត្រូវ។")</f>
        <v/>
      </c>
      <c r="E54" s="67" t="inlineStr">
        <is>
          <t>ព័ត៌មានស្វែងរកឃ្លាំងអីវ៉ាន់មិនត្រឹមត្រូវ</t>
        </is>
      </c>
      <c r="F54" s="3" t="inlineStr">
        <is>
          <t>ព័ត៌មានស្វែងរកឃ្លាំងមិនត្រឹមត្រូវ។</t>
        </is>
      </c>
      <c r="G54" s="67" t="n"/>
      <c r="H54" t="inlineStr">
        <is>
          <t>ព័ត៌មានស្វែងរកឃ្លាំងមិនត្រឹមត្រូវ។</t>
        </is>
      </c>
      <c r="I54" s="67" t="n"/>
      <c r="J54" s="67" t="n"/>
      <c r="K54" s="67" t="n"/>
      <c r="L54" s="67" t="n"/>
      <c r="M54" s="67" t="n"/>
      <c r="N54" s="67" t="n"/>
      <c r="O54" s="67" t="n"/>
      <c r="P54" s="67" t="n"/>
      <c r="Q54" s="67" t="n"/>
      <c r="R54" s="67" t="n"/>
      <c r="S54" s="67" t="n"/>
      <c r="T54" s="67" t="n"/>
      <c r="U54" s="67" t="n"/>
      <c r="V54" s="67" t="n"/>
      <c r="W54" s="67" t="n"/>
      <c r="X54" s="67" t="n"/>
      <c r="Y54" s="67" t="n"/>
      <c r="Z54" s="67" t="n"/>
      <c r="AA54" s="67" t="n"/>
      <c r="AB54" s="67" t="n"/>
    </row>
    <row r="55" ht="15.75" customHeight="1" s="305">
      <c r="A55" s="67" t="inlineStr">
        <is>
          <t>WAREHOUSE_RESPONSE_DATA_INVALID</t>
        </is>
      </c>
      <c r="B55" s="67" t="inlineStr">
        <is>
          <t>Thông tin phản hồi kho hàng không hợp lệ.</t>
        </is>
      </c>
      <c r="C55" s="67" t="inlineStr">
        <is>
          <t>Invalid warehouse response information.</t>
        </is>
      </c>
      <c r="D55" s="3">
        <f>IFERROR(__xludf.DUMMYFUNCTION("GOOGLETRANSLATE(B55,""vi"",""km"")"),"ព័ត៌មាន​មតិ​កែលម្អ​ឃ្លាំង​មិន​ត្រឹមត្រូវ។")</f>
        <v/>
      </c>
      <c r="E55" s="67" t="inlineStr">
        <is>
          <t>ការឆ្លើយតបព័ត៌មានឃ្លាំងមិនត្រឹមត្រូវ។</t>
        </is>
      </c>
      <c r="F55" s="3" t="inlineStr">
        <is>
          <t>ព័ត៌មានមតិកែលម្អឃ្លាំងមិនត្រឹមត្រូវ។</t>
        </is>
      </c>
      <c r="G55" s="67" t="n"/>
      <c r="H55" t="inlineStr">
        <is>
          <t>ព័ត៌មានមតិកែលម្អឃ្លាំងមិនត្រឹមត្រូវ។</t>
        </is>
      </c>
      <c r="I55" s="67" t="n"/>
      <c r="J55" s="67" t="n"/>
      <c r="K55" s="67" t="n"/>
      <c r="L55" s="67" t="n"/>
      <c r="M55" s="67" t="n"/>
      <c r="N55" s="67" t="n"/>
      <c r="O55" s="67" t="n"/>
      <c r="P55" s="67" t="n"/>
      <c r="Q55" s="67" t="n"/>
      <c r="R55" s="67" t="n"/>
      <c r="S55" s="67" t="n"/>
      <c r="T55" s="67" t="n"/>
      <c r="U55" s="67" t="n"/>
      <c r="V55" s="67" t="n"/>
      <c r="W55" s="67" t="n"/>
      <c r="X55" s="67" t="n"/>
      <c r="Y55" s="67" t="n"/>
      <c r="Z55" s="67" t="n"/>
      <c r="AA55" s="67" t="n"/>
      <c r="AB55" s="67" t="n"/>
    </row>
    <row r="56" ht="15.75" customHeight="1" s="305">
      <c r="A56" s="67" t="inlineStr">
        <is>
          <t>WAREHOUSE_CREATE_FAIL</t>
        </is>
      </c>
      <c r="B56" s="67" t="inlineStr">
        <is>
          <t>Tạo mới thông tin kho hàng thất bại.</t>
        </is>
      </c>
      <c r="C56" s="67" t="inlineStr">
        <is>
          <t>Create new warehouse is fail.</t>
        </is>
      </c>
      <c r="D56" s="3">
        <f>IFERROR(__xludf.DUMMYFUNCTION("GOOGLETRANSLATE(B56,""vi"",""km"")"),"ការបង្កើតព័ត៌មានសារពើភ័ណ្ឌថ្មីបានបរាជ័យ។")</f>
        <v/>
      </c>
      <c r="E56" s="196" t="inlineStr">
        <is>
          <t>បរាជ័យក្នុងការបង្កើតព័ត៌មានឃ្លាំងថ្មី។</t>
        </is>
      </c>
      <c r="F56" s="3" t="inlineStr">
        <is>
          <t>ការបង្កើតព័ត៌មានសារពើភ័ណ្ឌថ្មីបានបរាជ័យ។</t>
        </is>
      </c>
      <c r="G56" s="67" t="n"/>
      <c r="H56" t="inlineStr">
        <is>
          <t>ការបង្កើតព័ត៌មានសារពើភ័ណ្ឌថ្មីបានបរាជ័យ។</t>
        </is>
      </c>
      <c r="I56" s="67" t="n"/>
      <c r="J56" s="67" t="n"/>
      <c r="K56" s="67" t="n"/>
      <c r="L56" s="67" t="n"/>
      <c r="M56" s="67" t="n"/>
      <c r="N56" s="67" t="n"/>
      <c r="O56" s="67" t="n"/>
      <c r="P56" s="67" t="n"/>
      <c r="Q56" s="67" t="n"/>
      <c r="R56" s="67" t="n"/>
      <c r="S56" s="67" t="n"/>
      <c r="T56" s="67" t="n"/>
      <c r="U56" s="67" t="n"/>
      <c r="V56" s="67" t="n"/>
      <c r="W56" s="67" t="n"/>
      <c r="X56" s="67" t="n"/>
      <c r="Y56" s="67" t="n"/>
      <c r="Z56" s="67" t="n"/>
      <c r="AA56" s="67" t="n"/>
      <c r="AB56" s="67" t="n"/>
    </row>
    <row r="57" ht="15.75" customHeight="1" s="305">
      <c r="A57" s="67" t="inlineStr">
        <is>
          <t>RECEIVING_FAIL_GET_OMS_TOKEN</t>
        </is>
      </c>
      <c r="B57" s="67" t="inlineStr">
        <is>
          <t>Không thể gọi API Get Token từ Oms.</t>
        </is>
      </c>
      <c r="C57" s="67" t="inlineStr">
        <is>
          <t>Fail to call API Get Token From Oms .</t>
        </is>
      </c>
      <c r="D57" s="3">
        <f>IFERROR(__xludf.DUMMYFUNCTION("GOOGLETRANSLATE(B57,""vi"",""km"")"),"មិនអាចហៅ Get Token API ពី Oms បានទេ។")</f>
        <v/>
      </c>
      <c r="E57" s="67" t="n"/>
      <c r="F57" s="3" t="inlineStr">
        <is>
          <t>មិនអាចហៅ Get Token API ពី Oms បានទេ។</t>
        </is>
      </c>
      <c r="G57" s="67" t="n"/>
      <c r="H57" t="inlineStr">
        <is>
          <t>មិនអាចហៅ Get Token API ពី Oms បានទេ។</t>
        </is>
      </c>
      <c r="I57" s="67" t="n"/>
      <c r="J57" s="67" t="n"/>
      <c r="K57" s="67" t="n"/>
      <c r="L57" s="67" t="n"/>
      <c r="M57" s="67" t="n"/>
      <c r="N57" s="67" t="n"/>
      <c r="O57" s="67" t="n"/>
      <c r="P57" s="67" t="n"/>
      <c r="Q57" s="67" t="n"/>
      <c r="R57" s="67" t="n"/>
      <c r="S57" s="67" t="n"/>
      <c r="T57" s="67" t="n"/>
      <c r="U57" s="67" t="n"/>
      <c r="V57" s="67" t="n"/>
      <c r="W57" s="67" t="n"/>
      <c r="X57" s="67" t="n"/>
      <c r="Y57" s="67" t="n"/>
      <c r="Z57" s="67" t="n"/>
      <c r="AA57" s="67" t="n"/>
      <c r="AB57" s="67" t="n"/>
    </row>
    <row r="58" ht="15.75" customHeight="1" s="305">
      <c r="A58" s="67" t="inlineStr">
        <is>
          <t>REVENUE_FAILURE</t>
        </is>
      </c>
      <c r="B58" s="67" t="inlineStr">
        <is>
          <t>Xử lý doanh thu thất bại.</t>
        </is>
      </c>
      <c r="C58" s="67" t="inlineStr">
        <is>
          <t>Processing revenue is failed.</t>
        </is>
      </c>
      <c r="D58" s="3">
        <f>IFERROR(__xludf.DUMMYFUNCTION("GOOGLETRANSLATE(B58,""vi"",""km"")"),"ការដោះស្រាយការលក់ដែលបរាជ័យ។")</f>
        <v/>
      </c>
      <c r="E58" s="67" t="inlineStr">
        <is>
          <t>ដោះស្រាយចំណូលបរាជ័យ</t>
        </is>
      </c>
      <c r="F58" s="3" t="inlineStr">
        <is>
          <t>ការដោះស្រាយការលក់ដែលបរាជ័យ។</t>
        </is>
      </c>
      <c r="G58" s="67" t="n"/>
      <c r="H58" t="inlineStr">
        <is>
          <t>ការដោះស្រាយការលក់ដែលបរាជ័យ។</t>
        </is>
      </c>
      <c r="I58" s="67" t="n"/>
      <c r="J58" s="67" t="n"/>
      <c r="K58" s="67" t="n"/>
      <c r="L58" s="67" t="n"/>
      <c r="M58" s="67" t="n"/>
      <c r="N58" s="67" t="n"/>
      <c r="O58" s="67" t="n"/>
      <c r="P58" s="67" t="n"/>
      <c r="Q58" s="67" t="n"/>
      <c r="R58" s="67" t="n"/>
      <c r="S58" s="67" t="n"/>
      <c r="T58" s="67" t="n"/>
      <c r="U58" s="67" t="n"/>
      <c r="V58" s="67" t="n"/>
      <c r="W58" s="67" t="n"/>
      <c r="X58" s="67" t="n"/>
      <c r="Y58" s="67" t="n"/>
      <c r="Z58" s="67" t="n"/>
      <c r="AA58" s="67" t="n"/>
      <c r="AB58" s="67" t="n"/>
    </row>
    <row r="59" ht="15.75" customHeight="1" s="305">
      <c r="A59" s="67" t="inlineStr">
        <is>
          <t>REVENUE_FAIL_LOCK_API</t>
        </is>
      </c>
      <c r="B59" s="67" t="inlineStr">
        <is>
          <t>Không thể gọi API Lock Oms Order.</t>
        </is>
      </c>
      <c r="C59" s="67" t="inlineStr">
        <is>
          <t>Fail to Call Api Lock Oms Order.</t>
        </is>
      </c>
      <c r="D59" s="3">
        <f>IFERROR(__xludf.DUMMYFUNCTION("GOOGLETRANSLATE(B59,""vi"",""km"")"),"មិនអាចហៅ API បញ្ជាទិញ Lock Oms បានទេ។")</f>
        <v/>
      </c>
      <c r="E59" s="67" t="n"/>
      <c r="F59" s="3" t="inlineStr">
        <is>
          <t>មិនអាចហៅ API បញ្ជាទិញ Lock Oms បានទេ។</t>
        </is>
      </c>
      <c r="G59" s="67" t="n"/>
      <c r="H59" t="inlineStr">
        <is>
          <t>មិនអាចហៅ API បញ្ជាទិញ Lock Oms បានទេ។</t>
        </is>
      </c>
      <c r="I59" s="67" t="n"/>
      <c r="J59" s="67" t="n"/>
      <c r="K59" s="67" t="n"/>
      <c r="L59" s="67" t="n"/>
      <c r="M59" s="67" t="n"/>
      <c r="N59" s="67" t="n"/>
      <c r="O59" s="67" t="n"/>
      <c r="P59" s="67" t="n"/>
      <c r="Q59" s="67" t="n"/>
      <c r="R59" s="67" t="n"/>
      <c r="S59" s="67" t="n"/>
      <c r="T59" s="67" t="n"/>
      <c r="U59" s="67" t="n"/>
      <c r="V59" s="67" t="n"/>
      <c r="W59" s="67" t="n"/>
      <c r="X59" s="67" t="n"/>
      <c r="Y59" s="67" t="n"/>
      <c r="Z59" s="67" t="n"/>
      <c r="AA59" s="67" t="n"/>
      <c r="AB59" s="67" t="n"/>
    </row>
    <row r="60" ht="15.75" customHeight="1" s="305">
      <c r="A60" s="67" t="inlineStr">
        <is>
          <t>OMS_EMPTY_RESPONSE</t>
        </is>
      </c>
      <c r="B60" s="67" t="inlineStr">
        <is>
          <t>Phản hồi dữ liệu từ OMS trống.</t>
        </is>
      </c>
      <c r="C60" s="67" t="inlineStr">
        <is>
          <t>Data response is empty from Oms .</t>
        </is>
      </c>
      <c r="D60" s="3">
        <f>IFERROR(__xludf.DUMMYFUNCTION("GOOGLETRANSLATE(B60,""vi"",""km"")"),"ការឆ្លើយតបទិន្នន័យពី OMS គឺទទេ។")</f>
        <v/>
      </c>
      <c r="E60" s="67" t="inlineStr">
        <is>
          <t>ការឆ្លើយតបទិន្នន័យពី OMS គឺទទេ</t>
        </is>
      </c>
      <c r="F60" s="3" t="inlineStr">
        <is>
          <t>ការឆ្លើយតបទិន្នន័យពី OMS គឺទទេ។</t>
        </is>
      </c>
      <c r="G60" s="67" t="n"/>
      <c r="H60" t="inlineStr">
        <is>
          <t>ការឆ្លើយតបទិន្នន័យពី OMS គឺទទេ។</t>
        </is>
      </c>
      <c r="I60" s="67" t="n"/>
      <c r="J60" s="67" t="n"/>
      <c r="K60" s="67" t="n"/>
      <c r="L60" s="67" t="n"/>
      <c r="M60" s="67" t="n"/>
      <c r="N60" s="67" t="n"/>
      <c r="O60" s="67" t="n"/>
      <c r="P60" s="67" t="n"/>
      <c r="Q60" s="67" t="n"/>
      <c r="R60" s="67" t="n"/>
      <c r="S60" s="67" t="n"/>
      <c r="T60" s="67" t="n"/>
      <c r="U60" s="67" t="n"/>
      <c r="V60" s="67" t="n"/>
      <c r="W60" s="67" t="n"/>
      <c r="X60" s="67" t="n"/>
      <c r="Y60" s="67" t="n"/>
      <c r="Z60" s="67" t="n"/>
      <c r="AA60" s="67" t="n"/>
      <c r="AB60" s="67" t="n"/>
    </row>
    <row r="61" ht="15.75" customHeight="1" s="305">
      <c r="A61" s="67" t="inlineStr">
        <is>
          <t>PRINT_LABEL_FAILURE</t>
        </is>
      </c>
      <c r="B61" s="67" t="inlineStr">
        <is>
          <t>Xử lý in nhãn thất bại.</t>
        </is>
      </c>
      <c r="C61" s="67" t="inlineStr">
        <is>
          <t>Processing print label is failed.</t>
        </is>
      </c>
      <c r="D61" s="3">
        <f>IFERROR(__xludf.DUMMYFUNCTION("GOOGLETRANSLATE(B61,""vi"",""km"")"),"ដំណើរការបោះពុម្ពស្លាកបានបរាជ័យ។")</f>
        <v/>
      </c>
      <c r="E61" s="67" t="inlineStr">
        <is>
          <t>ដំណើរការបោះពុម្ពស្លាកបរាជ័យ</t>
        </is>
      </c>
      <c r="F61" s="3" t="inlineStr">
        <is>
          <t>ដំណើរការព្រីនស្លាកបានបរាជ័យ។</t>
        </is>
      </c>
      <c r="G61" s="67" t="n"/>
      <c r="H61" t="inlineStr">
        <is>
          <t>ដំណើរការព្រីនស្លាកបានបរាជ័យ។</t>
        </is>
      </c>
      <c r="I61" s="67" t="n"/>
      <c r="J61" s="67" t="n"/>
      <c r="K61" s="67" t="n"/>
      <c r="L61" s="67" t="n"/>
      <c r="M61" s="67" t="n"/>
      <c r="N61" s="67" t="n"/>
      <c r="O61" s="67" t="n"/>
      <c r="P61" s="67" t="n"/>
      <c r="Q61" s="67" t="n"/>
      <c r="R61" s="67" t="n"/>
      <c r="S61" s="67" t="n"/>
      <c r="T61" s="67" t="n"/>
      <c r="U61" s="67" t="n"/>
      <c r="V61" s="67" t="n"/>
      <c r="W61" s="67" t="n"/>
      <c r="X61" s="67" t="n"/>
      <c r="Y61" s="67" t="n"/>
      <c r="Z61" s="67" t="n"/>
      <c r="AA61" s="67" t="n"/>
      <c r="AB61" s="67" t="n"/>
    </row>
    <row r="62" ht="15.75" customHeight="1" s="305">
      <c r="A62" s="67" t="inlineStr">
        <is>
          <t>GET_PRINT_PATH_FAILURE</t>
        </is>
      </c>
      <c r="B62" s="67" t="inlineStr">
        <is>
          <t>Lấy đường dẫn in thất bại.</t>
        </is>
      </c>
      <c r="C62" s="67" t="inlineStr">
        <is>
          <t>Get print path is failed.</t>
        </is>
      </c>
      <c r="D62" s="3">
        <f>IFERROR(__xludf.DUMMYFUNCTION("GOOGLETRANSLATE(B62,""vi"",""km"")"),"ការ​ទទួល​យក​ផ្លូវ​បោះពុម្ព​បាន​បរាជ័យ។")</f>
        <v/>
      </c>
      <c r="E62" s="67" t="inlineStr">
        <is>
          <t>ការទាញយកផ្លូវបោះពុម្ពបរាជ័យ</t>
        </is>
      </c>
      <c r="F62" s="3" t="inlineStr">
        <is>
          <t>ការទទួលយកផ្លូវព្រីនបានបរាជ័យ។</t>
        </is>
      </c>
      <c r="G62" s="67" t="n"/>
      <c r="H62" t="inlineStr">
        <is>
          <t>ការទទួលយកផ្លូវព្រីនបានបរាជ័យ។</t>
        </is>
      </c>
      <c r="I62" s="67" t="n"/>
      <c r="J62" s="67" t="n"/>
      <c r="K62" s="67" t="n"/>
      <c r="L62" s="67" t="n"/>
      <c r="M62" s="67" t="n"/>
      <c r="N62" s="67" t="n"/>
      <c r="O62" s="67" t="n"/>
      <c r="P62" s="67" t="n"/>
      <c r="Q62" s="67" t="n"/>
      <c r="R62" s="67" t="n"/>
      <c r="S62" s="67" t="n"/>
      <c r="T62" s="67" t="n"/>
      <c r="U62" s="67" t="n"/>
      <c r="V62" s="67" t="n"/>
      <c r="W62" s="67" t="n"/>
      <c r="X62" s="67" t="n"/>
      <c r="Y62" s="67" t="n"/>
      <c r="Z62" s="67" t="n"/>
      <c r="AA62" s="67" t="n"/>
      <c r="AB62" s="67" t="n"/>
    </row>
    <row r="63" ht="15.75" customHeight="1" s="305">
      <c r="A63" s="67" t="inlineStr">
        <is>
          <t>CREATE_DEAD_LETTER_ORDER_FAILURE</t>
        </is>
      </c>
      <c r="B63" s="67" t="inlineStr">
        <is>
          <t>Tạo đơn hàng thất bại.</t>
        </is>
      </c>
      <c r="C63" s="67" t="inlineStr">
        <is>
          <t>Create dead letter order failed.</t>
        </is>
      </c>
      <c r="D63" s="3">
        <f>IFERROR(__xludf.DUMMYFUNCTION("GOOGLETRANSLATE(B63,""vi"",""km"")"),"ការបង្កើតការបញ្ជាទិញបានបរាជ័យ។")</f>
        <v/>
      </c>
      <c r="E63" s="67" t="inlineStr">
        <is>
          <t>ការបង្កើតបុងបញ្ញើ បរាជ័យ</t>
        </is>
      </c>
      <c r="F63" s="3" t="inlineStr">
        <is>
          <t>ការបង្កើតការបញ្ជាទិញបានបរាជ័យ។</t>
        </is>
      </c>
      <c r="G63" s="67" t="n"/>
      <c r="H63" t="inlineStr">
        <is>
          <t>ការបង្កើតការបញ្ជាទិញបានបរាជ័យ។</t>
        </is>
      </c>
      <c r="I63" s="67" t="n"/>
      <c r="J63" s="67" t="n"/>
      <c r="K63" s="67" t="n"/>
      <c r="L63" s="67" t="n"/>
      <c r="M63" s="67" t="n"/>
      <c r="N63" s="67" t="n"/>
      <c r="O63" s="67" t="n"/>
      <c r="P63" s="67" t="n"/>
      <c r="Q63" s="67" t="n"/>
      <c r="R63" s="67" t="n"/>
      <c r="S63" s="67" t="n"/>
      <c r="T63" s="67" t="n"/>
      <c r="U63" s="67" t="n"/>
      <c r="V63" s="67" t="n"/>
      <c r="W63" s="67" t="n"/>
      <c r="X63" s="67" t="n"/>
      <c r="Y63" s="67" t="n"/>
      <c r="Z63" s="67" t="n"/>
      <c r="AA63" s="67" t="n"/>
      <c r="AB63" s="67" t="n"/>
    </row>
    <row r="64" ht="15.75" customHeight="1" s="305">
      <c r="A64" s="67" t="inlineStr">
        <is>
          <t>KAFKA_CONSUME_ERROR</t>
        </is>
      </c>
      <c r="B64" s="67" t="inlineStr">
        <is>
          <t>Lỗi khi tiêu thụ tin nhắn từ Kafka.</t>
        </is>
      </c>
      <c r="C64" s="67" t="inlineStr">
        <is>
          <t>Kafka consume message failed.</t>
        </is>
      </c>
      <c r="D64" s="3">
        <f>IFERROR(__xludf.DUMMYFUNCTION("GOOGLETRANSLATE(B64,""vi"",""km"")"),"កំហុស​ពេល​ទទួល​យក​សារ​ពី Kafka។")</f>
        <v/>
      </c>
      <c r="E64" s="67" t="n"/>
      <c r="F64" s="3" t="inlineStr">
        <is>
          <t>កំហុសពេលទទួលយកសារពី Kafka។</t>
        </is>
      </c>
      <c r="G64" s="67" t="n"/>
      <c r="H64" t="inlineStr">
        <is>
          <t>កំហុសពេលទទួលយកសារពី Kafka។</t>
        </is>
      </c>
      <c r="I64" s="67" t="n"/>
      <c r="J64" s="67" t="n"/>
      <c r="K64" s="67" t="n"/>
      <c r="L64" s="67" t="n"/>
      <c r="M64" s="67" t="n"/>
      <c r="N64" s="67" t="n"/>
      <c r="O64" s="67" t="n"/>
      <c r="P64" s="67" t="n"/>
      <c r="Q64" s="67" t="n"/>
      <c r="R64" s="67" t="n"/>
      <c r="S64" s="67" t="n"/>
      <c r="T64" s="67" t="n"/>
      <c r="U64" s="67" t="n"/>
      <c r="V64" s="67" t="n"/>
      <c r="W64" s="67" t="n"/>
      <c r="X64" s="67" t="n"/>
      <c r="Y64" s="67" t="n"/>
      <c r="Z64" s="67" t="n"/>
      <c r="AA64" s="67" t="n"/>
      <c r="AB64" s="67" t="n"/>
    </row>
    <row r="65" ht="15.75" customHeight="1" s="305">
      <c r="A65" s="67" t="inlineStr">
        <is>
          <t>KAFKA_CONSUME_ORDER_IS_EXISTED</t>
        </is>
      </c>
      <c r="B65" s="67" t="inlineStr">
        <is>
          <t>Order ID already exists in the system.</t>
        </is>
      </c>
      <c r="C65" s="67" t="inlineStr">
        <is>
          <t>Order ID already exists in the system.</t>
        </is>
      </c>
      <c r="D65" s="3">
        <f>IFERROR(__xludf.DUMMYFUNCTION("GOOGLETRANSLATE(B65,""vi"",""km"")"),"លេខសម្គាល់ការបញ្ជាទិញមានរួចហើយនៅក្នុងប្រព័ន្ធ។")</f>
        <v/>
      </c>
      <c r="E65" s="67" t="inlineStr">
        <is>
          <t>លេខសម្គាល់ID មានរួចហើយនៅក្នុងប្រព័ន្ធ។</t>
        </is>
      </c>
      <c r="F65" s="3" t="inlineStr">
        <is>
          <t>លេខសម្គាល់ការបញ្ជាទិញមានរួចហើយនៅក្នុងប្រព័ន្ធ។</t>
        </is>
      </c>
      <c r="G65" s="67" t="n"/>
      <c r="H65" t="inlineStr">
        <is>
          <t>លេខសម្គាល់ការបញ្ជាទិញមានរួចហើយនៅក្នុងប្រព័ន្ធ។</t>
        </is>
      </c>
      <c r="I65" s="67" t="n"/>
      <c r="J65" s="67" t="n"/>
      <c r="K65" s="67" t="n"/>
      <c r="L65" s="67" t="n"/>
      <c r="M65" s="67" t="n"/>
      <c r="N65" s="67" t="n"/>
      <c r="O65" s="67" t="n"/>
      <c r="P65" s="67" t="n"/>
      <c r="Q65" s="67" t="n"/>
      <c r="R65" s="67" t="n"/>
      <c r="S65" s="67" t="n"/>
      <c r="T65" s="67" t="n"/>
      <c r="U65" s="67" t="n"/>
      <c r="V65" s="67" t="n"/>
      <c r="W65" s="67" t="n"/>
      <c r="X65" s="67" t="n"/>
      <c r="Y65" s="67" t="n"/>
      <c r="Z65" s="67" t="n"/>
      <c r="AA65" s="67" t="n"/>
      <c r="AB65" s="67" t="n"/>
    </row>
    <row r="66" ht="15.75" customHeight="1" s="305">
      <c r="A66" s="67" t="inlineStr">
        <is>
          <t>REVENUE_FAIL_UNLOCK_API</t>
        </is>
      </c>
      <c r="B66" s="67" t="inlineStr">
        <is>
          <t>Gọi API để mở khoá đơn hàng OMS thất bại.</t>
        </is>
      </c>
      <c r="C66" s="67" t="inlineStr">
        <is>
          <t>Call API to unlock OMS order failed.</t>
        </is>
      </c>
      <c r="D66" s="3">
        <f>IFERROR(__xludf.DUMMYFUNCTION("GOOGLETRANSLATE(B66,""vi"",""km"")"),"ការហៅ API ដើម្បីដោះសោការបញ្ជាទិញ OMS បានបរាជ័យ។")</f>
        <v/>
      </c>
      <c r="E66" s="67" t="inlineStr">
        <is>
          <t>ការប៉ុនប៉ង API ដើម្បីដោះសោការបញ្ជាទិញ OMS បានបរាជ័យ។</t>
        </is>
      </c>
      <c r="F66" s="3" t="inlineStr">
        <is>
          <t>ការហៅ API ដើម្បីដោះសោការបញ្ជាទិញ OMS បានបរាជ័យ។</t>
        </is>
      </c>
      <c r="G66" s="67" t="n"/>
      <c r="H66" t="inlineStr">
        <is>
          <t>ការហៅ API ដើម្បីដោះសោការបញ្ជាទិញ OMS បានបរាជ័យ។</t>
        </is>
      </c>
      <c r="I66" s="67" t="n"/>
      <c r="J66" s="67" t="n"/>
      <c r="K66" s="67" t="n"/>
      <c r="L66" s="67" t="n"/>
      <c r="M66" s="67" t="n"/>
      <c r="N66" s="67" t="n"/>
      <c r="O66" s="67" t="n"/>
      <c r="P66" s="67" t="n"/>
      <c r="Q66" s="67" t="n"/>
      <c r="R66" s="67" t="n"/>
      <c r="S66" s="67" t="n"/>
      <c r="T66" s="67" t="n"/>
      <c r="U66" s="67" t="n"/>
      <c r="V66" s="67" t="n"/>
      <c r="W66" s="67" t="n"/>
      <c r="X66" s="67" t="n"/>
      <c r="Y66" s="67" t="n"/>
      <c r="Z66" s="67" t="n"/>
      <c r="AA66" s="67" t="n"/>
      <c r="AB66" s="67" t="n"/>
    </row>
    <row r="67" ht="15.75" customHeight="1" s="305">
      <c r="A67" s="67" t="inlineStr">
        <is>
          <t>GET_ASSIGNED_POST_AND_ROUTE_FAILURE</t>
        </is>
      </c>
      <c r="B67" s="67" t="inlineStr">
        <is>
          <t>Lỗi khi lấy thng tin phân công bưu cụ và tuyến phát.</t>
        </is>
      </c>
      <c r="C67" s="67" t="inlineStr">
        <is>
          <t>Call API to get assigned post and route failed.</t>
        </is>
      </c>
      <c r="D67" s="3">
        <f>IFERROR(__xludf.DUMMYFUNCTION("GOOGLETRANSLATE(B67,""vi"",""km"")"),"មានបញ្ហាក្នុងការទាញយកព័ត៌មានអំពីការចាត់តាំងវត្ថុប្រៃសណីយ៍ និងផ្លូវដឹកជញ្ជូន។")</f>
        <v/>
      </c>
      <c r="E67" s="67" t="inlineStr">
        <is>
          <t>កំហុសក្នុងការទាញយកព័ត៌មានអំពីវត្ថុប្រៃសណីយ៍ និងការកំណត់ផ្លូវដឹកជញ្ជូន។</t>
        </is>
      </c>
      <c r="F67" s="3" t="inlineStr">
        <is>
          <t>មានបញ្ហាក្នុងការទាញយកព័ត៌មានអំពីការចាត់តាំងវត្ថុប្រៃសណីយ៍ និងផ្លូវដឹកជញ្ជូន។</t>
        </is>
      </c>
      <c r="G67" s="67" t="n"/>
      <c r="H67" t="inlineStr">
        <is>
          <t>មានបញ្ហាក្នុងការទាញយកព័ត៌មានអំពីការចាត់តាំងវត្ថុប្រៃសណីយ៍ និងផ្លូវដឹកជញ្ជូន។</t>
        </is>
      </c>
      <c r="I67" s="67" t="n"/>
      <c r="J67" s="67" t="n"/>
      <c r="K67" s="67" t="n"/>
      <c r="L67" s="67" t="n"/>
      <c r="M67" s="67" t="n"/>
      <c r="N67" s="67" t="n"/>
      <c r="O67" s="67" t="n"/>
      <c r="P67" s="67" t="n"/>
      <c r="Q67" s="67" t="n"/>
      <c r="R67" s="67" t="n"/>
      <c r="S67" s="67" t="n"/>
      <c r="T67" s="67" t="n"/>
      <c r="U67" s="67" t="n"/>
      <c r="V67" s="67" t="n"/>
      <c r="W67" s="67" t="n"/>
      <c r="X67" s="67" t="n"/>
      <c r="Y67" s="67" t="n"/>
      <c r="Z67" s="67" t="n"/>
      <c r="AA67" s="67" t="n"/>
      <c r="AB67" s="67" t="n"/>
    </row>
    <row r="68" ht="15.75" customHeight="1" s="305">
      <c r="A68" s="67" t="inlineStr">
        <is>
          <t>NOT_ALLOWED_EDIT_ORDER</t>
        </is>
      </c>
      <c r="B68" s="67" t="inlineStr">
        <is>
          <t>Đơn không được phép sửa.</t>
        </is>
      </c>
      <c r="C68" s="67" t="inlineStr">
        <is>
          <t>The order is not permitted to edit.</t>
        </is>
      </c>
      <c r="D68" s="3">
        <f>IFERROR(__xludf.DUMMYFUNCTION("GOOGLETRANSLATE(B68,""vi"",""km"")"),"មិនអាចកែសម្រួលកម្មវិធីបានទេ។")</f>
        <v/>
      </c>
      <c r="E68" s="67" t="inlineStr">
        <is>
          <t>ការបញ្ជាទិញមិនអាចកែសម្រួលបានទេ។</t>
        </is>
      </c>
      <c r="F68" s="3" t="inlineStr">
        <is>
          <t>មិនអាចកែសម្រួលកម្មវិធីបានទេ។</t>
        </is>
      </c>
      <c r="G68" s="67" t="n"/>
      <c r="H68" t="inlineStr">
        <is>
          <t>មិនអាចកែសម្រួលកម្មវិធីបានទេ។</t>
        </is>
      </c>
      <c r="I68" s="67" t="n"/>
      <c r="J68" s="67" t="n"/>
      <c r="K68" s="67" t="n"/>
      <c r="L68" s="67" t="n"/>
      <c r="M68" s="67" t="n"/>
      <c r="N68" s="67" t="n"/>
      <c r="O68" s="67" t="n"/>
      <c r="P68" s="67" t="n"/>
      <c r="Q68" s="67" t="n"/>
      <c r="R68" s="67" t="n"/>
      <c r="S68" s="67" t="n"/>
      <c r="T68" s="67" t="n"/>
      <c r="U68" s="67" t="n"/>
      <c r="V68" s="67" t="n"/>
      <c r="W68" s="67" t="n"/>
      <c r="X68" s="67" t="n"/>
      <c r="Y68" s="67" t="n"/>
      <c r="Z68" s="67" t="n"/>
      <c r="AA68" s="67" t="n"/>
      <c r="AB68" s="67" t="n"/>
    </row>
    <row r="69" ht="15.75" customHeight="1" s="305">
      <c r="A69" s="67" t="inlineStr">
        <is>
          <t>REASON_EDIT_ORDER_NOT_BLANK</t>
        </is>
      </c>
      <c r="B69" s="67" t="inlineStr">
        <is>
          <t>Lý do sửa đơn không được phép để trống.</t>
        </is>
      </c>
      <c r="C69" s="67" t="inlineStr">
        <is>
          <t>The reason for edit order must be left blank.</t>
        </is>
      </c>
      <c r="D69" s="3">
        <f>IFERROR(__xludf.DUMMYFUNCTION("GOOGLETRANSLATE(B69,""vi"",""km"")"),"មូលហេតុនៃការកែប្រែពាក្យសុំមិនអាចទុកចោលទទេបានទេ។")</f>
        <v/>
      </c>
      <c r="E69" s="67" t="inlineStr">
        <is>
          <t>មូលហេតុការកែសម្រួលបុងបញ្ញើមិនអនុញ្ញាតិ្តឲ្យទុកចន្លោះ</t>
        </is>
      </c>
      <c r="F69" s="3" t="inlineStr">
        <is>
          <t>មូលហេតុនៃការកែប្រែពាក្យសុំមិនអាចទុកចោលទទេបានទេ។</t>
        </is>
      </c>
      <c r="G69" s="67" t="n"/>
      <c r="H69" t="inlineStr">
        <is>
          <t>មូលហេតុនៃការកែប្រែពាក្យសុំមិនអាចទុកចោលទទេបានទេ។</t>
        </is>
      </c>
      <c r="I69" s="67" t="n"/>
      <c r="J69" s="67" t="n"/>
      <c r="K69" s="67" t="n"/>
      <c r="L69" s="67" t="n"/>
      <c r="M69" s="67" t="n"/>
      <c r="N69" s="67" t="n"/>
      <c r="O69" s="67" t="n"/>
      <c r="P69" s="67" t="n"/>
      <c r="Q69" s="67" t="n"/>
      <c r="R69" s="67" t="n"/>
      <c r="S69" s="67" t="n"/>
      <c r="T69" s="67" t="n"/>
      <c r="U69" s="67" t="n"/>
      <c r="V69" s="67" t="n"/>
      <c r="W69" s="67" t="n"/>
      <c r="X69" s="67" t="n"/>
      <c r="Y69" s="67" t="n"/>
      <c r="Z69" s="67" t="n"/>
      <c r="AA69" s="67" t="n"/>
      <c r="AB69" s="67" t="n"/>
    </row>
    <row r="70" ht="15.75" customHeight="1" s="305">
      <c r="A70" s="67" t="inlineStr">
        <is>
          <t>EDIT_ORDER_FAILURE</t>
        </is>
      </c>
      <c r="B70" s="67" t="inlineStr">
        <is>
          <t>Sửa đơn thất bại</t>
        </is>
      </c>
      <c r="C70" s="67" t="inlineStr">
        <is>
          <t>Edit order is fail.</t>
        </is>
      </c>
      <c r="D70" s="3">
        <f>IFERROR(__xludf.DUMMYFUNCTION("GOOGLETRANSLATE(B70,""vi"",""km"")"),"កែសម្រួលការបញ្ជាទិញដែលបរាជ័យ")</f>
        <v/>
      </c>
      <c r="E70" s="67" t="inlineStr">
        <is>
          <t>កែសម្រួលបុងបរាជ័យ</t>
        </is>
      </c>
      <c r="F70" s="3" t="inlineStr">
        <is>
          <t>កែសម្រួលការបញ្ជាទិញដែលបរាជ័យ</t>
        </is>
      </c>
      <c r="G70" s="67" t="n"/>
      <c r="H70" t="inlineStr">
        <is>
          <t>កែសម្រួលការបញ្ជាទិញដែលបរាជ័យ</t>
        </is>
      </c>
      <c r="I70" s="67" t="n"/>
      <c r="J70" s="67" t="n"/>
      <c r="K70" s="67" t="n"/>
      <c r="L70" s="67" t="n"/>
      <c r="M70" s="67" t="n"/>
      <c r="N70" s="67" t="n"/>
      <c r="O70" s="67" t="n"/>
      <c r="P70" s="67" t="n"/>
      <c r="Q70" s="67" t="n"/>
      <c r="R70" s="67" t="n"/>
      <c r="S70" s="67" t="n"/>
      <c r="T70" s="67" t="n"/>
      <c r="U70" s="67" t="n"/>
      <c r="V70" s="67" t="n"/>
      <c r="W70" s="67" t="n"/>
      <c r="X70" s="67" t="n"/>
      <c r="Y70" s="67" t="n"/>
      <c r="Z70" s="67" t="n"/>
      <c r="AA70" s="67" t="n"/>
      <c r="AB70" s="67" t="n"/>
    </row>
    <row r="71" ht="15.75" customHeight="1" s="305">
      <c r="A71" s="67" t="inlineStr">
        <is>
          <t>PROCESS_ASSIGN_POST_AND_ROUTE_FAILURE</t>
        </is>
      </c>
      <c r="B71" s="67" t="n"/>
      <c r="C71" s="67" t="inlineStr">
        <is>
          <t>Failed to assign post office and delivery route.</t>
        </is>
      </c>
      <c r="D71" s="3">
        <f>IFERROR(__xludf.DUMMYFUNCTION("GOOGLETRANSLATE(B71,""vi"",""km"")"),"#VALUE!")</f>
        <v/>
      </c>
      <c r="E71" s="67" t="n"/>
      <c r="F71" s="3" t="inlineStr">
        <is>
          <t>Failed to assign post office and delivery route.</t>
        </is>
      </c>
      <c r="G71" s="67" t="n"/>
      <c r="H71" t="inlineStr">
        <is>
          <t>Failed to assign post office and delivery route.</t>
        </is>
      </c>
      <c r="I71" s="67" t="n"/>
      <c r="J71" s="67" t="n"/>
      <c r="K71" s="67" t="n"/>
      <c r="L71" s="67" t="n"/>
      <c r="M71" s="67" t="n"/>
      <c r="N71" s="67" t="n"/>
      <c r="O71" s="67" t="n"/>
      <c r="P71" s="67" t="n"/>
      <c r="Q71" s="67" t="n"/>
      <c r="R71" s="67" t="n"/>
      <c r="S71" s="67" t="n"/>
      <c r="T71" s="67" t="n"/>
      <c r="U71" s="67" t="n"/>
      <c r="V71" s="67" t="n"/>
      <c r="W71" s="67" t="n"/>
      <c r="X71" s="67" t="n"/>
      <c r="Y71" s="67" t="n"/>
      <c r="Z71" s="67" t="n"/>
      <c r="AA71" s="67" t="n"/>
      <c r="AB71" s="67" t="n"/>
    </row>
    <row r="72" ht="15.75" customHeight="1" s="305">
      <c r="A72" s="67" t="inlineStr">
        <is>
          <t>WAREHOUSE_UPDATE_FAIL</t>
        </is>
      </c>
      <c r="B72" s="67" t="n"/>
      <c r="C72" s="67" t="inlineStr">
        <is>
          <t>Failed to update warehouse data.</t>
        </is>
      </c>
      <c r="D72" s="3">
        <f>IFERROR(__xludf.DUMMYFUNCTION("GOOGLETRANSLATE(B72,""vi"",""km"")"),"#VALUE!")</f>
        <v/>
      </c>
      <c r="E72" s="67" t="n"/>
      <c r="F72" s="3" t="inlineStr">
        <is>
          <t>Failed to update warehouse data.</t>
        </is>
      </c>
      <c r="G72" s="67" t="n"/>
      <c r="H72" t="inlineStr">
        <is>
          <t>Failed to update warehouse data.</t>
        </is>
      </c>
      <c r="I72" s="67" t="n"/>
      <c r="J72" s="67" t="n"/>
      <c r="K72" s="67" t="n"/>
      <c r="L72" s="67" t="n"/>
      <c r="M72" s="67" t="n"/>
      <c r="N72" s="67" t="n"/>
      <c r="O72" s="67" t="n"/>
      <c r="P72" s="67" t="n"/>
      <c r="Q72" s="67" t="n"/>
      <c r="R72" s="67" t="n"/>
      <c r="S72" s="67" t="n"/>
      <c r="T72" s="67" t="n"/>
      <c r="U72" s="67" t="n"/>
      <c r="V72" s="67" t="n"/>
      <c r="W72" s="67" t="n"/>
      <c r="X72" s="67" t="n"/>
      <c r="Y72" s="67" t="n"/>
      <c r="Z72" s="67" t="n"/>
      <c r="AA72" s="67" t="n"/>
      <c r="AB72" s="67" t="n"/>
    </row>
    <row r="73" ht="15.75" customHeight="1" s="305">
      <c r="A73" s="67" t="inlineStr">
        <is>
          <t>SHIFT_NOT_FOUND</t>
        </is>
      </c>
      <c r="B73" s="67" t="inlineStr">
        <is>
          <t>Không tìm thấy ca làm việc.</t>
        </is>
      </c>
      <c r="C73" s="67" t="inlineStr">
        <is>
          <t>Shift is not found.</t>
        </is>
      </c>
      <c r="D73" s="3">
        <f>IFERROR(__xludf.DUMMYFUNCTION("GOOGLETRANSLATE(B73,""vi"",""km"")"),"រកមិនឃើញការផ្លាស់ប្តូរទេ។")</f>
        <v/>
      </c>
      <c r="E73" s="67" t="inlineStr">
        <is>
          <t>មិនអាចស្វែងរកវេនធ្វើការបាន</t>
        </is>
      </c>
      <c r="F73" s="3" t="inlineStr">
        <is>
          <t>រកមិនឃើញការផ្លាស់ប្តូរទេ។</t>
        </is>
      </c>
      <c r="G73" s="67" t="n"/>
      <c r="H73" t="inlineStr">
        <is>
          <t>រកមិនឃើញការផ្លាស់ប្តូរទេ។</t>
        </is>
      </c>
      <c r="I73" s="67" t="n"/>
      <c r="J73" s="67" t="n"/>
      <c r="K73" s="67" t="n"/>
      <c r="L73" s="67" t="n"/>
      <c r="M73" s="67" t="n"/>
      <c r="N73" s="67" t="n"/>
      <c r="O73" s="67" t="n"/>
      <c r="P73" s="67" t="n"/>
      <c r="Q73" s="67" t="n"/>
      <c r="R73" s="67" t="n"/>
      <c r="S73" s="67" t="n"/>
      <c r="T73" s="67" t="n"/>
      <c r="U73" s="67" t="n"/>
      <c r="V73" s="67" t="n"/>
      <c r="W73" s="67" t="n"/>
      <c r="X73" s="67" t="n"/>
      <c r="Y73" s="67" t="n"/>
      <c r="Z73" s="67" t="n"/>
      <c r="AA73" s="67" t="n"/>
      <c r="AB73" s="67" t="n"/>
    </row>
    <row r="74" ht="15.75" customHeight="1" s="305">
      <c r="A74" s="67" t="inlineStr">
        <is>
          <t>SHIFT_CREATE_FAIL</t>
        </is>
      </c>
      <c r="B74" s="67" t="inlineStr">
        <is>
          <t>Tạo ca làm việc thất bại.</t>
        </is>
      </c>
      <c r="C74" s="67" t="inlineStr">
        <is>
          <t>Fail to create shift.</t>
        </is>
      </c>
      <c r="D74" s="3">
        <f>IFERROR(__xludf.DUMMYFUNCTION("GOOGLETRANSLATE(B74,""vi"",""km"")"),"បង្កើតវេនការងារដែលបរាជ័យ។")</f>
        <v/>
      </c>
      <c r="E74" s="67" t="inlineStr">
        <is>
          <t>បង្កើតវេនធ្វើការបរាជ័យ</t>
        </is>
      </c>
      <c r="F74" s="3" t="inlineStr">
        <is>
          <t>បង្កើតវេនការងារដែលបរាជ័យ។</t>
        </is>
      </c>
      <c r="G74" s="67" t="n"/>
      <c r="H74" t="inlineStr">
        <is>
          <t>បង្កើតវេនការងារដែលបរាជ័យ។</t>
        </is>
      </c>
      <c r="I74" s="67" t="n"/>
      <c r="J74" s="67" t="n"/>
      <c r="K74" s="67" t="n"/>
      <c r="L74" s="67" t="n"/>
      <c r="M74" s="67" t="n"/>
      <c r="N74" s="67" t="n"/>
      <c r="O74" s="67" t="n"/>
      <c r="P74" s="67" t="n"/>
      <c r="Q74" s="67" t="n"/>
      <c r="R74" s="67" t="n"/>
      <c r="S74" s="67" t="n"/>
      <c r="T74" s="67" t="n"/>
      <c r="U74" s="67" t="n"/>
      <c r="V74" s="67" t="n"/>
      <c r="W74" s="67" t="n"/>
      <c r="X74" s="67" t="n"/>
      <c r="Y74" s="67" t="n"/>
      <c r="Z74" s="67" t="n"/>
      <c r="AA74" s="67" t="n"/>
      <c r="AB74" s="67" t="n"/>
    </row>
    <row r="75" ht="15.75" customHeight="1" s="305">
      <c r="A75" s="67" t="inlineStr">
        <is>
          <t>SHIFT_UPDATE_FAIL</t>
        </is>
      </c>
      <c r="B75" s="67" t="inlineStr">
        <is>
          <t>Cập nhật ca làm việc thất bại.</t>
        </is>
      </c>
      <c r="C75" s="67" t="inlineStr">
        <is>
          <t>Fail to update shift.</t>
        </is>
      </c>
      <c r="D75" s="3">
        <f>IFERROR(__xludf.DUMMYFUNCTION("GOOGLETRANSLATE(B75,""vi"",""km"")"),"ធ្វើបច្ចុប្បន្នភាពវេនការងារដែលបរាជ័យ។")</f>
        <v/>
      </c>
      <c r="E75" s="67" t="inlineStr">
        <is>
          <t>អាប់ដេតវេនធ្វើការបរាជ័យ</t>
        </is>
      </c>
      <c r="F75" s="3" t="inlineStr">
        <is>
          <t>ធ្វើបច្ចុប្បន្នភាពវេនការងារដែលបរាជ័យ។</t>
        </is>
      </c>
      <c r="G75" s="67" t="n"/>
      <c r="H75" t="inlineStr">
        <is>
          <t>ធ្វើបច្ចុប្បន្នភាពវេនការងារដែលបរាជ័យ។</t>
        </is>
      </c>
      <c r="I75" s="67" t="n"/>
      <c r="J75" s="67" t="n"/>
      <c r="K75" s="67" t="n"/>
      <c r="L75" s="67" t="n"/>
      <c r="M75" s="67" t="n"/>
      <c r="N75" s="67" t="n"/>
      <c r="O75" s="67" t="n"/>
      <c r="P75" s="67" t="n"/>
      <c r="Q75" s="67" t="n"/>
      <c r="R75" s="67" t="n"/>
      <c r="S75" s="67" t="n"/>
      <c r="T75" s="67" t="n"/>
      <c r="U75" s="67" t="n"/>
      <c r="V75" s="67" t="n"/>
      <c r="W75" s="67" t="n"/>
      <c r="X75" s="67" t="n"/>
      <c r="Y75" s="67" t="n"/>
      <c r="Z75" s="67" t="n"/>
      <c r="AA75" s="67" t="n"/>
      <c r="AB75" s="67" t="n"/>
    </row>
    <row r="76" ht="15.75" customHeight="1" s="305">
      <c r="A76" s="67" t="inlineStr">
        <is>
          <t>SHIFT_EXIST</t>
        </is>
      </c>
      <c r="B76" s="67" t="inlineStr">
        <is>
          <t>Ca làm việc đã được khai báo.</t>
        </is>
      </c>
      <c r="C76" s="67" t="inlineStr">
        <is>
          <t>Shift already exist!</t>
        </is>
      </c>
      <c r="D76" s="3">
        <f>IFERROR(__xludf.DUMMYFUNCTION("GOOGLETRANSLATE(B76,""vi"",""km"")"),"ការផ្លាស់ប្តូរត្រូវបានប្រកាស។")</f>
        <v/>
      </c>
      <c r="E76" s="67" t="n"/>
      <c r="F76" s="3" t="inlineStr">
        <is>
          <t>ការផ្លាស់ប្តូរត្រូវបានប្រកាស។</t>
        </is>
      </c>
      <c r="G76" s="67" t="n"/>
      <c r="H76" t="inlineStr">
        <is>
          <t>ការផ្លាស់ប្តូរត្រូវបានប្រកាស។</t>
        </is>
      </c>
      <c r="I76" s="67" t="n"/>
      <c r="J76" s="67" t="n"/>
      <c r="K76" s="67" t="n"/>
      <c r="L76" s="67" t="n"/>
      <c r="M76" s="67" t="n"/>
      <c r="N76" s="67" t="n"/>
      <c r="O76" s="67" t="n"/>
      <c r="P76" s="67" t="n"/>
      <c r="Q76" s="67" t="n"/>
      <c r="R76" s="67" t="n"/>
      <c r="S76" s="67" t="n"/>
      <c r="T76" s="67" t="n"/>
      <c r="U76" s="67" t="n"/>
      <c r="V76" s="67" t="n"/>
      <c r="W76" s="67" t="n"/>
      <c r="X76" s="67" t="n"/>
      <c r="Y76" s="67" t="n"/>
      <c r="Z76" s="67" t="n"/>
      <c r="AA76" s="67" t="n"/>
      <c r="AB76" s="67" t="n"/>
    </row>
    <row r="77" ht="15.75" customHeight="1" s="305">
      <c r="A77" s="67" t="inlineStr">
        <is>
          <t>ASSIGNED_ORDER_FIND_ONE_FAIL</t>
        </is>
      </c>
      <c r="B77" s="67" t="inlineStr">
        <is>
          <t>Không tìm thấy đơn hàng được phân công.</t>
        </is>
      </c>
      <c r="C77" s="67" t="inlineStr">
        <is>
          <t>Assigned Order is not found.</t>
        </is>
      </c>
      <c r="D77" s="3">
        <f>IFERROR(__xludf.DUMMYFUNCTION("GOOGLETRANSLATE(B77,""vi"",""km"")"),"រកមិនឃើញការបញ្ជាទិញដែលបានកំណត់ទេ។")</f>
        <v/>
      </c>
      <c r="E77" s="67" t="inlineStr">
        <is>
          <t>រកមិនឃើញបុងបញ្ញើដែលបានបែងចែក</t>
        </is>
      </c>
      <c r="F77" s="3" t="inlineStr">
        <is>
          <t>រកមិនឃើញការបញ្ជាទិញដែលបានកំណត់ទេ។</t>
        </is>
      </c>
      <c r="G77" s="67" t="n"/>
      <c r="H77" t="inlineStr">
        <is>
          <t>រកមិនឃើញការបញ្ជាទិញដែលបានកំណត់ទេ។</t>
        </is>
      </c>
      <c r="I77" s="67" t="n"/>
      <c r="J77" s="67" t="n"/>
      <c r="K77" s="67" t="n"/>
      <c r="L77" s="67" t="n"/>
      <c r="M77" s="67" t="n"/>
      <c r="N77" s="67" t="n"/>
      <c r="O77" s="67" t="n"/>
      <c r="P77" s="67" t="n"/>
      <c r="Q77" s="67" t="n"/>
      <c r="R77" s="67" t="n"/>
      <c r="S77" s="67" t="n"/>
      <c r="T77" s="67" t="n"/>
      <c r="U77" s="67" t="n"/>
      <c r="V77" s="67" t="n"/>
      <c r="W77" s="67" t="n"/>
      <c r="X77" s="67" t="n"/>
      <c r="Y77" s="67" t="n"/>
      <c r="Z77" s="67" t="n"/>
      <c r="AA77" s="67" t="n"/>
      <c r="AB77" s="67" t="n"/>
    </row>
    <row r="78" ht="15.75" customHeight="1" s="305">
      <c r="A78" s="67" t="inlineStr">
        <is>
          <t>CREATE_ASSIGNED_ORDER_FAIL</t>
        </is>
      </c>
      <c r="B78" s="67" t="inlineStr">
        <is>
          <t>Không thể tạo đơn hàng được phân công.</t>
        </is>
      </c>
      <c r="C78" s="67" t="inlineStr">
        <is>
          <t>Failed to create the assigned order.</t>
        </is>
      </c>
      <c r="D78" s="3">
        <f>IFERROR(__xludf.DUMMYFUNCTION("GOOGLETRANSLATE(B78,""vi"",""km"")"),"មិនអាចបង្កើតការបញ្ជាទិញដែលបានកំណត់បានទេ។")</f>
        <v/>
      </c>
      <c r="E78" s="67" t="inlineStr">
        <is>
          <t>មិនអាចបង្កើតបុងបញ្ញើដែលបានបែងចែក</t>
        </is>
      </c>
      <c r="F78" s="3" t="inlineStr">
        <is>
          <t>មិនអាចបង្កើតការបញ្ជាទិញដែលបានកំណត់បានទេ។</t>
        </is>
      </c>
      <c r="G78" s="67" t="n"/>
      <c r="H78" t="inlineStr">
        <is>
          <t>មិនអាចបង្កើតការបញ្ជាទិញដែលបានកំណត់បានទេ។</t>
        </is>
      </c>
      <c r="I78" s="67" t="n"/>
      <c r="J78" s="67" t="n"/>
      <c r="K78" s="67" t="n"/>
      <c r="L78" s="67" t="n"/>
      <c r="M78" s="67" t="n"/>
      <c r="N78" s="67" t="n"/>
      <c r="O78" s="67" t="n"/>
      <c r="P78" s="67" t="n"/>
      <c r="Q78" s="67" t="n"/>
      <c r="R78" s="67" t="n"/>
      <c r="S78" s="67" t="n"/>
      <c r="T78" s="67" t="n"/>
      <c r="U78" s="67" t="n"/>
      <c r="V78" s="67" t="n"/>
      <c r="W78" s="67" t="n"/>
      <c r="X78" s="67" t="n"/>
      <c r="Y78" s="67" t="n"/>
      <c r="Z78" s="67" t="n"/>
      <c r="AA78" s="67" t="n"/>
      <c r="AB78" s="67" t="n"/>
    </row>
    <row r="79" ht="15.75" customHeight="1" s="305">
      <c r="A79" s="67" t="inlineStr">
        <is>
          <t>UPDATE_ASSIGNED_ORDER_FAIL</t>
        </is>
      </c>
      <c r="B79" s="67" t="inlineStr">
        <is>
          <t>Không thể cập nhật đơn hàng được phân công.</t>
        </is>
      </c>
      <c r="C79" s="67" t="inlineStr">
        <is>
          <t>Fail to update the assigned order.</t>
        </is>
      </c>
      <c r="D79" s="3">
        <f>IFERROR(__xludf.DUMMYFUNCTION("GOOGLETRANSLATE(B79,""vi"",""km"")"),"មិនអាចធ្វើបច្ចុប្បន្នភាពការបញ្ជាទិញដែលបានកំណត់បានទេ។")</f>
        <v/>
      </c>
      <c r="E79" s="67" t="inlineStr">
        <is>
          <t>មិនអាចធ្វើបច្ចុប្បន្នភាពការបញ្ជាទិញដែលបានកំណត់បានទេ។</t>
        </is>
      </c>
      <c r="F79" s="3" t="inlineStr">
        <is>
          <t>មិនអាចធ្វើបច្ចុប្បន្នភាពការបញ្ជាទិញដែលបានកំណត់បានទេ។</t>
        </is>
      </c>
      <c r="G79" s="67" t="n"/>
      <c r="H79" t="inlineStr">
        <is>
          <t>មិនអាចធ្វើបច្ចុប្បន្នភាពការបញ្ជាទិញដែលបានកំណត់បានទេ។</t>
        </is>
      </c>
      <c r="I79" s="67" t="n"/>
      <c r="J79" s="67" t="n"/>
      <c r="K79" s="67" t="n"/>
      <c r="L79" s="67" t="n"/>
      <c r="M79" s="67" t="n"/>
      <c r="N79" s="67" t="n"/>
      <c r="O79" s="67" t="n"/>
      <c r="P79" s="67" t="n"/>
      <c r="Q79" s="67" t="n"/>
      <c r="R79" s="67" t="n"/>
      <c r="S79" s="67" t="n"/>
      <c r="T79" s="67" t="n"/>
      <c r="U79" s="67" t="n"/>
      <c r="V79" s="67" t="n"/>
      <c r="W79" s="67" t="n"/>
      <c r="X79" s="67" t="n"/>
      <c r="Y79" s="67" t="n"/>
      <c r="Z79" s="67" t="n"/>
      <c r="AA79" s="67" t="n"/>
      <c r="AB79" s="67" t="n"/>
    </row>
    <row r="80" ht="15.75" customHeight="1" s="305">
      <c r="A80" s="67" t="inlineStr">
        <is>
          <t>MISS_POST_CODE</t>
        </is>
      </c>
      <c r="B80" s="67" t="inlineStr">
        <is>
          <t>Thiếu thông tin mã bưu cục.</t>
        </is>
      </c>
      <c r="C80" s="67" t="inlineStr">
        <is>
          <t>Missing information of post code.</t>
        </is>
      </c>
      <c r="D80" s="3">
        <f>IFERROR(__xludf.DUMMYFUNCTION("GOOGLETRANSLATE(B80,""vi"",""km"")"),"ព័ត៌មាន​លេខ​កូដ​ប្រៃសណីយ៍​បាត់។")</f>
        <v/>
      </c>
      <c r="E80" s="67" t="inlineStr">
        <is>
          <t>ខ្វះព័ត៌មានកូដការិយាល័យប្រៃសណីយ៍</t>
        </is>
      </c>
      <c r="F80" s="3" t="inlineStr">
        <is>
          <t>ព័ត៌មានលេខកូដប្រៃសណីយ៍បាត់។</t>
        </is>
      </c>
      <c r="G80" s="67" t="n"/>
      <c r="H80" t="inlineStr">
        <is>
          <t>ព័ត៌មានលេខកូដប្រៃសណីយ៍បាត់។</t>
        </is>
      </c>
      <c r="I80" s="67" t="n"/>
      <c r="J80" s="67" t="n"/>
      <c r="K80" s="67" t="n"/>
      <c r="L80" s="67" t="n"/>
      <c r="M80" s="67" t="n"/>
      <c r="N80" s="67" t="n"/>
      <c r="O80" s="67" t="n"/>
      <c r="P80" s="67" t="n"/>
      <c r="Q80" s="67" t="n"/>
      <c r="R80" s="67" t="n"/>
      <c r="S80" s="67" t="n"/>
      <c r="T80" s="67" t="n"/>
      <c r="U80" s="67" t="n"/>
      <c r="V80" s="67" t="n"/>
      <c r="W80" s="67" t="n"/>
      <c r="X80" s="67" t="n"/>
      <c r="Y80" s="67" t="n"/>
      <c r="Z80" s="67" t="n"/>
      <c r="AA80" s="67" t="n"/>
      <c r="AB80" s="67" t="n"/>
    </row>
    <row r="81" ht="15.75" customHeight="1" s="305">
      <c r="A81" s="67" t="inlineStr">
        <is>
          <t>MISS_ROUTE_ID</t>
        </is>
      </c>
      <c r="B81" s="67" t="inlineStr">
        <is>
          <t>Thiếu thông tin tuyến.</t>
        </is>
      </c>
      <c r="C81" s="67" t="inlineStr">
        <is>
          <t>Missing information of route.</t>
        </is>
      </c>
      <c r="D81" s="3">
        <f>IFERROR(__xludf.DUMMYFUNCTION("GOOGLETRANSLATE(B81,""vi"",""km"")"),"ព័ត៌មានផ្លូវបាត់។")</f>
        <v/>
      </c>
      <c r="E81" s="67" t="inlineStr">
        <is>
          <t>ខ្វះព័ត៌មានផ្លូវដឹកជញ្ញូន</t>
        </is>
      </c>
      <c r="F81" s="3" t="inlineStr">
        <is>
          <t>ព័ត៌មានផ្លូវបាត់។</t>
        </is>
      </c>
      <c r="G81" s="67" t="n"/>
      <c r="H81" t="inlineStr">
        <is>
          <t>ព័ត៌មានផ្លូវបាត់។</t>
        </is>
      </c>
      <c r="I81" s="67" t="n"/>
      <c r="J81" s="67" t="n"/>
      <c r="K81" s="67" t="n"/>
      <c r="L81" s="67" t="n"/>
      <c r="M81" s="67" t="n"/>
      <c r="N81" s="67" t="n"/>
      <c r="O81" s="67" t="n"/>
      <c r="P81" s="67" t="n"/>
      <c r="Q81" s="67" t="n"/>
      <c r="R81" s="67" t="n"/>
      <c r="S81" s="67" t="n"/>
      <c r="T81" s="67" t="n"/>
      <c r="U81" s="67" t="n"/>
      <c r="V81" s="67" t="n"/>
      <c r="W81" s="67" t="n"/>
      <c r="X81" s="67" t="n"/>
      <c r="Y81" s="67" t="n"/>
      <c r="Z81" s="67" t="n"/>
      <c r="AA81" s="67" t="n"/>
      <c r="AB81" s="67" t="n"/>
    </row>
    <row r="82" ht="15.75" customHeight="1" s="305">
      <c r="A82" s="67" t="inlineStr">
        <is>
          <t>ROUTE_NOT_FOUND</t>
        </is>
      </c>
      <c r="B82" s="67" t="inlineStr">
        <is>
          <t>Không tìm thấy tuyến</t>
        </is>
      </c>
      <c r="C82" s="67" t="inlineStr">
        <is>
          <t>Route is not found</t>
        </is>
      </c>
      <c r="D82" s="3">
        <f>IFERROR(__xludf.DUMMYFUNCTION("GOOGLETRANSLATE(B82,""vi"",""km"")"),"រកមិនឃើញផ្លូវទេ")</f>
        <v/>
      </c>
      <c r="E82" s="67" t="inlineStr">
        <is>
          <t>មិនអាចស្វែងរកផ្លូវដឹកជញ្ជូនបាន</t>
        </is>
      </c>
      <c r="F82" s="3" t="inlineStr">
        <is>
          <t>រកមិនឃើញផ្លូវទេ</t>
        </is>
      </c>
      <c r="G82" s="67" t="n"/>
      <c r="H82" t="inlineStr">
        <is>
          <t>រកមិនឃើញផ្លូវទេ</t>
        </is>
      </c>
      <c r="I82" s="67" t="n"/>
      <c r="J82" s="67" t="n"/>
      <c r="K82" s="67" t="n"/>
      <c r="L82" s="67" t="n"/>
      <c r="M82" s="67" t="n"/>
      <c r="N82" s="67" t="n"/>
      <c r="O82" s="67" t="n"/>
      <c r="P82" s="67" t="n"/>
      <c r="Q82" s="67" t="n"/>
      <c r="R82" s="67" t="n"/>
      <c r="S82" s="67" t="n"/>
      <c r="T82" s="67" t="n"/>
      <c r="U82" s="67" t="n"/>
      <c r="V82" s="67" t="n"/>
      <c r="W82" s="67" t="n"/>
      <c r="X82" s="67" t="n"/>
      <c r="Y82" s="67" t="n"/>
      <c r="Z82" s="67" t="n"/>
      <c r="AA82" s="67" t="n"/>
      <c r="AB82" s="67" t="n"/>
    </row>
    <row r="83" ht="15.75" customHeight="1" s="305">
      <c r="A83" s="67" t="inlineStr">
        <is>
          <t>ROUTE_CREATE_FAIL</t>
        </is>
      </c>
      <c r="B83" s="67" t="inlineStr">
        <is>
          <t>Tạo tuyến mới thất bại</t>
        </is>
      </c>
      <c r="C83" s="67" t="inlineStr">
        <is>
          <t>Fail to create new route</t>
        </is>
      </c>
      <c r="D83" s="3">
        <f>IFERROR(__xludf.DUMMYFUNCTION("GOOGLETRANSLATE(B83,""vi"",""km"")"),"ការបង្កើតផ្លូវថ្មីបានបរាជ័យ។")</f>
        <v/>
      </c>
      <c r="E83" s="67" t="inlineStr">
        <is>
          <t>បង្កើតផ្លូវដឹកជញ្ជូនថ្មីបានបរាជ័យ</t>
        </is>
      </c>
      <c r="F83" s="3" t="inlineStr">
        <is>
          <t>ការបង្កើតផ្លូវថ្មីបានបរាជ័យ។</t>
        </is>
      </c>
      <c r="G83" s="67" t="n"/>
      <c r="H83" t="inlineStr">
        <is>
          <t>ការបង្កើតផ្លូវថ្មីបានបរាជ័យ។</t>
        </is>
      </c>
      <c r="I83" s="67" t="n"/>
      <c r="J83" s="67" t="n"/>
      <c r="K83" s="67" t="n"/>
      <c r="L83" s="67" t="n"/>
      <c r="M83" s="67" t="n"/>
      <c r="N83" s="67" t="n"/>
      <c r="O83" s="67" t="n"/>
      <c r="P83" s="67" t="n"/>
      <c r="Q83" s="67" t="n"/>
      <c r="R83" s="67" t="n"/>
      <c r="S83" s="67" t="n"/>
      <c r="T83" s="67" t="n"/>
      <c r="U83" s="67" t="n"/>
      <c r="V83" s="67" t="n"/>
      <c r="W83" s="67" t="n"/>
      <c r="X83" s="67" t="n"/>
      <c r="Y83" s="67" t="n"/>
      <c r="Z83" s="67" t="n"/>
      <c r="AA83" s="67" t="n"/>
      <c r="AB83" s="67" t="n"/>
    </row>
    <row r="84" ht="15.75" customHeight="1" s="305">
      <c r="A84" s="67" t="inlineStr">
        <is>
          <t>ROUTE_UPDATE_FAIL</t>
        </is>
      </c>
      <c r="B84" s="67" t="inlineStr">
        <is>
          <t>Cập nhật tuyến thất bại</t>
        </is>
      </c>
      <c r="C84" s="67" t="inlineStr">
        <is>
          <t>Fail to update route</t>
        </is>
      </c>
      <c r="D84" s="3">
        <f>IFERROR(__xludf.DUMMYFUNCTION("GOOGLETRANSLATE(B84,""vi"",""km"")"),"ធ្វើបច្ចុប្បន្នភាពផ្លូវដែលបរាជ័យ")</f>
        <v/>
      </c>
      <c r="E84" s="67" t="inlineStr">
        <is>
          <t>អាប់ដេតផ្លូវដឹកជញ្ជូនបរាជ័យ</t>
        </is>
      </c>
      <c r="F84" s="3" t="inlineStr">
        <is>
          <t>ធ្វើបច្ចុប្បន្នភាពផ្លូវដែលបរាជ័យ</t>
        </is>
      </c>
      <c r="G84" s="67" t="n"/>
      <c r="H84" t="inlineStr">
        <is>
          <t>ធ្វើបច្ចុប្បន្នភាពផ្លូវដែលបរាជ័យ</t>
        </is>
      </c>
      <c r="I84" s="67" t="n"/>
      <c r="J84" s="67" t="n"/>
      <c r="K84" s="67" t="n"/>
      <c r="L84" s="67" t="n"/>
      <c r="M84" s="67" t="n"/>
      <c r="N84" s="67" t="n"/>
      <c r="O84" s="67" t="n"/>
      <c r="P84" s="67" t="n"/>
      <c r="Q84" s="67" t="n"/>
      <c r="R84" s="67" t="n"/>
      <c r="S84" s="67" t="n"/>
      <c r="T84" s="67" t="n"/>
      <c r="U84" s="67" t="n"/>
      <c r="V84" s="67" t="n"/>
      <c r="W84" s="67" t="n"/>
      <c r="X84" s="67" t="n"/>
      <c r="Y84" s="67" t="n"/>
      <c r="Z84" s="67" t="n"/>
      <c r="AA84" s="67" t="n"/>
      <c r="AB84" s="67" t="n"/>
    </row>
    <row r="85" ht="15.75" customHeight="1" s="305">
      <c r="A85" s="67" t="inlineStr">
        <is>
          <t>DEPARTMENT_NOT_EXIST</t>
        </is>
      </c>
      <c r="B85" s="67" t="inlineStr">
        <is>
          <t>Bưu cục không tồn tại</t>
        </is>
      </c>
      <c r="C85" s="67" t="inlineStr">
        <is>
          <t>Department is not exist</t>
        </is>
      </c>
      <c r="D85" s="3">
        <f>IFERROR(__xludf.DUMMYFUNCTION("GOOGLETRANSLATE(B85,""vi"",""km"")"),"ការិយាល័យប្រៃសណីយ៍មិនមានទេ។")</f>
        <v/>
      </c>
      <c r="E85" s="196" t="inlineStr">
        <is>
          <t>ការិយាល័យប្រៃសណីយ៍មិននៅ</t>
        </is>
      </c>
      <c r="F85" s="3" t="inlineStr">
        <is>
          <t>ការិយាល័យប្រៃសណីយ៍មិនមានទេ។</t>
        </is>
      </c>
      <c r="G85" s="67" t="n"/>
      <c r="H85" t="inlineStr">
        <is>
          <t>ការិយាល័យប្រៃសណីយ៍មិនមានទេ។</t>
        </is>
      </c>
      <c r="I85" s="67" t="n"/>
      <c r="J85" s="67" t="n"/>
      <c r="K85" s="67" t="n"/>
      <c r="L85" s="67" t="n"/>
      <c r="M85" s="67" t="n"/>
      <c r="N85" s="67" t="n"/>
      <c r="O85" s="67" t="n"/>
      <c r="P85" s="67" t="n"/>
      <c r="Q85" s="67" t="n"/>
      <c r="R85" s="67" t="n"/>
      <c r="S85" s="67" t="n"/>
      <c r="T85" s="67" t="n"/>
      <c r="U85" s="67" t="n"/>
      <c r="V85" s="67" t="n"/>
      <c r="W85" s="67" t="n"/>
      <c r="X85" s="67" t="n"/>
      <c r="Y85" s="67" t="n"/>
      <c r="Z85" s="67" t="n"/>
      <c r="AA85" s="67" t="n"/>
      <c r="AB85" s="67" t="n"/>
    </row>
    <row r="86" ht="15.75" customHeight="1" s="305">
      <c r="A86" s="67" t="inlineStr">
        <is>
          <t>ADMINISTRATIVE_DIVISION_DISTRICT_ERROR</t>
        </is>
      </c>
      <c r="B86" s="67" t="inlineStr">
        <is>
          <t>Lỗi lấy danh sách quận/huyện.</t>
        </is>
      </c>
      <c r="C86" s="67" t="inlineStr">
        <is>
          <t>Get list district error.</t>
        </is>
      </c>
      <c r="D86" s="3">
        <f>IFERROR(__xludf.DUMMYFUNCTION("GOOGLETRANSLATE(B86,""vi"",""km"")"),"មានបញ្ហាក្នុងការទាញយកបញ្ជីស្រុក/ខោនធី។")</f>
        <v/>
      </c>
      <c r="E86" s="67" t="inlineStr">
        <is>
          <t>បញ្ហាយកបញ្ជីខណ្ឌ/ស្រុក</t>
        </is>
      </c>
      <c r="F86" s="3" t="inlineStr">
        <is>
          <t>មានបញ្ហាក្នុងការទាញយកបញ្ជីស្រុក/ខោនធី។</t>
        </is>
      </c>
      <c r="G86" s="67" t="n"/>
      <c r="H86" t="inlineStr">
        <is>
          <t>មានបញ្ហាក្នុងការទាញយកបញ្ជីស្រុក/ខោនធី។</t>
        </is>
      </c>
      <c r="I86" s="67" t="n"/>
      <c r="J86" s="67" t="n"/>
      <c r="K86" s="67" t="n"/>
      <c r="L86" s="67" t="n"/>
      <c r="M86" s="67" t="n"/>
      <c r="N86" s="67" t="n"/>
      <c r="O86" s="67" t="n"/>
      <c r="P86" s="67" t="n"/>
      <c r="Q86" s="67" t="n"/>
      <c r="R86" s="67" t="n"/>
      <c r="S86" s="67" t="n"/>
      <c r="T86" s="67" t="n"/>
      <c r="U86" s="67" t="n"/>
      <c r="V86" s="67" t="n"/>
      <c r="W86" s="67" t="n"/>
      <c r="X86" s="67" t="n"/>
      <c r="Y86" s="67" t="n"/>
      <c r="Z86" s="67" t="n"/>
      <c r="AA86" s="67" t="n"/>
      <c r="AB86" s="67" t="n"/>
    </row>
    <row r="87" ht="15.75" customHeight="1" s="305">
      <c r="A87" s="67" t="inlineStr">
        <is>
          <t>ADMINISTRATIVE_DIVISION_TOWNSHIP_ERROR</t>
        </is>
      </c>
      <c r="B87" s="67" t="inlineStr">
        <is>
          <t>Lỗi lấy danh sách xã/phường.</t>
        </is>
      </c>
      <c r="C87" s="67" t="inlineStr">
        <is>
          <t>Get list township error.</t>
        </is>
      </c>
      <c r="D87" s="3">
        <f>IFERROR(__xludf.DUMMYFUNCTION("GOOGLETRANSLATE(B87,""vi"",""km"")"),"មាន​កំហុស​ក្នុង​ការ​ទាញ​យក​បញ្ជី​ឃុំ/សង្កាត់។")</f>
        <v/>
      </c>
      <c r="E87" s="67" t="inlineStr">
        <is>
          <t>បញ្ហាយកបញ្ជីសង្កាត់/ឃុំ</t>
        </is>
      </c>
      <c r="F87" s="3" t="inlineStr">
        <is>
          <t>មានកំហុសក្នុងការទាញយកបញ្ជីឃុំ/សង្កាត់។</t>
        </is>
      </c>
      <c r="G87" s="67" t="inlineStr">
        <is>
          <t>ត្រឹមនេះ</t>
        </is>
      </c>
      <c r="H87" t="inlineStr">
        <is>
          <t>មានកំហុសក្នុងការទាញយកបញ្ជីឃុំ/សង្កាត់។</t>
        </is>
      </c>
      <c r="I87" s="67" t="n"/>
      <c r="J87" s="67" t="n"/>
      <c r="K87" s="67" t="n"/>
      <c r="L87" s="67" t="n"/>
      <c r="M87" s="67" t="n"/>
      <c r="N87" s="67" t="n"/>
      <c r="O87" s="67" t="n"/>
      <c r="P87" s="67" t="n"/>
      <c r="Q87" s="67" t="n"/>
      <c r="R87" s="67" t="n"/>
      <c r="S87" s="67" t="n"/>
      <c r="T87" s="67" t="n"/>
      <c r="U87" s="67" t="n"/>
      <c r="V87" s="67" t="n"/>
      <c r="W87" s="67" t="n"/>
      <c r="X87" s="67" t="n"/>
      <c r="Y87" s="67" t="n"/>
      <c r="Z87" s="67" t="n"/>
      <c r="AA87" s="67" t="n"/>
      <c r="AB87" s="67" t="n"/>
    </row>
    <row r="88" ht="15.75" customHeight="1" s="305">
      <c r="A88" s="67" t="inlineStr">
        <is>
          <t>ROUTE_POSTMAN_CONFIG_NOT_FOUND</t>
        </is>
      </c>
      <c r="B88" s="67" t="inlineStr">
        <is>
          <t>Không tìm thấy thông tin tuyến bưu tá.</t>
        </is>
      </c>
      <c r="C88" s="67" t="inlineStr">
        <is>
          <t>Route postman is not found.</t>
        </is>
      </c>
      <c r="D88" s="3">
        <f>IFERROR(__xludf.DUMMYFUNCTION("GOOGLETRANSLATE(B88,""vi"",""km"")"),"រកមិនឃើញព័ត៌មានសេវាប្រៃសណីយ៍ទេ។")</f>
        <v/>
      </c>
      <c r="E88" s="67" t="inlineStr">
        <is>
          <t>រកមិនឃើញព័ត៌មានផ្លូវទេ។</t>
        </is>
      </c>
      <c r="F88" s="3" t="inlineStr">
        <is>
          <t>រកមិនឃើញព័ត៌មានសេវាប្រៃសណីយ៍ទេ។</t>
        </is>
      </c>
      <c r="G88" s="67" t="n"/>
      <c r="H88" t="inlineStr">
        <is>
          <t>រកមិនឃើញព័ត៌មានសេវាប្រៃសណីយ៍ទេ។</t>
        </is>
      </c>
      <c r="I88" s="67" t="n"/>
      <c r="J88" s="67" t="n"/>
      <c r="K88" s="67" t="n"/>
      <c r="L88" s="67" t="n"/>
      <c r="M88" s="67" t="n"/>
      <c r="N88" s="67" t="n"/>
      <c r="O88" s="67" t="n"/>
      <c r="P88" s="67" t="n"/>
      <c r="Q88" s="67" t="n"/>
      <c r="R88" s="67" t="n"/>
      <c r="S88" s="67" t="n"/>
      <c r="T88" s="67" t="n"/>
      <c r="U88" s="67" t="n"/>
      <c r="V88" s="67" t="n"/>
      <c r="W88" s="67" t="n"/>
      <c r="X88" s="67" t="n"/>
      <c r="Y88" s="67" t="n"/>
      <c r="Z88" s="67" t="n"/>
      <c r="AA88" s="67" t="n"/>
      <c r="AB88" s="67" t="n"/>
    </row>
    <row r="89" ht="15.75" customHeight="1" s="305">
      <c r="A89" s="67" t="inlineStr">
        <is>
          <t>ROUTE_POSTMAN_CONFIG_CREATE_NEW_FAIL</t>
        </is>
      </c>
      <c r="B89" s="67" t="inlineStr">
        <is>
          <t>Tạo cấu hình tuyến bưu tá thất bại.</t>
        </is>
      </c>
      <c r="C89" s="67" t="inlineStr">
        <is>
          <t>Create route postman config fail.</t>
        </is>
      </c>
      <c r="D89" s="3">
        <f>IFERROR(__xludf.DUMMYFUNCTION("GOOGLETRANSLATE(B89,""vi"",""km"")"),"ការកំណត់​រចនាសម្ព័ន្ធ​ផ្លូវ​បាន​បរាជ័យ។")</f>
        <v/>
      </c>
      <c r="E89" s="67" t="inlineStr">
        <is>
          <t>ការបង្កើតការកំណត់រចនាសម្ព័ន្ធផ្លូវបានបរាជ័យ។</t>
        </is>
      </c>
      <c r="F89" s="3" t="inlineStr">
        <is>
          <t>ការកំណត់រចនាសម្ព័ន្ធផ្លូវបានបរាជ័យ។</t>
        </is>
      </c>
      <c r="G89" s="67" t="n"/>
      <c r="H89" t="inlineStr">
        <is>
          <t>ការកំណត់រចនាសម្ព័ន្ធផ្លូវបានបរាជ័យ។</t>
        </is>
      </c>
      <c r="I89" s="67" t="n"/>
      <c r="J89" s="67" t="n"/>
      <c r="K89" s="67" t="n"/>
      <c r="L89" s="67" t="n"/>
      <c r="M89" s="67" t="n"/>
      <c r="N89" s="67" t="n"/>
      <c r="O89" s="67" t="n"/>
      <c r="P89" s="67" t="n"/>
      <c r="Q89" s="67" t="n"/>
      <c r="R89" s="67" t="n"/>
      <c r="S89" s="67" t="n"/>
      <c r="T89" s="67" t="n"/>
      <c r="U89" s="67" t="n"/>
      <c r="V89" s="67" t="n"/>
      <c r="W89" s="67" t="n"/>
      <c r="X89" s="67" t="n"/>
      <c r="Y89" s="67" t="n"/>
      <c r="Z89" s="67" t="n"/>
      <c r="AA89" s="67" t="n"/>
      <c r="AB89" s="67" t="n"/>
    </row>
    <row r="90" ht="15.75" customHeight="1" s="305">
      <c r="A90" s="67" t="inlineStr">
        <is>
          <t>VOID_DELETE_ROUTE_POSTMAN_FAIL</t>
        </is>
      </c>
      <c r="B90" s="67" t="inlineStr">
        <is>
          <t>Xoá cấu hình tuyến bưu tá thất bại.</t>
        </is>
      </c>
      <c r="C90" s="67" t="inlineStr">
        <is>
          <t>Delete route postman config fail.</t>
        </is>
      </c>
      <c r="D90" s="3">
        <f>IFERROR(__xludf.DUMMYFUNCTION("GOOGLETRANSLATE(B90,""vi"",""km"")"),"ការលុបការកំណត់រចនាសម្ព័ន្ធផ្លូវប្រៃសណីយ៍បានបរាជ័យ។")</f>
        <v/>
      </c>
      <c r="E90" s="67" t="inlineStr">
        <is>
          <t>ការលុបការកំណត់រចនាសម្ព័ន្ធផ្លូវបានបរាជ័យ។</t>
        </is>
      </c>
      <c r="F90" s="3" t="inlineStr">
        <is>
          <t>ការលុបការកំណត់រចនាសម្ព័ន្ធផ្លូវប្រៃសណីយ៍បានបរាជ័យ។</t>
        </is>
      </c>
      <c r="G90" s="67" t="n"/>
      <c r="H90" t="inlineStr">
        <is>
          <t>ការលុបការកំណត់រចនាសម្ព័ន្ធផ្លូវប្រៃសណីយ៍បានបរាជ័យ។</t>
        </is>
      </c>
      <c r="I90" s="67" t="n"/>
      <c r="J90" s="67" t="n"/>
      <c r="K90" s="67" t="n"/>
      <c r="L90" s="67" t="n"/>
      <c r="M90" s="67" t="n"/>
      <c r="N90" s="67" t="n"/>
      <c r="O90" s="67" t="n"/>
      <c r="P90" s="67" t="n"/>
      <c r="Q90" s="67" t="n"/>
      <c r="R90" s="67" t="n"/>
      <c r="S90" s="67" t="n"/>
      <c r="T90" s="67" t="n"/>
      <c r="U90" s="67" t="n"/>
      <c r="V90" s="67" t="n"/>
      <c r="W90" s="67" t="n"/>
      <c r="X90" s="67" t="n"/>
      <c r="Y90" s="67" t="n"/>
      <c r="Z90" s="67" t="n"/>
      <c r="AA90" s="67" t="n"/>
      <c r="AB90" s="67" t="n"/>
    </row>
    <row r="91" ht="15.75" customHeight="1" s="305">
      <c r="A91" s="67" t="inlineStr">
        <is>
          <t>ROUTE_POSTMAN_CONFIG_UPDATE_FAIL</t>
        </is>
      </c>
      <c r="B91" s="67" t="inlineStr">
        <is>
          <t>Cập nhật cấu hình tuyến bưu tá thất bại.</t>
        </is>
      </c>
      <c r="C91" s="67" t="inlineStr">
        <is>
          <t>Update route postman config fail.</t>
        </is>
      </c>
      <c r="D91" s="3">
        <f>IFERROR(__xludf.DUMMYFUNCTION("GOOGLETRANSLATE(B91,""vi"",""km"")"),"ការអាប់ដេតការកំណត់រចនាសម្ព័ន្ធផ្លូវប្រៃសណីយ៍បានបរាជ័យ។")</f>
        <v/>
      </c>
      <c r="E91" s="67" t="inlineStr">
        <is>
          <t>ការអាប់ដេតការកំណត់រចនាសម្ព័ន្ធផ្លូវបានបរាជ័យ។</t>
        </is>
      </c>
      <c r="F91" s="3" t="inlineStr">
        <is>
          <t>ការអាប់ដេតការកំណត់រចនាសម្ព័ន្ធផ្លូវប្រៃសណីយ៍បានបរាជ័យ។</t>
        </is>
      </c>
      <c r="G91" s="67" t="n"/>
      <c r="H91" t="inlineStr">
        <is>
          <t>ការអាប់ដេតការកំណត់រចនាសម្ព័ន្ធផ្លូវប្រៃសណីយ៍បានបរាជ័យ។</t>
        </is>
      </c>
      <c r="I91" s="67" t="n"/>
      <c r="J91" s="67" t="n"/>
      <c r="K91" s="67" t="n"/>
      <c r="L91" s="67" t="n"/>
      <c r="M91" s="67" t="n"/>
      <c r="N91" s="67" t="n"/>
      <c r="O91" s="67" t="n"/>
      <c r="P91" s="67" t="n"/>
      <c r="Q91" s="67" t="n"/>
      <c r="R91" s="67" t="n"/>
      <c r="S91" s="67" t="n"/>
      <c r="T91" s="67" t="n"/>
      <c r="U91" s="67" t="n"/>
      <c r="V91" s="67" t="n"/>
      <c r="W91" s="67" t="n"/>
      <c r="X91" s="67" t="n"/>
      <c r="Y91" s="67" t="n"/>
      <c r="Z91" s="67" t="n"/>
      <c r="AA91" s="67" t="n"/>
      <c r="AB91" s="67" t="n"/>
    </row>
    <row r="92" ht="15.75" customHeight="1" s="305">
      <c r="A92" s="67" t="inlineStr">
        <is>
          <t>ROUTE_CONFIG_CREATE_FAIL</t>
        </is>
      </c>
      <c r="B92" s="67" t="inlineStr">
        <is>
          <t>Tạo cấu hình tuyến thất bại.</t>
        </is>
      </c>
      <c r="C92" s="67" t="inlineStr">
        <is>
          <t>Create route config fail.</t>
        </is>
      </c>
      <c r="D92" s="3">
        <f>IFERROR(__xludf.DUMMYFUNCTION("GOOGLETRANSLATE(B92,""vi"",""km"")"),"ការកំណត់​រចនាសម្ព័ន្ធ​ផ្លូវ​បាន​បរាជ័យ។")</f>
        <v/>
      </c>
      <c r="E92" s="67" t="inlineStr">
        <is>
          <t>ការបង្កើតការកំណត់រចនាសម្ព័ន្ធផ្លូវបានបរាជ័យ។</t>
        </is>
      </c>
      <c r="F92" s="3" t="inlineStr">
        <is>
          <t>ការកំណត់រចនាសម្ព័ន្ធផ្លូវបានបរាជ័យ។</t>
        </is>
      </c>
      <c r="G92" s="67" t="n"/>
      <c r="H92" t="inlineStr">
        <is>
          <t>ការកំណត់រចនាសម្ព័ន្ធផ្លូវបានបរាជ័យ។</t>
        </is>
      </c>
      <c r="I92" s="67" t="n"/>
      <c r="J92" s="67" t="n"/>
      <c r="K92" s="67" t="n"/>
      <c r="L92" s="67" t="n"/>
      <c r="M92" s="67" t="n"/>
      <c r="N92" s="67" t="n"/>
      <c r="O92" s="67" t="n"/>
      <c r="P92" s="67" t="n"/>
      <c r="Q92" s="67" t="n"/>
      <c r="R92" s="67" t="n"/>
      <c r="S92" s="67" t="n"/>
      <c r="T92" s="67" t="n"/>
      <c r="U92" s="67" t="n"/>
      <c r="V92" s="67" t="n"/>
      <c r="W92" s="67" t="n"/>
      <c r="X92" s="67" t="n"/>
      <c r="Y92" s="67" t="n"/>
      <c r="Z92" s="67" t="n"/>
      <c r="AA92" s="67" t="n"/>
      <c r="AB92" s="67" t="n"/>
    </row>
    <row r="93" ht="15.75" customHeight="1" s="305">
      <c r="A93" s="67" t="inlineStr">
        <is>
          <t>ROUTE_CONFIG_NOT_FOUND</t>
        </is>
      </c>
      <c r="B93" s="67" t="inlineStr">
        <is>
          <t>Cấu hình tuyến không tồn tại.</t>
        </is>
      </c>
      <c r="C93" s="67" t="inlineStr">
        <is>
          <t>Route config is not found.</t>
        </is>
      </c>
      <c r="D93" s="3">
        <f>IFERROR(__xludf.DUMMYFUNCTION("GOOGLETRANSLATE(B93,""vi"",""km"")"),"ការកំណត់​រចនាសម្ព័ន្ធ​ផ្លូវ​មិនមានទេ។")</f>
        <v/>
      </c>
      <c r="E93" s="67" t="inlineStr">
        <is>
          <t>ការកំណត់រចនាសម្ព័ន្ធផ្លូវមិនមានទេ។</t>
        </is>
      </c>
      <c r="F93" s="3" t="inlineStr">
        <is>
          <t>ការកំណត់រចនាសម្ព័ន្ធផ្លូវមិនមានទេ។</t>
        </is>
      </c>
      <c r="G93" s="67" t="n"/>
      <c r="H93" t="inlineStr">
        <is>
          <t>ការកំណត់រចនាសម្ព័ន្ធផ្លូវមិនមានទេ។</t>
        </is>
      </c>
      <c r="I93" s="67" t="n"/>
      <c r="J93" s="67" t="n"/>
      <c r="K93" s="67" t="n"/>
      <c r="L93" s="67" t="n"/>
      <c r="M93" s="67" t="n"/>
      <c r="N93" s="67" t="n"/>
      <c r="O93" s="67" t="n"/>
      <c r="P93" s="67" t="n"/>
      <c r="Q93" s="67" t="n"/>
      <c r="R93" s="67" t="n"/>
      <c r="S93" s="67" t="n"/>
      <c r="T93" s="67" t="n"/>
      <c r="U93" s="67" t="n"/>
      <c r="V93" s="67" t="n"/>
      <c r="W93" s="67" t="n"/>
      <c r="X93" s="67" t="n"/>
      <c r="Y93" s="67" t="n"/>
      <c r="Z93" s="67" t="n"/>
      <c r="AA93" s="67" t="n"/>
      <c r="AB93" s="67" t="n"/>
    </row>
    <row r="94" ht="15.75" customHeight="1" s="305">
      <c r="A94" s="67" t="inlineStr">
        <is>
          <t>ROUTE_AREA_CONFIG_NOT_FOUND</t>
        </is>
      </c>
      <c r="B94" s="67" t="inlineStr">
        <is>
          <t>Không tìm thấy địa danh của tuyến.</t>
        </is>
      </c>
      <c r="C94" s="67" t="inlineStr">
        <is>
          <t>Route area is not found.</t>
        </is>
      </c>
      <c r="D94" s="3">
        <f>IFERROR(__xludf.DUMMYFUNCTION("GOOGLETRANSLATE(B94,""vi"",""km"")"),"រកមិនឃើញឈ្មោះទីកន្លែងសម្រាប់ផ្លូវនោះទេ។")</f>
        <v/>
      </c>
      <c r="E94" s="67" t="inlineStr">
        <is>
          <t>រកមិនឃើញឈ្មោះកន្លែងផ្លូវ។</t>
        </is>
      </c>
      <c r="F94" s="3" t="inlineStr">
        <is>
          <t>រកមិនឃើញឈ្មោះទីកន្លែងសម្រាប់ផ្លូវនោះទេ។</t>
        </is>
      </c>
      <c r="G94" s="67" t="n"/>
      <c r="H94" t="inlineStr">
        <is>
          <t>រកមិនឃើញឈ្មោះទីកន្លែងសម្រាប់ផ្លូវនោះទេ។</t>
        </is>
      </c>
      <c r="I94" s="67" t="n"/>
      <c r="J94" s="67" t="n"/>
      <c r="K94" s="67" t="n"/>
      <c r="L94" s="67" t="n"/>
      <c r="M94" s="67" t="n"/>
      <c r="N94" s="67" t="n"/>
      <c r="O94" s="67" t="n"/>
      <c r="P94" s="67" t="n"/>
      <c r="Q94" s="67" t="n"/>
      <c r="R94" s="67" t="n"/>
      <c r="S94" s="67" t="n"/>
      <c r="T94" s="67" t="n"/>
      <c r="U94" s="67" t="n"/>
      <c r="V94" s="67" t="n"/>
      <c r="W94" s="67" t="n"/>
      <c r="X94" s="67" t="n"/>
      <c r="Y94" s="67" t="n"/>
      <c r="Z94" s="67" t="n"/>
      <c r="AA94" s="67" t="n"/>
      <c r="AB94" s="67" t="n"/>
    </row>
    <row r="95" ht="15.75" customHeight="1" s="305">
      <c r="A95" s="67" t="inlineStr">
        <is>
          <t>ROUTE_AREA_CONFIG_CREATE_FAIL</t>
        </is>
      </c>
      <c r="B95" s="67" t="inlineStr">
        <is>
          <t>Tạo địa danh của tuyến thất bại.</t>
        </is>
      </c>
      <c r="C95" s="67" t="inlineStr">
        <is>
          <t>Route area create fail.</t>
        </is>
      </c>
      <c r="D95" s="3">
        <f>IFERROR(__xludf.DUMMYFUNCTION("GOOGLETRANSLATE(B95,""vi"",""km"")"),"បង្កើត​ចំណុច​សម្គាល់​សម្រាប់​ផ្លូវ​ដែល​បរាជ័យ។")</f>
        <v/>
      </c>
      <c r="E95" s="67" t="inlineStr">
        <is>
          <t>ការបង្កើតឈ្មោះកន្លែងផ្លូវបានបរាជ័យ។</t>
        </is>
      </c>
      <c r="F95" s="3" t="inlineStr">
        <is>
          <t>បង្កើតចំណុចសម្គាល់សម្រាប់ផ្លូវដែលបរាជ័យ។</t>
        </is>
      </c>
      <c r="G95" s="67" t="n"/>
      <c r="H95" t="inlineStr">
        <is>
          <t>បង្កើតចំណុចសម្គាល់សម្រាប់ផ្លូវដែលបរាជ័យ។</t>
        </is>
      </c>
      <c r="I95" s="67" t="n"/>
      <c r="J95" s="67" t="n"/>
      <c r="K95" s="67" t="n"/>
      <c r="L95" s="67" t="n"/>
      <c r="M95" s="67" t="n"/>
      <c r="N95" s="67" t="n"/>
      <c r="O95" s="67" t="n"/>
      <c r="P95" s="67" t="n"/>
      <c r="Q95" s="67" t="n"/>
      <c r="R95" s="67" t="n"/>
      <c r="S95" s="67" t="n"/>
      <c r="T95" s="67" t="n"/>
      <c r="U95" s="67" t="n"/>
      <c r="V95" s="67" t="n"/>
      <c r="W95" s="67" t="n"/>
      <c r="X95" s="67" t="n"/>
      <c r="Y95" s="67" t="n"/>
      <c r="Z95" s="67" t="n"/>
      <c r="AA95" s="67" t="n"/>
      <c r="AB95" s="67" t="n"/>
    </row>
    <row r="96" ht="15.75" customHeight="1" s="305">
      <c r="A96" s="67" t="inlineStr">
        <is>
          <t>ROUTE_AREA_CONFIG_UPDATE_FAIL</t>
        </is>
      </c>
      <c r="B96" s="67" t="inlineStr">
        <is>
          <t>Cập nhật địa danh của tuyến thất bại.</t>
        </is>
      </c>
      <c r="C96" s="67" t="inlineStr">
        <is>
          <t>Route area update fail.</t>
        </is>
      </c>
      <c r="D96" s="3">
        <f>IFERROR(__xludf.DUMMYFUNCTION("GOOGLETRANSLATE(B96,""vi"",""km"")"),"ធ្វើបច្ចុប្បន្នភាពឈ្មោះទីកន្លែងសម្រាប់ផ្លូវដែលបរាជ័យ។")</f>
        <v/>
      </c>
      <c r="E96" s="67" t="inlineStr">
        <is>
          <t>ការអាប់ដេតឈ្មោះកន្លែងផ្លូវបានបរាជ័យ។</t>
        </is>
      </c>
      <c r="F96" s="3" t="inlineStr">
        <is>
          <t>ធ្វើបច្ចុប្បន្នភាពឈ្មោះទីកន្លែងសម្រាប់ផ្លូវដែលបរាជ័យ។</t>
        </is>
      </c>
      <c r="G96" s="67" t="n"/>
      <c r="H96" t="inlineStr">
        <is>
          <t>ធ្វើបច្ចុប្បន្នភាពឈ្មោះទីកន្លែងសម្រាប់ផ្លូវដែលបរាជ័យ។</t>
        </is>
      </c>
      <c r="I96" s="67" t="n"/>
      <c r="J96" s="67" t="n"/>
      <c r="K96" s="67" t="n"/>
      <c r="L96" s="67" t="n"/>
      <c r="M96" s="67" t="n"/>
      <c r="N96" s="67" t="n"/>
      <c r="O96" s="67" t="n"/>
      <c r="P96" s="67" t="n"/>
      <c r="Q96" s="67" t="n"/>
      <c r="R96" s="67" t="n"/>
      <c r="S96" s="67" t="n"/>
      <c r="T96" s="67" t="n"/>
      <c r="U96" s="67" t="n"/>
      <c r="V96" s="67" t="n"/>
      <c r="W96" s="67" t="n"/>
      <c r="X96" s="67" t="n"/>
      <c r="Y96" s="67" t="n"/>
      <c r="Z96" s="67" t="n"/>
      <c r="AA96" s="67" t="n"/>
      <c r="AB96" s="67" t="n"/>
    </row>
    <row r="97" ht="15.75" customHeight="1" s="305">
      <c r="A97" s="67" t="inlineStr">
        <is>
          <t>ROUTE_AREA_CONFIG_EXIST</t>
        </is>
      </c>
      <c r="B97" s="67" t="inlineStr">
        <is>
          <t>Địa danh theo tuyến nhận đã được khai báo.</t>
        </is>
      </c>
      <c r="C97" s="67" t="inlineStr">
        <is>
          <t>Route area already exist.</t>
        </is>
      </c>
      <c r="D97" s="3">
        <f>IFERROR(__xludf.DUMMYFUNCTION("GOOGLETRANSLATE(B97,""vi"",""km"")"),"ឈ្មោះ​ទីកន្លែង​នានា​តាម​បណ្តោយ​ផ្លូវ​ត្រូវ​បាន​ប្រកាស​រួច​ហើយ។")</f>
        <v/>
      </c>
      <c r="E97" s="67" t="inlineStr">
        <is>
          <t>ឈ្មោះកន្លែងផ្លូវសម្រាប់ទទួលផ្លូវត្រូវបានប្រកាស។</t>
        </is>
      </c>
      <c r="F97" s="3" t="inlineStr">
        <is>
          <t>ឈ្មោះទីកន្លែងនានាតាមបណ្តោយផ្លូវត្រូវបានប្រកាសរួចហើយ។</t>
        </is>
      </c>
      <c r="G97" s="67" t="n"/>
      <c r="H97" t="inlineStr">
        <is>
          <t>ឈ្មោះទីកន្លែងនានាតាមបណ្តោយផ្លូវត្រូវបានប្រកាសរួចហើយ។</t>
        </is>
      </c>
      <c r="I97" s="67" t="n"/>
      <c r="J97" s="67" t="n"/>
      <c r="K97" s="67" t="n"/>
      <c r="L97" s="67" t="n"/>
      <c r="M97" s="67" t="n"/>
      <c r="N97" s="67" t="n"/>
      <c r="O97" s="67" t="n"/>
      <c r="P97" s="67" t="n"/>
      <c r="Q97" s="67" t="n"/>
      <c r="R97" s="67" t="n"/>
      <c r="S97" s="67" t="n"/>
      <c r="T97" s="67" t="n"/>
      <c r="U97" s="67" t="n"/>
      <c r="V97" s="67" t="n"/>
      <c r="W97" s="67" t="n"/>
      <c r="X97" s="67" t="n"/>
      <c r="Y97" s="67" t="n"/>
      <c r="Z97" s="67" t="n"/>
      <c r="AA97" s="67" t="n"/>
      <c r="AB97" s="67" t="n"/>
    </row>
    <row r="98" ht="15.75" customHeight="1" s="305">
      <c r="A98" s="67" t="inlineStr">
        <is>
          <t>TRACKINGORDERSTATUS_S110</t>
        </is>
      </c>
      <c r="B98" s="67" t="inlineStr">
        <is>
          <t>Chưa tiếp nhận</t>
        </is>
      </c>
      <c r="C98" s="67" t="inlineStr">
        <is>
          <t>Confirmed</t>
        </is>
      </c>
      <c r="D98" s="3">
        <f>IFERROR(__xludf.DUMMYFUNCTION("GOOGLETRANSLATE(B98,""vi"",""km"")"),"មិនទាន់ទទួលបាននៅឡើយទេ")</f>
        <v/>
      </c>
      <c r="E98" s="67" t="inlineStr">
        <is>
          <t>មិនទាន់បានទទួលទេ</t>
        </is>
      </c>
      <c r="F98" s="3" t="inlineStr">
        <is>
          <t>មិនទាន់ទទួល</t>
        </is>
      </c>
      <c r="G98" s="67" t="n"/>
      <c r="H98" t="inlineStr">
        <is>
          <t>មិនទាន់ទទួល</t>
        </is>
      </c>
      <c r="I98" s="67" t="n"/>
      <c r="J98" s="67" t="n"/>
      <c r="K98" s="67" t="n"/>
      <c r="L98" s="67" t="n"/>
      <c r="M98" s="67" t="n"/>
      <c r="N98" s="67" t="n"/>
      <c r="O98" s="67" t="n"/>
      <c r="P98" s="67" t="n"/>
      <c r="Q98" s="67" t="n"/>
      <c r="R98" s="67" t="n"/>
      <c r="S98" s="67" t="n"/>
      <c r="T98" s="67" t="n"/>
      <c r="U98" s="67" t="n"/>
      <c r="V98" s="67" t="n"/>
      <c r="W98" s="67" t="n"/>
      <c r="X98" s="67" t="n"/>
      <c r="Y98" s="67" t="n"/>
      <c r="Z98" s="67" t="n"/>
      <c r="AA98" s="67" t="n"/>
      <c r="AB98" s="67" t="n"/>
    </row>
    <row r="99" ht="15.75" customHeight="1" s="305">
      <c r="A99" s="67" t="inlineStr">
        <is>
          <t>TRACKINGORDERSTATUS_S120</t>
        </is>
      </c>
      <c r="B99" s="67" t="inlineStr">
        <is>
          <t>Đã tiếp nhận</t>
        </is>
      </c>
      <c r="C99" s="67" t="inlineStr">
        <is>
          <t>Waiting to receive</t>
        </is>
      </c>
      <c r="D99" s="3">
        <f>IFERROR(__xludf.DUMMYFUNCTION("GOOGLETRANSLATE(B99,""vi"",""km"")"),"បានទទួល")</f>
        <v/>
      </c>
      <c r="E99" s="67" t="inlineStr">
        <is>
          <t>បានទទួលហើយ</t>
        </is>
      </c>
      <c r="F99" s="3" t="inlineStr">
        <is>
          <t>បានទទួល</t>
        </is>
      </c>
      <c r="G99" s="67" t="n"/>
      <c r="H99" t="inlineStr">
        <is>
          <t>បានទទួល</t>
        </is>
      </c>
      <c r="I99" s="67" t="n"/>
      <c r="J99" s="67" t="n"/>
      <c r="K99" s="67" t="n"/>
      <c r="L99" s="67" t="n"/>
      <c r="M99" s="67" t="n"/>
      <c r="N99" s="67" t="n"/>
      <c r="O99" s="67" t="n"/>
      <c r="P99" s="67" t="n"/>
      <c r="Q99" s="67" t="n"/>
      <c r="R99" s="67" t="n"/>
      <c r="S99" s="67" t="n"/>
      <c r="T99" s="67" t="n"/>
      <c r="U99" s="67" t="n"/>
      <c r="V99" s="67" t="n"/>
      <c r="W99" s="67" t="n"/>
      <c r="X99" s="67" t="n"/>
      <c r="Y99" s="67" t="n"/>
      <c r="Z99" s="67" t="n"/>
      <c r="AA99" s="67" t="n"/>
      <c r="AB99" s="67" t="n"/>
    </row>
    <row r="100" ht="15.75" customHeight="1" s="305">
      <c r="A100" s="67" t="inlineStr">
        <is>
          <t>TRACKINGORDERSTATUS_S200</t>
        </is>
      </c>
      <c r="B100" s="67" t="inlineStr">
        <is>
          <t>Đang lấy hàng</t>
        </is>
      </c>
      <c r="C100" s="67" t="inlineStr">
        <is>
          <t>Receiving</t>
        </is>
      </c>
      <c r="D100" s="3">
        <f>IFERROR(__xludf.DUMMYFUNCTION("GOOGLETRANSLATE(B100,""vi"",""km"")"),"កំពុង​ទៅ​យក​ទំនិញ")</f>
        <v/>
      </c>
      <c r="E100" s="67" t="inlineStr">
        <is>
          <t>កំពុងទៅយក</t>
        </is>
      </c>
      <c r="F100" s="3" t="inlineStr">
        <is>
          <t>កំពុងទៅយកអីវ៉ាន់</t>
        </is>
      </c>
      <c r="G100" s="67" t="n"/>
      <c r="H100" t="inlineStr">
        <is>
          <t>កំពុងទៅយកអីវ៉ាន់</t>
        </is>
      </c>
      <c r="I100" s="67" t="n"/>
      <c r="J100" s="67" t="n"/>
      <c r="K100" s="67" t="n"/>
      <c r="L100" s="67" t="n"/>
      <c r="M100" s="67" t="n"/>
      <c r="N100" s="67" t="n"/>
      <c r="O100" s="67" t="n"/>
      <c r="P100" s="67" t="n"/>
      <c r="Q100" s="67" t="n"/>
      <c r="R100" s="67" t="n"/>
      <c r="S100" s="67" t="n"/>
      <c r="T100" s="67" t="n"/>
      <c r="U100" s="67" t="n"/>
      <c r="V100" s="67" t="n"/>
      <c r="W100" s="67" t="n"/>
      <c r="X100" s="67" t="n"/>
      <c r="Y100" s="67" t="n"/>
      <c r="Z100" s="67" t="n"/>
      <c r="AA100" s="67" t="n"/>
      <c r="AB100" s="67" t="n"/>
    </row>
    <row r="101" ht="15.75" customHeight="1" s="305">
      <c r="A101" s="67" t="inlineStr">
        <is>
          <t>TRACKINGORDERSTATUS_S201</t>
        </is>
      </c>
      <c r="B101" s="67" t="inlineStr">
        <is>
          <t>Hủy đơn</t>
        </is>
      </c>
      <c r="C101" s="67" t="inlineStr">
        <is>
          <t>Cancelled</t>
        </is>
      </c>
      <c r="D101" s="3">
        <f>IFERROR(__xludf.DUMMYFUNCTION("GOOGLETRANSLATE(B101,""vi"",""km"")"),"លុបចោលការបញ្ជាទិញ")</f>
        <v/>
      </c>
      <c r="E101" s="67" t="inlineStr">
        <is>
          <t>បោះបង់ការបញ្ជាទិញ</t>
        </is>
      </c>
      <c r="F101" s="3" t="inlineStr">
        <is>
          <t>លុបបុងចោល</t>
        </is>
      </c>
      <c r="G101" s="67" t="n"/>
      <c r="H101" t="inlineStr">
        <is>
          <t>លុបបុងចោល</t>
        </is>
      </c>
      <c r="I101" s="67" t="n"/>
      <c r="J101" s="67" t="n"/>
      <c r="K101" s="67" t="n"/>
      <c r="L101" s="67" t="n"/>
      <c r="M101" s="67" t="n"/>
      <c r="N101" s="67" t="n"/>
      <c r="O101" s="67" t="n"/>
      <c r="P101" s="67" t="n"/>
      <c r="Q101" s="67" t="n"/>
      <c r="R101" s="67" t="n"/>
      <c r="S101" s="67" t="n"/>
      <c r="T101" s="67" t="n"/>
      <c r="U101" s="67" t="n"/>
      <c r="V101" s="67" t="n"/>
      <c r="W101" s="67" t="n"/>
      <c r="X101" s="67" t="n"/>
      <c r="Y101" s="67" t="n"/>
      <c r="Z101" s="67" t="n"/>
      <c r="AA101" s="67" t="n"/>
      <c r="AB101" s="67" t="n"/>
    </row>
    <row r="102" ht="15.75" customHeight="1" s="305">
      <c r="A102" s="67" t="inlineStr">
        <is>
          <t>TRACKINGORDERSTATUS_S210</t>
        </is>
      </c>
      <c r="B102" s="67" t="inlineStr">
        <is>
          <t>Đã lấy hàng</t>
        </is>
      </c>
      <c r="C102" s="67" t="inlineStr">
        <is>
          <t>Received</t>
        </is>
      </c>
      <c r="D102" s="3">
        <f>IFERROR(__xludf.DUMMYFUNCTION("GOOGLETRANSLATE(B102,""vi"",""km"")"),"ទំនិញត្រូវបានទទួល។")</f>
        <v/>
      </c>
      <c r="E102" s="67" t="inlineStr">
        <is>
          <t>ទៅយកហើយ</t>
        </is>
      </c>
      <c r="F102" s="3" t="inlineStr">
        <is>
          <t>បានយកអីវ៉ាន់រួចរាល់</t>
        </is>
      </c>
      <c r="G102" s="67" t="n"/>
      <c r="H102" t="inlineStr">
        <is>
          <t>បានយកអីវ៉ាន់រួចរាល់</t>
        </is>
      </c>
      <c r="I102" s="67" t="n"/>
      <c r="J102" s="67" t="n"/>
      <c r="K102" s="67" t="n"/>
      <c r="L102" s="67" t="n"/>
      <c r="M102" s="67" t="n"/>
      <c r="N102" s="67" t="n"/>
      <c r="O102" s="67" t="n"/>
      <c r="P102" s="67" t="n"/>
      <c r="Q102" s="67" t="n"/>
      <c r="R102" s="67" t="n"/>
      <c r="S102" s="67" t="n"/>
      <c r="T102" s="67" t="n"/>
      <c r="U102" s="67" t="n"/>
      <c r="V102" s="67" t="n"/>
      <c r="W102" s="67" t="n"/>
      <c r="X102" s="67" t="n"/>
      <c r="Y102" s="67" t="n"/>
      <c r="Z102" s="67" t="n"/>
      <c r="AA102" s="67" t="n"/>
      <c r="AB102" s="67" t="n"/>
    </row>
    <row r="103" ht="15.75" customHeight="1" s="305">
      <c r="A103" s="67" t="inlineStr">
        <is>
          <t>TRACKINGORDERSTATUS_S220</t>
        </is>
      </c>
      <c r="B103" s="67" t="inlineStr">
        <is>
          <t>Hẹn lấy lại</t>
        </is>
      </c>
      <c r="C103" s="67" t="inlineStr">
        <is>
          <t>Receive again</t>
        </is>
      </c>
      <c r="D103" s="3">
        <f>IFERROR(__xludf.DUMMYFUNCTION("GOOGLETRANSLATE(B103,""vi"",""km"")"),"ជួបគ្នាម្តងទៀត")</f>
        <v/>
      </c>
      <c r="E103" s="67" t="inlineStr">
        <is>
          <t>កំណត់ពេលទៅយកឡើងវិញ</t>
        </is>
      </c>
      <c r="F103" s="3" t="inlineStr">
        <is>
          <t>ណាត់ពេលទៅយកម្តងទៀត</t>
        </is>
      </c>
      <c r="G103" s="67" t="n"/>
      <c r="H103" t="inlineStr">
        <is>
          <t>ណាត់ពេលទៅយកម្តងទៀត</t>
        </is>
      </c>
      <c r="I103" s="67" t="n"/>
      <c r="J103" s="67" t="n"/>
      <c r="K103" s="67" t="n"/>
      <c r="L103" s="67" t="n"/>
      <c r="M103" s="67" t="n"/>
      <c r="N103" s="67" t="n"/>
      <c r="O103" s="67" t="n"/>
      <c r="P103" s="67" t="n"/>
      <c r="Q103" s="67" t="n"/>
      <c r="R103" s="67" t="n"/>
      <c r="S103" s="67" t="n"/>
      <c r="T103" s="67" t="n"/>
      <c r="U103" s="67" t="n"/>
      <c r="V103" s="67" t="n"/>
      <c r="W103" s="67" t="n"/>
      <c r="X103" s="67" t="n"/>
      <c r="Y103" s="67" t="n"/>
      <c r="Z103" s="67" t="n"/>
      <c r="AA103" s="67" t="n"/>
      <c r="AB103" s="67" t="n"/>
    </row>
    <row r="104" ht="15.75" customHeight="1" s="305">
      <c r="A104" s="67" t="inlineStr">
        <is>
          <t>TRACKINGORDERSTATUS_S230</t>
        </is>
      </c>
      <c r="B104" s="67" t="inlineStr">
        <is>
          <t>Không lấy được hàng</t>
        </is>
      </c>
      <c r="C104" s="67" t="inlineStr">
        <is>
          <t>Receive failed</t>
        </is>
      </c>
      <c r="D104" s="3">
        <f>IFERROR(__xludf.DUMMYFUNCTION("GOOGLETRANSLATE(B104,""vi"",""km"")"),"មិនអាចទទួលទំនិញបានទេ។")</f>
        <v/>
      </c>
      <c r="E104" s="67" t="inlineStr">
        <is>
          <t>មិនអាចទៅយកបានទេ</t>
        </is>
      </c>
      <c r="F104" s="3" t="inlineStr">
        <is>
          <t>យកអីវ៉ាន់មិនបានសម្រេច</t>
        </is>
      </c>
      <c r="G104" s="67" t="n"/>
      <c r="H104" t="inlineStr">
        <is>
          <t>យកអីវ៉ាន់មិនបានសម្រេច</t>
        </is>
      </c>
      <c r="I104" s="67" t="n"/>
      <c r="J104" s="67" t="n"/>
      <c r="K104" s="67" t="n"/>
      <c r="L104" s="67" t="n"/>
      <c r="M104" s="67" t="n"/>
      <c r="N104" s="67" t="n"/>
      <c r="O104" s="67" t="n"/>
      <c r="P104" s="67" t="n"/>
      <c r="Q104" s="67" t="n"/>
      <c r="R104" s="67" t="n"/>
      <c r="S104" s="67" t="n"/>
      <c r="T104" s="67" t="n"/>
      <c r="U104" s="67" t="n"/>
      <c r="V104" s="67" t="n"/>
      <c r="W104" s="67" t="n"/>
      <c r="X104" s="67" t="n"/>
      <c r="Y104" s="67" t="n"/>
      <c r="Z104" s="67" t="n"/>
      <c r="AA104" s="67" t="n"/>
      <c r="AB104" s="67" t="n"/>
    </row>
    <row r="105" ht="15.75" customHeight="1" s="305">
      <c r="A105" s="67" t="inlineStr">
        <is>
          <t>TRACKINGORDERSTATUS_S300</t>
        </is>
      </c>
      <c r="B105" s="67" t="inlineStr">
        <is>
          <t>Gán đơn vào tải</t>
        </is>
      </c>
      <c r="C105" s="67" t="inlineStr">
        <is>
          <t>Assign order to sack</t>
        </is>
      </c>
      <c r="D105" s="3">
        <f>IFERROR(__xludf.DUMMYFUNCTION("GOOGLETRANSLATE(B105,""vi"",""km"")"),"កំណត់ការបញ្ជាទិញទៅបន្ទុក")</f>
        <v/>
      </c>
      <c r="E105" s="67" t="inlineStr">
        <is>
          <t>ចាត់តាំងការបញ្ជាទិញដើម្បីផ្ទុក</t>
        </is>
      </c>
      <c r="F105" s="3" t="inlineStr">
        <is>
          <t>កំណត់ការបញ្ជាទិញទៅបន្ទុក</t>
        </is>
      </c>
      <c r="G105" s="67" t="n"/>
      <c r="H105" t="inlineStr">
        <is>
          <t>កំណត់ការបញ្ជាទិញទៅបន្ទុក</t>
        </is>
      </c>
      <c r="I105" s="67" t="n"/>
      <c r="J105" s="67" t="n"/>
      <c r="K105" s="67" t="n"/>
      <c r="L105" s="67" t="n"/>
      <c r="M105" s="67" t="n"/>
      <c r="N105" s="67" t="n"/>
      <c r="O105" s="67" t="n"/>
      <c r="P105" s="67" t="n"/>
      <c r="Q105" s="67" t="n"/>
      <c r="R105" s="67" t="n"/>
      <c r="S105" s="67" t="n"/>
      <c r="T105" s="67" t="n"/>
      <c r="U105" s="67" t="n"/>
      <c r="V105" s="67" t="n"/>
      <c r="W105" s="67" t="n"/>
      <c r="X105" s="67" t="n"/>
      <c r="Y105" s="67" t="n"/>
      <c r="Z105" s="67" t="n"/>
      <c r="AA105" s="67" t="n"/>
      <c r="AB105" s="67" t="n"/>
    </row>
    <row r="106" ht="15.75" customHeight="1" s="305">
      <c r="A106" s="67" t="inlineStr">
        <is>
          <t>TRACKINGORDERSTATUS_S301</t>
        </is>
      </c>
      <c r="B106" s="67" t="inlineStr">
        <is>
          <t>Loại bỏ đơn khỏi tải</t>
        </is>
      </c>
      <c r="C106" s="67" t="inlineStr">
        <is>
          <t>Remove order to load</t>
        </is>
      </c>
      <c r="D106" s="3">
        <f>IFERROR(__xludf.DUMMYFUNCTION("GOOGLETRANSLATE(B106,""vi"",""km"")"),"យកលំដាប់ចេញពីបន្ទុក។")</f>
        <v/>
      </c>
      <c r="E106" s="67" t="inlineStr">
        <is>
          <t>ដកការបញ្ជាទិញចេញពីការផ្ទុក</t>
        </is>
      </c>
      <c r="F106" s="3" t="inlineStr">
        <is>
          <t>ដកបុងចេញពីបាវ</t>
        </is>
      </c>
      <c r="G106" s="67" t="n"/>
      <c r="H106" t="inlineStr">
        <is>
          <t>ដកបុងចេញពីបាវ</t>
        </is>
      </c>
      <c r="I106" s="67" t="n"/>
      <c r="J106" s="67" t="n"/>
      <c r="K106" s="67" t="n"/>
      <c r="L106" s="67" t="n"/>
      <c r="M106" s="67" t="n"/>
      <c r="N106" s="67" t="n"/>
      <c r="O106" s="67" t="n"/>
      <c r="P106" s="67" t="n"/>
      <c r="Q106" s="67" t="n"/>
      <c r="R106" s="67" t="n"/>
      <c r="S106" s="67" t="n"/>
      <c r="T106" s="67" t="n"/>
      <c r="U106" s="67" t="n"/>
      <c r="V106" s="67" t="n"/>
      <c r="W106" s="67" t="n"/>
      <c r="X106" s="67" t="n"/>
      <c r="Y106" s="67" t="n"/>
      <c r="Z106" s="67" t="n"/>
      <c r="AA106" s="67" t="n"/>
      <c r="AB106" s="67" t="n"/>
    </row>
    <row r="107" ht="15.75" customHeight="1" s="305">
      <c r="A107" s="67" t="inlineStr">
        <is>
          <t>TRACKINGORDERSTATUS_S302</t>
        </is>
      </c>
      <c r="B107" s="67" t="inlineStr">
        <is>
          <t>Hoàn thành tải</t>
        </is>
      </c>
      <c r="C107" s="67" t="inlineStr">
        <is>
          <t>Sack completed</t>
        </is>
      </c>
      <c r="D107" s="3">
        <f>IFERROR(__xludf.DUMMYFUNCTION("GOOGLETRANSLATE(B107,""vi"",""km"")"),"ការទាញយកបានបញ្ចប់")</f>
        <v/>
      </c>
      <c r="E107" s="67" t="inlineStr">
        <is>
          <t>បំពេញការផ្ទុក</t>
        </is>
      </c>
      <c r="F107" s="3" t="inlineStr">
        <is>
          <t>ច្រកបាវរួចរាល់</t>
        </is>
      </c>
      <c r="G107" s="67" t="n"/>
      <c r="H107" t="inlineStr">
        <is>
          <t>ច្រកបាវរួចរាល់</t>
        </is>
      </c>
      <c r="I107" s="67" t="n"/>
      <c r="J107" s="67" t="n"/>
      <c r="K107" s="67" t="n"/>
      <c r="L107" s="67" t="n"/>
      <c r="M107" s="67" t="n"/>
      <c r="N107" s="67" t="n"/>
      <c r="O107" s="67" t="n"/>
      <c r="P107" s="67" t="n"/>
      <c r="Q107" s="67" t="n"/>
      <c r="R107" s="67" t="n"/>
      <c r="S107" s="67" t="n"/>
      <c r="T107" s="67" t="n"/>
      <c r="U107" s="67" t="n"/>
      <c r="V107" s="67" t="n"/>
      <c r="W107" s="67" t="n"/>
      <c r="X107" s="67" t="n"/>
      <c r="Y107" s="67" t="n"/>
      <c r="Z107" s="67" t="n"/>
      <c r="AA107" s="67" t="n"/>
      <c r="AB107" s="67" t="n"/>
    </row>
    <row r="108" ht="15.75" customHeight="1" s="305">
      <c r="A108" s="67" t="inlineStr">
        <is>
          <t>TRACKINGORDERSTATUS_S303</t>
        </is>
      </c>
      <c r="B108" s="67" t="inlineStr">
        <is>
          <t>Gửi yêu cầu vận tải</t>
        </is>
      </c>
      <c r="C108" s="67" t="inlineStr">
        <is>
          <t>Send transport request</t>
        </is>
      </c>
      <c r="D108" s="3">
        <f>IFERROR(__xludf.DUMMYFUNCTION("GOOGLETRANSLATE(B108,""vi"",""km"")"),"ដាក់ស្នើសំណើដឹកជញ្ជូន។")</f>
        <v/>
      </c>
      <c r="E108" s="67" t="inlineStr">
        <is>
          <t>ផ្ញើសំណើដឹកជញ្ជូន</t>
        </is>
      </c>
      <c r="F108" s="3" t="inlineStr">
        <is>
          <t>ផ្ញើសំណើដឹកជញ្ជូន</t>
        </is>
      </c>
      <c r="G108" s="67" t="n"/>
      <c r="H108" t="inlineStr">
        <is>
          <t>ផ្ញើសំណើដឹកជញ្ជូន</t>
        </is>
      </c>
      <c r="I108" s="67" t="n"/>
      <c r="J108" s="67" t="n"/>
      <c r="K108" s="67" t="n"/>
      <c r="L108" s="67" t="n"/>
      <c r="M108" s="67" t="n"/>
      <c r="N108" s="67" t="n"/>
      <c r="O108" s="67" t="n"/>
      <c r="P108" s="67" t="n"/>
      <c r="Q108" s="67" t="n"/>
      <c r="R108" s="67" t="n"/>
      <c r="S108" s="67" t="n"/>
      <c r="T108" s="67" t="n"/>
      <c r="U108" s="67" t="n"/>
      <c r="V108" s="67" t="n"/>
      <c r="W108" s="67" t="n"/>
      <c r="X108" s="67" t="n"/>
      <c r="Y108" s="67" t="n"/>
      <c r="Z108" s="67" t="n"/>
      <c r="AA108" s="67" t="n"/>
      <c r="AB108" s="67" t="n"/>
    </row>
    <row r="109" ht="15.75" customHeight="1" s="305">
      <c r="A109" s="67" t="inlineStr">
        <is>
          <t>TRACKINGORDERSTATUS_S304</t>
        </is>
      </c>
      <c r="B109" s="67" t="inlineStr">
        <is>
          <t>Xác nhận đến đơn vị</t>
        </is>
      </c>
      <c r="C109" s="67" t="inlineStr">
        <is>
          <t>Confirm arrival at unit</t>
        </is>
      </c>
      <c r="D109" s="3">
        <f>IFERROR(__xludf.DUMMYFUNCTION("GOOGLETRANSLATE(B109,""vi"",""km"")"),"ការបញ្ជាក់ទៅកាន់អង្គភាព")</f>
        <v/>
      </c>
      <c r="E109" s="67" t="inlineStr">
        <is>
          <t>បញ្ជាក់ទៅអង្គភាព</t>
        </is>
      </c>
      <c r="F109" s="3" t="inlineStr">
        <is>
          <t>បញ្ជាក់ការមកដល់សាខា/ឃ្លាំង</t>
        </is>
      </c>
      <c r="G109" s="67" t="n"/>
      <c r="H109" t="inlineStr">
        <is>
          <t>បញ្ជាក់ការមកដល់សាខា/ឃ្លាំង</t>
        </is>
      </c>
      <c r="I109" s="67" t="n"/>
      <c r="J109" s="67" t="n"/>
      <c r="K109" s="67" t="n"/>
      <c r="L109" s="67" t="n"/>
      <c r="M109" s="67" t="n"/>
      <c r="N109" s="67" t="n"/>
      <c r="O109" s="67" t="n"/>
      <c r="P109" s="67" t="n"/>
      <c r="Q109" s="67" t="n"/>
      <c r="R109" s="67" t="n"/>
      <c r="S109" s="67" t="n"/>
      <c r="T109" s="67" t="n"/>
      <c r="U109" s="67" t="n"/>
      <c r="V109" s="67" t="n"/>
      <c r="W109" s="67" t="n"/>
      <c r="X109" s="67" t="n"/>
      <c r="Y109" s="67" t="n"/>
      <c r="Z109" s="67" t="n"/>
      <c r="AA109" s="67" t="n"/>
      <c r="AB109" s="67" t="n"/>
    </row>
    <row r="110" ht="15.75" customHeight="1" s="305">
      <c r="A110" s="67" t="inlineStr">
        <is>
          <t>TRACKINGORDERSTATUS_S305</t>
        </is>
      </c>
      <c r="B110" s="67" t="inlineStr">
        <is>
          <t>Tạo bàn giao</t>
        </is>
      </c>
      <c r="C110" s="67" t="inlineStr">
        <is>
          <t>Create a new handover</t>
        </is>
      </c>
      <c r="D110" s="3">
        <f>IFERROR(__xludf.DUMMYFUNCTION("GOOGLETRANSLATE(B110,""vi"",""km"")"),"បង្កើតការប្រគល់")</f>
        <v/>
      </c>
      <c r="E110" s="67" t="inlineStr">
        <is>
          <t>បង្កើតការប្រគល់</t>
        </is>
      </c>
      <c r="F110" s="3" t="inlineStr">
        <is>
          <t>បង្កើតការប្រគល់ទទួល</t>
        </is>
      </c>
      <c r="G110" s="67" t="n"/>
      <c r="H110" t="inlineStr">
        <is>
          <t>បង្កើតការប្រគល់ទទួល</t>
        </is>
      </c>
      <c r="I110" s="67" t="n"/>
      <c r="J110" s="67" t="n"/>
      <c r="K110" s="67" t="n"/>
      <c r="L110" s="67" t="n"/>
      <c r="M110" s="67" t="n"/>
      <c r="N110" s="67" t="n"/>
      <c r="O110" s="67" t="n"/>
      <c r="P110" s="67" t="n"/>
      <c r="Q110" s="67" t="n"/>
      <c r="R110" s="67" t="n"/>
      <c r="S110" s="67" t="n"/>
      <c r="T110" s="67" t="n"/>
      <c r="U110" s="67" t="n"/>
      <c r="V110" s="67" t="n"/>
      <c r="W110" s="67" t="n"/>
      <c r="X110" s="67" t="n"/>
      <c r="Y110" s="67" t="n"/>
      <c r="Z110" s="67" t="n"/>
      <c r="AA110" s="67" t="n"/>
      <c r="AB110" s="67" t="n"/>
    </row>
    <row r="111" ht="15.75" customHeight="1" s="305">
      <c r="A111" s="67" t="inlineStr">
        <is>
          <t>TRACKINGORDERSTATUS_S306</t>
        </is>
      </c>
      <c r="B111" s="67" t="inlineStr">
        <is>
          <t>Nhận bàn giao</t>
        </is>
      </c>
      <c r="C111" s="67" t="inlineStr">
        <is>
          <t>Accept handover</t>
        </is>
      </c>
      <c r="D111" s="3">
        <f>IFERROR(__xludf.DUMMYFUNCTION("GOOGLETRANSLATE(B111,""vi"",""km"")"),"ស្វែងរកការប្រគល់")</f>
        <v/>
      </c>
      <c r="E111" s="67" t="inlineStr">
        <is>
          <t>ទទួលការប្រគល់</t>
        </is>
      </c>
      <c r="F111" s="3" t="inlineStr">
        <is>
          <t>ទទួលការប្រគល់ទទួល</t>
        </is>
      </c>
      <c r="G111" s="67" t="n"/>
      <c r="H111" t="inlineStr">
        <is>
          <t>ទទួលការប្រគល់ទទួល</t>
        </is>
      </c>
      <c r="I111" s="67" t="n"/>
      <c r="J111" s="67" t="n"/>
      <c r="K111" s="67" t="n"/>
      <c r="L111" s="67" t="n"/>
      <c r="M111" s="67" t="n"/>
      <c r="N111" s="67" t="n"/>
      <c r="O111" s="67" t="n"/>
      <c r="P111" s="67" t="n"/>
      <c r="Q111" s="67" t="n"/>
      <c r="R111" s="67" t="n"/>
      <c r="S111" s="67" t="n"/>
      <c r="T111" s="67" t="n"/>
      <c r="U111" s="67" t="n"/>
      <c r="V111" s="67" t="n"/>
      <c r="W111" s="67" t="n"/>
      <c r="X111" s="67" t="n"/>
      <c r="Y111" s="67" t="n"/>
      <c r="Z111" s="67" t="n"/>
      <c r="AA111" s="67" t="n"/>
      <c r="AB111" s="67" t="n"/>
    </row>
    <row r="112" ht="15.75" customHeight="1" s="305">
      <c r="A112" s="67" t="inlineStr">
        <is>
          <t>TRACKINGORDERSTATUS_S307</t>
        </is>
      </c>
      <c r="B112" s="67" t="inlineStr">
        <is>
          <t>Từ chối nhận bàn giao</t>
        </is>
      </c>
      <c r="C112" s="67" t="inlineStr">
        <is>
          <t>Reject</t>
        </is>
      </c>
      <c r="D112" s="3">
        <f>IFERROR(__xludf.DUMMYFUNCTION("GOOGLETRANSLATE(B112,""vi"",""km"")"),"បដិសេធមិនទទួលយកការប្រគល់ជូន។")</f>
        <v/>
      </c>
      <c r="E112" s="67" t="inlineStr">
        <is>
          <t>បដិសេធការប្រគល់</t>
        </is>
      </c>
      <c r="F112" s="3" t="inlineStr">
        <is>
          <t>បដិសេធទទួលការប្រគល់</t>
        </is>
      </c>
      <c r="G112" s="67" t="n"/>
      <c r="H112" t="inlineStr">
        <is>
          <t>បដិសេធទទួលការប្រគល់</t>
        </is>
      </c>
      <c r="I112" s="67" t="n"/>
      <c r="J112" s="67" t="n"/>
      <c r="K112" s="67" t="n"/>
      <c r="L112" s="67" t="n"/>
      <c r="M112" s="67" t="n"/>
      <c r="N112" s="67" t="n"/>
      <c r="O112" s="67" t="n"/>
      <c r="P112" s="67" t="n"/>
      <c r="Q112" s="67" t="n"/>
      <c r="R112" s="67" t="n"/>
      <c r="S112" s="67" t="n"/>
      <c r="T112" s="67" t="n"/>
      <c r="U112" s="67" t="n"/>
      <c r="V112" s="67" t="n"/>
      <c r="W112" s="67" t="n"/>
      <c r="X112" s="67" t="n"/>
      <c r="Y112" s="67" t="n"/>
      <c r="Z112" s="67" t="n"/>
      <c r="AA112" s="67" t="n"/>
      <c r="AB112" s="67" t="n"/>
    </row>
    <row r="113" ht="15.75" customHeight="1" s="305">
      <c r="A113" s="67" t="inlineStr">
        <is>
          <t>TRACKINGORDERSTATUS_S308</t>
        </is>
      </c>
      <c r="B113" s="67" t="inlineStr">
        <is>
          <t>Xác nhận rời đơn vị</t>
        </is>
      </c>
      <c r="C113" s="67" t="inlineStr">
        <is>
          <t>Confirm departure from unit</t>
        </is>
      </c>
      <c r="D113" s="3">
        <f>IFERROR(__xludf.DUMMYFUNCTION("GOOGLETRANSLATE(B113,""vi"",""km"")"),"ការបញ្ជាក់ពីការចាកចេញពីអង្គភាព")</f>
        <v/>
      </c>
      <c r="E113" s="67" t="inlineStr">
        <is>
          <t>បញ្ជាក់ការចាកចេញអង្គភាព</t>
        </is>
      </c>
      <c r="F113" s="3" t="inlineStr">
        <is>
          <t>បញ្ជាក់ការចាកចេញពីសាខា/ឃ្លាំង</t>
        </is>
      </c>
      <c r="G113" s="67" t="n"/>
      <c r="H113" t="inlineStr">
        <is>
          <t>បញ្ជាក់ការចាកចេញពីសាខា/ឃ្លាំង</t>
        </is>
      </c>
      <c r="I113" s="67" t="n"/>
      <c r="J113" s="67" t="n"/>
      <c r="K113" s="67" t="n"/>
      <c r="L113" s="67" t="n"/>
      <c r="M113" s="67" t="n"/>
      <c r="N113" s="67" t="n"/>
      <c r="O113" s="67" t="n"/>
      <c r="P113" s="67" t="n"/>
      <c r="Q113" s="67" t="n"/>
      <c r="R113" s="67" t="n"/>
      <c r="S113" s="67" t="n"/>
      <c r="T113" s="67" t="n"/>
      <c r="U113" s="67" t="n"/>
      <c r="V113" s="67" t="n"/>
      <c r="W113" s="67" t="n"/>
      <c r="X113" s="67" t="n"/>
      <c r="Y113" s="67" t="n"/>
      <c r="Z113" s="67" t="n"/>
      <c r="AA113" s="67" t="n"/>
      <c r="AB113" s="67" t="n"/>
    </row>
    <row r="114" ht="15.75" customHeight="1" s="305">
      <c r="A114" s="67" t="inlineStr">
        <is>
          <t>TRACKINGORDERSTATUS_S309</t>
        </is>
      </c>
      <c r="B114" s="67" t="inlineStr">
        <is>
          <t>Nhận bưu gửi</t>
        </is>
      </c>
      <c r="C114" s="67" t="inlineStr">
        <is>
          <t>Receive bill</t>
        </is>
      </c>
      <c r="D114" s="3">
        <f>IFERROR(__xludf.DUMMYFUNCTION("GOOGLETRANSLATE(B114,""vi"",""km"")"),"ទទួល​សំបុត្រ")</f>
        <v/>
      </c>
      <c r="E114" s="67" t="inlineStr">
        <is>
          <t>ទទួលក្បាលដី</t>
        </is>
      </c>
      <c r="F114" s="3" t="inlineStr">
        <is>
          <t>ទទួលបុងបញ្ញើ</t>
        </is>
      </c>
      <c r="G114" s="67" t="n"/>
      <c r="H114" t="inlineStr">
        <is>
          <t>ទទួលបុងបញ្ញើ</t>
        </is>
      </c>
      <c r="I114" s="67" t="n"/>
      <c r="J114" s="67" t="n"/>
      <c r="K114" s="67" t="n"/>
      <c r="L114" s="67" t="n"/>
      <c r="M114" s="67" t="n"/>
      <c r="N114" s="67" t="n"/>
      <c r="O114" s="67" t="n"/>
      <c r="P114" s="67" t="n"/>
      <c r="Q114" s="67" t="n"/>
      <c r="R114" s="67" t="n"/>
      <c r="S114" s="67" t="n"/>
      <c r="T114" s="67" t="n"/>
      <c r="U114" s="67" t="n"/>
      <c r="V114" s="67" t="n"/>
      <c r="W114" s="67" t="n"/>
      <c r="X114" s="67" t="n"/>
      <c r="Y114" s="67" t="n"/>
      <c r="Z114" s="67" t="n"/>
      <c r="AA114" s="67" t="n"/>
      <c r="AB114" s="67" t="n"/>
    </row>
    <row r="115" ht="15.75" customHeight="1" s="305">
      <c r="A115" s="67" t="inlineStr">
        <is>
          <t>TRACKINGORDERSTATUS_S400</t>
        </is>
      </c>
      <c r="B115" s="67" t="inlineStr">
        <is>
          <t>Phân công giao - Chưa hoàn thành</t>
        </is>
      </c>
      <c r="C115" s="67" t="inlineStr">
        <is>
          <t>Assigned to deliver - Not completed</t>
        </is>
      </c>
      <c r="D115" s="3">
        <f>IFERROR(__xludf.DUMMYFUNCTION("GOOGLETRANSLATE(B115,""vi"",""km"")"),"កិច្ចការ - មិនទាន់បានបញ្ចប់នៅឡើយទេ")</f>
        <v/>
      </c>
      <c r="E115" s="67" t="inlineStr">
        <is>
          <t>ចាត់តាំងការដឹកជញ្ជូន - មិនទាន់បានបញ្ចប់</t>
        </is>
      </c>
      <c r="F115" s="3" t="inlineStr">
        <is>
          <t>ចាត់តាំងការដឹកជញ្ជូន - មិនទាន់បញ្ចប់</t>
        </is>
      </c>
      <c r="G115" s="67" t="n"/>
      <c r="H115" t="inlineStr">
        <is>
          <t>ចាត់តាំងការដឹកជញ្ជូន - មិនទាន់បញ្ចប់</t>
        </is>
      </c>
      <c r="I115" s="67" t="n"/>
      <c r="J115" s="67" t="n"/>
      <c r="K115" s="67" t="n"/>
      <c r="L115" s="67" t="n"/>
      <c r="M115" s="67" t="n"/>
      <c r="N115" s="67" t="n"/>
      <c r="O115" s="67" t="n"/>
      <c r="P115" s="67" t="n"/>
      <c r="Q115" s="67" t="n"/>
      <c r="R115" s="67" t="n"/>
      <c r="S115" s="67" t="n"/>
      <c r="T115" s="67" t="n"/>
      <c r="U115" s="67" t="n"/>
      <c r="V115" s="67" t="n"/>
      <c r="W115" s="67" t="n"/>
      <c r="X115" s="67" t="n"/>
      <c r="Y115" s="67" t="n"/>
      <c r="Z115" s="67" t="n"/>
      <c r="AA115" s="67" t="n"/>
      <c r="AB115" s="67" t="n"/>
    </row>
    <row r="116" ht="15.75" customHeight="1" s="305">
      <c r="A116" s="67" t="inlineStr">
        <is>
          <t>TRACKINGORDERSTATUS_S401</t>
        </is>
      </c>
      <c r="B116" s="67" t="inlineStr">
        <is>
          <t>Phân công giao - Đã hoàn thành</t>
        </is>
      </c>
      <c r="C116" s="67" t="inlineStr">
        <is>
          <t>Assigned to deliver</t>
        </is>
      </c>
      <c r="D116" s="3">
        <f>IFERROR(__xludf.DUMMYFUNCTION("GOOGLETRANSLATE(B116,""vi"",""km"")"),"កិច្ចការបានបញ្ចប់")</f>
        <v/>
      </c>
      <c r="E116" s="67" t="inlineStr">
        <is>
          <t>ចាត់តាំងការដឹកជញ្ជូន - បានបញ្ចប់</t>
        </is>
      </c>
      <c r="F116" s="3" t="inlineStr">
        <is>
          <t>ចាត់តាំងការដឹកជញ្ជូន - បានបញ្ចប់</t>
        </is>
      </c>
      <c r="G116" s="67" t="n"/>
      <c r="H116" t="inlineStr">
        <is>
          <t>ចាត់តាំងការដឹកជញ្ជូន - បានបញ្ចប់</t>
        </is>
      </c>
      <c r="I116" s="67" t="n"/>
      <c r="J116" s="67" t="n"/>
      <c r="K116" s="67" t="n"/>
      <c r="L116" s="67" t="n"/>
      <c r="M116" s="67" t="n"/>
      <c r="N116" s="67" t="n"/>
      <c r="O116" s="67" t="n"/>
      <c r="P116" s="67" t="n"/>
      <c r="Q116" s="67" t="n"/>
      <c r="R116" s="67" t="n"/>
      <c r="S116" s="67" t="n"/>
      <c r="T116" s="67" t="n"/>
      <c r="U116" s="67" t="n"/>
      <c r="V116" s="67" t="n"/>
      <c r="W116" s="67" t="n"/>
      <c r="X116" s="67" t="n"/>
      <c r="Y116" s="67" t="n"/>
      <c r="Z116" s="67" t="n"/>
      <c r="AA116" s="67" t="n"/>
      <c r="AB116" s="67" t="n"/>
    </row>
    <row r="117" ht="15.75" customHeight="1" s="305">
      <c r="A117" s="67" t="inlineStr">
        <is>
          <t>TRACKINGORDERSTATUS_S402</t>
        </is>
      </c>
      <c r="B117" s="67" t="inlineStr">
        <is>
          <t>Xác nhận phân công</t>
        </is>
      </c>
      <c r="C117" s="67" t="inlineStr">
        <is>
          <t>Assignment confirmation</t>
        </is>
      </c>
      <c r="D117" s="3">
        <f>IFERROR(__xludf.DUMMYFUNCTION("GOOGLETRANSLATE(B117,""vi"",""km"")"),"បញ្ជាក់​ការចាត់តាំង")</f>
        <v/>
      </c>
      <c r="E117" s="67" t="inlineStr">
        <is>
          <t>បញ្ជាក់ការចាត់តាំង</t>
        </is>
      </c>
      <c r="F117" s="3" t="inlineStr">
        <is>
          <t>បញ្ជាក់ការចាត់តាំងការងារ</t>
        </is>
      </c>
      <c r="G117" s="67" t="n"/>
      <c r="H117" t="inlineStr">
        <is>
          <t>បញ្ជាក់ការចាត់តាំងការងារ</t>
        </is>
      </c>
      <c r="I117" s="67" t="n"/>
      <c r="J117" s="67" t="n"/>
      <c r="K117" s="67" t="n"/>
      <c r="L117" s="67" t="n"/>
      <c r="M117" s="67" t="n"/>
      <c r="N117" s="67" t="n"/>
      <c r="O117" s="67" t="n"/>
      <c r="P117" s="67" t="n"/>
      <c r="Q117" s="67" t="n"/>
      <c r="R117" s="67" t="n"/>
      <c r="S117" s="67" t="n"/>
      <c r="T117" s="67" t="n"/>
      <c r="U117" s="67" t="n"/>
      <c r="V117" s="67" t="n"/>
      <c r="W117" s="67" t="n"/>
      <c r="X117" s="67" t="n"/>
      <c r="Y117" s="67" t="n"/>
      <c r="Z117" s="67" t="n"/>
      <c r="AA117" s="67" t="n"/>
      <c r="AB117" s="67" t="n"/>
    </row>
    <row r="118" ht="15.75" customHeight="1" s="305">
      <c r="A118" s="67" t="inlineStr">
        <is>
          <t>TRACKINGORDERSTATUS_S410</t>
        </is>
      </c>
      <c r="B118" s="67" t="inlineStr">
        <is>
          <t>Giao thành công</t>
        </is>
      </c>
      <c r="C118" s="67" t="inlineStr">
        <is>
          <t>Shipped</t>
        </is>
      </c>
      <c r="D118" s="3">
        <f>IFERROR(__xludf.DUMMYFUNCTION("GOOGLETRANSLATE(B118,""vi"",""km"")"),"ការដឹកជញ្ជូនទទួលបានជោគជ័យ")</f>
        <v/>
      </c>
      <c r="E118" s="67" t="inlineStr">
        <is>
          <t>ការដឹកជញ្ជូនដោយជោគជ័យ</t>
        </is>
      </c>
      <c r="F118" s="3" t="inlineStr">
        <is>
          <t>ដឹកជញ្ជូនជោគជ័យ</t>
        </is>
      </c>
      <c r="G118" s="67" t="n"/>
      <c r="H118" t="inlineStr">
        <is>
          <t>ដឹកជញ្ជូនជោគជ័យ</t>
        </is>
      </c>
      <c r="I118" s="67" t="n"/>
      <c r="J118" s="67" t="n"/>
      <c r="K118" s="67" t="n"/>
      <c r="L118" s="67" t="n"/>
      <c r="M118" s="67" t="n"/>
      <c r="N118" s="67" t="n"/>
      <c r="O118" s="67" t="n"/>
      <c r="P118" s="67" t="n"/>
      <c r="Q118" s="67" t="n"/>
      <c r="R118" s="67" t="n"/>
      <c r="S118" s="67" t="n"/>
      <c r="T118" s="67" t="n"/>
      <c r="U118" s="67" t="n"/>
      <c r="V118" s="67" t="n"/>
      <c r="W118" s="67" t="n"/>
      <c r="X118" s="67" t="n"/>
      <c r="Y118" s="67" t="n"/>
      <c r="Z118" s="67" t="n"/>
      <c r="AA118" s="67" t="n"/>
      <c r="AB118" s="67" t="n"/>
    </row>
    <row r="119" ht="15.75" customHeight="1" s="305">
      <c r="A119" s="67" t="inlineStr">
        <is>
          <t>TRACKINGORDERSTATUS_S420</t>
        </is>
      </c>
      <c r="B119" s="67" t="inlineStr">
        <is>
          <t>Hẹn giao lại</t>
        </is>
      </c>
      <c r="C119" s="67" t="inlineStr">
        <is>
          <t>Ship again</t>
        </is>
      </c>
      <c r="D119" s="3">
        <f>IFERROR(__xludf.DUMMYFUNCTION("GOOGLETRANSLATE(B119,""vi"",""km"")"),"ការដឹកជញ្ជូនត្រូវបានកំណត់ពេលឡើងវិញ")</f>
        <v/>
      </c>
      <c r="E119" s="67" t="inlineStr">
        <is>
          <t>កំណត់ពេលដឹកជញ្ជូនឡើងវិញ</t>
        </is>
      </c>
      <c r="F119" s="3" t="inlineStr">
        <is>
          <t>ណាត់ពេលដឹកជញ្ជូនម្តងទៀត</t>
        </is>
      </c>
      <c r="G119" s="67" t="n"/>
      <c r="H119" t="inlineStr">
        <is>
          <t>ណាត់ពេលដឹកជញ្ជូនម្តងទៀត</t>
        </is>
      </c>
      <c r="I119" s="67" t="n"/>
      <c r="J119" s="67" t="n"/>
      <c r="K119" s="67" t="n"/>
      <c r="L119" s="67" t="n"/>
      <c r="M119" s="67" t="n"/>
      <c r="N119" s="67" t="n"/>
      <c r="O119" s="67" t="n"/>
      <c r="P119" s="67" t="n"/>
      <c r="Q119" s="67" t="n"/>
      <c r="R119" s="67" t="n"/>
      <c r="S119" s="67" t="n"/>
      <c r="T119" s="67" t="n"/>
      <c r="U119" s="67" t="n"/>
      <c r="V119" s="67" t="n"/>
      <c r="W119" s="67" t="n"/>
      <c r="X119" s="67" t="n"/>
      <c r="Y119" s="67" t="n"/>
      <c r="Z119" s="67" t="n"/>
      <c r="AA119" s="67" t="n"/>
      <c r="AB119" s="67" t="n"/>
    </row>
    <row r="120" ht="15.75" customHeight="1" s="305">
      <c r="A120" s="67" t="inlineStr">
        <is>
          <t>TRACKINGORDERSTATUS_S430</t>
        </is>
      </c>
      <c r="B120" s="67" t="inlineStr">
        <is>
          <t>Không giao được hàng</t>
        </is>
      </c>
      <c r="C120" s="67" t="inlineStr">
        <is>
          <t>Ship failed</t>
        </is>
      </c>
      <c r="D120" s="3">
        <f>IFERROR(__xludf.DUMMYFUNCTION("GOOGLETRANSLATE(B120,""vi"",""km"")"),"មិនអាចដឹកជញ្ជូនបានទេ")</f>
        <v/>
      </c>
      <c r="E120" s="67" t="inlineStr">
        <is>
          <t>មិនអាចដឹកជញ្ជូនបានទេ</t>
        </is>
      </c>
      <c r="F120" s="3" t="inlineStr">
        <is>
          <t>ដឹកជញ្ជូនមិនបានសម្រេច</t>
        </is>
      </c>
      <c r="G120" s="67" t="n"/>
      <c r="H120" t="inlineStr">
        <is>
          <t>ដឹកជញ្ជូនមិនបានសម្រេច</t>
        </is>
      </c>
      <c r="I120" s="67" t="n"/>
      <c r="J120" s="67" t="n"/>
      <c r="K120" s="67" t="n"/>
      <c r="L120" s="67" t="n"/>
      <c r="M120" s="67" t="n"/>
      <c r="N120" s="67" t="n"/>
      <c r="O120" s="67" t="n"/>
      <c r="P120" s="67" t="n"/>
      <c r="Q120" s="67" t="n"/>
      <c r="R120" s="67" t="n"/>
      <c r="S120" s="67" t="n"/>
      <c r="T120" s="67" t="n"/>
      <c r="U120" s="67" t="n"/>
      <c r="V120" s="67" t="n"/>
      <c r="W120" s="67" t="n"/>
      <c r="X120" s="67" t="n"/>
      <c r="Y120" s="67" t="n"/>
      <c r="Z120" s="67" t="n"/>
      <c r="AA120" s="67" t="n"/>
      <c r="AB120" s="67" t="n"/>
    </row>
    <row r="121" ht="15.75" customHeight="1" s="305">
      <c r="A121" s="67" t="inlineStr">
        <is>
          <t>TRACKINGORDERSTATUS_S440</t>
        </is>
      </c>
      <c r="B121" s="67" t="inlineStr">
        <is>
          <t>Yêu cầu giao một phần</t>
        </is>
      </c>
      <c r="C121" s="67" t="inlineStr">
        <is>
          <t>Partial ship request</t>
        </is>
      </c>
      <c r="D121" s="3">
        <f>IFERROR(__xludf.DUMMYFUNCTION("GOOGLETRANSLATE(B121,""vi"",""km"")"),"សំណើសុំការដឹកជញ្ជូនដោយផ្នែក")</f>
        <v/>
      </c>
      <c r="E121" s="67" t="inlineStr">
        <is>
          <t>ស្នើសុំការដឹកជញ្ជូនដោយផ្នែក</t>
        </is>
      </c>
      <c r="F121" s="3" t="inlineStr">
        <is>
          <t>សំណើសុំការដឹកជញ្ជូនដោយផ្នែក</t>
        </is>
      </c>
      <c r="G121" s="67" t="n"/>
      <c r="H121" t="inlineStr">
        <is>
          <t>សំណើសុំការដឹកជញ្ជូនដោយផ្នែក</t>
        </is>
      </c>
      <c r="I121" s="67" t="n"/>
      <c r="J121" s="67" t="n"/>
      <c r="K121" s="67" t="n"/>
      <c r="L121" s="67" t="n"/>
      <c r="M121" s="67" t="n"/>
      <c r="N121" s="67" t="n"/>
      <c r="O121" s="67" t="n"/>
      <c r="P121" s="67" t="n"/>
      <c r="Q121" s="67" t="n"/>
      <c r="R121" s="67" t="n"/>
      <c r="S121" s="67" t="n"/>
      <c r="T121" s="67" t="n"/>
      <c r="U121" s="67" t="n"/>
      <c r="V121" s="67" t="n"/>
      <c r="W121" s="67" t="n"/>
      <c r="X121" s="67" t="n"/>
      <c r="Y121" s="67" t="n"/>
      <c r="Z121" s="67" t="n"/>
      <c r="AA121" s="67" t="n"/>
      <c r="AB121" s="67" t="n"/>
    </row>
    <row r="122" ht="15.75" customHeight="1" s="305">
      <c r="A122" s="67" t="inlineStr">
        <is>
          <t>TRACKINGORDERSTATUS_S441</t>
        </is>
      </c>
      <c r="B122" s="67" t="inlineStr">
        <is>
          <t>Giao thành công một phần</t>
        </is>
      </c>
      <c r="C122" s="67" t="inlineStr">
        <is>
          <t>Partially shipped</t>
        </is>
      </c>
      <c r="D122" s="3">
        <f>IFERROR(__xludf.DUMMYFUNCTION("GOOGLETRANSLATE(B122,""vi"",""km"")"),"ការដឹកជញ្ជូនដោយផ្នែកទទួលបានជោគជ័យ។")</f>
        <v/>
      </c>
      <c r="E122" s="67" t="inlineStr">
        <is>
          <t>ការដឹកជញ្ជូនដោយផ្នែកទទួលបានជោគជ័យ</t>
        </is>
      </c>
      <c r="F122" s="3" t="inlineStr">
        <is>
          <t>ការដឹកជញ្ជូនដោយផ្នែកទទួលបានជោគជ័យ។</t>
        </is>
      </c>
      <c r="G122" s="67" t="n"/>
      <c r="H122" t="inlineStr">
        <is>
          <t>ការដឹកជញ្ជូនដោយផ្នែកទទួលបានជោគជ័យ។</t>
        </is>
      </c>
      <c r="I122" s="67" t="n"/>
      <c r="J122" s="67" t="n"/>
      <c r="K122" s="67" t="n"/>
      <c r="L122" s="67" t="n"/>
      <c r="M122" s="67" t="n"/>
      <c r="N122" s="67" t="n"/>
      <c r="O122" s="67" t="n"/>
      <c r="P122" s="67" t="n"/>
      <c r="Q122" s="67" t="n"/>
      <c r="R122" s="67" t="n"/>
      <c r="S122" s="67" t="n"/>
      <c r="T122" s="67" t="n"/>
      <c r="U122" s="67" t="n"/>
      <c r="V122" s="67" t="n"/>
      <c r="W122" s="67" t="n"/>
      <c r="X122" s="67" t="n"/>
      <c r="Y122" s="67" t="n"/>
      <c r="Z122" s="67" t="n"/>
      <c r="AA122" s="67" t="n"/>
      <c r="AB122" s="67" t="n"/>
    </row>
    <row r="123" ht="15.75" customHeight="1" s="305">
      <c r="A123" s="67" t="inlineStr">
        <is>
          <t>TRACKINGORDERSTATUS_S450</t>
        </is>
      </c>
      <c r="B123" s="67" t="inlineStr">
        <is>
          <t>Yêu cầu chuyển địa chỉ</t>
        </is>
      </c>
      <c r="C123" s="67" t="inlineStr">
        <is>
          <t>Forwarding request</t>
        </is>
      </c>
      <c r="D123" s="3">
        <f>IFERROR(__xludf.DUMMYFUNCTION("GOOGLETRANSLATE(B123,""vi"",""km"")"),"សំណើសុំផ្លាស់ប្តូរអាសយដ្ឋាន")</f>
        <v/>
      </c>
      <c r="E123" s="67" t="inlineStr">
        <is>
          <t>សំណើសុំផ្លាស់ប្តូរអាសយដ្ឋាន</t>
        </is>
      </c>
      <c r="F123" s="3" t="inlineStr">
        <is>
          <t>ស្នើសុំប្តូរអាសយដ្ឋានដឹកជញ្ជូន</t>
        </is>
      </c>
      <c r="G123" s="67" t="n"/>
      <c r="H123" t="inlineStr">
        <is>
          <t>ស្នើសុំប្តូរអាសយដ្ឋានដឹកជញ្ជូន</t>
        </is>
      </c>
      <c r="I123" s="67" t="n"/>
      <c r="J123" s="67" t="n"/>
      <c r="K123" s="67" t="n"/>
      <c r="L123" s="67" t="n"/>
      <c r="M123" s="67" t="n"/>
      <c r="N123" s="67" t="n"/>
      <c r="O123" s="67" t="n"/>
      <c r="P123" s="67" t="n"/>
      <c r="Q123" s="67" t="n"/>
      <c r="R123" s="67" t="n"/>
      <c r="S123" s="67" t="n"/>
      <c r="T123" s="67" t="n"/>
      <c r="U123" s="67" t="n"/>
      <c r="V123" s="67" t="n"/>
      <c r="W123" s="67" t="n"/>
      <c r="X123" s="67" t="n"/>
      <c r="Y123" s="67" t="n"/>
      <c r="Z123" s="67" t="n"/>
      <c r="AA123" s="67" t="n"/>
      <c r="AB123" s="67" t="n"/>
    </row>
    <row r="124" ht="15.75" customHeight="1" s="305">
      <c r="A124" s="67" t="inlineStr">
        <is>
          <t>TRACKINGORDERSTATUS_S460</t>
        </is>
      </c>
      <c r="B124" s="67" t="inlineStr">
        <is>
          <t>Thông báo chuyển hoàn</t>
        </is>
      </c>
      <c r="C124" s="67" t="inlineStr">
        <is>
          <t>Return request</t>
        </is>
      </c>
      <c r="D124" s="3">
        <f>IFERROR(__xludf.DUMMYFUNCTION("GOOGLETRANSLATE(B124,""vi"",""km"")"),"ការជូនដំណឹងអំពីការសងប្រាក់វិញ")</f>
        <v/>
      </c>
      <c r="E124" s="67" t="inlineStr">
        <is>
          <t>ការជូនដំណឹងអំពីការប្រគល់ទំនិញវិញ</t>
        </is>
      </c>
      <c r="F124" s="3" t="inlineStr">
        <is>
          <t>ជូនដំណឹងអំពីការប្រគល់ត្រឡប់</t>
        </is>
      </c>
      <c r="G124" s="67" t="n"/>
      <c r="H124" t="inlineStr">
        <is>
          <t>ជូនដំណឹងអំពីការប្រគល់ត្រឡប់</t>
        </is>
      </c>
      <c r="I124" s="67" t="n"/>
      <c r="J124" s="67" t="n"/>
      <c r="K124" s="67" t="n"/>
      <c r="L124" s="67" t="n"/>
      <c r="M124" s="67" t="n"/>
      <c r="N124" s="67" t="n"/>
      <c r="O124" s="67" t="n"/>
      <c r="P124" s="67" t="n"/>
      <c r="Q124" s="67" t="n"/>
      <c r="R124" s="67" t="n"/>
      <c r="S124" s="67" t="n"/>
      <c r="T124" s="67" t="n"/>
      <c r="U124" s="67" t="n"/>
      <c r="V124" s="67" t="n"/>
      <c r="W124" s="67" t="n"/>
      <c r="X124" s="67" t="n"/>
      <c r="Y124" s="67" t="n"/>
      <c r="Z124" s="67" t="n"/>
      <c r="AA124" s="67" t="n"/>
      <c r="AB124" s="67" t="n"/>
    </row>
    <row r="125" ht="15.75" customHeight="1" s="305">
      <c r="A125" s="67" t="inlineStr">
        <is>
          <t>TRACKINGORDERSTATUS_S470</t>
        </is>
      </c>
      <c r="B125" s="67" t="inlineStr">
        <is>
          <t>Đã duyệt hoàn</t>
        </is>
      </c>
      <c r="C125" s="67" t="inlineStr">
        <is>
          <t>Return confirmed</t>
        </is>
      </c>
      <c r="D125" s="3">
        <f>IFERROR(__xludf.DUMMYFUNCTION("GOOGLETRANSLATE(B125,""vi"",""km"")"),"យល់ព្រម")</f>
        <v/>
      </c>
      <c r="E125" s="67" t="inlineStr">
        <is>
          <t>យល់ព្រមរួចរាល់</t>
        </is>
      </c>
      <c r="F125" s="3" t="inlineStr">
        <is>
          <t>បានអនុម័តការប្រគល់ត្រឡប់</t>
        </is>
      </c>
      <c r="G125" s="67" t="n"/>
      <c r="H125" t="inlineStr">
        <is>
          <t>បានអនុម័តការប្រគល់ត្រឡប់</t>
        </is>
      </c>
      <c r="I125" s="67" t="n"/>
      <c r="J125" s="67" t="n"/>
      <c r="K125" s="67" t="n"/>
      <c r="L125" s="67" t="n"/>
      <c r="M125" s="67" t="n"/>
      <c r="N125" s="67" t="n"/>
      <c r="O125" s="67" t="n"/>
      <c r="P125" s="67" t="n"/>
      <c r="Q125" s="67" t="n"/>
      <c r="R125" s="67" t="n"/>
      <c r="S125" s="67" t="n"/>
      <c r="T125" s="67" t="n"/>
      <c r="U125" s="67" t="n"/>
      <c r="V125" s="67" t="n"/>
      <c r="W125" s="67" t="n"/>
      <c r="X125" s="67" t="n"/>
      <c r="Y125" s="67" t="n"/>
      <c r="Z125" s="67" t="n"/>
      <c r="AA125" s="67" t="n"/>
      <c r="AB125" s="67" t="n"/>
    </row>
    <row r="126" ht="15.75" customHeight="1" s="305">
      <c r="A126" s="67" t="inlineStr">
        <is>
          <t>TRACKINGORDERSTATUS_S473</t>
        </is>
      </c>
      <c r="B126" s="67" t="inlineStr">
        <is>
          <t>Phát tiếp</t>
        </is>
      </c>
      <c r="C126" s="67" t="inlineStr">
        <is>
          <t>Redelivery</t>
        </is>
      </c>
      <c r="D126" s="3">
        <f>IFERROR(__xludf.DUMMYFUNCTION("GOOGLETRANSLATE(B126,""vi"",""km"")"),"លេងម្តងទៀត")</f>
        <v/>
      </c>
      <c r="E126" s="67" t="inlineStr">
        <is>
          <t>បន្តការដឹកជញ្ជូន</t>
        </is>
      </c>
      <c r="F126" s="3" t="inlineStr">
        <is>
          <t>ដឹកជញ្ជូនបន្ត</t>
        </is>
      </c>
      <c r="G126" s="67" t="n"/>
      <c r="H126" t="inlineStr">
        <is>
          <t>ដឹកជញ្ជូនបន្ត</t>
        </is>
      </c>
      <c r="I126" s="67" t="n"/>
      <c r="J126" s="67" t="n"/>
      <c r="K126" s="67" t="n"/>
      <c r="L126" s="67" t="n"/>
      <c r="M126" s="67" t="n"/>
      <c r="N126" s="67" t="n"/>
      <c r="O126" s="67" t="n"/>
      <c r="P126" s="67" t="n"/>
      <c r="Q126" s="67" t="n"/>
      <c r="R126" s="67" t="n"/>
      <c r="S126" s="67" t="n"/>
      <c r="T126" s="67" t="n"/>
      <c r="U126" s="67" t="n"/>
      <c r="V126" s="67" t="n"/>
      <c r="W126" s="67" t="n"/>
      <c r="X126" s="67" t="n"/>
      <c r="Y126" s="67" t="n"/>
      <c r="Z126" s="67" t="n"/>
      <c r="AA126" s="67" t="n"/>
      <c r="AB126" s="67" t="n"/>
    </row>
    <row r="127" ht="15.75" customHeight="1" s="305">
      <c r="A127" s="67" t="inlineStr">
        <is>
          <t>TRACKINGORDERSTATUS_S480</t>
        </is>
      </c>
      <c r="B127" s="67" t="inlineStr">
        <is>
          <t>Chuyển giao địa chỉ mới</t>
        </is>
      </c>
      <c r="C127" s="67" t="inlineStr">
        <is>
          <t>Change address</t>
        </is>
      </c>
      <c r="D127" s="3">
        <f>IFERROR(__xludf.DUMMYFUNCTION("GOOGLETRANSLATE(B127,""vi"",""km"")"),"ផ្ទេរទៅអាសយដ្ឋានថ្មី។")</f>
        <v/>
      </c>
      <c r="E127" s="67" t="inlineStr">
        <is>
          <t>ផ្ទេរទៅអាសយដ្ឋានថ្មី</t>
        </is>
      </c>
      <c r="F127" s="3" t="inlineStr">
        <is>
          <t>ដឹកជញ្ជូនទៅកាន់អាសយដ្ឋានថ្មី</t>
        </is>
      </c>
      <c r="G127" s="67" t="n"/>
      <c r="H127" t="inlineStr">
        <is>
          <t>ដឹកជញ្ជូនទៅកាន់អាសយដ្ឋានថ្មី</t>
        </is>
      </c>
      <c r="I127" s="67" t="n"/>
      <c r="J127" s="67" t="n"/>
      <c r="K127" s="67" t="n"/>
      <c r="L127" s="67" t="n"/>
      <c r="M127" s="67" t="n"/>
      <c r="N127" s="67" t="n"/>
      <c r="O127" s="67" t="n"/>
      <c r="P127" s="67" t="n"/>
      <c r="Q127" s="67" t="n"/>
      <c r="R127" s="67" t="n"/>
      <c r="S127" s="67" t="n"/>
      <c r="T127" s="67" t="n"/>
      <c r="U127" s="67" t="n"/>
      <c r="V127" s="67" t="n"/>
      <c r="W127" s="67" t="n"/>
      <c r="X127" s="67" t="n"/>
      <c r="Y127" s="67" t="n"/>
      <c r="Z127" s="67" t="n"/>
      <c r="AA127" s="67" t="n"/>
      <c r="AB127" s="67" t="n"/>
    </row>
    <row r="128" ht="15.75" customHeight="1" s="305">
      <c r="A128" s="67" t="inlineStr">
        <is>
          <t>TRACKINGORDERSTATUS_S500</t>
        </is>
      </c>
      <c r="B128" s="67" t="inlineStr">
        <is>
          <t>Chuyển hoàn</t>
        </is>
      </c>
      <c r="C128" s="67" t="inlineStr">
        <is>
          <t>Return request</t>
        </is>
      </c>
      <c r="D128" s="3">
        <f>IFERROR(__xludf.DUMMYFUNCTION("GOOGLETRANSLATE(B128,""vi"",""km"")"),"ត្រឡប់មកវិញ")</f>
        <v/>
      </c>
      <c r="E128" s="67" t="inlineStr">
        <is>
          <t>ការដឹកជញ្ជូនប្រគល់ទំនិញវិញ</t>
        </is>
      </c>
      <c r="F128" s="3" t="inlineStr">
        <is>
          <t>ត្រឡប់មកវិញ</t>
        </is>
      </c>
      <c r="G128" s="67" t="n"/>
      <c r="H128" t="inlineStr">
        <is>
          <t>ត្រឡប់មកវិញ</t>
        </is>
      </c>
      <c r="I128" s="67" t="n"/>
      <c r="J128" s="67" t="n"/>
      <c r="K128" s="67" t="n"/>
      <c r="L128" s="67" t="n"/>
      <c r="M128" s="67" t="n"/>
      <c r="N128" s="67" t="n"/>
      <c r="O128" s="67" t="n"/>
      <c r="P128" s="67" t="n"/>
      <c r="Q128" s="67" t="n"/>
      <c r="R128" s="67" t="n"/>
      <c r="S128" s="67" t="n"/>
      <c r="T128" s="67" t="n"/>
      <c r="U128" s="67" t="n"/>
      <c r="V128" s="67" t="n"/>
      <c r="W128" s="67" t="n"/>
      <c r="X128" s="67" t="n"/>
      <c r="Y128" s="67" t="n"/>
      <c r="Z128" s="67" t="n"/>
      <c r="AA128" s="67" t="n"/>
      <c r="AB128" s="67" t="n"/>
    </row>
    <row r="129" ht="15.75" customHeight="1" s="305">
      <c r="A129" s="67" t="inlineStr">
        <is>
          <t>TRACKINGORDERSTATUS_S510</t>
        </is>
      </c>
      <c r="B129" s="67" t="inlineStr">
        <is>
          <t>Phân công giao hoàn - Chưa hoàn thành</t>
        </is>
      </c>
      <c r="C129" s="67" t="inlineStr">
        <is>
          <t>Return assignment - Not completed</t>
        </is>
      </c>
      <c r="D129" s="3">
        <f>IFERROR(__xludf.DUMMYFUNCTION("GOOGLETRANSLATE(B129,""vi"",""km"")"),"ការប្រគល់ភារកិច្ច - មិនទាន់បានបញ្ចប់នៅឡើយទេ")</f>
        <v/>
      </c>
      <c r="E129" s="67" t="inlineStr">
        <is>
          <t>ការប្រគល់ទំនិញវិញ - មិនទាន់បានបញ្ចប់</t>
        </is>
      </c>
      <c r="F129" s="3" t="inlineStr">
        <is>
          <t>ការប្រគល់ភារកិច្ច - មិនទាន់បានបញ្ចប់នៅឡើយទេ</t>
        </is>
      </c>
      <c r="G129" s="67" t="n"/>
      <c r="H129" t="inlineStr">
        <is>
          <t>ការប្រគល់ភារកិច្ច - មិនទាន់បានបញ្ចប់នៅឡើយទេ</t>
        </is>
      </c>
      <c r="I129" s="67" t="n"/>
      <c r="J129" s="67" t="n"/>
      <c r="K129" s="67" t="n"/>
      <c r="L129" s="67" t="n"/>
      <c r="M129" s="67" t="n"/>
      <c r="N129" s="67" t="n"/>
      <c r="O129" s="67" t="n"/>
      <c r="P129" s="67" t="n"/>
      <c r="Q129" s="67" t="n"/>
      <c r="R129" s="67" t="n"/>
      <c r="S129" s="67" t="n"/>
      <c r="T129" s="67" t="n"/>
      <c r="U129" s="67" t="n"/>
      <c r="V129" s="67" t="n"/>
      <c r="W129" s="67" t="n"/>
      <c r="X129" s="67" t="n"/>
      <c r="Y129" s="67" t="n"/>
      <c r="Z129" s="67" t="n"/>
      <c r="AA129" s="67" t="n"/>
      <c r="AB129" s="67" t="n"/>
    </row>
    <row r="130" ht="15.75" customHeight="1" s="305">
      <c r="A130" s="67" t="inlineStr">
        <is>
          <t>TRACKINGORDERSTATUS_S511</t>
        </is>
      </c>
      <c r="B130" s="67" t="inlineStr">
        <is>
          <t>Phân công giao hoàn - Đã hoàn thành</t>
        </is>
      </c>
      <c r="C130" s="67" t="inlineStr">
        <is>
          <t>Return assignment - Completed</t>
        </is>
      </c>
      <c r="D130" s="3">
        <f>IFERROR(__xludf.DUMMYFUNCTION("GOOGLETRANSLATE(B130,""vi"",""km"")"),"ការប្រគល់ភារកិច្ច - បានបញ្ចប់")</f>
        <v/>
      </c>
      <c r="E130" s="67" t="inlineStr">
        <is>
          <t>ការប្រគល់ទំនិញវិញ - បានបញ្ចប់</t>
        </is>
      </c>
      <c r="F130" s="3" t="inlineStr">
        <is>
          <t>ការប្រគល់ភារកិច្ច - បានបញ្ចប់</t>
        </is>
      </c>
      <c r="G130" s="67" t="n"/>
      <c r="H130" t="inlineStr">
        <is>
          <t>ការប្រគល់ភារកិច្ច - បានបញ្ចប់</t>
        </is>
      </c>
      <c r="I130" s="67" t="n"/>
      <c r="J130" s="67" t="n"/>
      <c r="K130" s="67" t="n"/>
      <c r="L130" s="67" t="n"/>
      <c r="M130" s="67" t="n"/>
      <c r="N130" s="67" t="n"/>
      <c r="O130" s="67" t="n"/>
      <c r="P130" s="67" t="n"/>
      <c r="Q130" s="67" t="n"/>
      <c r="R130" s="67" t="n"/>
      <c r="S130" s="67" t="n"/>
      <c r="T130" s="67" t="n"/>
      <c r="U130" s="67" t="n"/>
      <c r="V130" s="67" t="n"/>
      <c r="W130" s="67" t="n"/>
      <c r="X130" s="67" t="n"/>
      <c r="Y130" s="67" t="n"/>
      <c r="Z130" s="67" t="n"/>
      <c r="AA130" s="67" t="n"/>
      <c r="AB130" s="67" t="n"/>
    </row>
    <row r="131" ht="15.75" customHeight="1" s="305">
      <c r="A131" s="67" t="inlineStr">
        <is>
          <t>TRACKINGORDERSTATUS_S520</t>
        </is>
      </c>
      <c r="B131" s="67" t="inlineStr">
        <is>
          <t>Đã trả hàng</t>
        </is>
      </c>
      <c r="C131" s="67" t="inlineStr">
        <is>
          <t>Return successful</t>
        </is>
      </c>
      <c r="D131" s="3">
        <f>IFERROR(__xludf.DUMMYFUNCTION("GOOGLETRANSLATE(B131,""vi"",""km"")"),"បានត្រឡប់មកវិញ")</f>
        <v/>
      </c>
      <c r="E131" s="67" t="inlineStr">
        <is>
          <t>ទំនិញត្រូវបានប្រគល់មកវិញ</t>
        </is>
      </c>
      <c r="F131" s="3" t="inlineStr">
        <is>
          <t>បានប្រគល់ត្រឡប់</t>
        </is>
      </c>
      <c r="G131" s="67" t="n"/>
      <c r="H131" t="inlineStr">
        <is>
          <t>បានប្រគល់ត្រឡប់</t>
        </is>
      </c>
      <c r="I131" s="67" t="n"/>
      <c r="J131" s="67" t="n"/>
      <c r="K131" s="67" t="n"/>
      <c r="L131" s="67" t="n"/>
      <c r="M131" s="67" t="n"/>
      <c r="N131" s="67" t="n"/>
      <c r="O131" s="67" t="n"/>
      <c r="P131" s="67" t="n"/>
      <c r="Q131" s="67" t="n"/>
      <c r="R131" s="67" t="n"/>
      <c r="S131" s="67" t="n"/>
      <c r="T131" s="67" t="n"/>
      <c r="U131" s="67" t="n"/>
      <c r="V131" s="67" t="n"/>
      <c r="W131" s="67" t="n"/>
      <c r="X131" s="67" t="n"/>
      <c r="Y131" s="67" t="n"/>
      <c r="Z131" s="67" t="n"/>
      <c r="AA131" s="67" t="n"/>
      <c r="AB131" s="67" t="n"/>
    </row>
    <row r="132" ht="15.75" customHeight="1" s="305">
      <c r="A132" s="67" t="inlineStr">
        <is>
          <t>TRACKINGORDERSTATUS_S530</t>
        </is>
      </c>
      <c r="B132" s="67" t="inlineStr">
        <is>
          <t>Hẹn trả hàng</t>
        </is>
      </c>
      <c r="C132" s="67" t="inlineStr">
        <is>
          <t>Return again</t>
        </is>
      </c>
      <c r="D132" s="3">
        <f>IFERROR(__xludf.DUMMYFUNCTION("GOOGLETRANSLATE(B132,""vi"",""km"")"),"កំណត់ពេលដឹកជញ្ជូន")</f>
        <v/>
      </c>
      <c r="E132" s="67" t="inlineStr">
        <is>
          <t>ការប្រគល់ទំនិញវិញត្រូវបានកំណត់ពេល</t>
        </is>
      </c>
      <c r="F132" s="3" t="inlineStr">
        <is>
          <t>ណាត់ពេលប្រគល់ត្រឡប់ម្តងទៀត</t>
        </is>
      </c>
      <c r="G132" s="67" t="n"/>
      <c r="H132" t="inlineStr">
        <is>
          <t>ណាត់ពេលប្រគល់ត្រឡប់ម្តងទៀត</t>
        </is>
      </c>
      <c r="I132" s="67" t="n"/>
      <c r="J132" s="67" t="n"/>
      <c r="K132" s="67" t="n"/>
      <c r="L132" s="67" t="n"/>
      <c r="M132" s="67" t="n"/>
      <c r="N132" s="67" t="n"/>
      <c r="O132" s="67" t="n"/>
      <c r="P132" s="67" t="n"/>
      <c r="Q132" s="67" t="n"/>
      <c r="R132" s="67" t="n"/>
      <c r="S132" s="67" t="n"/>
      <c r="T132" s="67" t="n"/>
      <c r="U132" s="67" t="n"/>
      <c r="V132" s="67" t="n"/>
      <c r="W132" s="67" t="n"/>
      <c r="X132" s="67" t="n"/>
      <c r="Y132" s="67" t="n"/>
      <c r="Z132" s="67" t="n"/>
      <c r="AA132" s="67" t="n"/>
      <c r="AB132" s="67" t="n"/>
    </row>
    <row r="133" ht="15.75" customHeight="1" s="305">
      <c r="A133" s="67" t="inlineStr">
        <is>
          <t>TRACKINGORDERSTATUS_S540</t>
        </is>
      </c>
      <c r="B133" s="67" t="inlineStr">
        <is>
          <t>Không trả được hàng</t>
        </is>
      </c>
      <c r="C133" s="67" t="inlineStr">
        <is>
          <t>Return failed</t>
        </is>
      </c>
      <c r="D133" s="3">
        <f>IFERROR(__xludf.DUMMYFUNCTION("GOOGLETRANSLATE(B133,""vi"",""km"")"),"មិនអាចប្រគល់ទំនិញវិញបានទេ។")</f>
        <v/>
      </c>
      <c r="E133" s="67" t="inlineStr">
        <is>
          <t>ទំនិញមិនត្រូវបានប្រគល់មកវិញទេ</t>
        </is>
      </c>
      <c r="F133" s="3" t="inlineStr">
        <is>
          <t>ប្រគល់ត្រឡប់មិនបានសម្រេច</t>
        </is>
      </c>
      <c r="G133" s="67" t="n"/>
      <c r="H133" t="inlineStr">
        <is>
          <t>ប្រគល់ត្រឡប់មិនបានសម្រេច</t>
        </is>
      </c>
      <c r="I133" s="67" t="n"/>
      <c r="J133" s="67" t="n"/>
      <c r="K133" s="67" t="n"/>
      <c r="L133" s="67" t="n"/>
      <c r="M133" s="67" t="n"/>
      <c r="N133" s="67" t="n"/>
      <c r="O133" s="67" t="n"/>
      <c r="P133" s="67" t="n"/>
      <c r="Q133" s="67" t="n"/>
      <c r="R133" s="67" t="n"/>
      <c r="S133" s="67" t="n"/>
      <c r="T133" s="67" t="n"/>
      <c r="U133" s="67" t="n"/>
      <c r="V133" s="67" t="n"/>
      <c r="W133" s="67" t="n"/>
      <c r="X133" s="67" t="n"/>
      <c r="Y133" s="67" t="n"/>
      <c r="Z133" s="67" t="n"/>
      <c r="AA133" s="67" t="n"/>
      <c r="AB133" s="67" t="n"/>
    </row>
    <row r="134" ht="15.75" customHeight="1" s="305">
      <c r="A134" s="67" t="inlineStr">
        <is>
          <t>TRACKINGORDERSTATUS_S550</t>
        </is>
      </c>
      <c r="B134" s="67" t="inlineStr">
        <is>
          <t>Hủy bưu gửi theo yêu cầu khách hàng</t>
        </is>
      </c>
      <c r="C134" s="67" t="inlineStr">
        <is>
          <t>Cancel shipment per customer request</t>
        </is>
      </c>
      <c r="D134" s="3">
        <f>IFERROR(__xludf.DUMMYFUNCTION("GOOGLETRANSLATE(B134,""vi"",""km"")"),"លុបចោលការដឹកជញ្ជូនតាមការស្នើសុំរបស់អតិថិជន។")</f>
        <v/>
      </c>
      <c r="E134" s="67" t="inlineStr">
        <is>
          <t>ការលុបចោលការដឹកជញ្ជូនតាមការស្នើសុំរបស់អតិថិជន</t>
        </is>
      </c>
      <c r="F134" s="3" t="inlineStr">
        <is>
          <t>លុបចោលការដឹកជញ្ជូនតាមការស្នើសុំរបស់អតិថិជន។</t>
        </is>
      </c>
      <c r="G134" s="67" t="n"/>
      <c r="H134" t="inlineStr">
        <is>
          <t>លុបចោលការដឹកជញ្ជូនតាមការស្នើសុំរបស់អតិថិជន។</t>
        </is>
      </c>
      <c r="I134" s="67" t="n"/>
      <c r="J134" s="67" t="n"/>
      <c r="K134" s="67" t="n"/>
      <c r="L134" s="67" t="n"/>
      <c r="M134" s="67" t="n"/>
      <c r="N134" s="67" t="n"/>
      <c r="O134" s="67" t="n"/>
      <c r="P134" s="67" t="n"/>
      <c r="Q134" s="67" t="n"/>
      <c r="R134" s="67" t="n"/>
      <c r="S134" s="67" t="n"/>
      <c r="T134" s="67" t="n"/>
      <c r="U134" s="67" t="n"/>
      <c r="V134" s="67" t="n"/>
      <c r="W134" s="67" t="n"/>
      <c r="X134" s="67" t="n"/>
      <c r="Y134" s="67" t="n"/>
      <c r="Z134" s="67" t="n"/>
      <c r="AA134" s="67" t="n"/>
      <c r="AB134" s="67" t="n"/>
    </row>
    <row r="135" ht="15.75" customHeight="1" s="305">
      <c r="A135" s="67" t="inlineStr">
        <is>
          <t>TRACKINGORDERSTATUS_S551</t>
        </is>
      </c>
      <c r="B135" s="67" t="inlineStr">
        <is>
          <t>Hủy bưu gửi vô thừa nhận</t>
        </is>
      </c>
      <c r="C135" s="67" t="inlineStr">
        <is>
          <t>Cancel unclaimed shipment</t>
        </is>
      </c>
      <c r="D135" s="3">
        <f>IFERROR(__xludf.DUMMYFUNCTION("GOOGLETRANSLATE(B135,""vi"",""km"")"),"លុបចោលសំបុត្រដែលមិនទាន់បានទាមទារ")</f>
        <v/>
      </c>
      <c r="E135" s="67" t="inlineStr">
        <is>
          <t>ការលុបចោលការដឹកជញ្ជូនដែលមិនបានទាមទារ</t>
        </is>
      </c>
      <c r="F135" s="3" t="inlineStr">
        <is>
          <t>លុបចោលសំបុត្រដែលមិនទាន់បានទាមទារ</t>
        </is>
      </c>
      <c r="G135" s="67" t="n"/>
      <c r="H135" t="inlineStr">
        <is>
          <t>លុបចោលសំបុត្រដែលមិនទាន់បានទាមទារ</t>
        </is>
      </c>
      <c r="I135" s="67" t="n"/>
      <c r="J135" s="67" t="n"/>
      <c r="K135" s="67" t="n"/>
      <c r="L135" s="67" t="n"/>
      <c r="M135" s="67" t="n"/>
      <c r="N135" s="67" t="n"/>
      <c r="O135" s="67" t="n"/>
      <c r="P135" s="67" t="n"/>
      <c r="Q135" s="67" t="n"/>
      <c r="R135" s="67" t="n"/>
      <c r="S135" s="67" t="n"/>
      <c r="T135" s="67" t="n"/>
      <c r="U135" s="67" t="n"/>
      <c r="V135" s="67" t="n"/>
      <c r="W135" s="67" t="n"/>
      <c r="X135" s="67" t="n"/>
      <c r="Y135" s="67" t="n"/>
      <c r="Z135" s="67" t="n"/>
      <c r="AA135" s="67" t="n"/>
      <c r="AB135" s="67" t="n"/>
    </row>
    <row r="136" ht="15.75" customHeight="1" s="305">
      <c r="A136" s="67" t="inlineStr">
        <is>
          <t>TRACKINGORDERSTATUS_S471</t>
        </is>
      </c>
      <c r="B136" s="67" t="inlineStr">
        <is>
          <t>Từ chối hoàn</t>
        </is>
      </c>
      <c r="C136" s="67" t="inlineStr">
        <is>
          <t>Reject return request</t>
        </is>
      </c>
      <c r="D136" s="3">
        <f>IFERROR(__xludf.DUMMYFUNCTION("GOOGLETRANSLATE(B136,""vi"",""km"")"),"បដិសេធការសងប្រាក់វិញ")</f>
        <v/>
      </c>
      <c r="E136" s="67" t="inlineStr">
        <is>
          <t>ការប្រគល់ទំនិញវិញត្រូវបានបដិសេធ</t>
        </is>
      </c>
      <c r="F136" s="3" t="inlineStr">
        <is>
          <t>បដិសេធការប្រគល់ត្រឡប់</t>
        </is>
      </c>
      <c r="G136" s="67" t="n"/>
      <c r="H136" t="inlineStr">
        <is>
          <t>បដិសេធការប្រគល់ត្រឡប់</t>
        </is>
      </c>
      <c r="I136" s="67" t="n"/>
      <c r="J136" s="67" t="n"/>
      <c r="K136" s="67" t="n"/>
      <c r="L136" s="67" t="n"/>
      <c r="M136" s="67" t="n"/>
      <c r="N136" s="67" t="n"/>
      <c r="O136" s="67" t="n"/>
      <c r="P136" s="67" t="n"/>
      <c r="Q136" s="67" t="n"/>
      <c r="R136" s="67" t="n"/>
      <c r="S136" s="67" t="n"/>
      <c r="T136" s="67" t="n"/>
      <c r="U136" s="67" t="n"/>
      <c r="V136" s="67" t="n"/>
      <c r="W136" s="67" t="n"/>
      <c r="X136" s="67" t="n"/>
      <c r="Y136" s="67" t="n"/>
      <c r="Z136" s="67" t="n"/>
      <c r="AA136" s="67" t="n"/>
      <c r="AB136" s="67" t="n"/>
    </row>
    <row r="137" ht="15.75" customHeight="1" s="305">
      <c r="A137" s="67" t="inlineStr">
        <is>
          <t>TRACKINGORDERSTATUS_S512</t>
        </is>
      </c>
      <c r="B137" s="67" t="inlineStr">
        <is>
          <t>Xác nhận phân công giao hoàn</t>
        </is>
      </c>
      <c r="C137" s="67" t="inlineStr">
        <is>
          <t>Return assignment confirmation</t>
        </is>
      </c>
      <c r="D137" s="3">
        <f>IFERROR(__xludf.DUMMYFUNCTION("GOOGLETRANSLATE(B137,""vi"",""km"")"),"បញ្ជាក់ការចាត់តាំងការដឹកជញ្ជូន។")</f>
        <v/>
      </c>
      <c r="E137" s="67" t="inlineStr">
        <is>
          <t>បញ្ជាក់ការប្រគល់ទំនិញវិញ</t>
        </is>
      </c>
      <c r="F137" s="3" t="inlineStr">
        <is>
          <t>បញ្ជាក់ការចាត់តាំងការដឹកជញ្ជូន។</t>
        </is>
      </c>
      <c r="G137" s="67" t="n"/>
      <c r="H137" t="inlineStr">
        <is>
          <t>បញ្ជាក់ការចាត់តាំងការដឹកជញ្ជូន។</t>
        </is>
      </c>
      <c r="I137" s="67" t="n"/>
      <c r="J137" s="67" t="n"/>
      <c r="K137" s="67" t="n"/>
      <c r="L137" s="67" t="n"/>
      <c r="M137" s="67" t="n"/>
      <c r="N137" s="67" t="n"/>
      <c r="O137" s="67" t="n"/>
      <c r="P137" s="67" t="n"/>
      <c r="Q137" s="67" t="n"/>
      <c r="R137" s="67" t="n"/>
      <c r="S137" s="67" t="n"/>
      <c r="T137" s="67" t="n"/>
      <c r="U137" s="67" t="n"/>
      <c r="V137" s="67" t="n"/>
      <c r="W137" s="67" t="n"/>
      <c r="X137" s="67" t="n"/>
      <c r="Y137" s="67" t="n"/>
      <c r="Z137" s="67" t="n"/>
      <c r="AA137" s="67" t="n"/>
      <c r="AB137" s="67" t="n"/>
    </row>
    <row r="138" ht="15.75" customHeight="1" s="305">
      <c r="A138" s="67" t="inlineStr">
        <is>
          <t>TRACKINGORDERSTATUS_S100</t>
        </is>
      </c>
      <c r="B138" s="67" t="inlineStr">
        <is>
          <t>Tạo mới</t>
        </is>
      </c>
      <c r="C138" s="67" t="n"/>
      <c r="D138" s="3">
        <f>IFERROR(__xludf.DUMMYFUNCTION("GOOGLETRANSLATE(B138,""vi"",""km"")"),"បង្កើតថ្មី")</f>
        <v/>
      </c>
      <c r="E138" s="67" t="inlineStr">
        <is>
          <t>បង្កើតថ្មី</t>
        </is>
      </c>
      <c r="F138" s="3" t="inlineStr">
        <is>
          <t>បង្កើតថ្មី</t>
        </is>
      </c>
      <c r="G138" s="67" t="n"/>
      <c r="H138" t="inlineStr">
        <is>
          <t>បង្កើតថ្មី</t>
        </is>
      </c>
      <c r="I138" s="67" t="n"/>
      <c r="J138" s="67" t="n"/>
      <c r="K138" s="67" t="n"/>
      <c r="L138" s="67" t="n"/>
      <c r="M138" s="67" t="n"/>
      <c r="N138" s="67" t="n"/>
      <c r="O138" s="67" t="n"/>
      <c r="P138" s="67" t="n"/>
      <c r="Q138" s="67" t="n"/>
      <c r="R138" s="67" t="n"/>
      <c r="S138" s="67" t="n"/>
      <c r="T138" s="67" t="n"/>
      <c r="U138" s="67" t="n"/>
      <c r="V138" s="67" t="n"/>
      <c r="W138" s="67" t="n"/>
      <c r="X138" s="67" t="n"/>
      <c r="Y138" s="67" t="n"/>
      <c r="Z138" s="67" t="n"/>
      <c r="AA138" s="67" t="n"/>
      <c r="AB138" s="67" t="n"/>
    </row>
    <row r="139" ht="15.75" customHeight="1" s="305">
      <c r="A139" s="67" t="inlineStr">
        <is>
          <t>TRACKINGORDERSTATUS_S472</t>
        </is>
      </c>
      <c r="B139" s="67" t="inlineStr">
        <is>
          <t>Lưu kho</t>
        </is>
      </c>
      <c r="C139" s="67" t="n"/>
      <c r="D139" s="3">
        <f>IFERROR(__xludf.DUMMYFUNCTION("GOOGLETRANSLATE(B139,""vi"",""km"")"),"ការផ្ទុក")</f>
        <v/>
      </c>
      <c r="E139" s="67" t="inlineStr">
        <is>
          <t>រក្សាទុកឃ្លាំង</t>
        </is>
      </c>
      <c r="F139" s="3" t="inlineStr">
        <is>
          <t>រក្សាទុកក្នុងឃ្លាំង</t>
        </is>
      </c>
      <c r="G139" s="67" t="n"/>
      <c r="H139" t="inlineStr">
        <is>
          <t>រក្សាទុកក្នុងឃ្លាំង</t>
        </is>
      </c>
      <c r="I139" s="67" t="n"/>
      <c r="J139" s="67" t="n"/>
      <c r="K139" s="67" t="n"/>
      <c r="L139" s="67" t="n"/>
      <c r="M139" s="67" t="n"/>
      <c r="N139" s="67" t="n"/>
      <c r="O139" s="67" t="n"/>
      <c r="P139" s="67" t="n"/>
      <c r="Q139" s="67" t="n"/>
      <c r="R139" s="67" t="n"/>
      <c r="S139" s="67" t="n"/>
      <c r="T139" s="67" t="n"/>
      <c r="U139" s="67" t="n"/>
      <c r="V139" s="67" t="n"/>
      <c r="W139" s="67" t="n"/>
      <c r="X139" s="67" t="n"/>
      <c r="Y139" s="67" t="n"/>
      <c r="Z139" s="67" t="n"/>
      <c r="AA139" s="67" t="n"/>
      <c r="AB139" s="67" t="n"/>
    </row>
    <row r="140" ht="15.75" customHeight="1" s="305">
      <c r="A140" s="192" t="inlineStr">
        <is>
          <t>express-sorting-service</t>
        </is>
      </c>
      <c r="B140" s="67" t="n"/>
      <c r="C140" s="67" t="n"/>
      <c r="D140" s="3">
        <f>IFERROR(__xludf.DUMMYFUNCTION("GOOGLETRANSLATE(B140,""vi"",""km"")"),"#VALUE!")</f>
        <v/>
      </c>
      <c r="E140" s="67" t="n"/>
      <c r="F140" s="3" t="inlineStr"/>
      <c r="G140" s="67" t="n"/>
      <c r="H140" t="inlineStr"/>
      <c r="I140" s="67" t="n"/>
      <c r="J140" s="67" t="n"/>
      <c r="K140" s="67" t="n"/>
      <c r="L140" s="67" t="n"/>
      <c r="M140" s="67" t="n"/>
      <c r="N140" s="67" t="n"/>
      <c r="O140" s="67" t="n"/>
      <c r="P140" s="67" t="n"/>
      <c r="Q140" s="67" t="n"/>
      <c r="R140" s="67" t="n"/>
      <c r="S140" s="67" t="n"/>
      <c r="T140" s="67" t="n"/>
      <c r="U140" s="67" t="n"/>
      <c r="V140" s="67" t="n"/>
      <c r="W140" s="67" t="n"/>
      <c r="X140" s="67" t="n"/>
      <c r="Y140" s="67" t="n"/>
      <c r="Z140" s="67" t="n"/>
      <c r="AA140" s="67" t="n"/>
      <c r="AB140" s="67" t="n"/>
    </row>
    <row r="141" ht="15.75" customHeight="1" s="305">
      <c r="A141" s="193" t="inlineStr">
        <is>
          <t>key</t>
        </is>
      </c>
      <c r="B141" s="193" t="inlineStr">
        <is>
          <t>vi</t>
        </is>
      </c>
      <c r="C141" s="193" t="inlineStr">
        <is>
          <t>en</t>
        </is>
      </c>
      <c r="D141" s="3">
        <f>IFERROR(__xludf.DUMMYFUNCTION("GOOGLETRANSLATE(B141,""vi"",""km"")"),"វី")</f>
        <v/>
      </c>
      <c r="E141" s="193" t="inlineStr">
        <is>
          <t>kh</t>
        </is>
      </c>
      <c r="F141" s="3" t="inlineStr">
        <is>
          <t>វី</t>
        </is>
      </c>
      <c r="G141" s="193" t="inlineStr">
        <is>
          <t>chinese</t>
        </is>
      </c>
      <c r="H141" t="inlineStr">
        <is>
          <t>វី</t>
        </is>
      </c>
      <c r="I141" s="67" t="n"/>
      <c r="J141" s="67" t="n"/>
      <c r="K141" s="67" t="n"/>
      <c r="L141" s="67" t="n"/>
      <c r="M141" s="67" t="n"/>
      <c r="N141" s="67" t="n"/>
      <c r="O141" s="67" t="n"/>
      <c r="P141" s="67" t="n"/>
      <c r="Q141" s="67" t="n"/>
      <c r="R141" s="67" t="n"/>
      <c r="S141" s="67" t="n"/>
      <c r="T141" s="67" t="n"/>
      <c r="U141" s="67" t="n"/>
      <c r="V141" s="67" t="n"/>
      <c r="W141" s="67" t="n"/>
      <c r="X141" s="67" t="n"/>
      <c r="Y141" s="67" t="n"/>
      <c r="Z141" s="67" t="n"/>
      <c r="AA141" s="67" t="n"/>
      <c r="AB141" s="67" t="n"/>
    </row>
    <row r="142" ht="15.75" customHeight="1" s="305">
      <c r="A142" s="67" t="inlineStr">
        <is>
          <t>ESM_ERROR_100_1</t>
        </is>
      </c>
      <c r="B142" s="67" t="inlineStr">
        <is>
          <t>Dịch vụ ?0 đã tồn tại.</t>
        </is>
      </c>
      <c r="C142" s="67" t="inlineStr">
        <is>
          <t>The service ?0 already exists.</t>
        </is>
      </c>
      <c r="D142" s="3">
        <f>IFERROR(__xludf.DUMMYFUNCTION("GOOGLETRANSLATE(B142,""vi"",""km"")"),"សេវាកម្ម ?០ មានរួចហើយ។")</f>
        <v/>
      </c>
      <c r="E142" s="67" t="n"/>
      <c r="F142" s="3" t="inlineStr">
        <is>
          <t>សេវាកម្ម ?០ មានរួចហើយ។</t>
        </is>
      </c>
      <c r="G142" s="67" t="n"/>
      <c r="H142" t="inlineStr">
        <is>
          <t>សេវាកម្ម ?០ មានរួចហើយ។</t>
        </is>
      </c>
      <c r="I142" s="67" t="n"/>
      <c r="J142" s="67" t="n"/>
      <c r="K142" s="67" t="n"/>
      <c r="L142" s="67" t="n"/>
      <c r="M142" s="67" t="n"/>
      <c r="N142" s="67" t="n"/>
      <c r="O142" s="67" t="n"/>
      <c r="P142" s="67" t="n"/>
      <c r="Q142" s="67" t="n"/>
      <c r="R142" s="67" t="n"/>
      <c r="S142" s="67" t="n"/>
      <c r="T142" s="67" t="n"/>
      <c r="U142" s="67" t="n"/>
      <c r="V142" s="67" t="n"/>
      <c r="W142" s="67" t="n"/>
      <c r="X142" s="67" t="n"/>
      <c r="Y142" s="67" t="n"/>
      <c r="Z142" s="67" t="n"/>
      <c r="AA142" s="67" t="n"/>
      <c r="AB142" s="67" t="n"/>
    </row>
    <row r="143" ht="15.75" customHeight="1" s="305">
      <c r="A143" s="67" t="inlineStr">
        <is>
          <t>ESM_ERROR_101_1</t>
        </is>
      </c>
      <c r="B143" s="67" t="inlineStr">
        <is>
          <t>Dịch vụ ?0 không tồn tại.</t>
        </is>
      </c>
      <c r="C143" s="67" t="inlineStr">
        <is>
          <t>The service ?0 does not exist.</t>
        </is>
      </c>
      <c r="D143" s="3">
        <f>IFERROR(__xludf.DUMMYFUNCTION("GOOGLETRANSLATE(B143,""vi"",""km"")"),"សេវាកម្ម ?០ មិនមានទេ។")</f>
        <v/>
      </c>
      <c r="E143" s="67" t="n"/>
      <c r="F143" s="3" t="inlineStr">
        <is>
          <t>សេវាកម្ម ?០ មិនមានទេ។</t>
        </is>
      </c>
      <c r="G143" s="67" t="n"/>
      <c r="H143" t="inlineStr">
        <is>
          <t>សេវាកម្ម ?០ មិនមានទេ។</t>
        </is>
      </c>
      <c r="I143" s="67" t="n"/>
      <c r="J143" s="67" t="n"/>
      <c r="K143" s="67" t="n"/>
      <c r="L143" s="67" t="n"/>
      <c r="M143" s="67" t="n"/>
      <c r="N143" s="67" t="n"/>
      <c r="O143" s="67" t="n"/>
      <c r="P143" s="67" t="n"/>
      <c r="Q143" s="67" t="n"/>
      <c r="R143" s="67" t="n"/>
      <c r="S143" s="67" t="n"/>
      <c r="T143" s="67" t="n"/>
      <c r="U143" s="67" t="n"/>
      <c r="V143" s="67" t="n"/>
      <c r="W143" s="67" t="n"/>
      <c r="X143" s="67" t="n"/>
      <c r="Y143" s="67" t="n"/>
      <c r="Z143" s="67" t="n"/>
      <c r="AA143" s="67" t="n"/>
      <c r="AB143" s="67" t="n"/>
    </row>
    <row r="144" ht="15.75" customHeight="1" s="305">
      <c r="A144" s="67" t="inlineStr">
        <is>
          <t>ESM_ERROR_102_2</t>
        </is>
      </c>
      <c r="B144" s="67" t="inlineStr">
        <is>
          <t>Dịch vụ ?0 đã tồn tại trong nhóm dịch vụ ?1</t>
        </is>
      </c>
      <c r="C144" s="67" t="inlineStr">
        <is>
          <t>The service ?0 already exists in service group ?1</t>
        </is>
      </c>
      <c r="D144" s="3">
        <f>IFERROR(__xludf.DUMMYFUNCTION("GOOGLETRANSLATE(B144,""vi"",""km"")"),"សេវាកម្ម ?០ មានរួចហើយនៅក្នុងក្រុមសេវាកម្ម ?១")</f>
        <v/>
      </c>
      <c r="E144" s="67" t="n"/>
      <c r="F144" s="3" t="inlineStr">
        <is>
          <t>សេវាកម្ម ?០ មានរួចហើយនៅក្នុងក្រុមសេវាកម្ម ?១</t>
        </is>
      </c>
      <c r="G144" s="67" t="n"/>
      <c r="H144" t="inlineStr">
        <is>
          <t>សេវាកម្ម ?០ មានរួចហើយនៅក្នុងក្រុមសេវាកម្ម ?១</t>
        </is>
      </c>
      <c r="I144" s="67" t="n"/>
      <c r="J144" s="67" t="n"/>
      <c r="K144" s="67" t="n"/>
      <c r="L144" s="67" t="n"/>
      <c r="M144" s="67" t="n"/>
      <c r="N144" s="67" t="n"/>
      <c r="O144" s="67" t="n"/>
      <c r="P144" s="67" t="n"/>
      <c r="Q144" s="67" t="n"/>
      <c r="R144" s="67" t="n"/>
      <c r="S144" s="67" t="n"/>
      <c r="T144" s="67" t="n"/>
      <c r="U144" s="67" t="n"/>
      <c r="V144" s="67" t="n"/>
      <c r="W144" s="67" t="n"/>
      <c r="X144" s="67" t="n"/>
      <c r="Y144" s="67" t="n"/>
      <c r="Z144" s="67" t="n"/>
      <c r="AA144" s="67" t="n"/>
      <c r="AB144" s="67" t="n"/>
    </row>
    <row r="145" ht="15.75" customHeight="1" s="305">
      <c r="A145" s="67" t="inlineStr">
        <is>
          <t>ESM_ERROR_200</t>
        </is>
      </c>
      <c r="B145" s="67" t="inlineStr">
        <is>
          <t>Nhóm dịch vụ đã tồn tại.</t>
        </is>
      </c>
      <c r="C145" s="67" t="inlineStr">
        <is>
          <t>The service group already exists.</t>
        </is>
      </c>
      <c r="D145" s="3">
        <f>IFERROR(__xludf.DUMMYFUNCTION("GOOGLETRANSLATE(B145,""vi"",""km"")"),"ក្រុមសេវាកម្មមានរួចហើយ។")</f>
        <v/>
      </c>
      <c r="E145" s="67" t="inlineStr">
        <is>
          <t>ក្រុមសេវាកម្មមានរួចហើយ</t>
        </is>
      </c>
      <c r="F145" s="3" t="inlineStr">
        <is>
          <t>ក្រុមសេវាកម្មមានរួចហើយ។</t>
        </is>
      </c>
      <c r="G145" s="67" t="n"/>
      <c r="H145" t="inlineStr">
        <is>
          <t>ក្រុមសេវាកម្មមានរួចហើយ។</t>
        </is>
      </c>
      <c r="I145" s="67" t="n"/>
      <c r="J145" s="67" t="n"/>
      <c r="K145" s="67" t="n"/>
      <c r="L145" s="67" t="n"/>
      <c r="M145" s="67" t="n"/>
      <c r="N145" s="67" t="n"/>
      <c r="O145" s="67" t="n"/>
      <c r="P145" s="67" t="n"/>
      <c r="Q145" s="67" t="n"/>
      <c r="R145" s="67" t="n"/>
      <c r="S145" s="67" t="n"/>
      <c r="T145" s="67" t="n"/>
      <c r="U145" s="67" t="n"/>
      <c r="V145" s="67" t="n"/>
      <c r="W145" s="67" t="n"/>
      <c r="X145" s="67" t="n"/>
      <c r="Y145" s="67" t="n"/>
      <c r="Z145" s="67" t="n"/>
      <c r="AA145" s="67" t="n"/>
      <c r="AB145" s="67" t="n"/>
    </row>
    <row r="146" ht="15.75" customHeight="1" s="305">
      <c r="A146" s="67" t="inlineStr">
        <is>
          <t>ESM_ERROR_201</t>
        </is>
      </c>
      <c r="B146" s="67" t="inlineStr">
        <is>
          <t>Nhóm dịch vụ không tồn tại.</t>
        </is>
      </c>
      <c r="C146" s="67" t="inlineStr">
        <is>
          <t>The specified service group does not exist.</t>
        </is>
      </c>
      <c r="D146" s="3">
        <f>IFERROR(__xludf.DUMMYFUNCTION("GOOGLETRANSLATE(B146,""vi"",""km"")"),"ក្រុមសេវាកម្មមិនមានទេ។")</f>
        <v/>
      </c>
      <c r="E146" s="67" t="inlineStr">
        <is>
          <t>ក្រុមសេវាកម្មមិនមានទេ</t>
        </is>
      </c>
      <c r="F146" s="3" t="inlineStr">
        <is>
          <t>ក្រុមសេវាកម្មមិនមានទេ។</t>
        </is>
      </c>
      <c r="G146" s="67" t="n"/>
      <c r="H146" t="inlineStr">
        <is>
          <t>ក្រុមសេវាកម្មមិនមានទេ។</t>
        </is>
      </c>
      <c r="I146" s="67" t="n"/>
      <c r="J146" s="67" t="n"/>
      <c r="K146" s="67" t="n"/>
      <c r="L146" s="67" t="n"/>
      <c r="M146" s="67" t="n"/>
      <c r="N146" s="67" t="n"/>
      <c r="O146" s="67" t="n"/>
      <c r="P146" s="67" t="n"/>
      <c r="Q146" s="67" t="n"/>
      <c r="R146" s="67" t="n"/>
      <c r="S146" s="67" t="n"/>
      <c r="T146" s="67" t="n"/>
      <c r="U146" s="67" t="n"/>
      <c r="V146" s="67" t="n"/>
      <c r="W146" s="67" t="n"/>
      <c r="X146" s="67" t="n"/>
      <c r="Y146" s="67" t="n"/>
      <c r="Z146" s="67" t="n"/>
      <c r="AA146" s="67" t="n"/>
      <c r="AB146" s="67" t="n"/>
    </row>
    <row r="147" ht="15.75" customHeight="1" s="305">
      <c r="A147" s="67" t="inlineStr">
        <is>
          <t>ESM_ERROR_202</t>
        </is>
      </c>
      <c r="B147" s="67" t="inlineStr">
        <is>
          <t>Tên cấu hình đã tồn tại. Vui lòng kiểm tra lại</t>
        </is>
      </c>
      <c r="C147" s="67" t="inlineStr">
        <is>
          <t>Name already exists. Please try again.</t>
        </is>
      </c>
      <c r="D147" s="3">
        <f>IFERROR(__xludf.DUMMYFUNCTION("GOOGLETRANSLATE(B147,""vi"",""km"")"),"ឈ្មោះ​ការកំណត់​រចនាសម្ព័ន្ធ​មាន​រួចហើយ។ សូម​ពិនិត្យ​ម្តងទៀត។")</f>
        <v/>
      </c>
      <c r="E147" s="67" t="inlineStr">
        <is>
          <t>ឈ្មោះការកំណត់រចនាសម្ព័ន្ធមានរួចហើយ។ សូមពិនិត្យម្តងទៀត</t>
        </is>
      </c>
      <c r="F147" s="3" t="inlineStr">
        <is>
          <t>ឈ្មោះការកំណត់រចនាសម្ព័ន្ធមានរួចហើយ។ សូមពិនិត្យម្តងទៀត។</t>
        </is>
      </c>
      <c r="G147" s="67" t="n"/>
      <c r="H147" t="inlineStr">
        <is>
          <t>ឈ្មោះការកំណត់រចនាសម្ព័ន្ធមានរួចហើយ។ សូមពិនិត្យម្តងទៀត។</t>
        </is>
      </c>
      <c r="I147" s="67" t="n"/>
      <c r="J147" s="67" t="n"/>
      <c r="K147" s="67" t="n"/>
      <c r="L147" s="67" t="n"/>
      <c r="M147" s="67" t="n"/>
      <c r="N147" s="67" t="n"/>
      <c r="O147" s="67" t="n"/>
      <c r="P147" s="67" t="n"/>
      <c r="Q147" s="67" t="n"/>
      <c r="R147" s="67" t="n"/>
      <c r="S147" s="67" t="n"/>
      <c r="T147" s="67" t="n"/>
      <c r="U147" s="67" t="n"/>
      <c r="V147" s="67" t="n"/>
      <c r="W147" s="67" t="n"/>
      <c r="X147" s="67" t="n"/>
      <c r="Y147" s="67" t="n"/>
      <c r="Z147" s="67" t="n"/>
      <c r="AA147" s="67" t="n"/>
      <c r="AB147" s="67" t="n"/>
    </row>
    <row r="148" ht="15.75" customHeight="1" s="305">
      <c r="A148" s="67" t="inlineStr">
        <is>
          <t>ESM_ERROR_300</t>
        </is>
      </c>
      <c r="B148" s="67" t="inlineStr">
        <is>
          <t>Cấu hình vùng đi vùng đến đã tồn tại</t>
        </is>
      </c>
      <c r="C148" s="67" t="inlineStr">
        <is>
          <t>The origin-to-destination configuration already exists.</t>
        </is>
      </c>
      <c r="D148" s="3">
        <f>IFERROR(__xludf.DUMMYFUNCTION("GOOGLETRANSLATE(B148,""vi"",""km"")"),"តំបន់ដើម និងតំបន់គោលដៅមានរួចហើយ។")</f>
        <v/>
      </c>
      <c r="E148" s="67" t="inlineStr">
        <is>
          <t>ការកំណត់រចនាសម្ព័ន្ធតំបន់ដើម/គោលដៅមានរួចហើយ</t>
        </is>
      </c>
      <c r="F148" s="3" t="inlineStr">
        <is>
          <t>តំបន់ដើម និងតំបន់គោលដៅមានរួចហើយ។</t>
        </is>
      </c>
      <c r="G148" s="67" t="n"/>
      <c r="H148" t="inlineStr">
        <is>
          <t>តំបន់ដើម និងតំបន់គោលដៅមានរួចហើយ។</t>
        </is>
      </c>
      <c r="I148" s="67" t="n"/>
      <c r="J148" s="67" t="n"/>
      <c r="K148" s="67" t="n"/>
      <c r="L148" s="67" t="n"/>
      <c r="M148" s="67" t="n"/>
      <c r="N148" s="67" t="n"/>
      <c r="O148" s="67" t="n"/>
      <c r="P148" s="67" t="n"/>
      <c r="Q148" s="67" t="n"/>
      <c r="R148" s="67" t="n"/>
      <c r="S148" s="67" t="n"/>
      <c r="T148" s="67" t="n"/>
      <c r="U148" s="67" t="n"/>
      <c r="V148" s="67" t="n"/>
      <c r="W148" s="67" t="n"/>
      <c r="X148" s="67" t="n"/>
      <c r="Y148" s="67" t="n"/>
      <c r="Z148" s="67" t="n"/>
      <c r="AA148" s="67" t="n"/>
      <c r="AB148" s="67" t="n"/>
    </row>
    <row r="149" ht="15.75" customHeight="1" s="305">
      <c r="A149" s="67" t="inlineStr">
        <is>
          <t>ESM_ERROR_301</t>
        </is>
      </c>
      <c r="B149" s="67" t="inlineStr">
        <is>
          <t>Cấu hình vùng đi vùng đến không tồn tại</t>
        </is>
      </c>
      <c r="C149" s="67" t="inlineStr">
        <is>
          <t>The origin-to-destination configuration does not exist.</t>
        </is>
      </c>
      <c r="D149" s="3">
        <f>IFERROR(__xludf.DUMMYFUNCTION("GOOGLETRANSLATE(B149,""vi"",""km"")"),"ការកំណត់​រចនាសម្ព័ន្ធ​តំបន់​ដើម និង​តំបន់​គោលដៅ​មិនមាន​ទេ។")</f>
        <v/>
      </c>
      <c r="E149" s="67" t="inlineStr">
        <is>
          <t>ការកំណត់រចនាសម្ព័ន្ធតំបន់ដើម/គោលដៅមិនមានទេ</t>
        </is>
      </c>
      <c r="F149" s="3" t="inlineStr">
        <is>
          <t>ការកំណត់រចនាសម្ព័ន្ធតំបន់ដើម និងតំបន់គោលដៅមិនមានទេ។</t>
        </is>
      </c>
      <c r="G149" s="67" t="n"/>
      <c r="H149" t="inlineStr">
        <is>
          <t>ការកំណត់រចនាសម្ព័ន្ធតំបន់ដើម និងតំបន់គោលដៅមិនមានទេ។</t>
        </is>
      </c>
      <c r="I149" s="67" t="n"/>
      <c r="J149" s="67" t="n"/>
      <c r="K149" s="67" t="n"/>
      <c r="L149" s="67" t="n"/>
      <c r="M149" s="67" t="n"/>
      <c r="N149" s="67" t="n"/>
      <c r="O149" s="67" t="n"/>
      <c r="P149" s="67" t="n"/>
      <c r="Q149" s="67" t="n"/>
      <c r="R149" s="67" t="n"/>
      <c r="S149" s="67" t="n"/>
      <c r="T149" s="67" t="n"/>
      <c r="U149" s="67" t="n"/>
      <c r="V149" s="67" t="n"/>
      <c r="W149" s="67" t="n"/>
      <c r="X149" s="67" t="n"/>
      <c r="Y149" s="67" t="n"/>
      <c r="Z149" s="67" t="n"/>
      <c r="AA149" s="67" t="n"/>
      <c r="AB149" s="67" t="n"/>
    </row>
    <row r="150" ht="15.75" customHeight="1" s="305">
      <c r="A150" s="67" t="inlineStr">
        <is>
          <t>ESM_ERROR_302_1</t>
        </is>
      </c>
      <c r="B150" s="67" t="inlineStr">
        <is>
          <t>Vùng ?0 được thêm không hợp lệ.</t>
        </is>
      </c>
      <c r="C150" s="67" t="inlineStr">
        <is>
          <t>The added zone ?0 is invalid.</t>
        </is>
      </c>
      <c r="D150" s="3">
        <f>IFERROR(__xludf.DUMMYFUNCTION("GOOGLETRANSLATE(B150,""vi"",""km"")"),"តំបន់ ?០ ត្រូវបានបន្ថែមមិនត្រឹមត្រូវ។")</f>
        <v/>
      </c>
      <c r="E150" s="67" t="inlineStr">
        <is>
          <t>តំបន់ដែលបានបន្ថែម ?0 មិនត្រឹមត្រូវ។</t>
        </is>
      </c>
      <c r="F150" s="3" t="inlineStr">
        <is>
          <t>តំបន់ ?០ ត្រូវបានបន្ថែមមិនត្រឹមត្រូវ។</t>
        </is>
      </c>
      <c r="G150" s="67" t="n"/>
      <c r="H150" t="inlineStr">
        <is>
          <t>តំបន់ ?០ ត្រូវបានបន្ថែមមិនត្រឹមត្រូវ។</t>
        </is>
      </c>
      <c r="I150" s="67" t="n"/>
      <c r="J150" s="67" t="n"/>
      <c r="K150" s="67" t="n"/>
      <c r="L150" s="67" t="n"/>
      <c r="M150" s="67" t="n"/>
      <c r="N150" s="67" t="n"/>
      <c r="O150" s="67" t="n"/>
      <c r="P150" s="67" t="n"/>
      <c r="Q150" s="67" t="n"/>
      <c r="R150" s="67" t="n"/>
      <c r="S150" s="67" t="n"/>
      <c r="T150" s="67" t="n"/>
      <c r="U150" s="67" t="n"/>
      <c r="V150" s="67" t="n"/>
      <c r="W150" s="67" t="n"/>
      <c r="X150" s="67" t="n"/>
      <c r="Y150" s="67" t="n"/>
      <c r="Z150" s="67" t="n"/>
      <c r="AA150" s="67" t="n"/>
      <c r="AB150" s="67" t="n"/>
    </row>
    <row r="151" ht="15.75" customHeight="1" s="305">
      <c r="A151" s="67" t="inlineStr">
        <is>
          <t>ESM_ERROR_303</t>
        </is>
      </c>
      <c r="B151" s="67" t="inlineStr">
        <is>
          <t>Vui lòng chọn vùng đi!/ Vui lòng chọn vùng đến!</t>
        </is>
      </c>
      <c r="C151" s="67" t="inlineStr">
        <is>
          <t>Please select both origin and destination zones!</t>
        </is>
      </c>
      <c r="D151" s="3">
        <f>IFERROR(__xludf.DUMMYFUNCTION("GOOGLETRANSLATE(B151,""vi"",""km"")"),"សូមជ្រើសរើសតំបន់ចេញដំណើររបស់អ្នក! / សូមជ្រើសរើសតំបន់គោលដៅរបស់អ្នក!")</f>
        <v/>
      </c>
      <c r="E151" s="67" t="inlineStr">
        <is>
          <t>សូមជ្រើសរើសតំបន់ដើម!/ សូមជ្រើសរើសតំបន់គោលដៅ!</t>
        </is>
      </c>
      <c r="F151" s="3" t="inlineStr">
        <is>
          <t>សូមជ្រើសរើសតំបន់ចេញដំណើររបស់អ្នក! / សូមជ្រើសរើសតំបន់គោលដៅរបស់អ្នក!</t>
        </is>
      </c>
      <c r="G151" s="67" t="n"/>
      <c r="H151" t="inlineStr">
        <is>
          <t>សូមជ្រើសរើសតំបន់ចេញដំណើររបស់អ្នក! / សូមជ្រើសរើសតំបន់គោលដៅរបស់អ្នក!</t>
        </is>
      </c>
      <c r="I151" s="67" t="n"/>
      <c r="J151" s="67" t="n"/>
      <c r="K151" s="67" t="n"/>
      <c r="L151" s="67" t="n"/>
      <c r="M151" s="67" t="n"/>
      <c r="N151" s="67" t="n"/>
      <c r="O151" s="67" t="n"/>
      <c r="P151" s="67" t="n"/>
      <c r="Q151" s="67" t="n"/>
      <c r="R151" s="67" t="n"/>
      <c r="S151" s="67" t="n"/>
      <c r="T151" s="67" t="n"/>
      <c r="U151" s="67" t="n"/>
      <c r="V151" s="67" t="n"/>
      <c r="W151" s="67" t="n"/>
      <c r="X151" s="67" t="n"/>
      <c r="Y151" s="67" t="n"/>
      <c r="Z151" s="67" t="n"/>
      <c r="AA151" s="67" t="n"/>
      <c r="AB151" s="67" t="n"/>
    </row>
    <row r="152" ht="15.75" customHeight="1" s="305">
      <c r="A152" s="67" t="inlineStr">
        <is>
          <t>ESM_ERROR_304</t>
        </is>
      </c>
      <c r="B152" s="67" t="inlineStr">
        <is>
          <t>Không tồn tại tuyến.</t>
        </is>
      </c>
      <c r="C152" s="67" t="inlineStr">
        <is>
          <t>The route does not exist.</t>
        </is>
      </c>
      <c r="D152" s="3">
        <f>IFERROR(__xludf.DUMMYFUNCTION("GOOGLETRANSLATE(B152,""vi"",""km"")"),"គ្មានផ្លូវទេ។")</f>
        <v/>
      </c>
      <c r="E152" s="67" t="n"/>
      <c r="F152" s="3" t="inlineStr">
        <is>
          <t>គ្មានផ្លូវទេ។</t>
        </is>
      </c>
      <c r="G152" s="67" t="n"/>
      <c r="H152" t="inlineStr">
        <is>
          <t>គ្មានផ្លូវទេ។</t>
        </is>
      </c>
      <c r="I152" s="67" t="n"/>
      <c r="J152" s="67" t="n"/>
      <c r="K152" s="67" t="n"/>
      <c r="L152" s="67" t="n"/>
      <c r="M152" s="67" t="n"/>
      <c r="N152" s="67" t="n"/>
      <c r="O152" s="67" t="n"/>
      <c r="P152" s="67" t="n"/>
      <c r="Q152" s="67" t="n"/>
      <c r="R152" s="67" t="n"/>
      <c r="S152" s="67" t="n"/>
      <c r="T152" s="67" t="n"/>
      <c r="U152" s="67" t="n"/>
      <c r="V152" s="67" t="n"/>
      <c r="W152" s="67" t="n"/>
      <c r="X152" s="67" t="n"/>
      <c r="Y152" s="67" t="n"/>
      <c r="Z152" s="67" t="n"/>
      <c r="AA152" s="67" t="n"/>
      <c r="AB152" s="67" t="n"/>
    </row>
    <row r="153" ht="15.75" customHeight="1" s="305">
      <c r="A153" s="67" t="inlineStr">
        <is>
          <t>ESM_ERROR_305</t>
        </is>
      </c>
      <c r="B153" s="67" t="inlineStr">
        <is>
          <t>Không tồn tại vùng</t>
        </is>
      </c>
      <c r="C153" s="67" t="inlineStr">
        <is>
          <t>The zone does not exist.</t>
        </is>
      </c>
      <c r="D153" s="3">
        <f>IFERROR(__xludf.DUMMYFUNCTION("GOOGLETRANSLATE(B153,""vi"",""km"")"),"គ្មានតំបន់ណាមួយមានទេ")</f>
        <v/>
      </c>
      <c r="E153" s="67" t="n"/>
      <c r="F153" s="3" t="inlineStr">
        <is>
          <t>គ្មានតំបន់ណាមួយមានទេ</t>
        </is>
      </c>
      <c r="G153" s="67" t="n"/>
      <c r="H153" t="inlineStr">
        <is>
          <t>គ្មានតំបន់ណាមួយមានទេ</t>
        </is>
      </c>
      <c r="I153" s="67" t="n"/>
      <c r="J153" s="67" t="n"/>
      <c r="K153" s="67" t="n"/>
      <c r="L153" s="67" t="n"/>
      <c r="M153" s="67" t="n"/>
      <c r="N153" s="67" t="n"/>
      <c r="O153" s="67" t="n"/>
      <c r="P153" s="67" t="n"/>
      <c r="Q153" s="67" t="n"/>
      <c r="R153" s="67" t="n"/>
      <c r="S153" s="67" t="n"/>
      <c r="T153" s="67" t="n"/>
      <c r="U153" s="67" t="n"/>
      <c r="V153" s="67" t="n"/>
      <c r="W153" s="67" t="n"/>
      <c r="X153" s="67" t="n"/>
      <c r="Y153" s="67" t="n"/>
      <c r="Z153" s="67" t="n"/>
      <c r="AA153" s="67" t="n"/>
      <c r="AB153" s="67" t="n"/>
    </row>
    <row r="154" ht="15.75" customHeight="1" s="305">
      <c r="A154" s="67" t="inlineStr">
        <is>
          <t>ESM_ERROR_306_1</t>
        </is>
      </c>
      <c r="B154" s="67" t="inlineStr">
        <is>
          <t>Tuyến ?0 đã tồn tại.</t>
        </is>
      </c>
      <c r="C154" s="67" t="inlineStr">
        <is>
          <t>The route ?0 already exists.</t>
        </is>
      </c>
      <c r="D154" s="3">
        <f>IFERROR(__xludf.DUMMYFUNCTION("GOOGLETRANSLATE(B154,""vi"",""km"")"),"ផ្លូវ ?០ មានរួចហើយ។")</f>
        <v/>
      </c>
      <c r="E154" s="67" t="n"/>
      <c r="F154" s="3" t="inlineStr">
        <is>
          <t>ផ្លូវ ?០ មានរួចហើយ។</t>
        </is>
      </c>
      <c r="G154" s="67" t="n"/>
      <c r="H154" t="inlineStr">
        <is>
          <t>ផ្លូវ ?០ មានរួចហើយ។</t>
        </is>
      </c>
      <c r="I154" s="67" t="n"/>
      <c r="J154" s="67" t="n"/>
      <c r="K154" s="67" t="n"/>
      <c r="L154" s="67" t="n"/>
      <c r="M154" s="67" t="n"/>
      <c r="N154" s="67" t="n"/>
      <c r="O154" s="67" t="n"/>
      <c r="P154" s="67" t="n"/>
      <c r="Q154" s="67" t="n"/>
      <c r="R154" s="67" t="n"/>
      <c r="S154" s="67" t="n"/>
      <c r="T154" s="67" t="n"/>
      <c r="U154" s="67" t="n"/>
      <c r="V154" s="67" t="n"/>
      <c r="W154" s="67" t="n"/>
      <c r="X154" s="67" t="n"/>
      <c r="Y154" s="67" t="n"/>
      <c r="Z154" s="67" t="n"/>
      <c r="AA154" s="67" t="n"/>
      <c r="AB154" s="67" t="n"/>
    </row>
    <row r="155" ht="15.75" customHeight="1" s="305">
      <c r="A155" s="67" t="inlineStr">
        <is>
          <t>ESM_ERROR_400</t>
        </is>
      </c>
      <c r="B155" s="67" t="inlineStr">
        <is>
          <t>Cấu hình chia chọn không tồn tại</t>
        </is>
      </c>
      <c r="C155" s="67" t="inlineStr">
        <is>
          <t>The split-selection configuration does not exist.</t>
        </is>
      </c>
      <c r="D155" s="3">
        <f>IFERROR(__xludf.DUMMYFUNCTION("GOOGLETRANSLATE(B155,""vi"",""km"")"),"ការកំណត់រចនាសម្ព័ន្ធបំបែកមិនមានទេ។")</f>
        <v/>
      </c>
      <c r="E155" s="67" t="n"/>
      <c r="F155" s="3" t="inlineStr">
        <is>
          <t>ការកំណត់រចនាសម្ព័ន្ធបំបែកមិនមានទេ។</t>
        </is>
      </c>
      <c r="G155" s="67" t="n"/>
      <c r="H155" t="inlineStr">
        <is>
          <t>ការកំណត់រចនាសម្ព័ន្ធបំបែកមិនមានទេ។</t>
        </is>
      </c>
      <c r="I155" s="67" t="n"/>
      <c r="J155" s="67" t="n"/>
      <c r="K155" s="67" t="n"/>
      <c r="L155" s="67" t="n"/>
      <c r="M155" s="67" t="n"/>
      <c r="N155" s="67" t="n"/>
      <c r="O155" s="67" t="n"/>
      <c r="P155" s="67" t="n"/>
      <c r="Q155" s="67" t="n"/>
      <c r="R155" s="67" t="n"/>
      <c r="S155" s="67" t="n"/>
      <c r="T155" s="67" t="n"/>
      <c r="U155" s="67" t="n"/>
      <c r="V155" s="67" t="n"/>
      <c r="W155" s="67" t="n"/>
      <c r="X155" s="67" t="n"/>
      <c r="Y155" s="67" t="n"/>
      <c r="Z155" s="67" t="n"/>
      <c r="AA155" s="67" t="n"/>
      <c r="AB155" s="67" t="n"/>
    </row>
    <row r="156" ht="15.75" customHeight="1" s="305">
      <c r="A156" s="67" t="inlineStr">
        <is>
          <t>ESM_ERROR_401</t>
        </is>
      </c>
      <c r="B156" s="67" t="inlineStr">
        <is>
          <t>Cấu hình chia chọn vẫn còn hiệu lực</t>
        </is>
      </c>
      <c r="C156" s="67" t="inlineStr">
        <is>
          <t>The split-selection configuration is still active.</t>
        </is>
      </c>
      <c r="D156" s="3">
        <f>IFERROR(__xludf.DUMMYFUNCTION("GOOGLETRANSLATE(B156,""vi"",""km"")"),"ការកំណត់​រចនាសម្ព័ន្ធ​បំបែក​នៅតែ​មាន​ប្រសិទ្ធភាព។")</f>
        <v/>
      </c>
      <c r="E156" s="67" t="n"/>
      <c r="F156" s="3" t="inlineStr">
        <is>
          <t>ការកំណត់រចនាសម្ព័ន្ធបំបែកនៅតែមានប្រសិទ្ធភាព។</t>
        </is>
      </c>
      <c r="G156" s="67" t="n"/>
      <c r="H156" t="inlineStr">
        <is>
          <t>ការកំណត់រចនាសម្ព័ន្ធបំបែកនៅតែមានប្រសិទ្ធភាព។</t>
        </is>
      </c>
      <c r="I156" s="67" t="n"/>
      <c r="J156" s="67" t="n"/>
      <c r="K156" s="67" t="n"/>
      <c r="L156" s="67" t="n"/>
      <c r="M156" s="67" t="n"/>
      <c r="N156" s="67" t="n"/>
      <c r="O156" s="67" t="n"/>
      <c r="P156" s="67" t="n"/>
      <c r="Q156" s="67" t="n"/>
      <c r="R156" s="67" t="n"/>
      <c r="S156" s="67" t="n"/>
      <c r="T156" s="67" t="n"/>
      <c r="U156" s="67" t="n"/>
      <c r="V156" s="67" t="n"/>
      <c r="W156" s="67" t="n"/>
      <c r="X156" s="67" t="n"/>
      <c r="Y156" s="67" t="n"/>
      <c r="Z156" s="67" t="n"/>
      <c r="AA156" s="67" t="n"/>
      <c r="AB156" s="67" t="n"/>
    </row>
    <row r="157" ht="15.75" customHeight="1" s="305">
      <c r="A157" s="67" t="inlineStr">
        <is>
          <t>ESM_ERROR_402</t>
        </is>
      </c>
      <c r="B157" s="67" t="inlineStr">
        <is>
          <t>Cấu hình chia chọn đã được khai báo</t>
        </is>
      </c>
      <c r="C157" s="67" t="inlineStr">
        <is>
          <t>The split-selection configuration has already been declared.</t>
        </is>
      </c>
      <c r="D157" s="3">
        <f>IFERROR(__xludf.DUMMYFUNCTION("GOOGLETRANSLATE(B157,""vi"",""km"")"),"ការកំណត់រចនាសម្ព័ន្ធជ្រើសរើសត្រូវបានប្រកាស។")</f>
        <v/>
      </c>
      <c r="E157" s="67" t="n"/>
      <c r="F157" s="3" t="inlineStr">
        <is>
          <t>ការកំណត់រចនាសម្ព័ន្ធជ្រើសរើសត្រូវបានប្រកាស។</t>
        </is>
      </c>
      <c r="G157" s="67" t="n"/>
      <c r="H157" t="inlineStr">
        <is>
          <t>ការកំណត់រចនាសម្ព័ន្ធជ្រើសរើសត្រូវបានប្រកាស។</t>
        </is>
      </c>
      <c r="I157" s="67" t="n"/>
      <c r="J157" s="67" t="n"/>
      <c r="K157" s="67" t="n"/>
      <c r="L157" s="67" t="n"/>
      <c r="M157" s="67" t="n"/>
      <c r="N157" s="67" t="n"/>
      <c r="O157" s="67" t="n"/>
      <c r="P157" s="67" t="n"/>
      <c r="Q157" s="67" t="n"/>
      <c r="R157" s="67" t="n"/>
      <c r="S157" s="67" t="n"/>
      <c r="T157" s="67" t="n"/>
      <c r="U157" s="67" t="n"/>
      <c r="V157" s="67" t="n"/>
      <c r="W157" s="67" t="n"/>
      <c r="X157" s="67" t="n"/>
      <c r="Y157" s="67" t="n"/>
      <c r="Z157" s="67" t="n"/>
      <c r="AA157" s="67" t="n"/>
      <c r="AB157" s="67" t="n"/>
    </row>
    <row r="158" ht="15.75" customHeight="1" s="305">
      <c r="A158" s="67" t="inlineStr">
        <is>
          <t>ESM_ERROR_403_1</t>
        </is>
      </c>
      <c r="B158" s="67" t="inlineStr">
        <is>
          <t>Không tìm thấy địa chỉ của mã ?0</t>
        </is>
      </c>
      <c r="C158" s="67" t="inlineStr">
        <is>
          <t>Cannot found the address of code ?0</t>
        </is>
      </c>
      <c r="D158" s="3">
        <f>IFERROR(__xludf.DUMMYFUNCTION("GOOGLETRANSLATE(B158,""vi"",""km"")"),"រកមិនឃើញអាសយដ្ឋាននៃលេខកូដ ?0 ទេ")</f>
        <v/>
      </c>
      <c r="E158" s="67" t="inlineStr">
        <is>
          <t xml:space="preserve">រកមិនឃើញអាសយដ្ឋាននៃលេខកូដ ?0 </t>
        </is>
      </c>
      <c r="F158" s="3" t="inlineStr">
        <is>
          <t>រកមិនឃើញអាសយដ្ឋាននៃលេខកូដ ?0 ទេ</t>
        </is>
      </c>
      <c r="G158" s="67" t="n"/>
      <c r="H158" t="inlineStr">
        <is>
          <t>រកមិនឃើញអាសយដ្ឋាននៃលេខកូដ ?0 ទេ</t>
        </is>
      </c>
      <c r="I158" s="67" t="n"/>
      <c r="J158" s="67" t="n"/>
      <c r="K158" s="67" t="n"/>
      <c r="L158" s="67" t="n"/>
      <c r="M158" s="67" t="n"/>
      <c r="N158" s="67" t="n"/>
      <c r="O158" s="67" t="n"/>
      <c r="P158" s="67" t="n"/>
      <c r="Q158" s="67" t="n"/>
      <c r="R158" s="67" t="n"/>
      <c r="S158" s="67" t="n"/>
      <c r="T158" s="67" t="n"/>
      <c r="U158" s="67" t="n"/>
      <c r="V158" s="67" t="n"/>
      <c r="W158" s="67" t="n"/>
      <c r="X158" s="67" t="n"/>
      <c r="Y158" s="67" t="n"/>
      <c r="Z158" s="67" t="n"/>
      <c r="AA158" s="67" t="n"/>
      <c r="AB158" s="67" t="n"/>
    </row>
    <row r="159" ht="15.75" customHeight="1" s="305">
      <c r="A159" s="67" t="inlineStr">
        <is>
          <t>ESM_ERROR_404_1</t>
        </is>
      </c>
      <c r="B159" s="67" t="inlineStr">
        <is>
          <t>Số hộp đã được đặt ở cấu hình ?0</t>
        </is>
      </c>
      <c r="C159" s="67" t="inlineStr">
        <is>
          <t>Box code is set by route config ?0.</t>
        </is>
      </c>
      <c r="D159" s="3">
        <f>IFERROR(__xludf.DUMMYFUNCTION("GOOGLETRANSLATE(B159,""vi"",""km"")"),"ចំនួនប្រអប់ត្រូវបានកំណត់ទៅជាការកំណត់រចនាសម្ព័ន្ធ ?០")</f>
        <v/>
      </c>
      <c r="E159" s="67" t="inlineStr">
        <is>
          <t>លេខប្រអប់ដែលបានកំណត់នៅក្នុងការកំណត់រចនាសម្ព័ន្ធ ?0</t>
        </is>
      </c>
      <c r="F159" s="3" t="inlineStr">
        <is>
          <t>ចំនួនប្រអប់ត្រូវបានកំណត់ទៅជាការកំណត់រចនាសម្ព័ន្ធ ?០</t>
        </is>
      </c>
      <c r="G159" s="67" t="n"/>
      <c r="H159" t="inlineStr">
        <is>
          <t>ចំនួនប្រអប់ត្រូវបានកំណត់ទៅជាការកំណត់រចនាសម្ព័ន្ធ ?០</t>
        </is>
      </c>
      <c r="I159" s="67" t="n"/>
      <c r="J159" s="67" t="n"/>
      <c r="K159" s="67" t="n"/>
      <c r="L159" s="67" t="n"/>
      <c r="M159" s="67" t="n"/>
      <c r="N159" s="67" t="n"/>
      <c r="O159" s="67" t="n"/>
      <c r="P159" s="67" t="n"/>
      <c r="Q159" s="67" t="n"/>
      <c r="R159" s="67" t="n"/>
      <c r="S159" s="67" t="n"/>
      <c r="T159" s="67" t="n"/>
      <c r="U159" s="67" t="n"/>
      <c r="V159" s="67" t="n"/>
      <c r="W159" s="67" t="n"/>
      <c r="X159" s="67" t="n"/>
      <c r="Y159" s="67" t="n"/>
      <c r="Z159" s="67" t="n"/>
      <c r="AA159" s="67" t="n"/>
      <c r="AB159" s="67" t="n"/>
    </row>
    <row r="160" ht="15.75" customHeight="1" s="305">
      <c r="A160" s="67" t="inlineStr">
        <is>
          <t>ESM_ERROR_405</t>
        </is>
      </c>
      <c r="B160" s="67" t="inlineStr">
        <is>
          <t>Số hộp phải là số nguyên.</t>
        </is>
      </c>
      <c r="C160" s="67" t="inlineStr">
        <is>
          <t>The type of box code needs to be integer.</t>
        </is>
      </c>
      <c r="D160" s="3">
        <f>IFERROR(__xludf.DUMMYFUNCTION("GOOGLETRANSLATE(B160,""vi"",""km"")"),"ចំនួនប្រអប់ត្រូវតែជាចំនួនគត់។")</f>
        <v/>
      </c>
      <c r="E160" s="67" t="inlineStr">
        <is>
          <t>លេខប្រអប់ត្រូវតែជាចំនួនគត់។</t>
        </is>
      </c>
      <c r="F160" s="3" t="inlineStr">
        <is>
          <t>ចំនួនប្រអប់ត្រូវតែជាចំនួនគត់។</t>
        </is>
      </c>
      <c r="G160" s="67" t="n"/>
      <c r="H160" t="inlineStr">
        <is>
          <t>ចំនួនប្រអប់ត្រូវតែជាចំនួនគត់។</t>
        </is>
      </c>
      <c r="I160" s="67" t="n"/>
      <c r="J160" s="67" t="n"/>
      <c r="K160" s="67" t="n"/>
      <c r="L160" s="67" t="n"/>
      <c r="M160" s="67" t="n"/>
      <c r="N160" s="67" t="n"/>
      <c r="O160" s="67" t="n"/>
      <c r="P160" s="67" t="n"/>
      <c r="Q160" s="67" t="n"/>
      <c r="R160" s="67" t="n"/>
      <c r="S160" s="67" t="n"/>
      <c r="T160" s="67" t="n"/>
      <c r="U160" s="67" t="n"/>
      <c r="V160" s="67" t="n"/>
      <c r="W160" s="67" t="n"/>
      <c r="X160" s="67" t="n"/>
      <c r="Y160" s="67" t="n"/>
      <c r="Z160" s="67" t="n"/>
      <c r="AA160" s="67" t="n"/>
      <c r="AB160" s="67" t="n"/>
    </row>
    <row r="161" ht="15.75" customHeight="1" s="305">
      <c r="A161" s="67" t="inlineStr">
        <is>
          <t>ESM_ERROR_406</t>
        </is>
      </c>
      <c r="B161" s="67" t="inlineStr">
        <is>
          <t>Tên cấu hình chia chọn đã được đặt.</t>
        </is>
      </c>
      <c r="C161" s="67" t="inlineStr">
        <is>
          <t>The route config name is exist.</t>
        </is>
      </c>
      <c r="D161" s="3">
        <f>IFERROR(__xludf.DUMMYFUNCTION("GOOGLETRANSLATE(B161,""vi"",""km"")"),"ឈ្មោះ​ការកំណត់រចនាសម្ព័ន្ធ​បំបែក​ត្រូវបានកំណត់។")</f>
        <v/>
      </c>
      <c r="E161" s="67" t="inlineStr">
        <is>
          <t>ឈ្មោះការកំណត់រចនាសម្ព័ន្ធការជ្រើសរើសត្រូវបានកំណត់។</t>
        </is>
      </c>
      <c r="F161" s="3" t="inlineStr">
        <is>
          <t>ឈ្មោះការកំណត់រចនាសម្ព័ន្ធបំបែកត្រូវបានកំណត់។</t>
        </is>
      </c>
      <c r="G161" s="67" t="n"/>
      <c r="H161" t="inlineStr">
        <is>
          <t>ឈ្មោះការកំណត់រចនាសម្ព័ន្ធបំបែកត្រូវបានកំណត់។</t>
        </is>
      </c>
      <c r="I161" s="67" t="n"/>
      <c r="J161" s="67" t="n"/>
      <c r="K161" s="67" t="n"/>
      <c r="L161" s="67" t="n"/>
      <c r="M161" s="67" t="n"/>
      <c r="N161" s="67" t="n"/>
      <c r="O161" s="67" t="n"/>
      <c r="P161" s="67" t="n"/>
      <c r="Q161" s="67" t="n"/>
      <c r="R161" s="67" t="n"/>
      <c r="S161" s="67" t="n"/>
      <c r="T161" s="67" t="n"/>
      <c r="U161" s="67" t="n"/>
      <c r="V161" s="67" t="n"/>
      <c r="W161" s="67" t="n"/>
      <c r="X161" s="67" t="n"/>
      <c r="Y161" s="67" t="n"/>
      <c r="Z161" s="67" t="n"/>
      <c r="AA161" s="67" t="n"/>
      <c r="AB161" s="67" t="n"/>
    </row>
    <row r="162" ht="15.75" customHeight="1" s="305">
      <c r="A162" s="67" t="inlineStr">
        <is>
          <t>DB_EXCEPTION</t>
        </is>
      </c>
      <c r="B162" s="67" t="inlineStr">
        <is>
          <t>LỖI_CƠ_SỞ_DỮ_LIỆU</t>
        </is>
      </c>
      <c r="C162" s="67" t="inlineStr">
        <is>
          <t>DB_EXCEPTION</t>
        </is>
      </c>
      <c r="D162" s="3">
        <f>IFERROR(__xludf.DUMMYFUNCTION("GOOGLETRANSLATE(B162,""vi"",""km"")"),"កំហុសមូលដ្ឋានទិន្នន័យ")</f>
        <v/>
      </c>
      <c r="E162" s="67" t="inlineStr">
        <is>
          <t>DATABASE_ERROR</t>
        </is>
      </c>
      <c r="F162" s="3" t="inlineStr">
        <is>
          <t>កំហុសមូលដ្ឋានទិន្នន័យ</t>
        </is>
      </c>
      <c r="G162" s="67" t="n"/>
      <c r="H162" t="inlineStr">
        <is>
          <t>កំហុសមូលដ្ឋានទិន្នន័យ</t>
        </is>
      </c>
      <c r="I162" s="67" t="n"/>
      <c r="J162" s="67" t="n"/>
      <c r="K162" s="67" t="n"/>
      <c r="L162" s="67" t="n"/>
      <c r="M162" s="67" t="n"/>
      <c r="N162" s="67" t="n"/>
      <c r="O162" s="67" t="n"/>
      <c r="P162" s="67" t="n"/>
      <c r="Q162" s="67" t="n"/>
      <c r="R162" s="67" t="n"/>
      <c r="S162" s="67" t="n"/>
      <c r="T162" s="67" t="n"/>
      <c r="U162" s="67" t="n"/>
      <c r="V162" s="67" t="n"/>
      <c r="W162" s="67" t="n"/>
      <c r="X162" s="67" t="n"/>
      <c r="Y162" s="67" t="n"/>
      <c r="Z162" s="67" t="n"/>
      <c r="AA162" s="67" t="n"/>
      <c r="AB162" s="67" t="n"/>
    </row>
    <row r="163" ht="15.75" customHeight="1" s="305">
      <c r="A163" s="67" t="inlineStr">
        <is>
          <t>BAD_REQUEST</t>
        </is>
      </c>
      <c r="B163" s="67" t="inlineStr">
        <is>
          <t>LỖI_YÊU_CẦU</t>
        </is>
      </c>
      <c r="C163" s="67" t="inlineStr">
        <is>
          <t>BAD_REQUEST</t>
        </is>
      </c>
      <c r="D163" s="3">
        <f>IFERROR(__xludf.DUMMYFUNCTION("GOOGLETRANSLATE(B163,""vi"",""km"")"),"កំហុសសំណើ")</f>
        <v/>
      </c>
      <c r="E163" s="67" t="inlineStr">
        <is>
          <t>REQUEST_ERROR</t>
        </is>
      </c>
      <c r="F163" s="3" t="inlineStr">
        <is>
          <t>កំហុសសំណើ</t>
        </is>
      </c>
      <c r="G163" s="67" t="n"/>
      <c r="H163" t="inlineStr">
        <is>
          <t>កំហុសសំណើ</t>
        </is>
      </c>
      <c r="I163" s="67" t="n"/>
      <c r="J163" s="67" t="n"/>
      <c r="K163" s="67" t="n"/>
      <c r="L163" s="67" t="n"/>
      <c r="M163" s="67" t="n"/>
      <c r="N163" s="67" t="n"/>
      <c r="O163" s="67" t="n"/>
      <c r="P163" s="67" t="n"/>
      <c r="Q163" s="67" t="n"/>
      <c r="R163" s="67" t="n"/>
      <c r="S163" s="67" t="n"/>
      <c r="T163" s="67" t="n"/>
      <c r="U163" s="67" t="n"/>
      <c r="V163" s="67" t="n"/>
      <c r="W163" s="67" t="n"/>
      <c r="X163" s="67" t="n"/>
      <c r="Y163" s="67" t="n"/>
      <c r="Z163" s="67" t="n"/>
      <c r="AA163" s="67" t="n"/>
      <c r="AB163" s="67" t="n"/>
    </row>
    <row r="164" ht="15.75" customHeight="1" s="305">
      <c r="A164" s="67" t="inlineStr">
        <is>
          <t>BAD_REQUEST_FMT</t>
        </is>
      </c>
      <c r="B164" s="67" t="inlineStr">
        <is>
          <t>LỖI_YÊU_CẦU</t>
        </is>
      </c>
      <c r="C164" s="67" t="inlineStr">
        <is>
          <t>BAD_REQUEST</t>
        </is>
      </c>
      <c r="D164" s="3">
        <f>IFERROR(__xludf.DUMMYFUNCTION("GOOGLETRANSLATE(B164,""vi"",""km"")"),"កំហុសសំណើ")</f>
        <v/>
      </c>
      <c r="E164" s="67" t="inlineStr">
        <is>
          <t>REQUEST_ERROR</t>
        </is>
      </c>
      <c r="F164" s="3" t="inlineStr">
        <is>
          <t>កំហុសសំណើ</t>
        </is>
      </c>
      <c r="G164" s="67" t="n"/>
      <c r="H164" t="inlineStr">
        <is>
          <t>កំហុសសំណើ</t>
        </is>
      </c>
      <c r="I164" s="67" t="n"/>
      <c r="J164" s="67" t="n"/>
      <c r="K164" s="67" t="n"/>
      <c r="L164" s="67" t="n"/>
      <c r="M164" s="67" t="n"/>
      <c r="N164" s="67" t="n"/>
      <c r="O164" s="67" t="n"/>
      <c r="P164" s="67" t="n"/>
      <c r="Q164" s="67" t="n"/>
      <c r="R164" s="67" t="n"/>
      <c r="S164" s="67" t="n"/>
      <c r="T164" s="67" t="n"/>
      <c r="U164" s="67" t="n"/>
      <c r="V164" s="67" t="n"/>
      <c r="W164" s="67" t="n"/>
      <c r="X164" s="67" t="n"/>
      <c r="Y164" s="67" t="n"/>
      <c r="Z164" s="67" t="n"/>
      <c r="AA164" s="67" t="n"/>
      <c r="AB164" s="67" t="n"/>
    </row>
    <row r="165" ht="15.75" customHeight="1" s="305">
      <c r="A165" s="67" t="inlineStr">
        <is>
          <t>BAD_RESPONSE</t>
        </is>
      </c>
      <c r="B165" s="67" t="inlineStr">
        <is>
          <t>Không rõ cấu trúc phản hồi</t>
        </is>
      </c>
      <c r="C165" s="67" t="inlineStr">
        <is>
          <t>Unknown response schema</t>
        </is>
      </c>
      <c r="D165" s="3">
        <f>IFERROR(__xludf.DUMMYFUNCTION("GOOGLETRANSLATE(B165,""vi"",""km"")"),"រចនាសម្ព័ន្ធមតិប្រតិកម្មមិនច្បាស់លាស់។")</f>
        <v/>
      </c>
      <c r="E165" s="67" t="inlineStr">
        <is>
          <t>រចនាសម្ព័ន្ធឆ្លើយតបមិនច្បាស់លាស់</t>
        </is>
      </c>
      <c r="F165" s="3" t="inlineStr">
        <is>
          <t>រចនាសម្ព័ន្ធមតិប្រតិកម្មមិនច្បាស់លាស់។</t>
        </is>
      </c>
      <c r="G165" s="67" t="n"/>
      <c r="H165" t="inlineStr">
        <is>
          <t>រចនាសម្ព័ន្ធមតិប្រតិកម្មមិនច្បាស់លាស់។</t>
        </is>
      </c>
      <c r="I165" s="67" t="n"/>
      <c r="J165" s="67" t="n"/>
      <c r="K165" s="67" t="n"/>
      <c r="L165" s="67" t="n"/>
      <c r="M165" s="67" t="n"/>
      <c r="N165" s="67" t="n"/>
      <c r="O165" s="67" t="n"/>
      <c r="P165" s="67" t="n"/>
      <c r="Q165" s="67" t="n"/>
      <c r="R165" s="67" t="n"/>
      <c r="S165" s="67" t="n"/>
      <c r="T165" s="67" t="n"/>
      <c r="U165" s="67" t="n"/>
      <c r="V165" s="67" t="n"/>
      <c r="W165" s="67" t="n"/>
      <c r="X165" s="67" t="n"/>
      <c r="Y165" s="67" t="n"/>
      <c r="Z165" s="67" t="n"/>
      <c r="AA165" s="67" t="n"/>
      <c r="AB165" s="67" t="n"/>
    </row>
    <row r="166" ht="15.75" customHeight="1" s="305">
      <c r="A166" s="67" t="inlineStr">
        <is>
          <t>ENUM_NOT_SUPPORTED</t>
        </is>
      </c>
      <c r="B166" s="67" t="inlineStr">
        <is>
          <t>Giá trị enum không được hỗ trợ</t>
        </is>
      </c>
      <c r="C166" s="67" t="inlineStr">
        <is>
          <t>Not supported enum value</t>
        </is>
      </c>
      <c r="D166" s="3">
        <f>IFERROR(__xludf.DUMMYFUNCTION("GOOGLETRANSLATE(B166,""vi"",""km"")"),"តម្លៃ​បញ្ចូល​មិន​ត្រូវ​បាន​គាំទ្រ​ទេ។")</f>
        <v/>
      </c>
      <c r="E166" s="67" t="inlineStr">
        <is>
          <t>តម្លៃ Enum មិនត្រូវបានគាំទ្រទេ</t>
        </is>
      </c>
      <c r="F166" s="3" t="inlineStr">
        <is>
          <t>តម្លៃបញ្ចូលមិនត្រូវបានគាំទ្រទេ។</t>
        </is>
      </c>
      <c r="G166" s="67" t="n"/>
      <c r="H166" t="inlineStr">
        <is>
          <t>តម្លៃបញ្ចូលមិនត្រូវបានគាំទ្រទេ។</t>
        </is>
      </c>
      <c r="I166" s="67" t="n"/>
      <c r="J166" s="67" t="n"/>
      <c r="K166" s="67" t="n"/>
      <c r="L166" s="67" t="n"/>
      <c r="M166" s="67" t="n"/>
      <c r="N166" s="67" t="n"/>
      <c r="O166" s="67" t="n"/>
      <c r="P166" s="67" t="n"/>
      <c r="Q166" s="67" t="n"/>
      <c r="R166" s="67" t="n"/>
      <c r="S166" s="67" t="n"/>
      <c r="T166" s="67" t="n"/>
      <c r="U166" s="67" t="n"/>
      <c r="V166" s="67" t="n"/>
      <c r="W166" s="67" t="n"/>
      <c r="X166" s="67" t="n"/>
      <c r="Y166" s="67" t="n"/>
      <c r="Z166" s="67" t="n"/>
      <c r="AA166" s="67" t="n"/>
      <c r="AB166" s="67" t="n"/>
    </row>
    <row r="167" ht="15.75" customHeight="1" s="305">
      <c r="A167" s="67" t="inlineStr">
        <is>
          <t>MULTI_TOKEN</t>
        </is>
      </c>
      <c r="B167" s="67" t="inlineStr">
        <is>
          <t>Không chấp nhận multi token</t>
        </is>
      </c>
      <c r="C167" s="67" t="inlineStr">
        <is>
          <t>Multi token not accepted</t>
        </is>
      </c>
      <c r="D167" s="3">
        <f>IFERROR(__xludf.DUMMYFUNCTION("GOOGLETRANSLATE(B167,""vi"",""km"")"),"ថូខឹនច្រើនមិនត្រូវបានទទួលយកទេ។")</f>
        <v/>
      </c>
      <c r="E167" s="67" t="inlineStr">
        <is>
          <t>សញ្ញាសម្ងាត់ច្រើនមិនត្រូវបានទទួលយកទេ</t>
        </is>
      </c>
      <c r="F167" s="3" t="inlineStr">
        <is>
          <t>ថូខឹនច្រើនមិនត្រូវបានទទួលយកទេ។</t>
        </is>
      </c>
      <c r="G167" s="67" t="n"/>
      <c r="H167" t="inlineStr">
        <is>
          <t>ថូខឹនច្រើនមិនត្រូវបានទទួលយកទេ។</t>
        </is>
      </c>
      <c r="I167" s="67" t="n"/>
      <c r="J167" s="67" t="n"/>
      <c r="K167" s="67" t="n"/>
      <c r="L167" s="67" t="n"/>
      <c r="M167" s="67" t="n"/>
      <c r="N167" s="67" t="n"/>
      <c r="O167" s="67" t="n"/>
      <c r="P167" s="67" t="n"/>
      <c r="Q167" s="67" t="n"/>
      <c r="R167" s="67" t="n"/>
      <c r="S167" s="67" t="n"/>
      <c r="T167" s="67" t="n"/>
      <c r="U167" s="67" t="n"/>
      <c r="V167" s="67" t="n"/>
      <c r="W167" s="67" t="n"/>
      <c r="X167" s="67" t="n"/>
      <c r="Y167" s="67" t="n"/>
      <c r="Z167" s="67" t="n"/>
      <c r="AA167" s="67" t="n"/>
      <c r="AB167" s="67" t="n"/>
    </row>
    <row r="168" ht="15.75" customHeight="1" s="305">
      <c r="A168" s="67" t="inlineStr">
        <is>
          <t>CORE_EMPTY_RESPONSE</t>
        </is>
      </c>
      <c r="B168" s="67" t="inlineStr">
        <is>
          <t>Kết quả trống từ hạ tầng cơ bản</t>
        </is>
      </c>
      <c r="C168" s="67" t="inlineStr">
        <is>
          <t>Empty result from core</t>
        </is>
      </c>
      <c r="D168" s="3">
        <f>IFERROR(__xludf.DUMMYFUNCTION("GOOGLETRANSLATE(B168,""vi"",""km"")"),"លទ្ធផលគឺកង្វះហេដ្ឋារចនាសម្ព័ន្ធជាមូលដ្ឋាន។")</f>
        <v/>
      </c>
      <c r="E168" s="67" t="inlineStr">
        <is>
          <t>លទ្ធផលទទេពីហេដ្ឋារចនាសម្ព័ន្ធមូលដ្ឋាន</t>
        </is>
      </c>
      <c r="F168" s="3" t="inlineStr">
        <is>
          <t>លទ្ធផលគឺកង្វះហេដ្ឋារចនាសម្ព័ន្ធជាមូលដ្ឋាន។</t>
        </is>
      </c>
      <c r="G168" s="67" t="n"/>
      <c r="H168" t="inlineStr">
        <is>
          <t>លទ្ធផលគឺកង្វះហេដ្ឋារចនាសម្ព័ន្ធជាមូលដ្ឋាន។</t>
        </is>
      </c>
      <c r="I168" s="67" t="n"/>
      <c r="J168" s="67" t="n"/>
      <c r="K168" s="67" t="n"/>
      <c r="L168" s="67" t="n"/>
      <c r="M168" s="67" t="n"/>
      <c r="N168" s="67" t="n"/>
      <c r="O168" s="67" t="n"/>
      <c r="P168" s="67" t="n"/>
      <c r="Q168" s="67" t="n"/>
      <c r="R168" s="67" t="n"/>
      <c r="S168" s="67" t="n"/>
      <c r="T168" s="67" t="n"/>
      <c r="U168" s="67" t="n"/>
      <c r="V168" s="67" t="n"/>
      <c r="W168" s="67" t="n"/>
      <c r="X168" s="67" t="n"/>
      <c r="Y168" s="67" t="n"/>
      <c r="Z168" s="67" t="n"/>
      <c r="AA168" s="67" t="n"/>
      <c r="AB168" s="67" t="n"/>
    </row>
    <row r="169" ht="15.75" customHeight="1" s="305">
      <c r="A169" s="67" t="inlineStr">
        <is>
          <t>CORE_RESPONSE_TOO_LONG</t>
        </is>
      </c>
      <c r="B169" s="67" t="inlineStr">
        <is>
          <t>Phản hồi từ hạ tầng cơ bản quá dài</t>
        </is>
      </c>
      <c r="C169" s="67" t="inlineStr">
        <is>
          <t>CORE response too long</t>
        </is>
      </c>
      <c r="D169" s="3">
        <f>IFERROR(__xludf.DUMMYFUNCTION("GOOGLETRANSLATE(B169,""vi"",""km"")"),"ការឆ្លើយតបពីហេដ្ឋារចនាសម្ព័ន្ធមូលដ្ឋានវែងពេក។")</f>
        <v/>
      </c>
      <c r="E169" s="67" t="inlineStr">
        <is>
          <t>ការឆ្លើយតបពីហេដ្ឋារចនាសម្ព័ន្ធមូលដ្ឋានវែងពេក</t>
        </is>
      </c>
      <c r="F169" s="3" t="inlineStr">
        <is>
          <t>ការឆ្លើយតបពីហេដ្ឋារចនាសម្ព័ន្ធមូលដ្ឋានវែងពេក។</t>
        </is>
      </c>
      <c r="G169" s="67" t="n"/>
      <c r="H169" t="inlineStr">
        <is>
          <t>ការឆ្លើយតបពីហេដ្ឋារចនាសម្ព័ន្ធមូលដ្ឋានវែងពេក។</t>
        </is>
      </c>
      <c r="I169" s="67" t="n"/>
      <c r="J169" s="67" t="n"/>
      <c r="K169" s="67" t="n"/>
      <c r="L169" s="67" t="n"/>
      <c r="M169" s="67" t="n"/>
      <c r="N169" s="67" t="n"/>
      <c r="O169" s="67" t="n"/>
      <c r="P169" s="67" t="n"/>
      <c r="Q169" s="67" t="n"/>
      <c r="R169" s="67" t="n"/>
      <c r="S169" s="67" t="n"/>
      <c r="T169" s="67" t="n"/>
      <c r="U169" s="67" t="n"/>
      <c r="V169" s="67" t="n"/>
      <c r="W169" s="67" t="n"/>
      <c r="X169" s="67" t="n"/>
      <c r="Y169" s="67" t="n"/>
      <c r="Z169" s="67" t="n"/>
      <c r="AA169" s="67" t="n"/>
      <c r="AB169" s="67" t="n"/>
    </row>
    <row r="170" ht="15.75" customHeight="1" s="305">
      <c r="A170" s="67" t="inlineStr">
        <is>
          <t>NOT_EXISTS_IN_ASSIGNED</t>
        </is>
      </c>
      <c r="B170" s="67" t="inlineStr">
        <is>
          <t>Đơn hàng không tồn tại trong lịch giao hàng đã được phân công của người phát</t>
        </is>
      </c>
      <c r="C170" s="67" t="inlineStr">
        <is>
          <t>The order does not exist in the assigned delivery of the postman</t>
        </is>
      </c>
      <c r="D170" s="3">
        <f>IFERROR(__xludf.DUMMYFUNCTION("GOOGLETRANSLATE(B170,""vi"",""km"")"),"ការបញ្ជាទិញនេះមិនមាននៅក្នុងកាលវិភាគដឹកជញ្ជូនដែលបានកំណត់ទៅអ្នកដឹកជញ្ជូនទេ។")</f>
        <v/>
      </c>
      <c r="E170" s="67" t="inlineStr">
        <is>
          <t>ការបញ្ជាទិញមិនមាននៅក្នុងកាលវិភាគដឹកជញ្ជូនដែលបានកំណត់របស់អ្នកផ្ញើទេ</t>
        </is>
      </c>
      <c r="F170" s="3" t="inlineStr">
        <is>
          <t>ការបញ្ជាទិញនេះមិនមាននៅក្នុងកាលវិភាគដឹកជញ្ជូនដែលបានកំណត់ទៅអ្នកដឹកជញ្ជូនទេ។</t>
        </is>
      </c>
      <c r="G170" s="67" t="n"/>
      <c r="H170" t="inlineStr">
        <is>
          <t>ការបញ្ជាទិញនេះមិនមាននៅក្នុងកាលវិភាគដឹកជញ្ជូនដែលបានកំណត់ទៅអ្នកដឹកជញ្ជូនទេ។</t>
        </is>
      </c>
      <c r="I170" s="67" t="n"/>
      <c r="J170" s="67" t="n"/>
      <c r="K170" s="67" t="n"/>
      <c r="L170" s="67" t="n"/>
      <c r="M170" s="67" t="n"/>
      <c r="N170" s="67" t="n"/>
      <c r="O170" s="67" t="n"/>
      <c r="P170" s="67" t="n"/>
      <c r="Q170" s="67" t="n"/>
      <c r="R170" s="67" t="n"/>
      <c r="S170" s="67" t="n"/>
      <c r="T170" s="67" t="n"/>
      <c r="U170" s="67" t="n"/>
      <c r="V170" s="67" t="n"/>
      <c r="W170" s="67" t="n"/>
      <c r="X170" s="67" t="n"/>
      <c r="Y170" s="67" t="n"/>
      <c r="Z170" s="67" t="n"/>
      <c r="AA170" s="67" t="n"/>
      <c r="AB170" s="67" t="n"/>
    </row>
    <row r="171" ht="15.75" customHeight="1" s="305">
      <c r="A171" s="67" t="inlineStr">
        <is>
          <t>HAS_FINAL_STATUS</t>
        </is>
      </c>
      <c r="B171" s="67" t="inlineStr">
        <is>
          <t>Đơn hàng đã đạt đến trạng thái cuối cùng của mình</t>
        </is>
      </c>
      <c r="C171" s="67" t="inlineStr">
        <is>
          <t>The order has reached its final status</t>
        </is>
      </c>
      <c r="D171" s="3">
        <f>IFERROR(__xludf.DUMMYFUNCTION("GOOGLETRANSLATE(B171,""vi"",""km"")"),"ការបញ្ជាទិញបានឈានដល់ស្ថានភាពចុងក្រោយរបស់វា។")</f>
        <v/>
      </c>
      <c r="E171" s="67" t="inlineStr">
        <is>
          <t>ការបញ្ជាទិញបានឈានដល់ស្ថានភាពចុងក្រោយរបស់វា</t>
        </is>
      </c>
      <c r="F171" s="3" t="inlineStr">
        <is>
          <t>ការបញ្ជាទិញបានឈានដល់ស្ថានភាពចុងក្រោយរបស់វា។</t>
        </is>
      </c>
      <c r="G171" s="67" t="n"/>
      <c r="H171" t="inlineStr">
        <is>
          <t>ការបញ្ជាទិញបានឈានដល់ស្ថានភាពចុងក្រោយរបស់វា។</t>
        </is>
      </c>
      <c r="I171" s="67" t="n"/>
      <c r="J171" s="67" t="n"/>
      <c r="K171" s="67" t="n"/>
      <c r="L171" s="67" t="n"/>
      <c r="M171" s="67" t="n"/>
      <c r="N171" s="67" t="n"/>
      <c r="O171" s="67" t="n"/>
      <c r="P171" s="67" t="n"/>
      <c r="Q171" s="67" t="n"/>
      <c r="R171" s="67" t="n"/>
      <c r="S171" s="67" t="n"/>
      <c r="T171" s="67" t="n"/>
      <c r="U171" s="67" t="n"/>
      <c r="V171" s="67" t="n"/>
      <c r="W171" s="67" t="n"/>
      <c r="X171" s="67" t="n"/>
      <c r="Y171" s="67" t="n"/>
      <c r="Z171" s="67" t="n"/>
      <c r="AA171" s="67" t="n"/>
      <c r="AB171" s="67" t="n"/>
    </row>
    <row r="172" ht="15.75" customHeight="1" s="305">
      <c r="A172" s="67" t="inlineStr">
        <is>
          <t>FORWARDED_ANOTHER_POST</t>
        </is>
      </c>
      <c r="B172" s="67" t="inlineStr">
        <is>
          <t>Đơn hàng đã được chuyển tiếp đến một bưu cục khác</t>
        </is>
      </c>
      <c r="C172" s="67" t="inlineStr">
        <is>
          <t>The order has been forwarded to another post office</t>
        </is>
      </c>
      <c r="D172" s="3">
        <f>IFERROR(__xludf.DUMMYFUNCTION("GOOGLETRANSLATE(B172,""vi"",""km"")"),"ការបញ្ជាទិញត្រូវបានបញ្ជូនបន្តទៅកាន់ការិយាល័យប្រៃសណីយ៍ផ្សេង។")</f>
        <v/>
      </c>
      <c r="E172" s="67" t="inlineStr">
        <is>
          <t>ការបញ្ជាទិញត្រូវបានបញ្ជូនបន្តទៅការិយាល័យប្រៃសណីយ៍ផ្សេងទៀត</t>
        </is>
      </c>
      <c r="F172" s="3" t="inlineStr">
        <is>
          <t>ការបញ្ជាទិញត្រូវបានបញ្ជូនបន្តទៅកាន់ការិយាល័យប្រៃសណីយ៍ផ្សេង។</t>
        </is>
      </c>
      <c r="G172" s="67" t="n"/>
      <c r="H172" t="inlineStr">
        <is>
          <t>ការបញ្ជាទិញត្រូវបានបញ្ជូនបន្តទៅកាន់ការិយាល័យប្រៃសណីយ៍ផ្សេង។</t>
        </is>
      </c>
      <c r="I172" s="67" t="n"/>
      <c r="J172" s="67" t="n"/>
      <c r="K172" s="67" t="n"/>
      <c r="L172" s="67" t="n"/>
      <c r="M172" s="67" t="n"/>
      <c r="N172" s="67" t="n"/>
      <c r="O172" s="67" t="n"/>
      <c r="P172" s="67" t="n"/>
      <c r="Q172" s="67" t="n"/>
      <c r="R172" s="67" t="n"/>
      <c r="S172" s="67" t="n"/>
      <c r="T172" s="67" t="n"/>
      <c r="U172" s="67" t="n"/>
      <c r="V172" s="67" t="n"/>
      <c r="W172" s="67" t="n"/>
      <c r="X172" s="67" t="n"/>
      <c r="Y172" s="67" t="n"/>
      <c r="Z172" s="67" t="n"/>
      <c r="AA172" s="67" t="n"/>
      <c r="AB172" s="67" t="n"/>
    </row>
    <row r="173" ht="15.75" customHeight="1" s="305">
      <c r="A173" s="67" t="inlineStr">
        <is>
          <t>NOT_RETURN_LIST</t>
        </is>
      </c>
      <c r="B173" s="67" t="inlineStr">
        <is>
          <t>Đơn hàng không có trong danh sách đơn hàng trả lại</t>
        </is>
      </c>
      <c r="C173" s="67" t="inlineStr">
        <is>
          <t>The order is not on the return list</t>
        </is>
      </c>
      <c r="D173" s="3">
        <f>IFERROR(__xludf.DUMMYFUNCTION("GOOGLETRANSLATE(B173,""vi"",""km"")"),"ការបញ្ជាទិញនេះមិនមាននៅក្នុងបញ្ជីនៃការបញ្ជាទិញដែលបានប្រគល់មកវិញទេ។")</f>
        <v/>
      </c>
      <c r="E173" s="67" t="inlineStr">
        <is>
          <t>ការបញ្ជាទិញមិនមាននៅក្នុងបញ្ជីនៃការបញ្ជាទិញដែលបានប្រគល់មកវិញទេ</t>
        </is>
      </c>
      <c r="F173" s="3" t="inlineStr">
        <is>
          <t>ការបញ្ជាទិញនេះមិនមាននៅក្នុងបញ្ជីនៃការបញ្ជាទិញដែលបានប្រគល់មកវិញទេ។</t>
        </is>
      </c>
      <c r="G173" s="67" t="n"/>
      <c r="H173" t="inlineStr">
        <is>
          <t>ការបញ្ជាទិញនេះមិនមាននៅក្នុងបញ្ជីនៃការបញ្ជាទិញដែលបានប្រគល់មកវិញទេ។</t>
        </is>
      </c>
      <c r="I173" s="67" t="n"/>
      <c r="J173" s="67" t="n"/>
      <c r="K173" s="67" t="n"/>
      <c r="L173" s="67" t="n"/>
      <c r="M173" s="67" t="n"/>
      <c r="N173" s="67" t="n"/>
      <c r="O173" s="67" t="n"/>
      <c r="P173" s="67" t="n"/>
      <c r="Q173" s="67" t="n"/>
      <c r="R173" s="67" t="n"/>
      <c r="S173" s="67" t="n"/>
      <c r="T173" s="67" t="n"/>
      <c r="U173" s="67" t="n"/>
      <c r="V173" s="67" t="n"/>
      <c r="W173" s="67" t="n"/>
      <c r="X173" s="67" t="n"/>
      <c r="Y173" s="67" t="n"/>
      <c r="Z173" s="67" t="n"/>
      <c r="AA173" s="67" t="n"/>
      <c r="AB173" s="67" t="n"/>
    </row>
    <row r="174" ht="15.75" customHeight="1" s="305">
      <c r="A174" s="67" t="inlineStr">
        <is>
          <t>NOT_FORWARDING_STATUS</t>
        </is>
      </c>
      <c r="B174" s="67" t="inlineStr">
        <is>
          <t>Đơn hàng không ở trong trạng thái chuyển tiếp và không thể sửa đổi</t>
        </is>
      </c>
      <c r="C174" s="67" t="inlineStr">
        <is>
          <t>The order is not in the forwarding status and cannot be modified</t>
        </is>
      </c>
      <c r="D174" s="3">
        <f>IFERROR(__xludf.DUMMYFUNCTION("GOOGLETRANSLATE(B174,""vi"",""km"")"),"ការបញ្ជាទិញនេះមិនស្ថិតនៅក្នុងការដឹកជញ្ជូនទេ ហើយមិនអាចកែប្រែបានទេ។")</f>
        <v/>
      </c>
      <c r="E174" s="67" t="inlineStr">
        <is>
          <t>ការបញ្ជាទិញមិនស្ថិតក្នុងស្ថានភាពបញ្ជូនបន្តទេ ហើយមិនអាចកែប្រែបានទេ</t>
        </is>
      </c>
      <c r="F174" s="3" t="inlineStr">
        <is>
          <t>ការបញ្ជាទិញនេះមិនស្ថិតនៅក្នុងការដឹកជញ្ជូនទេ ហើយមិនអាចកែប្រែបានទេ។</t>
        </is>
      </c>
      <c r="G174" s="67" t="n"/>
      <c r="H174" t="inlineStr">
        <is>
          <t>ការបញ្ជាទិញនេះមិនស្ថិតនៅក្នុងការដឹកជញ្ជូនទេ ហើយមិនអាចកែប្រែបានទេ។</t>
        </is>
      </c>
      <c r="I174" s="67" t="n"/>
      <c r="J174" s="67" t="n"/>
      <c r="K174" s="67" t="n"/>
      <c r="L174" s="67" t="n"/>
      <c r="M174" s="67" t="n"/>
      <c r="N174" s="67" t="n"/>
      <c r="O174" s="67" t="n"/>
      <c r="P174" s="67" t="n"/>
      <c r="Q174" s="67" t="n"/>
      <c r="R174" s="67" t="n"/>
      <c r="S174" s="67" t="n"/>
      <c r="T174" s="67" t="n"/>
      <c r="U174" s="67" t="n"/>
      <c r="V174" s="67" t="n"/>
      <c r="W174" s="67" t="n"/>
      <c r="X174" s="67" t="n"/>
      <c r="Y174" s="67" t="n"/>
      <c r="Z174" s="67" t="n"/>
      <c r="AA174" s="67" t="n"/>
      <c r="AB174" s="67" t="n"/>
    </row>
    <row r="175" ht="15.75" customHeight="1" s="305">
      <c r="A175" s="67" t="inlineStr">
        <is>
          <t>NOT_ALLOWS_PARTIAL_DELIVERY</t>
        </is>
      </c>
      <c r="B175" s="67" t="inlineStr">
        <is>
          <t>Đơn hàng không ở trong trạng thái cho phép yêu cầu giao hàng một phần</t>
        </is>
      </c>
      <c r="C175" s="67" t="inlineStr">
        <is>
          <t>The order is not in a status that allows partial delivery requests</t>
        </is>
      </c>
      <c r="D175" s="3">
        <f>IFERROR(__xludf.DUMMYFUNCTION("GOOGLETRANSLATE(B175,""vi"",""km"")"),"ការបញ្ជាទិញនេះមិនស្ថិតក្នុងស្ថានភាពដែលអនុញ្ញាតឱ្យមានសំណើដឹកជញ្ជូនដោយផ្នែកទេ។")</f>
        <v/>
      </c>
      <c r="E175" s="67" t="inlineStr">
        <is>
          <t>ការបញ្ជាទិញមិនស្ថិតក្នុងស្ថានភាពអនុញ្ញាតឱ្យមានសំណើដឹកជញ្ជូនដោយផ្នែកទេ</t>
        </is>
      </c>
      <c r="F175" s="3" t="inlineStr">
        <is>
          <t>ការបញ្ជាទិញនេះមិនស្ថិតក្នុងស្ថានភាពដែលអនុញ្ញាតឱ្យមានសំណើដឹកជញ្ជូនដោយផ្នែកទេ។</t>
        </is>
      </c>
      <c r="G175" s="67" t="n"/>
      <c r="H175" t="inlineStr">
        <is>
          <t>ការបញ្ជាទិញនេះមិនស្ថិតក្នុងស្ថានភាពដែលអនុញ្ញាតឱ្យមានសំណើដឹកជញ្ជូនដោយផ្នែកទេ។</t>
        </is>
      </c>
      <c r="I175" s="67" t="n"/>
      <c r="J175" s="67" t="n"/>
      <c r="K175" s="67" t="n"/>
      <c r="L175" s="67" t="n"/>
      <c r="M175" s="67" t="n"/>
      <c r="N175" s="67" t="n"/>
      <c r="O175" s="67" t="n"/>
      <c r="P175" s="67" t="n"/>
      <c r="Q175" s="67" t="n"/>
      <c r="R175" s="67" t="n"/>
      <c r="S175" s="67" t="n"/>
      <c r="T175" s="67" t="n"/>
      <c r="U175" s="67" t="n"/>
      <c r="V175" s="67" t="n"/>
      <c r="W175" s="67" t="n"/>
      <c r="X175" s="67" t="n"/>
      <c r="Y175" s="67" t="n"/>
      <c r="Z175" s="67" t="n"/>
      <c r="AA175" s="67" t="n"/>
      <c r="AB175" s="67" t="n"/>
    </row>
    <row r="176" ht="15.75" customHeight="1" s="305">
      <c r="A176" s="67" t="inlineStr">
        <is>
          <t>NOT_PARTIAL_DELIVERY</t>
        </is>
      </c>
      <c r="B176" s="67" t="inlineStr">
        <is>
          <t>Đơn hàng không có yêu cầu giao hàng một phần</t>
        </is>
      </c>
      <c r="C176" s="67" t="inlineStr">
        <is>
          <t>The order does not have a partial delivery request</t>
        </is>
      </c>
      <c r="D176" s="3">
        <f>IFERROR(__xludf.DUMMYFUNCTION("GOOGLETRANSLATE(B176,""vi"",""km"")"),"ការបញ្ជាទិញមិនតម្រូវឱ្យមានការដឹកជញ្ជូនដោយផ្នែកទេ។")</f>
        <v/>
      </c>
      <c r="E176" s="67" t="inlineStr">
        <is>
          <t>បុងបញ្ញើមិនបានស្នើសុំប្រគល់មួយផ្នែកទេ</t>
        </is>
      </c>
      <c r="F176" s="3" t="inlineStr">
        <is>
          <t>ការបញ្ជាទិញមិនតម្រូវឱ្យមានការដឹកជញ្ជូនដោយផ្នែកទេ។</t>
        </is>
      </c>
      <c r="G176" s="67" t="n"/>
      <c r="H176" t="inlineStr">
        <is>
          <t>ការបញ្ជាទិញមិនតម្រូវឱ្យមានការដឹកជញ្ជូនដោយផ្នែកទេ។</t>
        </is>
      </c>
      <c r="I176" s="67" t="n"/>
      <c r="J176" s="67" t="n"/>
      <c r="K176" s="67" t="n"/>
      <c r="L176" s="67" t="n"/>
      <c r="M176" s="67" t="n"/>
      <c r="N176" s="67" t="n"/>
      <c r="O176" s="67" t="n"/>
      <c r="P176" s="67" t="n"/>
      <c r="Q176" s="67" t="n"/>
      <c r="R176" s="67" t="n"/>
      <c r="S176" s="67" t="n"/>
      <c r="T176" s="67" t="n"/>
      <c r="U176" s="67" t="n"/>
      <c r="V176" s="67" t="n"/>
      <c r="W176" s="67" t="n"/>
      <c r="X176" s="67" t="n"/>
      <c r="Y176" s="67" t="n"/>
      <c r="Z176" s="67" t="n"/>
      <c r="AA176" s="67" t="n"/>
      <c r="AB176" s="67" t="n"/>
    </row>
    <row r="177" ht="15.75" customHeight="1" s="305">
      <c r="A177" s="67" t="inlineStr">
        <is>
          <t>PARTIAL_DELIVERY_CANCELED</t>
        </is>
      </c>
      <c r="B177" s="67" t="inlineStr">
        <is>
          <t>Yêu cầu giao hàng một phần đã bị huỷ</t>
        </is>
      </c>
      <c r="C177" s="67" t="inlineStr">
        <is>
          <t>The partial delivery request has been canceled</t>
        </is>
      </c>
      <c r="D177" s="3">
        <f>IFERROR(__xludf.DUMMYFUNCTION("GOOGLETRANSLATE(B177,""vi"",""km"")"),"សំណើ​ដឹកជញ្ជូន​មិន​ពេញលេញ​ត្រូវ​បាន​លុបចោល។")</f>
        <v/>
      </c>
      <c r="E177" s="67" t="inlineStr">
        <is>
          <t>សំណើសុំដឹកជញ្ជូនដោយផ្នែកត្រូវបានលុបចោល</t>
        </is>
      </c>
      <c r="F177" s="3" t="inlineStr">
        <is>
          <t>សំណើដឹកជញ្ជូនមិនពេញលេញត្រូវបានលុបចោល។</t>
        </is>
      </c>
      <c r="G177" s="67" t="n"/>
      <c r="H177" t="inlineStr">
        <is>
          <t>សំណើដឹកជញ្ជូនមិនពេញលេញត្រូវបានលុបចោល។</t>
        </is>
      </c>
      <c r="I177" s="67" t="n"/>
      <c r="J177" s="67" t="n"/>
      <c r="K177" s="67" t="n"/>
      <c r="L177" s="67" t="n"/>
      <c r="M177" s="67" t="n"/>
      <c r="N177" s="67" t="n"/>
      <c r="O177" s="67" t="n"/>
      <c r="P177" s="67" t="n"/>
      <c r="Q177" s="67" t="n"/>
      <c r="R177" s="67" t="n"/>
      <c r="S177" s="67" t="n"/>
      <c r="T177" s="67" t="n"/>
      <c r="U177" s="67" t="n"/>
      <c r="V177" s="67" t="n"/>
      <c r="W177" s="67" t="n"/>
      <c r="X177" s="67" t="n"/>
      <c r="Y177" s="67" t="n"/>
      <c r="Z177" s="67" t="n"/>
      <c r="AA177" s="67" t="n"/>
      <c r="AB177" s="67" t="n"/>
    </row>
    <row r="178" ht="15.75" customHeight="1" s="305">
      <c r="A178" s="67" t="inlineStr">
        <is>
          <t>USER_NOT_EXISTS</t>
        </is>
      </c>
      <c r="B178" s="67" t="inlineStr">
        <is>
          <t>Người dùng không tồn tại</t>
        </is>
      </c>
      <c r="C178" s="67" t="inlineStr">
        <is>
          <t>The user does not exist</t>
        </is>
      </c>
      <c r="D178" s="3">
        <f>IFERROR(__xludf.DUMMYFUNCTION("GOOGLETRANSLATE(B178,""vi"",""km"")"),"អ្នកប្រើប្រាស់មិនមានទេ។")</f>
        <v/>
      </c>
      <c r="E178" s="67" t="inlineStr">
        <is>
          <t>អ្នកប្រើប្រាស់មិនមាន</t>
        </is>
      </c>
      <c r="F178" s="3" t="inlineStr">
        <is>
          <t>អ្នកប្រើប្រាស់មិនមានទេ។</t>
        </is>
      </c>
      <c r="G178" s="67" t="n"/>
      <c r="H178" t="inlineStr">
        <is>
          <t>អ្នកប្រើប្រាស់មិនមានទេ។</t>
        </is>
      </c>
      <c r="I178" s="67" t="n"/>
      <c r="J178" s="67" t="n"/>
      <c r="K178" s="67" t="n"/>
      <c r="L178" s="67" t="n"/>
      <c r="M178" s="67" t="n"/>
      <c r="N178" s="67" t="n"/>
      <c r="O178" s="67" t="n"/>
      <c r="P178" s="67" t="n"/>
      <c r="Q178" s="67" t="n"/>
      <c r="R178" s="67" t="n"/>
      <c r="S178" s="67" t="n"/>
      <c r="T178" s="67" t="n"/>
      <c r="U178" s="67" t="n"/>
      <c r="V178" s="67" t="n"/>
      <c r="W178" s="67" t="n"/>
      <c r="X178" s="67" t="n"/>
      <c r="Y178" s="67" t="n"/>
      <c r="Z178" s="67" t="n"/>
      <c r="AA178" s="67" t="n"/>
      <c r="AB178" s="67" t="n"/>
    </row>
    <row r="179" ht="15.75" customHeight="1" s="305">
      <c r="A179" s="67" t="inlineStr">
        <is>
          <t>USER_EXISTS</t>
        </is>
      </c>
      <c r="B179" s="67" t="inlineStr">
        <is>
          <t>Người dùng đã tồn tại</t>
        </is>
      </c>
      <c r="C179" s="67" t="inlineStr">
        <is>
          <t>The user is already exist</t>
        </is>
      </c>
      <c r="D179" s="3">
        <f>IFERROR(__xludf.DUMMYFUNCTION("GOOGLETRANSLATE(B179,""vi"",""km"")"),"អ្នកប្រើប្រាស់មានរួចហើយ។")</f>
        <v/>
      </c>
      <c r="E179" s="67" t="inlineStr">
        <is>
          <t>អ្នកប្រើប្រាស់មានរួចហើយ</t>
        </is>
      </c>
      <c r="F179" s="3" t="inlineStr">
        <is>
          <t>អ្នកប្រើប្រាស់មានរួចហើយ។</t>
        </is>
      </c>
      <c r="G179" s="67" t="n"/>
      <c r="H179" t="inlineStr">
        <is>
          <t>អ្នកប្រើប្រាស់មានរួចហើយ។</t>
        </is>
      </c>
      <c r="I179" s="67" t="n"/>
      <c r="J179" s="67" t="n"/>
      <c r="K179" s="67" t="n"/>
      <c r="L179" s="67" t="n"/>
      <c r="M179" s="67" t="n"/>
      <c r="N179" s="67" t="n"/>
      <c r="O179" s="67" t="n"/>
      <c r="P179" s="67" t="n"/>
      <c r="Q179" s="67" t="n"/>
      <c r="R179" s="67" t="n"/>
      <c r="S179" s="67" t="n"/>
      <c r="T179" s="67" t="n"/>
      <c r="U179" s="67" t="n"/>
      <c r="V179" s="67" t="n"/>
      <c r="W179" s="67" t="n"/>
      <c r="X179" s="67" t="n"/>
      <c r="Y179" s="67" t="n"/>
      <c r="Z179" s="67" t="n"/>
      <c r="AA179" s="67" t="n"/>
      <c r="AB179" s="67" t="n"/>
    </row>
    <row r="180" ht="15.75" customHeight="1" s="305">
      <c r="A180" s="67" t="inlineStr">
        <is>
          <t>ASSIGMENT_NOT_EXIST</t>
        </is>
      </c>
      <c r="B180" s="67" t="inlineStr">
        <is>
          <t>Phiên phân công không tồn tại</t>
        </is>
      </c>
      <c r="C180" s="67" t="inlineStr">
        <is>
          <t>The assignment session does not exist</t>
        </is>
      </c>
      <c r="D180" s="3">
        <f>IFERROR(__xludf.DUMMYFUNCTION("GOOGLETRANSLATE(B180,""vi"",""km"")"),"វគ្គ​ចាត់តាំង​មិនមានទេ។")</f>
        <v/>
      </c>
      <c r="E180" s="67" t="n"/>
      <c r="F180" s="3" t="inlineStr">
        <is>
          <t>វគ្គចាត់តាំងមិនមានទេ។</t>
        </is>
      </c>
      <c r="G180" s="67" t="n"/>
      <c r="H180" t="inlineStr">
        <is>
          <t>វគ្គចាត់តាំងមិនមានទេ។</t>
        </is>
      </c>
      <c r="I180" s="67" t="n"/>
      <c r="J180" s="67" t="n"/>
      <c r="K180" s="67" t="n"/>
      <c r="L180" s="67" t="n"/>
      <c r="M180" s="67" t="n"/>
      <c r="N180" s="67" t="n"/>
      <c r="O180" s="67" t="n"/>
      <c r="P180" s="67" t="n"/>
      <c r="Q180" s="67" t="n"/>
      <c r="R180" s="67" t="n"/>
      <c r="S180" s="67" t="n"/>
      <c r="T180" s="67" t="n"/>
      <c r="U180" s="67" t="n"/>
      <c r="V180" s="67" t="n"/>
      <c r="W180" s="67" t="n"/>
      <c r="X180" s="67" t="n"/>
      <c r="Y180" s="67" t="n"/>
      <c r="Z180" s="67" t="n"/>
      <c r="AA180" s="67" t="n"/>
      <c r="AB180" s="67" t="n"/>
    </row>
    <row r="181" ht="15.75" customHeight="1" s="305">
      <c r="A181" s="67" t="inlineStr">
        <is>
          <t>ASSIGMENT_ENDED</t>
        </is>
      </c>
      <c r="B181" s="67" t="inlineStr">
        <is>
          <t>Phiên phân công đã kết thúc</t>
        </is>
      </c>
      <c r="C181" s="67" t="inlineStr">
        <is>
          <t>The assignment session has ended</t>
        </is>
      </c>
      <c r="D181" s="3">
        <f>IFERROR(__xludf.DUMMYFUNCTION("GOOGLETRANSLATE(B181,""vi"",""km"")"),"វគ្គ​ប្រគល់​ភារកិច្ច​បាន​បញ្ចប់​ហើយ។")</f>
        <v/>
      </c>
      <c r="E181" s="67" t="n"/>
      <c r="F181" s="3" t="inlineStr">
        <is>
          <t>វគ្គប្រគល់ភារកិច្ចបានបញ្ចប់ហើយ។</t>
        </is>
      </c>
      <c r="G181" s="67" t="n"/>
      <c r="H181" t="inlineStr">
        <is>
          <t>វគ្គប្រគល់ភារកិច្ចបានបញ្ចប់ហើយ។</t>
        </is>
      </c>
      <c r="I181" s="67" t="n"/>
      <c r="J181" s="67" t="n"/>
      <c r="K181" s="67" t="n"/>
      <c r="L181" s="67" t="n"/>
      <c r="M181" s="67" t="n"/>
      <c r="N181" s="67" t="n"/>
      <c r="O181" s="67" t="n"/>
      <c r="P181" s="67" t="n"/>
      <c r="Q181" s="67" t="n"/>
      <c r="R181" s="67" t="n"/>
      <c r="S181" s="67" t="n"/>
      <c r="T181" s="67" t="n"/>
      <c r="U181" s="67" t="n"/>
      <c r="V181" s="67" t="n"/>
      <c r="W181" s="67" t="n"/>
      <c r="X181" s="67" t="n"/>
      <c r="Y181" s="67" t="n"/>
      <c r="Z181" s="67" t="n"/>
      <c r="AA181" s="67" t="n"/>
      <c r="AB181" s="67" t="n"/>
    </row>
    <row r="182" ht="15.75" customHeight="1" s="305">
      <c r="A182" s="67" t="inlineStr">
        <is>
          <t>ASSIGMENT_COMPLETED</t>
        </is>
      </c>
      <c r="B182" s="67" t="inlineStr">
        <is>
          <t>Phiên phân công đã hoàn thành</t>
        </is>
      </c>
      <c r="C182" s="67" t="inlineStr">
        <is>
          <t>The assignment session has been completed</t>
        </is>
      </c>
      <c r="D182" s="3">
        <f>IFERROR(__xludf.DUMMYFUNCTION("GOOGLETRANSLATE(B182,""vi"",""km"")"),"វគ្គ​ប្រគល់​ភារកិច្ច​ត្រូវ​បាន​បញ្ចប់។")</f>
        <v/>
      </c>
      <c r="E182" s="67" t="n"/>
      <c r="F182" s="3" t="inlineStr">
        <is>
          <t>វគ្គប្រគល់ភារកិច្ចត្រូវបានបញ្ចប់។</t>
        </is>
      </c>
      <c r="G182" s="67" t="n"/>
      <c r="H182" t="inlineStr">
        <is>
          <t>វគ្គប្រគល់ភារកិច្ចត្រូវបានបញ្ចប់។</t>
        </is>
      </c>
      <c r="I182" s="67" t="n"/>
      <c r="J182" s="67" t="n"/>
      <c r="K182" s="67" t="n"/>
      <c r="L182" s="67" t="n"/>
      <c r="M182" s="67" t="n"/>
      <c r="N182" s="67" t="n"/>
      <c r="O182" s="67" t="n"/>
      <c r="P182" s="67" t="n"/>
      <c r="Q182" s="67" t="n"/>
      <c r="R182" s="67" t="n"/>
      <c r="S182" s="67" t="n"/>
      <c r="T182" s="67" t="n"/>
      <c r="U182" s="67" t="n"/>
      <c r="V182" s="67" t="n"/>
      <c r="W182" s="67" t="n"/>
      <c r="X182" s="67" t="n"/>
      <c r="Y182" s="67" t="n"/>
      <c r="Z182" s="67" t="n"/>
      <c r="AA182" s="67" t="n"/>
      <c r="AB182" s="67" t="n"/>
    </row>
    <row r="183" ht="15.75" customHeight="1" s="305">
      <c r="A183" s="67" t="inlineStr">
        <is>
          <t>ASSIGMENT_NOT_COMPLETED</t>
        </is>
      </c>
      <c r="B183" s="67" t="inlineStr">
        <is>
          <t>Phiên phân công không hoàn thành</t>
        </is>
      </c>
      <c r="C183" s="67" t="inlineStr">
        <is>
          <t>The assignment session does not complete</t>
        </is>
      </c>
      <c r="D183" s="3">
        <f>IFERROR(__xludf.DUMMYFUNCTION("GOOGLETRANSLATE(B183,""vi"",""km"")"),"វគ្គ​ប្រគល់​ភារកិច្ច​មិន​ទាន់​ចប់​សព្វគ្រប់​នៅ​ឡើយ​ទេ។")</f>
        <v/>
      </c>
      <c r="E183" s="67" t="n"/>
      <c r="F183" s="3" t="inlineStr">
        <is>
          <t>វគ្គប្រគល់ភារកិច្ចមិនទាន់ចប់សព្វគ្រប់នៅឡើយទេ។</t>
        </is>
      </c>
      <c r="G183" s="67" t="n"/>
      <c r="H183" t="inlineStr">
        <is>
          <t>វគ្គប្រគល់ភារកិច្ចមិនទាន់ចប់សព្វគ្រប់នៅឡើយទេ។</t>
        </is>
      </c>
      <c r="I183" s="67" t="n"/>
      <c r="J183" s="67" t="n"/>
      <c r="K183" s="67" t="n"/>
      <c r="L183" s="67" t="n"/>
      <c r="M183" s="67" t="n"/>
      <c r="N183" s="67" t="n"/>
      <c r="O183" s="67" t="n"/>
      <c r="P183" s="67" t="n"/>
      <c r="Q183" s="67" t="n"/>
      <c r="R183" s="67" t="n"/>
      <c r="S183" s="67" t="n"/>
      <c r="T183" s="67" t="n"/>
      <c r="U183" s="67" t="n"/>
      <c r="V183" s="67" t="n"/>
      <c r="W183" s="67" t="n"/>
      <c r="X183" s="67" t="n"/>
      <c r="Y183" s="67" t="n"/>
      <c r="Z183" s="67" t="n"/>
      <c r="AA183" s="67" t="n"/>
      <c r="AB183" s="67" t="n"/>
    </row>
    <row r="184" ht="15.75" customHeight="1" s="305">
      <c r="A184" s="67" t="inlineStr">
        <is>
          <t>ASSIGMENT_EMPTY</t>
        </is>
      </c>
      <c r="B184" s="67" t="inlineStr">
        <is>
          <t>Phiên phân công trống, thêm đơn hàng đẻ hoàn thành</t>
        </is>
      </c>
      <c r="C184" s="67" t="inlineStr">
        <is>
          <t>Empty assignment session, add orders to complete</t>
        </is>
      </c>
      <c r="D184" s="3">
        <f>IFERROR(__xludf.DUMMYFUNCTION("GOOGLETRANSLATE(B184,""vi"",""km"")"),"វេន​នេះ​ទទេ​ហើយ សូម​បន្ថែម​ការ​បញ្ជា​ទិញ​បន្ថែម​ទៀត​ដើម្បី​បញ្ចប់។")</f>
        <v/>
      </c>
      <c r="E184" s="67" t="n"/>
      <c r="F184" s="3" t="inlineStr">
        <is>
          <t>វេននេះទទេហើយ សូមបន្ថែមការបញ្ជាទិញបន្ថែមទៀតដើម្បីបញ្ចប់។</t>
        </is>
      </c>
      <c r="G184" s="67" t="n"/>
      <c r="H184" t="inlineStr">
        <is>
          <t>វេននេះទទេហើយ សូមបន្ថែមការបញ្ជាទិញបន្ថែមទៀតដើម្បីបញ្ចប់។</t>
        </is>
      </c>
      <c r="I184" s="67" t="n"/>
      <c r="J184" s="67" t="n"/>
      <c r="K184" s="67" t="n"/>
      <c r="L184" s="67" t="n"/>
      <c r="M184" s="67" t="n"/>
      <c r="N184" s="67" t="n"/>
      <c r="O184" s="67" t="n"/>
      <c r="P184" s="67" t="n"/>
      <c r="Q184" s="67" t="n"/>
      <c r="R184" s="67" t="n"/>
      <c r="S184" s="67" t="n"/>
      <c r="T184" s="67" t="n"/>
      <c r="U184" s="67" t="n"/>
      <c r="V184" s="67" t="n"/>
      <c r="W184" s="67" t="n"/>
      <c r="X184" s="67" t="n"/>
      <c r="Y184" s="67" t="n"/>
      <c r="Z184" s="67" t="n"/>
      <c r="AA184" s="67" t="n"/>
      <c r="AB184" s="67" t="n"/>
    </row>
    <row r="185" ht="15.75" customHeight="1" s="305">
      <c r="A185" s="67" t="inlineStr">
        <is>
          <t>ORDER_NOT_EXIST</t>
        </is>
      </c>
      <c r="B185" s="67" t="inlineStr">
        <is>
          <t>Đơn hàng không tồn tại</t>
        </is>
      </c>
      <c r="C185" s="67" t="inlineStr">
        <is>
          <t>The order is not exist</t>
        </is>
      </c>
      <c r="D185" s="3">
        <f>IFERROR(__xludf.DUMMYFUNCTION("GOOGLETRANSLATE(B185,""vi"",""km"")"),"ការបញ្ជាទិញនេះមិនមានទេ។")</f>
        <v/>
      </c>
      <c r="E185" s="67" t="inlineStr">
        <is>
          <t>បុងបញ្ញើមិន​មាន​ទេ</t>
        </is>
      </c>
      <c r="F185" s="3" t="inlineStr">
        <is>
          <t>ការបញ្ជាទិញនេះមិនមានទេ។</t>
        </is>
      </c>
      <c r="G185" s="67" t="n"/>
      <c r="H185" t="inlineStr">
        <is>
          <t>ការបញ្ជាទិញនេះមិនមានទេ។</t>
        </is>
      </c>
      <c r="I185" s="67" t="n"/>
      <c r="J185" s="67" t="n"/>
      <c r="K185" s="67" t="n"/>
      <c r="L185" s="67" t="n"/>
      <c r="M185" s="67" t="n"/>
      <c r="N185" s="67" t="n"/>
      <c r="O185" s="67" t="n"/>
      <c r="P185" s="67" t="n"/>
      <c r="Q185" s="67" t="n"/>
      <c r="R185" s="67" t="n"/>
      <c r="S185" s="67" t="n"/>
      <c r="T185" s="67" t="n"/>
      <c r="U185" s="67" t="n"/>
      <c r="V185" s="67" t="n"/>
      <c r="W185" s="67" t="n"/>
      <c r="X185" s="67" t="n"/>
      <c r="Y185" s="67" t="n"/>
      <c r="Z185" s="67" t="n"/>
      <c r="AA185" s="67" t="n"/>
      <c r="AB185" s="67" t="n"/>
    </row>
    <row r="186" ht="15.75" customHeight="1" s="305">
      <c r="A186" s="67" t="inlineStr">
        <is>
          <t>NOT_ALLOWED_ASSIGNED</t>
        </is>
      </c>
      <c r="B186" s="67" t="inlineStr">
        <is>
          <t>Đơn hàng không được phép được phân công</t>
        </is>
      </c>
      <c r="C186" s="67" t="inlineStr">
        <is>
          <t>The order is not allowed to be assigned</t>
        </is>
      </c>
      <c r="D186" s="3">
        <f>IFERROR(__xludf.DUMMYFUNCTION("GOOGLETRANSLATE(B186,""vi"",""km"")"),"ការបញ្ជាទិញមិនត្រូវបានអនុញ្ញាតឱ្យផ្ទេរទេ។")</f>
        <v/>
      </c>
      <c r="E186" s="67" t="inlineStr">
        <is>
          <t>បុងបញ្ញើ​មិន​ត្រូវ​បាន​អនុញ្ញាត​ឱ្យ​ចាត់តាំង​ទេ</t>
        </is>
      </c>
      <c r="F186" s="3" t="inlineStr">
        <is>
          <t>ការបញ្ជាទិញមិនត្រូវបានអនុញ្ញាតឱ្យផ្ទេរទេ។</t>
        </is>
      </c>
      <c r="G186" s="67" t="n"/>
      <c r="H186" t="inlineStr">
        <is>
          <t>ការបញ្ជាទិញមិនត្រូវបានអនុញ្ញាតឱ្យផ្ទេរទេ។</t>
        </is>
      </c>
      <c r="I186" s="67" t="n"/>
      <c r="J186" s="67" t="n"/>
      <c r="K186" s="67" t="n"/>
      <c r="L186" s="67" t="n"/>
      <c r="M186" s="67" t="n"/>
      <c r="N186" s="67" t="n"/>
      <c r="O186" s="67" t="n"/>
      <c r="P186" s="67" t="n"/>
      <c r="Q186" s="67" t="n"/>
      <c r="R186" s="67" t="n"/>
      <c r="S186" s="67" t="n"/>
      <c r="T186" s="67" t="n"/>
      <c r="U186" s="67" t="n"/>
      <c r="V186" s="67" t="n"/>
      <c r="W186" s="67" t="n"/>
      <c r="X186" s="67" t="n"/>
      <c r="Y186" s="67" t="n"/>
      <c r="Z186" s="67" t="n"/>
      <c r="AA186" s="67" t="n"/>
      <c r="AB186" s="67" t="n"/>
    </row>
    <row r="187" ht="15.75" customHeight="1" s="305">
      <c r="A187" s="67" t="inlineStr">
        <is>
          <t>ASSIGNED_TO_SOMEONE</t>
        </is>
      </c>
      <c r="B187" s="67" t="inlineStr">
        <is>
          <t>Đơn hàng đã được phân công cho người khác</t>
        </is>
      </c>
      <c r="C187" s="67" t="inlineStr">
        <is>
          <t>The order has been assigned to someone else</t>
        </is>
      </c>
      <c r="D187" s="3">
        <f>IFERROR(__xludf.DUMMYFUNCTION("GOOGLETRANSLATE(B187,""vi"",""km"")"),"ការបញ្ជាទិញត្រូវបានចាត់ចែងទៅអ្នកផ្សេង។")</f>
        <v/>
      </c>
      <c r="E187" s="67" t="inlineStr">
        <is>
          <t>បុងបញ្ញើត្រូវ​បាន​ចាត់តាំង​ទៅ​អ្នក​ផ្សេង</t>
        </is>
      </c>
      <c r="F187" s="3" t="inlineStr">
        <is>
          <t>ការបញ្ជាទិញត្រូវបានចាត់ចែងទៅអ្នកផ្សេង។</t>
        </is>
      </c>
      <c r="G187" s="67" t="n"/>
      <c r="H187" t="inlineStr">
        <is>
          <t>ការបញ្ជាទិញត្រូវបានចាត់ចែងទៅអ្នកផ្សេង។</t>
        </is>
      </c>
      <c r="I187" s="67" t="n"/>
      <c r="J187" s="67" t="n"/>
      <c r="K187" s="67" t="n"/>
      <c r="L187" s="67" t="n"/>
      <c r="M187" s="67" t="n"/>
      <c r="N187" s="67" t="n"/>
      <c r="O187" s="67" t="n"/>
      <c r="P187" s="67" t="n"/>
      <c r="Q187" s="67" t="n"/>
      <c r="R187" s="67" t="n"/>
      <c r="S187" s="67" t="n"/>
      <c r="T187" s="67" t="n"/>
      <c r="U187" s="67" t="n"/>
      <c r="V187" s="67" t="n"/>
      <c r="W187" s="67" t="n"/>
      <c r="X187" s="67" t="n"/>
      <c r="Y187" s="67" t="n"/>
      <c r="Z187" s="67" t="n"/>
      <c r="AA187" s="67" t="n"/>
      <c r="AB187" s="67" t="n"/>
    </row>
    <row r="188" ht="15.75" customHeight="1" s="305">
      <c r="A188" s="67" t="inlineStr">
        <is>
          <t>ADDED_TO_ASSIGNMENT</t>
        </is>
      </c>
      <c r="B188" s="67" t="inlineStr">
        <is>
          <t>Đơn hàng đã được thêm vào danh sách phân công</t>
        </is>
      </c>
      <c r="C188" s="67" t="inlineStr">
        <is>
          <t>The order has been added to the assignment list</t>
        </is>
      </c>
      <c r="D188" s="3">
        <f>IFERROR(__xludf.DUMMYFUNCTION("GOOGLETRANSLATE(B188,""vi"",""km"")"),"ការបញ្ជាទិញត្រូវបានបន្ថែមទៅក្នុងបញ្ជីកិច្ចការ។")</f>
        <v/>
      </c>
      <c r="E188" s="67" t="inlineStr">
        <is>
          <t>បុងបញ្ញើត្រូវ​បាន​បន្ថែម​ទៅ​ក្នុង​បញ្ជី​កិច្ចការ</t>
        </is>
      </c>
      <c r="F188" s="3" t="inlineStr">
        <is>
          <t>ការបញ្ជាទិញត្រូវបានបន្ថែមទៅក្នុងបញ្ជីកិច្ចការ។</t>
        </is>
      </c>
      <c r="G188" s="67" t="n"/>
      <c r="H188" t="inlineStr">
        <is>
          <t>ការបញ្ជាទិញត្រូវបានបន្ថែមទៅក្នុងបញ្ជីកិច្ចការ។</t>
        </is>
      </c>
      <c r="I188" s="67" t="n"/>
      <c r="J188" s="67" t="n"/>
      <c r="K188" s="67" t="n"/>
      <c r="L188" s="67" t="n"/>
      <c r="M188" s="67" t="n"/>
      <c r="N188" s="67" t="n"/>
      <c r="O188" s="67" t="n"/>
      <c r="P188" s="67" t="n"/>
      <c r="Q188" s="67" t="n"/>
      <c r="R188" s="67" t="n"/>
      <c r="S188" s="67" t="n"/>
      <c r="T188" s="67" t="n"/>
      <c r="U188" s="67" t="n"/>
      <c r="V188" s="67" t="n"/>
      <c r="W188" s="67" t="n"/>
      <c r="X188" s="67" t="n"/>
      <c r="Y188" s="67" t="n"/>
      <c r="Z188" s="67" t="n"/>
      <c r="AA188" s="67" t="n"/>
      <c r="AB188" s="67" t="n"/>
    </row>
    <row r="189" ht="15.75" customHeight="1" s="305">
      <c r="A189" s="67" t="inlineStr">
        <is>
          <t>ORDER_HAS_CONFIRMED</t>
        </is>
      </c>
      <c r="B189" s="67" t="inlineStr">
        <is>
          <t>Đơn hàng đã được xác nhận</t>
        </is>
      </c>
      <c r="C189" s="67" t="inlineStr">
        <is>
          <t>The order has been confirmed</t>
        </is>
      </c>
      <c r="D189" s="3">
        <f>IFERROR(__xludf.DUMMYFUNCTION("GOOGLETRANSLATE(B189,""vi"",""km"")"),"ការបញ្ជាទិញត្រូវបានបញ្ជាក់។")</f>
        <v/>
      </c>
      <c r="E189" s="67" t="inlineStr">
        <is>
          <t>បុងបញ្ញើ​ត្រូវ​បាន​បញ្ជាក់</t>
        </is>
      </c>
      <c r="F189" s="3" t="inlineStr">
        <is>
          <t>ការបញ្ជាទិញត្រូវបានបញ្ជាក់។</t>
        </is>
      </c>
      <c r="G189" s="67" t="n"/>
      <c r="H189" t="inlineStr">
        <is>
          <t>ការបញ្ជាទិញត្រូវបានបញ្ជាក់។</t>
        </is>
      </c>
      <c r="I189" s="67" t="n"/>
      <c r="J189" s="67" t="n"/>
      <c r="K189" s="67" t="n"/>
      <c r="L189" s="67" t="n"/>
      <c r="M189" s="67" t="n"/>
      <c r="N189" s="67" t="n"/>
      <c r="O189" s="67" t="n"/>
      <c r="P189" s="67" t="n"/>
      <c r="Q189" s="67" t="n"/>
      <c r="R189" s="67" t="n"/>
      <c r="S189" s="67" t="n"/>
      <c r="T189" s="67" t="n"/>
      <c r="U189" s="67" t="n"/>
      <c r="V189" s="67" t="n"/>
      <c r="W189" s="67" t="n"/>
      <c r="X189" s="67" t="n"/>
      <c r="Y189" s="67" t="n"/>
      <c r="Z189" s="67" t="n"/>
      <c r="AA189" s="67" t="n"/>
      <c r="AB189" s="67" t="n"/>
    </row>
    <row r="190" ht="15.75" customHeight="1" s="305">
      <c r="A190" s="67" t="inlineStr">
        <is>
          <t>NO_ORDERS_IN_ASSIGMENT</t>
        </is>
      </c>
      <c r="B190" s="67" t="inlineStr">
        <is>
          <t>Không có đơn hàng nào trong danh sách phân công</t>
        </is>
      </c>
      <c r="C190" s="67" t="inlineStr">
        <is>
          <t>No orders in the assignment list</t>
        </is>
      </c>
      <c r="D190" s="3">
        <f>IFERROR(__xludf.DUMMYFUNCTION("GOOGLETRANSLATE(B190,""vi"",""km"")"),"មិនមានការបញ្ជាទិញនៅក្នុងបញ្ជីកិច្ចការទេ។")</f>
        <v/>
      </c>
      <c r="E190" s="67" t="inlineStr">
        <is>
          <t>គ្មានបុងបញ្ញើ​នៅ​ក្នុង​បញ្ជី​កិច្ចការ​ទេ</t>
        </is>
      </c>
      <c r="F190" s="3" t="inlineStr">
        <is>
          <t>មិនមានការបញ្ជាទិញនៅក្នុងបញ្ជីកិច្ចការទេ។</t>
        </is>
      </c>
      <c r="G190" s="67" t="n"/>
      <c r="H190" t="inlineStr">
        <is>
          <t>មិនមានការបញ្ជាទិញនៅក្នុងបញ្ជីកិច្ចការទេ។</t>
        </is>
      </c>
      <c r="I190" s="67" t="n"/>
      <c r="J190" s="67" t="n"/>
      <c r="K190" s="67" t="n"/>
      <c r="L190" s="67" t="n"/>
      <c r="M190" s="67" t="n"/>
      <c r="N190" s="67" t="n"/>
      <c r="O190" s="67" t="n"/>
      <c r="P190" s="67" t="n"/>
      <c r="Q190" s="67" t="n"/>
      <c r="R190" s="67" t="n"/>
      <c r="S190" s="67" t="n"/>
      <c r="T190" s="67" t="n"/>
      <c r="U190" s="67" t="n"/>
      <c r="V190" s="67" t="n"/>
      <c r="W190" s="67" t="n"/>
      <c r="X190" s="67" t="n"/>
      <c r="Y190" s="67" t="n"/>
      <c r="Z190" s="67" t="n"/>
      <c r="AA190" s="67" t="n"/>
      <c r="AB190" s="67" t="n"/>
    </row>
    <row r="191" ht="15.75" customHeight="1" s="305">
      <c r="A191" s="67" t="inlineStr">
        <is>
          <t>NOT_ALLOWED_TRANSFERRED</t>
        </is>
      </c>
      <c r="B191" s="67" t="inlineStr">
        <is>
          <t>Đơn hàng không được phép chuyển (trả la, chuyển tiếp)</t>
        </is>
      </c>
      <c r="C191" s="67" t="inlineStr">
        <is>
          <t>The order is not allowed to be transferred (returned, forwarded)</t>
        </is>
      </c>
      <c r="D191" s="3">
        <f>IFERROR(__xludf.DUMMYFUNCTION("GOOGLETRANSLATE(B191,""vi"",""km"")"),"ការបញ្ជាទិញមិនត្រូវបានអនុញ្ញាតឱ្យផ្ទេរ (ប្រគល់ជូនវិញ បញ្ជូនបន្ត) ទេ។")</f>
        <v/>
      </c>
      <c r="E191" s="67" t="inlineStr">
        <is>
          <t>បុងបញ្ញើមិន​ត្រូវ​បាន​អនុញ្ញាត​ឱ្យ​ផ្ទេរ (ប្រគល់​ជូន​វិញ បញ្ជូនបន្ត)</t>
        </is>
      </c>
      <c r="F191" s="3" t="inlineStr">
        <is>
          <t>ការបញ្ជាទិញមិនត្រូវបានអនុញ្ញាតឱ្យផ្ទេរ (ប្រគល់ជូនវិញ បញ្ជូនបន្ត) ទេ។</t>
        </is>
      </c>
      <c r="G191" s="67" t="n"/>
      <c r="H191" t="inlineStr">
        <is>
          <t>ការបញ្ជាទិញមិនត្រូវបានអនុញ្ញាតឱ្យផ្ទេរ (ប្រគល់ជូនវិញ បញ្ជូនបន្ត) ទេ។</t>
        </is>
      </c>
      <c r="I191" s="67" t="n"/>
      <c r="J191" s="67" t="n"/>
      <c r="K191" s="67" t="n"/>
      <c r="L191" s="67" t="n"/>
      <c r="M191" s="67" t="n"/>
      <c r="N191" s="67" t="n"/>
      <c r="O191" s="67" t="n"/>
      <c r="P191" s="67" t="n"/>
      <c r="Q191" s="67" t="n"/>
      <c r="R191" s="67" t="n"/>
      <c r="S191" s="67" t="n"/>
      <c r="T191" s="67" t="n"/>
      <c r="U191" s="67" t="n"/>
      <c r="V191" s="67" t="n"/>
      <c r="W191" s="67" t="n"/>
      <c r="X191" s="67" t="n"/>
      <c r="Y191" s="67" t="n"/>
      <c r="Z191" s="67" t="n"/>
      <c r="AA191" s="67" t="n"/>
      <c r="AB191" s="67" t="n"/>
    </row>
    <row r="192" ht="15.75" customHeight="1" s="305">
      <c r="A192" s="67" t="inlineStr">
        <is>
          <t>MUST_DIFFERENT_EMPLOYEE</t>
        </is>
      </c>
      <c r="B192" s="67" t="inlineStr">
        <is>
          <t>Người xử lý chuyển tiếp phải khách với người xử lý hiện tại.</t>
        </is>
      </c>
      <c r="C192" s="67" t="inlineStr">
        <is>
          <t>The employee handling the transfer must be different from the current employee</t>
        </is>
      </c>
      <c r="D192" s="3">
        <f>IFERROR(__xludf.DUMMYFUNCTION("GOOGLETRANSLATE(B192,""vi"",""km"")"),"អ្នកដែលដោះស្រាយការផ្លាស់ប្តូរត្រូវតែខុសពីអ្នកដែលដោះស្រាយការផ្លាស់ប្តូរបច្ចុប្បន្ន។")</f>
        <v/>
      </c>
      <c r="E192" s="67" t="inlineStr">
        <is>
          <t>ឧបករណ៍​ដោះស្រាយ​ការបញ្ជូនបន្ត​ត្រូវតែ​ខុស​ពី​ឧបករណ៍​ដោះស្រាយ​បច្ចុប្បន្ន។</t>
        </is>
      </c>
      <c r="F192" s="3" t="inlineStr">
        <is>
          <t>អ្នកដែលដោះស្រាយការផ្លាស់ប្តូរត្រូវតែខុសពីអ្នកដែលដោះស្រាយការផ្លាស់ប្តូរបច្ចុប្បន្ន។</t>
        </is>
      </c>
      <c r="G192" s="67" t="n"/>
      <c r="H192" t="inlineStr">
        <is>
          <t>អ្នកដែលដោះស្រាយការផ្លាស់ប្តូរត្រូវតែខុសពីអ្នកដែលដោះស្រាយការផ្លាស់ប្តូរបច្ចុប្បន្ន។</t>
        </is>
      </c>
      <c r="I192" s="67" t="n"/>
      <c r="J192" s="67" t="n"/>
      <c r="K192" s="67" t="n"/>
      <c r="L192" s="67" t="n"/>
      <c r="M192" s="67" t="n"/>
      <c r="N192" s="67" t="n"/>
      <c r="O192" s="67" t="n"/>
      <c r="P192" s="67" t="n"/>
      <c r="Q192" s="67" t="n"/>
      <c r="R192" s="67" t="n"/>
      <c r="S192" s="67" t="n"/>
      <c r="T192" s="67" t="n"/>
      <c r="U192" s="67" t="n"/>
      <c r="V192" s="67" t="n"/>
      <c r="W192" s="67" t="n"/>
      <c r="X192" s="67" t="n"/>
      <c r="Y192" s="67" t="n"/>
      <c r="Z192" s="67" t="n"/>
      <c r="AA192" s="67" t="n"/>
      <c r="AB192" s="67" t="n"/>
    </row>
    <row r="193" ht="15.75" customHeight="1" s="305">
      <c r="A193" s="67" t="inlineStr">
        <is>
          <t>ORDER_NOT_PICKUP</t>
        </is>
      </c>
      <c r="B193" s="67" t="inlineStr">
        <is>
          <t>Đơn hàng chưa được đón lên.</t>
        </is>
      </c>
      <c r="C193" s="67" t="inlineStr">
        <is>
          <t>The order has not been picked up yet</t>
        </is>
      </c>
      <c r="D193" s="3">
        <f>IFERROR(__xludf.DUMMYFUNCTION("GOOGLETRANSLATE(B193,""vi"",""km"")"),"ការបញ្ជាទិញមិនទាន់ត្រូវបានទទួលយកនៅឡើយទេ។")</f>
        <v/>
      </c>
      <c r="E193" s="67" t="inlineStr">
        <is>
          <t>បុងបញ្ញើ​មិន​ត្រូវ​បាន​ទៅ​យក​ទេ។</t>
        </is>
      </c>
      <c r="F193" s="3" t="inlineStr">
        <is>
          <t>ការបញ្ជាទិញមិនទាន់ត្រូវបានទទួលយកនៅឡើយទេ។</t>
        </is>
      </c>
      <c r="G193" s="67" t="n"/>
      <c r="H193" t="inlineStr">
        <is>
          <t>ការបញ្ជាទិញមិនទាន់ត្រូវបានទទួលយកនៅឡើយទេ។</t>
        </is>
      </c>
      <c r="I193" s="67" t="n"/>
      <c r="J193" s="67" t="n"/>
      <c r="K193" s="67" t="n"/>
      <c r="L193" s="67" t="n"/>
      <c r="M193" s="67" t="n"/>
      <c r="N193" s="67" t="n"/>
      <c r="O193" s="67" t="n"/>
      <c r="P193" s="67" t="n"/>
      <c r="Q193" s="67" t="n"/>
      <c r="R193" s="67" t="n"/>
      <c r="S193" s="67" t="n"/>
      <c r="T193" s="67" t="n"/>
      <c r="U193" s="67" t="n"/>
      <c r="V193" s="67" t="n"/>
      <c r="W193" s="67" t="n"/>
      <c r="X193" s="67" t="n"/>
      <c r="Y193" s="67" t="n"/>
      <c r="Z193" s="67" t="n"/>
      <c r="AA193" s="67" t="n"/>
      <c r="AB193" s="67" t="n"/>
    </row>
    <row r="194" ht="15.75" customHeight="1" s="305">
      <c r="A194" s="67" t="inlineStr">
        <is>
          <t>CUSTOMER_NOT_FOUND</t>
        </is>
      </c>
      <c r="B194" s="67" t="inlineStr">
        <is>
          <t>Không tìm thấy thông tin khách hàng.</t>
        </is>
      </c>
      <c r="C194" s="67" t="inlineStr">
        <is>
          <t>Customer is not found.</t>
        </is>
      </c>
      <c r="D194" s="3">
        <f>IFERROR(__xludf.DUMMYFUNCTION("GOOGLETRANSLATE(B194,""vi"",""km"")"),"រកមិនឃើញព័ត៌មានអតិថិជនទេ។")</f>
        <v/>
      </c>
      <c r="E194" s="67" t="inlineStr">
        <is>
          <t>ព័ត៌មាន​អតិថិជន​មិន​ត្រូវ​បាន​រក​ឃើញ។</t>
        </is>
      </c>
      <c r="F194" s="3" t="inlineStr">
        <is>
          <t>រកមិនឃើញព័ត៌មានអតិថិជនទេ។</t>
        </is>
      </c>
      <c r="G194" s="67" t="n"/>
      <c r="H194" t="inlineStr">
        <is>
          <t>រកមិនឃើញព័ត៌មានអតិថិជនទេ។</t>
        </is>
      </c>
      <c r="I194" s="67" t="n"/>
      <c r="J194" s="67" t="n"/>
      <c r="K194" s="67" t="n"/>
      <c r="L194" s="67" t="n"/>
      <c r="M194" s="67" t="n"/>
      <c r="N194" s="67" t="n"/>
      <c r="O194" s="67" t="n"/>
      <c r="P194" s="67" t="n"/>
      <c r="Q194" s="67" t="n"/>
      <c r="R194" s="67" t="n"/>
      <c r="S194" s="67" t="n"/>
      <c r="T194" s="67" t="n"/>
      <c r="U194" s="67" t="n"/>
      <c r="V194" s="67" t="n"/>
      <c r="W194" s="67" t="n"/>
      <c r="X194" s="67" t="n"/>
      <c r="Y194" s="67" t="n"/>
      <c r="Z194" s="67" t="n"/>
      <c r="AA194" s="67" t="n"/>
      <c r="AB194" s="67" t="n"/>
    </row>
    <row r="195" ht="15.75" customHeight="1" s="305">
      <c r="A195" s="67" t="inlineStr">
        <is>
          <t>CUSTOMER_REQUEST_DATA_INVALID</t>
        </is>
      </c>
      <c r="B195" s="67" t="inlineStr">
        <is>
          <t>Thông tin tìm kiếm khách hàng không hợp lệ.</t>
        </is>
      </c>
      <c r="C195" s="67" t="inlineStr">
        <is>
          <t>Invalid customer search information.</t>
        </is>
      </c>
      <c r="D195" s="3">
        <f>IFERROR(__xludf.DUMMYFUNCTION("GOOGLETRANSLATE(B195,""vi"",""km"")"),"ព័ត៌មានស្វែងរកអតិថិជនមិនត្រឹមត្រូវ។")</f>
        <v/>
      </c>
      <c r="E195" s="67" t="inlineStr">
        <is>
          <t>ព័ត៌មាន​ស្វែងរក​អតិថិជន​មិន​ត្រឹមត្រូវ​ទេ។</t>
        </is>
      </c>
      <c r="F195" s="3" t="inlineStr">
        <is>
          <t>ព័ត៌មានស្វែងរកអតិថិជនមិនត្រឹមត្រូវ។</t>
        </is>
      </c>
      <c r="G195" s="67" t="n"/>
      <c r="H195" t="inlineStr">
        <is>
          <t>ព័ត៌មានស្វែងរកអតិថិជនមិនត្រឹមត្រូវ។</t>
        </is>
      </c>
      <c r="I195" s="67" t="n"/>
      <c r="J195" s="67" t="n"/>
      <c r="K195" s="67" t="n"/>
      <c r="L195" s="67" t="n"/>
      <c r="M195" s="67" t="n"/>
      <c r="N195" s="67" t="n"/>
      <c r="O195" s="67" t="n"/>
      <c r="P195" s="67" t="n"/>
      <c r="Q195" s="67" t="n"/>
      <c r="R195" s="67" t="n"/>
      <c r="S195" s="67" t="n"/>
      <c r="T195" s="67" t="n"/>
      <c r="U195" s="67" t="n"/>
      <c r="V195" s="67" t="n"/>
      <c r="W195" s="67" t="n"/>
      <c r="X195" s="67" t="n"/>
      <c r="Y195" s="67" t="n"/>
      <c r="Z195" s="67" t="n"/>
      <c r="AA195" s="67" t="n"/>
      <c r="AB195" s="67" t="n"/>
    </row>
    <row r="196" ht="15.75" customHeight="1" s="305">
      <c r="A196" s="67" t="inlineStr">
        <is>
          <t>CUSTOMER_RESPONSE_DATA_INVALID</t>
        </is>
      </c>
      <c r="B196" s="67" t="inlineStr">
        <is>
          <t>Thông tin phản hồi khách hàng không hợp lệ.</t>
        </is>
      </c>
      <c r="C196" s="67" t="inlineStr">
        <is>
          <t>Invalid customer response information.</t>
        </is>
      </c>
      <c r="D196" s="3">
        <f>IFERROR(__xludf.DUMMYFUNCTION("GOOGLETRANSLATE(B196,""vi"",""km"")"),"ព័ត៌មាន​មតិ​កែលម្អ​របស់​អតិថិជន​មិន​ត្រឹមត្រូវ។")</f>
        <v/>
      </c>
      <c r="E196" s="67" t="inlineStr">
        <is>
          <t>ព័ត៌មាន​មតិ​ត្រឡប់​របស់​អតិថិជន​មិន​ត្រឹមត្រូវ​ទេ។</t>
        </is>
      </c>
      <c r="F196" s="3" t="inlineStr">
        <is>
          <t>ព័ត៌មានមតិកែលម្អរបស់អតិថិជនមិនត្រឹមត្រូវ។</t>
        </is>
      </c>
      <c r="G196" s="67" t="n"/>
      <c r="H196" t="inlineStr">
        <is>
          <t>ព័ត៌មានមតិកែលម្អរបស់អតិថិជនមិនត្រឹមត្រូវ។</t>
        </is>
      </c>
      <c r="I196" s="67" t="n"/>
      <c r="J196" s="67" t="n"/>
      <c r="K196" s="67" t="n"/>
      <c r="L196" s="67" t="n"/>
      <c r="M196" s="67" t="n"/>
      <c r="N196" s="67" t="n"/>
      <c r="O196" s="67" t="n"/>
      <c r="P196" s="67" t="n"/>
      <c r="Q196" s="67" t="n"/>
      <c r="R196" s="67" t="n"/>
      <c r="S196" s="67" t="n"/>
      <c r="T196" s="67" t="n"/>
      <c r="U196" s="67" t="n"/>
      <c r="V196" s="67" t="n"/>
      <c r="W196" s="67" t="n"/>
      <c r="X196" s="67" t="n"/>
      <c r="Y196" s="67" t="n"/>
      <c r="Z196" s="67" t="n"/>
      <c r="AA196" s="67" t="n"/>
      <c r="AB196" s="67" t="n"/>
    </row>
    <row r="197" ht="15.75" customHeight="1" s="305">
      <c r="A197" s="67" t="inlineStr">
        <is>
          <t>CUSTOMER_CREATE_FAIL</t>
        </is>
      </c>
      <c r="B197" s="67" t="inlineStr">
        <is>
          <t>Tạo mới thông tin khách hàng thất bại.</t>
        </is>
      </c>
      <c r="C197" s="67" t="inlineStr">
        <is>
          <t>Create new customer is fail.</t>
        </is>
      </c>
      <c r="D197" s="3">
        <f>IFERROR(__xludf.DUMMYFUNCTION("GOOGLETRANSLATE(B197,""vi"",""km"")"),"ការបង្កើតព័ត៌មានអតិថិជនថ្មីបានបរាជ័យ។")</f>
        <v/>
      </c>
      <c r="E197" s="67" t="inlineStr">
        <is>
          <t>ការបង្កើត​ព័ត៌មាន​អតិថិជន​បរាជ័យ។</t>
        </is>
      </c>
      <c r="F197" s="3" t="inlineStr">
        <is>
          <t>ការបង្កើតព័ត៌មានអតិថិជនថ្មីបានបរាជ័យ។</t>
        </is>
      </c>
      <c r="G197" s="67" t="n"/>
      <c r="H197" t="inlineStr">
        <is>
          <t>ការបង្កើតព័ត៌មានអតិថិជនថ្មីបានបរាជ័យ។</t>
        </is>
      </c>
      <c r="I197" s="67" t="n"/>
      <c r="J197" s="67" t="n"/>
      <c r="K197" s="67" t="n"/>
      <c r="L197" s="67" t="n"/>
      <c r="M197" s="67" t="n"/>
      <c r="N197" s="67" t="n"/>
      <c r="O197" s="67" t="n"/>
      <c r="P197" s="67" t="n"/>
      <c r="Q197" s="67" t="n"/>
      <c r="R197" s="67" t="n"/>
      <c r="S197" s="67" t="n"/>
      <c r="T197" s="67" t="n"/>
      <c r="U197" s="67" t="n"/>
      <c r="V197" s="67" t="n"/>
      <c r="W197" s="67" t="n"/>
      <c r="X197" s="67" t="n"/>
      <c r="Y197" s="67" t="n"/>
      <c r="Z197" s="67" t="n"/>
      <c r="AA197" s="67" t="n"/>
      <c r="AB197" s="67" t="n"/>
    </row>
    <row r="198" ht="15.75" customHeight="1" s="305">
      <c r="A198" s="67" t="inlineStr">
        <is>
          <t>CUSTOMER_UPDATE_FAIL</t>
        </is>
      </c>
      <c r="B198" s="67" t="inlineStr">
        <is>
          <t>Cập nhật thông tin khách hàng thất bại.</t>
        </is>
      </c>
      <c r="C198" s="67" t="inlineStr">
        <is>
          <t>Update customer information is fail.</t>
        </is>
      </c>
      <c r="D198" s="3">
        <f>IFERROR(__xludf.DUMMYFUNCTION("GOOGLETRANSLATE(B198,""vi"",""km"")"),"ការអាប់ដេតព័ត៌មានអតិថិជនបរាជ័យ។")</f>
        <v/>
      </c>
      <c r="E198" s="67" t="inlineStr">
        <is>
          <t>ការអាប់ដេត​ព័ត៌មាន​អតិថិជន​បរាជ័យ។</t>
        </is>
      </c>
      <c r="F198" s="3" t="inlineStr">
        <is>
          <t>ការអាប់ដេតព័ត៌មានអតិថិជនបរាជ័យ។</t>
        </is>
      </c>
      <c r="G198" s="67" t="n"/>
      <c r="H198" t="inlineStr">
        <is>
          <t>ការអាប់ដេតព័ត៌មានអតិថិជនបរាជ័យ។</t>
        </is>
      </c>
      <c r="I198" s="67" t="n"/>
      <c r="J198" s="67" t="n"/>
      <c r="K198" s="67" t="n"/>
      <c r="L198" s="67" t="n"/>
      <c r="M198" s="67" t="n"/>
      <c r="N198" s="67" t="n"/>
      <c r="O198" s="67" t="n"/>
      <c r="P198" s="67" t="n"/>
      <c r="Q198" s="67" t="n"/>
      <c r="R198" s="67" t="n"/>
      <c r="S198" s="67" t="n"/>
      <c r="T198" s="67" t="n"/>
      <c r="U198" s="67" t="n"/>
      <c r="V198" s="67" t="n"/>
      <c r="W198" s="67" t="n"/>
      <c r="X198" s="67" t="n"/>
      <c r="Y198" s="67" t="n"/>
      <c r="Z198" s="67" t="n"/>
      <c r="AA198" s="67" t="n"/>
      <c r="AB198" s="67" t="n"/>
    </row>
    <row r="199" ht="15.75" customHeight="1" s="305">
      <c r="A199" s="67" t="inlineStr">
        <is>
          <t>ORDER_CREATE_FAIL</t>
        </is>
      </c>
      <c r="B199" s="67" t="inlineStr">
        <is>
          <t>Tạo thông tin đơn hàng thất bại.</t>
        </is>
      </c>
      <c r="C199" s="67" t="inlineStr">
        <is>
          <t>Create new order is fail.</t>
        </is>
      </c>
      <c r="D199" s="3">
        <f>IFERROR(__xludf.DUMMYFUNCTION("GOOGLETRANSLATE(B199,""vi"",""km"")"),"បង្កើតព័ត៌មានសម្រាប់ការបញ្ជាទិញដែលបរាជ័យ។")</f>
        <v/>
      </c>
      <c r="E199" s="67" t="inlineStr">
        <is>
          <t>ការបង្កើត​បុងបញ្ញើ​បរាជ័យ។</t>
        </is>
      </c>
      <c r="F199" s="3" t="inlineStr">
        <is>
          <t>បង្កើតព័ត៌មានសម្រាប់ការបញ្ជាទិញដែលបរាជ័យ។</t>
        </is>
      </c>
      <c r="G199" s="67" t="n"/>
      <c r="H199" t="inlineStr">
        <is>
          <t>បង្កើតព័ត៌មានសម្រាប់ការបញ្ជាទិញដែលបរាជ័យ។</t>
        </is>
      </c>
      <c r="I199" s="67" t="n"/>
      <c r="J199" s="67" t="n"/>
      <c r="K199" s="67" t="n"/>
      <c r="L199" s="67" t="n"/>
      <c r="M199" s="67" t="n"/>
      <c r="N199" s="67" t="n"/>
      <c r="O199" s="67" t="n"/>
      <c r="P199" s="67" t="n"/>
      <c r="Q199" s="67" t="n"/>
      <c r="R199" s="67" t="n"/>
      <c r="S199" s="67" t="n"/>
      <c r="T199" s="67" t="n"/>
      <c r="U199" s="67" t="n"/>
      <c r="V199" s="67" t="n"/>
      <c r="W199" s="67" t="n"/>
      <c r="X199" s="67" t="n"/>
      <c r="Y199" s="67" t="n"/>
      <c r="Z199" s="67" t="n"/>
      <c r="AA199" s="67" t="n"/>
      <c r="AB199" s="67" t="n"/>
    </row>
    <row r="200" ht="15.75" customHeight="1" s="305">
      <c r="A200" s="67" t="inlineStr">
        <is>
          <t>ORDER_UPDATE_FAIL</t>
        </is>
      </c>
      <c r="B200" s="67" t="inlineStr">
        <is>
          <t>Cập nhật thông tin đơn hàng thất bại.</t>
        </is>
      </c>
      <c r="C200" s="67" t="inlineStr">
        <is>
          <t>Update order information is fail.</t>
        </is>
      </c>
      <c r="D200" s="3">
        <f>IFERROR(__xludf.DUMMYFUNCTION("GOOGLETRANSLATE(B200,""vi"",""km"")"),"ធ្វើបច្ចុប្បន្នភាពព័ត៌មានលើការបញ្ជាទិញដែលបរាជ័យ។")</f>
        <v/>
      </c>
      <c r="E200" s="67" t="inlineStr">
        <is>
          <t>ការធ្វើបច្ចុប្បន្នភាព​ព័ត៌មានបុងបញ្ញើ​បរាជ័យ។</t>
        </is>
      </c>
      <c r="F200" s="3" t="inlineStr">
        <is>
          <t>ធ្វើបច្ចុប្បន្នភាពព័ត៌មានលើការបញ្ជាទិញដែលបរាជ័យ។</t>
        </is>
      </c>
      <c r="G200" s="67" t="n"/>
      <c r="H200" t="inlineStr">
        <is>
          <t>ធ្វើបច្ចុប្បន្នភាពព័ត៌មានលើការបញ្ជាទិញដែលបរាជ័យ។</t>
        </is>
      </c>
      <c r="I200" s="67" t="n"/>
      <c r="J200" s="67" t="n"/>
      <c r="K200" s="67" t="n"/>
      <c r="L200" s="67" t="n"/>
      <c r="M200" s="67" t="n"/>
      <c r="N200" s="67" t="n"/>
      <c r="O200" s="67" t="n"/>
      <c r="P200" s="67" t="n"/>
      <c r="Q200" s="67" t="n"/>
      <c r="R200" s="67" t="n"/>
      <c r="S200" s="67" t="n"/>
      <c r="T200" s="67" t="n"/>
      <c r="U200" s="67" t="n"/>
      <c r="V200" s="67" t="n"/>
      <c r="W200" s="67" t="n"/>
      <c r="X200" s="67" t="n"/>
      <c r="Y200" s="67" t="n"/>
      <c r="Z200" s="67" t="n"/>
      <c r="AA200" s="67" t="n"/>
      <c r="AB200" s="67" t="n"/>
    </row>
    <row r="201" ht="15.75" customHeight="1" s="305">
      <c r="A201" s="67" t="inlineStr">
        <is>
          <t>ORDER_NOT_FOUND</t>
        </is>
      </c>
      <c r="B201" s="67" t="inlineStr">
        <is>
          <t>Không tìm thấy thông tin đơn hàng.</t>
        </is>
      </c>
      <c r="C201" s="67" t="inlineStr">
        <is>
          <t>Order is not found.</t>
        </is>
      </c>
      <c r="D201" s="3">
        <f>IFERROR(__xludf.DUMMYFUNCTION("GOOGLETRANSLATE(B201,""vi"",""km"")"),"រកមិនឃើញព័ត៌មានបញ្ជាទិញទេ។")</f>
        <v/>
      </c>
      <c r="E201" s="67" t="inlineStr">
        <is>
          <t>មិនអាចស្វែងរកឃើញព័ត៌មានបុងបញ្ញើ</t>
        </is>
      </c>
      <c r="F201" s="3" t="inlineStr">
        <is>
          <t>រកមិនឃើញព័ត៌មានបញ្ជាទិញទេ។</t>
        </is>
      </c>
      <c r="G201" s="67" t="n"/>
      <c r="H201" t="inlineStr">
        <is>
          <t>រកមិនឃើញព័ត៌មានបញ្ជាទិញទេ។</t>
        </is>
      </c>
      <c r="I201" s="67" t="n"/>
      <c r="J201" s="67" t="n"/>
      <c r="K201" s="67" t="n"/>
      <c r="L201" s="67" t="n"/>
      <c r="M201" s="67" t="n"/>
      <c r="N201" s="67" t="n"/>
      <c r="O201" s="67" t="n"/>
      <c r="P201" s="67" t="n"/>
      <c r="Q201" s="67" t="n"/>
      <c r="R201" s="67" t="n"/>
      <c r="S201" s="67" t="n"/>
      <c r="T201" s="67" t="n"/>
      <c r="U201" s="67" t="n"/>
      <c r="V201" s="67" t="n"/>
      <c r="W201" s="67" t="n"/>
      <c r="X201" s="67" t="n"/>
      <c r="Y201" s="67" t="n"/>
      <c r="Z201" s="67" t="n"/>
      <c r="AA201" s="67" t="n"/>
      <c r="AB201" s="67" t="n"/>
    </row>
    <row r="202" ht="15.75" customHeight="1" s="305">
      <c r="A202" s="67" t="inlineStr">
        <is>
          <t>ORDER_REQUEST_DATA_INVALID</t>
        </is>
      </c>
      <c r="B202" s="67" t="inlineStr">
        <is>
          <t>Thông tin tìm kiếm đơn hàng không hợp lệ.</t>
        </is>
      </c>
      <c r="C202" s="67" t="inlineStr">
        <is>
          <t>Invalid order search information.</t>
        </is>
      </c>
      <c r="D202" s="3">
        <f>IFERROR(__xludf.DUMMYFUNCTION("GOOGLETRANSLATE(B202,""vi"",""km"")"),"ព័ត៌មានស្វែងរកការបញ្ជាទិញមិនត្រឹមត្រូវ។")</f>
        <v/>
      </c>
      <c r="E202" s="67" t="inlineStr">
        <is>
          <t>ព័ត៌មានស្វែងរកការបញ្ជាទិញមិនត្រឹមត្រូវ។</t>
        </is>
      </c>
      <c r="F202" s="3" t="inlineStr">
        <is>
          <t>ព័ត៌មានស្វែងរកការបញ្ជាទិញមិនត្រឹមត្រូវ។</t>
        </is>
      </c>
      <c r="G202" s="67" t="n"/>
      <c r="H202" t="inlineStr">
        <is>
          <t>ព័ត៌មានស្វែងរកការបញ្ជាទិញមិនត្រឹមត្រូវ។</t>
        </is>
      </c>
      <c r="I202" s="67" t="n"/>
      <c r="J202" s="67" t="n"/>
      <c r="K202" s="67" t="n"/>
      <c r="L202" s="67" t="n"/>
      <c r="M202" s="67" t="n"/>
      <c r="N202" s="67" t="n"/>
      <c r="O202" s="67" t="n"/>
      <c r="P202" s="67" t="n"/>
      <c r="Q202" s="67" t="n"/>
      <c r="R202" s="67" t="n"/>
      <c r="S202" s="67" t="n"/>
      <c r="T202" s="67" t="n"/>
      <c r="U202" s="67" t="n"/>
      <c r="V202" s="67" t="n"/>
      <c r="W202" s="67" t="n"/>
      <c r="X202" s="67" t="n"/>
      <c r="Y202" s="67" t="n"/>
      <c r="Z202" s="67" t="n"/>
      <c r="AA202" s="67" t="n"/>
      <c r="AB202" s="67" t="n"/>
    </row>
    <row r="203" ht="15.75" customHeight="1" s="305">
      <c r="A203" s="67" t="inlineStr">
        <is>
          <t>ORDER_RESPONSE_DATA_INVALID</t>
        </is>
      </c>
      <c r="B203" s="67" t="inlineStr">
        <is>
          <t>Thông tin phản hồi đơn hàng không hợp lệ.</t>
        </is>
      </c>
      <c r="C203" s="67" t="inlineStr">
        <is>
          <t>Invalid order response information.</t>
        </is>
      </c>
      <c r="D203" s="3">
        <f>IFERROR(__xludf.DUMMYFUNCTION("GOOGLETRANSLATE(B203,""vi"",""km"")"),"ព័ត៌មាន​មតិ​កែលម្អ​ការ​បញ្ជាទិញ​មិន​ត្រឹមត្រូវ។")</f>
        <v/>
      </c>
      <c r="E203" s="67" t="inlineStr">
        <is>
          <t>ព័ត៌មានឆ្លើយតបការបញ្ជាទិញមិនត្រឹមត្រូវ។</t>
        </is>
      </c>
      <c r="F203" s="3" t="inlineStr">
        <is>
          <t>ព័ត៌មានមតិកែលម្អការបញ្ជាទិញមិនត្រឹមត្រូវ។</t>
        </is>
      </c>
      <c r="G203" s="67" t="n"/>
      <c r="H203" t="inlineStr">
        <is>
          <t>ព័ត៌មានមតិកែលម្អការបញ្ជាទិញមិនត្រឹមត្រូវ។</t>
        </is>
      </c>
      <c r="I203" s="67" t="n"/>
      <c r="J203" s="67" t="n"/>
      <c r="K203" s="67" t="n"/>
      <c r="L203" s="67" t="n"/>
      <c r="M203" s="67" t="n"/>
      <c r="N203" s="67" t="n"/>
      <c r="O203" s="67" t="n"/>
      <c r="P203" s="67" t="n"/>
      <c r="Q203" s="67" t="n"/>
      <c r="R203" s="67" t="n"/>
      <c r="S203" s="67" t="n"/>
      <c r="T203" s="67" t="n"/>
      <c r="U203" s="67" t="n"/>
      <c r="V203" s="67" t="n"/>
      <c r="W203" s="67" t="n"/>
      <c r="X203" s="67" t="n"/>
      <c r="Y203" s="67" t="n"/>
      <c r="Z203" s="67" t="n"/>
      <c r="AA203" s="67" t="n"/>
      <c r="AB203" s="67" t="n"/>
    </row>
    <row r="204" ht="15.75" customHeight="1" s="305">
      <c r="A204" s="67" t="inlineStr">
        <is>
          <t>WAREHOUSE_NOT_FOUND</t>
        </is>
      </c>
      <c r="B204" s="67" t="inlineStr">
        <is>
          <t>Không tìm thấy thông tin kho hàng.</t>
        </is>
      </c>
      <c r="C204" s="67" t="inlineStr">
        <is>
          <t>Warehouse is not found.</t>
        </is>
      </c>
      <c r="D204" s="3">
        <f>IFERROR(__xludf.DUMMYFUNCTION("GOOGLETRANSLATE(B204,""vi"",""km"")"),"រកមិនឃើញព័ត៌មានឃ្លាំងទេ។")</f>
        <v/>
      </c>
      <c r="E204" s="67" t="inlineStr">
        <is>
          <t>រកមិនឃើញព័ត៌មានឃ្លាំងទេ។</t>
        </is>
      </c>
      <c r="F204" s="3" t="inlineStr">
        <is>
          <t>រកមិនឃើញព័ត៌មានឃ្លាំងទេ។</t>
        </is>
      </c>
      <c r="G204" s="67" t="n"/>
      <c r="H204" t="inlineStr">
        <is>
          <t>រកមិនឃើញព័ត៌មានឃ្លាំងទេ។</t>
        </is>
      </c>
      <c r="I204" s="67" t="n"/>
      <c r="J204" s="67" t="n"/>
      <c r="K204" s="67" t="n"/>
      <c r="L204" s="67" t="n"/>
      <c r="M204" s="67" t="n"/>
      <c r="N204" s="67" t="n"/>
      <c r="O204" s="67" t="n"/>
      <c r="P204" s="67" t="n"/>
      <c r="Q204" s="67" t="n"/>
      <c r="R204" s="67" t="n"/>
      <c r="S204" s="67" t="n"/>
      <c r="T204" s="67" t="n"/>
      <c r="U204" s="67" t="n"/>
      <c r="V204" s="67" t="n"/>
      <c r="W204" s="67" t="n"/>
      <c r="X204" s="67" t="n"/>
      <c r="Y204" s="67" t="n"/>
      <c r="Z204" s="67" t="n"/>
      <c r="AA204" s="67" t="n"/>
      <c r="AB204" s="67" t="n"/>
    </row>
    <row r="205" ht="15.75" customHeight="1" s="305">
      <c r="A205" s="67" t="inlineStr">
        <is>
          <t>WAREHOUSE_REQUEST_DATA_INVALID</t>
        </is>
      </c>
      <c r="B205" s="67" t="inlineStr">
        <is>
          <t>Thông tin tìm kiếm kho hàng không hợp lệ.</t>
        </is>
      </c>
      <c r="C205" s="67" t="inlineStr">
        <is>
          <t>Invalid warehouse search information.</t>
        </is>
      </c>
      <c r="D205" s="3">
        <f>IFERROR(__xludf.DUMMYFUNCTION("GOOGLETRANSLATE(B205,""vi"",""km"")"),"ព័ត៌មានស្វែងរកឃ្លាំងមិនត្រឹមត្រូវ។")</f>
        <v/>
      </c>
      <c r="E205" s="67" t="inlineStr">
        <is>
          <t>ព័ត៌មានស្វែងរកឃ្លាំងមិនត្រឹមត្រូវ។</t>
        </is>
      </c>
      <c r="F205" s="3" t="inlineStr">
        <is>
          <t>ព័ត៌មានស្វែងរកឃ្លាំងមិនត្រឹមត្រូវ។</t>
        </is>
      </c>
      <c r="G205" s="67" t="n"/>
      <c r="H205" t="inlineStr">
        <is>
          <t>ព័ត៌មានស្វែងរកឃ្លាំងមិនត្រឹមត្រូវ។</t>
        </is>
      </c>
      <c r="I205" s="67" t="n"/>
      <c r="J205" s="67" t="n"/>
      <c r="K205" s="67" t="n"/>
      <c r="L205" s="67" t="n"/>
      <c r="M205" s="67" t="n"/>
      <c r="N205" s="67" t="n"/>
      <c r="O205" s="67" t="n"/>
      <c r="P205" s="67" t="n"/>
      <c r="Q205" s="67" t="n"/>
      <c r="R205" s="67" t="n"/>
      <c r="S205" s="67" t="n"/>
      <c r="T205" s="67" t="n"/>
      <c r="U205" s="67" t="n"/>
      <c r="V205" s="67" t="n"/>
      <c r="W205" s="67" t="n"/>
      <c r="X205" s="67" t="n"/>
      <c r="Y205" s="67" t="n"/>
      <c r="Z205" s="67" t="n"/>
      <c r="AA205" s="67" t="n"/>
      <c r="AB205" s="67" t="n"/>
    </row>
    <row r="206" ht="15.75" customHeight="1" s="305">
      <c r="A206" s="67" t="inlineStr">
        <is>
          <t>WAREHOUSE_RESPONSE_DATA_INVALID</t>
        </is>
      </c>
      <c r="B206" s="67" t="inlineStr">
        <is>
          <t>Thông tin phản hồi kho hàng không hợp lệ.</t>
        </is>
      </c>
      <c r="C206" s="67" t="inlineStr">
        <is>
          <t>Invalid warehouse response information.</t>
        </is>
      </c>
      <c r="D206" s="3">
        <f>IFERROR(__xludf.DUMMYFUNCTION("GOOGLETRANSLATE(B206,""vi"",""km"")"),"ព័ត៌មាន​មតិ​កែលម្អ​ឃ្លាំង​មិន​ត្រឹមត្រូវ។")</f>
        <v/>
      </c>
      <c r="E206" s="67" t="inlineStr">
        <is>
          <t>ព័ត៌មានឆ្លើយតបឃ្លាំងមិនត្រឹមត្រូវ។</t>
        </is>
      </c>
      <c r="F206" s="3" t="inlineStr">
        <is>
          <t>ព័ត៌មានមតិកែលម្អឃ្លាំងមិនត្រឹមត្រូវ។</t>
        </is>
      </c>
      <c r="G206" s="67" t="n"/>
      <c r="H206" t="inlineStr">
        <is>
          <t>ព័ត៌មានមតិកែលម្អឃ្លាំងមិនត្រឹមត្រូវ។</t>
        </is>
      </c>
      <c r="I206" s="67" t="n"/>
      <c r="J206" s="67" t="n"/>
      <c r="K206" s="67" t="n"/>
      <c r="L206" s="67" t="n"/>
      <c r="M206" s="67" t="n"/>
      <c r="N206" s="67" t="n"/>
      <c r="O206" s="67" t="n"/>
      <c r="P206" s="67" t="n"/>
      <c r="Q206" s="67" t="n"/>
      <c r="R206" s="67" t="n"/>
      <c r="S206" s="67" t="n"/>
      <c r="T206" s="67" t="n"/>
      <c r="U206" s="67" t="n"/>
      <c r="V206" s="67" t="n"/>
      <c r="W206" s="67" t="n"/>
      <c r="X206" s="67" t="n"/>
      <c r="Y206" s="67" t="n"/>
      <c r="Z206" s="67" t="n"/>
      <c r="AA206" s="67" t="n"/>
      <c r="AB206" s="67" t="n"/>
    </row>
    <row r="207" ht="15.75" customHeight="1" s="305">
      <c r="A207" s="67" t="inlineStr">
        <is>
          <t>WAREHOUSE_CREATE_FAIL</t>
        </is>
      </c>
      <c r="B207" s="67" t="inlineStr">
        <is>
          <t>Tạo mới thông tin kho hàng thất bại.</t>
        </is>
      </c>
      <c r="C207" s="67" t="inlineStr">
        <is>
          <t>Create new warehouse is fail.</t>
        </is>
      </c>
      <c r="D207" s="3">
        <f>IFERROR(__xludf.DUMMYFUNCTION("GOOGLETRANSLATE(B207,""vi"",""km"")"),"ការបង្កើតព័ត៌មានសារពើភ័ណ្ឌថ្មីបានបរាជ័យ។")</f>
        <v/>
      </c>
      <c r="E207" s="67" t="inlineStr">
        <is>
          <t>បរាជ័យក្នុងការបង្កើតព័ត៌មានឃ្លាំងថ្មី។</t>
        </is>
      </c>
      <c r="F207" s="3" t="inlineStr">
        <is>
          <t>ការបង្កើតព័ត៌មានសារពើភ័ណ្ឌថ្មីបានបរាជ័យ។</t>
        </is>
      </c>
      <c r="G207" s="67" t="n"/>
      <c r="H207" t="inlineStr">
        <is>
          <t>ការបង្កើតព័ត៌មានសារពើភ័ណ្ឌថ្មីបានបរាជ័យ។</t>
        </is>
      </c>
      <c r="I207" s="67" t="n"/>
      <c r="J207" s="67" t="n"/>
      <c r="K207" s="67" t="n"/>
      <c r="L207" s="67" t="n"/>
      <c r="M207" s="67" t="n"/>
      <c r="N207" s="67" t="n"/>
      <c r="O207" s="67" t="n"/>
      <c r="P207" s="67" t="n"/>
      <c r="Q207" s="67" t="n"/>
      <c r="R207" s="67" t="n"/>
      <c r="S207" s="67" t="n"/>
      <c r="T207" s="67" t="n"/>
      <c r="U207" s="67" t="n"/>
      <c r="V207" s="67" t="n"/>
      <c r="W207" s="67" t="n"/>
      <c r="X207" s="67" t="n"/>
      <c r="Y207" s="67" t="n"/>
      <c r="Z207" s="67" t="n"/>
      <c r="AA207" s="67" t="n"/>
      <c r="AB207" s="67" t="n"/>
    </row>
    <row r="208" ht="15.75" customHeight="1" s="305">
      <c r="A208" s="67" t="inlineStr">
        <is>
          <t>RECEIVING_FAIL_GET_OMS_TOKEN</t>
        </is>
      </c>
      <c r="B208" s="67" t="inlineStr">
        <is>
          <t>Không thể gọi API Get Token từ Oms.</t>
        </is>
      </c>
      <c r="C208" s="67" t="inlineStr">
        <is>
          <t>Fail to call API Get Token From Oms .</t>
        </is>
      </c>
      <c r="D208" s="3">
        <f>IFERROR(__xludf.DUMMYFUNCTION("GOOGLETRANSLATE(B208,""vi"",""km"")"),"មិនអាចហៅ Get Token API ពី Oms បានទេ។")</f>
        <v/>
      </c>
      <c r="E208" s="67" t="inlineStr">
        <is>
          <t>មិនអាចហៅ API Get Token ពី Oms បានទេ។</t>
        </is>
      </c>
      <c r="F208" s="3" t="inlineStr">
        <is>
          <t>មិនអាចហៅ Get Token API ពី Oms បានទេ។</t>
        </is>
      </c>
      <c r="G208" s="67" t="n"/>
      <c r="H208" t="inlineStr">
        <is>
          <t>មិនអាចហៅ Get Token API ពី Oms បានទេ។</t>
        </is>
      </c>
      <c r="I208" s="67" t="n"/>
      <c r="J208" s="67" t="n"/>
      <c r="K208" s="67" t="n"/>
      <c r="L208" s="67" t="n"/>
      <c r="M208" s="67" t="n"/>
      <c r="N208" s="67" t="n"/>
      <c r="O208" s="67" t="n"/>
      <c r="P208" s="67" t="n"/>
      <c r="Q208" s="67" t="n"/>
      <c r="R208" s="67" t="n"/>
      <c r="S208" s="67" t="n"/>
      <c r="T208" s="67" t="n"/>
      <c r="U208" s="67" t="n"/>
      <c r="V208" s="67" t="n"/>
      <c r="W208" s="67" t="n"/>
      <c r="X208" s="67" t="n"/>
      <c r="Y208" s="67" t="n"/>
      <c r="Z208" s="67" t="n"/>
      <c r="AA208" s="67" t="n"/>
      <c r="AB208" s="67" t="n"/>
    </row>
    <row r="209" ht="15.75" customHeight="1" s="305">
      <c r="A209" s="67" t="inlineStr">
        <is>
          <t>REVENUE_FAILURE</t>
        </is>
      </c>
      <c r="B209" s="67" t="inlineStr">
        <is>
          <t>Xử lý doanh thu thất bại.</t>
        </is>
      </c>
      <c r="C209" s="67" t="inlineStr">
        <is>
          <t>Processing revenue is failed.</t>
        </is>
      </c>
      <c r="D209" s="3">
        <f>IFERROR(__xludf.DUMMYFUNCTION("GOOGLETRANSLATE(B209,""vi"",""km"")"),"ការដោះស្រាយការលក់ដែលបរាជ័យ។")</f>
        <v/>
      </c>
      <c r="E209" s="67" t="inlineStr">
        <is>
          <t>ដំណើរការចំណូលបរាជ័យ។</t>
        </is>
      </c>
      <c r="F209" s="3" t="inlineStr">
        <is>
          <t>ការដោះស្រាយការលក់ដែលបរាជ័យ។</t>
        </is>
      </c>
      <c r="G209" s="67" t="n"/>
      <c r="H209" t="inlineStr">
        <is>
          <t>ការដោះស្រាយការលក់ដែលបរាជ័យ។</t>
        </is>
      </c>
      <c r="I209" s="67" t="n"/>
      <c r="J209" s="67" t="n"/>
      <c r="K209" s="67" t="n"/>
      <c r="L209" s="67" t="n"/>
      <c r="M209" s="67" t="n"/>
      <c r="N209" s="67" t="n"/>
      <c r="O209" s="67" t="n"/>
      <c r="P209" s="67" t="n"/>
      <c r="Q209" s="67" t="n"/>
      <c r="R209" s="67" t="n"/>
      <c r="S209" s="67" t="n"/>
      <c r="T209" s="67" t="n"/>
      <c r="U209" s="67" t="n"/>
      <c r="V209" s="67" t="n"/>
      <c r="W209" s="67" t="n"/>
      <c r="X209" s="67" t="n"/>
      <c r="Y209" s="67" t="n"/>
      <c r="Z209" s="67" t="n"/>
      <c r="AA209" s="67" t="n"/>
      <c r="AB209" s="67" t="n"/>
    </row>
    <row r="210" ht="15.75" customHeight="1" s="305">
      <c r="A210" s="67" t="inlineStr">
        <is>
          <t>REVENUE_FAIL_LOCK_API</t>
        </is>
      </c>
      <c r="B210" s="67" t="inlineStr">
        <is>
          <t>Không thể gọi API Lock Oms Order.</t>
        </is>
      </c>
      <c r="C210" s="67" t="inlineStr">
        <is>
          <t>Fail to Call Api Lock Oms Order.</t>
        </is>
      </c>
      <c r="D210" s="3">
        <f>IFERROR(__xludf.DUMMYFUNCTION("GOOGLETRANSLATE(B210,""vi"",""km"")"),"មិនអាចហៅ API បញ្ជាទិញ Lock Oms បានទេ។")</f>
        <v/>
      </c>
      <c r="E210" s="67" t="inlineStr">
        <is>
          <t>មិនអាចហៅ API Lock Oms Order បានទេ។</t>
        </is>
      </c>
      <c r="F210" s="3" t="inlineStr">
        <is>
          <t>មិនអាចហៅ API បញ្ជាទិញ Lock Oms បានទេ។</t>
        </is>
      </c>
      <c r="G210" s="67" t="n"/>
      <c r="H210" t="inlineStr">
        <is>
          <t>មិនអាចហៅ API បញ្ជាទិញ Lock Oms បានទេ។</t>
        </is>
      </c>
      <c r="I210" s="67" t="n"/>
      <c r="J210" s="67" t="n"/>
      <c r="K210" s="67" t="n"/>
      <c r="L210" s="67" t="n"/>
      <c r="M210" s="67" t="n"/>
      <c r="N210" s="67" t="n"/>
      <c r="O210" s="67" t="n"/>
      <c r="P210" s="67" t="n"/>
      <c r="Q210" s="67" t="n"/>
      <c r="R210" s="67" t="n"/>
      <c r="S210" s="67" t="n"/>
      <c r="T210" s="67" t="n"/>
      <c r="U210" s="67" t="n"/>
      <c r="V210" s="67" t="n"/>
      <c r="W210" s="67" t="n"/>
      <c r="X210" s="67" t="n"/>
      <c r="Y210" s="67" t="n"/>
      <c r="Z210" s="67" t="n"/>
      <c r="AA210" s="67" t="n"/>
      <c r="AB210" s="67" t="n"/>
    </row>
    <row r="211" ht="15.75" customHeight="1" s="305">
      <c r="A211" s="67" t="inlineStr">
        <is>
          <t>OMS_EMPTY_RESPONSE</t>
        </is>
      </c>
      <c r="B211" s="67" t="inlineStr">
        <is>
          <t>Phản hồi dữ liệu từ OMS trống.</t>
        </is>
      </c>
      <c r="C211" s="67" t="inlineStr">
        <is>
          <t>Data response is empty from Oms .</t>
        </is>
      </c>
      <c r="D211" s="3">
        <f>IFERROR(__xludf.DUMMYFUNCTION("GOOGLETRANSLATE(B211,""vi"",""km"")"),"ការឆ្លើយតបទិន្នន័យពី OMS គឺទទេ។")</f>
        <v/>
      </c>
      <c r="E211" s="67" t="inlineStr">
        <is>
          <t>ការឆ្លើយតបទិន្នន័យពី OMS គឺទទេ។</t>
        </is>
      </c>
      <c r="F211" s="3" t="inlineStr">
        <is>
          <t>ការឆ្លើយតបទិន្នន័យពី OMS គឺទទេ។</t>
        </is>
      </c>
      <c r="G211" s="67" t="n"/>
      <c r="H211" t="inlineStr">
        <is>
          <t>ការឆ្លើយតបទិន្នន័យពី OMS គឺទទេ។</t>
        </is>
      </c>
      <c r="I211" s="67" t="n"/>
      <c r="J211" s="67" t="n"/>
      <c r="K211" s="67" t="n"/>
      <c r="L211" s="67" t="n"/>
      <c r="M211" s="67" t="n"/>
      <c r="N211" s="67" t="n"/>
      <c r="O211" s="67" t="n"/>
      <c r="P211" s="67" t="n"/>
      <c r="Q211" s="67" t="n"/>
      <c r="R211" s="67" t="n"/>
      <c r="S211" s="67" t="n"/>
      <c r="T211" s="67" t="n"/>
      <c r="U211" s="67" t="n"/>
      <c r="V211" s="67" t="n"/>
      <c r="W211" s="67" t="n"/>
      <c r="X211" s="67" t="n"/>
      <c r="Y211" s="67" t="n"/>
      <c r="Z211" s="67" t="n"/>
      <c r="AA211" s="67" t="n"/>
      <c r="AB211" s="67" t="n"/>
    </row>
    <row r="212" ht="15.75" customHeight="1" s="305">
      <c r="A212" s="67" t="inlineStr">
        <is>
          <t>PRINT_LABEL_FAILURE</t>
        </is>
      </c>
      <c r="B212" s="67" t="inlineStr">
        <is>
          <t>Xử lý in nhãn thất bại.</t>
        </is>
      </c>
      <c r="C212" s="67" t="inlineStr">
        <is>
          <t>Processing print label is failed.</t>
        </is>
      </c>
      <c r="D212" s="3">
        <f>IFERROR(__xludf.DUMMYFUNCTION("GOOGLETRANSLATE(B212,""vi"",""km"")"),"ដំណើរការបោះពុម្ពស្លាកបានបរាជ័យ។")</f>
        <v/>
      </c>
      <c r="E212" s="67" t="inlineStr">
        <is>
          <t>បរាជ័យក្នុងដំណើរការបោះពុម្ពស្លាក។</t>
        </is>
      </c>
      <c r="F212" s="3" t="inlineStr">
        <is>
          <t>ដំណើរការព្រីនស្លាកបានបរាជ័យ។</t>
        </is>
      </c>
      <c r="G212" s="67" t="n"/>
      <c r="H212" t="inlineStr">
        <is>
          <t>ដំណើរការព្រីនស្លាកបានបរាជ័យ។</t>
        </is>
      </c>
      <c r="I212" s="67" t="n"/>
      <c r="J212" s="67" t="n"/>
      <c r="K212" s="67" t="n"/>
      <c r="L212" s="67" t="n"/>
      <c r="M212" s="67" t="n"/>
      <c r="N212" s="67" t="n"/>
      <c r="O212" s="67" t="n"/>
      <c r="P212" s="67" t="n"/>
      <c r="Q212" s="67" t="n"/>
      <c r="R212" s="67" t="n"/>
      <c r="S212" s="67" t="n"/>
      <c r="T212" s="67" t="n"/>
      <c r="U212" s="67" t="n"/>
      <c r="V212" s="67" t="n"/>
      <c r="W212" s="67" t="n"/>
      <c r="X212" s="67" t="n"/>
      <c r="Y212" s="67" t="n"/>
      <c r="Z212" s="67" t="n"/>
      <c r="AA212" s="67" t="n"/>
      <c r="AB212" s="67" t="n"/>
    </row>
    <row r="213" ht="15.75" customHeight="1" s="305">
      <c r="A213" s="67" t="inlineStr">
        <is>
          <t>GET_PRINT_PATH_FAILURE</t>
        </is>
      </c>
      <c r="B213" s="67" t="inlineStr">
        <is>
          <t>Lấy đường dẫn in thất bại.</t>
        </is>
      </c>
      <c r="C213" s="67" t="inlineStr">
        <is>
          <t>Get print path is failed.</t>
        </is>
      </c>
      <c r="D213" s="3">
        <f>IFERROR(__xludf.DUMMYFUNCTION("GOOGLETRANSLATE(B213,""vi"",""km"")"),"ការ​ទទួល​យក​ផ្លូវ​បោះពុម្ព​បាន​បរាជ័យ។")</f>
        <v/>
      </c>
      <c r="E213" s="67" t="inlineStr">
        <is>
          <t>បរាជ័យក្នុងការទាញយកផ្លូវបោះពុម្ព។</t>
        </is>
      </c>
      <c r="F213" s="3" t="inlineStr">
        <is>
          <t>ការទទួលយកផ្លូវព្រីនបានបរាជ័យ។</t>
        </is>
      </c>
      <c r="G213" s="67" t="n"/>
      <c r="H213" t="inlineStr">
        <is>
          <t>ការទទួលយកផ្លូវព្រីនបានបរាជ័យ។</t>
        </is>
      </c>
      <c r="I213" s="67" t="n"/>
      <c r="J213" s="67" t="n"/>
      <c r="K213" s="67" t="n"/>
      <c r="L213" s="67" t="n"/>
      <c r="M213" s="67" t="n"/>
      <c r="N213" s="67" t="n"/>
      <c r="O213" s="67" t="n"/>
      <c r="P213" s="67" t="n"/>
      <c r="Q213" s="67" t="n"/>
      <c r="R213" s="67" t="n"/>
      <c r="S213" s="67" t="n"/>
      <c r="T213" s="67" t="n"/>
      <c r="U213" s="67" t="n"/>
      <c r="V213" s="67" t="n"/>
      <c r="W213" s="67" t="n"/>
      <c r="X213" s="67" t="n"/>
      <c r="Y213" s="67" t="n"/>
      <c r="Z213" s="67" t="n"/>
      <c r="AA213" s="67" t="n"/>
      <c r="AB213" s="67" t="n"/>
    </row>
    <row r="214" ht="15.75" customHeight="1" s="305">
      <c r="A214" s="67" t="inlineStr">
        <is>
          <t>CREATE_DEAD_LETTER_ORDER_FAILURE</t>
        </is>
      </c>
      <c r="B214" s="67" t="inlineStr">
        <is>
          <t>Tạo đơn hàng thất bại.</t>
        </is>
      </c>
      <c r="C214" s="67" t="inlineStr">
        <is>
          <t>Create dead letter order failed.</t>
        </is>
      </c>
      <c r="D214" s="3">
        <f>IFERROR(__xludf.DUMMYFUNCTION("GOOGLETRANSLATE(B214,""vi"",""km"")"),"ការបង្កើតការបញ្ជាទិញបានបរាជ័យ។")</f>
        <v/>
      </c>
      <c r="E214" s="67" t="inlineStr">
        <is>
          <t>បរាជ័យក្នុងការបង្កើតការបញ្ជាទិញ។</t>
        </is>
      </c>
      <c r="F214" s="3" t="inlineStr">
        <is>
          <t>ការបង្កើតការបញ្ជាទិញបានបរាជ័យ។</t>
        </is>
      </c>
      <c r="G214" s="67" t="n"/>
      <c r="H214" t="inlineStr">
        <is>
          <t>ការបង្កើតការបញ្ជាទិញបានបរាជ័យ។</t>
        </is>
      </c>
      <c r="I214" s="67" t="n"/>
      <c r="J214" s="67" t="n"/>
      <c r="K214" s="67" t="n"/>
      <c r="L214" s="67" t="n"/>
      <c r="M214" s="67" t="n"/>
      <c r="N214" s="67" t="n"/>
      <c r="O214" s="67" t="n"/>
      <c r="P214" s="67" t="n"/>
      <c r="Q214" s="67" t="n"/>
      <c r="R214" s="67" t="n"/>
      <c r="S214" s="67" t="n"/>
      <c r="T214" s="67" t="n"/>
      <c r="U214" s="67" t="n"/>
      <c r="V214" s="67" t="n"/>
      <c r="W214" s="67" t="n"/>
      <c r="X214" s="67" t="n"/>
      <c r="Y214" s="67" t="n"/>
      <c r="Z214" s="67" t="n"/>
      <c r="AA214" s="67" t="n"/>
      <c r="AB214" s="67" t="n"/>
    </row>
    <row r="215" ht="15.75" customHeight="1" s="305">
      <c r="A215" s="67" t="inlineStr">
        <is>
          <t>KAFKA_CONSUME_ERROR</t>
        </is>
      </c>
      <c r="B215" s="67" t="inlineStr">
        <is>
          <t>Lỗi khi tiêu thụ tin nhắn từ Kafka.</t>
        </is>
      </c>
      <c r="C215" s="67" t="inlineStr">
        <is>
          <t>Kafka consume message failed.</t>
        </is>
      </c>
      <c r="D215" s="3">
        <f>IFERROR(__xludf.DUMMYFUNCTION("GOOGLETRANSLATE(B215,""vi"",""km"")"),"កំហុស​ពេល​ទទួល​យក​សារ​ពី Kafka។")</f>
        <v/>
      </c>
      <c r="E215" s="67" t="inlineStr">
        <is>
          <t>កំហុសក្នុងការទទួលសារពី Kafka។</t>
        </is>
      </c>
      <c r="F215" s="3" t="inlineStr">
        <is>
          <t>កំហុសពេលទទួលយកសារពី Kafka។</t>
        </is>
      </c>
      <c r="G215" s="67" t="n"/>
      <c r="H215" t="inlineStr">
        <is>
          <t>កំហុសពេលទទួលយកសារពី Kafka។</t>
        </is>
      </c>
      <c r="I215" s="67" t="n"/>
      <c r="J215" s="67" t="n"/>
      <c r="K215" s="67" t="n"/>
      <c r="L215" s="67" t="n"/>
      <c r="M215" s="67" t="n"/>
      <c r="N215" s="67" t="n"/>
      <c r="O215" s="67" t="n"/>
      <c r="P215" s="67" t="n"/>
      <c r="Q215" s="67" t="n"/>
      <c r="R215" s="67" t="n"/>
      <c r="S215" s="67" t="n"/>
      <c r="T215" s="67" t="n"/>
      <c r="U215" s="67" t="n"/>
      <c r="V215" s="67" t="n"/>
      <c r="W215" s="67" t="n"/>
      <c r="X215" s="67" t="n"/>
      <c r="Y215" s="67" t="n"/>
      <c r="Z215" s="67" t="n"/>
      <c r="AA215" s="67" t="n"/>
      <c r="AB215" s="67" t="n"/>
    </row>
    <row r="216" ht="15.75" customHeight="1" s="305">
      <c r="A216" s="67" t="inlineStr">
        <is>
          <t>KAFKA_CONSUME_ORDER_IS_EXISTED</t>
        </is>
      </c>
      <c r="B216" s="67" t="inlineStr">
        <is>
          <t>Order ID already exists in the system.</t>
        </is>
      </c>
      <c r="C216" s="67" t="inlineStr">
        <is>
          <t>Order ID already exists in the system.</t>
        </is>
      </c>
      <c r="D216" s="3">
        <f>IFERROR(__xludf.DUMMYFUNCTION("GOOGLETRANSLATE(B216,""vi"",""km"")"),"លេខសម្គាល់ការបញ្ជាទិញមានរួចហើយនៅក្នុងប្រព័ន្ធ។")</f>
        <v/>
      </c>
      <c r="E216" s="67" t="inlineStr">
        <is>
          <t>លេខសម្គាល់ការបញ្ជាទិញមានរួចហើយនៅក្នុងប្រព័ន្ធ។</t>
        </is>
      </c>
      <c r="F216" s="3" t="inlineStr">
        <is>
          <t>លេខសម្គាល់ការបញ្ជាទិញមានរួចហើយនៅក្នុងប្រព័ន្ធ។</t>
        </is>
      </c>
      <c r="G216" s="67" t="n"/>
      <c r="H216" t="inlineStr">
        <is>
          <t>លេខសម្គាល់ការបញ្ជាទិញមានរួចហើយនៅក្នុងប្រព័ន្ធ។</t>
        </is>
      </c>
      <c r="I216" s="67" t="n"/>
      <c r="J216" s="67" t="n"/>
      <c r="K216" s="67" t="n"/>
      <c r="L216" s="67" t="n"/>
      <c r="M216" s="67" t="n"/>
      <c r="N216" s="67" t="n"/>
      <c r="O216" s="67" t="n"/>
      <c r="P216" s="67" t="n"/>
      <c r="Q216" s="67" t="n"/>
      <c r="R216" s="67" t="n"/>
      <c r="S216" s="67" t="n"/>
      <c r="T216" s="67" t="n"/>
      <c r="U216" s="67" t="n"/>
      <c r="V216" s="67" t="n"/>
      <c r="W216" s="67" t="n"/>
      <c r="X216" s="67" t="n"/>
      <c r="Y216" s="67" t="n"/>
      <c r="Z216" s="67" t="n"/>
      <c r="AA216" s="67" t="n"/>
      <c r="AB216" s="67" t="n"/>
    </row>
    <row r="217" ht="15.75" customHeight="1" s="305">
      <c r="A217" s="67" t="inlineStr">
        <is>
          <t>REVENUE_FAIL_UNLOCK_API</t>
        </is>
      </c>
      <c r="B217" s="67" t="inlineStr">
        <is>
          <t>Gọi API để mở khoá đơn hàng OMS thất bại.</t>
        </is>
      </c>
      <c r="C217" s="67" t="inlineStr">
        <is>
          <t>Call API to unlock OMS order failed.</t>
        </is>
      </c>
      <c r="D217" s="3">
        <f>IFERROR(__xludf.DUMMYFUNCTION("GOOGLETRANSLATE(B217,""vi"",""km"")"),"ការហៅ API ដើម្បីដោះសោការបញ្ជាទិញ OMS បានបរាជ័យ។")</f>
        <v/>
      </c>
      <c r="E217" s="67" t="inlineStr">
        <is>
          <t>បរាជ័យក្នុងការហៅ API ដើម្បីដោះសោការបញ្ជាទិញ OMS។</t>
        </is>
      </c>
      <c r="F217" s="3" t="inlineStr">
        <is>
          <t>ការហៅ API ដើម្បីដោះសោការបញ្ជាទិញ OMS បានបរាជ័យ។</t>
        </is>
      </c>
      <c r="G217" s="67" t="n"/>
      <c r="H217" t="inlineStr">
        <is>
          <t>ការហៅ API ដើម្បីដោះសោការបញ្ជាទិញ OMS បានបរាជ័យ។</t>
        </is>
      </c>
      <c r="I217" s="67" t="n"/>
      <c r="J217" s="67" t="n"/>
      <c r="K217" s="67" t="n"/>
      <c r="L217" s="67" t="n"/>
      <c r="M217" s="67" t="n"/>
      <c r="N217" s="67" t="n"/>
      <c r="O217" s="67" t="n"/>
      <c r="P217" s="67" t="n"/>
      <c r="Q217" s="67" t="n"/>
      <c r="R217" s="67" t="n"/>
      <c r="S217" s="67" t="n"/>
      <c r="T217" s="67" t="n"/>
      <c r="U217" s="67" t="n"/>
      <c r="V217" s="67" t="n"/>
      <c r="W217" s="67" t="n"/>
      <c r="X217" s="67" t="n"/>
      <c r="Y217" s="67" t="n"/>
      <c r="Z217" s="67" t="n"/>
      <c r="AA217" s="67" t="n"/>
      <c r="AB217" s="67" t="n"/>
    </row>
    <row r="218" ht="15.75" customHeight="1" s="305">
      <c r="A218" s="67" t="inlineStr">
        <is>
          <t>GET_ASSIGNED_POST_AND_ROUTE_FAILURE</t>
        </is>
      </c>
      <c r="B218" s="67" t="inlineStr">
        <is>
          <t>Lỗi khi lấy thng tin phân công bưu cụ và tuyến phát.</t>
        </is>
      </c>
      <c r="C218" s="67" t="inlineStr">
        <is>
          <t>Call API to get assigned post and route failed.</t>
        </is>
      </c>
      <c r="D218" s="3">
        <f>IFERROR(__xludf.DUMMYFUNCTION("GOOGLETRANSLATE(B218,""vi"",""km"")"),"មានបញ្ហាក្នុងការទាញយកព័ត៌មានអំពីការចាត់តាំងវត្ថុប្រៃសណីយ៍ និងផ្លូវដឹកជញ្ជូន។")</f>
        <v/>
      </c>
      <c r="E218" s="67" t="inlineStr">
        <is>
          <t>កំហុសក្នុងការទាញយកព័ត៌មានការចាត់តាំងទំនិញប្រៃសណីយ៍ និងផ្លូវដឹកជញ្ជូន។</t>
        </is>
      </c>
      <c r="F218" s="3" t="inlineStr">
        <is>
          <t>មានបញ្ហាក្នុងការទាញយកព័ត៌មានអំពីការចាត់តាំងវត្ថុប្រៃសណីយ៍ និងផ្លូវដឹកជញ្ជូន។</t>
        </is>
      </c>
      <c r="G218" s="67" t="n"/>
      <c r="H218" t="inlineStr">
        <is>
          <t>មានបញ្ហាក្នុងការទាញយកព័ត៌មានអំពីការចាត់តាំងវត្ថុប្រៃសណីយ៍ និងផ្លូវដឹកជញ្ជូន។</t>
        </is>
      </c>
      <c r="I218" s="67" t="n"/>
      <c r="J218" s="67" t="n"/>
      <c r="K218" s="67" t="n"/>
      <c r="L218" s="67" t="n"/>
      <c r="M218" s="67" t="n"/>
      <c r="N218" s="67" t="n"/>
      <c r="O218" s="67" t="n"/>
      <c r="P218" s="67" t="n"/>
      <c r="Q218" s="67" t="n"/>
      <c r="R218" s="67" t="n"/>
      <c r="S218" s="67" t="n"/>
      <c r="T218" s="67" t="n"/>
      <c r="U218" s="67" t="n"/>
      <c r="V218" s="67" t="n"/>
      <c r="W218" s="67" t="n"/>
      <c r="X218" s="67" t="n"/>
      <c r="Y218" s="67" t="n"/>
      <c r="Z218" s="67" t="n"/>
      <c r="AA218" s="67" t="n"/>
      <c r="AB218" s="67" t="n"/>
    </row>
    <row r="219" ht="15.75" customHeight="1" s="305">
      <c r="A219" s="67" t="inlineStr">
        <is>
          <t>NOT_ALLOWED_EDIT_ORDER</t>
        </is>
      </c>
      <c r="B219" s="67" t="inlineStr">
        <is>
          <t>Đơn không được phép sửa.</t>
        </is>
      </c>
      <c r="C219" s="67" t="inlineStr">
        <is>
          <t>The order is not permitted to edit.</t>
        </is>
      </c>
      <c r="D219" s="3">
        <f>IFERROR(__xludf.DUMMYFUNCTION("GOOGLETRANSLATE(B219,""vi"",""km"")"),"មិនអាចកែសម្រួលកម្មវិធីបានទេ។")</f>
        <v/>
      </c>
      <c r="E219" s="67" t="inlineStr">
        <is>
          <t>មិនអនុញ្ញាតឱ្យកែសម្រួលការបញ្ជាទិញទេ។</t>
        </is>
      </c>
      <c r="F219" s="3" t="inlineStr">
        <is>
          <t>មិនអាចកែសម្រួលកម្មវិធីបានទេ។</t>
        </is>
      </c>
      <c r="G219" s="67" t="n"/>
      <c r="H219" t="inlineStr">
        <is>
          <t>មិនអាចកែសម្រួលកម្មវិធីបានទេ។</t>
        </is>
      </c>
      <c r="I219" s="67" t="n"/>
      <c r="J219" s="67" t="n"/>
      <c r="K219" s="67" t="n"/>
      <c r="L219" s="67" t="n"/>
      <c r="M219" s="67" t="n"/>
      <c r="N219" s="67" t="n"/>
      <c r="O219" s="67" t="n"/>
      <c r="P219" s="67" t="n"/>
      <c r="Q219" s="67" t="n"/>
      <c r="R219" s="67" t="n"/>
      <c r="S219" s="67" t="n"/>
      <c r="T219" s="67" t="n"/>
      <c r="U219" s="67" t="n"/>
      <c r="V219" s="67" t="n"/>
      <c r="W219" s="67" t="n"/>
      <c r="X219" s="67" t="n"/>
      <c r="Y219" s="67" t="n"/>
      <c r="Z219" s="67" t="n"/>
      <c r="AA219" s="67" t="n"/>
      <c r="AB219" s="67" t="n"/>
    </row>
    <row r="220" ht="15.75" customHeight="1" s="305">
      <c r="A220" s="67" t="inlineStr">
        <is>
          <t>REASON_EDIT_ORDER_NOT_BLANK</t>
        </is>
      </c>
      <c r="B220" s="67" t="inlineStr">
        <is>
          <t>Lý do sửa đơn không được phép để trống.</t>
        </is>
      </c>
      <c r="C220" s="67" t="inlineStr">
        <is>
          <t>The reason for edit order must be left blank.</t>
        </is>
      </c>
      <c r="D220" s="3">
        <f>IFERROR(__xludf.DUMMYFUNCTION("GOOGLETRANSLATE(B220,""vi"",""km"")"),"មូលហេតុនៃការកែប្រែពាក្យសុំមិនអាចទុកចោលទទេបានទេ។")</f>
        <v/>
      </c>
      <c r="E220" s="67" t="inlineStr">
        <is>
          <t>ហេតុផលសម្រាប់ការកែសម្រួលការបញ្ជាទិញមិនអាចទុកឱ្យទទេបានទេ។</t>
        </is>
      </c>
      <c r="F220" s="3" t="inlineStr">
        <is>
          <t>មូលហេតុនៃការកែប្រែពាក្យសុំមិនអាចទុកចោលទទេបានទេ។</t>
        </is>
      </c>
      <c r="G220" s="67" t="n"/>
      <c r="H220" t="inlineStr">
        <is>
          <t>មូលហេតុនៃការកែប្រែពាក្យសុំមិនអាចទុកចោលទទេបានទេ។</t>
        </is>
      </c>
      <c r="I220" s="67" t="n"/>
      <c r="J220" s="67" t="n"/>
      <c r="K220" s="67" t="n"/>
      <c r="L220" s="67" t="n"/>
      <c r="M220" s="67" t="n"/>
      <c r="N220" s="67" t="n"/>
      <c r="O220" s="67" t="n"/>
      <c r="P220" s="67" t="n"/>
      <c r="Q220" s="67" t="n"/>
      <c r="R220" s="67" t="n"/>
      <c r="S220" s="67" t="n"/>
      <c r="T220" s="67" t="n"/>
      <c r="U220" s="67" t="n"/>
      <c r="V220" s="67" t="n"/>
      <c r="W220" s="67" t="n"/>
      <c r="X220" s="67" t="n"/>
      <c r="Y220" s="67" t="n"/>
      <c r="Z220" s="67" t="n"/>
      <c r="AA220" s="67" t="n"/>
      <c r="AB220" s="67" t="n"/>
    </row>
    <row r="221" ht="15.75" customHeight="1" s="305">
      <c r="A221" s="67" t="inlineStr">
        <is>
          <t>EDIT_ORDER_FAILURE</t>
        </is>
      </c>
      <c r="B221" s="67" t="inlineStr">
        <is>
          <t>Sửa đơn thất bại</t>
        </is>
      </c>
      <c r="C221" s="67" t="inlineStr">
        <is>
          <t>Edit order is fail.</t>
        </is>
      </c>
      <c r="D221" s="3">
        <f>IFERROR(__xludf.DUMMYFUNCTION("GOOGLETRANSLATE(B221,""vi"",""km"")"),"កែសម្រួលការបញ្ជាទិញដែលបរាជ័យ")</f>
        <v/>
      </c>
      <c r="E221" s="67" t="inlineStr">
        <is>
          <t>ការកែសម្រួលការបញ្ជាទិញបរាជ័យ។</t>
        </is>
      </c>
      <c r="F221" s="3" t="inlineStr">
        <is>
          <t>កែសម្រួលការបញ្ជាទិញដែលបរាជ័យ</t>
        </is>
      </c>
      <c r="G221" s="67" t="n"/>
      <c r="H221" t="inlineStr">
        <is>
          <t>កែសម្រួលការបញ្ជាទិញដែលបរាជ័យ</t>
        </is>
      </c>
      <c r="I221" s="67" t="n"/>
      <c r="J221" s="67" t="n"/>
      <c r="K221" s="67" t="n"/>
      <c r="L221" s="67" t="n"/>
      <c r="M221" s="67" t="n"/>
      <c r="N221" s="67" t="n"/>
      <c r="O221" s="67" t="n"/>
      <c r="P221" s="67" t="n"/>
      <c r="Q221" s="67" t="n"/>
      <c r="R221" s="67" t="n"/>
      <c r="S221" s="67" t="n"/>
      <c r="T221" s="67" t="n"/>
      <c r="U221" s="67" t="n"/>
      <c r="V221" s="67" t="n"/>
      <c r="W221" s="67" t="n"/>
      <c r="X221" s="67" t="n"/>
      <c r="Y221" s="67" t="n"/>
      <c r="Z221" s="67" t="n"/>
      <c r="AA221" s="67" t="n"/>
      <c r="AB221" s="67" t="n"/>
    </row>
    <row r="222" ht="15.75" customHeight="1" s="305">
      <c r="A222" s="67" t="inlineStr">
        <is>
          <t>PROCESS_ASSIGN_POST_AND_ROUTE_FAILURE</t>
        </is>
      </c>
      <c r="B222" s="67" t="n"/>
      <c r="C222" s="67" t="inlineStr">
        <is>
          <t>Failed to assign post office and delivery route.</t>
        </is>
      </c>
      <c r="D222" s="3">
        <f>IFERROR(__xludf.DUMMYFUNCTION("GOOGLETRANSLATE(B222,""vi"",""km"")"),"#VALUE!")</f>
        <v/>
      </c>
      <c r="E222" s="67" t="n"/>
      <c r="F222" s="3" t="inlineStr">
        <is>
          <t>Failed to assign post office and delivery route.</t>
        </is>
      </c>
      <c r="G222" s="67" t="n"/>
      <c r="H222" t="inlineStr">
        <is>
          <t>Failed to assign post office and delivery route.</t>
        </is>
      </c>
      <c r="I222" s="67" t="n"/>
      <c r="J222" s="67" t="n"/>
      <c r="K222" s="67" t="n"/>
      <c r="L222" s="67" t="n"/>
      <c r="M222" s="67" t="n"/>
      <c r="N222" s="67" t="n"/>
      <c r="O222" s="67" t="n"/>
      <c r="P222" s="67" t="n"/>
      <c r="Q222" s="67" t="n"/>
      <c r="R222" s="67" t="n"/>
      <c r="S222" s="67" t="n"/>
      <c r="T222" s="67" t="n"/>
      <c r="U222" s="67" t="n"/>
      <c r="V222" s="67" t="n"/>
      <c r="W222" s="67" t="n"/>
      <c r="X222" s="67" t="n"/>
      <c r="Y222" s="67" t="n"/>
      <c r="Z222" s="67" t="n"/>
      <c r="AA222" s="67" t="n"/>
      <c r="AB222" s="67" t="n"/>
    </row>
    <row r="223" ht="15.75" customHeight="1" s="305">
      <c r="A223" s="67" t="inlineStr">
        <is>
          <t>WAREHOUSE_UPDATE_FAIL</t>
        </is>
      </c>
      <c r="B223" s="67" t="n"/>
      <c r="C223" s="67" t="inlineStr">
        <is>
          <t>Failed to update warehouse data.</t>
        </is>
      </c>
      <c r="D223" s="3">
        <f>IFERROR(__xludf.DUMMYFUNCTION("GOOGLETRANSLATE(B223,""vi"",""km"")"),"#VALUE!")</f>
        <v/>
      </c>
      <c r="E223" s="67" t="inlineStr">
        <is>
          <t>រកមិនឃើញវេនការងារទេ។</t>
        </is>
      </c>
      <c r="F223" s="3" t="inlineStr">
        <is>
          <t>Failed to update warehouse data.</t>
        </is>
      </c>
      <c r="G223" s="67" t="n"/>
      <c r="H223" t="inlineStr">
        <is>
          <t>Failed to update warehouse data.</t>
        </is>
      </c>
      <c r="I223" s="67" t="n"/>
      <c r="J223" s="67" t="n"/>
      <c r="K223" s="67" t="n"/>
      <c r="L223" s="67" t="n"/>
      <c r="M223" s="67" t="n"/>
      <c r="N223" s="67" t="n"/>
      <c r="O223" s="67" t="n"/>
      <c r="P223" s="67" t="n"/>
      <c r="Q223" s="67" t="n"/>
      <c r="R223" s="67" t="n"/>
      <c r="S223" s="67" t="n"/>
      <c r="T223" s="67" t="n"/>
      <c r="U223" s="67" t="n"/>
      <c r="V223" s="67" t="n"/>
      <c r="W223" s="67" t="n"/>
      <c r="X223" s="67" t="n"/>
      <c r="Y223" s="67" t="n"/>
      <c r="Z223" s="67" t="n"/>
      <c r="AA223" s="67" t="n"/>
      <c r="AB223" s="67" t="n"/>
    </row>
    <row r="224" ht="15.75" customHeight="1" s="305">
      <c r="A224" s="67" t="inlineStr">
        <is>
          <t>SHIFT_NOT_FOUND</t>
        </is>
      </c>
      <c r="B224" s="67" t="inlineStr">
        <is>
          <t>Không tìm thấy ca làm việc.</t>
        </is>
      </c>
      <c r="C224" s="67" t="inlineStr">
        <is>
          <t>Shift is not found.</t>
        </is>
      </c>
      <c r="D224" s="3">
        <f>IFERROR(__xludf.DUMMYFUNCTION("GOOGLETRANSLATE(B224,""vi"",""km"")"),"រកមិនឃើញការផ្លាស់ប្តូរទេ។")</f>
        <v/>
      </c>
      <c r="E224" s="67" t="inlineStr">
        <is>
          <t>ការបង្កើតវេនការងារបរាជ័យ។</t>
        </is>
      </c>
      <c r="F224" s="3" t="inlineStr">
        <is>
          <t>រកមិនឃើញការផ្លាស់ប្តូរទេ។</t>
        </is>
      </c>
      <c r="G224" s="67" t="n"/>
      <c r="H224" t="inlineStr">
        <is>
          <t>រកមិនឃើញការផ្លាស់ប្តូរទេ។</t>
        </is>
      </c>
      <c r="I224" s="67" t="n"/>
      <c r="J224" s="67" t="n"/>
      <c r="K224" s="67" t="n"/>
      <c r="L224" s="67" t="n"/>
      <c r="M224" s="67" t="n"/>
      <c r="N224" s="67" t="n"/>
      <c r="O224" s="67" t="n"/>
      <c r="P224" s="67" t="n"/>
      <c r="Q224" s="67" t="n"/>
      <c r="R224" s="67" t="n"/>
      <c r="S224" s="67" t="n"/>
      <c r="T224" s="67" t="n"/>
      <c r="U224" s="67" t="n"/>
      <c r="V224" s="67" t="n"/>
      <c r="W224" s="67" t="n"/>
      <c r="X224" s="67" t="n"/>
      <c r="Y224" s="67" t="n"/>
      <c r="Z224" s="67" t="n"/>
      <c r="AA224" s="67" t="n"/>
      <c r="AB224" s="67" t="n"/>
    </row>
    <row r="225" ht="15.75" customHeight="1" s="305">
      <c r="A225" s="67" t="inlineStr">
        <is>
          <t>SHIFT_CREATE_FAIL</t>
        </is>
      </c>
      <c r="B225" s="67" t="inlineStr">
        <is>
          <t>Tạo ca làm việc thất bại.</t>
        </is>
      </c>
      <c r="C225" s="67" t="inlineStr">
        <is>
          <t>Fail to create shift.</t>
        </is>
      </c>
      <c r="D225" s="3">
        <f>IFERROR(__xludf.DUMMYFUNCTION("GOOGLETRANSLATE(B225,""vi"",""km"")"),"បង្កើតវេនការងារដែលបរាជ័យ។")</f>
        <v/>
      </c>
      <c r="E225" s="67" t="inlineStr">
        <is>
          <t>ការធ្វើបច្ចុប្បន្នភាពវេនការងារបរាជ័យ។វេនត្រូវបានប្រកាស។</t>
        </is>
      </c>
      <c r="F225" s="3" t="inlineStr">
        <is>
          <t>បង្កើតវេនការងារដែលបរាជ័យ។</t>
        </is>
      </c>
      <c r="G225" s="67" t="n"/>
      <c r="H225" t="inlineStr">
        <is>
          <t>បង្កើតវេនការងារដែលបរាជ័យ។</t>
        </is>
      </c>
      <c r="I225" s="67" t="n"/>
      <c r="J225" s="67" t="n"/>
      <c r="K225" s="67" t="n"/>
      <c r="L225" s="67" t="n"/>
      <c r="M225" s="67" t="n"/>
      <c r="N225" s="67" t="n"/>
      <c r="O225" s="67" t="n"/>
      <c r="P225" s="67" t="n"/>
      <c r="Q225" s="67" t="n"/>
      <c r="R225" s="67" t="n"/>
      <c r="S225" s="67" t="n"/>
      <c r="T225" s="67" t="n"/>
      <c r="U225" s="67" t="n"/>
      <c r="V225" s="67" t="n"/>
      <c r="W225" s="67" t="n"/>
      <c r="X225" s="67" t="n"/>
      <c r="Y225" s="67" t="n"/>
      <c r="Z225" s="67" t="n"/>
      <c r="AA225" s="67" t="n"/>
      <c r="AB225" s="67" t="n"/>
    </row>
    <row r="226" ht="15.75" customHeight="1" s="305">
      <c r="A226" s="67" t="inlineStr">
        <is>
          <t>SHIFT_UPDATE_FAIL</t>
        </is>
      </c>
      <c r="B226" s="67" t="inlineStr">
        <is>
          <t>Cập nhật ca làm việc thất bại.</t>
        </is>
      </c>
      <c r="C226" s="67" t="inlineStr">
        <is>
          <t>Fail to update shift.</t>
        </is>
      </c>
      <c r="D226" s="3">
        <f>IFERROR(__xludf.DUMMYFUNCTION("GOOGLETRANSLATE(B226,""vi"",""km"")"),"ធ្វើបច្ចុប្បន្នភាពវេនការងារដែលបរាជ័យ។")</f>
        <v/>
      </c>
      <c r="E226" s="67" t="inlineStr">
        <is>
          <t>រកមិនឃើញលំដាប់ដែលបានកំណត់។</t>
        </is>
      </c>
      <c r="F226" s="3" t="inlineStr">
        <is>
          <t>ធ្វើបច្ចុប្បន្នភាពវេនការងារដែលបរាជ័យ។</t>
        </is>
      </c>
      <c r="G226" s="67" t="n"/>
      <c r="H226" t="inlineStr">
        <is>
          <t>ធ្វើបច្ចុប្បន្នភាពវេនការងារដែលបរាជ័យ។</t>
        </is>
      </c>
      <c r="I226" s="67" t="n"/>
      <c r="J226" s="67" t="n"/>
      <c r="K226" s="67" t="n"/>
      <c r="L226" s="67" t="n"/>
      <c r="M226" s="67" t="n"/>
      <c r="N226" s="67" t="n"/>
      <c r="O226" s="67" t="n"/>
      <c r="P226" s="67" t="n"/>
      <c r="Q226" s="67" t="n"/>
      <c r="R226" s="67" t="n"/>
      <c r="S226" s="67" t="n"/>
      <c r="T226" s="67" t="n"/>
      <c r="U226" s="67" t="n"/>
      <c r="V226" s="67" t="n"/>
      <c r="W226" s="67" t="n"/>
      <c r="X226" s="67" t="n"/>
      <c r="Y226" s="67" t="n"/>
      <c r="Z226" s="67" t="n"/>
      <c r="AA226" s="67" t="n"/>
      <c r="AB226" s="67" t="n"/>
    </row>
    <row r="227" ht="15.75" customHeight="1" s="305">
      <c r="A227" s="67" t="inlineStr">
        <is>
          <t>SHIFT_EXIST</t>
        </is>
      </c>
      <c r="B227" s="67" t="inlineStr">
        <is>
          <t>Ca làm việc đã được khai báo.</t>
        </is>
      </c>
      <c r="C227" s="67" t="inlineStr">
        <is>
          <t>Shift already exist!</t>
        </is>
      </c>
      <c r="D227" s="3">
        <f>IFERROR(__xludf.DUMMYFUNCTION("GOOGLETRANSLATE(B227,""vi"",""km"")"),"ការផ្លាស់ប្តូរត្រូវបានប្រកាស។")</f>
        <v/>
      </c>
      <c r="E227" s="67" t="inlineStr">
        <is>
          <t>មិនអាចបង្កើតលំដាប់ដែលបានកំណត់បានទេ។</t>
        </is>
      </c>
      <c r="F227" s="3" t="inlineStr">
        <is>
          <t>ការផ្លាស់ប្តូរត្រូវបានប្រកាស។</t>
        </is>
      </c>
      <c r="G227" s="67" t="n"/>
      <c r="H227" t="inlineStr">
        <is>
          <t>ការផ្លាស់ប្តូរត្រូវបានប្រកាស។</t>
        </is>
      </c>
      <c r="I227" s="67" t="n"/>
      <c r="J227" s="67" t="n"/>
      <c r="K227" s="67" t="n"/>
      <c r="L227" s="67" t="n"/>
      <c r="M227" s="67" t="n"/>
      <c r="N227" s="67" t="n"/>
      <c r="O227" s="67" t="n"/>
      <c r="P227" s="67" t="n"/>
      <c r="Q227" s="67" t="n"/>
      <c r="R227" s="67" t="n"/>
      <c r="S227" s="67" t="n"/>
      <c r="T227" s="67" t="n"/>
      <c r="U227" s="67" t="n"/>
      <c r="V227" s="67" t="n"/>
      <c r="W227" s="67" t="n"/>
      <c r="X227" s="67" t="n"/>
      <c r="Y227" s="67" t="n"/>
      <c r="Z227" s="67" t="n"/>
      <c r="AA227" s="67" t="n"/>
      <c r="AB227" s="67" t="n"/>
    </row>
    <row r="228" ht="15.75" customHeight="1" s="305">
      <c r="A228" s="67" t="inlineStr">
        <is>
          <t>ASSIGNED_ORDER_FIND_ONE_FAIL</t>
        </is>
      </c>
      <c r="B228" s="67" t="inlineStr">
        <is>
          <t>Không tìm thấy đơn hàng được phân công.</t>
        </is>
      </c>
      <c r="C228" s="67" t="inlineStr">
        <is>
          <t>Assigned Order is not found.</t>
        </is>
      </c>
      <c r="D228" s="3">
        <f>IFERROR(__xludf.DUMMYFUNCTION("GOOGLETRANSLATE(B228,""vi"",""km"")"),"រកមិនឃើញការបញ្ជាទិញដែលបានកំណត់ទេ។")</f>
        <v/>
      </c>
      <c r="E228" s="67" t="inlineStr">
        <is>
          <t>មិនអាចធ្វើបច្ចុប្បន្នភាពការបញ្ជាទិញដែលបានកំណត់បានទេ។</t>
        </is>
      </c>
      <c r="F228" s="3" t="inlineStr">
        <is>
          <t>រកមិនឃើញការបញ្ជាទិញដែលបានកំណត់ទេ។</t>
        </is>
      </c>
      <c r="G228" s="67" t="n"/>
      <c r="H228" t="inlineStr">
        <is>
          <t>រកមិនឃើញការបញ្ជាទិញដែលបានកំណត់ទេ។</t>
        </is>
      </c>
      <c r="I228" s="67" t="n"/>
      <c r="J228" s="67" t="n"/>
      <c r="K228" s="67" t="n"/>
      <c r="L228" s="67" t="n"/>
      <c r="M228" s="67" t="n"/>
      <c r="N228" s="67" t="n"/>
      <c r="O228" s="67" t="n"/>
      <c r="P228" s="67" t="n"/>
      <c r="Q228" s="67" t="n"/>
      <c r="R228" s="67" t="n"/>
      <c r="S228" s="67" t="n"/>
      <c r="T228" s="67" t="n"/>
      <c r="U228" s="67" t="n"/>
      <c r="V228" s="67" t="n"/>
      <c r="W228" s="67" t="n"/>
      <c r="X228" s="67" t="n"/>
      <c r="Y228" s="67" t="n"/>
      <c r="Z228" s="67" t="n"/>
      <c r="AA228" s="67" t="n"/>
      <c r="AB228" s="67" t="n"/>
    </row>
    <row r="229" ht="15.75" customHeight="1" s="305">
      <c r="A229" s="67" t="inlineStr">
        <is>
          <t>CREATE_ASSIGNED_ORDER_FAIL</t>
        </is>
      </c>
      <c r="B229" s="67" t="inlineStr">
        <is>
          <t>Không thể tạo đơn hàng được phân công.</t>
        </is>
      </c>
      <c r="C229" s="67" t="inlineStr">
        <is>
          <t>Failed to create the assigned order.</t>
        </is>
      </c>
      <c r="D229" s="3">
        <f>IFERROR(__xludf.DUMMYFUNCTION("GOOGLETRANSLATE(B229,""vi"",""km"")"),"មិនអាចបង្កើតការបញ្ជាទិញដែលបានកំណត់បានទេ។")</f>
        <v/>
      </c>
      <c r="E229" s="67" t="inlineStr">
        <is>
          <t>បាត់ព័ត៌មានលេខកូដប្រៃសណីយ៍។</t>
        </is>
      </c>
      <c r="F229" s="3" t="inlineStr">
        <is>
          <t>មិនអាចបង្កើតការបញ្ជាទិញដែលបានកំណត់បានទេ។</t>
        </is>
      </c>
      <c r="G229" s="67" t="n"/>
      <c r="H229" t="inlineStr">
        <is>
          <t>មិនអាចបង្កើតការបញ្ជាទិញដែលបានកំណត់បានទេ។</t>
        </is>
      </c>
      <c r="I229" s="67" t="n"/>
      <c r="J229" s="67" t="n"/>
      <c r="K229" s="67" t="n"/>
      <c r="L229" s="67" t="n"/>
      <c r="M229" s="67" t="n"/>
      <c r="N229" s="67" t="n"/>
      <c r="O229" s="67" t="n"/>
      <c r="P229" s="67" t="n"/>
      <c r="Q229" s="67" t="n"/>
      <c r="R229" s="67" t="n"/>
      <c r="S229" s="67" t="n"/>
      <c r="T229" s="67" t="n"/>
      <c r="U229" s="67" t="n"/>
      <c r="V229" s="67" t="n"/>
      <c r="W229" s="67" t="n"/>
      <c r="X229" s="67" t="n"/>
      <c r="Y229" s="67" t="n"/>
      <c r="Z229" s="67" t="n"/>
      <c r="AA229" s="67" t="n"/>
      <c r="AB229" s="67" t="n"/>
    </row>
    <row r="230" ht="15.75" customHeight="1" s="305">
      <c r="A230" s="67" t="inlineStr">
        <is>
          <t>UPDATE_ASSIGNED_ORDER_FAIL</t>
        </is>
      </c>
      <c r="B230" s="67" t="inlineStr">
        <is>
          <t>Không thể cập nhật đơn hàng được phân công.</t>
        </is>
      </c>
      <c r="C230" s="67" t="inlineStr">
        <is>
          <t>Fail to update the assigned order.</t>
        </is>
      </c>
      <c r="D230" s="3">
        <f>IFERROR(__xludf.DUMMYFUNCTION("GOOGLETRANSLATE(B230,""vi"",""km"")"),"មិនអាចធ្វើបច្ចុប្បន្នភាពការបញ្ជាទិញដែលបានកំណត់បានទេ។")</f>
        <v/>
      </c>
      <c r="E230" s="67" t="inlineStr">
        <is>
          <t>ព័ត៌មានផ្លូវបាត់។</t>
        </is>
      </c>
      <c r="F230" s="3" t="inlineStr">
        <is>
          <t>មិនអាចធ្វើបច្ចុប្បន្នភាពការបញ្ជាទិញដែលបានកំណត់បានទេ។</t>
        </is>
      </c>
      <c r="G230" s="67" t="n"/>
      <c r="H230" t="inlineStr">
        <is>
          <t>មិនអាចធ្វើបច្ចុប្បន្នភាពការបញ្ជាទិញដែលបានកំណត់បានទេ។</t>
        </is>
      </c>
      <c r="I230" s="67" t="n"/>
      <c r="J230" s="67" t="n"/>
      <c r="K230" s="67" t="n"/>
      <c r="L230" s="67" t="n"/>
      <c r="M230" s="67" t="n"/>
      <c r="N230" s="67" t="n"/>
      <c r="O230" s="67" t="n"/>
      <c r="P230" s="67" t="n"/>
      <c r="Q230" s="67" t="n"/>
      <c r="R230" s="67" t="n"/>
      <c r="S230" s="67" t="n"/>
      <c r="T230" s="67" t="n"/>
      <c r="U230" s="67" t="n"/>
      <c r="V230" s="67" t="n"/>
      <c r="W230" s="67" t="n"/>
      <c r="X230" s="67" t="n"/>
      <c r="Y230" s="67" t="n"/>
      <c r="Z230" s="67" t="n"/>
      <c r="AA230" s="67" t="n"/>
      <c r="AB230" s="67" t="n"/>
    </row>
    <row r="231" ht="15.75" customHeight="1" s="305">
      <c r="A231" s="67" t="inlineStr">
        <is>
          <t>MISS_POST_CODE</t>
        </is>
      </c>
      <c r="B231" s="67" t="inlineStr">
        <is>
          <t>Thiếu thông tin mã bưu cục.</t>
        </is>
      </c>
      <c r="C231" s="67" t="inlineStr">
        <is>
          <t>Missing information of post code.</t>
        </is>
      </c>
      <c r="D231" s="3">
        <f>IFERROR(__xludf.DUMMYFUNCTION("GOOGLETRANSLATE(B231,""vi"",""km"")"),"ព័ត៌មាន​លេខ​កូដ​ប្រៃសណីយ៍​បាត់។")</f>
        <v/>
      </c>
      <c r="E231" s="67" t="inlineStr">
        <is>
          <t>រកមិនឃើញផ្លូវទេ។</t>
        </is>
      </c>
      <c r="F231" s="3" t="inlineStr">
        <is>
          <t>ព័ត៌មានលេខកូដប្រៃសណីយ៍បាត់។</t>
        </is>
      </c>
      <c r="G231" s="67" t="n"/>
      <c r="H231" t="inlineStr">
        <is>
          <t>ព័ត៌មានលេខកូដប្រៃសណីយ៍បាត់។</t>
        </is>
      </c>
      <c r="I231" s="67" t="n"/>
      <c r="J231" s="67" t="n"/>
      <c r="K231" s="67" t="n"/>
      <c r="L231" s="67" t="n"/>
      <c r="M231" s="67" t="n"/>
      <c r="N231" s="67" t="n"/>
      <c r="O231" s="67" t="n"/>
      <c r="P231" s="67" t="n"/>
      <c r="Q231" s="67" t="n"/>
      <c r="R231" s="67" t="n"/>
      <c r="S231" s="67" t="n"/>
      <c r="T231" s="67" t="n"/>
      <c r="U231" s="67" t="n"/>
      <c r="V231" s="67" t="n"/>
      <c r="W231" s="67" t="n"/>
      <c r="X231" s="67" t="n"/>
      <c r="Y231" s="67" t="n"/>
      <c r="Z231" s="67" t="n"/>
      <c r="AA231" s="67" t="n"/>
      <c r="AB231" s="67" t="n"/>
    </row>
    <row r="232" ht="15.75" customHeight="1" s="305">
      <c r="A232" s="67" t="inlineStr">
        <is>
          <t>MISS_ROUTE_ID</t>
        </is>
      </c>
      <c r="B232" s="67" t="inlineStr">
        <is>
          <t>Thiếu thông tin tuyến.</t>
        </is>
      </c>
      <c r="C232" s="67" t="inlineStr">
        <is>
          <t>Missing information of route.</t>
        </is>
      </c>
      <c r="D232" s="3">
        <f>IFERROR(__xludf.DUMMYFUNCTION("GOOGLETRANSLATE(B232,""vi"",""km"")"),"ព័ត៌មានផ្លូវបាត់។")</f>
        <v/>
      </c>
      <c r="E232" s="67" t="inlineStr">
        <is>
          <t>ការបង្កើតផ្លូវថ្មីបរាជ័យ។</t>
        </is>
      </c>
      <c r="F232" s="3" t="inlineStr">
        <is>
          <t>ព័ត៌មានផ្លូវបាត់។</t>
        </is>
      </c>
      <c r="G232" s="67" t="n"/>
      <c r="H232" t="inlineStr">
        <is>
          <t>ព័ត៌មានផ្លូវបាត់។</t>
        </is>
      </c>
      <c r="I232" s="67" t="n"/>
      <c r="J232" s="67" t="n"/>
      <c r="K232" s="67" t="n"/>
      <c r="L232" s="67" t="n"/>
      <c r="M232" s="67" t="n"/>
      <c r="N232" s="67" t="n"/>
      <c r="O232" s="67" t="n"/>
      <c r="P232" s="67" t="n"/>
      <c r="Q232" s="67" t="n"/>
      <c r="R232" s="67" t="n"/>
      <c r="S232" s="67" t="n"/>
      <c r="T232" s="67" t="n"/>
      <c r="U232" s="67" t="n"/>
      <c r="V232" s="67" t="n"/>
      <c r="W232" s="67" t="n"/>
      <c r="X232" s="67" t="n"/>
      <c r="Y232" s="67" t="n"/>
      <c r="Z232" s="67" t="n"/>
      <c r="AA232" s="67" t="n"/>
      <c r="AB232" s="67" t="n"/>
    </row>
    <row r="233" ht="15.75" customHeight="1" s="305">
      <c r="A233" s="67" t="inlineStr">
        <is>
          <t>ROUTE_NOT_FOUND</t>
        </is>
      </c>
      <c r="B233" s="67" t="inlineStr">
        <is>
          <t>Không tìm thấy tuyến</t>
        </is>
      </c>
      <c r="C233" s="67" t="inlineStr">
        <is>
          <t>Route is not found</t>
        </is>
      </c>
      <c r="D233" s="3">
        <f>IFERROR(__xludf.DUMMYFUNCTION("GOOGLETRANSLATE(B233,""vi"",""km"")"),"រកមិនឃើញផ្លូវទេ")</f>
        <v/>
      </c>
      <c r="E233" s="67" t="inlineStr">
        <is>
          <t>ការអាប់ដេតផ្លូវបរាជ័យ។</t>
        </is>
      </c>
      <c r="F233" s="3" t="inlineStr">
        <is>
          <t>រកមិនឃើញផ្លូវទេ</t>
        </is>
      </c>
      <c r="G233" s="67" t="n"/>
      <c r="H233" t="inlineStr">
        <is>
          <t>រកមិនឃើញផ្លូវទេ</t>
        </is>
      </c>
      <c r="I233" s="67" t="n"/>
      <c r="J233" s="67" t="n"/>
      <c r="K233" s="67" t="n"/>
      <c r="L233" s="67" t="n"/>
      <c r="M233" s="67" t="n"/>
      <c r="N233" s="67" t="n"/>
      <c r="O233" s="67" t="n"/>
      <c r="P233" s="67" t="n"/>
      <c r="Q233" s="67" t="n"/>
      <c r="R233" s="67" t="n"/>
      <c r="S233" s="67" t="n"/>
      <c r="T233" s="67" t="n"/>
      <c r="U233" s="67" t="n"/>
      <c r="V233" s="67" t="n"/>
      <c r="W233" s="67" t="n"/>
      <c r="X233" s="67" t="n"/>
      <c r="Y233" s="67" t="n"/>
      <c r="Z233" s="67" t="n"/>
      <c r="AA233" s="67" t="n"/>
      <c r="AB233" s="67" t="n"/>
    </row>
    <row r="234" ht="15.75" customHeight="1" s="305">
      <c r="A234" s="67" t="inlineStr">
        <is>
          <t>ROUTE_CREATE_FAIL</t>
        </is>
      </c>
      <c r="B234" s="67" t="inlineStr">
        <is>
          <t>Tạo tuyến mới thất bại</t>
        </is>
      </c>
      <c r="C234" s="67" t="inlineStr">
        <is>
          <t>Fail to create new route</t>
        </is>
      </c>
      <c r="D234" s="3">
        <f>IFERROR(__xludf.DUMMYFUNCTION("GOOGLETRANSLATE(B234,""vi"",""km"")"),"ការបង្កើតផ្លូវថ្មីបានបរាជ័យ។")</f>
        <v/>
      </c>
      <c r="E234" s="67" t="inlineStr">
        <is>
          <t>មិនមានការិយាល័យប្រៃសណីយ៍ទេ។</t>
        </is>
      </c>
      <c r="F234" s="3" t="inlineStr">
        <is>
          <t>ការបង្កើតផ្លូវថ្មីបានបរាជ័យ។</t>
        </is>
      </c>
      <c r="G234" s="67" t="n"/>
      <c r="H234" t="inlineStr">
        <is>
          <t>ការបង្កើតផ្លូវថ្មីបានបរាជ័យ។</t>
        </is>
      </c>
      <c r="I234" s="67" t="n"/>
      <c r="J234" s="67" t="n"/>
      <c r="K234" s="67" t="n"/>
      <c r="L234" s="67" t="n"/>
      <c r="M234" s="67" t="n"/>
      <c r="N234" s="67" t="n"/>
      <c r="O234" s="67" t="n"/>
      <c r="P234" s="67" t="n"/>
      <c r="Q234" s="67" t="n"/>
      <c r="R234" s="67" t="n"/>
      <c r="S234" s="67" t="n"/>
      <c r="T234" s="67" t="n"/>
      <c r="U234" s="67" t="n"/>
      <c r="V234" s="67" t="n"/>
      <c r="W234" s="67" t="n"/>
      <c r="X234" s="67" t="n"/>
      <c r="Y234" s="67" t="n"/>
      <c r="Z234" s="67" t="n"/>
      <c r="AA234" s="67" t="n"/>
      <c r="AB234" s="67" t="n"/>
    </row>
    <row r="235" ht="15.75" customHeight="1" s="305">
      <c r="A235" s="67" t="inlineStr">
        <is>
          <t>ROUTE_UPDATE_FAIL</t>
        </is>
      </c>
      <c r="B235" s="67" t="inlineStr">
        <is>
          <t>Cập nhật tuyến thất bại</t>
        </is>
      </c>
      <c r="C235" s="67" t="inlineStr">
        <is>
          <t>Fail to update route</t>
        </is>
      </c>
      <c r="D235" s="3">
        <f>IFERROR(__xludf.DUMMYFUNCTION("GOOGLETRANSLATE(B235,""vi"",""km"")"),"ធ្វើបច្ចុប្បន្នភាពផ្លូវដែលបរាជ័យ")</f>
        <v/>
      </c>
      <c r="E235" s="67" t="inlineStr">
        <is>
          <t>កំហុសក្នុងការទាញយកបញ្ជីស្រុក/ខេត្ត។</t>
        </is>
      </c>
      <c r="F235" s="3" t="inlineStr">
        <is>
          <t>ធ្វើបច្ចុប្បន្នភាពផ្លូវដែលបរាជ័យ</t>
        </is>
      </c>
      <c r="G235" s="67" t="n"/>
      <c r="H235" t="inlineStr">
        <is>
          <t>ធ្វើបច្ចុប្បន្នភាពផ្លូវដែលបរាជ័យ</t>
        </is>
      </c>
      <c r="I235" s="67" t="n"/>
      <c r="J235" s="67" t="n"/>
      <c r="K235" s="67" t="n"/>
      <c r="L235" s="67" t="n"/>
      <c r="M235" s="67" t="n"/>
      <c r="N235" s="67" t="n"/>
      <c r="O235" s="67" t="n"/>
      <c r="P235" s="67" t="n"/>
      <c r="Q235" s="67" t="n"/>
      <c r="R235" s="67" t="n"/>
      <c r="S235" s="67" t="n"/>
      <c r="T235" s="67" t="n"/>
      <c r="U235" s="67" t="n"/>
      <c r="V235" s="67" t="n"/>
      <c r="W235" s="67" t="n"/>
      <c r="X235" s="67" t="n"/>
      <c r="Y235" s="67" t="n"/>
      <c r="Z235" s="67" t="n"/>
      <c r="AA235" s="67" t="n"/>
      <c r="AB235" s="67" t="n"/>
    </row>
    <row r="236" ht="15.75" customHeight="1" s="305">
      <c r="A236" s="67" t="inlineStr">
        <is>
          <t>DEPARTMENT_NOT_EXIST</t>
        </is>
      </c>
      <c r="B236" s="67" t="inlineStr">
        <is>
          <t>Bưu cục không tồn tại</t>
        </is>
      </c>
      <c r="C236" s="67" t="inlineStr">
        <is>
          <t>Department is not exist</t>
        </is>
      </c>
      <c r="D236" s="3">
        <f>IFERROR(__xludf.DUMMYFUNCTION("GOOGLETRANSLATE(B236,""vi"",""km"")"),"ការិយាល័យប្រៃសណីយ៍មិនមានទេ។")</f>
        <v/>
      </c>
      <c r="E236" s="67" t="inlineStr">
        <is>
          <t>កំហុសក្នុងការទាញយកបញ្ជីឃុំ/សង្កាត់។</t>
        </is>
      </c>
      <c r="F236" s="3" t="inlineStr">
        <is>
          <t>ការិយាល័យប្រៃសណីយ៍មិនមានទេ។</t>
        </is>
      </c>
      <c r="G236" s="67" t="n"/>
      <c r="H236" t="inlineStr">
        <is>
          <t>ការិយាល័យប្រៃសណីយ៍មិនមានទេ។</t>
        </is>
      </c>
      <c r="I236" s="67" t="n"/>
      <c r="J236" s="67" t="n"/>
      <c r="K236" s="67" t="n"/>
      <c r="L236" s="67" t="n"/>
      <c r="M236" s="67" t="n"/>
      <c r="N236" s="67" t="n"/>
      <c r="O236" s="67" t="n"/>
      <c r="P236" s="67" t="n"/>
      <c r="Q236" s="67" t="n"/>
      <c r="R236" s="67" t="n"/>
      <c r="S236" s="67" t="n"/>
      <c r="T236" s="67" t="n"/>
      <c r="U236" s="67" t="n"/>
      <c r="V236" s="67" t="n"/>
      <c r="W236" s="67" t="n"/>
      <c r="X236" s="67" t="n"/>
      <c r="Y236" s="67" t="n"/>
      <c r="Z236" s="67" t="n"/>
      <c r="AA236" s="67" t="n"/>
      <c r="AB236" s="67" t="n"/>
    </row>
    <row r="237" ht="15.75" customHeight="1" s="305">
      <c r="A237" s="67" t="inlineStr">
        <is>
          <t>ADMINISTRATIVE_DIVISION_DISTRICT_ERROR</t>
        </is>
      </c>
      <c r="B237" s="67" t="inlineStr">
        <is>
          <t>Lỗi lấy danh sách quận/huyện.</t>
        </is>
      </c>
      <c r="C237" s="67" t="inlineStr">
        <is>
          <t>Get list district error.</t>
        </is>
      </c>
      <c r="D237" s="3">
        <f>IFERROR(__xludf.DUMMYFUNCTION("GOOGLETRANSLATE(B237,""vi"",""km"")"),"មានបញ្ហាក្នុងការទាញយកបញ្ជីស្រុក/ខោនធី។")</f>
        <v/>
      </c>
      <c r="E237" s="67" t="inlineStr">
        <is>
          <t>រកមិនឃើញព័ត៌មានផ្លូវបុគ្គលិកប្រៃសណីយ៍ទេ។</t>
        </is>
      </c>
      <c r="F237" s="3" t="inlineStr">
        <is>
          <t>មានបញ្ហាក្នុងការទាញយកបញ្ជីស្រុក/ខោនធី។</t>
        </is>
      </c>
      <c r="G237" s="67" t="n"/>
      <c r="H237" t="inlineStr">
        <is>
          <t>មានបញ្ហាក្នុងការទាញយកបញ្ជីស្រុក/ខោនធី។</t>
        </is>
      </c>
      <c r="I237" s="67" t="n"/>
      <c r="J237" s="67" t="n"/>
      <c r="K237" s="67" t="n"/>
      <c r="L237" s="67" t="n"/>
      <c r="M237" s="67" t="n"/>
      <c r="N237" s="67" t="n"/>
      <c r="O237" s="67" t="n"/>
      <c r="P237" s="67" t="n"/>
      <c r="Q237" s="67" t="n"/>
      <c r="R237" s="67" t="n"/>
      <c r="S237" s="67" t="n"/>
      <c r="T237" s="67" t="n"/>
      <c r="U237" s="67" t="n"/>
      <c r="V237" s="67" t="n"/>
      <c r="W237" s="67" t="n"/>
      <c r="X237" s="67" t="n"/>
      <c r="Y237" s="67" t="n"/>
      <c r="Z237" s="67" t="n"/>
      <c r="AA237" s="67" t="n"/>
      <c r="AB237" s="67" t="n"/>
    </row>
    <row r="238" ht="15.75" customHeight="1" s="305">
      <c r="A238" s="67" t="inlineStr">
        <is>
          <t>ADMINISTRATIVE_DIVISION_TOWNSHIP_ERROR</t>
        </is>
      </c>
      <c r="B238" s="67" t="inlineStr">
        <is>
          <t>Lỗi lấy danh sách xã/phường.</t>
        </is>
      </c>
      <c r="C238" s="67" t="inlineStr">
        <is>
          <t>Get list township error.</t>
        </is>
      </c>
      <c r="D238" s="3">
        <f>IFERROR(__xludf.DUMMYFUNCTION("GOOGLETRANSLATE(B238,""vi"",""km"")"),"មាន​កំហុស​ក្នុង​ការ​ទាញ​យក​បញ្ជី​ឃុំ/សង្កាត់។")</f>
        <v/>
      </c>
      <c r="E238" s="67" t="inlineStr">
        <is>
          <t>ការកំណត់រចនាសម្ព័ន្ធផ្លូវបុគ្គលិកប្រៃសណីយ៍បរាជ័យ។</t>
        </is>
      </c>
      <c r="F238" s="3" t="inlineStr">
        <is>
          <t>មានកំហុសក្នុងការទាញយកបញ្ជីឃុំ/សង្កាត់។</t>
        </is>
      </c>
      <c r="G238" s="67" t="n"/>
      <c r="H238" t="inlineStr">
        <is>
          <t>មានកំហុសក្នុងការទាញយកបញ្ជីឃុំ/សង្កាត់។</t>
        </is>
      </c>
      <c r="I238" s="67" t="n"/>
      <c r="J238" s="67" t="n"/>
      <c r="K238" s="67" t="n"/>
      <c r="L238" s="67" t="n"/>
      <c r="M238" s="67" t="n"/>
      <c r="N238" s="67" t="n"/>
      <c r="O238" s="67" t="n"/>
      <c r="P238" s="67" t="n"/>
      <c r="Q238" s="67" t="n"/>
      <c r="R238" s="67" t="n"/>
      <c r="S238" s="67" t="n"/>
      <c r="T238" s="67" t="n"/>
      <c r="U238" s="67" t="n"/>
      <c r="V238" s="67" t="n"/>
      <c r="W238" s="67" t="n"/>
      <c r="X238" s="67" t="n"/>
      <c r="Y238" s="67" t="n"/>
      <c r="Z238" s="67" t="n"/>
      <c r="AA238" s="67" t="n"/>
      <c r="AB238" s="67" t="n"/>
    </row>
    <row r="239" ht="15.75" customHeight="1" s="305">
      <c r="A239" s="67" t="inlineStr">
        <is>
          <t>ROUTE_POSTMAN_CONFIG_NOT_FOUND</t>
        </is>
      </c>
      <c r="B239" s="67" t="inlineStr">
        <is>
          <t>Không tìm thấy thông tin tuyến bưu tá.</t>
        </is>
      </c>
      <c r="C239" s="67" t="inlineStr">
        <is>
          <t>Route postman is not found.</t>
        </is>
      </c>
      <c r="D239" s="3">
        <f>IFERROR(__xludf.DUMMYFUNCTION("GOOGLETRANSLATE(B239,""vi"",""km"")"),"រកមិនឃើញព័ត៌មានសេវាប្រៃសណីយ៍ទេ។")</f>
        <v/>
      </c>
      <c r="E239" s="67" t="inlineStr">
        <is>
          <t>រកមិនឃើញព័ត៌មានផ្លូវទេ។</t>
        </is>
      </c>
      <c r="F239" s="3" t="inlineStr">
        <is>
          <t>រកមិនឃើញព័ត៌មានសេវាប្រៃសណីយ៍ទេ។</t>
        </is>
      </c>
      <c r="G239" s="67" t="n"/>
      <c r="H239" t="inlineStr">
        <is>
          <t>រកមិនឃើញព័ត៌មានសេវាប្រៃសណីយ៍ទេ។</t>
        </is>
      </c>
      <c r="I239" s="67" t="n"/>
      <c r="J239" s="67" t="n"/>
      <c r="K239" s="67" t="n"/>
      <c r="L239" s="67" t="n"/>
      <c r="M239" s="67" t="n"/>
      <c r="N239" s="67" t="n"/>
      <c r="O239" s="67" t="n"/>
      <c r="P239" s="67" t="n"/>
      <c r="Q239" s="67" t="n"/>
      <c r="R239" s="67" t="n"/>
      <c r="S239" s="67" t="n"/>
      <c r="T239" s="67" t="n"/>
      <c r="U239" s="67" t="n"/>
      <c r="V239" s="67" t="n"/>
      <c r="W239" s="67" t="n"/>
      <c r="X239" s="67" t="n"/>
      <c r="Y239" s="67" t="n"/>
      <c r="Z239" s="67" t="n"/>
      <c r="AA239" s="67" t="n"/>
      <c r="AB239" s="67" t="n"/>
    </row>
    <row r="240" ht="15.75" customHeight="1" s="305">
      <c r="A240" s="67" t="inlineStr">
        <is>
          <t>ROUTE_POSTMAN_CONFIG_CREATE_NEW_FAIL</t>
        </is>
      </c>
      <c r="B240" s="67" t="inlineStr">
        <is>
          <t>Tạo cấu hình tuyến bưu tá thất bại.</t>
        </is>
      </c>
      <c r="C240" s="67" t="inlineStr">
        <is>
          <t>Create route postman config fail.</t>
        </is>
      </c>
      <c r="D240" s="3">
        <f>IFERROR(__xludf.DUMMYFUNCTION("GOOGLETRANSLATE(B240,""vi"",""km"")"),"ការកំណត់​រចនាសម្ព័ន្ធ​ផ្លូវ​បាន​បរាជ័យ។")</f>
        <v/>
      </c>
      <c r="E240" s="67" t="inlineStr">
        <is>
          <t>ការបង្កើតការកំណត់រចនាសម្ព័ន្ធផ្លូវបានបរាជ័យ។</t>
        </is>
      </c>
      <c r="F240" s="3" t="inlineStr">
        <is>
          <t>ការកំណត់រចនាសម្ព័ន្ធផ្លូវបានបរាជ័យ។</t>
        </is>
      </c>
      <c r="G240" s="67" t="n"/>
      <c r="H240" t="inlineStr">
        <is>
          <t>ការកំណត់រចនាសម្ព័ន្ធផ្លូវបានបរាជ័យ។</t>
        </is>
      </c>
      <c r="I240" s="67" t="n"/>
      <c r="J240" s="67" t="n"/>
      <c r="K240" s="67" t="n"/>
      <c r="L240" s="67" t="n"/>
      <c r="M240" s="67" t="n"/>
      <c r="N240" s="67" t="n"/>
      <c r="O240" s="67" t="n"/>
      <c r="P240" s="67" t="n"/>
      <c r="Q240" s="67" t="n"/>
      <c r="R240" s="67" t="n"/>
      <c r="S240" s="67" t="n"/>
      <c r="T240" s="67" t="n"/>
      <c r="U240" s="67" t="n"/>
      <c r="V240" s="67" t="n"/>
      <c r="W240" s="67" t="n"/>
      <c r="X240" s="67" t="n"/>
      <c r="Y240" s="67" t="n"/>
      <c r="Z240" s="67" t="n"/>
      <c r="AA240" s="67" t="n"/>
      <c r="AB240" s="67" t="n"/>
    </row>
    <row r="241" ht="15.75" customHeight="1" s="305">
      <c r="A241" s="67" t="inlineStr">
        <is>
          <t>VOID_DELETE_ROUTE_POSTMAN_FAIL</t>
        </is>
      </c>
      <c r="B241" s="67" t="inlineStr">
        <is>
          <t>Xoá cấu hình tuyến bưu tá thất bại.</t>
        </is>
      </c>
      <c r="C241" s="67" t="inlineStr">
        <is>
          <t>Delete route postman config fail.</t>
        </is>
      </c>
      <c r="D241" s="3">
        <f>IFERROR(__xludf.DUMMYFUNCTION("GOOGLETRANSLATE(B241,""vi"",""km"")"),"ការលុបការកំណត់រចនាសម្ព័ន្ធផ្លូវប្រៃសណីយ៍បានបរាជ័យ។")</f>
        <v/>
      </c>
      <c r="E241" s="67" t="inlineStr">
        <is>
          <t>ការលុបការកំណត់រចនាសម្ព័ន្ធផ្លូវបានបរាជ័យ។</t>
        </is>
      </c>
      <c r="F241" s="3" t="inlineStr">
        <is>
          <t>ការលុបការកំណត់រចនាសម្ព័ន្ធផ្លូវប្រៃសណីយ៍បានបរាជ័យ។</t>
        </is>
      </c>
      <c r="G241" s="67" t="n"/>
      <c r="H241" t="inlineStr">
        <is>
          <t>ការលុបការកំណត់រចនាសម្ព័ន្ធផ្លូវប្រៃសណីយ៍បានបរាជ័យ។</t>
        </is>
      </c>
      <c r="I241" s="67" t="n"/>
      <c r="J241" s="67" t="n"/>
      <c r="K241" s="67" t="n"/>
      <c r="L241" s="67" t="n"/>
      <c r="M241" s="67" t="n"/>
      <c r="N241" s="67" t="n"/>
      <c r="O241" s="67" t="n"/>
      <c r="P241" s="67" t="n"/>
      <c r="Q241" s="67" t="n"/>
      <c r="R241" s="67" t="n"/>
      <c r="S241" s="67" t="n"/>
      <c r="T241" s="67" t="n"/>
      <c r="U241" s="67" t="n"/>
      <c r="V241" s="67" t="n"/>
      <c r="W241" s="67" t="n"/>
      <c r="X241" s="67" t="n"/>
      <c r="Y241" s="67" t="n"/>
      <c r="Z241" s="67" t="n"/>
      <c r="AA241" s="67" t="n"/>
      <c r="AB241" s="67" t="n"/>
    </row>
    <row r="242" ht="15.75" customHeight="1" s="305">
      <c r="A242" s="67" t="inlineStr">
        <is>
          <t>ROUTE_POSTMAN_CONFIG_UPDATE_FAIL</t>
        </is>
      </c>
      <c r="B242" s="67" t="inlineStr">
        <is>
          <t>Cập nhật cấu hình tuyến bưu tá thất bại.</t>
        </is>
      </c>
      <c r="C242" s="67" t="inlineStr">
        <is>
          <t>Update route postman config fail.</t>
        </is>
      </c>
      <c r="D242" s="3">
        <f>IFERROR(__xludf.DUMMYFUNCTION("GOOGLETRANSLATE(B242,""vi"",""km"")"),"ការអាប់ដេតការកំណត់រចនាសម្ព័ន្ធផ្លូវប្រៃសណីយ៍បានបរាជ័យ។")</f>
        <v/>
      </c>
      <c r="E242" s="67" t="inlineStr">
        <is>
          <t>ការអាប់ដេតការកំណត់រចនាសម្ព័ន្ធផ្លូវបានបរាជ័យ។</t>
        </is>
      </c>
      <c r="F242" s="3" t="inlineStr">
        <is>
          <t>ការអាប់ដេតការកំណត់រចនាសម្ព័ន្ធផ្លូវប្រៃសណីយ៍បានបរាជ័យ។</t>
        </is>
      </c>
      <c r="G242" s="67" t="n"/>
      <c r="H242" t="inlineStr">
        <is>
          <t>ការអាប់ដេតការកំណត់រចនាសម្ព័ន្ធផ្លូវប្រៃសណីយ៍បានបរាជ័យ។</t>
        </is>
      </c>
      <c r="I242" s="67" t="n"/>
      <c r="J242" s="67" t="n"/>
      <c r="K242" s="67" t="n"/>
      <c r="L242" s="67" t="n"/>
      <c r="M242" s="67" t="n"/>
      <c r="N242" s="67" t="n"/>
      <c r="O242" s="67" t="n"/>
      <c r="P242" s="67" t="n"/>
      <c r="Q242" s="67" t="n"/>
      <c r="R242" s="67" t="n"/>
      <c r="S242" s="67" t="n"/>
      <c r="T242" s="67" t="n"/>
      <c r="U242" s="67" t="n"/>
      <c r="V242" s="67" t="n"/>
      <c r="W242" s="67" t="n"/>
      <c r="X242" s="67" t="n"/>
      <c r="Y242" s="67" t="n"/>
      <c r="Z242" s="67" t="n"/>
      <c r="AA242" s="67" t="n"/>
      <c r="AB242" s="67" t="n"/>
    </row>
    <row r="243" ht="15.75" customHeight="1" s="305">
      <c r="A243" s="67" t="inlineStr">
        <is>
          <t>ROUTE_CONFIG_CREATE_FAIL</t>
        </is>
      </c>
      <c r="B243" s="67" t="inlineStr">
        <is>
          <t>Tạo cấu hình tuyến thất bại.</t>
        </is>
      </c>
      <c r="C243" s="67" t="inlineStr">
        <is>
          <t>Create route config fail.</t>
        </is>
      </c>
      <c r="D243" s="3">
        <f>IFERROR(__xludf.DUMMYFUNCTION("GOOGLETRANSLATE(B243,""vi"",""km"")"),"ការកំណត់​រចនាសម្ព័ន្ធ​ផ្លូវ​បាន​បរាជ័យ។")</f>
        <v/>
      </c>
      <c r="E243" s="67" t="inlineStr">
        <is>
          <t>ការបង្កើតការកំណត់រចនាសម្ព័ន្ធផ្លូវបានបរាជ័យ។</t>
        </is>
      </c>
      <c r="F243" s="3" t="inlineStr">
        <is>
          <t>ការកំណត់រចនាសម្ព័ន្ធផ្លូវបានបរាជ័យ។</t>
        </is>
      </c>
      <c r="G243" s="67" t="n"/>
      <c r="H243" t="inlineStr">
        <is>
          <t>ការកំណត់រចនាសម្ព័ន្ធផ្លូវបានបរាជ័យ។</t>
        </is>
      </c>
      <c r="I243" s="67" t="n"/>
      <c r="J243" s="67" t="n"/>
      <c r="K243" s="67" t="n"/>
      <c r="L243" s="67" t="n"/>
      <c r="M243" s="67" t="n"/>
      <c r="N243" s="67" t="n"/>
      <c r="O243" s="67" t="n"/>
      <c r="P243" s="67" t="n"/>
      <c r="Q243" s="67" t="n"/>
      <c r="R243" s="67" t="n"/>
      <c r="S243" s="67" t="n"/>
      <c r="T243" s="67" t="n"/>
      <c r="U243" s="67" t="n"/>
      <c r="V243" s="67" t="n"/>
      <c r="W243" s="67" t="n"/>
      <c r="X243" s="67" t="n"/>
      <c r="Y243" s="67" t="n"/>
      <c r="Z243" s="67" t="n"/>
      <c r="AA243" s="67" t="n"/>
      <c r="AB243" s="67" t="n"/>
    </row>
    <row r="244" ht="15.75" customHeight="1" s="305">
      <c r="A244" s="67" t="inlineStr">
        <is>
          <t>ROUTE_CONFIG_NOT_FOUND</t>
        </is>
      </c>
      <c r="B244" s="67" t="inlineStr">
        <is>
          <t>Cấu hình tuyến không tồn tại.</t>
        </is>
      </c>
      <c r="C244" s="67" t="inlineStr">
        <is>
          <t>Route config is not found.</t>
        </is>
      </c>
      <c r="D244" s="3">
        <f>IFERROR(__xludf.DUMMYFUNCTION("GOOGLETRANSLATE(B244,""vi"",""km"")"),"ការកំណត់​រចនាសម្ព័ន្ធ​ផ្លូវ​មិនមានទេ។")</f>
        <v/>
      </c>
      <c r="E244" s="67" t="inlineStr">
        <is>
          <t>ការកំណត់រចនាសម្ព័ន្ធផ្លូវមិនមានទេ។</t>
        </is>
      </c>
      <c r="F244" s="3" t="inlineStr">
        <is>
          <t>ការកំណត់រចនាសម្ព័ន្ធផ្លូវមិនមានទេ។</t>
        </is>
      </c>
      <c r="G244" s="67" t="n"/>
      <c r="H244" t="inlineStr">
        <is>
          <t>ការកំណត់រចនាសម្ព័ន្ធផ្លូវមិនមានទេ។</t>
        </is>
      </c>
      <c r="I244" s="67" t="n"/>
      <c r="J244" s="67" t="n"/>
      <c r="K244" s="67" t="n"/>
      <c r="L244" s="67" t="n"/>
      <c r="M244" s="67" t="n"/>
      <c r="N244" s="67" t="n"/>
      <c r="O244" s="67" t="n"/>
      <c r="P244" s="67" t="n"/>
      <c r="Q244" s="67" t="n"/>
      <c r="R244" s="67" t="n"/>
      <c r="S244" s="67" t="n"/>
      <c r="T244" s="67" t="n"/>
      <c r="U244" s="67" t="n"/>
      <c r="V244" s="67" t="n"/>
      <c r="W244" s="67" t="n"/>
      <c r="X244" s="67" t="n"/>
      <c r="Y244" s="67" t="n"/>
      <c r="Z244" s="67" t="n"/>
      <c r="AA244" s="67" t="n"/>
      <c r="AB244" s="67" t="n"/>
    </row>
    <row r="245" ht="15.75" customHeight="1" s="305">
      <c r="A245" s="67" t="inlineStr">
        <is>
          <t>ROUTE_AREA_CONFIG_NOT_FOUND</t>
        </is>
      </c>
      <c r="B245" s="67" t="inlineStr">
        <is>
          <t>Không tìm thấy địa danh của tuyến.</t>
        </is>
      </c>
      <c r="C245" s="67" t="inlineStr">
        <is>
          <t>Route area is not found.</t>
        </is>
      </c>
      <c r="D245" s="3">
        <f>IFERROR(__xludf.DUMMYFUNCTION("GOOGLETRANSLATE(B245,""vi"",""km"")"),"រកមិនឃើញឈ្មោះទីកន្លែងសម្រាប់ផ្លូវនោះទេ។")</f>
        <v/>
      </c>
      <c r="E245" s="67" t="inlineStr">
        <is>
          <t>រកមិនឃើញទីតាំងផ្លូវ។</t>
        </is>
      </c>
      <c r="F245" s="3" t="inlineStr">
        <is>
          <t>រកមិនឃើញឈ្មោះទីកន្លែងសម្រាប់ផ្លូវនោះទេ។</t>
        </is>
      </c>
      <c r="G245" s="67" t="n"/>
      <c r="H245" t="inlineStr">
        <is>
          <t>រកមិនឃើញឈ្មោះទីកន្លែងសម្រាប់ផ្លូវនោះទេ។</t>
        </is>
      </c>
      <c r="I245" s="67" t="n"/>
      <c r="J245" s="67" t="n"/>
      <c r="K245" s="67" t="n"/>
      <c r="L245" s="67" t="n"/>
      <c r="M245" s="67" t="n"/>
      <c r="N245" s="67" t="n"/>
      <c r="O245" s="67" t="n"/>
      <c r="P245" s="67" t="n"/>
      <c r="Q245" s="67" t="n"/>
      <c r="R245" s="67" t="n"/>
      <c r="S245" s="67" t="n"/>
      <c r="T245" s="67" t="n"/>
      <c r="U245" s="67" t="n"/>
      <c r="V245" s="67" t="n"/>
      <c r="W245" s="67" t="n"/>
      <c r="X245" s="67" t="n"/>
      <c r="Y245" s="67" t="n"/>
      <c r="Z245" s="67" t="n"/>
      <c r="AA245" s="67" t="n"/>
      <c r="AB245" s="67" t="n"/>
    </row>
    <row r="246" ht="15.75" customHeight="1" s="305">
      <c r="A246" s="67" t="inlineStr">
        <is>
          <t>ROUTE_AREA_CONFIG_CREATE_FAIL</t>
        </is>
      </c>
      <c r="B246" s="67" t="inlineStr">
        <is>
          <t>Tạo địa danh của tuyến thất bại.</t>
        </is>
      </c>
      <c r="C246" s="67" t="inlineStr">
        <is>
          <t>Route area create fail.</t>
        </is>
      </c>
      <c r="D246" s="3">
        <f>IFERROR(__xludf.DUMMYFUNCTION("GOOGLETRANSLATE(B246,""vi"",""km"")"),"បង្កើត​ចំណុច​សម្គាល់​សម្រាប់​ផ្លូវ​ដែល​បរាជ័យ។")</f>
        <v/>
      </c>
      <c r="E246" s="67" t="inlineStr">
        <is>
          <t>ការបង្កើតទីតាំងផ្លូវបានបរាជ័យ។</t>
        </is>
      </c>
      <c r="F246" s="3" t="inlineStr">
        <is>
          <t>បង្កើតចំណុចសម្គាល់សម្រាប់ផ្លូវដែលបរាជ័យ។</t>
        </is>
      </c>
      <c r="G246" s="67" t="n"/>
      <c r="H246" t="inlineStr">
        <is>
          <t>បង្កើតចំណុចសម្គាល់សម្រាប់ផ្លូវដែលបរាជ័យ។</t>
        </is>
      </c>
      <c r="I246" s="67" t="n"/>
      <c r="J246" s="67" t="n"/>
      <c r="K246" s="67" t="n"/>
      <c r="L246" s="67" t="n"/>
      <c r="M246" s="67" t="n"/>
      <c r="N246" s="67" t="n"/>
      <c r="O246" s="67" t="n"/>
      <c r="P246" s="67" t="n"/>
      <c r="Q246" s="67" t="n"/>
      <c r="R246" s="67" t="n"/>
      <c r="S246" s="67" t="n"/>
      <c r="T246" s="67" t="n"/>
      <c r="U246" s="67" t="n"/>
      <c r="V246" s="67" t="n"/>
      <c r="W246" s="67" t="n"/>
      <c r="X246" s="67" t="n"/>
      <c r="Y246" s="67" t="n"/>
      <c r="Z246" s="67" t="n"/>
      <c r="AA246" s="67" t="n"/>
      <c r="AB246" s="67" t="n"/>
    </row>
    <row r="247" ht="15.75" customHeight="1" s="305">
      <c r="A247" s="67" t="inlineStr">
        <is>
          <t>ROUTE_AREA_CONFIG_EXIST</t>
        </is>
      </c>
      <c r="B247" s="67" t="inlineStr">
        <is>
          <t>Địa danh theo tuyến nhận đã được khai báo.</t>
        </is>
      </c>
      <c r="C247" s="67" t="inlineStr">
        <is>
          <t>Route area already exist.</t>
        </is>
      </c>
      <c r="D247" s="3">
        <f>IFERROR(__xludf.DUMMYFUNCTION("GOOGLETRANSLATE(B247,""vi"",""km"")"),"ឈ្មោះ​ទីកន្លែង​នានា​តាម​បណ្តោយ​ផ្លូវ​ត្រូវ​បាន​ប្រកាស​រួច​ហើយ។")</f>
        <v/>
      </c>
      <c r="E247" s="67" t="inlineStr">
        <is>
          <t>ទីតាំងផ្លូវត្រូវបានប្រកាសរួចហើយ។</t>
        </is>
      </c>
      <c r="F247" s="3" t="inlineStr">
        <is>
          <t>ឈ្មោះទីកន្លែងនានាតាមបណ្តោយផ្លូវត្រូវបានប្រកាសរួចហើយ។</t>
        </is>
      </c>
      <c r="G247" s="67" t="n"/>
      <c r="H247" t="inlineStr">
        <is>
          <t>ឈ្មោះទីកន្លែងនានាតាមបណ្តោយផ្លូវត្រូវបានប្រកាសរួចហើយ។</t>
        </is>
      </c>
      <c r="I247" s="67" t="n"/>
      <c r="J247" s="67" t="n"/>
      <c r="K247" s="67" t="n"/>
      <c r="L247" s="67" t="n"/>
      <c r="M247" s="67" t="n"/>
      <c r="N247" s="67" t="n"/>
      <c r="O247" s="67" t="n"/>
      <c r="P247" s="67" t="n"/>
      <c r="Q247" s="67" t="n"/>
      <c r="R247" s="67" t="n"/>
      <c r="S247" s="67" t="n"/>
      <c r="T247" s="67" t="n"/>
      <c r="U247" s="67" t="n"/>
      <c r="V247" s="67" t="n"/>
      <c r="W247" s="67" t="n"/>
      <c r="X247" s="67" t="n"/>
      <c r="Y247" s="67" t="n"/>
      <c r="Z247" s="67" t="n"/>
      <c r="AA247" s="67" t="n"/>
      <c r="AB247" s="67" t="n"/>
    </row>
    <row r="248" ht="15.75" customHeight="1" s="305">
      <c r="A248" s="67" t="inlineStr">
        <is>
          <t>ROUTE_AREA_CONFIG_UPDATE_FAIL</t>
        </is>
      </c>
      <c r="B248" s="67" t="inlineStr">
        <is>
          <t>Cập nhật địa danh của tuyến thất bại.</t>
        </is>
      </c>
      <c r="C248" s="67" t="inlineStr">
        <is>
          <t>Route area update fail.</t>
        </is>
      </c>
      <c r="D248" s="3">
        <f>IFERROR(__xludf.DUMMYFUNCTION("GOOGLETRANSLATE(B248,""vi"",""km"")"),"ធ្វើបច្ចុប្បន្នភាពឈ្មោះទីកន្លែងសម្រាប់ផ្លូវដែលបរាជ័យ។")</f>
        <v/>
      </c>
      <c r="E248" s="67" t="inlineStr">
        <is>
          <t>ការអាប់ដេតទីតាំងផ្លូវបានបរាជ័យ។</t>
        </is>
      </c>
      <c r="F248" s="3" t="inlineStr">
        <is>
          <t>ធ្វើបច្ចុប្បន្នភាពឈ្មោះទីកន្លែងសម្រាប់ផ្លូវដែលបរាជ័យ។</t>
        </is>
      </c>
      <c r="G248" s="67" t="n"/>
      <c r="H248" t="inlineStr">
        <is>
          <t>ធ្វើបច្ចុប្បន្នភាពឈ្មោះទីកន្លែងសម្រាប់ផ្លូវដែលបរាជ័យ។</t>
        </is>
      </c>
      <c r="I248" s="67" t="n"/>
      <c r="J248" s="67" t="n"/>
      <c r="K248" s="67" t="n"/>
      <c r="L248" s="67" t="n"/>
      <c r="M248" s="67" t="n"/>
      <c r="N248" s="67" t="n"/>
      <c r="O248" s="67" t="n"/>
      <c r="P248" s="67" t="n"/>
      <c r="Q248" s="67" t="n"/>
      <c r="R248" s="67" t="n"/>
      <c r="S248" s="67" t="n"/>
      <c r="T248" s="67" t="n"/>
      <c r="U248" s="67" t="n"/>
      <c r="V248" s="67" t="n"/>
      <c r="W248" s="67" t="n"/>
      <c r="X248" s="67" t="n"/>
      <c r="Y248" s="67" t="n"/>
      <c r="Z248" s="67" t="n"/>
      <c r="AA248" s="67" t="n"/>
      <c r="AB248" s="67" t="n"/>
    </row>
    <row r="249" ht="15.75" customHeight="1" s="305">
      <c r="A249" s="192" t="inlineStr">
        <is>
          <t>express-report-service</t>
        </is>
      </c>
      <c r="B249" s="67" t="n"/>
      <c r="C249" s="67" t="n"/>
      <c r="D249" s="3">
        <f>IFERROR(__xludf.DUMMYFUNCTION("GOOGLETRANSLATE(B249,""vi"",""km"")"),"#VALUE!")</f>
        <v/>
      </c>
      <c r="E249" s="67" t="n"/>
      <c r="F249" s="3" t="inlineStr"/>
      <c r="G249" s="67" t="n"/>
      <c r="H249" t="inlineStr"/>
      <c r="I249" s="67" t="n"/>
      <c r="J249" s="67" t="n"/>
      <c r="K249" s="67" t="n"/>
      <c r="L249" s="67" t="n"/>
      <c r="M249" s="67" t="n"/>
      <c r="N249" s="67" t="n"/>
      <c r="O249" s="67" t="n"/>
      <c r="P249" s="67" t="n"/>
      <c r="Q249" s="67" t="n"/>
      <c r="R249" s="67" t="n"/>
      <c r="S249" s="67" t="n"/>
      <c r="T249" s="67" t="n"/>
      <c r="U249" s="67" t="n"/>
      <c r="V249" s="67" t="n"/>
      <c r="W249" s="67" t="n"/>
      <c r="X249" s="67" t="n"/>
      <c r="Y249" s="67" t="n"/>
      <c r="Z249" s="67" t="n"/>
      <c r="AA249" s="67" t="n"/>
      <c r="AB249" s="67" t="n"/>
    </row>
    <row r="250" ht="15.75" customHeight="1" s="305">
      <c r="A250" s="149" t="inlineStr">
        <is>
          <t>key</t>
        </is>
      </c>
      <c r="B250" s="193" t="inlineStr">
        <is>
          <t>vi</t>
        </is>
      </c>
      <c r="C250" s="193" t="inlineStr">
        <is>
          <t>en</t>
        </is>
      </c>
      <c r="D250" s="3">
        <f>IFERROR(__xludf.DUMMYFUNCTION("GOOGLETRANSLATE(B250,""vi"",""km"")"),"វី")</f>
        <v/>
      </c>
      <c r="E250" s="195" t="inlineStr">
        <is>
          <t>kh-Nita</t>
        </is>
      </c>
      <c r="F250" s="3" t="inlineStr">
        <is>
          <t>វី</t>
        </is>
      </c>
      <c r="G250" s="195" t="inlineStr">
        <is>
          <t>chinese</t>
        </is>
      </c>
      <c r="H250" t="inlineStr">
        <is>
          <t>វី</t>
        </is>
      </c>
      <c r="I250" s="67" t="n"/>
      <c r="J250" s="67" t="n"/>
      <c r="K250" s="67" t="n"/>
      <c r="L250" s="67" t="n"/>
      <c r="M250" s="67" t="n"/>
      <c r="N250" s="67" t="n"/>
      <c r="O250" s="67" t="n"/>
      <c r="P250" s="67" t="n"/>
      <c r="Q250" s="67" t="n"/>
      <c r="R250" s="67" t="n"/>
      <c r="S250" s="67" t="n"/>
      <c r="T250" s="67" t="n"/>
      <c r="U250" s="67" t="n"/>
      <c r="V250" s="67" t="n"/>
      <c r="W250" s="67" t="n"/>
      <c r="X250" s="67" t="n"/>
      <c r="Y250" s="67" t="n"/>
      <c r="Z250" s="67" t="n"/>
      <c r="AA250" s="67" t="n"/>
      <c r="AB250" s="67" t="n"/>
    </row>
    <row r="251" ht="15.75" customHeight="1" s="305">
      <c r="A251" s="225" t="inlineStr">
        <is>
          <t>ORDER_ID</t>
        </is>
      </c>
      <c r="B251" s="67" t="inlineStr">
        <is>
          <t>Mã phiếu gửi</t>
        </is>
      </c>
      <c r="C251" s="67" t="inlineStr">
        <is>
          <t>Order ID</t>
        </is>
      </c>
      <c r="D251" s="3">
        <f>IFERROR(__xludf.DUMMYFUNCTION("GOOGLETRANSLATE(B251,""vi"",""km"")"),"លេខកូដបង្កាន់ដៃ")</f>
        <v/>
      </c>
      <c r="E251" s="3" t="inlineStr">
        <is>
          <t>លេខកូដបញ្ជាទិញដឹកជញ្ជូន</t>
        </is>
      </c>
      <c r="F251" s="3" t="inlineStr">
        <is>
          <t>លេខកូដបុងបញ្ញើ</t>
        </is>
      </c>
      <c r="G251" s="3" t="n"/>
      <c r="H251" t="inlineStr">
        <is>
          <t>លេខកូដបុងបញ្ញើ</t>
        </is>
      </c>
      <c r="I251" s="67" t="n"/>
      <c r="J251" s="67" t="n"/>
      <c r="K251" s="67" t="n"/>
      <c r="L251" s="67" t="n"/>
      <c r="M251" s="67" t="n"/>
      <c r="N251" s="67" t="n"/>
      <c r="O251" s="67" t="n"/>
      <c r="P251" s="67" t="n"/>
      <c r="Q251" s="67" t="n"/>
      <c r="R251" s="67" t="n"/>
      <c r="S251" s="67" t="n"/>
      <c r="T251" s="67" t="n"/>
      <c r="U251" s="67" t="n"/>
      <c r="V251" s="67" t="n"/>
      <c r="W251" s="67" t="n"/>
      <c r="X251" s="67" t="n"/>
      <c r="Y251" s="67" t="n"/>
      <c r="Z251" s="67" t="n"/>
      <c r="AA251" s="67" t="n"/>
      <c r="AB251" s="67" t="n"/>
    </row>
    <row r="252" ht="15.75" customHeight="1" s="305">
      <c r="A252" s="225" t="inlineStr">
        <is>
          <t>SERVICE_CODE</t>
        </is>
      </c>
      <c r="B252" s="67" t="inlineStr">
        <is>
          <t>Mã dịch vụ</t>
        </is>
      </c>
      <c r="C252" s="67" t="inlineStr">
        <is>
          <t>Service code</t>
        </is>
      </c>
      <c r="D252" s="3">
        <f>IFERROR(__xludf.DUMMYFUNCTION("GOOGLETRANSLATE(B252,""vi"",""km"")"),"លេខកូដសេវាកម្ម")</f>
        <v/>
      </c>
      <c r="E252" s="3" t="inlineStr">
        <is>
          <t>លេខកូដសេវាកម្ម</t>
        </is>
      </c>
      <c r="F252" s="3" t="inlineStr">
        <is>
          <t>លេខកូដសេវាកម្ម</t>
        </is>
      </c>
      <c r="G252" s="3" t="n"/>
      <c r="H252" t="inlineStr">
        <is>
          <t>លេខកូដសេវាកម្ម</t>
        </is>
      </c>
      <c r="I252" s="67" t="n"/>
      <c r="J252" s="67" t="n"/>
      <c r="K252" s="67" t="n"/>
      <c r="L252" s="67" t="n"/>
      <c r="M252" s="67" t="n"/>
      <c r="N252" s="67" t="n"/>
      <c r="O252" s="67" t="n"/>
      <c r="P252" s="67" t="n"/>
      <c r="Q252" s="67" t="n"/>
      <c r="R252" s="67" t="n"/>
      <c r="S252" s="67" t="n"/>
      <c r="T252" s="67" t="n"/>
      <c r="U252" s="67" t="n"/>
      <c r="V252" s="67" t="n"/>
      <c r="W252" s="67" t="n"/>
      <c r="X252" s="67" t="n"/>
      <c r="Y252" s="67" t="n"/>
      <c r="Z252" s="67" t="n"/>
      <c r="AA252" s="67" t="n"/>
      <c r="AB252" s="67" t="n"/>
    </row>
    <row r="253" ht="15.75" customHeight="1" s="305">
      <c r="A253" s="225" t="inlineStr">
        <is>
          <t>ROOT_POST_CODE</t>
        </is>
      </c>
      <c r="B253" s="67" t="inlineStr">
        <is>
          <t>Mã bưu cục gốc</t>
        </is>
      </c>
      <c r="C253" s="67" t="inlineStr">
        <is>
          <t>Root post office</t>
        </is>
      </c>
      <c r="D253" s="3">
        <f>IFERROR(__xludf.DUMMYFUNCTION("GOOGLETRANSLATE(B253,""vi"",""km"")"),"លេខកូដប្រៃសណីយ៍ដើម")</f>
        <v/>
      </c>
      <c r="E253" s="3" t="inlineStr">
        <is>
          <t>លេខកូដការិយាល័យប្រៃសណីយ៍ដើម</t>
        </is>
      </c>
      <c r="F253" s="3" t="inlineStr">
        <is>
          <t>លេខកូដប្រៃសណីយ៍ដើម</t>
        </is>
      </c>
      <c r="G253" s="3" t="n"/>
      <c r="H253" t="inlineStr">
        <is>
          <t>លេខកូដប្រៃសណីយ៍ដើម</t>
        </is>
      </c>
      <c r="I253" s="67" t="n"/>
      <c r="J253" s="67" t="n"/>
      <c r="K253" s="67" t="n"/>
      <c r="L253" s="67" t="n"/>
      <c r="M253" s="67" t="n"/>
      <c r="N253" s="67" t="n"/>
      <c r="O253" s="67" t="n"/>
      <c r="P253" s="67" t="n"/>
      <c r="Q253" s="67" t="n"/>
      <c r="R253" s="67" t="n"/>
      <c r="S253" s="67" t="n"/>
      <c r="T253" s="67" t="n"/>
      <c r="U253" s="67" t="n"/>
      <c r="V253" s="67" t="n"/>
      <c r="W253" s="67" t="n"/>
      <c r="X253" s="67" t="n"/>
      <c r="Y253" s="67" t="n"/>
      <c r="Z253" s="67" t="n"/>
      <c r="AA253" s="67" t="n"/>
      <c r="AB253" s="67" t="n"/>
    </row>
    <row r="254" ht="15.75" customHeight="1" s="305">
      <c r="A254" s="225" t="inlineStr">
        <is>
          <t>TIME_UPDATED</t>
        </is>
      </c>
      <c r="B254" s="67" t="inlineStr">
        <is>
          <t>Thời gian tác động</t>
        </is>
      </c>
      <c r="C254" s="67" t="inlineStr">
        <is>
          <t>Last impact time</t>
        </is>
      </c>
      <c r="D254" s="3">
        <f>IFERROR(__xludf.DUMMYFUNCTION("GOOGLETRANSLATE(B254,""vi"",""km"")"),"ពេលវេលានៃការប៉ះពាល់")</f>
        <v/>
      </c>
      <c r="E254" s="3" t="inlineStr">
        <is>
          <t>ពេលវេលាដែលប៉ះពាល់ដល់</t>
        </is>
      </c>
      <c r="F254" s="3" t="inlineStr">
        <is>
          <t>ពេលវេលានៃការប៉ះពាល់</t>
        </is>
      </c>
      <c r="G254" s="3" t="n"/>
      <c r="H254" t="inlineStr">
        <is>
          <t>ពេលវេលានៃការប៉ះពាល់</t>
        </is>
      </c>
      <c r="I254" s="67" t="n"/>
      <c r="J254" s="67" t="n"/>
      <c r="K254" s="67" t="n"/>
      <c r="L254" s="67" t="n"/>
      <c r="M254" s="67" t="n"/>
      <c r="N254" s="67" t="n"/>
      <c r="O254" s="67" t="n"/>
      <c r="P254" s="67" t="n"/>
      <c r="Q254" s="67" t="n"/>
      <c r="R254" s="67" t="n"/>
      <c r="S254" s="67" t="n"/>
      <c r="T254" s="67" t="n"/>
      <c r="U254" s="67" t="n"/>
      <c r="V254" s="67" t="n"/>
      <c r="W254" s="67" t="n"/>
      <c r="X254" s="67" t="n"/>
      <c r="Y254" s="67" t="n"/>
      <c r="Z254" s="67" t="n"/>
      <c r="AA254" s="67" t="n"/>
      <c r="AB254" s="67" t="n"/>
    </row>
    <row r="255" ht="15.75" customHeight="1" s="305">
      <c r="A255" s="225" t="inlineStr">
        <is>
          <t>STATUS</t>
        </is>
      </c>
      <c r="B255" s="67" t="inlineStr">
        <is>
          <t>Trạng thái</t>
        </is>
      </c>
      <c r="C255" s="67" t="inlineStr">
        <is>
          <t>Status</t>
        </is>
      </c>
      <c r="D255" s="3">
        <f>IFERROR(__xludf.DUMMYFUNCTION("GOOGLETRANSLATE(B255,""vi"",""km"")"),"ស្ថានភាព")</f>
        <v/>
      </c>
      <c r="E255" s="3" t="inlineStr">
        <is>
          <t>ស្ថានភាព</t>
        </is>
      </c>
      <c r="F255" s="3" t="inlineStr">
        <is>
          <t>ស្ថានភាព</t>
        </is>
      </c>
      <c r="G255" s="3" t="n"/>
      <c r="H255" t="inlineStr">
        <is>
          <t>ស្ថានភាព</t>
        </is>
      </c>
      <c r="I255" s="67" t="n"/>
      <c r="J255" s="67" t="n"/>
      <c r="K255" s="67" t="n"/>
      <c r="L255" s="67" t="n"/>
      <c r="M255" s="67" t="n"/>
      <c r="N255" s="67" t="n"/>
      <c r="O255" s="67" t="n"/>
      <c r="P255" s="67" t="n"/>
      <c r="Q255" s="67" t="n"/>
      <c r="R255" s="67" t="n"/>
      <c r="S255" s="67" t="n"/>
      <c r="T255" s="67" t="n"/>
      <c r="U255" s="67" t="n"/>
      <c r="V255" s="67" t="n"/>
      <c r="W255" s="67" t="n"/>
      <c r="X255" s="67" t="n"/>
      <c r="Y255" s="67" t="n"/>
      <c r="Z255" s="67" t="n"/>
      <c r="AA255" s="67" t="n"/>
      <c r="AB255" s="67" t="n"/>
    </row>
    <row r="256" ht="15.75" customHeight="1" s="305">
      <c r="A256" s="225" t="inlineStr">
        <is>
          <t>POST_CODE</t>
        </is>
      </c>
      <c r="B256" s="67" t="inlineStr">
        <is>
          <t>Mã bưu cục hiện tại</t>
        </is>
      </c>
      <c r="C256" s="67" t="inlineStr">
        <is>
          <t>Post Office Code</t>
        </is>
      </c>
      <c r="D256" s="3">
        <f>IFERROR(__xludf.DUMMYFUNCTION("GOOGLETRANSLATE(B256,""vi"",""km"")"),"លេខកូដប្រៃសណីយ៍បច្ចុប្បន្ន")</f>
        <v/>
      </c>
      <c r="E256" s="3" t="inlineStr">
        <is>
          <t>លេខកូដការិយាល័យប្រៃសណីយ៍បច្ចុប្បន្ន</t>
        </is>
      </c>
      <c r="F256" s="3" t="inlineStr">
        <is>
          <t>លេខកូដប្រៃសណីយ៍បច្ចុប្បន្ន</t>
        </is>
      </c>
      <c r="G256" s="3" t="n"/>
      <c r="H256" t="inlineStr">
        <is>
          <t>លេខកូដប្រៃសណីយ៍បច្ចុប្បន្ន</t>
        </is>
      </c>
      <c r="I256" s="67" t="n"/>
      <c r="J256" s="67" t="n"/>
      <c r="K256" s="67" t="n"/>
      <c r="L256" s="67" t="n"/>
      <c r="M256" s="67" t="n"/>
      <c r="N256" s="67" t="n"/>
      <c r="O256" s="67" t="n"/>
      <c r="P256" s="67" t="n"/>
      <c r="Q256" s="67" t="n"/>
      <c r="R256" s="67" t="n"/>
      <c r="S256" s="67" t="n"/>
      <c r="T256" s="67" t="n"/>
      <c r="U256" s="67" t="n"/>
      <c r="V256" s="67" t="n"/>
      <c r="W256" s="67" t="n"/>
      <c r="X256" s="67" t="n"/>
      <c r="Y256" s="67" t="n"/>
      <c r="Z256" s="67" t="n"/>
      <c r="AA256" s="67" t="n"/>
      <c r="AB256" s="67" t="n"/>
    </row>
    <row r="257" ht="15.75" customHeight="1" s="305">
      <c r="A257" s="225" t="inlineStr">
        <is>
          <t>POST</t>
        </is>
      </c>
      <c r="B257" s="67" t="inlineStr">
        <is>
          <t>Bưu cục</t>
        </is>
      </c>
      <c r="C257" s="67" t="inlineStr">
        <is>
          <t>Post office</t>
        </is>
      </c>
      <c r="D257" s="3">
        <f>IFERROR(__xludf.DUMMYFUNCTION("GOOGLETRANSLATE(B257,""vi"",""km"")"),"ការិយាល័យប្រៃសណីយ៍")</f>
        <v/>
      </c>
      <c r="E257" s="3" t="inlineStr">
        <is>
          <t>ការិយាល័យប្រៃសណីយ៍</t>
        </is>
      </c>
      <c r="F257" s="3" t="inlineStr">
        <is>
          <t>ការិយាល័យប្រៃសណីយ៍</t>
        </is>
      </c>
      <c r="G257" s="3" t="n"/>
      <c r="H257" t="inlineStr">
        <is>
          <t>ការិយាល័យប្រៃសណីយ៍</t>
        </is>
      </c>
      <c r="I257" s="67" t="n"/>
      <c r="J257" s="67" t="n"/>
      <c r="K257" s="67" t="n"/>
      <c r="L257" s="67" t="n"/>
      <c r="M257" s="67" t="n"/>
      <c r="N257" s="67" t="n"/>
      <c r="O257" s="67" t="n"/>
      <c r="P257" s="67" t="n"/>
      <c r="Q257" s="67" t="n"/>
      <c r="R257" s="67" t="n"/>
      <c r="S257" s="67" t="n"/>
      <c r="T257" s="67" t="n"/>
      <c r="U257" s="67" t="n"/>
      <c r="V257" s="67" t="n"/>
      <c r="W257" s="67" t="n"/>
      <c r="X257" s="67" t="n"/>
      <c r="Y257" s="67" t="n"/>
      <c r="Z257" s="67" t="n"/>
      <c r="AA257" s="67" t="n"/>
      <c r="AB257" s="67" t="n"/>
    </row>
    <row r="258" ht="15.75" customHeight="1" s="305">
      <c r="A258" s="225" t="inlineStr">
        <is>
          <t>BRANCH_CODE</t>
        </is>
      </c>
      <c r="B258" s="67" t="inlineStr">
        <is>
          <t>Mã chi nhánh hiện tại</t>
        </is>
      </c>
      <c r="C258" s="67" t="inlineStr">
        <is>
          <t>Branch code</t>
        </is>
      </c>
      <c r="D258" s="3">
        <f>IFERROR(__xludf.DUMMYFUNCTION("GOOGLETRANSLATE(B258,""vi"",""km"")"),"លេខកូដសាខាបច្ចុប្បន្ន")</f>
        <v/>
      </c>
      <c r="E258" s="3" t="inlineStr">
        <is>
          <t>លេខកូដសាខាបច្ចុប្បន្ន</t>
        </is>
      </c>
      <c r="F258" s="3" t="inlineStr">
        <is>
          <t>លេខកូដសាខាបច្ចុប្បន្ន</t>
        </is>
      </c>
      <c r="G258" s="3" t="n"/>
      <c r="H258" t="inlineStr">
        <is>
          <t>លេខកូដសាខាបច្ចុប្បន្ន</t>
        </is>
      </c>
      <c r="I258" s="67" t="n"/>
      <c r="J258" s="67" t="n"/>
      <c r="K258" s="67" t="n"/>
      <c r="L258" s="67" t="n"/>
      <c r="M258" s="67" t="n"/>
      <c r="N258" s="67" t="n"/>
      <c r="O258" s="67" t="n"/>
      <c r="P258" s="67" t="n"/>
      <c r="Q258" s="67" t="n"/>
      <c r="R258" s="67" t="n"/>
      <c r="S258" s="67" t="n"/>
      <c r="T258" s="67" t="n"/>
      <c r="U258" s="67" t="n"/>
      <c r="V258" s="67" t="n"/>
      <c r="W258" s="67" t="n"/>
      <c r="X258" s="67" t="n"/>
      <c r="Y258" s="67" t="n"/>
      <c r="Z258" s="67" t="n"/>
      <c r="AA258" s="67" t="n"/>
      <c r="AB258" s="67" t="n"/>
    </row>
    <row r="259" ht="15.75" customHeight="1" s="305">
      <c r="A259" s="225" t="inlineStr">
        <is>
          <t>BRANCH</t>
        </is>
      </c>
      <c r="B259" s="67" t="inlineStr">
        <is>
          <t>Chi nhánh</t>
        </is>
      </c>
      <c r="C259" s="67" t="inlineStr">
        <is>
          <t>Branch</t>
        </is>
      </c>
      <c r="D259" s="3">
        <f>IFERROR(__xludf.DUMMYFUNCTION("GOOGLETRANSLATE(B259,""vi"",""km"")"),"សាខា")</f>
        <v/>
      </c>
      <c r="E259" s="3" t="inlineStr">
        <is>
          <t>សាខា</t>
        </is>
      </c>
      <c r="F259" s="3" t="inlineStr">
        <is>
          <t>សាខា</t>
        </is>
      </c>
      <c r="G259" s="3" t="n"/>
      <c r="H259" t="inlineStr">
        <is>
          <t>សាខា</t>
        </is>
      </c>
      <c r="I259" s="67" t="n"/>
      <c r="J259" s="67" t="n"/>
      <c r="K259" s="67" t="n"/>
      <c r="L259" s="67" t="n"/>
      <c r="M259" s="67" t="n"/>
      <c r="N259" s="67" t="n"/>
      <c r="O259" s="67" t="n"/>
      <c r="P259" s="67" t="n"/>
      <c r="Q259" s="67" t="n"/>
      <c r="R259" s="67" t="n"/>
      <c r="S259" s="67" t="n"/>
      <c r="T259" s="67" t="n"/>
      <c r="U259" s="67" t="n"/>
      <c r="V259" s="67" t="n"/>
      <c r="W259" s="67" t="n"/>
      <c r="X259" s="67" t="n"/>
      <c r="Y259" s="67" t="n"/>
      <c r="Z259" s="67" t="n"/>
      <c r="AA259" s="67" t="n"/>
      <c r="AB259" s="67" t="n"/>
    </row>
    <row r="260" ht="15.75" customHeight="1" s="305">
      <c r="A260" s="225" t="inlineStr">
        <is>
          <t>CUSTOMER_ID</t>
        </is>
      </c>
      <c r="B260" s="67" t="inlineStr">
        <is>
          <t>Khách hàng</t>
        </is>
      </c>
      <c r="C260" s="67" t="inlineStr">
        <is>
          <t>Customer</t>
        </is>
      </c>
      <c r="D260" s="3">
        <f>IFERROR(__xludf.DUMMYFUNCTION("GOOGLETRANSLATE(B260,""vi"",""km"")"),"អតិថិជន")</f>
        <v/>
      </c>
      <c r="E260" s="3" t="inlineStr">
        <is>
          <t>អតិថិជន</t>
        </is>
      </c>
      <c r="F260" s="3" t="inlineStr">
        <is>
          <t>អតិថិជន</t>
        </is>
      </c>
      <c r="G260" s="3" t="n"/>
      <c r="H260" t="inlineStr">
        <is>
          <t>អតិថិជន</t>
        </is>
      </c>
      <c r="I260" s="67" t="n"/>
      <c r="J260" s="67" t="n"/>
      <c r="K260" s="67" t="n"/>
      <c r="L260" s="67" t="n"/>
      <c r="M260" s="67" t="n"/>
      <c r="N260" s="67" t="n"/>
      <c r="O260" s="67" t="n"/>
      <c r="P260" s="67" t="n"/>
      <c r="Q260" s="67" t="n"/>
      <c r="R260" s="67" t="n"/>
      <c r="S260" s="67" t="n"/>
      <c r="T260" s="67" t="n"/>
      <c r="U260" s="67" t="n"/>
      <c r="V260" s="67" t="n"/>
      <c r="W260" s="67" t="n"/>
      <c r="X260" s="67" t="n"/>
      <c r="Y260" s="67" t="n"/>
      <c r="Z260" s="67" t="n"/>
      <c r="AA260" s="67" t="n"/>
      <c r="AB260" s="67" t="n"/>
    </row>
    <row r="261" ht="15.75" customHeight="1" s="305">
      <c r="A261" s="225" t="inlineStr">
        <is>
          <t>RECEIVER</t>
        </is>
      </c>
      <c r="B261" s="67" t="inlineStr">
        <is>
          <t>Người nhận</t>
        </is>
      </c>
      <c r="C261" s="67" t="inlineStr">
        <is>
          <t>Receiver</t>
        </is>
      </c>
      <c r="D261" s="3">
        <f>IFERROR(__xludf.DUMMYFUNCTION("GOOGLETRANSLATE(B261,""vi"",""km"")"),"អ្នកទទួល")</f>
        <v/>
      </c>
      <c r="E261" s="3" t="inlineStr">
        <is>
          <t>អ្នកទទួល</t>
        </is>
      </c>
      <c r="F261" s="3" t="inlineStr">
        <is>
          <t>អ្នកទទួល</t>
        </is>
      </c>
      <c r="G261" s="3" t="n"/>
      <c r="H261" t="inlineStr">
        <is>
          <t>អ្នកទទួល</t>
        </is>
      </c>
      <c r="I261" s="67" t="n"/>
      <c r="J261" s="67" t="n"/>
      <c r="K261" s="67" t="n"/>
      <c r="L261" s="67" t="n"/>
      <c r="M261" s="67" t="n"/>
      <c r="N261" s="67" t="n"/>
      <c r="O261" s="67" t="n"/>
      <c r="P261" s="67" t="n"/>
      <c r="Q261" s="67" t="n"/>
      <c r="R261" s="67" t="n"/>
      <c r="S261" s="67" t="n"/>
      <c r="T261" s="67" t="n"/>
      <c r="U261" s="67" t="n"/>
      <c r="V261" s="67" t="n"/>
      <c r="W261" s="67" t="n"/>
      <c r="X261" s="67" t="n"/>
      <c r="Y261" s="67" t="n"/>
      <c r="Z261" s="67" t="n"/>
      <c r="AA261" s="67" t="n"/>
      <c r="AB261" s="67" t="n"/>
    </row>
    <row r="262" ht="15.75" customHeight="1" s="305">
      <c r="A262" s="225" t="inlineStr">
        <is>
          <t>SENDER</t>
        </is>
      </c>
      <c r="B262" s="67" t="inlineStr">
        <is>
          <t>Người gửi</t>
        </is>
      </c>
      <c r="C262" s="67" t="inlineStr">
        <is>
          <t>Sender</t>
        </is>
      </c>
      <c r="D262" s="3">
        <f>IFERROR(__xludf.DUMMYFUNCTION("GOOGLETRANSLATE(B262,""vi"",""km"")"),"អ្នកផ្ញើ")</f>
        <v/>
      </c>
      <c r="E262" s="3" t="inlineStr">
        <is>
          <t>អ្នកផ្ញើ</t>
        </is>
      </c>
      <c r="F262" s="3" t="inlineStr">
        <is>
          <t>អ្នកផ្ញើ</t>
        </is>
      </c>
      <c r="G262" s="3" t="n"/>
      <c r="H262" t="inlineStr">
        <is>
          <t>អ្នកផ្ញើ</t>
        </is>
      </c>
      <c r="I262" s="67" t="n"/>
      <c r="J262" s="67" t="n"/>
      <c r="K262" s="67" t="n"/>
      <c r="L262" s="67" t="n"/>
      <c r="M262" s="67" t="n"/>
      <c r="N262" s="67" t="n"/>
      <c r="O262" s="67" t="n"/>
      <c r="P262" s="67" t="n"/>
      <c r="Q262" s="67" t="n"/>
      <c r="R262" s="67" t="n"/>
      <c r="S262" s="67" t="n"/>
      <c r="T262" s="67" t="n"/>
      <c r="U262" s="67" t="n"/>
      <c r="V262" s="67" t="n"/>
      <c r="W262" s="67" t="n"/>
      <c r="X262" s="67" t="n"/>
      <c r="Y262" s="67" t="n"/>
      <c r="Z262" s="67" t="n"/>
      <c r="AA262" s="67" t="n"/>
      <c r="AB262" s="67" t="n"/>
    </row>
    <row r="263" ht="15.75" customHeight="1" s="305">
      <c r="A263" s="225" t="inlineStr">
        <is>
          <t>DELIVERY_CODE</t>
        </is>
      </c>
      <c r="B263" s="67" t="inlineStr">
        <is>
          <t>Mã bưu cục phát</t>
        </is>
      </c>
      <c r="C263" s="67" t="inlineStr">
        <is>
          <t>Delivery Postal Code</t>
        </is>
      </c>
      <c r="D263" s="3">
        <f>IFERROR(__xludf.DUMMYFUNCTION("GOOGLETRANSLATE(B263,""vi"",""km"")"),"លេខកូដប្រៃសណីយ៍")</f>
        <v/>
      </c>
      <c r="E263" s="3" t="inlineStr">
        <is>
          <t>លេខកូដការិយាល័យប្រៃសណីយ៍ដឹកជញ្ជូន</t>
        </is>
      </c>
      <c r="F263" s="3" t="inlineStr">
        <is>
          <t>លេខកូដប្រៃសណីយ៍</t>
        </is>
      </c>
      <c r="G263" s="3" t="n"/>
      <c r="H263" t="inlineStr">
        <is>
          <t>លេខកូដប្រៃសណីយ៍</t>
        </is>
      </c>
      <c r="I263" s="67" t="n"/>
      <c r="J263" s="67" t="n"/>
      <c r="K263" s="67" t="n"/>
      <c r="L263" s="67" t="n"/>
      <c r="M263" s="67" t="n"/>
      <c r="N263" s="67" t="n"/>
      <c r="O263" s="67" t="n"/>
      <c r="P263" s="67" t="n"/>
      <c r="Q263" s="67" t="n"/>
      <c r="R263" s="67" t="n"/>
      <c r="S263" s="67" t="n"/>
      <c r="T263" s="67" t="n"/>
      <c r="U263" s="67" t="n"/>
      <c r="V263" s="67" t="n"/>
      <c r="W263" s="67" t="n"/>
      <c r="X263" s="67" t="n"/>
      <c r="Y263" s="67" t="n"/>
      <c r="Z263" s="67" t="n"/>
      <c r="AA263" s="67" t="n"/>
      <c r="AB263" s="67" t="n"/>
    </row>
    <row r="264" ht="15.75" customHeight="1" s="305">
      <c r="A264" s="225" t="inlineStr">
        <is>
          <t>TIME_2400</t>
        </is>
      </c>
      <c r="B264" s="67" t="inlineStr">
        <is>
          <t>Thời gian phân công phát</t>
        </is>
      </c>
      <c r="C264" s="67" t="inlineStr">
        <is>
          <t>Time delivery</t>
        </is>
      </c>
      <c r="D264" s="3">
        <f>IFERROR(__xludf.DUMMYFUNCTION("GOOGLETRANSLATE(B264,""vi"",""km"")"),"កាលវិភាគដឹកជញ្ជូន")</f>
        <v/>
      </c>
      <c r="E264" s="3" t="inlineStr">
        <is>
          <t>ពេលវេលាកំណត់ការដឹកជញ្ជូន</t>
        </is>
      </c>
      <c r="F264" s="3" t="inlineStr">
        <is>
          <t>កាលវិភាគដឹកជញ្ជូន</t>
        </is>
      </c>
      <c r="G264" s="3" t="n"/>
      <c r="H264" t="inlineStr">
        <is>
          <t>កាលវិភាគដឹកជញ្ជូន</t>
        </is>
      </c>
      <c r="I264" s="67" t="n"/>
      <c r="J264" s="67" t="n"/>
      <c r="K264" s="67" t="n"/>
      <c r="L264" s="67" t="n"/>
      <c r="M264" s="67" t="n"/>
      <c r="N264" s="67" t="n"/>
      <c r="O264" s="67" t="n"/>
      <c r="P264" s="67" t="n"/>
      <c r="Q264" s="67" t="n"/>
      <c r="R264" s="67" t="n"/>
      <c r="S264" s="67" t="n"/>
      <c r="T264" s="67" t="n"/>
      <c r="U264" s="67" t="n"/>
      <c r="V264" s="67" t="n"/>
      <c r="W264" s="67" t="n"/>
      <c r="X264" s="67" t="n"/>
      <c r="Y264" s="67" t="n"/>
      <c r="Z264" s="67" t="n"/>
      <c r="AA264" s="67" t="n"/>
      <c r="AB264" s="67" t="n"/>
    </row>
    <row r="265" ht="15.75" customHeight="1" s="305">
      <c r="A265" s="225" t="inlineStr">
        <is>
          <t>TIME_1200</t>
        </is>
      </c>
      <c r="B265" s="67" t="inlineStr">
        <is>
          <t>TIME_1200</t>
        </is>
      </c>
      <c r="C265" s="67" t="inlineStr">
        <is>
          <t>TIME_1200</t>
        </is>
      </c>
      <c r="D265" s="3">
        <f>IFERROR(__xludf.DUMMYFUNCTION("GOOGLETRANSLATE(B265,""vi"",""km"")"),"ម៉ោង_១២០០")</f>
        <v/>
      </c>
      <c r="E265" s="3" t="inlineStr">
        <is>
          <t>TIME_1200</t>
        </is>
      </c>
      <c r="F265" s="3" t="inlineStr">
        <is>
          <t>ម៉ោង_១២០០</t>
        </is>
      </c>
      <c r="G265" s="3" t="n"/>
      <c r="H265" t="inlineStr">
        <is>
          <t>ម៉ោង_១២០០</t>
        </is>
      </c>
      <c r="I265" s="67" t="n"/>
      <c r="J265" s="67" t="n"/>
      <c r="K265" s="67" t="n"/>
      <c r="L265" s="67" t="n"/>
      <c r="M265" s="67" t="n"/>
      <c r="N265" s="67" t="n"/>
      <c r="O265" s="67" t="n"/>
      <c r="P265" s="67" t="n"/>
      <c r="Q265" s="67" t="n"/>
      <c r="R265" s="67" t="n"/>
      <c r="S265" s="67" t="n"/>
      <c r="T265" s="67" t="n"/>
      <c r="U265" s="67" t="n"/>
      <c r="V265" s="67" t="n"/>
      <c r="W265" s="67" t="n"/>
      <c r="X265" s="67" t="n"/>
      <c r="Y265" s="67" t="n"/>
      <c r="Z265" s="67" t="n"/>
      <c r="AA265" s="67" t="n"/>
      <c r="AB265" s="67" t="n"/>
    </row>
    <row r="266" ht="15.75" customHeight="1" s="305">
      <c r="A266" s="225" t="inlineStr">
        <is>
          <t>SEND_BILL</t>
        </is>
      </c>
      <c r="B266" s="67" t="inlineStr">
        <is>
          <t>Ngày gửi bưu phẩm</t>
        </is>
      </c>
      <c r="C266" s="67" t="inlineStr">
        <is>
          <t>Parcel dispatch date</t>
        </is>
      </c>
      <c r="D266" s="3">
        <f>IFERROR(__xludf.DUMMYFUNCTION("GOOGLETRANSLATE(B266,""vi"",""km"")"),"កាលបរិច្ឆេទដែលកញ្ចប់ត្រូវបានផ្ញើ")</f>
        <v/>
      </c>
      <c r="E266" s="3" t="inlineStr">
        <is>
          <t>កាលបរិច្ឆេទនៃការផ្ញើកញ្ចប់</t>
        </is>
      </c>
      <c r="F266" s="3" t="inlineStr">
        <is>
          <t>កាលបរិច្ឆេទដែលកញ្ចប់ត្រូវបានផ្ញើ</t>
        </is>
      </c>
      <c r="G266" s="3" t="n"/>
      <c r="H266" t="inlineStr">
        <is>
          <t>កាលបរិច្ឆេទដែលកញ្ចប់ត្រូវបានផ្ញើ</t>
        </is>
      </c>
      <c r="I266" s="67" t="n"/>
      <c r="J266" s="67" t="n"/>
      <c r="K266" s="67" t="n"/>
      <c r="L266" s="67" t="n"/>
      <c r="M266" s="67" t="n"/>
      <c r="N266" s="67" t="n"/>
      <c r="O266" s="67" t="n"/>
      <c r="P266" s="67" t="n"/>
      <c r="Q266" s="67" t="n"/>
      <c r="R266" s="67" t="n"/>
      <c r="S266" s="67" t="n"/>
      <c r="T266" s="67" t="n"/>
      <c r="U266" s="67" t="n"/>
      <c r="V266" s="67" t="n"/>
      <c r="W266" s="67" t="n"/>
      <c r="X266" s="67" t="n"/>
      <c r="Y266" s="67" t="n"/>
      <c r="Z266" s="67" t="n"/>
      <c r="AA266" s="67" t="n"/>
      <c r="AB266" s="67" t="n"/>
    </row>
    <row r="267" ht="15.75" customHeight="1" s="305">
      <c r="A267" s="225" t="inlineStr">
        <is>
          <t>NOTIFY_TYPE</t>
        </is>
      </c>
      <c r="B267" s="67" t="inlineStr">
        <is>
          <t>Loại cảnh báo</t>
        </is>
      </c>
      <c r="C267" s="67" t="inlineStr">
        <is>
          <t>Warning threshold</t>
        </is>
      </c>
      <c r="D267" s="3">
        <f>IFERROR(__xludf.DUMMYFUNCTION("GOOGLETRANSLATE(B267,""vi"",""km"")"),"ប្រភេទនៃការជូនដំណឹង")</f>
        <v/>
      </c>
      <c r="E267" s="3" t="inlineStr">
        <is>
          <t>ប្រភេទការជូនដំណឹង</t>
        </is>
      </c>
      <c r="F267" s="3" t="inlineStr">
        <is>
          <t>ប្រភេទនៃការជូនដំណឹង</t>
        </is>
      </c>
      <c r="G267" s="3" t="n"/>
      <c r="H267" t="inlineStr">
        <is>
          <t>ប្រភេទនៃការជូនដំណឹង</t>
        </is>
      </c>
      <c r="I267" s="67" t="n"/>
      <c r="J267" s="67" t="n"/>
      <c r="K267" s="67" t="n"/>
      <c r="L267" s="67" t="n"/>
      <c r="M267" s="67" t="n"/>
      <c r="N267" s="67" t="n"/>
      <c r="O267" s="67" t="n"/>
      <c r="P267" s="67" t="n"/>
      <c r="Q267" s="67" t="n"/>
      <c r="R267" s="67" t="n"/>
      <c r="S267" s="67" t="n"/>
      <c r="T267" s="67" t="n"/>
      <c r="U267" s="67" t="n"/>
      <c r="V267" s="67" t="n"/>
      <c r="W267" s="67" t="n"/>
      <c r="X267" s="67" t="n"/>
      <c r="Y267" s="67" t="n"/>
      <c r="Z267" s="67" t="n"/>
      <c r="AA267" s="67" t="n"/>
      <c r="AB267" s="67" t="n"/>
    </row>
    <row r="268" ht="15.75" customHeight="1" s="305">
      <c r="A268" s="225" t="inlineStr">
        <is>
          <t>GROUP_SERVICE</t>
        </is>
      </c>
      <c r="B268" s="67" t="inlineStr">
        <is>
          <t>Nhóm dịch vụ</t>
        </is>
      </c>
      <c r="C268" s="67" t="inlineStr">
        <is>
          <t>Service group</t>
        </is>
      </c>
      <c r="D268" s="3">
        <f>IFERROR(__xludf.DUMMYFUNCTION("GOOGLETRANSLATE(B268,""vi"",""km"")"),"ក្រុមសេវាកម្ម")</f>
        <v/>
      </c>
      <c r="E268" s="3" t="inlineStr">
        <is>
          <t>ក្រុមសេវាកម្ម</t>
        </is>
      </c>
      <c r="F268" s="3" t="inlineStr">
        <is>
          <t>ក្រុមសេវាកម្ម</t>
        </is>
      </c>
      <c r="G268" s="3" t="n"/>
      <c r="H268" t="inlineStr">
        <is>
          <t>ក្រុមសេវាកម្ម</t>
        </is>
      </c>
      <c r="I268" s="67" t="n"/>
      <c r="J268" s="67" t="n"/>
      <c r="K268" s="67" t="n"/>
      <c r="L268" s="67" t="n"/>
      <c r="M268" s="67" t="n"/>
      <c r="N268" s="67" t="n"/>
      <c r="O268" s="67" t="n"/>
      <c r="P268" s="67" t="n"/>
      <c r="Q268" s="67" t="n"/>
      <c r="R268" s="67" t="n"/>
      <c r="S268" s="67" t="n"/>
      <c r="T268" s="67" t="n"/>
      <c r="U268" s="67" t="n"/>
      <c r="V268" s="67" t="n"/>
      <c r="W268" s="67" t="n"/>
      <c r="X268" s="67" t="n"/>
      <c r="Y268" s="67" t="n"/>
      <c r="Z268" s="67" t="n"/>
      <c r="AA268" s="67" t="n"/>
      <c r="AB268" s="67" t="n"/>
    </row>
    <row r="269" ht="15.75" customHeight="1" s="305">
      <c r="A269" s="225" t="inlineStr">
        <is>
          <t>TOTAL_FEES</t>
        </is>
      </c>
      <c r="B269" s="67" t="inlineStr">
        <is>
          <t>Tổng tiền</t>
        </is>
      </c>
      <c r="C269" s="67" t="inlineStr">
        <is>
          <t>Total fees</t>
        </is>
      </c>
      <c r="D269" s="3">
        <f>IFERROR(__xludf.DUMMYFUNCTION("GOOGLETRANSLATE(B269,""vi"",""km"")"),"ចំនួនទឹកប្រាក់សរុប")</f>
        <v/>
      </c>
      <c r="E269" s="3" t="inlineStr">
        <is>
          <t>ចំនួនទឹកប្រាក់សរុប</t>
        </is>
      </c>
      <c r="F269" s="3" t="inlineStr">
        <is>
          <t>ចំនួនទឹកប្រាក់សរុប</t>
        </is>
      </c>
      <c r="G269" s="3" t="n"/>
      <c r="H269" t="inlineStr">
        <is>
          <t>ចំនួនទឹកប្រាក់សរុប</t>
        </is>
      </c>
      <c r="I269" s="67" t="n"/>
      <c r="J269" s="67" t="n"/>
      <c r="K269" s="67" t="n"/>
      <c r="L269" s="67" t="n"/>
      <c r="M269" s="67" t="n"/>
      <c r="N269" s="67" t="n"/>
      <c r="O269" s="67" t="n"/>
      <c r="P269" s="67" t="n"/>
      <c r="Q269" s="67" t="n"/>
      <c r="R269" s="67" t="n"/>
      <c r="S269" s="67" t="n"/>
      <c r="T269" s="67" t="n"/>
      <c r="U269" s="67" t="n"/>
      <c r="V269" s="67" t="n"/>
      <c r="W269" s="67" t="n"/>
      <c r="X269" s="67" t="n"/>
      <c r="Y269" s="67" t="n"/>
      <c r="Z269" s="67" t="n"/>
      <c r="AA269" s="67" t="n"/>
      <c r="AB269" s="67" t="n"/>
    </row>
    <row r="270" ht="15.75" customHeight="1" s="305">
      <c r="A270" s="225" t="inlineStr">
        <is>
          <t>DELIVERY_ROUTER</t>
        </is>
      </c>
      <c r="B270" s="67" t="inlineStr">
        <is>
          <t>Tuyến bưu tá tồn phát</t>
        </is>
      </c>
      <c r="C270" s="67" t="inlineStr">
        <is>
          <t>Delivery route</t>
        </is>
      </c>
      <c r="D270" s="3">
        <f>IFERROR(__xludf.DUMMYFUNCTION("GOOGLETRANSLATE(B270,""vi"",""km"")"),"សេវាកម្មដឹកជញ្ជូនប្រៃសណីយ៍")</f>
        <v/>
      </c>
      <c r="E270" s="3" t="inlineStr">
        <is>
          <t>ផ្លូវដឹកជញ្ជូន (មិនទាន់បានទូទាត់)</t>
        </is>
      </c>
      <c r="F270" s="3" t="inlineStr">
        <is>
          <t>សេវាកម្មដឹកជញ្ជូនប្រៃសណីយ៍</t>
        </is>
      </c>
      <c r="G270" s="3" t="n"/>
      <c r="H270" t="inlineStr">
        <is>
          <t>សេវាកម្មដឹកជញ្ជូនប្រៃសណីយ៍</t>
        </is>
      </c>
      <c r="I270" s="67" t="n"/>
      <c r="J270" s="67" t="n"/>
      <c r="K270" s="67" t="n"/>
      <c r="L270" s="67" t="n"/>
      <c r="M270" s="67" t="n"/>
      <c r="N270" s="67" t="n"/>
      <c r="O270" s="67" t="n"/>
      <c r="P270" s="67" t="n"/>
      <c r="Q270" s="67" t="n"/>
      <c r="R270" s="67" t="n"/>
      <c r="S270" s="67" t="n"/>
      <c r="T270" s="67" t="n"/>
      <c r="U270" s="67" t="n"/>
      <c r="V270" s="67" t="n"/>
      <c r="W270" s="67" t="n"/>
      <c r="X270" s="67" t="n"/>
      <c r="Y270" s="67" t="n"/>
      <c r="Z270" s="67" t="n"/>
      <c r="AA270" s="67" t="n"/>
      <c r="AB270" s="67" t="n"/>
    </row>
    <row r="271" ht="15.75" customHeight="1" s="305">
      <c r="A271" s="225" t="inlineStr">
        <is>
          <t>PICKUP_ROUTER</t>
        </is>
      </c>
      <c r="B271" s="67" t="inlineStr">
        <is>
          <t>Tuyến bưu tá tồn thu</t>
        </is>
      </c>
      <c r="C271" s="67" t="inlineStr">
        <is>
          <t>Pickup route</t>
        </is>
      </c>
      <c r="D271" s="3">
        <f>IFERROR(__xludf.DUMMYFUNCTION("GOOGLETRANSLATE(B271,""vi"",""km"")"),"ចំណូលពីសេវាប្រៃសណីយ៍")</f>
        <v/>
      </c>
      <c r="E271" s="3" t="inlineStr">
        <is>
          <t>ផ្លូវប្រមូល (មិនទាន់បានទូទាត់)</t>
        </is>
      </c>
      <c r="F271" s="3" t="inlineStr">
        <is>
          <t>ចំណូលពីសេវាប្រៃសណីយ៍</t>
        </is>
      </c>
      <c r="G271" s="3" t="n"/>
      <c r="H271" t="inlineStr">
        <is>
          <t>ចំណូលពីសេវាប្រៃសណីយ៍</t>
        </is>
      </c>
      <c r="I271" s="67" t="n"/>
      <c r="J271" s="67" t="n"/>
      <c r="K271" s="67" t="n"/>
      <c r="L271" s="67" t="n"/>
      <c r="M271" s="67" t="n"/>
      <c r="N271" s="67" t="n"/>
      <c r="O271" s="67" t="n"/>
      <c r="P271" s="67" t="n"/>
      <c r="Q271" s="67" t="n"/>
      <c r="R271" s="67" t="n"/>
      <c r="S271" s="67" t="n"/>
      <c r="T271" s="67" t="n"/>
      <c r="U271" s="67" t="n"/>
      <c r="V271" s="67" t="n"/>
      <c r="W271" s="67" t="n"/>
      <c r="X271" s="67" t="n"/>
      <c r="Y271" s="67" t="n"/>
      <c r="Z271" s="67" t="n"/>
      <c r="AA271" s="67" t="n"/>
      <c r="AB271" s="67" t="n"/>
    </row>
    <row r="272" ht="15.75" customHeight="1" s="305">
      <c r="A272" s="225" t="inlineStr">
        <is>
          <t>CREATED_AT_110</t>
        </is>
      </c>
      <c r="B272" s="67" t="inlineStr">
        <is>
          <t>Ngày tạo</t>
        </is>
      </c>
      <c r="C272" s="67" t="inlineStr">
        <is>
          <t>Created date</t>
        </is>
      </c>
      <c r="D272" s="3">
        <f>IFERROR(__xludf.DUMMYFUNCTION("GOOGLETRANSLATE(B272,""vi"",""km"")"),"កាលបរិច្ឆេទបង្កើត")</f>
        <v/>
      </c>
      <c r="E272" s="3" t="inlineStr">
        <is>
          <t>កាលបរិច្ឆេទបង្កើត</t>
        </is>
      </c>
      <c r="F272" s="3" t="inlineStr">
        <is>
          <t>កាលបរិច្ឆេទបង្កើត</t>
        </is>
      </c>
      <c r="G272" s="3" t="n"/>
      <c r="H272" t="inlineStr">
        <is>
          <t>កាលបរិច្ឆេទបង្កើត</t>
        </is>
      </c>
      <c r="I272" s="67" t="n"/>
      <c r="J272" s="67" t="n"/>
      <c r="K272" s="67" t="n"/>
      <c r="L272" s="67" t="n"/>
      <c r="M272" s="67" t="n"/>
      <c r="N272" s="67" t="n"/>
      <c r="O272" s="67" t="n"/>
      <c r="P272" s="67" t="n"/>
      <c r="Q272" s="67" t="n"/>
      <c r="R272" s="67" t="n"/>
      <c r="S272" s="67" t="n"/>
      <c r="T272" s="67" t="n"/>
      <c r="U272" s="67" t="n"/>
      <c r="V272" s="67" t="n"/>
      <c r="W272" s="67" t="n"/>
      <c r="X272" s="67" t="n"/>
      <c r="Y272" s="67" t="n"/>
      <c r="Z272" s="67" t="n"/>
      <c r="AA272" s="67" t="n"/>
      <c r="AB272" s="67" t="n"/>
    </row>
    <row r="273" ht="15.75" customHeight="1" s="305">
      <c r="A273" s="225" t="inlineStr">
        <is>
          <t>TIME_STORAGE</t>
        </is>
      </c>
      <c r="B273" s="67" t="inlineStr">
        <is>
          <t>Thời gian tồn</t>
        </is>
      </c>
      <c r="C273" s="67" t="inlineStr">
        <is>
          <t>Inventory time</t>
        </is>
      </c>
      <c r="D273" s="3">
        <f>IFERROR(__xludf.DUMMYFUNCTION("GOOGLETRANSLATE(B273,""vi"",""km"")"),"រយៈពេលផ្ទុក")</f>
        <v/>
      </c>
      <c r="E273" s="3" t="inlineStr">
        <is>
          <t>កាលបរិច្ឆេទនៃពេលវេលាដែលនៅសល់</t>
        </is>
      </c>
      <c r="F273" s="3" t="inlineStr">
        <is>
          <t>រយៈពេលផ្ទុក</t>
        </is>
      </c>
      <c r="G273" s="3" t="n"/>
      <c r="H273" t="inlineStr">
        <is>
          <t>រយៈពេលផ្ទុក</t>
        </is>
      </c>
      <c r="I273" s="67" t="n"/>
      <c r="J273" s="67" t="n"/>
      <c r="K273" s="67" t="n"/>
      <c r="L273" s="67" t="n"/>
      <c r="M273" s="67" t="n"/>
      <c r="N273" s="67" t="n"/>
      <c r="O273" s="67" t="n"/>
      <c r="P273" s="67" t="n"/>
      <c r="Q273" s="67" t="n"/>
      <c r="R273" s="67" t="n"/>
      <c r="S273" s="67" t="n"/>
      <c r="T273" s="67" t="n"/>
      <c r="U273" s="67" t="n"/>
      <c r="V273" s="67" t="n"/>
      <c r="W273" s="67" t="n"/>
      <c r="X273" s="67" t="n"/>
      <c r="Y273" s="67" t="n"/>
      <c r="Z273" s="67" t="n"/>
      <c r="AA273" s="67" t="n"/>
      <c r="AB273" s="67" t="n"/>
    </row>
    <row r="274" ht="15.75" customHeight="1" s="305">
      <c r="A274" s="225" t="inlineStr">
        <is>
          <t>DAY_STORAGE</t>
        </is>
      </c>
      <c r="B274" s="67" t="inlineStr">
        <is>
          <t>Ngày tồn</t>
        </is>
      </c>
      <c r="C274" s="67" t="inlineStr">
        <is>
          <t>Inventory date</t>
        </is>
      </c>
      <c r="D274" s="3">
        <f>IFERROR(__xludf.DUMMYFUNCTION("GOOGLETRANSLATE(B274,""vi"",""km"")"),"កាលបរិច្ឆេទ​នៃ​ការ​មាន​វត្តមាន")</f>
        <v/>
      </c>
      <c r="E274" s="3" t="inlineStr">
        <is>
          <t>កាលបរិច្ឆេទនៃពេលវេលាដែលនៅសល់</t>
        </is>
      </c>
      <c r="F274" s="3" t="inlineStr">
        <is>
          <t>កាលបរិច្ឆេទនៃការមានវត្តមាន</t>
        </is>
      </c>
      <c r="G274" s="3" t="n"/>
      <c r="H274" t="inlineStr">
        <is>
          <t>កាលបរិច្ឆេទនៃការមានវត្តមាន</t>
        </is>
      </c>
      <c r="I274" s="67" t="n"/>
      <c r="J274" s="67" t="n"/>
      <c r="K274" s="67" t="n"/>
      <c r="L274" s="67" t="n"/>
      <c r="M274" s="67" t="n"/>
      <c r="N274" s="67" t="n"/>
      <c r="O274" s="67" t="n"/>
      <c r="P274" s="67" t="n"/>
      <c r="Q274" s="67" t="n"/>
      <c r="R274" s="67" t="n"/>
      <c r="S274" s="67" t="n"/>
      <c r="T274" s="67" t="n"/>
      <c r="U274" s="67" t="n"/>
      <c r="V274" s="67" t="n"/>
      <c r="W274" s="67" t="n"/>
      <c r="X274" s="67" t="n"/>
      <c r="Y274" s="67" t="n"/>
      <c r="Z274" s="67" t="n"/>
      <c r="AA274" s="67" t="n"/>
      <c r="AB274" s="67" t="n"/>
    </row>
    <row r="275" ht="15.75" customHeight="1" s="305">
      <c r="A275" s="225" t="inlineStr">
        <is>
          <t>USER_210</t>
        </is>
      </c>
      <c r="B275" s="67" t="inlineStr">
        <is>
          <t>Người nhập máy</t>
        </is>
      </c>
      <c r="C275" s="67" t="inlineStr">
        <is>
          <t>User enters revenue</t>
        </is>
      </c>
      <c r="D275" s="3">
        <f>IFERROR(__xludf.DUMMYFUNCTION("GOOGLETRANSLATE(B275,""vi"",""km"")"),"ការបញ្ចូលកុំព្យូទ័រ")</f>
        <v/>
      </c>
      <c r="E275" s="3" t="inlineStr">
        <is>
          <t>លេខអ្នកបញ្ចូល</t>
        </is>
      </c>
      <c r="F275" s="3" t="inlineStr">
        <is>
          <t>ការបញ្ចូលកុំព្យូទ័រ</t>
        </is>
      </c>
      <c r="G275" s="3" t="n"/>
      <c r="H275" t="inlineStr">
        <is>
          <t>ការបញ្ចូលកុំព្យូទ័រ</t>
        </is>
      </c>
      <c r="I275" s="67" t="n"/>
      <c r="J275" s="67" t="n"/>
      <c r="K275" s="67" t="n"/>
      <c r="L275" s="67" t="n"/>
      <c r="M275" s="67" t="n"/>
      <c r="N275" s="67" t="n"/>
      <c r="O275" s="67" t="n"/>
      <c r="P275" s="67" t="n"/>
      <c r="Q275" s="67" t="n"/>
      <c r="R275" s="67" t="n"/>
      <c r="S275" s="67" t="n"/>
      <c r="T275" s="67" t="n"/>
      <c r="U275" s="67" t="n"/>
      <c r="V275" s="67" t="n"/>
      <c r="W275" s="67" t="n"/>
      <c r="X275" s="67" t="n"/>
      <c r="Y275" s="67" t="n"/>
      <c r="Z275" s="67" t="n"/>
      <c r="AA275" s="67" t="n"/>
      <c r="AB275" s="67" t="n"/>
    </row>
    <row r="276" ht="15.75" customHeight="1" s="305">
      <c r="A276" s="225" t="inlineStr">
        <is>
          <t>TIME_210</t>
        </is>
      </c>
      <c r="B276" s="67" t="inlineStr">
        <is>
          <t>Ngày nhập máy</t>
        </is>
      </c>
      <c r="C276" s="67" t="inlineStr">
        <is>
          <t>Revenue entry date</t>
        </is>
      </c>
      <c r="D276" s="3">
        <f>IFERROR(__xludf.DUMMYFUNCTION("GOOGLETRANSLATE(B276,""vi"",""km"")"),"កាលបរិច្ឆេទនៃការបញ្ចូលម៉ាស៊ីន")</f>
        <v/>
      </c>
      <c r="E276" s="3" t="inlineStr">
        <is>
          <t>លេខអ្នកបញ្ចូល</t>
        </is>
      </c>
      <c r="F276" s="3" t="inlineStr">
        <is>
          <t>កាលបរិច្ឆេទបញ្ចូលប្រព័ន្ធ</t>
        </is>
      </c>
      <c r="G276" s="3" t="n"/>
      <c r="H276" t="inlineStr">
        <is>
          <t>កាលបរិច្ឆេទបញ្ចូលប្រព័ន្ធ</t>
        </is>
      </c>
      <c r="I276" s="67" t="n"/>
      <c r="J276" s="67" t="n"/>
      <c r="K276" s="67" t="n"/>
      <c r="L276" s="67" t="n"/>
      <c r="M276" s="67" t="n"/>
      <c r="N276" s="67" t="n"/>
      <c r="O276" s="67" t="n"/>
      <c r="P276" s="67" t="n"/>
      <c r="Q276" s="67" t="n"/>
      <c r="R276" s="67" t="n"/>
      <c r="S276" s="67" t="n"/>
      <c r="T276" s="67" t="n"/>
      <c r="U276" s="67" t="n"/>
      <c r="V276" s="67" t="n"/>
      <c r="W276" s="67" t="n"/>
      <c r="X276" s="67" t="n"/>
      <c r="Y276" s="67" t="n"/>
      <c r="Z276" s="67" t="n"/>
      <c r="AA276" s="67" t="n"/>
      <c r="AB276" s="67" t="n"/>
    </row>
    <row r="277" ht="15.75" customHeight="1" s="305">
      <c r="A277" s="225" t="inlineStr">
        <is>
          <t>COD</t>
        </is>
      </c>
      <c r="B277" s="67" t="inlineStr">
        <is>
          <t>Tiền thu hộ</t>
        </is>
      </c>
      <c r="C277" s="67" t="inlineStr">
        <is>
          <t>COD</t>
        </is>
      </c>
      <c r="D277" s="3">
        <f>IFERROR(__xludf.DUMMYFUNCTION("GOOGLETRANSLATE(B277,""vi"",""km"")"),"ប្រាក់ដែលប្រមូលបានក្នុងនាមអ្នកដទៃ")</f>
        <v/>
      </c>
      <c r="E277" s="3" t="inlineStr">
        <is>
          <t>បង់ប្រាក់ពេលទទួល (COD)</t>
        </is>
      </c>
      <c r="F277" s="3" t="inlineStr">
        <is>
          <t>ប្រាក់ប្រមូលជំនួស (COD)</t>
        </is>
      </c>
      <c r="G277" s="3" t="n"/>
      <c r="H277" t="inlineStr">
        <is>
          <t>ប្រាក់ប្រមូលជំនួស (COD)</t>
        </is>
      </c>
      <c r="I277" s="67" t="n"/>
      <c r="J277" s="67" t="n"/>
      <c r="K277" s="67" t="n"/>
      <c r="L277" s="67" t="n"/>
      <c r="M277" s="67" t="n"/>
      <c r="N277" s="67" t="n"/>
      <c r="O277" s="67" t="n"/>
      <c r="P277" s="67" t="n"/>
      <c r="Q277" s="67" t="n"/>
      <c r="R277" s="67" t="n"/>
      <c r="S277" s="67" t="n"/>
      <c r="T277" s="67" t="n"/>
      <c r="U277" s="67" t="n"/>
      <c r="V277" s="67" t="n"/>
      <c r="W277" s="67" t="n"/>
      <c r="X277" s="67" t="n"/>
      <c r="Y277" s="67" t="n"/>
      <c r="Z277" s="67" t="n"/>
      <c r="AA277" s="67" t="n"/>
      <c r="AB277" s="67" t="n"/>
    </row>
    <row r="278" ht="15.75" customHeight="1" s="305">
      <c r="A278" s="225" t="inlineStr">
        <is>
          <t>PAYER_TYPE_1</t>
        </is>
      </c>
      <c r="B278" s="67" t="inlineStr">
        <is>
          <t>Người gửi</t>
        </is>
      </c>
      <c r="C278" s="67" t="inlineStr">
        <is>
          <t>Sender</t>
        </is>
      </c>
      <c r="D278" s="3">
        <f>IFERROR(__xludf.DUMMYFUNCTION("GOOGLETRANSLATE(B278,""vi"",""km"")"),"អ្នកផ្ញើ")</f>
        <v/>
      </c>
      <c r="E278" s="3" t="inlineStr">
        <is>
          <t>អ្នកផ្ញើ</t>
        </is>
      </c>
      <c r="F278" s="3" t="inlineStr">
        <is>
          <t>អ្នកផ្ញើ</t>
        </is>
      </c>
      <c r="G278" s="3" t="n"/>
      <c r="H278" t="inlineStr">
        <is>
          <t>អ្នកផ្ញើ</t>
        </is>
      </c>
      <c r="I278" s="67" t="n"/>
      <c r="J278" s="67" t="n"/>
      <c r="K278" s="67" t="n"/>
      <c r="L278" s="67" t="n"/>
      <c r="M278" s="67" t="n"/>
      <c r="N278" s="67" t="n"/>
      <c r="O278" s="67" t="n"/>
      <c r="P278" s="67" t="n"/>
      <c r="Q278" s="67" t="n"/>
      <c r="R278" s="67" t="n"/>
      <c r="S278" s="67" t="n"/>
      <c r="T278" s="67" t="n"/>
      <c r="U278" s="67" t="n"/>
      <c r="V278" s="67" t="n"/>
      <c r="W278" s="67" t="n"/>
      <c r="X278" s="67" t="n"/>
      <c r="Y278" s="67" t="n"/>
      <c r="Z278" s="67" t="n"/>
      <c r="AA278" s="67" t="n"/>
      <c r="AB278" s="67" t="n"/>
    </row>
    <row r="279" ht="15.75" customHeight="1" s="305">
      <c r="A279" s="225" t="inlineStr">
        <is>
          <t>PAYER_TYPE_2</t>
        </is>
      </c>
      <c r="B279" s="67" t="inlineStr">
        <is>
          <t>Người nhận</t>
        </is>
      </c>
      <c r="C279" s="67" t="inlineStr">
        <is>
          <t>Receiver</t>
        </is>
      </c>
      <c r="D279" s="3">
        <f>IFERROR(__xludf.DUMMYFUNCTION("GOOGLETRANSLATE(B279,""vi"",""km"")"),"អ្នកទទួល")</f>
        <v/>
      </c>
      <c r="E279" s="3" t="inlineStr">
        <is>
          <t>លេខអ្នកទទួល</t>
        </is>
      </c>
      <c r="F279" s="3" t="inlineStr">
        <is>
          <t>អ្នកទទួល</t>
        </is>
      </c>
      <c r="G279" s="3" t="n"/>
      <c r="H279" t="inlineStr">
        <is>
          <t>អ្នកទទួល</t>
        </is>
      </c>
      <c r="I279" s="67" t="n"/>
      <c r="J279" s="67" t="n"/>
      <c r="K279" s="67" t="n"/>
      <c r="L279" s="67" t="n"/>
      <c r="M279" s="67" t="n"/>
      <c r="N279" s="67" t="n"/>
      <c r="O279" s="67" t="n"/>
      <c r="P279" s="67" t="n"/>
      <c r="Q279" s="67" t="n"/>
      <c r="R279" s="67" t="n"/>
      <c r="S279" s="67" t="n"/>
      <c r="T279" s="67" t="n"/>
      <c r="U279" s="67" t="n"/>
      <c r="V279" s="67" t="n"/>
      <c r="W279" s="67" t="n"/>
      <c r="X279" s="67" t="n"/>
      <c r="Y279" s="67" t="n"/>
      <c r="Z279" s="67" t="n"/>
      <c r="AA279" s="67" t="n"/>
      <c r="AB279" s="67" t="n"/>
    </row>
    <row r="280" ht="15.75" customHeight="1" s="305">
      <c r="A280" s="225" t="inlineStr">
        <is>
          <t>WEIGHT</t>
        </is>
      </c>
      <c r="B280" s="67" t="inlineStr">
        <is>
          <t>Trọng lượng(g)</t>
        </is>
      </c>
      <c r="C280" s="67" t="inlineStr">
        <is>
          <t>Weight(g)</t>
        </is>
      </c>
      <c r="D280" s="3">
        <f>IFERROR(__xludf.DUMMYFUNCTION("GOOGLETRANSLATE(B280,""vi"",""km"")"),"ទម្ងន់ (ក្រាម)")</f>
        <v/>
      </c>
      <c r="E280" s="3" t="inlineStr">
        <is>
          <t>ទម្ងន់ (ក្រាម)</t>
        </is>
      </c>
      <c r="F280" s="3" t="inlineStr">
        <is>
          <t>ទម្ងន់ (ក្រាម)</t>
        </is>
      </c>
      <c r="G280" s="3" t="n"/>
      <c r="H280" t="inlineStr">
        <is>
          <t>ទម្ងន់ (ក្រាម)</t>
        </is>
      </c>
      <c r="I280" s="67" t="n"/>
      <c r="J280" s="67" t="n"/>
      <c r="K280" s="67" t="n"/>
      <c r="L280" s="67" t="n"/>
      <c r="M280" s="67" t="n"/>
      <c r="N280" s="67" t="n"/>
      <c r="O280" s="67" t="n"/>
      <c r="P280" s="67" t="n"/>
      <c r="Q280" s="67" t="n"/>
      <c r="R280" s="67" t="n"/>
      <c r="S280" s="67" t="n"/>
      <c r="T280" s="67" t="n"/>
      <c r="U280" s="67" t="n"/>
      <c r="V280" s="67" t="n"/>
      <c r="W280" s="67" t="n"/>
      <c r="X280" s="67" t="n"/>
      <c r="Y280" s="67" t="n"/>
      <c r="Z280" s="67" t="n"/>
      <c r="AA280" s="67" t="n"/>
      <c r="AB280" s="67" t="n"/>
    </row>
    <row r="281" ht="15.75" customHeight="1" s="305">
      <c r="A281" s="225" t="inlineStr">
        <is>
          <t>ORDER_TYPE</t>
        </is>
      </c>
      <c r="B281" s="67" t="inlineStr">
        <is>
          <t>Loại hàng hóa</t>
        </is>
      </c>
      <c r="C281" s="67" t="inlineStr">
        <is>
          <t>Goods type</t>
        </is>
      </c>
      <c r="D281" s="3">
        <f>IFERROR(__xludf.DUMMYFUNCTION("GOOGLETRANSLATE(B281,""vi"",""km"")"),"ប្រភេទទំនិញ")</f>
        <v/>
      </c>
      <c r="E281" s="3" t="inlineStr">
        <is>
          <t>ប្រភេទទំនិញ</t>
        </is>
      </c>
      <c r="F281" s="3" t="inlineStr">
        <is>
          <t>ប្រភេទមុខទំនិញ</t>
        </is>
      </c>
      <c r="G281" s="3" t="n"/>
      <c r="H281" t="inlineStr">
        <is>
          <t>ប្រភេទមុខទំនិញ</t>
        </is>
      </c>
      <c r="I281" s="67" t="n"/>
      <c r="J281" s="67" t="n"/>
      <c r="K281" s="67" t="n"/>
      <c r="L281" s="67" t="n"/>
      <c r="M281" s="67" t="n"/>
      <c r="N281" s="67" t="n"/>
      <c r="O281" s="67" t="n"/>
      <c r="P281" s="67" t="n"/>
      <c r="Q281" s="67" t="n"/>
      <c r="R281" s="67" t="n"/>
      <c r="S281" s="67" t="n"/>
      <c r="T281" s="67" t="n"/>
      <c r="U281" s="67" t="n"/>
      <c r="V281" s="67" t="n"/>
      <c r="W281" s="67" t="n"/>
      <c r="X281" s="67" t="n"/>
      <c r="Y281" s="67" t="n"/>
      <c r="Z281" s="67" t="n"/>
      <c r="AA281" s="67" t="n"/>
      <c r="AB281" s="67" t="n"/>
    </row>
    <row r="282" ht="15.75" customHeight="1" s="305">
      <c r="A282" s="225" t="inlineStr">
        <is>
          <t>CUS_ID</t>
        </is>
      </c>
      <c r="B282" s="67" t="inlineStr">
        <is>
          <t>Khách hàng</t>
        </is>
      </c>
      <c r="C282" s="67" t="inlineStr">
        <is>
          <t>Customer</t>
        </is>
      </c>
      <c r="D282" s="3">
        <f>IFERROR(__xludf.DUMMYFUNCTION("GOOGLETRANSLATE(B282,""vi"",""km"")"),"អតិថិជន")</f>
        <v/>
      </c>
      <c r="E282" s="3" t="inlineStr">
        <is>
          <t>អតិថិជន</t>
        </is>
      </c>
      <c r="F282" s="3" t="inlineStr">
        <is>
          <t>អតិថិជន</t>
        </is>
      </c>
      <c r="G282" s="3" t="n"/>
      <c r="H282" t="inlineStr">
        <is>
          <t>អតិថិជន</t>
        </is>
      </c>
      <c r="I282" s="67" t="n"/>
      <c r="J282" s="67" t="n"/>
      <c r="K282" s="67" t="n"/>
      <c r="L282" s="67" t="n"/>
      <c r="M282" s="67" t="n"/>
      <c r="N282" s="67" t="n"/>
      <c r="O282" s="67" t="n"/>
      <c r="P282" s="67" t="n"/>
      <c r="Q282" s="67" t="n"/>
      <c r="R282" s="67" t="n"/>
      <c r="S282" s="67" t="n"/>
      <c r="T282" s="67" t="n"/>
      <c r="U282" s="67" t="n"/>
      <c r="V282" s="67" t="n"/>
      <c r="W282" s="67" t="n"/>
      <c r="X282" s="67" t="n"/>
      <c r="Y282" s="67" t="n"/>
      <c r="Z282" s="67" t="n"/>
      <c r="AA282" s="67" t="n"/>
      <c r="AB282" s="67" t="n"/>
    </row>
    <row r="283" ht="15.75" customHeight="1" s="305">
      <c r="A283" s="225" t="inlineStr">
        <is>
          <t>EXPORT_DATE</t>
        </is>
      </c>
      <c r="B283" s="67" t="inlineStr">
        <is>
          <t>Ngày báo cáo :</t>
        </is>
      </c>
      <c r="C283" s="67" t="inlineStr">
        <is>
          <t>Date :</t>
        </is>
      </c>
      <c r="D283" s="3">
        <f>IFERROR(__xludf.DUMMYFUNCTION("GOOGLETRANSLATE(B283,""vi"",""km"")"),"កាលបរិច្ឆេទរាយការណ៍៖")</f>
        <v/>
      </c>
      <c r="E283" s="3" t="inlineStr">
        <is>
          <t>កាលបរិច្ឆេទរាយការណ៍៖</t>
        </is>
      </c>
      <c r="F283" s="3" t="inlineStr">
        <is>
          <t>កាលបរិច្ឆេទរាយការណ៍៖</t>
        </is>
      </c>
      <c r="G283" s="3" t="n"/>
      <c r="H283" t="inlineStr">
        <is>
          <t>កាលបរិច្ឆេទរាយការណ៍៖</t>
        </is>
      </c>
      <c r="I283" s="67" t="n"/>
      <c r="J283" s="67" t="n"/>
      <c r="K283" s="67" t="n"/>
      <c r="L283" s="67" t="n"/>
      <c r="M283" s="67" t="n"/>
      <c r="N283" s="67" t="n"/>
      <c r="O283" s="67" t="n"/>
      <c r="P283" s="67" t="n"/>
      <c r="Q283" s="67" t="n"/>
      <c r="R283" s="67" t="n"/>
      <c r="S283" s="67" t="n"/>
      <c r="T283" s="67" t="n"/>
      <c r="U283" s="67" t="n"/>
      <c r="V283" s="67" t="n"/>
      <c r="W283" s="67" t="n"/>
      <c r="X283" s="67" t="n"/>
      <c r="Y283" s="67" t="n"/>
      <c r="Z283" s="67" t="n"/>
      <c r="AA283" s="67" t="n"/>
      <c r="AB283" s="67" t="n"/>
    </row>
    <row r="284" ht="15.75" customHeight="1" s="305">
      <c r="A284" s="225" t="inlineStr">
        <is>
          <t>NO</t>
        </is>
      </c>
      <c r="B284" s="67" t="inlineStr">
        <is>
          <t>STT</t>
        </is>
      </c>
      <c r="C284" s="67" t="inlineStr">
        <is>
          <t>No</t>
        </is>
      </c>
      <c r="D284" s="3">
        <f>IFERROR(__xludf.DUMMYFUNCTION("GOOGLETRANSLATE(B284,""vi"",""km"")"),"ទេ។")</f>
        <v/>
      </c>
      <c r="E284" s="3" t="inlineStr">
        <is>
          <t>លេខ</t>
        </is>
      </c>
      <c r="F284" s="3" t="inlineStr">
        <is>
          <t>ទេ។</t>
        </is>
      </c>
      <c r="G284" s="3" t="n"/>
      <c r="H284" t="inlineStr">
        <is>
          <t>ទេ។</t>
        </is>
      </c>
      <c r="I284" s="67" t="n"/>
      <c r="J284" s="67" t="n"/>
      <c r="K284" s="67" t="n"/>
      <c r="L284" s="67" t="n"/>
      <c r="M284" s="67" t="n"/>
      <c r="N284" s="67" t="n"/>
      <c r="O284" s="67" t="n"/>
      <c r="P284" s="67" t="n"/>
      <c r="Q284" s="67" t="n"/>
      <c r="R284" s="67" t="n"/>
      <c r="S284" s="67" t="n"/>
      <c r="T284" s="67" t="n"/>
      <c r="U284" s="67" t="n"/>
      <c r="V284" s="67" t="n"/>
      <c r="W284" s="67" t="n"/>
      <c r="X284" s="67" t="n"/>
      <c r="Y284" s="67" t="n"/>
      <c r="Z284" s="67" t="n"/>
      <c r="AA284" s="67" t="n"/>
      <c r="AB284" s="67" t="n"/>
    </row>
    <row r="285" ht="15.75" customHeight="1" s="305">
      <c r="A285" s="225" t="inlineStr">
        <is>
          <t>HEADER_NO</t>
        </is>
      </c>
      <c r="B285" s="67" t="inlineStr">
        <is>
          <t>STT</t>
        </is>
      </c>
      <c r="C285" s="67" t="inlineStr">
        <is>
          <t>NO</t>
        </is>
      </c>
      <c r="D285" s="3">
        <f>IFERROR(__xludf.DUMMYFUNCTION("GOOGLETRANSLATE(B285,""vi"",""km"")"),"ទេ។")</f>
        <v/>
      </c>
      <c r="E285" s="3" t="inlineStr">
        <is>
          <t>លេខ</t>
        </is>
      </c>
      <c r="F285" s="3" t="inlineStr">
        <is>
          <t>ទេ។</t>
        </is>
      </c>
      <c r="G285" s="3" t="n"/>
      <c r="H285" t="inlineStr">
        <is>
          <t>ទេ។</t>
        </is>
      </c>
      <c r="I285" s="67" t="n"/>
      <c r="J285" s="67" t="n"/>
      <c r="K285" s="67" t="n"/>
      <c r="L285" s="67" t="n"/>
      <c r="M285" s="67" t="n"/>
      <c r="N285" s="67" t="n"/>
      <c r="O285" s="67" t="n"/>
      <c r="P285" s="67" t="n"/>
      <c r="Q285" s="67" t="n"/>
      <c r="R285" s="67" t="n"/>
      <c r="S285" s="67" t="n"/>
      <c r="T285" s="67" t="n"/>
      <c r="U285" s="67" t="n"/>
      <c r="V285" s="67" t="n"/>
      <c r="W285" s="67" t="n"/>
      <c r="X285" s="67" t="n"/>
      <c r="Y285" s="67" t="n"/>
      <c r="Z285" s="67" t="n"/>
      <c r="AA285" s="67" t="n"/>
      <c r="AB285" s="67" t="n"/>
    </row>
    <row r="286" ht="15.75" customHeight="1" s="305">
      <c r="A286" s="225" t="inlineStr">
        <is>
          <t>INBOUND_PHASE</t>
        </is>
      </c>
      <c r="B286" s="67" t="inlineStr">
        <is>
          <t>Khâu nhận</t>
        </is>
      </c>
      <c r="C286" s="67" t="inlineStr">
        <is>
          <t>First-mile</t>
        </is>
      </c>
      <c r="D286" s="3">
        <f>IFERROR(__xludf.DUMMYFUNCTION("GOOGLETRANSLATE(B286,""vi"",""km"")"),"ដំណាក់កាលទទួល")</f>
        <v/>
      </c>
      <c r="E286" s="3" t="inlineStr">
        <is>
          <t>ដំណាក់កាលទទួល</t>
        </is>
      </c>
      <c r="F286" s="3" t="inlineStr">
        <is>
          <t>ដំណាក់កាលទទួល</t>
        </is>
      </c>
      <c r="G286" s="3" t="n"/>
      <c r="H286" t="inlineStr">
        <is>
          <t>ដំណាក់កាលទទួល</t>
        </is>
      </c>
      <c r="I286" s="67" t="n"/>
      <c r="J286" s="67" t="n"/>
      <c r="K286" s="67" t="n"/>
      <c r="L286" s="67" t="n"/>
      <c r="M286" s="67" t="n"/>
      <c r="N286" s="67" t="n"/>
      <c r="O286" s="67" t="n"/>
      <c r="P286" s="67" t="n"/>
      <c r="Q286" s="67" t="n"/>
      <c r="R286" s="67" t="n"/>
      <c r="S286" s="67" t="n"/>
      <c r="T286" s="67" t="n"/>
      <c r="U286" s="67" t="n"/>
      <c r="V286" s="67" t="n"/>
      <c r="W286" s="67" t="n"/>
      <c r="X286" s="67" t="n"/>
      <c r="Y286" s="67" t="n"/>
      <c r="Z286" s="67" t="n"/>
      <c r="AA286" s="67" t="n"/>
      <c r="AB286" s="67" t="n"/>
    </row>
    <row r="287" ht="15.75" customHeight="1" s="305">
      <c r="A287" s="225" t="inlineStr">
        <is>
          <t>INBOUND_TOTAL_ORDER</t>
        </is>
      </c>
      <c r="B287" s="67" t="inlineStr">
        <is>
          <t>Tổng đơn nhận</t>
        </is>
      </c>
      <c r="C287" s="67" t="inlineStr">
        <is>
          <t>Total number of order</t>
        </is>
      </c>
      <c r="D287" s="3">
        <f>IFERROR(__xludf.DUMMYFUNCTION("GOOGLETRANSLATE(B287,""vi"",""km"")"),"ចំនួនសរុបនៃការបញ្ជាទិញដែលបានទទួល")</f>
        <v/>
      </c>
      <c r="E287" s="3" t="inlineStr">
        <is>
          <t>ការបញ្ជាទិញសរុបដែលបានទទួល</t>
        </is>
      </c>
      <c r="F287" s="3" t="inlineStr">
        <is>
          <t>ចំនួនសរុបនៃការបញ្ជាទិញដែលបានទទួល</t>
        </is>
      </c>
      <c r="G287" s="3" t="n"/>
      <c r="H287" t="inlineStr">
        <is>
          <t>ចំនួនសរុបនៃការបញ្ជាទិញដែលបានទទួល</t>
        </is>
      </c>
      <c r="I287" s="67" t="n"/>
      <c r="J287" s="67" t="n"/>
      <c r="K287" s="67" t="n"/>
      <c r="L287" s="67" t="n"/>
      <c r="M287" s="67" t="n"/>
      <c r="N287" s="67" t="n"/>
      <c r="O287" s="67" t="n"/>
      <c r="P287" s="67" t="n"/>
      <c r="Q287" s="67" t="n"/>
      <c r="R287" s="67" t="n"/>
      <c r="S287" s="67" t="n"/>
      <c r="T287" s="67" t="n"/>
      <c r="U287" s="67" t="n"/>
      <c r="V287" s="67" t="n"/>
      <c r="W287" s="67" t="n"/>
      <c r="X287" s="67" t="n"/>
      <c r="Y287" s="67" t="n"/>
      <c r="Z287" s="67" t="n"/>
      <c r="AA287" s="67" t="n"/>
      <c r="AB287" s="67" t="n"/>
    </row>
    <row r="288" ht="15.75" customHeight="1" s="305">
      <c r="A288" s="225" t="inlineStr">
        <is>
          <t>INBOUND_TOTAL_FEES</t>
        </is>
      </c>
      <c r="B288" s="67" t="inlineStr">
        <is>
          <t>Tổng cước</t>
        </is>
      </c>
      <c r="C288" s="67" t="inlineStr">
        <is>
          <t>Total fees</t>
        </is>
      </c>
      <c r="D288" s="3">
        <f>IFERROR(__xludf.DUMMYFUNCTION("GOOGLETRANSLATE(B288,""vi"",""km"")"),"ការគិតថ្លៃសរុប")</f>
        <v/>
      </c>
      <c r="E288" s="3" t="inlineStr">
        <is>
          <t>ការគិតថ្លៃសរុប</t>
        </is>
      </c>
      <c r="F288" s="3" t="inlineStr">
        <is>
          <t>ថ្លៃដឹកជញ្ជូនសរុប</t>
        </is>
      </c>
      <c r="G288" s="3" t="n"/>
      <c r="H288" t="inlineStr">
        <is>
          <t>ថ្លៃដឹកជញ្ជូនសរុប</t>
        </is>
      </c>
      <c r="I288" s="67" t="n"/>
      <c r="J288" s="67" t="n"/>
      <c r="K288" s="67" t="n"/>
      <c r="L288" s="67" t="n"/>
      <c r="M288" s="67" t="n"/>
      <c r="N288" s="67" t="n"/>
      <c r="O288" s="67" t="n"/>
      <c r="P288" s="67" t="n"/>
      <c r="Q288" s="67" t="n"/>
      <c r="R288" s="67" t="n"/>
      <c r="S288" s="67" t="n"/>
      <c r="T288" s="67" t="n"/>
      <c r="U288" s="67" t="n"/>
      <c r="V288" s="67" t="n"/>
      <c r="W288" s="67" t="n"/>
      <c r="X288" s="67" t="n"/>
      <c r="Y288" s="67" t="n"/>
      <c r="Z288" s="67" t="n"/>
      <c r="AA288" s="67" t="n"/>
      <c r="AB288" s="67" t="n"/>
    </row>
    <row r="289" ht="15.75" customHeight="1" s="305">
      <c r="A289" s="225" t="inlineStr">
        <is>
          <t>INBOUND_COD</t>
        </is>
      </c>
      <c r="B289" s="67" t="inlineStr">
        <is>
          <t>COD</t>
        </is>
      </c>
      <c r="C289" s="67" t="inlineStr">
        <is>
          <t>Total COD</t>
        </is>
      </c>
      <c r="D289" s="3">
        <f>IFERROR(__xludf.DUMMYFUNCTION("GOOGLETRANSLATE(B289,""vi"",""km"")"),"ប្រតិបត្តិការ​ទូទាត់​ថ្លៃ​សេវា​ (COD)")</f>
        <v/>
      </c>
      <c r="E289" s="3" t="inlineStr">
        <is>
          <t>COD</t>
        </is>
      </c>
      <c r="F289" s="3" t="inlineStr">
        <is>
          <t>ប្រតិបត្តិការទូទាត់ថ្លៃសេវា (COD)</t>
        </is>
      </c>
      <c r="G289" s="3" t="n"/>
      <c r="H289" t="inlineStr">
        <is>
          <t>ប្រតិបត្តិការទូទាត់ថ្លៃសេវា (COD)</t>
        </is>
      </c>
      <c r="I289" s="67" t="n"/>
      <c r="J289" s="67" t="n"/>
      <c r="K289" s="67" t="n"/>
      <c r="L289" s="67" t="n"/>
      <c r="M289" s="67" t="n"/>
      <c r="N289" s="67" t="n"/>
      <c r="O289" s="67" t="n"/>
      <c r="P289" s="67" t="n"/>
      <c r="Q289" s="67" t="n"/>
      <c r="R289" s="67" t="n"/>
      <c r="S289" s="67" t="n"/>
      <c r="T289" s="67" t="n"/>
      <c r="U289" s="67" t="n"/>
      <c r="V289" s="67" t="n"/>
      <c r="W289" s="67" t="n"/>
      <c r="X289" s="67" t="n"/>
      <c r="Y289" s="67" t="n"/>
      <c r="Z289" s="67" t="n"/>
      <c r="AA289" s="67" t="n"/>
      <c r="AB289" s="67" t="n"/>
    </row>
    <row r="290" ht="15.75" customHeight="1" s="305">
      <c r="A290" s="225" t="inlineStr">
        <is>
          <t>TRANSFER_PHASE</t>
        </is>
      </c>
      <c r="B290" s="67" t="inlineStr">
        <is>
          <t>Khâu trung chuyển</t>
        </is>
      </c>
      <c r="C290" s="67" t="inlineStr">
        <is>
          <t>Middle-mile</t>
        </is>
      </c>
      <c r="D290" s="3">
        <f>IFERROR(__xludf.DUMMYFUNCTION("GOOGLETRANSLATE(B290,""vi"",""km"")"),"ដំណាក់កាលផ្ទេរ")</f>
        <v/>
      </c>
      <c r="E290" s="3" t="inlineStr">
        <is>
          <t>ដំណាក់កាលផ្ទេរ</t>
        </is>
      </c>
      <c r="F290" s="3" t="inlineStr">
        <is>
          <t>ដំណាក់កាលផ្ទេរ</t>
        </is>
      </c>
      <c r="G290" s="3" t="n"/>
      <c r="H290" t="inlineStr">
        <is>
          <t>ដំណាក់កាលផ្ទេរ</t>
        </is>
      </c>
      <c r="I290" s="67" t="n"/>
      <c r="J290" s="67" t="n"/>
      <c r="K290" s="67" t="n"/>
      <c r="L290" s="67" t="n"/>
      <c r="M290" s="67" t="n"/>
      <c r="N290" s="67" t="n"/>
      <c r="O290" s="67" t="n"/>
      <c r="P290" s="67" t="n"/>
      <c r="Q290" s="67" t="n"/>
      <c r="R290" s="67" t="n"/>
      <c r="S290" s="67" t="n"/>
      <c r="T290" s="67" t="n"/>
      <c r="U290" s="67" t="n"/>
      <c r="V290" s="67" t="n"/>
      <c r="W290" s="67" t="n"/>
      <c r="X290" s="67" t="n"/>
      <c r="Y290" s="67" t="n"/>
      <c r="Z290" s="67" t="n"/>
      <c r="AA290" s="67" t="n"/>
      <c r="AB290" s="67" t="n"/>
    </row>
    <row r="291" ht="15.75" customHeight="1" s="305">
      <c r="A291" s="225" t="inlineStr">
        <is>
          <t>TRANSFER_TOTAL_ORDER</t>
        </is>
      </c>
      <c r="B291" s="67" t="inlineStr">
        <is>
          <t>Tổng đơn trung chuyển</t>
        </is>
      </c>
      <c r="C291" s="67" t="inlineStr">
        <is>
          <t>Total number of order</t>
        </is>
      </c>
      <c r="D291" s="3">
        <f>IFERROR(__xludf.DUMMYFUNCTION("GOOGLETRANSLATE(B291,""vi"",""km"")"),"ការបញ្ជាទិញដឹកជញ្ជូនសរុប")</f>
        <v/>
      </c>
      <c r="E291" s="3" t="inlineStr">
        <is>
          <t>ការបញ្ជាទិញសរុបដែលបានផ្ទេរ</t>
        </is>
      </c>
      <c r="F291" s="3" t="inlineStr">
        <is>
          <t>ការបញ្ជាទិញដឹកជញ្ជូនសរុប</t>
        </is>
      </c>
      <c r="G291" s="3" t="n"/>
      <c r="H291" t="inlineStr">
        <is>
          <t>ការបញ្ជាទិញដឹកជញ្ជូនសរុប</t>
        </is>
      </c>
      <c r="I291" s="67" t="n"/>
      <c r="J291" s="67" t="n"/>
      <c r="K291" s="67" t="n"/>
      <c r="L291" s="67" t="n"/>
      <c r="M291" s="67" t="n"/>
      <c r="N291" s="67" t="n"/>
      <c r="O291" s="67" t="n"/>
      <c r="P291" s="67" t="n"/>
      <c r="Q291" s="67" t="n"/>
      <c r="R291" s="67" t="n"/>
      <c r="S291" s="67" t="n"/>
      <c r="T291" s="67" t="n"/>
      <c r="U291" s="67" t="n"/>
      <c r="V291" s="67" t="n"/>
      <c r="W291" s="67" t="n"/>
      <c r="X291" s="67" t="n"/>
      <c r="Y291" s="67" t="n"/>
      <c r="Z291" s="67" t="n"/>
      <c r="AA291" s="67" t="n"/>
      <c r="AB291" s="67" t="n"/>
    </row>
    <row r="292" ht="15.75" customHeight="1" s="305">
      <c r="A292" s="225" t="inlineStr">
        <is>
          <t>TRANSFER_TOTAL_FEES</t>
        </is>
      </c>
      <c r="B292" s="67" t="inlineStr">
        <is>
          <t>Tổng cước</t>
        </is>
      </c>
      <c r="C292" s="67" t="inlineStr">
        <is>
          <t>Total fees</t>
        </is>
      </c>
      <c r="D292" s="3">
        <f>IFERROR(__xludf.DUMMYFUNCTION("GOOGLETRANSLATE(B292,""vi"",""km"")"),"ការគិតថ្លៃសរុប")</f>
        <v/>
      </c>
      <c r="E292" s="3" t="inlineStr">
        <is>
          <t>ការគិតថ្លៃសរុប</t>
        </is>
      </c>
      <c r="F292" s="3" t="inlineStr">
        <is>
          <t>ថ្លៃដឹកជញ្ជូនសរុប</t>
        </is>
      </c>
      <c r="G292" s="3" t="n"/>
      <c r="H292" t="inlineStr">
        <is>
          <t>ថ្លៃដឹកជញ្ជូនសរុប</t>
        </is>
      </c>
      <c r="I292" s="67" t="n"/>
      <c r="J292" s="67" t="n"/>
      <c r="K292" s="67" t="n"/>
      <c r="L292" s="67" t="n"/>
      <c r="M292" s="67" t="n"/>
      <c r="N292" s="67" t="n"/>
      <c r="O292" s="67" t="n"/>
      <c r="P292" s="67" t="n"/>
      <c r="Q292" s="67" t="n"/>
      <c r="R292" s="67" t="n"/>
      <c r="S292" s="67" t="n"/>
      <c r="T292" s="67" t="n"/>
      <c r="U292" s="67" t="n"/>
      <c r="V292" s="67" t="n"/>
      <c r="W292" s="67" t="n"/>
      <c r="X292" s="67" t="n"/>
      <c r="Y292" s="67" t="n"/>
      <c r="Z292" s="67" t="n"/>
      <c r="AA292" s="67" t="n"/>
      <c r="AB292" s="67" t="n"/>
    </row>
    <row r="293" ht="15.75" customHeight="1" s="305">
      <c r="A293" s="225" t="inlineStr">
        <is>
          <t>TRANSFER_COD</t>
        </is>
      </c>
      <c r="B293" s="67" t="inlineStr">
        <is>
          <t>COD</t>
        </is>
      </c>
      <c r="C293" s="67" t="inlineStr">
        <is>
          <t>Total COD</t>
        </is>
      </c>
      <c r="D293" s="3">
        <f>IFERROR(__xludf.DUMMYFUNCTION("GOOGLETRANSLATE(B293,""vi"",""km"")"),"ប្រតិបត្តិការ​ទូទាត់​ថ្លៃ​សេវា​ (COD)")</f>
        <v/>
      </c>
      <c r="E293" s="3" t="inlineStr">
        <is>
          <t>COD</t>
        </is>
      </c>
      <c r="F293" s="3" t="inlineStr">
        <is>
          <t>ប្រតិបត្តិការទូទាត់ថ្លៃសេវា (COD)</t>
        </is>
      </c>
      <c r="G293" s="3" t="n"/>
      <c r="H293" t="inlineStr">
        <is>
          <t>ប្រតិបត្តិការទូទាត់ថ្លៃសេវា (COD)</t>
        </is>
      </c>
      <c r="I293" s="67" t="n"/>
      <c r="J293" s="67" t="n"/>
      <c r="K293" s="67" t="n"/>
      <c r="L293" s="67" t="n"/>
      <c r="M293" s="67" t="n"/>
      <c r="N293" s="67" t="n"/>
      <c r="O293" s="67" t="n"/>
      <c r="P293" s="67" t="n"/>
      <c r="Q293" s="67" t="n"/>
      <c r="R293" s="67" t="n"/>
      <c r="S293" s="67" t="n"/>
      <c r="T293" s="67" t="n"/>
      <c r="U293" s="67" t="n"/>
      <c r="V293" s="67" t="n"/>
      <c r="W293" s="67" t="n"/>
      <c r="X293" s="67" t="n"/>
      <c r="Y293" s="67" t="n"/>
      <c r="Z293" s="67" t="n"/>
      <c r="AA293" s="67" t="n"/>
      <c r="AB293" s="67" t="n"/>
    </row>
    <row r="294" ht="15.75" customHeight="1" s="305">
      <c r="A294" s="225" t="inlineStr">
        <is>
          <t>OUTBOUND_PHASE</t>
        </is>
      </c>
      <c r="B294" s="67" t="inlineStr">
        <is>
          <t>Khâu phát</t>
        </is>
      </c>
      <c r="C294" s="67" t="inlineStr">
        <is>
          <t>Last-mile</t>
        </is>
      </c>
      <c r="D294" s="3">
        <f>IFERROR(__xludf.DUMMYFUNCTION("GOOGLETRANSLATE(B294,""vi"",""km"")"),"ដំណាក់កាលចែកចាយ")</f>
        <v/>
      </c>
      <c r="E294" s="3" t="inlineStr">
        <is>
          <t>ដំណាក់កាលដឹកជញ្ជូន</t>
        </is>
      </c>
      <c r="F294" s="3" t="inlineStr">
        <is>
          <t>ដំណាក់កាលចែកចាយ</t>
        </is>
      </c>
      <c r="G294" s="3" t="n"/>
      <c r="H294" t="inlineStr">
        <is>
          <t>ដំណាក់កាលចែកចាយ</t>
        </is>
      </c>
      <c r="I294" s="67" t="n"/>
      <c r="J294" s="67" t="n"/>
      <c r="K294" s="67" t="n"/>
      <c r="L294" s="67" t="n"/>
      <c r="M294" s="67" t="n"/>
      <c r="N294" s="67" t="n"/>
      <c r="O294" s="67" t="n"/>
      <c r="P294" s="67" t="n"/>
      <c r="Q294" s="67" t="n"/>
      <c r="R294" s="67" t="n"/>
      <c r="S294" s="67" t="n"/>
      <c r="T294" s="67" t="n"/>
      <c r="U294" s="67" t="n"/>
      <c r="V294" s="67" t="n"/>
      <c r="W294" s="67" t="n"/>
      <c r="X294" s="67" t="n"/>
      <c r="Y294" s="67" t="n"/>
      <c r="Z294" s="67" t="n"/>
      <c r="AA294" s="67" t="n"/>
      <c r="AB294" s="67" t="n"/>
    </row>
    <row r="295" ht="15.75" customHeight="1" s="305">
      <c r="A295" s="225" t="inlineStr">
        <is>
          <t>OUTBOUND_TOTAL_ORDER</t>
        </is>
      </c>
      <c r="B295" s="67" t="inlineStr">
        <is>
          <t>Tổng đơn phát</t>
        </is>
      </c>
      <c r="C295" s="67" t="inlineStr">
        <is>
          <t>Total number of order</t>
        </is>
      </c>
      <c r="D295" s="3">
        <f>IFERROR(__xludf.DUMMYFUNCTION("GOOGLETRANSLATE(B295,""vi"",""km"")"),"ចំនួនសរុបនៃការបញ្ជាទិញ")</f>
        <v/>
      </c>
      <c r="E295" s="3" t="inlineStr">
        <is>
          <t>ការបញ្ជាទិញសរុបដែលបានដឹកជញ្ជូន</t>
        </is>
      </c>
      <c r="F295" s="3" t="inlineStr">
        <is>
          <t>ចំនួនសរុបនៃការបញ្ជាទិញ</t>
        </is>
      </c>
      <c r="G295" s="3" t="n"/>
      <c r="H295" t="inlineStr">
        <is>
          <t>ចំនួនសរុបនៃការបញ្ជាទិញ</t>
        </is>
      </c>
      <c r="I295" s="67" t="n"/>
      <c r="J295" s="67" t="n"/>
      <c r="K295" s="67" t="n"/>
      <c r="L295" s="67" t="n"/>
      <c r="M295" s="67" t="n"/>
      <c r="N295" s="67" t="n"/>
      <c r="O295" s="67" t="n"/>
      <c r="P295" s="67" t="n"/>
      <c r="Q295" s="67" t="n"/>
      <c r="R295" s="67" t="n"/>
      <c r="S295" s="67" t="n"/>
      <c r="T295" s="67" t="n"/>
      <c r="U295" s="67" t="n"/>
      <c r="V295" s="67" t="n"/>
      <c r="W295" s="67" t="n"/>
      <c r="X295" s="67" t="n"/>
      <c r="Y295" s="67" t="n"/>
      <c r="Z295" s="67" t="n"/>
      <c r="AA295" s="67" t="n"/>
      <c r="AB295" s="67" t="n"/>
    </row>
    <row r="296" ht="15.75" customHeight="1" s="305">
      <c r="A296" s="225" t="inlineStr">
        <is>
          <t>OUTBOUND_TOTAL_FEES</t>
        </is>
      </c>
      <c r="B296" s="67" t="inlineStr">
        <is>
          <t>Tổng cước</t>
        </is>
      </c>
      <c r="C296" s="67" t="inlineStr">
        <is>
          <t>Total fees</t>
        </is>
      </c>
      <c r="D296" s="3">
        <f>IFERROR(__xludf.DUMMYFUNCTION("GOOGLETRANSLATE(B296,""vi"",""km"")"),"ការគិតថ្លៃសរុប")</f>
        <v/>
      </c>
      <c r="E296" s="3" t="inlineStr">
        <is>
          <t>ការគិតថ្លៃសរុប</t>
        </is>
      </c>
      <c r="F296" s="3" t="inlineStr">
        <is>
          <t>ថ្លៃដឹកជញ្ជូនសរុប</t>
        </is>
      </c>
      <c r="G296" s="3" t="n"/>
      <c r="H296" t="inlineStr">
        <is>
          <t>ថ្លៃដឹកជញ្ជូនសរុប</t>
        </is>
      </c>
      <c r="I296" s="67" t="n"/>
      <c r="J296" s="67" t="n"/>
      <c r="K296" s="67" t="n"/>
      <c r="L296" s="67" t="n"/>
      <c r="M296" s="67" t="n"/>
      <c r="N296" s="67" t="n"/>
      <c r="O296" s="67" t="n"/>
      <c r="P296" s="67" t="n"/>
      <c r="Q296" s="67" t="n"/>
      <c r="R296" s="67" t="n"/>
      <c r="S296" s="67" t="n"/>
      <c r="T296" s="67" t="n"/>
      <c r="U296" s="67" t="n"/>
      <c r="V296" s="67" t="n"/>
      <c r="W296" s="67" t="n"/>
      <c r="X296" s="67" t="n"/>
      <c r="Y296" s="67" t="n"/>
      <c r="Z296" s="67" t="n"/>
      <c r="AA296" s="67" t="n"/>
      <c r="AB296" s="67" t="n"/>
    </row>
    <row r="297" ht="15.75" customHeight="1" s="305">
      <c r="A297" s="225" t="inlineStr">
        <is>
          <t>OUTBOUND_COD</t>
        </is>
      </c>
      <c r="B297" s="67" t="inlineStr">
        <is>
          <t>COD</t>
        </is>
      </c>
      <c r="C297" s="67" t="inlineStr">
        <is>
          <t>Total COD</t>
        </is>
      </c>
      <c r="D297" s="3">
        <f>IFERROR(__xludf.DUMMYFUNCTION("GOOGLETRANSLATE(B297,""vi"",""km"")"),"ប្រតិបត្តិការ​ទូទាត់​ថ្លៃ​សេវា​ (COD)")</f>
        <v/>
      </c>
      <c r="E297" s="3" t="inlineStr">
        <is>
          <t>COD</t>
        </is>
      </c>
      <c r="F297" s="3" t="inlineStr">
        <is>
          <t>ប្រតិបត្តិការទូទាត់ថ្លៃសេវា (COD)</t>
        </is>
      </c>
      <c r="G297" s="3" t="n"/>
      <c r="H297" t="inlineStr">
        <is>
          <t>ប្រតិបត្តិការទូទាត់ថ្លៃសេវា (COD)</t>
        </is>
      </c>
      <c r="I297" s="67" t="n"/>
      <c r="J297" s="67" t="n"/>
      <c r="K297" s="67" t="n"/>
      <c r="L297" s="67" t="n"/>
      <c r="M297" s="67" t="n"/>
      <c r="N297" s="67" t="n"/>
      <c r="O297" s="67" t="n"/>
      <c r="P297" s="67" t="n"/>
      <c r="Q297" s="67" t="n"/>
      <c r="R297" s="67" t="n"/>
      <c r="S297" s="67" t="n"/>
      <c r="T297" s="67" t="n"/>
      <c r="U297" s="67" t="n"/>
      <c r="V297" s="67" t="n"/>
      <c r="W297" s="67" t="n"/>
      <c r="X297" s="67" t="n"/>
      <c r="Y297" s="67" t="n"/>
      <c r="Z297" s="67" t="n"/>
      <c r="AA297" s="67" t="n"/>
      <c r="AB297" s="67" t="n"/>
    </row>
    <row r="298" ht="15.75" customHeight="1" s="305">
      <c r="A298" s="225" t="inlineStr">
        <is>
          <t>HEADER_REVENUE_REPORT</t>
        </is>
      </c>
      <c r="B298" s="67" t="inlineStr">
        <is>
          <t>BÁO CÁO DOANH THU - SẢN LƯỢNG</t>
        </is>
      </c>
      <c r="C298" s="67" t="inlineStr">
        <is>
          <t>REVENUE - QUANTITY REPORT</t>
        </is>
      </c>
      <c r="D298" s="3">
        <f>IFERROR(__xludf.DUMMYFUNCTION("GOOGLETRANSLATE(B298,""vi"",""km"")"),"របាយការណ៍លក់ និងផលិតកម្ម")</f>
        <v/>
      </c>
      <c r="E298" s="3" t="inlineStr">
        <is>
          <t>របាយការណ៍ចំណូល - របាយការណ៍ផលិតកម្ម</t>
        </is>
      </c>
      <c r="F298" s="3" t="inlineStr">
        <is>
          <t>របាយការណ៍លក់ និងផលិតកម្ម</t>
        </is>
      </c>
      <c r="G298" s="3" t="n"/>
      <c r="H298" t="inlineStr">
        <is>
          <t>របាយការណ៍លក់ និងផលិតកម្ម</t>
        </is>
      </c>
      <c r="I298" s="67" t="n"/>
      <c r="J298" s="67" t="n"/>
      <c r="K298" s="67" t="n"/>
      <c r="L298" s="67" t="n"/>
      <c r="M298" s="67" t="n"/>
      <c r="N298" s="67" t="n"/>
      <c r="O298" s="67" t="n"/>
      <c r="P298" s="67" t="n"/>
      <c r="Q298" s="67" t="n"/>
      <c r="R298" s="67" t="n"/>
      <c r="S298" s="67" t="n"/>
      <c r="T298" s="67" t="n"/>
      <c r="U298" s="67" t="n"/>
      <c r="V298" s="67" t="n"/>
      <c r="W298" s="67" t="n"/>
      <c r="X298" s="67" t="n"/>
      <c r="Y298" s="67" t="n"/>
      <c r="Z298" s="67" t="n"/>
      <c r="AA298" s="67" t="n"/>
      <c r="AB298" s="67" t="n"/>
    </row>
    <row r="299" ht="15.75" customHeight="1" s="305">
      <c r="A299" s="225" t="inlineStr">
        <is>
          <t>BOTTOM_REVENUE_REPORT</t>
        </is>
      </c>
      <c r="B299" s="67" t="inlineStr">
        <is>
          <t>BÁO CÁO DOANH THU - SẢN LƯỢNG</t>
        </is>
      </c>
      <c r="C299" s="67" t="inlineStr">
        <is>
          <t>REVENUE - QUANTITY REPORT</t>
        </is>
      </c>
      <c r="D299" s="3">
        <f>IFERROR(__xludf.DUMMYFUNCTION("GOOGLETRANSLATE(B299,""vi"",""km"")"),"របាយការណ៍លក់ និងផលិតកម្ម")</f>
        <v/>
      </c>
      <c r="E299" s="3" t="inlineStr">
        <is>
          <t>បរិមាណរបាយការណ៍ចំណូល - ចំណូល របាយការណ៍</t>
        </is>
      </c>
      <c r="F299" s="3" t="inlineStr">
        <is>
          <t>របាយការណ៍លក់ និងផលិតកម្ម</t>
        </is>
      </c>
      <c r="G299" s="3" t="n"/>
      <c r="H299" t="inlineStr">
        <is>
          <t>របាយការណ៍លក់ និងផលិតកម្ម</t>
        </is>
      </c>
      <c r="I299" s="67" t="n"/>
      <c r="J299" s="67" t="n"/>
      <c r="K299" s="67" t="n"/>
      <c r="L299" s="67" t="n"/>
      <c r="M299" s="67" t="n"/>
      <c r="N299" s="67" t="n"/>
      <c r="O299" s="67" t="n"/>
      <c r="P299" s="67" t="n"/>
      <c r="Q299" s="67" t="n"/>
      <c r="R299" s="67" t="n"/>
      <c r="S299" s="67" t="n"/>
      <c r="T299" s="67" t="n"/>
      <c r="U299" s="67" t="n"/>
      <c r="V299" s="67" t="n"/>
      <c r="W299" s="67" t="n"/>
      <c r="X299" s="67" t="n"/>
      <c r="Y299" s="67" t="n"/>
      <c r="Z299" s="67" t="n"/>
      <c r="AA299" s="67" t="n"/>
      <c r="AB299" s="67" t="n"/>
    </row>
    <row r="300" ht="15.75" customHeight="1" s="305">
      <c r="A300" s="225" t="inlineStr">
        <is>
          <t>HEADER_BACKLOG_REPORT</t>
        </is>
      </c>
      <c r="B300" s="67" t="inlineStr">
        <is>
          <t>BÁO CÁO TỒN GIAO</t>
        </is>
      </c>
      <c r="C300" s="67" t="inlineStr">
        <is>
          <t>BACKLOG REPORT</t>
        </is>
      </c>
      <c r="D300" s="3">
        <f>IFERROR(__xludf.DUMMYFUNCTION("GOOGLETRANSLATE(B300,""vi"",""km"")"),"របាយការណ៍ដែលមានស្រាប់")</f>
        <v/>
      </c>
      <c r="E300" s="3" t="inlineStr">
        <is>
          <t>របាយការណ៍ចំណូល</t>
        </is>
      </c>
      <c r="F300" s="3" t="inlineStr">
        <is>
          <t>របាយការណ៍ដែលមានស្រាប់</t>
        </is>
      </c>
      <c r="G300" s="3" t="n"/>
      <c r="H300" t="inlineStr">
        <is>
          <t>របាយការណ៍ដែលមានស្រាប់</t>
        </is>
      </c>
      <c r="I300" s="67" t="n"/>
      <c r="J300" s="67" t="n"/>
      <c r="K300" s="67" t="n"/>
      <c r="L300" s="67" t="n"/>
      <c r="M300" s="67" t="n"/>
      <c r="N300" s="67" t="n"/>
      <c r="O300" s="67" t="n"/>
      <c r="P300" s="67" t="n"/>
      <c r="Q300" s="67" t="n"/>
      <c r="R300" s="67" t="n"/>
      <c r="S300" s="67" t="n"/>
      <c r="T300" s="67" t="n"/>
      <c r="U300" s="67" t="n"/>
      <c r="V300" s="67" t="n"/>
      <c r="W300" s="67" t="n"/>
      <c r="X300" s="67" t="n"/>
      <c r="Y300" s="67" t="n"/>
      <c r="Z300" s="67" t="n"/>
      <c r="AA300" s="67" t="n"/>
      <c r="AB300" s="67" t="n"/>
    </row>
    <row r="301" ht="15.75" customHeight="1" s="305">
      <c r="A301" s="225" t="inlineStr">
        <is>
          <t>BOTTOM_BACKLOG_REPORT</t>
        </is>
      </c>
      <c r="B301" s="67" t="inlineStr">
        <is>
          <t>BÁO CÁO TỒN GIAO</t>
        </is>
      </c>
      <c r="C301" s="67" t="inlineStr">
        <is>
          <t>BACKLOG REPORT</t>
        </is>
      </c>
      <c r="D301" s="3">
        <f>IFERROR(__xludf.DUMMYFUNCTION("GOOGLETRANSLATE(B301,""vi"",""km"")"),"របាយការណ៍ដែលមានស្រាប់")</f>
        <v/>
      </c>
      <c r="E301" s="3" t="inlineStr">
        <is>
          <t>របាយការណ៍ចំណូល</t>
        </is>
      </c>
      <c r="F301" s="3" t="inlineStr">
        <is>
          <t>របាយការណ៍ដែលមានស្រាប់</t>
        </is>
      </c>
      <c r="G301" s="3" t="n"/>
      <c r="H301" t="inlineStr">
        <is>
          <t>របាយការណ៍ដែលមានស្រាប់</t>
        </is>
      </c>
      <c r="I301" s="67" t="n"/>
      <c r="J301" s="67" t="n"/>
      <c r="K301" s="67" t="n"/>
      <c r="L301" s="67" t="n"/>
      <c r="M301" s="67" t="n"/>
      <c r="N301" s="67" t="n"/>
      <c r="O301" s="67" t="n"/>
      <c r="P301" s="67" t="n"/>
      <c r="Q301" s="67" t="n"/>
      <c r="R301" s="67" t="n"/>
      <c r="S301" s="67" t="n"/>
      <c r="T301" s="67" t="n"/>
      <c r="U301" s="67" t="n"/>
      <c r="V301" s="67" t="n"/>
      <c r="W301" s="67" t="n"/>
      <c r="X301" s="67" t="n"/>
      <c r="Y301" s="67" t="n"/>
      <c r="Z301" s="67" t="n"/>
      <c r="AA301" s="67" t="n"/>
      <c r="AB301" s="67" t="n"/>
    </row>
    <row r="302" ht="15.75" customHeight="1" s="305">
      <c r="A302" s="225" t="inlineStr">
        <is>
          <t>HEADER_INVENTORY_REPORT</t>
        </is>
      </c>
      <c r="B302" s="67" t="inlineStr">
        <is>
          <t>BÁO CÁO TỒN THU</t>
        </is>
      </c>
      <c r="C302" s="67" t="inlineStr">
        <is>
          <t>INVENTORY REPORT</t>
        </is>
      </c>
      <c r="D302" s="3">
        <f>IFERROR(__xludf.DUMMYFUNCTION("GOOGLETRANSLATE(B302,""vi"",""km"")"),"របាយការណ៍ចំណូល")</f>
        <v/>
      </c>
      <c r="E302" s="3" t="inlineStr">
        <is>
          <t>របាយការណ៍ចំណូល</t>
        </is>
      </c>
      <c r="F302" s="3" t="inlineStr">
        <is>
          <t>របាយការណ៍ចំណូល</t>
        </is>
      </c>
      <c r="G302" s="3" t="n"/>
      <c r="H302" t="inlineStr">
        <is>
          <t>របាយការណ៍ចំណូល</t>
        </is>
      </c>
      <c r="I302" s="67" t="n"/>
      <c r="J302" s="67" t="n"/>
      <c r="K302" s="67" t="n"/>
      <c r="L302" s="67" t="n"/>
      <c r="M302" s="67" t="n"/>
      <c r="N302" s="67" t="n"/>
      <c r="O302" s="67" t="n"/>
      <c r="P302" s="67" t="n"/>
      <c r="Q302" s="67" t="n"/>
      <c r="R302" s="67" t="n"/>
      <c r="S302" s="67" t="n"/>
      <c r="T302" s="67" t="n"/>
      <c r="U302" s="67" t="n"/>
      <c r="V302" s="67" t="n"/>
      <c r="W302" s="67" t="n"/>
      <c r="X302" s="67" t="n"/>
      <c r="Y302" s="67" t="n"/>
      <c r="Z302" s="67" t="n"/>
      <c r="AA302" s="67" t="n"/>
      <c r="AB302" s="67" t="n"/>
    </row>
    <row r="303" ht="15.75" customHeight="1" s="305">
      <c r="A303" s="225" t="inlineStr">
        <is>
          <t>BOTTOM_INVENTORY_REPORT</t>
        </is>
      </c>
      <c r="B303" s="67" t="inlineStr">
        <is>
          <t>BÁO CÁO TỒN THU</t>
        </is>
      </c>
      <c r="C303" s="67" t="inlineStr">
        <is>
          <t>INVENTORY REPORT</t>
        </is>
      </c>
      <c r="D303" s="3">
        <f>IFERROR(__xludf.DUMMYFUNCTION("GOOGLETRANSLATE(B303,""vi"",""km"")"),"របាយការណ៍ចំណូល")</f>
        <v/>
      </c>
      <c r="E303" s="3" t="inlineStr">
        <is>
          <t>របាយការណ៍ចំណូល</t>
        </is>
      </c>
      <c r="F303" s="3" t="inlineStr">
        <is>
          <t>របាយការណ៍ចំណូល</t>
        </is>
      </c>
      <c r="G303" s="3" t="n"/>
      <c r="H303" t="inlineStr">
        <is>
          <t>របាយការណ៍ចំណូល</t>
        </is>
      </c>
      <c r="I303" s="67" t="n"/>
      <c r="J303" s="67" t="n"/>
      <c r="K303" s="67" t="n"/>
      <c r="L303" s="67" t="n"/>
      <c r="M303" s="67" t="n"/>
      <c r="N303" s="67" t="n"/>
      <c r="O303" s="67" t="n"/>
      <c r="P303" s="67" t="n"/>
      <c r="Q303" s="67" t="n"/>
      <c r="R303" s="67" t="n"/>
      <c r="S303" s="67" t="n"/>
      <c r="T303" s="67" t="n"/>
      <c r="U303" s="67" t="n"/>
      <c r="V303" s="67" t="n"/>
      <c r="W303" s="67" t="n"/>
      <c r="X303" s="67" t="n"/>
      <c r="Y303" s="67" t="n"/>
      <c r="Z303" s="67" t="n"/>
      <c r="AA303" s="67" t="n"/>
      <c r="AB303" s="67" t="n"/>
    </row>
    <row r="304" ht="15.75" customHeight="1" s="305">
      <c r="A304" s="225" t="inlineStr">
        <is>
          <t>HEADER_ORDER_PHASE_REPORT</t>
        </is>
      </c>
      <c r="B304" s="67" t="inlineStr">
        <is>
          <t>BÁO CÁO TỔNG HỢP ĐƠN HÀNG</t>
        </is>
      </c>
      <c r="C304" s="67" t="inlineStr">
        <is>
          <t>ORDER SUMMERY REPORT</t>
        </is>
      </c>
      <c r="D304" s="3">
        <f>IFERROR(__xludf.DUMMYFUNCTION("GOOGLETRANSLATE(B304,""vi"",""km"")"),"របាយការណ៍សង្ខេបនៃការបញ្ជាទិញ")</f>
        <v/>
      </c>
      <c r="E304" s="3" t="inlineStr">
        <is>
          <t>របាយការណ៍សង្ខេបការបញ្ជាទិញ</t>
        </is>
      </c>
      <c r="F304" s="3" t="inlineStr">
        <is>
          <t>របាយការណ៍សង្ខេបនៃការបញ្ជាទិញ</t>
        </is>
      </c>
      <c r="G304" s="3" t="n"/>
      <c r="H304" t="inlineStr">
        <is>
          <t>របាយការណ៍សង្ខេបនៃការបញ្ជាទិញ</t>
        </is>
      </c>
      <c r="I304" s="67" t="n"/>
      <c r="J304" s="67" t="n"/>
      <c r="K304" s="67" t="n"/>
      <c r="L304" s="67" t="n"/>
      <c r="M304" s="67" t="n"/>
      <c r="N304" s="67" t="n"/>
      <c r="O304" s="67" t="n"/>
      <c r="P304" s="67" t="n"/>
      <c r="Q304" s="67" t="n"/>
      <c r="R304" s="67" t="n"/>
      <c r="S304" s="67" t="n"/>
      <c r="T304" s="67" t="n"/>
      <c r="U304" s="67" t="n"/>
      <c r="V304" s="67" t="n"/>
      <c r="W304" s="67" t="n"/>
      <c r="X304" s="67" t="n"/>
      <c r="Y304" s="67" t="n"/>
      <c r="Z304" s="67" t="n"/>
      <c r="AA304" s="67" t="n"/>
      <c r="AB304" s="67" t="n"/>
    </row>
    <row r="305" ht="15.75" customHeight="1" s="305">
      <c r="A305" s="225" t="inlineStr">
        <is>
          <t>BOTTOM_ORDER_PHASE_REPORT</t>
        </is>
      </c>
      <c r="B305" s="67" t="inlineStr">
        <is>
          <t>BÁO CÁO TỔNG HỢP ĐƠN HÀNG</t>
        </is>
      </c>
      <c r="C305" s="67" t="inlineStr">
        <is>
          <t>ORDER SUMMERY REPORT</t>
        </is>
      </c>
      <c r="D305" s="3">
        <f>IFERROR(__xludf.DUMMYFUNCTION("GOOGLETRANSLATE(B305,""vi"",""km"")"),"របាយការណ៍សង្ខេបនៃការបញ្ជាទិញ")</f>
        <v/>
      </c>
      <c r="E305" s="3" t="inlineStr">
        <is>
          <t>របាយការណ៍សង្ខេបការបញ្ជាទិញ</t>
        </is>
      </c>
      <c r="F305" s="3" t="inlineStr">
        <is>
          <t>របាយការណ៍សង្ខេបនៃការបញ្ជាទិញ</t>
        </is>
      </c>
      <c r="G305" s="3" t="n"/>
      <c r="H305" t="inlineStr">
        <is>
          <t>របាយការណ៍សង្ខេបនៃការបញ្ជាទិញ</t>
        </is>
      </c>
      <c r="I305" s="67" t="n"/>
      <c r="J305" s="67" t="n"/>
      <c r="K305" s="67" t="n"/>
      <c r="L305" s="67" t="n"/>
      <c r="M305" s="67" t="n"/>
      <c r="N305" s="67" t="n"/>
      <c r="O305" s="67" t="n"/>
      <c r="P305" s="67" t="n"/>
      <c r="Q305" s="67" t="n"/>
      <c r="R305" s="67" t="n"/>
      <c r="S305" s="67" t="n"/>
      <c r="T305" s="67" t="n"/>
      <c r="U305" s="67" t="n"/>
      <c r="V305" s="67" t="n"/>
      <c r="W305" s="67" t="n"/>
      <c r="X305" s="67" t="n"/>
      <c r="Y305" s="67" t="n"/>
      <c r="Z305" s="67" t="n"/>
      <c r="AA305" s="67" t="n"/>
      <c r="AB305" s="67" t="n"/>
    </row>
    <row r="306" ht="15.75" customHeight="1" s="305">
      <c r="A306" s="225" t="inlineStr">
        <is>
          <t>REPORT_REVENUE_FILE_NAME</t>
        </is>
      </c>
      <c r="B306" s="67" t="inlineStr">
        <is>
          <t>Baocaodoanhthu_sanluong</t>
        </is>
      </c>
      <c r="C306" s="67" t="inlineStr">
        <is>
          <t>Baocaodoanhthu_sanluong</t>
        </is>
      </c>
      <c r="D306" s="3">
        <f>IFERROR(__xludf.DUMMYFUNCTION("GOOGLETRANSLATE(B306,""vi"",""km"")"),"Baocaodoanhthu_sanluong")</f>
        <v/>
      </c>
      <c r="E306" s="3" t="inlineStr">
        <is>
          <t>របាយការណ៍ចំណូល_បរិមាណ</t>
        </is>
      </c>
      <c r="F306" s="3" t="inlineStr">
        <is>
          <t>របាយការណ៍ចំណូល និងបរិមាណបញ្ញើ</t>
        </is>
      </c>
      <c r="G306" s="3" t="n"/>
      <c r="H306" t="inlineStr">
        <is>
          <t>របាយការណ៍ចំណូល និងបរិមាណបញ្ញើ</t>
        </is>
      </c>
      <c r="I306" s="67" t="n"/>
      <c r="J306" s="67" t="n"/>
      <c r="K306" s="67" t="n"/>
      <c r="L306" s="67" t="n"/>
      <c r="M306" s="67" t="n"/>
      <c r="N306" s="67" t="n"/>
      <c r="O306" s="67" t="n"/>
      <c r="P306" s="67" t="n"/>
      <c r="Q306" s="67" t="n"/>
      <c r="R306" s="67" t="n"/>
      <c r="S306" s="67" t="n"/>
      <c r="T306" s="67" t="n"/>
      <c r="U306" s="67" t="n"/>
      <c r="V306" s="67" t="n"/>
      <c r="W306" s="67" t="n"/>
      <c r="X306" s="67" t="n"/>
      <c r="Y306" s="67" t="n"/>
      <c r="Z306" s="67" t="n"/>
      <c r="AA306" s="67" t="n"/>
      <c r="AB306" s="67" t="n"/>
    </row>
    <row r="307" ht="15.75" customHeight="1" s="305">
      <c r="A307" s="225" t="inlineStr">
        <is>
          <t>REPORT_DETAIL_REVENUE_FILE_NAME</t>
        </is>
      </c>
      <c r="B307" s="67" t="inlineStr">
        <is>
          <t>Chitietbaocaodoanhthu</t>
        </is>
      </c>
      <c r="C307" s="67" t="inlineStr">
        <is>
          <t>Chitietbaocaodoanhthu</t>
        </is>
      </c>
      <c r="D307" s="3">
        <f>IFERROR(__xludf.DUMMYFUNCTION("GOOGLETRANSLATE(B307,""vi"",""km"")"),"ឈិត បៅ អូក ដូនថូ")</f>
        <v/>
      </c>
      <c r="E307" s="3" t="inlineStr">
        <is>
          <t>របាយការណ៍ចំណូលលម្អិត</t>
        </is>
      </c>
      <c r="F307" s="3" t="inlineStr">
        <is>
          <t>ព័ត៌មានលម្អិតរបាយការណ៍ចំណូល</t>
        </is>
      </c>
      <c r="G307" s="3" t="n"/>
      <c r="H307" t="inlineStr">
        <is>
          <t>ព័ត៌មានលម្អិតរបាយការណ៍ចំណូល</t>
        </is>
      </c>
      <c r="I307" s="67" t="n"/>
      <c r="J307" s="67" t="n"/>
      <c r="K307" s="67" t="n"/>
      <c r="L307" s="67" t="n"/>
      <c r="M307" s="67" t="n"/>
      <c r="N307" s="67" t="n"/>
      <c r="O307" s="67" t="n"/>
      <c r="P307" s="67" t="n"/>
      <c r="Q307" s="67" t="n"/>
      <c r="R307" s="67" t="n"/>
      <c r="S307" s="67" t="n"/>
      <c r="T307" s="67" t="n"/>
      <c r="U307" s="67" t="n"/>
      <c r="V307" s="67" t="n"/>
      <c r="W307" s="67" t="n"/>
      <c r="X307" s="67" t="n"/>
      <c r="Y307" s="67" t="n"/>
      <c r="Z307" s="67" t="n"/>
      <c r="AA307" s="67" t="n"/>
      <c r="AB307" s="67" t="n"/>
    </row>
    <row r="308" ht="15.75" customHeight="1" s="305">
      <c r="A308" s="225" t="inlineStr">
        <is>
          <t>REPORT_BACKLOG_FILE_NAME</t>
        </is>
      </c>
      <c r="B308" s="67" t="inlineStr">
        <is>
          <t>Chitiettongiao_</t>
        </is>
      </c>
      <c r="C308" s="67" t="inlineStr">
        <is>
          <t>Detailbacklog_</t>
        </is>
      </c>
      <c r="D308" s="3">
        <f>IFERROR(__xludf.DUMMYFUNCTION("GOOGLETRANSLATE(B308,""vi"",""km"")"),"ឈីទីតុងយ៉ាវ")</f>
        <v/>
      </c>
      <c r="E308" s="3" t="inlineStr">
        <is>
          <t>ការដឹកជញ្ជូនលម្អិត_</t>
        </is>
      </c>
      <c r="F308" s="3" t="inlineStr">
        <is>
          <t>ឈីទីតុងយ៉ាវ</t>
        </is>
      </c>
      <c r="G308" s="3" t="n"/>
      <c r="H308" t="inlineStr">
        <is>
          <t>ឈីទីតុងយ៉ាវ</t>
        </is>
      </c>
      <c r="I308" s="67" t="n"/>
      <c r="J308" s="67" t="n"/>
      <c r="K308" s="67" t="n"/>
      <c r="L308" s="67" t="n"/>
      <c r="M308" s="67" t="n"/>
      <c r="N308" s="67" t="n"/>
      <c r="O308" s="67" t="n"/>
      <c r="P308" s="67" t="n"/>
      <c r="Q308" s="67" t="n"/>
      <c r="R308" s="67" t="n"/>
      <c r="S308" s="67" t="n"/>
      <c r="T308" s="67" t="n"/>
      <c r="U308" s="67" t="n"/>
      <c r="V308" s="67" t="n"/>
      <c r="W308" s="67" t="n"/>
      <c r="X308" s="67" t="n"/>
      <c r="Y308" s="67" t="n"/>
      <c r="Z308" s="67" t="n"/>
      <c r="AA308" s="67" t="n"/>
      <c r="AB308" s="67" t="n"/>
    </row>
    <row r="309" ht="15.75" customHeight="1" s="305">
      <c r="A309" s="225" t="inlineStr">
        <is>
          <t>REPORT_INVENTORY_FILE_NAME</t>
        </is>
      </c>
      <c r="B309" s="67" t="inlineStr">
        <is>
          <t>Chitiettonthu_</t>
        </is>
      </c>
      <c r="C309" s="67" t="inlineStr">
        <is>
          <t>Detailinventory_</t>
        </is>
      </c>
      <c r="D309" s="3">
        <f>IFERROR(__xludf.DUMMYFUNCTION("GOOGLETRANSLATE(B309,""vi"",""km"")"),"ឈីទីតុងធូ")</f>
        <v/>
      </c>
      <c r="E309" s="3" t="inlineStr">
        <is>
          <t>របាយការណ៍ចំណូលលម្អិត_</t>
        </is>
      </c>
      <c r="F309" s="3" t="inlineStr">
        <is>
          <t>ឈីទីតុងធូ</t>
        </is>
      </c>
      <c r="G309" s="3" t="n"/>
      <c r="H309" t="inlineStr">
        <is>
          <t>ឈីទីតុងធូ</t>
        </is>
      </c>
      <c r="I309" s="67" t="n"/>
      <c r="J309" s="67" t="n"/>
      <c r="K309" s="67" t="n"/>
      <c r="L309" s="67" t="n"/>
      <c r="M309" s="67" t="n"/>
      <c r="N309" s="67" t="n"/>
      <c r="O309" s="67" t="n"/>
      <c r="P309" s="67" t="n"/>
      <c r="Q309" s="67" t="n"/>
      <c r="R309" s="67" t="n"/>
      <c r="S309" s="67" t="n"/>
      <c r="T309" s="67" t="n"/>
      <c r="U309" s="67" t="n"/>
      <c r="V309" s="67" t="n"/>
      <c r="W309" s="67" t="n"/>
      <c r="X309" s="67" t="n"/>
      <c r="Y309" s="67" t="n"/>
      <c r="Z309" s="67" t="n"/>
      <c r="AA309" s="67" t="n"/>
      <c r="AB309" s="67" t="n"/>
    </row>
    <row r="310" ht="15.75" customHeight="1" s="305">
      <c r="A310" s="225" t="inlineStr">
        <is>
          <t>ORDER_PHASE_REPORT_FILE_NAME</t>
        </is>
      </c>
      <c r="B310" s="67" t="inlineStr">
        <is>
          <t>Báo cáo tổng hợp đơn hàng</t>
        </is>
      </c>
      <c r="C310" s="67" t="inlineStr">
        <is>
          <t>Summary report</t>
        </is>
      </c>
      <c r="D310" s="3">
        <f>IFERROR(__xludf.DUMMYFUNCTION("GOOGLETRANSLATE(B310,""vi"",""km"")"),"របាយការណ៍សង្ខេបការបញ្ជាទិញ")</f>
        <v/>
      </c>
      <c r="E310" s="3" t="inlineStr">
        <is>
          <t>របាយការណ៍សង្ខេបការបញ្ជាទិញ</t>
        </is>
      </c>
      <c r="F310" s="3" t="inlineStr">
        <is>
          <t>របាយការណ៍សង្ខេបការបញ្ជាទិញ</t>
        </is>
      </c>
      <c r="G310" s="3" t="n"/>
      <c r="H310" t="inlineStr">
        <is>
          <t>របាយការណ៍សង្ខេបការបញ្ជាទិញ</t>
        </is>
      </c>
      <c r="I310" s="67" t="n"/>
      <c r="J310" s="67" t="n"/>
      <c r="K310" s="67" t="n"/>
      <c r="L310" s="67" t="n"/>
      <c r="M310" s="67" t="n"/>
      <c r="N310" s="67" t="n"/>
      <c r="O310" s="67" t="n"/>
      <c r="P310" s="67" t="n"/>
      <c r="Q310" s="67" t="n"/>
      <c r="R310" s="67" t="n"/>
      <c r="S310" s="67" t="n"/>
      <c r="T310" s="67" t="n"/>
      <c r="U310" s="67" t="n"/>
      <c r="V310" s="67" t="n"/>
      <c r="W310" s="67" t="n"/>
      <c r="X310" s="67" t="n"/>
      <c r="Y310" s="67" t="n"/>
      <c r="Z310" s="67" t="n"/>
      <c r="AA310" s="67" t="n"/>
      <c r="AB310" s="67" t="n"/>
    </row>
    <row r="311" ht="15.75" customHeight="1" s="305">
      <c r="A311" s="225" t="inlineStr">
        <is>
          <t>ORDER_DETAIL_REPORT_BY_STATUS_FILE_NAME</t>
        </is>
      </c>
      <c r="B311" s="67" t="inlineStr">
        <is>
          <t>Báo cáo chi tiết đơn hàng theo trạng thái</t>
        </is>
      </c>
      <c r="C311" s="67" t="inlineStr">
        <is>
          <t>Order status detail report</t>
        </is>
      </c>
      <c r="D311" s="3">
        <f>IFERROR(__xludf.DUMMYFUNCTION("GOOGLETRANSLATE(B311,""vi"",""km"")"),"របាយការណ៍បញ្ជាទិញលម្អិតតាមស្ថានភាព")</f>
        <v/>
      </c>
      <c r="E311" s="3" t="inlineStr">
        <is>
          <t>របាយការណ៍បញ្ជាទិញលម្អិតតាមស្ថានភាព</t>
        </is>
      </c>
      <c r="F311" s="3" t="inlineStr">
        <is>
          <t>របាយការណ៍បញ្ជាទិញលម្អិតតាមស្ថានភាព</t>
        </is>
      </c>
      <c r="G311" s="3" t="n"/>
      <c r="H311" t="inlineStr">
        <is>
          <t>របាយការណ៍បញ្ជាទិញលម្អិតតាមស្ថានភាព</t>
        </is>
      </c>
      <c r="I311" s="67" t="n"/>
      <c r="J311" s="67" t="n"/>
      <c r="K311" s="67" t="n"/>
      <c r="L311" s="67" t="n"/>
      <c r="M311" s="67" t="n"/>
      <c r="N311" s="67" t="n"/>
      <c r="O311" s="67" t="n"/>
      <c r="P311" s="67" t="n"/>
      <c r="Q311" s="67" t="n"/>
      <c r="R311" s="67" t="n"/>
      <c r="S311" s="67" t="n"/>
      <c r="T311" s="67" t="n"/>
      <c r="U311" s="67" t="n"/>
      <c r="V311" s="67" t="n"/>
      <c r="W311" s="67" t="n"/>
      <c r="X311" s="67" t="n"/>
      <c r="Y311" s="67" t="n"/>
      <c r="Z311" s="67" t="n"/>
      <c r="AA311" s="67" t="n"/>
      <c r="AB311" s="67" t="n"/>
    </row>
    <row r="312" ht="15.75" customHeight="1" s="305">
      <c r="A312" s="225" t="inlineStr">
        <is>
          <t>HEADER_CREATED_AT</t>
        </is>
      </c>
      <c r="B312" s="67" t="inlineStr">
        <is>
          <t>NGÀY TẠO</t>
        </is>
      </c>
      <c r="C312" s="67" t="inlineStr">
        <is>
          <t>CREATE DATE</t>
        </is>
      </c>
      <c r="D312" s="3">
        <f>IFERROR(__xludf.DUMMYFUNCTION("GOOGLETRANSLATE(B312,""vi"",""km"")"),"កាលបរិច្ឆេទបង្កើត")</f>
        <v/>
      </c>
      <c r="E312" s="3" t="inlineStr">
        <is>
          <t>កាលបរិច្ឆេទបង្កើត</t>
        </is>
      </c>
      <c r="F312" s="3" t="inlineStr">
        <is>
          <t>កាលបរិច្ឆេទបង្កើត</t>
        </is>
      </c>
      <c r="G312" s="3" t="n"/>
      <c r="H312" t="inlineStr">
        <is>
          <t>កាលបរិច្ឆេទបង្កើត</t>
        </is>
      </c>
      <c r="I312" s="67" t="n"/>
      <c r="J312" s="67" t="n"/>
      <c r="K312" s="67" t="n"/>
      <c r="L312" s="67" t="n"/>
      <c r="M312" s="67" t="n"/>
      <c r="N312" s="67" t="n"/>
      <c r="O312" s="67" t="n"/>
      <c r="P312" s="67" t="n"/>
      <c r="Q312" s="67" t="n"/>
      <c r="R312" s="67" t="n"/>
      <c r="S312" s="67" t="n"/>
      <c r="T312" s="67" t="n"/>
      <c r="U312" s="67" t="n"/>
      <c r="V312" s="67" t="n"/>
      <c r="W312" s="67" t="n"/>
      <c r="X312" s="67" t="n"/>
      <c r="Y312" s="67" t="n"/>
      <c r="Z312" s="67" t="n"/>
      <c r="AA312" s="67" t="n"/>
      <c r="AB312" s="67" t="n"/>
    </row>
    <row r="313" ht="15.75" customHeight="1" s="305">
      <c r="A313" s="225" t="inlineStr">
        <is>
          <t>HEADER_ORDER_ID</t>
        </is>
      </c>
      <c r="B313" s="67" t="inlineStr">
        <is>
          <t>MÃ VẬN ĐƠN</t>
        </is>
      </c>
      <c r="C313" s="67" t="inlineStr">
        <is>
          <t>ORDER ID</t>
        </is>
      </c>
      <c r="D313" s="3">
        <f>IFERROR(__xludf.DUMMYFUNCTION("GOOGLETRANSLATE(B313,""vi"",""km"")"),"លេខតាមដាន")</f>
        <v/>
      </c>
      <c r="E313" s="3" t="inlineStr">
        <is>
          <t>លេខកូដត្រាក់ទ័រ</t>
        </is>
      </c>
      <c r="F313" s="3" t="inlineStr">
        <is>
          <t>លេខតាមដាន</t>
        </is>
      </c>
      <c r="G313" s="3" t="n"/>
      <c r="H313" t="inlineStr">
        <is>
          <t>លេខតាមដាន</t>
        </is>
      </c>
      <c r="I313" s="67" t="n"/>
      <c r="J313" s="67" t="n"/>
      <c r="K313" s="67" t="n"/>
      <c r="L313" s="67" t="n"/>
      <c r="M313" s="67" t="n"/>
      <c r="N313" s="67" t="n"/>
      <c r="O313" s="67" t="n"/>
      <c r="P313" s="67" t="n"/>
      <c r="Q313" s="67" t="n"/>
      <c r="R313" s="67" t="n"/>
      <c r="S313" s="67" t="n"/>
      <c r="T313" s="67" t="n"/>
      <c r="U313" s="67" t="n"/>
      <c r="V313" s="67" t="n"/>
      <c r="W313" s="67" t="n"/>
      <c r="X313" s="67" t="n"/>
      <c r="Y313" s="67" t="n"/>
      <c r="Z313" s="67" t="n"/>
      <c r="AA313" s="67" t="n"/>
      <c r="AB313" s="67" t="n"/>
    </row>
    <row r="314" ht="15.75" customHeight="1" s="305">
      <c r="A314" s="225" t="inlineStr">
        <is>
          <t>HEADER_SENDER</t>
        </is>
      </c>
      <c r="B314" s="67" t="inlineStr">
        <is>
          <t>NGƯỜI GỬI</t>
        </is>
      </c>
      <c r="C314" s="67" t="inlineStr">
        <is>
          <t>SENDER</t>
        </is>
      </c>
      <c r="D314" s="3">
        <f>IFERROR(__xludf.DUMMYFUNCTION("GOOGLETRANSLATE(B314,""vi"",""km"")"),"អ្នកផ្ញើ")</f>
        <v/>
      </c>
      <c r="E314" s="3" t="inlineStr">
        <is>
          <t>អ្នកផ្ញើ</t>
        </is>
      </c>
      <c r="F314" s="3" t="inlineStr">
        <is>
          <t>អ្នកផ្ញើ</t>
        </is>
      </c>
      <c r="G314" s="3" t="n"/>
      <c r="H314" t="inlineStr">
        <is>
          <t>អ្នកផ្ញើ</t>
        </is>
      </c>
      <c r="I314" s="67" t="n"/>
      <c r="J314" s="67" t="n"/>
      <c r="K314" s="67" t="n"/>
      <c r="L314" s="67" t="n"/>
      <c r="M314" s="67" t="n"/>
      <c r="N314" s="67" t="n"/>
      <c r="O314" s="67" t="n"/>
      <c r="P314" s="67" t="n"/>
      <c r="Q314" s="67" t="n"/>
      <c r="R314" s="67" t="n"/>
      <c r="S314" s="67" t="n"/>
      <c r="T314" s="67" t="n"/>
      <c r="U314" s="67" t="n"/>
      <c r="V314" s="67" t="n"/>
      <c r="W314" s="67" t="n"/>
      <c r="X314" s="67" t="n"/>
      <c r="Y314" s="67" t="n"/>
      <c r="Z314" s="67" t="n"/>
      <c r="AA314" s="67" t="n"/>
      <c r="AB314" s="67" t="n"/>
    </row>
    <row r="315" ht="15.75" customHeight="1" s="305">
      <c r="A315" s="225" t="inlineStr">
        <is>
          <t>HEADER_RECEIVER</t>
        </is>
      </c>
      <c r="B315" s="67" t="inlineStr">
        <is>
          <t>NGƯỜI NHẬN</t>
        </is>
      </c>
      <c r="C315" s="67" t="inlineStr">
        <is>
          <t>RECEIVER</t>
        </is>
      </c>
      <c r="D315" s="3">
        <f>IFERROR(__xludf.DUMMYFUNCTION("GOOGLETRANSLATE(B315,""vi"",""km"")"),"អ្នកទទួល")</f>
        <v/>
      </c>
      <c r="E315" s="3" t="inlineStr">
        <is>
          <t>អ្នកទទួល</t>
        </is>
      </c>
      <c r="F315" s="3" t="inlineStr">
        <is>
          <t>អ្នកទទួល</t>
        </is>
      </c>
      <c r="G315" s="3" t="n"/>
      <c r="H315" t="inlineStr">
        <is>
          <t>អ្នកទទួល</t>
        </is>
      </c>
      <c r="I315" s="67" t="n"/>
      <c r="J315" s="67" t="n"/>
      <c r="K315" s="67" t="n"/>
      <c r="L315" s="67" t="n"/>
      <c r="M315" s="67" t="n"/>
      <c r="N315" s="67" t="n"/>
      <c r="O315" s="67" t="n"/>
      <c r="P315" s="67" t="n"/>
      <c r="Q315" s="67" t="n"/>
      <c r="R315" s="67" t="n"/>
      <c r="S315" s="67" t="n"/>
      <c r="T315" s="67" t="n"/>
      <c r="U315" s="67" t="n"/>
      <c r="V315" s="67" t="n"/>
      <c r="W315" s="67" t="n"/>
      <c r="X315" s="67" t="n"/>
      <c r="Y315" s="67" t="n"/>
      <c r="Z315" s="67" t="n"/>
      <c r="AA315" s="67" t="n"/>
      <c r="AB315" s="67" t="n"/>
    </row>
    <row r="316" ht="15.75" customHeight="1" s="305">
      <c r="A316" s="225" t="inlineStr">
        <is>
          <t>HEADER_SERVICE</t>
        </is>
      </c>
      <c r="B316" s="67" t="inlineStr">
        <is>
          <t>DỊCH VỤ</t>
        </is>
      </c>
      <c r="C316" s="67" t="inlineStr">
        <is>
          <t>SERVICE</t>
        </is>
      </c>
      <c r="D316" s="3">
        <f>IFERROR(__xludf.DUMMYFUNCTION("GOOGLETRANSLATE(B316,""vi"",""km"")"),"សេវាកម្ម")</f>
        <v/>
      </c>
      <c r="E316" s="3" t="inlineStr">
        <is>
          <t>សេវាកម្ម</t>
        </is>
      </c>
      <c r="F316" s="3" t="inlineStr">
        <is>
          <t>សេវាកម្ម</t>
        </is>
      </c>
      <c r="G316" s="3" t="n"/>
      <c r="H316" t="inlineStr">
        <is>
          <t>សេវាកម្ម</t>
        </is>
      </c>
      <c r="I316" s="67" t="n"/>
      <c r="J316" s="67" t="n"/>
      <c r="K316" s="67" t="n"/>
      <c r="L316" s="67" t="n"/>
      <c r="M316" s="67" t="n"/>
      <c r="N316" s="67" t="n"/>
      <c r="O316" s="67" t="n"/>
      <c r="P316" s="67" t="n"/>
      <c r="Q316" s="67" t="n"/>
      <c r="R316" s="67" t="n"/>
      <c r="S316" s="67" t="n"/>
      <c r="T316" s="67" t="n"/>
      <c r="U316" s="67" t="n"/>
      <c r="V316" s="67" t="n"/>
      <c r="W316" s="67" t="n"/>
      <c r="X316" s="67" t="n"/>
      <c r="Y316" s="67" t="n"/>
      <c r="Z316" s="67" t="n"/>
      <c r="AA316" s="67" t="n"/>
      <c r="AB316" s="67" t="n"/>
    </row>
    <row r="317" ht="15.75" customHeight="1" s="305">
      <c r="A317" s="225" t="inlineStr">
        <is>
          <t>HEADER_PARCEL_TYPE</t>
        </is>
      </c>
      <c r="B317" s="67" t="inlineStr">
        <is>
          <t>LOẠI HH</t>
        </is>
      </c>
      <c r="C317" s="67" t="inlineStr">
        <is>
          <t>PARCEL TYPE</t>
        </is>
      </c>
      <c r="D317" s="3">
        <f>IFERROR(__xludf.DUMMYFUNCTION("GOOGLETRANSLATE(B317,""vi"",""km"")"),"ប្រភេទ HH")</f>
        <v/>
      </c>
      <c r="E317" s="3" t="inlineStr">
        <is>
          <t>ប្រភេទទំនិញ</t>
        </is>
      </c>
      <c r="F317" s="3" t="inlineStr">
        <is>
          <t>ប្រភេទ HH</t>
        </is>
      </c>
      <c r="G317" s="3" t="n"/>
      <c r="H317" t="inlineStr">
        <is>
          <t>ប្រភេទ HH</t>
        </is>
      </c>
      <c r="I317" s="67" t="n"/>
      <c r="J317" s="67" t="n"/>
      <c r="K317" s="67" t="n"/>
      <c r="L317" s="67" t="n"/>
      <c r="M317" s="67" t="n"/>
      <c r="N317" s="67" t="n"/>
      <c r="O317" s="67" t="n"/>
      <c r="P317" s="67" t="n"/>
      <c r="Q317" s="67" t="n"/>
      <c r="R317" s="67" t="n"/>
      <c r="S317" s="67" t="n"/>
      <c r="T317" s="67" t="n"/>
      <c r="U317" s="67" t="n"/>
      <c r="V317" s="67" t="n"/>
      <c r="W317" s="67" t="n"/>
      <c r="X317" s="67" t="n"/>
      <c r="Y317" s="67" t="n"/>
      <c r="Z317" s="67" t="n"/>
      <c r="AA317" s="67" t="n"/>
      <c r="AB317" s="67" t="n"/>
    </row>
    <row r="318" ht="15.75" customHeight="1" s="305">
      <c r="A318" s="225" t="inlineStr">
        <is>
          <t>HEADER_WEIGHT</t>
        </is>
      </c>
      <c r="B318" s="67" t="inlineStr">
        <is>
          <t>T.LƯỢNG (g)</t>
        </is>
      </c>
      <c r="C318" s="67" t="inlineStr">
        <is>
          <t>WEIGHT (g)</t>
        </is>
      </c>
      <c r="D318" s="3">
        <f>IFERROR(__xludf.DUMMYFUNCTION("GOOGLETRANSLATE(B318,""vi"",""km"")"),"ទម្ងន់ (ក្រាម)")</f>
        <v/>
      </c>
      <c r="E318" s="3" t="inlineStr">
        <is>
          <t>ទម្ងន់ (ក្រាម)</t>
        </is>
      </c>
      <c r="F318" s="3" t="inlineStr">
        <is>
          <t>ទម្ងន់ (ក្រាម)</t>
        </is>
      </c>
      <c r="G318" s="3" t="n"/>
      <c r="H318" t="inlineStr">
        <is>
          <t>ទម្ងន់ (ក្រាម)</t>
        </is>
      </c>
      <c r="I318" s="67" t="n"/>
      <c r="J318" s="67" t="n"/>
      <c r="K318" s="67" t="n"/>
      <c r="L318" s="67" t="n"/>
      <c r="M318" s="67" t="n"/>
      <c r="N318" s="67" t="n"/>
      <c r="O318" s="67" t="n"/>
      <c r="P318" s="67" t="n"/>
      <c r="Q318" s="67" t="n"/>
      <c r="R318" s="67" t="n"/>
      <c r="S318" s="67" t="n"/>
      <c r="T318" s="67" t="n"/>
      <c r="U318" s="67" t="n"/>
      <c r="V318" s="67" t="n"/>
      <c r="W318" s="67" t="n"/>
      <c r="X318" s="67" t="n"/>
      <c r="Y318" s="67" t="n"/>
      <c r="Z318" s="67" t="n"/>
      <c r="AA318" s="67" t="n"/>
      <c r="AB318" s="67" t="n"/>
    </row>
    <row r="319" ht="15.75" customHeight="1" s="305">
      <c r="A319" s="225" t="inlineStr">
        <is>
          <t>HEADER_PARCEL_NUMBER</t>
        </is>
      </c>
      <c r="B319" s="67" t="inlineStr">
        <is>
          <t>SỐ KIỆN</t>
        </is>
      </c>
      <c r="C319" s="67" t="inlineStr">
        <is>
          <t>PARCEL NUMBER</t>
        </is>
      </c>
      <c r="D319" s="3">
        <f>IFERROR(__xludf.DUMMYFUNCTION("GOOGLETRANSLATE(B319,""vi"",""km"")"),"ចំនួនករណី")</f>
        <v/>
      </c>
      <c r="E319" s="3" t="inlineStr">
        <is>
          <t>ចំនួនកញ្ចប់</t>
        </is>
      </c>
      <c r="F319" s="3" t="inlineStr">
        <is>
          <t>ចំនួនករណី</t>
        </is>
      </c>
      <c r="G319" s="3" t="n"/>
      <c r="H319" t="inlineStr">
        <is>
          <t>ចំនួនករណី</t>
        </is>
      </c>
      <c r="I319" s="67" t="n"/>
      <c r="J319" s="67" t="n"/>
      <c r="K319" s="67" t="n"/>
      <c r="L319" s="67" t="n"/>
      <c r="M319" s="67" t="n"/>
      <c r="N319" s="67" t="n"/>
      <c r="O319" s="67" t="n"/>
      <c r="P319" s="67" t="n"/>
      <c r="Q319" s="67" t="n"/>
      <c r="R319" s="67" t="n"/>
      <c r="S319" s="67" t="n"/>
      <c r="T319" s="67" t="n"/>
      <c r="U319" s="67" t="n"/>
      <c r="V319" s="67" t="n"/>
      <c r="W319" s="67" t="n"/>
      <c r="X319" s="67" t="n"/>
      <c r="Y319" s="67" t="n"/>
      <c r="Z319" s="67" t="n"/>
      <c r="AA319" s="67" t="n"/>
      <c r="AB319" s="67" t="n"/>
    </row>
    <row r="320" ht="15.75" customHeight="1" s="305">
      <c r="A320" s="225" t="inlineStr">
        <is>
          <t>HEADER_RECEIVE_PROVINCE</t>
        </is>
      </c>
      <c r="B320" s="67" t="inlineStr">
        <is>
          <t>TỈNH NHẬN</t>
        </is>
      </c>
      <c r="C320" s="67" t="inlineStr">
        <is>
          <t>RECEIVE PROVINCE</t>
        </is>
      </c>
      <c r="D320" s="3">
        <f>IFERROR(__xludf.DUMMYFUNCTION("GOOGLETRANSLATE(B320,""vi"",""km"")"),"ខេត្តទទួល")</f>
        <v/>
      </c>
      <c r="E320" s="3" t="inlineStr">
        <is>
          <t>ខេត្តទទួល</t>
        </is>
      </c>
      <c r="F320" s="3" t="inlineStr">
        <is>
          <t>ខេត្តទទួល</t>
        </is>
      </c>
      <c r="G320" s="3" t="n"/>
      <c r="H320" t="inlineStr">
        <is>
          <t>ខេត្តទទួល</t>
        </is>
      </c>
      <c r="I320" s="67" t="n"/>
      <c r="J320" s="67" t="n"/>
      <c r="K320" s="67" t="n"/>
      <c r="L320" s="67" t="n"/>
      <c r="M320" s="67" t="n"/>
      <c r="N320" s="67" t="n"/>
      <c r="O320" s="67" t="n"/>
      <c r="P320" s="67" t="n"/>
      <c r="Q320" s="67" t="n"/>
      <c r="R320" s="67" t="n"/>
      <c r="S320" s="67" t="n"/>
      <c r="T320" s="67" t="n"/>
      <c r="U320" s="67" t="n"/>
      <c r="V320" s="67" t="n"/>
      <c r="W320" s="67" t="n"/>
      <c r="X320" s="67" t="n"/>
      <c r="Y320" s="67" t="n"/>
      <c r="Z320" s="67" t="n"/>
      <c r="AA320" s="67" t="n"/>
      <c r="AB320" s="67" t="n"/>
    </row>
    <row r="321" ht="15.75" customHeight="1" s="305">
      <c r="A321" s="225" t="inlineStr">
        <is>
          <t>HEADER_RECEIVE_POST</t>
        </is>
      </c>
      <c r="B321" s="67" t="inlineStr">
        <is>
          <t>BC NHẬN</t>
        </is>
      </c>
      <c r="C321" s="67" t="inlineStr">
        <is>
          <t>RECEIVE POST</t>
        </is>
      </c>
      <c r="D321" s="3">
        <f>IFERROR(__xludf.DUMMYFUNCTION("GOOGLETRANSLATE(B321,""vi"",""km"")"),"បានទទួលមុនគ.ស.")</f>
        <v/>
      </c>
      <c r="E321" s="3" t="inlineStr">
        <is>
          <t>ទទួលបង្កាន់ដៃ</t>
        </is>
      </c>
      <c r="F321" s="3" t="inlineStr">
        <is>
          <t>បានទទួលមុនគ.ស.</t>
        </is>
      </c>
      <c r="G321" s="3" t="n"/>
      <c r="H321" t="inlineStr">
        <is>
          <t>បានទទួលមុនគ.ស.</t>
        </is>
      </c>
      <c r="I321" s="67" t="n"/>
      <c r="J321" s="67" t="n"/>
      <c r="K321" s="67" t="n"/>
      <c r="L321" s="67" t="n"/>
      <c r="M321" s="67" t="n"/>
      <c r="N321" s="67" t="n"/>
      <c r="O321" s="67" t="n"/>
      <c r="P321" s="67" t="n"/>
      <c r="Q321" s="67" t="n"/>
      <c r="R321" s="67" t="n"/>
      <c r="S321" s="67" t="n"/>
      <c r="T321" s="67" t="n"/>
      <c r="U321" s="67" t="n"/>
      <c r="V321" s="67" t="n"/>
      <c r="W321" s="67" t="n"/>
      <c r="X321" s="67" t="n"/>
      <c r="Y321" s="67" t="n"/>
      <c r="Z321" s="67" t="n"/>
      <c r="AA321" s="67" t="n"/>
      <c r="AB321" s="67" t="n"/>
    </row>
    <row r="322" ht="15.75" customHeight="1" s="305">
      <c r="A322" s="225" t="inlineStr">
        <is>
          <t>HEADER_DELIVERY_PROVINCE</t>
        </is>
      </c>
      <c r="B322" s="67" t="inlineStr">
        <is>
          <t>TỈNH PHÁT</t>
        </is>
      </c>
      <c r="C322" s="67" t="inlineStr">
        <is>
          <t>DELIVERY PROVINCE</t>
        </is>
      </c>
      <c r="D322" s="3">
        <f>IFERROR(__xludf.DUMMYFUNCTION("GOOGLETRANSLATE(B322,""vi"",""km"")"),"ការអភិវឌ្ឍខេត្ត")</f>
        <v/>
      </c>
      <c r="E322" s="3" t="inlineStr">
        <is>
          <t>ខេត្តដឹកជញ្ជូន</t>
        </is>
      </c>
      <c r="F322" s="3" t="inlineStr">
        <is>
          <t>ការអភិវឌ្ឍខេត្ត</t>
        </is>
      </c>
      <c r="G322" s="3" t="n"/>
      <c r="H322" t="inlineStr">
        <is>
          <t>ការអភិវឌ្ឍខេត្ត</t>
        </is>
      </c>
      <c r="I322" s="67" t="n"/>
      <c r="J322" s="67" t="n"/>
      <c r="K322" s="67" t="n"/>
      <c r="L322" s="67" t="n"/>
      <c r="M322" s="67" t="n"/>
      <c r="N322" s="67" t="n"/>
      <c r="O322" s="67" t="n"/>
      <c r="P322" s="67" t="n"/>
      <c r="Q322" s="67" t="n"/>
      <c r="R322" s="67" t="n"/>
      <c r="S322" s="67" t="n"/>
      <c r="T322" s="67" t="n"/>
      <c r="U322" s="67" t="n"/>
      <c r="V322" s="67" t="n"/>
      <c r="W322" s="67" t="n"/>
      <c r="X322" s="67" t="n"/>
      <c r="Y322" s="67" t="n"/>
      <c r="Z322" s="67" t="n"/>
      <c r="AA322" s="67" t="n"/>
      <c r="AB322" s="67" t="n"/>
    </row>
    <row r="323" ht="15.75" customHeight="1" s="305">
      <c r="A323" s="225" t="inlineStr">
        <is>
          <t>HEADER_DELIVERY_POST</t>
        </is>
      </c>
      <c r="B323" s="67" t="inlineStr">
        <is>
          <t>BC PHÁT</t>
        </is>
      </c>
      <c r="C323" s="67" t="inlineStr">
        <is>
          <t>DELIVERY POST</t>
        </is>
      </c>
      <c r="D323" s="3">
        <f>IFERROR(__xludf.DUMMYFUNCTION("GOOGLETRANSLATE(B323,""vi"",""km"")"),"BC PHAT")</f>
        <v/>
      </c>
      <c r="E323" s="3" t="inlineStr">
        <is>
          <t>ទទួលបង្កាន់ដៃដឹកជញ្ជូន</t>
        </is>
      </c>
      <c r="F323" s="3" t="inlineStr">
        <is>
          <t>BC ដឹកចែក</t>
        </is>
      </c>
      <c r="G323" s="3" t="n"/>
      <c r="H323" t="inlineStr">
        <is>
          <t>BC ដឹកចែក</t>
        </is>
      </c>
      <c r="I323" s="67" t="n"/>
      <c r="J323" s="67" t="n"/>
      <c r="K323" s="67" t="n"/>
      <c r="L323" s="67" t="n"/>
      <c r="M323" s="67" t="n"/>
      <c r="N323" s="67" t="n"/>
      <c r="O323" s="67" t="n"/>
      <c r="P323" s="67" t="n"/>
      <c r="Q323" s="67" t="n"/>
      <c r="R323" s="67" t="n"/>
      <c r="S323" s="67" t="n"/>
      <c r="T323" s="67" t="n"/>
      <c r="U323" s="67" t="n"/>
      <c r="V323" s="67" t="n"/>
      <c r="W323" s="67" t="n"/>
      <c r="X323" s="67" t="n"/>
      <c r="Y323" s="67" t="n"/>
      <c r="Z323" s="67" t="n"/>
      <c r="AA323" s="67" t="n"/>
      <c r="AB323" s="67" t="n"/>
    </row>
    <row r="324" ht="15.75" customHeight="1" s="305">
      <c r="A324" s="225" t="inlineStr">
        <is>
          <t>HEADER_CURRENT_PROVINCE</t>
        </is>
      </c>
      <c r="B324" s="67" t="inlineStr">
        <is>
          <t>TỈNH HIỆN TẠI</t>
        </is>
      </c>
      <c r="C324" s="67" t="inlineStr">
        <is>
          <t>CURRENT PROVINCE</t>
        </is>
      </c>
      <c r="D324" s="3">
        <f>IFERROR(__xludf.DUMMYFUNCTION("GOOGLETRANSLATE(B324,""vi"",""km"")"),"ខេត្តបច្ចុប្បន្ន")</f>
        <v/>
      </c>
      <c r="E324" s="3" t="inlineStr">
        <is>
          <t>ខេត្តបច្ចុប្បន្ន</t>
        </is>
      </c>
      <c r="F324" s="3" t="inlineStr">
        <is>
          <t>ខេត្តបច្ចុប្បន្ន</t>
        </is>
      </c>
      <c r="G324" s="3" t="n"/>
      <c r="H324" t="inlineStr">
        <is>
          <t>ខេត្តបច្ចុប្បន្ន</t>
        </is>
      </c>
      <c r="I324" s="67" t="n"/>
      <c r="J324" s="67" t="n"/>
      <c r="K324" s="67" t="n"/>
      <c r="L324" s="67" t="n"/>
      <c r="M324" s="67" t="n"/>
      <c r="N324" s="67" t="n"/>
      <c r="O324" s="67" t="n"/>
      <c r="P324" s="67" t="n"/>
      <c r="Q324" s="67" t="n"/>
      <c r="R324" s="67" t="n"/>
      <c r="S324" s="67" t="n"/>
      <c r="T324" s="67" t="n"/>
      <c r="U324" s="67" t="n"/>
      <c r="V324" s="67" t="n"/>
      <c r="W324" s="67" t="n"/>
      <c r="X324" s="67" t="n"/>
      <c r="Y324" s="67" t="n"/>
      <c r="Z324" s="67" t="n"/>
      <c r="AA324" s="67" t="n"/>
      <c r="AB324" s="67" t="n"/>
    </row>
    <row r="325" ht="15.75" customHeight="1" s="305">
      <c r="A325" s="225" t="inlineStr">
        <is>
          <t>HEADER_CURRENT_POST</t>
        </is>
      </c>
      <c r="B325" s="67" t="inlineStr">
        <is>
          <t>BC HIỆN TẠI</t>
        </is>
      </c>
      <c r="C325" s="67" t="inlineStr">
        <is>
          <t>CURRENT POST</t>
        </is>
      </c>
      <c r="D325" s="3">
        <f>IFERROR(__xludf.DUMMYFUNCTION("GOOGLETRANSLATE(B325,""vi"",""km"")"),"បច្ចុប្បន្ន មុនគ.ស.")</f>
        <v/>
      </c>
      <c r="E325" s="3" t="inlineStr">
        <is>
          <t>ទទួលបង្កាន់ដៃបច្ចុប្បន្ន</t>
        </is>
      </c>
      <c r="F325" s="3" t="inlineStr">
        <is>
          <t>បច្ចុប្បន្ន មុនគ.ស.</t>
        </is>
      </c>
      <c r="G325" s="3" t="n"/>
      <c r="H325" t="inlineStr">
        <is>
          <t>បច្ចុប្បន្ន មុនគ.ស.</t>
        </is>
      </c>
      <c r="I325" s="67" t="n"/>
      <c r="J325" s="67" t="n"/>
      <c r="K325" s="67" t="n"/>
      <c r="L325" s="67" t="n"/>
      <c r="M325" s="67" t="n"/>
      <c r="N325" s="67" t="n"/>
      <c r="O325" s="67" t="n"/>
      <c r="P325" s="67" t="n"/>
      <c r="Q325" s="67" t="n"/>
      <c r="R325" s="67" t="n"/>
      <c r="S325" s="67" t="n"/>
      <c r="T325" s="67" t="n"/>
      <c r="U325" s="67" t="n"/>
      <c r="V325" s="67" t="n"/>
      <c r="W325" s="67" t="n"/>
      <c r="X325" s="67" t="n"/>
      <c r="Y325" s="67" t="n"/>
      <c r="Z325" s="67" t="n"/>
      <c r="AA325" s="67" t="n"/>
      <c r="AB325" s="67" t="n"/>
    </row>
    <row r="326" ht="15.75" customHeight="1" s="305">
      <c r="A326" s="225" t="inlineStr">
        <is>
          <t>HEADER_ORIGINAL_PRICE</t>
        </is>
      </c>
      <c r="B326" s="67" t="inlineStr">
        <is>
          <t>CƯỚC CHÍNH</t>
        </is>
      </c>
      <c r="C326" s="67" t="inlineStr">
        <is>
          <t>ORIGINAL PRICE</t>
        </is>
      </c>
      <c r="D326" s="3">
        <f>IFERROR(__xludf.DUMMYFUNCTION("GOOGLETRANSLATE(B326,""vi"",""km"")"),"ពន្ធសំខាន់")</f>
        <v/>
      </c>
      <c r="E326" s="3" t="inlineStr">
        <is>
          <t>ថ្លៃសេវាសំខាន់</t>
        </is>
      </c>
      <c r="F326" s="3" t="inlineStr">
        <is>
          <t>ពន្ធសំខាន់</t>
        </is>
      </c>
      <c r="G326" s="3" t="n"/>
      <c r="H326" t="inlineStr">
        <is>
          <t>ពន្ធសំខាន់</t>
        </is>
      </c>
      <c r="I326" s="67" t="n"/>
      <c r="J326" s="67" t="n"/>
      <c r="K326" s="67" t="n"/>
      <c r="L326" s="67" t="n"/>
      <c r="M326" s="67" t="n"/>
      <c r="N326" s="67" t="n"/>
      <c r="O326" s="67" t="n"/>
      <c r="P326" s="67" t="n"/>
      <c r="Q326" s="67" t="n"/>
      <c r="R326" s="67" t="n"/>
      <c r="S326" s="67" t="n"/>
      <c r="T326" s="67" t="n"/>
      <c r="U326" s="67" t="n"/>
      <c r="V326" s="67" t="n"/>
      <c r="W326" s="67" t="n"/>
      <c r="X326" s="67" t="n"/>
      <c r="Y326" s="67" t="n"/>
      <c r="Z326" s="67" t="n"/>
      <c r="AA326" s="67" t="n"/>
      <c r="AB326" s="67" t="n"/>
    </row>
    <row r="327" ht="15.75" customHeight="1" s="305">
      <c r="A327" s="225" t="inlineStr">
        <is>
          <t>HEADER_TOTAL_TAX</t>
        </is>
      </c>
      <c r="B327" s="67" t="inlineStr">
        <is>
          <t>TIỀN VAT</t>
        </is>
      </c>
      <c r="C327" s="67" t="inlineStr">
        <is>
          <t>TOTAL TAX</t>
        </is>
      </c>
      <c r="D327" s="3">
        <f>IFERROR(__xludf.DUMMYFUNCTION("GOOGLETRANSLATE(B327,""vi"",""km"")"),"អាករលើតម្លៃបន្ថែម")</f>
        <v/>
      </c>
      <c r="E327" s="3" t="inlineStr">
        <is>
          <t>ចំនួនទឹកប្រាក់អាករលើតម្លៃបន្ថែម</t>
        </is>
      </c>
      <c r="F327" s="3" t="inlineStr">
        <is>
          <t>អាករលើតម្លៃបន្ថែម</t>
        </is>
      </c>
      <c r="G327" s="3" t="n"/>
      <c r="H327" t="inlineStr">
        <is>
          <t>អាករលើតម្លៃបន្ថែម</t>
        </is>
      </c>
      <c r="I327" s="67" t="n"/>
      <c r="J327" s="67" t="n"/>
      <c r="K327" s="67" t="n"/>
      <c r="L327" s="67" t="n"/>
      <c r="M327" s="67" t="n"/>
      <c r="N327" s="67" t="n"/>
      <c r="O327" s="67" t="n"/>
      <c r="P327" s="67" t="n"/>
      <c r="Q327" s="67" t="n"/>
      <c r="R327" s="67" t="n"/>
      <c r="S327" s="67" t="n"/>
      <c r="T327" s="67" t="n"/>
      <c r="U327" s="67" t="n"/>
      <c r="V327" s="67" t="n"/>
      <c r="W327" s="67" t="n"/>
      <c r="X327" s="67" t="n"/>
      <c r="Y327" s="67" t="n"/>
      <c r="Z327" s="67" t="n"/>
      <c r="AA327" s="67" t="n"/>
      <c r="AB327" s="67" t="n"/>
    </row>
    <row r="328" ht="15.75" customHeight="1" s="305">
      <c r="A328" s="225" t="inlineStr">
        <is>
          <t>HEADER_TOTAL_FEES</t>
        </is>
      </c>
      <c r="B328" s="67" t="inlineStr">
        <is>
          <t>TỔNG CƯỚC</t>
        </is>
      </c>
      <c r="C328" s="67" t="inlineStr">
        <is>
          <t>TOTAL FEES</t>
        </is>
      </c>
      <c r="D328" s="3">
        <f>IFERROR(__xludf.DUMMYFUNCTION("GOOGLETRANSLATE(B328,""vi"",""km"")"),"ថ្លៃសរុប")</f>
        <v/>
      </c>
      <c r="E328" s="3" t="inlineStr">
        <is>
          <t>ថ្លៃសេវាសរុប</t>
        </is>
      </c>
      <c r="F328" s="3" t="inlineStr">
        <is>
          <t>ថ្លៃសរុប</t>
        </is>
      </c>
      <c r="G328" s="3" t="n"/>
      <c r="H328" t="inlineStr">
        <is>
          <t>ថ្លៃសរុប</t>
        </is>
      </c>
      <c r="I328" s="67" t="n"/>
      <c r="J328" s="67" t="n"/>
      <c r="K328" s="67" t="n"/>
      <c r="L328" s="67" t="n"/>
      <c r="M328" s="67" t="n"/>
      <c r="N328" s="67" t="n"/>
      <c r="O328" s="67" t="n"/>
      <c r="P328" s="67" t="n"/>
      <c r="Q328" s="67" t="n"/>
      <c r="R328" s="67" t="n"/>
      <c r="S328" s="67" t="n"/>
      <c r="T328" s="67" t="n"/>
      <c r="U328" s="67" t="n"/>
      <c r="V328" s="67" t="n"/>
      <c r="W328" s="67" t="n"/>
      <c r="X328" s="67" t="n"/>
      <c r="Y328" s="67" t="n"/>
      <c r="Z328" s="67" t="n"/>
      <c r="AA328" s="67" t="n"/>
      <c r="AB328" s="67" t="n"/>
    </row>
    <row r="329" ht="15.75" customHeight="1" s="305">
      <c r="A329" s="225" t="inlineStr">
        <is>
          <t>HEADER_COD</t>
        </is>
      </c>
      <c r="B329" s="67" t="inlineStr">
        <is>
          <t>TIỀN COD</t>
        </is>
      </c>
      <c r="C329" s="67" t="inlineStr">
        <is>
          <t>COD</t>
        </is>
      </c>
      <c r="D329" s="3">
        <f>IFERROR(__xludf.DUMMYFUNCTION("GOOGLETRANSLATE(B329,""vi"",""km"")"),"បង់ប្រាក់ពេលទទួលទំនិញ")</f>
        <v/>
      </c>
      <c r="E329" s="3" t="inlineStr">
        <is>
          <t>ចំនួនទឹកប្រាក់ COD</t>
        </is>
      </c>
      <c r="F329" s="3" t="inlineStr">
        <is>
          <t>បង់ប្រាក់ពេលទទួលទំនិញ</t>
        </is>
      </c>
      <c r="G329" s="3" t="n"/>
      <c r="H329" t="inlineStr">
        <is>
          <t>បង់ប្រាក់ពេលទទួលទំនិញ</t>
        </is>
      </c>
      <c r="I329" s="67" t="n"/>
      <c r="J329" s="67" t="n"/>
      <c r="K329" s="67" t="n"/>
      <c r="L329" s="67" t="n"/>
      <c r="M329" s="67" t="n"/>
      <c r="N329" s="67" t="n"/>
      <c r="O329" s="67" t="n"/>
      <c r="P329" s="67" t="n"/>
      <c r="Q329" s="67" t="n"/>
      <c r="R329" s="67" t="n"/>
      <c r="S329" s="67" t="n"/>
      <c r="T329" s="67" t="n"/>
      <c r="U329" s="67" t="n"/>
      <c r="V329" s="67" t="n"/>
      <c r="W329" s="67" t="n"/>
      <c r="X329" s="67" t="n"/>
      <c r="Y329" s="67" t="n"/>
      <c r="Z329" s="67" t="n"/>
      <c r="AA329" s="67" t="n"/>
      <c r="AB329" s="67" t="n"/>
    </row>
    <row r="330" ht="15.75" customHeight="1" s="305">
      <c r="A330" s="225" t="inlineStr">
        <is>
          <t>HEADER_CURRENT_STATUS</t>
        </is>
      </c>
      <c r="B330" s="67" t="inlineStr">
        <is>
          <t>TRẠNG THÁI HIỆN TẠI</t>
        </is>
      </c>
      <c r="C330" s="67" t="inlineStr">
        <is>
          <t>CURRENT STATUS</t>
        </is>
      </c>
      <c r="D330" s="3">
        <f>IFERROR(__xludf.DUMMYFUNCTION("GOOGLETRANSLATE(B330,""vi"",""km"")"),"ស្ថានភាពបច្ចុប្បន្ន")</f>
        <v/>
      </c>
      <c r="E330" s="3" t="inlineStr">
        <is>
          <t>ស្ថានភាពបច្ចុប្បន្ន</t>
        </is>
      </c>
      <c r="F330" s="3" t="inlineStr">
        <is>
          <t>ស្ថានភាពបច្ចុប្បន្ន</t>
        </is>
      </c>
      <c r="G330" s="3" t="n"/>
      <c r="H330" t="inlineStr">
        <is>
          <t>ស្ថានភាពបច្ចុប្បន្ន</t>
        </is>
      </c>
      <c r="I330" s="67" t="n"/>
      <c r="J330" s="67" t="n"/>
      <c r="K330" s="67" t="n"/>
      <c r="L330" s="67" t="n"/>
      <c r="M330" s="67" t="n"/>
      <c r="N330" s="67" t="n"/>
      <c r="O330" s="67" t="n"/>
      <c r="P330" s="67" t="n"/>
      <c r="Q330" s="67" t="n"/>
      <c r="R330" s="67" t="n"/>
      <c r="S330" s="67" t="n"/>
      <c r="T330" s="67" t="n"/>
      <c r="U330" s="67" t="n"/>
      <c r="V330" s="67" t="n"/>
      <c r="W330" s="67" t="n"/>
      <c r="X330" s="67" t="n"/>
      <c r="Y330" s="67" t="n"/>
      <c r="Z330" s="67" t="n"/>
      <c r="AA330" s="67" t="n"/>
      <c r="AB330" s="67" t="n"/>
    </row>
    <row r="331" ht="15.75" customHeight="1" s="305">
      <c r="A331" s="225" t="inlineStr">
        <is>
          <t>HEADER_DESCRIPTION</t>
        </is>
      </c>
      <c r="B331" s="67" t="inlineStr">
        <is>
          <t>GHI CHÚ</t>
        </is>
      </c>
      <c r="C331" s="67" t="inlineStr">
        <is>
          <t>DESCRIPTION</t>
        </is>
      </c>
      <c r="D331" s="3">
        <f>IFERROR(__xludf.DUMMYFUNCTION("GOOGLETRANSLATE(B331,""vi"",""km"")"),"កំណត់ចំណាំ")</f>
        <v/>
      </c>
      <c r="E331" s="3" t="inlineStr">
        <is>
          <t>កំណត់ចំណាំ</t>
        </is>
      </c>
      <c r="F331" s="3" t="inlineStr">
        <is>
          <t>កំណត់ចំណាំ</t>
        </is>
      </c>
      <c r="G331" s="3" t="n"/>
      <c r="H331" t="inlineStr">
        <is>
          <t>កំណត់ចំណាំ</t>
        </is>
      </c>
      <c r="I331" s="67" t="n"/>
      <c r="J331" s="67" t="n"/>
      <c r="K331" s="67" t="n"/>
      <c r="L331" s="67" t="n"/>
      <c r="M331" s="67" t="n"/>
      <c r="N331" s="67" t="n"/>
      <c r="O331" s="67" t="n"/>
      <c r="P331" s="67" t="n"/>
      <c r="Q331" s="67" t="n"/>
      <c r="R331" s="67" t="n"/>
      <c r="S331" s="67" t="n"/>
      <c r="T331" s="67" t="n"/>
      <c r="U331" s="67" t="n"/>
      <c r="V331" s="67" t="n"/>
      <c r="W331" s="67" t="n"/>
      <c r="X331" s="67" t="n"/>
      <c r="Y331" s="67" t="n"/>
      <c r="Z331" s="67" t="n"/>
      <c r="AA331" s="67" t="n"/>
      <c r="AB331" s="67" t="n"/>
    </row>
    <row r="332" ht="15.75" customHeight="1" s="305">
      <c r="A332" s="225" t="inlineStr">
        <is>
          <t>HEADER_PAYER_TYPE</t>
        </is>
      </c>
      <c r="B332" s="67" t="inlineStr">
        <is>
          <t>NGƯỜI TRẢ CƯỚC</t>
        </is>
      </c>
      <c r="C332" s="67" t="inlineStr">
        <is>
          <t>PAYER</t>
        </is>
      </c>
      <c r="D332" s="3">
        <f>IFERROR(__xludf.DUMMYFUNCTION("GOOGLETRANSLATE(B332,""vi"",""km"")"),"អ្នកបង់វិក្កយបត្រ")</f>
        <v/>
      </c>
      <c r="E332" s="3" t="inlineStr">
        <is>
          <t>អ្នកបង់ប្រាក់</t>
        </is>
      </c>
      <c r="F332" s="3" t="inlineStr">
        <is>
          <t>អ្នកបង់វិក្កយបត្រ</t>
        </is>
      </c>
      <c r="G332" s="3" t="n"/>
      <c r="H332" t="inlineStr">
        <is>
          <t>អ្នកបង់វិក្កយបត្រ</t>
        </is>
      </c>
      <c r="I332" s="67" t="n"/>
      <c r="J332" s="67" t="n"/>
      <c r="K332" s="67" t="n"/>
      <c r="L332" s="67" t="n"/>
      <c r="M332" s="67" t="n"/>
      <c r="N332" s="67" t="n"/>
      <c r="O332" s="67" t="n"/>
      <c r="P332" s="67" t="n"/>
      <c r="Q332" s="67" t="n"/>
      <c r="R332" s="67" t="n"/>
      <c r="S332" s="67" t="n"/>
      <c r="T332" s="67" t="n"/>
      <c r="U332" s="67" t="n"/>
      <c r="V332" s="67" t="n"/>
      <c r="W332" s="67" t="n"/>
      <c r="X332" s="67" t="n"/>
      <c r="Y332" s="67" t="n"/>
      <c r="Z332" s="67" t="n"/>
      <c r="AA332" s="67" t="n"/>
      <c r="AB332" s="67" t="n"/>
    </row>
    <row r="333" ht="15.75" customHeight="1" s="305">
      <c r="A333" s="225" t="inlineStr">
        <is>
          <t>HEADER_DELIVERED_POSTMAN</t>
        </is>
      </c>
      <c r="B333" s="67" t="inlineStr">
        <is>
          <t>BƯU TÁ PHÁT THÀNH CÔNG</t>
        </is>
      </c>
      <c r="C333" s="67" t="inlineStr">
        <is>
          <t>DELIVERED POSTMAN</t>
        </is>
      </c>
      <c r="D333" s="3">
        <f>IFERROR(__xludf.DUMMYFUNCTION("GOOGLETRANSLATE(B333,""vi"",""km"")"),"បុគ្គលិកប្រៃសណីយ៍បានដឹកជញ្ជូនដោយជោគជ័យ។")</f>
        <v/>
      </c>
      <c r="E333" s="3" t="inlineStr">
        <is>
          <t>ការដឹកជញ្ជូនដោយជោគជ័យ អ្នកប្រៃសណីយ៍</t>
        </is>
      </c>
      <c r="F333" s="3" t="inlineStr">
        <is>
          <t>បុគ្គលិកប្រៃសណីយ៍បានដឹកជញ្ជូនដោយជោគជ័យ។</t>
        </is>
      </c>
      <c r="G333" s="3" t="n"/>
      <c r="H333" t="inlineStr">
        <is>
          <t>បុគ្គលិកប្រៃសណីយ៍បានដឹកជញ្ជូនដោយជោគជ័យ។</t>
        </is>
      </c>
      <c r="I333" s="67" t="n"/>
      <c r="J333" s="67" t="n"/>
      <c r="K333" s="67" t="n"/>
      <c r="L333" s="67" t="n"/>
      <c r="M333" s="67" t="n"/>
      <c r="N333" s="67" t="n"/>
      <c r="O333" s="67" t="n"/>
      <c r="P333" s="67" t="n"/>
      <c r="Q333" s="67" t="n"/>
      <c r="R333" s="67" t="n"/>
      <c r="S333" s="67" t="n"/>
      <c r="T333" s="67" t="n"/>
      <c r="U333" s="67" t="n"/>
      <c r="V333" s="67" t="n"/>
      <c r="W333" s="67" t="n"/>
      <c r="X333" s="67" t="n"/>
      <c r="Y333" s="67" t="n"/>
      <c r="Z333" s="67" t="n"/>
      <c r="AA333" s="67" t="n"/>
      <c r="AB333" s="67" t="n"/>
    </row>
    <row r="334" ht="15.75" customHeight="1" s="305">
      <c r="A334" s="225" t="inlineStr">
        <is>
          <t>HEADER_DELIVERED_AT</t>
        </is>
      </c>
      <c r="B334" s="67" t="inlineStr">
        <is>
          <t>THỜI GIAN PHÁT THÀNH CÔNG</t>
        </is>
      </c>
      <c r="C334" s="67" t="inlineStr">
        <is>
          <t>DELIVERED DATE</t>
        </is>
      </c>
      <c r="D334" s="3">
        <f>IFERROR(__xludf.DUMMYFUNCTION("GOOGLETRANSLATE(B334,""vi"",""km"")"),"ពេលវេលាផ្សាយជោគជ័យ")</f>
        <v/>
      </c>
      <c r="E334" s="3" t="inlineStr">
        <is>
          <t>ពេលវេលាដឹកជញ្ជូន</t>
        </is>
      </c>
      <c r="F334" s="3" t="inlineStr">
        <is>
          <t>ពេលវេលាផ្សាយជោគជ័យ</t>
        </is>
      </c>
      <c r="G334" s="3" t="n"/>
      <c r="H334" t="inlineStr">
        <is>
          <t>ពេលវេលាផ្សាយជោគជ័យ</t>
        </is>
      </c>
      <c r="I334" s="67" t="n"/>
      <c r="J334" s="67" t="n"/>
      <c r="K334" s="67" t="n"/>
      <c r="L334" s="67" t="n"/>
      <c r="M334" s="67" t="n"/>
      <c r="N334" s="67" t="n"/>
      <c r="O334" s="67" t="n"/>
      <c r="P334" s="67" t="n"/>
      <c r="Q334" s="67" t="n"/>
      <c r="R334" s="67" t="n"/>
      <c r="S334" s="67" t="n"/>
      <c r="T334" s="67" t="n"/>
      <c r="U334" s="67" t="n"/>
      <c r="V334" s="67" t="n"/>
      <c r="W334" s="67" t="n"/>
      <c r="X334" s="67" t="n"/>
      <c r="Y334" s="67" t="n"/>
      <c r="Z334" s="67" t="n"/>
      <c r="AA334" s="67" t="n"/>
      <c r="AB334" s="67" t="n"/>
    </row>
    <row r="335" ht="15.75" customHeight="1" s="305">
      <c r="A335" s="225" t="inlineStr">
        <is>
          <t>HEADER_FROM_DATE</t>
        </is>
      </c>
      <c r="B335" s="67" t="inlineStr">
        <is>
          <t>Từ ngày</t>
        </is>
      </c>
      <c r="C335" s="67" t="inlineStr">
        <is>
          <t>FROM DATE</t>
        </is>
      </c>
      <c r="D335" s="3">
        <f>IFERROR(__xludf.DUMMYFUNCTION("GOOGLETRANSLATE(B335,""vi"",""km"")"),"ចាប់ពីកាលបរិច្ឆេទ")</f>
        <v/>
      </c>
      <c r="E335" s="3" t="inlineStr">
        <is>
          <t>ចាប់ពីកាលបរិច្ឆេទ</t>
        </is>
      </c>
      <c r="F335" s="3" t="inlineStr">
        <is>
          <t>ចាប់ពីកាលបរិច្ឆេទ</t>
        </is>
      </c>
      <c r="G335" s="3" t="n"/>
      <c r="H335" t="inlineStr">
        <is>
          <t>ចាប់ពីកាលបរិច្ឆេទ</t>
        </is>
      </c>
      <c r="I335" s="67" t="n"/>
      <c r="J335" s="67" t="n"/>
      <c r="K335" s="67" t="n"/>
      <c r="L335" s="67" t="n"/>
      <c r="M335" s="67" t="n"/>
      <c r="N335" s="67" t="n"/>
      <c r="O335" s="67" t="n"/>
      <c r="P335" s="67" t="n"/>
      <c r="Q335" s="67" t="n"/>
      <c r="R335" s="67" t="n"/>
      <c r="S335" s="67" t="n"/>
      <c r="T335" s="67" t="n"/>
      <c r="U335" s="67" t="n"/>
      <c r="V335" s="67" t="n"/>
      <c r="W335" s="67" t="n"/>
      <c r="X335" s="67" t="n"/>
      <c r="Y335" s="67" t="n"/>
      <c r="Z335" s="67" t="n"/>
      <c r="AA335" s="67" t="n"/>
      <c r="AB335" s="67" t="n"/>
    </row>
    <row r="336" ht="15.75" customHeight="1" s="305">
      <c r="A336" s="225" t="inlineStr">
        <is>
          <t>HEADER_TO_DATE</t>
        </is>
      </c>
      <c r="B336" s="67" t="inlineStr">
        <is>
          <t>Đến ngày</t>
        </is>
      </c>
      <c r="C336" s="67" t="inlineStr">
        <is>
          <t>TO DATE</t>
        </is>
      </c>
      <c r="D336" s="3">
        <f>IFERROR(__xludf.DUMMYFUNCTION("GOOGLETRANSLATE(B336,""vi"",""km"")"),"រហូតដល់ថ្ងៃ")</f>
        <v/>
      </c>
      <c r="E336" s="3" t="inlineStr">
        <is>
          <t>ដល់កាលបរិច្ឆេទ</t>
        </is>
      </c>
      <c r="F336" s="3" t="inlineStr">
        <is>
          <t>រហូតដល់ថ្ងៃ</t>
        </is>
      </c>
      <c r="G336" s="3" t="n"/>
      <c r="H336" t="inlineStr">
        <is>
          <t>រហូតដល់ថ្ងៃ</t>
        </is>
      </c>
      <c r="I336" s="67" t="n"/>
      <c r="J336" s="67" t="n"/>
      <c r="K336" s="67" t="n"/>
      <c r="L336" s="67" t="n"/>
      <c r="M336" s="67" t="n"/>
      <c r="N336" s="67" t="n"/>
      <c r="O336" s="67" t="n"/>
      <c r="P336" s="67" t="n"/>
      <c r="Q336" s="67" t="n"/>
      <c r="R336" s="67" t="n"/>
      <c r="S336" s="67" t="n"/>
      <c r="T336" s="67" t="n"/>
      <c r="U336" s="67" t="n"/>
      <c r="V336" s="67" t="n"/>
      <c r="W336" s="67" t="n"/>
      <c r="X336" s="67" t="n"/>
      <c r="Y336" s="67" t="n"/>
      <c r="Z336" s="67" t="n"/>
      <c r="AA336" s="67" t="n"/>
      <c r="AB336" s="67" t="n"/>
    </row>
    <row r="337" ht="15.75" customHeight="1" s="305">
      <c r="A337" s="225" t="inlineStr">
        <is>
          <t>HEADER_REVENUE</t>
        </is>
      </c>
      <c r="B337" s="67" t="inlineStr">
        <is>
          <t>Doanh thu</t>
        </is>
      </c>
      <c r="C337" s="67" t="inlineStr">
        <is>
          <t>Revenue</t>
        </is>
      </c>
      <c r="D337" s="3">
        <f>IFERROR(__xludf.DUMMYFUNCTION("GOOGLETRANSLATE(B337,""vi"",""km"")"),"ប្រាក់ចំណូល")</f>
        <v/>
      </c>
      <c r="E337" s="3" t="inlineStr">
        <is>
          <t>ចំណូល</t>
        </is>
      </c>
      <c r="F337" s="3" t="inlineStr">
        <is>
          <t>ប្រាក់ចំណូល</t>
        </is>
      </c>
      <c r="G337" s="3" t="n"/>
      <c r="H337" t="inlineStr">
        <is>
          <t>ប្រាក់ចំណូល</t>
        </is>
      </c>
      <c r="I337" s="67" t="n"/>
      <c r="J337" s="67" t="n"/>
      <c r="K337" s="67" t="n"/>
      <c r="L337" s="67" t="n"/>
      <c r="M337" s="67" t="n"/>
      <c r="N337" s="67" t="n"/>
      <c r="O337" s="67" t="n"/>
      <c r="P337" s="67" t="n"/>
      <c r="Q337" s="67" t="n"/>
      <c r="R337" s="67" t="n"/>
      <c r="S337" s="67" t="n"/>
      <c r="T337" s="67" t="n"/>
      <c r="U337" s="67" t="n"/>
      <c r="V337" s="67" t="n"/>
      <c r="W337" s="67" t="n"/>
      <c r="X337" s="67" t="n"/>
      <c r="Y337" s="67" t="n"/>
      <c r="Z337" s="67" t="n"/>
      <c r="AA337" s="67" t="n"/>
      <c r="AB337" s="67" t="n"/>
    </row>
    <row r="338" ht="15.75" customHeight="1" s="305">
      <c r="A338" s="225" t="inlineStr">
        <is>
          <t>HEADER_QUANTITY</t>
        </is>
      </c>
      <c r="B338" s="67" t="inlineStr">
        <is>
          <t>Sản lượng</t>
        </is>
      </c>
      <c r="C338" s="67" t="inlineStr">
        <is>
          <t>Quantity</t>
        </is>
      </c>
      <c r="D338" s="3">
        <f>IFERROR(__xludf.DUMMYFUNCTION("GOOGLETRANSLATE(B338,""vi"",""km"")"),"ទិន្នផល")</f>
        <v/>
      </c>
      <c r="E338" s="3" t="inlineStr">
        <is>
          <t>បរិមាណ</t>
        </is>
      </c>
      <c r="F338" s="3" t="inlineStr">
        <is>
          <t>ទិន្នផល</t>
        </is>
      </c>
      <c r="G338" s="3" t="n"/>
      <c r="H338" t="inlineStr">
        <is>
          <t>ទិន្នផល</t>
        </is>
      </c>
      <c r="I338" s="67" t="n"/>
      <c r="J338" s="67" t="n"/>
      <c r="K338" s="67" t="n"/>
      <c r="L338" s="67" t="n"/>
      <c r="M338" s="67" t="n"/>
      <c r="N338" s="67" t="n"/>
      <c r="O338" s="67" t="n"/>
      <c r="P338" s="67" t="n"/>
      <c r="Q338" s="67" t="n"/>
      <c r="R338" s="67" t="n"/>
      <c r="S338" s="67" t="n"/>
      <c r="T338" s="67" t="n"/>
      <c r="U338" s="67" t="n"/>
      <c r="V338" s="67" t="n"/>
      <c r="W338" s="67" t="n"/>
      <c r="X338" s="67" t="n"/>
      <c r="Y338" s="67" t="n"/>
      <c r="Z338" s="67" t="n"/>
      <c r="AA338" s="67" t="n"/>
      <c r="AB338" s="67" t="n"/>
    </row>
    <row r="339" ht="15.75" customHeight="1" s="305">
      <c r="A339" s="225" t="inlineStr">
        <is>
          <t>REPORT_SUM</t>
        </is>
      </c>
      <c r="B339" s="67" t="inlineStr">
        <is>
          <t>Tổng</t>
        </is>
      </c>
      <c r="C339" s="67" t="inlineStr">
        <is>
          <t>Sum</t>
        </is>
      </c>
      <c r="D339" s="3">
        <f>IFERROR(__xludf.DUMMYFUNCTION("GOOGLETRANSLATE(B339,""vi"",""km"")"),"សរុប")</f>
        <v/>
      </c>
      <c r="E339" s="3" t="inlineStr">
        <is>
          <t>សរុប</t>
        </is>
      </c>
      <c r="F339" s="3" t="inlineStr">
        <is>
          <t>សរុប</t>
        </is>
      </c>
      <c r="G339" s="3" t="n"/>
      <c r="H339" t="inlineStr">
        <is>
          <t>សរុប</t>
        </is>
      </c>
      <c r="I339" s="67" t="n"/>
      <c r="J339" s="67" t="n"/>
      <c r="K339" s="67" t="n"/>
      <c r="L339" s="67" t="n"/>
      <c r="M339" s="67" t="n"/>
      <c r="N339" s="67" t="n"/>
      <c r="O339" s="67" t="n"/>
      <c r="P339" s="67" t="n"/>
      <c r="Q339" s="67" t="n"/>
      <c r="R339" s="67" t="n"/>
      <c r="S339" s="67" t="n"/>
      <c r="T339" s="67" t="n"/>
      <c r="U339" s="67" t="n"/>
      <c r="V339" s="67" t="n"/>
      <c r="W339" s="67" t="n"/>
      <c r="X339" s="67" t="n"/>
      <c r="Y339" s="67" t="n"/>
      <c r="Z339" s="67" t="n"/>
      <c r="AA339" s="67" t="n"/>
      <c r="AB339" s="67" t="n"/>
    </row>
    <row r="340" ht="15.75" customHeight="1" s="305">
      <c r="A340" s="225" t="inlineStr">
        <is>
          <t>100</t>
        </is>
      </c>
      <c r="B340" s="67" t="inlineStr">
        <is>
          <t>Tạo mới</t>
        </is>
      </c>
      <c r="C340" s="67" t="inlineStr">
        <is>
          <t>New</t>
        </is>
      </c>
      <c r="D340" s="3">
        <f>IFERROR(__xludf.DUMMYFUNCTION("GOOGLETRANSLATE(B340,""vi"",""km"")"),"បង្កើតថ្មី")</f>
        <v/>
      </c>
      <c r="E340" s="3" t="inlineStr">
        <is>
          <t>បង្កើតថ្មី</t>
        </is>
      </c>
      <c r="F340" s="3" t="inlineStr">
        <is>
          <t>បង្កើតថ្មី</t>
        </is>
      </c>
      <c r="G340" s="3" t="n"/>
      <c r="H340" t="inlineStr">
        <is>
          <t>បង្កើតថ្មី</t>
        </is>
      </c>
      <c r="I340" s="67" t="n"/>
      <c r="J340" s="67" t="n"/>
      <c r="K340" s="67" t="n"/>
      <c r="L340" s="67" t="n"/>
      <c r="M340" s="67" t="n"/>
      <c r="N340" s="67" t="n"/>
      <c r="O340" s="67" t="n"/>
      <c r="P340" s="67" t="n"/>
      <c r="Q340" s="67" t="n"/>
      <c r="R340" s="67" t="n"/>
      <c r="S340" s="67" t="n"/>
      <c r="T340" s="67" t="n"/>
      <c r="U340" s="67" t="n"/>
      <c r="V340" s="67" t="n"/>
      <c r="W340" s="67" t="n"/>
      <c r="X340" s="67" t="n"/>
      <c r="Y340" s="67" t="n"/>
      <c r="Z340" s="67" t="n"/>
      <c r="AA340" s="67" t="n"/>
      <c r="AB340" s="67" t="n"/>
    </row>
    <row r="341" ht="15.75" customHeight="1" s="305">
      <c r="A341" s="225" t="inlineStr">
        <is>
          <t>110</t>
        </is>
      </c>
      <c r="B341" s="67" t="inlineStr">
        <is>
          <t>Chưa tiếp nhận</t>
        </is>
      </c>
      <c r="C341" s="67" t="inlineStr">
        <is>
          <t>Confirmed</t>
        </is>
      </c>
      <c r="D341" s="3">
        <f>IFERROR(__xludf.DUMMYFUNCTION("GOOGLETRANSLATE(B341,""vi"",""km"")"),"មិនទាន់ទទួលបាននៅឡើយទេ")</f>
        <v/>
      </c>
      <c r="E341" s="3" t="inlineStr">
        <is>
          <t>មិនទាន់បានទទួល</t>
        </is>
      </c>
      <c r="F341" s="3" t="inlineStr">
        <is>
          <t>មិនទាន់ទទួល</t>
        </is>
      </c>
      <c r="G341" s="3" t="n"/>
      <c r="H341" t="inlineStr">
        <is>
          <t>មិនទាន់ទទួល</t>
        </is>
      </c>
      <c r="I341" s="67" t="n"/>
      <c r="J341" s="67" t="n"/>
      <c r="K341" s="67" t="n"/>
      <c r="L341" s="67" t="n"/>
      <c r="M341" s="67" t="n"/>
      <c r="N341" s="67" t="n"/>
      <c r="O341" s="67" t="n"/>
      <c r="P341" s="67" t="n"/>
      <c r="Q341" s="67" t="n"/>
      <c r="R341" s="67" t="n"/>
      <c r="S341" s="67" t="n"/>
      <c r="T341" s="67" t="n"/>
      <c r="U341" s="67" t="n"/>
      <c r="V341" s="67" t="n"/>
      <c r="W341" s="67" t="n"/>
      <c r="X341" s="67" t="n"/>
      <c r="Y341" s="67" t="n"/>
      <c r="Z341" s="67" t="n"/>
      <c r="AA341" s="67" t="n"/>
      <c r="AB341" s="67" t="n"/>
    </row>
    <row r="342" ht="15.75" customHeight="1" s="305">
      <c r="A342" s="225" t="inlineStr">
        <is>
          <t>120</t>
        </is>
      </c>
      <c r="B342" s="67" t="inlineStr">
        <is>
          <t>Đã tiếp nhận</t>
        </is>
      </c>
      <c r="C342" s="67" t="inlineStr">
        <is>
          <t>Waiting to receive</t>
        </is>
      </c>
      <c r="D342" s="3">
        <f>IFERROR(__xludf.DUMMYFUNCTION("GOOGLETRANSLATE(B342,""vi"",""km"")"),"បានទទួល")</f>
        <v/>
      </c>
      <c r="E342" s="3" t="inlineStr">
        <is>
          <t>បានទទួល</t>
        </is>
      </c>
      <c r="F342" s="3" t="inlineStr">
        <is>
          <t>បានទទួល</t>
        </is>
      </c>
      <c r="G342" s="3" t="n"/>
      <c r="H342" t="inlineStr">
        <is>
          <t>បានទទួល</t>
        </is>
      </c>
      <c r="I342" s="67" t="n"/>
      <c r="J342" s="67" t="n"/>
      <c r="K342" s="67" t="n"/>
      <c r="L342" s="67" t="n"/>
      <c r="M342" s="67" t="n"/>
      <c r="N342" s="67" t="n"/>
      <c r="O342" s="67" t="n"/>
      <c r="P342" s="67" t="n"/>
      <c r="Q342" s="67" t="n"/>
      <c r="R342" s="67" t="n"/>
      <c r="S342" s="67" t="n"/>
      <c r="T342" s="67" t="n"/>
      <c r="U342" s="67" t="n"/>
      <c r="V342" s="67" t="n"/>
      <c r="W342" s="67" t="n"/>
      <c r="X342" s="67" t="n"/>
      <c r="Y342" s="67" t="n"/>
      <c r="Z342" s="67" t="n"/>
      <c r="AA342" s="67" t="n"/>
      <c r="AB342" s="67" t="n"/>
    </row>
    <row r="343" ht="15.75" customHeight="1" s="305">
      <c r="A343" s="225" t="inlineStr">
        <is>
          <t>200</t>
        </is>
      </c>
      <c r="B343" s="67" t="inlineStr">
        <is>
          <t>Đang lấy hàng</t>
        </is>
      </c>
      <c r="C343" s="67" t="inlineStr">
        <is>
          <t>Receiving</t>
        </is>
      </c>
      <c r="D343" s="3">
        <f>IFERROR(__xludf.DUMMYFUNCTION("GOOGLETRANSLATE(B343,""vi"",""km"")"),"កំពុង​ទៅ​យក​ទំនិញ")</f>
        <v/>
      </c>
      <c r="E343" s="3" t="inlineStr">
        <is>
          <t>កំពុងទទួល</t>
        </is>
      </c>
      <c r="F343" s="3" t="inlineStr">
        <is>
          <t>កំពុងទៅយកអីវ៉ាន់</t>
        </is>
      </c>
      <c r="G343" s="3" t="n"/>
      <c r="H343" t="inlineStr">
        <is>
          <t>កំពុងទៅយកអីវ៉ាន់</t>
        </is>
      </c>
      <c r="I343" s="67" t="n"/>
      <c r="J343" s="67" t="n"/>
      <c r="K343" s="67" t="n"/>
      <c r="L343" s="67" t="n"/>
      <c r="M343" s="67" t="n"/>
      <c r="N343" s="67" t="n"/>
      <c r="O343" s="67" t="n"/>
      <c r="P343" s="67" t="n"/>
      <c r="Q343" s="67" t="n"/>
      <c r="R343" s="67" t="n"/>
      <c r="S343" s="67" t="n"/>
      <c r="T343" s="67" t="n"/>
      <c r="U343" s="67" t="n"/>
      <c r="V343" s="67" t="n"/>
      <c r="W343" s="67" t="n"/>
      <c r="X343" s="67" t="n"/>
      <c r="Y343" s="67" t="n"/>
      <c r="Z343" s="67" t="n"/>
      <c r="AA343" s="67" t="n"/>
      <c r="AB343" s="67" t="n"/>
    </row>
    <row r="344" ht="15.75" customHeight="1" s="305">
      <c r="A344" s="225" t="inlineStr">
        <is>
          <t>210</t>
        </is>
      </c>
      <c r="B344" s="67" t="inlineStr">
        <is>
          <t>Đã lấy hàng</t>
        </is>
      </c>
      <c r="C344" s="67" t="inlineStr">
        <is>
          <t>Received</t>
        </is>
      </c>
      <c r="D344" s="3">
        <f>IFERROR(__xludf.DUMMYFUNCTION("GOOGLETRANSLATE(B344,""vi"",""km"")"),"ទំនិញត្រូវបានទទួល។")</f>
        <v/>
      </c>
      <c r="E344" s="3" t="inlineStr">
        <is>
          <t>ទទួលទំនិញកំពុងដំណើរការ</t>
        </is>
      </c>
      <c r="F344" s="3" t="inlineStr">
        <is>
          <t>បានយកអីវ៉ាន់រួចរាល់</t>
        </is>
      </c>
      <c r="G344" s="3" t="n"/>
      <c r="H344" t="inlineStr">
        <is>
          <t>បានយកអីវ៉ាន់រួចរាល់</t>
        </is>
      </c>
      <c r="I344" s="67" t="n"/>
      <c r="J344" s="67" t="n"/>
      <c r="K344" s="67" t="n"/>
      <c r="L344" s="67" t="n"/>
      <c r="M344" s="67" t="n"/>
      <c r="N344" s="67" t="n"/>
      <c r="O344" s="67" t="n"/>
      <c r="P344" s="67" t="n"/>
      <c r="Q344" s="67" t="n"/>
      <c r="R344" s="67" t="n"/>
      <c r="S344" s="67" t="n"/>
      <c r="T344" s="67" t="n"/>
      <c r="U344" s="67" t="n"/>
      <c r="V344" s="67" t="n"/>
      <c r="W344" s="67" t="n"/>
      <c r="X344" s="67" t="n"/>
      <c r="Y344" s="67" t="n"/>
      <c r="Z344" s="67" t="n"/>
      <c r="AA344" s="67" t="n"/>
      <c r="AB344" s="67" t="n"/>
    </row>
    <row r="345" ht="15.75" customHeight="1" s="305">
      <c r="A345" s="225" t="inlineStr">
        <is>
          <t>220</t>
        </is>
      </c>
      <c r="B345" s="67" t="inlineStr">
        <is>
          <t>Hẹn lấy lại</t>
        </is>
      </c>
      <c r="C345" s="67" t="inlineStr">
        <is>
          <t>Receive again</t>
        </is>
      </c>
      <c r="D345" s="3">
        <f>IFERROR(__xludf.DUMMYFUNCTION("GOOGLETRANSLATE(B345,""vi"",""km"")"),"ជួបគ្នាម្តងទៀត")</f>
        <v/>
      </c>
      <c r="E345" s="3" t="inlineStr">
        <is>
          <t>ទទួល</t>
        </is>
      </c>
      <c r="F345" s="3" t="inlineStr">
        <is>
          <t>ណាត់ពេលទៅយកម្តងទៀត</t>
        </is>
      </c>
      <c r="G345" s="3" t="n"/>
      <c r="H345" t="inlineStr">
        <is>
          <t>ណាត់ពេលទៅយកម្តងទៀត</t>
        </is>
      </c>
      <c r="I345" s="67" t="n"/>
      <c r="J345" s="67" t="n"/>
      <c r="K345" s="67" t="n"/>
      <c r="L345" s="67" t="n"/>
      <c r="M345" s="67" t="n"/>
      <c r="N345" s="67" t="n"/>
      <c r="O345" s="67" t="n"/>
      <c r="P345" s="67" t="n"/>
      <c r="Q345" s="67" t="n"/>
      <c r="R345" s="67" t="n"/>
      <c r="S345" s="67" t="n"/>
      <c r="T345" s="67" t="n"/>
      <c r="U345" s="67" t="n"/>
      <c r="V345" s="67" t="n"/>
      <c r="W345" s="67" t="n"/>
      <c r="X345" s="67" t="n"/>
      <c r="Y345" s="67" t="n"/>
      <c r="Z345" s="67" t="n"/>
      <c r="AA345" s="67" t="n"/>
      <c r="AB345" s="67" t="n"/>
    </row>
    <row r="346" ht="15.75" customHeight="1" s="305">
      <c r="A346" s="225" t="inlineStr">
        <is>
          <t>230</t>
        </is>
      </c>
      <c r="B346" s="67" t="inlineStr">
        <is>
          <t>Không lấy được hàng</t>
        </is>
      </c>
      <c r="C346" s="67" t="inlineStr">
        <is>
          <t>Receive failed</t>
        </is>
      </c>
      <c r="D346" s="3">
        <f>IFERROR(__xludf.DUMMYFUNCTION("GOOGLETRANSLATE(B346,""vi"",""km"")"),"មិនអាចទទួលទំនិញបានទេ។")</f>
        <v/>
      </c>
      <c r="E346" s="3" t="inlineStr">
        <is>
          <t>ទទួលទំនិញតាមកាលវិភាគ</t>
        </is>
      </c>
      <c r="F346" s="3" t="inlineStr">
        <is>
          <t>យកអីវ៉ាន់មិនបានសម្រេច</t>
        </is>
      </c>
      <c r="G346" s="3" t="n"/>
      <c r="H346" t="inlineStr">
        <is>
          <t>យកអីវ៉ាន់មិនបានសម្រេច</t>
        </is>
      </c>
      <c r="I346" s="67" t="n"/>
      <c r="J346" s="67" t="n"/>
      <c r="K346" s="67" t="n"/>
      <c r="L346" s="67" t="n"/>
      <c r="M346" s="67" t="n"/>
      <c r="N346" s="67" t="n"/>
      <c r="O346" s="67" t="n"/>
      <c r="P346" s="67" t="n"/>
      <c r="Q346" s="67" t="n"/>
      <c r="R346" s="67" t="n"/>
      <c r="S346" s="67" t="n"/>
      <c r="T346" s="67" t="n"/>
      <c r="U346" s="67" t="n"/>
      <c r="V346" s="67" t="n"/>
      <c r="W346" s="67" t="n"/>
      <c r="X346" s="67" t="n"/>
      <c r="Y346" s="67" t="n"/>
      <c r="Z346" s="67" t="n"/>
      <c r="AA346" s="67" t="n"/>
      <c r="AB346" s="67" t="n"/>
    </row>
    <row r="347" ht="15.75" customHeight="1" s="305">
      <c r="A347" s="225" t="inlineStr">
        <is>
          <t>201</t>
        </is>
      </c>
      <c r="B347" s="67" t="inlineStr">
        <is>
          <t>Hủy đơn</t>
        </is>
      </c>
      <c r="C347" s="67" t="inlineStr">
        <is>
          <t>Cancelled</t>
        </is>
      </c>
      <c r="D347" s="3">
        <f>IFERROR(__xludf.DUMMYFUNCTION("GOOGLETRANSLATE(B347,""vi"",""km"")"),"លុបចោលការបញ្ជាទិញ")</f>
        <v/>
      </c>
      <c r="E347" s="3" t="inlineStr">
        <is>
          <t>មិនអាចទទួល</t>
        </is>
      </c>
      <c r="F347" s="3" t="inlineStr">
        <is>
          <t>លុបបុងចោល</t>
        </is>
      </c>
      <c r="G347" s="3" t="n"/>
      <c r="H347" t="inlineStr">
        <is>
          <t>លុបបុងចោល</t>
        </is>
      </c>
      <c r="I347" s="67" t="n"/>
      <c r="J347" s="67" t="n"/>
      <c r="K347" s="67" t="n"/>
      <c r="L347" s="67" t="n"/>
      <c r="M347" s="67" t="n"/>
      <c r="N347" s="67" t="n"/>
      <c r="O347" s="67" t="n"/>
      <c r="P347" s="67" t="n"/>
      <c r="Q347" s="67" t="n"/>
      <c r="R347" s="67" t="n"/>
      <c r="S347" s="67" t="n"/>
      <c r="T347" s="67" t="n"/>
      <c r="U347" s="67" t="n"/>
      <c r="V347" s="67" t="n"/>
      <c r="W347" s="67" t="n"/>
      <c r="X347" s="67" t="n"/>
      <c r="Y347" s="67" t="n"/>
      <c r="Z347" s="67" t="n"/>
      <c r="AA347" s="67" t="n"/>
      <c r="AB347" s="67" t="n"/>
    </row>
    <row r="348" ht="15.75" customHeight="1" s="305">
      <c r="A348" s="225" t="inlineStr">
        <is>
          <t>300</t>
        </is>
      </c>
      <c r="B348" s="67" t="inlineStr">
        <is>
          <t>Gán đơn vào tải</t>
        </is>
      </c>
      <c r="C348" s="67" t="inlineStr">
        <is>
          <t>Assign order to sack</t>
        </is>
      </c>
      <c r="D348" s="3">
        <f>IFERROR(__xludf.DUMMYFUNCTION("GOOGLETRANSLATE(B348,""vi"",""km"")"),"កំណត់ការបញ្ជាទិញទៅបន្ទុក")</f>
        <v/>
      </c>
      <c r="E348" s="3" t="inlineStr">
        <is>
          <t>លុបចោលការបញ្ជាទិញ</t>
        </is>
      </c>
      <c r="F348" s="3" t="inlineStr">
        <is>
          <t>កំណត់ការបញ្ជាទិញទៅបន្ទុក</t>
        </is>
      </c>
      <c r="G348" s="3" t="n"/>
      <c r="H348" t="inlineStr">
        <is>
          <t>កំណត់ការបញ្ជាទិញទៅបន្ទុក</t>
        </is>
      </c>
      <c r="I348" s="67" t="n"/>
      <c r="J348" s="67" t="n"/>
      <c r="K348" s="67" t="n"/>
      <c r="L348" s="67" t="n"/>
      <c r="M348" s="67" t="n"/>
      <c r="N348" s="67" t="n"/>
      <c r="O348" s="67" t="n"/>
      <c r="P348" s="67" t="n"/>
      <c r="Q348" s="67" t="n"/>
      <c r="R348" s="67" t="n"/>
      <c r="S348" s="67" t="n"/>
      <c r="T348" s="67" t="n"/>
      <c r="U348" s="67" t="n"/>
      <c r="V348" s="67" t="n"/>
      <c r="W348" s="67" t="n"/>
      <c r="X348" s="67" t="n"/>
      <c r="Y348" s="67" t="n"/>
      <c r="Z348" s="67" t="n"/>
      <c r="AA348" s="67" t="n"/>
      <c r="AB348" s="67" t="n"/>
    </row>
    <row r="349" ht="15.75" customHeight="1" s="305">
      <c r="A349" s="225" t="inlineStr">
        <is>
          <t>301</t>
        </is>
      </c>
      <c r="B349" s="67" t="inlineStr">
        <is>
          <t>Loại bỏ đơn khỏi tải</t>
        </is>
      </c>
      <c r="C349" s="67" t="inlineStr">
        <is>
          <t>Remove order from sack</t>
        </is>
      </c>
      <c r="D349" s="3">
        <f>IFERROR(__xludf.DUMMYFUNCTION("GOOGLETRANSLATE(B349,""vi"",""km"")"),"យកលំដាប់ចេញពីបន្ទុក។")</f>
        <v/>
      </c>
      <c r="E349" s="3" t="inlineStr">
        <is>
          <t>ចាត់តាំងការបញ្ជាទិញដើម្បីផ្ទុក</t>
        </is>
      </c>
      <c r="F349" s="3" t="inlineStr">
        <is>
          <t>ដកបុងចេញពីបាវ</t>
        </is>
      </c>
      <c r="G349" s="3" t="n"/>
      <c r="H349" t="inlineStr">
        <is>
          <t>ដកបុងចេញពីបាវ</t>
        </is>
      </c>
      <c r="I349" s="67" t="n"/>
      <c r="J349" s="67" t="n"/>
      <c r="K349" s="67" t="n"/>
      <c r="L349" s="67" t="n"/>
      <c r="M349" s="67" t="n"/>
      <c r="N349" s="67" t="n"/>
      <c r="O349" s="67" t="n"/>
      <c r="P349" s="67" t="n"/>
      <c r="Q349" s="67" t="n"/>
      <c r="R349" s="67" t="n"/>
      <c r="S349" s="67" t="n"/>
      <c r="T349" s="67" t="n"/>
      <c r="U349" s="67" t="n"/>
      <c r="V349" s="67" t="n"/>
      <c r="W349" s="67" t="n"/>
      <c r="X349" s="67" t="n"/>
      <c r="Y349" s="67" t="n"/>
      <c r="Z349" s="67" t="n"/>
      <c r="AA349" s="67" t="n"/>
      <c r="AB349" s="67" t="n"/>
    </row>
    <row r="350" ht="15.75" customHeight="1" s="305">
      <c r="A350" s="225" t="inlineStr">
        <is>
          <t>302</t>
        </is>
      </c>
      <c r="B350" s="67" t="inlineStr">
        <is>
          <t>Hoàn thành tải</t>
        </is>
      </c>
      <c r="C350" s="67" t="inlineStr">
        <is>
          <t>Sack completed</t>
        </is>
      </c>
      <c r="D350" s="3">
        <f>IFERROR(__xludf.DUMMYFUNCTION("GOOGLETRANSLATE(B350,""vi"",""km"")"),"ការទាញយកបានបញ្ចប់")</f>
        <v/>
      </c>
      <c r="E350" s="3" t="inlineStr">
        <is>
          <t>ដកការបញ្ជាទិញចេញពីបន្ទុក</t>
        </is>
      </c>
      <c r="F350" s="3" t="inlineStr">
        <is>
          <t>ច្រកបាវរួចរាល់</t>
        </is>
      </c>
      <c r="G350" s="3" t="n"/>
      <c r="H350" t="inlineStr">
        <is>
          <t>ច្រកបាវរួចរាល់</t>
        </is>
      </c>
      <c r="I350" s="67" t="n"/>
      <c r="J350" s="67" t="n"/>
      <c r="K350" s="67" t="n"/>
      <c r="L350" s="67" t="n"/>
      <c r="M350" s="67" t="n"/>
      <c r="N350" s="67" t="n"/>
      <c r="O350" s="67" t="n"/>
      <c r="P350" s="67" t="n"/>
      <c r="Q350" s="67" t="n"/>
      <c r="R350" s="67" t="n"/>
      <c r="S350" s="67" t="n"/>
      <c r="T350" s="67" t="n"/>
      <c r="U350" s="67" t="n"/>
      <c r="V350" s="67" t="n"/>
      <c r="W350" s="67" t="n"/>
      <c r="X350" s="67" t="n"/>
      <c r="Y350" s="67" t="n"/>
      <c r="Z350" s="67" t="n"/>
      <c r="AA350" s="67" t="n"/>
      <c r="AB350" s="67" t="n"/>
    </row>
    <row r="351" ht="15.75" customHeight="1" s="305">
      <c r="A351" s="225" t="inlineStr">
        <is>
          <t>303</t>
        </is>
      </c>
      <c r="B351" s="67" t="inlineStr">
        <is>
          <t>Gửi yêu cầu vận tải</t>
        </is>
      </c>
      <c r="C351" s="67" t="inlineStr">
        <is>
          <t>Send transport request</t>
        </is>
      </c>
      <c r="D351" s="3">
        <f>IFERROR(__xludf.DUMMYFUNCTION("GOOGLETRANSLATE(B351,""vi"",""km"")"),"ដាក់ស្នើសំណើដឹកជញ្ជូន។")</f>
        <v/>
      </c>
      <c r="E351" s="3" t="inlineStr">
        <is>
          <t>ផ្ទុកពេញលេញ</t>
        </is>
      </c>
      <c r="F351" s="3" t="inlineStr">
        <is>
          <t>ផ្ញើសំណើដឹកជញ្ជូន</t>
        </is>
      </c>
      <c r="G351" s="3" t="n"/>
      <c r="H351" t="inlineStr">
        <is>
          <t>ផ្ញើសំណើដឹកជញ្ជូន</t>
        </is>
      </c>
      <c r="I351" s="67" t="n"/>
      <c r="J351" s="67" t="n"/>
      <c r="K351" s="67" t="n"/>
      <c r="L351" s="67" t="n"/>
      <c r="M351" s="67" t="n"/>
      <c r="N351" s="67" t="n"/>
      <c r="O351" s="67" t="n"/>
      <c r="P351" s="67" t="n"/>
      <c r="Q351" s="67" t="n"/>
      <c r="R351" s="67" t="n"/>
      <c r="S351" s="67" t="n"/>
      <c r="T351" s="67" t="n"/>
      <c r="U351" s="67" t="n"/>
      <c r="V351" s="67" t="n"/>
      <c r="W351" s="67" t="n"/>
      <c r="X351" s="67" t="n"/>
      <c r="Y351" s="67" t="n"/>
      <c r="Z351" s="67" t="n"/>
      <c r="AA351" s="67" t="n"/>
      <c r="AB351" s="67" t="n"/>
    </row>
    <row r="352" ht="15.75" customHeight="1" s="305">
      <c r="A352" s="225" t="inlineStr">
        <is>
          <t>304</t>
        </is>
      </c>
      <c r="B352" s="67" t="inlineStr">
        <is>
          <t>Xác nhận đến đơn vị (checkin)</t>
        </is>
      </c>
      <c r="C352" s="67" t="inlineStr">
        <is>
          <t>Confirm arrival at unit</t>
        </is>
      </c>
      <c r="D352" s="3">
        <f>IFERROR(__xludf.DUMMYFUNCTION("GOOGLETRANSLATE(B352,""vi"",""km"")"),"ការបញ្ជាក់ពីការមកដល់អង្គភាព (ការចុះឈ្មោះចូល)")</f>
        <v/>
      </c>
      <c r="E352" s="3" t="inlineStr">
        <is>
          <t>ដាក់ស្នើសំណើដឹកជញ្ជូន</t>
        </is>
      </c>
      <c r="F352" s="3" t="inlineStr">
        <is>
          <t>ការបញ្ជាក់ពីការមកដល់អង្គភាព (ការចុះឈ្មោះចូល)</t>
        </is>
      </c>
      <c r="G352" s="3" t="n"/>
      <c r="H352" t="inlineStr">
        <is>
          <t>ការបញ្ជាក់ពីការមកដល់អង្គភាព (ការចុះឈ្មោះចូល)</t>
        </is>
      </c>
      <c r="I352" s="67" t="n"/>
      <c r="J352" s="67" t="n"/>
      <c r="K352" s="67" t="n"/>
      <c r="L352" s="67" t="n"/>
      <c r="M352" s="67" t="n"/>
      <c r="N352" s="67" t="n"/>
      <c r="O352" s="67" t="n"/>
      <c r="P352" s="67" t="n"/>
      <c r="Q352" s="67" t="n"/>
      <c r="R352" s="67" t="n"/>
      <c r="S352" s="67" t="n"/>
      <c r="T352" s="67" t="n"/>
      <c r="U352" s="67" t="n"/>
      <c r="V352" s="67" t="n"/>
      <c r="W352" s="67" t="n"/>
      <c r="X352" s="67" t="n"/>
      <c r="Y352" s="67" t="n"/>
      <c r="Z352" s="67" t="n"/>
      <c r="AA352" s="67" t="n"/>
      <c r="AB352" s="67" t="n"/>
    </row>
    <row r="353" ht="15.75" customHeight="1" s="305">
      <c r="A353" s="225" t="inlineStr">
        <is>
          <t>305</t>
        </is>
      </c>
      <c r="B353" s="67" t="inlineStr">
        <is>
          <t>Tạo bàn giao</t>
        </is>
      </c>
      <c r="C353" s="67" t="inlineStr">
        <is>
          <t>Create a new handover</t>
        </is>
      </c>
      <c r="D353" s="3">
        <f>IFERROR(__xludf.DUMMYFUNCTION("GOOGLETRANSLATE(B353,""vi"",""km"")"),"បង្កើតការប្រគល់")</f>
        <v/>
      </c>
      <c r="E353" s="3" t="inlineStr">
        <is>
          <t>ពិនិត្យចូលបញ្ជាក់</t>
        </is>
      </c>
      <c r="F353" s="3" t="inlineStr">
        <is>
          <t>បង្កើតការប្រគល់ទទួល</t>
        </is>
      </c>
      <c r="G353" s="3" t="n"/>
      <c r="H353" t="inlineStr">
        <is>
          <t>បង្កើតការប្រគល់ទទួល</t>
        </is>
      </c>
      <c r="I353" s="67" t="n"/>
      <c r="J353" s="67" t="n"/>
      <c r="K353" s="67" t="n"/>
      <c r="L353" s="67" t="n"/>
      <c r="M353" s="67" t="n"/>
      <c r="N353" s="67" t="n"/>
      <c r="O353" s="67" t="n"/>
      <c r="P353" s="67" t="n"/>
      <c r="Q353" s="67" t="n"/>
      <c r="R353" s="67" t="n"/>
      <c r="S353" s="67" t="n"/>
      <c r="T353" s="67" t="n"/>
      <c r="U353" s="67" t="n"/>
      <c r="V353" s="67" t="n"/>
      <c r="W353" s="67" t="n"/>
      <c r="X353" s="67" t="n"/>
      <c r="Y353" s="67" t="n"/>
      <c r="Z353" s="67" t="n"/>
      <c r="AA353" s="67" t="n"/>
      <c r="AB353" s="67" t="n"/>
    </row>
    <row r="354" ht="15.75" customHeight="1" s="305">
      <c r="A354" s="225" t="inlineStr">
        <is>
          <t>306</t>
        </is>
      </c>
      <c r="B354" s="67" t="inlineStr">
        <is>
          <t>Nhận bàn giao</t>
        </is>
      </c>
      <c r="C354" s="67" t="inlineStr">
        <is>
          <t>Accept handover</t>
        </is>
      </c>
      <c r="D354" s="3">
        <f>IFERROR(__xludf.DUMMYFUNCTION("GOOGLETRANSLATE(B354,""vi"",""km"")"),"ស្វែងរកការប្រគល់")</f>
        <v/>
      </c>
      <c r="E354" s="3" t="inlineStr">
        <is>
          <t>បង្កើតការប្រគល់</t>
        </is>
      </c>
      <c r="F354" s="3" t="inlineStr">
        <is>
          <t>ទទួលការប្រគល់ទទួល</t>
        </is>
      </c>
      <c r="G354" s="3" t="n"/>
      <c r="H354" t="inlineStr">
        <is>
          <t>ទទួលការប្រគល់ទទួល</t>
        </is>
      </c>
      <c r="I354" s="67" t="n"/>
      <c r="J354" s="67" t="n"/>
      <c r="K354" s="67" t="n"/>
      <c r="L354" s="67" t="n"/>
      <c r="M354" s="67" t="n"/>
      <c r="N354" s="67" t="n"/>
      <c r="O354" s="67" t="n"/>
      <c r="P354" s="67" t="n"/>
      <c r="Q354" s="67" t="n"/>
      <c r="R354" s="67" t="n"/>
      <c r="S354" s="67" t="n"/>
      <c r="T354" s="67" t="n"/>
      <c r="U354" s="67" t="n"/>
      <c r="V354" s="67" t="n"/>
      <c r="W354" s="67" t="n"/>
      <c r="X354" s="67" t="n"/>
      <c r="Y354" s="67" t="n"/>
      <c r="Z354" s="67" t="n"/>
      <c r="AA354" s="67" t="n"/>
      <c r="AB354" s="67" t="n"/>
    </row>
    <row r="355" ht="15.75" customHeight="1" s="305">
      <c r="A355" s="225" t="inlineStr">
        <is>
          <t>307</t>
        </is>
      </c>
      <c r="B355" s="67" t="inlineStr">
        <is>
          <t>Từ chối nhận bàn giao</t>
        </is>
      </c>
      <c r="C355" s="67" t="inlineStr">
        <is>
          <t>Reject</t>
        </is>
      </c>
      <c r="D355" s="3">
        <f>IFERROR(__xludf.DUMMYFUNCTION("GOOGLETRANSLATE(B355,""vi"",""km"")"),"បដិសេធមិនទទួលយកការប្រគល់ជូន។")</f>
        <v/>
      </c>
      <c r="E355" s="3" t="inlineStr">
        <is>
          <t>ទទួលការប្រគល់</t>
        </is>
      </c>
      <c r="F355" s="3" t="inlineStr">
        <is>
          <t>បដិសេធទទួលការប្រគល់</t>
        </is>
      </c>
      <c r="G355" s="3" t="n"/>
      <c r="H355" t="inlineStr">
        <is>
          <t>បដិសេធទទួលការប្រគល់</t>
        </is>
      </c>
      <c r="I355" s="67" t="n"/>
      <c r="J355" s="67" t="n"/>
      <c r="K355" s="67" t="n"/>
      <c r="L355" s="67" t="n"/>
      <c r="M355" s="67" t="n"/>
      <c r="N355" s="67" t="n"/>
      <c r="O355" s="67" t="n"/>
      <c r="P355" s="67" t="n"/>
      <c r="Q355" s="67" t="n"/>
      <c r="R355" s="67" t="n"/>
      <c r="S355" s="67" t="n"/>
      <c r="T355" s="67" t="n"/>
      <c r="U355" s="67" t="n"/>
      <c r="V355" s="67" t="n"/>
      <c r="W355" s="67" t="n"/>
      <c r="X355" s="67" t="n"/>
      <c r="Y355" s="67" t="n"/>
      <c r="Z355" s="67" t="n"/>
      <c r="AA355" s="67" t="n"/>
      <c r="AB355" s="67" t="n"/>
    </row>
    <row r="356" ht="15.75" customHeight="1" s="305">
      <c r="A356" s="225" t="inlineStr">
        <is>
          <t>308</t>
        </is>
      </c>
      <c r="B356" s="67" t="inlineStr">
        <is>
          <t>Xác nhận rời đơn vị (checkout)</t>
        </is>
      </c>
      <c r="C356" s="67" t="inlineStr">
        <is>
          <t>Confirm departure from unit</t>
        </is>
      </c>
      <c r="D356" s="3">
        <f>IFERROR(__xludf.DUMMYFUNCTION("GOOGLETRANSLATE(B356,""vi"",""km"")"),"ការបញ្ជាក់ពីការចាកចេញពីអង្គភាព (ទូទាត់ប្រាក់)")</f>
        <v/>
      </c>
      <c r="E356" s="3" t="inlineStr">
        <is>
          <t>បដិសេធការប្រគល់</t>
        </is>
      </c>
      <c r="F356" s="3" t="inlineStr">
        <is>
          <t>ការបញ្ជាក់ពីការចាកចេញពីអង្គភាព (ទូទាត់ប្រាក់)</t>
        </is>
      </c>
      <c r="G356" s="3" t="n"/>
      <c r="H356" t="inlineStr">
        <is>
          <t>ការបញ្ជាក់ពីការចាកចេញពីអង្គភាព (ទូទាត់ប្រាក់)</t>
        </is>
      </c>
      <c r="I356" s="67" t="n"/>
      <c r="J356" s="67" t="n"/>
      <c r="K356" s="67" t="n"/>
      <c r="L356" s="67" t="n"/>
      <c r="M356" s="67" t="n"/>
      <c r="N356" s="67" t="n"/>
      <c r="O356" s="67" t="n"/>
      <c r="P356" s="67" t="n"/>
      <c r="Q356" s="67" t="n"/>
      <c r="R356" s="67" t="n"/>
      <c r="S356" s="67" t="n"/>
      <c r="T356" s="67" t="n"/>
      <c r="U356" s="67" t="n"/>
      <c r="V356" s="67" t="n"/>
      <c r="W356" s="67" t="n"/>
      <c r="X356" s="67" t="n"/>
      <c r="Y356" s="67" t="n"/>
      <c r="Z356" s="67" t="n"/>
      <c r="AA356" s="67" t="n"/>
      <c r="AB356" s="67" t="n"/>
    </row>
    <row r="357" ht="15.75" customHeight="1" s="305">
      <c r="A357" s="225" t="inlineStr">
        <is>
          <t>309</t>
        </is>
      </c>
      <c r="B357" s="67" t="inlineStr">
        <is>
          <t>Nhận bưu gửi</t>
        </is>
      </c>
      <c r="C357" s="67" t="inlineStr">
        <is>
          <t>Receive bill</t>
        </is>
      </c>
      <c r="D357" s="3">
        <f>IFERROR(__xludf.DUMMYFUNCTION("GOOGLETRANSLATE(B357,""vi"",""km"")"),"ទទួល​សំបុត្រ")</f>
        <v/>
      </c>
      <c r="E357" s="3" t="inlineStr">
        <is>
          <t>បញ្ជាក់ការចាកចេញពីអង្គភាព (ពិនិត្យចេញ)</t>
        </is>
      </c>
      <c r="F357" s="3" t="inlineStr">
        <is>
          <t>ទទួលបុងបញ្ញើ</t>
        </is>
      </c>
      <c r="G357" s="3" t="n"/>
      <c r="H357" t="inlineStr">
        <is>
          <t>ទទួលបុងបញ្ញើ</t>
        </is>
      </c>
      <c r="I357" s="67" t="n"/>
      <c r="J357" s="67" t="n"/>
      <c r="K357" s="67" t="n"/>
      <c r="L357" s="67" t="n"/>
      <c r="M357" s="67" t="n"/>
      <c r="N357" s="67" t="n"/>
      <c r="O357" s="67" t="n"/>
      <c r="P357" s="67" t="n"/>
      <c r="Q357" s="67" t="n"/>
      <c r="R357" s="67" t="n"/>
      <c r="S357" s="67" t="n"/>
      <c r="T357" s="67" t="n"/>
      <c r="U357" s="67" t="n"/>
      <c r="V357" s="67" t="n"/>
      <c r="W357" s="67" t="n"/>
      <c r="X357" s="67" t="n"/>
      <c r="Y357" s="67" t="n"/>
      <c r="Z357" s="67" t="n"/>
      <c r="AA357" s="67" t="n"/>
      <c r="AB357" s="67" t="n"/>
    </row>
    <row r="358" ht="15.75" customHeight="1" s="305">
      <c r="A358" s="208" t="n">
        <v>311</v>
      </c>
      <c r="B358" s="209" t="inlineStr">
        <is>
          <t>Đang vận chuyển giao</t>
        </is>
      </c>
      <c r="C358" s="210" t="inlineStr">
        <is>
          <t>Being delivered</t>
        </is>
      </c>
      <c r="D358" s="3">
        <f>IFERROR(__xludf.DUMMYFUNCTION("GOOGLETRANSLATE(B358,""vi"",""km"")"),"បច្ចុប្បន្នកំពុងដឹកជញ្ជូន។")</f>
        <v/>
      </c>
      <c r="E358" s="211" t="n"/>
      <c r="F358" s="3" t="inlineStr">
        <is>
          <t>កំពុងដឹកជញ្ជូនចែកចាយ</t>
        </is>
      </c>
      <c r="G358" s="3" t="n"/>
      <c r="H358" t="inlineStr">
        <is>
          <t>កំពុងដឹកជញ្ជូនចែកចាយ</t>
        </is>
      </c>
      <c r="I358" s="67" t="n"/>
      <c r="J358" s="67" t="n"/>
      <c r="K358" s="67" t="n"/>
      <c r="L358" s="67" t="n"/>
      <c r="M358" s="67" t="n"/>
      <c r="N358" s="67" t="n"/>
      <c r="O358" s="67" t="n"/>
      <c r="P358" s="67" t="n"/>
      <c r="Q358" s="67" t="n"/>
      <c r="R358" s="67" t="n"/>
      <c r="S358" s="67" t="n"/>
      <c r="T358" s="67" t="n"/>
      <c r="U358" s="67" t="n"/>
      <c r="V358" s="67" t="n"/>
      <c r="W358" s="67" t="n"/>
      <c r="X358" s="67" t="n"/>
      <c r="Y358" s="67" t="n"/>
      <c r="Z358" s="67" t="n"/>
      <c r="AA358" s="67" t="n"/>
      <c r="AB358" s="67" t="n"/>
    </row>
    <row r="359" ht="15.75" customHeight="1" s="305">
      <c r="A359" s="225" t="inlineStr">
        <is>
          <t>400</t>
        </is>
      </c>
      <c r="B359" s="67" t="inlineStr">
        <is>
          <t>Phân công giao - Chưa hoàn thành</t>
        </is>
      </c>
      <c r="C359" s="67" t="inlineStr">
        <is>
          <t>Assigned to deliver - Not completed</t>
        </is>
      </c>
      <c r="D359" s="3">
        <f>IFERROR(__xludf.DUMMYFUNCTION("GOOGLETRANSLATE(B359,""vi"",""km"")"),"កិច្ចការ - មិនទាន់បានបញ្ចប់នៅឡើយទេ")</f>
        <v/>
      </c>
      <c r="E359" s="3" t="inlineStr">
        <is>
          <t>ទទួលក្បាលដី</t>
        </is>
      </c>
      <c r="F359" s="3" t="inlineStr">
        <is>
          <t>ចាត់តាំងការដឹកជញ្ជូន - មិនទាន់បញ្ចប់</t>
        </is>
      </c>
      <c r="G359" s="3" t="n"/>
      <c r="H359" t="inlineStr">
        <is>
          <t>ចាត់តាំងការដឹកជញ្ជូន - មិនទាន់បញ្ចប់</t>
        </is>
      </c>
      <c r="I359" s="67" t="n"/>
      <c r="J359" s="67" t="n"/>
      <c r="K359" s="67" t="n"/>
      <c r="L359" s="67" t="n"/>
      <c r="M359" s="67" t="n"/>
      <c r="N359" s="67" t="n"/>
      <c r="O359" s="67" t="n"/>
      <c r="P359" s="67" t="n"/>
      <c r="Q359" s="67" t="n"/>
      <c r="R359" s="67" t="n"/>
      <c r="S359" s="67" t="n"/>
      <c r="T359" s="67" t="n"/>
      <c r="U359" s="67" t="n"/>
      <c r="V359" s="67" t="n"/>
      <c r="W359" s="67" t="n"/>
      <c r="X359" s="67" t="n"/>
      <c r="Y359" s="67" t="n"/>
      <c r="Z359" s="67" t="n"/>
      <c r="AA359" s="67" t="n"/>
      <c r="AB359" s="67" t="n"/>
    </row>
    <row r="360" ht="15.75" customHeight="1" s="305">
      <c r="A360" s="225" t="inlineStr">
        <is>
          <t>401</t>
        </is>
      </c>
      <c r="B360" s="67" t="inlineStr">
        <is>
          <t>Phân công giao - Đã hoàn thành</t>
        </is>
      </c>
      <c r="C360" s="67" t="inlineStr">
        <is>
          <t>Assigned to deliver</t>
        </is>
      </c>
      <c r="D360" s="3">
        <f>IFERROR(__xludf.DUMMYFUNCTION("GOOGLETRANSLATE(B360,""vi"",""km"")"),"កិច្ចការបានបញ្ចប់")</f>
        <v/>
      </c>
      <c r="E360" s="3" t="inlineStr">
        <is>
          <t>ចាត់តាំងការដឹកជញ្ជូន - មិនទាន់បានបញ្ចប់</t>
        </is>
      </c>
      <c r="F360" s="3" t="inlineStr">
        <is>
          <t>ចាត់តាំងការដឹកជញ្ជូន - បានបញ្ចប់</t>
        </is>
      </c>
      <c r="G360" s="3" t="n"/>
      <c r="H360" t="inlineStr">
        <is>
          <t>ចាត់តាំងការដឹកជញ្ជូន - បានបញ្ចប់</t>
        </is>
      </c>
      <c r="I360" s="67" t="n"/>
      <c r="J360" s="67" t="n"/>
      <c r="K360" s="67" t="n"/>
      <c r="L360" s="67" t="n"/>
      <c r="M360" s="67" t="n"/>
      <c r="N360" s="67" t="n"/>
      <c r="O360" s="67" t="n"/>
      <c r="P360" s="67" t="n"/>
      <c r="Q360" s="67" t="n"/>
      <c r="R360" s="67" t="n"/>
      <c r="S360" s="67" t="n"/>
      <c r="T360" s="67" t="n"/>
      <c r="U360" s="67" t="n"/>
      <c r="V360" s="67" t="n"/>
      <c r="W360" s="67" t="n"/>
      <c r="X360" s="67" t="n"/>
      <c r="Y360" s="67" t="n"/>
      <c r="Z360" s="67" t="n"/>
      <c r="AA360" s="67" t="n"/>
      <c r="AB360" s="67" t="n"/>
    </row>
    <row r="361" ht="15.75" customHeight="1" s="305">
      <c r="A361" s="225" t="inlineStr">
        <is>
          <t>402</t>
        </is>
      </c>
      <c r="B361" s="67" t="inlineStr">
        <is>
          <t>Xác nhận phân công</t>
        </is>
      </c>
      <c r="C361" s="67" t="inlineStr">
        <is>
          <t>Assignment confirmation</t>
        </is>
      </c>
      <c r="D361" s="3">
        <f>IFERROR(__xludf.DUMMYFUNCTION("GOOGLETRANSLATE(B361,""vi"",""km"")"),"បញ្ជាក់​ការចាត់តាំង")</f>
        <v/>
      </c>
      <c r="E361" s="3" t="inlineStr">
        <is>
          <t>ចាត់តាំងការដឹកជញ្ជូន - បានបញ្ចប់</t>
        </is>
      </c>
      <c r="F361" s="3" t="inlineStr">
        <is>
          <t>បញ្ជាក់ការចាត់តាំងការងារ</t>
        </is>
      </c>
      <c r="G361" s="3" t="n"/>
      <c r="H361" t="inlineStr">
        <is>
          <t>បញ្ជាក់ការចាត់តាំងការងារ</t>
        </is>
      </c>
      <c r="I361" s="67" t="n"/>
      <c r="J361" s="67" t="n"/>
      <c r="K361" s="67" t="n"/>
      <c r="L361" s="67" t="n"/>
      <c r="M361" s="67" t="n"/>
      <c r="N361" s="67" t="n"/>
      <c r="O361" s="67" t="n"/>
      <c r="P361" s="67" t="n"/>
      <c r="Q361" s="67" t="n"/>
      <c r="R361" s="67" t="n"/>
      <c r="S361" s="67" t="n"/>
      <c r="T361" s="67" t="n"/>
      <c r="U361" s="67" t="n"/>
      <c r="V361" s="67" t="n"/>
      <c r="W361" s="67" t="n"/>
      <c r="X361" s="67" t="n"/>
      <c r="Y361" s="67" t="n"/>
      <c r="Z361" s="67" t="n"/>
      <c r="AA361" s="67" t="n"/>
      <c r="AB361" s="67" t="n"/>
    </row>
    <row r="362" ht="15.75" customHeight="1" s="305">
      <c r="A362" s="225" t="inlineStr">
        <is>
          <t>403</t>
        </is>
      </c>
      <c r="B362" s="67" t="inlineStr">
        <is>
          <t>Đến địa chỉ giao</t>
        </is>
      </c>
      <c r="C362" s="67" t="inlineStr">
        <is>
          <t>Arrived at delivery address</t>
        </is>
      </c>
      <c r="D362" s="3">
        <f>IFERROR(__xludf.DUMMYFUNCTION("GOOGLETRANSLATE(B362,""vi"",""km"")"),"ដឹកជញ្ជូនដល់អាសយដ្ឋាន")</f>
        <v/>
      </c>
      <c r="E362" s="3" t="inlineStr">
        <is>
          <t>បញ្ជាក់ ការចាត់តាំង</t>
        </is>
      </c>
      <c r="F362" s="3" t="inlineStr">
        <is>
          <t>ដឹកជញ្ជូនដល់អាសយដ្ឋាន</t>
        </is>
      </c>
      <c r="G362" s="3" t="n"/>
      <c r="H362" t="inlineStr">
        <is>
          <t>ដឹកជញ្ជូនដល់អាសយដ្ឋាន</t>
        </is>
      </c>
      <c r="I362" s="67" t="n"/>
      <c r="J362" s="67" t="n"/>
      <c r="K362" s="67" t="n"/>
      <c r="L362" s="67" t="n"/>
      <c r="M362" s="67" t="n"/>
      <c r="N362" s="67" t="n"/>
      <c r="O362" s="67" t="n"/>
      <c r="P362" s="67" t="n"/>
      <c r="Q362" s="67" t="n"/>
      <c r="R362" s="67" t="n"/>
      <c r="S362" s="67" t="n"/>
      <c r="T362" s="67" t="n"/>
      <c r="U362" s="67" t="n"/>
      <c r="V362" s="67" t="n"/>
      <c r="W362" s="67" t="n"/>
      <c r="X362" s="67" t="n"/>
      <c r="Y362" s="67" t="n"/>
      <c r="Z362" s="67" t="n"/>
      <c r="AA362" s="67" t="n"/>
      <c r="AB362" s="67" t="n"/>
    </row>
    <row r="363" ht="15.75" customHeight="1" s="305">
      <c r="A363" s="225" t="inlineStr">
        <is>
          <t>410</t>
        </is>
      </c>
      <c r="B363" s="67" t="inlineStr">
        <is>
          <t>Giao thành công</t>
        </is>
      </c>
      <c r="C363" s="67" t="inlineStr">
        <is>
          <t>Shipped</t>
        </is>
      </c>
      <c r="D363" s="3">
        <f>IFERROR(__xludf.DUMMYFUNCTION("GOOGLETRANSLATE(B363,""vi"",""km"")"),"ការដឹកជញ្ជូនទទួលបានជោគជ័យ")</f>
        <v/>
      </c>
      <c r="E363" s="3" t="inlineStr">
        <is>
          <t>មកដល់អាសយដ្ឋានដឹកជញ្ជូន</t>
        </is>
      </c>
      <c r="F363" s="3" t="inlineStr">
        <is>
          <t>ដឹកជញ្ជូនជោគជ័យ</t>
        </is>
      </c>
      <c r="G363" s="3" t="n"/>
      <c r="H363" t="inlineStr">
        <is>
          <t>ដឹកជញ្ជូនជោគជ័យ</t>
        </is>
      </c>
      <c r="I363" s="67" t="n"/>
      <c r="J363" s="67" t="n"/>
      <c r="K363" s="67" t="n"/>
      <c r="L363" s="67" t="n"/>
      <c r="M363" s="67" t="n"/>
      <c r="N363" s="67" t="n"/>
      <c r="O363" s="67" t="n"/>
      <c r="P363" s="67" t="n"/>
      <c r="Q363" s="67" t="n"/>
      <c r="R363" s="67" t="n"/>
      <c r="S363" s="67" t="n"/>
      <c r="T363" s="67" t="n"/>
      <c r="U363" s="67" t="n"/>
      <c r="V363" s="67" t="n"/>
      <c r="W363" s="67" t="n"/>
      <c r="X363" s="67" t="n"/>
      <c r="Y363" s="67" t="n"/>
      <c r="Z363" s="67" t="n"/>
      <c r="AA363" s="67" t="n"/>
      <c r="AB363" s="67" t="n"/>
    </row>
    <row r="364" ht="15.75" customHeight="1" s="305">
      <c r="A364" s="225" t="inlineStr">
        <is>
          <t>420</t>
        </is>
      </c>
      <c r="B364" s="67" t="inlineStr">
        <is>
          <t>Hẹn giao lại</t>
        </is>
      </c>
      <c r="C364" s="67" t="inlineStr">
        <is>
          <t>Ship again</t>
        </is>
      </c>
      <c r="D364" s="3">
        <f>IFERROR(__xludf.DUMMYFUNCTION("GOOGLETRANSLATE(B364,""vi"",""km"")"),"ការដឹកជញ្ជូនត្រូវបានកំណត់ពេលឡើងវិញ")</f>
        <v/>
      </c>
      <c r="E364" s="3" t="inlineStr">
        <is>
          <t>ការដឹកជញ្ជូនទទួលបានជោគជ័យ</t>
        </is>
      </c>
      <c r="F364" s="3" t="inlineStr">
        <is>
          <t>ណាត់ពេលដឹកជញ្ជូនម្តងទៀត</t>
        </is>
      </c>
      <c r="G364" s="3" t="n"/>
      <c r="H364" t="inlineStr">
        <is>
          <t>ណាត់ពេលដឹកជញ្ជូនម្តងទៀត</t>
        </is>
      </c>
      <c r="I364" s="67" t="n"/>
      <c r="J364" s="67" t="n"/>
      <c r="K364" s="67" t="n"/>
      <c r="L364" s="67" t="n"/>
      <c r="M364" s="67" t="n"/>
      <c r="N364" s="67" t="n"/>
      <c r="O364" s="67" t="n"/>
      <c r="P364" s="67" t="n"/>
      <c r="Q364" s="67" t="n"/>
      <c r="R364" s="67" t="n"/>
      <c r="S364" s="67" t="n"/>
      <c r="T364" s="67" t="n"/>
      <c r="U364" s="67" t="n"/>
      <c r="V364" s="67" t="n"/>
      <c r="W364" s="67" t="n"/>
      <c r="X364" s="67" t="n"/>
      <c r="Y364" s="67" t="n"/>
      <c r="Z364" s="67" t="n"/>
      <c r="AA364" s="67" t="n"/>
      <c r="AB364" s="67" t="n"/>
    </row>
    <row r="365" ht="15.75" customHeight="1" s="305">
      <c r="A365" s="225" t="inlineStr">
        <is>
          <t>430</t>
        </is>
      </c>
      <c r="B365" s="67" t="inlineStr">
        <is>
          <t>Không giao được hàng</t>
        </is>
      </c>
      <c r="C365" s="67" t="inlineStr">
        <is>
          <t>Ship failed</t>
        </is>
      </c>
      <c r="D365" s="3">
        <f>IFERROR(__xludf.DUMMYFUNCTION("GOOGLETRANSLATE(B365,""vi"",""km"")"),"មិនអាចដឹកជញ្ជូនបានទេ")</f>
        <v/>
      </c>
      <c r="E365" s="3" t="inlineStr">
        <is>
          <t>កំណត់ពេលដឹកជញ្ជូនឡើងវិញ</t>
        </is>
      </c>
      <c r="F365" s="3" t="inlineStr">
        <is>
          <t>ដឹកជញ្ជូនមិនបានសម្រេច</t>
        </is>
      </c>
      <c r="G365" s="3" t="n"/>
      <c r="H365" t="inlineStr">
        <is>
          <t>ដឹកជញ្ជូនមិនបានសម្រេច</t>
        </is>
      </c>
      <c r="I365" s="67" t="n"/>
      <c r="J365" s="67" t="n"/>
      <c r="K365" s="67" t="n"/>
      <c r="L365" s="67" t="n"/>
      <c r="M365" s="67" t="n"/>
      <c r="N365" s="67" t="n"/>
      <c r="O365" s="67" t="n"/>
      <c r="P365" s="67" t="n"/>
      <c r="Q365" s="67" t="n"/>
      <c r="R365" s="67" t="n"/>
      <c r="S365" s="67" t="n"/>
      <c r="T365" s="67" t="n"/>
      <c r="U365" s="67" t="n"/>
      <c r="V365" s="67" t="n"/>
      <c r="W365" s="67" t="n"/>
      <c r="X365" s="67" t="n"/>
      <c r="Y365" s="67" t="n"/>
      <c r="Z365" s="67" t="n"/>
      <c r="AA365" s="67" t="n"/>
      <c r="AB365" s="67" t="n"/>
    </row>
    <row r="366" ht="15.75" customHeight="1" s="305">
      <c r="A366" s="225" t="inlineStr">
        <is>
          <t>440</t>
        </is>
      </c>
      <c r="B366" s="67" t="inlineStr">
        <is>
          <t>Yêu cầu giao 1 phần</t>
        </is>
      </c>
      <c r="C366" s="67" t="inlineStr">
        <is>
          <t>Partial ship request</t>
        </is>
      </c>
      <c r="D366" s="3">
        <f>IFERROR(__xludf.DUMMYFUNCTION("GOOGLETRANSLATE(B366,""vi"",""km"")"),"ស្នើសុំការដឹកជញ្ជូន ១ ចំណែក")</f>
        <v/>
      </c>
      <c r="E366" s="3" t="inlineStr">
        <is>
          <t>មិនអាចដឹកជញ្ជូនបានទេ</t>
        </is>
      </c>
      <c r="F366" s="3" t="inlineStr">
        <is>
          <t>ស្នើសុំដឹកជញ្ជូនមួយផ្នែក</t>
        </is>
      </c>
      <c r="G366" s="3" t="n"/>
      <c r="H366" t="inlineStr">
        <is>
          <t>ស្នើសុំដឹកជញ្ជូនមួយផ្នែក</t>
        </is>
      </c>
      <c r="I366" s="67" t="n"/>
      <c r="J366" s="67" t="n"/>
      <c r="K366" s="67" t="n"/>
      <c r="L366" s="67" t="n"/>
      <c r="M366" s="67" t="n"/>
      <c r="N366" s="67" t="n"/>
      <c r="O366" s="67" t="n"/>
      <c r="P366" s="67" t="n"/>
      <c r="Q366" s="67" t="n"/>
      <c r="R366" s="67" t="n"/>
      <c r="S366" s="67" t="n"/>
      <c r="T366" s="67" t="n"/>
      <c r="U366" s="67" t="n"/>
      <c r="V366" s="67" t="n"/>
      <c r="W366" s="67" t="n"/>
      <c r="X366" s="67" t="n"/>
      <c r="Y366" s="67" t="n"/>
      <c r="Z366" s="67" t="n"/>
      <c r="AA366" s="67" t="n"/>
      <c r="AB366" s="67" t="n"/>
    </row>
    <row r="367" ht="15.75" customHeight="1" s="305">
      <c r="A367" s="225" t="inlineStr">
        <is>
          <t>441</t>
        </is>
      </c>
      <c r="B367" s="67" t="inlineStr">
        <is>
          <t>Giao thành công 1 phần</t>
        </is>
      </c>
      <c r="C367" s="67" t="inlineStr">
        <is>
          <t>Partially shipped</t>
        </is>
      </c>
      <c r="D367" s="3">
        <f>IFERROR(__xludf.DUMMYFUNCTION("GOOGLETRANSLATE(B367,""vi"",""km"")"),"ការដឹកជញ្ជូនដោយផ្នែកទទួលបានជោគជ័យ។")</f>
        <v/>
      </c>
      <c r="E367" s="3" t="inlineStr">
        <is>
          <t>ស្នើសុំការដឹកជញ្ជូនដោយផ្នែក</t>
        </is>
      </c>
      <c r="F367" s="3" t="inlineStr">
        <is>
          <t>ដឹកជញ្ជូនជោគជ័យមួយផ្នែក</t>
        </is>
      </c>
      <c r="G367" s="3" t="n"/>
      <c r="H367" t="inlineStr">
        <is>
          <t>ដឹកជញ្ជូនជោគជ័យមួយផ្នែក</t>
        </is>
      </c>
      <c r="I367" s="67" t="n"/>
      <c r="J367" s="67" t="n"/>
      <c r="K367" s="67" t="n"/>
      <c r="L367" s="67" t="n"/>
      <c r="M367" s="67" t="n"/>
      <c r="N367" s="67" t="n"/>
      <c r="O367" s="67" t="n"/>
      <c r="P367" s="67" t="n"/>
      <c r="Q367" s="67" t="n"/>
      <c r="R367" s="67" t="n"/>
      <c r="S367" s="67" t="n"/>
      <c r="T367" s="67" t="n"/>
      <c r="U367" s="67" t="n"/>
      <c r="V367" s="67" t="n"/>
      <c r="W367" s="67" t="n"/>
      <c r="X367" s="67" t="n"/>
      <c r="Y367" s="67" t="n"/>
      <c r="Z367" s="67" t="n"/>
      <c r="AA367" s="67" t="n"/>
      <c r="AB367" s="67" t="n"/>
    </row>
    <row r="368" ht="15.75" customHeight="1" s="305">
      <c r="A368" s="225" t="inlineStr">
        <is>
          <t>450</t>
        </is>
      </c>
      <c r="B368" s="67" t="inlineStr">
        <is>
          <t>Yêu cầu chuyển địa chỉ</t>
        </is>
      </c>
      <c r="C368" s="67" t="inlineStr">
        <is>
          <t>Forward request</t>
        </is>
      </c>
      <c r="D368" s="3">
        <f>IFERROR(__xludf.DUMMYFUNCTION("GOOGLETRANSLATE(B368,""vi"",""km"")"),"សំណើសុំផ្លាស់ប្តូរអាសយដ្ឋាន")</f>
        <v/>
      </c>
      <c r="E368" s="3" t="inlineStr">
        <is>
          <t>ការដឹកជញ្ជូនដោយផ្នែកទទួលបានជោគជ័យ</t>
        </is>
      </c>
      <c r="F368" s="3" t="inlineStr">
        <is>
          <t>ស្នើសុំប្តូរអាសយដ្ឋានដឹកជញ្ជូន</t>
        </is>
      </c>
      <c r="G368" s="3" t="n"/>
      <c r="H368" t="inlineStr">
        <is>
          <t>ស្នើសុំប្តូរអាសយដ្ឋានដឹកជញ្ជូន</t>
        </is>
      </c>
      <c r="I368" s="67" t="n"/>
      <c r="J368" s="67" t="n"/>
      <c r="K368" s="67" t="n"/>
      <c r="L368" s="67" t="n"/>
      <c r="M368" s="67" t="n"/>
      <c r="N368" s="67" t="n"/>
      <c r="O368" s="67" t="n"/>
      <c r="P368" s="67" t="n"/>
      <c r="Q368" s="67" t="n"/>
      <c r="R368" s="67" t="n"/>
      <c r="S368" s="67" t="n"/>
      <c r="T368" s="67" t="n"/>
      <c r="U368" s="67" t="n"/>
      <c r="V368" s="67" t="n"/>
      <c r="W368" s="67" t="n"/>
      <c r="X368" s="67" t="n"/>
      <c r="Y368" s="67" t="n"/>
      <c r="Z368" s="67" t="n"/>
      <c r="AA368" s="67" t="n"/>
      <c r="AB368" s="67" t="n"/>
    </row>
    <row r="369" ht="15.75" customHeight="1" s="305">
      <c r="A369" s="225" t="inlineStr">
        <is>
          <t>460</t>
        </is>
      </c>
      <c r="B369" s="67" t="inlineStr">
        <is>
          <t>Thông báo chuyển hoàn</t>
        </is>
      </c>
      <c r="C369" s="67" t="inlineStr">
        <is>
          <t>Return request</t>
        </is>
      </c>
      <c r="D369" s="3">
        <f>IFERROR(__xludf.DUMMYFUNCTION("GOOGLETRANSLATE(B369,""vi"",""km"")"),"ការជូនដំណឹងអំពីការសងប្រាក់វិញ")</f>
        <v/>
      </c>
      <c r="E369" s="3" t="inlineStr">
        <is>
          <t>ស្នើសុំការផ្លាស់ប្តូរអាសយដ្ឋាន</t>
        </is>
      </c>
      <c r="F369" s="3" t="inlineStr">
        <is>
          <t>ជូនដំណឹងអំពីការប្រគល់ត្រឡប់</t>
        </is>
      </c>
      <c r="G369" s="3" t="n"/>
      <c r="H369" t="inlineStr">
        <is>
          <t>ជូនដំណឹងអំពីការប្រគល់ត្រឡប់</t>
        </is>
      </c>
      <c r="I369" s="67" t="n"/>
      <c r="J369" s="67" t="n"/>
      <c r="K369" s="67" t="n"/>
      <c r="L369" s="67" t="n"/>
      <c r="M369" s="67" t="n"/>
      <c r="N369" s="67" t="n"/>
      <c r="O369" s="67" t="n"/>
      <c r="P369" s="67" t="n"/>
      <c r="Q369" s="67" t="n"/>
      <c r="R369" s="67" t="n"/>
      <c r="S369" s="67" t="n"/>
      <c r="T369" s="67" t="n"/>
      <c r="U369" s="67" t="n"/>
      <c r="V369" s="67" t="n"/>
      <c r="W369" s="67" t="n"/>
      <c r="X369" s="67" t="n"/>
      <c r="Y369" s="67" t="n"/>
      <c r="Z369" s="67" t="n"/>
      <c r="AA369" s="67" t="n"/>
      <c r="AB369" s="67" t="n"/>
    </row>
    <row r="370" ht="15.75" customHeight="1" s="305">
      <c r="A370" s="225" t="inlineStr">
        <is>
          <t>470</t>
        </is>
      </c>
      <c r="B370" s="67" t="inlineStr">
        <is>
          <t>Đã duyệt hoàn</t>
        </is>
      </c>
      <c r="C370" s="67" t="inlineStr">
        <is>
          <t>Return confirmed</t>
        </is>
      </c>
      <c r="D370" s="3">
        <f>IFERROR(__xludf.DUMMYFUNCTION("GOOGLETRANSLATE(B370,""vi"",""km"")"),"យល់ព្រម")</f>
        <v/>
      </c>
      <c r="E370" s="3" t="inlineStr">
        <is>
          <t>ការជូនដំណឹងអំពីការប្រគល់មកវិញ</t>
        </is>
      </c>
      <c r="F370" s="3" t="inlineStr">
        <is>
          <t>បានអនុម័តការប្រគល់ត្រឡប់</t>
        </is>
      </c>
      <c r="G370" s="3" t="n"/>
      <c r="H370" t="inlineStr">
        <is>
          <t>បានអនុម័តការប្រគល់ត្រឡប់</t>
        </is>
      </c>
      <c r="I370" s="67" t="n"/>
      <c r="J370" s="67" t="n"/>
      <c r="K370" s="67" t="n"/>
      <c r="L370" s="67" t="n"/>
      <c r="M370" s="67" t="n"/>
      <c r="N370" s="67" t="n"/>
      <c r="O370" s="67" t="n"/>
      <c r="P370" s="67" t="n"/>
      <c r="Q370" s="67" t="n"/>
      <c r="R370" s="67" t="n"/>
      <c r="S370" s="67" t="n"/>
      <c r="T370" s="67" t="n"/>
      <c r="U370" s="67" t="n"/>
      <c r="V370" s="67" t="n"/>
      <c r="W370" s="67" t="n"/>
      <c r="X370" s="67" t="n"/>
      <c r="Y370" s="67" t="n"/>
      <c r="Z370" s="67" t="n"/>
      <c r="AA370" s="67" t="n"/>
      <c r="AB370" s="67" t="n"/>
    </row>
    <row r="371" ht="15.75" customHeight="1" s="305">
      <c r="A371" s="225" t="inlineStr">
        <is>
          <t>471</t>
        </is>
      </c>
      <c r="B371" s="67" t="inlineStr">
        <is>
          <t>Từ chối hoàn</t>
        </is>
      </c>
      <c r="C371" s="67" t="inlineStr">
        <is>
          <t>Reject return request</t>
        </is>
      </c>
      <c r="D371" s="3">
        <f>IFERROR(__xludf.DUMMYFUNCTION("GOOGLETRANSLATE(B371,""vi"",""km"")"),"បដិសេធការសងប្រាក់វិញ")</f>
        <v/>
      </c>
      <c r="E371" s="3" t="inlineStr">
        <is>
          <t>ការប្រគល់មកវិញត្រូវបានអនុម័ត</t>
        </is>
      </c>
      <c r="F371" s="3" t="inlineStr">
        <is>
          <t>បដិសេធការប្រគល់ត្រឡប់</t>
        </is>
      </c>
      <c r="G371" s="3" t="n"/>
      <c r="H371" t="inlineStr">
        <is>
          <t>បដិសេធការប្រគល់ត្រឡប់</t>
        </is>
      </c>
      <c r="I371" s="67" t="n"/>
      <c r="J371" s="67" t="n"/>
      <c r="K371" s="67" t="n"/>
      <c r="L371" s="67" t="n"/>
      <c r="M371" s="67" t="n"/>
      <c r="N371" s="67" t="n"/>
      <c r="O371" s="67" t="n"/>
      <c r="P371" s="67" t="n"/>
      <c r="Q371" s="67" t="n"/>
      <c r="R371" s="67" t="n"/>
      <c r="S371" s="67" t="n"/>
      <c r="T371" s="67" t="n"/>
      <c r="U371" s="67" t="n"/>
      <c r="V371" s="67" t="n"/>
      <c r="W371" s="67" t="n"/>
      <c r="X371" s="67" t="n"/>
      <c r="Y371" s="67" t="n"/>
      <c r="Z371" s="67" t="n"/>
      <c r="AA371" s="67" t="n"/>
      <c r="AB371" s="67" t="n"/>
    </row>
    <row r="372" ht="15.75" customHeight="1" s="305">
      <c r="A372" s="225" t="inlineStr">
        <is>
          <t>473</t>
        </is>
      </c>
      <c r="B372" s="67" t="inlineStr">
        <is>
          <t>Phát tiếp</t>
        </is>
      </c>
      <c r="C372" s="67" t="inlineStr">
        <is>
          <t>ReDelivery</t>
        </is>
      </c>
      <c r="D372" s="3">
        <f>IFERROR(__xludf.DUMMYFUNCTION("GOOGLETRANSLATE(B372,""vi"",""km"")"),"លេងម្តងទៀត")</f>
        <v/>
      </c>
      <c r="E372" s="3" t="inlineStr">
        <is>
          <t>បដិសេធការប្រគល់មកវិញ</t>
        </is>
      </c>
      <c r="F372" s="3" t="inlineStr">
        <is>
          <t>ដឹកជញ្ជូនបន្ត</t>
        </is>
      </c>
      <c r="G372" s="3" t="n"/>
      <c r="H372" t="inlineStr">
        <is>
          <t>ដឹកជញ្ជូនបន្ត</t>
        </is>
      </c>
      <c r="I372" s="67" t="n"/>
      <c r="J372" s="67" t="n"/>
      <c r="K372" s="67" t="n"/>
      <c r="L372" s="67" t="n"/>
      <c r="M372" s="67" t="n"/>
      <c r="N372" s="67" t="n"/>
      <c r="O372" s="67" t="n"/>
      <c r="P372" s="67" t="n"/>
      <c r="Q372" s="67" t="n"/>
      <c r="R372" s="67" t="n"/>
      <c r="S372" s="67" t="n"/>
      <c r="T372" s="67" t="n"/>
      <c r="U372" s="67" t="n"/>
      <c r="V372" s="67" t="n"/>
      <c r="W372" s="67" t="n"/>
      <c r="X372" s="67" t="n"/>
      <c r="Y372" s="67" t="n"/>
      <c r="Z372" s="67" t="n"/>
      <c r="AA372" s="67" t="n"/>
      <c r="AB372" s="67" t="n"/>
    </row>
    <row r="373" ht="15.75" customHeight="1" s="305">
      <c r="A373" s="225" t="inlineStr">
        <is>
          <t>472</t>
        </is>
      </c>
      <c r="B373" s="67" t="inlineStr">
        <is>
          <t>Lưu kho</t>
        </is>
      </c>
      <c r="C373" s="67" t="inlineStr">
        <is>
          <t>Store in warehouse</t>
        </is>
      </c>
      <c r="D373" s="3">
        <f>IFERROR(__xludf.DUMMYFUNCTION("GOOGLETRANSLATE(B373,""vi"",""km"")"),"ការផ្ទុក")</f>
        <v/>
      </c>
      <c r="E373" s="3" t="inlineStr">
        <is>
          <t>បន្តការដឹកជញ្ជូន</t>
        </is>
      </c>
      <c r="F373" s="3" t="inlineStr">
        <is>
          <t>រក្សាទុកក្នុងឃ្លាំង</t>
        </is>
      </c>
      <c r="G373" s="3" t="n"/>
      <c r="H373" t="inlineStr">
        <is>
          <t>រក្សាទុកក្នុងឃ្លាំង</t>
        </is>
      </c>
      <c r="I373" s="67" t="n"/>
      <c r="J373" s="67" t="n"/>
      <c r="K373" s="67" t="n"/>
      <c r="L373" s="67" t="n"/>
      <c r="M373" s="67" t="n"/>
      <c r="N373" s="67" t="n"/>
      <c r="O373" s="67" t="n"/>
      <c r="P373" s="67" t="n"/>
      <c r="Q373" s="67" t="n"/>
      <c r="R373" s="67" t="n"/>
      <c r="S373" s="67" t="n"/>
      <c r="T373" s="67" t="n"/>
      <c r="U373" s="67" t="n"/>
      <c r="V373" s="67" t="n"/>
      <c r="W373" s="67" t="n"/>
      <c r="X373" s="67" t="n"/>
      <c r="Y373" s="67" t="n"/>
      <c r="Z373" s="67" t="n"/>
      <c r="AA373" s="67" t="n"/>
      <c r="AB373" s="67" t="n"/>
    </row>
    <row r="374" ht="15.75" customHeight="1" s="305">
      <c r="A374" s="225" t="inlineStr">
        <is>
          <t>480</t>
        </is>
      </c>
      <c r="B374" s="67" t="inlineStr">
        <is>
          <t>Chuyển giao địa chỉ mới</t>
        </is>
      </c>
      <c r="C374" s="67" t="inlineStr">
        <is>
          <t>Change address</t>
        </is>
      </c>
      <c r="D374" s="3">
        <f>IFERROR(__xludf.DUMMYFUNCTION("GOOGLETRANSLATE(B374,""vi"",""km"")"),"ផ្ទេរទៅអាសយដ្ឋានថ្មី។")</f>
        <v/>
      </c>
      <c r="E374" s="3" t="inlineStr">
        <is>
          <t>ការផ្ទុក</t>
        </is>
      </c>
      <c r="F374" s="3" t="inlineStr">
        <is>
          <t>ដឹកជញ្ជូនទៅកាន់អាសយដ្ឋានថ្មី</t>
        </is>
      </c>
      <c r="G374" s="3" t="n"/>
      <c r="H374" t="inlineStr">
        <is>
          <t>ដឹកជញ្ជូនទៅកាន់អាសយដ្ឋានថ្មី</t>
        </is>
      </c>
      <c r="I374" s="67" t="n"/>
      <c r="J374" s="67" t="n"/>
      <c r="K374" s="67" t="n"/>
      <c r="L374" s="67" t="n"/>
      <c r="M374" s="67" t="n"/>
      <c r="N374" s="67" t="n"/>
      <c r="O374" s="67" t="n"/>
      <c r="P374" s="67" t="n"/>
      <c r="Q374" s="67" t="n"/>
      <c r="R374" s="67" t="n"/>
      <c r="S374" s="67" t="n"/>
      <c r="T374" s="67" t="n"/>
      <c r="U374" s="67" t="n"/>
      <c r="V374" s="67" t="n"/>
      <c r="W374" s="67" t="n"/>
      <c r="X374" s="67" t="n"/>
      <c r="Y374" s="67" t="n"/>
      <c r="Z374" s="67" t="n"/>
      <c r="AA374" s="67" t="n"/>
      <c r="AB374" s="67" t="n"/>
    </row>
    <row r="375" ht="15.75" customHeight="1" s="305">
      <c r="A375" s="225" t="inlineStr">
        <is>
          <t>500</t>
        </is>
      </c>
      <c r="B375" s="67" t="inlineStr">
        <is>
          <t>Chuyển hoàn</t>
        </is>
      </c>
      <c r="C375" s="67" t="inlineStr">
        <is>
          <t>Return request</t>
        </is>
      </c>
      <c r="D375" s="3">
        <f>IFERROR(__xludf.DUMMYFUNCTION("GOOGLETRANSLATE(B375,""vi"",""km"")"),"ត្រឡប់មកវិញ")</f>
        <v/>
      </c>
      <c r="E375" s="3" t="inlineStr">
        <is>
          <t>ផ្ទេរទៅអាសយដ្ឋានថ្មី</t>
        </is>
      </c>
      <c r="F375" s="3" t="inlineStr">
        <is>
          <t>ត្រឡប់មកវិញ</t>
        </is>
      </c>
      <c r="G375" s="3" t="n"/>
      <c r="H375" t="inlineStr">
        <is>
          <t>ត្រឡប់មកវិញ</t>
        </is>
      </c>
      <c r="I375" s="67" t="n"/>
      <c r="J375" s="67" t="n"/>
      <c r="K375" s="67" t="n"/>
      <c r="L375" s="67" t="n"/>
      <c r="M375" s="67" t="n"/>
      <c r="N375" s="67" t="n"/>
      <c r="O375" s="67" t="n"/>
      <c r="P375" s="67" t="n"/>
      <c r="Q375" s="67" t="n"/>
      <c r="R375" s="67" t="n"/>
      <c r="S375" s="67" t="n"/>
      <c r="T375" s="67" t="n"/>
      <c r="U375" s="67" t="n"/>
      <c r="V375" s="67" t="n"/>
      <c r="W375" s="67" t="n"/>
      <c r="X375" s="67" t="n"/>
      <c r="Y375" s="67" t="n"/>
      <c r="Z375" s="67" t="n"/>
      <c r="AA375" s="67" t="n"/>
      <c r="AB375" s="67" t="n"/>
    </row>
    <row r="376" ht="15.75" customHeight="1" s="305">
      <c r="A376" s="225" t="inlineStr">
        <is>
          <t>550</t>
        </is>
      </c>
      <c r="B376" s="67" t="inlineStr">
        <is>
          <t>Hủy bưu gửi theo yêu cầu khách hàng</t>
        </is>
      </c>
      <c r="C376" s="67" t="inlineStr">
        <is>
          <t>Cancel shipment per customer request</t>
        </is>
      </c>
      <c r="D376" s="3">
        <f>IFERROR(__xludf.DUMMYFUNCTION("GOOGLETRANSLATE(B376,""vi"",""km"")"),"លុបចោលការដឹកជញ្ជូនតាមការស្នើសុំរបស់អតិថិជន។")</f>
        <v/>
      </c>
      <c r="E376" s="3" t="inlineStr">
        <is>
          <t>ការដឹកជញ្ជូនត្រឡប់មកវិញ</t>
        </is>
      </c>
      <c r="F376" s="3" t="inlineStr">
        <is>
          <t>លុបចោលការដឹកជញ្ជូនតាមការស្នើសុំរបស់អតិថិជន។</t>
        </is>
      </c>
      <c r="G376" s="3" t="n"/>
      <c r="H376" t="inlineStr">
        <is>
          <t>លុបចោលការដឹកជញ្ជូនតាមការស្នើសុំរបស់អតិថិជន។</t>
        </is>
      </c>
      <c r="I376" s="67" t="n"/>
      <c r="J376" s="67" t="n"/>
      <c r="K376" s="67" t="n"/>
      <c r="L376" s="67" t="n"/>
      <c r="M376" s="67" t="n"/>
      <c r="N376" s="67" t="n"/>
      <c r="O376" s="67" t="n"/>
      <c r="P376" s="67" t="n"/>
      <c r="Q376" s="67" t="n"/>
      <c r="R376" s="67" t="n"/>
      <c r="S376" s="67" t="n"/>
      <c r="T376" s="67" t="n"/>
      <c r="U376" s="67" t="n"/>
      <c r="V376" s="67" t="n"/>
      <c r="W376" s="67" t="n"/>
      <c r="X376" s="67" t="n"/>
      <c r="Y376" s="67" t="n"/>
      <c r="Z376" s="67" t="n"/>
      <c r="AA376" s="67" t="n"/>
      <c r="AB376" s="67" t="n"/>
    </row>
    <row r="377" ht="15.75" customHeight="1" s="305">
      <c r="A377" s="225" t="inlineStr">
        <is>
          <t>551</t>
        </is>
      </c>
      <c r="B377" s="67" t="inlineStr">
        <is>
          <t>Hủy bưu gửi vô thừa nhận</t>
        </is>
      </c>
      <c r="C377" s="67" t="inlineStr">
        <is>
          <t>Cancel unclaimed shipment</t>
        </is>
      </c>
      <c r="D377" s="3">
        <f>IFERROR(__xludf.DUMMYFUNCTION("GOOGLETRANSLATE(B377,""vi"",""km"")"),"លុបចោលសំបុត្រដែលមិនទាន់បានទាមទារ")</f>
        <v/>
      </c>
      <c r="E377" s="3" t="inlineStr">
        <is>
          <t>លុបចោលកញ្ចប់តាមការស្នើសុំរបស់អតិថិជន</t>
        </is>
      </c>
      <c r="F377" s="3" t="inlineStr">
        <is>
          <t>លុបចោលសំបុត្រដែលមិនទាន់បានទាមទារ</t>
        </is>
      </c>
      <c r="G377" s="3" t="n"/>
      <c r="H377" t="inlineStr">
        <is>
          <t>លុបចោលសំបុត្រដែលមិនទាន់បានទាមទារ</t>
        </is>
      </c>
      <c r="I377" s="67" t="n"/>
      <c r="J377" s="67" t="n"/>
      <c r="K377" s="67" t="n"/>
      <c r="L377" s="67" t="n"/>
      <c r="M377" s="67" t="n"/>
      <c r="N377" s="67" t="n"/>
      <c r="O377" s="67" t="n"/>
      <c r="P377" s="67" t="n"/>
      <c r="Q377" s="67" t="n"/>
      <c r="R377" s="67" t="n"/>
      <c r="S377" s="67" t="n"/>
      <c r="T377" s="67" t="n"/>
      <c r="U377" s="67" t="n"/>
      <c r="V377" s="67" t="n"/>
      <c r="W377" s="67" t="n"/>
      <c r="X377" s="67" t="n"/>
      <c r="Y377" s="67" t="n"/>
      <c r="Z377" s="67" t="n"/>
      <c r="AA377" s="67" t="n"/>
      <c r="AB377" s="67" t="n"/>
    </row>
    <row r="378" ht="15.75" customHeight="1" s="305">
      <c r="A378" s="225" t="inlineStr">
        <is>
          <t>510</t>
        </is>
      </c>
      <c r="B378" s="67" t="inlineStr">
        <is>
          <t>Phân công giao hoàn - Chưa hoàn thành</t>
        </is>
      </c>
      <c r="C378" s="67" t="inlineStr">
        <is>
          <t>Return assignment - Not completed</t>
        </is>
      </c>
      <c r="D378" s="3">
        <f>IFERROR(__xludf.DUMMYFUNCTION("GOOGLETRANSLATE(B378,""vi"",""km"")"),"ការប្រគល់ភារកិច្ច - មិនទាន់បានបញ្ចប់នៅឡើយទេ")</f>
        <v/>
      </c>
      <c r="E378" s="3" t="inlineStr">
        <is>
          <t>លុបចោលកញ្ចប់ដែលមិនបានទាមទារ</t>
        </is>
      </c>
      <c r="F378" s="3" t="inlineStr">
        <is>
          <t>ការប្រគល់ភារកិច្ច - មិនទាន់បានបញ្ចប់នៅឡើយទេ</t>
        </is>
      </c>
      <c r="G378" s="3" t="n"/>
      <c r="H378" t="inlineStr">
        <is>
          <t>ការប្រគល់ភារកិច្ច - មិនទាន់បានបញ្ចប់នៅឡើយទេ</t>
        </is>
      </c>
      <c r="I378" s="67" t="n"/>
      <c r="J378" s="67" t="n"/>
      <c r="K378" s="67" t="n"/>
      <c r="L378" s="67" t="n"/>
      <c r="M378" s="67" t="n"/>
      <c r="N378" s="67" t="n"/>
      <c r="O378" s="67" t="n"/>
      <c r="P378" s="67" t="n"/>
      <c r="Q378" s="67" t="n"/>
      <c r="R378" s="67" t="n"/>
      <c r="S378" s="67" t="n"/>
      <c r="T378" s="67" t="n"/>
      <c r="U378" s="67" t="n"/>
      <c r="V378" s="67" t="n"/>
      <c r="W378" s="67" t="n"/>
      <c r="X378" s="67" t="n"/>
      <c r="Y378" s="67" t="n"/>
      <c r="Z378" s="67" t="n"/>
      <c r="AA378" s="67" t="n"/>
      <c r="AB378" s="67" t="n"/>
    </row>
    <row r="379" ht="15.75" customHeight="1" s="305">
      <c r="A379" s="225" t="inlineStr">
        <is>
          <t>511</t>
        </is>
      </c>
      <c r="B379" s="67" t="inlineStr">
        <is>
          <t>Phân công giao hoàn - Đã hoàn thành</t>
        </is>
      </c>
      <c r="C379" s="67" t="inlineStr">
        <is>
          <t>Return assignment - Completed</t>
        </is>
      </c>
      <c r="D379" s="3">
        <f>IFERROR(__xludf.DUMMYFUNCTION("GOOGLETRANSLATE(B379,""vi"",""km"")"),"ការប្រគល់ភារកិច្ច - បានបញ្ចប់")</f>
        <v/>
      </c>
      <c r="E379" s="3" t="inlineStr">
        <is>
          <t>ការចាត់តាំងការដឹកជញ្ជូនត្រឡប់មកវិញ - មិនទាន់បានបញ្ចប់</t>
        </is>
      </c>
      <c r="F379" s="3" t="inlineStr">
        <is>
          <t>ការប្រគល់ភារកិច្ច - បានបញ្ចប់</t>
        </is>
      </c>
      <c r="G379" s="3" t="n"/>
      <c r="H379" t="inlineStr">
        <is>
          <t>ការប្រគល់ភារកិច្ច - បានបញ្ចប់</t>
        </is>
      </c>
      <c r="I379" s="67" t="n"/>
      <c r="J379" s="67" t="n"/>
      <c r="K379" s="67" t="n"/>
      <c r="L379" s="67" t="n"/>
      <c r="M379" s="67" t="n"/>
      <c r="N379" s="67" t="n"/>
      <c r="O379" s="67" t="n"/>
      <c r="P379" s="67" t="n"/>
      <c r="Q379" s="67" t="n"/>
      <c r="R379" s="67" t="n"/>
      <c r="S379" s="67" t="n"/>
      <c r="T379" s="67" t="n"/>
      <c r="U379" s="67" t="n"/>
      <c r="V379" s="67" t="n"/>
      <c r="W379" s="67" t="n"/>
      <c r="X379" s="67" t="n"/>
      <c r="Y379" s="67" t="n"/>
      <c r="Z379" s="67" t="n"/>
      <c r="AA379" s="67" t="n"/>
      <c r="AB379" s="67" t="n"/>
    </row>
    <row r="380" ht="15.75" customHeight="1" s="305">
      <c r="A380" s="225" t="inlineStr">
        <is>
          <t>512</t>
        </is>
      </c>
      <c r="B380" s="67" t="inlineStr">
        <is>
          <t>Xác nhận phân công hoàn</t>
        </is>
      </c>
      <c r="C380" s="67" t="inlineStr">
        <is>
          <t>Return assignment confirmation</t>
        </is>
      </c>
      <c r="D380" s="3">
        <f>IFERROR(__xludf.DUMMYFUNCTION("GOOGLETRANSLATE(B380,""vi"",""km"")"),"បញ្ជាក់ថាកិច្ចការបានបញ្ចប់")</f>
        <v/>
      </c>
      <c r="E380" s="3" t="inlineStr">
        <is>
          <t>ការចាត់តាំងការដឹកជញ្ជូនត្រឡប់មកវិញ - បានបញ្ចប់</t>
        </is>
      </c>
      <c r="F380" s="3" t="inlineStr">
        <is>
          <t>បញ្ជាក់ការចាត់តាំងប្រគល់ត្រឡប់</t>
        </is>
      </c>
      <c r="G380" s="3" t="n"/>
      <c r="H380" t="inlineStr">
        <is>
          <t>បញ្ជាក់ការចាត់តាំងប្រគល់ត្រឡប់</t>
        </is>
      </c>
      <c r="I380" s="67" t="n"/>
      <c r="J380" s="67" t="n"/>
      <c r="K380" s="67" t="n"/>
      <c r="L380" s="67" t="n"/>
      <c r="M380" s="67" t="n"/>
      <c r="N380" s="67" t="n"/>
      <c r="O380" s="67" t="n"/>
      <c r="P380" s="67" t="n"/>
      <c r="Q380" s="67" t="n"/>
      <c r="R380" s="67" t="n"/>
      <c r="S380" s="67" t="n"/>
      <c r="T380" s="67" t="n"/>
      <c r="U380" s="67" t="n"/>
      <c r="V380" s="67" t="n"/>
      <c r="W380" s="67" t="n"/>
      <c r="X380" s="67" t="n"/>
      <c r="Y380" s="67" t="n"/>
      <c r="Z380" s="67" t="n"/>
      <c r="AA380" s="67" t="n"/>
      <c r="AB380" s="67" t="n"/>
    </row>
    <row r="381" ht="15.75" customHeight="1" s="305">
      <c r="A381" s="225" t="inlineStr">
        <is>
          <t>513</t>
        </is>
      </c>
      <c r="B381" s="67" t="inlineStr">
        <is>
          <t>Đến địa chỉ giao hoàn</t>
        </is>
      </c>
      <c r="C381" s="67" t="inlineStr">
        <is>
          <t>Arrived at return address</t>
        </is>
      </c>
      <c r="D381" s="3">
        <f>IFERROR(__xludf.DUMMYFUNCTION("GOOGLETRANSLATE(B381,""vi"",""km"")"),"ដឹកជញ្ជូនទៅកាន់អាសយដ្ឋានត្រឡប់មកវិញ")</f>
        <v/>
      </c>
      <c r="E381" s="3" t="inlineStr">
        <is>
          <t>អាសយដ្ឋានដឹកជញ្ជូន</t>
        </is>
      </c>
      <c r="F381" s="3" t="inlineStr">
        <is>
          <t>ដឹកជញ្ជូនទៅកាន់អាសយដ្ឋានត្រឡប់មកវិញ</t>
        </is>
      </c>
      <c r="G381" s="3" t="n"/>
      <c r="H381" t="inlineStr">
        <is>
          <t>ដឹកជញ្ជូនទៅកាន់អាសយដ្ឋានត្រឡប់មកវិញ</t>
        </is>
      </c>
      <c r="I381" s="67" t="n"/>
      <c r="J381" s="67" t="n"/>
      <c r="K381" s="67" t="n"/>
      <c r="L381" s="67" t="n"/>
      <c r="M381" s="67" t="n"/>
      <c r="N381" s="67" t="n"/>
      <c r="O381" s="67" t="n"/>
      <c r="P381" s="67" t="n"/>
      <c r="Q381" s="67" t="n"/>
      <c r="R381" s="67" t="n"/>
      <c r="S381" s="67" t="n"/>
      <c r="T381" s="67" t="n"/>
      <c r="U381" s="67" t="n"/>
      <c r="V381" s="67" t="n"/>
      <c r="W381" s="67" t="n"/>
      <c r="X381" s="67" t="n"/>
      <c r="Y381" s="67" t="n"/>
      <c r="Z381" s="67" t="n"/>
      <c r="AA381" s="67" t="n"/>
      <c r="AB381" s="67" t="n"/>
    </row>
    <row r="382" ht="15.75" customHeight="1" s="305">
      <c r="A382" s="225" t="inlineStr">
        <is>
          <t>520</t>
        </is>
      </c>
      <c r="B382" s="67" t="inlineStr">
        <is>
          <t>Đã trả hàng</t>
        </is>
      </c>
      <c r="C382" s="67" t="inlineStr">
        <is>
          <t>Return successful</t>
        </is>
      </c>
      <c r="D382" s="3">
        <f>IFERROR(__xludf.DUMMYFUNCTION("GOOGLETRANSLATE(B382,""vi"",""km"")"),"បានត្រឡប់មកវិញ")</f>
        <v/>
      </c>
      <c r="E382" s="3" t="inlineStr">
        <is>
          <t>បានប្រគល់មកវិញ</t>
        </is>
      </c>
      <c r="F382" s="3" t="inlineStr">
        <is>
          <t>បានប្រគល់ត្រឡប់</t>
        </is>
      </c>
      <c r="G382" s="3" t="n"/>
      <c r="H382" t="inlineStr">
        <is>
          <t>បានប្រគល់ត្រឡប់</t>
        </is>
      </c>
      <c r="I382" s="67" t="n"/>
      <c r="J382" s="67" t="n"/>
      <c r="K382" s="67" t="n"/>
      <c r="L382" s="67" t="n"/>
      <c r="M382" s="67" t="n"/>
      <c r="N382" s="67" t="n"/>
      <c r="O382" s="67" t="n"/>
      <c r="P382" s="67" t="n"/>
      <c r="Q382" s="67" t="n"/>
      <c r="R382" s="67" t="n"/>
      <c r="S382" s="67" t="n"/>
      <c r="T382" s="67" t="n"/>
      <c r="U382" s="67" t="n"/>
      <c r="V382" s="67" t="n"/>
      <c r="W382" s="67" t="n"/>
      <c r="X382" s="67" t="n"/>
      <c r="Y382" s="67" t="n"/>
      <c r="Z382" s="67" t="n"/>
      <c r="AA382" s="67" t="n"/>
      <c r="AB382" s="67" t="n"/>
    </row>
    <row r="383" ht="15.75" customHeight="1" s="305">
      <c r="A383" s="225" t="inlineStr">
        <is>
          <t>530</t>
        </is>
      </c>
      <c r="B383" s="67" t="inlineStr">
        <is>
          <t>Hẹn trả hàng</t>
        </is>
      </c>
      <c r="C383" s="67" t="inlineStr">
        <is>
          <t>Return again</t>
        </is>
      </c>
      <c r="D383" s="3">
        <f>IFERROR(__xludf.DUMMYFUNCTION("GOOGLETRANSLATE(B383,""vi"",""km"")"),"កំណត់ពេលដឹកជញ្ជូន")</f>
        <v/>
      </c>
      <c r="E383" s="3" t="inlineStr">
        <is>
          <t>ការប្រគល់មកវិញតាមកាលវិភាគ</t>
        </is>
      </c>
      <c r="F383" s="3" t="inlineStr">
        <is>
          <t>ណាត់ពេលប្រគល់ត្រឡប់ម្តងទៀត</t>
        </is>
      </c>
      <c r="G383" s="3" t="n"/>
      <c r="H383" t="inlineStr">
        <is>
          <t>ណាត់ពេលប្រគល់ត្រឡប់ម្តងទៀត</t>
        </is>
      </c>
      <c r="I383" s="67" t="n"/>
      <c r="J383" s="67" t="n"/>
      <c r="K383" s="67" t="n"/>
      <c r="L383" s="67" t="n"/>
      <c r="M383" s="67" t="n"/>
      <c r="N383" s="67" t="n"/>
      <c r="O383" s="67" t="n"/>
      <c r="P383" s="67" t="n"/>
      <c r="Q383" s="67" t="n"/>
      <c r="R383" s="67" t="n"/>
      <c r="S383" s="67" t="n"/>
      <c r="T383" s="67" t="n"/>
      <c r="U383" s="67" t="n"/>
      <c r="V383" s="67" t="n"/>
      <c r="W383" s="67" t="n"/>
      <c r="X383" s="67" t="n"/>
      <c r="Y383" s="67" t="n"/>
      <c r="Z383" s="67" t="n"/>
      <c r="AA383" s="67" t="n"/>
      <c r="AB383" s="67" t="n"/>
    </row>
    <row r="384" ht="15.75" customHeight="1" s="305">
      <c r="A384" s="225" t="inlineStr">
        <is>
          <t>540</t>
        </is>
      </c>
      <c r="B384" s="67" t="inlineStr">
        <is>
          <t>Không trả được hàng</t>
        </is>
      </c>
      <c r="C384" s="67" t="inlineStr">
        <is>
          <t>Return failed</t>
        </is>
      </c>
      <c r="D384" s="3">
        <f>IFERROR(__xludf.DUMMYFUNCTION("GOOGLETRANSLATE(B384,""vi"",""km"")"),"មិនអាចប្រគល់ទំនិញវិញបានទេ។")</f>
        <v/>
      </c>
      <c r="E384" s="3" t="inlineStr">
        <is>
          <t>មិនអាចប្រគល់មកវិញបានទេ</t>
        </is>
      </c>
      <c r="F384" s="3" t="inlineStr">
        <is>
          <t>ប្រគល់ត្រឡប់មិនបានសម្រេច</t>
        </is>
      </c>
      <c r="G384" s="3" t="n"/>
      <c r="H384" t="inlineStr">
        <is>
          <t>ប្រគល់ត្រឡប់មិនបានសម្រេច</t>
        </is>
      </c>
      <c r="I384" s="67" t="n"/>
      <c r="J384" s="67" t="n"/>
      <c r="K384" s="67" t="n"/>
      <c r="L384" s="67" t="n"/>
      <c r="M384" s="67" t="n"/>
      <c r="N384" s="67" t="n"/>
      <c r="O384" s="67" t="n"/>
      <c r="P384" s="67" t="n"/>
      <c r="Q384" s="67" t="n"/>
      <c r="R384" s="67" t="n"/>
      <c r="S384" s="67" t="n"/>
      <c r="T384" s="67" t="n"/>
      <c r="U384" s="67" t="n"/>
      <c r="V384" s="67" t="n"/>
      <c r="W384" s="67" t="n"/>
      <c r="X384" s="67" t="n"/>
      <c r="Y384" s="67" t="n"/>
      <c r="Z384" s="67" t="n"/>
      <c r="AA384" s="67" t="n"/>
      <c r="AB384" s="67" t="n"/>
    </row>
    <row r="385" ht="15.75" customHeight="1" s="305">
      <c r="A385" s="225" t="inlineStr">
        <is>
          <t>HEADER_MA_PHIEU_GUI</t>
        </is>
      </c>
      <c r="B385" s="67" t="inlineStr">
        <is>
          <t>MÃ PHIẾU GỬI</t>
        </is>
      </c>
      <c r="C385" s="67" t="inlineStr">
        <is>
          <t>ORDER ID</t>
        </is>
      </c>
      <c r="D385" s="3">
        <f>IFERROR(__xludf.DUMMYFUNCTION("GOOGLETRANSLATE(B385,""vi"",""km"")"),"លេខកូដដឹកជញ្ជូន")</f>
        <v/>
      </c>
      <c r="E385" s="3" t="inlineStr">
        <is>
          <t>លេខកូដបង្កាន់ដៃដឹកជញ្ជូន</t>
        </is>
      </c>
      <c r="F385" s="3" t="inlineStr">
        <is>
          <t>លេខកូដដឹកជញ្ជូន</t>
        </is>
      </c>
      <c r="G385" s="3" t="n"/>
      <c r="H385" t="inlineStr">
        <is>
          <t>លេខកូដដឹកជញ្ជូន</t>
        </is>
      </c>
      <c r="I385" s="67" t="n"/>
      <c r="J385" s="67" t="n"/>
      <c r="K385" s="67" t="n"/>
      <c r="L385" s="67" t="n"/>
      <c r="M385" s="67" t="n"/>
      <c r="N385" s="67" t="n"/>
      <c r="O385" s="67" t="n"/>
      <c r="P385" s="67" t="n"/>
      <c r="Q385" s="67" t="n"/>
      <c r="R385" s="67" t="n"/>
      <c r="S385" s="67" t="n"/>
      <c r="T385" s="67" t="n"/>
      <c r="U385" s="67" t="n"/>
      <c r="V385" s="67" t="n"/>
      <c r="W385" s="67" t="n"/>
      <c r="X385" s="67" t="n"/>
      <c r="Y385" s="67" t="n"/>
      <c r="Z385" s="67" t="n"/>
      <c r="AA385" s="67" t="n"/>
      <c r="AB385" s="67" t="n"/>
    </row>
    <row r="386" ht="15.75" customHeight="1" s="305">
      <c r="A386" s="225" t="inlineStr">
        <is>
          <t>HEADER_MA_KHACH_HANG</t>
        </is>
      </c>
      <c r="B386" s="67" t="inlineStr">
        <is>
          <t>MÃ KHÁCH HÀNG</t>
        </is>
      </c>
      <c r="C386" s="67" t="inlineStr">
        <is>
          <t>CUSTOMER ID</t>
        </is>
      </c>
      <c r="D386" s="3">
        <f>IFERROR(__xludf.DUMMYFUNCTION("GOOGLETRANSLATE(B386,""vi"",""km"")"),"លេខកូដអតិថិជន")</f>
        <v/>
      </c>
      <c r="E386" s="3" t="inlineStr">
        <is>
          <t>លេខកូដអតិថិជន</t>
        </is>
      </c>
      <c r="F386" s="3" t="inlineStr">
        <is>
          <t>លេខកូដអតិថិជន</t>
        </is>
      </c>
      <c r="G386" s="3" t="n"/>
      <c r="H386" t="inlineStr">
        <is>
          <t>លេខកូដអតិថិជន</t>
        </is>
      </c>
      <c r="I386" s="67" t="n"/>
      <c r="J386" s="67" t="n"/>
      <c r="K386" s="67" t="n"/>
      <c r="L386" s="67" t="n"/>
      <c r="M386" s="67" t="n"/>
      <c r="N386" s="67" t="n"/>
      <c r="O386" s="67" t="n"/>
      <c r="P386" s="67" t="n"/>
      <c r="Q386" s="67" t="n"/>
      <c r="R386" s="67" t="n"/>
      <c r="S386" s="67" t="n"/>
      <c r="T386" s="67" t="n"/>
      <c r="U386" s="67" t="n"/>
      <c r="V386" s="67" t="n"/>
      <c r="W386" s="67" t="n"/>
      <c r="X386" s="67" t="n"/>
      <c r="Y386" s="67" t="n"/>
      <c r="Z386" s="67" t="n"/>
      <c r="AA386" s="67" t="n"/>
      <c r="AB386" s="67" t="n"/>
    </row>
    <row r="387" ht="15.75" customHeight="1" s="305">
      <c r="A387" s="225" t="inlineStr">
        <is>
          <t>HEADER_MA_BC_GOC</t>
        </is>
      </c>
      <c r="B387" s="67" t="inlineStr">
        <is>
          <t>MÃ BC GỐC</t>
        </is>
      </c>
      <c r="C387" s="67" t="inlineStr">
        <is>
          <t>ORIGINAL POST OFFICE CODE</t>
        </is>
      </c>
      <c r="D387" s="3">
        <f>IFERROR(__xludf.DUMMYFUNCTION("GOOGLETRANSLATE(B387,""vi"",""km"")"),"លេខកូដ BC ដើម")</f>
        <v/>
      </c>
      <c r="E387" s="3" t="inlineStr">
        <is>
          <t>លេខកូដការិយាល័យប្រៃសណីយ៍ដើម</t>
        </is>
      </c>
      <c r="F387" s="3" t="inlineStr">
        <is>
          <t>លេខកូដ BC ដើម</t>
        </is>
      </c>
      <c r="G387" s="3" t="n"/>
      <c r="H387" t="inlineStr">
        <is>
          <t>លេខកូដ BC ដើម</t>
        </is>
      </c>
      <c r="I387" s="67" t="n"/>
      <c r="J387" s="67" t="n"/>
      <c r="K387" s="67" t="n"/>
      <c r="L387" s="67" t="n"/>
      <c r="M387" s="67" t="n"/>
      <c r="N387" s="67" t="n"/>
      <c r="O387" s="67" t="n"/>
      <c r="P387" s="67" t="n"/>
      <c r="Q387" s="67" t="n"/>
      <c r="R387" s="67" t="n"/>
      <c r="S387" s="67" t="n"/>
      <c r="T387" s="67" t="n"/>
      <c r="U387" s="67" t="n"/>
      <c r="V387" s="67" t="n"/>
      <c r="W387" s="67" t="n"/>
      <c r="X387" s="67" t="n"/>
      <c r="Y387" s="67" t="n"/>
      <c r="Z387" s="67" t="n"/>
      <c r="AA387" s="67" t="n"/>
      <c r="AB387" s="67" t="n"/>
    </row>
    <row r="388" ht="15.75" customHeight="1" s="305">
      <c r="A388" s="225" t="inlineStr">
        <is>
          <t>HEADER_MA_BC_HIENTAI</t>
        </is>
      </c>
      <c r="B388" s="67" t="inlineStr">
        <is>
          <t>MÃ BƯU CỤC HIỆN TẠI</t>
        </is>
      </c>
      <c r="C388" s="67" t="inlineStr">
        <is>
          <t>CURRENT POST OFFICE CODE</t>
        </is>
      </c>
      <c r="D388" s="3">
        <f>IFERROR(__xludf.DUMMYFUNCTION("GOOGLETRANSLATE(B388,""vi"",""km"")"),"លេខកូដប្រៃសណីយ៍បច្ចុប្បន្ន")</f>
        <v/>
      </c>
      <c r="E388" s="3" t="inlineStr">
        <is>
          <t>លេខកូដការិយាល័យប្រៃសណីយ៍បច្ចុប្បន្ន</t>
        </is>
      </c>
      <c r="F388" s="3" t="inlineStr">
        <is>
          <t>លេខកូដប្រៃសណីយ៍បច្ចុប្បន្ន</t>
        </is>
      </c>
      <c r="G388" s="3" t="n"/>
      <c r="H388" t="inlineStr">
        <is>
          <t>លេខកូដប្រៃសណីយ៍បច្ចុប្បន្ន</t>
        </is>
      </c>
      <c r="I388" s="67" t="n"/>
      <c r="J388" s="67" t="n"/>
      <c r="K388" s="67" t="n"/>
      <c r="L388" s="67" t="n"/>
      <c r="M388" s="67" t="n"/>
      <c r="N388" s="67" t="n"/>
      <c r="O388" s="67" t="n"/>
      <c r="P388" s="67" t="n"/>
      <c r="Q388" s="67" t="n"/>
      <c r="R388" s="67" t="n"/>
      <c r="S388" s="67" t="n"/>
      <c r="T388" s="67" t="n"/>
      <c r="U388" s="67" t="n"/>
      <c r="V388" s="67" t="n"/>
      <c r="W388" s="67" t="n"/>
      <c r="X388" s="67" t="n"/>
      <c r="Y388" s="67" t="n"/>
      <c r="Z388" s="67" t="n"/>
      <c r="AA388" s="67" t="n"/>
      <c r="AB388" s="67" t="n"/>
    </row>
    <row r="389" ht="15.75" customHeight="1" s="305">
      <c r="A389" s="225" t="inlineStr">
        <is>
          <t>HEADER_MA_TUYEN</t>
        </is>
      </c>
      <c r="B389" s="67" t="inlineStr">
        <is>
          <t>MÃ TUYẾN</t>
        </is>
      </c>
      <c r="C389" s="67" t="inlineStr">
        <is>
          <t>ROUTE CODE</t>
        </is>
      </c>
      <c r="D389" s="3">
        <f>IFERROR(__xludf.DUMMYFUNCTION("GOOGLETRANSLATE(B389,""vi"",""km"")"),"លេខកូដផ្លូវ")</f>
        <v/>
      </c>
      <c r="E389" s="3" t="inlineStr">
        <is>
          <t>លេខកូដផ្លូវ</t>
        </is>
      </c>
      <c r="F389" s="3" t="inlineStr">
        <is>
          <t>លេខកូដផ្លូវ</t>
        </is>
      </c>
      <c r="G389" s="3" t="n"/>
      <c r="H389" t="inlineStr">
        <is>
          <t>លេខកូដផ្លូវ</t>
        </is>
      </c>
      <c r="I389" s="67" t="n"/>
      <c r="J389" s="67" t="n"/>
      <c r="K389" s="67" t="n"/>
      <c r="L389" s="67" t="n"/>
      <c r="M389" s="67" t="n"/>
      <c r="N389" s="67" t="n"/>
      <c r="O389" s="67" t="n"/>
      <c r="P389" s="67" t="n"/>
      <c r="Q389" s="67" t="n"/>
      <c r="R389" s="67" t="n"/>
      <c r="S389" s="67" t="n"/>
      <c r="T389" s="67" t="n"/>
      <c r="U389" s="67" t="n"/>
      <c r="V389" s="67" t="n"/>
      <c r="W389" s="67" t="n"/>
      <c r="X389" s="67" t="n"/>
      <c r="Y389" s="67" t="n"/>
      <c r="Z389" s="67" t="n"/>
      <c r="AA389" s="67" t="n"/>
      <c r="AB389" s="67" t="n"/>
    </row>
    <row r="390" ht="15.75" customHeight="1" s="305">
      <c r="A390" s="225" t="inlineStr">
        <is>
          <t>HEADER_NGAY_NHAP_MAY</t>
        </is>
      </c>
      <c r="B390" s="67" t="inlineStr">
        <is>
          <t>NGÀY NHẬP MÁY</t>
        </is>
      </c>
      <c r="C390" s="67" t="inlineStr">
        <is>
          <t>PROCESSING DATE</t>
        </is>
      </c>
      <c r="D390" s="3">
        <f>IFERROR(__xludf.DUMMYFUNCTION("GOOGLETRANSLATE(B390,""vi"",""km"")"),"កាលបរិច្ឆេទនៃការដឹកជញ្ជូនឧបករណ៍")</f>
        <v/>
      </c>
      <c r="E390" s="3" t="inlineStr">
        <is>
          <t>កាលបរិច្ឆេទដឹកជញ្ជូន</t>
        </is>
      </c>
      <c r="F390" s="3" t="inlineStr">
        <is>
          <t>កាលបរិច្ឆេទនៃការដឹកជញ្ជូនឧបករណ៍</t>
        </is>
      </c>
      <c r="G390" s="3" t="n"/>
      <c r="H390" t="inlineStr">
        <is>
          <t>កាលបរិច្ឆេទនៃការដឹកជញ្ជូនឧបករណ៍</t>
        </is>
      </c>
      <c r="I390" s="67" t="n"/>
      <c r="J390" s="67" t="n"/>
      <c r="K390" s="67" t="n"/>
      <c r="L390" s="67" t="n"/>
      <c r="M390" s="67" t="n"/>
      <c r="N390" s="67" t="n"/>
      <c r="O390" s="67" t="n"/>
      <c r="P390" s="67" t="n"/>
      <c r="Q390" s="67" t="n"/>
      <c r="R390" s="67" t="n"/>
      <c r="S390" s="67" t="n"/>
      <c r="T390" s="67" t="n"/>
      <c r="U390" s="67" t="n"/>
      <c r="V390" s="67" t="n"/>
      <c r="W390" s="67" t="n"/>
      <c r="X390" s="67" t="n"/>
      <c r="Y390" s="67" t="n"/>
      <c r="Z390" s="67" t="n"/>
      <c r="AA390" s="67" t="n"/>
      <c r="AB390" s="67" t="n"/>
    </row>
    <row r="391" ht="15.75" customHeight="1" s="305">
      <c r="A391" s="225" t="inlineStr">
        <is>
          <t>HEADER_TONG_TIEN_DA_VAT</t>
        </is>
      </c>
      <c r="B391" s="67" t="inlineStr">
        <is>
          <t>TỔNG TIỀN (ĐÃ VAT)</t>
        </is>
      </c>
      <c r="C391" s="67" t="inlineStr">
        <is>
          <t>TOTAL AMOUNT (INCLUDING VAT)</t>
        </is>
      </c>
      <c r="D391" s="3">
        <f>IFERROR(__xludf.DUMMYFUNCTION("GOOGLETRANSLATE(B391,""vi"",""km"")"),"ចំនួនសរុប (រួមទាំងអាករលើតម្លៃបន្ថែម)")</f>
        <v/>
      </c>
      <c r="E391" s="3" t="inlineStr">
        <is>
          <t>ចំនួនទឹកប្រាក់សរុប (រួមទាំងអាករលើតម្លៃបន្ថែម)</t>
        </is>
      </c>
      <c r="F391" s="3" t="inlineStr">
        <is>
          <t>ចំនួនសរុប (រួមទាំងអាករលើតម្លៃបន្ថែម)</t>
        </is>
      </c>
      <c r="G391" s="3" t="n"/>
      <c r="H391" t="inlineStr">
        <is>
          <t>ចំនួនសរុប (រួមទាំងអាករលើតម្លៃបន្ថែម)</t>
        </is>
      </c>
      <c r="I391" s="67" t="n"/>
      <c r="J391" s="67" t="n"/>
      <c r="K391" s="67" t="n"/>
      <c r="L391" s="67" t="n"/>
      <c r="M391" s="67" t="n"/>
      <c r="N391" s="67" t="n"/>
      <c r="O391" s="67" t="n"/>
      <c r="P391" s="67" t="n"/>
      <c r="Q391" s="67" t="n"/>
      <c r="R391" s="67" t="n"/>
      <c r="S391" s="67" t="n"/>
      <c r="T391" s="67" t="n"/>
      <c r="U391" s="67" t="n"/>
      <c r="V391" s="67" t="n"/>
      <c r="W391" s="67" t="n"/>
      <c r="X391" s="67" t="n"/>
      <c r="Y391" s="67" t="n"/>
      <c r="Z391" s="67" t="n"/>
      <c r="AA391" s="67" t="n"/>
      <c r="AB391" s="67" t="n"/>
    </row>
    <row r="392" ht="15.75" customHeight="1" s="305">
      <c r="A392" s="225" t="inlineStr">
        <is>
          <t>HEADER_TONG_TIEN_CHUA_VAT</t>
        </is>
      </c>
      <c r="B392" s="67" t="inlineStr">
        <is>
          <t>TỔNG TIỀN (CHƯA VAT)</t>
        </is>
      </c>
      <c r="C392" s="67" t="inlineStr">
        <is>
          <t>TOTAL AMOUNT (EXCLUDING VAT)</t>
        </is>
      </c>
      <c r="D392" s="3">
        <f>IFERROR(__xludf.DUMMYFUNCTION("GOOGLETRANSLATE(B392,""vi"",""km"")"),"ចំនួនសរុប (មិនរាប់បញ្ចូលអាករលើតម្លៃបន្ថែម)")</f>
        <v/>
      </c>
      <c r="E392" s="3" t="inlineStr">
        <is>
          <t>ចំនួនទឹកប្រាក់សរុប (មិនរាប់បញ្ចូលអាករលើតម្លៃបន្ថែម)</t>
        </is>
      </c>
      <c r="F392" s="3" t="inlineStr">
        <is>
          <t>ចំនួនសរុប (មិនរាប់បញ្ចូលអាករលើតម្លៃបន្ថែម)</t>
        </is>
      </c>
      <c r="G392" s="3" t="n"/>
      <c r="H392" t="inlineStr">
        <is>
          <t>ចំនួនសរុប (មិនរាប់បញ្ចូលអាករលើតម្លៃបន្ថែម)</t>
        </is>
      </c>
      <c r="I392" s="67" t="n"/>
      <c r="J392" s="67" t="n"/>
      <c r="K392" s="67" t="n"/>
      <c r="L392" s="67" t="n"/>
      <c r="M392" s="67" t="n"/>
      <c r="N392" s="67" t="n"/>
      <c r="O392" s="67" t="n"/>
      <c r="P392" s="67" t="n"/>
      <c r="Q392" s="67" t="n"/>
      <c r="R392" s="67" t="n"/>
      <c r="S392" s="67" t="n"/>
      <c r="T392" s="67" t="n"/>
      <c r="U392" s="67" t="n"/>
      <c r="V392" s="67" t="n"/>
      <c r="W392" s="67" t="n"/>
      <c r="X392" s="67" t="n"/>
      <c r="Y392" s="67" t="n"/>
      <c r="Z392" s="67" t="n"/>
      <c r="AA392" s="67" t="n"/>
      <c r="AB392" s="67" t="n"/>
    </row>
    <row r="393" ht="15.75" customHeight="1" s="305">
      <c r="A393" s="225" t="inlineStr">
        <is>
          <t>HEADER_TIEN_THU_HO_COD</t>
        </is>
      </c>
      <c r="B393" s="67" t="inlineStr">
        <is>
          <t>TIỀN THU HỘ COD</t>
        </is>
      </c>
      <c r="C393" s="67" t="inlineStr">
        <is>
          <t>COD</t>
        </is>
      </c>
      <c r="D393" s="3">
        <f>IFERROR(__xludf.DUMMYFUNCTION("GOOGLETRANSLATE(B393,""vi"",""km"")"),"បង់ប្រាក់ពេលទទួលទំនិញ (COD)")</f>
        <v/>
      </c>
      <c r="E393" s="3" t="inlineStr">
        <is>
          <t>ថ្លៃប្រមូល COD</t>
        </is>
      </c>
      <c r="F393" s="3" t="inlineStr">
        <is>
          <t>បង់ប្រាក់ពេលទទួលទំនិញ (COD)</t>
        </is>
      </c>
      <c r="G393" s="3" t="n"/>
      <c r="H393" t="inlineStr">
        <is>
          <t>បង់ប្រាក់ពេលទទួលទំនិញ (COD)</t>
        </is>
      </c>
      <c r="I393" s="67" t="n"/>
      <c r="J393" s="67" t="n"/>
      <c r="K393" s="67" t="n"/>
      <c r="L393" s="67" t="n"/>
      <c r="M393" s="67" t="n"/>
      <c r="N393" s="67" t="n"/>
      <c r="O393" s="67" t="n"/>
      <c r="P393" s="67" t="n"/>
      <c r="Q393" s="67" t="n"/>
      <c r="R393" s="67" t="n"/>
      <c r="S393" s="67" t="n"/>
      <c r="T393" s="67" t="n"/>
      <c r="U393" s="67" t="n"/>
      <c r="V393" s="67" t="n"/>
      <c r="W393" s="67" t="n"/>
      <c r="X393" s="67" t="n"/>
      <c r="Y393" s="67" t="n"/>
      <c r="Z393" s="67" t="n"/>
      <c r="AA393" s="67" t="n"/>
      <c r="AB393" s="67" t="n"/>
    </row>
    <row r="394" ht="15.75" customHeight="1" s="305">
      <c r="A394" s="225" t="inlineStr">
        <is>
          <t>HEADER_TIEN_VAT</t>
        </is>
      </c>
      <c r="B394" s="67" t="inlineStr">
        <is>
          <t>TIỀN VAT</t>
        </is>
      </c>
      <c r="C394" s="67" t="inlineStr">
        <is>
          <t>VAT</t>
        </is>
      </c>
      <c r="D394" s="3">
        <f>IFERROR(__xludf.DUMMYFUNCTION("GOOGLETRANSLATE(B394,""vi"",""km"")"),"អាករលើតម្លៃបន្ថែម")</f>
        <v/>
      </c>
      <c r="E394" s="3" t="inlineStr">
        <is>
          <t>ចំនួនទឹកប្រាក់អាករលើតម្លៃបន្ថែម</t>
        </is>
      </c>
      <c r="F394" s="3" t="inlineStr">
        <is>
          <t>អាករលើតម្លៃបន្ថែម</t>
        </is>
      </c>
      <c r="G394" s="3" t="n"/>
      <c r="H394" t="inlineStr">
        <is>
          <t>អាករលើតម្លៃបន្ថែម</t>
        </is>
      </c>
      <c r="I394" s="67" t="n"/>
      <c r="J394" s="67" t="n"/>
      <c r="K394" s="67" t="n"/>
      <c r="L394" s="67" t="n"/>
      <c r="M394" s="67" t="n"/>
      <c r="N394" s="67" t="n"/>
      <c r="O394" s="67" t="n"/>
      <c r="P394" s="67" t="n"/>
      <c r="Q394" s="67" t="n"/>
      <c r="R394" s="67" t="n"/>
      <c r="S394" s="67" t="n"/>
      <c r="T394" s="67" t="n"/>
      <c r="U394" s="67" t="n"/>
      <c r="V394" s="67" t="n"/>
      <c r="W394" s="67" t="n"/>
      <c r="X394" s="67" t="n"/>
      <c r="Y394" s="67" t="n"/>
      <c r="Z394" s="67" t="n"/>
      <c r="AA394" s="67" t="n"/>
      <c r="AB394" s="67" t="n"/>
    </row>
    <row r="395" ht="15.75" customHeight="1" s="305">
      <c r="A395" s="225" t="inlineStr">
        <is>
          <t>HEADER_TONG_CUOC_CHUA_GOM_VAT</t>
        </is>
      </c>
      <c r="B395" s="67" t="inlineStr">
        <is>
          <t>TỔNG CƯỚC (CHƯA VAT)</t>
        </is>
      </c>
      <c r="C395" s="67" t="inlineStr">
        <is>
          <t>TOTAL FEE (EXCLUDING VAT)</t>
        </is>
      </c>
      <c r="D395" s="3">
        <f>IFERROR(__xludf.DUMMYFUNCTION("GOOGLETRANSLATE(B395,""vi"",""km"")"),"ថ្លៃសេវាសរុប (មិនរាប់បញ្ចូលអាករលើតម្លៃបន្ថែម)")</f>
        <v/>
      </c>
      <c r="E395" s="3" t="inlineStr">
        <is>
          <t>ថ្លៃដឹកជញ្ជូនសរុប (មិនរាប់បញ្ចូលអាករលើតម្លៃបន្ថែម)</t>
        </is>
      </c>
      <c r="F395" s="3" t="inlineStr">
        <is>
          <t>ថ្លៃសេវាសរុប (មិនរាប់បញ្ចូលអាករលើតម្លៃបន្ថែម)</t>
        </is>
      </c>
      <c r="G395" s="3" t="n"/>
      <c r="H395" t="inlineStr">
        <is>
          <t>ថ្លៃសេវាសរុប (មិនរាប់បញ្ចូលអាករលើតម្លៃបន្ថែម)</t>
        </is>
      </c>
      <c r="I395" s="67" t="n"/>
      <c r="J395" s="67" t="n"/>
      <c r="K395" s="67" t="n"/>
      <c r="L395" s="67" t="n"/>
      <c r="M395" s="67" t="n"/>
      <c r="N395" s="67" t="n"/>
      <c r="O395" s="67" t="n"/>
      <c r="P395" s="67" t="n"/>
      <c r="Q395" s="67" t="n"/>
      <c r="R395" s="67" t="n"/>
      <c r="S395" s="67" t="n"/>
      <c r="T395" s="67" t="n"/>
      <c r="U395" s="67" t="n"/>
      <c r="V395" s="67" t="n"/>
      <c r="W395" s="67" t="n"/>
      <c r="X395" s="67" t="n"/>
      <c r="Y395" s="67" t="n"/>
      <c r="Z395" s="67" t="n"/>
      <c r="AA395" s="67" t="n"/>
      <c r="AB395" s="67" t="n"/>
    </row>
    <row r="396" ht="15.75" customHeight="1" s="305">
      <c r="A396" s="225" t="inlineStr">
        <is>
          <t>HEADER_TONG_CUOC_DA_BAO_GOM_VAT</t>
        </is>
      </c>
      <c r="B396" s="67" t="inlineStr">
        <is>
          <t>TỔNG CƯỚC (ĐÃ VAT)</t>
        </is>
      </c>
      <c r="C396" s="67" t="inlineStr">
        <is>
          <t>TOTAL FEE (INCLUDING VAT)</t>
        </is>
      </c>
      <c r="D396" s="3">
        <f>IFERROR(__xludf.DUMMYFUNCTION("GOOGLETRANSLATE(B396,""vi"",""km"")"),"ថ្លៃសេវាសរុប (រួមទាំងអាករលើតម្លៃបន្ថែម)")</f>
        <v/>
      </c>
      <c r="E396" s="3" t="inlineStr">
        <is>
          <t>ថ្លៃដឹកជញ្ជូនសរុប (មិនរាប់បញ្ចូលអាករលើតម្លៃបន្ថែម)</t>
        </is>
      </c>
      <c r="F396" s="3" t="inlineStr">
        <is>
          <t>ថ្លៃសេវាសរុប (រួមទាំងអាករលើតម្លៃបន្ថែម)</t>
        </is>
      </c>
      <c r="G396" s="3" t="n"/>
      <c r="H396" t="inlineStr">
        <is>
          <t>ថ្លៃសេវាសរុប (រួមទាំងអាករលើតម្លៃបន្ថែម)</t>
        </is>
      </c>
      <c r="I396" s="67" t="n"/>
      <c r="J396" s="67" t="n"/>
      <c r="K396" s="67" t="n"/>
      <c r="L396" s="67" t="n"/>
      <c r="M396" s="67" t="n"/>
      <c r="N396" s="67" t="n"/>
      <c r="O396" s="67" t="n"/>
      <c r="P396" s="67" t="n"/>
      <c r="Q396" s="67" t="n"/>
      <c r="R396" s="67" t="n"/>
      <c r="S396" s="67" t="n"/>
      <c r="T396" s="67" t="n"/>
      <c r="U396" s="67" t="n"/>
      <c r="V396" s="67" t="n"/>
      <c r="W396" s="67" t="n"/>
      <c r="X396" s="67" t="n"/>
      <c r="Y396" s="67" t="n"/>
      <c r="Z396" s="67" t="n"/>
      <c r="AA396" s="67" t="n"/>
      <c r="AB396" s="67" t="n"/>
    </row>
    <row r="397" ht="15.75" customHeight="1" s="305">
      <c r="A397" s="225" t="inlineStr">
        <is>
          <t>HEADER_TIEN_CUOC_CHUA_GOM_VAT</t>
        </is>
      </c>
      <c r="B397" s="67" t="inlineStr">
        <is>
          <t>TIỀN CƯỚC (CHƯA VAT)</t>
        </is>
      </c>
      <c r="C397" s="67" t="inlineStr">
        <is>
          <t>TOTAL FEES (EXCLUDING VAT)</t>
        </is>
      </c>
      <c r="D397" s="3">
        <f>IFERROR(__xludf.DUMMYFUNCTION("GOOGLETRANSLATE(B397,""vi"",""km"")"),"ថ្លៃដឹកជញ្ជូន (មិនរាប់បញ្ចូលអាករលើតម្លៃបន្ថែម)")</f>
        <v/>
      </c>
      <c r="E397" s="3" t="inlineStr">
        <is>
          <t>ថ្លៃដឹកជញ្ជូន (រួមទាំងអាករលើតម្លៃបន្ថែម)</t>
        </is>
      </c>
      <c r="F397" s="3" t="inlineStr">
        <is>
          <t>ថ្លៃដឹកជញ្ជូន (មិនរាប់បញ្ចូលអាករលើតម្លៃបន្ថែម)</t>
        </is>
      </c>
      <c r="G397" s="3" t="n"/>
      <c r="H397" t="inlineStr">
        <is>
          <t>ថ្លៃដឹកជញ្ជូន (មិនរាប់បញ្ចូលអាករលើតម្លៃបន្ថែម)</t>
        </is>
      </c>
      <c r="I397" s="67" t="n"/>
      <c r="J397" s="67" t="n"/>
      <c r="K397" s="67" t="n"/>
      <c r="L397" s="67" t="n"/>
      <c r="M397" s="67" t="n"/>
      <c r="N397" s="67" t="n"/>
      <c r="O397" s="67" t="n"/>
      <c r="P397" s="67" t="n"/>
      <c r="Q397" s="67" t="n"/>
      <c r="R397" s="67" t="n"/>
      <c r="S397" s="67" t="n"/>
      <c r="T397" s="67" t="n"/>
      <c r="U397" s="67" t="n"/>
      <c r="V397" s="67" t="n"/>
      <c r="W397" s="67" t="n"/>
      <c r="X397" s="67" t="n"/>
      <c r="Y397" s="67" t="n"/>
      <c r="Z397" s="67" t="n"/>
      <c r="AA397" s="67" t="n"/>
      <c r="AB397" s="67" t="n"/>
    </row>
    <row r="398" ht="15.75" customHeight="1" s="305">
      <c r="A398" s="225" t="inlineStr">
        <is>
          <t>HEADER_TIEN_CUOC_DA_BAO_GOM_VAT</t>
        </is>
      </c>
      <c r="B398" s="67" t="inlineStr">
        <is>
          <t>TIỀN CƯỚC (ĐÃ VAT)</t>
        </is>
      </c>
      <c r="C398" s="67" t="inlineStr">
        <is>
          <t>TOTAL FEES (INCLUDING VAT)</t>
        </is>
      </c>
      <c r="D398" s="3">
        <f>IFERROR(__xludf.DUMMYFUNCTION("GOOGLETRANSLATE(B398,""vi"",""km"")"),"ថ្លៃដឹកជញ្ជូន (រួមទាំងអាករលើតម្លៃបន្ថែម)")</f>
        <v/>
      </c>
      <c r="E398" s="3" t="inlineStr">
        <is>
          <t>ទម្ងន់ (ក្រាម)</t>
        </is>
      </c>
      <c r="F398" s="3" t="inlineStr">
        <is>
          <t>ថ្លៃដឹកជញ្ជូន (រួមទាំងអាករលើតម្លៃបន្ថែម)</t>
        </is>
      </c>
      <c r="G398" s="3" t="n"/>
      <c r="H398" t="inlineStr">
        <is>
          <t>ថ្លៃដឹកជញ្ជូន (រួមទាំងអាករលើតម្លៃបន្ថែម)</t>
        </is>
      </c>
      <c r="I398" s="67" t="n"/>
      <c r="J398" s="67" t="n"/>
      <c r="K398" s="67" t="n"/>
      <c r="L398" s="67" t="n"/>
      <c r="M398" s="67" t="n"/>
      <c r="N398" s="67" t="n"/>
      <c r="O398" s="67" t="n"/>
      <c r="P398" s="67" t="n"/>
      <c r="Q398" s="67" t="n"/>
      <c r="R398" s="67" t="n"/>
      <c r="S398" s="67" t="n"/>
      <c r="T398" s="67" t="n"/>
      <c r="U398" s="67" t="n"/>
      <c r="V398" s="67" t="n"/>
      <c r="W398" s="67" t="n"/>
      <c r="X398" s="67" t="n"/>
      <c r="Y398" s="67" t="n"/>
      <c r="Z398" s="67" t="n"/>
      <c r="AA398" s="67" t="n"/>
      <c r="AB398" s="67" t="n"/>
    </row>
    <row r="399" ht="15.75" customHeight="1" s="305">
      <c r="A399" s="225" t="inlineStr">
        <is>
          <t>HEADER_TRONG_LUONG_G</t>
        </is>
      </c>
      <c r="B399" s="67" t="inlineStr">
        <is>
          <t>TRỌNG LƯỢNG (G)</t>
        </is>
      </c>
      <c r="C399" s="67" t="inlineStr">
        <is>
          <t>WEIGHT(G)</t>
        </is>
      </c>
      <c r="D399" s="3">
        <f>IFERROR(__xludf.DUMMYFUNCTION("GOOGLETRANSLATE(B399,""vi"",""km"")"),"ទម្ងន់ (ក្រាម)")</f>
        <v/>
      </c>
      <c r="E399" s="3" t="inlineStr">
        <is>
          <t>លេខកូដសេវាកម្ម</t>
        </is>
      </c>
      <c r="F399" s="3" t="inlineStr">
        <is>
          <t>ទម្ងន់ (ក្រាម)</t>
        </is>
      </c>
      <c r="G399" s="3" t="n"/>
      <c r="H399" t="inlineStr">
        <is>
          <t>ទម្ងន់ (ក្រាម)</t>
        </is>
      </c>
      <c r="I399" s="67" t="n"/>
      <c r="J399" s="67" t="n"/>
      <c r="K399" s="67" t="n"/>
      <c r="L399" s="67" t="n"/>
      <c r="M399" s="67" t="n"/>
      <c r="N399" s="67" t="n"/>
      <c r="O399" s="67" t="n"/>
      <c r="P399" s="67" t="n"/>
      <c r="Q399" s="67" t="n"/>
      <c r="R399" s="67" t="n"/>
      <c r="S399" s="67" t="n"/>
      <c r="T399" s="67" t="n"/>
      <c r="U399" s="67" t="n"/>
      <c r="V399" s="67" t="n"/>
      <c r="W399" s="67" t="n"/>
      <c r="X399" s="67" t="n"/>
      <c r="Y399" s="67" t="n"/>
      <c r="Z399" s="67" t="n"/>
      <c r="AA399" s="67" t="n"/>
      <c r="AB399" s="67" t="n"/>
    </row>
    <row r="400" ht="15.75" customHeight="1" s="305">
      <c r="A400" s="225" t="inlineStr">
        <is>
          <t>HEADER_MA_DVC</t>
        </is>
      </c>
      <c r="B400" s="67" t="inlineStr">
        <is>
          <t>MÃ DVC</t>
        </is>
      </c>
      <c r="C400" s="67" t="inlineStr">
        <is>
          <t>MAIN SERVICE CODE</t>
        </is>
      </c>
      <c r="D400" s="3">
        <f>IFERROR(__xludf.DUMMYFUNCTION("GOOGLETRANSLATE(B400,""vi"",""km"")"),"លេខកូដ DVC")</f>
        <v/>
      </c>
      <c r="E400" s="3" t="inlineStr">
        <is>
          <t>ប្រភេទទំនិញ</t>
        </is>
      </c>
      <c r="F400" s="3" t="inlineStr">
        <is>
          <t>លេខកូដ DVC</t>
        </is>
      </c>
      <c r="G400" s="3" t="n"/>
      <c r="H400" t="inlineStr">
        <is>
          <t>លេខកូដ DVC</t>
        </is>
      </c>
      <c r="I400" s="67" t="n"/>
      <c r="J400" s="67" t="n"/>
      <c r="K400" s="67" t="n"/>
      <c r="L400" s="67" t="n"/>
      <c r="M400" s="67" t="n"/>
      <c r="N400" s="67" t="n"/>
      <c r="O400" s="67" t="n"/>
      <c r="P400" s="67" t="n"/>
      <c r="Q400" s="67" t="n"/>
      <c r="R400" s="67" t="n"/>
      <c r="S400" s="67" t="n"/>
      <c r="T400" s="67" t="n"/>
      <c r="U400" s="67" t="n"/>
      <c r="V400" s="67" t="n"/>
      <c r="W400" s="67" t="n"/>
      <c r="X400" s="67" t="n"/>
      <c r="Y400" s="67" t="n"/>
      <c r="Z400" s="67" t="n"/>
      <c r="AA400" s="67" t="n"/>
      <c r="AB400" s="67" t="n"/>
    </row>
    <row r="401" ht="15.75" customHeight="1" s="305">
      <c r="A401" s="225" t="inlineStr">
        <is>
          <t>HEADER_LOAI_HANG_HOA</t>
        </is>
      </c>
      <c r="B401" s="67" t="inlineStr">
        <is>
          <t>LOẠI HÀNG HÓA</t>
        </is>
      </c>
      <c r="C401" s="67" t="inlineStr">
        <is>
          <t>FREIGHT TYPES</t>
        </is>
      </c>
      <c r="D401" s="3">
        <f>IFERROR(__xludf.DUMMYFUNCTION("GOOGLETRANSLATE(B401,""vi"",""km"")"),"ប្រភេទទំនិញ")</f>
        <v/>
      </c>
      <c r="E401" s="3" t="inlineStr">
        <is>
          <t>លេខកូដ DVCT</t>
        </is>
      </c>
      <c r="F401" s="3" t="inlineStr">
        <is>
          <t>ប្រភេទទំនិញ</t>
        </is>
      </c>
      <c r="G401" s="3" t="n"/>
      <c r="H401" t="inlineStr">
        <is>
          <t>ប្រភេទទំនិញ</t>
        </is>
      </c>
      <c r="I401" s="67" t="n"/>
      <c r="J401" s="67" t="n"/>
      <c r="K401" s="67" t="n"/>
      <c r="L401" s="67" t="n"/>
      <c r="M401" s="67" t="n"/>
      <c r="N401" s="67" t="n"/>
      <c r="O401" s="67" t="n"/>
      <c r="P401" s="67" t="n"/>
      <c r="Q401" s="67" t="n"/>
      <c r="R401" s="67" t="n"/>
      <c r="S401" s="67" t="n"/>
      <c r="T401" s="67" t="n"/>
      <c r="U401" s="67" t="n"/>
      <c r="V401" s="67" t="n"/>
      <c r="W401" s="67" t="n"/>
      <c r="X401" s="67" t="n"/>
      <c r="Y401" s="67" t="n"/>
      <c r="Z401" s="67" t="n"/>
      <c r="AA401" s="67" t="n"/>
      <c r="AB401" s="67" t="n"/>
    </row>
    <row r="402" ht="15.75" customHeight="1" s="305">
      <c r="A402" s="225" t="inlineStr">
        <is>
          <t>HEADER_MA_DVCT</t>
        </is>
      </c>
      <c r="B402" s="67" t="inlineStr">
        <is>
          <t>MÃ DVCT</t>
        </is>
      </c>
      <c r="C402" s="67" t="inlineStr">
        <is>
          <t>EXTRA SERVICE CODE</t>
        </is>
      </c>
      <c r="D402" s="3">
        <f>IFERROR(__xludf.DUMMYFUNCTION("GOOGLETRANSLATE(B402,""vi"",""km"")"),"លេខកូដសេវាកម្ម")</f>
        <v/>
      </c>
      <c r="E402" s="3" t="inlineStr">
        <is>
          <t>លេខកូដដឹកជញ្ជូន</t>
        </is>
      </c>
      <c r="F402" s="3" t="inlineStr">
        <is>
          <t>លេខកូដសេវាកម្ម</t>
        </is>
      </c>
      <c r="G402" s="3" t="n"/>
      <c r="H402" t="inlineStr">
        <is>
          <t>លេខកូដសេវាកម្ម</t>
        </is>
      </c>
      <c r="I402" s="67" t="n"/>
      <c r="J402" s="67" t="n"/>
      <c r="K402" s="67" t="n"/>
      <c r="L402" s="67" t="n"/>
      <c r="M402" s="67" t="n"/>
      <c r="N402" s="67" t="n"/>
      <c r="O402" s="67" t="n"/>
      <c r="P402" s="67" t="n"/>
      <c r="Q402" s="67" t="n"/>
      <c r="R402" s="67" t="n"/>
      <c r="S402" s="67" t="n"/>
      <c r="T402" s="67" t="n"/>
      <c r="U402" s="67" t="n"/>
      <c r="V402" s="67" t="n"/>
      <c r="W402" s="67" t="n"/>
      <c r="X402" s="67" t="n"/>
      <c r="Y402" s="67" t="n"/>
      <c r="Z402" s="67" t="n"/>
      <c r="AA402" s="67" t="n"/>
      <c r="AB402" s="67" t="n"/>
    </row>
    <row r="403" ht="15.75" customHeight="1" s="305">
      <c r="A403" s="225" t="inlineStr">
        <is>
          <t>HEADER_MA_BC_PHAT</t>
        </is>
      </c>
      <c r="B403" s="67" t="inlineStr">
        <is>
          <t>MÃ BC PHÁT</t>
        </is>
      </c>
      <c r="C403" s="67" t="inlineStr">
        <is>
          <t>DELIVERY POST OFFICE CODE</t>
        </is>
      </c>
      <c r="D403" s="3">
        <f>IFERROR(__xludf.DUMMYFUNCTION("GOOGLETRANSLATE(B403,""vi"",""km"")"),"លេខកូដដឹកជញ្ជូន BC")</f>
        <v/>
      </c>
      <c r="E403" s="3" t="inlineStr">
        <is>
          <t>លេខកូដសាខាទទួល</t>
        </is>
      </c>
      <c r="F403" s="3" t="inlineStr">
        <is>
          <t>លេខកូដដឹកជញ្ជូន BC</t>
        </is>
      </c>
      <c r="G403" s="3" t="n"/>
      <c r="H403" t="inlineStr">
        <is>
          <t>លេខកូដដឹកជញ្ជូន BC</t>
        </is>
      </c>
      <c r="I403" s="67" t="n"/>
      <c r="J403" s="67" t="n"/>
      <c r="K403" s="67" t="n"/>
      <c r="L403" s="67" t="n"/>
      <c r="M403" s="67" t="n"/>
      <c r="N403" s="67" t="n"/>
      <c r="O403" s="67" t="n"/>
      <c r="P403" s="67" t="n"/>
      <c r="Q403" s="67" t="n"/>
      <c r="R403" s="67" t="n"/>
      <c r="S403" s="67" t="n"/>
      <c r="T403" s="67" t="n"/>
      <c r="U403" s="67" t="n"/>
      <c r="V403" s="67" t="n"/>
      <c r="W403" s="67" t="n"/>
      <c r="X403" s="67" t="n"/>
      <c r="Y403" s="67" t="n"/>
      <c r="Z403" s="67" t="n"/>
      <c r="AA403" s="67" t="n"/>
      <c r="AB403" s="67" t="n"/>
    </row>
    <row r="404" ht="15.75" customHeight="1" s="305">
      <c r="A404" s="225" t="inlineStr">
        <is>
          <t>HEADER_MA_CHI_NHANH_NHAN</t>
        </is>
      </c>
      <c r="B404" s="67" t="inlineStr">
        <is>
          <t>MÃ CHI NHÁNH NHẬN</t>
        </is>
      </c>
      <c r="C404" s="67" t="inlineStr">
        <is>
          <t>RECEIVE BRANCH CODE</t>
        </is>
      </c>
      <c r="D404" s="3">
        <f>IFERROR(__xludf.DUMMYFUNCTION("GOOGLETRANSLATE(B404,""vi"",""km"")"),"លេខកូដសាខា")</f>
        <v/>
      </c>
      <c r="E404" s="3" t="inlineStr">
        <is>
          <t>លេខកូដសាខាដឹកជញ្ជូន</t>
        </is>
      </c>
      <c r="F404" s="3" t="inlineStr">
        <is>
          <t>លេខកូដសាខា</t>
        </is>
      </c>
      <c r="G404" s="3" t="n"/>
      <c r="H404" t="inlineStr">
        <is>
          <t>លេខកូដសាខា</t>
        </is>
      </c>
      <c r="I404" s="67" t="n"/>
      <c r="J404" s="67" t="n"/>
      <c r="K404" s="67" t="n"/>
      <c r="L404" s="67" t="n"/>
      <c r="M404" s="67" t="n"/>
      <c r="N404" s="67" t="n"/>
      <c r="O404" s="67" t="n"/>
      <c r="P404" s="67" t="n"/>
      <c r="Q404" s="67" t="n"/>
      <c r="R404" s="67" t="n"/>
      <c r="S404" s="67" t="n"/>
      <c r="T404" s="67" t="n"/>
      <c r="U404" s="67" t="n"/>
      <c r="V404" s="67" t="n"/>
      <c r="W404" s="67" t="n"/>
      <c r="X404" s="67" t="n"/>
      <c r="Y404" s="67" t="n"/>
      <c r="Z404" s="67" t="n"/>
      <c r="AA404" s="67" t="n"/>
      <c r="AB404" s="67" t="n"/>
    </row>
    <row r="405" ht="15.75" customHeight="1" s="305">
      <c r="A405" s="225" t="inlineStr">
        <is>
          <t>HEADER_MA_CHI_NHANH_PHAT</t>
        </is>
      </c>
      <c r="B405" s="67" t="inlineStr">
        <is>
          <t>MÃ CHI NHÁNH PHÁT</t>
        </is>
      </c>
      <c r="C405" s="67" t="inlineStr">
        <is>
          <t>DELIVERY BRANCH CODE</t>
        </is>
      </c>
      <c r="D405" s="3">
        <f>IFERROR(__xludf.DUMMYFUNCTION("GOOGLETRANSLATE(B405,""vi"",""km"")"),"លេខកូដសាខា")</f>
        <v/>
      </c>
      <c r="E405" s="3" t="inlineStr">
        <is>
          <t>លេខកូដសាខាបច្ចុប្បន្ន</t>
        </is>
      </c>
      <c r="F405" s="3" t="inlineStr">
        <is>
          <t>លេខកូដសាខា</t>
        </is>
      </c>
      <c r="G405" s="3" t="n"/>
      <c r="H405" t="inlineStr">
        <is>
          <t>លេខកូដសាខា</t>
        </is>
      </c>
      <c r="I405" s="67" t="n"/>
      <c r="J405" s="67" t="n"/>
      <c r="K405" s="67" t="n"/>
      <c r="L405" s="67" t="n"/>
      <c r="M405" s="67" t="n"/>
      <c r="N405" s="67" t="n"/>
      <c r="O405" s="67" t="n"/>
      <c r="P405" s="67" t="n"/>
      <c r="Q405" s="67" t="n"/>
      <c r="R405" s="67" t="n"/>
      <c r="S405" s="67" t="n"/>
      <c r="T405" s="67" t="n"/>
      <c r="U405" s="67" t="n"/>
      <c r="V405" s="67" t="n"/>
      <c r="W405" s="67" t="n"/>
      <c r="X405" s="67" t="n"/>
      <c r="Y405" s="67" t="n"/>
      <c r="Z405" s="67" t="n"/>
      <c r="AA405" s="67" t="n"/>
      <c r="AB405" s="67" t="n"/>
    </row>
    <row r="406" ht="15.75" customHeight="1" s="305">
      <c r="A406" s="225" t="inlineStr">
        <is>
          <t>HEADER_MA_CHI_NHANH_HIENTAI</t>
        </is>
      </c>
      <c r="B406" s="67" t="inlineStr">
        <is>
          <t>MÃ CHI NHÁNH HIỆN TẠI</t>
        </is>
      </c>
      <c r="C406" s="67" t="inlineStr">
        <is>
          <t>CURRENT BRANCH CODE</t>
        </is>
      </c>
      <c r="D406" s="3">
        <f>IFERROR(__xludf.DUMMYFUNCTION("GOOGLETRANSLATE(B406,""vi"",""km"")"),"លេខកូដសាខាបច្ចុប្បន្ន")</f>
        <v/>
      </c>
      <c r="E406" s="3" t="inlineStr">
        <is>
          <t>លេខកូដសាខា</t>
        </is>
      </c>
      <c r="F406" s="3" t="inlineStr">
        <is>
          <t>លេខកូដសាខាបច្ចុប្បន្ន</t>
        </is>
      </c>
      <c r="G406" s="3" t="n"/>
      <c r="H406" t="inlineStr">
        <is>
          <t>លេខកូដសាខាបច្ចុប្បន្ន</t>
        </is>
      </c>
      <c r="I406" s="67" t="n"/>
      <c r="J406" s="67" t="n"/>
      <c r="K406" s="67" t="n"/>
      <c r="L406" s="67" t="n"/>
      <c r="M406" s="67" t="n"/>
      <c r="N406" s="67" t="n"/>
      <c r="O406" s="67" t="n"/>
      <c r="P406" s="67" t="n"/>
      <c r="Q406" s="67" t="n"/>
      <c r="R406" s="67" t="n"/>
      <c r="S406" s="67" t="n"/>
      <c r="T406" s="67" t="n"/>
      <c r="U406" s="67" t="n"/>
      <c r="V406" s="67" t="n"/>
      <c r="W406" s="67" t="n"/>
      <c r="X406" s="67" t="n"/>
      <c r="Y406" s="67" t="n"/>
      <c r="Z406" s="67" t="n"/>
      <c r="AA406" s="67" t="n"/>
      <c r="AB406" s="67" t="n"/>
    </row>
    <row r="407" ht="15.75" customHeight="1" s="305">
      <c r="A407" s="225" t="inlineStr">
        <is>
          <t>HEADER_MA_CHI_NHANH</t>
        </is>
      </c>
      <c r="B407" s="67" t="inlineStr">
        <is>
          <t>MÃ CHI NHÁNH</t>
        </is>
      </c>
      <c r="C407" s="67" t="inlineStr">
        <is>
          <t>BRANCH CODE</t>
        </is>
      </c>
      <c r="D407" s="3">
        <f>IFERROR(__xludf.DUMMYFUNCTION("GOOGLETRANSLATE(B407,""vi"",""km"")"),"លេខកូដសាខា")</f>
        <v/>
      </c>
      <c r="E407" s="3" t="inlineStr">
        <is>
          <t>មានស្តុក ពេលវេលា</t>
        </is>
      </c>
      <c r="F407" s="3" t="inlineStr">
        <is>
          <t>លេខកូដសាខា</t>
        </is>
      </c>
      <c r="G407" s="3" t="n"/>
      <c r="H407" t="inlineStr">
        <is>
          <t>លេខកូដសាខា</t>
        </is>
      </c>
      <c r="I407" s="67" t="n"/>
      <c r="J407" s="67" t="n"/>
      <c r="K407" s="67" t="n"/>
      <c r="L407" s="67" t="n"/>
      <c r="M407" s="67" t="n"/>
      <c r="N407" s="67" t="n"/>
      <c r="O407" s="67" t="n"/>
      <c r="P407" s="67" t="n"/>
      <c r="Q407" s="67" t="n"/>
      <c r="R407" s="67" t="n"/>
      <c r="S407" s="67" t="n"/>
      <c r="T407" s="67" t="n"/>
      <c r="U407" s="67" t="n"/>
      <c r="V407" s="67" t="n"/>
      <c r="W407" s="67" t="n"/>
      <c r="X407" s="67" t="n"/>
      <c r="Y407" s="67" t="n"/>
      <c r="Z407" s="67" t="n"/>
      <c r="AA407" s="67" t="n"/>
      <c r="AB407" s="67" t="n"/>
    </row>
    <row r="408" ht="15.75" customHeight="1" s="305">
      <c r="A408" s="225" t="inlineStr">
        <is>
          <t>HEADER_THOI_GIAN_TON</t>
        </is>
      </c>
      <c r="B408" s="67" t="inlineStr">
        <is>
          <t>THỜI GIAN TỒN</t>
        </is>
      </c>
      <c r="C408" s="67" t="inlineStr">
        <is>
          <t>STORAGE TIME</t>
        </is>
      </c>
      <c r="D408" s="3">
        <f>IFERROR(__xludf.DUMMYFUNCTION("GOOGLETRANSLATE(B408,""vi"",""km"")"),"រយៈពេល")</f>
        <v/>
      </c>
      <c r="E408" s="3" t="inlineStr">
        <is>
          <t>ពេលវេលាចាត់តាំងដឹកជញ្ជូន</t>
        </is>
      </c>
      <c r="F408" s="3" t="inlineStr">
        <is>
          <t>រយៈពេល</t>
        </is>
      </c>
      <c r="G408" s="3" t="n"/>
      <c r="H408" t="inlineStr">
        <is>
          <t>រយៈពេល</t>
        </is>
      </c>
      <c r="I408" s="67" t="n"/>
      <c r="J408" s="67" t="n"/>
      <c r="K408" s="67" t="n"/>
      <c r="L408" s="67" t="n"/>
      <c r="M408" s="67" t="n"/>
      <c r="N408" s="67" t="n"/>
      <c r="O408" s="67" t="n"/>
      <c r="P408" s="67" t="n"/>
      <c r="Q408" s="67" t="n"/>
      <c r="R408" s="67" t="n"/>
      <c r="S408" s="67" t="n"/>
      <c r="T408" s="67" t="n"/>
      <c r="U408" s="67" t="n"/>
      <c r="V408" s="67" t="n"/>
      <c r="W408" s="67" t="n"/>
      <c r="X408" s="67" t="n"/>
      <c r="Y408" s="67" t="n"/>
      <c r="Z408" s="67" t="n"/>
      <c r="AA408" s="67" t="n"/>
      <c r="AB408" s="67" t="n"/>
    </row>
    <row r="409" ht="15.75" customHeight="1" s="305">
      <c r="A409" s="225" t="inlineStr">
        <is>
          <t>HEADER_THOI_GIAN_PCP</t>
        </is>
      </c>
      <c r="B409" s="67" t="inlineStr">
        <is>
          <t>THỜI GIAN PHÂN CÔNG PHÁT</t>
        </is>
      </c>
      <c r="C409" s="67" t="inlineStr">
        <is>
          <t>ASSIGNMENT DISPATCH TIME</t>
        </is>
      </c>
      <c r="D409" s="3">
        <f>IFERROR(__xludf.DUMMYFUNCTION("GOOGLETRANSLATE(B409,""vi"",""km"")"),"ពេលវេលាប្រគល់ភារកិច្ច")</f>
        <v/>
      </c>
      <c r="E409" s="3" t="inlineStr">
        <is>
          <t>ពេលវេលាចាត់តាំងដឹកជញ្ជូន</t>
        </is>
      </c>
      <c r="F409" s="3" t="inlineStr">
        <is>
          <t>ពេលវេលាប្រគល់ភារកិច្ច</t>
        </is>
      </c>
      <c r="G409" s="3" t="n"/>
      <c r="H409" t="inlineStr">
        <is>
          <t>ពេលវេលាប្រគល់ភារកិច្ច</t>
        </is>
      </c>
      <c r="I409" s="67" t="n"/>
      <c r="J409" s="67" t="n"/>
      <c r="K409" s="67" t="n"/>
      <c r="L409" s="67" t="n"/>
      <c r="M409" s="67" t="n"/>
      <c r="N409" s="67" t="n"/>
      <c r="O409" s="67" t="n"/>
      <c r="P409" s="67" t="n"/>
      <c r="Q409" s="67" t="n"/>
      <c r="R409" s="67" t="n"/>
      <c r="S409" s="67" t="n"/>
      <c r="T409" s="67" t="n"/>
      <c r="U409" s="67" t="n"/>
      <c r="V409" s="67" t="n"/>
      <c r="W409" s="67" t="n"/>
      <c r="X409" s="67" t="n"/>
      <c r="Y409" s="67" t="n"/>
      <c r="Z409" s="67" t="n"/>
      <c r="AA409" s="67" t="n"/>
      <c r="AB409" s="67" t="n"/>
    </row>
    <row r="410" ht="15.75" customHeight="1" s="305">
      <c r="A410" s="225" t="inlineStr">
        <is>
          <t>HEADER_BRANCH</t>
        </is>
      </c>
      <c r="B410" s="67" t="inlineStr">
        <is>
          <t>CHI NHÁNH</t>
        </is>
      </c>
      <c r="C410" s="67" t="inlineStr">
        <is>
          <t>BRANCH</t>
        </is>
      </c>
      <c r="D410" s="3">
        <f>IFERROR(__xludf.DUMMYFUNCTION("GOOGLETRANSLATE(B410,""vi"",""km"")"),"សាខា")</f>
        <v/>
      </c>
      <c r="E410" s="3" t="inlineStr">
        <is>
          <t>សាខា</t>
        </is>
      </c>
      <c r="F410" s="3" t="inlineStr">
        <is>
          <t>សាខា</t>
        </is>
      </c>
      <c r="G410" s="3" t="n"/>
      <c r="H410" t="inlineStr">
        <is>
          <t>សាខា</t>
        </is>
      </c>
      <c r="I410" s="67" t="n"/>
      <c r="J410" s="67" t="n"/>
      <c r="K410" s="67" t="n"/>
      <c r="L410" s="67" t="n"/>
      <c r="M410" s="67" t="n"/>
      <c r="N410" s="67" t="n"/>
      <c r="O410" s="67" t="n"/>
      <c r="P410" s="67" t="n"/>
      <c r="Q410" s="67" t="n"/>
      <c r="R410" s="67" t="n"/>
      <c r="S410" s="67" t="n"/>
      <c r="T410" s="67" t="n"/>
      <c r="U410" s="67" t="n"/>
      <c r="V410" s="67" t="n"/>
      <c r="W410" s="67" t="n"/>
      <c r="X410" s="67" t="n"/>
      <c r="Y410" s="67" t="n"/>
      <c r="Z410" s="67" t="n"/>
      <c r="AA410" s="67" t="n"/>
      <c r="AB410" s="67" t="n"/>
    </row>
    <row r="411" ht="15.75" customHeight="1" s="305">
      <c r="A411" s="225" t="inlineStr">
        <is>
          <t>HEADER_POST</t>
        </is>
      </c>
      <c r="B411" s="67" t="inlineStr">
        <is>
          <t>BƯU CỤC</t>
        </is>
      </c>
      <c r="C411" s="67" t="inlineStr">
        <is>
          <t>POST OFFICE</t>
        </is>
      </c>
      <c r="D411" s="3">
        <f>IFERROR(__xludf.DUMMYFUNCTION("GOOGLETRANSLATE(B411,""vi"",""km"")"),"ការិយាល័យប្រៃសណីយ៍")</f>
        <v/>
      </c>
      <c r="E411" s="3" t="inlineStr">
        <is>
          <t>ការិយាល័យប្រៃសណីយ៍</t>
        </is>
      </c>
      <c r="F411" s="3" t="inlineStr">
        <is>
          <t>ការិយាល័យប្រៃសណីយ៍</t>
        </is>
      </c>
      <c r="G411" s="3" t="n"/>
      <c r="H411" t="inlineStr">
        <is>
          <t>ការិយាល័យប្រៃសណីយ៍</t>
        </is>
      </c>
      <c r="I411" s="67" t="n"/>
      <c r="J411" s="67" t="n"/>
      <c r="K411" s="67" t="n"/>
      <c r="L411" s="67" t="n"/>
      <c r="M411" s="67" t="n"/>
      <c r="N411" s="67" t="n"/>
      <c r="O411" s="67" t="n"/>
      <c r="P411" s="67" t="n"/>
      <c r="Q411" s="67" t="n"/>
      <c r="R411" s="67" t="n"/>
      <c r="S411" s="67" t="n"/>
      <c r="T411" s="67" t="n"/>
      <c r="U411" s="67" t="n"/>
      <c r="V411" s="67" t="n"/>
      <c r="W411" s="67" t="n"/>
      <c r="X411" s="67" t="n"/>
      <c r="Y411" s="67" t="n"/>
      <c r="Z411" s="67" t="n"/>
      <c r="AA411" s="67" t="n"/>
      <c r="AB411" s="67" t="n"/>
    </row>
    <row r="412" ht="15.75" customHeight="1" s="305">
      <c r="A412" s="225" t="inlineStr">
        <is>
          <t>HEADER_REVENUE_SERVICE</t>
        </is>
      </c>
      <c r="B412" s="67" t="inlineStr">
        <is>
          <t>DỊCH VỤ</t>
        </is>
      </c>
      <c r="C412" s="67" t="inlineStr">
        <is>
          <t>SERVICE</t>
        </is>
      </c>
      <c r="D412" s="3">
        <f>IFERROR(__xludf.DUMMYFUNCTION("GOOGLETRANSLATE(B412,""vi"",""km"")"),"សេវាកម្ម")</f>
        <v/>
      </c>
      <c r="E412" s="3" t="inlineStr">
        <is>
          <t>សេវាកម្ម</t>
        </is>
      </c>
      <c r="F412" s="3" t="inlineStr">
        <is>
          <t>សេវាកម្ម</t>
        </is>
      </c>
      <c r="G412" s="3" t="n"/>
      <c r="H412" t="inlineStr">
        <is>
          <t>សេវាកម្ម</t>
        </is>
      </c>
      <c r="I412" s="67" t="n"/>
      <c r="J412" s="67" t="n"/>
      <c r="K412" s="67" t="n"/>
      <c r="L412" s="67" t="n"/>
      <c r="M412" s="67" t="n"/>
      <c r="N412" s="67" t="n"/>
      <c r="O412" s="67" t="n"/>
      <c r="P412" s="67" t="n"/>
      <c r="Q412" s="67" t="n"/>
      <c r="R412" s="67" t="n"/>
      <c r="S412" s="67" t="n"/>
      <c r="T412" s="67" t="n"/>
      <c r="U412" s="67" t="n"/>
      <c r="V412" s="67" t="n"/>
      <c r="W412" s="67" t="n"/>
      <c r="X412" s="67" t="n"/>
      <c r="Y412" s="67" t="n"/>
      <c r="Z412" s="67" t="n"/>
      <c r="AA412" s="67" t="n"/>
      <c r="AB412" s="67" t="n"/>
    </row>
    <row r="413" ht="15.75" customHeight="1" s="305">
      <c r="A413" s="225" t="inlineStr">
        <is>
          <t>HEADER_PICKUP_USER</t>
        </is>
      </c>
      <c r="B413" s="67" t="inlineStr">
        <is>
          <t>NGƯỜI NHẬP MÁY</t>
        </is>
      </c>
      <c r="C413" s="67" t="inlineStr">
        <is>
          <t>ACTOR</t>
        </is>
      </c>
      <c r="D413" s="3">
        <f>IFERROR(__xludf.DUMMYFUNCTION("GOOGLETRANSLATE(B413,""vi"",""km"")"),"អ្នកចូល")</f>
        <v/>
      </c>
      <c r="E413" s="3" t="inlineStr">
        <is>
          <t>អ្នកបញ្ចូល</t>
        </is>
      </c>
      <c r="F413" s="3" t="inlineStr">
        <is>
          <t>អ្នកចូល</t>
        </is>
      </c>
      <c r="G413" s="3" t="n"/>
      <c r="H413" t="inlineStr">
        <is>
          <t>អ្នកចូល</t>
        </is>
      </c>
      <c r="I413" s="67" t="n"/>
      <c r="J413" s="67" t="n"/>
      <c r="K413" s="67" t="n"/>
      <c r="L413" s="67" t="n"/>
      <c r="M413" s="67" t="n"/>
      <c r="N413" s="67" t="n"/>
      <c r="O413" s="67" t="n"/>
      <c r="P413" s="67" t="n"/>
      <c r="Q413" s="67" t="n"/>
      <c r="R413" s="67" t="n"/>
      <c r="S413" s="67" t="n"/>
      <c r="T413" s="67" t="n"/>
      <c r="U413" s="67" t="n"/>
      <c r="V413" s="67" t="n"/>
      <c r="W413" s="67" t="n"/>
      <c r="X413" s="67" t="n"/>
      <c r="Y413" s="67" t="n"/>
      <c r="Z413" s="67" t="n"/>
      <c r="AA413" s="67" t="n"/>
      <c r="AB413" s="67" t="n"/>
    </row>
    <row r="414" ht="15.75" customHeight="1" s="305">
      <c r="A414" s="225" t="inlineStr">
        <is>
          <t>HEADER_CUSTOMER</t>
        </is>
      </c>
      <c r="B414" s="67" t="inlineStr">
        <is>
          <t>KHÁCH HÀNG</t>
        </is>
      </c>
      <c r="C414" s="67" t="inlineStr">
        <is>
          <t>CUSTOMER</t>
        </is>
      </c>
      <c r="D414" s="3">
        <f>IFERROR(__xludf.DUMMYFUNCTION("GOOGLETRANSLATE(B414,""vi"",""km"")"),"អតិថិជន")</f>
        <v/>
      </c>
      <c r="E414" s="3" t="inlineStr">
        <is>
          <t>អតិថិជន</t>
        </is>
      </c>
      <c r="F414" s="3" t="inlineStr">
        <is>
          <t>អតិថិជន</t>
        </is>
      </c>
      <c r="G414" s="3" t="n"/>
      <c r="H414" t="inlineStr">
        <is>
          <t>អតិថិជន</t>
        </is>
      </c>
      <c r="I414" s="67" t="n"/>
      <c r="J414" s="67" t="n"/>
      <c r="K414" s="67" t="n"/>
      <c r="L414" s="67" t="n"/>
      <c r="M414" s="67" t="n"/>
      <c r="N414" s="67" t="n"/>
      <c r="O414" s="67" t="n"/>
      <c r="P414" s="67" t="n"/>
      <c r="Q414" s="67" t="n"/>
      <c r="R414" s="67" t="n"/>
      <c r="S414" s="67" t="n"/>
      <c r="T414" s="67" t="n"/>
      <c r="U414" s="67" t="n"/>
      <c r="V414" s="67" t="n"/>
      <c r="W414" s="67" t="n"/>
      <c r="X414" s="67" t="n"/>
      <c r="Y414" s="67" t="n"/>
      <c r="Z414" s="67" t="n"/>
      <c r="AA414" s="67" t="n"/>
      <c r="AB414" s="67" t="n"/>
    </row>
    <row r="415" ht="15.75" customHeight="1" s="305">
      <c r="A415" s="225" t="inlineStr">
        <is>
          <t>GOODS</t>
        </is>
      </c>
      <c r="B415" s="67" t="inlineStr">
        <is>
          <t>Hàng hóa</t>
        </is>
      </c>
      <c r="C415" s="67" t="inlineStr">
        <is>
          <t>GOODS</t>
        </is>
      </c>
      <c r="D415" s="3">
        <f>IFERROR(__xludf.DUMMYFUNCTION("GOOGLETRANSLATE(B415,""vi"",""km"")"),"ទំនិញ")</f>
        <v/>
      </c>
      <c r="E415" s="3" t="inlineStr">
        <is>
          <t>ទំនិញ</t>
        </is>
      </c>
      <c r="F415" s="3" t="inlineStr">
        <is>
          <t>ទំនិញ</t>
        </is>
      </c>
      <c r="G415" s="3" t="n"/>
      <c r="H415" t="inlineStr">
        <is>
          <t>ទំនិញ</t>
        </is>
      </c>
      <c r="I415" s="67" t="n"/>
      <c r="J415" s="67" t="n"/>
      <c r="K415" s="67" t="n"/>
      <c r="L415" s="67" t="n"/>
      <c r="M415" s="67" t="n"/>
      <c r="N415" s="67" t="n"/>
      <c r="O415" s="67" t="n"/>
      <c r="P415" s="67" t="n"/>
      <c r="Q415" s="67" t="n"/>
      <c r="R415" s="67" t="n"/>
      <c r="S415" s="67" t="n"/>
      <c r="T415" s="67" t="n"/>
      <c r="U415" s="67" t="n"/>
      <c r="V415" s="67" t="n"/>
      <c r="W415" s="67" t="n"/>
      <c r="X415" s="67" t="n"/>
      <c r="Y415" s="67" t="n"/>
      <c r="Z415" s="67" t="n"/>
      <c r="AA415" s="67" t="n"/>
      <c r="AB415" s="67" t="n"/>
    </row>
    <row r="416" ht="15.75" customHeight="1" s="305">
      <c r="A416" s="225" t="inlineStr">
        <is>
          <t>DOCUMENT</t>
        </is>
      </c>
      <c r="B416" s="67" t="inlineStr">
        <is>
          <t>Thư</t>
        </is>
      </c>
      <c r="C416" s="67" t="inlineStr">
        <is>
          <t>DOCUMENT</t>
        </is>
      </c>
      <c r="D416" s="3">
        <f>IFERROR(__xludf.DUMMYFUNCTION("GOOGLETRANSLATE(B416,""vi"",""km"")"),"សំបុត្រ")</f>
        <v/>
      </c>
      <c r="E416" s="3" t="inlineStr">
        <is>
          <t>សំបុត្រ</t>
        </is>
      </c>
      <c r="F416" s="3" t="inlineStr">
        <is>
          <t>សំបុត្រ</t>
        </is>
      </c>
      <c r="G416" s="3" t="n"/>
      <c r="H416" t="inlineStr">
        <is>
          <t>សំបុត្រ</t>
        </is>
      </c>
      <c r="I416" s="67" t="n"/>
      <c r="J416" s="67" t="n"/>
      <c r="K416" s="67" t="n"/>
      <c r="L416" s="67" t="n"/>
      <c r="M416" s="67" t="n"/>
      <c r="N416" s="67" t="n"/>
      <c r="O416" s="67" t="n"/>
      <c r="P416" s="67" t="n"/>
      <c r="Q416" s="67" t="n"/>
      <c r="R416" s="67" t="n"/>
      <c r="S416" s="67" t="n"/>
      <c r="T416" s="67" t="n"/>
      <c r="U416" s="67" t="n"/>
      <c r="V416" s="67" t="n"/>
      <c r="W416" s="67" t="n"/>
      <c r="X416" s="67" t="n"/>
      <c r="Y416" s="67" t="n"/>
      <c r="Z416" s="67" t="n"/>
      <c r="AA416" s="67" t="n"/>
      <c r="AB416" s="67" t="n"/>
    </row>
    <row r="417" ht="15.75" customHeight="1" s="305">
      <c r="A417" s="225" t="inlineStr">
        <is>
          <t>HEADER_TOTAL_BACKLOG</t>
        </is>
      </c>
      <c r="B417" s="67" t="inlineStr">
        <is>
          <t>Tổng tồn</t>
        </is>
      </c>
      <c r="C417" s="67" t="inlineStr">
        <is>
          <t>Total backlog</t>
        </is>
      </c>
      <c r="D417" s="3">
        <f>IFERROR(__xludf.DUMMYFUNCTION("GOOGLETRANSLATE(B417,""vi"",""km"")"),"ស្តុកសរុប")</f>
        <v/>
      </c>
      <c r="E417" s="3" t="inlineStr">
        <is>
          <t>ស្តុកសរុប</t>
        </is>
      </c>
      <c r="F417" s="3" t="inlineStr">
        <is>
          <t>ស្តុកសរុប</t>
        </is>
      </c>
      <c r="G417" s="3" t="n"/>
      <c r="H417" t="inlineStr">
        <is>
          <t>ស្តុកសរុប</t>
        </is>
      </c>
      <c r="I417" s="67" t="n"/>
      <c r="J417" s="67" t="n"/>
      <c r="K417" s="67" t="n"/>
      <c r="L417" s="67" t="n"/>
      <c r="M417" s="67" t="n"/>
      <c r="N417" s="67" t="n"/>
      <c r="O417" s="67" t="n"/>
      <c r="P417" s="67" t="n"/>
      <c r="Q417" s="67" t="n"/>
      <c r="R417" s="67" t="n"/>
      <c r="S417" s="67" t="n"/>
      <c r="T417" s="67" t="n"/>
      <c r="U417" s="67" t="n"/>
      <c r="V417" s="67" t="n"/>
      <c r="W417" s="67" t="n"/>
      <c r="X417" s="67" t="n"/>
      <c r="Y417" s="67" t="n"/>
      <c r="Z417" s="67" t="n"/>
      <c r="AA417" s="67" t="n"/>
      <c r="AB417" s="67" t="n"/>
    </row>
    <row r="418" ht="15.75" customHeight="1" s="305">
      <c r="A418" s="225" t="inlineStr">
        <is>
          <t>HEADER_BACKLOG_N0</t>
        </is>
      </c>
      <c r="B418" s="67" t="inlineStr">
        <is>
          <t>Ngày N</t>
        </is>
      </c>
      <c r="C418" s="67" t="inlineStr">
        <is>
          <t>Date N</t>
        </is>
      </c>
      <c r="D418" s="3">
        <f>IFERROR(__xludf.DUMMYFUNCTION("GOOGLETRANSLATE(B418,""vi"",""km"")"),"ថ្ងៃ N")</f>
        <v/>
      </c>
      <c r="E418" s="67" t="inlineStr">
        <is>
          <t>ថ្ងៃ N</t>
        </is>
      </c>
      <c r="F418" s="3" t="inlineStr">
        <is>
          <t>ថ្ងៃ N</t>
        </is>
      </c>
      <c r="G418" s="3" t="n"/>
      <c r="H418" t="inlineStr">
        <is>
          <t>ថ្ងៃ N</t>
        </is>
      </c>
      <c r="I418" s="67" t="n"/>
      <c r="J418" s="67" t="n"/>
      <c r="K418" s="67" t="n"/>
      <c r="L418" s="67" t="n"/>
      <c r="M418" s="67" t="n"/>
      <c r="N418" s="67" t="n"/>
      <c r="O418" s="67" t="n"/>
      <c r="P418" s="67" t="n"/>
      <c r="Q418" s="67" t="n"/>
      <c r="R418" s="67" t="n"/>
      <c r="S418" s="67" t="n"/>
      <c r="T418" s="67" t="n"/>
      <c r="U418" s="67" t="n"/>
      <c r="V418" s="67" t="n"/>
      <c r="W418" s="67" t="n"/>
      <c r="X418" s="67" t="n"/>
      <c r="Y418" s="67" t="n"/>
      <c r="Z418" s="67" t="n"/>
      <c r="AA418" s="67" t="n"/>
      <c r="AB418" s="67" t="n"/>
    </row>
    <row r="419" ht="15.75" customHeight="1" s="305">
      <c r="A419" s="225" t="inlineStr">
        <is>
          <t>HEADER_BACKLOG_N1</t>
        </is>
      </c>
      <c r="B419" s="67" t="inlineStr">
        <is>
          <t>Ngày N - 1</t>
        </is>
      </c>
      <c r="C419" s="67" t="inlineStr">
        <is>
          <t>Date N - 1</t>
        </is>
      </c>
      <c r="D419" s="3">
        <f>IFERROR(__xludf.DUMMYFUNCTION("GOOGLETRANSLATE(B419,""vi"",""km"")"),"ថ្ងៃទី N - 1")</f>
        <v/>
      </c>
      <c r="E419" s="67" t="inlineStr">
        <is>
          <t>ថ្ងៃ N - 1</t>
        </is>
      </c>
      <c r="F419" s="3" t="inlineStr">
        <is>
          <t>ថ្ងៃទី N - 1</t>
        </is>
      </c>
      <c r="G419" s="3" t="n"/>
      <c r="H419" t="inlineStr">
        <is>
          <t>ថ្ងៃទី N - 1</t>
        </is>
      </c>
      <c r="I419" s="67" t="n"/>
      <c r="J419" s="67" t="n"/>
      <c r="K419" s="67" t="n"/>
      <c r="L419" s="67" t="n"/>
      <c r="M419" s="67" t="n"/>
      <c r="N419" s="67" t="n"/>
      <c r="O419" s="67" t="n"/>
      <c r="P419" s="67" t="n"/>
      <c r="Q419" s="67" t="n"/>
      <c r="R419" s="67" t="n"/>
      <c r="S419" s="67" t="n"/>
      <c r="T419" s="67" t="n"/>
      <c r="U419" s="67" t="n"/>
      <c r="V419" s="67" t="n"/>
      <c r="W419" s="67" t="n"/>
      <c r="X419" s="67" t="n"/>
      <c r="Y419" s="67" t="n"/>
      <c r="Z419" s="67" t="n"/>
      <c r="AA419" s="67" t="n"/>
      <c r="AB419" s="67" t="n"/>
    </row>
    <row r="420" ht="15.75" customHeight="1" s="305">
      <c r="A420" s="225" t="inlineStr">
        <is>
          <t>HEADER_BACKLOG_N2</t>
        </is>
      </c>
      <c r="B420" s="67" t="inlineStr">
        <is>
          <t>Ngày N - 2</t>
        </is>
      </c>
      <c r="C420" s="67" t="inlineStr">
        <is>
          <t>Date N - 2</t>
        </is>
      </c>
      <c r="D420" s="3">
        <f>IFERROR(__xludf.DUMMYFUNCTION("GOOGLETRANSLATE(B420,""vi"",""km"")"),"ថ្ងៃទី N - 2")</f>
        <v/>
      </c>
      <c r="E420" s="67" t="inlineStr">
        <is>
          <t>ថ្ងៃ N - 2</t>
        </is>
      </c>
      <c r="F420" s="3" t="inlineStr">
        <is>
          <t>ថ្ងៃទី N - 2</t>
        </is>
      </c>
      <c r="G420" s="3" t="n"/>
      <c r="H420" t="inlineStr">
        <is>
          <t>ថ្ងៃទី N - 2</t>
        </is>
      </c>
      <c r="I420" s="67" t="n"/>
      <c r="J420" s="67" t="n"/>
      <c r="K420" s="67" t="n"/>
      <c r="L420" s="67" t="n"/>
      <c r="M420" s="67" t="n"/>
      <c r="N420" s="67" t="n"/>
      <c r="O420" s="67" t="n"/>
      <c r="P420" s="67" t="n"/>
      <c r="Q420" s="67" t="n"/>
      <c r="R420" s="67" t="n"/>
      <c r="S420" s="67" t="n"/>
      <c r="T420" s="67" t="n"/>
      <c r="U420" s="67" t="n"/>
      <c r="V420" s="67" t="n"/>
      <c r="W420" s="67" t="n"/>
      <c r="X420" s="67" t="n"/>
      <c r="Y420" s="67" t="n"/>
      <c r="Z420" s="67" t="n"/>
      <c r="AA420" s="67" t="n"/>
      <c r="AB420" s="67" t="n"/>
    </row>
    <row r="421" ht="15.75" customHeight="1" s="305">
      <c r="A421" s="225" t="inlineStr">
        <is>
          <t>HEADER_BACKLOG_N3</t>
        </is>
      </c>
      <c r="B421" s="67" t="inlineStr">
        <is>
          <t>Ngày N - 3</t>
        </is>
      </c>
      <c r="C421" s="67" t="inlineStr">
        <is>
          <t>Date N - 3</t>
        </is>
      </c>
      <c r="D421" s="3">
        <f>IFERROR(__xludf.DUMMYFUNCTION("GOOGLETRANSLATE(B421,""vi"",""km"")"),"ថ្ងៃទី N - 3")</f>
        <v/>
      </c>
      <c r="E421" s="67" t="inlineStr">
        <is>
          <t>ថ្ងៃ N - 3</t>
        </is>
      </c>
      <c r="F421" s="3" t="inlineStr">
        <is>
          <t>ថ្ងៃទី N - 3</t>
        </is>
      </c>
      <c r="G421" s="3" t="n"/>
      <c r="H421" t="inlineStr">
        <is>
          <t>ថ្ងៃទី N - 3</t>
        </is>
      </c>
      <c r="I421" s="67" t="n"/>
      <c r="J421" s="67" t="n"/>
      <c r="K421" s="67" t="n"/>
      <c r="L421" s="67" t="n"/>
      <c r="M421" s="67" t="n"/>
      <c r="N421" s="67" t="n"/>
      <c r="O421" s="67" t="n"/>
      <c r="P421" s="67" t="n"/>
      <c r="Q421" s="67" t="n"/>
      <c r="R421" s="67" t="n"/>
      <c r="S421" s="67" t="n"/>
      <c r="T421" s="67" t="n"/>
      <c r="U421" s="67" t="n"/>
      <c r="V421" s="67" t="n"/>
      <c r="W421" s="67" t="n"/>
      <c r="X421" s="67" t="n"/>
      <c r="Y421" s="67" t="n"/>
      <c r="Z421" s="67" t="n"/>
      <c r="AA421" s="67" t="n"/>
      <c r="AB421" s="67" t="n"/>
    </row>
    <row r="422" ht="15.75" customHeight="1" s="305">
      <c r="A422" s="225" t="inlineStr">
        <is>
          <t>HEADER_BACKLOG_N4</t>
        </is>
      </c>
      <c r="B422" s="67" t="inlineStr">
        <is>
          <t>Ngày N - 4</t>
        </is>
      </c>
      <c r="C422" s="67" t="inlineStr">
        <is>
          <t>Date N - 4</t>
        </is>
      </c>
      <c r="D422" s="3">
        <f>IFERROR(__xludf.DUMMYFUNCTION("GOOGLETRANSLATE(B422,""vi"",""km"")"),"ថ្ងៃទី ទី 4")</f>
        <v/>
      </c>
      <c r="E422" s="67" t="inlineStr">
        <is>
          <t>ថ្ងៃ N - 4</t>
        </is>
      </c>
      <c r="F422" s="3" t="inlineStr">
        <is>
          <t>ថ្ងៃទី ទី 4</t>
        </is>
      </c>
      <c r="G422" s="3" t="n"/>
      <c r="H422" t="inlineStr">
        <is>
          <t>ថ្ងៃទី ទី 4</t>
        </is>
      </c>
      <c r="I422" s="67" t="n"/>
      <c r="J422" s="67" t="n"/>
      <c r="K422" s="67" t="n"/>
      <c r="L422" s="67" t="n"/>
      <c r="M422" s="67" t="n"/>
      <c r="N422" s="67" t="n"/>
      <c r="O422" s="67" t="n"/>
      <c r="P422" s="67" t="n"/>
      <c r="Q422" s="67" t="n"/>
      <c r="R422" s="67" t="n"/>
      <c r="S422" s="67" t="n"/>
      <c r="T422" s="67" t="n"/>
      <c r="U422" s="67" t="n"/>
      <c r="V422" s="67" t="n"/>
      <c r="W422" s="67" t="n"/>
      <c r="X422" s="67" t="n"/>
      <c r="Y422" s="67" t="n"/>
      <c r="Z422" s="67" t="n"/>
      <c r="AA422" s="67" t="n"/>
      <c r="AB422" s="67" t="n"/>
    </row>
    <row r="423" ht="15.75" customHeight="1" s="305">
      <c r="A423" s="225" t="inlineStr">
        <is>
          <t>HEADER_BACKLOG_N5</t>
        </is>
      </c>
      <c r="B423" s="67" t="inlineStr">
        <is>
          <t>Ngày N - 5</t>
        </is>
      </c>
      <c r="C423" s="67" t="inlineStr">
        <is>
          <t>Date N - 5</t>
        </is>
      </c>
      <c r="D423" s="3">
        <f>IFERROR(__xludf.DUMMYFUNCTION("GOOGLETRANSLATE(B423,""vi"",""km"")"),"ថ្ងៃទី N - 5")</f>
        <v/>
      </c>
      <c r="E423" s="67" t="inlineStr">
        <is>
          <t>ថ្ងៃ N - 5</t>
        </is>
      </c>
      <c r="F423" s="3" t="inlineStr">
        <is>
          <t>ថ្ងៃទី N - 5</t>
        </is>
      </c>
      <c r="G423" s="3" t="n"/>
      <c r="H423" t="inlineStr">
        <is>
          <t>ថ្ងៃទី N - 5</t>
        </is>
      </c>
      <c r="I423" s="67" t="n"/>
      <c r="J423" s="67" t="n"/>
      <c r="K423" s="67" t="n"/>
      <c r="L423" s="67" t="n"/>
      <c r="M423" s="67" t="n"/>
      <c r="N423" s="67" t="n"/>
      <c r="O423" s="67" t="n"/>
      <c r="P423" s="67" t="n"/>
      <c r="Q423" s="67" t="n"/>
      <c r="R423" s="67" t="n"/>
      <c r="S423" s="67" t="n"/>
      <c r="T423" s="67" t="n"/>
      <c r="U423" s="67" t="n"/>
      <c r="V423" s="67" t="n"/>
      <c r="W423" s="67" t="n"/>
      <c r="X423" s="67" t="n"/>
      <c r="Y423" s="67" t="n"/>
      <c r="Z423" s="67" t="n"/>
      <c r="AA423" s="67" t="n"/>
      <c r="AB423" s="67" t="n"/>
    </row>
    <row r="424" ht="15.75" customHeight="1" s="305">
      <c r="A424" s="225" t="inlineStr">
        <is>
          <t>HEADER_BACKLOG_N6</t>
        </is>
      </c>
      <c r="B424" s="67" t="inlineStr">
        <is>
          <t>Ngày N - 6</t>
        </is>
      </c>
      <c r="C424" s="67" t="inlineStr">
        <is>
          <t>Date N - 6</t>
        </is>
      </c>
      <c r="D424" s="3">
        <f>IFERROR(__xludf.DUMMYFUNCTION("GOOGLETRANSLATE(B424,""vi"",""km"")"),"ថ្ងៃទី N - 6")</f>
        <v/>
      </c>
      <c r="E424" s="67" t="inlineStr">
        <is>
          <t>ថ្ងៃN - 6</t>
        </is>
      </c>
      <c r="F424" s="3" t="inlineStr">
        <is>
          <t>ថ្ងៃទី N - 6</t>
        </is>
      </c>
      <c r="G424" s="3" t="n"/>
      <c r="H424" t="inlineStr">
        <is>
          <t>ថ្ងៃទី N - 6</t>
        </is>
      </c>
      <c r="I424" s="67" t="n"/>
      <c r="J424" s="67" t="n"/>
      <c r="K424" s="67" t="n"/>
      <c r="L424" s="67" t="n"/>
      <c r="M424" s="67" t="n"/>
      <c r="N424" s="67" t="n"/>
      <c r="O424" s="67" t="n"/>
      <c r="P424" s="67" t="n"/>
      <c r="Q424" s="67" t="n"/>
      <c r="R424" s="67" t="n"/>
      <c r="S424" s="67" t="n"/>
      <c r="T424" s="67" t="n"/>
      <c r="U424" s="67" t="n"/>
      <c r="V424" s="67" t="n"/>
      <c r="W424" s="67" t="n"/>
      <c r="X424" s="67" t="n"/>
      <c r="Y424" s="67" t="n"/>
      <c r="Z424" s="67" t="n"/>
      <c r="AA424" s="67" t="n"/>
      <c r="AB424" s="67" t="n"/>
    </row>
    <row r="425" ht="15.75" customHeight="1" s="305">
      <c r="A425" s="225" t="inlineStr">
        <is>
          <t>HEADER_BACKLOG_N7</t>
        </is>
      </c>
      <c r="B425" s="67" t="inlineStr">
        <is>
          <t>Ngày N - 7</t>
        </is>
      </c>
      <c r="C425" s="67" t="inlineStr">
        <is>
          <t>Date N - 7</t>
        </is>
      </c>
      <c r="D425" s="3">
        <f>IFERROR(__xludf.DUMMYFUNCTION("GOOGLETRANSLATE(B425,""vi"",""km"")"),"ថ្ងៃទី N - ៧")</f>
        <v/>
      </c>
      <c r="E425" s="67" t="inlineStr">
        <is>
          <t>ថ្ងៃ N - 7</t>
        </is>
      </c>
      <c r="F425" s="3" t="inlineStr">
        <is>
          <t>ថ្ងៃទី N - ៧</t>
        </is>
      </c>
      <c r="G425" s="3" t="n"/>
      <c r="H425" t="inlineStr">
        <is>
          <t>ថ្ងៃទី N - ៧</t>
        </is>
      </c>
      <c r="I425" s="67" t="n"/>
      <c r="J425" s="67" t="n"/>
      <c r="K425" s="67" t="n"/>
      <c r="L425" s="67" t="n"/>
      <c r="M425" s="67" t="n"/>
      <c r="N425" s="67" t="n"/>
      <c r="O425" s="67" t="n"/>
      <c r="P425" s="67" t="n"/>
      <c r="Q425" s="67" t="n"/>
      <c r="R425" s="67" t="n"/>
      <c r="S425" s="67" t="n"/>
      <c r="T425" s="67" t="n"/>
      <c r="U425" s="67" t="n"/>
      <c r="V425" s="67" t="n"/>
      <c r="W425" s="67" t="n"/>
      <c r="X425" s="67" t="n"/>
      <c r="Y425" s="67" t="n"/>
      <c r="Z425" s="67" t="n"/>
      <c r="AA425" s="67" t="n"/>
      <c r="AB425" s="67" t="n"/>
    </row>
    <row r="426" ht="15.75" customHeight="1" s="305">
      <c r="A426" s="225" t="inlineStr">
        <is>
          <t>HEADER_REPORT_DATE</t>
        </is>
      </c>
      <c r="B426" s="67" t="inlineStr">
        <is>
          <t>Ngày</t>
        </is>
      </c>
      <c r="C426" s="67" t="inlineStr">
        <is>
          <t>Date</t>
        </is>
      </c>
      <c r="D426" s="3">
        <f>IFERROR(__xludf.DUMMYFUNCTION("GOOGLETRANSLATE(B426,""vi"",""km"")"),"ថ្ងៃ")</f>
        <v/>
      </c>
      <c r="E426" s="67" t="inlineStr">
        <is>
          <t>ថ្ងៃ</t>
        </is>
      </c>
      <c r="F426" s="3" t="inlineStr">
        <is>
          <t>ថ្ងៃ</t>
        </is>
      </c>
      <c r="G426" s="3" t="n"/>
      <c r="H426" t="inlineStr">
        <is>
          <t>ថ្ងៃ</t>
        </is>
      </c>
      <c r="I426" s="67" t="n"/>
      <c r="J426" s="67" t="n"/>
      <c r="K426" s="67" t="n"/>
      <c r="L426" s="67" t="n"/>
      <c r="M426" s="67" t="n"/>
      <c r="N426" s="67" t="n"/>
      <c r="O426" s="67" t="n"/>
      <c r="P426" s="67" t="n"/>
      <c r="Q426" s="67" t="n"/>
      <c r="R426" s="67" t="n"/>
      <c r="S426" s="67" t="n"/>
      <c r="T426" s="67" t="n"/>
      <c r="U426" s="67" t="n"/>
      <c r="V426" s="67" t="n"/>
      <c r="W426" s="67" t="n"/>
      <c r="X426" s="67" t="n"/>
      <c r="Y426" s="67" t="n"/>
      <c r="Z426" s="67" t="n"/>
      <c r="AA426" s="67" t="n"/>
      <c r="AB426" s="67" t="n"/>
    </row>
    <row r="427" ht="15.75" customHeight="1" s="305">
      <c r="A427" s="225" t="inlineStr">
        <is>
          <t>HEADER_ROUTE</t>
        </is>
      </c>
      <c r="B427" s="67" t="inlineStr">
        <is>
          <t>TUYẾN</t>
        </is>
      </c>
      <c r="C427" s="67" t="inlineStr">
        <is>
          <t>Route</t>
        </is>
      </c>
      <c r="D427" s="3">
        <f>IFERROR(__xludf.DUMMYFUNCTION("GOOGLETRANSLATE(B427,""vi"",""km"")"),"ផ្លូវ")</f>
        <v/>
      </c>
      <c r="E427" s="3" t="inlineStr">
        <is>
          <t>ផ្លូវដឹក</t>
        </is>
      </c>
      <c r="F427" s="3" t="inlineStr">
        <is>
          <t>ផ្លូវ</t>
        </is>
      </c>
      <c r="G427" s="3" t="n"/>
      <c r="H427" t="inlineStr">
        <is>
          <t>ផ្លូវ</t>
        </is>
      </c>
      <c r="I427" s="67" t="n"/>
      <c r="J427" s="67" t="n"/>
      <c r="K427" s="67" t="n"/>
      <c r="L427" s="67" t="n"/>
      <c r="M427" s="67" t="n"/>
      <c r="N427" s="67" t="n"/>
      <c r="O427" s="67" t="n"/>
      <c r="P427" s="67" t="n"/>
      <c r="Q427" s="67" t="n"/>
      <c r="R427" s="67" t="n"/>
      <c r="S427" s="67" t="n"/>
      <c r="T427" s="67" t="n"/>
      <c r="U427" s="67" t="n"/>
      <c r="V427" s="67" t="n"/>
      <c r="W427" s="67" t="n"/>
      <c r="X427" s="67" t="n"/>
      <c r="Y427" s="67" t="n"/>
      <c r="Z427" s="67" t="n"/>
      <c r="AA427" s="67" t="n"/>
      <c r="AB427" s="67" t="n"/>
    </row>
    <row r="428" ht="15.75" customHeight="1" s="305">
      <c r="A428" s="225" t="inlineStr">
        <is>
          <t>HEADER_WARNING_TYPE</t>
        </is>
      </c>
      <c r="B428" s="67" t="inlineStr">
        <is>
          <t>LOẠI CẢNH BÁO</t>
        </is>
      </c>
      <c r="C428" s="67" t="inlineStr">
        <is>
          <t>Warning type</t>
        </is>
      </c>
      <c r="D428" s="3">
        <f>IFERROR(__xludf.DUMMYFUNCTION("GOOGLETRANSLATE(B428,""vi"",""km"")"),"ប្រភេទនៃការព្រមាន")</f>
        <v/>
      </c>
      <c r="E428" s="3" t="inlineStr">
        <is>
          <t>ប្រភេទនៃការប្រមាន</t>
        </is>
      </c>
      <c r="F428" s="3" t="inlineStr">
        <is>
          <t>ប្រភេទនៃការព្រមាន</t>
        </is>
      </c>
      <c r="G428" s="3" t="n"/>
      <c r="H428" t="inlineStr">
        <is>
          <t>ប្រភេទនៃការព្រមាន</t>
        </is>
      </c>
      <c r="I428" s="67" t="n"/>
      <c r="J428" s="67" t="n"/>
      <c r="K428" s="67" t="n"/>
      <c r="L428" s="67" t="n"/>
      <c r="M428" s="67" t="n"/>
      <c r="N428" s="67" t="n"/>
      <c r="O428" s="67" t="n"/>
      <c r="P428" s="67" t="n"/>
      <c r="Q428" s="67" t="n"/>
      <c r="R428" s="67" t="n"/>
      <c r="S428" s="67" t="n"/>
      <c r="T428" s="67" t="n"/>
      <c r="U428" s="67" t="n"/>
      <c r="V428" s="67" t="n"/>
      <c r="W428" s="67" t="n"/>
      <c r="X428" s="67" t="n"/>
      <c r="Y428" s="67" t="n"/>
      <c r="Z428" s="67" t="n"/>
      <c r="AA428" s="67" t="n"/>
      <c r="AB428" s="67" t="n"/>
    </row>
    <row r="429" ht="15.75" customHeight="1" s="305">
      <c r="A429" s="225" t="inlineStr">
        <is>
          <t>HEADER_STATUS</t>
        </is>
      </c>
      <c r="B429" s="67" t="inlineStr">
        <is>
          <t>TRẠNG THÁI</t>
        </is>
      </c>
      <c r="C429" s="67" t="inlineStr">
        <is>
          <t>Status</t>
        </is>
      </c>
      <c r="D429" s="3">
        <f>IFERROR(__xludf.DUMMYFUNCTION("GOOGLETRANSLATE(B429,""vi"",""km"")"),"ស្ថានភាព")</f>
        <v/>
      </c>
      <c r="E429" s="3" t="inlineStr">
        <is>
          <t>ស្ថានភាព</t>
        </is>
      </c>
      <c r="F429" s="3" t="inlineStr">
        <is>
          <t>ស្ថានភាព</t>
        </is>
      </c>
      <c r="G429" s="3" t="n"/>
      <c r="H429" t="inlineStr">
        <is>
          <t>ស្ថានភាព</t>
        </is>
      </c>
      <c r="I429" s="67" t="n"/>
      <c r="J429" s="67" t="n"/>
      <c r="K429" s="67" t="n"/>
      <c r="L429" s="67" t="n"/>
      <c r="M429" s="67" t="n"/>
      <c r="N429" s="67" t="n"/>
      <c r="O429" s="67" t="n"/>
      <c r="P429" s="67" t="n"/>
      <c r="Q429" s="67" t="n"/>
      <c r="R429" s="67" t="n"/>
      <c r="S429" s="67" t="n"/>
      <c r="T429" s="67" t="n"/>
      <c r="U429" s="67" t="n"/>
      <c r="V429" s="67" t="n"/>
      <c r="W429" s="67" t="n"/>
      <c r="X429" s="67" t="n"/>
      <c r="Y429" s="67" t="n"/>
      <c r="Z429" s="67" t="n"/>
      <c r="AA429" s="67" t="n"/>
      <c r="AB429" s="67" t="n"/>
    </row>
    <row r="430" ht="15.75" customHeight="1" s="305">
      <c r="A430" s="225" t="inlineStr">
        <is>
          <t>HEADER_PICKUP_BACKLOG</t>
        </is>
      </c>
      <c r="B430" s="67" t="inlineStr">
        <is>
          <t>BÁO CÁO TỒN THU</t>
        </is>
      </c>
      <c r="C430" s="67" t="inlineStr">
        <is>
          <t>PICKUP BACKLOG</t>
        </is>
      </c>
      <c r="D430" s="3">
        <f>IFERROR(__xludf.DUMMYFUNCTION("GOOGLETRANSLATE(B430,""vi"",""km"")"),"របាយការណ៍ចំណូល")</f>
        <v/>
      </c>
      <c r="E430" s="3" t="inlineStr">
        <is>
          <t>បង្កាន់ដៃទទួលទំនិញ ការដឹកជញ្ជូន</t>
        </is>
      </c>
      <c r="F430" s="3" t="inlineStr">
        <is>
          <t>របាយការណ៍ចំណូល</t>
        </is>
      </c>
      <c r="G430" s="3" t="n"/>
      <c r="H430" t="inlineStr">
        <is>
          <t>របាយការណ៍ចំណូល</t>
        </is>
      </c>
      <c r="I430" s="67" t="n"/>
      <c r="J430" s="67" t="n"/>
      <c r="K430" s="67" t="n"/>
      <c r="L430" s="67" t="n"/>
      <c r="M430" s="67" t="n"/>
      <c r="N430" s="67" t="n"/>
      <c r="O430" s="67" t="n"/>
      <c r="P430" s="67" t="n"/>
      <c r="Q430" s="67" t="n"/>
      <c r="R430" s="67" t="n"/>
      <c r="S430" s="67" t="n"/>
      <c r="T430" s="67" t="n"/>
      <c r="U430" s="67" t="n"/>
      <c r="V430" s="67" t="n"/>
      <c r="W430" s="67" t="n"/>
      <c r="X430" s="67" t="n"/>
      <c r="Y430" s="67" t="n"/>
      <c r="Z430" s="67" t="n"/>
      <c r="AA430" s="67" t="n"/>
      <c r="AB430" s="67" t="n"/>
    </row>
    <row r="431" ht="15.75" customHeight="1" s="305">
      <c r="A431" s="225" t="inlineStr">
        <is>
          <t>HEADER_DELIVERY_BACKLOG</t>
        </is>
      </c>
      <c r="B431" s="67" t="inlineStr">
        <is>
          <t>BÁO CÁO TỒN GIAO</t>
        </is>
      </c>
      <c r="C431" s="67" t="inlineStr">
        <is>
          <t>DELIVERY BACKLOG</t>
        </is>
      </c>
      <c r="D431" s="3">
        <f>IFERROR(__xludf.DUMMYFUNCTION("GOOGLETRANSLATE(B431,""vi"",""km"")"),"របាយការណ៍ដែលមានស្រាប់")</f>
        <v/>
      </c>
      <c r="E431" s="3" t="inlineStr">
        <is>
          <t>បង្កាន់ដៃទទួលទំនិញ ការដឹកជញ្ជូន</t>
        </is>
      </c>
      <c r="F431" s="3" t="inlineStr">
        <is>
          <t>របាយការណ៍ដែលមានស្រាប់</t>
        </is>
      </c>
      <c r="G431" s="3" t="n"/>
      <c r="H431" t="inlineStr">
        <is>
          <t>របាយការណ៍ដែលមានស្រាប់</t>
        </is>
      </c>
      <c r="I431" s="67" t="n"/>
      <c r="J431" s="67" t="n"/>
      <c r="K431" s="67" t="n"/>
      <c r="L431" s="67" t="n"/>
      <c r="M431" s="67" t="n"/>
      <c r="N431" s="67" t="n"/>
      <c r="O431" s="67" t="n"/>
      <c r="P431" s="67" t="n"/>
      <c r="Q431" s="67" t="n"/>
      <c r="R431" s="67" t="n"/>
      <c r="S431" s="67" t="n"/>
      <c r="T431" s="67" t="n"/>
      <c r="U431" s="67" t="n"/>
      <c r="V431" s="67" t="n"/>
      <c r="W431" s="67" t="n"/>
      <c r="X431" s="67" t="n"/>
      <c r="Y431" s="67" t="n"/>
      <c r="Z431" s="67" t="n"/>
      <c r="AA431" s="67" t="n"/>
      <c r="AB431" s="67" t="n"/>
    </row>
    <row r="432" ht="15.75" customHeight="1" s="305">
      <c r="A432" s="225" t="inlineStr">
        <is>
          <t>UNKNOWN</t>
        </is>
      </c>
      <c r="B432" s="67" t="inlineStr">
        <is>
          <t>Chưa xác định</t>
        </is>
      </c>
      <c r="C432" s="67" t="inlineStr">
        <is>
          <t>Unknown</t>
        </is>
      </c>
      <c r="D432" s="3">
        <f>IFERROR(__xludf.DUMMYFUNCTION("GOOGLETRANSLATE(B432,""vi"",""km"")"),"មិន​ទាន់​កំណត់")</f>
        <v/>
      </c>
      <c r="E432" s="3" t="inlineStr">
        <is>
          <t>មិនទាន់កំណត់</t>
        </is>
      </c>
      <c r="F432" s="3" t="inlineStr">
        <is>
          <t>មិនទាន់កំណត់</t>
        </is>
      </c>
      <c r="G432" s="3" t="n"/>
      <c r="H432" t="inlineStr">
        <is>
          <t>មិនទាន់កំណត់</t>
        </is>
      </c>
      <c r="I432" s="67" t="n"/>
      <c r="J432" s="67" t="n"/>
      <c r="K432" s="67" t="n"/>
      <c r="L432" s="67" t="n"/>
      <c r="M432" s="67" t="n"/>
      <c r="N432" s="67" t="n"/>
      <c r="O432" s="67" t="n"/>
      <c r="P432" s="67" t="n"/>
      <c r="Q432" s="67" t="n"/>
      <c r="R432" s="67" t="n"/>
      <c r="S432" s="67" t="n"/>
      <c r="T432" s="67" t="n"/>
      <c r="U432" s="67" t="n"/>
      <c r="V432" s="67" t="n"/>
      <c r="W432" s="67" t="n"/>
      <c r="X432" s="67" t="n"/>
      <c r="Y432" s="67" t="n"/>
      <c r="Z432" s="67" t="n"/>
      <c r="AA432" s="67" t="n"/>
      <c r="AB432" s="67" t="n"/>
    </row>
    <row r="433" ht="15.75" customHeight="1" s="305">
      <c r="A433" s="225" t="inlineStr">
        <is>
          <t>HEADER_NGAY_GUI</t>
        </is>
      </c>
      <c r="B433" s="67" t="inlineStr">
        <is>
          <t>Ngày gửi</t>
        </is>
      </c>
      <c r="C433" s="67" t="inlineStr">
        <is>
          <t>Date sent</t>
        </is>
      </c>
      <c r="D433" s="3">
        <f>IFERROR(__xludf.DUMMYFUNCTION("GOOGLETRANSLATE(B433,""vi"",""km"")"),"កាលបរិច្ឆេទដែលបានផ្ញើ")</f>
        <v/>
      </c>
      <c r="E433" s="3" t="inlineStr">
        <is>
          <t>កាលបរិច្ឆេទផ្ញើ</t>
        </is>
      </c>
      <c r="F433" s="3" t="inlineStr">
        <is>
          <t>កាលបរិច្ឆេទផ្ញើ</t>
        </is>
      </c>
      <c r="G433" s="3" t="n"/>
      <c r="H433" t="inlineStr">
        <is>
          <t>កាលបរិច្ឆេទផ្ញើ</t>
        </is>
      </c>
      <c r="I433" s="67" t="n"/>
      <c r="J433" s="67" t="n"/>
      <c r="K433" s="67" t="n"/>
      <c r="L433" s="67" t="n"/>
      <c r="M433" s="67" t="n"/>
      <c r="N433" s="67" t="n"/>
      <c r="O433" s="67" t="n"/>
      <c r="P433" s="67" t="n"/>
      <c r="Q433" s="67" t="n"/>
      <c r="R433" s="67" t="n"/>
      <c r="S433" s="67" t="n"/>
      <c r="T433" s="67" t="n"/>
      <c r="U433" s="67" t="n"/>
      <c r="V433" s="67" t="n"/>
      <c r="W433" s="67" t="n"/>
      <c r="X433" s="67" t="n"/>
      <c r="Y433" s="67" t="n"/>
      <c r="Z433" s="67" t="n"/>
      <c r="AA433" s="67" t="n"/>
      <c r="AB433" s="67" t="n"/>
    </row>
    <row r="434" ht="15.75" customHeight="1" s="305">
      <c r="A434" s="225" t="inlineStr">
        <is>
          <t>HEADER_DELIVERY_ROUTE</t>
        </is>
      </c>
      <c r="B434" s="67" t="inlineStr">
        <is>
          <t>TUYẾN BƯU TÁ TỒN PHÁT</t>
        </is>
      </c>
      <c r="C434" s="67" t="inlineStr">
        <is>
          <t>Delivery Postman</t>
        </is>
      </c>
      <c r="D434" s="3">
        <f>IFERROR(__xludf.DUMMYFUNCTION("GOOGLETRANSLATE(B434,""vi"",""km"")"),"ផ្លូវសេវាប្រៃសណីយ៍")</f>
        <v/>
      </c>
      <c r="E434" s="3" t="inlineStr">
        <is>
          <t>ផ្លូវដឹកជញ្ជូន</t>
        </is>
      </c>
      <c r="F434" s="3" t="inlineStr">
        <is>
          <t>ផ្លូវសេវាប្រៃសណីយ៍</t>
        </is>
      </c>
      <c r="G434" s="3" t="n"/>
      <c r="H434" t="inlineStr">
        <is>
          <t>ផ្លូវសេវាប្រៃសណីយ៍</t>
        </is>
      </c>
      <c r="I434" s="67" t="n"/>
      <c r="J434" s="67" t="n"/>
      <c r="K434" s="67" t="n"/>
      <c r="L434" s="67" t="n"/>
      <c r="M434" s="67" t="n"/>
      <c r="N434" s="67" t="n"/>
      <c r="O434" s="67" t="n"/>
      <c r="P434" s="67" t="n"/>
      <c r="Q434" s="67" t="n"/>
      <c r="R434" s="67" t="n"/>
      <c r="S434" s="67" t="n"/>
      <c r="T434" s="67" t="n"/>
      <c r="U434" s="67" t="n"/>
      <c r="V434" s="67" t="n"/>
      <c r="W434" s="67" t="n"/>
      <c r="X434" s="67" t="n"/>
      <c r="Y434" s="67" t="n"/>
      <c r="Z434" s="67" t="n"/>
      <c r="AA434" s="67" t="n"/>
      <c r="AB434" s="67" t="n"/>
    </row>
    <row r="435" ht="15.75" customHeight="1" s="305">
      <c r="A435" s="225" t="inlineStr">
        <is>
          <t>HEADER_VAS</t>
        </is>
      </c>
      <c r="B435" s="67" t="inlineStr">
        <is>
          <t>DỊCH VỤ CỘNG THÊM</t>
        </is>
      </c>
      <c r="C435" s="67" t="inlineStr">
        <is>
          <t>VALUE-ADDED service</t>
        </is>
      </c>
      <c r="D435" s="3">
        <f>IFERROR(__xludf.DUMMYFUNCTION("GOOGLETRANSLATE(B435,""vi"",""km"")"),"សេវាកម្មបន្ថែម")</f>
        <v/>
      </c>
      <c r="E435" s="3" t="inlineStr">
        <is>
          <t>សេវាកម្មបន្ថែម</t>
        </is>
      </c>
      <c r="F435" s="3" t="inlineStr">
        <is>
          <t>សេវាកម្មបន្ថែម</t>
        </is>
      </c>
      <c r="G435" s="3" t="n"/>
      <c r="H435" t="inlineStr">
        <is>
          <t>សេវាកម្មបន្ថែម</t>
        </is>
      </c>
      <c r="I435" s="67" t="n"/>
      <c r="J435" s="67" t="n"/>
      <c r="K435" s="67" t="n"/>
      <c r="L435" s="67" t="n"/>
      <c r="M435" s="67" t="n"/>
      <c r="N435" s="67" t="n"/>
      <c r="O435" s="67" t="n"/>
      <c r="P435" s="67" t="n"/>
      <c r="Q435" s="67" t="n"/>
      <c r="R435" s="67" t="n"/>
      <c r="S435" s="67" t="n"/>
      <c r="T435" s="67" t="n"/>
      <c r="U435" s="67" t="n"/>
      <c r="V435" s="67" t="n"/>
      <c r="W435" s="67" t="n"/>
      <c r="X435" s="67" t="n"/>
      <c r="Y435" s="67" t="n"/>
      <c r="Z435" s="67" t="n"/>
      <c r="AA435" s="67" t="n"/>
      <c r="AB435" s="67" t="n"/>
    </row>
    <row r="436" ht="15.75" customHeight="1" s="305">
      <c r="A436" s="225" t="inlineStr">
        <is>
          <t>HEADER_MAIN_SERVICE</t>
        </is>
      </c>
      <c r="B436" s="67" t="inlineStr">
        <is>
          <t>DỊCH VỤ CHÍNH</t>
        </is>
      </c>
      <c r="C436" s="67" t="inlineStr">
        <is>
          <t>MAIN SERVICE</t>
        </is>
      </c>
      <c r="D436" s="3">
        <f>IFERROR(__xludf.DUMMYFUNCTION("GOOGLETRANSLATE(B436,""vi"",""km"")"),"សេវាកម្មសំខាន់ៗ")</f>
        <v/>
      </c>
      <c r="E436" s="3" t="inlineStr">
        <is>
          <t>សេវាកម្មសំខាន់ៗ</t>
        </is>
      </c>
      <c r="F436" s="3" t="inlineStr">
        <is>
          <t>សេវាកម្មសំខាន់ៗ</t>
        </is>
      </c>
      <c r="G436" s="3" t="n"/>
      <c r="H436" t="inlineStr">
        <is>
          <t>សេវាកម្មសំខាន់ៗ</t>
        </is>
      </c>
      <c r="I436" s="67" t="n"/>
      <c r="J436" s="67" t="n"/>
      <c r="K436" s="67" t="n"/>
      <c r="L436" s="67" t="n"/>
      <c r="M436" s="67" t="n"/>
      <c r="N436" s="67" t="n"/>
      <c r="O436" s="67" t="n"/>
      <c r="P436" s="67" t="n"/>
      <c r="Q436" s="67" t="n"/>
      <c r="R436" s="67" t="n"/>
      <c r="S436" s="67" t="n"/>
      <c r="T436" s="67" t="n"/>
      <c r="U436" s="67" t="n"/>
      <c r="V436" s="67" t="n"/>
      <c r="W436" s="67" t="n"/>
      <c r="X436" s="67" t="n"/>
      <c r="Y436" s="67" t="n"/>
      <c r="Z436" s="67" t="n"/>
      <c r="AA436" s="67" t="n"/>
      <c r="AB436" s="67" t="n"/>
    </row>
    <row r="437" ht="15.75" customHeight="1" s="305">
      <c r="A437" s="225" t="inlineStr">
        <is>
          <t>HEADER_KPI_PICKUP</t>
        </is>
      </c>
      <c r="B437" s="67" t="inlineStr">
        <is>
          <t>BÁO CÁO KPI THU</t>
        </is>
      </c>
      <c r="C437" s="67" t="inlineStr">
        <is>
          <t>RECEIVING KPI REPORT</t>
        </is>
      </c>
      <c r="D437" s="3">
        <f>IFERROR(__xludf.DUMMYFUNCTION("GOOGLETRANSLATE(B437,""vi"",""km"")"),"របាយការណ៍ KPI ចំណូល")</f>
        <v/>
      </c>
      <c r="E437" s="3" t="inlineStr">
        <is>
          <t>របាយការណ៍ KPI ជ្រើសរើសបុគ្គលិក</t>
        </is>
      </c>
      <c r="F437" s="3" t="inlineStr">
        <is>
          <t>របាយការណ៍ KPI ចំណូល</t>
        </is>
      </c>
      <c r="G437" s="3" t="n"/>
      <c r="H437" t="inlineStr">
        <is>
          <t>របាយការណ៍ KPI ចំណូល</t>
        </is>
      </c>
      <c r="I437" s="67" t="n"/>
      <c r="J437" s="67" t="n"/>
      <c r="K437" s="67" t="n"/>
      <c r="L437" s="67" t="n"/>
      <c r="M437" s="67" t="n"/>
      <c r="N437" s="67" t="n"/>
      <c r="O437" s="67" t="n"/>
      <c r="P437" s="67" t="n"/>
      <c r="Q437" s="67" t="n"/>
      <c r="R437" s="67" t="n"/>
      <c r="S437" s="67" t="n"/>
      <c r="T437" s="67" t="n"/>
      <c r="U437" s="67" t="n"/>
      <c r="V437" s="67" t="n"/>
      <c r="W437" s="67" t="n"/>
      <c r="X437" s="67" t="n"/>
      <c r="Y437" s="67" t="n"/>
      <c r="Z437" s="67" t="n"/>
      <c r="AA437" s="67" t="n"/>
      <c r="AB437" s="67" t="n"/>
    </row>
    <row r="438" ht="15.75" customHeight="1" s="305">
      <c r="A438" s="225" t="inlineStr">
        <is>
          <t>HEADER_KPI_PICKUP_TOTAL_ORDER</t>
        </is>
      </c>
      <c r="B438" s="67" t="inlineStr">
        <is>
          <t>TỔNG ĐƠN PHẢI NHẬN</t>
        </is>
      </c>
      <c r="C438" s="67" t="inlineStr">
        <is>
          <t>TOTAL ORDERS FOR PICKUP</t>
        </is>
      </c>
      <c r="D438" s="3">
        <f>IFERROR(__xludf.DUMMYFUNCTION("GOOGLETRANSLATE(B438,""vi"",""km"")"),"ចំនួនទឹកប្រាក់សរុបដែលបានទទួល")</f>
        <v/>
      </c>
      <c r="E438" s="3" t="inlineStr">
        <is>
          <t>ការបញ្ជាទិញសរុបដែលត្រូវទទួល</t>
        </is>
      </c>
      <c r="F438" s="3" t="inlineStr">
        <is>
          <t>ចំនួនទឹកប្រាក់សរុបដែលបានទទួល</t>
        </is>
      </c>
      <c r="G438" s="3" t="n"/>
      <c r="H438" t="inlineStr">
        <is>
          <t>ចំនួនទឹកប្រាក់សរុបដែលបានទទួល</t>
        </is>
      </c>
      <c r="I438" s="67" t="n"/>
      <c r="J438" s="67" t="n"/>
      <c r="K438" s="67" t="n"/>
      <c r="L438" s="67" t="n"/>
      <c r="M438" s="67" t="n"/>
      <c r="N438" s="67" t="n"/>
      <c r="O438" s="67" t="n"/>
      <c r="P438" s="67" t="n"/>
      <c r="Q438" s="67" t="n"/>
      <c r="R438" s="67" t="n"/>
      <c r="S438" s="67" t="n"/>
      <c r="T438" s="67" t="n"/>
      <c r="U438" s="67" t="n"/>
      <c r="V438" s="67" t="n"/>
      <c r="W438" s="67" t="n"/>
      <c r="X438" s="67" t="n"/>
      <c r="Y438" s="67" t="n"/>
      <c r="Z438" s="67" t="n"/>
      <c r="AA438" s="67" t="n"/>
      <c r="AB438" s="67" t="n"/>
    </row>
    <row r="439" ht="15.75" customHeight="1" s="305">
      <c r="A439" s="225" t="inlineStr">
        <is>
          <t>HEADER_KPI_PICKUP_TOTAL_SUCCESS_ORDER</t>
        </is>
      </c>
      <c r="B439" s="67" t="inlineStr">
        <is>
          <t>TỔNG ĐƠN NHẬN THÀNH CÔNG</t>
        </is>
      </c>
      <c r="C439" s="67" t="inlineStr">
        <is>
          <t>TOTAL SUCCESSFULLY PICKED-UP ORDERS</t>
        </is>
      </c>
      <c r="D439" s="3">
        <f>IFERROR(__xludf.DUMMYFUNCTION("GOOGLETRANSLATE(B439,""vi"",""km"")"),"ការបញ្ជាទិញជោគជ័យសរុបដែលបានទទួល")</f>
        <v/>
      </c>
      <c r="E439" s="3" t="inlineStr">
        <is>
          <t>ការបញ្ជាទិញសរុបដែលបានទទួលដោយជោគជ័យ</t>
        </is>
      </c>
      <c r="F439" s="3" t="inlineStr">
        <is>
          <t>ការបញ្ជាទិញជោគជ័យសរុបដែលបានទទួល</t>
        </is>
      </c>
      <c r="G439" s="3" t="n"/>
      <c r="H439" t="inlineStr">
        <is>
          <t>ការបញ្ជាទិញជោគជ័យសរុបដែលបានទទួល</t>
        </is>
      </c>
      <c r="I439" s="67" t="n"/>
      <c r="J439" s="67" t="n"/>
      <c r="K439" s="67" t="n"/>
      <c r="L439" s="67" t="n"/>
      <c r="M439" s="67" t="n"/>
      <c r="N439" s="67" t="n"/>
      <c r="O439" s="67" t="n"/>
      <c r="P439" s="67" t="n"/>
      <c r="Q439" s="67" t="n"/>
      <c r="R439" s="67" t="n"/>
      <c r="S439" s="67" t="n"/>
      <c r="T439" s="67" t="n"/>
      <c r="U439" s="67" t="n"/>
      <c r="V439" s="67" t="n"/>
      <c r="W439" s="67" t="n"/>
      <c r="X439" s="67" t="n"/>
      <c r="Y439" s="67" t="n"/>
      <c r="Z439" s="67" t="n"/>
      <c r="AA439" s="67" t="n"/>
      <c r="AB439" s="67" t="n"/>
    </row>
    <row r="440" ht="15.75" customHeight="1" s="305">
      <c r="A440" s="225" t="inlineStr">
        <is>
          <t>HEADER_KPI_PICKUP_SUCCESS_RATE</t>
        </is>
      </c>
      <c r="B440" s="67" t="inlineStr">
        <is>
          <t>TL THU THÀNH CÔNG</t>
        </is>
      </c>
      <c r="C440" s="67" t="inlineStr">
        <is>
          <t>SUCCESSFUL PICKUP RATE</t>
        </is>
      </c>
      <c r="D440" s="3">
        <f>IFERROR(__xludf.DUMMYFUNCTION("GOOGLETRANSLATE(B440,""vi"",""km"")"),"ការជ្រើសរើសបុគ្គលិកដោយជោគជ័យ")</f>
        <v/>
      </c>
      <c r="E440" s="3" t="inlineStr">
        <is>
          <t>អត្រាប្រមូល</t>
        </is>
      </c>
      <c r="F440" s="3" t="inlineStr">
        <is>
          <t>ការជ្រើសរើសបុគ្គលិកដោយជោគជ័យ</t>
        </is>
      </c>
      <c r="G440" s="3" t="n"/>
      <c r="H440" t="inlineStr">
        <is>
          <t>ការជ្រើសរើសបុគ្គលិកដោយជោគជ័យ</t>
        </is>
      </c>
      <c r="I440" s="67" t="n"/>
      <c r="J440" s="67" t="n"/>
      <c r="K440" s="67" t="n"/>
      <c r="L440" s="67" t="n"/>
      <c r="M440" s="67" t="n"/>
      <c r="N440" s="67" t="n"/>
      <c r="O440" s="67" t="n"/>
      <c r="P440" s="67" t="n"/>
      <c r="Q440" s="67" t="n"/>
      <c r="R440" s="67" t="n"/>
      <c r="S440" s="67" t="n"/>
      <c r="T440" s="67" t="n"/>
      <c r="U440" s="67" t="n"/>
      <c r="V440" s="67" t="n"/>
      <c r="W440" s="67" t="n"/>
      <c r="X440" s="67" t="n"/>
      <c r="Y440" s="67" t="n"/>
      <c r="Z440" s="67" t="n"/>
      <c r="AA440" s="67" t="n"/>
      <c r="AB440" s="67" t="n"/>
    </row>
    <row r="441" ht="15.75" customHeight="1" s="305">
      <c r="A441" s="225" t="inlineStr">
        <is>
          <t>HEADER_KPI_PICKUP_DATE</t>
        </is>
      </c>
      <c r="B441" s="67" t="inlineStr">
        <is>
          <t>THỜI GIAN</t>
        </is>
      </c>
      <c r="C441" s="67" t="inlineStr">
        <is>
          <t>DATE</t>
        </is>
      </c>
      <c r="D441" s="3">
        <f>IFERROR(__xludf.DUMMYFUNCTION("GOOGLETRANSLATE(B441,""vi"",""km"")"),"ពេលវេលា")</f>
        <v/>
      </c>
      <c r="E441" s="3" t="inlineStr">
        <is>
          <t>ពេលវេលា</t>
        </is>
      </c>
      <c r="F441" s="3" t="inlineStr">
        <is>
          <t>ពេលវេលា</t>
        </is>
      </c>
      <c r="G441" s="3" t="n"/>
      <c r="H441" t="inlineStr">
        <is>
          <t>ពេលវេលា</t>
        </is>
      </c>
      <c r="I441" s="67" t="n"/>
      <c r="J441" s="67" t="n"/>
      <c r="K441" s="67" t="n"/>
      <c r="L441" s="67" t="n"/>
      <c r="M441" s="67" t="n"/>
      <c r="N441" s="67" t="n"/>
      <c r="O441" s="67" t="n"/>
      <c r="P441" s="67" t="n"/>
      <c r="Q441" s="67" t="n"/>
      <c r="R441" s="67" t="n"/>
      <c r="S441" s="67" t="n"/>
      <c r="T441" s="67" t="n"/>
      <c r="U441" s="67" t="n"/>
      <c r="V441" s="67" t="n"/>
      <c r="W441" s="67" t="n"/>
      <c r="X441" s="67" t="n"/>
      <c r="Y441" s="67" t="n"/>
      <c r="Z441" s="67" t="n"/>
      <c r="AA441" s="67" t="n"/>
      <c r="AB441" s="67" t="n"/>
    </row>
    <row r="442" ht="15.75" customHeight="1" s="305">
      <c r="A442" s="225" t="inlineStr">
        <is>
          <t>HEADER_KPI_CREATE_AT</t>
        </is>
      </c>
      <c r="B442" s="67" t="inlineStr">
        <is>
          <t>NGÀY TẠO</t>
        </is>
      </c>
      <c r="C442" s="67" t="inlineStr">
        <is>
          <t>CREATION DATE</t>
        </is>
      </c>
      <c r="D442" s="3">
        <f>IFERROR(__xludf.DUMMYFUNCTION("GOOGLETRANSLATE(B442,""vi"",""km"")"),"កាលបរិច្ឆេទបង្កើត")</f>
        <v/>
      </c>
      <c r="E442" s="3" t="inlineStr">
        <is>
          <t>កាលបរិច្ឆេទនៃការបង្កើត</t>
        </is>
      </c>
      <c r="F442" s="3" t="inlineStr">
        <is>
          <t>កាលបរិច្ឆេទបង្កើត</t>
        </is>
      </c>
      <c r="G442" s="3" t="n"/>
      <c r="H442" t="inlineStr">
        <is>
          <t>កាលបរិច្ឆេទបង្កើត</t>
        </is>
      </c>
      <c r="I442" s="67" t="n"/>
      <c r="J442" s="67" t="n"/>
      <c r="K442" s="67" t="n"/>
      <c r="L442" s="67" t="n"/>
      <c r="M442" s="67" t="n"/>
      <c r="N442" s="67" t="n"/>
      <c r="O442" s="67" t="n"/>
      <c r="P442" s="67" t="n"/>
      <c r="Q442" s="67" t="n"/>
      <c r="R442" s="67" t="n"/>
      <c r="S442" s="67" t="n"/>
      <c r="T442" s="67" t="n"/>
      <c r="U442" s="67" t="n"/>
      <c r="V442" s="67" t="n"/>
      <c r="W442" s="67" t="n"/>
      <c r="X442" s="67" t="n"/>
      <c r="Y442" s="67" t="n"/>
      <c r="Z442" s="67" t="n"/>
      <c r="AA442" s="67" t="n"/>
      <c r="AB442" s="67" t="n"/>
    </row>
    <row r="443" ht="15.75" customHeight="1" s="305">
      <c r="A443" s="225" t="inlineStr">
        <is>
          <t>HEADER_KPI_ORDER_ID</t>
        </is>
      </c>
      <c r="B443" s="67" t="inlineStr">
        <is>
          <t>MÃ VẬN ĐƠN</t>
        </is>
      </c>
      <c r="C443" s="67" t="inlineStr">
        <is>
          <t>ORDER ID</t>
        </is>
      </c>
      <c r="D443" s="3">
        <f>IFERROR(__xludf.DUMMYFUNCTION("GOOGLETRANSLATE(B443,""vi"",""km"")"),"លេខតាមដាន")</f>
        <v/>
      </c>
      <c r="E443" s="3" t="inlineStr">
        <is>
          <t>លេខកូដត្រាក់ទ័រ</t>
        </is>
      </c>
      <c r="F443" s="3" t="inlineStr">
        <is>
          <t>លេខតាមដាន</t>
        </is>
      </c>
      <c r="G443" s="3" t="n"/>
      <c r="H443" t="inlineStr">
        <is>
          <t>លេខតាមដាន</t>
        </is>
      </c>
      <c r="I443" s="67" t="n"/>
      <c r="J443" s="67" t="n"/>
      <c r="K443" s="67" t="n"/>
      <c r="L443" s="67" t="n"/>
      <c r="M443" s="67" t="n"/>
      <c r="N443" s="67" t="n"/>
      <c r="O443" s="67" t="n"/>
      <c r="P443" s="67" t="n"/>
      <c r="Q443" s="67" t="n"/>
      <c r="R443" s="67" t="n"/>
      <c r="S443" s="67" t="n"/>
      <c r="T443" s="67" t="n"/>
      <c r="U443" s="67" t="n"/>
      <c r="V443" s="67" t="n"/>
      <c r="W443" s="67" t="n"/>
      <c r="X443" s="67" t="n"/>
      <c r="Y443" s="67" t="n"/>
      <c r="Z443" s="67" t="n"/>
      <c r="AA443" s="67" t="n"/>
      <c r="AB443" s="67" t="n"/>
    </row>
    <row r="444" ht="15.75" customHeight="1" s="305">
      <c r="A444" s="225" t="inlineStr">
        <is>
          <t>HEADER_KPI_SENDER</t>
        </is>
      </c>
      <c r="B444" s="67" t="inlineStr">
        <is>
          <t>NGƯỜI GỬI</t>
        </is>
      </c>
      <c r="C444" s="67" t="inlineStr">
        <is>
          <t>SENDER</t>
        </is>
      </c>
      <c r="D444" s="3">
        <f>IFERROR(__xludf.DUMMYFUNCTION("GOOGLETRANSLATE(B444,""vi"",""km"")"),"អ្នកផ្ញើ")</f>
        <v/>
      </c>
      <c r="E444" s="3" t="inlineStr">
        <is>
          <t>អ្នកផ្ញើ</t>
        </is>
      </c>
      <c r="F444" s="3" t="inlineStr">
        <is>
          <t>អ្នកផ្ញើ</t>
        </is>
      </c>
      <c r="G444" s="3" t="n"/>
      <c r="H444" t="inlineStr">
        <is>
          <t>អ្នកផ្ញើ</t>
        </is>
      </c>
      <c r="I444" s="67" t="n"/>
      <c r="J444" s="67" t="n"/>
      <c r="K444" s="67" t="n"/>
      <c r="L444" s="67" t="n"/>
      <c r="M444" s="67" t="n"/>
      <c r="N444" s="67" t="n"/>
      <c r="O444" s="67" t="n"/>
      <c r="P444" s="67" t="n"/>
      <c r="Q444" s="67" t="n"/>
      <c r="R444" s="67" t="n"/>
      <c r="S444" s="67" t="n"/>
      <c r="T444" s="67" t="n"/>
      <c r="U444" s="67" t="n"/>
      <c r="V444" s="67" t="n"/>
      <c r="W444" s="67" t="n"/>
      <c r="X444" s="67" t="n"/>
      <c r="Y444" s="67" t="n"/>
      <c r="Z444" s="67" t="n"/>
      <c r="AA444" s="67" t="n"/>
      <c r="AB444" s="67" t="n"/>
    </row>
    <row r="445" ht="15.75" customHeight="1" s="305">
      <c r="A445" s="225" t="inlineStr">
        <is>
          <t>HEADER_KPI_RECEIVER</t>
        </is>
      </c>
      <c r="B445" s="67" t="inlineStr">
        <is>
          <t>NGƯỜI NHẬN</t>
        </is>
      </c>
      <c r="C445" s="67" t="inlineStr">
        <is>
          <t>RECEIVER</t>
        </is>
      </c>
      <c r="D445" s="3">
        <f>IFERROR(__xludf.DUMMYFUNCTION("GOOGLETRANSLATE(B445,""vi"",""km"")"),"អ្នកទទួល")</f>
        <v/>
      </c>
      <c r="E445" s="3" t="inlineStr">
        <is>
          <t>អ្នកទទួល</t>
        </is>
      </c>
      <c r="F445" s="3" t="inlineStr">
        <is>
          <t>អ្នកទទួល</t>
        </is>
      </c>
      <c r="G445" s="3" t="n"/>
      <c r="H445" t="inlineStr">
        <is>
          <t>អ្នកទទួល</t>
        </is>
      </c>
      <c r="I445" s="67" t="n"/>
      <c r="J445" s="67" t="n"/>
      <c r="K445" s="67" t="n"/>
      <c r="L445" s="67" t="n"/>
      <c r="M445" s="67" t="n"/>
      <c r="N445" s="67" t="n"/>
      <c r="O445" s="67" t="n"/>
      <c r="P445" s="67" t="n"/>
      <c r="Q445" s="67" t="n"/>
      <c r="R445" s="67" t="n"/>
      <c r="S445" s="67" t="n"/>
      <c r="T445" s="67" t="n"/>
      <c r="U445" s="67" t="n"/>
      <c r="V445" s="67" t="n"/>
      <c r="W445" s="67" t="n"/>
      <c r="X445" s="67" t="n"/>
      <c r="Y445" s="67" t="n"/>
      <c r="Z445" s="67" t="n"/>
      <c r="AA445" s="67" t="n"/>
      <c r="AB445" s="67" t="n"/>
    </row>
    <row r="446" ht="15.75" customHeight="1" s="305">
      <c r="A446" s="225" t="inlineStr">
        <is>
          <t>HEADER_KPI_POSTCODE_RECEIVE</t>
        </is>
      </c>
      <c r="B446" s="67" t="inlineStr">
        <is>
          <t>BC NHẬN</t>
        </is>
      </c>
      <c r="C446" s="67" t="inlineStr">
        <is>
          <t>RECEIVING POST OFFICE</t>
        </is>
      </c>
      <c r="D446" s="3">
        <f>IFERROR(__xludf.DUMMYFUNCTION("GOOGLETRANSLATE(B446,""vi"",""km"")"),"បានទទួលមុនគ.ស.")</f>
        <v/>
      </c>
      <c r="E446" s="3" t="n"/>
      <c r="F446" s="3" t="inlineStr">
        <is>
          <t>បានទទួលមុនគ.ស.</t>
        </is>
      </c>
      <c r="G446" s="3" t="n"/>
      <c r="H446" t="inlineStr">
        <is>
          <t>បានទទួលមុនគ.ស.</t>
        </is>
      </c>
      <c r="I446" s="67" t="n"/>
      <c r="J446" s="67" t="n"/>
      <c r="K446" s="67" t="n"/>
      <c r="L446" s="67" t="n"/>
      <c r="M446" s="67" t="n"/>
      <c r="N446" s="67" t="n"/>
      <c r="O446" s="67" t="n"/>
      <c r="P446" s="67" t="n"/>
      <c r="Q446" s="67" t="n"/>
      <c r="R446" s="67" t="n"/>
      <c r="S446" s="67" t="n"/>
      <c r="T446" s="67" t="n"/>
      <c r="U446" s="67" t="n"/>
      <c r="V446" s="67" t="n"/>
      <c r="W446" s="67" t="n"/>
      <c r="X446" s="67" t="n"/>
      <c r="Y446" s="67" t="n"/>
      <c r="Z446" s="67" t="n"/>
      <c r="AA446" s="67" t="n"/>
      <c r="AB446" s="67" t="n"/>
    </row>
    <row r="447" ht="15.75" customHeight="1" s="305">
      <c r="A447" s="225" t="inlineStr">
        <is>
          <t>HEADER_KPI_POSTCODE_DELIVERY</t>
        </is>
      </c>
      <c r="B447" s="67" t="inlineStr">
        <is>
          <t>BC PHÁT DỰ KIẾN</t>
        </is>
      </c>
      <c r="C447" s="67" t="inlineStr">
        <is>
          <t>EXPECTED DELIVERY POST OFFICE</t>
        </is>
      </c>
      <c r="D447" s="3">
        <f>IFERROR(__xludf.DUMMYFUNCTION("GOOGLETRANSLATE(B447,""vi"",""km"")"),"ការចេញផ្សាយដែលរំពឹងទុករបស់ BC")</f>
        <v/>
      </c>
      <c r="E447" s="3" t="n"/>
      <c r="F447" s="3" t="inlineStr">
        <is>
          <t>ការចេញផ្សាយដែលរំពឹងទុករបស់ BC</t>
        </is>
      </c>
      <c r="G447" s="3" t="n"/>
      <c r="H447" t="inlineStr">
        <is>
          <t>ការចេញផ្សាយដែលរំពឹងទុករបស់ BC</t>
        </is>
      </c>
      <c r="I447" s="67" t="n"/>
      <c r="J447" s="67" t="n"/>
      <c r="K447" s="67" t="n"/>
      <c r="L447" s="67" t="n"/>
      <c r="M447" s="67" t="n"/>
      <c r="N447" s="67" t="n"/>
      <c r="O447" s="67" t="n"/>
      <c r="P447" s="67" t="n"/>
      <c r="Q447" s="67" t="n"/>
      <c r="R447" s="67" t="n"/>
      <c r="S447" s="67" t="n"/>
      <c r="T447" s="67" t="n"/>
      <c r="U447" s="67" t="n"/>
      <c r="V447" s="67" t="n"/>
      <c r="W447" s="67" t="n"/>
      <c r="X447" s="67" t="n"/>
      <c r="Y447" s="67" t="n"/>
      <c r="Z447" s="67" t="n"/>
      <c r="AA447" s="67" t="n"/>
      <c r="AB447" s="67" t="n"/>
    </row>
    <row r="448" ht="15.75" customHeight="1" s="305">
      <c r="A448" s="225" t="inlineStr">
        <is>
          <t>HEADER_KPI_POSTCODE_CURRENT</t>
        </is>
      </c>
      <c r="B448" s="67" t="inlineStr">
        <is>
          <t>BC HIỆN TẠI</t>
        </is>
      </c>
      <c r="C448" s="67" t="inlineStr">
        <is>
          <t>CURRENT POST OFFICE</t>
        </is>
      </c>
      <c r="D448" s="3">
        <f>IFERROR(__xludf.DUMMYFUNCTION("GOOGLETRANSLATE(B448,""vi"",""km"")"),"បច្ចុប្បន្ន មុនគ.ស.")</f>
        <v/>
      </c>
      <c r="E448" s="3" t="n"/>
      <c r="F448" s="3" t="inlineStr">
        <is>
          <t>បច្ចុប្បន្ន មុនគ.ស.</t>
        </is>
      </c>
      <c r="G448" s="3" t="n"/>
      <c r="H448" t="inlineStr">
        <is>
          <t>បច្ចុប្បន្ន មុនគ.ស.</t>
        </is>
      </c>
      <c r="I448" s="67" t="n"/>
      <c r="J448" s="67" t="n"/>
      <c r="K448" s="67" t="n"/>
      <c r="L448" s="67" t="n"/>
      <c r="M448" s="67" t="n"/>
      <c r="N448" s="67" t="n"/>
      <c r="O448" s="67" t="n"/>
      <c r="P448" s="67" t="n"/>
      <c r="Q448" s="67" t="n"/>
      <c r="R448" s="67" t="n"/>
      <c r="S448" s="67" t="n"/>
      <c r="T448" s="67" t="n"/>
      <c r="U448" s="67" t="n"/>
      <c r="V448" s="67" t="n"/>
      <c r="W448" s="67" t="n"/>
      <c r="X448" s="67" t="n"/>
      <c r="Y448" s="67" t="n"/>
      <c r="Z448" s="67" t="n"/>
      <c r="AA448" s="67" t="n"/>
      <c r="AB448" s="67" t="n"/>
    </row>
    <row r="449" ht="15.75" customHeight="1" s="305">
      <c r="A449" s="225" t="inlineStr">
        <is>
          <t>HEADER_KPI_PICKUP_RECEIVER</t>
        </is>
      </c>
      <c r="B449" s="67" t="inlineStr">
        <is>
          <t>BƯU TÁ NHẬN</t>
        </is>
      </c>
      <c r="C449" s="67" t="inlineStr">
        <is>
          <t>PICKUP STAFF</t>
        </is>
      </c>
      <c r="D449" s="3">
        <f>IFERROR(__xludf.DUMMYFUNCTION("GOOGLETRANSLATE(B449,""vi"",""km"")"),"បុរស​ប្រៃសណីយ៍​ទទួល​បាន")</f>
        <v/>
      </c>
      <c r="E449" s="3" t="inlineStr">
        <is>
          <t>អ្នកដឹកជញ្ជូនទទួល</t>
        </is>
      </c>
      <c r="F449" s="3" t="inlineStr">
        <is>
          <t>បុរសប្រៃសណីយ៍ទទួលបាន</t>
        </is>
      </c>
      <c r="G449" s="3" t="n"/>
      <c r="H449" t="inlineStr">
        <is>
          <t>បុរសប្រៃសណីយ៍ទទួលបាន</t>
        </is>
      </c>
      <c r="I449" s="67" t="n"/>
      <c r="J449" s="67" t="n"/>
      <c r="K449" s="67" t="n"/>
      <c r="L449" s="67" t="n"/>
      <c r="M449" s="67" t="n"/>
      <c r="N449" s="67" t="n"/>
      <c r="O449" s="67" t="n"/>
      <c r="P449" s="67" t="n"/>
      <c r="Q449" s="67" t="n"/>
      <c r="R449" s="67" t="n"/>
      <c r="S449" s="67" t="n"/>
      <c r="T449" s="67" t="n"/>
      <c r="U449" s="67" t="n"/>
      <c r="V449" s="67" t="n"/>
      <c r="W449" s="67" t="n"/>
      <c r="X449" s="67" t="n"/>
      <c r="Y449" s="67" t="n"/>
      <c r="Z449" s="67" t="n"/>
      <c r="AA449" s="67" t="n"/>
      <c r="AB449" s="67" t="n"/>
    </row>
    <row r="450" ht="15.75" customHeight="1" s="305">
      <c r="A450" s="225" t="inlineStr">
        <is>
          <t>HEADER_DROPOFF_ORDER</t>
        </is>
      </c>
      <c r="B450" s="67" t="inlineStr">
        <is>
          <t>Đơn dropoff</t>
        </is>
      </c>
      <c r="C450" s="67" t="inlineStr">
        <is>
          <t>Dropoff order</t>
        </is>
      </c>
      <c r="D450" s="3">
        <f>IFERROR(__xludf.DUMMYFUNCTION("GOOGLETRANSLATE(B450,""vi"",""km"")"),"ការបញ្ជាទិញដែលទម្លាក់ចោល")</f>
        <v/>
      </c>
      <c r="E450" s="67" t="inlineStr">
        <is>
          <t>បុងបញ្ញើ dropoff</t>
        </is>
      </c>
      <c r="F450" s="3" t="inlineStr">
        <is>
          <t>ការបញ្ជាទិញដែលទម្លាក់ចោល</t>
        </is>
      </c>
      <c r="G450" s="3" t="n"/>
      <c r="H450" t="inlineStr">
        <is>
          <t>ការបញ្ជាទិញដែលទម្លាក់ចោល</t>
        </is>
      </c>
      <c r="I450" s="67" t="n"/>
      <c r="J450" s="67" t="n"/>
      <c r="K450" s="67" t="n"/>
      <c r="L450" s="67" t="n"/>
      <c r="M450" s="67" t="n"/>
      <c r="N450" s="67" t="n"/>
      <c r="O450" s="67" t="n"/>
      <c r="P450" s="67" t="n"/>
      <c r="Q450" s="67" t="n"/>
      <c r="R450" s="67" t="n"/>
      <c r="S450" s="67" t="n"/>
      <c r="T450" s="67" t="n"/>
      <c r="U450" s="67" t="n"/>
      <c r="V450" s="67" t="n"/>
      <c r="W450" s="67" t="n"/>
      <c r="X450" s="67" t="n"/>
      <c r="Y450" s="67" t="n"/>
      <c r="Z450" s="67" t="n"/>
      <c r="AA450" s="67" t="n"/>
      <c r="AB450" s="67" t="n"/>
    </row>
    <row r="451" ht="15.75" customHeight="1" s="305">
      <c r="A451" s="225" t="inlineStr">
        <is>
          <t>HEADER_GENERATED_ORDER</t>
        </is>
      </c>
      <c r="B451" s="67" t="inlineStr">
        <is>
          <t>SL phát sinh</t>
        </is>
      </c>
      <c r="C451" s="67" t="inlineStr">
        <is>
          <t>Generated quantity</t>
        </is>
      </c>
      <c r="D451" s="3">
        <f>IFERROR(__xludf.DUMMYFUNCTION("GOOGLETRANSLATE(B451,""vi"",""km"")"),"បានបង្កើត SL")</f>
        <v/>
      </c>
      <c r="E451" s="3" t="n"/>
      <c r="F451" s="3" t="inlineStr">
        <is>
          <t>បានបង្កើត SL</t>
        </is>
      </c>
      <c r="G451" s="3" t="n"/>
      <c r="H451" t="inlineStr">
        <is>
          <t>បានបង្កើត SL</t>
        </is>
      </c>
      <c r="I451" s="67" t="n"/>
      <c r="J451" s="67" t="n"/>
      <c r="K451" s="67" t="n"/>
      <c r="L451" s="67" t="n"/>
      <c r="M451" s="67" t="n"/>
      <c r="N451" s="67" t="n"/>
      <c r="O451" s="67" t="n"/>
      <c r="P451" s="67" t="n"/>
      <c r="Q451" s="67" t="n"/>
      <c r="R451" s="67" t="n"/>
      <c r="S451" s="67" t="n"/>
      <c r="T451" s="67" t="n"/>
      <c r="U451" s="67" t="n"/>
      <c r="V451" s="67" t="n"/>
      <c r="W451" s="67" t="n"/>
      <c r="X451" s="67" t="n"/>
      <c r="Y451" s="67" t="n"/>
      <c r="Z451" s="67" t="n"/>
      <c r="AA451" s="67" t="n"/>
      <c r="AB451" s="67" t="n"/>
    </row>
    <row r="452" ht="15.75" customHeight="1" s="305">
      <c r="A452" s="225" t="inlineStr">
        <is>
          <t>HEADER_SUCCESS_RECEIVE</t>
        </is>
      </c>
      <c r="B452" s="67" t="inlineStr">
        <is>
          <t>SL nhận thành công</t>
        </is>
      </c>
      <c r="C452" s="67" t="inlineStr">
        <is>
          <t>Successfully received quantity</t>
        </is>
      </c>
      <c r="D452" s="3">
        <f>IFERROR(__xludf.DUMMYFUNCTION("GOOGLETRANSLATE(B452,""vi"",""km"")"),"SL ទទួលបានជោគជ័យ")</f>
        <v/>
      </c>
      <c r="E452" s="3" t="inlineStr">
        <is>
          <t>ចំនួនទទួលបានជោគជ័យ</t>
        </is>
      </c>
      <c r="F452" s="3" t="inlineStr">
        <is>
          <t>SL ទទួលបានជោគជ័យ</t>
        </is>
      </c>
      <c r="G452" s="3" t="n"/>
      <c r="H452" t="inlineStr">
        <is>
          <t>SL ទទួលបានជោគជ័យ</t>
        </is>
      </c>
      <c r="I452" s="67" t="n"/>
      <c r="J452" s="67" t="n"/>
      <c r="K452" s="67" t="n"/>
      <c r="L452" s="67" t="n"/>
      <c r="M452" s="67" t="n"/>
      <c r="N452" s="67" t="n"/>
      <c r="O452" s="67" t="n"/>
      <c r="P452" s="67" t="n"/>
      <c r="Q452" s="67" t="n"/>
      <c r="R452" s="67" t="n"/>
      <c r="S452" s="67" t="n"/>
      <c r="T452" s="67" t="n"/>
      <c r="U452" s="67" t="n"/>
      <c r="V452" s="67" t="n"/>
      <c r="W452" s="67" t="n"/>
      <c r="X452" s="67" t="n"/>
      <c r="Y452" s="67" t="n"/>
      <c r="Z452" s="67" t="n"/>
      <c r="AA452" s="67" t="n"/>
      <c r="AB452" s="67" t="n"/>
    </row>
    <row r="453" ht="15.75" customHeight="1" s="305">
      <c r="A453" s="225" t="inlineStr">
        <is>
          <t>HEADER_KPI_DELIVERY</t>
        </is>
      </c>
      <c r="B453" s="67" t="inlineStr">
        <is>
          <t>BÁO CÁO KPI PHÁT</t>
        </is>
      </c>
      <c r="C453" s="67" t="inlineStr">
        <is>
          <t>DELIVERY KPI REPORT</t>
        </is>
      </c>
      <c r="D453" s="3">
        <f>IFERROR(__xludf.DUMMYFUNCTION("GOOGLETRANSLATE(B453,""vi"",""km"")"),"របាយការណ៍ KPI")</f>
        <v/>
      </c>
      <c r="E453" s="3" t="n"/>
      <c r="F453" s="3" t="inlineStr">
        <is>
          <t>របាយការណ៍ KPI</t>
        </is>
      </c>
      <c r="G453" s="3" t="n"/>
      <c r="H453" t="inlineStr">
        <is>
          <t>របាយការណ៍ KPI</t>
        </is>
      </c>
      <c r="I453" s="67" t="n"/>
      <c r="J453" s="67" t="n"/>
      <c r="K453" s="67" t="n"/>
      <c r="L453" s="67" t="n"/>
      <c r="M453" s="67" t="n"/>
      <c r="N453" s="67" t="n"/>
      <c r="O453" s="67" t="n"/>
      <c r="P453" s="67" t="n"/>
      <c r="Q453" s="67" t="n"/>
      <c r="R453" s="67" t="n"/>
      <c r="S453" s="67" t="n"/>
      <c r="T453" s="67" t="n"/>
      <c r="U453" s="67" t="n"/>
      <c r="V453" s="67" t="n"/>
      <c r="W453" s="67" t="n"/>
      <c r="X453" s="67" t="n"/>
      <c r="Y453" s="67" t="n"/>
      <c r="Z453" s="67" t="n"/>
      <c r="AA453" s="67" t="n"/>
      <c r="AB453" s="67" t="n"/>
    </row>
    <row r="454" ht="15.75" customHeight="1" s="305">
      <c r="A454" s="225" t="inlineStr">
        <is>
          <t>HEADER_KPI_DELIVERY_TOTAL_ORDER</t>
        </is>
      </c>
      <c r="B454" s="67" t="inlineStr">
        <is>
          <t>TỔNG ĐƠN PHẢI PHÁT</t>
        </is>
      </c>
      <c r="C454" s="67" t="inlineStr">
        <is>
          <t>TOTAL ORDERS FOR DELIVERY</t>
        </is>
      </c>
      <c r="D454" s="3">
        <f>IFERROR(__xludf.DUMMYFUNCTION("GOOGLETRANSLATE(B454,""vi"",""km"")"),"ចំនួនទឹកប្រាក់សរុបដែលត្រូវចេញ")</f>
        <v/>
      </c>
      <c r="E454" s="3" t="n"/>
      <c r="F454" s="3" t="inlineStr">
        <is>
          <t>ចំនួនទឹកប្រាក់សរុបដែលត្រូវចេញ</t>
        </is>
      </c>
      <c r="G454" s="3" t="n"/>
      <c r="H454" t="inlineStr">
        <is>
          <t>ចំនួនទឹកប្រាក់សរុបដែលត្រូវចេញ</t>
        </is>
      </c>
      <c r="I454" s="67" t="n"/>
      <c r="J454" s="67" t="n"/>
      <c r="K454" s="67" t="n"/>
      <c r="L454" s="67" t="n"/>
      <c r="M454" s="67" t="n"/>
      <c r="N454" s="67" t="n"/>
      <c r="O454" s="67" t="n"/>
      <c r="P454" s="67" t="n"/>
      <c r="Q454" s="67" t="n"/>
      <c r="R454" s="67" t="n"/>
      <c r="S454" s="67" t="n"/>
      <c r="T454" s="67" t="n"/>
      <c r="U454" s="67" t="n"/>
      <c r="V454" s="67" t="n"/>
      <c r="W454" s="67" t="n"/>
      <c r="X454" s="67" t="n"/>
      <c r="Y454" s="67" t="n"/>
      <c r="Z454" s="67" t="n"/>
      <c r="AA454" s="67" t="n"/>
      <c r="AB454" s="67" t="n"/>
    </row>
    <row r="455" ht="15.75" customHeight="1" s="305">
      <c r="A455" s="225" t="inlineStr">
        <is>
          <t>HEADER_KPI_DELIVERY_TOTAL_SUCCESS_ORDER</t>
        </is>
      </c>
      <c r="B455" s="67" t="inlineStr">
        <is>
          <t>TỔNG ĐƠN PHÁT TC</t>
        </is>
      </c>
      <c r="C455" s="67" t="inlineStr">
        <is>
          <t>Total SUCCESSFULLY DELIVERED ORDERS</t>
        </is>
      </c>
      <c r="D455" s="3">
        <f>IFERROR(__xludf.DUMMYFUNCTION("GOOGLETRANSLATE(B455,""vi"",""km"")"),"ការបញ្ជាទិញសរុប TC")</f>
        <v/>
      </c>
      <c r="E455" s="3" t="n"/>
      <c r="F455" s="3" t="inlineStr">
        <is>
          <t>ការបញ្ជាទិញសរុប TC</t>
        </is>
      </c>
      <c r="G455" s="3" t="n"/>
      <c r="H455" t="inlineStr">
        <is>
          <t>ការបញ្ជាទិញសរុប TC</t>
        </is>
      </c>
      <c r="I455" s="67" t="n"/>
      <c r="J455" s="67" t="n"/>
      <c r="K455" s="67" t="n"/>
      <c r="L455" s="67" t="n"/>
      <c r="M455" s="67" t="n"/>
      <c r="N455" s="67" t="n"/>
      <c r="O455" s="67" t="n"/>
      <c r="P455" s="67" t="n"/>
      <c r="Q455" s="67" t="n"/>
      <c r="R455" s="67" t="n"/>
      <c r="S455" s="67" t="n"/>
      <c r="T455" s="67" t="n"/>
      <c r="U455" s="67" t="n"/>
      <c r="V455" s="67" t="n"/>
      <c r="W455" s="67" t="n"/>
      <c r="X455" s="67" t="n"/>
      <c r="Y455" s="67" t="n"/>
      <c r="Z455" s="67" t="n"/>
      <c r="AA455" s="67" t="n"/>
      <c r="AB455" s="67" t="n"/>
    </row>
    <row r="456" ht="15.75" customHeight="1" s="305">
      <c r="A456" s="225" t="inlineStr">
        <is>
          <t>HEADER_KPI_DELIVERY_SUCCESS_RATE</t>
        </is>
      </c>
      <c r="B456" s="67" t="inlineStr">
        <is>
          <t>TỶ LỆ PHÁT TC</t>
        </is>
      </c>
      <c r="C456" s="67" t="inlineStr">
        <is>
          <t>SUCCESSFUL DELIVERY RATE</t>
        </is>
      </c>
      <c r="D456" s="3">
        <f>IFERROR(__xludf.DUMMYFUNCTION("GOOGLETRANSLATE(B456,""vi"",""km"")"),"អត្រាចែកចាយ TC")</f>
        <v/>
      </c>
      <c r="E456" s="3" t="n"/>
      <c r="F456" s="3" t="inlineStr">
        <is>
          <t>អត្រាចែកចាយ TC</t>
        </is>
      </c>
      <c r="G456" s="3" t="n"/>
      <c r="H456" t="inlineStr">
        <is>
          <t>អត្រាចែកចាយ TC</t>
        </is>
      </c>
      <c r="I456" s="67" t="n"/>
      <c r="J456" s="67" t="n"/>
      <c r="K456" s="67" t="n"/>
      <c r="L456" s="67" t="n"/>
      <c r="M456" s="67" t="n"/>
      <c r="N456" s="67" t="n"/>
      <c r="O456" s="67" t="n"/>
      <c r="P456" s="67" t="n"/>
      <c r="Q456" s="67" t="n"/>
      <c r="R456" s="67" t="n"/>
      <c r="S456" s="67" t="n"/>
      <c r="T456" s="67" t="n"/>
      <c r="U456" s="67" t="n"/>
      <c r="V456" s="67" t="n"/>
      <c r="W456" s="67" t="n"/>
      <c r="X456" s="67" t="n"/>
      <c r="Y456" s="67" t="n"/>
      <c r="Z456" s="67" t="n"/>
      <c r="AA456" s="67" t="n"/>
      <c r="AB456" s="67" t="n"/>
    </row>
    <row r="457" ht="15.75" customHeight="1" s="305">
      <c r="A457" s="225" t="inlineStr">
        <is>
          <t>HEADER_KPI_DELIVERY_TIME_SUCCESS</t>
        </is>
      </c>
      <c r="B457" s="67" t="inlineStr">
        <is>
          <t>THỜI GIAN PHÁT THÀNH CÔNG</t>
        </is>
      </c>
      <c r="C457" s="67" t="inlineStr">
        <is>
          <t>SUCCESSFUL DELIVERY TIME</t>
        </is>
      </c>
      <c r="D457" s="3">
        <f>IFERROR(__xludf.DUMMYFUNCTION("GOOGLETRANSLATE(B457,""vi"",""km"")"),"ពេលវេលាផ្សាយជោគជ័យ")</f>
        <v/>
      </c>
      <c r="E457" s="3" t="inlineStr">
        <is>
          <t>ពេលវេលាដាក់ចេញបានជោគជ័យ</t>
        </is>
      </c>
      <c r="F457" s="3" t="inlineStr">
        <is>
          <t>ពេលវេលាផ្សាយជោគជ័យ</t>
        </is>
      </c>
      <c r="G457" s="3" t="n"/>
      <c r="H457" t="inlineStr">
        <is>
          <t>ពេលវេលាផ្សាយជោគជ័យ</t>
        </is>
      </c>
      <c r="I457" s="67" t="n"/>
      <c r="J457" s="67" t="n"/>
      <c r="K457" s="67" t="n"/>
      <c r="L457" s="67" t="n"/>
      <c r="M457" s="67" t="n"/>
      <c r="N457" s="67" t="n"/>
      <c r="O457" s="67" t="n"/>
      <c r="P457" s="67" t="n"/>
      <c r="Q457" s="67" t="n"/>
      <c r="R457" s="67" t="n"/>
      <c r="S457" s="67" t="n"/>
      <c r="T457" s="67" t="n"/>
      <c r="U457" s="67" t="n"/>
      <c r="V457" s="67" t="n"/>
      <c r="W457" s="67" t="n"/>
      <c r="X457" s="67" t="n"/>
      <c r="Y457" s="67" t="n"/>
      <c r="Z457" s="67" t="n"/>
      <c r="AA457" s="67" t="n"/>
      <c r="AB457" s="67" t="n"/>
    </row>
    <row r="458" ht="15.75" customHeight="1" s="305">
      <c r="A458" s="225" t="inlineStr">
        <is>
          <t>HEADER_KPI_DELIVERY_POSTMAN</t>
        </is>
      </c>
      <c r="B458" s="67" t="inlineStr">
        <is>
          <t>BƯU TÁ PHÁT</t>
        </is>
      </c>
      <c r="C458" s="67" t="inlineStr">
        <is>
          <t>DELIVERY POSTMAN</t>
        </is>
      </c>
      <c r="D458" s="3">
        <f>IFERROR(__xludf.DUMMYFUNCTION("GOOGLETRANSLATE(B458,""vi"",""km"")"),"ក្រោយការដឹកជញ្ជូន")</f>
        <v/>
      </c>
      <c r="E458" s="3" t="n"/>
      <c r="F458" s="3" t="inlineStr">
        <is>
          <t>ក្រោយការដឹកជញ្ជូន</t>
        </is>
      </c>
      <c r="G458" s="3" t="n"/>
      <c r="H458" t="inlineStr">
        <is>
          <t>ក្រោយការដឹកជញ្ជូន</t>
        </is>
      </c>
      <c r="I458" s="67" t="n"/>
      <c r="J458" s="67" t="n"/>
      <c r="K458" s="67" t="n"/>
      <c r="L458" s="67" t="n"/>
      <c r="M458" s="67" t="n"/>
      <c r="N458" s="67" t="n"/>
      <c r="O458" s="67" t="n"/>
      <c r="P458" s="67" t="n"/>
      <c r="Q458" s="67" t="n"/>
      <c r="R458" s="67" t="n"/>
      <c r="S458" s="67" t="n"/>
      <c r="T458" s="67" t="n"/>
      <c r="U458" s="67" t="n"/>
      <c r="V458" s="67" t="n"/>
      <c r="W458" s="67" t="n"/>
      <c r="X458" s="67" t="n"/>
      <c r="Y458" s="67" t="n"/>
      <c r="Z458" s="67" t="n"/>
      <c r="AA458" s="67" t="n"/>
      <c r="AB458" s="67" t="n"/>
    </row>
    <row r="459" ht="15.75" customHeight="1" s="305">
      <c r="A459" s="225" t="inlineStr">
        <is>
          <t>SERVICE_CCK</t>
        </is>
      </c>
      <c r="B459" s="67" t="inlineStr">
        <is>
          <t>Vận tải nguyên chuyến</t>
        </is>
      </c>
      <c r="C459" s="67" t="inlineStr">
        <is>
          <t>Full truckload shipping</t>
        </is>
      </c>
      <c r="D459" s="3">
        <f>IFERROR(__xludf.DUMMYFUNCTION("GOOGLETRANSLATE(B459,""vi"",""km"")"),"ការដឹកជញ្ជូនទំនិញពេញឡានដឹកទំនិញ")</f>
        <v/>
      </c>
      <c r="E459" s="3" t="n"/>
      <c r="F459" s="3" t="inlineStr">
        <is>
          <t>ការដឹកជញ្ជូនទំនិញពេញឡានដឹកទំនិញ</t>
        </is>
      </c>
      <c r="G459" s="3" t="n"/>
      <c r="H459" t="inlineStr">
        <is>
          <t>ការដឹកជញ្ជូនទំនិញពេញឡានដឹកទំនិញ</t>
        </is>
      </c>
      <c r="I459" s="67" t="n"/>
      <c r="J459" s="67" t="n"/>
      <c r="K459" s="67" t="n"/>
      <c r="L459" s="67" t="n"/>
      <c r="M459" s="67" t="n"/>
      <c r="N459" s="67" t="n"/>
      <c r="O459" s="67" t="n"/>
      <c r="P459" s="67" t="n"/>
      <c r="Q459" s="67" t="n"/>
      <c r="R459" s="67" t="n"/>
      <c r="S459" s="67" t="n"/>
      <c r="T459" s="67" t="n"/>
      <c r="U459" s="67" t="n"/>
      <c r="V459" s="67" t="n"/>
      <c r="W459" s="67" t="n"/>
      <c r="X459" s="67" t="n"/>
      <c r="Y459" s="67" t="n"/>
      <c r="Z459" s="67" t="n"/>
      <c r="AA459" s="67" t="n"/>
      <c r="AB459" s="67" t="n"/>
    </row>
    <row r="460" ht="15.75" customHeight="1" s="305">
      <c r="A460" s="225" t="inlineStr">
        <is>
          <t>SERVICE_CCN</t>
        </is>
      </c>
      <c r="B460" s="67" t="inlineStr">
        <is>
          <t>Dịch vụ chuyển phát nhanh</t>
        </is>
      </c>
      <c r="C460" s="67" t="inlineStr">
        <is>
          <t>Express delivery service</t>
        </is>
      </c>
      <c r="D460" s="3">
        <f>IFERROR(__xludf.DUMMYFUNCTION("GOOGLETRANSLATE(B460,""vi"",""km"")"),"សេវាកម្មដឹកជញ្ជូនរហ័ស")</f>
        <v/>
      </c>
      <c r="E460" s="3" t="inlineStr">
        <is>
          <t>សេវាកម្មបញ្ញើអីវ៉ាន់លឿន</t>
        </is>
      </c>
      <c r="F460" s="3" t="inlineStr">
        <is>
          <t>សេវាកម្មដឹកជញ្ជូនរហ័ស</t>
        </is>
      </c>
      <c r="G460" s="3" t="n"/>
      <c r="H460" t="inlineStr">
        <is>
          <t>សេវាកម្មដឹកជញ្ជូនរហ័ស</t>
        </is>
      </c>
      <c r="I460" s="67" t="n"/>
      <c r="J460" s="67" t="n"/>
      <c r="K460" s="67" t="n"/>
      <c r="L460" s="67" t="n"/>
      <c r="M460" s="67" t="n"/>
      <c r="N460" s="67" t="n"/>
      <c r="O460" s="67" t="n"/>
      <c r="P460" s="67" t="n"/>
      <c r="Q460" s="67" t="n"/>
      <c r="R460" s="67" t="n"/>
      <c r="S460" s="67" t="n"/>
      <c r="T460" s="67" t="n"/>
      <c r="U460" s="67" t="n"/>
      <c r="V460" s="67" t="n"/>
      <c r="W460" s="67" t="n"/>
      <c r="X460" s="67" t="n"/>
      <c r="Y460" s="67" t="n"/>
      <c r="Z460" s="67" t="n"/>
      <c r="AA460" s="67" t="n"/>
      <c r="AB460" s="67" t="n"/>
    </row>
    <row r="461" ht="15.75" customHeight="1" s="305">
      <c r="A461" s="225" t="inlineStr">
        <is>
          <t>SERVICE_CHT</t>
        </is>
      </c>
      <c r="B461" s="67" t="inlineStr">
        <is>
          <t>Dịch vụ chuyển phát hoả tốc</t>
        </is>
      </c>
      <c r="C461" s="67" t="inlineStr">
        <is>
          <t>Urgent delivery service</t>
        </is>
      </c>
      <c r="D461" s="3">
        <f>IFERROR(__xludf.DUMMYFUNCTION("GOOGLETRANSLATE(B461,""vi"",""km"")"),"សេវាកម្មដឹកជញ្ជូនរហ័ស")</f>
        <v/>
      </c>
      <c r="E461" s="3" t="inlineStr">
        <is>
          <t>សេវាកម្មបញ្ញើអីវ៉ាន់រហ័ស</t>
        </is>
      </c>
      <c r="F461" s="3" t="inlineStr">
        <is>
          <t>សេវាកម្មដឹកជញ្ជូនរហ័ស</t>
        </is>
      </c>
      <c r="G461" s="3" t="n"/>
      <c r="H461" t="inlineStr">
        <is>
          <t>សេវាកម្មដឹកជញ្ជូនរហ័ស</t>
        </is>
      </c>
      <c r="I461" s="67" t="n"/>
      <c r="J461" s="67" t="n"/>
      <c r="K461" s="67" t="n"/>
      <c r="L461" s="67" t="n"/>
      <c r="M461" s="67" t="n"/>
      <c r="N461" s="67" t="n"/>
      <c r="O461" s="67" t="n"/>
      <c r="P461" s="67" t="n"/>
      <c r="Q461" s="67" t="n"/>
      <c r="R461" s="67" t="n"/>
      <c r="S461" s="67" t="n"/>
      <c r="T461" s="67" t="n"/>
      <c r="U461" s="67" t="n"/>
      <c r="V461" s="67" t="n"/>
      <c r="W461" s="67" t="n"/>
      <c r="X461" s="67" t="n"/>
      <c r="Y461" s="67" t="n"/>
      <c r="Z461" s="67" t="n"/>
      <c r="AA461" s="67" t="n"/>
      <c r="AB461" s="67" t="n"/>
    </row>
    <row r="462" ht="15.75" customHeight="1" s="305">
      <c r="A462" s="225" t="inlineStr">
        <is>
          <t>SERVICE_CLK</t>
        </is>
      </c>
      <c r="B462" s="67" t="inlineStr">
        <is>
          <t>Dịch vụ lưu kho</t>
        </is>
      </c>
      <c r="C462" s="67" t="inlineStr">
        <is>
          <t>Warehousing services</t>
        </is>
      </c>
      <c r="D462" s="3">
        <f>IFERROR(__xludf.DUMMYFUNCTION("GOOGLETRANSLATE(B462,""vi"",""km"")"),"សេវាកម្មឃ្លាំង")</f>
        <v/>
      </c>
      <c r="E462" s="3" t="inlineStr">
        <is>
          <t>សេវាកម្មរក្សាទុកឃ្លាំងអីវ៉ាន់</t>
        </is>
      </c>
      <c r="F462" s="3" t="inlineStr">
        <is>
          <t>សេវាកម្មឃ្លាំង</t>
        </is>
      </c>
      <c r="G462" s="3" t="n"/>
      <c r="H462" t="inlineStr">
        <is>
          <t>សេវាកម្មឃ្លាំង</t>
        </is>
      </c>
      <c r="I462" s="67" t="n"/>
      <c r="J462" s="67" t="n"/>
      <c r="K462" s="67" t="n"/>
      <c r="L462" s="67" t="n"/>
      <c r="M462" s="67" t="n"/>
      <c r="N462" s="67" t="n"/>
      <c r="O462" s="67" t="n"/>
      <c r="P462" s="67" t="n"/>
      <c r="Q462" s="67" t="n"/>
      <c r="R462" s="67" t="n"/>
      <c r="S462" s="67" t="n"/>
      <c r="T462" s="67" t="n"/>
      <c r="U462" s="67" t="n"/>
      <c r="V462" s="67" t="n"/>
      <c r="W462" s="67" t="n"/>
      <c r="X462" s="67" t="n"/>
      <c r="Y462" s="67" t="n"/>
      <c r="Z462" s="67" t="n"/>
      <c r="AA462" s="67" t="n"/>
      <c r="AB462" s="67" t="n"/>
    </row>
    <row r="463" ht="15.75" customHeight="1" s="305">
      <c r="A463" s="225" t="inlineStr">
        <is>
          <t>SERVICE_CNT</t>
        </is>
      </c>
      <c r="B463" s="67" t="inlineStr">
        <is>
          <t>Dịch vụ nội tỉnh</t>
        </is>
      </c>
      <c r="C463" s="67" t="inlineStr">
        <is>
          <t>Intra-provincial services</t>
        </is>
      </c>
      <c r="D463" s="3">
        <f>IFERROR(__xludf.DUMMYFUNCTION("GOOGLETRANSLATE(B463,""vi"",""km"")"),"សេវាកម្មក្នុងខេត្ត")</f>
        <v/>
      </c>
      <c r="E463" s="3" t="inlineStr">
        <is>
          <t>សេវាកម្មក្នុងខេត្ត</t>
        </is>
      </c>
      <c r="F463" s="3" t="inlineStr">
        <is>
          <t>សេវាកម្មក្នុងខេត្ត</t>
        </is>
      </c>
      <c r="G463" s="3" t="n"/>
      <c r="H463" t="inlineStr">
        <is>
          <t>សេវាកម្មក្នុងខេត្ត</t>
        </is>
      </c>
      <c r="I463" s="67" t="n"/>
      <c r="J463" s="67" t="n"/>
      <c r="K463" s="67" t="n"/>
      <c r="L463" s="67" t="n"/>
      <c r="M463" s="67" t="n"/>
      <c r="N463" s="67" t="n"/>
      <c r="O463" s="67" t="n"/>
      <c r="P463" s="67" t="n"/>
      <c r="Q463" s="67" t="n"/>
      <c r="R463" s="67" t="n"/>
      <c r="S463" s="67" t="n"/>
      <c r="T463" s="67" t="n"/>
      <c r="U463" s="67" t="n"/>
      <c r="V463" s="67" t="n"/>
      <c r="W463" s="67" t="n"/>
      <c r="X463" s="67" t="n"/>
      <c r="Y463" s="67" t="n"/>
      <c r="Z463" s="67" t="n"/>
      <c r="AA463" s="67" t="n"/>
      <c r="AB463" s="67" t="n"/>
    </row>
    <row r="464" ht="15.75" customHeight="1" s="305">
      <c r="A464" s="225" t="inlineStr">
        <is>
          <t>SERVICE_COD</t>
        </is>
      </c>
      <c r="B464" s="67" t="inlineStr">
        <is>
          <t>Thu tiền COD</t>
        </is>
      </c>
      <c r="C464" s="67" t="inlineStr">
        <is>
          <t>COD collection</t>
        </is>
      </c>
      <c r="D464" s="3">
        <f>IFERROR(__xludf.DUMMYFUNCTION("GOOGLETRANSLATE(B464,""vi"",""km"")"),"បង់ប្រាក់ពេលទទួលទំនិញ (COD)")</f>
        <v/>
      </c>
      <c r="E464" s="3" t="inlineStr">
        <is>
          <t>ប្រមូលប្រាក់ COD</t>
        </is>
      </c>
      <c r="F464" s="3" t="inlineStr">
        <is>
          <t>បង់ប្រាក់ពេលទទួលទំនិញ (COD)</t>
        </is>
      </c>
      <c r="G464" s="3" t="n"/>
      <c r="H464" t="inlineStr">
        <is>
          <t>បង់ប្រាក់ពេលទទួលទំនិញ (COD)</t>
        </is>
      </c>
      <c r="I464" s="67" t="n"/>
      <c r="J464" s="67" t="n"/>
      <c r="K464" s="67" t="n"/>
      <c r="L464" s="67" t="n"/>
      <c r="M464" s="67" t="n"/>
      <c r="N464" s="67" t="n"/>
      <c r="O464" s="67" t="n"/>
      <c r="P464" s="67" t="n"/>
      <c r="Q464" s="67" t="n"/>
      <c r="R464" s="67" t="n"/>
      <c r="S464" s="67" t="n"/>
      <c r="T464" s="67" t="n"/>
      <c r="U464" s="67" t="n"/>
      <c r="V464" s="67" t="n"/>
      <c r="W464" s="67" t="n"/>
      <c r="X464" s="67" t="n"/>
      <c r="Y464" s="67" t="n"/>
      <c r="Z464" s="67" t="n"/>
      <c r="AA464" s="67" t="n"/>
      <c r="AB464" s="67" t="n"/>
    </row>
    <row r="465" ht="15.75" customHeight="1" s="305">
      <c r="A465" s="225" t="inlineStr">
        <is>
          <t>SERVICE_CTT</t>
        </is>
      </c>
      <c r="B465" s="67" t="inlineStr">
        <is>
          <t>Dịch vụ chuyển phát liên tỉnh</t>
        </is>
      </c>
      <c r="C465" s="67" t="inlineStr">
        <is>
          <t>Interprovincial delivery service</t>
        </is>
      </c>
      <c r="D465" s="3">
        <f>IFERROR(__xludf.DUMMYFUNCTION("GOOGLETRANSLATE(B465,""vi"",""km"")"),"សេវាកម្មដឹកជញ្ជូនអន្តរខេត្តក្រុង")</f>
        <v/>
      </c>
      <c r="E465" s="3" t="n"/>
      <c r="F465" s="3" t="inlineStr">
        <is>
          <t>សេវាកម្មដឹកជញ្ជូនអន្តរខេត្តក្រុង</t>
        </is>
      </c>
      <c r="G465" s="3" t="n"/>
      <c r="H465" t="inlineStr">
        <is>
          <t>សេវាកម្មដឹកជញ្ជូនអន្តរខេត្តក្រុង</t>
        </is>
      </c>
      <c r="I465" s="67" t="n"/>
      <c r="J465" s="67" t="n"/>
      <c r="K465" s="67" t="n"/>
      <c r="L465" s="67" t="n"/>
      <c r="M465" s="67" t="n"/>
      <c r="N465" s="67" t="n"/>
      <c r="O465" s="67" t="n"/>
      <c r="P465" s="67" t="n"/>
      <c r="Q465" s="67" t="n"/>
      <c r="R465" s="67" t="n"/>
      <c r="S465" s="67" t="n"/>
      <c r="T465" s="67" t="n"/>
      <c r="U465" s="67" t="n"/>
      <c r="V465" s="67" t="n"/>
      <c r="W465" s="67" t="n"/>
      <c r="X465" s="67" t="n"/>
      <c r="Y465" s="67" t="n"/>
      <c r="Z465" s="67" t="n"/>
      <c r="AA465" s="67" t="n"/>
      <c r="AB465" s="67" t="n"/>
    </row>
    <row r="466" ht="15.75" customHeight="1" s="305">
      <c r="A466" s="225" t="inlineStr">
        <is>
          <t>SERVICE_CVH</t>
        </is>
      </c>
      <c r="B466" s="67" t="inlineStr">
        <is>
          <t>Dịch vụ vận hành kho</t>
        </is>
      </c>
      <c r="C466" s="67" t="inlineStr">
        <is>
          <t>Warehouse operation services</t>
        </is>
      </c>
      <c r="D466" s="3">
        <f>IFERROR(__xludf.DUMMYFUNCTION("GOOGLETRANSLATE(B466,""vi"",""km"")"),"សេវាកម្មប្រតិបត្តិការឃ្លាំង")</f>
        <v/>
      </c>
      <c r="E466" s="3" t="n"/>
      <c r="F466" s="3" t="inlineStr">
        <is>
          <t>សេវាកម្មប្រតិបត្តិការឃ្លាំង</t>
        </is>
      </c>
      <c r="G466" s="3" t="n"/>
      <c r="H466" t="inlineStr">
        <is>
          <t>សេវាកម្មប្រតិបត្តិការឃ្លាំង</t>
        </is>
      </c>
      <c r="I466" s="67" t="n"/>
      <c r="J466" s="67" t="n"/>
      <c r="K466" s="67" t="n"/>
      <c r="L466" s="67" t="n"/>
      <c r="M466" s="67" t="n"/>
      <c r="N466" s="67" t="n"/>
      <c r="O466" s="67" t="n"/>
      <c r="P466" s="67" t="n"/>
      <c r="Q466" s="67" t="n"/>
      <c r="R466" s="67" t="n"/>
      <c r="S466" s="67" t="n"/>
      <c r="T466" s="67" t="n"/>
      <c r="U466" s="67" t="n"/>
      <c r="V466" s="67" t="n"/>
      <c r="W466" s="67" t="n"/>
      <c r="X466" s="67" t="n"/>
      <c r="Y466" s="67" t="n"/>
      <c r="Z466" s="67" t="n"/>
      <c r="AA466" s="67" t="n"/>
      <c r="AB466" s="67" t="n"/>
    </row>
    <row r="467" ht="15.75" customHeight="1" s="305">
      <c r="A467" s="225" t="inlineStr">
        <is>
          <t>SERVICE_CVT</t>
        </is>
      </c>
      <c r="B467" s="67" t="inlineStr">
        <is>
          <t>Dịch vụ vận tải</t>
        </is>
      </c>
      <c r="C467" s="67" t="inlineStr">
        <is>
          <t>Transportation Services</t>
        </is>
      </c>
      <c r="D467" s="3">
        <f>IFERROR(__xludf.DUMMYFUNCTION("GOOGLETRANSLATE(B467,""vi"",""km"")"),"សេវាកម្មដឹកជញ្ជូន")</f>
        <v/>
      </c>
      <c r="E467" s="3" t="inlineStr">
        <is>
          <t>សេវាកម្មដឹកជញ្ជូន</t>
        </is>
      </c>
      <c r="F467" s="3" t="inlineStr">
        <is>
          <t>សេវាកម្មដឹកជញ្ជូន</t>
        </is>
      </c>
      <c r="G467" s="3" t="n"/>
      <c r="H467" t="inlineStr">
        <is>
          <t>សេវាកម្មដឹកជញ្ជូន</t>
        </is>
      </c>
      <c r="I467" s="67" t="n"/>
      <c r="J467" s="67" t="n"/>
      <c r="K467" s="67" t="n"/>
      <c r="L467" s="67" t="n"/>
      <c r="M467" s="67" t="n"/>
      <c r="N467" s="67" t="n"/>
      <c r="O467" s="67" t="n"/>
      <c r="P467" s="67" t="n"/>
      <c r="Q467" s="67" t="n"/>
      <c r="R467" s="67" t="n"/>
      <c r="S467" s="67" t="n"/>
      <c r="T467" s="67" t="n"/>
      <c r="U467" s="67" t="n"/>
      <c r="V467" s="67" t="n"/>
      <c r="W467" s="67" t="n"/>
      <c r="X467" s="67" t="n"/>
      <c r="Y467" s="67" t="n"/>
      <c r="Z467" s="67" t="n"/>
      <c r="AA467" s="67" t="n"/>
      <c r="AB467" s="67" t="n"/>
    </row>
    <row r="468" ht="15.75" customHeight="1" s="305">
      <c r="A468" s="225" t="inlineStr">
        <is>
          <t>SERVICE_FMCG</t>
        </is>
      </c>
      <c r="B468" s="67" t="inlineStr">
        <is>
          <t>Dịch vụ thương mại</t>
        </is>
      </c>
      <c r="C468" s="67" t="inlineStr">
        <is>
          <t>Commercial Services</t>
        </is>
      </c>
      <c r="D468" s="3">
        <f>IFERROR(__xludf.DUMMYFUNCTION("GOOGLETRANSLATE(B468,""vi"",""km"")"),"សេវាកម្មពាណិជ្ជកម្ម")</f>
        <v/>
      </c>
      <c r="E468" s="3" t="inlineStr">
        <is>
          <t>សេវាកម្មពាណិជ្ជកម្ម</t>
        </is>
      </c>
      <c r="F468" s="3" t="inlineStr">
        <is>
          <t>សេវាកម្មពាណិជ្ជកម្ម</t>
        </is>
      </c>
      <c r="G468" s="3" t="n"/>
      <c r="H468" t="inlineStr">
        <is>
          <t>សេវាកម្មពាណិជ្ជកម្ម</t>
        </is>
      </c>
      <c r="I468" s="67" t="n"/>
      <c r="J468" s="67" t="n"/>
      <c r="K468" s="67" t="n"/>
      <c r="L468" s="67" t="n"/>
      <c r="M468" s="67" t="n"/>
      <c r="N468" s="67" t="n"/>
      <c r="O468" s="67" t="n"/>
      <c r="P468" s="67" t="n"/>
      <c r="Q468" s="67" t="n"/>
      <c r="R468" s="67" t="n"/>
      <c r="S468" s="67" t="n"/>
      <c r="T468" s="67" t="n"/>
      <c r="U468" s="67" t="n"/>
      <c r="V468" s="67" t="n"/>
      <c r="W468" s="67" t="n"/>
      <c r="X468" s="67" t="n"/>
      <c r="Y468" s="67" t="n"/>
      <c r="Z468" s="67" t="n"/>
      <c r="AA468" s="67" t="n"/>
      <c r="AB468" s="67" t="n"/>
    </row>
    <row r="469" ht="15.75" customHeight="1" s="305">
      <c r="A469" s="225" t="inlineStr">
        <is>
          <t>SERVICE_GBH</t>
        </is>
      </c>
      <c r="B469" s="67" t="inlineStr">
        <is>
          <t>Bảo hiểm hàng hóa</t>
        </is>
      </c>
      <c r="C469" s="67" t="inlineStr">
        <is>
          <t>Cargo insurance</t>
        </is>
      </c>
      <c r="D469" s="3">
        <f>IFERROR(__xludf.DUMMYFUNCTION("GOOGLETRANSLATE(B469,""vi"",""km"")"),"ការធានារ៉ាប់រងទំនិញ")</f>
        <v/>
      </c>
      <c r="E469" s="3" t="inlineStr">
        <is>
          <t>ធានារ៉ាប់រងអីវ៉ាន់</t>
        </is>
      </c>
      <c r="F469" s="3" t="inlineStr">
        <is>
          <t>ការធានារ៉ាប់រងទំនិញ</t>
        </is>
      </c>
      <c r="G469" s="3" t="n"/>
      <c r="H469" t="inlineStr">
        <is>
          <t>ការធានារ៉ាប់រងទំនិញ</t>
        </is>
      </c>
      <c r="I469" s="67" t="n"/>
      <c r="J469" s="67" t="n"/>
      <c r="K469" s="67" t="n"/>
      <c r="L469" s="67" t="n"/>
      <c r="M469" s="67" t="n"/>
      <c r="N469" s="67" t="n"/>
      <c r="O469" s="67" t="n"/>
      <c r="P469" s="67" t="n"/>
      <c r="Q469" s="67" t="n"/>
      <c r="R469" s="67" t="n"/>
      <c r="S469" s="67" t="n"/>
      <c r="T469" s="67" t="n"/>
      <c r="U469" s="67" t="n"/>
      <c r="V469" s="67" t="n"/>
      <c r="W469" s="67" t="n"/>
      <c r="X469" s="67" t="n"/>
      <c r="Y469" s="67" t="n"/>
      <c r="Z469" s="67" t="n"/>
      <c r="AA469" s="67" t="n"/>
      <c r="AB469" s="67" t="n"/>
    </row>
    <row r="470" ht="15.75" customHeight="1" s="305">
      <c r="A470" s="225" t="inlineStr">
        <is>
          <t>SERVICE_GBP</t>
        </is>
      </c>
      <c r="B470" s="67" t="inlineStr">
        <is>
          <t>Báo phát</t>
        </is>
      </c>
      <c r="C470" s="67" t="inlineStr">
        <is>
          <t>Announcement</t>
        </is>
      </c>
      <c r="D470" s="3">
        <f>IFERROR(__xludf.DUMMYFUNCTION("GOOGLETRANSLATE(B470,""vi"",""km"")"),"ការផ្សាយតាមកាសែត")</f>
        <v/>
      </c>
      <c r="E470" s="3" t="n"/>
      <c r="F470" s="3" t="inlineStr">
        <is>
          <t>ការផ្សាយតាមកាសែត</t>
        </is>
      </c>
      <c r="G470" s="3" t="n"/>
      <c r="H470" t="inlineStr">
        <is>
          <t>ការផ្សាយតាមកាសែត</t>
        </is>
      </c>
      <c r="I470" s="67" t="n"/>
      <c r="J470" s="67" t="n"/>
      <c r="K470" s="67" t="n"/>
      <c r="L470" s="67" t="n"/>
      <c r="M470" s="67" t="n"/>
      <c r="N470" s="67" t="n"/>
      <c r="O470" s="67" t="n"/>
      <c r="P470" s="67" t="n"/>
      <c r="Q470" s="67" t="n"/>
      <c r="R470" s="67" t="n"/>
      <c r="S470" s="67" t="n"/>
      <c r="T470" s="67" t="n"/>
      <c r="U470" s="67" t="n"/>
      <c r="V470" s="67" t="n"/>
      <c r="W470" s="67" t="n"/>
      <c r="X470" s="67" t="n"/>
      <c r="Y470" s="67" t="n"/>
      <c r="Z470" s="67" t="n"/>
      <c r="AA470" s="67" t="n"/>
      <c r="AB470" s="67" t="n"/>
    </row>
    <row r="471" ht="15.75" customHeight="1" s="305">
      <c r="A471" s="225" t="inlineStr">
        <is>
          <t>SERVICE_GCH</t>
        </is>
      </c>
      <c r="B471" s="67" t="inlineStr">
        <is>
          <t>Chuyển hoàn</t>
        </is>
      </c>
      <c r="C471" s="67" t="inlineStr">
        <is>
          <t>Return</t>
        </is>
      </c>
      <c r="D471" s="3">
        <f>IFERROR(__xludf.DUMMYFUNCTION("GOOGLETRANSLATE(B471,""vi"",""km"")"),"ត្រឡប់មកវិញ")</f>
        <v/>
      </c>
      <c r="E471" s="3" t="inlineStr">
        <is>
          <t>វិលត្រលប់មកវិញ</t>
        </is>
      </c>
      <c r="F471" s="3" t="inlineStr">
        <is>
          <t>ត្រឡប់មកវិញ</t>
        </is>
      </c>
      <c r="G471" s="3" t="n"/>
      <c r="H471" t="inlineStr">
        <is>
          <t>ត្រឡប់មកវិញ</t>
        </is>
      </c>
      <c r="I471" s="67" t="n"/>
      <c r="J471" s="67" t="n"/>
      <c r="K471" s="67" t="n"/>
      <c r="L471" s="67" t="n"/>
      <c r="M471" s="67" t="n"/>
      <c r="N471" s="67" t="n"/>
      <c r="O471" s="67" t="n"/>
      <c r="P471" s="67" t="n"/>
      <c r="Q471" s="67" t="n"/>
      <c r="R471" s="67" t="n"/>
      <c r="S471" s="67" t="n"/>
      <c r="T471" s="67" t="n"/>
      <c r="U471" s="67" t="n"/>
      <c r="V471" s="67" t="n"/>
      <c r="W471" s="67" t="n"/>
      <c r="X471" s="67" t="n"/>
      <c r="Y471" s="67" t="n"/>
      <c r="Z471" s="67" t="n"/>
      <c r="AA471" s="67" t="n"/>
      <c r="AB471" s="67" t="n"/>
    </row>
    <row r="472" ht="15.75" customHeight="1" s="305">
      <c r="A472" s="225" t="inlineStr">
        <is>
          <t>SERVICE_GDK</t>
        </is>
      </c>
      <c r="B472" s="67" t="inlineStr">
        <is>
          <t>Đồng kiểm</t>
        </is>
      </c>
      <c r="C472" s="67" t="inlineStr">
        <is>
          <t>Cross-check</t>
        </is>
      </c>
      <c r="D472" s="3">
        <f>IFERROR(__xludf.DUMMYFUNCTION("GOOGLETRANSLATE(B472,""vi"",""km"")"),"ការត្រួតពិនិត្យរួមគ្នា")</f>
        <v/>
      </c>
      <c r="E472" s="3" t="inlineStr">
        <is>
          <t>ត្រួតពិនិត្យ</t>
        </is>
      </c>
      <c r="F472" s="3" t="inlineStr">
        <is>
          <t>ការត្រួតពិនិត្យរួមគ្នា</t>
        </is>
      </c>
      <c r="G472" s="3" t="n"/>
      <c r="H472" t="inlineStr">
        <is>
          <t>ការត្រួតពិនិត្យរួមគ្នា</t>
        </is>
      </c>
      <c r="I472" s="67" t="n"/>
      <c r="J472" s="67" t="n"/>
      <c r="K472" s="67" t="n"/>
      <c r="L472" s="67" t="n"/>
      <c r="M472" s="67" t="n"/>
      <c r="N472" s="67" t="n"/>
      <c r="O472" s="67" t="n"/>
      <c r="P472" s="67" t="n"/>
      <c r="Q472" s="67" t="n"/>
      <c r="R472" s="67" t="n"/>
      <c r="S472" s="67" t="n"/>
      <c r="T472" s="67" t="n"/>
      <c r="U472" s="67" t="n"/>
      <c r="V472" s="67" t="n"/>
      <c r="W472" s="67" t="n"/>
      <c r="X472" s="67" t="n"/>
      <c r="Y472" s="67" t="n"/>
      <c r="Z472" s="67" t="n"/>
      <c r="AA472" s="67" t="n"/>
      <c r="AB472" s="67" t="n"/>
    </row>
    <row r="473" ht="15.75" customHeight="1" s="305">
      <c r="A473" s="225" t="inlineStr">
        <is>
          <t>SERVICE_GTH</t>
        </is>
      </c>
      <c r="B473" s="67" t="inlineStr">
        <is>
          <t>Phụ phí tuyến huyện</t>
        </is>
      </c>
      <c r="C473" s="67" t="inlineStr">
        <is>
          <t>District route surcharge</t>
        </is>
      </c>
      <c r="D473" s="3">
        <f>IFERROR(__xludf.DUMMYFUNCTION("GOOGLETRANSLATE(B473,""vi"",""km"")"),"ការគិតថ្លៃបន្ថែមសម្រាប់ផ្លូវស្រុក")</f>
        <v/>
      </c>
      <c r="E473" s="3" t="n"/>
      <c r="F473" s="3" t="inlineStr">
        <is>
          <t>ការគិតថ្លៃបន្ថែមសម្រាប់ផ្លូវស្រុក</t>
        </is>
      </c>
      <c r="G473" s="3" t="n"/>
      <c r="H473" t="inlineStr">
        <is>
          <t>ការគិតថ្លៃបន្ថែមសម្រាប់ផ្លូវស្រុក</t>
        </is>
      </c>
      <c r="I473" s="67" t="n"/>
      <c r="J473" s="67" t="n"/>
      <c r="K473" s="67" t="n"/>
      <c r="L473" s="67" t="n"/>
      <c r="M473" s="67" t="n"/>
      <c r="N473" s="67" t="n"/>
      <c r="O473" s="67" t="n"/>
      <c r="P473" s="67" t="n"/>
      <c r="Q473" s="67" t="n"/>
      <c r="R473" s="67" t="n"/>
      <c r="S473" s="67" t="n"/>
      <c r="T473" s="67" t="n"/>
      <c r="U473" s="67" t="n"/>
      <c r="V473" s="67" t="n"/>
      <c r="W473" s="67" t="n"/>
      <c r="X473" s="67" t="n"/>
      <c r="Y473" s="67" t="n"/>
      <c r="Z473" s="67" t="n"/>
      <c r="AA473" s="67" t="n"/>
      <c r="AB473" s="67" t="n"/>
    </row>
    <row r="474" ht="15.75" customHeight="1" s="305">
      <c r="A474" s="225" t="inlineStr">
        <is>
          <t>SERVICE_GTN</t>
        </is>
      </c>
      <c r="B474" s="67" t="inlineStr">
        <is>
          <t>Giao hàng tại địa chỉ</t>
        </is>
      </c>
      <c r="C474" s="67" t="inlineStr">
        <is>
          <t>Door-to-Door Delivery</t>
        </is>
      </c>
      <c r="D474" s="3">
        <f>IFERROR(__xludf.DUMMYFUNCTION("GOOGLETRANSLATE(B474,""vi"",""km"")"),"ដឹកជញ្ជូនដល់អាសយដ្ឋាន")</f>
        <v/>
      </c>
      <c r="E474" s="3" t="inlineStr">
        <is>
          <t>ដឹកជញ្ជូននៅកន្លែង</t>
        </is>
      </c>
      <c r="F474" s="3" t="inlineStr">
        <is>
          <t>ដឹកជញ្ជូនដល់អាសយដ្ឋាន</t>
        </is>
      </c>
      <c r="G474" s="3" t="n"/>
      <c r="H474" t="inlineStr">
        <is>
          <t>ដឹកជញ្ជូនដល់អាសយដ្ឋាន</t>
        </is>
      </c>
      <c r="I474" s="67" t="n"/>
      <c r="J474" s="67" t="n"/>
      <c r="K474" s="67" t="n"/>
      <c r="L474" s="67" t="n"/>
      <c r="M474" s="67" t="n"/>
      <c r="N474" s="67" t="n"/>
      <c r="O474" s="67" t="n"/>
      <c r="P474" s="67" t="n"/>
      <c r="Q474" s="67" t="n"/>
      <c r="R474" s="67" t="n"/>
      <c r="S474" s="67" t="n"/>
      <c r="T474" s="67" t="n"/>
      <c r="U474" s="67" t="n"/>
      <c r="V474" s="67" t="n"/>
      <c r="W474" s="67" t="n"/>
      <c r="X474" s="67" t="n"/>
      <c r="Y474" s="67" t="n"/>
      <c r="Z474" s="67" t="n"/>
      <c r="AA474" s="67" t="n"/>
      <c r="AB474" s="67" t="n"/>
    </row>
    <row r="475" ht="15.75" customHeight="1" s="305">
      <c r="A475" s="225" t="inlineStr">
        <is>
          <t>SERVICE_GTT</t>
        </is>
      </c>
      <c r="B475" s="67" t="inlineStr">
        <is>
          <t>Phát tận tay</t>
        </is>
      </c>
      <c r="C475" s="67" t="inlineStr">
        <is>
          <t>Hand delivery</t>
        </is>
      </c>
      <c r="D475" s="3">
        <f>IFERROR(__xludf.DUMMYFUNCTION("GOOGLETRANSLATE(B475,""vi"",""km"")"),"ប្រគល់ជូនអ្នកទទួលដោយផ្ទាល់។")</f>
        <v/>
      </c>
      <c r="E475" s="159" t="inlineStr">
        <is>
          <t>ដឹកជញ្ជូនដោយផ្ទាល់ទៅអ្នកទទួល</t>
        </is>
      </c>
      <c r="F475" s="3" t="inlineStr">
        <is>
          <t>ប្រគល់ជូនអ្នកទទួលដោយផ្ទាល់។</t>
        </is>
      </c>
      <c r="G475" s="3" t="n"/>
      <c r="H475" t="inlineStr">
        <is>
          <t>ប្រគល់ជូនអ្នកទទួលដោយផ្ទាល់។</t>
        </is>
      </c>
      <c r="I475" s="67" t="n"/>
      <c r="J475" s="67" t="n"/>
      <c r="K475" s="67" t="n"/>
      <c r="L475" s="67" t="n"/>
      <c r="M475" s="67" t="n"/>
      <c r="N475" s="67" t="n"/>
      <c r="O475" s="67" t="n"/>
      <c r="P475" s="67" t="n"/>
      <c r="Q475" s="67" t="n"/>
      <c r="R475" s="67" t="n"/>
      <c r="S475" s="67" t="n"/>
      <c r="T475" s="67" t="n"/>
      <c r="U475" s="67" t="n"/>
      <c r="V475" s="67" t="n"/>
      <c r="W475" s="67" t="n"/>
      <c r="X475" s="67" t="n"/>
      <c r="Y475" s="67" t="n"/>
      <c r="Z475" s="67" t="n"/>
      <c r="AA475" s="67" t="n"/>
      <c r="AB475" s="67" t="n"/>
    </row>
    <row r="476" ht="15.75" customHeight="1" s="305">
      <c r="A476" s="225" t="inlineStr">
        <is>
          <t>SERVICE_GNBC</t>
        </is>
      </c>
      <c r="B476" s="67" t="inlineStr">
        <is>
          <t>Giao nhận tại bưu cục</t>
        </is>
      </c>
      <c r="C476" s="67" t="inlineStr">
        <is>
          <t>Giao nhận tại bưu cục</t>
        </is>
      </c>
      <c r="D476" s="3">
        <f>IFERROR(__xludf.DUMMYFUNCTION("GOOGLETRANSLATE(B476,""vi"",""km"")"),"ការដឹកជញ្ជូននៅការិយាល័យប្រៃសណីយ៍")</f>
        <v/>
      </c>
      <c r="E476" s="3" t="inlineStr">
        <is>
          <t>ប្រគល់អីវ៉ាន់នៅការិយាល័យប្រៃសណីយ៍</t>
        </is>
      </c>
      <c r="F476" s="3" t="inlineStr">
        <is>
          <t>ការដឹកជញ្ជូននៅការិយាល័យប្រៃសណីយ៍</t>
        </is>
      </c>
      <c r="G476" s="3" t="n"/>
      <c r="H476" t="inlineStr">
        <is>
          <t>ការដឹកជញ្ជូននៅការិយាល័យប្រៃសណីយ៍</t>
        </is>
      </c>
      <c r="I476" s="67" t="n"/>
      <c r="J476" s="67" t="n"/>
      <c r="K476" s="67" t="n"/>
      <c r="L476" s="67" t="n"/>
      <c r="M476" s="67" t="n"/>
      <c r="N476" s="67" t="n"/>
      <c r="O476" s="67" t="n"/>
      <c r="P476" s="67" t="n"/>
      <c r="Q476" s="67" t="n"/>
      <c r="R476" s="67" t="n"/>
      <c r="S476" s="67" t="n"/>
      <c r="T476" s="67" t="n"/>
      <c r="U476" s="67" t="n"/>
      <c r="V476" s="67" t="n"/>
      <c r="W476" s="67" t="n"/>
      <c r="X476" s="67" t="n"/>
      <c r="Y476" s="67" t="n"/>
      <c r="Z476" s="67" t="n"/>
      <c r="AA476" s="67" t="n"/>
      <c r="AB476" s="67" t="n"/>
    </row>
    <row r="477" ht="15.75" customHeight="1" s="305">
      <c r="A477" s="225" t="inlineStr">
        <is>
          <t>SERVICE_NTN</t>
        </is>
      </c>
      <c r="B477" s="67" t="inlineStr">
        <is>
          <t>Nhận hàng tại địa chỉ</t>
        </is>
      </c>
      <c r="C477" s="67" t="inlineStr">
        <is>
          <t>Pickup at Address</t>
        </is>
      </c>
      <c r="D477" s="3">
        <f>IFERROR(__xludf.DUMMYFUNCTION("GOOGLETRANSLATE(B477,""vi"",""km"")"),"ទទួលនៅអាសយដ្ឋាននេះ")</f>
        <v/>
      </c>
      <c r="E477" s="3" t="inlineStr">
        <is>
          <t>ទទួលអីវ៉ាន់នៅទីតាំង</t>
        </is>
      </c>
      <c r="F477" s="3" t="inlineStr">
        <is>
          <t>ទទួលនៅអាសយដ្ឋាននេះ</t>
        </is>
      </c>
      <c r="G477" s="3" t="n"/>
      <c r="H477" t="inlineStr">
        <is>
          <t>ទទួលនៅអាសយដ្ឋាននេះ</t>
        </is>
      </c>
      <c r="I477" s="67" t="n"/>
      <c r="J477" s="67" t="n"/>
      <c r="K477" s="67" t="n"/>
      <c r="L477" s="67" t="n"/>
      <c r="M477" s="67" t="n"/>
      <c r="N477" s="67" t="n"/>
      <c r="O477" s="67" t="n"/>
      <c r="P477" s="67" t="n"/>
      <c r="Q477" s="67" t="n"/>
      <c r="R477" s="67" t="n"/>
      <c r="S477" s="67" t="n"/>
      <c r="T477" s="67" t="n"/>
      <c r="U477" s="67" t="n"/>
      <c r="V477" s="67" t="n"/>
      <c r="W477" s="67" t="n"/>
      <c r="X477" s="67" t="n"/>
      <c r="Y477" s="67" t="n"/>
      <c r="Z477" s="67" t="n"/>
      <c r="AA477" s="67" t="n"/>
      <c r="AB477" s="67" t="n"/>
    </row>
    <row r="478" ht="15.75" customHeight="1" s="305">
      <c r="A478" s="225" t="inlineStr">
        <is>
          <t>SERVICE_SCOD</t>
        </is>
      </c>
      <c r="B478" s="67" t="inlineStr">
        <is>
          <t>Dịch vụ giao hàng thu tiền</t>
        </is>
      </c>
      <c r="C478" s="67" t="inlineStr">
        <is>
          <t>COD service</t>
        </is>
      </c>
      <c r="D478" s="3">
        <f>IFERROR(__xludf.DUMMYFUNCTION("GOOGLETRANSLATE(B478,""vi"",""km"")"),"សេវាកម្មបង់ប្រាក់ពេលទទួលទំនិញ")</f>
        <v/>
      </c>
      <c r="E478" s="3" t="inlineStr">
        <is>
          <t>សេវាកម្មប្រគល់អីវ៉ាន់ ទទួលប្រាក់</t>
        </is>
      </c>
      <c r="F478" s="3" t="inlineStr">
        <is>
          <t>សេវាកម្មបង់ប្រាក់ពេលទទួលទំនិញ</t>
        </is>
      </c>
      <c r="G478" s="3" t="n"/>
      <c r="H478" t="inlineStr">
        <is>
          <t>សេវាកម្មបង់ប្រាក់ពេលទទួលទំនិញ</t>
        </is>
      </c>
      <c r="I478" s="67" t="n"/>
      <c r="J478" s="67" t="n"/>
      <c r="K478" s="67" t="n"/>
      <c r="L478" s="67" t="n"/>
      <c r="M478" s="67" t="n"/>
      <c r="N478" s="67" t="n"/>
      <c r="O478" s="67" t="n"/>
      <c r="P478" s="67" t="n"/>
      <c r="Q478" s="67" t="n"/>
      <c r="R478" s="67" t="n"/>
      <c r="S478" s="67" t="n"/>
      <c r="T478" s="67" t="n"/>
      <c r="U478" s="67" t="n"/>
      <c r="V478" s="67" t="n"/>
      <c r="W478" s="67" t="n"/>
      <c r="X478" s="67" t="n"/>
      <c r="Y478" s="67" t="n"/>
      <c r="Z478" s="67" t="n"/>
      <c r="AA478" s="67" t="n"/>
      <c r="AB478" s="67" t="n"/>
    </row>
    <row r="479" ht="15.75" customHeight="1" s="305">
      <c r="A479" s="225" t="inlineStr">
        <is>
          <t>SERVICE_VBH</t>
        </is>
      </c>
      <c r="B479" s="67" t="inlineStr">
        <is>
          <t>Khai giá bảo hiểm</t>
        </is>
      </c>
      <c r="C479" s="67" t="inlineStr">
        <is>
          <t>Insurance Value Declaration</t>
        </is>
      </c>
      <c r="D479" s="3">
        <f>IFERROR(__xludf.DUMMYFUNCTION("GOOGLETRANSLATE(B479,""vi"",""km"")"),"សេចក្តីប្រកាសតម្លៃធានារ៉ាប់រង")</f>
        <v/>
      </c>
      <c r="E479" s="3" t="inlineStr">
        <is>
          <t>ប្រកាសពីតម្លៃធានារ៉ាប់រង</t>
        </is>
      </c>
      <c r="F479" s="3" t="inlineStr">
        <is>
          <t>សេចក្តីប្រកាសតម្លៃធានារ៉ាប់រង</t>
        </is>
      </c>
      <c r="G479" s="3" t="n"/>
      <c r="H479" t="inlineStr">
        <is>
          <t>សេចក្តីប្រកាសតម្លៃធានារ៉ាប់រង</t>
        </is>
      </c>
      <c r="I479" s="67" t="n"/>
      <c r="J479" s="67" t="n"/>
      <c r="K479" s="67" t="n"/>
      <c r="L479" s="67" t="n"/>
      <c r="M479" s="67" t="n"/>
      <c r="N479" s="67" t="n"/>
      <c r="O479" s="67" t="n"/>
      <c r="P479" s="67" t="n"/>
      <c r="Q479" s="67" t="n"/>
      <c r="R479" s="67" t="n"/>
      <c r="S479" s="67" t="n"/>
      <c r="T479" s="67" t="n"/>
      <c r="U479" s="67" t="n"/>
      <c r="V479" s="67" t="n"/>
      <c r="W479" s="67" t="n"/>
      <c r="X479" s="67" t="n"/>
      <c r="Y479" s="67" t="n"/>
      <c r="Z479" s="67" t="n"/>
      <c r="AA479" s="67" t="n"/>
      <c r="AB479" s="67" t="n"/>
    </row>
    <row r="480" ht="15.75" customHeight="1" s="305">
      <c r="A480" s="225" t="inlineStr">
        <is>
          <t>SERVICE_VCT</t>
        </is>
      </c>
      <c r="B480" s="67" t="inlineStr">
        <is>
          <t>Chuyển tiếp địa chỉ</t>
        </is>
      </c>
      <c r="C480" s="67" t="inlineStr">
        <is>
          <t>Forwarding Address</t>
        </is>
      </c>
      <c r="D480" s="3">
        <f>IFERROR(__xludf.DUMMYFUNCTION("GOOGLETRANSLATE(B480,""vi"",""km"")"),"ការបញ្ជូនបន្តអាសយដ្ឋាន")</f>
        <v/>
      </c>
      <c r="E480" s="3" t="inlineStr">
        <is>
          <t>ការបញ្ជូនបន្តអាសយដ្ឋាន</t>
        </is>
      </c>
      <c r="F480" s="3" t="inlineStr">
        <is>
          <t>ការបញ្ជូនបន្តអាសយដ្ឋាន</t>
        </is>
      </c>
      <c r="G480" s="3" t="n"/>
      <c r="H480" t="inlineStr">
        <is>
          <t>ការបញ្ជូនបន្តអាសយដ្ឋាន</t>
        </is>
      </c>
      <c r="I480" s="67" t="n"/>
      <c r="J480" s="67" t="n"/>
      <c r="K480" s="67" t="n"/>
      <c r="L480" s="67" t="n"/>
      <c r="M480" s="67" t="n"/>
      <c r="N480" s="67" t="n"/>
      <c r="O480" s="67" t="n"/>
      <c r="P480" s="67" t="n"/>
      <c r="Q480" s="67" t="n"/>
      <c r="R480" s="67" t="n"/>
      <c r="S480" s="67" t="n"/>
      <c r="T480" s="67" t="n"/>
      <c r="U480" s="67" t="n"/>
      <c r="V480" s="67" t="n"/>
      <c r="W480" s="67" t="n"/>
      <c r="X480" s="67" t="n"/>
      <c r="Y480" s="67" t="n"/>
      <c r="Z480" s="67" t="n"/>
      <c r="AA480" s="67" t="n"/>
      <c r="AB480" s="67" t="n"/>
    </row>
    <row r="481" ht="15.75" customHeight="1" s="305">
      <c r="A481" s="225" t="inlineStr">
        <is>
          <t>SERVICE_VNM</t>
        </is>
      </c>
      <c r="B481" s="67" t="inlineStr">
        <is>
          <t>Normal - Intra City</t>
        </is>
      </c>
      <c r="C481" s="67" t="inlineStr">
        <is>
          <t>Normal - Intra City</t>
        </is>
      </c>
      <c r="D481" s="3">
        <f>IFERROR(__xludf.DUMMYFUNCTION("GOOGLETRANSLATE(B481,""vi"",""km"")"),"ធម្មតា - ក្នុងក្រុង")</f>
        <v/>
      </c>
      <c r="E481" s="3" t="inlineStr">
        <is>
          <t>ធម្មតា - ក្នុងក្រុង</t>
        </is>
      </c>
      <c r="F481" s="3" t="inlineStr">
        <is>
          <t>ធម្មតា - ក្នុងក្រុង</t>
        </is>
      </c>
      <c r="G481" s="3" t="n"/>
      <c r="H481" t="inlineStr">
        <is>
          <t>ធម្មតា - ក្នុងក្រុង</t>
        </is>
      </c>
      <c r="I481" s="67" t="n"/>
      <c r="J481" s="67" t="n"/>
      <c r="K481" s="67" t="n"/>
      <c r="L481" s="67" t="n"/>
      <c r="M481" s="67" t="n"/>
      <c r="N481" s="67" t="n"/>
      <c r="O481" s="67" t="n"/>
      <c r="P481" s="67" t="n"/>
      <c r="Q481" s="67" t="n"/>
      <c r="R481" s="67" t="n"/>
      <c r="S481" s="67" t="n"/>
      <c r="T481" s="67" t="n"/>
      <c r="U481" s="67" t="n"/>
      <c r="V481" s="67" t="n"/>
      <c r="W481" s="67" t="n"/>
      <c r="X481" s="67" t="n"/>
      <c r="Y481" s="67" t="n"/>
      <c r="Z481" s="67" t="n"/>
      <c r="AA481" s="67" t="n"/>
      <c r="AB481" s="67" t="n"/>
    </row>
    <row r="482" ht="15.75" customHeight="1" s="305">
      <c r="A482" s="225" t="inlineStr">
        <is>
          <t>SERVICE_ECO</t>
        </is>
      </c>
      <c r="B482" s="67" t="inlineStr">
        <is>
          <t>Dịch vụ chuyển phát tiết kiệm</t>
        </is>
      </c>
      <c r="C482" s="67" t="inlineStr">
        <is>
          <t>Economy Delivery Service</t>
        </is>
      </c>
      <c r="D482" s="3">
        <f>IFERROR(__xludf.DUMMYFUNCTION("GOOGLETRANSLATE(B482,""vi"",""km"")"),"សេវាកម្មដឹកជញ្ជូនសន្សំសំចៃ")</f>
        <v/>
      </c>
      <c r="E482" s="3" t="inlineStr">
        <is>
          <t>សេវាដឹកជញ្ជូនសន្សំសំចៃ</t>
        </is>
      </c>
      <c r="F482" s="3" t="inlineStr">
        <is>
          <t>សេវាកម្មដឹកជញ្ជូនសន្សំសំចៃ</t>
        </is>
      </c>
      <c r="G482" s="3" t="n"/>
      <c r="H482" t="inlineStr">
        <is>
          <t>សេវាកម្មដឹកជញ្ជូនសន្សំសំចៃ</t>
        </is>
      </c>
      <c r="I482" s="67" t="n"/>
      <c r="J482" s="67" t="n"/>
      <c r="K482" s="67" t="n"/>
      <c r="L482" s="67" t="n"/>
      <c r="M482" s="67" t="n"/>
      <c r="N482" s="67" t="n"/>
      <c r="O482" s="67" t="n"/>
      <c r="P482" s="67" t="n"/>
      <c r="Q482" s="67" t="n"/>
      <c r="R482" s="67" t="n"/>
      <c r="S482" s="67" t="n"/>
      <c r="T482" s="67" t="n"/>
      <c r="U482" s="67" t="n"/>
      <c r="V482" s="67" t="n"/>
      <c r="W482" s="67" t="n"/>
      <c r="X482" s="67" t="n"/>
      <c r="Y482" s="67" t="n"/>
      <c r="Z482" s="67" t="n"/>
      <c r="AA482" s="67" t="n"/>
      <c r="AB482" s="67" t="n"/>
    </row>
    <row r="483" ht="15.75" customHeight="1" s="305">
      <c r="A483" s="225" t="inlineStr">
        <is>
          <t>SERVICE_LVE</t>
        </is>
      </c>
      <c r="B483" s="67" t="inlineStr">
        <is>
          <t>Dịch vụ chuyên tuyến Lào Việt</t>
        </is>
      </c>
      <c r="C483" s="3" t="n"/>
      <c r="D483" s="3">
        <f>IFERROR(__xludf.DUMMYFUNCTION("GOOGLETRANSLATE(B483,""vi"",""km"")"),"សេវាកម្មផ្លូវហោះហើរពិសេសឡាវ-វៀតណាម")</f>
        <v/>
      </c>
      <c r="E483" s="159" t="inlineStr">
        <is>
          <t>សេវាកម្មពិសេសឡាវ-វៀតណាម</t>
        </is>
      </c>
      <c r="F483" s="3" t="inlineStr">
        <is>
          <t>សេវាកម្មផ្លូវហោះហើរពិសេសឡាវ-វៀតណាម</t>
        </is>
      </c>
      <c r="G483" s="3" t="n"/>
      <c r="H483" t="inlineStr">
        <is>
          <t>សេវាកម្មផ្លូវហោះហើរពិសេសឡាវ-វៀតណាម</t>
        </is>
      </c>
      <c r="I483" s="67" t="n"/>
      <c r="J483" s="67" t="n"/>
      <c r="K483" s="67" t="n"/>
      <c r="L483" s="67" t="n"/>
      <c r="M483" s="67" t="n"/>
      <c r="N483" s="67" t="n"/>
      <c r="O483" s="67" t="n"/>
      <c r="P483" s="67" t="n"/>
      <c r="Q483" s="67" t="n"/>
      <c r="R483" s="67" t="n"/>
      <c r="S483" s="67" t="n"/>
      <c r="T483" s="67" t="n"/>
      <c r="U483" s="67" t="n"/>
      <c r="V483" s="67" t="n"/>
      <c r="W483" s="67" t="n"/>
      <c r="X483" s="67" t="n"/>
      <c r="Y483" s="67" t="n"/>
      <c r="Z483" s="67" t="n"/>
      <c r="AA483" s="67" t="n"/>
      <c r="AB483" s="67" t="n"/>
    </row>
    <row r="484" ht="15.75" customHeight="1" s="305">
      <c r="A484" s="225" t="inlineStr">
        <is>
          <t>SERVICE_LVEI</t>
        </is>
      </c>
      <c r="B484" s="67" t="inlineStr">
        <is>
          <t>Bảo hiểm quốc tế</t>
        </is>
      </c>
      <c r="C484" s="3" t="n"/>
      <c r="D484" s="3">
        <f>IFERROR(__xludf.DUMMYFUNCTION("GOOGLETRANSLATE(B484,""vi"",""km"")"),"ធានារ៉ាប់រងអន្តរជាតិ")</f>
        <v/>
      </c>
      <c r="E484" s="3" t="inlineStr">
        <is>
          <t>ធានារ៉ាប់រងអន្តរជាតិ</t>
        </is>
      </c>
      <c r="F484" s="3" t="inlineStr">
        <is>
          <t>ធានារ៉ាប់រងអន្តរជាតិ</t>
        </is>
      </c>
      <c r="G484" s="3" t="n"/>
      <c r="H484" t="inlineStr">
        <is>
          <t>ធានារ៉ាប់រងអន្តរជាតិ</t>
        </is>
      </c>
      <c r="I484" s="67" t="n"/>
      <c r="J484" s="67" t="n"/>
      <c r="K484" s="67" t="n"/>
      <c r="L484" s="67" t="n"/>
      <c r="M484" s="67" t="n"/>
      <c r="N484" s="67" t="n"/>
      <c r="O484" s="67" t="n"/>
      <c r="P484" s="67" t="n"/>
      <c r="Q484" s="67" t="n"/>
      <c r="R484" s="67" t="n"/>
      <c r="S484" s="67" t="n"/>
      <c r="T484" s="67" t="n"/>
      <c r="U484" s="67" t="n"/>
      <c r="V484" s="67" t="n"/>
      <c r="W484" s="67" t="n"/>
      <c r="X484" s="67" t="n"/>
      <c r="Y484" s="67" t="n"/>
      <c r="Z484" s="67" t="n"/>
      <c r="AA484" s="67" t="n"/>
      <c r="AB484" s="67" t="n"/>
    </row>
    <row r="485" ht="15.75" customHeight="1" s="305">
      <c r="A485" s="225" t="inlineStr">
        <is>
          <t>SERVICE_LVER</t>
        </is>
      </c>
      <c r="B485" s="67" t="inlineStr">
        <is>
          <t>Chuyển hoàn quốc tế</t>
        </is>
      </c>
      <c r="C485" s="3" t="n"/>
      <c r="D485" s="3">
        <f>IFERROR(__xludf.DUMMYFUNCTION("GOOGLETRANSLATE(B485,""vi"",""km"")"),"ការវិលត្រឡប់អន្តរជាតិ")</f>
        <v/>
      </c>
      <c r="E485" s="3" t="inlineStr">
        <is>
          <t>ការប្រគល់ទំនិញអន្តរជាតិ</t>
        </is>
      </c>
      <c r="F485" s="3" t="inlineStr">
        <is>
          <t>ការវិលត្រឡប់អន្តរជាតិ</t>
        </is>
      </c>
      <c r="G485" s="3" t="n"/>
      <c r="H485" t="inlineStr">
        <is>
          <t>ការវិលត្រឡប់អន្តរជាតិ</t>
        </is>
      </c>
      <c r="I485" s="67" t="n"/>
      <c r="J485" s="67" t="n"/>
      <c r="K485" s="67" t="n"/>
      <c r="L485" s="67" t="n"/>
      <c r="M485" s="67" t="n"/>
      <c r="N485" s="67" t="n"/>
      <c r="O485" s="67" t="n"/>
      <c r="P485" s="67" t="n"/>
      <c r="Q485" s="67" t="n"/>
      <c r="R485" s="67" t="n"/>
      <c r="S485" s="67" t="n"/>
      <c r="T485" s="67" t="n"/>
      <c r="U485" s="67" t="n"/>
      <c r="V485" s="67" t="n"/>
      <c r="W485" s="67" t="n"/>
      <c r="X485" s="67" t="n"/>
      <c r="Y485" s="67" t="n"/>
      <c r="Z485" s="67" t="n"/>
      <c r="AA485" s="67" t="n"/>
      <c r="AB485" s="67" t="n"/>
    </row>
    <row r="486" ht="15.75" customHeight="1" s="305">
      <c r="A486" s="225" t="inlineStr">
        <is>
          <t>SERVICE_XBG</t>
        </is>
      </c>
      <c r="B486" s="67" t="inlineStr">
        <is>
          <t>Vận tải xuyên biên giới</t>
        </is>
      </c>
      <c r="C486" s="67" t="inlineStr">
        <is>
          <t>Cross-Border Transportation</t>
        </is>
      </c>
      <c r="D486" s="3">
        <f>IFERROR(__xludf.DUMMYFUNCTION("GOOGLETRANSLATE(B486,""vi"",""km"")"),"ការដឹកជញ្ជូនឆ្លងកាត់ព្រំដែន")</f>
        <v/>
      </c>
      <c r="E486" s="3" t="inlineStr">
        <is>
          <t>ការដឹកជញ្ជូនឆ្លងដែន</t>
        </is>
      </c>
      <c r="F486" s="3" t="inlineStr">
        <is>
          <t>ការដឹកជញ្ជូនឆ្លងកាត់ព្រំដែន</t>
        </is>
      </c>
      <c r="G486" s="3" t="n"/>
      <c r="H486" t="inlineStr">
        <is>
          <t>ការដឹកជញ្ជូនឆ្លងកាត់ព្រំដែន</t>
        </is>
      </c>
      <c r="I486" s="67" t="n"/>
      <c r="J486" s="67" t="n"/>
      <c r="K486" s="67" t="n"/>
      <c r="L486" s="67" t="n"/>
      <c r="M486" s="67" t="n"/>
      <c r="N486" s="67" t="n"/>
      <c r="O486" s="67" t="n"/>
      <c r="P486" s="67" t="n"/>
      <c r="Q486" s="67" t="n"/>
      <c r="R486" s="67" t="n"/>
      <c r="S486" s="67" t="n"/>
      <c r="T486" s="67" t="n"/>
      <c r="U486" s="67" t="n"/>
      <c r="V486" s="67" t="n"/>
      <c r="W486" s="67" t="n"/>
      <c r="X486" s="67" t="n"/>
      <c r="Y486" s="67" t="n"/>
      <c r="Z486" s="67" t="n"/>
      <c r="AA486" s="67" t="n"/>
      <c r="AB486" s="67" t="n"/>
    </row>
    <row r="487" ht="15.75" customHeight="1" s="305">
      <c r="A487" s="225" t="inlineStr">
        <is>
          <t>SERVICE_FWD</t>
        </is>
      </c>
      <c r="B487" s="67" t="inlineStr">
        <is>
          <t>Forwarding Service</t>
        </is>
      </c>
      <c r="C487" s="67" t="inlineStr">
        <is>
          <t>Forwarding Service</t>
        </is>
      </c>
      <c r="D487" s="3">
        <f>IFERROR(__xludf.DUMMYFUNCTION("GOOGLETRANSLATE(B487,""vi"",""km"")"),"សេវាកម្មបញ្ជូនបន្ត")</f>
        <v/>
      </c>
      <c r="E487" s="3" t="n"/>
      <c r="F487" s="3" t="inlineStr">
        <is>
          <t>សេវាកម្មបញ្ជូនបន្ត</t>
        </is>
      </c>
      <c r="G487" s="3" t="n"/>
      <c r="H487" t="inlineStr">
        <is>
          <t>សេវាកម្មបញ្ជូនបន្ត</t>
        </is>
      </c>
      <c r="I487" s="67" t="n"/>
      <c r="J487" s="67" t="n"/>
      <c r="K487" s="67" t="n"/>
      <c r="L487" s="67" t="n"/>
      <c r="M487" s="67" t="n"/>
      <c r="N487" s="67" t="n"/>
      <c r="O487" s="67" t="n"/>
      <c r="P487" s="67" t="n"/>
      <c r="Q487" s="67" t="n"/>
      <c r="R487" s="67" t="n"/>
      <c r="S487" s="67" t="n"/>
      <c r="T487" s="67" t="n"/>
      <c r="U487" s="67" t="n"/>
      <c r="V487" s="67" t="n"/>
      <c r="W487" s="67" t="n"/>
      <c r="X487" s="67" t="n"/>
      <c r="Y487" s="67" t="n"/>
      <c r="Z487" s="67" t="n"/>
      <c r="AA487" s="67" t="n"/>
      <c r="AB487" s="67" t="n"/>
    </row>
    <row r="488" ht="15.75" customHeight="1" s="305">
      <c r="A488" s="28" t="inlineStr">
        <is>
          <t>express-receiving-service</t>
        </is>
      </c>
      <c r="B488" s="67" t="inlineStr">
        <is>
          <t>Đơn thường</t>
        </is>
      </c>
      <c r="C488" s="3" t="n"/>
      <c r="D488" s="3">
        <f>IFERROR(__xludf.DUMMYFUNCTION("GOOGLETRANSLATE(B488,""vi"",""km"")"),"ការបញ្ជាទិញធម្មតា")</f>
        <v/>
      </c>
      <c r="E488" s="3" t="inlineStr">
        <is>
          <t>បុងបញ្ញើធម្មតា</t>
        </is>
      </c>
      <c r="F488" s="3" t="inlineStr">
        <is>
          <t>ការបញ្ជាទិញធម្មតា</t>
        </is>
      </c>
      <c r="G488" s="3" t="n"/>
      <c r="H488" t="inlineStr">
        <is>
          <t>ការបញ្ជាទិញធម្មតា</t>
        </is>
      </c>
      <c r="I488" s="67" t="n"/>
      <c r="J488" s="67" t="n"/>
      <c r="K488" s="67" t="n"/>
      <c r="L488" s="67" t="n"/>
      <c r="M488" s="67" t="n"/>
      <c r="N488" s="67" t="n"/>
      <c r="O488" s="67" t="n"/>
      <c r="P488" s="67" t="n"/>
      <c r="Q488" s="67" t="n"/>
      <c r="R488" s="67" t="n"/>
      <c r="S488" s="67" t="n"/>
      <c r="T488" s="67" t="n"/>
      <c r="U488" s="67" t="n"/>
      <c r="V488" s="67" t="n"/>
      <c r="W488" s="67" t="n"/>
      <c r="X488" s="67" t="n"/>
      <c r="Y488" s="67" t="n"/>
      <c r="Z488" s="67" t="n"/>
      <c r="AA488" s="67" t="n"/>
      <c r="AB488" s="67" t="n"/>
    </row>
    <row r="489" ht="15.75" customHeight="1" s="305">
      <c r="A489" s="149" t="inlineStr">
        <is>
          <t>key</t>
        </is>
      </c>
      <c r="B489" s="193" t="inlineStr">
        <is>
          <t>vi</t>
        </is>
      </c>
      <c r="C489" s="193" t="inlineStr">
        <is>
          <t>en</t>
        </is>
      </c>
      <c r="D489" s="3">
        <f>IFERROR(__xludf.DUMMYFUNCTION("GOOGLETRANSLATE(B489,""vi"",""km"")"),"វី")</f>
        <v/>
      </c>
      <c r="E489" s="193" t="inlineStr">
        <is>
          <t>kh-Nita</t>
        </is>
      </c>
      <c r="F489" s="3" t="inlineStr">
        <is>
          <t>វី</t>
        </is>
      </c>
      <c r="G489" s="193" t="inlineStr">
        <is>
          <t>chinese</t>
        </is>
      </c>
      <c r="H489" t="inlineStr">
        <is>
          <t>វី</t>
        </is>
      </c>
      <c r="I489" s="67" t="n"/>
      <c r="J489" s="67" t="n"/>
      <c r="K489" s="67" t="n"/>
      <c r="L489" s="67" t="n"/>
      <c r="M489" s="67" t="n"/>
      <c r="N489" s="67" t="n"/>
      <c r="O489" s="67" t="n"/>
      <c r="P489" s="67" t="n"/>
      <c r="Q489" s="67" t="n"/>
      <c r="R489" s="67" t="n"/>
      <c r="S489" s="67" t="n"/>
      <c r="T489" s="67" t="n"/>
      <c r="U489" s="67" t="n"/>
      <c r="V489" s="67" t="n"/>
      <c r="W489" s="67" t="n"/>
      <c r="X489" s="67" t="n"/>
      <c r="Y489" s="67" t="n"/>
      <c r="Z489" s="67" t="n"/>
      <c r="AA489" s="67" t="n"/>
      <c r="AB489" s="67" t="n"/>
    </row>
    <row r="490" ht="15.75" customHeight="1" s="305">
      <c r="A490" s="225" t="inlineStr">
        <is>
          <t>DB_EXCEPTION</t>
        </is>
      </c>
      <c r="B490" s="67" t="inlineStr">
        <is>
          <t>LỖI_CƠ_SỞ_DỮ_LIỆU</t>
        </is>
      </c>
      <c r="C490" s="67" t="inlineStr">
        <is>
          <t>DB_EXCEPTION</t>
        </is>
      </c>
      <c r="D490" s="3">
        <f>IFERROR(__xludf.DUMMYFUNCTION("GOOGLETRANSLATE(B490,""vi"",""km"")"),"កំហុសមូលដ្ឋានទិន្នន័យ")</f>
        <v/>
      </c>
      <c r="E490" s="3" t="n"/>
      <c r="F490" s="3" t="inlineStr">
        <is>
          <t>កំហុសមូលដ្ឋានទិន្នន័យ</t>
        </is>
      </c>
      <c r="G490" s="3" t="n"/>
      <c r="H490" t="inlineStr">
        <is>
          <t>កំហុសមូលដ្ឋានទិន្នន័យ</t>
        </is>
      </c>
      <c r="I490" s="67" t="n"/>
      <c r="J490" s="67" t="n"/>
      <c r="K490" s="67" t="n"/>
      <c r="L490" s="67" t="n"/>
      <c r="M490" s="67" t="n"/>
      <c r="N490" s="67" t="n"/>
      <c r="O490" s="67" t="n"/>
      <c r="P490" s="67" t="n"/>
      <c r="Q490" s="67" t="n"/>
      <c r="R490" s="67" t="n"/>
      <c r="S490" s="67" t="n"/>
      <c r="T490" s="67" t="n"/>
      <c r="U490" s="67" t="n"/>
      <c r="V490" s="67" t="n"/>
      <c r="W490" s="67" t="n"/>
      <c r="X490" s="67" t="n"/>
      <c r="Y490" s="67" t="n"/>
      <c r="Z490" s="67" t="n"/>
      <c r="AA490" s="67" t="n"/>
      <c r="AB490" s="67" t="n"/>
    </row>
    <row r="491" ht="15.75" customHeight="1" s="305">
      <c r="A491" s="225" t="inlineStr">
        <is>
          <t>BAD_REQUEST</t>
        </is>
      </c>
      <c r="B491" s="67" t="inlineStr">
        <is>
          <t>LỖI_YÊU_CẦU</t>
        </is>
      </c>
      <c r="C491" s="67" t="inlineStr">
        <is>
          <t>BAD_REQUEST</t>
        </is>
      </c>
      <c r="D491" s="3">
        <f>IFERROR(__xludf.DUMMYFUNCTION("GOOGLETRANSLATE(B491,""vi"",""km"")"),"កំហុសសំណើ")</f>
        <v/>
      </c>
      <c r="E491" s="3" t="n"/>
      <c r="F491" s="3" t="inlineStr">
        <is>
          <t>កំហុសសំណើ</t>
        </is>
      </c>
      <c r="G491" s="3" t="n"/>
      <c r="H491" t="inlineStr">
        <is>
          <t>កំហុសសំណើ</t>
        </is>
      </c>
      <c r="I491" s="67" t="n"/>
      <c r="J491" s="67" t="n"/>
      <c r="K491" s="67" t="n"/>
      <c r="L491" s="67" t="n"/>
      <c r="M491" s="67" t="n"/>
      <c r="N491" s="67" t="n"/>
      <c r="O491" s="67" t="n"/>
      <c r="P491" s="67" t="n"/>
      <c r="Q491" s="67" t="n"/>
      <c r="R491" s="67" t="n"/>
      <c r="S491" s="67" t="n"/>
      <c r="T491" s="67" t="n"/>
      <c r="U491" s="67" t="n"/>
      <c r="V491" s="67" t="n"/>
      <c r="W491" s="67" t="n"/>
      <c r="X491" s="67" t="n"/>
      <c r="Y491" s="67" t="n"/>
      <c r="Z491" s="67" t="n"/>
      <c r="AA491" s="67" t="n"/>
      <c r="AB491" s="67" t="n"/>
    </row>
    <row r="492" ht="15.75" customHeight="1" s="305">
      <c r="A492" s="225" t="inlineStr">
        <is>
          <t>BAD_REQUEST_FMT</t>
        </is>
      </c>
      <c r="B492" s="67" t="inlineStr">
        <is>
          <t>LỖI_YÊU_CẦU</t>
        </is>
      </c>
      <c r="C492" s="67" t="inlineStr">
        <is>
          <t>BAD_REQUEST</t>
        </is>
      </c>
      <c r="D492" s="3">
        <f>IFERROR(__xludf.DUMMYFUNCTION("GOOGLETRANSLATE(B492,""vi"",""km"")"),"កំហុសសំណើ")</f>
        <v/>
      </c>
      <c r="E492" s="3" t="n"/>
      <c r="F492" s="3" t="inlineStr">
        <is>
          <t>កំហុសសំណើ</t>
        </is>
      </c>
      <c r="G492" s="3" t="n"/>
      <c r="H492" t="inlineStr">
        <is>
          <t>កំហុសសំណើ</t>
        </is>
      </c>
      <c r="I492" s="67" t="n"/>
      <c r="J492" s="67" t="n"/>
      <c r="K492" s="67" t="n"/>
      <c r="L492" s="67" t="n"/>
      <c r="M492" s="67" t="n"/>
      <c r="N492" s="67" t="n"/>
      <c r="O492" s="67" t="n"/>
      <c r="P492" s="67" t="n"/>
      <c r="Q492" s="67" t="n"/>
      <c r="R492" s="67" t="n"/>
      <c r="S492" s="67" t="n"/>
      <c r="T492" s="67" t="n"/>
      <c r="U492" s="67" t="n"/>
      <c r="V492" s="67" t="n"/>
      <c r="W492" s="67" t="n"/>
      <c r="X492" s="67" t="n"/>
      <c r="Y492" s="67" t="n"/>
      <c r="Z492" s="67" t="n"/>
      <c r="AA492" s="67" t="n"/>
      <c r="AB492" s="67" t="n"/>
    </row>
    <row r="493" ht="15.75" customHeight="1" s="305">
      <c r="A493" s="225" t="inlineStr">
        <is>
          <t>BAD_RESPONSE</t>
        </is>
      </c>
      <c r="B493" s="67" t="inlineStr">
        <is>
          <t>Không rõ cấu trúc phản hồi</t>
        </is>
      </c>
      <c r="C493" s="67" t="inlineStr">
        <is>
          <t>Unknown response schema</t>
        </is>
      </c>
      <c r="D493" s="3">
        <f>IFERROR(__xludf.DUMMYFUNCTION("GOOGLETRANSLATE(B493,""vi"",""km"")"),"រចនាសម្ព័ន្ធមតិប្រតិកម្មមិនច្បាស់លាស់។")</f>
        <v/>
      </c>
      <c r="E493" s="3" t="n"/>
      <c r="F493" s="3" t="inlineStr">
        <is>
          <t>រចនាសម្ព័ន្ធមតិប្រតិកម្មមិនច្បាស់លាស់។</t>
        </is>
      </c>
      <c r="G493" s="3" t="n"/>
      <c r="H493" t="inlineStr">
        <is>
          <t>រចនាសម្ព័ន្ធមតិប្រតិកម្មមិនច្បាស់លាស់។</t>
        </is>
      </c>
      <c r="I493" s="67" t="n"/>
      <c r="J493" s="67" t="n"/>
      <c r="K493" s="67" t="n"/>
      <c r="L493" s="67" t="n"/>
      <c r="M493" s="67" t="n"/>
      <c r="N493" s="67" t="n"/>
      <c r="O493" s="67" t="n"/>
      <c r="P493" s="67" t="n"/>
      <c r="Q493" s="67" t="n"/>
      <c r="R493" s="67" t="n"/>
      <c r="S493" s="67" t="n"/>
      <c r="T493" s="67" t="n"/>
      <c r="U493" s="67" t="n"/>
      <c r="V493" s="67" t="n"/>
      <c r="W493" s="67" t="n"/>
      <c r="X493" s="67" t="n"/>
      <c r="Y493" s="67" t="n"/>
      <c r="Z493" s="67" t="n"/>
      <c r="AA493" s="67" t="n"/>
      <c r="AB493" s="67" t="n"/>
    </row>
    <row r="494" ht="15.75" customHeight="1" s="305">
      <c r="A494" s="225" t="inlineStr">
        <is>
          <t>ENUM_NOT_SUPPORTED</t>
        </is>
      </c>
      <c r="B494" s="67" t="inlineStr">
        <is>
          <t>Giá trị enum không được hỗ trợ</t>
        </is>
      </c>
      <c r="C494" s="67" t="inlineStr">
        <is>
          <t>Not supported enum value</t>
        </is>
      </c>
      <c r="D494" s="3">
        <f>IFERROR(__xludf.DUMMYFUNCTION("GOOGLETRANSLATE(B494,""vi"",""km"")"),"តម្លៃ​បញ្ចូល​មិន​ត្រូវ​បាន​គាំទ្រ​ទេ។")</f>
        <v/>
      </c>
      <c r="E494" s="3" t="n"/>
      <c r="F494" s="3" t="inlineStr">
        <is>
          <t>តម្លៃបញ្ចូលមិនត្រូវបានគាំទ្រទេ។</t>
        </is>
      </c>
      <c r="G494" s="3" t="n"/>
      <c r="H494" t="inlineStr">
        <is>
          <t>តម្លៃបញ្ចូលមិនត្រូវបានគាំទ្រទេ។</t>
        </is>
      </c>
      <c r="I494" s="67" t="n"/>
      <c r="J494" s="67" t="n"/>
      <c r="K494" s="67" t="n"/>
      <c r="L494" s="67" t="n"/>
      <c r="M494" s="67" t="n"/>
      <c r="N494" s="67" t="n"/>
      <c r="O494" s="67" t="n"/>
      <c r="P494" s="67" t="n"/>
      <c r="Q494" s="67" t="n"/>
      <c r="R494" s="67" t="n"/>
      <c r="S494" s="67" t="n"/>
      <c r="T494" s="67" t="n"/>
      <c r="U494" s="67" t="n"/>
      <c r="V494" s="67" t="n"/>
      <c r="W494" s="67" t="n"/>
      <c r="X494" s="67" t="n"/>
      <c r="Y494" s="67" t="n"/>
      <c r="Z494" s="67" t="n"/>
      <c r="AA494" s="67" t="n"/>
      <c r="AB494" s="67" t="n"/>
    </row>
    <row r="495" ht="15.75" customHeight="1" s="305">
      <c r="A495" s="225" t="inlineStr">
        <is>
          <t>MULTI_TOKEN</t>
        </is>
      </c>
      <c r="B495" s="67" t="inlineStr">
        <is>
          <t>Không chấp nhận multi token</t>
        </is>
      </c>
      <c r="C495" s="67" t="inlineStr">
        <is>
          <t>Multi token not accepted</t>
        </is>
      </c>
      <c r="D495" s="3">
        <f>IFERROR(__xludf.DUMMYFUNCTION("GOOGLETRANSLATE(B495,""vi"",""km"")"),"ថូខឹនច្រើនមិនត្រូវបានទទួលយកទេ។")</f>
        <v/>
      </c>
      <c r="E495" s="3" t="n"/>
      <c r="F495" s="3" t="inlineStr">
        <is>
          <t>ថូខឹនច្រើនមិនត្រូវបានទទួលយកទេ។</t>
        </is>
      </c>
      <c r="G495" s="3" t="n"/>
      <c r="H495" t="inlineStr">
        <is>
          <t>ថូខឹនច្រើនមិនត្រូវបានទទួលយកទេ។</t>
        </is>
      </c>
      <c r="I495" s="67" t="n"/>
      <c r="J495" s="67" t="n"/>
      <c r="K495" s="67" t="n"/>
      <c r="L495" s="67" t="n"/>
      <c r="M495" s="67" t="n"/>
      <c r="N495" s="67" t="n"/>
      <c r="O495" s="67" t="n"/>
      <c r="P495" s="67" t="n"/>
      <c r="Q495" s="67" t="n"/>
      <c r="R495" s="67" t="n"/>
      <c r="S495" s="67" t="n"/>
      <c r="T495" s="67" t="n"/>
      <c r="U495" s="67" t="n"/>
      <c r="V495" s="67" t="n"/>
      <c r="W495" s="67" t="n"/>
      <c r="X495" s="67" t="n"/>
      <c r="Y495" s="67" t="n"/>
      <c r="Z495" s="67" t="n"/>
      <c r="AA495" s="67" t="n"/>
      <c r="AB495" s="67" t="n"/>
    </row>
    <row r="496" ht="15.75" customHeight="1" s="305">
      <c r="A496" s="225" t="inlineStr">
        <is>
          <t>CORE_EMPTY_RESPONSE</t>
        </is>
      </c>
      <c r="B496" s="67" t="inlineStr">
        <is>
          <t>Kết quả trống từ hạ tầng cơ bản</t>
        </is>
      </c>
      <c r="C496" s="67" t="inlineStr">
        <is>
          <t>Empty result from core</t>
        </is>
      </c>
      <c r="D496" s="3">
        <f>IFERROR(__xludf.DUMMYFUNCTION("GOOGLETRANSLATE(B496,""vi"",""km"")"),"លទ្ធផលគឺកង្វះហេដ្ឋារចនាសម្ព័ន្ធជាមូលដ្ឋាន។")</f>
        <v/>
      </c>
      <c r="E496" s="3" t="n"/>
      <c r="F496" s="3" t="inlineStr">
        <is>
          <t>លទ្ធផលគឺកង្វះហេដ្ឋារចនាសម្ព័ន្ធជាមូលដ្ឋាន។</t>
        </is>
      </c>
      <c r="G496" s="3" t="n"/>
      <c r="H496" t="inlineStr">
        <is>
          <t>លទ្ធផលគឺកង្វះហេដ្ឋារចនាសម្ព័ន្ធជាមូលដ្ឋាន។</t>
        </is>
      </c>
      <c r="I496" s="67" t="n"/>
      <c r="J496" s="67" t="n"/>
      <c r="K496" s="67" t="n"/>
      <c r="L496" s="67" t="n"/>
      <c r="M496" s="67" t="n"/>
      <c r="N496" s="67" t="n"/>
      <c r="O496" s="67" t="n"/>
      <c r="P496" s="67" t="n"/>
      <c r="Q496" s="67" t="n"/>
      <c r="R496" s="67" t="n"/>
      <c r="S496" s="67" t="n"/>
      <c r="T496" s="67" t="n"/>
      <c r="U496" s="67" t="n"/>
      <c r="V496" s="67" t="n"/>
      <c r="W496" s="67" t="n"/>
      <c r="X496" s="67" t="n"/>
      <c r="Y496" s="67" t="n"/>
      <c r="Z496" s="67" t="n"/>
      <c r="AA496" s="67" t="n"/>
      <c r="AB496" s="67" t="n"/>
    </row>
    <row r="497" ht="15.75" customHeight="1" s="305">
      <c r="A497" s="225" t="inlineStr">
        <is>
          <t>CORE_RESPONSE_TOO_LONG</t>
        </is>
      </c>
      <c r="B497" s="67" t="inlineStr">
        <is>
          <t>Phản hồi từ hạ tầng cơ bản quá dài</t>
        </is>
      </c>
      <c r="C497" s="67" t="inlineStr">
        <is>
          <t>CORE response too long</t>
        </is>
      </c>
      <c r="D497" s="3">
        <f>IFERROR(__xludf.DUMMYFUNCTION("GOOGLETRANSLATE(B497,""vi"",""km"")"),"ការឆ្លើយតបពីហេដ្ឋារចនាសម្ព័ន្ធមូលដ្ឋានវែងពេក។")</f>
        <v/>
      </c>
      <c r="E497" s="3" t="n"/>
      <c r="F497" s="3" t="inlineStr">
        <is>
          <t>ការឆ្លើយតបពីហេដ្ឋារចនាសម្ព័ន្ធមូលដ្ឋានវែងពេក។</t>
        </is>
      </c>
      <c r="G497" s="3" t="n"/>
      <c r="H497" t="inlineStr">
        <is>
          <t>ការឆ្លើយតបពីហេដ្ឋារចនាសម្ព័ន្ធមូលដ្ឋានវែងពេក។</t>
        </is>
      </c>
      <c r="I497" s="67" t="n"/>
      <c r="J497" s="67" t="n"/>
      <c r="K497" s="67" t="n"/>
      <c r="L497" s="67" t="n"/>
      <c r="M497" s="67" t="n"/>
      <c r="N497" s="67" t="n"/>
      <c r="O497" s="67" t="n"/>
      <c r="P497" s="67" t="n"/>
      <c r="Q497" s="67" t="n"/>
      <c r="R497" s="67" t="n"/>
      <c r="S497" s="67" t="n"/>
      <c r="T497" s="67" t="n"/>
      <c r="U497" s="67" t="n"/>
      <c r="V497" s="67" t="n"/>
      <c r="W497" s="67" t="n"/>
      <c r="X497" s="67" t="n"/>
      <c r="Y497" s="67" t="n"/>
      <c r="Z497" s="67" t="n"/>
      <c r="AA497" s="67" t="n"/>
      <c r="AB497" s="67" t="n"/>
    </row>
    <row r="498" ht="15.75" customHeight="1" s="305">
      <c r="A498" s="225" t="inlineStr">
        <is>
          <t>NOT_EXISTS_IN_ASSIGNED</t>
        </is>
      </c>
      <c r="B498" s="67" t="inlineStr">
        <is>
          <t>Đơn hàng không tồn tại trong lịch giao hàng đã được phân công của người phát</t>
        </is>
      </c>
      <c r="C498" s="67" t="inlineStr">
        <is>
          <t>The order does not exist in the assigned delivery of the postman</t>
        </is>
      </c>
      <c r="D498" s="3">
        <f>IFERROR(__xludf.DUMMYFUNCTION("GOOGLETRANSLATE(B498,""vi"",""km"")"),"ការបញ្ជាទិញនេះមិនមាននៅក្នុងកាលវិភាគដឹកជញ្ជូនដែលបានកំណត់ទៅអ្នកដឹកជញ្ជូនទេ។")</f>
        <v/>
      </c>
      <c r="E498" s="3" t="inlineStr">
        <is>
          <t>បុងបញ្ញើមិនមាននៅក្នុងកាលវិភាគប្រគល់អីវ៉ាន់ដែលបានបែងចែករបស់អ្នកដឹកជញ្ជូន</t>
        </is>
      </c>
      <c r="F498" s="3" t="inlineStr">
        <is>
          <t>ការបញ្ជាទិញនេះមិនមាននៅក្នុងកាលវិភាគដឹកជញ្ជូនដែលបានកំណត់ទៅអ្នកដឹកជញ្ជូនទេ។</t>
        </is>
      </c>
      <c r="G498" s="3" t="n"/>
      <c r="H498" t="inlineStr">
        <is>
          <t>ការបញ្ជាទិញនេះមិនមាននៅក្នុងកាលវិភាគដឹកជញ្ជូនដែលបានកំណត់ទៅអ្នកដឹកជញ្ជូនទេ។</t>
        </is>
      </c>
      <c r="I498" s="67" t="n"/>
      <c r="J498" s="67" t="n"/>
      <c r="K498" s="67" t="n"/>
      <c r="L498" s="67" t="n"/>
      <c r="M498" s="67" t="n"/>
      <c r="N498" s="67" t="n"/>
      <c r="O498" s="67" t="n"/>
      <c r="P498" s="67" t="n"/>
      <c r="Q498" s="67" t="n"/>
      <c r="R498" s="67" t="n"/>
      <c r="S498" s="67" t="n"/>
      <c r="T498" s="67" t="n"/>
      <c r="U498" s="67" t="n"/>
      <c r="V498" s="67" t="n"/>
      <c r="W498" s="67" t="n"/>
      <c r="X498" s="67" t="n"/>
      <c r="Y498" s="67" t="n"/>
      <c r="Z498" s="67" t="n"/>
      <c r="AA498" s="67" t="n"/>
      <c r="AB498" s="67" t="n"/>
    </row>
    <row r="499" ht="15.75" customHeight="1" s="305">
      <c r="A499" s="225" t="inlineStr">
        <is>
          <t>HAS_FINAL_STATUS</t>
        </is>
      </c>
      <c r="B499" s="67" t="inlineStr">
        <is>
          <t>Đơn hàng đã đạt đến trạng thái cuối cùng của mình</t>
        </is>
      </c>
      <c r="C499" s="67" t="inlineStr">
        <is>
          <t>The order has reached its final status</t>
        </is>
      </c>
      <c r="D499" s="3">
        <f>IFERROR(__xludf.DUMMYFUNCTION("GOOGLETRANSLATE(B499,""vi"",""km"")"),"ការបញ្ជាទិញបានឈានដល់ស្ថានភាពចុងក្រោយរបស់វា។")</f>
        <v/>
      </c>
      <c r="E499" s="3" t="inlineStr">
        <is>
          <t>ការបញ្ជាទិញបានឈានដល់ស្ថានភាពចុងក្រោយរបស់វាហើយ</t>
        </is>
      </c>
      <c r="F499" s="3" t="inlineStr">
        <is>
          <t>ការបញ្ជាទិញបានឈានដល់ស្ថានភាពចុងក្រោយរបស់វា។</t>
        </is>
      </c>
      <c r="G499" s="3" t="n"/>
      <c r="H499" t="inlineStr">
        <is>
          <t>ការបញ្ជាទិញបានឈានដល់ស្ថានភាពចុងក្រោយរបស់វា។</t>
        </is>
      </c>
      <c r="I499" s="67" t="n"/>
      <c r="J499" s="67" t="n"/>
      <c r="K499" s="67" t="n"/>
      <c r="L499" s="67" t="n"/>
      <c r="M499" s="67" t="n"/>
      <c r="N499" s="67" t="n"/>
      <c r="O499" s="67" t="n"/>
      <c r="P499" s="67" t="n"/>
      <c r="Q499" s="67" t="n"/>
      <c r="R499" s="67" t="n"/>
      <c r="S499" s="67" t="n"/>
      <c r="T499" s="67" t="n"/>
      <c r="U499" s="67" t="n"/>
      <c r="V499" s="67" t="n"/>
      <c r="W499" s="67" t="n"/>
      <c r="X499" s="67" t="n"/>
      <c r="Y499" s="67" t="n"/>
      <c r="Z499" s="67" t="n"/>
      <c r="AA499" s="67" t="n"/>
      <c r="AB499" s="67" t="n"/>
    </row>
    <row r="500" ht="15.75" customHeight="1" s="305">
      <c r="A500" s="225" t="inlineStr">
        <is>
          <t>FORWARDED_ANOTHER_POST</t>
        </is>
      </c>
      <c r="B500" s="67" t="inlineStr">
        <is>
          <t>Đơn hàng đã được chuyển tiếp đến một bưu cục khác</t>
        </is>
      </c>
      <c r="C500" s="67" t="inlineStr">
        <is>
          <t>The order has been forwarded to another post office</t>
        </is>
      </c>
      <c r="D500" s="3">
        <f>IFERROR(__xludf.DUMMYFUNCTION("GOOGLETRANSLATE(B500,""vi"",""km"")"),"ការបញ្ជាទិញត្រូវបានបញ្ជូនបន្តទៅកាន់ការិយាល័យប្រៃសណីយ៍ផ្សេង។")</f>
        <v/>
      </c>
      <c r="E500" s="3" t="inlineStr">
        <is>
          <t>ការបញ្ជាទិញត្រូវបានបញ្ជូនបន្តទៅកាន់ការិយាល័យប្រៃសណីយ៍ផ្សេងទៀត</t>
        </is>
      </c>
      <c r="F500" s="3" t="inlineStr">
        <is>
          <t>ការបញ្ជាទិញត្រូវបានបញ្ជូនបន្តទៅកាន់ការិយាល័យប្រៃសណីយ៍ផ្សេង។</t>
        </is>
      </c>
      <c r="G500" s="3" t="n"/>
      <c r="H500" t="inlineStr">
        <is>
          <t>ការបញ្ជាទិញត្រូវបានបញ្ជូនបន្តទៅកាន់ការិយាល័យប្រៃសណីយ៍ផ្សេង។</t>
        </is>
      </c>
      <c r="I500" s="67" t="n"/>
      <c r="J500" s="67" t="n"/>
      <c r="K500" s="67" t="n"/>
      <c r="L500" s="67" t="n"/>
      <c r="M500" s="67" t="n"/>
      <c r="N500" s="67" t="n"/>
      <c r="O500" s="67" t="n"/>
      <c r="P500" s="67" t="n"/>
      <c r="Q500" s="67" t="n"/>
      <c r="R500" s="67" t="n"/>
      <c r="S500" s="67" t="n"/>
      <c r="T500" s="67" t="n"/>
      <c r="U500" s="67" t="n"/>
      <c r="V500" s="67" t="n"/>
      <c r="W500" s="67" t="n"/>
      <c r="X500" s="67" t="n"/>
      <c r="Y500" s="67" t="n"/>
      <c r="Z500" s="67" t="n"/>
      <c r="AA500" s="67" t="n"/>
      <c r="AB500" s="67" t="n"/>
    </row>
    <row r="501" ht="15.75" customHeight="1" s="305">
      <c r="A501" s="225" t="inlineStr">
        <is>
          <t>NOT_RETURN_LIST</t>
        </is>
      </c>
      <c r="B501" s="67" t="inlineStr">
        <is>
          <t>Đơn hàng không có trong danh sách đơn hàng trả lại</t>
        </is>
      </c>
      <c r="C501" s="67" t="inlineStr">
        <is>
          <t>The order is not on the return list</t>
        </is>
      </c>
      <c r="D501" s="3">
        <f>IFERROR(__xludf.DUMMYFUNCTION("GOOGLETRANSLATE(B501,""vi"",""km"")"),"ការបញ្ជាទិញនេះមិនមាននៅក្នុងបញ្ជីនៃការបញ្ជាទិញដែលបានប្រគល់មកវិញទេ។")</f>
        <v/>
      </c>
      <c r="E501" s="3" t="inlineStr">
        <is>
          <t>បុងបញ្ញើមិនមាននៅក្នុងបញ្ជីបុងបញ្ញើត្រលប់អីវ៉ាន់</t>
        </is>
      </c>
      <c r="F501" s="3" t="inlineStr">
        <is>
          <t>ការបញ្ជាទិញនេះមិនមាននៅក្នុងបញ្ជីនៃការបញ្ជាទិញដែលបានប្រគល់មកវិញទេ។</t>
        </is>
      </c>
      <c r="G501" s="3" t="n"/>
      <c r="H501" t="inlineStr">
        <is>
          <t>ការបញ្ជាទិញនេះមិនមាននៅក្នុងបញ្ជីនៃការបញ្ជាទិញដែលបានប្រគល់មកវិញទេ។</t>
        </is>
      </c>
      <c r="I501" s="67" t="n"/>
      <c r="J501" s="67" t="n"/>
      <c r="K501" s="67" t="n"/>
      <c r="L501" s="67" t="n"/>
      <c r="M501" s="67" t="n"/>
      <c r="N501" s="67" t="n"/>
      <c r="O501" s="67" t="n"/>
      <c r="P501" s="67" t="n"/>
      <c r="Q501" s="67" t="n"/>
      <c r="R501" s="67" t="n"/>
      <c r="S501" s="67" t="n"/>
      <c r="T501" s="67" t="n"/>
      <c r="U501" s="67" t="n"/>
      <c r="V501" s="67" t="n"/>
      <c r="W501" s="67" t="n"/>
      <c r="X501" s="67" t="n"/>
      <c r="Y501" s="67" t="n"/>
      <c r="Z501" s="67" t="n"/>
      <c r="AA501" s="67" t="n"/>
      <c r="AB501" s="67" t="n"/>
    </row>
    <row r="502" ht="15.75" customHeight="1" s="305">
      <c r="A502" s="225" t="inlineStr">
        <is>
          <t>NOT_FORWARDING_STATUS</t>
        </is>
      </c>
      <c r="B502" s="67" t="inlineStr">
        <is>
          <t>Đơn hàng không ở trong trạng thái chuyển tiếp và không thể sửa đổi</t>
        </is>
      </c>
      <c r="C502" s="67" t="inlineStr">
        <is>
          <t>The order is not in the forwarding status and cannot be modified</t>
        </is>
      </c>
      <c r="D502" s="3">
        <f>IFERROR(__xludf.DUMMYFUNCTION("GOOGLETRANSLATE(B502,""vi"",""km"")"),"ការបញ្ជាទិញនេះមិនស្ថិតនៅក្នុងការដឹកជញ្ជូនទេ ហើយមិនអាចកែប្រែបានទេ។")</f>
        <v/>
      </c>
      <c r="E502" s="3" t="inlineStr">
        <is>
          <t>បុងបញ្ញើមិនមាននៅក្នុងស្ថានភាពបញ្ជូនបន្តនិងមិនអាចកែប្រែបាន</t>
        </is>
      </c>
      <c r="F502" s="3" t="inlineStr">
        <is>
          <t>ការបញ្ជាទិញនេះមិនស្ថិតនៅក្នុងការដឹកជញ្ជូនទេ ហើយមិនអាចកែប្រែបានទេ។</t>
        </is>
      </c>
      <c r="G502" s="3" t="n"/>
      <c r="H502" t="inlineStr">
        <is>
          <t>ការបញ្ជាទិញនេះមិនស្ថិតនៅក្នុងការដឹកជញ្ជូនទេ ហើយមិនអាចកែប្រែបានទេ។</t>
        </is>
      </c>
      <c r="I502" s="67" t="n"/>
      <c r="J502" s="67" t="n"/>
      <c r="K502" s="67" t="n"/>
      <c r="L502" s="67" t="n"/>
      <c r="M502" s="67" t="n"/>
      <c r="N502" s="67" t="n"/>
      <c r="O502" s="67" t="n"/>
      <c r="P502" s="67" t="n"/>
      <c r="Q502" s="67" t="n"/>
      <c r="R502" s="67" t="n"/>
      <c r="S502" s="67" t="n"/>
      <c r="T502" s="67" t="n"/>
      <c r="U502" s="67" t="n"/>
      <c r="V502" s="67" t="n"/>
      <c r="W502" s="67" t="n"/>
      <c r="X502" s="67" t="n"/>
      <c r="Y502" s="67" t="n"/>
      <c r="Z502" s="67" t="n"/>
      <c r="AA502" s="67" t="n"/>
      <c r="AB502" s="67" t="n"/>
    </row>
    <row r="503" ht="15.75" customHeight="1" s="305">
      <c r="A503" s="225" t="inlineStr">
        <is>
          <t>NOT_ALLOWS_PARTIAL_DELIVERY</t>
        </is>
      </c>
      <c r="B503" s="67" t="inlineStr">
        <is>
          <t>Đơn hàng không ở trong trạng thái cho phép yêu cầu giao hàng một phần</t>
        </is>
      </c>
      <c r="C503" s="67" t="inlineStr">
        <is>
          <t>The order is not in a status that allows partial delivery requests</t>
        </is>
      </c>
      <c r="D503" s="3">
        <f>IFERROR(__xludf.DUMMYFUNCTION("GOOGLETRANSLATE(B503,""vi"",""km"")"),"ការបញ្ជាទិញនេះមិនស្ថិតក្នុងស្ថានភាពដែលអនុញ្ញាតឱ្យមានសំណើដឹកជញ្ជូនដោយផ្នែកទេ។")</f>
        <v/>
      </c>
      <c r="E503" s="3" t="inlineStr">
        <is>
          <t>បុងបញ្ញើមិនមាននៅក្នុងស្ថានភាពអនុញ្ញាត្តិស្នើសុំឲ្យប្រគល់អីវ៉ាន់មួយផ្នែកទេ</t>
        </is>
      </c>
      <c r="F503" s="3" t="inlineStr">
        <is>
          <t>ការបញ្ជាទិញនេះមិនស្ថិតក្នុងស្ថានភាពដែលអនុញ្ញាតឱ្យមានសំណើដឹកជញ្ជូនដោយផ្នែកទេ។</t>
        </is>
      </c>
      <c r="G503" s="3" t="n"/>
      <c r="H503" t="inlineStr">
        <is>
          <t>ការបញ្ជាទិញនេះមិនស្ថិតក្នុងស្ថានភាពដែលអនុញ្ញាតឱ្យមានសំណើដឹកជញ្ជូនដោយផ្នែកទេ។</t>
        </is>
      </c>
      <c r="I503" s="67" t="n"/>
      <c r="J503" s="67" t="n"/>
      <c r="K503" s="67" t="n"/>
      <c r="L503" s="67" t="n"/>
      <c r="M503" s="67" t="n"/>
      <c r="N503" s="67" t="n"/>
      <c r="O503" s="67" t="n"/>
      <c r="P503" s="67" t="n"/>
      <c r="Q503" s="67" t="n"/>
      <c r="R503" s="67" t="n"/>
      <c r="S503" s="67" t="n"/>
      <c r="T503" s="67" t="n"/>
      <c r="U503" s="67" t="n"/>
      <c r="V503" s="67" t="n"/>
      <c r="W503" s="67" t="n"/>
      <c r="X503" s="67" t="n"/>
      <c r="Y503" s="67" t="n"/>
      <c r="Z503" s="67" t="n"/>
      <c r="AA503" s="67" t="n"/>
      <c r="AB503" s="67" t="n"/>
    </row>
    <row r="504" ht="15.75" customHeight="1" s="305">
      <c r="A504" s="225" t="inlineStr">
        <is>
          <t>NOT_PARTIAL_DELIVERY</t>
        </is>
      </c>
      <c r="B504" s="67" t="inlineStr">
        <is>
          <t>Đơn hàng không có yêu cầu giao hàng một phần</t>
        </is>
      </c>
      <c r="C504" s="67" t="inlineStr">
        <is>
          <t>The order does not have a partial delivery request</t>
        </is>
      </c>
      <c r="D504" s="3">
        <f>IFERROR(__xludf.DUMMYFUNCTION("GOOGLETRANSLATE(B504,""vi"",""km"")"),"ការបញ្ជាទិញមិនតម្រូវឱ្យមានការដឹកជញ្ជូនដោយផ្នែកទេ។")</f>
        <v/>
      </c>
      <c r="E504" s="3" t="inlineStr">
        <is>
          <t>បុងបញ្ញើមិនស្នើសុំប្រគល់អីវ៉ាន់មួយផ្នែកទេ</t>
        </is>
      </c>
      <c r="F504" s="3" t="inlineStr">
        <is>
          <t>ការបញ្ជាទិញមិនតម្រូវឱ្យមានការដឹកជញ្ជូនដោយផ្នែកទេ។</t>
        </is>
      </c>
      <c r="G504" s="3" t="n"/>
      <c r="H504" t="inlineStr">
        <is>
          <t>ការបញ្ជាទិញមិនតម្រូវឱ្យមានការដឹកជញ្ជូនដោយផ្នែកទេ។</t>
        </is>
      </c>
      <c r="I504" s="67" t="n"/>
      <c r="J504" s="67" t="n"/>
      <c r="K504" s="67" t="n"/>
      <c r="L504" s="67" t="n"/>
      <c r="M504" s="67" t="n"/>
      <c r="N504" s="67" t="n"/>
      <c r="O504" s="67" t="n"/>
      <c r="P504" s="67" t="n"/>
      <c r="Q504" s="67" t="n"/>
      <c r="R504" s="67" t="n"/>
      <c r="S504" s="67" t="n"/>
      <c r="T504" s="67" t="n"/>
      <c r="U504" s="67" t="n"/>
      <c r="V504" s="67" t="n"/>
      <c r="W504" s="67" t="n"/>
      <c r="X504" s="67" t="n"/>
      <c r="Y504" s="67" t="n"/>
      <c r="Z504" s="67" t="n"/>
      <c r="AA504" s="67" t="n"/>
      <c r="AB504" s="67" t="n"/>
    </row>
    <row r="505" ht="15.75" customHeight="1" s="305">
      <c r="A505" s="225" t="inlineStr">
        <is>
          <t>PARTIAL_DELIVERY_CANCELED</t>
        </is>
      </c>
      <c r="B505" s="67" t="inlineStr">
        <is>
          <t>Yêu cầu giao hàng một phần đã bị huỷ</t>
        </is>
      </c>
      <c r="C505" s="67" t="inlineStr">
        <is>
          <t>The partial delivery request has been canceled</t>
        </is>
      </c>
      <c r="D505" s="3">
        <f>IFERROR(__xludf.DUMMYFUNCTION("GOOGLETRANSLATE(B505,""vi"",""km"")"),"សំណើ​ដឹកជញ្ជូន​មិន​ពេញលេញ​ត្រូវ​បាន​លុបចោល។")</f>
        <v/>
      </c>
      <c r="E505" s="3" t="inlineStr">
        <is>
          <t>ការស្នើសុំប្រគល់អីវ៉ាន់មួយផ្នែកត្រូវបានលុបចោល</t>
        </is>
      </c>
      <c r="F505" s="3" t="inlineStr">
        <is>
          <t>សំណើដឹកជញ្ជូនមិនពេញលេញត្រូវបានលុបចោល។</t>
        </is>
      </c>
      <c r="G505" s="3" t="n"/>
      <c r="H505" t="inlineStr">
        <is>
          <t>សំណើដឹកជញ្ជូនមិនពេញលេញត្រូវបានលុបចោល។</t>
        </is>
      </c>
      <c r="I505" s="67" t="n"/>
      <c r="J505" s="67" t="n"/>
      <c r="K505" s="67" t="n"/>
      <c r="L505" s="67" t="n"/>
      <c r="M505" s="67" t="n"/>
      <c r="N505" s="67" t="n"/>
      <c r="O505" s="67" t="n"/>
      <c r="P505" s="67" t="n"/>
      <c r="Q505" s="67" t="n"/>
      <c r="R505" s="67" t="n"/>
      <c r="S505" s="67" t="n"/>
      <c r="T505" s="67" t="n"/>
      <c r="U505" s="67" t="n"/>
      <c r="V505" s="67" t="n"/>
      <c r="W505" s="67" t="n"/>
      <c r="X505" s="67" t="n"/>
      <c r="Y505" s="67" t="n"/>
      <c r="Z505" s="67" t="n"/>
      <c r="AA505" s="67" t="n"/>
      <c r="AB505" s="67" t="n"/>
    </row>
    <row r="506" ht="15.75" customHeight="1" s="305">
      <c r="A506" s="225" t="inlineStr">
        <is>
          <t>USER_NOT_EXISTS</t>
        </is>
      </c>
      <c r="B506" s="67" t="inlineStr">
        <is>
          <t>Người dùng không tồn tại</t>
        </is>
      </c>
      <c r="C506" s="67" t="inlineStr">
        <is>
          <t>The user does not exist</t>
        </is>
      </c>
      <c r="D506" s="3">
        <f>IFERROR(__xludf.DUMMYFUNCTION("GOOGLETRANSLATE(B506,""vi"",""km"")"),"អ្នកប្រើប្រាស់មិនមានទេ។")</f>
        <v/>
      </c>
      <c r="E506" s="3" t="inlineStr">
        <is>
          <t>អ្នកប្រើប្រាស់មិនមាន</t>
        </is>
      </c>
      <c r="F506" s="3" t="inlineStr">
        <is>
          <t>អ្នកប្រើប្រាស់មិនមានទេ។</t>
        </is>
      </c>
      <c r="G506" s="3" t="n"/>
      <c r="H506" t="inlineStr">
        <is>
          <t>អ្នកប្រើប្រាស់មិនមានទេ។</t>
        </is>
      </c>
      <c r="I506" s="67" t="n"/>
      <c r="J506" s="67" t="n"/>
      <c r="K506" s="67" t="n"/>
      <c r="L506" s="67" t="n"/>
      <c r="M506" s="67" t="n"/>
      <c r="N506" s="67" t="n"/>
      <c r="O506" s="67" t="n"/>
      <c r="P506" s="67" t="n"/>
      <c r="Q506" s="67" t="n"/>
      <c r="R506" s="67" t="n"/>
      <c r="S506" s="67" t="n"/>
      <c r="T506" s="67" t="n"/>
      <c r="U506" s="67" t="n"/>
      <c r="V506" s="67" t="n"/>
      <c r="W506" s="67" t="n"/>
      <c r="X506" s="67" t="n"/>
      <c r="Y506" s="67" t="n"/>
      <c r="Z506" s="67" t="n"/>
      <c r="AA506" s="67" t="n"/>
      <c r="AB506" s="67" t="n"/>
    </row>
    <row r="507" ht="15.75" customHeight="1" s="305">
      <c r="A507" s="225" t="inlineStr">
        <is>
          <t>USER_EXISTS</t>
        </is>
      </c>
      <c r="B507" s="67" t="inlineStr">
        <is>
          <t>Người dùng đã tồn tại</t>
        </is>
      </c>
      <c r="C507" s="67" t="inlineStr">
        <is>
          <t>The user is already exist</t>
        </is>
      </c>
      <c r="D507" s="3">
        <f>IFERROR(__xludf.DUMMYFUNCTION("GOOGLETRANSLATE(B507,""vi"",""km"")"),"អ្នកប្រើប្រាស់មានរួចហើយ។")</f>
        <v/>
      </c>
      <c r="E507" s="3" t="inlineStr">
        <is>
          <t>អ្នកប្រើប្រាស់មានរួចរាល់</t>
        </is>
      </c>
      <c r="F507" s="3" t="inlineStr">
        <is>
          <t>អ្នកប្រើប្រាស់មានរួចហើយ។</t>
        </is>
      </c>
      <c r="G507" s="3" t="n"/>
      <c r="H507" t="inlineStr">
        <is>
          <t>អ្នកប្រើប្រាស់មានរួចហើយ។</t>
        </is>
      </c>
      <c r="I507" s="67" t="n"/>
      <c r="J507" s="67" t="n"/>
      <c r="K507" s="67" t="n"/>
      <c r="L507" s="67" t="n"/>
      <c r="M507" s="67" t="n"/>
      <c r="N507" s="67" t="n"/>
      <c r="O507" s="67" t="n"/>
      <c r="P507" s="67" t="n"/>
      <c r="Q507" s="67" t="n"/>
      <c r="R507" s="67" t="n"/>
      <c r="S507" s="67" t="n"/>
      <c r="T507" s="67" t="n"/>
      <c r="U507" s="67" t="n"/>
      <c r="V507" s="67" t="n"/>
      <c r="W507" s="67" t="n"/>
      <c r="X507" s="67" t="n"/>
      <c r="Y507" s="67" t="n"/>
      <c r="Z507" s="67" t="n"/>
      <c r="AA507" s="67" t="n"/>
      <c r="AB507" s="67" t="n"/>
    </row>
    <row r="508" ht="15.75" customHeight="1" s="305">
      <c r="A508" s="225" t="inlineStr">
        <is>
          <t>ASSIGMENT_NOT_EXIST</t>
        </is>
      </c>
      <c r="B508" s="67" t="inlineStr">
        <is>
          <t>Phiên phân công không tồn tại</t>
        </is>
      </c>
      <c r="C508" s="67" t="inlineStr">
        <is>
          <t>The assignment session does not exist</t>
        </is>
      </c>
      <c r="D508" s="3">
        <f>IFERROR(__xludf.DUMMYFUNCTION("GOOGLETRANSLATE(B508,""vi"",""km"")"),"វគ្គ​ចាត់តាំង​មិនមានទេ។")</f>
        <v/>
      </c>
      <c r="E508" s="3" t="n"/>
      <c r="F508" s="3" t="inlineStr">
        <is>
          <t>វគ្គចាត់តាំងមិនមានទេ។</t>
        </is>
      </c>
      <c r="G508" s="3" t="n"/>
      <c r="H508" t="inlineStr">
        <is>
          <t>វគ្គចាត់តាំងមិនមានទេ។</t>
        </is>
      </c>
      <c r="I508" s="67" t="n"/>
      <c r="J508" s="67" t="n"/>
      <c r="K508" s="67" t="n"/>
      <c r="L508" s="67" t="n"/>
      <c r="M508" s="67" t="n"/>
      <c r="N508" s="67" t="n"/>
      <c r="O508" s="67" t="n"/>
      <c r="P508" s="67" t="n"/>
      <c r="Q508" s="67" t="n"/>
      <c r="R508" s="67" t="n"/>
      <c r="S508" s="67" t="n"/>
      <c r="T508" s="67" t="n"/>
      <c r="U508" s="67" t="n"/>
      <c r="V508" s="67" t="n"/>
      <c r="W508" s="67" t="n"/>
      <c r="X508" s="67" t="n"/>
      <c r="Y508" s="67" t="n"/>
      <c r="Z508" s="67" t="n"/>
      <c r="AA508" s="67" t="n"/>
      <c r="AB508" s="67" t="n"/>
    </row>
    <row r="509" ht="15.75" customHeight="1" s="305">
      <c r="A509" s="225" t="inlineStr">
        <is>
          <t>ASSIGMENT_ENDED</t>
        </is>
      </c>
      <c r="B509" s="67" t="inlineStr">
        <is>
          <t>Phiên phân công đã kết thúc</t>
        </is>
      </c>
      <c r="C509" s="67" t="inlineStr">
        <is>
          <t>The assignment session has ended</t>
        </is>
      </c>
      <c r="D509" s="3">
        <f>IFERROR(__xludf.DUMMYFUNCTION("GOOGLETRANSLATE(B509,""vi"",""km"")"),"វគ្គ​ប្រគល់​ភារកិច្ច​បាន​បញ្ចប់​ហើយ។")</f>
        <v/>
      </c>
      <c r="E509" s="3" t="n"/>
      <c r="F509" s="3" t="inlineStr">
        <is>
          <t>វគ្គប្រគល់ភារកិច្ចបានបញ្ចប់ហើយ។</t>
        </is>
      </c>
      <c r="G509" s="3" t="n"/>
      <c r="H509" t="inlineStr">
        <is>
          <t>វគ្គប្រគល់ភារកិច្ចបានបញ្ចប់ហើយ។</t>
        </is>
      </c>
      <c r="I509" s="67" t="n"/>
      <c r="J509" s="67" t="n"/>
      <c r="K509" s="67" t="n"/>
      <c r="L509" s="67" t="n"/>
      <c r="M509" s="67" t="n"/>
      <c r="N509" s="67" t="n"/>
      <c r="O509" s="67" t="n"/>
      <c r="P509" s="67" t="n"/>
      <c r="Q509" s="67" t="n"/>
      <c r="R509" s="67" t="n"/>
      <c r="S509" s="67" t="n"/>
      <c r="T509" s="67" t="n"/>
      <c r="U509" s="67" t="n"/>
      <c r="V509" s="67" t="n"/>
      <c r="W509" s="67" t="n"/>
      <c r="X509" s="67" t="n"/>
      <c r="Y509" s="67" t="n"/>
      <c r="Z509" s="67" t="n"/>
      <c r="AA509" s="67" t="n"/>
      <c r="AB509" s="67" t="n"/>
    </row>
    <row r="510" ht="15.75" customHeight="1" s="305">
      <c r="A510" s="225" t="inlineStr">
        <is>
          <t>ASSIGMENT_COMPLETED</t>
        </is>
      </c>
      <c r="B510" s="67" t="inlineStr">
        <is>
          <t>Phiên phân công đã hoàn thành</t>
        </is>
      </c>
      <c r="C510" s="67" t="inlineStr">
        <is>
          <t>The assignment session has been completed</t>
        </is>
      </c>
      <c r="D510" s="3">
        <f>IFERROR(__xludf.DUMMYFUNCTION("GOOGLETRANSLATE(B510,""vi"",""km"")"),"វគ្គ​ប្រគល់​ភារកិច្ច​ត្រូវ​បាន​បញ្ចប់។")</f>
        <v/>
      </c>
      <c r="E510" s="3" t="n"/>
      <c r="F510" s="3" t="inlineStr">
        <is>
          <t>វគ្គប្រគល់ភារកិច្ចត្រូវបានបញ្ចប់។</t>
        </is>
      </c>
      <c r="G510" s="3" t="n"/>
      <c r="H510" t="inlineStr">
        <is>
          <t>វគ្គប្រគល់ភារកិច្ចត្រូវបានបញ្ចប់។</t>
        </is>
      </c>
      <c r="I510" s="67" t="n"/>
      <c r="J510" s="67" t="n"/>
      <c r="K510" s="67" t="n"/>
      <c r="L510" s="67" t="n"/>
      <c r="M510" s="67" t="n"/>
      <c r="N510" s="67" t="n"/>
      <c r="O510" s="67" t="n"/>
      <c r="P510" s="67" t="n"/>
      <c r="Q510" s="67" t="n"/>
      <c r="R510" s="67" t="n"/>
      <c r="S510" s="67" t="n"/>
      <c r="T510" s="67" t="n"/>
      <c r="U510" s="67" t="n"/>
      <c r="V510" s="67" t="n"/>
      <c r="W510" s="67" t="n"/>
      <c r="X510" s="67" t="n"/>
      <c r="Y510" s="67" t="n"/>
      <c r="Z510" s="67" t="n"/>
      <c r="AA510" s="67" t="n"/>
      <c r="AB510" s="67" t="n"/>
    </row>
    <row r="511" ht="15.75" customHeight="1" s="305">
      <c r="A511" s="225" t="inlineStr">
        <is>
          <t>ASSIGMENT_NOT_COMPLETED</t>
        </is>
      </c>
      <c r="B511" s="67" t="inlineStr">
        <is>
          <t>Phiên phân công không hoàn thành</t>
        </is>
      </c>
      <c r="C511" s="67" t="inlineStr">
        <is>
          <t>The assignment session does not complete</t>
        </is>
      </c>
      <c r="D511" s="3">
        <f>IFERROR(__xludf.DUMMYFUNCTION("GOOGLETRANSLATE(B511,""vi"",""km"")"),"វគ្គ​ប្រគល់​ភារកិច្ច​មិន​ទាន់​ចប់​សព្វគ្រប់​នៅ​ឡើយ​ទេ។")</f>
        <v/>
      </c>
      <c r="E511" s="3" t="n"/>
      <c r="F511" s="3" t="inlineStr">
        <is>
          <t>វគ្គប្រគល់ភារកិច្ចមិនទាន់ចប់សព្វគ្រប់នៅឡើយទេ។</t>
        </is>
      </c>
      <c r="G511" s="3" t="n"/>
      <c r="H511" t="inlineStr">
        <is>
          <t>វគ្គប្រគល់ភារកិច្ចមិនទាន់ចប់សព្វគ្រប់នៅឡើយទេ។</t>
        </is>
      </c>
      <c r="I511" s="67" t="n"/>
      <c r="J511" s="67" t="n"/>
      <c r="K511" s="67" t="n"/>
      <c r="L511" s="67" t="n"/>
      <c r="M511" s="67" t="n"/>
      <c r="N511" s="67" t="n"/>
      <c r="O511" s="67" t="n"/>
      <c r="P511" s="67" t="n"/>
      <c r="Q511" s="67" t="n"/>
      <c r="R511" s="67" t="n"/>
      <c r="S511" s="67" t="n"/>
      <c r="T511" s="67" t="n"/>
      <c r="U511" s="67" t="n"/>
      <c r="V511" s="67" t="n"/>
      <c r="W511" s="67" t="n"/>
      <c r="X511" s="67" t="n"/>
      <c r="Y511" s="67" t="n"/>
      <c r="Z511" s="67" t="n"/>
      <c r="AA511" s="67" t="n"/>
      <c r="AB511" s="67" t="n"/>
    </row>
    <row r="512" ht="15.75" customHeight="1" s="305">
      <c r="A512" s="225" t="inlineStr">
        <is>
          <t>ASSIGMENT_EMPTY</t>
        </is>
      </c>
      <c r="B512" s="67" t="inlineStr">
        <is>
          <t>Phiên phân công trống, thêm đơn hàng đẻ hoàn thành</t>
        </is>
      </c>
      <c r="C512" s="67" t="inlineStr">
        <is>
          <t>Empty assignment session, add orders to complete</t>
        </is>
      </c>
      <c r="D512" s="3">
        <f>IFERROR(__xludf.DUMMYFUNCTION("GOOGLETRANSLATE(B512,""vi"",""km"")"),"វេន​នេះ​ទទេ​ហើយ សូម​បន្ថែម​ការ​បញ្ជា​ទិញ​បន្ថែម​ទៀត​ដើម្បី​បញ្ចប់។")</f>
        <v/>
      </c>
      <c r="E512" s="3" t="n"/>
      <c r="F512" s="3" t="inlineStr">
        <is>
          <t>វេននេះទទេហើយ សូមបន្ថែមការបញ្ជាទិញបន្ថែមទៀតដើម្បីបញ្ចប់។</t>
        </is>
      </c>
      <c r="G512" s="3" t="n"/>
      <c r="H512" t="inlineStr">
        <is>
          <t>វេននេះទទេហើយ សូមបន្ថែមការបញ្ជាទិញបន្ថែមទៀតដើម្បីបញ្ចប់។</t>
        </is>
      </c>
      <c r="I512" s="67" t="n"/>
      <c r="J512" s="67" t="n"/>
      <c r="K512" s="67" t="n"/>
      <c r="L512" s="67" t="n"/>
      <c r="M512" s="67" t="n"/>
      <c r="N512" s="67" t="n"/>
      <c r="O512" s="67" t="n"/>
      <c r="P512" s="67" t="n"/>
      <c r="Q512" s="67" t="n"/>
      <c r="R512" s="67" t="n"/>
      <c r="S512" s="67" t="n"/>
      <c r="T512" s="67" t="n"/>
      <c r="U512" s="67" t="n"/>
      <c r="V512" s="67" t="n"/>
      <c r="W512" s="67" t="n"/>
      <c r="X512" s="67" t="n"/>
      <c r="Y512" s="67" t="n"/>
      <c r="Z512" s="67" t="n"/>
      <c r="AA512" s="67" t="n"/>
      <c r="AB512" s="67" t="n"/>
    </row>
    <row r="513" ht="15.75" customHeight="1" s="305">
      <c r="A513" s="225" t="inlineStr">
        <is>
          <t>ORDER_NOT_EXIST</t>
        </is>
      </c>
      <c r="B513" s="67" t="inlineStr">
        <is>
          <t>Đơn hàng không tồn tại</t>
        </is>
      </c>
      <c r="C513" s="67" t="inlineStr">
        <is>
          <t>The order is not exist</t>
        </is>
      </c>
      <c r="D513" s="3">
        <f>IFERROR(__xludf.DUMMYFUNCTION("GOOGLETRANSLATE(B513,""vi"",""km"")"),"ការបញ្ជាទិញនេះមិនមានទេ។")</f>
        <v/>
      </c>
      <c r="E513" s="3" t="inlineStr">
        <is>
          <t>បុងបញ្ញើមិនមាន</t>
        </is>
      </c>
      <c r="F513" s="3" t="inlineStr">
        <is>
          <t>ការបញ្ជាទិញនេះមិនមានទេ។</t>
        </is>
      </c>
      <c r="G513" s="3" t="n"/>
      <c r="H513" t="inlineStr">
        <is>
          <t>ការបញ្ជាទិញនេះមិនមានទេ។</t>
        </is>
      </c>
      <c r="I513" s="67" t="n"/>
      <c r="J513" s="67" t="n"/>
      <c r="K513" s="67" t="n"/>
      <c r="L513" s="67" t="n"/>
      <c r="M513" s="67" t="n"/>
      <c r="N513" s="67" t="n"/>
      <c r="O513" s="67" t="n"/>
      <c r="P513" s="67" t="n"/>
      <c r="Q513" s="67" t="n"/>
      <c r="R513" s="67" t="n"/>
      <c r="S513" s="67" t="n"/>
      <c r="T513" s="67" t="n"/>
      <c r="U513" s="67" t="n"/>
      <c r="V513" s="67" t="n"/>
      <c r="W513" s="67" t="n"/>
      <c r="X513" s="67" t="n"/>
      <c r="Y513" s="67" t="n"/>
      <c r="Z513" s="67" t="n"/>
      <c r="AA513" s="67" t="n"/>
      <c r="AB513" s="67" t="n"/>
    </row>
    <row r="514" ht="15.75" customHeight="1" s="305">
      <c r="A514" s="225" t="inlineStr">
        <is>
          <t>NOT_ALLOWED_ASSIGNED</t>
        </is>
      </c>
      <c r="B514" s="67" t="inlineStr">
        <is>
          <t>Đơn hàng không được phép được phân công</t>
        </is>
      </c>
      <c r="C514" s="67" t="inlineStr">
        <is>
          <t>The order is not allowed to be assigned</t>
        </is>
      </c>
      <c r="D514" s="3">
        <f>IFERROR(__xludf.DUMMYFUNCTION("GOOGLETRANSLATE(B514,""vi"",""km"")"),"ការបញ្ជាទិញមិនត្រូវបានអនុញ្ញាតឱ្យផ្ទេរទេ។")</f>
        <v/>
      </c>
      <c r="E514" s="3" t="inlineStr">
        <is>
          <t>បុុងបញ្ញើមិនបានអនុញ្ញាតិ្តឲ្យបែងចែក</t>
        </is>
      </c>
      <c r="F514" s="3" t="inlineStr">
        <is>
          <t>ការបញ្ជាទិញមិនត្រូវបានអនុញ្ញាតឱ្យផ្ទេរទេ។</t>
        </is>
      </c>
      <c r="G514" s="3" t="n"/>
      <c r="H514" t="inlineStr">
        <is>
          <t>ការបញ្ជាទិញមិនត្រូវបានអនុញ្ញាតឱ្យផ្ទេរទេ។</t>
        </is>
      </c>
      <c r="I514" s="67" t="n"/>
      <c r="J514" s="67" t="n"/>
      <c r="K514" s="67" t="n"/>
      <c r="L514" s="67" t="n"/>
      <c r="M514" s="67" t="n"/>
      <c r="N514" s="67" t="n"/>
      <c r="O514" s="67" t="n"/>
      <c r="P514" s="67" t="n"/>
      <c r="Q514" s="67" t="n"/>
      <c r="R514" s="67" t="n"/>
      <c r="S514" s="67" t="n"/>
      <c r="T514" s="67" t="n"/>
      <c r="U514" s="67" t="n"/>
      <c r="V514" s="67" t="n"/>
      <c r="W514" s="67" t="n"/>
      <c r="X514" s="67" t="n"/>
      <c r="Y514" s="67" t="n"/>
      <c r="Z514" s="67" t="n"/>
      <c r="AA514" s="67" t="n"/>
      <c r="AB514" s="67" t="n"/>
    </row>
    <row r="515" ht="15.75" customHeight="1" s="305">
      <c r="A515" s="225" t="inlineStr">
        <is>
          <t>ASSIGNED_TO_SOMEONE</t>
        </is>
      </c>
      <c r="B515" s="67" t="inlineStr">
        <is>
          <t>Đơn hàng đã được phân công cho người khác</t>
        </is>
      </c>
      <c r="C515" s="67" t="inlineStr">
        <is>
          <t>The order has been assigned to someone else</t>
        </is>
      </c>
      <c r="D515" s="3">
        <f>IFERROR(__xludf.DUMMYFUNCTION("GOOGLETRANSLATE(B515,""vi"",""km"")"),"ការបញ្ជាទិញត្រូវបានចាត់ចែងទៅអ្នកផ្សេង។")</f>
        <v/>
      </c>
      <c r="E515" s="3" t="inlineStr">
        <is>
          <t>បុងបញ្ញើបានបែងចែកឲ្យអ្នកផ្សេង</t>
        </is>
      </c>
      <c r="F515" s="3" t="inlineStr">
        <is>
          <t>ការបញ្ជាទិញត្រូវបានចាត់ចែងទៅអ្នកផ្សេង។</t>
        </is>
      </c>
      <c r="G515" s="3" t="n"/>
      <c r="H515" t="inlineStr">
        <is>
          <t>ការបញ្ជាទិញត្រូវបានចាត់ចែងទៅអ្នកផ្សេង។</t>
        </is>
      </c>
      <c r="I515" s="67" t="n"/>
      <c r="J515" s="67" t="n"/>
      <c r="K515" s="67" t="n"/>
      <c r="L515" s="67" t="n"/>
      <c r="M515" s="67" t="n"/>
      <c r="N515" s="67" t="n"/>
      <c r="O515" s="67" t="n"/>
      <c r="P515" s="67" t="n"/>
      <c r="Q515" s="67" t="n"/>
      <c r="R515" s="67" t="n"/>
      <c r="S515" s="67" t="n"/>
      <c r="T515" s="67" t="n"/>
      <c r="U515" s="67" t="n"/>
      <c r="V515" s="67" t="n"/>
      <c r="W515" s="67" t="n"/>
      <c r="X515" s="67" t="n"/>
      <c r="Y515" s="67" t="n"/>
      <c r="Z515" s="67" t="n"/>
      <c r="AA515" s="67" t="n"/>
      <c r="AB515" s="67" t="n"/>
    </row>
    <row r="516" ht="15.75" customHeight="1" s="305">
      <c r="A516" s="225" t="inlineStr">
        <is>
          <t>ADDED_TO_ASSIGNMENT</t>
        </is>
      </c>
      <c r="B516" s="67" t="inlineStr">
        <is>
          <t>Đơn hàng đã được thêm vào danh sách phân công</t>
        </is>
      </c>
      <c r="C516" s="67" t="inlineStr">
        <is>
          <t>The order has been added to the assignment list</t>
        </is>
      </c>
      <c r="D516" s="3">
        <f>IFERROR(__xludf.DUMMYFUNCTION("GOOGLETRANSLATE(B516,""vi"",""km"")"),"ការបញ្ជាទិញត្រូវបានបន្ថែមទៅក្នុងបញ្ជីកិច្ចការ។")</f>
        <v/>
      </c>
      <c r="E516" s="3" t="inlineStr">
        <is>
          <t>បុងបញ្ញើត្រូវបានថែមក្នុងបញ្ជីបែងចែកការងារ</t>
        </is>
      </c>
      <c r="F516" s="3" t="inlineStr">
        <is>
          <t>ការបញ្ជាទិញត្រូវបានបន្ថែមទៅក្នុងបញ្ជីកិច្ចការ។</t>
        </is>
      </c>
      <c r="G516" s="3" t="n"/>
      <c r="H516" t="inlineStr">
        <is>
          <t>ការបញ្ជាទិញត្រូវបានបន្ថែមទៅក្នុងបញ្ជីកិច្ចការ។</t>
        </is>
      </c>
      <c r="I516" s="67" t="n"/>
      <c r="J516" s="67" t="n"/>
      <c r="K516" s="67" t="n"/>
      <c r="L516" s="67" t="n"/>
      <c r="M516" s="67" t="n"/>
      <c r="N516" s="67" t="n"/>
      <c r="O516" s="67" t="n"/>
      <c r="P516" s="67" t="n"/>
      <c r="Q516" s="67" t="n"/>
      <c r="R516" s="67" t="n"/>
      <c r="S516" s="67" t="n"/>
      <c r="T516" s="67" t="n"/>
      <c r="U516" s="67" t="n"/>
      <c r="V516" s="67" t="n"/>
      <c r="W516" s="67" t="n"/>
      <c r="X516" s="67" t="n"/>
      <c r="Y516" s="67" t="n"/>
      <c r="Z516" s="67" t="n"/>
      <c r="AA516" s="67" t="n"/>
      <c r="AB516" s="67" t="n"/>
    </row>
    <row r="517" ht="15.75" customHeight="1" s="305">
      <c r="A517" s="225" t="inlineStr">
        <is>
          <t>ORDER_HAS_CONFIRMED</t>
        </is>
      </c>
      <c r="B517" s="67" t="inlineStr">
        <is>
          <t>Đơn hàng đã được xác nhận</t>
        </is>
      </c>
      <c r="C517" s="67" t="inlineStr">
        <is>
          <t>The order has been confirmed</t>
        </is>
      </c>
      <c r="D517" s="3">
        <f>IFERROR(__xludf.DUMMYFUNCTION("GOOGLETRANSLATE(B517,""vi"",""km"")"),"ការបញ្ជាទិញត្រូវបានបញ្ជាក់។")</f>
        <v/>
      </c>
      <c r="E517" s="3" t="inlineStr">
        <is>
          <t>បុងបញ្ញើបានបញ្ជាក់</t>
        </is>
      </c>
      <c r="F517" s="3" t="inlineStr">
        <is>
          <t>ការបញ្ជាទិញត្រូវបានបញ្ជាក់។</t>
        </is>
      </c>
      <c r="G517" s="3" t="n"/>
      <c r="H517" t="inlineStr">
        <is>
          <t>ការបញ្ជាទិញត្រូវបានបញ្ជាក់។</t>
        </is>
      </c>
      <c r="I517" s="67" t="n"/>
      <c r="J517" s="67" t="n"/>
      <c r="K517" s="67" t="n"/>
      <c r="L517" s="67" t="n"/>
      <c r="M517" s="67" t="n"/>
      <c r="N517" s="67" t="n"/>
      <c r="O517" s="67" t="n"/>
      <c r="P517" s="67" t="n"/>
      <c r="Q517" s="67" t="n"/>
      <c r="R517" s="67" t="n"/>
      <c r="S517" s="67" t="n"/>
      <c r="T517" s="67" t="n"/>
      <c r="U517" s="67" t="n"/>
      <c r="V517" s="67" t="n"/>
      <c r="W517" s="67" t="n"/>
      <c r="X517" s="67" t="n"/>
      <c r="Y517" s="67" t="n"/>
      <c r="Z517" s="67" t="n"/>
      <c r="AA517" s="67" t="n"/>
      <c r="AB517" s="67" t="n"/>
    </row>
    <row r="518" ht="15.75" customHeight="1" s="305">
      <c r="A518" s="225" t="inlineStr">
        <is>
          <t>NO_ORDERS_IN_ASSIGMENT</t>
        </is>
      </c>
      <c r="B518" s="67" t="inlineStr">
        <is>
          <t>Không có đơn hàng nào trong danh sách phân công</t>
        </is>
      </c>
      <c r="C518" s="67" t="inlineStr">
        <is>
          <t>No orders in the assignment list</t>
        </is>
      </c>
      <c r="D518" s="3">
        <f>IFERROR(__xludf.DUMMYFUNCTION("GOOGLETRANSLATE(B518,""vi"",""km"")"),"មិនមានការបញ្ជាទិញនៅក្នុងបញ្ជីកិច្ចការទេ។")</f>
        <v/>
      </c>
      <c r="E518" s="3" t="inlineStr">
        <is>
          <t>មិនមានបុងបញ្ញើមួយណាក្នុងបញ្ជីបែងចែកការងារ</t>
        </is>
      </c>
      <c r="F518" s="3" t="inlineStr">
        <is>
          <t>មិនមានការបញ្ជាទិញនៅក្នុងបញ្ជីកិច្ចការទេ។</t>
        </is>
      </c>
      <c r="G518" s="3" t="n"/>
      <c r="H518" t="inlineStr">
        <is>
          <t>មិនមានការបញ្ជាទិញនៅក្នុងបញ្ជីកិច្ចការទេ។</t>
        </is>
      </c>
      <c r="I518" s="67" t="n"/>
      <c r="J518" s="67" t="n"/>
      <c r="K518" s="67" t="n"/>
      <c r="L518" s="67" t="n"/>
      <c r="M518" s="67" t="n"/>
      <c r="N518" s="67" t="n"/>
      <c r="O518" s="67" t="n"/>
      <c r="P518" s="67" t="n"/>
      <c r="Q518" s="67" t="n"/>
      <c r="R518" s="67" t="n"/>
      <c r="S518" s="67" t="n"/>
      <c r="T518" s="67" t="n"/>
      <c r="U518" s="67" t="n"/>
      <c r="V518" s="67" t="n"/>
      <c r="W518" s="67" t="n"/>
      <c r="X518" s="67" t="n"/>
      <c r="Y518" s="67" t="n"/>
      <c r="Z518" s="67" t="n"/>
      <c r="AA518" s="67" t="n"/>
      <c r="AB518" s="67" t="n"/>
    </row>
    <row r="519" ht="15.75" customHeight="1" s="305">
      <c r="A519" s="225" t="inlineStr">
        <is>
          <t>NOT_ALLOWED_TRANSFERRED</t>
        </is>
      </c>
      <c r="B519" s="67" t="inlineStr">
        <is>
          <t>Đơn hàng không được phép chuyển (trả la, chuyển tiếp)</t>
        </is>
      </c>
      <c r="C519" s="67" t="inlineStr">
        <is>
          <t>The order is not allowed to be transferred (returned, forwarded)</t>
        </is>
      </c>
      <c r="D519" s="3">
        <f>IFERROR(__xludf.DUMMYFUNCTION("GOOGLETRANSLATE(B519,""vi"",""km"")"),"ការបញ្ជាទិញមិនត្រូវបានអនុញ្ញាតឱ្យផ្ទេរ (ប្រគល់ជូនវិញ បញ្ជូនបន្ត) ទេ។")</f>
        <v/>
      </c>
      <c r="E519" s="3" t="inlineStr">
        <is>
          <t>បុងបញ្ញើមិនអនុញ្ញាតិ្តឲ្យបញ្ជូនបន្ត (សងត្រលប់, បញ្ជូនបន្ត)</t>
        </is>
      </c>
      <c r="F519" s="3" t="inlineStr">
        <is>
          <t>ការបញ្ជាទិញមិនត្រូវបានអនុញ្ញាតឱ្យផ្ទេរ (ប្រគល់ជូនវិញ បញ្ជូនបន្ត) ទេ។</t>
        </is>
      </c>
      <c r="G519" s="3" t="n"/>
      <c r="H519" t="inlineStr">
        <is>
          <t>ការបញ្ជាទិញមិនត្រូវបានអនុញ្ញាតឱ្យផ្ទេរ (ប្រគល់ជូនវិញ បញ្ជូនបន្ត) ទេ។</t>
        </is>
      </c>
      <c r="I519" s="67" t="n"/>
      <c r="J519" s="67" t="n"/>
      <c r="K519" s="67" t="n"/>
      <c r="L519" s="67" t="n"/>
      <c r="M519" s="67" t="n"/>
      <c r="N519" s="67" t="n"/>
      <c r="O519" s="67" t="n"/>
      <c r="P519" s="67" t="n"/>
      <c r="Q519" s="67" t="n"/>
      <c r="R519" s="67" t="n"/>
      <c r="S519" s="67" t="n"/>
      <c r="T519" s="67" t="n"/>
      <c r="U519" s="67" t="n"/>
      <c r="V519" s="67" t="n"/>
      <c r="W519" s="67" t="n"/>
      <c r="X519" s="67" t="n"/>
      <c r="Y519" s="67" t="n"/>
      <c r="Z519" s="67" t="n"/>
      <c r="AA519" s="67" t="n"/>
      <c r="AB519" s="67" t="n"/>
    </row>
    <row r="520" ht="15.75" customHeight="1" s="305">
      <c r="A520" s="225" t="inlineStr">
        <is>
          <t>MUST_DIFFERENT_EMPLOYEE</t>
        </is>
      </c>
      <c r="B520" s="67" t="inlineStr">
        <is>
          <t>Người xử lý chuyển tiếp phải khách với người xử lý hiện tại.</t>
        </is>
      </c>
      <c r="C520" s="67" t="inlineStr">
        <is>
          <t>The employee handling the transfer must be different from the current employee</t>
        </is>
      </c>
      <c r="D520" s="3">
        <f>IFERROR(__xludf.DUMMYFUNCTION("GOOGLETRANSLATE(B520,""vi"",""km"")"),"អ្នកដែលដោះស្រាយការផ្លាស់ប្តូរត្រូវតែខុសពីអ្នកដែលដោះស្រាយការផ្លាស់ប្តូរបច្ចុប្បន្ន។")</f>
        <v/>
      </c>
      <c r="E520" s="3" t="inlineStr">
        <is>
          <t>អ្នកដោះស្រាយបញ្ជូនបន្តឲ្យត្រូវអតិថិជនជាមួយអ្នកដោះស្រាយបច្ចុប្បន្ន</t>
        </is>
      </c>
      <c r="F520" s="3" t="inlineStr">
        <is>
          <t>អ្នកដែលដោះស្រាយការផ្លាស់ប្តូរត្រូវតែខុសពីអ្នកដែលដោះស្រាយការផ្លាស់ប្តូរបច្ចុប្បន្ន។</t>
        </is>
      </c>
      <c r="G520" s="3" t="n"/>
      <c r="H520" t="inlineStr">
        <is>
          <t>អ្នកដែលដោះស្រាយការផ្លាស់ប្តូរត្រូវតែខុសពីអ្នកដែលដោះស្រាយការផ្លាស់ប្តូរបច្ចុប្បន្ន។</t>
        </is>
      </c>
      <c r="I520" s="67" t="n"/>
      <c r="J520" s="67" t="n"/>
      <c r="K520" s="67" t="n"/>
      <c r="L520" s="67" t="n"/>
      <c r="M520" s="67" t="n"/>
      <c r="N520" s="67" t="n"/>
      <c r="O520" s="67" t="n"/>
      <c r="P520" s="67" t="n"/>
      <c r="Q520" s="67" t="n"/>
      <c r="R520" s="67" t="n"/>
      <c r="S520" s="67" t="n"/>
      <c r="T520" s="67" t="n"/>
      <c r="U520" s="67" t="n"/>
      <c r="V520" s="67" t="n"/>
      <c r="W520" s="67" t="n"/>
      <c r="X520" s="67" t="n"/>
      <c r="Y520" s="67" t="n"/>
      <c r="Z520" s="67" t="n"/>
      <c r="AA520" s="67" t="n"/>
      <c r="AB520" s="67" t="n"/>
    </row>
    <row r="521" ht="15.75" customHeight="1" s="305">
      <c r="A521" s="225" t="inlineStr">
        <is>
          <t>ORDER_NOT_PICKUP</t>
        </is>
      </c>
      <c r="B521" s="67" t="inlineStr">
        <is>
          <t>Đơn hàng chưa được đón lên.</t>
        </is>
      </c>
      <c r="C521" s="67" t="inlineStr">
        <is>
          <t>The order has not been picked up yet</t>
        </is>
      </c>
      <c r="D521" s="3">
        <f>IFERROR(__xludf.DUMMYFUNCTION("GOOGLETRANSLATE(B521,""vi"",""km"")"),"ការបញ្ជាទិញមិនទាន់ត្រូវបានទទួលយកនៅឡើយទេ។")</f>
        <v/>
      </c>
      <c r="E521" s="3" t="n"/>
      <c r="F521" s="3" t="inlineStr">
        <is>
          <t>ការបញ្ជាទិញមិនទាន់ត្រូវបានទទួលយកនៅឡើយទេ។</t>
        </is>
      </c>
      <c r="G521" s="3" t="n"/>
      <c r="H521" t="inlineStr">
        <is>
          <t>ការបញ្ជាទិញមិនទាន់ត្រូវបានទទួលយកនៅឡើយទេ។</t>
        </is>
      </c>
      <c r="I521" s="67" t="n"/>
      <c r="J521" s="67" t="n"/>
      <c r="K521" s="67" t="n"/>
      <c r="L521" s="67" t="n"/>
      <c r="M521" s="67" t="n"/>
      <c r="N521" s="67" t="n"/>
      <c r="O521" s="67" t="n"/>
      <c r="P521" s="67" t="n"/>
      <c r="Q521" s="67" t="n"/>
      <c r="R521" s="67" t="n"/>
      <c r="S521" s="67" t="n"/>
      <c r="T521" s="67" t="n"/>
      <c r="U521" s="67" t="n"/>
      <c r="V521" s="67" t="n"/>
      <c r="W521" s="67" t="n"/>
      <c r="X521" s="67" t="n"/>
      <c r="Y521" s="67" t="n"/>
      <c r="Z521" s="67" t="n"/>
      <c r="AA521" s="67" t="n"/>
      <c r="AB521" s="67" t="n"/>
    </row>
    <row r="522" ht="15.75" customHeight="1" s="305">
      <c r="A522" s="225" t="inlineStr">
        <is>
          <t>CUSTOMER_NOT_FOUND</t>
        </is>
      </c>
      <c r="B522" s="67" t="inlineStr">
        <is>
          <t>Không tìm thấy thông tin khách hàng.</t>
        </is>
      </c>
      <c r="C522" s="67" t="inlineStr">
        <is>
          <t>Customer is not found.</t>
        </is>
      </c>
      <c r="D522" s="3">
        <f>IFERROR(__xludf.DUMMYFUNCTION("GOOGLETRANSLATE(B522,""vi"",""km"")"),"រកមិនឃើញព័ត៌មានអតិថិជនទេ។")</f>
        <v/>
      </c>
      <c r="E522" s="67" t="inlineStr">
        <is>
          <t>រកមិនឃើញអតិថិជនទេ។</t>
        </is>
      </c>
      <c r="F522" s="3" t="inlineStr">
        <is>
          <t>រកមិនឃើញព័ត៌មានអតិថិជនទេ។</t>
        </is>
      </c>
      <c r="G522" s="3" t="n"/>
      <c r="H522" t="inlineStr">
        <is>
          <t>រកមិនឃើញព័ត៌មានអតិថិជនទេ។</t>
        </is>
      </c>
      <c r="I522" s="67" t="n"/>
      <c r="J522" s="67" t="n"/>
      <c r="K522" s="67" t="n"/>
      <c r="L522" s="67" t="n"/>
      <c r="M522" s="67" t="n"/>
      <c r="N522" s="67" t="n"/>
      <c r="O522" s="67" t="n"/>
      <c r="P522" s="67" t="n"/>
      <c r="Q522" s="67" t="n"/>
      <c r="R522" s="67" t="n"/>
      <c r="S522" s="67" t="n"/>
      <c r="T522" s="67" t="n"/>
      <c r="U522" s="67" t="n"/>
      <c r="V522" s="67" t="n"/>
      <c r="W522" s="67" t="n"/>
      <c r="X522" s="67" t="n"/>
      <c r="Y522" s="67" t="n"/>
      <c r="Z522" s="67" t="n"/>
      <c r="AA522" s="67" t="n"/>
      <c r="AB522" s="67" t="n"/>
    </row>
    <row r="523" ht="15.75" customHeight="1" s="305">
      <c r="A523" s="225" t="inlineStr">
        <is>
          <t>CUSTOMER_REQUEST_DATA_INVALID</t>
        </is>
      </c>
      <c r="B523" s="67" t="inlineStr">
        <is>
          <t>Thông tin tìm kiếm khách hàng không hợp lệ.</t>
        </is>
      </c>
      <c r="C523" s="67" t="inlineStr">
        <is>
          <t>Invalid customer search information.</t>
        </is>
      </c>
      <c r="D523" s="3">
        <f>IFERROR(__xludf.DUMMYFUNCTION("GOOGLETRANSLATE(B523,""vi"",""km"")"),"ព័ត៌មានស្វែងរកអតិថិជនមិនត្រឹមត្រូវ។")</f>
        <v/>
      </c>
      <c r="E523" s="3" t="inlineStr">
        <is>
          <t>ព័ត៌មានស្វែងរកអតិថិជនមិនត្រឹមត្រូវ</t>
        </is>
      </c>
      <c r="F523" s="3" t="inlineStr">
        <is>
          <t>ព័ត៌មានស្វែងរកអតិថិជនមិនត្រឹមត្រូវ។</t>
        </is>
      </c>
      <c r="G523" s="3" t="n"/>
      <c r="H523" t="inlineStr">
        <is>
          <t>ព័ត៌មានស្វែងរកអតិថិជនមិនត្រឹមត្រូវ។</t>
        </is>
      </c>
      <c r="I523" s="67" t="n"/>
      <c r="J523" s="67" t="n"/>
      <c r="K523" s="67" t="n"/>
      <c r="L523" s="67" t="n"/>
      <c r="M523" s="67" t="n"/>
      <c r="N523" s="67" t="n"/>
      <c r="O523" s="67" t="n"/>
      <c r="P523" s="67" t="n"/>
      <c r="Q523" s="67" t="n"/>
      <c r="R523" s="67" t="n"/>
      <c r="S523" s="67" t="n"/>
      <c r="T523" s="67" t="n"/>
      <c r="U523" s="67" t="n"/>
      <c r="V523" s="67" t="n"/>
      <c r="W523" s="67" t="n"/>
      <c r="X523" s="67" t="n"/>
      <c r="Y523" s="67" t="n"/>
      <c r="Z523" s="67" t="n"/>
      <c r="AA523" s="67" t="n"/>
      <c r="AB523" s="67" t="n"/>
    </row>
    <row r="524" ht="15.75" customHeight="1" s="305">
      <c r="A524" s="225" t="inlineStr">
        <is>
          <t>CUSTOMER_RESPONSE_DATA_INVALID</t>
        </is>
      </c>
      <c r="B524" s="67" t="inlineStr">
        <is>
          <t>Thông tin phản hồi khách hàng không hợp lệ.</t>
        </is>
      </c>
      <c r="C524" s="67" t="inlineStr">
        <is>
          <t>Invalid customer response information.</t>
        </is>
      </c>
      <c r="D524" s="3">
        <f>IFERROR(__xludf.DUMMYFUNCTION("GOOGLETRANSLATE(B524,""vi"",""km"")"),"ព័ត៌មាន​មតិ​កែលម្អ​របស់​អតិថិជន​មិន​ត្រឹមត្រូវ។")</f>
        <v/>
      </c>
      <c r="E524" s="3" t="inlineStr">
        <is>
          <t>ព័ត៌មានឆ្លើយតបអតិថិជនមិនត្រឹមត្រូវ</t>
        </is>
      </c>
      <c r="F524" s="3" t="inlineStr">
        <is>
          <t>ព័ត៌មានមតិកែលម្អរបស់អតិថិជនមិនត្រឹមត្រូវ។</t>
        </is>
      </c>
      <c r="G524" s="3" t="n"/>
      <c r="H524" t="inlineStr">
        <is>
          <t>ព័ត៌មានមតិកែលម្អរបស់អតិថិជនមិនត្រឹមត្រូវ។</t>
        </is>
      </c>
      <c r="I524" s="67" t="n"/>
      <c r="J524" s="67" t="n"/>
      <c r="K524" s="67" t="n"/>
      <c r="L524" s="67" t="n"/>
      <c r="M524" s="67" t="n"/>
      <c r="N524" s="67" t="n"/>
      <c r="O524" s="67" t="n"/>
      <c r="P524" s="67" t="n"/>
      <c r="Q524" s="67" t="n"/>
      <c r="R524" s="67" t="n"/>
      <c r="S524" s="67" t="n"/>
      <c r="T524" s="67" t="n"/>
      <c r="U524" s="67" t="n"/>
      <c r="V524" s="67" t="n"/>
      <c r="W524" s="67" t="n"/>
      <c r="X524" s="67" t="n"/>
      <c r="Y524" s="67" t="n"/>
      <c r="Z524" s="67" t="n"/>
      <c r="AA524" s="67" t="n"/>
      <c r="AB524" s="67" t="n"/>
    </row>
    <row r="525" ht="15.75" customHeight="1" s="305">
      <c r="A525" s="225" t="inlineStr">
        <is>
          <t>CUSTOMER_CREATE_FAIL</t>
        </is>
      </c>
      <c r="B525" s="67" t="inlineStr">
        <is>
          <t>Tạo mới thông tin khách hàng thất bại.</t>
        </is>
      </c>
      <c r="C525" s="67" t="inlineStr">
        <is>
          <t>Create new customer is fail.</t>
        </is>
      </c>
      <c r="D525" s="3">
        <f>IFERROR(__xludf.DUMMYFUNCTION("GOOGLETRANSLATE(B525,""vi"",""km"")"),"ការបង្កើតព័ត៌មានអតិថិជនថ្មីបានបរាជ័យ។")</f>
        <v/>
      </c>
      <c r="E525" s="3" t="inlineStr">
        <is>
          <t>ការបង្កើតព័ត៌មានអតិថិជនបរាជ័យ</t>
        </is>
      </c>
      <c r="F525" s="3" t="inlineStr">
        <is>
          <t>ការបង្កើតព័ត៌មានអតិថិជនថ្មីបានបរាជ័យ។</t>
        </is>
      </c>
      <c r="G525" s="3" t="n"/>
      <c r="H525" t="inlineStr">
        <is>
          <t>ការបង្កើតព័ត៌មានអតិថិជនថ្មីបានបរាជ័យ។</t>
        </is>
      </c>
      <c r="I525" s="67" t="n"/>
      <c r="J525" s="67" t="n"/>
      <c r="K525" s="67" t="n"/>
      <c r="L525" s="67" t="n"/>
      <c r="M525" s="67" t="n"/>
      <c r="N525" s="67" t="n"/>
      <c r="O525" s="67" t="n"/>
      <c r="P525" s="67" t="n"/>
      <c r="Q525" s="67" t="n"/>
      <c r="R525" s="67" t="n"/>
      <c r="S525" s="67" t="n"/>
      <c r="T525" s="67" t="n"/>
      <c r="U525" s="67" t="n"/>
      <c r="V525" s="67" t="n"/>
      <c r="W525" s="67" t="n"/>
      <c r="X525" s="67" t="n"/>
      <c r="Y525" s="67" t="n"/>
      <c r="Z525" s="67" t="n"/>
      <c r="AA525" s="67" t="n"/>
      <c r="AB525" s="67" t="n"/>
    </row>
    <row r="526" ht="15.75" customHeight="1" s="305">
      <c r="A526" s="225" t="inlineStr">
        <is>
          <t>CUSTOMER_UPDATE_FAIL</t>
        </is>
      </c>
      <c r="B526" s="67" t="inlineStr">
        <is>
          <t>Cập nhật thông tin khách hàng thất bại.</t>
        </is>
      </c>
      <c r="C526" s="67" t="inlineStr">
        <is>
          <t>Update customer information is fail.</t>
        </is>
      </c>
      <c r="D526" s="3">
        <f>IFERROR(__xludf.DUMMYFUNCTION("GOOGLETRANSLATE(B526,""vi"",""km"")"),"ការអាប់ដេតព័ត៌មានអតិថិជនបរាជ័យ។")</f>
        <v/>
      </c>
      <c r="E526" s="3" t="inlineStr">
        <is>
          <t>អាប់ដេតព័ត៌មានអតិថិជនបរាជ័យ</t>
        </is>
      </c>
      <c r="F526" s="3" t="inlineStr">
        <is>
          <t>ការអាប់ដេតព័ត៌មានអតិថិជនបរាជ័យ។</t>
        </is>
      </c>
      <c r="G526" s="3" t="n"/>
      <c r="H526" t="inlineStr">
        <is>
          <t>ការអាប់ដេតព័ត៌មានអតិថិជនបរាជ័យ។</t>
        </is>
      </c>
      <c r="I526" s="67" t="n"/>
      <c r="J526" s="67" t="n"/>
      <c r="K526" s="67" t="n"/>
      <c r="L526" s="67" t="n"/>
      <c r="M526" s="67" t="n"/>
      <c r="N526" s="67" t="n"/>
      <c r="O526" s="67" t="n"/>
      <c r="P526" s="67" t="n"/>
      <c r="Q526" s="67" t="n"/>
      <c r="R526" s="67" t="n"/>
      <c r="S526" s="67" t="n"/>
      <c r="T526" s="67" t="n"/>
      <c r="U526" s="67" t="n"/>
      <c r="V526" s="67" t="n"/>
      <c r="W526" s="67" t="n"/>
      <c r="X526" s="67" t="n"/>
      <c r="Y526" s="67" t="n"/>
      <c r="Z526" s="67" t="n"/>
      <c r="AA526" s="67" t="n"/>
      <c r="AB526" s="67" t="n"/>
    </row>
    <row r="527" ht="15.75" customHeight="1" s="305">
      <c r="A527" s="225" t="inlineStr">
        <is>
          <t>ORDER_CREATE_FAIL</t>
        </is>
      </c>
      <c r="B527" s="67" t="inlineStr">
        <is>
          <t>Tạo thông tin đơn hàng thất bại.</t>
        </is>
      </c>
      <c r="C527" s="67" t="inlineStr">
        <is>
          <t>Create new order is fail.</t>
        </is>
      </c>
      <c r="D527" s="3">
        <f>IFERROR(__xludf.DUMMYFUNCTION("GOOGLETRANSLATE(B527,""vi"",""km"")"),"បង្កើតព័ត៌មានសម្រាប់ការបញ្ជាទិញដែលបរាជ័យ។")</f>
        <v/>
      </c>
      <c r="E527" s="3" t="inlineStr">
        <is>
          <t>បង្កើតព័ត៌មានបុងបញ្ញើបានបរាជ័យ</t>
        </is>
      </c>
      <c r="F527" s="3" t="inlineStr">
        <is>
          <t>បង្កើតព័ត៌មានសម្រាប់ការបញ្ជាទិញដែលបរាជ័យ។</t>
        </is>
      </c>
      <c r="G527" s="3" t="n"/>
      <c r="H527" t="inlineStr">
        <is>
          <t>បង្កើតព័ត៌មានសម្រាប់ការបញ្ជាទិញដែលបរាជ័យ។</t>
        </is>
      </c>
      <c r="I527" s="67" t="n"/>
      <c r="J527" s="67" t="n"/>
      <c r="K527" s="67" t="n"/>
      <c r="L527" s="67" t="n"/>
      <c r="M527" s="67" t="n"/>
      <c r="N527" s="67" t="n"/>
      <c r="O527" s="67" t="n"/>
      <c r="P527" s="67" t="n"/>
      <c r="Q527" s="67" t="n"/>
      <c r="R527" s="67" t="n"/>
      <c r="S527" s="67" t="n"/>
      <c r="T527" s="67" t="n"/>
      <c r="U527" s="67" t="n"/>
      <c r="V527" s="67" t="n"/>
      <c r="W527" s="67" t="n"/>
      <c r="X527" s="67" t="n"/>
      <c r="Y527" s="67" t="n"/>
      <c r="Z527" s="67" t="n"/>
      <c r="AA527" s="67" t="n"/>
      <c r="AB527" s="67" t="n"/>
    </row>
    <row r="528" ht="15.75" customHeight="1" s="305">
      <c r="A528" s="225" t="inlineStr">
        <is>
          <t>ORDER_UPDATE_FAIL</t>
        </is>
      </c>
      <c r="B528" s="67" t="inlineStr">
        <is>
          <t>Cập nhật thông tin đơn hàng thất bại.</t>
        </is>
      </c>
      <c r="C528" s="67" t="inlineStr">
        <is>
          <t>Update order information is fail.</t>
        </is>
      </c>
      <c r="D528" s="3">
        <f>IFERROR(__xludf.DUMMYFUNCTION("GOOGLETRANSLATE(B528,""vi"",""km"")"),"ធ្វើបច្ចុប្បន្នភាពព័ត៌មានលើការបញ្ជាទិញដែលបរាជ័យ។")</f>
        <v/>
      </c>
      <c r="E528" s="3" t="inlineStr">
        <is>
          <t>អាប់ដេតព័ត៌មានបុងបញ្ញើបរាជ័យ</t>
        </is>
      </c>
      <c r="F528" s="3" t="inlineStr">
        <is>
          <t>ធ្វើបច្ចុប្បន្នភាពព័ត៌មានលើការបញ្ជាទិញដែលបរាជ័យ។</t>
        </is>
      </c>
      <c r="G528" s="3" t="n"/>
      <c r="H528" t="inlineStr">
        <is>
          <t>ធ្វើបច្ចុប្បន្នភាពព័ត៌មានលើការបញ្ជាទិញដែលបរាជ័យ។</t>
        </is>
      </c>
      <c r="I528" s="67" t="n"/>
      <c r="J528" s="67" t="n"/>
      <c r="K528" s="67" t="n"/>
      <c r="L528" s="67" t="n"/>
      <c r="M528" s="67" t="n"/>
      <c r="N528" s="67" t="n"/>
      <c r="O528" s="67" t="n"/>
      <c r="P528" s="67" t="n"/>
      <c r="Q528" s="67" t="n"/>
      <c r="R528" s="67" t="n"/>
      <c r="S528" s="67" t="n"/>
      <c r="T528" s="67" t="n"/>
      <c r="U528" s="67" t="n"/>
      <c r="V528" s="67" t="n"/>
      <c r="W528" s="67" t="n"/>
      <c r="X528" s="67" t="n"/>
      <c r="Y528" s="67" t="n"/>
      <c r="Z528" s="67" t="n"/>
      <c r="AA528" s="67" t="n"/>
      <c r="AB528" s="67" t="n"/>
    </row>
    <row r="529" ht="15.75" customHeight="1" s="305">
      <c r="A529" s="225" t="inlineStr">
        <is>
          <t>ORDER_NOT_FOUND</t>
        </is>
      </c>
      <c r="B529" s="67" t="inlineStr">
        <is>
          <t>Không tìm thấy thông tin đơn hàng.</t>
        </is>
      </c>
      <c r="C529" s="67" t="inlineStr">
        <is>
          <t>Order is not found.</t>
        </is>
      </c>
      <c r="D529" s="3">
        <f>IFERROR(__xludf.DUMMYFUNCTION("GOOGLETRANSLATE(B529,""vi"",""km"")"),"រកមិនឃើញព័ត៌មានបញ្ជាទិញទេ។")</f>
        <v/>
      </c>
      <c r="E529" s="3" t="inlineStr">
        <is>
          <t>មិនស្វែងរកឃើញព័ត៌មានបុងបញ្ញើ</t>
        </is>
      </c>
      <c r="F529" s="3" t="inlineStr">
        <is>
          <t>រកមិនឃើញព័ត៌មានបញ្ជាទិញទេ។</t>
        </is>
      </c>
      <c r="G529" s="3" t="n"/>
      <c r="H529" t="inlineStr">
        <is>
          <t>រកមិនឃើញព័ត៌មានបញ្ជាទិញទេ។</t>
        </is>
      </c>
      <c r="I529" s="67" t="n"/>
      <c r="J529" s="67" t="n"/>
      <c r="K529" s="67" t="n"/>
      <c r="L529" s="67" t="n"/>
      <c r="M529" s="67" t="n"/>
      <c r="N529" s="67" t="n"/>
      <c r="O529" s="67" t="n"/>
      <c r="P529" s="67" t="n"/>
      <c r="Q529" s="67" t="n"/>
      <c r="R529" s="67" t="n"/>
      <c r="S529" s="67" t="n"/>
      <c r="T529" s="67" t="n"/>
      <c r="U529" s="67" t="n"/>
      <c r="V529" s="67" t="n"/>
      <c r="W529" s="67" t="n"/>
      <c r="X529" s="67" t="n"/>
      <c r="Y529" s="67" t="n"/>
      <c r="Z529" s="67" t="n"/>
      <c r="AA529" s="67" t="n"/>
      <c r="AB529" s="67" t="n"/>
    </row>
    <row r="530" ht="15.75" customHeight="1" s="305">
      <c r="A530" s="225" t="inlineStr">
        <is>
          <t>ORDER_REQUEST_DATA_INVALID</t>
        </is>
      </c>
      <c r="B530" s="67" t="inlineStr">
        <is>
          <t>Thông tin tìm kiếm đơn hàng không hợp lệ.</t>
        </is>
      </c>
      <c r="C530" s="67" t="inlineStr">
        <is>
          <t>Invalid order search information.</t>
        </is>
      </c>
      <c r="D530" s="3">
        <f>IFERROR(__xludf.DUMMYFUNCTION("GOOGLETRANSLATE(B530,""vi"",""km"")"),"ព័ត៌មានស្វែងរកការបញ្ជាទិញមិនត្រឹមត្រូវ។")</f>
        <v/>
      </c>
      <c r="E530" s="3" t="inlineStr">
        <is>
          <t>ព័ត៌មានស្វែងរកបុងបញ្ញើមិនត្រឹមត្រូវ</t>
        </is>
      </c>
      <c r="F530" s="3" t="inlineStr">
        <is>
          <t>ព័ត៌មានស្វែងរកការបញ្ជាទិញមិនត្រឹមត្រូវ។</t>
        </is>
      </c>
      <c r="G530" s="3" t="n"/>
      <c r="H530" t="inlineStr">
        <is>
          <t>ព័ត៌មានស្វែងរកការបញ្ជាទិញមិនត្រឹមត្រូវ។</t>
        </is>
      </c>
      <c r="I530" s="67" t="n"/>
      <c r="J530" s="67" t="n"/>
      <c r="K530" s="67" t="n"/>
      <c r="L530" s="67" t="n"/>
      <c r="M530" s="67" t="n"/>
      <c r="N530" s="67" t="n"/>
      <c r="O530" s="67" t="n"/>
      <c r="P530" s="67" t="n"/>
      <c r="Q530" s="67" t="n"/>
      <c r="R530" s="67" t="n"/>
      <c r="S530" s="67" t="n"/>
      <c r="T530" s="67" t="n"/>
      <c r="U530" s="67" t="n"/>
      <c r="V530" s="67" t="n"/>
      <c r="W530" s="67" t="n"/>
      <c r="X530" s="67" t="n"/>
      <c r="Y530" s="67" t="n"/>
      <c r="Z530" s="67" t="n"/>
      <c r="AA530" s="67" t="n"/>
      <c r="AB530" s="67" t="n"/>
    </row>
    <row r="531" ht="15.75" customHeight="1" s="305">
      <c r="A531" s="225" t="inlineStr">
        <is>
          <t>ORDER_RESPONSE_DATA_INVALID</t>
        </is>
      </c>
      <c r="B531" s="67" t="inlineStr">
        <is>
          <t>Thông tin phản hồi đơn hàng không hợp lệ.</t>
        </is>
      </c>
      <c r="C531" s="67" t="inlineStr">
        <is>
          <t>Invalid order response information.</t>
        </is>
      </c>
      <c r="D531" s="3">
        <f>IFERROR(__xludf.DUMMYFUNCTION("GOOGLETRANSLATE(B531,""vi"",""km"")"),"ព័ត៌មាន​មតិ​កែលម្អ​ការ​បញ្ជាទិញ​មិន​ត្រឹមត្រូវ។")</f>
        <v/>
      </c>
      <c r="E531" s="3" t="inlineStr">
        <is>
          <t>ព័ត៌មានឆ្លើយតបបុងបញ្ញើមិនត្រឹមត្រូវ</t>
        </is>
      </c>
      <c r="F531" s="3" t="inlineStr">
        <is>
          <t>ព័ត៌មានមតិកែលម្អការបញ្ជាទិញមិនត្រឹមត្រូវ។</t>
        </is>
      </c>
      <c r="G531" s="3" t="n"/>
      <c r="H531" t="inlineStr">
        <is>
          <t>ព័ត៌មានមតិកែលម្អការបញ្ជាទិញមិនត្រឹមត្រូវ។</t>
        </is>
      </c>
      <c r="I531" s="67" t="n"/>
      <c r="J531" s="67" t="n"/>
      <c r="K531" s="67" t="n"/>
      <c r="L531" s="67" t="n"/>
      <c r="M531" s="67" t="n"/>
      <c r="N531" s="67" t="n"/>
      <c r="O531" s="67" t="n"/>
      <c r="P531" s="67" t="n"/>
      <c r="Q531" s="67" t="n"/>
      <c r="R531" s="67" t="n"/>
      <c r="S531" s="67" t="n"/>
      <c r="T531" s="67" t="n"/>
      <c r="U531" s="67" t="n"/>
      <c r="V531" s="67" t="n"/>
      <c r="W531" s="67" t="n"/>
      <c r="X531" s="67" t="n"/>
      <c r="Y531" s="67" t="n"/>
      <c r="Z531" s="67" t="n"/>
      <c r="AA531" s="67" t="n"/>
      <c r="AB531" s="67" t="n"/>
    </row>
    <row r="532" ht="15.75" customHeight="1" s="305">
      <c r="A532" s="225" t="inlineStr">
        <is>
          <t>WAREHOUSE_NOT_FOUND</t>
        </is>
      </c>
      <c r="B532" s="67" t="inlineStr">
        <is>
          <t>Không tìm thấy thông tin kho hàng.</t>
        </is>
      </c>
      <c r="C532" s="67" t="inlineStr">
        <is>
          <t>Warehouse is not found.</t>
        </is>
      </c>
      <c r="D532" s="3">
        <f>IFERROR(__xludf.DUMMYFUNCTION("GOOGLETRANSLATE(B532,""vi"",""km"")"),"រកមិនឃើញព័ត៌មានឃ្លាំងទេ។")</f>
        <v/>
      </c>
      <c r="E532" s="3" t="inlineStr">
        <is>
          <t>មិនរកឃើញព័ត៌មានឃ្លាំងអីវ៉ាន់</t>
        </is>
      </c>
      <c r="F532" s="3" t="inlineStr">
        <is>
          <t>រកមិនឃើញព័ត៌មានឃ្លាំងទេ។</t>
        </is>
      </c>
      <c r="G532" s="3" t="n"/>
      <c r="H532" t="inlineStr">
        <is>
          <t>រកមិនឃើញព័ត៌មានឃ្លាំងទេ។</t>
        </is>
      </c>
      <c r="I532" s="67" t="n"/>
      <c r="J532" s="67" t="n"/>
      <c r="K532" s="67" t="n"/>
      <c r="L532" s="67" t="n"/>
      <c r="M532" s="67" t="n"/>
      <c r="N532" s="67" t="n"/>
      <c r="O532" s="67" t="n"/>
      <c r="P532" s="67" t="n"/>
      <c r="Q532" s="67" t="n"/>
      <c r="R532" s="67" t="n"/>
      <c r="S532" s="67" t="n"/>
      <c r="T532" s="67" t="n"/>
      <c r="U532" s="67" t="n"/>
      <c r="V532" s="67" t="n"/>
      <c r="W532" s="67" t="n"/>
      <c r="X532" s="67" t="n"/>
      <c r="Y532" s="67" t="n"/>
      <c r="Z532" s="67" t="n"/>
      <c r="AA532" s="67" t="n"/>
      <c r="AB532" s="67" t="n"/>
    </row>
    <row r="533" ht="15.75" customHeight="1" s="305">
      <c r="A533" s="225" t="inlineStr">
        <is>
          <t>WAREHOUSE_REQUEST_DATA_INVALID</t>
        </is>
      </c>
      <c r="B533" s="67" t="inlineStr">
        <is>
          <t>Thông tin tìm kiếm kho hàng không hợp lệ.</t>
        </is>
      </c>
      <c r="C533" s="67" t="inlineStr">
        <is>
          <t>Invalid warehouse search information.</t>
        </is>
      </c>
      <c r="D533" s="3">
        <f>IFERROR(__xludf.DUMMYFUNCTION("GOOGLETRANSLATE(B533,""vi"",""km"")"),"ព័ត៌មានស្វែងរកឃ្លាំងមិនត្រឹមត្រូវ។")</f>
        <v/>
      </c>
      <c r="E533" s="159" t="inlineStr">
        <is>
          <t>ព័ត៌មានស្វែងរកឃ្លាំងអីវ៉ាន់មិនត្រឹមត្រូវ</t>
        </is>
      </c>
      <c r="F533" s="3" t="inlineStr">
        <is>
          <t>ព័ត៌មានស្វែងរកឃ្លាំងមិនត្រឹមត្រូវ។</t>
        </is>
      </c>
      <c r="G533" s="3" t="n"/>
      <c r="H533" t="inlineStr">
        <is>
          <t>ព័ត៌មានស្វែងរកឃ្លាំងមិនត្រឹមត្រូវ។</t>
        </is>
      </c>
      <c r="I533" s="67" t="n"/>
      <c r="J533" s="67" t="n"/>
      <c r="K533" s="67" t="n"/>
      <c r="L533" s="67" t="n"/>
      <c r="M533" s="67" t="n"/>
      <c r="N533" s="67" t="n"/>
      <c r="O533" s="67" t="n"/>
      <c r="P533" s="67" t="n"/>
      <c r="Q533" s="67" t="n"/>
      <c r="R533" s="67" t="n"/>
      <c r="S533" s="67" t="n"/>
      <c r="T533" s="67" t="n"/>
      <c r="U533" s="67" t="n"/>
      <c r="V533" s="67" t="n"/>
      <c r="W533" s="67" t="n"/>
      <c r="X533" s="67" t="n"/>
      <c r="Y533" s="67" t="n"/>
      <c r="Z533" s="67" t="n"/>
      <c r="AA533" s="67" t="n"/>
      <c r="AB533" s="67" t="n"/>
    </row>
    <row r="534" ht="15.75" customHeight="1" s="305">
      <c r="A534" s="225" t="inlineStr">
        <is>
          <t>WAREHOUSE_RESPONSE_DATA_INVALID</t>
        </is>
      </c>
      <c r="B534" s="67" t="inlineStr">
        <is>
          <t>Thông tin phản hồi kho hàng không hợp lệ.</t>
        </is>
      </c>
      <c r="C534" s="67" t="inlineStr">
        <is>
          <t>Invalid warehouse response information.</t>
        </is>
      </c>
      <c r="D534" s="3">
        <f>IFERROR(__xludf.DUMMYFUNCTION("GOOGLETRANSLATE(B534,""vi"",""km"")"),"ព័ត៌មាន​មតិ​កែលម្អ​ឃ្លាំង​មិន​ត្រឹមត្រូវ។")</f>
        <v/>
      </c>
      <c r="E534" s="159" t="inlineStr">
        <is>
          <t>ព័ត៌មានឆ្លើ្លយតបឃ្លាំងអីវ៉ាន់មិនត្រឹមត្រូវ</t>
        </is>
      </c>
      <c r="F534" s="3" t="inlineStr">
        <is>
          <t>ព័ត៌មានមតិកែលម្អឃ្លាំងមិនត្រឹមត្រូវ។</t>
        </is>
      </c>
      <c r="G534" s="3" t="n"/>
      <c r="H534" t="inlineStr">
        <is>
          <t>ព័ត៌មានមតិកែលម្អឃ្លាំងមិនត្រឹមត្រូវ។</t>
        </is>
      </c>
      <c r="I534" s="67" t="n"/>
      <c r="J534" s="67" t="n"/>
      <c r="K534" s="67" t="n"/>
      <c r="L534" s="67" t="n"/>
      <c r="M534" s="67" t="n"/>
      <c r="N534" s="67" t="n"/>
      <c r="O534" s="67" t="n"/>
      <c r="P534" s="67" t="n"/>
      <c r="Q534" s="67" t="n"/>
      <c r="R534" s="67" t="n"/>
      <c r="S534" s="67" t="n"/>
      <c r="T534" s="67" t="n"/>
      <c r="U534" s="67" t="n"/>
      <c r="V534" s="67" t="n"/>
      <c r="W534" s="67" t="n"/>
      <c r="X534" s="67" t="n"/>
      <c r="Y534" s="67" t="n"/>
      <c r="Z534" s="67" t="n"/>
      <c r="AA534" s="67" t="n"/>
      <c r="AB534" s="67" t="n"/>
    </row>
    <row r="535" ht="15.75" customHeight="1" s="305">
      <c r="A535" s="225" t="inlineStr">
        <is>
          <t>WAREHOUSE_CREATE_FAIL</t>
        </is>
      </c>
      <c r="B535" s="67" t="inlineStr">
        <is>
          <t>Tạo mới thông tin kho hàng thất bại.</t>
        </is>
      </c>
      <c r="C535" s="67" t="inlineStr">
        <is>
          <t>Create new warehouse is fail.</t>
        </is>
      </c>
      <c r="D535" s="3">
        <f>IFERROR(__xludf.DUMMYFUNCTION("GOOGLETRANSLATE(B535,""vi"",""km"")"),"ការបង្កើតព័ត៌មានសារពើភ័ណ្ឌថ្មីបានបរាជ័យ។")</f>
        <v/>
      </c>
      <c r="E535" s="3" t="inlineStr">
        <is>
          <t>បង្កើតព័ត៌មានឃ្លាំងអីវ៉ាន់បានបរាជ័យ</t>
        </is>
      </c>
      <c r="F535" s="3" t="inlineStr">
        <is>
          <t>ការបង្កើតព័ត៌មានសារពើភ័ណ្ឌថ្មីបានបរាជ័យ។</t>
        </is>
      </c>
      <c r="G535" s="3" t="n"/>
      <c r="H535" t="inlineStr">
        <is>
          <t>ការបង្កើតព័ត៌មានសារពើភ័ណ្ឌថ្មីបានបរាជ័យ។</t>
        </is>
      </c>
      <c r="I535" s="67" t="n"/>
      <c r="J535" s="67" t="n"/>
      <c r="K535" s="67" t="n"/>
      <c r="L535" s="67" t="n"/>
      <c r="M535" s="67" t="n"/>
      <c r="N535" s="67" t="n"/>
      <c r="O535" s="67" t="n"/>
      <c r="P535" s="67" t="n"/>
      <c r="Q535" s="67" t="n"/>
      <c r="R535" s="67" t="n"/>
      <c r="S535" s="67" t="n"/>
      <c r="T535" s="67" t="n"/>
      <c r="U535" s="67" t="n"/>
      <c r="V535" s="67" t="n"/>
      <c r="W535" s="67" t="n"/>
      <c r="X535" s="67" t="n"/>
      <c r="Y535" s="67" t="n"/>
      <c r="Z535" s="67" t="n"/>
      <c r="AA535" s="67" t="n"/>
      <c r="AB535" s="67" t="n"/>
    </row>
    <row r="536" ht="15.75" customHeight="1" s="305">
      <c r="A536" s="225" t="inlineStr">
        <is>
          <t>RECEIVING_FAIL_GET_OMS_TOKEN</t>
        </is>
      </c>
      <c r="B536" s="67" t="inlineStr">
        <is>
          <t>Không thể gọi API Get Token từ Oms.</t>
        </is>
      </c>
      <c r="C536" s="67" t="inlineStr">
        <is>
          <t>Fail to call API Get Token From Oms .</t>
        </is>
      </c>
      <c r="D536" s="3">
        <f>IFERROR(__xludf.DUMMYFUNCTION("GOOGLETRANSLATE(B536,""vi"",""km"")"),"មិនអាចហៅ Get Token API ពី Oms បានទេ។")</f>
        <v/>
      </c>
      <c r="E536" s="3" t="n"/>
      <c r="F536" s="3" t="inlineStr">
        <is>
          <t>មិនអាចហៅ Get Token API ពី Oms បានទេ។</t>
        </is>
      </c>
      <c r="G536" s="3" t="n"/>
      <c r="H536" t="inlineStr">
        <is>
          <t>មិនអាចហៅ Get Token API ពី Oms បានទេ។</t>
        </is>
      </c>
      <c r="I536" s="67" t="n"/>
      <c r="J536" s="67" t="n"/>
      <c r="K536" s="67" t="n"/>
      <c r="L536" s="67" t="n"/>
      <c r="M536" s="67" t="n"/>
      <c r="N536" s="67" t="n"/>
      <c r="O536" s="67" t="n"/>
      <c r="P536" s="67" t="n"/>
      <c r="Q536" s="67" t="n"/>
      <c r="R536" s="67" t="n"/>
      <c r="S536" s="67" t="n"/>
      <c r="T536" s="67" t="n"/>
      <c r="U536" s="67" t="n"/>
      <c r="V536" s="67" t="n"/>
      <c r="W536" s="67" t="n"/>
      <c r="X536" s="67" t="n"/>
      <c r="Y536" s="67" t="n"/>
      <c r="Z536" s="67" t="n"/>
      <c r="AA536" s="67" t="n"/>
      <c r="AB536" s="67" t="n"/>
    </row>
    <row r="537" ht="15.75" customHeight="1" s="305">
      <c r="A537" s="225" t="inlineStr">
        <is>
          <t>REVENUE_FAILURE</t>
        </is>
      </c>
      <c r="B537" s="67" t="inlineStr">
        <is>
          <t>Xử lý doanh thu thất bại.</t>
        </is>
      </c>
      <c r="C537" s="67" t="inlineStr">
        <is>
          <t>Processing revenue is failed.</t>
        </is>
      </c>
      <c r="D537" s="3">
        <f>IFERROR(__xludf.DUMMYFUNCTION("GOOGLETRANSLATE(B537,""vi"",""km"")"),"ការដោះស្រាយការលក់ដែលបរាជ័យ។")</f>
        <v/>
      </c>
      <c r="E537" s="3" t="inlineStr">
        <is>
          <t>ដោះស្រាយប្រាក់ចំណូលបរាជ័យ</t>
        </is>
      </c>
      <c r="F537" s="3" t="inlineStr">
        <is>
          <t>ការដោះស្រាយការលក់ដែលបរាជ័យ។</t>
        </is>
      </c>
      <c r="G537" s="3" t="n"/>
      <c r="H537" t="inlineStr">
        <is>
          <t>ការដោះស្រាយការលក់ដែលបរាជ័យ។</t>
        </is>
      </c>
      <c r="I537" s="67" t="n"/>
      <c r="J537" s="67" t="n"/>
      <c r="K537" s="67" t="n"/>
      <c r="L537" s="67" t="n"/>
      <c r="M537" s="67" t="n"/>
      <c r="N537" s="67" t="n"/>
      <c r="O537" s="67" t="n"/>
      <c r="P537" s="67" t="n"/>
      <c r="Q537" s="67" t="n"/>
      <c r="R537" s="67" t="n"/>
      <c r="S537" s="67" t="n"/>
      <c r="T537" s="67" t="n"/>
      <c r="U537" s="67" t="n"/>
      <c r="V537" s="67" t="n"/>
      <c r="W537" s="67" t="n"/>
      <c r="X537" s="67" t="n"/>
      <c r="Y537" s="67" t="n"/>
      <c r="Z537" s="67" t="n"/>
      <c r="AA537" s="67" t="n"/>
      <c r="AB537" s="67" t="n"/>
    </row>
    <row r="538" ht="15.75" customHeight="1" s="305">
      <c r="A538" s="225" t="inlineStr">
        <is>
          <t>REVENUE_FAIL_LOCK_API</t>
        </is>
      </c>
      <c r="B538" s="67" t="inlineStr">
        <is>
          <t>Không thể gọi API Lock Oms Order.</t>
        </is>
      </c>
      <c r="C538" s="67" t="inlineStr">
        <is>
          <t>Fail to Call Api Lock Oms Order.</t>
        </is>
      </c>
      <c r="D538" s="3">
        <f>IFERROR(__xludf.DUMMYFUNCTION("GOOGLETRANSLATE(B538,""vi"",""km"")"),"មិនអាចហៅ API បញ្ជាទិញ Lock Oms បានទេ។")</f>
        <v/>
      </c>
      <c r="E538" s="3" t="n"/>
      <c r="F538" s="3" t="inlineStr">
        <is>
          <t>មិនអាចហៅ API បញ្ជាទិញ Lock Oms បានទេ។</t>
        </is>
      </c>
      <c r="G538" s="3" t="n"/>
      <c r="H538" t="inlineStr">
        <is>
          <t>មិនអាចហៅ API បញ្ជាទិញ Lock Oms បានទេ។</t>
        </is>
      </c>
      <c r="I538" s="67" t="n"/>
      <c r="J538" s="67" t="n"/>
      <c r="K538" s="67" t="n"/>
      <c r="L538" s="67" t="n"/>
      <c r="M538" s="67" t="n"/>
      <c r="N538" s="67" t="n"/>
      <c r="O538" s="67" t="n"/>
      <c r="P538" s="67" t="n"/>
      <c r="Q538" s="67" t="n"/>
      <c r="R538" s="67" t="n"/>
      <c r="S538" s="67" t="n"/>
      <c r="T538" s="67" t="n"/>
      <c r="U538" s="67" t="n"/>
      <c r="V538" s="67" t="n"/>
      <c r="W538" s="67" t="n"/>
      <c r="X538" s="67" t="n"/>
      <c r="Y538" s="67" t="n"/>
      <c r="Z538" s="67" t="n"/>
      <c r="AA538" s="67" t="n"/>
      <c r="AB538" s="67" t="n"/>
    </row>
    <row r="539" ht="15.75" customHeight="1" s="305">
      <c r="A539" s="225" t="inlineStr">
        <is>
          <t>OMS_EMPTY_RESPONSE</t>
        </is>
      </c>
      <c r="B539" s="67" t="inlineStr">
        <is>
          <t>Phản hồi dữ liệu từ OMS trống.</t>
        </is>
      </c>
      <c r="C539" s="67" t="inlineStr">
        <is>
          <t>Data response is empty from Oms .</t>
        </is>
      </c>
      <c r="D539" s="3">
        <f>IFERROR(__xludf.DUMMYFUNCTION("GOOGLETRANSLATE(B539,""vi"",""km"")"),"ការឆ្លើយតបទិន្នន័យពី OMS គឺទទេ។")</f>
        <v/>
      </c>
      <c r="E539" s="3" t="n"/>
      <c r="F539" s="3" t="inlineStr">
        <is>
          <t>ការឆ្លើយតបទិន្នន័យពី OMS គឺទទេ។</t>
        </is>
      </c>
      <c r="G539" s="3" t="n"/>
      <c r="H539" t="inlineStr">
        <is>
          <t>ការឆ្លើយតបទិន្នន័យពី OMS គឺទទេ។</t>
        </is>
      </c>
      <c r="I539" s="67" t="n"/>
      <c r="J539" s="67" t="n"/>
      <c r="K539" s="67" t="n"/>
      <c r="L539" s="67" t="n"/>
      <c r="M539" s="67" t="n"/>
      <c r="N539" s="67" t="n"/>
      <c r="O539" s="67" t="n"/>
      <c r="P539" s="67" t="n"/>
      <c r="Q539" s="67" t="n"/>
      <c r="R539" s="67" t="n"/>
      <c r="S539" s="67" t="n"/>
      <c r="T539" s="67" t="n"/>
      <c r="U539" s="67" t="n"/>
      <c r="V539" s="67" t="n"/>
      <c r="W539" s="67" t="n"/>
      <c r="X539" s="67" t="n"/>
      <c r="Y539" s="67" t="n"/>
      <c r="Z539" s="67" t="n"/>
      <c r="AA539" s="67" t="n"/>
      <c r="AB539" s="67" t="n"/>
    </row>
    <row r="540" ht="15.75" customHeight="1" s="305">
      <c r="A540" s="225" t="inlineStr">
        <is>
          <t>PRINT_LABEL_FAILURE</t>
        </is>
      </c>
      <c r="B540" s="67" t="inlineStr">
        <is>
          <t>Xử lý in nhãn thất bại.</t>
        </is>
      </c>
      <c r="C540" s="67" t="inlineStr">
        <is>
          <t>Processing print label is failed.</t>
        </is>
      </c>
      <c r="D540" s="3">
        <f>IFERROR(__xludf.DUMMYFUNCTION("GOOGLETRANSLATE(B540,""vi"",""km"")"),"ដំណើរការបោះពុម្ពស្លាកបានបរាជ័យ។")</f>
        <v/>
      </c>
      <c r="E540" s="3" t="inlineStr">
        <is>
          <t>ដោះស្រាយពីការព្រីនស្លាកបរាជ័យ</t>
        </is>
      </c>
      <c r="F540" s="3" t="inlineStr">
        <is>
          <t>ដំណើរការព្រីនស្លាកបានបរាជ័យ។</t>
        </is>
      </c>
      <c r="G540" s="3" t="n"/>
      <c r="H540" t="inlineStr">
        <is>
          <t>ដំណើរការព្រីនស្លាកបានបរាជ័យ។</t>
        </is>
      </c>
      <c r="I540" s="67" t="n"/>
      <c r="J540" s="67" t="n"/>
      <c r="K540" s="67" t="n"/>
      <c r="L540" s="67" t="n"/>
      <c r="M540" s="67" t="n"/>
      <c r="N540" s="67" t="n"/>
      <c r="O540" s="67" t="n"/>
      <c r="P540" s="67" t="n"/>
      <c r="Q540" s="67" t="n"/>
      <c r="R540" s="67" t="n"/>
      <c r="S540" s="67" t="n"/>
      <c r="T540" s="67" t="n"/>
      <c r="U540" s="67" t="n"/>
      <c r="V540" s="67" t="n"/>
      <c r="W540" s="67" t="n"/>
      <c r="X540" s="67" t="n"/>
      <c r="Y540" s="67" t="n"/>
      <c r="Z540" s="67" t="n"/>
      <c r="AA540" s="67" t="n"/>
      <c r="AB540" s="67" t="n"/>
    </row>
    <row r="541" ht="15.75" customHeight="1" s="305">
      <c r="A541" s="225" t="inlineStr">
        <is>
          <t>GET_PRINT_PATH_FAILURE</t>
        </is>
      </c>
      <c r="B541" s="67" t="inlineStr">
        <is>
          <t>Lấy đường dẫn in thất bại.</t>
        </is>
      </c>
      <c r="C541" s="67" t="inlineStr">
        <is>
          <t>Get print path is failed.</t>
        </is>
      </c>
      <c r="D541" s="3">
        <f>IFERROR(__xludf.DUMMYFUNCTION("GOOGLETRANSLATE(B541,""vi"",""km"")"),"ការ​ទទួល​យក​ផ្លូវ​បោះពុម្ព​បាន​បរាជ័យ។")</f>
        <v/>
      </c>
      <c r="E541" s="3" t="n"/>
      <c r="F541" s="3" t="inlineStr">
        <is>
          <t>ការទទួលយកផ្លូវព្រីនបានបរាជ័យ។</t>
        </is>
      </c>
      <c r="G541" s="3" t="n"/>
      <c r="H541" t="inlineStr">
        <is>
          <t>ការទទួលយកផ្លូវព្រីនបានបរាជ័យ។</t>
        </is>
      </c>
      <c r="I541" s="67" t="n"/>
      <c r="J541" s="67" t="n"/>
      <c r="K541" s="67" t="n"/>
      <c r="L541" s="67" t="n"/>
      <c r="M541" s="67" t="n"/>
      <c r="N541" s="67" t="n"/>
      <c r="O541" s="67" t="n"/>
      <c r="P541" s="67" t="n"/>
      <c r="Q541" s="67" t="n"/>
      <c r="R541" s="67" t="n"/>
      <c r="S541" s="67" t="n"/>
      <c r="T541" s="67" t="n"/>
      <c r="U541" s="67" t="n"/>
      <c r="V541" s="67" t="n"/>
      <c r="W541" s="67" t="n"/>
      <c r="X541" s="67" t="n"/>
      <c r="Y541" s="67" t="n"/>
      <c r="Z541" s="67" t="n"/>
      <c r="AA541" s="67" t="n"/>
      <c r="AB541" s="67" t="n"/>
    </row>
    <row r="542" ht="15.75" customHeight="1" s="305">
      <c r="A542" s="225" t="inlineStr">
        <is>
          <t>CREATE_DEAD_LETTER_ORDER_FAILURE</t>
        </is>
      </c>
      <c r="B542" s="67" t="inlineStr">
        <is>
          <t>Tạo đơn hàng thất bại.</t>
        </is>
      </c>
      <c r="C542" s="67" t="inlineStr">
        <is>
          <t>Create dead letter order failed.</t>
        </is>
      </c>
      <c r="D542" s="3">
        <f>IFERROR(__xludf.DUMMYFUNCTION("GOOGLETRANSLATE(B542,""vi"",""km"")"),"ការបង្កើតការបញ្ជាទិញបានបរាជ័យ។")</f>
        <v/>
      </c>
      <c r="E542" s="3" t="inlineStr">
        <is>
          <t>បង្កើតបុងបញ្ញើបរាជ័យ</t>
        </is>
      </c>
      <c r="F542" s="3" t="inlineStr">
        <is>
          <t>ការបង្កើតការបញ្ជាទិញបានបរាជ័យ។</t>
        </is>
      </c>
      <c r="G542" s="3" t="n"/>
      <c r="H542" t="inlineStr">
        <is>
          <t>ការបង្កើតការបញ្ជាទិញបានបរាជ័យ។</t>
        </is>
      </c>
      <c r="I542" s="67" t="n"/>
      <c r="J542" s="67" t="n"/>
      <c r="K542" s="67" t="n"/>
      <c r="L542" s="67" t="n"/>
      <c r="M542" s="67" t="n"/>
      <c r="N542" s="67" t="n"/>
      <c r="O542" s="67" t="n"/>
      <c r="P542" s="67" t="n"/>
      <c r="Q542" s="67" t="n"/>
      <c r="R542" s="67" t="n"/>
      <c r="S542" s="67" t="n"/>
      <c r="T542" s="67" t="n"/>
      <c r="U542" s="67" t="n"/>
      <c r="V542" s="67" t="n"/>
      <c r="W542" s="67" t="n"/>
      <c r="X542" s="67" t="n"/>
      <c r="Y542" s="67" t="n"/>
      <c r="Z542" s="67" t="n"/>
      <c r="AA542" s="67" t="n"/>
      <c r="AB542" s="67" t="n"/>
    </row>
    <row r="543" ht="15.75" customHeight="1" s="305">
      <c r="A543" s="225" t="inlineStr">
        <is>
          <t>KAFKA_CONSUME_ERROR</t>
        </is>
      </c>
      <c r="B543" s="67" t="inlineStr">
        <is>
          <t>Lỗi khi tiêu thụ tin nhắn từ Kafka.</t>
        </is>
      </c>
      <c r="C543" s="67" t="inlineStr">
        <is>
          <t>Kafka consume message failed.</t>
        </is>
      </c>
      <c r="D543" s="3">
        <f>IFERROR(__xludf.DUMMYFUNCTION("GOOGLETRANSLATE(B543,""vi"",""km"")"),"កំហុស​ពេល​ទទួល​យក​សារ​ពី Kafka។")</f>
        <v/>
      </c>
      <c r="E543" s="3" t="n"/>
      <c r="F543" s="3" t="inlineStr">
        <is>
          <t>កំហុសពេលទទួលយកសារពី Kafka។</t>
        </is>
      </c>
      <c r="G543" s="3" t="n"/>
      <c r="H543" t="inlineStr">
        <is>
          <t>កំហុសពេលទទួលយកសារពី Kafka។</t>
        </is>
      </c>
      <c r="I543" s="67" t="n"/>
      <c r="J543" s="67" t="n"/>
      <c r="K543" s="67" t="n"/>
      <c r="L543" s="67" t="n"/>
      <c r="M543" s="67" t="n"/>
      <c r="N543" s="67" t="n"/>
      <c r="O543" s="67" t="n"/>
      <c r="P543" s="67" t="n"/>
      <c r="Q543" s="67" t="n"/>
      <c r="R543" s="67" t="n"/>
      <c r="S543" s="67" t="n"/>
      <c r="T543" s="67" t="n"/>
      <c r="U543" s="67" t="n"/>
      <c r="V543" s="67" t="n"/>
      <c r="W543" s="67" t="n"/>
      <c r="X543" s="67" t="n"/>
      <c r="Y543" s="67" t="n"/>
      <c r="Z543" s="67" t="n"/>
      <c r="AA543" s="67" t="n"/>
      <c r="AB543" s="67" t="n"/>
    </row>
    <row r="544" ht="15.75" customHeight="1" s="305">
      <c r="A544" s="225" t="inlineStr">
        <is>
          <t>KAFKA_CONSUME_ORDER_IS_EXISTED</t>
        </is>
      </c>
      <c r="B544" s="67" t="inlineStr">
        <is>
          <t>Order ID already exists in the system.</t>
        </is>
      </c>
      <c r="C544" s="67" t="inlineStr">
        <is>
          <t>Order ID already exists in the system.</t>
        </is>
      </c>
      <c r="D544" s="3">
        <f>IFERROR(__xludf.DUMMYFUNCTION("GOOGLETRANSLATE(B544,""vi"",""km"")"),"លេខសម្គាល់ការបញ្ជាទិញមានរួចហើយនៅក្នុងប្រព័ន្ធ។")</f>
        <v/>
      </c>
      <c r="E544" s="67" t="inlineStr">
        <is>
          <t>លេខសម្គាល់ការកម្ម៉ង់ មានរួចហើយនៅក្នុងប្រព័ន្ធ</t>
        </is>
      </c>
      <c r="F544" s="3" t="inlineStr">
        <is>
          <t>លេខសម្គាល់ការបញ្ជាទិញមានរួចហើយនៅក្នុងប្រព័ន្ធ។</t>
        </is>
      </c>
      <c r="G544" s="3" t="n"/>
      <c r="H544" t="inlineStr">
        <is>
          <t>លេខសម្គាល់ការបញ្ជាទិញមានរួចហើយនៅក្នុងប្រព័ន្ធ។</t>
        </is>
      </c>
      <c r="I544" s="67" t="n"/>
      <c r="J544" s="67" t="n"/>
      <c r="K544" s="67" t="n"/>
      <c r="L544" s="67" t="n"/>
      <c r="M544" s="67" t="n"/>
      <c r="N544" s="67" t="n"/>
      <c r="O544" s="67" t="n"/>
      <c r="P544" s="67" t="n"/>
      <c r="Q544" s="67" t="n"/>
      <c r="R544" s="67" t="n"/>
      <c r="S544" s="67" t="n"/>
      <c r="T544" s="67" t="n"/>
      <c r="U544" s="67" t="n"/>
      <c r="V544" s="67" t="n"/>
      <c r="W544" s="67" t="n"/>
      <c r="X544" s="67" t="n"/>
      <c r="Y544" s="67" t="n"/>
      <c r="Z544" s="67" t="n"/>
      <c r="AA544" s="67" t="n"/>
      <c r="AB544" s="67" t="n"/>
    </row>
    <row r="545" ht="15.75" customHeight="1" s="305">
      <c r="A545" s="225" t="inlineStr">
        <is>
          <t>REVENUE_FAIL_UNLOCK_API</t>
        </is>
      </c>
      <c r="B545" s="67" t="inlineStr">
        <is>
          <t>Gọi API để mở khoá đơn hàng OMS thất bại.</t>
        </is>
      </c>
      <c r="C545" s="67" t="inlineStr">
        <is>
          <t>Call API to unlock OMS order failed.</t>
        </is>
      </c>
      <c r="D545" s="3">
        <f>IFERROR(__xludf.DUMMYFUNCTION("GOOGLETRANSLATE(B545,""vi"",""km"")"),"ការហៅ API ដើម្បីដោះសោការបញ្ជាទិញ OMS បានបរាជ័យ។")</f>
        <v/>
      </c>
      <c r="E545" s="3" t="n"/>
      <c r="F545" s="3" t="inlineStr">
        <is>
          <t>ការហៅ API ដើម្បីដោះសោការបញ្ជាទិញ OMS បានបរាជ័យ។</t>
        </is>
      </c>
      <c r="G545" s="3" t="n"/>
      <c r="H545" t="inlineStr">
        <is>
          <t>ការហៅ API ដើម្បីដោះសោការបញ្ជាទិញ OMS បានបរាជ័យ។</t>
        </is>
      </c>
      <c r="I545" s="67" t="n"/>
      <c r="J545" s="67" t="n"/>
      <c r="K545" s="67" t="n"/>
      <c r="L545" s="67" t="n"/>
      <c r="M545" s="67" t="n"/>
      <c r="N545" s="67" t="n"/>
      <c r="O545" s="67" t="n"/>
      <c r="P545" s="67" t="n"/>
      <c r="Q545" s="67" t="n"/>
      <c r="R545" s="67" t="n"/>
      <c r="S545" s="67" t="n"/>
      <c r="T545" s="67" t="n"/>
      <c r="U545" s="67" t="n"/>
      <c r="V545" s="67" t="n"/>
      <c r="W545" s="67" t="n"/>
      <c r="X545" s="67" t="n"/>
      <c r="Y545" s="67" t="n"/>
      <c r="Z545" s="67" t="n"/>
      <c r="AA545" s="67" t="n"/>
      <c r="AB545" s="67" t="n"/>
    </row>
    <row r="546" ht="15.75" customHeight="1" s="305">
      <c r="A546" s="225" t="inlineStr">
        <is>
          <t>GET_ASSIGNED_POST_AND_ROUTE_FAILURE</t>
        </is>
      </c>
      <c r="B546" s="67" t="inlineStr">
        <is>
          <t>Lỗi khi lấy thng tin phân công bưu cụ và tuyến phát.</t>
        </is>
      </c>
      <c r="C546" s="67" t="inlineStr">
        <is>
          <t>Call API to get assigned post and route failed.</t>
        </is>
      </c>
      <c r="D546" s="3">
        <f>IFERROR(__xludf.DUMMYFUNCTION("GOOGLETRANSLATE(B546,""vi"",""km"")"),"មានបញ្ហាក្នុងការទាញយកព័ត៌មានអំពីការចាត់តាំងវត្ថុប្រៃសណីយ៍ និងផ្លូវដឹកជញ្ជូន។")</f>
        <v/>
      </c>
      <c r="E546" s="3" t="n"/>
      <c r="F546" s="3" t="inlineStr">
        <is>
          <t>មានបញ្ហាក្នុងការទាញយកព័ត៌មានអំពីការចាត់តាំងវត្ថុប្រៃសណីយ៍ និងផ្លូវដឹកជញ្ជូន។</t>
        </is>
      </c>
      <c r="G546" s="3" t="n"/>
      <c r="H546" t="inlineStr">
        <is>
          <t>មានបញ្ហាក្នុងការទាញយកព័ត៌មានអំពីការចាត់តាំងវត្ថុប្រៃសណីយ៍ និងផ្លូវដឹកជញ្ជូន។</t>
        </is>
      </c>
      <c r="I546" s="67" t="n"/>
      <c r="J546" s="67" t="n"/>
      <c r="K546" s="67" t="n"/>
      <c r="L546" s="67" t="n"/>
      <c r="M546" s="67" t="n"/>
      <c r="N546" s="67" t="n"/>
      <c r="O546" s="67" t="n"/>
      <c r="P546" s="67" t="n"/>
      <c r="Q546" s="67" t="n"/>
      <c r="R546" s="67" t="n"/>
      <c r="S546" s="67" t="n"/>
      <c r="T546" s="67" t="n"/>
      <c r="U546" s="67" t="n"/>
      <c r="V546" s="67" t="n"/>
      <c r="W546" s="67" t="n"/>
      <c r="X546" s="67" t="n"/>
      <c r="Y546" s="67" t="n"/>
      <c r="Z546" s="67" t="n"/>
      <c r="AA546" s="67" t="n"/>
      <c r="AB546" s="67" t="n"/>
    </row>
    <row r="547" ht="15.75" customHeight="1" s="305">
      <c r="A547" s="225" t="inlineStr">
        <is>
          <t>NOT_ALLOWED_EDIT_ORDER</t>
        </is>
      </c>
      <c r="B547" s="67" t="inlineStr">
        <is>
          <t>Đơn hàng này không được phép sửa.</t>
        </is>
      </c>
      <c r="C547" s="67" t="inlineStr">
        <is>
          <t>The order is not permitted to edit.</t>
        </is>
      </c>
      <c r="D547" s="3">
        <f>IFERROR(__xludf.DUMMYFUNCTION("GOOGLETRANSLATE(B547,""vi"",""km"")"),"ការបញ្ជាទិញនេះមិនអាចកែប្រែបានទេ។")</f>
        <v/>
      </c>
      <c r="E547" s="67" t="inlineStr">
        <is>
          <t>បុងបញ្ញើនេះមិនអនុញ្ញាត្តិឲ្យកែប្រែទេ</t>
        </is>
      </c>
      <c r="F547" s="3" t="inlineStr">
        <is>
          <t>ការបញ្ជាទិញនេះមិនអាចកែប្រែបានទេ។</t>
        </is>
      </c>
      <c r="G547" s="3" t="n"/>
      <c r="H547" t="inlineStr">
        <is>
          <t>ការបញ្ជាទិញនេះមិនអាចកែប្រែបានទេ។</t>
        </is>
      </c>
      <c r="I547" s="67" t="n"/>
      <c r="J547" s="67" t="n"/>
      <c r="K547" s="67" t="n"/>
      <c r="L547" s="67" t="n"/>
      <c r="M547" s="67" t="n"/>
      <c r="N547" s="67" t="n"/>
      <c r="O547" s="67" t="n"/>
      <c r="P547" s="67" t="n"/>
      <c r="Q547" s="67" t="n"/>
      <c r="R547" s="67" t="n"/>
      <c r="S547" s="67" t="n"/>
      <c r="T547" s="67" t="n"/>
      <c r="U547" s="67" t="n"/>
      <c r="V547" s="67" t="n"/>
      <c r="W547" s="67" t="n"/>
      <c r="X547" s="67" t="n"/>
      <c r="Y547" s="67" t="n"/>
      <c r="Z547" s="67" t="n"/>
      <c r="AA547" s="67" t="n"/>
      <c r="AB547" s="67" t="n"/>
    </row>
    <row r="548" ht="15.75" customHeight="1" s="305">
      <c r="A548" s="225" t="inlineStr">
        <is>
          <t>REASON_EDIT_ORDER_NOT_BLANK</t>
        </is>
      </c>
      <c r="B548" s="67" t="inlineStr">
        <is>
          <t>Lý do sửa đơn không được phép để trống.</t>
        </is>
      </c>
      <c r="C548" s="67" t="inlineStr">
        <is>
          <t>The reason for edit order must be left blank.</t>
        </is>
      </c>
      <c r="D548" s="3">
        <f>IFERROR(__xludf.DUMMYFUNCTION("GOOGLETRANSLATE(B548,""vi"",""km"")"),"មូលហេតុនៃការកែប្រែពាក្យសុំមិនអាចទុកចោលទទេបានទេ។")</f>
        <v/>
      </c>
      <c r="E548" s="3" t="inlineStr">
        <is>
          <t>ហេតុផលកែបុងបញ្ញើ មិនអនុញ្ញាត្តិឲ្យទុកចន្លោះ</t>
        </is>
      </c>
      <c r="F548" s="3" t="inlineStr">
        <is>
          <t>មូលហេតុនៃការកែប្រែពាក្យសុំមិនអាចទុកចោលទទេបានទេ។</t>
        </is>
      </c>
      <c r="G548" s="3" t="n"/>
      <c r="H548" t="inlineStr">
        <is>
          <t>មូលហេតុនៃការកែប្រែពាក្យសុំមិនអាចទុកចោលទទេបានទេ។</t>
        </is>
      </c>
      <c r="I548" s="67" t="n"/>
      <c r="J548" s="67" t="n"/>
      <c r="K548" s="67" t="n"/>
      <c r="L548" s="67" t="n"/>
      <c r="M548" s="67" t="n"/>
      <c r="N548" s="67" t="n"/>
      <c r="O548" s="67" t="n"/>
      <c r="P548" s="67" t="n"/>
      <c r="Q548" s="67" t="n"/>
      <c r="R548" s="67" t="n"/>
      <c r="S548" s="67" t="n"/>
      <c r="T548" s="67" t="n"/>
      <c r="U548" s="67" t="n"/>
      <c r="V548" s="67" t="n"/>
      <c r="W548" s="67" t="n"/>
      <c r="X548" s="67" t="n"/>
      <c r="Y548" s="67" t="n"/>
      <c r="Z548" s="67" t="n"/>
      <c r="AA548" s="67" t="n"/>
      <c r="AB548" s="67" t="n"/>
    </row>
    <row r="549" ht="15.75" customHeight="1" s="305">
      <c r="A549" s="225" t="inlineStr">
        <is>
          <t>EDIT_ORDER_FAILURE</t>
        </is>
      </c>
      <c r="B549" s="67" t="inlineStr">
        <is>
          <t>Sửa đơn thất bại</t>
        </is>
      </c>
      <c r="C549" s="67" t="inlineStr">
        <is>
          <t>Edit order is fail.</t>
        </is>
      </c>
      <c r="D549" s="3">
        <f>IFERROR(__xludf.DUMMYFUNCTION("GOOGLETRANSLATE(B549,""vi"",""km"")"),"កែសម្រួលការបញ្ជាទិញដែលបរាជ័យ")</f>
        <v/>
      </c>
      <c r="E549" s="3" t="inlineStr">
        <is>
          <t>កែបុងបានបរាជ័យ</t>
        </is>
      </c>
      <c r="F549" s="3" t="inlineStr">
        <is>
          <t>កែសម្រួលការបញ្ជាទិញដែលបរាជ័យ</t>
        </is>
      </c>
      <c r="G549" s="3" t="n"/>
      <c r="H549" t="inlineStr">
        <is>
          <t>កែសម្រួលការបញ្ជាទិញដែលបរាជ័យ</t>
        </is>
      </c>
      <c r="I549" s="67" t="n"/>
      <c r="J549" s="67" t="n"/>
      <c r="K549" s="67" t="n"/>
      <c r="L549" s="67" t="n"/>
      <c r="M549" s="67" t="n"/>
      <c r="N549" s="67" t="n"/>
      <c r="O549" s="67" t="n"/>
      <c r="P549" s="67" t="n"/>
      <c r="Q549" s="67" t="n"/>
      <c r="R549" s="67" t="n"/>
      <c r="S549" s="67" t="n"/>
      <c r="T549" s="67" t="n"/>
      <c r="U549" s="67" t="n"/>
      <c r="V549" s="67" t="n"/>
      <c r="W549" s="67" t="n"/>
      <c r="X549" s="67" t="n"/>
      <c r="Y549" s="67" t="n"/>
      <c r="Z549" s="67" t="n"/>
      <c r="AA549" s="67" t="n"/>
      <c r="AB549" s="67" t="n"/>
    </row>
    <row r="550" ht="15.75" customHeight="1" s="305">
      <c r="A550" s="225" t="inlineStr">
        <is>
          <t>PROCESS_ASSIGN_POST_AND_ROUTE_FAILURE</t>
        </is>
      </c>
      <c r="B550" s="3" t="n"/>
      <c r="C550" s="67" t="inlineStr">
        <is>
          <t>Failed to assign post office and delivery route.</t>
        </is>
      </c>
      <c r="D550" s="3">
        <f>IFERROR(__xludf.DUMMYFUNCTION("GOOGLETRANSLATE(B550,""vi"",""km"")"),"#VALUE!")</f>
        <v/>
      </c>
      <c r="E550" s="3" t="n"/>
      <c r="F550" s="3" t="inlineStr">
        <is>
          <t>Failed to assign post office and delivery route.</t>
        </is>
      </c>
      <c r="G550" s="3" t="n"/>
      <c r="H550" t="inlineStr">
        <is>
          <t>Failed to assign post office and delivery route.</t>
        </is>
      </c>
      <c r="I550" s="67" t="n"/>
      <c r="J550" s="67" t="n"/>
      <c r="K550" s="67" t="n"/>
      <c r="L550" s="67" t="n"/>
      <c r="M550" s="67" t="n"/>
      <c r="N550" s="67" t="n"/>
      <c r="O550" s="67" t="n"/>
      <c r="P550" s="67" t="n"/>
      <c r="Q550" s="67" t="n"/>
      <c r="R550" s="67" t="n"/>
      <c r="S550" s="67" t="n"/>
      <c r="T550" s="67" t="n"/>
      <c r="U550" s="67" t="n"/>
      <c r="V550" s="67" t="n"/>
      <c r="W550" s="67" t="n"/>
      <c r="X550" s="67" t="n"/>
      <c r="Y550" s="67" t="n"/>
      <c r="Z550" s="67" t="n"/>
      <c r="AA550" s="67" t="n"/>
      <c r="AB550" s="67" t="n"/>
    </row>
    <row r="551" ht="15.75" customHeight="1" s="305">
      <c r="A551" s="225" t="inlineStr">
        <is>
          <t>WAREHOUSE_UPDATE_FAIL</t>
        </is>
      </c>
      <c r="B551" s="3" t="n"/>
      <c r="C551" s="67" t="inlineStr">
        <is>
          <t>Failed to update warehouse data.</t>
        </is>
      </c>
      <c r="D551" s="3">
        <f>IFERROR(__xludf.DUMMYFUNCTION("GOOGLETRANSLATE(B551,""vi"",""km"")"),"#VALUE!")</f>
        <v/>
      </c>
      <c r="E551" s="3" t="n"/>
      <c r="F551" s="3" t="inlineStr">
        <is>
          <t>Failed to update warehouse data.</t>
        </is>
      </c>
      <c r="G551" s="3" t="n"/>
      <c r="H551" t="inlineStr">
        <is>
          <t>Failed to update warehouse data.</t>
        </is>
      </c>
      <c r="I551" s="67" t="n"/>
      <c r="J551" s="67" t="n"/>
      <c r="K551" s="67" t="n"/>
      <c r="L551" s="67" t="n"/>
      <c r="M551" s="67" t="n"/>
      <c r="N551" s="67" t="n"/>
      <c r="O551" s="67" t="n"/>
      <c r="P551" s="67" t="n"/>
      <c r="Q551" s="67" t="n"/>
      <c r="R551" s="67" t="n"/>
      <c r="S551" s="67" t="n"/>
      <c r="T551" s="67" t="n"/>
      <c r="U551" s="67" t="n"/>
      <c r="V551" s="67" t="n"/>
      <c r="W551" s="67" t="n"/>
      <c r="X551" s="67" t="n"/>
      <c r="Y551" s="67" t="n"/>
      <c r="Z551" s="67" t="n"/>
      <c r="AA551" s="67" t="n"/>
      <c r="AB551" s="67" t="n"/>
    </row>
    <row r="552" ht="15.75" customHeight="1" s="305">
      <c r="A552" s="225" t="inlineStr">
        <is>
          <t>SHIFT_NOT_FOUND</t>
        </is>
      </c>
      <c r="B552" s="67" t="inlineStr">
        <is>
          <t>Không tìm thấy ca làm việc.</t>
        </is>
      </c>
      <c r="C552" s="67" t="inlineStr">
        <is>
          <t>Shift is not found.</t>
        </is>
      </c>
      <c r="D552" s="3">
        <f>IFERROR(__xludf.DUMMYFUNCTION("GOOGLETRANSLATE(B552,""vi"",""km"")"),"រកមិនឃើញការផ្លាស់ប្តូរទេ។")</f>
        <v/>
      </c>
      <c r="E552" s="3" t="inlineStr">
        <is>
          <t>មិនរកឃើញវេនធ្វើការ</t>
        </is>
      </c>
      <c r="F552" s="3" t="inlineStr">
        <is>
          <t>រកមិនឃើញការផ្លាស់ប្តូរទេ។</t>
        </is>
      </c>
      <c r="G552" s="3" t="n"/>
      <c r="H552" t="inlineStr">
        <is>
          <t>រកមិនឃើញការផ្លាស់ប្តូរទេ។</t>
        </is>
      </c>
      <c r="I552" s="67" t="n"/>
      <c r="J552" s="67" t="n"/>
      <c r="K552" s="67" t="n"/>
      <c r="L552" s="67" t="n"/>
      <c r="M552" s="67" t="n"/>
      <c r="N552" s="67" t="n"/>
      <c r="O552" s="67" t="n"/>
      <c r="P552" s="67" t="n"/>
      <c r="Q552" s="67" t="n"/>
      <c r="R552" s="67" t="n"/>
      <c r="S552" s="67" t="n"/>
      <c r="T552" s="67" t="n"/>
      <c r="U552" s="67" t="n"/>
      <c r="V552" s="67" t="n"/>
      <c r="W552" s="67" t="n"/>
      <c r="X552" s="67" t="n"/>
      <c r="Y552" s="67" t="n"/>
      <c r="Z552" s="67" t="n"/>
      <c r="AA552" s="67" t="n"/>
      <c r="AB552" s="67" t="n"/>
    </row>
    <row r="553" ht="15.75" customHeight="1" s="305">
      <c r="A553" s="225" t="inlineStr">
        <is>
          <t>SHIFT_CREATE_FAIL</t>
        </is>
      </c>
      <c r="B553" s="67" t="inlineStr">
        <is>
          <t>Tên ca làm việc đã tồn tại</t>
        </is>
      </c>
      <c r="C553" s="67" t="inlineStr">
        <is>
          <t>Shift name have already existed.</t>
        </is>
      </c>
      <c r="D553" s="3">
        <f>IFERROR(__xludf.DUMMYFUNCTION("GOOGLETRANSLATE(B553,""vi"",""km"")"),"ឈ្មោះ​វេន​មាន​រួច​ហើយ។")</f>
        <v/>
      </c>
      <c r="E553" s="67" t="inlineStr">
        <is>
          <t>ការបង្កើតការផ្លាស់ប្តូរបានបរាជ័យ</t>
        </is>
      </c>
      <c r="F553" s="3" t="inlineStr">
        <is>
          <t>ឈ្មោះវេនមានរួចហើយ។</t>
        </is>
      </c>
      <c r="G553" s="3" t="n"/>
      <c r="H553" t="inlineStr">
        <is>
          <t>ឈ្មោះវេនមានរួចហើយ។</t>
        </is>
      </c>
      <c r="I553" s="67" t="n"/>
      <c r="J553" s="67" t="n"/>
      <c r="K553" s="67" t="n"/>
      <c r="L553" s="67" t="n"/>
      <c r="M553" s="67" t="n"/>
      <c r="N553" s="67" t="n"/>
      <c r="O553" s="67" t="n"/>
      <c r="P553" s="67" t="n"/>
      <c r="Q553" s="67" t="n"/>
      <c r="R553" s="67" t="n"/>
      <c r="S553" s="67" t="n"/>
      <c r="T553" s="67" t="n"/>
      <c r="U553" s="67" t="n"/>
      <c r="V553" s="67" t="n"/>
      <c r="W553" s="67" t="n"/>
      <c r="X553" s="67" t="n"/>
      <c r="Y553" s="67" t="n"/>
      <c r="Z553" s="67" t="n"/>
      <c r="AA553" s="67" t="n"/>
      <c r="AB553" s="67" t="n"/>
    </row>
    <row r="554" ht="15.75" customHeight="1" s="305">
      <c r="A554" s="225" t="inlineStr">
        <is>
          <t>SHIFT_UPDATE_FAIL</t>
        </is>
      </c>
      <c r="B554" s="67" t="inlineStr">
        <is>
          <t>Cập nhật ca làm việc thất bại.</t>
        </is>
      </c>
      <c r="C554" s="67" t="inlineStr">
        <is>
          <t>Fail to update shift.</t>
        </is>
      </c>
      <c r="D554" s="3">
        <f>IFERROR(__xludf.DUMMYFUNCTION("GOOGLETRANSLATE(B554,""vi"",""km"")"),"ធ្វើបច្ចុប្បន្នភាពវេនការងារដែលបរាជ័យ។")</f>
        <v/>
      </c>
      <c r="E554" s="3" t="inlineStr">
        <is>
          <t>អាប់ដេតវេនធ្វើការបរាជ័យ</t>
        </is>
      </c>
      <c r="F554" s="3" t="inlineStr">
        <is>
          <t>ធ្វើបច្ចុប្បន្នភាពវេនការងារដែលបរាជ័យ។</t>
        </is>
      </c>
      <c r="G554" s="3" t="n"/>
      <c r="H554" t="inlineStr">
        <is>
          <t>ធ្វើបច្ចុប្បន្នភាពវេនការងារដែលបរាជ័យ។</t>
        </is>
      </c>
      <c r="I554" s="67" t="n"/>
      <c r="J554" s="67" t="n"/>
      <c r="K554" s="67" t="n"/>
      <c r="L554" s="67" t="n"/>
      <c r="M554" s="67" t="n"/>
      <c r="N554" s="67" t="n"/>
      <c r="O554" s="67" t="n"/>
      <c r="P554" s="67" t="n"/>
      <c r="Q554" s="67" t="n"/>
      <c r="R554" s="67" t="n"/>
      <c r="S554" s="67" t="n"/>
      <c r="T554" s="67" t="n"/>
      <c r="U554" s="67" t="n"/>
      <c r="V554" s="67" t="n"/>
      <c r="W554" s="67" t="n"/>
      <c r="X554" s="67" t="n"/>
      <c r="Y554" s="67" t="n"/>
      <c r="Z554" s="67" t="n"/>
      <c r="AA554" s="67" t="n"/>
      <c r="AB554" s="67" t="n"/>
    </row>
    <row r="555" ht="15.75" customHeight="1" s="305">
      <c r="A555" s="225" t="inlineStr">
        <is>
          <t>SHIFT_EXIST</t>
        </is>
      </c>
      <c r="B555" s="67" t="inlineStr">
        <is>
          <t>Ca làm việc đã được khai báo.</t>
        </is>
      </c>
      <c r="C555" s="67" t="inlineStr">
        <is>
          <t>Shift already exist!</t>
        </is>
      </c>
      <c r="D555" s="3">
        <f>IFERROR(__xludf.DUMMYFUNCTION("GOOGLETRANSLATE(B555,""vi"",""km"")"),"ការផ្លាស់ប្តូរត្រូវបានប្រកាស។")</f>
        <v/>
      </c>
      <c r="E555" s="67" t="inlineStr">
        <is>
          <t>ការផ្លាស់ប្តូរមានរួចហើយ</t>
        </is>
      </c>
      <c r="F555" s="3" t="inlineStr">
        <is>
          <t>ការផ្លាស់ប្តូរត្រូវបានប្រកាស។</t>
        </is>
      </c>
      <c r="G555" s="3" t="n"/>
      <c r="H555" t="inlineStr">
        <is>
          <t>ការផ្លាស់ប្តូរត្រូវបានប្រកាស។</t>
        </is>
      </c>
      <c r="I555" s="67" t="n"/>
      <c r="J555" s="67" t="n"/>
      <c r="K555" s="67" t="n"/>
      <c r="L555" s="67" t="n"/>
      <c r="M555" s="67" t="n"/>
      <c r="N555" s="67" t="n"/>
      <c r="O555" s="67" t="n"/>
      <c r="P555" s="67" t="n"/>
      <c r="Q555" s="67" t="n"/>
      <c r="R555" s="67" t="n"/>
      <c r="S555" s="67" t="n"/>
      <c r="T555" s="67" t="n"/>
      <c r="U555" s="67" t="n"/>
      <c r="V555" s="67" t="n"/>
      <c r="W555" s="67" t="n"/>
      <c r="X555" s="67" t="n"/>
      <c r="Y555" s="67" t="n"/>
      <c r="Z555" s="67" t="n"/>
      <c r="AA555" s="67" t="n"/>
      <c r="AB555" s="67" t="n"/>
    </row>
    <row r="556" ht="15.75" customHeight="1" s="305">
      <c r="A556" s="225" t="inlineStr">
        <is>
          <t>ASSIGNED_ORDER_FIND_ONE_FAIL</t>
        </is>
      </c>
      <c r="B556" s="67" t="inlineStr">
        <is>
          <t>Không tìm thấy đơn hàng được phân công.</t>
        </is>
      </c>
      <c r="C556" s="67" t="inlineStr">
        <is>
          <t>Assigned Order is not found.</t>
        </is>
      </c>
      <c r="D556" s="3">
        <f>IFERROR(__xludf.DUMMYFUNCTION("GOOGLETRANSLATE(B556,""vi"",""km"")"),"រកមិនឃើញការបញ្ជាទិញដែលបានកំណត់ទេ។")</f>
        <v/>
      </c>
      <c r="E556" s="3" t="inlineStr">
        <is>
          <t>មិនឃើញមានបុងបញ្ញើណាបានបែងចែកទេ</t>
        </is>
      </c>
      <c r="F556" s="3" t="inlineStr">
        <is>
          <t>រកមិនឃើញការបញ្ជាទិញដែលបានកំណត់ទេ។</t>
        </is>
      </c>
      <c r="G556" s="3" t="n"/>
      <c r="H556" t="inlineStr">
        <is>
          <t>រកមិនឃើញការបញ្ជាទិញដែលបានកំណត់ទេ។</t>
        </is>
      </c>
      <c r="I556" s="67" t="n"/>
      <c r="J556" s="67" t="n"/>
      <c r="K556" s="67" t="n"/>
      <c r="L556" s="67" t="n"/>
      <c r="M556" s="67" t="n"/>
      <c r="N556" s="67" t="n"/>
      <c r="O556" s="67" t="n"/>
      <c r="P556" s="67" t="n"/>
      <c r="Q556" s="67" t="n"/>
      <c r="R556" s="67" t="n"/>
      <c r="S556" s="67" t="n"/>
      <c r="T556" s="67" t="n"/>
      <c r="U556" s="67" t="n"/>
      <c r="V556" s="67" t="n"/>
      <c r="W556" s="67" t="n"/>
      <c r="X556" s="67" t="n"/>
      <c r="Y556" s="67" t="n"/>
      <c r="Z556" s="67" t="n"/>
      <c r="AA556" s="67" t="n"/>
      <c r="AB556" s="67" t="n"/>
    </row>
    <row r="557" ht="15.75" customHeight="1" s="305">
      <c r="A557" s="225" t="inlineStr">
        <is>
          <t>CREATE_ASSIGNED_ORDER_FAIL</t>
        </is>
      </c>
      <c r="B557" s="67" t="inlineStr">
        <is>
          <t>Không thể tạo đơn hàng được phân công.</t>
        </is>
      </c>
      <c r="C557" s="67" t="inlineStr">
        <is>
          <t>Failed to create the assigned order.</t>
        </is>
      </c>
      <c r="D557" s="3">
        <f>IFERROR(__xludf.DUMMYFUNCTION("GOOGLETRANSLATE(B557,""vi"",""km"")"),"មិនអាចបង្កើតការបញ្ជាទិញដែលបានកំណត់បានទេ។")</f>
        <v/>
      </c>
      <c r="E557" s="3" t="n"/>
      <c r="F557" s="3" t="inlineStr">
        <is>
          <t>មិនអាចបង្កើតការបញ្ជាទិញដែលបានកំណត់បានទេ។</t>
        </is>
      </c>
      <c r="G557" s="3" t="n"/>
      <c r="H557" t="inlineStr">
        <is>
          <t>មិនអាចបង្កើតការបញ្ជាទិញដែលបានកំណត់បានទេ។</t>
        </is>
      </c>
      <c r="I557" s="67" t="n"/>
      <c r="J557" s="67" t="n"/>
      <c r="K557" s="67" t="n"/>
      <c r="L557" s="67" t="n"/>
      <c r="M557" s="67" t="n"/>
      <c r="N557" s="67" t="n"/>
      <c r="O557" s="67" t="n"/>
      <c r="P557" s="67" t="n"/>
      <c r="Q557" s="67" t="n"/>
      <c r="R557" s="67" t="n"/>
      <c r="S557" s="67" t="n"/>
      <c r="T557" s="67" t="n"/>
      <c r="U557" s="67" t="n"/>
      <c r="V557" s="67" t="n"/>
      <c r="W557" s="67" t="n"/>
      <c r="X557" s="67" t="n"/>
      <c r="Y557" s="67" t="n"/>
      <c r="Z557" s="67" t="n"/>
      <c r="AA557" s="67" t="n"/>
      <c r="AB557" s="67" t="n"/>
    </row>
    <row r="558" ht="15.75" customHeight="1" s="305">
      <c r="A558" s="225" t="inlineStr">
        <is>
          <t>UPDATE_ASSIGNED_ORDER_FAIL</t>
        </is>
      </c>
      <c r="B558" s="67" t="inlineStr">
        <is>
          <t>Không thể cập nhật đơn hàng được phân công.</t>
        </is>
      </c>
      <c r="C558" s="67" t="inlineStr">
        <is>
          <t>Fail to update the assigned order.</t>
        </is>
      </c>
      <c r="D558" s="3">
        <f>IFERROR(__xludf.DUMMYFUNCTION("GOOGLETRANSLATE(B558,""vi"",""km"")"),"មិនអាចធ្វើបច្ចុប្បន្នភាពការបញ្ជាទិញដែលបានកំណត់បានទេ។")</f>
        <v/>
      </c>
      <c r="E558" s="3" t="inlineStr">
        <is>
          <t>មិនអាចអាប់ដេតបុងបញ្ញើដែលបានបែងចែក</t>
        </is>
      </c>
      <c r="F558" s="3" t="inlineStr">
        <is>
          <t>មិនអាចធ្វើបច្ចុប្បន្នភាពការបញ្ជាទិញដែលបានកំណត់បានទេ។</t>
        </is>
      </c>
      <c r="G558" s="3" t="n"/>
      <c r="H558" t="inlineStr">
        <is>
          <t>មិនអាចធ្វើបច្ចុប្បន្នភាពការបញ្ជាទិញដែលបានកំណត់បានទេ។</t>
        </is>
      </c>
      <c r="I558" s="67" t="n"/>
      <c r="J558" s="67" t="n"/>
      <c r="K558" s="67" t="n"/>
      <c r="L558" s="67" t="n"/>
      <c r="M558" s="67" t="n"/>
      <c r="N558" s="67" t="n"/>
      <c r="O558" s="67" t="n"/>
      <c r="P558" s="67" t="n"/>
      <c r="Q558" s="67" t="n"/>
      <c r="R558" s="67" t="n"/>
      <c r="S558" s="67" t="n"/>
      <c r="T558" s="67" t="n"/>
      <c r="U558" s="67" t="n"/>
      <c r="V558" s="67" t="n"/>
      <c r="W558" s="67" t="n"/>
      <c r="X558" s="67" t="n"/>
      <c r="Y558" s="67" t="n"/>
      <c r="Z558" s="67" t="n"/>
      <c r="AA558" s="67" t="n"/>
      <c r="AB558" s="67" t="n"/>
    </row>
    <row r="559" ht="15.75" customHeight="1" s="305">
      <c r="A559" s="225" t="inlineStr">
        <is>
          <t>MISS_POST_CODE</t>
        </is>
      </c>
      <c r="B559" s="67" t="inlineStr">
        <is>
          <t>Thiếu thông tin mã bưu cục.</t>
        </is>
      </c>
      <c r="C559" s="67" t="inlineStr">
        <is>
          <t>Missing information of post code.</t>
        </is>
      </c>
      <c r="D559" s="3">
        <f>IFERROR(__xludf.DUMMYFUNCTION("GOOGLETRANSLATE(B559,""vi"",""km"")"),"ព័ត៌មាន​លេខ​កូដ​ប្រៃសណីយ៍​បាត់។")</f>
        <v/>
      </c>
      <c r="E559" s="3" t="inlineStr">
        <is>
          <t>ខ្វះព័ត៌មានកូដការិយាល័យប្រៃសណីយ៍</t>
        </is>
      </c>
      <c r="F559" s="3" t="inlineStr">
        <is>
          <t>ព័ត៌មានលេខកូដប្រៃសណីយ៍បាត់។</t>
        </is>
      </c>
      <c r="G559" s="3" t="n"/>
      <c r="H559" t="inlineStr">
        <is>
          <t>ព័ត៌មានលេខកូដប្រៃសណីយ៍បាត់។</t>
        </is>
      </c>
      <c r="I559" s="67" t="n"/>
      <c r="J559" s="67" t="n"/>
      <c r="K559" s="67" t="n"/>
      <c r="L559" s="67" t="n"/>
      <c r="M559" s="67" t="n"/>
      <c r="N559" s="67" t="n"/>
      <c r="O559" s="67" t="n"/>
      <c r="P559" s="67" t="n"/>
      <c r="Q559" s="67" t="n"/>
      <c r="R559" s="67" t="n"/>
      <c r="S559" s="67" t="n"/>
      <c r="T559" s="67" t="n"/>
      <c r="U559" s="67" t="n"/>
      <c r="V559" s="67" t="n"/>
      <c r="W559" s="67" t="n"/>
      <c r="X559" s="67" t="n"/>
      <c r="Y559" s="67" t="n"/>
      <c r="Z559" s="67" t="n"/>
      <c r="AA559" s="67" t="n"/>
      <c r="AB559" s="67" t="n"/>
    </row>
    <row r="560" ht="15.75" customHeight="1" s="305">
      <c r="A560" s="225" t="inlineStr">
        <is>
          <t>MISS_ROUTE_ID</t>
        </is>
      </c>
      <c r="B560" s="67" t="inlineStr">
        <is>
          <t>Thiếu thông tin tuyến.</t>
        </is>
      </c>
      <c r="C560" s="67" t="inlineStr">
        <is>
          <t>Missing information of route.</t>
        </is>
      </c>
      <c r="D560" s="3">
        <f>IFERROR(__xludf.DUMMYFUNCTION("GOOGLETRANSLATE(B560,""vi"",""km"")"),"ព័ត៌មានផ្លូវបាត់។")</f>
        <v/>
      </c>
      <c r="E560" s="3" t="inlineStr">
        <is>
          <t>ខ្វះព័ត៌មានផ្លូវដឹក</t>
        </is>
      </c>
      <c r="F560" s="3" t="inlineStr">
        <is>
          <t>ព័ត៌មានផ្លូវបាត់។</t>
        </is>
      </c>
      <c r="G560" s="3" t="n"/>
      <c r="H560" t="inlineStr">
        <is>
          <t>ព័ត៌មានផ្លូវបាត់។</t>
        </is>
      </c>
      <c r="I560" s="67" t="n"/>
      <c r="J560" s="67" t="n"/>
      <c r="K560" s="67" t="n"/>
      <c r="L560" s="67" t="n"/>
      <c r="M560" s="67" t="n"/>
      <c r="N560" s="67" t="n"/>
      <c r="O560" s="67" t="n"/>
      <c r="P560" s="67" t="n"/>
      <c r="Q560" s="67" t="n"/>
      <c r="R560" s="67" t="n"/>
      <c r="S560" s="67" t="n"/>
      <c r="T560" s="67" t="n"/>
      <c r="U560" s="67" t="n"/>
      <c r="V560" s="67" t="n"/>
      <c r="W560" s="67" t="n"/>
      <c r="X560" s="67" t="n"/>
      <c r="Y560" s="67" t="n"/>
      <c r="Z560" s="67" t="n"/>
      <c r="AA560" s="67" t="n"/>
      <c r="AB560" s="67" t="n"/>
    </row>
    <row r="561" ht="15.75" customHeight="1" s="305">
      <c r="A561" s="225" t="inlineStr">
        <is>
          <t>ROUTE_NOT_FOUND</t>
        </is>
      </c>
      <c r="B561" s="67" t="inlineStr">
        <is>
          <t>Không tìm thấy tuyến</t>
        </is>
      </c>
      <c r="C561" s="67" t="inlineStr">
        <is>
          <t>Route is not found</t>
        </is>
      </c>
      <c r="D561" s="3">
        <f>IFERROR(__xludf.DUMMYFUNCTION("GOOGLETRANSLATE(B561,""vi"",""km"")"),"រកមិនឃើញផ្លូវទេ")</f>
        <v/>
      </c>
      <c r="E561" s="3" t="inlineStr">
        <is>
          <t>មិនឃើញផ្លូវដឹក</t>
        </is>
      </c>
      <c r="F561" s="3" t="inlineStr">
        <is>
          <t>រកមិនឃើញផ្លូវទេ</t>
        </is>
      </c>
      <c r="G561" s="3" t="n"/>
      <c r="H561" t="inlineStr">
        <is>
          <t>រកមិនឃើញផ្លូវទេ</t>
        </is>
      </c>
      <c r="I561" s="67" t="n"/>
      <c r="J561" s="67" t="n"/>
      <c r="K561" s="67" t="n"/>
      <c r="L561" s="67" t="n"/>
      <c r="M561" s="67" t="n"/>
      <c r="N561" s="67" t="n"/>
      <c r="O561" s="67" t="n"/>
      <c r="P561" s="67" t="n"/>
      <c r="Q561" s="67" t="n"/>
      <c r="R561" s="67" t="n"/>
      <c r="S561" s="67" t="n"/>
      <c r="T561" s="67" t="n"/>
      <c r="U561" s="67" t="n"/>
      <c r="V561" s="67" t="n"/>
      <c r="W561" s="67" t="n"/>
      <c r="X561" s="67" t="n"/>
      <c r="Y561" s="67" t="n"/>
      <c r="Z561" s="67" t="n"/>
      <c r="AA561" s="67" t="n"/>
      <c r="AB561" s="67" t="n"/>
    </row>
    <row r="562" ht="15.75" customHeight="1" s="305">
      <c r="A562" s="225" t="inlineStr">
        <is>
          <t>ROUTE_CREATE_FAIL</t>
        </is>
      </c>
      <c r="B562" s="67" t="inlineStr">
        <is>
          <t>Tạo tuyến mới thất bại</t>
        </is>
      </c>
      <c r="C562" s="67" t="inlineStr">
        <is>
          <t>Fail to create new route</t>
        </is>
      </c>
      <c r="D562" s="3">
        <f>IFERROR(__xludf.DUMMYFUNCTION("GOOGLETRANSLATE(B562,""vi"",""km"")"),"ការបង្កើតផ្លូវថ្មីបានបរាជ័យ។")</f>
        <v/>
      </c>
      <c r="E562" s="3" t="inlineStr">
        <is>
          <t>បង្កើតផ្លូវដឹកថ្មីបរាជ័យ</t>
        </is>
      </c>
      <c r="F562" s="3" t="inlineStr">
        <is>
          <t>ការបង្កើតផ្លូវថ្មីបានបរាជ័យ។</t>
        </is>
      </c>
      <c r="G562" s="3" t="n"/>
      <c r="H562" t="inlineStr">
        <is>
          <t>ការបង្កើតផ្លូវថ្មីបានបរាជ័យ។</t>
        </is>
      </c>
      <c r="I562" s="67" t="n"/>
      <c r="J562" s="67" t="n"/>
      <c r="K562" s="67" t="n"/>
      <c r="L562" s="67" t="n"/>
      <c r="M562" s="67" t="n"/>
      <c r="N562" s="67" t="n"/>
      <c r="O562" s="67" t="n"/>
      <c r="P562" s="67" t="n"/>
      <c r="Q562" s="67" t="n"/>
      <c r="R562" s="67" t="n"/>
      <c r="S562" s="67" t="n"/>
      <c r="T562" s="67" t="n"/>
      <c r="U562" s="67" t="n"/>
      <c r="V562" s="67" t="n"/>
      <c r="W562" s="67" t="n"/>
      <c r="X562" s="67" t="n"/>
      <c r="Y562" s="67" t="n"/>
      <c r="Z562" s="67" t="n"/>
      <c r="AA562" s="67" t="n"/>
      <c r="AB562" s="67" t="n"/>
    </row>
    <row r="563" ht="15.75" customHeight="1" s="305">
      <c r="A563" s="225" t="inlineStr">
        <is>
          <t>ROUTE_UPDATE_FAIL</t>
        </is>
      </c>
      <c r="B563" s="67" t="inlineStr">
        <is>
          <t>Cập nhật tuyến thất bại</t>
        </is>
      </c>
      <c r="C563" s="67" t="inlineStr">
        <is>
          <t>Fail to update route</t>
        </is>
      </c>
      <c r="D563" s="3">
        <f>IFERROR(__xludf.DUMMYFUNCTION("GOOGLETRANSLATE(B563,""vi"",""km"")"),"ធ្វើបច្ចុប្បន្នភាពផ្លូវដែលបរាជ័យ")</f>
        <v/>
      </c>
      <c r="E563" s="3" t="inlineStr">
        <is>
          <t>អាប់ដេតផ្លូវដឹកបរាជ័យ</t>
        </is>
      </c>
      <c r="F563" s="3" t="inlineStr">
        <is>
          <t>ធ្វើបច្ចុប្បន្នភាពផ្លូវដែលបរាជ័យ</t>
        </is>
      </c>
      <c r="G563" s="3" t="n"/>
      <c r="H563" t="inlineStr">
        <is>
          <t>ធ្វើបច្ចុប្បន្នភាពផ្លូវដែលបរាជ័យ</t>
        </is>
      </c>
      <c r="I563" s="67" t="n"/>
      <c r="J563" s="67" t="n"/>
      <c r="K563" s="67" t="n"/>
      <c r="L563" s="67" t="n"/>
      <c r="M563" s="67" t="n"/>
      <c r="N563" s="67" t="n"/>
      <c r="O563" s="67" t="n"/>
      <c r="P563" s="67" t="n"/>
      <c r="Q563" s="67" t="n"/>
      <c r="R563" s="67" t="n"/>
      <c r="S563" s="67" t="n"/>
      <c r="T563" s="67" t="n"/>
      <c r="U563" s="67" t="n"/>
      <c r="V563" s="67" t="n"/>
      <c r="W563" s="67" t="n"/>
      <c r="X563" s="67" t="n"/>
      <c r="Y563" s="67" t="n"/>
      <c r="Z563" s="67" t="n"/>
      <c r="AA563" s="67" t="n"/>
      <c r="AB563" s="67" t="n"/>
    </row>
    <row r="564" ht="15.75" customHeight="1" s="305">
      <c r="A564" s="225" t="inlineStr">
        <is>
          <t>DEPARTMENT_NOT_EXIST</t>
        </is>
      </c>
      <c r="B564" s="67" t="inlineStr">
        <is>
          <t>Bưu cục không tồn tại</t>
        </is>
      </c>
      <c r="C564" s="67" t="inlineStr">
        <is>
          <t>Department is not exist</t>
        </is>
      </c>
      <c r="D564" s="3">
        <f>IFERROR(__xludf.DUMMYFUNCTION("GOOGLETRANSLATE(B564,""vi"",""km"")"),"ការិយាល័យប្រៃសណីយ៍មិនមានទេ។")</f>
        <v/>
      </c>
      <c r="E564" s="3" t="inlineStr">
        <is>
          <t>ការិយាល័យប្រៃសណីយ៍មិនមាន</t>
        </is>
      </c>
      <c r="F564" s="3" t="inlineStr">
        <is>
          <t>ការិយាល័យប្រៃសណីយ៍មិនមានទេ។</t>
        </is>
      </c>
      <c r="G564" s="3" t="n"/>
      <c r="H564" t="inlineStr">
        <is>
          <t>ការិយាល័យប្រៃសណីយ៍មិនមានទេ។</t>
        </is>
      </c>
      <c r="I564" s="67" t="n"/>
      <c r="J564" s="67" t="n"/>
      <c r="K564" s="67" t="n"/>
      <c r="L564" s="67" t="n"/>
      <c r="M564" s="67" t="n"/>
      <c r="N564" s="67" t="n"/>
      <c r="O564" s="67" t="n"/>
      <c r="P564" s="67" t="n"/>
      <c r="Q564" s="67" t="n"/>
      <c r="R564" s="67" t="n"/>
      <c r="S564" s="67" t="n"/>
      <c r="T564" s="67" t="n"/>
      <c r="U564" s="67" t="n"/>
      <c r="V564" s="67" t="n"/>
      <c r="W564" s="67" t="n"/>
      <c r="X564" s="67" t="n"/>
      <c r="Y564" s="67" t="n"/>
      <c r="Z564" s="67" t="n"/>
      <c r="AA564" s="67" t="n"/>
      <c r="AB564" s="67" t="n"/>
    </row>
    <row r="565" ht="15.75" customHeight="1" s="305">
      <c r="A565" s="225" t="inlineStr">
        <is>
          <t>ADMINISTRATIVE_DIVISION_DISTRICT_ERROR</t>
        </is>
      </c>
      <c r="B565" s="67" t="inlineStr">
        <is>
          <t>Lỗi lấy danh sách quận/huyện.</t>
        </is>
      </c>
      <c r="C565" s="67" t="inlineStr">
        <is>
          <t>Get list district error.</t>
        </is>
      </c>
      <c r="D565" s="3">
        <f>IFERROR(__xludf.DUMMYFUNCTION("GOOGLETRANSLATE(B565,""vi"",""km"")"),"មានបញ្ហាក្នុងការទាញយកបញ្ជីស្រុក/ខោនធី។")</f>
        <v/>
      </c>
      <c r="E565" s="3" t="inlineStr">
        <is>
          <t>បញ្ហាក្នុងការទាញយកបញ្ជីស្រុក/ខណ្ឌ</t>
        </is>
      </c>
      <c r="F565" s="3" t="inlineStr">
        <is>
          <t>មានបញ្ហាក្នុងការទាញយកបញ្ជីស្រុក/ខោនធី។</t>
        </is>
      </c>
      <c r="G565" s="3" t="n"/>
      <c r="H565" t="inlineStr">
        <is>
          <t>មានបញ្ហាក្នុងការទាញយកបញ្ជីស្រុក/ខោនធី។</t>
        </is>
      </c>
      <c r="I565" s="67" t="n"/>
      <c r="J565" s="67" t="n"/>
      <c r="K565" s="67" t="n"/>
      <c r="L565" s="67" t="n"/>
      <c r="M565" s="67" t="n"/>
      <c r="N565" s="67" t="n"/>
      <c r="O565" s="67" t="n"/>
      <c r="P565" s="67" t="n"/>
      <c r="Q565" s="67" t="n"/>
      <c r="R565" s="67" t="n"/>
      <c r="S565" s="67" t="n"/>
      <c r="T565" s="67" t="n"/>
      <c r="U565" s="67" t="n"/>
      <c r="V565" s="67" t="n"/>
      <c r="W565" s="67" t="n"/>
      <c r="X565" s="67" t="n"/>
      <c r="Y565" s="67" t="n"/>
      <c r="Z565" s="67" t="n"/>
      <c r="AA565" s="67" t="n"/>
      <c r="AB565" s="67" t="n"/>
    </row>
    <row r="566" ht="15.75" customHeight="1" s="305">
      <c r="A566" s="225" t="inlineStr">
        <is>
          <t>ADMINISTRATIVE_DIVISION_TOWNSHIP_ERROR</t>
        </is>
      </c>
      <c r="B566" s="67" t="inlineStr">
        <is>
          <t>Lỗi lấy danh sách xã/phường.</t>
        </is>
      </c>
      <c r="C566" s="67" t="inlineStr">
        <is>
          <t>Get list township error.</t>
        </is>
      </c>
      <c r="D566" s="3">
        <f>IFERROR(__xludf.DUMMYFUNCTION("GOOGLETRANSLATE(B566,""vi"",""km"")"),"មាន​កំហុស​ក្នុង​ការ​ទាញ​យក​បញ្ជី​ឃុំ/សង្កាត់។")</f>
        <v/>
      </c>
      <c r="E566" s="3" t="inlineStr">
        <is>
          <t>បញ្ហាក្នុងការទាញយកបញ្ជីឃុំ/សង្កាត់</t>
        </is>
      </c>
      <c r="F566" s="3" t="inlineStr">
        <is>
          <t>មានកំហុសក្នុងការទាញយកបញ្ជីឃុំ/សង្កាត់។</t>
        </is>
      </c>
      <c r="G566" s="3" t="n"/>
      <c r="H566" t="inlineStr">
        <is>
          <t>មានកំហុសក្នុងការទាញយកបញ្ជីឃុំ/សង្កាត់។</t>
        </is>
      </c>
      <c r="I566" s="67" t="n"/>
      <c r="J566" s="67" t="n"/>
      <c r="K566" s="67" t="n"/>
      <c r="L566" s="67" t="n"/>
      <c r="M566" s="67" t="n"/>
      <c r="N566" s="67" t="n"/>
      <c r="O566" s="67" t="n"/>
      <c r="P566" s="67" t="n"/>
      <c r="Q566" s="67" t="n"/>
      <c r="R566" s="67" t="n"/>
      <c r="S566" s="67" t="n"/>
      <c r="T566" s="67" t="n"/>
      <c r="U566" s="67" t="n"/>
      <c r="V566" s="67" t="n"/>
      <c r="W566" s="67" t="n"/>
      <c r="X566" s="67" t="n"/>
      <c r="Y566" s="67" t="n"/>
      <c r="Z566" s="67" t="n"/>
      <c r="AA566" s="67" t="n"/>
      <c r="AB566" s="67" t="n"/>
    </row>
    <row r="567" ht="15.75" customHeight="1" s="305">
      <c r="A567" s="225" t="inlineStr">
        <is>
          <t>ROUTE_POSTMAN_CONFIG_NOT_FOUND</t>
        </is>
      </c>
      <c r="B567" s="67" t="inlineStr">
        <is>
          <t>Không tìm thấy thông tin tuyến bưu tá.</t>
        </is>
      </c>
      <c r="C567" s="67" t="inlineStr">
        <is>
          <t>Route postman is not found.</t>
        </is>
      </c>
      <c r="D567" s="3">
        <f>IFERROR(__xludf.DUMMYFUNCTION("GOOGLETRANSLATE(B567,""vi"",""km"")"),"រកមិនឃើញព័ត៌មានសេវាប្រៃសណីយ៍ទេ។")</f>
        <v/>
      </c>
      <c r="E567" s="3" t="inlineStr">
        <is>
          <t>មិនរកឃើញព័ត៌មានផ្លូវរបស់អ្នកដឹកជញ្ជូន</t>
        </is>
      </c>
      <c r="F567" s="3" t="inlineStr">
        <is>
          <t>រកមិនឃើញព័ត៌មានសេវាប្រៃសណីយ៍ទេ។</t>
        </is>
      </c>
      <c r="G567" s="3" t="n"/>
      <c r="H567" t="inlineStr">
        <is>
          <t>រកមិនឃើញព័ត៌មានសេវាប្រៃសណីយ៍ទេ។</t>
        </is>
      </c>
      <c r="I567" s="67" t="n"/>
      <c r="J567" s="67" t="n"/>
      <c r="K567" s="67" t="n"/>
      <c r="L567" s="67" t="n"/>
      <c r="M567" s="67" t="n"/>
      <c r="N567" s="67" t="n"/>
      <c r="O567" s="67" t="n"/>
      <c r="P567" s="67" t="n"/>
      <c r="Q567" s="67" t="n"/>
      <c r="R567" s="67" t="n"/>
      <c r="S567" s="67" t="n"/>
      <c r="T567" s="67" t="n"/>
      <c r="U567" s="67" t="n"/>
      <c r="V567" s="67" t="n"/>
      <c r="W567" s="67" t="n"/>
      <c r="X567" s="67" t="n"/>
      <c r="Y567" s="67" t="n"/>
      <c r="Z567" s="67" t="n"/>
      <c r="AA567" s="67" t="n"/>
      <c r="AB567" s="67" t="n"/>
    </row>
    <row r="568" ht="15.75" customHeight="1" s="305">
      <c r="A568" s="225" t="inlineStr">
        <is>
          <t>ROUTE_POSTMAN_CONFIG_CREATE_NEW_FAIL</t>
        </is>
      </c>
      <c r="B568" s="67" t="inlineStr">
        <is>
          <t>Tạo cấu hình tuyến bưu tá thất bại.</t>
        </is>
      </c>
      <c r="C568" s="67" t="inlineStr">
        <is>
          <t>Create route postman config fail.</t>
        </is>
      </c>
      <c r="D568" s="3">
        <f>IFERROR(__xludf.DUMMYFUNCTION("GOOGLETRANSLATE(B568,""vi"",""km"")"),"ការកំណត់​រចនាសម្ព័ន្ធ​ផ្លូវ​បាន​បរាជ័យ។")</f>
        <v/>
      </c>
      <c r="E568" s="3" t="inlineStr">
        <is>
          <t>បង្កើតការភ្ជាប់ផ្លូវអ្នកដឹកជញ្ជូនបរាជ័យ</t>
        </is>
      </c>
      <c r="F568" s="3" t="inlineStr">
        <is>
          <t>ការកំណត់រចនាសម្ព័ន្ធផ្លូវបានបរាជ័យ។</t>
        </is>
      </c>
      <c r="G568" s="3" t="n"/>
      <c r="H568" t="inlineStr">
        <is>
          <t>ការកំណត់រចនាសម្ព័ន្ធផ្លូវបានបរាជ័យ។</t>
        </is>
      </c>
      <c r="I568" s="67" t="n"/>
      <c r="J568" s="67" t="n"/>
      <c r="K568" s="67" t="n"/>
      <c r="L568" s="67" t="n"/>
      <c r="M568" s="67" t="n"/>
      <c r="N568" s="67" t="n"/>
      <c r="O568" s="67" t="n"/>
      <c r="P568" s="67" t="n"/>
      <c r="Q568" s="67" t="n"/>
      <c r="R568" s="67" t="n"/>
      <c r="S568" s="67" t="n"/>
      <c r="T568" s="67" t="n"/>
      <c r="U568" s="67" t="n"/>
      <c r="V568" s="67" t="n"/>
      <c r="W568" s="67" t="n"/>
      <c r="X568" s="67" t="n"/>
      <c r="Y568" s="67" t="n"/>
      <c r="Z568" s="67" t="n"/>
      <c r="AA568" s="67" t="n"/>
      <c r="AB568" s="67" t="n"/>
    </row>
    <row r="569" ht="15.75" customHeight="1" s="305">
      <c r="A569" s="225" t="inlineStr">
        <is>
          <t>VOID_DELETE_ROUTE_POSTMAN_FAIL</t>
        </is>
      </c>
      <c r="B569" s="67" t="inlineStr">
        <is>
          <t>Xoá cấu hình tuyến bưu tá thất bại.</t>
        </is>
      </c>
      <c r="C569" s="67" t="inlineStr">
        <is>
          <t>Delete route postman config fail.</t>
        </is>
      </c>
      <c r="D569" s="3">
        <f>IFERROR(__xludf.DUMMYFUNCTION("GOOGLETRANSLATE(B569,""vi"",""km"")"),"ការលុបការកំណត់រចនាសម្ព័ន្ធផ្លូវប្រៃសណីយ៍បានបរាជ័យ។")</f>
        <v/>
      </c>
      <c r="E569" s="3" t="inlineStr">
        <is>
          <t>លុបចោលផ្លូវអ្នកដឹកជញ្ជូនបរាជ័យ</t>
        </is>
      </c>
      <c r="F569" s="3" t="inlineStr">
        <is>
          <t>ការលុបការកំណត់រចនាសម្ព័ន្ធផ្លូវប្រៃសណីយ៍បានបរាជ័យ។</t>
        </is>
      </c>
      <c r="G569" s="3" t="n"/>
      <c r="H569" t="inlineStr">
        <is>
          <t>ការលុបការកំណត់រចនាសម្ព័ន្ធផ្លូវប្រៃសណីយ៍បានបរាជ័យ។</t>
        </is>
      </c>
      <c r="I569" s="67" t="n"/>
      <c r="J569" s="67" t="n"/>
      <c r="K569" s="67" t="n"/>
      <c r="L569" s="67" t="n"/>
      <c r="M569" s="67" t="n"/>
      <c r="N569" s="67" t="n"/>
      <c r="O569" s="67" t="n"/>
      <c r="P569" s="67" t="n"/>
      <c r="Q569" s="67" t="n"/>
      <c r="R569" s="67" t="n"/>
      <c r="S569" s="67" t="n"/>
      <c r="T569" s="67" t="n"/>
      <c r="U569" s="67" t="n"/>
      <c r="V569" s="67" t="n"/>
      <c r="W569" s="67" t="n"/>
      <c r="X569" s="67" t="n"/>
      <c r="Y569" s="67" t="n"/>
      <c r="Z569" s="67" t="n"/>
      <c r="AA569" s="67" t="n"/>
      <c r="AB569" s="67" t="n"/>
    </row>
    <row r="570" ht="15.75" customHeight="1" s="305">
      <c r="A570" s="225" t="inlineStr">
        <is>
          <t>ROUTE_POSTMAN_CONFIG_UPDATE_FAIL</t>
        </is>
      </c>
      <c r="B570" s="67" t="inlineStr">
        <is>
          <t>Cập nhật cấu hình tuyến bưu tá thất bại.</t>
        </is>
      </c>
      <c r="C570" s="67" t="inlineStr">
        <is>
          <t>Update route postman config fail.</t>
        </is>
      </c>
      <c r="D570" s="3">
        <f>IFERROR(__xludf.DUMMYFUNCTION("GOOGLETRANSLATE(B570,""vi"",""km"")"),"ការអាប់ដេតការកំណត់រចនាសម្ព័ន្ធផ្លូវប្រៃសណីយ៍បានបរាជ័យ។")</f>
        <v/>
      </c>
      <c r="E570" s="67" t="inlineStr">
        <is>
          <t>អាប់ដេតការភ្ជាប់ផ្លូវដឹកជញ្ជូនបានបរាជ័យ</t>
        </is>
      </c>
      <c r="F570" s="3" t="inlineStr">
        <is>
          <t>ការអាប់ដេតការកំណត់រចនាសម្ព័ន្ធផ្លូវប្រៃសណីយ៍បានបរាជ័យ។</t>
        </is>
      </c>
      <c r="G570" s="3" t="n"/>
      <c r="H570" t="inlineStr">
        <is>
          <t>ការអាប់ដេតការកំណត់រចនាសម្ព័ន្ធផ្លូវប្រៃសណីយ៍បានបរាជ័យ។</t>
        </is>
      </c>
      <c r="I570" s="67" t="n"/>
      <c r="J570" s="67" t="n"/>
      <c r="K570" s="67" t="n"/>
      <c r="L570" s="67" t="n"/>
      <c r="M570" s="67" t="n"/>
      <c r="N570" s="67" t="n"/>
      <c r="O570" s="67" t="n"/>
      <c r="P570" s="67" t="n"/>
      <c r="Q570" s="67" t="n"/>
      <c r="R570" s="67" t="n"/>
      <c r="S570" s="67" t="n"/>
      <c r="T570" s="67" t="n"/>
      <c r="U570" s="67" t="n"/>
      <c r="V570" s="67" t="n"/>
      <c r="W570" s="67" t="n"/>
      <c r="X570" s="67" t="n"/>
      <c r="Y570" s="67" t="n"/>
      <c r="Z570" s="67" t="n"/>
      <c r="AA570" s="67" t="n"/>
      <c r="AB570" s="67" t="n"/>
    </row>
    <row r="571" ht="15.75" customHeight="1" s="305">
      <c r="A571" s="225" t="inlineStr">
        <is>
          <t>ROUTE_POSTMAN_CONFIG_SHIFT_ALREADY_USED</t>
        </is>
      </c>
      <c r="B571" s="67" t="inlineStr">
        <is>
          <t>Ca làm việc đã được gán tuyến.</t>
        </is>
      </c>
      <c r="C571" s="67" t="inlineStr">
        <is>
          <t>Shift has been assigned a route.</t>
        </is>
      </c>
      <c r="D571" s="3">
        <f>IFERROR(__xludf.DUMMYFUNCTION("GOOGLETRANSLATE(B571,""vi"",""km"")"),"វេនត្រូវបានកំណត់ទៅផ្លូវជាក់លាក់មួយ។")</f>
        <v/>
      </c>
      <c r="E571" s="3" t="n"/>
      <c r="F571" s="3" t="inlineStr">
        <is>
          <t>វេនត្រូវបានកំណត់ទៅផ្លូវជាក់លាក់មួយ។</t>
        </is>
      </c>
      <c r="G571" s="3" t="n"/>
      <c r="H571" t="inlineStr">
        <is>
          <t>វេនត្រូវបានកំណត់ទៅផ្លូវជាក់លាក់មួយ។</t>
        </is>
      </c>
      <c r="I571" s="67" t="n"/>
      <c r="J571" s="67" t="n"/>
      <c r="K571" s="67" t="n"/>
      <c r="L571" s="67" t="n"/>
      <c r="M571" s="67" t="n"/>
      <c r="N571" s="67" t="n"/>
      <c r="O571" s="67" t="n"/>
      <c r="P571" s="67" t="n"/>
      <c r="Q571" s="67" t="n"/>
      <c r="R571" s="67" t="n"/>
      <c r="S571" s="67" t="n"/>
      <c r="T571" s="67" t="n"/>
      <c r="U571" s="67" t="n"/>
      <c r="V571" s="67" t="n"/>
      <c r="W571" s="67" t="n"/>
      <c r="X571" s="67" t="n"/>
      <c r="Y571" s="67" t="n"/>
      <c r="Z571" s="67" t="n"/>
      <c r="AA571" s="67" t="n"/>
      <c r="AB571" s="67" t="n"/>
    </row>
    <row r="572" ht="15.75" customHeight="1" s="305">
      <c r="A572" s="225" t="inlineStr">
        <is>
          <t>ROUTE_CONFIG_CREATE_FAIL</t>
        </is>
      </c>
      <c r="B572" s="67" t="inlineStr">
        <is>
          <t>Tạo cấu hình tuyến thất bại.</t>
        </is>
      </c>
      <c r="C572" s="67" t="inlineStr">
        <is>
          <t>Create route config fail.</t>
        </is>
      </c>
      <c r="D572" s="3">
        <f>IFERROR(__xludf.DUMMYFUNCTION("GOOGLETRANSLATE(B572,""vi"",""km"")"),"ការកំណត់​រចនាសម្ព័ន្ធ​ផ្លូវ​បាន​បរាជ័យ។")</f>
        <v/>
      </c>
      <c r="E572" s="3" t="inlineStr">
        <is>
          <t>បង្កើតការភ្ជាប់ផ្លូវបរាជ័យ</t>
        </is>
      </c>
      <c r="F572" s="3" t="inlineStr">
        <is>
          <t>ការកំណត់រចនាសម្ព័ន្ធផ្លូវបានបរាជ័យ។</t>
        </is>
      </c>
      <c r="G572" s="3" t="n"/>
      <c r="H572" t="inlineStr">
        <is>
          <t>ការកំណត់រចនាសម្ព័ន្ធផ្លូវបានបរាជ័យ។</t>
        </is>
      </c>
      <c r="I572" s="67" t="n"/>
      <c r="J572" s="67" t="n"/>
      <c r="K572" s="67" t="n"/>
      <c r="L572" s="67" t="n"/>
      <c r="M572" s="67" t="n"/>
      <c r="N572" s="67" t="n"/>
      <c r="O572" s="67" t="n"/>
      <c r="P572" s="67" t="n"/>
      <c r="Q572" s="67" t="n"/>
      <c r="R572" s="67" t="n"/>
      <c r="S572" s="67" t="n"/>
      <c r="T572" s="67" t="n"/>
      <c r="U572" s="67" t="n"/>
      <c r="V572" s="67" t="n"/>
      <c r="W572" s="67" t="n"/>
      <c r="X572" s="67" t="n"/>
      <c r="Y572" s="67" t="n"/>
      <c r="Z572" s="67" t="n"/>
      <c r="AA572" s="67" t="n"/>
      <c r="AB572" s="67" t="n"/>
    </row>
    <row r="573" ht="15.75" customHeight="1" s="305">
      <c r="A573" s="225" t="inlineStr">
        <is>
          <t>ROUTE_CONFIG_NOT_FOUND</t>
        </is>
      </c>
      <c r="B573" s="67" t="inlineStr">
        <is>
          <t>Cấu hình tuyến không tồn tại.</t>
        </is>
      </c>
      <c r="C573" s="67" t="inlineStr">
        <is>
          <t>Route config is not found.</t>
        </is>
      </c>
      <c r="D573" s="3">
        <f>IFERROR(__xludf.DUMMYFUNCTION("GOOGLETRANSLATE(B573,""vi"",""km"")"),"ការកំណត់​រចនាសម្ព័ន្ធ​ផ្លូវ​មិនមានទេ។")</f>
        <v/>
      </c>
      <c r="E573" s="3" t="inlineStr">
        <is>
          <t>ការភ្ជាប់ផ្លូវមិនមាន</t>
        </is>
      </c>
      <c r="F573" s="3" t="inlineStr">
        <is>
          <t>ការកំណត់រចនាសម្ព័ន្ធផ្លូវមិនមានទេ។</t>
        </is>
      </c>
      <c r="G573" s="3" t="n"/>
      <c r="H573" t="inlineStr">
        <is>
          <t>ការកំណត់រចនាសម្ព័ន្ធផ្លូវមិនមានទេ។</t>
        </is>
      </c>
      <c r="I573" s="67" t="n"/>
      <c r="J573" s="67" t="n"/>
      <c r="K573" s="67" t="n"/>
      <c r="L573" s="67" t="n"/>
      <c r="M573" s="67" t="n"/>
      <c r="N573" s="67" t="n"/>
      <c r="O573" s="67" t="n"/>
      <c r="P573" s="67" t="n"/>
      <c r="Q573" s="67" t="n"/>
      <c r="R573" s="67" t="n"/>
      <c r="S573" s="67" t="n"/>
      <c r="T573" s="67" t="n"/>
      <c r="U573" s="67" t="n"/>
      <c r="V573" s="67" t="n"/>
      <c r="W573" s="67" t="n"/>
      <c r="X573" s="67" t="n"/>
      <c r="Y573" s="67" t="n"/>
      <c r="Z573" s="67" t="n"/>
      <c r="AA573" s="67" t="n"/>
      <c r="AB573" s="67" t="n"/>
    </row>
    <row r="574" ht="15.75" customHeight="1" s="305">
      <c r="A574" s="225" t="inlineStr">
        <is>
          <t>ROUTE_CONFIG_ALREADY_EXISTED</t>
        </is>
      </c>
      <c r="B574" s="67" t="inlineStr">
        <is>
          <t>Tên cấu hình tuyến đã tồn tại.</t>
        </is>
      </c>
      <c r="C574" s="67" t="inlineStr">
        <is>
          <t>Route config name already existed.</t>
        </is>
      </c>
      <c r="D574" s="3">
        <f>IFERROR(__xludf.DUMMYFUNCTION("GOOGLETRANSLATE(B574,""vi"",""km"")"),"ឈ្មោះ​ការកំណត់​រចនាសម្ព័ន្ធ​ផ្លូវ​មាន​រួចហើយ។")</f>
        <v/>
      </c>
      <c r="E574" s="67" t="n"/>
      <c r="F574" s="3" t="inlineStr">
        <is>
          <t>ឈ្មោះការកំណត់រចនាសម្ព័ន្ធផ្លូវមានរួចហើយ។</t>
        </is>
      </c>
      <c r="G574" s="3" t="n"/>
      <c r="H574" t="inlineStr">
        <is>
          <t>ឈ្មោះការកំណត់រចនាសម្ព័ន្ធផ្លូវមានរួចហើយ។</t>
        </is>
      </c>
      <c r="I574" s="67" t="n"/>
      <c r="J574" s="67" t="n"/>
      <c r="K574" s="67" t="n"/>
      <c r="L574" s="67" t="n"/>
      <c r="M574" s="67" t="n"/>
      <c r="N574" s="67" t="n"/>
      <c r="O574" s="67" t="n"/>
      <c r="P574" s="67" t="n"/>
      <c r="Q574" s="67" t="n"/>
      <c r="R574" s="67" t="n"/>
      <c r="S574" s="67" t="n"/>
      <c r="T574" s="67" t="n"/>
      <c r="U574" s="67" t="n"/>
      <c r="V574" s="67" t="n"/>
      <c r="W574" s="67" t="n"/>
      <c r="X574" s="67" t="n"/>
      <c r="Y574" s="67" t="n"/>
      <c r="Z574" s="67" t="n"/>
      <c r="AA574" s="67" t="n"/>
      <c r="AB574" s="67" t="n"/>
    </row>
    <row r="575" ht="15.75" customHeight="1" s="305">
      <c r="A575" s="225" t="inlineStr">
        <is>
          <t>ROUTE_AREA_CONFIG_NOT_FOUND</t>
        </is>
      </c>
      <c r="B575" s="67" t="inlineStr">
        <is>
          <t>Không tìm thấy địa danh của tuyến.</t>
        </is>
      </c>
      <c r="C575" s="67" t="inlineStr">
        <is>
          <t>Route area is not found.</t>
        </is>
      </c>
      <c r="D575" s="3">
        <f>IFERROR(__xludf.DUMMYFUNCTION("GOOGLETRANSLATE(B575,""vi"",""km"")"),"រកមិនឃើញឈ្មោះទីកន្លែងសម្រាប់ផ្លូវនោះទេ។")</f>
        <v/>
      </c>
      <c r="E575" s="3" t="inlineStr">
        <is>
          <t>មិនអាចស្វែងរកទីតាំង</t>
        </is>
      </c>
      <c r="F575" s="3" t="inlineStr">
        <is>
          <t>រកមិនឃើញឈ្មោះទីកន្លែងសម្រាប់ផ្លូវនោះទេ។</t>
        </is>
      </c>
      <c r="G575" s="3" t="n"/>
      <c r="H575" t="inlineStr">
        <is>
          <t>រកមិនឃើញឈ្មោះទីកន្លែងសម្រាប់ផ្លូវនោះទេ។</t>
        </is>
      </c>
      <c r="I575" s="67" t="n"/>
      <c r="J575" s="67" t="n"/>
      <c r="K575" s="67" t="n"/>
      <c r="L575" s="67" t="n"/>
      <c r="M575" s="67" t="n"/>
      <c r="N575" s="67" t="n"/>
      <c r="O575" s="67" t="n"/>
      <c r="P575" s="67" t="n"/>
      <c r="Q575" s="67" t="n"/>
      <c r="R575" s="67" t="n"/>
      <c r="S575" s="67" t="n"/>
      <c r="T575" s="67" t="n"/>
      <c r="U575" s="67" t="n"/>
      <c r="V575" s="67" t="n"/>
      <c r="W575" s="67" t="n"/>
      <c r="X575" s="67" t="n"/>
      <c r="Y575" s="67" t="n"/>
      <c r="Z575" s="67" t="n"/>
      <c r="AA575" s="67" t="n"/>
      <c r="AB575" s="67" t="n"/>
    </row>
    <row r="576" ht="15.75" customHeight="1" s="305">
      <c r="A576" s="225" t="inlineStr">
        <is>
          <t>ROUTE_AREA_CONFIG_CREATE_FAIL</t>
        </is>
      </c>
      <c r="B576" s="67" t="inlineStr">
        <is>
          <t>Tạo địa danh của tuyến thất bại.</t>
        </is>
      </c>
      <c r="C576" s="67" t="inlineStr">
        <is>
          <t>Route area create fail.</t>
        </is>
      </c>
      <c r="D576" s="3">
        <f>IFERROR(__xludf.DUMMYFUNCTION("GOOGLETRANSLATE(B576,""vi"",""km"")"),"បង្កើត​ចំណុច​សម្គាល់​សម្រាប់​ផ្លូវ​ដែល​បរាជ័យ។")</f>
        <v/>
      </c>
      <c r="E576" s="3" t="inlineStr">
        <is>
          <t>បង្កើតទីតាំងសម្រាប់ផ្លូវដឹកដែលបរាជ័យ។</t>
        </is>
      </c>
      <c r="F576" s="3" t="inlineStr">
        <is>
          <t>បង្កើតចំណុចសម្គាល់សម្រាប់ផ្លូវដែលបរាជ័យ។</t>
        </is>
      </c>
      <c r="G576" s="3" t="n"/>
      <c r="H576" t="inlineStr">
        <is>
          <t>បង្កើតចំណុចសម្គាល់សម្រាប់ផ្លូវដែលបរាជ័យ។</t>
        </is>
      </c>
      <c r="I576" s="67" t="n"/>
      <c r="J576" s="67" t="n"/>
      <c r="K576" s="67" t="n"/>
      <c r="L576" s="67" t="n"/>
      <c r="M576" s="67" t="n"/>
      <c r="N576" s="67" t="n"/>
      <c r="O576" s="67" t="n"/>
      <c r="P576" s="67" t="n"/>
      <c r="Q576" s="67" t="n"/>
      <c r="R576" s="67" t="n"/>
      <c r="S576" s="67" t="n"/>
      <c r="T576" s="67" t="n"/>
      <c r="U576" s="67" t="n"/>
      <c r="V576" s="67" t="n"/>
      <c r="W576" s="67" t="n"/>
      <c r="X576" s="67" t="n"/>
      <c r="Y576" s="67" t="n"/>
      <c r="Z576" s="67" t="n"/>
      <c r="AA576" s="67" t="n"/>
      <c r="AB576" s="67" t="n"/>
    </row>
    <row r="577" ht="15.75" customHeight="1" s="305">
      <c r="A577" s="225" t="inlineStr">
        <is>
          <t>ROUTE_AREA_CONFIG_UPDATE_FAIL</t>
        </is>
      </c>
      <c r="B577" s="67" t="inlineStr">
        <is>
          <t>Cập nhật địa danh của tuyến thất bại.</t>
        </is>
      </c>
      <c r="C577" s="67" t="inlineStr">
        <is>
          <t>Route area update fail.</t>
        </is>
      </c>
      <c r="D577" s="3">
        <f>IFERROR(__xludf.DUMMYFUNCTION("GOOGLETRANSLATE(B577,""vi"",""km"")"),"ធ្វើបច្ចុប្បន្នភាពឈ្មោះទីកន្លែងសម្រាប់ផ្លូវដែលបរាជ័យ។")</f>
        <v/>
      </c>
      <c r="E577" s="3" t="inlineStr">
        <is>
          <t>អាប់ដេតពីទីតាំងសម្រាប់ផ្លូវដែលបរាជ័យ។</t>
        </is>
      </c>
      <c r="F577" s="3" t="inlineStr">
        <is>
          <t>ធ្វើបច្ចុប្បន្នភាពឈ្មោះទីកន្លែងសម្រាប់ផ្លូវដែលបរាជ័យ។</t>
        </is>
      </c>
      <c r="G577" s="3" t="n"/>
      <c r="H577" t="inlineStr">
        <is>
          <t>ធ្វើបច្ចុប្បន្នភាពឈ្មោះទីកន្លែងសម្រាប់ផ្លូវដែលបរាជ័យ។</t>
        </is>
      </c>
      <c r="I577" s="67" t="n"/>
      <c r="J577" s="67" t="n"/>
      <c r="K577" s="67" t="n"/>
      <c r="L577" s="67" t="n"/>
      <c r="M577" s="67" t="n"/>
      <c r="N577" s="67" t="n"/>
      <c r="O577" s="67" t="n"/>
      <c r="P577" s="67" t="n"/>
      <c r="Q577" s="67" t="n"/>
      <c r="R577" s="67" t="n"/>
      <c r="S577" s="67" t="n"/>
      <c r="T577" s="67" t="n"/>
      <c r="U577" s="67" t="n"/>
      <c r="V577" s="67" t="n"/>
      <c r="W577" s="67" t="n"/>
      <c r="X577" s="67" t="n"/>
      <c r="Y577" s="67" t="n"/>
      <c r="Z577" s="67" t="n"/>
      <c r="AA577" s="67" t="n"/>
      <c r="AB577" s="67" t="n"/>
    </row>
    <row r="578" ht="15.75" customHeight="1" s="305">
      <c r="A578" s="225" t="inlineStr">
        <is>
          <t>ROUTE_AREA_CONFIG_EXIST</t>
        </is>
      </c>
      <c r="B578" s="67" t="inlineStr">
        <is>
          <t>Địa danh theo tuyến nhận đã được khai báo.</t>
        </is>
      </c>
      <c r="C578" s="67" t="inlineStr">
        <is>
          <t>Route area already exist.</t>
        </is>
      </c>
      <c r="D578" s="3">
        <f>IFERROR(__xludf.DUMMYFUNCTION("GOOGLETRANSLATE(B578,""vi"",""km"")"),"ឈ្មោះ​ទីកន្លែង​នានា​តាម​បណ្តោយ​ផ្លូវ​ត្រូវ​បាន​ប្រកាស​រួច​ហើយ។")</f>
        <v/>
      </c>
      <c r="E578" s="67" t="inlineStr">
        <is>
          <t>ទីតាំងសម្រាប់ផ្លូវទទួលត្រូវបានប្រកាស។</t>
        </is>
      </c>
      <c r="F578" s="3" t="inlineStr">
        <is>
          <t>ឈ្មោះទីកន្លែងនានាតាមបណ្តោយផ្លូវត្រូវបានប្រកាសរួចហើយ។</t>
        </is>
      </c>
      <c r="G578" s="3" t="n"/>
      <c r="H578" t="inlineStr">
        <is>
          <t>ឈ្មោះទីកន្លែងនានាតាមបណ្តោយផ្លូវត្រូវបានប្រកាសរួចហើយ។</t>
        </is>
      </c>
      <c r="I578" s="67" t="n"/>
      <c r="J578" s="67" t="n"/>
      <c r="K578" s="67" t="n"/>
      <c r="L578" s="67" t="n"/>
      <c r="M578" s="67" t="n"/>
      <c r="N578" s="67" t="n"/>
      <c r="O578" s="67" t="n"/>
      <c r="P578" s="67" t="n"/>
      <c r="Q578" s="67" t="n"/>
      <c r="R578" s="67" t="n"/>
      <c r="S578" s="67" t="n"/>
      <c r="T578" s="67" t="n"/>
      <c r="U578" s="67" t="n"/>
      <c r="V578" s="67" t="n"/>
      <c r="W578" s="67" t="n"/>
      <c r="X578" s="67" t="n"/>
      <c r="Y578" s="67" t="n"/>
      <c r="Z578" s="67" t="n"/>
      <c r="AA578" s="67" t="n"/>
      <c r="AB578" s="67" t="n"/>
    </row>
    <row r="579" ht="15.75" customHeight="1" s="305">
      <c r="A579" s="225" t="inlineStr">
        <is>
          <t>ROUTE_POSTMAN_CONFIG_ALREADY_EXISTED</t>
        </is>
      </c>
      <c r="B579" s="67" t="inlineStr">
        <is>
          <t>Bưu tá đã được khai báo.</t>
        </is>
      </c>
      <c r="C579" s="67" t="inlineStr">
        <is>
          <t>Bưu tá đã được khai báo.</t>
        </is>
      </c>
      <c r="D579" s="3">
        <f>IFERROR(__xludf.DUMMYFUNCTION("GOOGLETRANSLATE(B579,""vi"",""km"")"),"អ្នកនាំសំបុត្រត្រូវបានចុះឈ្មោះ។")</f>
        <v/>
      </c>
      <c r="E579" s="67" t="inlineStr">
        <is>
          <t>បុគ្គលិកប្រៃសណីយ៍ត្រូវបានប្រកាស។</t>
        </is>
      </c>
      <c r="F579" s="3" t="inlineStr">
        <is>
          <t>អ្នកនាំសំបុត្រត្រូវបានចុះឈ្មោះ។</t>
        </is>
      </c>
      <c r="G579" s="3" t="n"/>
      <c r="H579" t="inlineStr">
        <is>
          <t>អ្នកនាំសំបុត្រត្រូវបានចុះឈ្មោះ។</t>
        </is>
      </c>
      <c r="I579" s="67" t="n"/>
      <c r="J579" s="67" t="n"/>
      <c r="K579" s="67" t="n"/>
      <c r="L579" s="67" t="n"/>
      <c r="M579" s="67" t="n"/>
      <c r="N579" s="67" t="n"/>
      <c r="O579" s="67" t="n"/>
      <c r="P579" s="67" t="n"/>
      <c r="Q579" s="67" t="n"/>
      <c r="R579" s="67" t="n"/>
      <c r="S579" s="67" t="n"/>
      <c r="T579" s="67" t="n"/>
      <c r="U579" s="67" t="n"/>
      <c r="V579" s="67" t="n"/>
      <c r="W579" s="67" t="n"/>
      <c r="X579" s="67" t="n"/>
      <c r="Y579" s="67" t="n"/>
      <c r="Z579" s="67" t="n"/>
      <c r="AA579" s="67" t="n"/>
      <c r="AB579" s="67" t="n"/>
    </row>
    <row r="580" ht="15.75" customHeight="1" s="305">
      <c r="A580" s="225" t="inlineStr">
        <is>
          <t>POSTMAN_DOES_NOT_ALLOW_TO_RECEIVE_ORDER_BECAUSE_DIFFERENT_REGION</t>
        </is>
      </c>
      <c r="B580" s="67" t="inlineStr">
        <is>
          <t>Đồng chí không được lấy hàng do bưu phẩm ở địa danh khác.</t>
        </is>
      </c>
      <c r="C580" s="67" t="inlineStr">
        <is>
          <t>Đồng chí không được lấy hàng do bưu phẩm ở địa danh khác.</t>
        </is>
      </c>
      <c r="D580" s="3">
        <f>IFERROR(__xludf.DUMMYFUNCTION("GOOGLETRANSLATE(B580,""vi"",""km"")"),"អ្នកមិនត្រូវបានអនុញ្ញាតឱ្យមកយកកញ្ចប់នោះទេ ព្រោះវាមានទីតាំងនៅក្នុងតំបន់ប្រៃសណីយ៍ផ្សេង។")</f>
        <v/>
      </c>
      <c r="E580" s="67" t="inlineStr">
        <is>
          <t>អ្នកមិនត្រូវបានអនុញ្ញាតឱ្យទៅយកកញ្ចប់នោះទេព្រោះវាស្ថិតនៅទីតាំងផ្សេង។</t>
        </is>
      </c>
      <c r="F580" s="3" t="inlineStr">
        <is>
          <t>អ្នកមិនត្រូវបានអនុញ្ញាតឱ្យមកយកកញ្ចប់នោះទេ ព្រោះវាមានទីតាំងនៅក្នុងតំបន់ប្រៃសណីយ៍ផ្សេង។</t>
        </is>
      </c>
      <c r="G580" s="3" t="n"/>
      <c r="H580" t="inlineStr">
        <is>
          <t>អ្នកមិនត្រូវបានអនុញ្ញាតឱ្យមកយកកញ្ចប់នោះទេ ព្រោះវាមានទីតាំងនៅក្នុងតំបន់ប្រៃសណីយ៍ផ្សេង។</t>
        </is>
      </c>
      <c r="I580" s="67" t="n"/>
      <c r="J580" s="67" t="n"/>
      <c r="K580" s="67" t="n"/>
      <c r="L580" s="67" t="n"/>
      <c r="M580" s="67" t="n"/>
      <c r="N580" s="67" t="n"/>
      <c r="O580" s="67" t="n"/>
      <c r="P580" s="67" t="n"/>
      <c r="Q580" s="67" t="n"/>
      <c r="R580" s="67" t="n"/>
      <c r="S580" s="67" t="n"/>
      <c r="T580" s="67" t="n"/>
      <c r="U580" s="67" t="n"/>
      <c r="V580" s="67" t="n"/>
      <c r="W580" s="67" t="n"/>
      <c r="X580" s="67" t="n"/>
      <c r="Y580" s="67" t="n"/>
      <c r="Z580" s="67" t="n"/>
      <c r="AA580" s="67" t="n"/>
      <c r="AB580" s="67" t="n"/>
    </row>
    <row r="581" ht="15.75" customHeight="1" s="305">
      <c r="A581" s="225" t="inlineStr">
        <is>
          <t>ASSIGN_POSTMAN_FAIL</t>
        </is>
      </c>
      <c r="B581" s="67" t="inlineStr">
        <is>
          <t>Gán đơn cho bưu tá không thành công. Vui lòng thử lại sau</t>
        </is>
      </c>
      <c r="C581" s="67" t="inlineStr">
        <is>
          <t>Failed to assign the order to the postman. Please try again later.</t>
        </is>
      </c>
      <c r="D581" s="3">
        <f>IFERROR(__xludf.DUMMYFUNCTION("GOOGLETRANSLATE(B581,""vi"",""km"")"),"ការប្រគល់ការបញ្ជាទិញទៅឱ្យបុគ្គលិកប្រៃសណីយ៍បានបរាជ័យ។ សូមព្យាយាមម្តងទៀតនៅពេលក្រោយ។")</f>
        <v/>
      </c>
      <c r="E581" s="3" t="inlineStr">
        <is>
          <t>ការចាត់តាំងទៅបុគ្គលិកប្រៃសណីយ៍បានបរាជ័យ។ សូមព្យាយាមម្តងទៀតនៅពេលក្រោយ។</t>
        </is>
      </c>
      <c r="F581" s="3" t="inlineStr">
        <is>
          <t>ការប្រគល់ការបញ្ជាទិញទៅឱ្យបុគ្គលិកប្រៃសណីយ៍បានបរាជ័យ។ សូមព្យាយាមម្តងទៀតនៅពេលក្រោយ។</t>
        </is>
      </c>
      <c r="G581" s="3" t="n"/>
      <c r="H581" t="inlineStr">
        <is>
          <t>ការប្រគល់ការបញ្ជាទិញទៅឱ្យបុគ្គលិកប្រៃសណីយ៍បានបរាជ័យ។ សូមព្យាយាមម្តងទៀតនៅពេលក្រោយ។</t>
        </is>
      </c>
      <c r="I581" s="67" t="n"/>
      <c r="J581" s="67" t="n"/>
      <c r="K581" s="67" t="n"/>
      <c r="L581" s="67" t="n"/>
      <c r="M581" s="67" t="n"/>
      <c r="N581" s="67" t="n"/>
      <c r="O581" s="67" t="n"/>
      <c r="P581" s="67" t="n"/>
      <c r="Q581" s="67" t="n"/>
      <c r="R581" s="67" t="n"/>
      <c r="S581" s="67" t="n"/>
      <c r="T581" s="67" t="n"/>
      <c r="U581" s="67" t="n"/>
      <c r="V581" s="67" t="n"/>
      <c r="W581" s="67" t="n"/>
      <c r="X581" s="67" t="n"/>
      <c r="Y581" s="67" t="n"/>
      <c r="Z581" s="67" t="n"/>
      <c r="AA581" s="67" t="n"/>
      <c r="AB581" s="67" t="n"/>
    </row>
    <row r="582" ht="15.75" customHeight="1" s="305">
      <c r="A582" s="225" t="inlineStr">
        <is>
          <t>ASSIGN_ORDER_POST_OFFICE_FAIL</t>
        </is>
      </c>
      <c r="B582" s="67" t="inlineStr">
        <is>
          <t>Gán đơn cho bưu cục không thành công. Vui lòng thử lại sau</t>
        </is>
      </c>
      <c r="C582" s="67" t="inlineStr">
        <is>
          <t>Failed to assign the order to the post office. Please try again later.</t>
        </is>
      </c>
      <c r="D582" s="3">
        <f>IFERROR(__xludf.DUMMYFUNCTION("GOOGLETRANSLATE(B582,""vi"",""km"")"),"ការផ្ទេរការបញ្ជាទិញទៅការិយាល័យប្រៃសណីយ៍មិនបានជោគជ័យទេ។ សូមព្យាយាមម្តងទៀតនៅពេលក្រោយ។")</f>
        <v/>
      </c>
      <c r="E582" s="3" t="n"/>
      <c r="F582" s="3" t="inlineStr">
        <is>
          <t>ការផ្ទេរការបញ្ជាទិញទៅការិយាល័យប្រៃសណីយ៍មិនបានជោគជ័យទេ។ សូមព្យាយាមម្តងទៀតនៅពេលក្រោយ។</t>
        </is>
      </c>
      <c r="G582" s="3" t="n"/>
      <c r="H582" t="inlineStr">
        <is>
          <t>ការផ្ទេរការបញ្ជាទិញទៅការិយាល័យប្រៃសណីយ៍មិនបានជោគជ័យទេ។ សូមព្យាយាមម្តងទៀតនៅពេលក្រោយ។</t>
        </is>
      </c>
      <c r="I582" s="67" t="n"/>
      <c r="J582" s="67" t="n"/>
      <c r="K582" s="67" t="n"/>
      <c r="L582" s="67" t="n"/>
      <c r="M582" s="67" t="n"/>
      <c r="N582" s="67" t="n"/>
      <c r="O582" s="67" t="n"/>
      <c r="P582" s="67" t="n"/>
      <c r="Q582" s="67" t="n"/>
      <c r="R582" s="67" t="n"/>
      <c r="S582" s="67" t="n"/>
      <c r="T582" s="67" t="n"/>
      <c r="U582" s="67" t="n"/>
      <c r="V582" s="67" t="n"/>
      <c r="W582" s="67" t="n"/>
      <c r="X582" s="67" t="n"/>
      <c r="Y582" s="67" t="n"/>
      <c r="Z582" s="67" t="n"/>
      <c r="AA582" s="67" t="n"/>
      <c r="AB582" s="67" t="n"/>
    </row>
    <row r="583" ht="15.75" customHeight="1" s="305">
      <c r="A583" s="225" t="inlineStr">
        <is>
          <t>RECEIVING_ORDER_FAIL</t>
        </is>
      </c>
      <c r="B583" s="67" t="inlineStr">
        <is>
          <t>Nhận hàng không thành công. Vui lòng thử lại sau</t>
        </is>
      </c>
      <c r="C583" s="67" t="inlineStr">
        <is>
          <t>Failed to receive the parcel. Please try again later.</t>
        </is>
      </c>
      <c r="D583" s="3">
        <f>IFERROR(__xludf.DUMMYFUNCTION("GOOGLETRANSLATE(B583,""vi"",""km"")"),"ការដឹកជញ្ជូនបរាជ័យ។ សូមព្យាយាមម្តងទៀតនៅពេលក្រោយ។")</f>
        <v/>
      </c>
      <c r="E583" s="3" t="inlineStr">
        <is>
          <t>ទទួលអីវ៉ាន់មិនបានជោគជ័យ។ សូមសាកល្បងម្តងទៀតពេលក្រោយ</t>
        </is>
      </c>
      <c r="F583" s="3" t="inlineStr">
        <is>
          <t>ការដឹកជញ្ជូនបរាជ័យ។ សូមព្យាយាមម្តងទៀតនៅពេលក្រោយ។</t>
        </is>
      </c>
      <c r="G583" s="3" t="n"/>
      <c r="H583" t="inlineStr">
        <is>
          <t>ការដឹកជញ្ជូនបរាជ័យ។ សូមព្យាយាមម្តងទៀតនៅពេលក្រោយ។</t>
        </is>
      </c>
      <c r="I583" s="67" t="n"/>
      <c r="J583" s="67" t="n"/>
      <c r="K583" s="67" t="n"/>
      <c r="L583" s="67" t="n"/>
      <c r="M583" s="67" t="n"/>
      <c r="N583" s="67" t="n"/>
      <c r="O583" s="67" t="n"/>
      <c r="P583" s="67" t="n"/>
      <c r="Q583" s="67" t="n"/>
      <c r="R583" s="67" t="n"/>
      <c r="S583" s="67" t="n"/>
      <c r="T583" s="67" t="n"/>
      <c r="U583" s="67" t="n"/>
      <c r="V583" s="67" t="n"/>
      <c r="W583" s="67" t="n"/>
      <c r="X583" s="67" t="n"/>
      <c r="Y583" s="67" t="n"/>
      <c r="Z583" s="67" t="n"/>
      <c r="AA583" s="67" t="n"/>
      <c r="AB583" s="67" t="n"/>
    </row>
    <row r="584" ht="15.75" customHeight="1" s="305">
      <c r="A584" s="225" t="inlineStr">
        <is>
          <t>NOT_IN_TIME_EDIT</t>
        </is>
      </c>
      <c r="B584" s="67" t="inlineStr">
        <is>
          <t>Đơn hàng chỉ được phép điều chỉnh trước 11:00 ngày %s</t>
        </is>
      </c>
      <c r="C584" s="67" t="inlineStr">
        <is>
          <t>Order is can be only edited before 11:00 day %s</t>
        </is>
      </c>
      <c r="D584" s="3">
        <f>IFERROR(__xludf.DUMMYFUNCTION("GOOGLETRANSLATE(B584,""vi"",""km"")"),"ការបញ្ជាទិញអាចត្រូវបានកែតម្រូវមុនម៉ោង 11:00 AM នៅថ្ងៃ %s តែប៉ុណ្ណោះ")</f>
        <v/>
      </c>
      <c r="E584" s="196" t="inlineStr">
        <is>
          <t xml:space="preserve">បុងបញ្ញើអនុញ្ញាត្តិឲ្យកែបានមុន 11:00 </t>
        </is>
      </c>
      <c r="F584" s="3" t="inlineStr">
        <is>
          <t>ការបញ្ជាទិញអាចត្រូវបានកែតម្រូវមុនម៉ោង 11:00 AM នៅថ្ងៃ %s តែប៉ុណ្ណោះ</t>
        </is>
      </c>
      <c r="G584" s="3" t="n"/>
      <c r="H584" t="inlineStr">
        <is>
          <t>ការបញ្ជាទិញអាចត្រូវបានកែតម្រូវមុនម៉ោង 11:00 AM នៅថ្ងៃ %s តែប៉ុណ្ណោះ</t>
        </is>
      </c>
      <c r="I584" s="67" t="n"/>
      <c r="J584" s="67" t="n"/>
      <c r="K584" s="67" t="n"/>
      <c r="L584" s="67" t="n"/>
      <c r="M584" s="67" t="n"/>
      <c r="N584" s="67" t="n"/>
      <c r="O584" s="67" t="n"/>
      <c r="P584" s="67" t="n"/>
      <c r="Q584" s="67" t="n"/>
      <c r="R584" s="67" t="n"/>
      <c r="S584" s="67" t="n"/>
      <c r="T584" s="67" t="n"/>
      <c r="U584" s="67" t="n"/>
      <c r="V584" s="67" t="n"/>
      <c r="W584" s="67" t="n"/>
      <c r="X584" s="67" t="n"/>
      <c r="Y584" s="67" t="n"/>
      <c r="Z584" s="67" t="n"/>
      <c r="AA584" s="67" t="n"/>
      <c r="AB584" s="67" t="n"/>
    </row>
    <row r="585" ht="15.75" customHeight="1" s="305">
      <c r="A585" s="225" t="inlineStr">
        <is>
          <t>NOT_REVENUE_YET</t>
        </is>
      </c>
      <c r="B585" s="67" t="inlineStr">
        <is>
          <t>Đơn hàng này không thể sửa do chưa nhập doanh thu</t>
        </is>
      </c>
      <c r="C585" s="67" t="inlineStr">
        <is>
          <t>This order cannot be modified because revenue has not been entered yet</t>
        </is>
      </c>
      <c r="D585" s="3">
        <f>IFERROR(__xludf.DUMMYFUNCTION("GOOGLETRANSLATE(B585,""vi"",""km"")"),"មិនអាចកែសម្រួលការបញ្ជាទិញនេះបានទេ ពីព្រោះចំណូលមិនទាន់ត្រូវបានបញ្ចូល។")</f>
        <v/>
      </c>
      <c r="E585" s="67" t="inlineStr">
        <is>
          <t>បុុងបញ្ញើនេះមិនអាចកែបានទេមកពីមិនទាន់ទទួលបានប្រាក់ចំណូល</t>
        </is>
      </c>
      <c r="F585" s="3" t="inlineStr">
        <is>
          <t>មិនអាចកែសម្រួលការបញ្ជាទិញនេះបានទេ ពីព្រោះចំណូលមិនទាន់ត្រូវបានបញ្ចូល។</t>
        </is>
      </c>
      <c r="G585" s="3" t="n"/>
      <c r="H585" t="inlineStr">
        <is>
          <t>មិនអាចកែសម្រួលការបញ្ជាទិញនេះបានទេ ពីព្រោះចំណូលមិនទាន់ត្រូវបានបញ្ចូល។</t>
        </is>
      </c>
      <c r="I585" s="67" t="n"/>
      <c r="J585" s="67" t="n"/>
      <c r="K585" s="67" t="n"/>
      <c r="L585" s="67" t="n"/>
      <c r="M585" s="67" t="n"/>
      <c r="N585" s="67" t="n"/>
      <c r="O585" s="67" t="n"/>
      <c r="P585" s="67" t="n"/>
      <c r="Q585" s="67" t="n"/>
      <c r="R585" s="67" t="n"/>
      <c r="S585" s="67" t="n"/>
      <c r="T585" s="67" t="n"/>
      <c r="U585" s="67" t="n"/>
      <c r="V585" s="67" t="n"/>
      <c r="W585" s="67" t="n"/>
      <c r="X585" s="67" t="n"/>
      <c r="Y585" s="67" t="n"/>
      <c r="Z585" s="67" t="n"/>
      <c r="AA585" s="67" t="n"/>
      <c r="AB585" s="67" t="n"/>
    </row>
    <row r="586" ht="15.75" customHeight="1" s="305">
      <c r="A586" s="225" t="inlineStr">
        <is>
          <t>ORDER_ALREADY_EDITED</t>
        </is>
      </c>
      <c r="B586" s="67" t="inlineStr">
        <is>
          <t>Theo quy định, mỗi đơn hàng chỉ được sửa 1 lần duy nhất</t>
        </is>
      </c>
      <c r="C586" s="67" t="inlineStr">
        <is>
          <t>Theo quy định, mỗi đơn hàng chỉ được sửa 1 lần duy nhất</t>
        </is>
      </c>
      <c r="D586" s="3">
        <f>IFERROR(__xludf.DUMMYFUNCTION("GOOGLETRANSLATE(B586,""vi"",""km"")"),"យោងតាមបទប្បញ្ញត្តិ បទបញ្ជានីមួយៗអាចត្រូវបានកែប្រែបានតែម្តងប៉ុណ្ណោះ។")</f>
        <v/>
      </c>
      <c r="E586" s="67" t="inlineStr">
        <is>
          <t>តាមគោលការណ៍ បុងបញ្ញើនីមួយៗត្រូវតែបានកែតែម្តងគត់ប៉ុណ្ណោះ</t>
        </is>
      </c>
      <c r="F586" s="3" t="inlineStr">
        <is>
          <t>យោងតាមបទប្បញ្ញត្តិ បទបញ្ជានីមួយៗអាចត្រូវបានកែប្រែបានតែម្តងប៉ុណ្ណោះ។</t>
        </is>
      </c>
      <c r="G586" s="3" t="n"/>
      <c r="H586" t="inlineStr">
        <is>
          <t>យោងតាមបទប្បញ្ញត្តិ បទបញ្ជានីមួយៗអាចត្រូវបានកែប្រែបានតែម្តងប៉ុណ្ណោះ។</t>
        </is>
      </c>
      <c r="I586" s="67" t="n"/>
      <c r="J586" s="67" t="n"/>
      <c r="K586" s="67" t="n"/>
      <c r="L586" s="67" t="n"/>
      <c r="M586" s="67" t="n"/>
      <c r="N586" s="67" t="n"/>
      <c r="O586" s="67" t="n"/>
      <c r="P586" s="67" t="n"/>
      <c r="Q586" s="67" t="n"/>
      <c r="R586" s="67" t="n"/>
      <c r="S586" s="67" t="n"/>
      <c r="T586" s="67" t="n"/>
      <c r="U586" s="67" t="n"/>
      <c r="V586" s="67" t="n"/>
      <c r="W586" s="67" t="n"/>
      <c r="X586" s="67" t="n"/>
      <c r="Y586" s="67" t="n"/>
      <c r="Z586" s="67" t="n"/>
      <c r="AA586" s="67" t="n"/>
      <c r="AB586" s="67" t="n"/>
    </row>
    <row r="587" ht="15.75" customHeight="1" s="305">
      <c r="A587" s="225" t="inlineStr">
        <is>
          <t>ORDER_NOT_FOUND_EDIT</t>
        </is>
      </c>
      <c r="B587" s="67" t="inlineStr">
        <is>
          <t>Không tìm thấy đơn hàng %s</t>
        </is>
      </c>
      <c r="C587" s="67" t="inlineStr">
        <is>
          <t>Order %s is not found</t>
        </is>
      </c>
      <c r="D587" s="3">
        <f>IFERROR(__xludf.DUMMYFUNCTION("GOOGLETRANSLATE(B587,""vi"",""km"")"),"រកមិនឃើញការបញ្ជាទិញ %s ទេ")</f>
        <v/>
      </c>
      <c r="E587" s="67" t="inlineStr">
        <is>
          <t>មិនអាចស្វែងរកបុងបញ្ញើបាន</t>
        </is>
      </c>
      <c r="F587" s="3" t="inlineStr">
        <is>
          <t>រកមិនឃើញការបញ្ជាទិញ %s ទេ</t>
        </is>
      </c>
      <c r="G587" s="3" t="n"/>
      <c r="H587" t="inlineStr">
        <is>
          <t>រកមិនឃើញការបញ្ជាទិញ %s ទេ</t>
        </is>
      </c>
      <c r="I587" s="67" t="n"/>
      <c r="J587" s="67" t="n"/>
      <c r="K587" s="67" t="n"/>
      <c r="L587" s="67" t="n"/>
      <c r="M587" s="67" t="n"/>
      <c r="N587" s="67" t="n"/>
      <c r="O587" s="67" t="n"/>
      <c r="P587" s="67" t="n"/>
      <c r="Q587" s="67" t="n"/>
      <c r="R587" s="67" t="n"/>
      <c r="S587" s="67" t="n"/>
      <c r="T587" s="67" t="n"/>
      <c r="U587" s="67" t="n"/>
      <c r="V587" s="67" t="n"/>
      <c r="W587" s="67" t="n"/>
      <c r="X587" s="67" t="n"/>
      <c r="Y587" s="67" t="n"/>
      <c r="Z587" s="67" t="n"/>
      <c r="AA587" s="67" t="n"/>
      <c r="AB587" s="67" t="n"/>
    </row>
    <row r="588" ht="15.75" customHeight="1" s="305">
      <c r="A588" s="225" t="inlineStr">
        <is>
          <t>ORDER_ALREADY_SORTED</t>
        </is>
      </c>
      <c r="B588" s="67" t="inlineStr">
        <is>
          <t>Không thể sửa đơn %s. Đơn hàng đã đóng đi</t>
        </is>
      </c>
      <c r="C588" s="67" t="inlineStr">
        <is>
          <t>Cannot edit order %s. The order has already been closed.</t>
        </is>
      </c>
      <c r="D588" s="3">
        <f>IFERROR(__xludf.DUMMYFUNCTION("GOOGLETRANSLATE(B588,""vi"",""km"")"),"មិនអាចកែសម្រួលការបញ្ជាទិញបានទេ។ ការបញ្ជាទិញត្រូវបានដឹកជញ្ជូនហើយ។")</f>
        <v/>
      </c>
      <c r="E588" s="67" t="inlineStr">
        <is>
          <t>មិនអាចកែបុងបញ្ញើបាន។ បុងបញ្ញើនឹងត្រូវបានបិទ</t>
        </is>
      </c>
      <c r="F588" s="3" t="inlineStr">
        <is>
          <t>មិនអាចកែសម្រួលការបញ្ជាទិញបានទេ។ ការបញ្ជាទិញត្រូវបានដឹកជញ្ជូនហើយ។</t>
        </is>
      </c>
      <c r="G588" s="3" t="n"/>
      <c r="H588" t="inlineStr">
        <is>
          <t>មិនអាចកែសម្រួលការបញ្ជាទិញបានទេ។ ការបញ្ជាទិញត្រូវបានដឹកជញ្ជូនហើយ។</t>
        </is>
      </c>
      <c r="I588" s="67" t="n"/>
      <c r="J588" s="67" t="n"/>
      <c r="K588" s="67" t="n"/>
      <c r="L588" s="67" t="n"/>
      <c r="M588" s="67" t="n"/>
      <c r="N588" s="67" t="n"/>
      <c r="O588" s="67" t="n"/>
      <c r="P588" s="67" t="n"/>
      <c r="Q588" s="67" t="n"/>
      <c r="R588" s="67" t="n"/>
      <c r="S588" s="67" t="n"/>
      <c r="T588" s="67" t="n"/>
      <c r="U588" s="67" t="n"/>
      <c r="V588" s="67" t="n"/>
      <c r="W588" s="67" t="n"/>
      <c r="X588" s="67" t="n"/>
      <c r="Y588" s="67" t="n"/>
      <c r="Z588" s="67" t="n"/>
      <c r="AA588" s="67" t="n"/>
      <c r="AB588" s="67" t="n"/>
    </row>
    <row r="589" ht="15.75" customHeight="1" s="305">
      <c r="A589" s="225" t="inlineStr">
        <is>
          <t>EDIT_BY_OTHER</t>
        </is>
      </c>
      <c r="B589" s="67" t="inlineStr">
        <is>
          <t>Đơn hàng đang được chỉnh sửa bởi người dùng khác</t>
        </is>
      </c>
      <c r="C589" s="67" t="inlineStr">
        <is>
          <t>Đơn hàng đang được chỉnh sửa bởi người dùng khác</t>
        </is>
      </c>
      <c r="D589" s="3">
        <f>IFERROR(__xludf.DUMMYFUNCTION("GOOGLETRANSLATE(B589,""vi"",""km"")"),"ការបញ្ជាទិញនេះកំពុងត្រូវបានកែសម្រួលដោយអ្នកប្រើប្រាស់ម្នាក់ទៀត។")</f>
        <v/>
      </c>
      <c r="E589" s="67" t="inlineStr">
        <is>
          <t>បុងបញ្ញើត្រូវបានកែដោយអ្នកប្រើប្រាស់ផ្សេង</t>
        </is>
      </c>
      <c r="F589" s="3" t="inlineStr">
        <is>
          <t>ការបញ្ជាទិញនេះកំពុងត្រូវបានកែសម្រួលដោយអ្នកប្រើប្រាស់ម្នាក់ទៀត។</t>
        </is>
      </c>
      <c r="G589" s="3" t="n"/>
      <c r="H589" t="inlineStr">
        <is>
          <t>ការបញ្ជាទិញនេះកំពុងត្រូវបានកែសម្រួលដោយអ្នកប្រើប្រាស់ម្នាក់ទៀត។</t>
        </is>
      </c>
      <c r="I589" s="67" t="n"/>
      <c r="J589" s="67" t="n"/>
      <c r="K589" s="67" t="n"/>
      <c r="L589" s="67" t="n"/>
      <c r="M589" s="67" t="n"/>
      <c r="N589" s="67" t="n"/>
      <c r="O589" s="67" t="n"/>
      <c r="P589" s="67" t="n"/>
      <c r="Q589" s="67" t="n"/>
      <c r="R589" s="67" t="n"/>
      <c r="S589" s="67" t="n"/>
      <c r="T589" s="67" t="n"/>
      <c r="U589" s="67" t="n"/>
      <c r="V589" s="67" t="n"/>
      <c r="W589" s="67" t="n"/>
      <c r="X589" s="67" t="n"/>
      <c r="Y589" s="67" t="n"/>
      <c r="Z589" s="67" t="n"/>
      <c r="AA589" s="67" t="n"/>
      <c r="AB589" s="67" t="n"/>
    </row>
    <row r="590" ht="15.75" customHeight="1" s="305">
      <c r="A590" s="225" t="inlineStr">
        <is>
          <t>NOT_REVENUE_YET_CANCEL</t>
        </is>
      </c>
      <c r="B590" s="67" t="inlineStr">
        <is>
          <t>Chỉ được phép hủy các đơn ở trạng thái 210</t>
        </is>
      </c>
      <c r="C590" s="67" t="inlineStr">
        <is>
          <t>Chỉ được phép hủy các đơn ở trạng thái 210</t>
        </is>
      </c>
      <c r="D590" s="3">
        <f>IFERROR(__xludf.DUMMYFUNCTION("GOOGLETRANSLATE(B590,""vi"",""km"")"),"មានតែការបញ្ជាទិញដែលមានស្ថានភាព 210 ប៉ុណ្ណោះដែលអាចលុបចោលបាន។")</f>
        <v/>
      </c>
      <c r="E590" s="67" t="inlineStr">
        <is>
          <t>អនុញ្ញាតិលុបចោលតែបុងបញ្ញើដែលស្ថិតនៅស្ថានភាព 210</t>
        </is>
      </c>
      <c r="F590" s="3" t="inlineStr">
        <is>
          <t>មានតែការបញ្ជាទិញដែលមានស្ថានភាព 210 ប៉ុណ្ណោះដែលអាចលុបចោលបាន។</t>
        </is>
      </c>
      <c r="G590" s="3" t="n"/>
      <c r="H590" t="inlineStr">
        <is>
          <t>មានតែការបញ្ជាទិញដែលមានស្ថានភាព 210 ប៉ុណ្ណោះដែលអាចលុបចោលបាន។</t>
        </is>
      </c>
      <c r="I590" s="67" t="n"/>
      <c r="J590" s="67" t="n"/>
      <c r="K590" s="67" t="n"/>
      <c r="L590" s="67" t="n"/>
      <c r="M590" s="67" t="n"/>
      <c r="N590" s="67" t="n"/>
      <c r="O590" s="67" t="n"/>
      <c r="P590" s="67" t="n"/>
      <c r="Q590" s="67" t="n"/>
      <c r="R590" s="67" t="n"/>
      <c r="S590" s="67" t="n"/>
      <c r="T590" s="67" t="n"/>
      <c r="U590" s="67" t="n"/>
      <c r="V590" s="67" t="n"/>
      <c r="W590" s="67" t="n"/>
      <c r="X590" s="67" t="n"/>
      <c r="Y590" s="67" t="n"/>
      <c r="Z590" s="67" t="n"/>
      <c r="AA590" s="67" t="n"/>
      <c r="AB590" s="67" t="n"/>
    </row>
    <row r="591" ht="15.75" customHeight="1" s="305">
      <c r="A591" s="225" t="inlineStr">
        <is>
          <t>NOT_IN_TIME_CANCEL</t>
        </is>
      </c>
      <c r="B591" s="67" t="inlineStr">
        <is>
          <t>Đơn hàng chỉ được phép hủy trước 11h ngày %s</t>
        </is>
      </c>
      <c r="C591" s="67" t="inlineStr">
        <is>
          <t>Đơn hàng chỉ được phép hủy trước 11h ngày %s</t>
        </is>
      </c>
      <c r="D591" s="3">
        <f>IFERROR(__xludf.DUMMYFUNCTION("GOOGLETRANSLATE(B591,""vi"",""km"")"),"ការបញ្ជាទិញអាចត្រូវបានលុបចោលមុនម៉ោង 11:00 AM នៅថ្ងៃ %s តែប៉ុណ្ណោះ")</f>
        <v/>
      </c>
      <c r="E591" s="196" t="inlineStr">
        <is>
          <t xml:space="preserve">បុងបញ្ញើអនុុញ្ញាតិលុបចោលមុន 11h </t>
        </is>
      </c>
      <c r="F591" s="3" t="inlineStr">
        <is>
          <t>ការបញ្ជាទិញអាចត្រូវបានលុបចោលមុនម៉ោង 11:00 AM នៅថ្ងៃ %s តែប៉ុណ្ណោះ</t>
        </is>
      </c>
      <c r="G591" s="3" t="n"/>
      <c r="H591" t="inlineStr">
        <is>
          <t>ការបញ្ជាទិញអាចត្រូវបានលុបចោលមុនម៉ោង 11:00 AM នៅថ្ងៃ %s តែប៉ុណ្ណោះ</t>
        </is>
      </c>
      <c r="I591" s="67" t="n"/>
      <c r="J591" s="67" t="n"/>
      <c r="K591" s="67" t="n"/>
      <c r="L591" s="67" t="n"/>
      <c r="M591" s="67" t="n"/>
      <c r="N591" s="67" t="n"/>
      <c r="O591" s="67" t="n"/>
      <c r="P591" s="67" t="n"/>
      <c r="Q591" s="67" t="n"/>
      <c r="R591" s="67" t="n"/>
      <c r="S591" s="67" t="n"/>
      <c r="T591" s="67" t="n"/>
      <c r="U591" s="67" t="n"/>
      <c r="V591" s="67" t="n"/>
      <c r="W591" s="67" t="n"/>
      <c r="X591" s="67" t="n"/>
      <c r="Y591" s="67" t="n"/>
      <c r="Z591" s="67" t="n"/>
      <c r="AA591" s="67" t="n"/>
      <c r="AB591" s="67" t="n"/>
    </row>
    <row r="592" ht="15.75" customHeight="1" s="305">
      <c r="A592" s="225" t="inlineStr">
        <is>
          <t>NOT_THE_ONE_REVENUE_CANCEL</t>
        </is>
      </c>
      <c r="B592" s="67" t="inlineStr">
        <is>
          <t>Theo quy định, chỉ bưu tá nhập doanh thu mới được hủy đơn hàng</t>
        </is>
      </c>
      <c r="C592" s="67" t="inlineStr">
        <is>
          <t>Theo quy định, chỉ bưu tá nhập doanh thu mới được hủy đơn hàng</t>
        </is>
      </c>
      <c r="D592" s="3">
        <f>IFERROR(__xludf.DUMMYFUNCTION("GOOGLETRANSLATE(B592,""vi"",""km"")"),"យោងតាមបទប្បញ្ញត្តិ មានតែបុគ្គលិកប្រៃសណីយ៍ដែលកត់ត្រាប្រាក់ចំណូលប៉ុណ្ណោះដែលត្រូវបានអនុញ្ញាតឱ្យលុបចោលការបញ្ជាទិញ។")</f>
        <v/>
      </c>
      <c r="E592" s="67" t="inlineStr">
        <is>
          <t>តាមគោលការណ៍ មានតែបុគ្គលិកដែលបញ្ចូលប្រាក់ចំណូលទើបបានលុបបុងបញ្ញើចោលបាន</t>
        </is>
      </c>
      <c r="F592" s="3" t="inlineStr">
        <is>
          <t>យោងតាមបទប្បញ្ញត្តិ មានតែបុគ្គលិកប្រៃសណីយ៍ដែលកត់ត្រាប្រាក់ចំណូលប៉ុណ្ណោះដែលត្រូវបានអនុញ្ញាតឱ្យលុបបុងចោល។</t>
        </is>
      </c>
      <c r="G592" s="3" t="n"/>
      <c r="H592" t="inlineStr">
        <is>
          <t>យោងតាមបទប្បញ្ញត្តិ មានតែបុគ្គលិកប្រៃសណីយ៍ដែលកត់ត្រាប្រាក់ចំណូលប៉ុណ្ណោះដែលត្រូវបានអនុញ្ញាតឱ្យលុបបុងចោល។</t>
        </is>
      </c>
      <c r="I592" s="67" t="n"/>
      <c r="J592" s="67" t="n"/>
      <c r="K592" s="67" t="n"/>
      <c r="L592" s="67" t="n"/>
      <c r="M592" s="67" t="n"/>
      <c r="N592" s="67" t="n"/>
      <c r="O592" s="67" t="n"/>
      <c r="P592" s="67" t="n"/>
      <c r="Q592" s="67" t="n"/>
      <c r="R592" s="67" t="n"/>
      <c r="S592" s="67" t="n"/>
      <c r="T592" s="67" t="n"/>
      <c r="U592" s="67" t="n"/>
      <c r="V592" s="67" t="n"/>
      <c r="W592" s="67" t="n"/>
      <c r="X592" s="67" t="n"/>
      <c r="Y592" s="67" t="n"/>
      <c r="Z592" s="67" t="n"/>
      <c r="AA592" s="67" t="n"/>
      <c r="AB592" s="67" t="n"/>
    </row>
    <row r="593" ht="15.75" customHeight="1" s="305">
      <c r="A593" s="225" t="inlineStr">
        <is>
          <t>REVENUE_ALREADY_PAID</t>
        </is>
      </c>
      <c r="B593" s="67" t="inlineStr">
        <is>
          <t>Đơn hàng không được phép hủy do đã thanh toán cước</t>
        </is>
      </c>
      <c r="C593" s="67" t="inlineStr">
        <is>
          <t>Đơn hàng không được phép hủy do đã thanh toán cước</t>
        </is>
      </c>
      <c r="D593" s="3">
        <f>IFERROR(__xludf.DUMMYFUNCTION("GOOGLETRANSLATE(B593,""vi"",""km"")"),"ការបញ្ជាទិញមិនអាចលុបចោលបានទេ នៅពេលដែលការទូទាត់ត្រូវបានធ្វើឡើង។")</f>
        <v/>
      </c>
      <c r="E593" s="67" t="inlineStr">
        <is>
          <t>បុងបញ្ញើមិនអនុញ្ញាតិ្តលុបចោលបានទែដោយសារបានទូទាត់សេវា</t>
        </is>
      </c>
      <c r="F593" s="3" t="inlineStr">
        <is>
          <t>ការបញ្ជាទិញមិនអាចលុបចោលបានទេ នៅពេលដែលការទូទាត់ត្រូវបានធ្វើឡើង។</t>
        </is>
      </c>
      <c r="G593" s="3" t="n"/>
      <c r="H593" t="inlineStr">
        <is>
          <t>ការបញ្ជាទិញមិនអាចលុបចោលបានទេ នៅពេលដែលការទូទាត់ត្រូវបានធ្វើឡើង។</t>
        </is>
      </c>
      <c r="I593" s="67" t="n"/>
      <c r="J593" s="67" t="n"/>
      <c r="K593" s="67" t="n"/>
      <c r="L593" s="67" t="n"/>
      <c r="M593" s="67" t="n"/>
      <c r="N593" s="67" t="n"/>
      <c r="O593" s="67" t="n"/>
      <c r="P593" s="67" t="n"/>
      <c r="Q593" s="67" t="n"/>
      <c r="R593" s="67" t="n"/>
      <c r="S593" s="67" t="n"/>
      <c r="T593" s="67" t="n"/>
      <c r="U593" s="67" t="n"/>
      <c r="V593" s="67" t="n"/>
      <c r="W593" s="67" t="n"/>
      <c r="X593" s="67" t="n"/>
      <c r="Y593" s="67" t="n"/>
      <c r="Z593" s="67" t="n"/>
      <c r="AA593" s="67" t="n"/>
      <c r="AB593" s="67" t="n"/>
    </row>
    <row r="594" ht="15.75" customHeight="1" s="305">
      <c r="A594" s="225" t="inlineStr">
        <is>
          <t>NOT_ALLOWED_CANCEL_ORDER</t>
        </is>
      </c>
      <c r="B594" s="67" t="inlineStr">
        <is>
          <t>Không được phép hủy đơn hàng</t>
        </is>
      </c>
      <c r="C594" s="67" t="inlineStr">
        <is>
          <t>Không được phép hủy đơn hàng</t>
        </is>
      </c>
      <c r="D594" s="3">
        <f>IFERROR(__xludf.DUMMYFUNCTION("GOOGLETRANSLATE(B594,""vi"",""km"")"),"ការបញ្ជាទិញមិនអាចលុបចោលបានទេ។")</f>
        <v/>
      </c>
      <c r="E594" s="67" t="inlineStr">
        <is>
          <t>មិនអនុញ្ញាតិ្តឲ្យលុបបុងបញ្ញើចោលទេ</t>
        </is>
      </c>
      <c r="F594" s="3" t="inlineStr">
        <is>
          <t>ការបញ្ជាទិញមិនអាចលុបចោលបានទេ។</t>
        </is>
      </c>
      <c r="G594" s="3" t="n"/>
      <c r="H594" t="inlineStr">
        <is>
          <t>ការបញ្ជាទិញមិនអាចលុបចោលបានទេ។</t>
        </is>
      </c>
      <c r="I594" s="67" t="n"/>
      <c r="J594" s="67" t="n"/>
      <c r="K594" s="67" t="n"/>
      <c r="L594" s="67" t="n"/>
      <c r="M594" s="67" t="n"/>
      <c r="N594" s="67" t="n"/>
      <c r="O594" s="67" t="n"/>
      <c r="P594" s="67" t="n"/>
      <c r="Q594" s="67" t="n"/>
      <c r="R594" s="67" t="n"/>
      <c r="S594" s="67" t="n"/>
      <c r="T594" s="67" t="n"/>
      <c r="U594" s="67" t="n"/>
      <c r="V594" s="67" t="n"/>
      <c r="W594" s="67" t="n"/>
      <c r="X594" s="67" t="n"/>
      <c r="Y594" s="67" t="n"/>
      <c r="Z594" s="67" t="n"/>
      <c r="AA594" s="67" t="n"/>
      <c r="AB594" s="67" t="n"/>
    </row>
    <row r="595" ht="15.75" customHeight="1" s="305">
      <c r="A595" s="225" t="inlineStr">
        <is>
          <t>NOT_THE_ONE_REVENUE</t>
        </is>
      </c>
      <c r="B595" s="67" t="inlineStr">
        <is>
          <t>Theo quy định, chỉ bưu tá nhập doanh thu mới được phép sửa đơn hàng</t>
        </is>
      </c>
      <c r="C595" s="67" t="inlineStr">
        <is>
          <t>Theo quy định, chỉ bưu tá nhập doanh thu mới được phép sửa đơn hàng</t>
        </is>
      </c>
      <c r="D595" s="3">
        <f>IFERROR(__xludf.DUMMYFUNCTION("GOOGLETRANSLATE(B595,""vi"",""km"")"),"យោងតាមបទប្បញ្ញត្តិ មានតែបុគ្គលិកប្រៃសណីយ៍ដែលកត់ត្រាចំណូលប៉ុណ្ណោះដែលត្រូវបានអនុញ្ញាតឱ្យកែប្រែការបញ្ជាទិញ។")</f>
        <v/>
      </c>
      <c r="E595" s="67" t="inlineStr">
        <is>
          <t>តាមគោលការណ៍ មានតែបុគ្គលិកដែលបញ្ចូលប្រាក់ចំណូលទើបបានលុបបុងបញ្ញើចោលបាន</t>
        </is>
      </c>
      <c r="F595" s="3" t="inlineStr">
        <is>
          <t>យោងតាមបទប្បញ្ញត្តិ មានតែបុគ្គលិកប្រៃសណីយ៍ដែលកត់ត្រាចំណូលប៉ុណ្ណោះដែលត្រូវបានអនុញ្ញាតឱ្យកែប្រែការបញ្ជាទិញ។</t>
        </is>
      </c>
      <c r="G595" s="3" t="n"/>
      <c r="H595" t="inlineStr">
        <is>
          <t>យោងតាមបទប្បញ្ញត្តិ មានតែបុគ្គលិកប្រៃសណីយ៍ដែលកត់ត្រាចំណូលប៉ុណ្ណោះដែលត្រូវបានអនុញ្ញាតឱ្យកែប្រែការបញ្ជាទិញ។</t>
        </is>
      </c>
      <c r="I595" s="67" t="n"/>
      <c r="J595" s="67" t="n"/>
      <c r="K595" s="67" t="n"/>
      <c r="L595" s="67" t="n"/>
      <c r="M595" s="67" t="n"/>
      <c r="N595" s="67" t="n"/>
      <c r="O595" s="67" t="n"/>
      <c r="P595" s="67" t="n"/>
      <c r="Q595" s="67" t="n"/>
      <c r="R595" s="67" t="n"/>
      <c r="S595" s="67" t="n"/>
      <c r="T595" s="67" t="n"/>
      <c r="U595" s="67" t="n"/>
      <c r="V595" s="67" t="n"/>
      <c r="W595" s="67" t="n"/>
      <c r="X595" s="67" t="n"/>
      <c r="Y595" s="67" t="n"/>
      <c r="Z595" s="67" t="n"/>
      <c r="AA595" s="67" t="n"/>
      <c r="AB595" s="67" t="n"/>
    </row>
    <row r="596" ht="15.75" customHeight="1" s="305">
      <c r="A596" s="192" t="inlineStr">
        <is>
          <t>express-pricing-service</t>
        </is>
      </c>
      <c r="B596" s="67" t="n"/>
      <c r="C596" s="67" t="n"/>
      <c r="D596" s="3">
        <f>IFERROR(__xludf.DUMMYFUNCTION("GOOGLETRANSLATE(B596,""vi"",""km"")"),"#VALUE!")</f>
        <v/>
      </c>
      <c r="E596" s="67" t="n"/>
      <c r="F596" s="3" t="inlineStr"/>
      <c r="G596" s="67" t="n"/>
      <c r="H596" t="inlineStr"/>
      <c r="I596" s="67" t="n"/>
      <c r="J596" s="67" t="n"/>
      <c r="K596" s="67" t="n"/>
      <c r="L596" s="67" t="n"/>
      <c r="M596" s="67" t="n"/>
      <c r="N596" s="67" t="n"/>
      <c r="O596" s="67" t="n"/>
      <c r="P596" s="67" t="n"/>
      <c r="Q596" s="67" t="n"/>
      <c r="R596" s="67" t="n"/>
      <c r="S596" s="67" t="n"/>
      <c r="T596" s="67" t="n"/>
      <c r="U596" s="67" t="n"/>
      <c r="V596" s="67" t="n"/>
      <c r="W596" s="67" t="n"/>
      <c r="X596" s="67" t="n"/>
      <c r="Y596" s="67" t="n"/>
      <c r="Z596" s="67" t="n"/>
      <c r="AA596" s="67" t="n"/>
      <c r="AB596" s="67" t="n"/>
    </row>
    <row r="597" ht="15.75" customHeight="1" s="305">
      <c r="A597" s="225" t="inlineStr">
        <is>
          <t>COD</t>
        </is>
      </c>
      <c r="B597" s="67" t="inlineStr">
        <is>
          <t>Thu tiền COD</t>
        </is>
      </c>
      <c r="C597" s="67" t="inlineStr">
        <is>
          <t>COD fare</t>
        </is>
      </c>
      <c r="D597" s="3">
        <f>IFERROR(__xludf.DUMMYFUNCTION("GOOGLETRANSLATE(B597,""vi"",""km"")"),"បង់ប្រាក់ពេលទទួលទំនិញ (COD)")</f>
        <v/>
      </c>
      <c r="E597" s="3" t="inlineStr">
        <is>
          <t>ការប្រមូលប្រាក់ (COD)</t>
        </is>
      </c>
      <c r="F597" s="3" t="inlineStr">
        <is>
          <t>បង់ប្រាក់ពេលទទួលទំនិញ (COD)</t>
        </is>
      </c>
      <c r="G597" s="3" t="n"/>
      <c r="H597" t="inlineStr">
        <is>
          <t>បង់ប្រាក់ពេលទទួលទំនិញ (COD)</t>
        </is>
      </c>
      <c r="I597" s="67" t="n"/>
      <c r="J597" s="67" t="n"/>
      <c r="K597" s="67" t="n"/>
      <c r="L597" s="67" t="n"/>
      <c r="M597" s="67" t="n"/>
      <c r="N597" s="67" t="n"/>
      <c r="O597" s="67" t="n"/>
      <c r="P597" s="67" t="n"/>
      <c r="Q597" s="67" t="n"/>
      <c r="R597" s="67" t="n"/>
      <c r="S597" s="67" t="n"/>
      <c r="T597" s="67" t="n"/>
      <c r="U597" s="67" t="n"/>
      <c r="V597" s="67" t="n"/>
      <c r="W597" s="67" t="n"/>
      <c r="X597" s="67" t="n"/>
      <c r="Y597" s="67" t="n"/>
      <c r="Z597" s="67" t="n"/>
      <c r="AA597" s="67" t="n"/>
      <c r="AB597" s="67" t="n"/>
    </row>
    <row r="598" ht="15.75" customHeight="1" s="305">
      <c r="A598" s="225" t="inlineStr">
        <is>
          <t>GBH</t>
        </is>
      </c>
      <c r="B598" s="67" t="inlineStr">
        <is>
          <t>Bảo hiểm hàng hóa</t>
        </is>
      </c>
      <c r="C598" s="67" t="inlineStr">
        <is>
          <t>Goods insurance</t>
        </is>
      </c>
      <c r="D598" s="3">
        <f>IFERROR(__xludf.DUMMYFUNCTION("GOOGLETRANSLATE(B598,""vi"",""km"")"),"ការធានារ៉ាប់រងទំនិញ")</f>
        <v/>
      </c>
      <c r="E598" s="3" t="inlineStr">
        <is>
          <t>ធានារ៉ាប់រងទំនិញ</t>
        </is>
      </c>
      <c r="F598" s="3" t="inlineStr">
        <is>
          <t>ការធានារ៉ាប់រងទំនិញ</t>
        </is>
      </c>
      <c r="G598" s="3" t="n"/>
      <c r="H598" t="inlineStr">
        <is>
          <t>ការធានារ៉ាប់រងទំនិញ</t>
        </is>
      </c>
      <c r="I598" s="67" t="n"/>
      <c r="J598" s="67" t="n"/>
      <c r="K598" s="67" t="n"/>
      <c r="L598" s="67" t="n"/>
      <c r="M598" s="67" t="n"/>
      <c r="N598" s="67" t="n"/>
      <c r="O598" s="67" t="n"/>
      <c r="P598" s="67" t="n"/>
      <c r="Q598" s="67" t="n"/>
      <c r="R598" s="67" t="n"/>
      <c r="S598" s="67" t="n"/>
      <c r="T598" s="67" t="n"/>
      <c r="U598" s="67" t="n"/>
      <c r="V598" s="67" t="n"/>
      <c r="W598" s="67" t="n"/>
      <c r="X598" s="67" t="n"/>
      <c r="Y598" s="67" t="n"/>
      <c r="Z598" s="67" t="n"/>
      <c r="AA598" s="67" t="n"/>
      <c r="AB598" s="67" t="n"/>
    </row>
    <row r="599" ht="15.75" customHeight="1" s="305">
      <c r="A599" s="225" t="inlineStr">
        <is>
          <t>GDK</t>
        </is>
      </c>
      <c r="B599" s="67" t="inlineStr">
        <is>
          <t>Đồng kiểm</t>
        </is>
      </c>
      <c r="C599" s="67" t="inlineStr">
        <is>
          <t>Goods inspection</t>
        </is>
      </c>
      <c r="D599" s="3">
        <f>IFERROR(__xludf.DUMMYFUNCTION("GOOGLETRANSLATE(B599,""vi"",""km"")"),"ការត្រួតពិនិត្យរួមគ្នា")</f>
        <v/>
      </c>
      <c r="E599" s="3" t="inlineStr">
        <is>
          <t>ការត្រួតពិនិត្យរួមគ្នា</t>
        </is>
      </c>
      <c r="F599" s="3" t="inlineStr">
        <is>
          <t>ការត្រួតពិនិត្យរួមគ្នា</t>
        </is>
      </c>
      <c r="G599" s="3" t="n"/>
      <c r="H599" t="inlineStr">
        <is>
          <t>ការត្រួតពិនិត្យរួមគ្នា</t>
        </is>
      </c>
      <c r="I599" s="67" t="n"/>
      <c r="J599" s="67" t="n"/>
      <c r="K599" s="67" t="n"/>
      <c r="L599" s="67" t="n"/>
      <c r="M599" s="67" t="n"/>
      <c r="N599" s="67" t="n"/>
      <c r="O599" s="67" t="n"/>
      <c r="P599" s="67" t="n"/>
      <c r="Q599" s="67" t="n"/>
      <c r="R599" s="67" t="n"/>
      <c r="S599" s="67" t="n"/>
      <c r="T599" s="67" t="n"/>
      <c r="U599" s="67" t="n"/>
      <c r="V599" s="67" t="n"/>
      <c r="W599" s="67" t="n"/>
      <c r="X599" s="67" t="n"/>
      <c r="Y599" s="67" t="n"/>
      <c r="Z599" s="67" t="n"/>
      <c r="AA599" s="67" t="n"/>
      <c r="AB599" s="67" t="n"/>
    </row>
    <row r="600" ht="15.75" customHeight="1" s="305">
      <c r="A600" s="225" t="inlineStr">
        <is>
          <t>GTT</t>
        </is>
      </c>
      <c r="B600" s="67" t="inlineStr">
        <is>
          <t>Phát tận tay</t>
        </is>
      </c>
      <c r="C600" s="67" t="inlineStr">
        <is>
          <t>Door-to-door delivery</t>
        </is>
      </c>
      <c r="D600" s="3">
        <f>IFERROR(__xludf.DUMMYFUNCTION("GOOGLETRANSLATE(B600,""vi"",""km"")"),"ប្រគល់ជូនអ្នកទទួលដោយផ្ទាល់។")</f>
        <v/>
      </c>
      <c r="E600" s="3" t="inlineStr">
        <is>
          <t>ការដឹកជញ្ជូនដោយផ្ទាល់</t>
        </is>
      </c>
      <c r="F600" s="3" t="inlineStr">
        <is>
          <t>ប្រគល់ជូនអ្នកទទួលដោយផ្ទាល់។</t>
        </is>
      </c>
      <c r="G600" s="3" t="n"/>
      <c r="H600" t="inlineStr">
        <is>
          <t>ប្រគល់ជូនអ្នកទទួលដោយផ្ទាល់។</t>
        </is>
      </c>
      <c r="I600" s="67" t="n"/>
      <c r="J600" s="67" t="n"/>
      <c r="K600" s="67" t="n"/>
      <c r="L600" s="67" t="n"/>
      <c r="M600" s="67" t="n"/>
      <c r="N600" s="67" t="n"/>
      <c r="O600" s="67" t="n"/>
      <c r="P600" s="67" t="n"/>
      <c r="Q600" s="67" t="n"/>
      <c r="R600" s="67" t="n"/>
      <c r="S600" s="67" t="n"/>
      <c r="T600" s="67" t="n"/>
      <c r="U600" s="67" t="n"/>
      <c r="V600" s="67" t="n"/>
      <c r="W600" s="67" t="n"/>
      <c r="X600" s="67" t="n"/>
      <c r="Y600" s="67" t="n"/>
      <c r="Z600" s="67" t="n"/>
      <c r="AA600" s="67" t="n"/>
      <c r="AB600" s="67" t="n"/>
    </row>
    <row r="601" ht="15.75" customHeight="1" s="305">
      <c r="A601" s="225" t="inlineStr">
        <is>
          <t>GBP</t>
        </is>
      </c>
      <c r="B601" s="67" t="inlineStr">
        <is>
          <t>Báo phát</t>
        </is>
      </c>
      <c r="C601" s="67" t="inlineStr">
        <is>
          <t>Delivery Notification</t>
        </is>
      </c>
      <c r="D601" s="3">
        <f>IFERROR(__xludf.DUMMYFUNCTION("GOOGLETRANSLATE(B601,""vi"",""km"")"),"ការផ្សាយតាមកាសែត")</f>
        <v/>
      </c>
      <c r="E601" s="3" t="inlineStr">
        <is>
          <t>ការជូនដំណឹងអំពីការដឹកជញ្ជូន</t>
        </is>
      </c>
      <c r="F601" s="3" t="inlineStr">
        <is>
          <t>ការផ្សាយតាមកាសែត</t>
        </is>
      </c>
      <c r="G601" s="3" t="n"/>
      <c r="H601" t="inlineStr">
        <is>
          <t>ការផ្សាយតាមកាសែត</t>
        </is>
      </c>
      <c r="I601" s="67" t="n"/>
      <c r="J601" s="67" t="n"/>
      <c r="K601" s="67" t="n"/>
      <c r="L601" s="67" t="n"/>
      <c r="M601" s="67" t="n"/>
      <c r="N601" s="67" t="n"/>
      <c r="O601" s="67" t="n"/>
      <c r="P601" s="67" t="n"/>
      <c r="Q601" s="67" t="n"/>
      <c r="R601" s="67" t="n"/>
      <c r="S601" s="67" t="n"/>
      <c r="T601" s="67" t="n"/>
      <c r="U601" s="67" t="n"/>
      <c r="V601" s="67" t="n"/>
      <c r="W601" s="67" t="n"/>
      <c r="X601" s="67" t="n"/>
      <c r="Y601" s="67" t="n"/>
      <c r="Z601" s="67" t="n"/>
      <c r="AA601" s="67" t="n"/>
      <c r="AB601" s="67" t="n"/>
    </row>
    <row r="602" ht="15.75" customHeight="1" s="305">
      <c r="A602" s="225" t="inlineStr">
        <is>
          <t>GTH</t>
        </is>
      </c>
      <c r="B602" s="67" t="inlineStr">
        <is>
          <t>Phụ phí tuyến huyện</t>
        </is>
      </c>
      <c r="C602" s="67" t="inlineStr">
        <is>
          <t>Rural area surcharge</t>
        </is>
      </c>
      <c r="D602" s="3">
        <f>IFERROR(__xludf.DUMMYFUNCTION("GOOGLETRANSLATE(B602,""vi"",""km"")"),"ការគិតថ្លៃបន្ថែមសម្រាប់ផ្លូវស្រុក")</f>
        <v/>
      </c>
      <c r="E602" s="3" t="inlineStr">
        <is>
          <t>ការគិតថ្លៃបន្ថែមតាមស្រុក</t>
        </is>
      </c>
      <c r="F602" s="3" t="inlineStr">
        <is>
          <t>ការគិតថ្លៃបន្ថែមសម្រាប់ផ្លូវស្រុក</t>
        </is>
      </c>
      <c r="G602" s="3" t="n"/>
      <c r="H602" t="inlineStr">
        <is>
          <t>ការគិតថ្លៃបន្ថែមសម្រាប់ផ្លូវស្រុក</t>
        </is>
      </c>
      <c r="I602" s="67" t="n"/>
      <c r="J602" s="67" t="n"/>
      <c r="K602" s="67" t="n"/>
      <c r="L602" s="67" t="n"/>
      <c r="M602" s="67" t="n"/>
      <c r="N602" s="67" t="n"/>
      <c r="O602" s="67" t="n"/>
      <c r="P602" s="67" t="n"/>
      <c r="Q602" s="67" t="n"/>
      <c r="R602" s="67" t="n"/>
      <c r="S602" s="67" t="n"/>
      <c r="T602" s="67" t="n"/>
      <c r="U602" s="67" t="n"/>
      <c r="V602" s="67" t="n"/>
      <c r="W602" s="67" t="n"/>
      <c r="X602" s="67" t="n"/>
      <c r="Y602" s="67" t="n"/>
      <c r="Z602" s="67" t="n"/>
      <c r="AA602" s="67" t="n"/>
      <c r="AB602" s="67" t="n"/>
    </row>
    <row r="603" ht="15.75" customHeight="1" s="305">
      <c r="A603" s="225" t="inlineStr">
        <is>
          <t>GCH</t>
        </is>
      </c>
      <c r="B603" s="67" t="inlineStr">
        <is>
          <t>Chuyển hoàn</t>
        </is>
      </c>
      <c r="C603" s="67" t="inlineStr">
        <is>
          <t>Return</t>
        </is>
      </c>
      <c r="D603" s="3">
        <f>IFERROR(__xludf.DUMMYFUNCTION("GOOGLETRANSLATE(B603,""vi"",""km"")"),"ត្រឡប់មកវិញ")</f>
        <v/>
      </c>
      <c r="E603" s="3" t="inlineStr">
        <is>
          <t>ការដឹកជញ្ជូនត្រឡប់មកវិញ</t>
        </is>
      </c>
      <c r="F603" s="3" t="inlineStr">
        <is>
          <t>ត្រឡប់មកវិញ</t>
        </is>
      </c>
      <c r="G603" s="3" t="n"/>
      <c r="H603" t="inlineStr">
        <is>
          <t>ត្រឡប់មកវិញ</t>
        </is>
      </c>
      <c r="I603" s="67" t="n"/>
      <c r="J603" s="67" t="n"/>
      <c r="K603" s="67" t="n"/>
      <c r="L603" s="67" t="n"/>
      <c r="M603" s="67" t="n"/>
      <c r="N603" s="67" t="n"/>
      <c r="O603" s="67" t="n"/>
      <c r="P603" s="67" t="n"/>
      <c r="Q603" s="67" t="n"/>
      <c r="R603" s="67" t="n"/>
      <c r="S603" s="67" t="n"/>
      <c r="T603" s="67" t="n"/>
      <c r="U603" s="67" t="n"/>
      <c r="V603" s="67" t="n"/>
      <c r="W603" s="67" t="n"/>
      <c r="X603" s="67" t="n"/>
      <c r="Y603" s="67" t="n"/>
      <c r="Z603" s="67" t="n"/>
      <c r="AA603" s="67" t="n"/>
      <c r="AB603" s="67" t="n"/>
    </row>
    <row r="604" ht="15.75" customHeight="1" s="305">
      <c r="A604" s="225" t="inlineStr">
        <is>
          <t>CCN</t>
        </is>
      </c>
      <c r="B604" s="67" t="inlineStr">
        <is>
          <t>Chuyển phát</t>
        </is>
      </c>
      <c r="C604" s="67" t="inlineStr">
        <is>
          <t>Express</t>
        </is>
      </c>
      <c r="D604" s="3">
        <f>IFERROR(__xludf.DUMMYFUNCTION("GOOGLETRANSLATE(B604,""vi"",""km"")"),"ការដឹកជញ្ជូន")</f>
        <v/>
      </c>
      <c r="E604" s="3" t="inlineStr">
        <is>
          <t>សេវាកម្មដឹកជញ្ជូនរហ័ស</t>
        </is>
      </c>
      <c r="F604" s="3" t="inlineStr">
        <is>
          <t>ការដឹកជញ្ជូន</t>
        </is>
      </c>
      <c r="G604" s="3" t="n"/>
      <c r="H604" t="inlineStr">
        <is>
          <t>ការដឹកជញ្ជូន</t>
        </is>
      </c>
      <c r="I604" s="67" t="n"/>
      <c r="J604" s="67" t="n"/>
      <c r="K604" s="67" t="n"/>
      <c r="L604" s="67" t="n"/>
      <c r="M604" s="67" t="n"/>
      <c r="N604" s="67" t="n"/>
      <c r="O604" s="67" t="n"/>
      <c r="P604" s="67" t="n"/>
      <c r="Q604" s="67" t="n"/>
      <c r="R604" s="67" t="n"/>
      <c r="S604" s="67" t="n"/>
      <c r="T604" s="67" t="n"/>
      <c r="U604" s="67" t="n"/>
      <c r="V604" s="67" t="n"/>
      <c r="W604" s="67" t="n"/>
      <c r="X604" s="67" t="n"/>
      <c r="Y604" s="67" t="n"/>
      <c r="Z604" s="67" t="n"/>
      <c r="AA604" s="67" t="n"/>
      <c r="AB604" s="67" t="n"/>
    </row>
    <row r="605" ht="15.75" customHeight="1" s="305">
      <c r="A605" s="225" t="inlineStr">
        <is>
          <t>CHT</t>
        </is>
      </c>
      <c r="B605" s="67" t="inlineStr">
        <is>
          <t>Dịch vụ chuyển phát Hoả Tốc</t>
        </is>
      </c>
      <c r="C605" s="67" t="inlineStr">
        <is>
          <t>Urgent</t>
        </is>
      </c>
      <c r="D605" s="3">
        <f>IFERROR(__xludf.DUMMYFUNCTION("GOOGLETRANSLATE(B605,""vi"",""km"")"),"សេវាកម្មដឹកជញ្ជូនរហ័ស")</f>
        <v/>
      </c>
      <c r="E605" s="3" t="inlineStr">
        <is>
          <t>សេវាកម្មដឹកជញ្ជូនរហ័ស</t>
        </is>
      </c>
      <c r="F605" s="3" t="inlineStr">
        <is>
          <t>សេវាកម្មដឹកជញ្ជូនរហ័ស</t>
        </is>
      </c>
      <c r="G605" s="3" t="n"/>
      <c r="H605" t="inlineStr">
        <is>
          <t>សេវាកម្មដឹកជញ្ជូនរហ័ស</t>
        </is>
      </c>
      <c r="I605" s="67" t="n"/>
      <c r="J605" s="67" t="n"/>
      <c r="K605" s="67" t="n"/>
      <c r="L605" s="67" t="n"/>
      <c r="M605" s="67" t="n"/>
      <c r="N605" s="67" t="n"/>
      <c r="O605" s="67" t="n"/>
      <c r="P605" s="67" t="n"/>
      <c r="Q605" s="67" t="n"/>
      <c r="R605" s="67" t="n"/>
      <c r="S605" s="67" t="n"/>
      <c r="T605" s="67" t="n"/>
      <c r="U605" s="67" t="n"/>
      <c r="V605" s="67" t="n"/>
      <c r="W605" s="67" t="n"/>
      <c r="X605" s="67" t="n"/>
      <c r="Y605" s="67" t="n"/>
      <c r="Z605" s="67" t="n"/>
      <c r="AA605" s="67" t="n"/>
      <c r="AB605" s="67" t="n"/>
    </row>
    <row r="606" ht="15.75" customHeight="1" s="305">
      <c r="A606" s="225" t="inlineStr">
        <is>
          <t>CTT</t>
        </is>
      </c>
      <c r="B606" s="67" t="inlineStr">
        <is>
          <t>Dịch vụ chuyển phát liên tỉnh</t>
        </is>
      </c>
      <c r="C606" s="67" t="inlineStr">
        <is>
          <t>Inter-provincial shipping</t>
        </is>
      </c>
      <c r="D606" s="3">
        <f>IFERROR(__xludf.DUMMYFUNCTION("GOOGLETRANSLATE(B606,""vi"",""km"")"),"សេវាកម្មដឹកជញ្ជូនអន្តរខេត្តក្រុង")</f>
        <v/>
      </c>
      <c r="E606" s="3" t="inlineStr">
        <is>
          <t>សេវាកម្មដឹកជញ្ជូនឆ្លងខេត្ត</t>
        </is>
      </c>
      <c r="F606" s="3" t="inlineStr">
        <is>
          <t>សេវាកម្មដឹកជញ្ជូនអន្តរខេត្តក្រុង</t>
        </is>
      </c>
      <c r="G606" s="3" t="n"/>
      <c r="H606" t="inlineStr">
        <is>
          <t>សេវាកម្មដឹកជញ្ជូនអន្តរខេត្តក្រុង</t>
        </is>
      </c>
      <c r="I606" s="67" t="n"/>
      <c r="J606" s="67" t="n"/>
      <c r="K606" s="67" t="n"/>
      <c r="L606" s="67" t="n"/>
      <c r="M606" s="67" t="n"/>
      <c r="N606" s="67" t="n"/>
      <c r="O606" s="67" t="n"/>
      <c r="P606" s="67" t="n"/>
      <c r="Q606" s="67" t="n"/>
      <c r="R606" s="67" t="n"/>
      <c r="S606" s="67" t="n"/>
      <c r="T606" s="67" t="n"/>
      <c r="U606" s="67" t="n"/>
      <c r="V606" s="67" t="n"/>
      <c r="W606" s="67" t="n"/>
      <c r="X606" s="67" t="n"/>
      <c r="Y606" s="67" t="n"/>
      <c r="Z606" s="67" t="n"/>
      <c r="AA606" s="67" t="n"/>
      <c r="AB606" s="67" t="n"/>
    </row>
    <row r="607" ht="15.75" customHeight="1" s="305">
      <c r="A607" s="225" t="inlineStr">
        <is>
          <t>CCK</t>
        </is>
      </c>
      <c r="B607" s="67" t="inlineStr">
        <is>
          <t>Vận tải nguyên chuyến</t>
        </is>
      </c>
      <c r="C607" s="67" t="inlineStr">
        <is>
          <t>Full truckload shipping</t>
        </is>
      </c>
      <c r="D607" s="3">
        <f>IFERROR(__xludf.DUMMYFUNCTION("GOOGLETRANSLATE(B607,""vi"",""km"")"),"ការដឹកជញ្ជូនទំនិញពេញឡានដឹកទំនិញ")</f>
        <v/>
      </c>
      <c r="E607" s="3" t="n"/>
      <c r="F607" s="3" t="inlineStr">
        <is>
          <t>ការដឹកជញ្ជូនទំនិញពេញឡានដឹកទំនិញ</t>
        </is>
      </c>
      <c r="G607" s="3" t="n"/>
      <c r="H607" t="inlineStr">
        <is>
          <t>ការដឹកជញ្ជូនទំនិញពេញឡានដឹកទំនិញ</t>
        </is>
      </c>
      <c r="I607" s="67" t="n"/>
      <c r="J607" s="67" t="n"/>
      <c r="K607" s="67" t="n"/>
      <c r="L607" s="67" t="n"/>
      <c r="M607" s="67" t="n"/>
      <c r="N607" s="67" t="n"/>
      <c r="O607" s="67" t="n"/>
      <c r="P607" s="67" t="n"/>
      <c r="Q607" s="67" t="n"/>
      <c r="R607" s="67" t="n"/>
      <c r="S607" s="67" t="n"/>
      <c r="T607" s="67" t="n"/>
      <c r="U607" s="67" t="n"/>
      <c r="V607" s="67" t="n"/>
      <c r="W607" s="67" t="n"/>
      <c r="X607" s="67" t="n"/>
      <c r="Y607" s="67" t="n"/>
      <c r="Z607" s="67" t="n"/>
      <c r="AA607" s="67" t="n"/>
      <c r="AB607" s="67" t="n"/>
    </row>
    <row r="608" ht="15.75" customHeight="1" s="305">
      <c r="A608" s="192" t="inlineStr">
        <is>
          <t>express-delivery-service</t>
        </is>
      </c>
      <c r="B608" s="67" t="n"/>
      <c r="C608" s="67" t="n"/>
      <c r="D608" s="3">
        <f>IFERROR(__xludf.DUMMYFUNCTION("GOOGLETRANSLATE(B608,""vi"",""km"")"),"#VALUE!")</f>
        <v/>
      </c>
      <c r="E608" s="67" t="n"/>
      <c r="F608" s="3" t="inlineStr"/>
      <c r="G608" s="67" t="n"/>
      <c r="H608" t="inlineStr"/>
      <c r="I608" s="67" t="n"/>
      <c r="J608" s="67" t="n"/>
      <c r="K608" s="67" t="n"/>
      <c r="L608" s="67" t="n"/>
      <c r="M608" s="67" t="n"/>
      <c r="N608" s="67" t="n"/>
      <c r="O608" s="67" t="n"/>
      <c r="P608" s="67" t="n"/>
      <c r="Q608" s="67" t="n"/>
      <c r="R608" s="67" t="n"/>
      <c r="S608" s="67" t="n"/>
      <c r="T608" s="67" t="n"/>
      <c r="U608" s="67" t="n"/>
      <c r="V608" s="67" t="n"/>
      <c r="W608" s="67" t="n"/>
      <c r="X608" s="67" t="n"/>
      <c r="Y608" s="67" t="n"/>
      <c r="Z608" s="67" t="n"/>
      <c r="AA608" s="67" t="n"/>
      <c r="AB608" s="67" t="n"/>
    </row>
    <row r="609" ht="15.75" customHeight="1" s="305">
      <c r="A609" s="149" t="inlineStr">
        <is>
          <t>key</t>
        </is>
      </c>
      <c r="B609" s="193" t="inlineStr">
        <is>
          <t>vi</t>
        </is>
      </c>
      <c r="C609" s="193" t="inlineStr">
        <is>
          <t>en</t>
        </is>
      </c>
      <c r="D609" s="3">
        <f>IFERROR(__xludf.DUMMYFUNCTION("GOOGLETRANSLATE(B609,""vi"",""km"")"),"វី")</f>
        <v/>
      </c>
      <c r="E609" s="193" t="inlineStr">
        <is>
          <t>kh</t>
        </is>
      </c>
      <c r="F609" s="3" t="inlineStr">
        <is>
          <t>វី</t>
        </is>
      </c>
      <c r="G609" s="193" t="inlineStr">
        <is>
          <t>chinese</t>
        </is>
      </c>
      <c r="H609" t="inlineStr">
        <is>
          <t>វី</t>
        </is>
      </c>
      <c r="I609" s="67" t="n"/>
      <c r="J609" s="67" t="n"/>
      <c r="K609" s="67" t="n"/>
      <c r="L609" s="67" t="n"/>
      <c r="M609" s="67" t="n"/>
      <c r="N609" s="67" t="n"/>
      <c r="O609" s="67" t="n"/>
      <c r="P609" s="67" t="n"/>
      <c r="Q609" s="67" t="n"/>
      <c r="R609" s="67" t="n"/>
      <c r="S609" s="67" t="n"/>
      <c r="T609" s="67" t="n"/>
      <c r="U609" s="67" t="n"/>
      <c r="V609" s="67" t="n"/>
      <c r="W609" s="67" t="n"/>
      <c r="X609" s="67" t="n"/>
      <c r="Y609" s="67" t="n"/>
      <c r="Z609" s="67" t="n"/>
      <c r="AA609" s="67" t="n"/>
      <c r="AB609" s="67" t="n"/>
    </row>
    <row r="610" ht="15.75" customHeight="1" s="305">
      <c r="A610" s="225" t="inlineStr">
        <is>
          <t>DB_EXCEPTION</t>
        </is>
      </c>
      <c r="B610" s="67" t="inlineStr">
        <is>
          <t>Lỗi database</t>
        </is>
      </c>
      <c r="C610" s="67" t="inlineStr">
        <is>
          <t>DB_EXCEPTION</t>
        </is>
      </c>
      <c r="D610" s="3">
        <f>IFERROR(__xludf.DUMMYFUNCTION("GOOGLETRANSLATE(B610,""vi"",""km"")"),"កំហុសមូលដ្ឋានទិន្នន័យ")</f>
        <v/>
      </c>
      <c r="E610" s="3" t="n"/>
      <c r="F610" s="3" t="inlineStr">
        <is>
          <t>កំហុសមូលដ្ឋានទិន្នន័យ</t>
        </is>
      </c>
      <c r="G610" s="3" t="n"/>
      <c r="H610" t="inlineStr">
        <is>
          <t>កំហុសមូលដ្ឋានទិន្នន័យ</t>
        </is>
      </c>
      <c r="I610" s="67" t="n"/>
      <c r="J610" s="67" t="n"/>
      <c r="K610" s="67" t="n"/>
      <c r="L610" s="67" t="n"/>
      <c r="M610" s="67" t="n"/>
      <c r="N610" s="67" t="n"/>
      <c r="O610" s="67" t="n"/>
      <c r="P610" s="67" t="n"/>
      <c r="Q610" s="67" t="n"/>
      <c r="R610" s="67" t="n"/>
      <c r="S610" s="67" t="n"/>
      <c r="T610" s="67" t="n"/>
      <c r="U610" s="67" t="n"/>
      <c r="V610" s="67" t="n"/>
      <c r="W610" s="67" t="n"/>
      <c r="X610" s="67" t="n"/>
      <c r="Y610" s="67" t="n"/>
      <c r="Z610" s="67" t="n"/>
      <c r="AA610" s="67" t="n"/>
      <c r="AB610" s="67" t="n"/>
    </row>
    <row r="611" ht="15.75" customHeight="1" s="305">
      <c r="A611" s="225" t="inlineStr">
        <is>
          <t>BAD_REQUEST</t>
        </is>
      </c>
      <c r="B611" s="67" t="inlineStr">
        <is>
          <t>Yêu cầu sai định dạng</t>
        </is>
      </c>
      <c r="C611" s="67" t="inlineStr">
        <is>
          <t>BAD_REQUEST</t>
        </is>
      </c>
      <c r="D611" s="3">
        <f>IFERROR(__xludf.DUMMYFUNCTION("GOOGLETRANSLATE(B611,""vi"",""km"")"),"សំណើនេះមានទម្រង់មិនត្រឹមត្រូវ។")</f>
        <v/>
      </c>
      <c r="E611" s="3" t="inlineStr">
        <is>
          <t>ស្នើសុំខុសទម្រង់</t>
        </is>
      </c>
      <c r="F611" s="3" t="inlineStr">
        <is>
          <t>សំណើនេះមានទម្រង់មិនត្រឹមត្រូវ។</t>
        </is>
      </c>
      <c r="G611" s="3" t="n"/>
      <c r="H611" t="inlineStr">
        <is>
          <t>សំណើនេះមានទម្រង់មិនត្រឹមត្រូវ។</t>
        </is>
      </c>
      <c r="I611" s="67" t="n"/>
      <c r="J611" s="67" t="n"/>
      <c r="K611" s="67" t="n"/>
      <c r="L611" s="67" t="n"/>
      <c r="M611" s="67" t="n"/>
      <c r="N611" s="67" t="n"/>
      <c r="O611" s="67" t="n"/>
      <c r="P611" s="67" t="n"/>
      <c r="Q611" s="67" t="n"/>
      <c r="R611" s="67" t="n"/>
      <c r="S611" s="67" t="n"/>
      <c r="T611" s="67" t="n"/>
      <c r="U611" s="67" t="n"/>
      <c r="V611" s="67" t="n"/>
      <c r="W611" s="67" t="n"/>
      <c r="X611" s="67" t="n"/>
      <c r="Y611" s="67" t="n"/>
      <c r="Z611" s="67" t="n"/>
      <c r="AA611" s="67" t="n"/>
      <c r="AB611" s="67" t="n"/>
    </row>
    <row r="612" ht="15.75" customHeight="1" s="305">
      <c r="A612" s="225" t="inlineStr">
        <is>
          <t>BAD_REQUEST_FMT</t>
        </is>
      </c>
      <c r="B612" s="67" t="inlineStr">
        <is>
          <t>BAD_REQUEST</t>
        </is>
      </c>
      <c r="C612" s="67" t="inlineStr">
        <is>
          <t>BAD_REQUEST</t>
        </is>
      </c>
      <c r="D612" s="3">
        <f>IFERROR(__xludf.DUMMYFUNCTION("GOOGLETRANSLATE(B612,""vi"",""km"")"),"សំណើសុំខុស")</f>
        <v/>
      </c>
      <c r="E612" s="3" t="n"/>
      <c r="F612" s="3" t="inlineStr">
        <is>
          <t>សំណើសុំខុស</t>
        </is>
      </c>
      <c r="G612" s="3" t="n"/>
      <c r="H612" t="inlineStr">
        <is>
          <t>សំណើសុំខុស</t>
        </is>
      </c>
      <c r="I612" s="67" t="n"/>
      <c r="J612" s="67" t="n"/>
      <c r="K612" s="67" t="n"/>
      <c r="L612" s="67" t="n"/>
      <c r="M612" s="67" t="n"/>
      <c r="N612" s="67" t="n"/>
      <c r="O612" s="67" t="n"/>
      <c r="P612" s="67" t="n"/>
      <c r="Q612" s="67" t="n"/>
      <c r="R612" s="67" t="n"/>
      <c r="S612" s="67" t="n"/>
      <c r="T612" s="67" t="n"/>
      <c r="U612" s="67" t="n"/>
      <c r="V612" s="67" t="n"/>
      <c r="W612" s="67" t="n"/>
      <c r="X612" s="67" t="n"/>
      <c r="Y612" s="67" t="n"/>
      <c r="Z612" s="67" t="n"/>
      <c r="AA612" s="67" t="n"/>
      <c r="AB612" s="67" t="n"/>
    </row>
    <row r="613" ht="15.75" customHeight="1" s="305">
      <c r="A613" s="225" t="inlineStr">
        <is>
          <t>BAD_RESPONSE</t>
        </is>
      </c>
      <c r="B613" s="67" t="inlineStr">
        <is>
          <t>Unknown response schema</t>
        </is>
      </c>
      <c r="C613" s="67" t="inlineStr">
        <is>
          <t>Unknown response schema</t>
        </is>
      </c>
      <c r="D613" s="3">
        <f>IFERROR(__xludf.DUMMYFUNCTION("GOOGLETRANSLATE(B613,""vi"",""km"")"),"គ្រោងការណ៍ទូទាត់ដែលមិនស្គាល់")</f>
        <v/>
      </c>
      <c r="E613" s="3" t="n"/>
      <c r="F613" s="3" t="inlineStr">
        <is>
          <t>គ្រោងការណ៍ទូទាត់ដែលមិនស្គាល់</t>
        </is>
      </c>
      <c r="G613" s="3" t="n"/>
      <c r="H613" t="inlineStr">
        <is>
          <t>គ្រោងការណ៍ទូទាត់ដែលមិនស្គាល់</t>
        </is>
      </c>
      <c r="I613" s="67" t="n"/>
      <c r="J613" s="67" t="n"/>
      <c r="K613" s="67" t="n"/>
      <c r="L613" s="67" t="n"/>
      <c r="M613" s="67" t="n"/>
      <c r="N613" s="67" t="n"/>
      <c r="O613" s="67" t="n"/>
      <c r="P613" s="67" t="n"/>
      <c r="Q613" s="67" t="n"/>
      <c r="R613" s="67" t="n"/>
      <c r="S613" s="67" t="n"/>
      <c r="T613" s="67" t="n"/>
      <c r="U613" s="67" t="n"/>
      <c r="V613" s="67" t="n"/>
      <c r="W613" s="67" t="n"/>
      <c r="X613" s="67" t="n"/>
      <c r="Y613" s="67" t="n"/>
      <c r="Z613" s="67" t="n"/>
      <c r="AA613" s="67" t="n"/>
      <c r="AB613" s="67" t="n"/>
    </row>
    <row r="614" ht="15.75" customHeight="1" s="305">
      <c r="A614" s="225" t="inlineStr">
        <is>
          <t>ENUM_NOT_SUPPORTED</t>
        </is>
      </c>
      <c r="B614" s="67" t="inlineStr">
        <is>
          <t>Not supported enum value</t>
        </is>
      </c>
      <c r="C614" s="67" t="inlineStr">
        <is>
          <t>Not supported enum value</t>
        </is>
      </c>
      <c r="D614" s="3">
        <f>IFERROR(__xludf.DUMMYFUNCTION("GOOGLETRANSLATE(B614,""vi"",""km"")"),"តម្លៃ enum មិនត្រូវបានគាំទ្រទេ")</f>
        <v/>
      </c>
      <c r="E614" s="3" t="n"/>
      <c r="F614" s="3" t="inlineStr">
        <is>
          <t>តម្លៃ enum មិនត្រូវបានគាំទ្រទេ</t>
        </is>
      </c>
      <c r="G614" s="3" t="n"/>
      <c r="H614" t="inlineStr">
        <is>
          <t>តម្លៃ enum មិនត្រូវបានគាំទ្រទេ</t>
        </is>
      </c>
      <c r="I614" s="67" t="n"/>
      <c r="J614" s="67" t="n"/>
      <c r="K614" s="67" t="n"/>
      <c r="L614" s="67" t="n"/>
      <c r="M614" s="67" t="n"/>
      <c r="N614" s="67" t="n"/>
      <c r="O614" s="67" t="n"/>
      <c r="P614" s="67" t="n"/>
      <c r="Q614" s="67" t="n"/>
      <c r="R614" s="67" t="n"/>
      <c r="S614" s="67" t="n"/>
      <c r="T614" s="67" t="n"/>
      <c r="U614" s="67" t="n"/>
      <c r="V614" s="67" t="n"/>
      <c r="W614" s="67" t="n"/>
      <c r="X614" s="67" t="n"/>
      <c r="Y614" s="67" t="n"/>
      <c r="Z614" s="67" t="n"/>
      <c r="AA614" s="67" t="n"/>
      <c r="AB614" s="67" t="n"/>
    </row>
    <row r="615" ht="15.75" customHeight="1" s="305">
      <c r="A615" s="225" t="inlineStr">
        <is>
          <t>MULTI_TOKEN</t>
        </is>
      </c>
      <c r="B615" s="67" t="inlineStr">
        <is>
          <t>Multi token not accepted</t>
        </is>
      </c>
      <c r="C615" s="67" t="inlineStr">
        <is>
          <t>Multi token not accepted</t>
        </is>
      </c>
      <c r="D615" s="3">
        <f>IFERROR(__xludf.DUMMYFUNCTION("GOOGLETRANSLATE(B615,""vi"",""km"")"),"ថូខឹនច្រើនមិនត្រូវបានទទួលយកទេ")</f>
        <v/>
      </c>
      <c r="E615" s="3" t="n"/>
      <c r="F615" s="3" t="inlineStr">
        <is>
          <t>ថូខឹនច្រើនមិនត្រូវបានទទួលយកទេ</t>
        </is>
      </c>
      <c r="G615" s="3" t="n"/>
      <c r="H615" t="inlineStr">
        <is>
          <t>ថូខឹនច្រើនមិនត្រូវបានទទួលយកទេ</t>
        </is>
      </c>
      <c r="I615" s="67" t="n"/>
      <c r="J615" s="67" t="n"/>
      <c r="K615" s="67" t="n"/>
      <c r="L615" s="67" t="n"/>
      <c r="M615" s="67" t="n"/>
      <c r="N615" s="67" t="n"/>
      <c r="O615" s="67" t="n"/>
      <c r="P615" s="67" t="n"/>
      <c r="Q615" s="67" t="n"/>
      <c r="R615" s="67" t="n"/>
      <c r="S615" s="67" t="n"/>
      <c r="T615" s="67" t="n"/>
      <c r="U615" s="67" t="n"/>
      <c r="V615" s="67" t="n"/>
      <c r="W615" s="67" t="n"/>
      <c r="X615" s="67" t="n"/>
      <c r="Y615" s="67" t="n"/>
      <c r="Z615" s="67" t="n"/>
      <c r="AA615" s="67" t="n"/>
      <c r="AB615" s="67" t="n"/>
    </row>
    <row r="616" ht="15.75" customHeight="1" s="305">
      <c r="A616" s="225" t="inlineStr">
        <is>
          <t>CORE_EMPTY_RESPONSE</t>
        </is>
      </c>
      <c r="B616" s="67" t="inlineStr">
        <is>
          <t>Empty result from core</t>
        </is>
      </c>
      <c r="C616" s="67" t="inlineStr">
        <is>
          <t>Empty result from core</t>
        </is>
      </c>
      <c r="D616" s="3">
        <f>IFERROR(__xludf.DUMMYFUNCTION("GOOGLETRANSLATE(B616,""vi"",""km"")"),"លទ្ធផលទទេពីស្នូល")</f>
        <v/>
      </c>
      <c r="E616" s="3" t="n"/>
      <c r="F616" s="3" t="inlineStr">
        <is>
          <t>លទ្ធផលទទេពីស្នូល</t>
        </is>
      </c>
      <c r="G616" s="3" t="n"/>
      <c r="H616" t="inlineStr">
        <is>
          <t>លទ្ធផលទទេពីស្នូល</t>
        </is>
      </c>
      <c r="I616" s="67" t="n"/>
      <c r="J616" s="67" t="n"/>
      <c r="K616" s="67" t="n"/>
      <c r="L616" s="67" t="n"/>
      <c r="M616" s="67" t="n"/>
      <c r="N616" s="67" t="n"/>
      <c r="O616" s="67" t="n"/>
      <c r="P616" s="67" t="n"/>
      <c r="Q616" s="67" t="n"/>
      <c r="R616" s="67" t="n"/>
      <c r="S616" s="67" t="n"/>
      <c r="T616" s="67" t="n"/>
      <c r="U616" s="67" t="n"/>
      <c r="V616" s="67" t="n"/>
      <c r="W616" s="67" t="n"/>
      <c r="X616" s="67" t="n"/>
      <c r="Y616" s="67" t="n"/>
      <c r="Z616" s="67" t="n"/>
      <c r="AA616" s="67" t="n"/>
      <c r="AB616" s="67" t="n"/>
    </row>
    <row r="617" ht="15.75" customHeight="1" s="305">
      <c r="A617" s="225" t="inlineStr">
        <is>
          <t>CORE_RESPONSE_TOO_LONG</t>
        </is>
      </c>
      <c r="B617" s="67" t="inlineStr">
        <is>
          <t>CORE response too long</t>
        </is>
      </c>
      <c r="C617" s="67" t="inlineStr">
        <is>
          <t>CORE response too long</t>
        </is>
      </c>
      <c r="D617" s="3">
        <f>IFERROR(__xludf.DUMMYFUNCTION("GOOGLETRANSLATE(B617,""vi"",""km"")"),"ការឆ្លើយតបស្នូលវែងពេក")</f>
        <v/>
      </c>
      <c r="E617" s="3" t="n"/>
      <c r="F617" s="3" t="inlineStr">
        <is>
          <t>ការឆ្លើយតបស្នូលវែងពេក</t>
        </is>
      </c>
      <c r="G617" s="3" t="n"/>
      <c r="H617" t="inlineStr">
        <is>
          <t>ការឆ្លើយតបស្នូលវែងពេក</t>
        </is>
      </c>
      <c r="I617" s="67" t="n"/>
      <c r="J617" s="67" t="n"/>
      <c r="K617" s="67" t="n"/>
      <c r="L617" s="67" t="n"/>
      <c r="M617" s="67" t="n"/>
      <c r="N617" s="67" t="n"/>
      <c r="O617" s="67" t="n"/>
      <c r="P617" s="67" t="n"/>
      <c r="Q617" s="67" t="n"/>
      <c r="R617" s="67" t="n"/>
      <c r="S617" s="67" t="n"/>
      <c r="T617" s="67" t="n"/>
      <c r="U617" s="67" t="n"/>
      <c r="V617" s="67" t="n"/>
      <c r="W617" s="67" t="n"/>
      <c r="X617" s="67" t="n"/>
      <c r="Y617" s="67" t="n"/>
      <c r="Z617" s="67" t="n"/>
      <c r="AA617" s="67" t="n"/>
      <c r="AB617" s="67" t="n"/>
    </row>
    <row r="618" ht="15.75" customHeight="1" s="305">
      <c r="A618" s="225" t="inlineStr">
        <is>
          <t>NOT_EXISTS_IN_ASSIGNED</t>
        </is>
      </c>
      <c r="B618" s="67" t="inlineStr">
        <is>
          <t>Đơn không tồn tại trong lượt phân công của bưu tá</t>
        </is>
      </c>
      <c r="C618" s="67" t="inlineStr">
        <is>
          <t>The order does not exist in the assigned delivery of the postman</t>
        </is>
      </c>
      <c r="D618" s="3">
        <f>IFERROR(__xludf.DUMMYFUNCTION("GOOGLETRANSLATE(B618,""vi"",""km"")"),"ការបញ្ជាទិញនេះមិនមាននៅក្នុងកាលវិភាគការងាររបស់បុគ្គលិកប្រៃសណីយ៍ទេ។")</f>
        <v/>
      </c>
      <c r="E618" s="159" t="inlineStr">
        <is>
          <t>បុងបញ្ញើនេះមិនមាននៅក្នុងការបែងចែក របស់បុគ្គលិកប្រៃសណីយ៍ទេ</t>
        </is>
      </c>
      <c r="F618" s="3" t="inlineStr">
        <is>
          <t>ការបញ្ជាទិញនេះមិនមាននៅក្នុងកាលវិភាគការងាររបស់បុគ្គលិកប្រៃសណីយ៍ទេ។</t>
        </is>
      </c>
      <c r="G618" s="3" t="n"/>
      <c r="H618" t="inlineStr">
        <is>
          <t>ការបញ្ជាទិញនេះមិនមាននៅក្នុងកាលវិភាគការងាររបស់បុគ្គលិកប្រៃសណីយ៍ទេ។</t>
        </is>
      </c>
      <c r="I618" s="67" t="n"/>
      <c r="J618" s="67" t="n"/>
      <c r="K618" s="67" t="n"/>
      <c r="L618" s="67" t="n"/>
      <c r="M618" s="67" t="n"/>
      <c r="N618" s="67" t="n"/>
      <c r="O618" s="67" t="n"/>
      <c r="P618" s="67" t="n"/>
      <c r="Q618" s="67" t="n"/>
      <c r="R618" s="67" t="n"/>
      <c r="S618" s="67" t="n"/>
      <c r="T618" s="67" t="n"/>
      <c r="U618" s="67" t="n"/>
      <c r="V618" s="67" t="n"/>
      <c r="W618" s="67" t="n"/>
      <c r="X618" s="67" t="n"/>
      <c r="Y618" s="67" t="n"/>
      <c r="Z618" s="67" t="n"/>
      <c r="AA618" s="67" t="n"/>
      <c r="AB618" s="67" t="n"/>
    </row>
    <row r="619" ht="15.75" customHeight="1" s="305">
      <c r="A619" s="225" t="inlineStr">
        <is>
          <t>HAS_FINAL_STATUS</t>
        </is>
      </c>
      <c r="B619" s="3" t="n"/>
      <c r="C619" s="3" t="n"/>
      <c r="D619" s="3">
        <f>IFERROR(__xludf.DUMMYFUNCTION("GOOGLETRANSLATE(B619,""vi"",""km"")"),"#VALUE!")</f>
        <v/>
      </c>
      <c r="E619" s="3" t="n"/>
      <c r="F619" s="3" t="inlineStr"/>
      <c r="G619" s="3" t="n"/>
      <c r="H619" t="inlineStr"/>
      <c r="I619" s="67" t="n"/>
      <c r="J619" s="67" t="n"/>
      <c r="K619" s="67" t="n"/>
      <c r="L619" s="67" t="n"/>
      <c r="M619" s="67" t="n"/>
      <c r="N619" s="67" t="n"/>
      <c r="O619" s="67" t="n"/>
      <c r="P619" s="67" t="n"/>
      <c r="Q619" s="67" t="n"/>
      <c r="R619" s="67" t="n"/>
      <c r="S619" s="67" t="n"/>
      <c r="T619" s="67" t="n"/>
      <c r="U619" s="67" t="n"/>
      <c r="V619" s="67" t="n"/>
      <c r="W619" s="67" t="n"/>
      <c r="X619" s="67" t="n"/>
      <c r="Y619" s="67" t="n"/>
      <c r="Z619" s="67" t="n"/>
      <c r="AA619" s="67" t="n"/>
      <c r="AB619" s="67" t="n"/>
    </row>
    <row r="620" ht="15.75" customHeight="1" s="305">
      <c r="A620" s="225" t="inlineStr">
        <is>
          <t>FORWARDED_ANOTHER_POST</t>
        </is>
      </c>
      <c r="B620" s="67" t="inlineStr">
        <is>
          <t>Đơn đã chuyển tiếp bưu cục khác</t>
        </is>
      </c>
      <c r="C620" s="67" t="inlineStr">
        <is>
          <t>The order has been forwarded to another post office</t>
        </is>
      </c>
      <c r="D620" s="3">
        <f>IFERROR(__xludf.DUMMYFUNCTION("GOOGLETRANSLATE(B620,""vi"",""km"")"),"ការបញ្ជាទិញត្រូវបានបញ្ជូនបន្តទៅកាន់ការិយាល័យប្រៃសណីយ៍ផ្សេង។")</f>
        <v/>
      </c>
      <c r="E620" s="3" t="inlineStr">
        <is>
          <t>បុងបញ្ញើ នេះត្រូវបានបញ្ជូនបន្តទៅកាន់ការិយាល័យប្រៃសណីយ៍មួយផ្សេងទៀត។</t>
        </is>
      </c>
      <c r="F620" s="3" t="inlineStr">
        <is>
          <t>ការបញ្ជាទិញត្រូវបានបញ្ជូនបន្តទៅកាន់ការិយាល័យប្រៃសណីយ៍ផ្សេង។</t>
        </is>
      </c>
      <c r="G620" s="3" t="n"/>
      <c r="H620" t="inlineStr">
        <is>
          <t>ការបញ្ជាទិញត្រូវបានបញ្ជូនបន្តទៅកាន់ការិយាល័យប្រៃសណីយ៍ផ្សេង។</t>
        </is>
      </c>
      <c r="I620" s="67" t="n"/>
      <c r="J620" s="67" t="n"/>
      <c r="K620" s="67" t="n"/>
      <c r="L620" s="67" t="n"/>
      <c r="M620" s="67" t="n"/>
      <c r="N620" s="67" t="n"/>
      <c r="O620" s="67" t="n"/>
      <c r="P620" s="67" t="n"/>
      <c r="Q620" s="67" t="n"/>
      <c r="R620" s="67" t="n"/>
      <c r="S620" s="67" t="n"/>
      <c r="T620" s="67" t="n"/>
      <c r="U620" s="67" t="n"/>
      <c r="V620" s="67" t="n"/>
      <c r="W620" s="67" t="n"/>
      <c r="X620" s="67" t="n"/>
      <c r="Y620" s="67" t="n"/>
      <c r="Z620" s="67" t="n"/>
      <c r="AA620" s="67" t="n"/>
      <c r="AB620" s="67" t="n"/>
    </row>
    <row r="621" ht="15.75" customHeight="1" s="305">
      <c r="A621" s="225" t="inlineStr">
        <is>
          <t>NOT_RETURN_LIST</t>
        </is>
      </c>
      <c r="B621" s="67" t="inlineStr">
        <is>
          <t>Đơn không trong danh sách hoàn</t>
        </is>
      </c>
      <c r="C621" s="67" t="inlineStr">
        <is>
          <t>The order is not on the return list</t>
        </is>
      </c>
      <c r="D621" s="3">
        <f>IFERROR(__xludf.DUMMYFUNCTION("GOOGLETRANSLATE(B621,""vi"",""km"")"),"ការបញ្ជាទិញនេះមិនមាននៅក្នុងបញ្ជីសងប្រាក់វិញទេ។")</f>
        <v/>
      </c>
      <c r="E621" s="3" t="inlineStr">
        <is>
          <t>បុងបញ្ញើ នេះមិនមាននៅក្នុងបញ្ជីបំពេញទេ</t>
        </is>
      </c>
      <c r="F621" s="3" t="inlineStr">
        <is>
          <t>ការបញ្ជាទិញនេះមិនមាននៅក្នុងបញ្ជីសងប្រាក់វិញទេ។</t>
        </is>
      </c>
      <c r="G621" s="3" t="n"/>
      <c r="H621" t="inlineStr">
        <is>
          <t>ការបញ្ជាទិញនេះមិនមាននៅក្នុងបញ្ជីសងប្រាក់វិញទេ។</t>
        </is>
      </c>
      <c r="I621" s="67" t="n"/>
      <c r="J621" s="67" t="n"/>
      <c r="K621" s="67" t="n"/>
      <c r="L621" s="67" t="n"/>
      <c r="M621" s="67" t="n"/>
      <c r="N621" s="67" t="n"/>
      <c r="O621" s="67" t="n"/>
      <c r="P621" s="67" t="n"/>
      <c r="Q621" s="67" t="n"/>
      <c r="R621" s="67" t="n"/>
      <c r="S621" s="67" t="n"/>
      <c r="T621" s="67" t="n"/>
      <c r="U621" s="67" t="n"/>
      <c r="V621" s="67" t="n"/>
      <c r="W621" s="67" t="n"/>
      <c r="X621" s="67" t="n"/>
      <c r="Y621" s="67" t="n"/>
      <c r="Z621" s="67" t="n"/>
      <c r="AA621" s="67" t="n"/>
      <c r="AB621" s="67" t="n"/>
    </row>
    <row r="622" ht="15.75" customHeight="1" s="305">
      <c r="A622" s="225" t="inlineStr">
        <is>
          <t>NOT_FORWARDING_STATUS</t>
        </is>
      </c>
      <c r="B622" s="67" t="inlineStr">
        <is>
          <t>Đơn không trong trạng thái chuyển tiếp, không được sửa</t>
        </is>
      </c>
      <c r="C622" s="67" t="inlineStr">
        <is>
          <t>The order is not in the forwarding status and cannot be modified</t>
        </is>
      </c>
      <c r="D622" s="3">
        <f>IFERROR(__xludf.DUMMYFUNCTION("GOOGLETRANSLATE(B622,""vi"",""km"")"),"ពាក្យសុំមិនកំពុងដំណើរការទេ ហើយមិនអាចកែសម្រួលបានទេ។")</f>
        <v/>
      </c>
      <c r="E622" s="3" t="inlineStr">
        <is>
          <t>បុងបញ្ញើ នេះមិនស្ថិតក្នុងស្ថានភាពបញ្ជូនបន្តទេ ហើយមិនអាចកែសម្រួលបានទេ</t>
        </is>
      </c>
      <c r="F622" s="3" t="inlineStr">
        <is>
          <t>ពាក្យសុំមិនកំពុងដំណើរការទេ ហើយមិនអាចកែសម្រួលបានទេ។</t>
        </is>
      </c>
      <c r="G622" s="3" t="n"/>
      <c r="H622" t="inlineStr">
        <is>
          <t>ពាក្យសុំមិនកំពុងដំណើរការទេ ហើយមិនអាចកែសម្រួលបានទេ។</t>
        </is>
      </c>
      <c r="I622" s="67" t="n"/>
      <c r="J622" s="67" t="n"/>
      <c r="K622" s="67" t="n"/>
      <c r="L622" s="67" t="n"/>
      <c r="M622" s="67" t="n"/>
      <c r="N622" s="67" t="n"/>
      <c r="O622" s="67" t="n"/>
      <c r="P622" s="67" t="n"/>
      <c r="Q622" s="67" t="n"/>
      <c r="R622" s="67" t="n"/>
      <c r="S622" s="67" t="n"/>
      <c r="T622" s="67" t="n"/>
      <c r="U622" s="67" t="n"/>
      <c r="V622" s="67" t="n"/>
      <c r="W622" s="67" t="n"/>
      <c r="X622" s="67" t="n"/>
      <c r="Y622" s="67" t="n"/>
      <c r="Z622" s="67" t="n"/>
      <c r="AA622" s="67" t="n"/>
      <c r="AB622" s="67" t="n"/>
    </row>
    <row r="623" ht="15.75" customHeight="1" s="305">
      <c r="A623" s="225" t="inlineStr">
        <is>
          <t>NOT_ALLOWS_PARTIAL_DELIVERY</t>
        </is>
      </c>
      <c r="B623" s="67" t="inlineStr">
        <is>
          <t>Đơn không trong trạng thái được phép yêu cầu giao một phần</t>
        </is>
      </c>
      <c r="C623" s="67" t="inlineStr">
        <is>
          <t>The order is not in a status that allows partial delivery requests</t>
        </is>
      </c>
      <c r="D623" s="3">
        <f>IFERROR(__xludf.DUMMYFUNCTION("GOOGLETRANSLATE(B623,""vi"",""km"")"),"ការបញ្ជាទិញនេះមិនស្ថិតក្នុងស្ថានភាពដែលការដឹកជញ្ជូនដោយផ្នែកត្រូវបានអនុញ្ញាតទេ។")</f>
        <v/>
      </c>
      <c r="E623" s="3" t="inlineStr">
        <is>
          <t>បុងបញ្ញើ នេះមិនស្ថិតក្នុងស្ថានភាពដែលសំណើដឹកជញ្ជូនដោយផ្នែកត្រូវបានអនុញ្ញាតទេ</t>
        </is>
      </c>
      <c r="F623" s="3" t="inlineStr">
        <is>
          <t>ការបញ្ជាទិញនេះមិនស្ថិតក្នុងស្ថានភាពដែលការដឹកជញ្ជូនដោយផ្នែកត្រូវបានអនុញ្ញាតទេ។</t>
        </is>
      </c>
      <c r="G623" s="3" t="n"/>
      <c r="H623" t="inlineStr">
        <is>
          <t>ការបញ្ជាទិញនេះមិនស្ថិតក្នុងស្ថានភាពដែលការដឹកជញ្ជូនដោយផ្នែកត្រូវបានអនុញ្ញាតទេ។</t>
        </is>
      </c>
      <c r="I623" s="67" t="n"/>
      <c r="J623" s="67" t="n"/>
      <c r="K623" s="67" t="n"/>
      <c r="L623" s="67" t="n"/>
      <c r="M623" s="67" t="n"/>
      <c r="N623" s="67" t="n"/>
      <c r="O623" s="67" t="n"/>
      <c r="P623" s="67" t="n"/>
      <c r="Q623" s="67" t="n"/>
      <c r="R623" s="67" t="n"/>
      <c r="S623" s="67" t="n"/>
      <c r="T623" s="67" t="n"/>
      <c r="U623" s="67" t="n"/>
      <c r="V623" s="67" t="n"/>
      <c r="W623" s="67" t="n"/>
      <c r="X623" s="67" t="n"/>
      <c r="Y623" s="67" t="n"/>
      <c r="Z623" s="67" t="n"/>
      <c r="AA623" s="67" t="n"/>
      <c r="AB623" s="67" t="n"/>
    </row>
    <row r="624" ht="15.75" customHeight="1" s="305">
      <c r="A624" s="225" t="inlineStr">
        <is>
          <t>NOT_PARTIAL_DELIVERY</t>
        </is>
      </c>
      <c r="B624" s="67" t="inlineStr">
        <is>
          <t>Đơn không có yêu cầu giao một phần</t>
        </is>
      </c>
      <c r="C624" s="67" t="inlineStr">
        <is>
          <t>The order does not have a partial delivery request</t>
        </is>
      </c>
      <c r="D624" s="3">
        <f>IFERROR(__xludf.DUMMYFUNCTION("GOOGLETRANSLATE(B624,""vi"",""km"")"),"ការបញ្ជាទិញមិនតម្រូវឱ្យមានការដឹកជញ្ជូនដោយផ្នែកទេ។")</f>
        <v/>
      </c>
      <c r="E624" s="3" t="inlineStr">
        <is>
          <t>បុងបញ្ញើនេះ មិនតម្រូវឱ្យមានការដឹកជញ្ជូនដោយផ្នែកទេ</t>
        </is>
      </c>
      <c r="F624" s="3" t="inlineStr">
        <is>
          <t>ការបញ្ជាទិញមិនតម្រូវឱ្យមានការដឹកជញ្ជូនដោយផ្នែកទេ។</t>
        </is>
      </c>
      <c r="G624" s="3" t="n"/>
      <c r="H624" t="inlineStr">
        <is>
          <t>ការបញ្ជាទិញមិនតម្រូវឱ្យមានការដឹកជញ្ជូនដោយផ្នែកទេ។</t>
        </is>
      </c>
      <c r="I624" s="67" t="n"/>
      <c r="J624" s="67" t="n"/>
      <c r="K624" s="67" t="n"/>
      <c r="L624" s="67" t="n"/>
      <c r="M624" s="67" t="n"/>
      <c r="N624" s="67" t="n"/>
      <c r="O624" s="67" t="n"/>
      <c r="P624" s="67" t="n"/>
      <c r="Q624" s="67" t="n"/>
      <c r="R624" s="67" t="n"/>
      <c r="S624" s="67" t="n"/>
      <c r="T624" s="67" t="n"/>
      <c r="U624" s="67" t="n"/>
      <c r="V624" s="67" t="n"/>
      <c r="W624" s="67" t="n"/>
      <c r="X624" s="67" t="n"/>
      <c r="Y624" s="67" t="n"/>
      <c r="Z624" s="67" t="n"/>
      <c r="AA624" s="67" t="n"/>
      <c r="AB624" s="67" t="n"/>
    </row>
    <row r="625" ht="15.75" customHeight="1" s="305">
      <c r="A625" s="225" t="inlineStr">
        <is>
          <t>PARTIAL_DELIVERY_CANCELED</t>
        </is>
      </c>
      <c r="B625" s="67" t="inlineStr">
        <is>
          <t>The partial delivery request has been canceled</t>
        </is>
      </c>
      <c r="C625" s="67" t="inlineStr">
        <is>
          <t>The partial delivery request has been canceled</t>
        </is>
      </c>
      <c r="D625" s="3">
        <f>IFERROR(__xludf.DUMMYFUNCTION("GOOGLETRANSLATE(B625,""vi"",""km"")"),"សំណើសុំដឹកជញ្ជូនដោយផ្នែកត្រូវបានលុបចោល")</f>
        <v/>
      </c>
      <c r="E625" s="3" t="inlineStr">
        <is>
          <t>សំណើដឹកជញ្ជូនដោយផ្នែកត្រូវបានលុបចោល</t>
        </is>
      </c>
      <c r="F625" s="3" t="inlineStr">
        <is>
          <t>សំណើសុំដឹកជញ្ជូនដោយផ្នែកត្រូវបានលុបចោល</t>
        </is>
      </c>
      <c r="G625" s="3" t="n"/>
      <c r="H625" t="inlineStr">
        <is>
          <t>សំណើសុំដឹកជញ្ជូនដោយផ្នែកត្រូវបានលុបចោល</t>
        </is>
      </c>
      <c r="I625" s="67" t="n"/>
      <c r="J625" s="67" t="n"/>
      <c r="K625" s="67" t="n"/>
      <c r="L625" s="67" t="n"/>
      <c r="M625" s="67" t="n"/>
      <c r="N625" s="67" t="n"/>
      <c r="O625" s="67" t="n"/>
      <c r="P625" s="67" t="n"/>
      <c r="Q625" s="67" t="n"/>
      <c r="R625" s="67" t="n"/>
      <c r="S625" s="67" t="n"/>
      <c r="T625" s="67" t="n"/>
      <c r="U625" s="67" t="n"/>
      <c r="V625" s="67" t="n"/>
      <c r="W625" s="67" t="n"/>
      <c r="X625" s="67" t="n"/>
      <c r="Y625" s="67" t="n"/>
      <c r="Z625" s="67" t="n"/>
      <c r="AA625" s="67" t="n"/>
      <c r="AB625" s="67" t="n"/>
    </row>
    <row r="626" ht="15.75" customHeight="1" s="305">
      <c r="A626" s="225" t="inlineStr">
        <is>
          <t>USER_NOT_EXISTS</t>
        </is>
      </c>
      <c r="B626" s="67" t="inlineStr">
        <is>
          <t>User không tồn tại</t>
        </is>
      </c>
      <c r="C626" s="67" t="inlineStr">
        <is>
          <t>The user does not exist</t>
        </is>
      </c>
      <c r="D626" s="3">
        <f>IFERROR(__xludf.DUMMYFUNCTION("GOOGLETRANSLATE(B626,""vi"",""km"")"),"អ្នកប្រើប្រាស់មិនមានទេ។")</f>
        <v/>
      </c>
      <c r="E626" s="3" t="inlineStr">
        <is>
          <t>អ្នកប្រើប្រាស់មិនមាន</t>
        </is>
      </c>
      <c r="F626" s="3" t="inlineStr">
        <is>
          <t>អ្នកប្រើប្រាស់មិនមានទេ។</t>
        </is>
      </c>
      <c r="G626" s="3" t="n"/>
      <c r="H626" t="inlineStr">
        <is>
          <t>អ្នកប្រើប្រាស់មិនមានទេ។</t>
        </is>
      </c>
      <c r="I626" s="67" t="n"/>
      <c r="J626" s="67" t="n"/>
      <c r="K626" s="67" t="n"/>
      <c r="L626" s="67" t="n"/>
      <c r="M626" s="67" t="n"/>
      <c r="N626" s="67" t="n"/>
      <c r="O626" s="67" t="n"/>
      <c r="P626" s="67" t="n"/>
      <c r="Q626" s="67" t="n"/>
      <c r="R626" s="67" t="n"/>
      <c r="S626" s="67" t="n"/>
      <c r="T626" s="67" t="n"/>
      <c r="U626" s="67" t="n"/>
      <c r="V626" s="67" t="n"/>
      <c r="W626" s="67" t="n"/>
      <c r="X626" s="67" t="n"/>
      <c r="Y626" s="67" t="n"/>
      <c r="Z626" s="67" t="n"/>
      <c r="AA626" s="67" t="n"/>
      <c r="AB626" s="67" t="n"/>
    </row>
    <row r="627" ht="15.75" customHeight="1" s="305">
      <c r="A627" s="225" t="inlineStr">
        <is>
          <t>USER_EXISTS</t>
        </is>
      </c>
      <c r="B627" s="67" t="inlineStr">
        <is>
          <t>The user is already exist</t>
        </is>
      </c>
      <c r="C627" s="67" t="inlineStr">
        <is>
          <t>The user is already exist</t>
        </is>
      </c>
      <c r="D627" s="3">
        <f>IFERROR(__xludf.DUMMYFUNCTION("GOOGLETRANSLATE(B627,""vi"",""km"")"),"អ្នកប្រើប្រាស់មានរួចហើយ")</f>
        <v/>
      </c>
      <c r="E627" s="3" t="inlineStr">
        <is>
          <t>អ្នកប្រើប្រាស់មានរួចហើយ</t>
        </is>
      </c>
      <c r="F627" s="3" t="inlineStr">
        <is>
          <t>អ្នកប្រើប្រាស់មានរួចហើយ</t>
        </is>
      </c>
      <c r="G627" s="3" t="n"/>
      <c r="H627" t="inlineStr">
        <is>
          <t>អ្នកប្រើប្រាស់មានរួចហើយ</t>
        </is>
      </c>
      <c r="I627" s="67" t="n"/>
      <c r="J627" s="67" t="n"/>
      <c r="K627" s="67" t="n"/>
      <c r="L627" s="67" t="n"/>
      <c r="M627" s="67" t="n"/>
      <c r="N627" s="67" t="n"/>
      <c r="O627" s="67" t="n"/>
      <c r="P627" s="67" t="n"/>
      <c r="Q627" s="67" t="n"/>
      <c r="R627" s="67" t="n"/>
      <c r="S627" s="67" t="n"/>
      <c r="T627" s="67" t="n"/>
      <c r="U627" s="67" t="n"/>
      <c r="V627" s="67" t="n"/>
      <c r="W627" s="67" t="n"/>
      <c r="X627" s="67" t="n"/>
      <c r="Y627" s="67" t="n"/>
      <c r="Z627" s="67" t="n"/>
      <c r="AA627" s="67" t="n"/>
      <c r="AB627" s="67" t="n"/>
    </row>
    <row r="628" ht="15.75" customHeight="1" s="305">
      <c r="A628" s="225" t="inlineStr">
        <is>
          <t>ASSIGMENT_NOT_EXIST</t>
        </is>
      </c>
      <c r="B628" s="67" t="inlineStr">
        <is>
          <t>Phiên phân công không tồn tại</t>
        </is>
      </c>
      <c r="C628" s="67" t="inlineStr">
        <is>
          <t>The assignment session does not exist</t>
        </is>
      </c>
      <c r="D628" s="3">
        <f>IFERROR(__xludf.DUMMYFUNCTION("GOOGLETRANSLATE(B628,""vi"",""km"")"),"វគ្គ​ចាត់តាំង​មិនមានទេ។")</f>
        <v/>
      </c>
      <c r="E628" s="3" t="n"/>
      <c r="F628" s="3" t="inlineStr">
        <is>
          <t>វគ្គចាត់តាំងមិនមានទេ។</t>
        </is>
      </c>
      <c r="G628" s="3" t="n"/>
      <c r="H628" t="inlineStr">
        <is>
          <t>វគ្គចាត់តាំងមិនមានទេ។</t>
        </is>
      </c>
      <c r="I628" s="67" t="n"/>
      <c r="J628" s="67" t="n"/>
      <c r="K628" s="67" t="n"/>
      <c r="L628" s="67" t="n"/>
      <c r="M628" s="67" t="n"/>
      <c r="N628" s="67" t="n"/>
      <c r="O628" s="67" t="n"/>
      <c r="P628" s="67" t="n"/>
      <c r="Q628" s="67" t="n"/>
      <c r="R628" s="67" t="n"/>
      <c r="S628" s="67" t="n"/>
      <c r="T628" s="67" t="n"/>
      <c r="U628" s="67" t="n"/>
      <c r="V628" s="67" t="n"/>
      <c r="W628" s="67" t="n"/>
      <c r="X628" s="67" t="n"/>
      <c r="Y628" s="67" t="n"/>
      <c r="Z628" s="67" t="n"/>
      <c r="AA628" s="67" t="n"/>
      <c r="AB628" s="67" t="n"/>
    </row>
    <row r="629" ht="15.75" customHeight="1" s="305">
      <c r="A629" s="225" t="inlineStr">
        <is>
          <t>ASSIGMENT_ENDED</t>
        </is>
      </c>
      <c r="B629" s="67" t="inlineStr">
        <is>
          <t>Phiên phân công đã kết thúc</t>
        </is>
      </c>
      <c r="C629" s="67" t="inlineStr">
        <is>
          <t>The assignment session has ended</t>
        </is>
      </c>
      <c r="D629" s="3">
        <f>IFERROR(__xludf.DUMMYFUNCTION("GOOGLETRANSLATE(B629,""vi"",""km"")"),"វគ្គ​ប្រគល់​ភារកិច្ច​បាន​បញ្ចប់​ហើយ។")</f>
        <v/>
      </c>
      <c r="E629" s="3" t="n"/>
      <c r="F629" s="3" t="inlineStr">
        <is>
          <t>វគ្គប្រគល់ភារកិច្ចបានបញ្ចប់ហើយ។</t>
        </is>
      </c>
      <c r="G629" s="3" t="n"/>
      <c r="H629" t="inlineStr">
        <is>
          <t>វគ្គប្រគល់ភារកិច្ចបានបញ្ចប់ហើយ។</t>
        </is>
      </c>
      <c r="I629" s="67" t="n"/>
      <c r="J629" s="67" t="n"/>
      <c r="K629" s="67" t="n"/>
      <c r="L629" s="67" t="n"/>
      <c r="M629" s="67" t="n"/>
      <c r="N629" s="67" t="n"/>
      <c r="O629" s="67" t="n"/>
      <c r="P629" s="67" t="n"/>
      <c r="Q629" s="67" t="n"/>
      <c r="R629" s="67" t="n"/>
      <c r="S629" s="67" t="n"/>
      <c r="T629" s="67" t="n"/>
      <c r="U629" s="67" t="n"/>
      <c r="V629" s="67" t="n"/>
      <c r="W629" s="67" t="n"/>
      <c r="X629" s="67" t="n"/>
      <c r="Y629" s="67" t="n"/>
      <c r="Z629" s="67" t="n"/>
      <c r="AA629" s="67" t="n"/>
      <c r="AB629" s="67" t="n"/>
    </row>
    <row r="630" ht="15.75" customHeight="1" s="305">
      <c r="A630" s="225" t="inlineStr">
        <is>
          <t>ASSIGMENT_COMPLETED</t>
        </is>
      </c>
      <c r="B630" s="67" t="inlineStr">
        <is>
          <t>Phiên phân công đã hoàn thành</t>
        </is>
      </c>
      <c r="C630" s="67" t="inlineStr">
        <is>
          <t>The assignment session has been completed</t>
        </is>
      </c>
      <c r="D630" s="3">
        <f>IFERROR(__xludf.DUMMYFUNCTION("GOOGLETRANSLATE(B630,""vi"",""km"")"),"វគ្គ​ប្រគល់​ភារកិច្ច​ត្រូវ​បាន​បញ្ចប់។")</f>
        <v/>
      </c>
      <c r="E630" s="3" t="n"/>
      <c r="F630" s="3" t="inlineStr">
        <is>
          <t>វគ្គប្រគល់ភារកិច្ចត្រូវបានបញ្ចប់។</t>
        </is>
      </c>
      <c r="G630" s="3" t="n"/>
      <c r="H630" t="inlineStr">
        <is>
          <t>វគ្គប្រគល់ភារកិច្ចត្រូវបានបញ្ចប់។</t>
        </is>
      </c>
      <c r="I630" s="67" t="n"/>
      <c r="J630" s="67" t="n"/>
      <c r="K630" s="67" t="n"/>
      <c r="L630" s="67" t="n"/>
      <c r="M630" s="67" t="n"/>
      <c r="N630" s="67" t="n"/>
      <c r="O630" s="67" t="n"/>
      <c r="P630" s="67" t="n"/>
      <c r="Q630" s="67" t="n"/>
      <c r="R630" s="67" t="n"/>
      <c r="S630" s="67" t="n"/>
      <c r="T630" s="67" t="n"/>
      <c r="U630" s="67" t="n"/>
      <c r="V630" s="67" t="n"/>
      <c r="W630" s="67" t="n"/>
      <c r="X630" s="67" t="n"/>
      <c r="Y630" s="67" t="n"/>
      <c r="Z630" s="67" t="n"/>
      <c r="AA630" s="67" t="n"/>
      <c r="AB630" s="67" t="n"/>
    </row>
    <row r="631" ht="15.75" customHeight="1" s="305">
      <c r="A631" s="225" t="inlineStr">
        <is>
          <t>ASSIGMENT_NOT_COMPLETED</t>
        </is>
      </c>
      <c r="B631" s="67" t="inlineStr">
        <is>
          <t>Phiên phân công chưa hoàn thành</t>
        </is>
      </c>
      <c r="C631" s="67" t="inlineStr">
        <is>
          <t>The assignment session does not complete</t>
        </is>
      </c>
      <c r="D631" s="3">
        <f>IFERROR(__xludf.DUMMYFUNCTION("GOOGLETRANSLATE(B631,""vi"",""km"")"),"វគ្គ​ប្រគល់​ភារកិច្ច​មិនទាន់​ចប់​នៅឡើយ​ទេ។")</f>
        <v/>
      </c>
      <c r="E631" s="3" t="n"/>
      <c r="F631" s="3" t="inlineStr">
        <is>
          <t>វគ្គប្រគល់ភារកិច្ចមិនទាន់ចប់នៅឡើយទេ។</t>
        </is>
      </c>
      <c r="G631" s="3" t="n"/>
      <c r="H631" t="inlineStr">
        <is>
          <t>វគ្គប្រគល់ភារកិច្ចមិនទាន់ចប់នៅឡើយទេ។</t>
        </is>
      </c>
      <c r="I631" s="67" t="n"/>
      <c r="J631" s="67" t="n"/>
      <c r="K631" s="67" t="n"/>
      <c r="L631" s="67" t="n"/>
      <c r="M631" s="67" t="n"/>
      <c r="N631" s="67" t="n"/>
      <c r="O631" s="67" t="n"/>
      <c r="P631" s="67" t="n"/>
      <c r="Q631" s="67" t="n"/>
      <c r="R631" s="67" t="n"/>
      <c r="S631" s="67" t="n"/>
      <c r="T631" s="67" t="n"/>
      <c r="U631" s="67" t="n"/>
      <c r="V631" s="67" t="n"/>
      <c r="W631" s="67" t="n"/>
      <c r="X631" s="67" t="n"/>
      <c r="Y631" s="67" t="n"/>
      <c r="Z631" s="67" t="n"/>
      <c r="AA631" s="67" t="n"/>
      <c r="AB631" s="67" t="n"/>
    </row>
    <row r="632" ht="15.75" customHeight="1" s="305">
      <c r="A632" s="225" t="inlineStr">
        <is>
          <t>ASSIGMENT_EMPTY</t>
        </is>
      </c>
      <c r="B632" s="67" t="inlineStr">
        <is>
          <t>Phiên phân công rỗng, thêm đơn để hoàn thành</t>
        </is>
      </c>
      <c r="C632" s="67" t="inlineStr">
        <is>
          <t>Empty assignment session, add orders to complete</t>
        </is>
      </c>
      <c r="D632" s="3">
        <f>IFERROR(__xludf.DUMMYFUNCTION("GOOGLETRANSLATE(B632,""vi"",""km"")"),"វគ្គ​កិច្ចការ​គឺ​ទទេ។ សូម​បន្ថែម​លំដាប់​មួយ​ទៀត​ដើម្បី​បំពេញ​វា។")</f>
        <v/>
      </c>
      <c r="E632" s="3" t="n"/>
      <c r="F632" s="3" t="inlineStr">
        <is>
          <t>វគ្គកិច្ចការគឺទទេ។ សូមបន្ថែមលំដាប់មួយទៀតដើម្បីបំពេញវា។</t>
        </is>
      </c>
      <c r="G632" s="3" t="n"/>
      <c r="H632" t="inlineStr">
        <is>
          <t>វគ្គកិច្ចការគឺទទេ។ សូមបន្ថែមលំដាប់មួយទៀតដើម្បីបំពេញវា។</t>
        </is>
      </c>
      <c r="I632" s="67" t="n"/>
      <c r="J632" s="67" t="n"/>
      <c r="K632" s="67" t="n"/>
      <c r="L632" s="67" t="n"/>
      <c r="M632" s="67" t="n"/>
      <c r="N632" s="67" t="n"/>
      <c r="O632" s="67" t="n"/>
      <c r="P632" s="67" t="n"/>
      <c r="Q632" s="67" t="n"/>
      <c r="R632" s="67" t="n"/>
      <c r="S632" s="67" t="n"/>
      <c r="T632" s="67" t="n"/>
      <c r="U632" s="67" t="n"/>
      <c r="V632" s="67" t="n"/>
      <c r="W632" s="67" t="n"/>
      <c r="X632" s="67" t="n"/>
      <c r="Y632" s="67" t="n"/>
      <c r="Z632" s="67" t="n"/>
      <c r="AA632" s="67" t="n"/>
      <c r="AB632" s="67" t="n"/>
    </row>
    <row r="633" ht="15.75" customHeight="1" s="305">
      <c r="A633" s="225" t="inlineStr">
        <is>
          <t>ORDER_NOT_EXIST</t>
        </is>
      </c>
      <c r="B633" s="67" t="inlineStr">
        <is>
          <t>Đơn không tồn tại</t>
        </is>
      </c>
      <c r="C633" s="67" t="inlineStr">
        <is>
          <t>The order is not exist</t>
        </is>
      </c>
      <c r="D633" s="3">
        <f>IFERROR(__xludf.DUMMYFUNCTION("GOOGLETRANSLATE(B633,""vi"",""km"")"),"កម្មវិធី​នេះ​មិន​មាន​ទេ។")</f>
        <v/>
      </c>
      <c r="E633" s="67" t="inlineStr">
        <is>
          <t>បុងបញ្ញើមិនមាន</t>
        </is>
      </c>
      <c r="F633" s="3" t="inlineStr">
        <is>
          <t>កម្មវិធីនេះមិនមានទេ។</t>
        </is>
      </c>
      <c r="G633" s="3" t="n"/>
      <c r="H633" t="inlineStr">
        <is>
          <t>កម្មវិធីនេះមិនមានទេ។</t>
        </is>
      </c>
      <c r="I633" s="67" t="n"/>
      <c r="J633" s="67" t="n"/>
      <c r="K633" s="67" t="n"/>
      <c r="L633" s="67" t="n"/>
      <c r="M633" s="67" t="n"/>
      <c r="N633" s="67" t="n"/>
      <c r="O633" s="67" t="n"/>
      <c r="P633" s="67" t="n"/>
      <c r="Q633" s="67" t="n"/>
      <c r="R633" s="67" t="n"/>
      <c r="S633" s="67" t="n"/>
      <c r="T633" s="67" t="n"/>
      <c r="U633" s="67" t="n"/>
      <c r="V633" s="67" t="n"/>
      <c r="W633" s="67" t="n"/>
      <c r="X633" s="67" t="n"/>
      <c r="Y633" s="67" t="n"/>
      <c r="Z633" s="67" t="n"/>
      <c r="AA633" s="67" t="n"/>
      <c r="AB633" s="67" t="n"/>
    </row>
    <row r="634" ht="15.75" customHeight="1" s="305">
      <c r="A634" s="225" t="inlineStr">
        <is>
          <t>NOT_ALLOWED_ASSIGNED</t>
        </is>
      </c>
      <c r="B634" s="67" t="inlineStr">
        <is>
          <t>Đơn không được phép phân công (trạng thái không hợp lệ)</t>
        </is>
      </c>
      <c r="C634" s="67" t="inlineStr">
        <is>
          <t>The order is not allowed to be assigned</t>
        </is>
      </c>
      <c r="D634" s="3">
        <f>IFERROR(__xludf.DUMMYFUNCTION("GOOGLETRANSLATE(B634,""vi"",""km"")"),"ពាក្យសុំមិនត្រូវបានអនុម័តសម្រាប់ការចាត់តាំងទេ (ស្ថានភាពមិនត្រឹមត្រូវ)។")</f>
        <v/>
      </c>
      <c r="E634" s="3" t="inlineStr">
        <is>
          <t>បុុងបញ្ញើមិនអនុញ្ញាត្តិបែងចែកទេ (ស្ថានភាពមិនត្រឹមត្រូវ)</t>
        </is>
      </c>
      <c r="F634" s="3" t="inlineStr">
        <is>
          <t>ពាក្យសុំមិនត្រូវបានអនុម័តសម្រាប់ការចាត់តាំងទេ (ស្ថានភាពមិនត្រឹមត្រូវ)។</t>
        </is>
      </c>
      <c r="G634" s="3" t="n"/>
      <c r="H634" t="inlineStr">
        <is>
          <t>ពាក្យសុំមិនត្រូវបានអនុម័តសម្រាប់ការចាត់តាំងទេ (ស្ថានភាពមិនត្រឹមត្រូវ)។</t>
        </is>
      </c>
      <c r="I634" s="67" t="n"/>
      <c r="J634" s="67" t="n"/>
      <c r="K634" s="67" t="n"/>
      <c r="L634" s="67" t="n"/>
      <c r="M634" s="67" t="n"/>
      <c r="N634" s="67" t="n"/>
      <c r="O634" s="67" t="n"/>
      <c r="P634" s="67" t="n"/>
      <c r="Q634" s="67" t="n"/>
      <c r="R634" s="67" t="n"/>
      <c r="S634" s="67" t="n"/>
      <c r="T634" s="67" t="n"/>
      <c r="U634" s="67" t="n"/>
      <c r="V634" s="67" t="n"/>
      <c r="W634" s="67" t="n"/>
      <c r="X634" s="67" t="n"/>
      <c r="Y634" s="67" t="n"/>
      <c r="Z634" s="67" t="n"/>
      <c r="AA634" s="67" t="n"/>
      <c r="AB634" s="67" t="n"/>
    </row>
    <row r="635" ht="15.75" customHeight="1" s="305">
      <c r="A635" s="225" t="inlineStr">
        <is>
          <t>ASSIGNED_TO_SOMEONE</t>
        </is>
      </c>
      <c r="B635" s="3" t="n"/>
      <c r="C635" s="3" t="n"/>
      <c r="D635" s="3">
        <f>IFERROR(__xludf.DUMMYFUNCTION("GOOGLETRANSLATE(B635,""vi"",""km"")"),"#VALUE!")</f>
        <v/>
      </c>
      <c r="E635" s="3" t="n"/>
      <c r="F635" s="3" t="inlineStr"/>
      <c r="G635" s="3" t="n"/>
      <c r="H635" t="inlineStr"/>
      <c r="I635" s="67" t="n"/>
      <c r="J635" s="67" t="n"/>
      <c r="K635" s="67" t="n"/>
      <c r="L635" s="67" t="n"/>
      <c r="M635" s="67" t="n"/>
      <c r="N635" s="67" t="n"/>
      <c r="O635" s="67" t="n"/>
      <c r="P635" s="67" t="n"/>
      <c r="Q635" s="67" t="n"/>
      <c r="R635" s="67" t="n"/>
      <c r="S635" s="67" t="n"/>
      <c r="T635" s="67" t="n"/>
      <c r="U635" s="67" t="n"/>
      <c r="V635" s="67" t="n"/>
      <c r="W635" s="67" t="n"/>
      <c r="X635" s="67" t="n"/>
      <c r="Y635" s="67" t="n"/>
      <c r="Z635" s="67" t="n"/>
      <c r="AA635" s="67" t="n"/>
      <c r="AB635" s="67" t="n"/>
    </row>
    <row r="636" ht="15.75" customHeight="1" s="305">
      <c r="A636" s="225" t="inlineStr">
        <is>
          <t>ADDED_TO_ASSIGNMENT</t>
        </is>
      </c>
      <c r="B636" s="67" t="inlineStr">
        <is>
          <t>Đơn đã được thêm vào lượt phân công</t>
        </is>
      </c>
      <c r="C636" s="67" t="inlineStr">
        <is>
          <t>The order has been added to the assignment list</t>
        </is>
      </c>
      <c r="D636" s="3">
        <f>IFERROR(__xludf.DUMMYFUNCTION("GOOGLETRANSLATE(B636,""vi"",""km"")"),"ការបញ្ជាទិញត្រូវបានបន្ថែមទៅក្នុងបញ្ជីកិច្ចការ។")</f>
        <v/>
      </c>
      <c r="E636" s="3" t="inlineStr">
        <is>
          <t>បុងបញ្ញើ ត្រូវបានបន្ថែមទៅក្នុងបញ្ជីបែងចែកការងារ</t>
        </is>
      </c>
      <c r="F636" s="3" t="inlineStr">
        <is>
          <t>ការបញ្ជាទិញត្រូវបានបន្ថែមទៅក្នុងបញ្ជីកិច្ចការ។</t>
        </is>
      </c>
      <c r="G636" s="3" t="n"/>
      <c r="H636" t="inlineStr">
        <is>
          <t>ការបញ្ជាទិញត្រូវបានបន្ថែមទៅក្នុងបញ្ជីកិច្ចការ។</t>
        </is>
      </c>
      <c r="I636" s="67" t="n"/>
      <c r="J636" s="67" t="n"/>
      <c r="K636" s="67" t="n"/>
      <c r="L636" s="67" t="n"/>
      <c r="M636" s="67" t="n"/>
      <c r="N636" s="67" t="n"/>
      <c r="O636" s="67" t="n"/>
      <c r="P636" s="67" t="n"/>
      <c r="Q636" s="67" t="n"/>
      <c r="R636" s="67" t="n"/>
      <c r="S636" s="67" t="n"/>
      <c r="T636" s="67" t="n"/>
      <c r="U636" s="67" t="n"/>
      <c r="V636" s="67" t="n"/>
      <c r="W636" s="67" t="n"/>
      <c r="X636" s="67" t="n"/>
      <c r="Y636" s="67" t="n"/>
      <c r="Z636" s="67" t="n"/>
      <c r="AA636" s="67" t="n"/>
      <c r="AB636" s="67" t="n"/>
    </row>
    <row r="637" ht="15.75" customHeight="1" s="305">
      <c r="A637" s="225" t="inlineStr">
        <is>
          <t>ORDER_HAS_CONFIRMED</t>
        </is>
      </c>
      <c r="B637" s="67" t="inlineStr">
        <is>
          <t>Đơn đã xác nhận</t>
        </is>
      </c>
      <c r="C637" s="67" t="inlineStr">
        <is>
          <t>The order has been confirmed</t>
        </is>
      </c>
      <c r="D637" s="3">
        <f>IFERROR(__xludf.DUMMYFUNCTION("GOOGLETRANSLATE(B637,""vi"",""km"")"),"ការបញ្ជាទិញត្រូវបានបញ្ជាក់។")</f>
        <v/>
      </c>
      <c r="E637" s="3" t="inlineStr">
        <is>
          <t>បុងបញ្ញើ ត្រូវបានបញ្ជាក់</t>
        </is>
      </c>
      <c r="F637" s="3" t="inlineStr">
        <is>
          <t>ការបញ្ជាទិញត្រូវបានបញ្ជាក់។</t>
        </is>
      </c>
      <c r="G637" s="3" t="n"/>
      <c r="H637" t="inlineStr">
        <is>
          <t>ការបញ្ជាទិញត្រូវបានបញ្ជាក់។</t>
        </is>
      </c>
      <c r="I637" s="67" t="n"/>
      <c r="J637" s="67" t="n"/>
      <c r="K637" s="67" t="n"/>
      <c r="L637" s="67" t="n"/>
      <c r="M637" s="67" t="n"/>
      <c r="N637" s="67" t="n"/>
      <c r="O637" s="67" t="n"/>
      <c r="P637" s="67" t="n"/>
      <c r="Q637" s="67" t="n"/>
      <c r="R637" s="67" t="n"/>
      <c r="S637" s="67" t="n"/>
      <c r="T637" s="67" t="n"/>
      <c r="U637" s="67" t="n"/>
      <c r="V637" s="67" t="n"/>
      <c r="W637" s="67" t="n"/>
      <c r="X637" s="67" t="n"/>
      <c r="Y637" s="67" t="n"/>
      <c r="Z637" s="67" t="n"/>
      <c r="AA637" s="67" t="n"/>
      <c r="AB637" s="67" t="n"/>
    </row>
    <row r="638" ht="15.75" customHeight="1" s="305">
      <c r="A638" s="225" t="inlineStr">
        <is>
          <t>NO_ORDERS_IN_ASSIGMENT</t>
        </is>
      </c>
      <c r="B638" s="67" t="inlineStr">
        <is>
          <t>Không có đơn trong lượt phân công</t>
        </is>
      </c>
      <c r="C638" s="67" t="inlineStr">
        <is>
          <t>No orders in the assignment list</t>
        </is>
      </c>
      <c r="D638" s="3">
        <f>IFERROR(__xludf.DUMMYFUNCTION("GOOGLETRANSLATE(B638,""vi"",""km"")"),"គ្មានការបញ្ជាទិញនៅក្នុងជុំនៃការចាត់តាំងទេ។")</f>
        <v/>
      </c>
      <c r="E638" s="3" t="inlineStr">
        <is>
          <t>មិនមានបុងបញ្ញើ នៅក្នុងបញ្ជីបែងចែកការងារទេ</t>
        </is>
      </c>
      <c r="F638" s="3" t="inlineStr">
        <is>
          <t>គ្មានការបញ្ជាទិញនៅក្នុងជុំនៃការចាត់តាំងទេ។</t>
        </is>
      </c>
      <c r="G638" s="3" t="n"/>
      <c r="H638" t="inlineStr">
        <is>
          <t>គ្មានការបញ្ជាទិញនៅក្នុងជុំនៃការចាត់តាំងទេ។</t>
        </is>
      </c>
      <c r="I638" s="67" t="n"/>
      <c r="J638" s="67" t="n"/>
      <c r="K638" s="67" t="n"/>
      <c r="L638" s="67" t="n"/>
      <c r="M638" s="67" t="n"/>
      <c r="N638" s="67" t="n"/>
      <c r="O638" s="67" t="n"/>
      <c r="P638" s="67" t="n"/>
      <c r="Q638" s="67" t="n"/>
      <c r="R638" s="67" t="n"/>
      <c r="S638" s="67" t="n"/>
      <c r="T638" s="67" t="n"/>
      <c r="U638" s="67" t="n"/>
      <c r="V638" s="67" t="n"/>
      <c r="W638" s="67" t="n"/>
      <c r="X638" s="67" t="n"/>
      <c r="Y638" s="67" t="n"/>
      <c r="Z638" s="67" t="n"/>
      <c r="AA638" s="67" t="n"/>
      <c r="AB638" s="67" t="n"/>
    </row>
    <row r="639" ht="15.75" customHeight="1" s="305">
      <c r="A639" s="225" t="inlineStr">
        <is>
          <t>NOT_ALLOWED_TRANSFERRED</t>
        </is>
      </c>
      <c r="B639" s="67" t="inlineStr">
        <is>
          <t>Đơn không được phép chuyển phân công</t>
        </is>
      </c>
      <c r="C639" s="67" t="inlineStr">
        <is>
          <t>The order is not allowed to be transferred (returned, forwarded)</t>
        </is>
      </c>
      <c r="D639" s="3">
        <f>IFERROR(__xludf.DUMMYFUNCTION("GOOGLETRANSLATE(B639,""vi"",""km"")"),"ការបញ្ជាទិញមិនអាចផ្ទេរបានទេ។")</f>
        <v/>
      </c>
      <c r="E639" s="3" t="inlineStr">
        <is>
          <t>បុងបញ្ញើ មិនអាចផ្ទេរបានទេ</t>
        </is>
      </c>
      <c r="F639" s="3" t="inlineStr">
        <is>
          <t>ការបញ្ជាទិញមិនអាចផ្ទេរបានទេ។</t>
        </is>
      </c>
      <c r="G639" s="3" t="n"/>
      <c r="H639" t="inlineStr">
        <is>
          <t>ការបញ្ជាទិញមិនអាចផ្ទេរបានទេ។</t>
        </is>
      </c>
      <c r="I639" s="67" t="n"/>
      <c r="J639" s="67" t="n"/>
      <c r="K639" s="67" t="n"/>
      <c r="L639" s="67" t="n"/>
      <c r="M639" s="67" t="n"/>
      <c r="N639" s="67" t="n"/>
      <c r="O639" s="67" t="n"/>
      <c r="P639" s="67" t="n"/>
      <c r="Q639" s="67" t="n"/>
      <c r="R639" s="67" t="n"/>
      <c r="S639" s="67" t="n"/>
      <c r="T639" s="67" t="n"/>
      <c r="U639" s="67" t="n"/>
      <c r="V639" s="67" t="n"/>
      <c r="W639" s="67" t="n"/>
      <c r="X639" s="67" t="n"/>
      <c r="Y639" s="67" t="n"/>
      <c r="Z639" s="67" t="n"/>
      <c r="AA639" s="67" t="n"/>
      <c r="AB639" s="67" t="n"/>
    </row>
    <row r="640" ht="15.75" customHeight="1" s="305">
      <c r="A640" s="225" t="inlineStr">
        <is>
          <t>MUST_DIFFERENT_EMPLOYEE</t>
        </is>
      </c>
      <c r="B640" s="67" t="inlineStr">
        <is>
          <t>Nhân viên chuyển pc phải khác nhân viên hiện tại</t>
        </is>
      </c>
      <c r="C640" s="67" t="inlineStr">
        <is>
          <t>The employee handling the transfer must be different from the current employee</t>
        </is>
      </c>
      <c r="D640" s="3">
        <f>IFERROR(__xludf.DUMMYFUNCTION("GOOGLETRANSLATE(B640,""vi"",""km"")"),"បុគ្គលិកដែលផ្លាស់ទីកុំព្យូទ័រត្រូវតែជាបុគ្គលិកផ្សេងពីបុគ្គលិកបច្ចុប្បន្ន។")</f>
        <v/>
      </c>
      <c r="E640" s="3" t="inlineStr">
        <is>
          <t>បុគ្គលិកដែលផ្ទេរបុងបញ្ញើ ត្រូវតែជាបុគ្គលិកផ្សេងពីបុគ្គលិកបច្ចុប្បន្ន</t>
        </is>
      </c>
      <c r="F640" s="3" t="inlineStr">
        <is>
          <t>បុគ្គលិកដែលផ្លាស់ទីកុំព្យូទ័រត្រូវតែជាបុគ្គលិកផ្សេងពីបុគ្គលិកបច្ចុប្បន្ន។</t>
        </is>
      </c>
      <c r="G640" s="3" t="n"/>
      <c r="H640" t="inlineStr">
        <is>
          <t>បុគ្គលិកដែលផ្លាស់ទីកុំព្យូទ័រត្រូវតែជាបុគ្គលិកផ្សេងពីបុគ្គលិកបច្ចុប្បន្ន។</t>
        </is>
      </c>
      <c r="I640" s="67" t="n"/>
      <c r="J640" s="67" t="n"/>
      <c r="K640" s="67" t="n"/>
      <c r="L640" s="67" t="n"/>
      <c r="M640" s="67" t="n"/>
      <c r="N640" s="67" t="n"/>
      <c r="O640" s="67" t="n"/>
      <c r="P640" s="67" t="n"/>
      <c r="Q640" s="67" t="n"/>
      <c r="R640" s="67" t="n"/>
      <c r="S640" s="67" t="n"/>
      <c r="T640" s="67" t="n"/>
      <c r="U640" s="67" t="n"/>
      <c r="V640" s="67" t="n"/>
      <c r="W640" s="67" t="n"/>
      <c r="X640" s="67" t="n"/>
      <c r="Y640" s="67" t="n"/>
      <c r="Z640" s="67" t="n"/>
      <c r="AA640" s="67" t="n"/>
      <c r="AB640" s="67" t="n"/>
    </row>
    <row r="641" ht="15.75" customHeight="1" s="305">
      <c r="A641" s="225" t="inlineStr">
        <is>
          <t>ORDER_NOT_PICKUP</t>
        </is>
      </c>
      <c r="B641" s="67" t="inlineStr">
        <is>
          <t>Đơn chưa được nhập doanh thu</t>
        </is>
      </c>
      <c r="C641" s="67" t="inlineStr">
        <is>
          <t>The order has not been picked up yet</t>
        </is>
      </c>
      <c r="D641" s="3">
        <f>IFERROR(__xludf.DUMMYFUNCTION("GOOGLETRANSLATE(B641,""vi"",""km"")"),"ការបញ្ជាទិញនេះមិនទាន់មានប្រាក់ចំណូលរបស់ខ្លួនត្រូវបានកត់ត្រានៅឡើយទេ។")</f>
        <v/>
      </c>
      <c r="E641" s="3" t="inlineStr">
        <is>
          <t>បុងបញ្ញើ មិនត្រូវបានបញ្ចូលជាមួយប្រាក់ចំណូលទេ</t>
        </is>
      </c>
      <c r="F641" s="3" t="inlineStr">
        <is>
          <t>ការបញ្ជាទិញនេះមិនទាន់មានប្រាក់ចំណូលរបស់ខ្លួនត្រូវបានកត់ត្រានៅឡើយទេ។</t>
        </is>
      </c>
      <c r="G641" s="3" t="n"/>
      <c r="H641" t="inlineStr">
        <is>
          <t>ការបញ្ជាទិញនេះមិនទាន់មានប្រាក់ចំណូលរបស់ខ្លួនត្រូវបានកត់ត្រានៅឡើយទេ។</t>
        </is>
      </c>
      <c r="I641" s="67" t="n"/>
      <c r="J641" s="67" t="n"/>
      <c r="K641" s="67" t="n"/>
      <c r="L641" s="67" t="n"/>
      <c r="M641" s="67" t="n"/>
      <c r="N641" s="67" t="n"/>
      <c r="O641" s="67" t="n"/>
      <c r="P641" s="67" t="n"/>
      <c r="Q641" s="67" t="n"/>
      <c r="R641" s="67" t="n"/>
      <c r="S641" s="67" t="n"/>
      <c r="T641" s="67" t="n"/>
      <c r="U641" s="67" t="n"/>
      <c r="V641" s="67" t="n"/>
      <c r="W641" s="67" t="n"/>
      <c r="X641" s="67" t="n"/>
      <c r="Y641" s="67" t="n"/>
      <c r="Z641" s="67" t="n"/>
      <c r="AA641" s="67" t="n"/>
      <c r="AB641" s="67" t="n"/>
    </row>
    <row r="642" ht="15.75" customHeight="1" s="305">
      <c r="A642" s="225" t="inlineStr">
        <is>
          <t>CUSTOMER_NOT_FOUND</t>
        </is>
      </c>
      <c r="B642" s="67" t="inlineStr">
        <is>
          <t>Không tìm thấy thông tin khách hàng.</t>
        </is>
      </c>
      <c r="C642" s="67" t="inlineStr">
        <is>
          <t>Customer is not found.</t>
        </is>
      </c>
      <c r="D642" s="3">
        <f>IFERROR(__xludf.DUMMYFUNCTION("GOOGLETRANSLATE(B642,""vi"",""km"")"),"រកមិនឃើញព័ត៌មានអតិថិជនទេ។")</f>
        <v/>
      </c>
      <c r="E642" s="3" t="inlineStr">
        <is>
          <t>រកមិនឃើញព័ត៌មានអតិថិជនទេ</t>
        </is>
      </c>
      <c r="F642" s="3" t="inlineStr">
        <is>
          <t>រកមិនឃើញព័ត៌មានអតិថិជនទេ។</t>
        </is>
      </c>
      <c r="G642" s="3" t="n"/>
      <c r="H642" t="inlineStr">
        <is>
          <t>រកមិនឃើញព័ត៌មានអតិថិជនទេ។</t>
        </is>
      </c>
      <c r="I642" s="67" t="n"/>
      <c r="J642" s="67" t="n"/>
      <c r="K642" s="67" t="n"/>
      <c r="L642" s="67" t="n"/>
      <c r="M642" s="67" t="n"/>
      <c r="N642" s="67" t="n"/>
      <c r="O642" s="67" t="n"/>
      <c r="P642" s="67" t="n"/>
      <c r="Q642" s="67" t="n"/>
      <c r="R642" s="67" t="n"/>
      <c r="S642" s="67" t="n"/>
      <c r="T642" s="67" t="n"/>
      <c r="U642" s="67" t="n"/>
      <c r="V642" s="67" t="n"/>
      <c r="W642" s="67" t="n"/>
      <c r="X642" s="67" t="n"/>
      <c r="Y642" s="67" t="n"/>
      <c r="Z642" s="67" t="n"/>
      <c r="AA642" s="67" t="n"/>
      <c r="AB642" s="67" t="n"/>
    </row>
    <row r="643" ht="15.75" customHeight="1" s="305">
      <c r="A643" s="225" t="inlineStr">
        <is>
          <t>CUSTOMER_REQUEST_DATA_INVALID</t>
        </is>
      </c>
      <c r="B643" s="67" t="inlineStr">
        <is>
          <t>Invalid customer search information.</t>
        </is>
      </c>
      <c r="C643" s="67" t="inlineStr">
        <is>
          <t>Invalid customer search information.</t>
        </is>
      </c>
      <c r="D643" s="3">
        <f>IFERROR(__xludf.DUMMYFUNCTION("GOOGLETRANSLATE(B643,""vi"",""km"")"),"ព័ត៌មានស្វែងរកអតិថិជនមិនត្រឹមត្រូវ។")</f>
        <v/>
      </c>
      <c r="E643" s="3" t="inlineStr">
        <is>
          <t>ព័ត៌មានស្វែងរកអតិថិជនមិនត្រឹមត្រូវ</t>
        </is>
      </c>
      <c r="F643" s="3" t="inlineStr">
        <is>
          <t>ព័ត៌មានស្វែងរកអតិថិជនមិនត្រឹមត្រូវ។</t>
        </is>
      </c>
      <c r="G643" s="3" t="n"/>
      <c r="H643" t="inlineStr">
        <is>
          <t>ព័ត៌មានស្វែងរកអតិថិជនមិនត្រឹមត្រូវ។</t>
        </is>
      </c>
      <c r="I643" s="67" t="n"/>
      <c r="J643" s="67" t="n"/>
      <c r="K643" s="67" t="n"/>
      <c r="L643" s="67" t="n"/>
      <c r="M643" s="67" t="n"/>
      <c r="N643" s="67" t="n"/>
      <c r="O643" s="67" t="n"/>
      <c r="P643" s="67" t="n"/>
      <c r="Q643" s="67" t="n"/>
      <c r="R643" s="67" t="n"/>
      <c r="S643" s="67" t="n"/>
      <c r="T643" s="67" t="n"/>
      <c r="U643" s="67" t="n"/>
      <c r="V643" s="67" t="n"/>
      <c r="W643" s="67" t="n"/>
      <c r="X643" s="67" t="n"/>
      <c r="Y643" s="67" t="n"/>
      <c r="Z643" s="67" t="n"/>
      <c r="AA643" s="67" t="n"/>
      <c r="AB643" s="67" t="n"/>
    </row>
    <row r="644" ht="15.75" customHeight="1" s="305">
      <c r="A644" s="225" t="inlineStr">
        <is>
          <t>CUSTOMER_RESPONSE_DATA_INVALID</t>
        </is>
      </c>
      <c r="B644" s="67" t="inlineStr">
        <is>
          <t>Invalid customer response information.</t>
        </is>
      </c>
      <c r="C644" s="67" t="inlineStr">
        <is>
          <t>Invalid customer response information.</t>
        </is>
      </c>
      <c r="D644" s="3">
        <f>IFERROR(__xludf.DUMMYFUNCTION("GOOGLETRANSLATE(B644,""vi"",""km"")"),"ព័ត៌មានឆ្លើយតបរបស់អតិថិជនមិនត្រឹមត្រូវ។")</f>
        <v/>
      </c>
      <c r="E644" s="3" t="inlineStr">
        <is>
          <t>ព័ត៌មានឆ្លើយតបរបស់អតិថិជនមិនត្រឹមត្រូវ</t>
        </is>
      </c>
      <c r="F644" s="3" t="inlineStr">
        <is>
          <t>ព័ត៌មានឆ្លើយតបរបស់អតិថិជនមិនត្រឹមត្រូវ។</t>
        </is>
      </c>
      <c r="G644" s="3" t="n"/>
      <c r="H644" t="inlineStr">
        <is>
          <t>ព័ត៌មានឆ្លើយតបរបស់អតិថិជនមិនត្រឹមត្រូវ។</t>
        </is>
      </c>
      <c r="I644" s="67" t="n"/>
      <c r="J644" s="67" t="n"/>
      <c r="K644" s="67" t="n"/>
      <c r="L644" s="67" t="n"/>
      <c r="M644" s="67" t="n"/>
      <c r="N644" s="67" t="n"/>
      <c r="O644" s="67" t="n"/>
      <c r="P644" s="67" t="n"/>
      <c r="Q644" s="67" t="n"/>
      <c r="R644" s="67" t="n"/>
      <c r="S644" s="67" t="n"/>
      <c r="T644" s="67" t="n"/>
      <c r="U644" s="67" t="n"/>
      <c r="V644" s="67" t="n"/>
      <c r="W644" s="67" t="n"/>
      <c r="X644" s="67" t="n"/>
      <c r="Y644" s="67" t="n"/>
      <c r="Z644" s="67" t="n"/>
      <c r="AA644" s="67" t="n"/>
      <c r="AB644" s="67" t="n"/>
    </row>
    <row r="645" ht="15.75" customHeight="1" s="305">
      <c r="A645" s="225" t="inlineStr">
        <is>
          <t>CUSTOMER_CREATE_FAIL</t>
        </is>
      </c>
      <c r="B645" s="67" t="inlineStr">
        <is>
          <t>Create new customer is fail.</t>
        </is>
      </c>
      <c r="C645" s="67" t="inlineStr">
        <is>
          <t>Create new customer is fail.</t>
        </is>
      </c>
      <c r="D645" s="3">
        <f>IFERROR(__xludf.DUMMYFUNCTION("GOOGLETRANSLATE(B645,""vi"",""km"")"),"ការបង្កើតអតិថិជនថ្មីបានបរាជ័យ។")</f>
        <v/>
      </c>
      <c r="E645" s="3" t="inlineStr">
        <is>
          <t>ការបង្កើតអតិថិជនថ្មីបរាជ័យ</t>
        </is>
      </c>
      <c r="F645" s="3" t="inlineStr">
        <is>
          <t>ការបង្កើតអតិថិជនថ្មីបានបរាជ័យ។</t>
        </is>
      </c>
      <c r="G645" s="3" t="n"/>
      <c r="H645" t="inlineStr">
        <is>
          <t>ការបង្កើតអតិថិជនថ្មីបានបរាជ័យ។</t>
        </is>
      </c>
      <c r="I645" s="67" t="n"/>
      <c r="J645" s="67" t="n"/>
      <c r="K645" s="67" t="n"/>
      <c r="L645" s="67" t="n"/>
      <c r="M645" s="67" t="n"/>
      <c r="N645" s="67" t="n"/>
      <c r="O645" s="67" t="n"/>
      <c r="P645" s="67" t="n"/>
      <c r="Q645" s="67" t="n"/>
      <c r="R645" s="67" t="n"/>
      <c r="S645" s="67" t="n"/>
      <c r="T645" s="67" t="n"/>
      <c r="U645" s="67" t="n"/>
      <c r="V645" s="67" t="n"/>
      <c r="W645" s="67" t="n"/>
      <c r="X645" s="67" t="n"/>
      <c r="Y645" s="67" t="n"/>
      <c r="Z645" s="67" t="n"/>
      <c r="AA645" s="67" t="n"/>
      <c r="AB645" s="67" t="n"/>
    </row>
    <row r="646" ht="15.75" customHeight="1" s="305">
      <c r="A646" s="225" t="inlineStr">
        <is>
          <t>CUSTOMER_UPDATE_FAIL</t>
        </is>
      </c>
      <c r="B646" s="67" t="inlineStr">
        <is>
          <t>Update customer information is fail.</t>
        </is>
      </c>
      <c r="C646" s="67" t="inlineStr">
        <is>
          <t>Update customer information is fail.</t>
        </is>
      </c>
      <c r="D646" s="3">
        <f>IFERROR(__xludf.DUMMYFUNCTION("GOOGLETRANSLATE(B646,""vi"",""km"")"),"ការអាប់ដេតព័ត៌មានអតិថិជនបរាជ័យ។")</f>
        <v/>
      </c>
      <c r="E646" s="3" t="inlineStr">
        <is>
          <t>ការអាប់ដេតព័ត៌មានអតិថិជនបរាជ័យ</t>
        </is>
      </c>
      <c r="F646" s="3" t="inlineStr">
        <is>
          <t>ការអាប់ដេតព័ត៌មានអតិថិជនបរាជ័យ។</t>
        </is>
      </c>
      <c r="G646" s="3" t="n"/>
      <c r="H646" t="inlineStr">
        <is>
          <t>ការអាប់ដេតព័ត៌មានអតិថិជនបរាជ័យ។</t>
        </is>
      </c>
      <c r="I646" s="67" t="n"/>
      <c r="J646" s="67" t="n"/>
      <c r="K646" s="67" t="n"/>
      <c r="L646" s="67" t="n"/>
      <c r="M646" s="67" t="n"/>
      <c r="N646" s="67" t="n"/>
      <c r="O646" s="67" t="n"/>
      <c r="P646" s="67" t="n"/>
      <c r="Q646" s="67" t="n"/>
      <c r="R646" s="67" t="n"/>
      <c r="S646" s="67" t="n"/>
      <c r="T646" s="67" t="n"/>
      <c r="U646" s="67" t="n"/>
      <c r="V646" s="67" t="n"/>
      <c r="W646" s="67" t="n"/>
      <c r="X646" s="67" t="n"/>
      <c r="Y646" s="67" t="n"/>
      <c r="Z646" s="67" t="n"/>
      <c r="AA646" s="67" t="n"/>
      <c r="AB646" s="67" t="n"/>
    </row>
    <row r="647" ht="15.75" customHeight="1" s="305">
      <c r="A647" s="225" t="inlineStr">
        <is>
          <t>ORDER_NOT_FOUND</t>
        </is>
      </c>
      <c r="B647" s="67" t="inlineStr">
        <is>
          <t>Order is not found.</t>
        </is>
      </c>
      <c r="C647" s="67" t="inlineStr">
        <is>
          <t>Order is not found.</t>
        </is>
      </c>
      <c r="D647" s="3">
        <f>IFERROR(__xludf.DUMMYFUNCTION("GOOGLETRANSLATE(B647,""vi"",""km"")"),"រកមិនឃើញការបញ្ជាទិញទេ។")</f>
        <v/>
      </c>
      <c r="E647" s="3" t="inlineStr">
        <is>
          <t>រកមិនឃើញបុងបញ្ញើទេ</t>
        </is>
      </c>
      <c r="F647" s="3" t="inlineStr">
        <is>
          <t>រកមិនឃើញការបញ្ជាទិញទេ។</t>
        </is>
      </c>
      <c r="G647" s="3" t="n"/>
      <c r="H647" t="inlineStr">
        <is>
          <t>រកមិនឃើញការបញ្ជាទិញទេ។</t>
        </is>
      </c>
      <c r="I647" s="67" t="n"/>
      <c r="J647" s="67" t="n"/>
      <c r="K647" s="67" t="n"/>
      <c r="L647" s="67" t="n"/>
      <c r="M647" s="67" t="n"/>
      <c r="N647" s="67" t="n"/>
      <c r="O647" s="67" t="n"/>
      <c r="P647" s="67" t="n"/>
      <c r="Q647" s="67" t="n"/>
      <c r="R647" s="67" t="n"/>
      <c r="S647" s="67" t="n"/>
      <c r="T647" s="67" t="n"/>
      <c r="U647" s="67" t="n"/>
      <c r="V647" s="67" t="n"/>
      <c r="W647" s="67" t="n"/>
      <c r="X647" s="67" t="n"/>
      <c r="Y647" s="67" t="n"/>
      <c r="Z647" s="67" t="n"/>
      <c r="AA647" s="67" t="n"/>
      <c r="AB647" s="67" t="n"/>
    </row>
    <row r="648" ht="15.75" customHeight="1" s="305">
      <c r="A648" s="225" t="inlineStr">
        <is>
          <t>ORDER_REQUEST_DATA_INVALID</t>
        </is>
      </c>
      <c r="B648" s="67" t="inlineStr">
        <is>
          <t>Invalid order search information.</t>
        </is>
      </c>
      <c r="C648" s="67" t="inlineStr">
        <is>
          <t>Invalid order search information.</t>
        </is>
      </c>
      <c r="D648" s="3">
        <f>IFERROR(__xludf.DUMMYFUNCTION("GOOGLETRANSLATE(B648,""vi"",""km"")"),"ព័ត៌មានស្វែងរកការបញ្ជាទិញមិនត្រឹមត្រូវ។")</f>
        <v/>
      </c>
      <c r="E648" s="3" t="inlineStr">
        <is>
          <t>ព័ត៌មានស្វែងរកបុងបញ្ញើ មិនត្រឹមត្រូវ</t>
        </is>
      </c>
      <c r="F648" s="3" t="inlineStr">
        <is>
          <t>ព័ត៌មានស្វែងរកការបញ្ជាទិញមិនត្រឹមត្រូវ។</t>
        </is>
      </c>
      <c r="G648" s="3" t="n"/>
      <c r="H648" t="inlineStr">
        <is>
          <t>ព័ត៌មានស្វែងរកការបញ្ជាទិញមិនត្រឹមត្រូវ។</t>
        </is>
      </c>
      <c r="I648" s="67" t="n"/>
      <c r="J648" s="67" t="n"/>
      <c r="K648" s="67" t="n"/>
      <c r="L648" s="67" t="n"/>
      <c r="M648" s="67" t="n"/>
      <c r="N648" s="67" t="n"/>
      <c r="O648" s="67" t="n"/>
      <c r="P648" s="67" t="n"/>
      <c r="Q648" s="67" t="n"/>
      <c r="R648" s="67" t="n"/>
      <c r="S648" s="67" t="n"/>
      <c r="T648" s="67" t="n"/>
      <c r="U648" s="67" t="n"/>
      <c r="V648" s="67" t="n"/>
      <c r="W648" s="67" t="n"/>
      <c r="X648" s="67" t="n"/>
      <c r="Y648" s="67" t="n"/>
      <c r="Z648" s="67" t="n"/>
      <c r="AA648" s="67" t="n"/>
      <c r="AB648" s="67" t="n"/>
    </row>
    <row r="649" ht="15.75" customHeight="1" s="305">
      <c r="A649" s="225" t="inlineStr">
        <is>
          <t>ORDER_RESPONSE_DATA_INVALID</t>
        </is>
      </c>
      <c r="B649" s="67" t="inlineStr">
        <is>
          <t>Invalid order response information.</t>
        </is>
      </c>
      <c r="C649" s="67" t="inlineStr">
        <is>
          <t>Invalid order response information.</t>
        </is>
      </c>
      <c r="D649" s="3">
        <f>IFERROR(__xludf.DUMMYFUNCTION("GOOGLETRANSLATE(B649,""vi"",""km"")"),"ព័ត៌មានឆ្លើយតបការបញ្ជាទិញមិនត្រឹមត្រូវ។")</f>
        <v/>
      </c>
      <c r="E649" s="3" t="inlineStr">
        <is>
          <t>ព័ត៌មានឆ្លើយតបបុងបញ្ញើ មិនត្រឹមត្រូវ</t>
        </is>
      </c>
      <c r="F649" s="3" t="inlineStr">
        <is>
          <t>ព័ត៌មានឆ្លើយតបការបញ្ជាទិញមិនត្រឹមត្រូវ។</t>
        </is>
      </c>
      <c r="G649" s="3" t="n"/>
      <c r="H649" t="inlineStr">
        <is>
          <t>ព័ត៌មានឆ្លើយតបការបញ្ជាទិញមិនត្រឹមត្រូវ។</t>
        </is>
      </c>
      <c r="I649" s="67" t="n"/>
      <c r="J649" s="67" t="n"/>
      <c r="K649" s="67" t="n"/>
      <c r="L649" s="67" t="n"/>
      <c r="M649" s="67" t="n"/>
      <c r="N649" s="67" t="n"/>
      <c r="O649" s="67" t="n"/>
      <c r="P649" s="67" t="n"/>
      <c r="Q649" s="67" t="n"/>
      <c r="R649" s="67" t="n"/>
      <c r="S649" s="67" t="n"/>
      <c r="T649" s="67" t="n"/>
      <c r="U649" s="67" t="n"/>
      <c r="V649" s="67" t="n"/>
      <c r="W649" s="67" t="n"/>
      <c r="X649" s="67" t="n"/>
      <c r="Y649" s="67" t="n"/>
      <c r="Z649" s="67" t="n"/>
      <c r="AA649" s="67" t="n"/>
      <c r="AB649" s="67" t="n"/>
    </row>
    <row r="650" ht="15.75" customHeight="1" s="305">
      <c r="A650" s="225" t="inlineStr">
        <is>
          <t>WAREHOUSE_NOT_FOUND</t>
        </is>
      </c>
      <c r="B650" s="67" t="inlineStr">
        <is>
          <t>Warehouse is not found.</t>
        </is>
      </c>
      <c r="C650" s="67" t="inlineStr">
        <is>
          <t>Warehouse is not found.</t>
        </is>
      </c>
      <c r="D650" s="3">
        <f>IFERROR(__xludf.DUMMYFUNCTION("GOOGLETRANSLATE(B650,""vi"",""km"")"),"រកមិនឃើញឃ្លាំងទេ។")</f>
        <v/>
      </c>
      <c r="E650" s="3" t="inlineStr">
        <is>
          <t>រកមិនឃើញឃ្លាំងទេ</t>
        </is>
      </c>
      <c r="F650" s="3" t="inlineStr">
        <is>
          <t>រកមិនឃើញឃ្លាំងទេ។</t>
        </is>
      </c>
      <c r="G650" s="3" t="n"/>
      <c r="H650" t="inlineStr">
        <is>
          <t>រកមិនឃើញឃ្លាំងទេ។</t>
        </is>
      </c>
      <c r="I650" s="67" t="n"/>
      <c r="J650" s="67" t="n"/>
      <c r="K650" s="67" t="n"/>
      <c r="L650" s="67" t="n"/>
      <c r="M650" s="67" t="n"/>
      <c r="N650" s="67" t="n"/>
      <c r="O650" s="67" t="n"/>
      <c r="P650" s="67" t="n"/>
      <c r="Q650" s="67" t="n"/>
      <c r="R650" s="67" t="n"/>
      <c r="S650" s="67" t="n"/>
      <c r="T650" s="67" t="n"/>
      <c r="U650" s="67" t="n"/>
      <c r="V650" s="67" t="n"/>
      <c r="W650" s="67" t="n"/>
      <c r="X650" s="67" t="n"/>
      <c r="Y650" s="67" t="n"/>
      <c r="Z650" s="67" t="n"/>
      <c r="AA650" s="67" t="n"/>
      <c r="AB650" s="67" t="n"/>
    </row>
    <row r="651" ht="15.75" customHeight="1" s="305">
      <c r="A651" s="225" t="inlineStr">
        <is>
          <t>WAREHOUSE_REQUEST_DATA_INVALID</t>
        </is>
      </c>
      <c r="B651" s="67" t="inlineStr">
        <is>
          <t>Invalid warehouse search information.</t>
        </is>
      </c>
      <c r="C651" s="67" t="inlineStr">
        <is>
          <t>Invalid warehouse search information.</t>
        </is>
      </c>
      <c r="D651" s="3">
        <f>IFERROR(__xludf.DUMMYFUNCTION("GOOGLETRANSLATE(B651,""vi"",""km"")"),"ព័ត៌មានស្វែងរកឃ្លាំងមិនត្រឹមត្រូវ។")</f>
        <v/>
      </c>
      <c r="E651" s="3" t="inlineStr">
        <is>
          <t>ព័ត៌មានស្វែងរកឃ្លាំងមិនត្រឹមត្រូវ</t>
        </is>
      </c>
      <c r="F651" s="3" t="inlineStr">
        <is>
          <t>ព័ត៌មានស្វែងរកឃ្លាំងមិនត្រឹមត្រូវ។</t>
        </is>
      </c>
      <c r="G651" s="3" t="n"/>
      <c r="H651" t="inlineStr">
        <is>
          <t>ព័ត៌មានស្វែងរកឃ្លាំងមិនត្រឹមត្រូវ។</t>
        </is>
      </c>
      <c r="I651" s="67" t="n"/>
      <c r="J651" s="67" t="n"/>
      <c r="K651" s="67" t="n"/>
      <c r="L651" s="67" t="n"/>
      <c r="M651" s="67" t="n"/>
      <c r="N651" s="67" t="n"/>
      <c r="O651" s="67" t="n"/>
      <c r="P651" s="67" t="n"/>
      <c r="Q651" s="67" t="n"/>
      <c r="R651" s="67" t="n"/>
      <c r="S651" s="67" t="n"/>
      <c r="T651" s="67" t="n"/>
      <c r="U651" s="67" t="n"/>
      <c r="V651" s="67" t="n"/>
      <c r="W651" s="67" t="n"/>
      <c r="X651" s="67" t="n"/>
      <c r="Y651" s="67" t="n"/>
      <c r="Z651" s="67" t="n"/>
      <c r="AA651" s="67" t="n"/>
      <c r="AB651" s="67" t="n"/>
    </row>
    <row r="652" ht="15.75" customHeight="1" s="305">
      <c r="A652" s="225" t="inlineStr">
        <is>
          <t>WAREHOUSE_RESPONSE_DATA_INVALID</t>
        </is>
      </c>
      <c r="B652" s="67" t="inlineStr">
        <is>
          <t>Invalid warehouse response information.</t>
        </is>
      </c>
      <c r="C652" s="67" t="inlineStr">
        <is>
          <t>Invalid warehouse response information.</t>
        </is>
      </c>
      <c r="D652" s="3">
        <f>IFERROR(__xludf.DUMMYFUNCTION("GOOGLETRANSLATE(B652,""vi"",""km"")"),"ព័ត៌មានឆ្លើយតបឃ្លាំងមិនត្រឹមត្រូវ។")</f>
        <v/>
      </c>
      <c r="E652" s="3" t="inlineStr">
        <is>
          <t>ព័ត៌មានឆ្លើយតបឃ្លាំងមិនត្រឹមត្រូវ</t>
        </is>
      </c>
      <c r="F652" s="3" t="inlineStr">
        <is>
          <t>ព័ត៌មានឆ្លើយតបឃ្លាំងមិនត្រឹមត្រូវ។</t>
        </is>
      </c>
      <c r="G652" s="3" t="n"/>
      <c r="H652" t="inlineStr">
        <is>
          <t>ព័ត៌មានឆ្លើយតបឃ្លាំងមិនត្រឹមត្រូវ។</t>
        </is>
      </c>
      <c r="I652" s="67" t="n"/>
      <c r="J652" s="67" t="n"/>
      <c r="K652" s="67" t="n"/>
      <c r="L652" s="67" t="n"/>
      <c r="M652" s="67" t="n"/>
      <c r="N652" s="67" t="n"/>
      <c r="O652" s="67" t="n"/>
      <c r="P652" s="67" t="n"/>
      <c r="Q652" s="67" t="n"/>
      <c r="R652" s="67" t="n"/>
      <c r="S652" s="67" t="n"/>
      <c r="T652" s="67" t="n"/>
      <c r="U652" s="67" t="n"/>
      <c r="V652" s="67" t="n"/>
      <c r="W652" s="67" t="n"/>
      <c r="X652" s="67" t="n"/>
      <c r="Y652" s="67" t="n"/>
      <c r="Z652" s="67" t="n"/>
      <c r="AA652" s="67" t="n"/>
      <c r="AB652" s="67" t="n"/>
    </row>
    <row r="653" ht="15.75" customHeight="1" s="305">
      <c r="A653" s="225" t="inlineStr">
        <is>
          <t>WAREHOUSE_CREATE_FAIL</t>
        </is>
      </c>
      <c r="B653" s="67" t="inlineStr">
        <is>
          <t>Create new warehouse is fail.</t>
        </is>
      </c>
      <c r="C653" s="67" t="inlineStr">
        <is>
          <t>Create new warehouse is fail.</t>
        </is>
      </c>
      <c r="D653" s="3">
        <f>IFERROR(__xludf.DUMMYFUNCTION("GOOGLETRANSLATE(B653,""vi"",""km"")"),"ការបង្កើតឃ្លាំងថ្មីមួយបានបរាជ័យ។")</f>
        <v/>
      </c>
      <c r="E653" s="3" t="inlineStr">
        <is>
          <t>ការបង្កើតឃ្លាំងថ្មីបរាជ័យ</t>
        </is>
      </c>
      <c r="F653" s="3" t="inlineStr">
        <is>
          <t>ការបង្កើតឃ្លាំងថ្មីមួយបានបរាជ័យ។</t>
        </is>
      </c>
      <c r="G653" s="3" t="n"/>
      <c r="H653" t="inlineStr">
        <is>
          <t>ការបង្កើតឃ្លាំងថ្មីមួយបានបរាជ័យ។</t>
        </is>
      </c>
      <c r="I653" s="67" t="n"/>
      <c r="J653" s="67" t="n"/>
      <c r="K653" s="67" t="n"/>
      <c r="L653" s="67" t="n"/>
      <c r="M653" s="67" t="n"/>
      <c r="N653" s="67" t="n"/>
      <c r="O653" s="67" t="n"/>
      <c r="P653" s="67" t="n"/>
      <c r="Q653" s="67" t="n"/>
      <c r="R653" s="67" t="n"/>
      <c r="S653" s="67" t="n"/>
      <c r="T653" s="67" t="n"/>
      <c r="U653" s="67" t="n"/>
      <c r="V653" s="67" t="n"/>
      <c r="W653" s="67" t="n"/>
      <c r="X653" s="67" t="n"/>
      <c r="Y653" s="67" t="n"/>
      <c r="Z653" s="67" t="n"/>
      <c r="AA653" s="67" t="n"/>
      <c r="AB653" s="67" t="n"/>
    </row>
    <row r="654" ht="15.75" customHeight="1" s="305">
      <c r="A654" s="225" t="inlineStr">
        <is>
          <t>RECEIVING_FAIL_GET_OMS_TOKEN</t>
        </is>
      </c>
      <c r="B654" s="67" t="inlineStr">
        <is>
          <t>Không thể gọi API Get Token từ Oms.</t>
        </is>
      </c>
      <c r="C654" s="67" t="inlineStr">
        <is>
          <t>Fail to call API Get Token From Oms .</t>
        </is>
      </c>
      <c r="D654" s="3">
        <f>IFERROR(__xludf.DUMMYFUNCTION("GOOGLETRANSLATE(B654,""vi"",""km"")"),"មិនអាចហៅ Get Token API ពី Oms បានទេ។")</f>
        <v/>
      </c>
      <c r="E654" s="3" t="n"/>
      <c r="F654" s="3" t="inlineStr">
        <is>
          <t>មិនអាចហៅ Get Token API ពី Oms បានទេ។</t>
        </is>
      </c>
      <c r="G654" s="3" t="n"/>
      <c r="H654" t="inlineStr">
        <is>
          <t>មិនអាចហៅ Get Token API ពី Oms បានទេ។</t>
        </is>
      </c>
      <c r="I654" s="67" t="n"/>
      <c r="J654" s="67" t="n"/>
      <c r="K654" s="67" t="n"/>
      <c r="L654" s="67" t="n"/>
      <c r="M654" s="67" t="n"/>
      <c r="N654" s="67" t="n"/>
      <c r="O654" s="67" t="n"/>
      <c r="P654" s="67" t="n"/>
      <c r="Q654" s="67" t="n"/>
      <c r="R654" s="67" t="n"/>
      <c r="S654" s="67" t="n"/>
      <c r="T654" s="67" t="n"/>
      <c r="U654" s="67" t="n"/>
      <c r="V654" s="67" t="n"/>
      <c r="W654" s="67" t="n"/>
      <c r="X654" s="67" t="n"/>
      <c r="Y654" s="67" t="n"/>
      <c r="Z654" s="67" t="n"/>
      <c r="AA654" s="67" t="n"/>
      <c r="AB654" s="67" t="n"/>
    </row>
    <row r="655" ht="15.75" customHeight="1" s="305">
      <c r="A655" s="225" t="inlineStr">
        <is>
          <t>REVENUE_FAILURE</t>
        </is>
      </c>
      <c r="B655" s="67" t="inlineStr">
        <is>
          <t>Processing revenue is failed.</t>
        </is>
      </c>
      <c r="C655" s="67" t="inlineStr">
        <is>
          <t>Processing revenue is failed.</t>
        </is>
      </c>
      <c r="D655" s="3">
        <f>IFERROR(__xludf.DUMMYFUNCTION("GOOGLETRANSLATE(B655,""vi"",""km"")"),"ការដំណើរការចំណូលបានបរាជ័យ។")</f>
        <v/>
      </c>
      <c r="E655" s="3" t="inlineStr">
        <is>
          <t>ដំណើរការចំណូលបរាជ័យ</t>
        </is>
      </c>
      <c r="F655" s="3" t="inlineStr">
        <is>
          <t>ការដំណើរការចំណូលបានបរាជ័យ។</t>
        </is>
      </c>
      <c r="G655" s="3" t="n"/>
      <c r="H655" t="inlineStr">
        <is>
          <t>ការដំណើរការចំណូលបានបរាជ័យ។</t>
        </is>
      </c>
      <c r="I655" s="67" t="n"/>
      <c r="J655" s="67" t="n"/>
      <c r="K655" s="67" t="n"/>
      <c r="L655" s="67" t="n"/>
      <c r="M655" s="67" t="n"/>
      <c r="N655" s="67" t="n"/>
      <c r="O655" s="67" t="n"/>
      <c r="P655" s="67" t="n"/>
      <c r="Q655" s="67" t="n"/>
      <c r="R655" s="67" t="n"/>
      <c r="S655" s="67" t="n"/>
      <c r="T655" s="67" t="n"/>
      <c r="U655" s="67" t="n"/>
      <c r="V655" s="67" t="n"/>
      <c r="W655" s="67" t="n"/>
      <c r="X655" s="67" t="n"/>
      <c r="Y655" s="67" t="n"/>
      <c r="Z655" s="67" t="n"/>
      <c r="AA655" s="67" t="n"/>
      <c r="AB655" s="67" t="n"/>
    </row>
    <row r="656" ht="15.75" customHeight="1" s="305">
      <c r="A656" s="225" t="inlineStr">
        <is>
          <t>REVENUE_FAIL_LOCK_API</t>
        </is>
      </c>
      <c r="B656" s="67" t="inlineStr">
        <is>
          <t>Không thể gọi API Lock Oms Order.</t>
        </is>
      </c>
      <c r="C656" s="67" t="inlineStr">
        <is>
          <t>Fail to Call Api Lock Oms Order.</t>
        </is>
      </c>
      <c r="D656" s="3">
        <f>IFERROR(__xludf.DUMMYFUNCTION("GOOGLETRANSLATE(B656,""vi"",""km"")"),"មិនអាចហៅ API បញ្ជាទិញ Lock Oms បានទេ។")</f>
        <v/>
      </c>
      <c r="E656" s="3" t="n"/>
      <c r="F656" s="3" t="inlineStr">
        <is>
          <t>មិនអាចហៅ API បញ្ជាទិញ Lock Oms បានទេ។</t>
        </is>
      </c>
      <c r="G656" s="3" t="n"/>
      <c r="H656" t="inlineStr">
        <is>
          <t>មិនអាចហៅ API បញ្ជាទិញ Lock Oms បានទេ។</t>
        </is>
      </c>
      <c r="I656" s="67" t="n"/>
      <c r="J656" s="67" t="n"/>
      <c r="K656" s="67" t="n"/>
      <c r="L656" s="67" t="n"/>
      <c r="M656" s="67" t="n"/>
      <c r="N656" s="67" t="n"/>
      <c r="O656" s="67" t="n"/>
      <c r="P656" s="67" t="n"/>
      <c r="Q656" s="67" t="n"/>
      <c r="R656" s="67" t="n"/>
      <c r="S656" s="67" t="n"/>
      <c r="T656" s="67" t="n"/>
      <c r="U656" s="67" t="n"/>
      <c r="V656" s="67" t="n"/>
      <c r="W656" s="67" t="n"/>
      <c r="X656" s="67" t="n"/>
      <c r="Y656" s="67" t="n"/>
      <c r="Z656" s="67" t="n"/>
      <c r="AA656" s="67" t="n"/>
      <c r="AB656" s="67" t="n"/>
    </row>
    <row r="657" ht="15.75" customHeight="1" s="305">
      <c r="A657" s="225" t="inlineStr">
        <is>
          <t>REVENUE_OMS_EMPTY_RESPONSE</t>
        </is>
      </c>
      <c r="B657" s="67" t="inlineStr">
        <is>
          <t>Data response is empty from Oms .</t>
        </is>
      </c>
      <c r="C657" s="67" t="inlineStr">
        <is>
          <t>Data response is empty from Oms .</t>
        </is>
      </c>
      <c r="D657" s="3">
        <f>IFERROR(__xludf.DUMMYFUNCTION("GOOGLETRANSLATE(B657,""vi"",""km"")"),"ការឆ្លើយតបទិន្នន័យពី Oms គឺទទេ។")</f>
        <v/>
      </c>
      <c r="E657" s="3" t="n"/>
      <c r="F657" s="3" t="inlineStr">
        <is>
          <t>ការឆ្លើយតបទិន្នន័យពី Oms គឺទទេ។</t>
        </is>
      </c>
      <c r="G657" s="3" t="n"/>
      <c r="H657" t="inlineStr">
        <is>
          <t>ការឆ្លើយតបទិន្នន័យពី Oms គឺទទេ។</t>
        </is>
      </c>
      <c r="I657" s="67" t="n"/>
      <c r="J657" s="67" t="n"/>
      <c r="K657" s="67" t="n"/>
      <c r="L657" s="67" t="n"/>
      <c r="M657" s="67" t="n"/>
      <c r="N657" s="67" t="n"/>
      <c r="O657" s="67" t="n"/>
      <c r="P657" s="67" t="n"/>
      <c r="Q657" s="67" t="n"/>
      <c r="R657" s="67" t="n"/>
      <c r="S657" s="67" t="n"/>
      <c r="T657" s="67" t="n"/>
      <c r="U657" s="67" t="n"/>
      <c r="V657" s="67" t="n"/>
      <c r="W657" s="67" t="n"/>
      <c r="X657" s="67" t="n"/>
      <c r="Y657" s="67" t="n"/>
      <c r="Z657" s="67" t="n"/>
      <c r="AA657" s="67" t="n"/>
      <c r="AB657" s="67" t="n"/>
    </row>
    <row r="658" ht="15.75" customHeight="1" s="305">
      <c r="A658" s="225" t="inlineStr">
        <is>
          <t>PRINT_LABEL_FAILURE</t>
        </is>
      </c>
      <c r="B658" s="67" t="inlineStr">
        <is>
          <t>Processing print label is failed.</t>
        </is>
      </c>
      <c r="C658" s="67" t="inlineStr">
        <is>
          <t>Processing print label is failed.</t>
        </is>
      </c>
      <c r="D658" s="3">
        <f>IFERROR(__xludf.DUMMYFUNCTION("GOOGLETRANSLATE(B658,""vi"",""km"")"),"ការដំណើរការស្លាកបោះពុម្ពបរាជ័យ។")</f>
        <v/>
      </c>
      <c r="E658" s="3" t="inlineStr">
        <is>
          <t>ដំណើរការព្រីនបានបរាជ័យ</t>
        </is>
      </c>
      <c r="F658" s="3" t="inlineStr">
        <is>
          <t>ការដំណើរការស្លាកព្រីនបរាជ័យ។</t>
        </is>
      </c>
      <c r="G658" s="3" t="n"/>
      <c r="H658" t="inlineStr">
        <is>
          <t>ការដំណើរការស្លាកព្រីនបរាជ័យ។</t>
        </is>
      </c>
      <c r="I658" s="67" t="n"/>
      <c r="J658" s="67" t="n"/>
      <c r="K658" s="67" t="n"/>
      <c r="L658" s="67" t="n"/>
      <c r="M658" s="67" t="n"/>
      <c r="N658" s="67" t="n"/>
      <c r="O658" s="67" t="n"/>
      <c r="P658" s="67" t="n"/>
      <c r="Q658" s="67" t="n"/>
      <c r="R658" s="67" t="n"/>
      <c r="S658" s="67" t="n"/>
      <c r="T658" s="67" t="n"/>
      <c r="U658" s="67" t="n"/>
      <c r="V658" s="67" t="n"/>
      <c r="W658" s="67" t="n"/>
      <c r="X658" s="67" t="n"/>
      <c r="Y658" s="67" t="n"/>
      <c r="Z658" s="67" t="n"/>
      <c r="AA658" s="67" t="n"/>
      <c r="AB658" s="67" t="n"/>
    </row>
    <row r="659" ht="15.75" customHeight="1" s="305">
      <c r="A659" s="225" t="inlineStr">
        <is>
          <t>GET_PRINT_PATH_FAILURE</t>
        </is>
      </c>
      <c r="B659" s="67" t="inlineStr">
        <is>
          <t>Get print path is failed.</t>
        </is>
      </c>
      <c r="C659" s="67" t="inlineStr">
        <is>
          <t>Get print path is failed.</t>
        </is>
      </c>
      <c r="D659" s="3">
        <f>IFERROR(__xludf.DUMMYFUNCTION("GOOGLETRANSLATE(B659,""vi"",""km"")"),"ការទទួលបានផ្លូវបោះពុម្ពបរាជ័យ។")</f>
        <v/>
      </c>
      <c r="E659" s="3" t="inlineStr">
        <is>
          <t>ទទួលបានផ្លូវបោះពុម្ពបរាជ័យ</t>
        </is>
      </c>
      <c r="F659" s="3" t="inlineStr">
        <is>
          <t>ការទទួលបានផ្លូវព្រីនបរាជ័យ។</t>
        </is>
      </c>
      <c r="G659" s="3" t="n"/>
      <c r="H659" t="inlineStr">
        <is>
          <t>ការទទួលបានផ្លូវព្រីនបរាជ័យ។</t>
        </is>
      </c>
      <c r="I659" s="67" t="n"/>
      <c r="J659" s="67" t="n"/>
      <c r="K659" s="67" t="n"/>
      <c r="L659" s="67" t="n"/>
      <c r="M659" s="67" t="n"/>
      <c r="N659" s="67" t="n"/>
      <c r="O659" s="67" t="n"/>
      <c r="P659" s="67" t="n"/>
      <c r="Q659" s="67" t="n"/>
      <c r="R659" s="67" t="n"/>
      <c r="S659" s="67" t="n"/>
      <c r="T659" s="67" t="n"/>
      <c r="U659" s="67" t="n"/>
      <c r="V659" s="67" t="n"/>
      <c r="W659" s="67" t="n"/>
      <c r="X659" s="67" t="n"/>
      <c r="Y659" s="67" t="n"/>
      <c r="Z659" s="67" t="n"/>
      <c r="AA659" s="67" t="n"/>
      <c r="AB659" s="67" t="n"/>
    </row>
    <row r="660" ht="15.75" customHeight="1" s="305">
      <c r="A660" s="225" t="inlineStr">
        <is>
          <t>CREATE_DEAD_LETTER_ORDER_FAILURE</t>
        </is>
      </c>
      <c r="B660" s="67" t="inlineStr">
        <is>
          <t>Create dead letter order failed.</t>
        </is>
      </c>
      <c r="C660" s="67" t="inlineStr">
        <is>
          <t>Create dead letter order failed.</t>
        </is>
      </c>
      <c r="D660" s="3">
        <f>IFERROR(__xludf.DUMMYFUNCTION("GOOGLETRANSLATE(B660,""vi"",""km"")"),"ការបង្កើតលំដាប់សំបុត្រដែលលែងប្រើបានបរាជ័យ។")</f>
        <v/>
      </c>
      <c r="E660" s="3" t="inlineStr">
        <is>
          <t>បង្កើតបុងបញ្ញើបរាជ័យ</t>
        </is>
      </c>
      <c r="F660" s="3" t="inlineStr">
        <is>
          <t>ការបង្កើតលំដាប់សំបុត្រដែលលែងប្រើបានបរាជ័យ។</t>
        </is>
      </c>
      <c r="G660" s="3" t="n"/>
      <c r="H660" t="inlineStr">
        <is>
          <t>ការបង្កើតលំដាប់សំបុត្រដែលលែងប្រើបានបរាជ័យ។</t>
        </is>
      </c>
      <c r="I660" s="67" t="n"/>
      <c r="J660" s="67" t="n"/>
      <c r="K660" s="67" t="n"/>
      <c r="L660" s="67" t="n"/>
      <c r="M660" s="67" t="n"/>
      <c r="N660" s="67" t="n"/>
      <c r="O660" s="67" t="n"/>
      <c r="P660" s="67" t="n"/>
      <c r="Q660" s="67" t="n"/>
      <c r="R660" s="67" t="n"/>
      <c r="S660" s="67" t="n"/>
      <c r="T660" s="67" t="n"/>
      <c r="U660" s="67" t="n"/>
      <c r="V660" s="67" t="n"/>
      <c r="W660" s="67" t="n"/>
      <c r="X660" s="67" t="n"/>
      <c r="Y660" s="67" t="n"/>
      <c r="Z660" s="67" t="n"/>
      <c r="AA660" s="67" t="n"/>
      <c r="AB660" s="67" t="n"/>
    </row>
    <row r="661" ht="15.75" customHeight="1" s="305">
      <c r="A661" s="225" t="inlineStr">
        <is>
          <t>KAFKA_CONSUME_ERROR</t>
        </is>
      </c>
      <c r="B661" s="67" t="inlineStr">
        <is>
          <t>Kafka consume message failed.</t>
        </is>
      </c>
      <c r="C661" s="67" t="inlineStr">
        <is>
          <t>Kafka consume message failed.</t>
        </is>
      </c>
      <c r="D661" s="3">
        <f>IFERROR(__xludf.DUMMYFUNCTION("GOOGLETRANSLATE(B661,""vi"",""km"")"),"ការទទួលទានសាររបស់ Kafka បរាជ័យ។")</f>
        <v/>
      </c>
      <c r="E661" s="3" t="n"/>
      <c r="F661" s="3" t="inlineStr">
        <is>
          <t>ការទទួលទានសាររបស់ Kafka បរាជ័យ។</t>
        </is>
      </c>
      <c r="G661" s="3" t="n"/>
      <c r="H661" t="inlineStr">
        <is>
          <t>ការទទួលទានសាររបស់ Kafka បរាជ័យ។</t>
        </is>
      </c>
      <c r="I661" s="67" t="n"/>
      <c r="J661" s="67" t="n"/>
      <c r="K661" s="67" t="n"/>
      <c r="L661" s="67" t="n"/>
      <c r="M661" s="67" t="n"/>
      <c r="N661" s="67" t="n"/>
      <c r="O661" s="67" t="n"/>
      <c r="P661" s="67" t="n"/>
      <c r="Q661" s="67" t="n"/>
      <c r="R661" s="67" t="n"/>
      <c r="S661" s="67" t="n"/>
      <c r="T661" s="67" t="n"/>
      <c r="U661" s="67" t="n"/>
      <c r="V661" s="67" t="n"/>
      <c r="W661" s="67" t="n"/>
      <c r="X661" s="67" t="n"/>
      <c r="Y661" s="67" t="n"/>
      <c r="Z661" s="67" t="n"/>
      <c r="AA661" s="67" t="n"/>
      <c r="AB661" s="67" t="n"/>
    </row>
    <row r="662" ht="15.75" customHeight="1" s="305">
      <c r="A662" s="225" t="inlineStr">
        <is>
          <t>REVENUE_FAIL_UNLOCK_API</t>
        </is>
      </c>
      <c r="B662" s="67" t="inlineStr">
        <is>
          <t>Không thể gọi API unLock Oms Order.</t>
        </is>
      </c>
      <c r="C662" s="67" t="inlineStr">
        <is>
          <t>Call API to unlock OMS order failed.</t>
        </is>
      </c>
      <c r="D662" s="3">
        <f>IFERROR(__xludf.DUMMYFUNCTION("GOOGLETRANSLATE(B662,""vi"",""km"")"),"មិនអាចហៅ unLock Oms Order API បានទេ។")</f>
        <v/>
      </c>
      <c r="E662" s="3" t="n"/>
      <c r="F662" s="3" t="inlineStr">
        <is>
          <t>មិនអាចហៅ unLock Oms Order API បានទេ។</t>
        </is>
      </c>
      <c r="G662" s="3" t="n"/>
      <c r="H662" t="inlineStr">
        <is>
          <t>មិនអាចហៅ unLock Oms Order API បានទេ។</t>
        </is>
      </c>
      <c r="I662" s="67" t="n"/>
      <c r="J662" s="67" t="n"/>
      <c r="K662" s="67" t="n"/>
      <c r="L662" s="67" t="n"/>
      <c r="M662" s="67" t="n"/>
      <c r="N662" s="67" t="n"/>
      <c r="O662" s="67" t="n"/>
      <c r="P662" s="67" t="n"/>
      <c r="Q662" s="67" t="n"/>
      <c r="R662" s="67" t="n"/>
      <c r="S662" s="67" t="n"/>
      <c r="T662" s="67" t="n"/>
      <c r="U662" s="67" t="n"/>
      <c r="V662" s="67" t="n"/>
      <c r="W662" s="67" t="n"/>
      <c r="X662" s="67" t="n"/>
      <c r="Y662" s="67" t="n"/>
      <c r="Z662" s="67" t="n"/>
      <c r="AA662" s="67" t="n"/>
      <c r="AB662" s="67" t="n"/>
    </row>
    <row r="663" ht="15.75" customHeight="1" s="305">
      <c r="A663" s="225" t="inlineStr">
        <is>
          <t>RETURN_REASON_NOT_FOUND</t>
        </is>
      </c>
      <c r="B663" s="3" t="n"/>
      <c r="C663" s="3" t="n"/>
      <c r="D663" s="3">
        <f>IFERROR(__xludf.DUMMYFUNCTION("GOOGLETRANSLATE(B663,""vi"",""km"")"),"#VALUE!")</f>
        <v/>
      </c>
      <c r="E663" s="3" t="n"/>
      <c r="F663" s="3" t="inlineStr"/>
      <c r="G663" s="3" t="n"/>
      <c r="H663" t="inlineStr"/>
      <c r="I663" s="67" t="n"/>
      <c r="J663" s="67" t="n"/>
      <c r="K663" s="67" t="n"/>
      <c r="L663" s="67" t="n"/>
      <c r="M663" s="67" t="n"/>
      <c r="N663" s="67" t="n"/>
      <c r="O663" s="67" t="n"/>
      <c r="P663" s="67" t="n"/>
      <c r="Q663" s="67" t="n"/>
      <c r="R663" s="67" t="n"/>
      <c r="S663" s="67" t="n"/>
      <c r="T663" s="67" t="n"/>
      <c r="U663" s="67" t="n"/>
      <c r="V663" s="67" t="n"/>
      <c r="W663" s="67" t="n"/>
      <c r="X663" s="67" t="n"/>
      <c r="Y663" s="67" t="n"/>
      <c r="Z663" s="67" t="n"/>
      <c r="AA663" s="67" t="n"/>
      <c r="AB663" s="67" t="n"/>
    </row>
    <row r="664" ht="15.75" customHeight="1" s="305">
      <c r="A664" s="225" t="inlineStr">
        <is>
          <t>OMS_EMPTY_RESPONSE</t>
        </is>
      </c>
      <c r="B664" s="67" t="inlineStr">
        <is>
          <t>Phản hồi dữ liệu từ Oms trống.</t>
        </is>
      </c>
      <c r="C664" s="67" t="inlineStr">
        <is>
          <t>Data response is empty from Oms.</t>
        </is>
      </c>
      <c r="D664" s="3">
        <f>IFERROR(__xludf.DUMMYFUNCTION("GOOGLETRANSLATE(B664,""vi"",""km"")"),"ការឆ្លើយតបទិន្នន័យពី Oms គឺទទេ។")</f>
        <v/>
      </c>
      <c r="E664" s="67" t="n"/>
      <c r="F664" s="3" t="inlineStr">
        <is>
          <t>ការឆ្លើយតបទិន្នន័យពី Oms គឺទទេ។</t>
        </is>
      </c>
      <c r="G664" s="3" t="n"/>
      <c r="H664" t="inlineStr">
        <is>
          <t>ការឆ្លើយតបទិន្នន័យពី Oms គឺទទេ។</t>
        </is>
      </c>
      <c r="I664" s="67" t="n"/>
      <c r="J664" s="67" t="n"/>
      <c r="K664" s="67" t="n"/>
      <c r="L664" s="67" t="n"/>
      <c r="M664" s="67" t="n"/>
      <c r="N664" s="67" t="n"/>
      <c r="O664" s="67" t="n"/>
      <c r="P664" s="67" t="n"/>
      <c r="Q664" s="67" t="n"/>
      <c r="R664" s="67" t="n"/>
      <c r="S664" s="67" t="n"/>
      <c r="T664" s="67" t="n"/>
      <c r="U664" s="67" t="n"/>
      <c r="V664" s="67" t="n"/>
      <c r="W664" s="67" t="n"/>
      <c r="X664" s="67" t="n"/>
      <c r="Y664" s="67" t="n"/>
      <c r="Z664" s="67" t="n"/>
      <c r="AA664" s="67" t="n"/>
      <c r="AB664" s="67" t="n"/>
    </row>
    <row r="665" ht="15.75" customHeight="1" s="305">
      <c r="A665" s="225" t="inlineStr">
        <is>
          <t>NOT_ALLOW_TRANSFER_TO_POSTMAN</t>
        </is>
      </c>
      <c r="B665" s="67" t="inlineStr">
        <is>
          <t>Không cho phép chuyển phân công đơn hàng ở bưu cục khác</t>
        </is>
      </c>
      <c r="C665" s="67" t="inlineStr">
        <is>
          <t>Do not allow order assignment transfer at other post offices</t>
        </is>
      </c>
      <c r="D665" s="3">
        <f>IFERROR(__xludf.DUMMYFUNCTION("GOOGLETRANSLATE(B665,""vi"",""km"")"),"ការផ្ទេរការចាត់តាំងការបញ្ជាទិញទៅការិយាល័យប្រៃសណីយ៍ផ្សេងទៀតមិនត្រូវបានអនុញ្ញាតទេ។")</f>
        <v/>
      </c>
      <c r="E665" s="67" t="inlineStr">
        <is>
          <t>មិនអនុញ្ញាតឱ្យផ្ទេរបុងបញ្ញើ នៅការិយាល័យប្រៃសណីយ៍ផ្សេងទៀតទេ</t>
        </is>
      </c>
      <c r="F665" s="3" t="inlineStr">
        <is>
          <t>ការផ្ទេរការចាត់តាំងការបញ្ជាទិញទៅការិយាល័យប្រៃសណីយ៍ផ្សេងទៀតមិនត្រូវបានអនុញ្ញាតទេ។</t>
        </is>
      </c>
      <c r="G665" s="3" t="n"/>
      <c r="H665" t="inlineStr">
        <is>
          <t>ការផ្ទេរការចាត់តាំងការបញ្ជាទិញទៅការិយាល័យប្រៃសណីយ៍ផ្សេងទៀតមិនត្រូវបានអនុញ្ញាតទេ។</t>
        </is>
      </c>
      <c r="I665" s="67" t="n"/>
      <c r="J665" s="67" t="n"/>
      <c r="K665" s="67" t="n"/>
      <c r="L665" s="67" t="n"/>
      <c r="M665" s="67" t="n"/>
      <c r="N665" s="67" t="n"/>
      <c r="O665" s="67" t="n"/>
      <c r="P665" s="67" t="n"/>
      <c r="Q665" s="67" t="n"/>
      <c r="R665" s="67" t="n"/>
      <c r="S665" s="67" t="n"/>
      <c r="T665" s="67" t="n"/>
      <c r="U665" s="67" t="n"/>
      <c r="V665" s="67" t="n"/>
      <c r="W665" s="67" t="n"/>
      <c r="X665" s="67" t="n"/>
      <c r="Y665" s="67" t="n"/>
      <c r="Z665" s="67" t="n"/>
      <c r="AA665" s="67" t="n"/>
      <c r="AB665" s="67" t="n"/>
    </row>
    <row r="666" ht="15.75" customHeight="1" s="305">
      <c r="A666" s="225" t="inlineStr">
        <is>
          <t>ORDER_ALREADY_EXISTED_IN_POSTMAN_ROUTE</t>
        </is>
      </c>
      <c r="B666" s="67" t="inlineStr">
        <is>
          <t>Đơn đã thuộc lượt chuyển phân công khác hoặc đã được gán cho tuyến bưu tá này</t>
        </is>
      </c>
      <c r="C666" s="67" t="inlineStr">
        <is>
          <t>The order has already been assigned to another dispatch or is already allocated to this postman's route</t>
        </is>
      </c>
      <c r="D666" s="3">
        <f>IFERROR(__xludf.DUMMYFUNCTION("GOOGLETRANSLATE(B666,""vi"",""km"")"),"ការបញ្ជាទិញត្រូវបានផ្ទេរទៅសេវាប្រៃសណីយ៍ផ្សេងទៀត ឬត្រូវបានចាត់តាំងឱ្យទៅកាន់ផ្លូវប្រៃសណីយ៍នេះរួចហើយ។")</f>
        <v/>
      </c>
      <c r="E666" s="67" t="inlineStr">
        <is>
          <t>បុងបញ្ញើ នេះត្រូវបានចាត់ចែងទៅកាន់ការដឹកជញ្ជូនផ្សេងទៀតរួចហើយ ឬត្រូវបានបែងចែកទៅផ្លូវរបស់អ្នកដឹកជញ្ជូនរួចហើយ។</t>
        </is>
      </c>
      <c r="F666" s="3" t="inlineStr">
        <is>
          <t>ការបញ្ជាទិញត្រូវបានផ្ទេរទៅសេវាប្រៃសណីយ៍ផ្សេងទៀត ឬត្រូវបានចាត់តាំងឱ្យទៅកាន់ផ្លូវប្រៃសណីយ៍នេះរួចហើយ។</t>
        </is>
      </c>
      <c r="G666" s="3" t="n"/>
      <c r="H666" t="inlineStr">
        <is>
          <t>ការបញ្ជាទិញត្រូវបានផ្ទេរទៅសេវាប្រៃសណីយ៍ផ្សេងទៀត ឬត្រូវបានចាត់តាំងឱ្យទៅកាន់ផ្លូវប្រៃសណីយ៍នេះរួចហើយ។</t>
        </is>
      </c>
      <c r="I666" s="67" t="n"/>
      <c r="J666" s="67" t="n"/>
      <c r="K666" s="67" t="n"/>
      <c r="L666" s="67" t="n"/>
      <c r="M666" s="67" t="n"/>
      <c r="N666" s="67" t="n"/>
      <c r="O666" s="67" t="n"/>
      <c r="P666" s="67" t="n"/>
      <c r="Q666" s="67" t="n"/>
      <c r="R666" s="67" t="n"/>
      <c r="S666" s="67" t="n"/>
      <c r="T666" s="67" t="n"/>
      <c r="U666" s="67" t="n"/>
      <c r="V666" s="67" t="n"/>
      <c r="W666" s="67" t="n"/>
      <c r="X666" s="67" t="n"/>
      <c r="Y666" s="67" t="n"/>
      <c r="Z666" s="67" t="n"/>
      <c r="AA666" s="67" t="n"/>
      <c r="AB666" s="67" t="n"/>
    </row>
    <row r="667" ht="15.75" customHeight="1" s="305">
      <c r="A667" s="225" t="inlineStr">
        <is>
          <t>ASSIGN_FAILED_400</t>
        </is>
      </c>
      <c r="B667" s="67" t="inlineStr">
        <is>
          <t>Phiếu gửi %s không được phép phân công do chưa đóng tải</t>
        </is>
      </c>
      <c r="C667" s="67" t="inlineStr">
        <is>
          <t>Order %s is not allowed to be assigned because it has not been sorted yet</t>
        </is>
      </c>
      <c r="D667" s="3">
        <f>IFERROR(__xludf.DUMMYFUNCTION("GOOGLETRANSLATE(B667,""vi"",""km"")"),"សន្លឹក​ដឹកជញ្ជូន %s មិន​ត្រូវ​បាន​កំណត់​ទេ ព្រោះ​ទំនិញ​មិន​ត្រូវ​បាន​ផ្ទុក។")</f>
        <v/>
      </c>
      <c r="E667" s="159" t="inlineStr">
        <is>
          <t>បុងបញ្ញើ %s មិនអនុញ្ញាត្តិបែងចែកការងារបានទេ ពីព្រោះទំនិញមិនទាន់ត្រូវបានរៀបចំ</t>
        </is>
      </c>
      <c r="F667" s="3" t="inlineStr">
        <is>
          <t>សន្លឹកដឹកជញ្ជូន %s មិនត្រូវបានកំណត់ទេ ព្រោះទំនិញមិនត្រូវបានផ្ទុក។</t>
        </is>
      </c>
      <c r="G667" s="3" t="n"/>
      <c r="H667" t="inlineStr">
        <is>
          <t>សន្លឹកដឹកជញ្ជូន %s មិនត្រូវបានកំណត់ទេ ព្រោះទំនិញមិនត្រូវបានផ្ទុក។</t>
        </is>
      </c>
      <c r="I667" s="67" t="n"/>
      <c r="J667" s="67" t="n"/>
      <c r="K667" s="67" t="n"/>
      <c r="L667" s="67" t="n"/>
      <c r="M667" s="67" t="n"/>
      <c r="N667" s="67" t="n"/>
      <c r="O667" s="67" t="n"/>
      <c r="P667" s="67" t="n"/>
      <c r="Q667" s="67" t="n"/>
      <c r="R667" s="67" t="n"/>
      <c r="S667" s="67" t="n"/>
      <c r="T667" s="67" t="n"/>
      <c r="U667" s="67" t="n"/>
      <c r="V667" s="67" t="n"/>
      <c r="W667" s="67" t="n"/>
      <c r="X667" s="67" t="n"/>
      <c r="Y667" s="67" t="n"/>
      <c r="Z667" s="67" t="n"/>
      <c r="AA667" s="67" t="n"/>
      <c r="AB667" s="67" t="n"/>
    </row>
    <row r="668" ht="15.75" customHeight="1" s="305">
      <c r="A668" s="225" t="inlineStr">
        <is>
          <t>ASSIGN_FAILED_300</t>
        </is>
      </c>
      <c r="B668" s="67" t="inlineStr">
        <is>
          <t>Phiếu gửi %s không được phép phân công do đang trong quá trình trung chuyển</t>
        </is>
      </c>
      <c r="C668" s="67" t="inlineStr">
        <is>
          <t>Order %s is not allowed to be assigned because it is in transit</t>
        </is>
      </c>
      <c r="D668" s="3">
        <f>IFERROR(__xludf.DUMMYFUNCTION("GOOGLETRANSLATE(B668,""vi"",""km"")"),"មិនអាចកំណត់​សន្លឹក​ដឹកជញ្ជូន %s បានទេ ព្រោះវាកំពុងស្ថិតក្នុងការដឹកជញ្ជូន។")</f>
        <v/>
      </c>
      <c r="E668" s="159" t="inlineStr">
        <is>
          <t>បុងបញ្ញើ%s មិនអនុញ្ញាត្តិបែងចែកការងារបានទេ ព្រោះកំពុងស្ថិតនៅក្នុងដំណាក់កាលដឹកជញ្ជូន</t>
        </is>
      </c>
      <c r="F668" s="3" t="inlineStr">
        <is>
          <t>មិនអាចកំណត់សន្លឹកដឹកជញ្ជូន %s បានទេ ព្រោះវាកំពុងស្ថិតក្នុងការដឹកជញ្ជូន។</t>
        </is>
      </c>
      <c r="G668" s="3" t="n"/>
      <c r="H668" t="inlineStr">
        <is>
          <t>មិនអាចកំណត់សន្លឹកដឹកជញ្ជូន %s បានទេ ព្រោះវាកំពុងស្ថិតក្នុងការដឹកជញ្ជូន។</t>
        </is>
      </c>
      <c r="I668" s="67" t="n"/>
      <c r="J668" s="67" t="n"/>
      <c r="K668" s="67" t="n"/>
      <c r="L668" s="67" t="n"/>
      <c r="M668" s="67" t="n"/>
      <c r="N668" s="67" t="n"/>
      <c r="O668" s="67" t="n"/>
      <c r="P668" s="67" t="n"/>
      <c r="Q668" s="67" t="n"/>
      <c r="R668" s="67" t="n"/>
      <c r="S668" s="67" t="n"/>
      <c r="T668" s="67" t="n"/>
      <c r="U668" s="67" t="n"/>
      <c r="V668" s="67" t="n"/>
      <c r="W668" s="67" t="n"/>
      <c r="X668" s="67" t="n"/>
      <c r="Y668" s="67" t="n"/>
      <c r="Z668" s="67" t="n"/>
      <c r="AA668" s="67" t="n"/>
      <c r="AB668" s="67" t="n"/>
    </row>
    <row r="669" ht="15.75" customHeight="1" s="305">
      <c r="A669" s="225" t="inlineStr">
        <is>
          <t>CREATE_ASSIGN_FAILED_1</t>
        </is>
      </c>
      <c r="B669" s="67" t="inlineStr">
        <is>
          <t>Phiếu gửi %s không được phép phân công</t>
        </is>
      </c>
      <c r="C669" s="67" t="inlineStr">
        <is>
          <t>Order %s is not allowed to be assigned</t>
        </is>
      </c>
      <c r="D669" s="3">
        <f>IFERROR(__xludf.DUMMYFUNCTION("GOOGLETRANSLATE(B669,""vi"",""km"")"),"សន្លឹកកិច្ចការ %s មិនត្រូវបានអនុញ្ញាតទេ។")</f>
        <v/>
      </c>
      <c r="E669" s="196" t="inlineStr">
        <is>
          <t>បុងបញ្ញើ %s មិនត្រូវបានអនុញ្ញាតឱ្យចាត់ចែងទេ</t>
        </is>
      </c>
      <c r="F669" s="3" t="inlineStr">
        <is>
          <t>សន្លឹកកិច្ចការ %s មិនត្រូវបានអនុញ្ញាតទេ។</t>
        </is>
      </c>
      <c r="G669" s="3" t="n"/>
      <c r="H669" t="inlineStr">
        <is>
          <t>សន្លឹកកិច្ចការ %s មិនត្រូវបានអនុញ្ញាតទេ។</t>
        </is>
      </c>
      <c r="I669" s="67" t="n"/>
      <c r="J669" s="67" t="n"/>
      <c r="K669" s="67" t="n"/>
      <c r="L669" s="67" t="n"/>
      <c r="M669" s="67" t="n"/>
      <c r="N669" s="67" t="n"/>
      <c r="O669" s="67" t="n"/>
      <c r="P669" s="67" t="n"/>
      <c r="Q669" s="67" t="n"/>
      <c r="R669" s="67" t="n"/>
      <c r="S669" s="67" t="n"/>
      <c r="T669" s="67" t="n"/>
      <c r="U669" s="67" t="n"/>
      <c r="V669" s="67" t="n"/>
      <c r="W669" s="67" t="n"/>
      <c r="X669" s="67" t="n"/>
      <c r="Y669" s="67" t="n"/>
      <c r="Z669" s="67" t="n"/>
      <c r="AA669" s="67" t="n"/>
      <c r="AB669" s="67" t="n"/>
    </row>
    <row r="670" ht="15.75" customHeight="1" s="305">
      <c r="A670" s="225" t="inlineStr">
        <is>
          <t>CREATE_ASSIGN_FAILED_2</t>
        </is>
      </c>
      <c r="B670" s="67" t="inlineStr">
        <is>
          <t>Phiếu gửi %s đã bị huỷ</t>
        </is>
      </c>
      <c r="C670" s="67" t="inlineStr">
        <is>
          <t>Order %s has been cancelled</t>
        </is>
      </c>
      <c r="D670" s="3">
        <f>IFERROR(__xludf.DUMMYFUNCTION("GOOGLETRANSLATE(B670,""vi"",""km"")"),"បង្កាន់ដៃដឹកជញ្ជូន %s ត្រូវបានលុបចោល។")</f>
        <v/>
      </c>
      <c r="E670" s="196" t="inlineStr">
        <is>
          <t>បុងបញ្ញើ%s ត្រូវបានលុបចោល</t>
        </is>
      </c>
      <c r="F670" s="3" t="inlineStr">
        <is>
          <t>បុងបញ្ញើ %s ត្រូវបានលុបចោល។</t>
        </is>
      </c>
      <c r="G670" s="3" t="n"/>
      <c r="H670" t="inlineStr">
        <is>
          <t>បុងបញ្ញើ %s ត្រូវបានលុបចោល។</t>
        </is>
      </c>
      <c r="I670" s="67" t="n"/>
      <c r="J670" s="67" t="n"/>
      <c r="K670" s="67" t="n"/>
      <c r="L670" s="67" t="n"/>
      <c r="M670" s="67" t="n"/>
      <c r="N670" s="67" t="n"/>
      <c r="O670" s="67" t="n"/>
      <c r="P670" s="67" t="n"/>
      <c r="Q670" s="67" t="n"/>
      <c r="R670" s="67" t="n"/>
      <c r="S670" s="67" t="n"/>
      <c r="T670" s="67" t="n"/>
      <c r="U670" s="67" t="n"/>
      <c r="V670" s="67" t="n"/>
      <c r="W670" s="67" t="n"/>
      <c r="X670" s="67" t="n"/>
      <c r="Y670" s="67" t="n"/>
      <c r="Z670" s="67" t="n"/>
      <c r="AA670" s="67" t="n"/>
      <c r="AB670" s="67" t="n"/>
    </row>
    <row r="671" ht="15.75" customHeight="1" s="305">
      <c r="A671" s="225" t="inlineStr">
        <is>
          <t>CREATE_ASSIGN_FAILED_3</t>
        </is>
      </c>
      <c r="B671" s="67" t="inlineStr">
        <is>
          <t>Phiếu gửi %s không được phép phân công do đang ở trong tải</t>
        </is>
      </c>
      <c r="C671" s="67" t="inlineStr">
        <is>
          <t>Order %s is not allowed to be assigned because it is in sack</t>
        </is>
      </c>
      <c r="D671" s="3">
        <f>IFERROR(__xludf.DUMMYFUNCTION("GOOGLETRANSLATE(B671,""vi"",""km"")"),"មិនអាចកំណត់​សន្លឹក​បញ្ជូន %s បានទេ ពីព្រោះ​វាកំពុង​ផ្ទុក។")</f>
        <v/>
      </c>
      <c r="E671" s="196" t="inlineStr">
        <is>
          <t>"បុងបញ្ញើ %s មិនត្រូវបានអនុញ្ញាតឱ្យចាត់តាំងោយសារតែកំពុងផ្ទុក %s"</t>
        </is>
      </c>
      <c r="F671" s="3" t="inlineStr">
        <is>
          <t>មិនអាចកំណត់សន្លឹកបញ្ជូន %s បានទេ ពីព្រោះវាកំពុងផ្ទុក។</t>
        </is>
      </c>
      <c r="G671" s="3" t="n"/>
      <c r="H671" t="inlineStr">
        <is>
          <t>មិនអាចកំណត់សន្លឹកបញ្ជូន %s បានទេ ពីព្រោះវាកំពុងផ្ទុក។</t>
        </is>
      </c>
      <c r="I671" s="67" t="n"/>
      <c r="J671" s="67" t="n"/>
      <c r="K671" s="67" t="n"/>
      <c r="L671" s="67" t="n"/>
      <c r="M671" s="67" t="n"/>
      <c r="N671" s="67" t="n"/>
      <c r="O671" s="67" t="n"/>
      <c r="P671" s="67" t="n"/>
      <c r="Q671" s="67" t="n"/>
      <c r="R671" s="67" t="n"/>
      <c r="S671" s="67" t="n"/>
      <c r="T671" s="67" t="n"/>
      <c r="U671" s="67" t="n"/>
      <c r="V671" s="67" t="n"/>
      <c r="W671" s="67" t="n"/>
      <c r="X671" s="67" t="n"/>
      <c r="Y671" s="67" t="n"/>
      <c r="Z671" s="67" t="n"/>
      <c r="AA671" s="67" t="n"/>
      <c r="AB671" s="67" t="n"/>
    </row>
    <row r="672" ht="15.75" customHeight="1" s="305">
      <c r="A672" s="225" t="inlineStr">
        <is>
          <t>CREATE_ASSIGN_FAILED_4</t>
        </is>
      </c>
      <c r="B672" s="67" t="inlineStr">
        <is>
          <t>Phiếu gửi %s đã được phân công cho bưu tá %s</t>
        </is>
      </c>
      <c r="C672" s="67" t="inlineStr">
        <is>
          <t>Order %s has been assigned to postman %s</t>
        </is>
      </c>
      <c r="D672" s="3">
        <f>IFERROR(__xludf.DUMMYFUNCTION("GOOGLETRANSLATE(B672,""vi"",""km"")"),"សន្លឹកដឹកជញ្ជូន %s ត្រូវបានប្រគល់ឱ្យបុគ្គលិកប្រៃសណីយ៍ %s")</f>
        <v/>
      </c>
      <c r="E672" s="196" t="inlineStr">
        <is>
          <t>បុងបញ្ញើ %s ត្រូវបានប្រគល់ឱ្យអ្នកដឹកផ្សេងទៀត %s</t>
        </is>
      </c>
      <c r="F672" s="3" t="inlineStr">
        <is>
          <t>បុងបញ្ញើ %s ត្រូវបានប្រគល់ឱ្យបុគ្គលិកប្រៃសណីយ៍ %s</t>
        </is>
      </c>
      <c r="G672" s="3" t="n"/>
      <c r="H672" t="inlineStr">
        <is>
          <t>បុងបញ្ញើ %s ត្រូវបានប្រគល់ឱ្យបុគ្គលិកប្រៃសណីយ៍ %s</t>
        </is>
      </c>
      <c r="I672" s="67" t="n"/>
      <c r="J672" s="67" t="n"/>
      <c r="K672" s="67" t="n"/>
      <c r="L672" s="67" t="n"/>
      <c r="M672" s="67" t="n"/>
      <c r="N672" s="67" t="n"/>
      <c r="O672" s="67" t="n"/>
      <c r="P672" s="67" t="n"/>
      <c r="Q672" s="67" t="n"/>
      <c r="R672" s="67" t="n"/>
      <c r="S672" s="67" t="n"/>
      <c r="T672" s="67" t="n"/>
      <c r="U672" s="67" t="n"/>
      <c r="V672" s="67" t="n"/>
      <c r="W672" s="67" t="n"/>
      <c r="X672" s="67" t="n"/>
      <c r="Y672" s="67" t="n"/>
      <c r="Z672" s="67" t="n"/>
      <c r="AA672" s="67" t="n"/>
      <c r="AB672" s="67" t="n"/>
    </row>
    <row r="673" ht="15.75" customHeight="1" s="305">
      <c r="A673" s="225" t="inlineStr">
        <is>
          <t>CREATE_ASSIGN_FAILED_6</t>
        </is>
      </c>
      <c r="B673" s="67" t="inlineStr">
        <is>
          <t>Phiếu gửi %s đã có trạng thái cuối</t>
        </is>
      </c>
      <c r="C673" s="67" t="inlineStr">
        <is>
          <t>Order %s has reached its final status</t>
        </is>
      </c>
      <c r="D673" s="3">
        <f>IFERROR(__xludf.DUMMYFUNCTION("GOOGLETRANSLATE(B673,""vi"",""km"")"),"ទម្រង់​ដាក់ស្នើ %s បាន​ឈានដល់​ស្ថានភាព​ចុងក្រោយ​របស់​វា​ហើយ។")</f>
        <v/>
      </c>
      <c r="E673" s="196" t="inlineStr">
        <is>
          <t>បុងបញ្ញើ %s មានស្ថានភាពចុងក្រោយ</t>
        </is>
      </c>
      <c r="F673" s="3" t="inlineStr">
        <is>
          <t>ទម្រង់ដាក់ស្នើ %s បានឈានដល់ស្ថានភាពចុងក្រោយរបស់វាហើយ។</t>
        </is>
      </c>
      <c r="G673" s="3" t="n"/>
      <c r="H673" t="inlineStr">
        <is>
          <t>ទម្រង់ដាក់ស្នើ %s បានឈានដល់ស្ថានភាពចុងក្រោយរបស់វាហើយ។</t>
        </is>
      </c>
      <c r="I673" s="67" t="n"/>
      <c r="J673" s="67" t="n"/>
      <c r="K673" s="67" t="n"/>
      <c r="L673" s="67" t="n"/>
      <c r="M673" s="67" t="n"/>
      <c r="N673" s="67" t="n"/>
      <c r="O673" s="67" t="n"/>
      <c r="P673" s="67" t="n"/>
      <c r="Q673" s="67" t="n"/>
      <c r="R673" s="67" t="n"/>
      <c r="S673" s="67" t="n"/>
      <c r="T673" s="67" t="n"/>
      <c r="U673" s="67" t="n"/>
      <c r="V673" s="67" t="n"/>
      <c r="W673" s="67" t="n"/>
      <c r="X673" s="67" t="n"/>
      <c r="Y673" s="67" t="n"/>
      <c r="Z673" s="67" t="n"/>
      <c r="AA673" s="67" t="n"/>
      <c r="AB673" s="67" t="n"/>
    </row>
    <row r="674" ht="15.75" customHeight="1" s="305">
      <c r="A674" s="225" t="inlineStr">
        <is>
          <t>CREATE_ASSIGN_FAILED_7</t>
        </is>
      </c>
      <c r="B674" s="67" t="inlineStr">
        <is>
          <t>Phiếu gửi %s không được phép phân công do chưa đóng tải</t>
        </is>
      </c>
      <c r="C674" s="67" t="inlineStr">
        <is>
          <t>The %s delivery note cannot be assigned because it has not been loaded yet.</t>
        </is>
      </c>
      <c r="D674" s="3">
        <f>IFERROR(__xludf.DUMMYFUNCTION("GOOGLETRANSLATE(B674,""vi"",""km"")"),"សន្លឹក​ដឹកជញ្ជូន %s មិន​ត្រូវ​បាន​កំណត់​ទេ ព្រោះ​ទំនិញ​មិន​ត្រូវ​បាន​ផ្ទុក។")</f>
        <v/>
      </c>
      <c r="E674" s="196" t="inlineStr">
        <is>
          <t>"បុងបញ្ញើ %s មិនអនុញ្ញាតិអោយចាត់ចែងទេព្រោះមិនទាន់វេចខ្ចប់"</t>
        </is>
      </c>
      <c r="F674" s="3" t="inlineStr">
        <is>
          <t>សន្លឹកដឹកជញ្ជូន %s មិនត្រូវបានកំណត់ទេ ព្រោះទំនិញមិនត្រូវបានផ្ទុក។</t>
        </is>
      </c>
      <c r="G674" s="3" t="n"/>
      <c r="H674" t="inlineStr">
        <is>
          <t>សន្លឹកដឹកជញ្ជូន %s មិនត្រូវបានកំណត់ទេ ព្រោះទំនិញមិនត្រូវបានផ្ទុក។</t>
        </is>
      </c>
      <c r="I674" s="67" t="n"/>
      <c r="J674" s="67" t="n"/>
      <c r="K674" s="67" t="n"/>
      <c r="L674" s="67" t="n"/>
      <c r="M674" s="67" t="n"/>
      <c r="N674" s="67" t="n"/>
      <c r="O674" s="67" t="n"/>
      <c r="P674" s="67" t="n"/>
      <c r="Q674" s="67" t="n"/>
      <c r="R674" s="67" t="n"/>
      <c r="S674" s="67" t="n"/>
      <c r="T674" s="67" t="n"/>
      <c r="U674" s="67" t="n"/>
      <c r="V674" s="67" t="n"/>
      <c r="W674" s="67" t="n"/>
      <c r="X674" s="67" t="n"/>
      <c r="Y674" s="67" t="n"/>
      <c r="Z674" s="67" t="n"/>
      <c r="AA674" s="67" t="n"/>
      <c r="AB674" s="67" t="n"/>
    </row>
    <row r="675" ht="15.75" customHeight="1" s="305">
      <c r="A675" s="225" t="inlineStr">
        <is>
          <t>CREATE_ASSIGN_FAILED_8</t>
        </is>
      </c>
      <c r="B675" s="67" t="inlineStr">
        <is>
          <t>Bưu phẩm không được phép phân công do đang tồn tại ở Bưu cục khác</t>
        </is>
      </c>
      <c r="C675" s="67" t="inlineStr">
        <is>
          <t>The order cannot be assigned because it is currently located at another post office</t>
        </is>
      </c>
      <c r="D675" s="3">
        <f>IFERROR(__xludf.DUMMYFUNCTION("GOOGLETRANSLATE(B675,""vi"",""km"")"),"មិនអាចចាត់តាំងវត្ថុប្រៃសណីយ៍បានទេ ពីព្រោះវាមាននៅការិយាល័យប្រៃសណីយ៍ផ្សេងរួចហើយ។")</f>
        <v/>
      </c>
      <c r="E675" s="196" t="inlineStr">
        <is>
          <t>"កញ្ចប់ឥវ៉ាន់មិនត្រូវបានអនុញ្ញាតឱ្យចាត់ចែងព្រោះ វាស្ថិតនៅក្នុងការិយាល័យប្រៃសណីយ៍ផ្សេងទៀត"</t>
        </is>
      </c>
      <c r="F675" s="3" t="inlineStr">
        <is>
          <t>មិនអាចចាត់តាំងវត្ថុប្រៃសណីយ៍បានទេ ពីព្រោះវាមាននៅការិយាល័យប្រៃសណីយ៍ផ្សេងរួចហើយ។</t>
        </is>
      </c>
      <c r="G675" s="3" t="n"/>
      <c r="H675" t="inlineStr">
        <is>
          <t>មិនអាចចាត់តាំងវត្ថុប្រៃសណីយ៍បានទេ ពីព្រោះវាមាននៅការិយាល័យប្រៃសណីយ៍ផ្សេងរួចហើយ។</t>
        </is>
      </c>
      <c r="I675" s="67" t="n"/>
      <c r="J675" s="67" t="n"/>
      <c r="K675" s="67" t="n"/>
      <c r="L675" s="67" t="n"/>
      <c r="M675" s="67" t="n"/>
      <c r="N675" s="67" t="n"/>
      <c r="O675" s="67" t="n"/>
      <c r="P675" s="67" t="n"/>
      <c r="Q675" s="67" t="n"/>
      <c r="R675" s="67" t="n"/>
      <c r="S675" s="67" t="n"/>
      <c r="T675" s="67" t="n"/>
      <c r="U675" s="67" t="n"/>
      <c r="V675" s="67" t="n"/>
      <c r="W675" s="67" t="n"/>
      <c r="X675" s="67" t="n"/>
      <c r="Y675" s="67" t="n"/>
      <c r="Z675" s="67" t="n"/>
      <c r="AA675" s="67" t="n"/>
      <c r="AB675" s="67" t="n"/>
    </row>
    <row r="676" ht="15.75" customHeight="1" s="305">
      <c r="A676" s="225" t="inlineStr">
        <is>
          <t>TRANSFER_ASSIGN_FAILED_1</t>
        </is>
      </c>
      <c r="B676" s="67" t="inlineStr">
        <is>
          <t>Phiếu gửi %s không được phép chuyển phân công</t>
        </is>
      </c>
      <c r="C676" s="67" t="inlineStr">
        <is>
          <t>Order %s is not allowed for forward assignment</t>
        </is>
      </c>
      <c r="D676" s="3">
        <f>IFERROR(__xludf.DUMMYFUNCTION("GOOGLETRANSLATE(B676,""vi"",""km"")"),"សន្លឹកកិច្ចការ %s មិនត្រូវបានអនុញ្ញាតឱ្យផ្ទេរទេ។")</f>
        <v/>
      </c>
      <c r="E676" s="196" t="inlineStr">
        <is>
          <t>បុងបញ្ញើ %s មិនត្រូវបានអនុញ្ញាតឱ្យចាត់ចែងទេ</t>
        </is>
      </c>
      <c r="F676" s="3" t="inlineStr">
        <is>
          <t>សន្លឹកកិច្ចការ %s មិនត្រូវបានអនុញ្ញាតឱ្យផ្ទេរទេ។</t>
        </is>
      </c>
      <c r="G676" s="3" t="n"/>
      <c r="H676" t="inlineStr">
        <is>
          <t>សន្លឹកកិច្ចការ %s មិនត្រូវបានអនុញ្ញាតឱ្យផ្ទេរទេ។</t>
        </is>
      </c>
      <c r="I676" s="67" t="n"/>
      <c r="J676" s="67" t="n"/>
      <c r="K676" s="67" t="n"/>
      <c r="L676" s="67" t="n"/>
      <c r="M676" s="67" t="n"/>
      <c r="N676" s="67" t="n"/>
      <c r="O676" s="67" t="n"/>
      <c r="P676" s="67" t="n"/>
      <c r="Q676" s="67" t="n"/>
      <c r="R676" s="67" t="n"/>
      <c r="S676" s="67" t="n"/>
      <c r="T676" s="67" t="n"/>
      <c r="U676" s="67" t="n"/>
      <c r="V676" s="67" t="n"/>
      <c r="W676" s="67" t="n"/>
      <c r="X676" s="67" t="n"/>
      <c r="Y676" s="67" t="n"/>
      <c r="Z676" s="67" t="n"/>
      <c r="AA676" s="67" t="n"/>
      <c r="AB676" s="67" t="n"/>
    </row>
    <row r="677" ht="15.75" customHeight="1" s="305">
      <c r="A677" s="225" t="inlineStr">
        <is>
          <t>TRANSFER_ASSIGN_FAILED_2</t>
        </is>
      </c>
      <c r="B677" s="67" t="inlineStr">
        <is>
          <t>Phiếu gửi %s đã bị huỷ</t>
        </is>
      </c>
      <c r="C677" s="67" t="inlineStr">
        <is>
          <t>Order %s has been cancelled</t>
        </is>
      </c>
      <c r="D677" s="3">
        <f>IFERROR(__xludf.DUMMYFUNCTION("GOOGLETRANSLATE(B677,""vi"",""km"")"),"បង្កាន់ដៃដឹកជញ្ជូន %s ត្រូវបានលុបចោល។")</f>
        <v/>
      </c>
      <c r="E677" s="196" t="inlineStr">
        <is>
          <t>បុងបញ្ញើ %s ត្រូវបានលុបចោល</t>
        </is>
      </c>
      <c r="F677" s="3" t="inlineStr">
        <is>
          <t>បុងបញ្ញើ %s ត្រូវបានលុបចោល។</t>
        </is>
      </c>
      <c r="G677" s="3" t="n"/>
      <c r="H677" t="inlineStr">
        <is>
          <t>បុងបញ្ញើ %s ត្រូវបានលុបចោល។</t>
        </is>
      </c>
      <c r="I677" s="67" t="n"/>
      <c r="J677" s="67" t="n"/>
      <c r="K677" s="67" t="n"/>
      <c r="L677" s="67" t="n"/>
      <c r="M677" s="67" t="n"/>
      <c r="N677" s="67" t="n"/>
      <c r="O677" s="67" t="n"/>
      <c r="P677" s="67" t="n"/>
      <c r="Q677" s="67" t="n"/>
      <c r="R677" s="67" t="n"/>
      <c r="S677" s="67" t="n"/>
      <c r="T677" s="67" t="n"/>
      <c r="U677" s="67" t="n"/>
      <c r="V677" s="67" t="n"/>
      <c r="W677" s="67" t="n"/>
      <c r="X677" s="67" t="n"/>
      <c r="Y677" s="67" t="n"/>
      <c r="Z677" s="67" t="n"/>
      <c r="AA677" s="67" t="n"/>
      <c r="AB677" s="67" t="n"/>
    </row>
    <row r="678" ht="15.75" customHeight="1" s="305">
      <c r="A678" s="225" t="inlineStr">
        <is>
          <t>TRANSFER_ASSIGN_FAILED_3</t>
        </is>
      </c>
      <c r="B678" s="67" t="inlineStr">
        <is>
          <t>Phiếu gửi %s không được phép chuyển phân công do đang ở trong tải</t>
        </is>
      </c>
      <c r="C678" s="67" t="inlineStr">
        <is>
          <t>Order %s is not allowed for forward assignment because it is in sack</t>
        </is>
      </c>
      <c r="D678" s="3">
        <f>IFERROR(__xludf.DUMMYFUNCTION("GOOGLETRANSLATE(B678,""vi"",""km"")"),"សន្លឹក​បញ្ជូន​ %s មិន​អាច​ផ្ទេរ​បាន​ទេ ព្រោះ​វា​កំពុង​ផ្ទុក។")</f>
        <v/>
      </c>
      <c r="E678" s="196" t="inlineStr">
        <is>
          <t>បុងបញ្ញើ %s មិនត្រូវបានអនុញ្ញាតឱ្យចាត់តាំងដោយសារតែកំពុងផ្ទុក</t>
        </is>
      </c>
      <c r="F678" s="3" t="inlineStr">
        <is>
          <t>សន្លឹកបញ្ជូន %s មិនអាចផ្ទេរបានទេ ព្រោះវាកំពុងផ្ទុក។</t>
        </is>
      </c>
      <c r="G678" s="3" t="n"/>
      <c r="H678" t="inlineStr">
        <is>
          <t>សន្លឹកបញ្ជូន %s មិនអាចផ្ទេរបានទេ ព្រោះវាកំពុងផ្ទុក។</t>
        </is>
      </c>
      <c r="I678" s="67" t="n"/>
      <c r="J678" s="67" t="n"/>
      <c r="K678" s="67" t="n"/>
      <c r="L678" s="67" t="n"/>
      <c r="M678" s="67" t="n"/>
      <c r="N678" s="67" t="n"/>
      <c r="O678" s="67" t="n"/>
      <c r="P678" s="67" t="n"/>
      <c r="Q678" s="67" t="n"/>
      <c r="R678" s="67" t="n"/>
      <c r="S678" s="67" t="n"/>
      <c r="T678" s="67" t="n"/>
      <c r="U678" s="67" t="n"/>
      <c r="V678" s="67" t="n"/>
      <c r="W678" s="67" t="n"/>
      <c r="X678" s="67" t="n"/>
      <c r="Y678" s="67" t="n"/>
      <c r="Z678" s="67" t="n"/>
      <c r="AA678" s="67" t="n"/>
      <c r="AB678" s="67" t="n"/>
    </row>
    <row r="679" ht="15.75" customHeight="1" s="305">
      <c r="A679" s="225" t="inlineStr">
        <is>
          <t>TRANSFER_ASSIGN_FAILED_4</t>
        </is>
      </c>
      <c r="B679" s="67" t="inlineStr">
        <is>
          <t>Phiếu gửi %s đã được phân công cho bưu tá %s</t>
        </is>
      </c>
      <c r="C679" s="67" t="inlineStr">
        <is>
          <t>Order %s has been assigned to postman %s</t>
        </is>
      </c>
      <c r="D679" s="3">
        <f>IFERROR(__xludf.DUMMYFUNCTION("GOOGLETRANSLATE(B679,""vi"",""km"")"),"សន្លឹកដឹកជញ្ជូន %s ត្រូវបានប្រគល់ឱ្យបុគ្គលិកប្រៃសណីយ៍ %s")</f>
        <v/>
      </c>
      <c r="E679" s="196" t="inlineStr">
        <is>
          <t>បុងបញ្ញើ %s បានបែងចែកអោយអ្នកដឹកផ្សេង+ឈ្មោះអ្នកដឹក %s</t>
        </is>
      </c>
      <c r="F679" s="3" t="inlineStr">
        <is>
          <t>បុងបញ្ញើ %s ត្រូវបានប្រគល់ឱ្យបុគ្គលិកប្រៃសណីយ៍ %s</t>
        </is>
      </c>
      <c r="G679" s="3" t="n"/>
      <c r="H679" t="inlineStr">
        <is>
          <t>បុងបញ្ញើ %s ត្រូវបានប្រគល់ឱ្យបុគ្គលិកប្រៃសណីយ៍ %s</t>
        </is>
      </c>
      <c r="I679" s="67" t="n"/>
      <c r="J679" s="67" t="n"/>
      <c r="K679" s="67" t="n"/>
      <c r="L679" s="67" t="n"/>
      <c r="M679" s="67" t="n"/>
      <c r="N679" s="67" t="n"/>
      <c r="O679" s="67" t="n"/>
      <c r="P679" s="67" t="n"/>
      <c r="Q679" s="67" t="n"/>
      <c r="R679" s="67" t="n"/>
      <c r="S679" s="67" t="n"/>
      <c r="T679" s="67" t="n"/>
      <c r="U679" s="67" t="n"/>
      <c r="V679" s="67" t="n"/>
      <c r="W679" s="67" t="n"/>
      <c r="X679" s="67" t="n"/>
      <c r="Y679" s="67" t="n"/>
      <c r="Z679" s="67" t="n"/>
      <c r="AA679" s="67" t="n"/>
      <c r="AB679" s="67" t="n"/>
    </row>
    <row r="680" ht="15.75" customHeight="1" s="305">
      <c r="A680" s="225" t="inlineStr">
        <is>
          <t>TRANSFER_ASSIGN_FAILED_5</t>
        </is>
      </c>
      <c r="B680" s="67" t="inlineStr">
        <is>
          <t>Phiếu gửi %s đã có trạng thái cuối</t>
        </is>
      </c>
      <c r="C680" s="67" t="inlineStr">
        <is>
          <t>Order %s has reached its final status</t>
        </is>
      </c>
      <c r="D680" s="3">
        <f>IFERROR(__xludf.DUMMYFUNCTION("GOOGLETRANSLATE(B680,""vi"",""km"")"),"ទម្រង់​ដាក់ស្នើ %s បាន​ឈានដល់​ស្ថានភាព​ចុងក្រោយ​របស់​វា​ហើយ។")</f>
        <v/>
      </c>
      <c r="E680" s="196" t="inlineStr">
        <is>
          <t>បុងផ្ញ %s មានស្ថានភាពចុងក្រោយ</t>
        </is>
      </c>
      <c r="F680" s="3" t="inlineStr">
        <is>
          <t>ទម្រង់ដាក់ស្នើ %s បានឈានដល់ស្ថានភាពចុងក្រោយរបស់វាហើយ។</t>
        </is>
      </c>
      <c r="G680" s="3" t="n"/>
      <c r="H680" t="inlineStr">
        <is>
          <t>ទម្រង់ដាក់ស្នើ %s បានឈានដល់ស្ថានភាពចុងក្រោយរបស់វាហើយ។</t>
        </is>
      </c>
      <c r="I680" s="67" t="n"/>
      <c r="J680" s="67" t="n"/>
      <c r="K680" s="67" t="n"/>
      <c r="L680" s="67" t="n"/>
      <c r="M680" s="67" t="n"/>
      <c r="N680" s="67" t="n"/>
      <c r="O680" s="67" t="n"/>
      <c r="P680" s="67" t="n"/>
      <c r="Q680" s="67" t="n"/>
      <c r="R680" s="67" t="n"/>
      <c r="S680" s="67" t="n"/>
      <c r="T680" s="67" t="n"/>
      <c r="U680" s="67" t="n"/>
      <c r="V680" s="67" t="n"/>
      <c r="W680" s="67" t="n"/>
      <c r="X680" s="67" t="n"/>
      <c r="Y680" s="67" t="n"/>
      <c r="Z680" s="67" t="n"/>
      <c r="AA680" s="67" t="n"/>
      <c r="AB680" s="67" t="n"/>
    </row>
    <row r="681" ht="15.75" customHeight="1" s="305">
      <c r="A681" s="225" t="inlineStr">
        <is>
          <t>NOT_ALLOW</t>
        </is>
      </c>
      <c r="B681" s="67" t="inlineStr">
        <is>
          <t>Bạn không thể cập nhật trạng thái cho đơn hàng này</t>
        </is>
      </c>
      <c r="C681" s="67" t="inlineStr">
        <is>
          <t>You are not allowed to update the status of this order</t>
        </is>
      </c>
      <c r="D681" s="3">
        <f>IFERROR(__xludf.DUMMYFUNCTION("GOOGLETRANSLATE(B681,""vi"",""km"")"),"អ្នកមិនអាចធ្វើបច្ចុប្បន្នភាពស្ថានភាពសម្រាប់ការបញ្ជាទិញនេះបានទេ។")</f>
        <v/>
      </c>
      <c r="E681" s="67" t="inlineStr">
        <is>
          <t>អ្នកមិនអាចអាប់ដេតស្ថានភាពឲ្យបុងបញ្ញើនេះបានទេ</t>
        </is>
      </c>
      <c r="F681" s="3" t="inlineStr">
        <is>
          <t>អ្នកមិនអាចធ្វើបច្ចុប្បន្នភាពស្ថានភាពសម្រាប់ការបញ្ជាទិញនេះបានទេ។</t>
        </is>
      </c>
      <c r="G681" s="3" t="n"/>
      <c r="H681" t="inlineStr">
        <is>
          <t>អ្នកមិនអាចធ្វើបច្ចុប្បន្នភាពស្ថានភាពសម្រាប់ការបញ្ជាទិញនេះបានទេ។</t>
        </is>
      </c>
      <c r="I681" s="67" t="n"/>
      <c r="J681" s="67" t="n"/>
      <c r="K681" s="67" t="n"/>
      <c r="L681" s="67" t="n"/>
      <c r="M681" s="67" t="n"/>
      <c r="N681" s="67" t="n"/>
      <c r="O681" s="67" t="n"/>
      <c r="P681" s="67" t="n"/>
      <c r="Q681" s="67" t="n"/>
      <c r="R681" s="67" t="n"/>
      <c r="S681" s="67" t="n"/>
      <c r="T681" s="67" t="n"/>
      <c r="U681" s="67" t="n"/>
      <c r="V681" s="67" t="n"/>
      <c r="W681" s="67" t="n"/>
      <c r="X681" s="67" t="n"/>
      <c r="Y681" s="67" t="n"/>
      <c r="Z681" s="67" t="n"/>
      <c r="AA681" s="67" t="n"/>
      <c r="AB681" s="67" t="n"/>
    </row>
    <row r="682" ht="15.75" customHeight="1" s="305">
      <c r="A682" s="225" t="inlineStr">
        <is>
          <t>ORDER_HAS_FINAL_STATUS</t>
        </is>
      </c>
      <c r="B682" s="67" t="inlineStr">
        <is>
          <t>Đơn đã có trạng thái cuối (hủy, thành công)</t>
        </is>
      </c>
      <c r="C682" s="67" t="inlineStr">
        <is>
          <t>The order has reached its final status</t>
        </is>
      </c>
      <c r="D682" s="3">
        <f>IFERROR(__xludf.DUMMYFUNCTION("GOOGLETRANSLATE(B682,""vi"",""km"")"),"ការបញ្ជាទិញមានស្ថានភាពចុងក្រោយ (ត្រូវបានលុបចោល ជោគជ័យ)។")</f>
        <v/>
      </c>
      <c r="E682" s="3" t="inlineStr">
        <is>
          <t>បុងបញ្ញើបានស្ថិតនៅស្ថានភាពចុងក្រោយ (លុបចោលបានជោគជ័យ)</t>
        </is>
      </c>
      <c r="F682" s="3" t="inlineStr">
        <is>
          <t>ការបញ្ជាទិញមានស្ថានភាពចុងក្រោយ (ត្រូវបានលុបចោល ជោគជ័យ)។</t>
        </is>
      </c>
      <c r="G682" s="3" t="n"/>
      <c r="H682" t="inlineStr">
        <is>
          <t>ការបញ្ជាទិញមានស្ថានភាពចុងក្រោយ (ត្រូវបានលុបចោល ជោគជ័យ)។</t>
        </is>
      </c>
      <c r="I682" s="67" t="n"/>
      <c r="J682" s="67" t="n"/>
      <c r="K682" s="67" t="n"/>
      <c r="L682" s="67" t="n"/>
      <c r="M682" s="67" t="n"/>
      <c r="N682" s="67" t="n"/>
      <c r="O682" s="67" t="n"/>
      <c r="P682" s="67" t="n"/>
      <c r="Q682" s="67" t="n"/>
      <c r="R682" s="67" t="n"/>
      <c r="S682" s="67" t="n"/>
      <c r="T682" s="67" t="n"/>
      <c r="U682" s="67" t="n"/>
      <c r="V682" s="67" t="n"/>
      <c r="W682" s="67" t="n"/>
      <c r="X682" s="67" t="n"/>
      <c r="Y682" s="67" t="n"/>
      <c r="Z682" s="67" t="n"/>
      <c r="AA682" s="67" t="n"/>
      <c r="AB682" s="67" t="n"/>
    </row>
    <row r="683" ht="15.75" customHeight="1" s="305">
      <c r="A683" s="225" t="inlineStr">
        <is>
          <t>ASSIGNED_TO_OTHER_USER</t>
        </is>
      </c>
      <c r="B683" s="67" t="inlineStr">
        <is>
          <t>Đơn đã phân công cho người khác</t>
        </is>
      </c>
      <c r="C683" s="67" t="inlineStr">
        <is>
          <t>The order has been assigned to someone else</t>
        </is>
      </c>
      <c r="D683" s="3">
        <f>IFERROR(__xludf.DUMMYFUNCTION("GOOGLETRANSLATE(B683,""vi"",""km"")"),"ការបញ្ជាទិញត្រូវបានចាត់ចែងទៅអ្នកផ្សេង។")</f>
        <v/>
      </c>
      <c r="E683" s="3" t="inlineStr">
        <is>
          <t>បុងបញ្ញើបានបែងចែកឲ្យអ្នកផ្សេង</t>
        </is>
      </c>
      <c r="F683" s="3" t="inlineStr">
        <is>
          <t>ការបញ្ជាទិញត្រូវបានចាត់ចែងទៅអ្នកផ្សេង។</t>
        </is>
      </c>
      <c r="G683" s="3" t="n"/>
      <c r="H683" t="inlineStr">
        <is>
          <t>ការបញ្ជាទិញត្រូវបានចាត់ចែងទៅអ្នកផ្សេង។</t>
        </is>
      </c>
      <c r="I683" s="67" t="n"/>
      <c r="J683" s="67" t="n"/>
      <c r="K683" s="67" t="n"/>
      <c r="L683" s="67" t="n"/>
      <c r="M683" s="67" t="n"/>
      <c r="N683" s="67" t="n"/>
      <c r="O683" s="67" t="n"/>
      <c r="P683" s="67" t="n"/>
      <c r="Q683" s="67" t="n"/>
      <c r="R683" s="67" t="n"/>
      <c r="S683" s="67" t="n"/>
      <c r="T683" s="67" t="n"/>
      <c r="U683" s="67" t="n"/>
      <c r="V683" s="67" t="n"/>
      <c r="W683" s="67" t="n"/>
      <c r="X683" s="67" t="n"/>
      <c r="Y683" s="67" t="n"/>
      <c r="Z683" s="67" t="n"/>
      <c r="AA683" s="67" t="n"/>
      <c r="AB683" s="67" t="n"/>
    </row>
    <row r="684" ht="15.75" customHeight="1" s="305">
      <c r="A684" s="225" t="inlineStr">
        <is>
          <t>ORDER_ALREADY_EXISTED_IN_GROUP</t>
        </is>
      </c>
      <c r="B684" s="67" t="inlineStr">
        <is>
          <t>Đơn đã tồn tại trong lượt chuyển phân công</t>
        </is>
      </c>
      <c r="C684" s="67" t="inlineStr">
        <is>
          <t>Đơn đã tồn tại trong lượt chuyển phân công</t>
        </is>
      </c>
      <c r="D684" s="3">
        <f>IFERROR(__xludf.DUMMYFUNCTION("GOOGLETRANSLATE(B684,""vi"",""km"")"),"ការបញ្ជាទិញនេះមានរួចហើយនៅក្នុងដំណើរការផ្ទេរការចាត់តាំង។")</f>
        <v/>
      </c>
      <c r="E684" s="67" t="n"/>
      <c r="F684" s="3" t="inlineStr">
        <is>
          <t>ការបញ្ជាទិញនេះមានរួចហើយនៅក្នុងដំណើរការផ្ទេរការចាត់តាំង។</t>
        </is>
      </c>
      <c r="G684" s="3" t="n"/>
      <c r="H684" t="inlineStr">
        <is>
          <t>ការបញ្ជាទិញនេះមានរួចហើយនៅក្នុងដំណើរការផ្ទេរការចាត់តាំង។</t>
        </is>
      </c>
      <c r="I684" s="67" t="n"/>
      <c r="J684" s="67" t="n"/>
      <c r="K684" s="67" t="n"/>
      <c r="L684" s="67" t="n"/>
      <c r="M684" s="67" t="n"/>
      <c r="N684" s="67" t="n"/>
      <c r="O684" s="67" t="n"/>
      <c r="P684" s="67" t="n"/>
      <c r="Q684" s="67" t="n"/>
      <c r="R684" s="67" t="n"/>
      <c r="S684" s="67" t="n"/>
      <c r="T684" s="67" t="n"/>
      <c r="U684" s="67" t="n"/>
      <c r="V684" s="67" t="n"/>
      <c r="W684" s="67" t="n"/>
      <c r="X684" s="67" t="n"/>
      <c r="Y684" s="67" t="n"/>
      <c r="Z684" s="67" t="n"/>
      <c r="AA684" s="67" t="n"/>
      <c r="AB684" s="67" t="n"/>
    </row>
    <row r="685" ht="15.75" customHeight="1" s="305">
      <c r="A685" s="67" t="n"/>
      <c r="B685" s="67" t="n"/>
      <c r="C685" s="67" t="n"/>
      <c r="D685" s="67" t="n"/>
      <c r="E685" s="67" t="n"/>
      <c r="F685" s="67" t="inlineStr"/>
      <c r="G685" s="67" t="n"/>
      <c r="H685" t="inlineStr"/>
      <c r="I685" s="67" t="n"/>
      <c r="J685" s="67" t="n"/>
      <c r="K685" s="67" t="n"/>
      <c r="L685" s="67" t="n"/>
      <c r="M685" s="67" t="n"/>
      <c r="N685" s="67" t="n"/>
      <c r="O685" s="67" t="n"/>
      <c r="P685" s="67" t="n"/>
      <c r="Q685" s="67" t="n"/>
      <c r="R685" s="67" t="n"/>
      <c r="S685" s="67" t="n"/>
      <c r="T685" s="67" t="n"/>
      <c r="U685" s="67" t="n"/>
      <c r="V685" s="67" t="n"/>
      <c r="W685" s="67" t="n"/>
      <c r="X685" s="67" t="n"/>
      <c r="Y685" s="67" t="n"/>
      <c r="Z685" s="67" t="n"/>
      <c r="AA685" s="67" t="n"/>
      <c r="AB685" s="67" t="n"/>
    </row>
    <row r="686" ht="15.75" customHeight="1" s="305">
      <c r="A686" s="67" t="n"/>
      <c r="B686" s="67" t="n"/>
      <c r="C686" s="67" t="n"/>
      <c r="D686" s="67" t="n"/>
      <c r="E686" s="67" t="n"/>
      <c r="F686" s="67" t="inlineStr"/>
      <c r="G686" s="67" t="n"/>
      <c r="H686" t="inlineStr"/>
      <c r="I686" s="67" t="n"/>
      <c r="J686" s="67" t="n"/>
      <c r="K686" s="67" t="n"/>
      <c r="L686" s="67" t="n"/>
      <c r="M686" s="67" t="n"/>
      <c r="N686" s="67" t="n"/>
      <c r="O686" s="67" t="n"/>
      <c r="P686" s="67" t="n"/>
      <c r="Q686" s="67" t="n"/>
      <c r="R686" s="67" t="n"/>
      <c r="S686" s="67" t="n"/>
      <c r="T686" s="67" t="n"/>
      <c r="U686" s="67" t="n"/>
      <c r="V686" s="67" t="n"/>
      <c r="W686" s="67" t="n"/>
      <c r="X686" s="67" t="n"/>
      <c r="Y686" s="67" t="n"/>
      <c r="Z686" s="67" t="n"/>
      <c r="AA686" s="67" t="n"/>
      <c r="AB686" s="67" t="n"/>
    </row>
    <row r="687" ht="15.75" customHeight="1" s="305">
      <c r="A687" s="67" t="n"/>
      <c r="B687" s="67" t="n"/>
      <c r="C687" s="67" t="n"/>
      <c r="D687" s="67" t="n"/>
      <c r="E687" s="67" t="n"/>
      <c r="F687" s="67" t="inlineStr"/>
      <c r="G687" s="67" t="n"/>
      <c r="H687" t="inlineStr"/>
      <c r="I687" s="67" t="n"/>
      <c r="J687" s="67" t="n"/>
      <c r="K687" s="67" t="n"/>
      <c r="L687" s="67" t="n"/>
      <c r="M687" s="67" t="n"/>
      <c r="N687" s="67" t="n"/>
      <c r="O687" s="67" t="n"/>
      <c r="P687" s="67" t="n"/>
      <c r="Q687" s="67" t="n"/>
      <c r="R687" s="67" t="n"/>
      <c r="S687" s="67" t="n"/>
      <c r="T687" s="67" t="n"/>
      <c r="U687" s="67" t="n"/>
      <c r="V687" s="67" t="n"/>
      <c r="W687" s="67" t="n"/>
      <c r="X687" s="67" t="n"/>
      <c r="Y687" s="67" t="n"/>
      <c r="Z687" s="67" t="n"/>
      <c r="AA687" s="67" t="n"/>
      <c r="AB687" s="67" t="n"/>
    </row>
    <row r="688" ht="15.75" customHeight="1" s="305">
      <c r="A688" s="67" t="n"/>
      <c r="B688" s="67" t="n"/>
      <c r="C688" s="67" t="n"/>
      <c r="D688" s="67" t="n"/>
      <c r="E688" s="67" t="n"/>
      <c r="F688" s="67" t="inlineStr"/>
      <c r="G688" s="67" t="n"/>
      <c r="H688" t="inlineStr"/>
      <c r="I688" s="67" t="n"/>
      <c r="J688" s="67" t="n"/>
      <c r="K688" s="67" t="n"/>
      <c r="L688" s="67" t="n"/>
      <c r="M688" s="67" t="n"/>
      <c r="N688" s="67" t="n"/>
      <c r="O688" s="67" t="n"/>
      <c r="P688" s="67" t="n"/>
      <c r="Q688" s="67" t="n"/>
      <c r="R688" s="67" t="n"/>
      <c r="S688" s="67" t="n"/>
      <c r="T688" s="67" t="n"/>
      <c r="U688" s="67" t="n"/>
      <c r="V688" s="67" t="n"/>
      <c r="W688" s="67" t="n"/>
      <c r="X688" s="67" t="n"/>
      <c r="Y688" s="67" t="n"/>
      <c r="Z688" s="67" t="n"/>
      <c r="AA688" s="67" t="n"/>
      <c r="AB688" s="67" t="n"/>
    </row>
    <row r="689" ht="15.75" customHeight="1" s="305">
      <c r="A689" s="67" t="n"/>
      <c r="B689" s="67" t="n"/>
      <c r="C689" s="67" t="n"/>
      <c r="D689" s="67" t="n"/>
      <c r="E689" s="67" t="n"/>
      <c r="F689" s="67" t="inlineStr"/>
      <c r="G689" s="67" t="n"/>
      <c r="H689" t="inlineStr"/>
      <c r="I689" s="67" t="n"/>
      <c r="J689" s="67" t="n"/>
      <c r="K689" s="67" t="n"/>
      <c r="L689" s="67" t="n"/>
      <c r="M689" s="67" t="n"/>
      <c r="N689" s="67" t="n"/>
      <c r="O689" s="67" t="n"/>
      <c r="P689" s="67" t="n"/>
      <c r="Q689" s="67" t="n"/>
      <c r="R689" s="67" t="n"/>
      <c r="S689" s="67" t="n"/>
      <c r="T689" s="67" t="n"/>
      <c r="U689" s="67" t="n"/>
      <c r="V689" s="67" t="n"/>
      <c r="W689" s="67" t="n"/>
      <c r="X689" s="67" t="n"/>
      <c r="Y689" s="67" t="n"/>
      <c r="Z689" s="67" t="n"/>
      <c r="AA689" s="67" t="n"/>
      <c r="AB689" s="67" t="n"/>
    </row>
    <row r="690" ht="15.75" customHeight="1" s="305">
      <c r="A690" s="67" t="n"/>
      <c r="B690" s="67" t="n"/>
      <c r="C690" s="67" t="n"/>
      <c r="D690" s="67" t="n"/>
      <c r="E690" s="67" t="n"/>
      <c r="F690" s="67" t="inlineStr"/>
      <c r="G690" s="67" t="n"/>
      <c r="H690" t="inlineStr"/>
      <c r="I690" s="67" t="n"/>
      <c r="J690" s="67" t="n"/>
      <c r="K690" s="67" t="n"/>
      <c r="L690" s="67" t="n"/>
      <c r="M690" s="67" t="n"/>
      <c r="N690" s="67" t="n"/>
      <c r="O690" s="67" t="n"/>
      <c r="P690" s="67" t="n"/>
      <c r="Q690" s="67" t="n"/>
      <c r="R690" s="67" t="n"/>
      <c r="S690" s="67" t="n"/>
      <c r="T690" s="67" t="n"/>
      <c r="U690" s="67" t="n"/>
      <c r="V690" s="67" t="n"/>
      <c r="W690" s="67" t="n"/>
      <c r="X690" s="67" t="n"/>
      <c r="Y690" s="67" t="n"/>
      <c r="Z690" s="67" t="n"/>
      <c r="AA690" s="67" t="n"/>
      <c r="AB690" s="67" t="n"/>
    </row>
    <row r="691" ht="15.75" customHeight="1" s="305">
      <c r="A691" s="67" t="n"/>
      <c r="B691" s="67" t="n"/>
      <c r="C691" s="67" t="n"/>
      <c r="D691" s="67" t="n"/>
      <c r="E691" s="67" t="n"/>
      <c r="F691" s="67" t="inlineStr"/>
      <c r="G691" s="67" t="n"/>
      <c r="H691" t="inlineStr"/>
      <c r="I691" s="67" t="n"/>
      <c r="J691" s="67" t="n"/>
      <c r="K691" s="67" t="n"/>
      <c r="L691" s="67" t="n"/>
      <c r="M691" s="67" t="n"/>
      <c r="N691" s="67" t="n"/>
      <c r="O691" s="67" t="n"/>
      <c r="P691" s="67" t="n"/>
      <c r="Q691" s="67" t="n"/>
      <c r="R691" s="67" t="n"/>
      <c r="S691" s="67" t="n"/>
      <c r="T691" s="67" t="n"/>
      <c r="U691" s="67" t="n"/>
      <c r="V691" s="67" t="n"/>
      <c r="W691" s="67" t="n"/>
      <c r="X691" s="67" t="n"/>
      <c r="Y691" s="67" t="n"/>
      <c r="Z691" s="67" t="n"/>
      <c r="AA691" s="67" t="n"/>
      <c r="AB691" s="67" t="n"/>
    </row>
    <row r="692" ht="15.75" customHeight="1" s="305">
      <c r="A692" s="67" t="n"/>
      <c r="B692" s="67" t="n"/>
      <c r="C692" s="67" t="n"/>
      <c r="D692" s="67" t="n"/>
      <c r="E692" s="67" t="n"/>
      <c r="F692" s="67" t="inlineStr"/>
      <c r="G692" s="67" t="n"/>
      <c r="H692" t="inlineStr"/>
      <c r="I692" s="67" t="n"/>
      <c r="J692" s="67" t="n"/>
      <c r="K692" s="67" t="n"/>
      <c r="L692" s="67" t="n"/>
      <c r="M692" s="67" t="n"/>
      <c r="N692" s="67" t="n"/>
      <c r="O692" s="67" t="n"/>
      <c r="P692" s="67" t="n"/>
      <c r="Q692" s="67" t="n"/>
      <c r="R692" s="67" t="n"/>
      <c r="S692" s="67" t="n"/>
      <c r="T692" s="67" t="n"/>
      <c r="U692" s="67" t="n"/>
      <c r="V692" s="67" t="n"/>
      <c r="W692" s="67" t="n"/>
      <c r="X692" s="67" t="n"/>
      <c r="Y692" s="67" t="n"/>
      <c r="Z692" s="67" t="n"/>
      <c r="AA692" s="67" t="n"/>
      <c r="AB692" s="67" t="n"/>
    </row>
    <row r="693" ht="15.75" customHeight="1" s="305">
      <c r="A693" s="67" t="n"/>
      <c r="B693" s="67" t="n"/>
      <c r="C693" s="67" t="n"/>
      <c r="D693" s="67" t="n"/>
      <c r="E693" s="67" t="n"/>
      <c r="F693" s="67" t="inlineStr"/>
      <c r="G693" s="67" t="n"/>
      <c r="H693" t="inlineStr"/>
      <c r="I693" s="67" t="n"/>
      <c r="J693" s="67" t="n"/>
      <c r="K693" s="67" t="n"/>
      <c r="L693" s="67" t="n"/>
      <c r="M693" s="67" t="n"/>
      <c r="N693" s="67" t="n"/>
      <c r="O693" s="67" t="n"/>
      <c r="P693" s="67" t="n"/>
      <c r="Q693" s="67" t="n"/>
      <c r="R693" s="67" t="n"/>
      <c r="S693" s="67" t="n"/>
      <c r="T693" s="67" t="n"/>
      <c r="U693" s="67" t="n"/>
      <c r="V693" s="67" t="n"/>
      <c r="W693" s="67" t="n"/>
      <c r="X693" s="67" t="n"/>
      <c r="Y693" s="67" t="n"/>
      <c r="Z693" s="67" t="n"/>
      <c r="AA693" s="67" t="n"/>
      <c r="AB693" s="67" t="n"/>
    </row>
    <row r="694" ht="15.75" customHeight="1" s="305">
      <c r="A694" s="67" t="n"/>
      <c r="B694" s="67" t="n"/>
      <c r="C694" s="67" t="n"/>
      <c r="D694" s="67" t="n"/>
      <c r="E694" s="67" t="n"/>
      <c r="F694" s="67" t="inlineStr"/>
      <c r="G694" s="67" t="n"/>
      <c r="H694" t="inlineStr"/>
      <c r="I694" s="67" t="n"/>
      <c r="J694" s="67" t="n"/>
      <c r="K694" s="67" t="n"/>
      <c r="L694" s="67" t="n"/>
      <c r="M694" s="67" t="n"/>
      <c r="N694" s="67" t="n"/>
      <c r="O694" s="67" t="n"/>
      <c r="P694" s="67" t="n"/>
      <c r="Q694" s="67" t="n"/>
      <c r="R694" s="67" t="n"/>
      <c r="S694" s="67" t="n"/>
      <c r="T694" s="67" t="n"/>
      <c r="U694" s="67" t="n"/>
      <c r="V694" s="67" t="n"/>
      <c r="W694" s="67" t="n"/>
      <c r="X694" s="67" t="n"/>
      <c r="Y694" s="67" t="n"/>
      <c r="Z694" s="67" t="n"/>
      <c r="AA694" s="67" t="n"/>
      <c r="AB694" s="67" t="n"/>
    </row>
    <row r="695" ht="15.75" customHeight="1" s="305">
      <c r="A695" s="67" t="n"/>
      <c r="B695" s="67" t="n"/>
      <c r="C695" s="67" t="n"/>
      <c r="D695" s="67" t="n"/>
      <c r="E695" s="67" t="n"/>
      <c r="F695" s="67" t="inlineStr"/>
      <c r="G695" s="67" t="n"/>
      <c r="H695" t="inlineStr"/>
      <c r="I695" s="67" t="n"/>
      <c r="J695" s="67" t="n"/>
      <c r="K695" s="67" t="n"/>
      <c r="L695" s="67" t="n"/>
      <c r="M695" s="67" t="n"/>
      <c r="N695" s="67" t="n"/>
      <c r="O695" s="67" t="n"/>
      <c r="P695" s="67" t="n"/>
      <c r="Q695" s="67" t="n"/>
      <c r="R695" s="67" t="n"/>
      <c r="S695" s="67" t="n"/>
      <c r="T695" s="67" t="n"/>
      <c r="U695" s="67" t="n"/>
      <c r="V695" s="67" t="n"/>
      <c r="W695" s="67" t="n"/>
      <c r="X695" s="67" t="n"/>
      <c r="Y695" s="67" t="n"/>
      <c r="Z695" s="67" t="n"/>
      <c r="AA695" s="67" t="n"/>
      <c r="AB695" s="67" t="n"/>
    </row>
    <row r="696" ht="15.75" customHeight="1" s="305">
      <c r="A696" s="67" t="n"/>
      <c r="B696" s="67" t="n"/>
      <c r="C696" s="67" t="n"/>
      <c r="D696" s="67" t="n"/>
      <c r="E696" s="67" t="n"/>
      <c r="F696" s="67" t="inlineStr"/>
      <c r="G696" s="67" t="n"/>
      <c r="H696" t="inlineStr"/>
      <c r="I696" s="67" t="n"/>
      <c r="J696" s="67" t="n"/>
      <c r="K696" s="67" t="n"/>
      <c r="L696" s="67" t="n"/>
      <c r="M696" s="67" t="n"/>
      <c r="N696" s="67" t="n"/>
      <c r="O696" s="67" t="n"/>
      <c r="P696" s="67" t="n"/>
      <c r="Q696" s="67" t="n"/>
      <c r="R696" s="67" t="n"/>
      <c r="S696" s="67" t="n"/>
      <c r="T696" s="67" t="n"/>
      <c r="U696" s="67" t="n"/>
      <c r="V696" s="67" t="n"/>
      <c r="W696" s="67" t="n"/>
      <c r="X696" s="67" t="n"/>
      <c r="Y696" s="67" t="n"/>
      <c r="Z696" s="67" t="n"/>
      <c r="AA696" s="67" t="n"/>
      <c r="AB696" s="67" t="n"/>
    </row>
    <row r="697" ht="15.75" customHeight="1" s="305">
      <c r="A697" s="67" t="n"/>
      <c r="B697" s="67" t="n"/>
      <c r="C697" s="67" t="n"/>
      <c r="D697" s="67" t="n"/>
      <c r="E697" s="67" t="n"/>
      <c r="F697" s="67" t="inlineStr"/>
      <c r="G697" s="67" t="n"/>
      <c r="H697" t="inlineStr"/>
      <c r="I697" s="67" t="n"/>
      <c r="J697" s="67" t="n"/>
      <c r="K697" s="67" t="n"/>
      <c r="L697" s="67" t="n"/>
      <c r="M697" s="67" t="n"/>
      <c r="N697" s="67" t="n"/>
      <c r="O697" s="67" t="n"/>
      <c r="P697" s="67" t="n"/>
      <c r="Q697" s="67" t="n"/>
      <c r="R697" s="67" t="n"/>
      <c r="S697" s="67" t="n"/>
      <c r="T697" s="67" t="n"/>
      <c r="U697" s="67" t="n"/>
      <c r="V697" s="67" t="n"/>
      <c r="W697" s="67" t="n"/>
      <c r="X697" s="67" t="n"/>
      <c r="Y697" s="67" t="n"/>
      <c r="Z697" s="67" t="n"/>
      <c r="AA697" s="67" t="n"/>
      <c r="AB697" s="67" t="n"/>
    </row>
    <row r="698" ht="15.75" customHeight="1" s="305">
      <c r="A698" s="67" t="n"/>
      <c r="B698" s="67" t="n"/>
      <c r="C698" s="67" t="n"/>
      <c r="D698" s="67" t="n"/>
      <c r="E698" s="67" t="n"/>
      <c r="F698" s="67" t="inlineStr"/>
      <c r="G698" s="67" t="n"/>
      <c r="H698" t="inlineStr"/>
      <c r="I698" s="67" t="n"/>
      <c r="J698" s="67" t="n"/>
      <c r="K698" s="67" t="n"/>
      <c r="L698" s="67" t="n"/>
      <c r="M698" s="67" t="n"/>
      <c r="N698" s="67" t="n"/>
      <c r="O698" s="67" t="n"/>
      <c r="P698" s="67" t="n"/>
      <c r="Q698" s="67" t="n"/>
      <c r="R698" s="67" t="n"/>
      <c r="S698" s="67" t="n"/>
      <c r="T698" s="67" t="n"/>
      <c r="U698" s="67" t="n"/>
      <c r="V698" s="67" t="n"/>
      <c r="W698" s="67" t="n"/>
      <c r="X698" s="67" t="n"/>
      <c r="Y698" s="67" t="n"/>
      <c r="Z698" s="67" t="n"/>
      <c r="AA698" s="67" t="n"/>
      <c r="AB698" s="67" t="n"/>
    </row>
    <row r="699" ht="15.75" customHeight="1" s="305">
      <c r="A699" s="67" t="n"/>
      <c r="B699" s="67" t="n"/>
      <c r="C699" s="67" t="n"/>
      <c r="D699" s="67" t="n"/>
      <c r="E699" s="67" t="n"/>
      <c r="F699" s="67" t="inlineStr"/>
      <c r="G699" s="67" t="n"/>
      <c r="H699" t="inlineStr"/>
      <c r="I699" s="67" t="n"/>
      <c r="J699" s="67" t="n"/>
      <c r="K699" s="67" t="n"/>
      <c r="L699" s="67" t="n"/>
      <c r="M699" s="67" t="n"/>
      <c r="N699" s="67" t="n"/>
      <c r="O699" s="67" t="n"/>
      <c r="P699" s="67" t="n"/>
      <c r="Q699" s="67" t="n"/>
      <c r="R699" s="67" t="n"/>
      <c r="S699" s="67" t="n"/>
      <c r="T699" s="67" t="n"/>
      <c r="U699" s="67" t="n"/>
      <c r="V699" s="67" t="n"/>
      <c r="W699" s="67" t="n"/>
      <c r="X699" s="67" t="n"/>
      <c r="Y699" s="67" t="n"/>
      <c r="Z699" s="67" t="n"/>
      <c r="AA699" s="67" t="n"/>
      <c r="AB699" s="67" t="n"/>
    </row>
    <row r="700" ht="15.75" customHeight="1" s="305">
      <c r="A700" s="67" t="n"/>
      <c r="B700" s="67" t="n"/>
      <c r="C700" s="67" t="n"/>
      <c r="D700" s="67" t="n"/>
      <c r="E700" s="67" t="n"/>
      <c r="F700" s="67" t="inlineStr"/>
      <c r="G700" s="67" t="n"/>
      <c r="H700" t="inlineStr"/>
      <c r="I700" s="67" t="n"/>
      <c r="J700" s="67" t="n"/>
      <c r="K700" s="67" t="n"/>
      <c r="L700" s="67" t="n"/>
      <c r="M700" s="67" t="n"/>
      <c r="N700" s="67" t="n"/>
      <c r="O700" s="67" t="n"/>
      <c r="P700" s="67" t="n"/>
      <c r="Q700" s="67" t="n"/>
      <c r="R700" s="67" t="n"/>
      <c r="S700" s="67" t="n"/>
      <c r="T700" s="67" t="n"/>
      <c r="U700" s="67" t="n"/>
      <c r="V700" s="67" t="n"/>
      <c r="W700" s="67" t="n"/>
      <c r="X700" s="67" t="n"/>
      <c r="Y700" s="67" t="n"/>
      <c r="Z700" s="67" t="n"/>
      <c r="AA700" s="67" t="n"/>
      <c r="AB700" s="67" t="n"/>
    </row>
    <row r="701" ht="15.75" customHeight="1" s="305">
      <c r="A701" s="67" t="n"/>
      <c r="B701" s="67" t="n"/>
      <c r="C701" s="67" t="n"/>
      <c r="D701" s="67" t="n"/>
      <c r="E701" s="67" t="n"/>
      <c r="F701" s="67" t="inlineStr"/>
      <c r="G701" s="67" t="n"/>
      <c r="H701" t="inlineStr"/>
      <c r="I701" s="67" t="n"/>
      <c r="J701" s="67" t="n"/>
      <c r="K701" s="67" t="n"/>
      <c r="L701" s="67" t="n"/>
      <c r="M701" s="67" t="n"/>
      <c r="N701" s="67" t="n"/>
      <c r="O701" s="67" t="n"/>
      <c r="P701" s="67" t="n"/>
      <c r="Q701" s="67" t="n"/>
      <c r="R701" s="67" t="n"/>
      <c r="S701" s="67" t="n"/>
      <c r="T701" s="67" t="n"/>
      <c r="U701" s="67" t="n"/>
      <c r="V701" s="67" t="n"/>
      <c r="W701" s="67" t="n"/>
      <c r="X701" s="67" t="n"/>
      <c r="Y701" s="67" t="n"/>
      <c r="Z701" s="67" t="n"/>
      <c r="AA701" s="67" t="n"/>
      <c r="AB701" s="67" t="n"/>
    </row>
    <row r="702" ht="15.75" customHeight="1" s="305">
      <c r="A702" s="67" t="n"/>
      <c r="B702" s="67" t="n"/>
      <c r="C702" s="67" t="n"/>
      <c r="D702" s="67" t="n"/>
      <c r="E702" s="67" t="n"/>
      <c r="F702" s="67" t="inlineStr"/>
      <c r="G702" s="67" t="n"/>
      <c r="H702" t="inlineStr"/>
      <c r="I702" s="67" t="n"/>
      <c r="J702" s="67" t="n"/>
      <c r="K702" s="67" t="n"/>
      <c r="L702" s="67" t="n"/>
      <c r="M702" s="67" t="n"/>
      <c r="N702" s="67" t="n"/>
      <c r="O702" s="67" t="n"/>
      <c r="P702" s="67" t="n"/>
      <c r="Q702" s="67" t="n"/>
      <c r="R702" s="67" t="n"/>
      <c r="S702" s="67" t="n"/>
      <c r="T702" s="67" t="n"/>
      <c r="U702" s="67" t="n"/>
      <c r="V702" s="67" t="n"/>
      <c r="W702" s="67" t="n"/>
      <c r="X702" s="67" t="n"/>
      <c r="Y702" s="67" t="n"/>
      <c r="Z702" s="67" t="n"/>
      <c r="AA702" s="67" t="n"/>
      <c r="AB702" s="67" t="n"/>
    </row>
    <row r="703" ht="15.75" customHeight="1" s="305">
      <c r="A703" s="67" t="n"/>
      <c r="B703" s="67" t="n"/>
      <c r="C703" s="67" t="n"/>
      <c r="D703" s="67" t="n"/>
      <c r="E703" s="67" t="n"/>
      <c r="F703" s="67" t="inlineStr"/>
      <c r="G703" s="67" t="n"/>
      <c r="H703" t="inlineStr"/>
      <c r="I703" s="67" t="n"/>
      <c r="J703" s="67" t="n"/>
      <c r="K703" s="67" t="n"/>
      <c r="L703" s="67" t="n"/>
      <c r="M703" s="67" t="n"/>
      <c r="N703" s="67" t="n"/>
      <c r="O703" s="67" t="n"/>
      <c r="P703" s="67" t="n"/>
      <c r="Q703" s="67" t="n"/>
      <c r="R703" s="67" t="n"/>
      <c r="S703" s="67" t="n"/>
      <c r="T703" s="67" t="n"/>
      <c r="U703" s="67" t="n"/>
      <c r="V703" s="67" t="n"/>
      <c r="W703" s="67" t="n"/>
      <c r="X703" s="67" t="n"/>
      <c r="Y703" s="67" t="n"/>
      <c r="Z703" s="67" t="n"/>
      <c r="AA703" s="67" t="n"/>
      <c r="AB703" s="67" t="n"/>
    </row>
    <row r="704" ht="15.75" customHeight="1" s="305">
      <c r="A704" s="67" t="n"/>
      <c r="B704" s="67" t="n"/>
      <c r="C704" s="67" t="n"/>
      <c r="D704" s="67" t="n"/>
      <c r="E704" s="67" t="n"/>
      <c r="F704" s="67" t="inlineStr"/>
      <c r="G704" s="67" t="n"/>
      <c r="H704" t="inlineStr"/>
      <c r="I704" s="67" t="n"/>
      <c r="J704" s="67" t="n"/>
      <c r="K704" s="67" t="n"/>
      <c r="L704" s="67" t="n"/>
      <c r="M704" s="67" t="n"/>
      <c r="N704" s="67" t="n"/>
      <c r="O704" s="67" t="n"/>
      <c r="P704" s="67" t="n"/>
      <c r="Q704" s="67" t="n"/>
      <c r="R704" s="67" t="n"/>
      <c r="S704" s="67" t="n"/>
      <c r="T704" s="67" t="n"/>
      <c r="U704" s="67" t="n"/>
      <c r="V704" s="67" t="n"/>
      <c r="W704" s="67" t="n"/>
      <c r="X704" s="67" t="n"/>
      <c r="Y704" s="67" t="n"/>
      <c r="Z704" s="67" t="n"/>
      <c r="AA704" s="67" t="n"/>
      <c r="AB704" s="67" t="n"/>
    </row>
    <row r="705" ht="15.75" customHeight="1" s="305">
      <c r="A705" s="67" t="n"/>
      <c r="B705" s="67" t="n"/>
      <c r="C705" s="67" t="n"/>
      <c r="D705" s="67" t="n"/>
      <c r="E705" s="67" t="n"/>
      <c r="F705" s="67" t="inlineStr"/>
      <c r="G705" s="67" t="n"/>
      <c r="H705" t="inlineStr"/>
      <c r="I705" s="67" t="n"/>
      <c r="J705" s="67" t="n"/>
      <c r="K705" s="67" t="n"/>
      <c r="L705" s="67" t="n"/>
      <c r="M705" s="67" t="n"/>
      <c r="N705" s="67" t="n"/>
      <c r="O705" s="67" t="n"/>
      <c r="P705" s="67" t="n"/>
      <c r="Q705" s="67" t="n"/>
      <c r="R705" s="67" t="n"/>
      <c r="S705" s="67" t="n"/>
      <c r="T705" s="67" t="n"/>
      <c r="U705" s="67" t="n"/>
      <c r="V705" s="67" t="n"/>
      <c r="W705" s="67" t="n"/>
      <c r="X705" s="67" t="n"/>
      <c r="Y705" s="67" t="n"/>
      <c r="Z705" s="67" t="n"/>
      <c r="AA705" s="67" t="n"/>
      <c r="AB705" s="67" t="n"/>
    </row>
    <row r="706" ht="15.75" customHeight="1" s="305">
      <c r="A706" s="67" t="n"/>
      <c r="B706" s="67" t="n"/>
      <c r="C706" s="67" t="n"/>
      <c r="D706" s="67" t="n"/>
      <c r="E706" s="67" t="n"/>
      <c r="F706" s="67" t="inlineStr"/>
      <c r="G706" s="67" t="n"/>
      <c r="H706" t="inlineStr"/>
      <c r="I706" s="67" t="n"/>
      <c r="J706" s="67" t="n"/>
      <c r="K706" s="67" t="n"/>
      <c r="L706" s="67" t="n"/>
      <c r="M706" s="67" t="n"/>
      <c r="N706" s="67" t="n"/>
      <c r="O706" s="67" t="n"/>
      <c r="P706" s="67" t="n"/>
      <c r="Q706" s="67" t="n"/>
      <c r="R706" s="67" t="n"/>
      <c r="S706" s="67" t="n"/>
      <c r="T706" s="67" t="n"/>
      <c r="U706" s="67" t="n"/>
      <c r="V706" s="67" t="n"/>
      <c r="W706" s="67" t="n"/>
      <c r="X706" s="67" t="n"/>
      <c r="Y706" s="67" t="n"/>
      <c r="Z706" s="67" t="n"/>
      <c r="AA706" s="67" t="n"/>
      <c r="AB706" s="67" t="n"/>
    </row>
    <row r="707" ht="15.75" customHeight="1" s="305">
      <c r="A707" s="67" t="n"/>
      <c r="B707" s="67" t="n"/>
      <c r="C707" s="67" t="n"/>
      <c r="D707" s="67" t="n"/>
      <c r="E707" s="67" t="n"/>
      <c r="F707" s="67" t="inlineStr"/>
      <c r="G707" s="67" t="n"/>
      <c r="H707" t="inlineStr"/>
      <c r="I707" s="67" t="n"/>
      <c r="J707" s="67" t="n"/>
      <c r="K707" s="67" t="n"/>
      <c r="L707" s="67" t="n"/>
      <c r="M707" s="67" t="n"/>
      <c r="N707" s="67" t="n"/>
      <c r="O707" s="67" t="n"/>
      <c r="P707" s="67" t="n"/>
      <c r="Q707" s="67" t="n"/>
      <c r="R707" s="67" t="n"/>
      <c r="S707" s="67" t="n"/>
      <c r="T707" s="67" t="n"/>
      <c r="U707" s="67" t="n"/>
      <c r="V707" s="67" t="n"/>
      <c r="W707" s="67" t="n"/>
      <c r="X707" s="67" t="n"/>
      <c r="Y707" s="67" t="n"/>
      <c r="Z707" s="67" t="n"/>
      <c r="AA707" s="67" t="n"/>
      <c r="AB707" s="67" t="n"/>
    </row>
    <row r="708" ht="15.75" customHeight="1" s="305">
      <c r="A708" s="67" t="n"/>
      <c r="B708" s="67" t="n"/>
      <c r="C708" s="67" t="n"/>
      <c r="D708" s="67" t="n"/>
      <c r="E708" s="67" t="n"/>
      <c r="F708" s="67" t="inlineStr"/>
      <c r="G708" s="67" t="n"/>
      <c r="H708" t="inlineStr"/>
      <c r="I708" s="67" t="n"/>
      <c r="J708" s="67" t="n"/>
      <c r="K708" s="67" t="n"/>
      <c r="L708" s="67" t="n"/>
      <c r="M708" s="67" t="n"/>
      <c r="N708" s="67" t="n"/>
      <c r="O708" s="67" t="n"/>
      <c r="P708" s="67" t="n"/>
      <c r="Q708" s="67" t="n"/>
      <c r="R708" s="67" t="n"/>
      <c r="S708" s="67" t="n"/>
      <c r="T708" s="67" t="n"/>
      <c r="U708" s="67" t="n"/>
      <c r="V708" s="67" t="n"/>
      <c r="W708" s="67" t="n"/>
      <c r="X708" s="67" t="n"/>
      <c r="Y708" s="67" t="n"/>
      <c r="Z708" s="67" t="n"/>
      <c r="AA708" s="67" t="n"/>
      <c r="AB708" s="67" t="n"/>
    </row>
    <row r="709" ht="15.75" customHeight="1" s="305">
      <c r="A709" s="67" t="n"/>
      <c r="B709" s="67" t="n"/>
      <c r="C709" s="67" t="n"/>
      <c r="D709" s="67" t="n"/>
      <c r="E709" s="67" t="n"/>
      <c r="F709" s="67" t="inlineStr"/>
      <c r="G709" s="67" t="n"/>
      <c r="H709" t="inlineStr"/>
      <c r="I709" s="67" t="n"/>
      <c r="J709" s="67" t="n"/>
      <c r="K709" s="67" t="n"/>
      <c r="L709" s="67" t="n"/>
      <c r="M709" s="67" t="n"/>
      <c r="N709" s="67" t="n"/>
      <c r="O709" s="67" t="n"/>
      <c r="P709" s="67" t="n"/>
      <c r="Q709" s="67" t="n"/>
      <c r="R709" s="67" t="n"/>
      <c r="S709" s="67" t="n"/>
      <c r="T709" s="67" t="n"/>
      <c r="U709" s="67" t="n"/>
      <c r="V709" s="67" t="n"/>
      <c r="W709" s="67" t="n"/>
      <c r="X709" s="67" t="n"/>
      <c r="Y709" s="67" t="n"/>
      <c r="Z709" s="67" t="n"/>
      <c r="AA709" s="67" t="n"/>
      <c r="AB709" s="67" t="n"/>
    </row>
    <row r="710" ht="15.75" customHeight="1" s="305">
      <c r="A710" s="67" t="n"/>
      <c r="B710" s="67" t="n"/>
      <c r="C710" s="67" t="n"/>
      <c r="D710" s="67" t="n"/>
      <c r="E710" s="67" t="n"/>
      <c r="F710" s="67" t="inlineStr"/>
      <c r="G710" s="67" t="n"/>
      <c r="H710" t="inlineStr"/>
      <c r="I710" s="67" t="n"/>
      <c r="J710" s="67" t="n"/>
      <c r="K710" s="67" t="n"/>
      <c r="L710" s="67" t="n"/>
      <c r="M710" s="67" t="n"/>
      <c r="N710" s="67" t="n"/>
      <c r="O710" s="67" t="n"/>
      <c r="P710" s="67" t="n"/>
      <c r="Q710" s="67" t="n"/>
      <c r="R710" s="67" t="n"/>
      <c r="S710" s="67" t="n"/>
      <c r="T710" s="67" t="n"/>
      <c r="U710" s="67" t="n"/>
      <c r="V710" s="67" t="n"/>
      <c r="W710" s="67" t="n"/>
      <c r="X710" s="67" t="n"/>
      <c r="Y710" s="67" t="n"/>
      <c r="Z710" s="67" t="n"/>
      <c r="AA710" s="67" t="n"/>
      <c r="AB710" s="67" t="n"/>
    </row>
    <row r="711" ht="15.75" customHeight="1" s="305">
      <c r="A711" s="67" t="n"/>
      <c r="B711" s="67" t="n"/>
      <c r="C711" s="67" t="n"/>
      <c r="D711" s="67" t="n"/>
      <c r="E711" s="67" t="n"/>
      <c r="F711" s="67" t="inlineStr"/>
      <c r="G711" s="67" t="n"/>
      <c r="H711" t="inlineStr"/>
      <c r="I711" s="67" t="n"/>
      <c r="J711" s="67" t="n"/>
      <c r="K711" s="67" t="n"/>
      <c r="L711" s="67" t="n"/>
      <c r="M711" s="67" t="n"/>
      <c r="N711" s="67" t="n"/>
      <c r="O711" s="67" t="n"/>
      <c r="P711" s="67" t="n"/>
      <c r="Q711" s="67" t="n"/>
      <c r="R711" s="67" t="n"/>
      <c r="S711" s="67" t="n"/>
      <c r="T711" s="67" t="n"/>
      <c r="U711" s="67" t="n"/>
      <c r="V711" s="67" t="n"/>
      <c r="W711" s="67" t="n"/>
      <c r="X711" s="67" t="n"/>
      <c r="Y711" s="67" t="n"/>
      <c r="Z711" s="67" t="n"/>
      <c r="AA711" s="67" t="n"/>
      <c r="AB711" s="67" t="n"/>
    </row>
    <row r="712" ht="15.75" customHeight="1" s="305">
      <c r="A712" s="67" t="n"/>
      <c r="B712" s="67" t="n"/>
      <c r="C712" s="67" t="n"/>
      <c r="D712" s="67" t="n"/>
      <c r="E712" s="67" t="n"/>
      <c r="F712" s="67" t="inlineStr"/>
      <c r="G712" s="67" t="n"/>
      <c r="H712" t="inlineStr"/>
      <c r="I712" s="67" t="n"/>
      <c r="J712" s="67" t="n"/>
      <c r="K712" s="67" t="n"/>
      <c r="L712" s="67" t="n"/>
      <c r="M712" s="67" t="n"/>
      <c r="N712" s="67" t="n"/>
      <c r="O712" s="67" t="n"/>
      <c r="P712" s="67" t="n"/>
      <c r="Q712" s="67" t="n"/>
      <c r="R712" s="67" t="n"/>
      <c r="S712" s="67" t="n"/>
      <c r="T712" s="67" t="n"/>
      <c r="U712" s="67" t="n"/>
      <c r="V712" s="67" t="n"/>
      <c r="W712" s="67" t="n"/>
      <c r="X712" s="67" t="n"/>
      <c r="Y712" s="67" t="n"/>
      <c r="Z712" s="67" t="n"/>
      <c r="AA712" s="67" t="n"/>
      <c r="AB712" s="67" t="n"/>
    </row>
    <row r="713" ht="15.75" customHeight="1" s="305">
      <c r="A713" s="67" t="n"/>
      <c r="B713" s="67" t="n"/>
      <c r="C713" s="67" t="n"/>
      <c r="D713" s="67" t="n"/>
      <c r="E713" s="67" t="n"/>
      <c r="F713" s="67" t="inlineStr"/>
      <c r="G713" s="67" t="n"/>
      <c r="H713" t="inlineStr"/>
      <c r="I713" s="67" t="n"/>
      <c r="J713" s="67" t="n"/>
      <c r="K713" s="67" t="n"/>
      <c r="L713" s="67" t="n"/>
      <c r="M713" s="67" t="n"/>
      <c r="N713" s="67" t="n"/>
      <c r="O713" s="67" t="n"/>
      <c r="P713" s="67" t="n"/>
      <c r="Q713" s="67" t="n"/>
      <c r="R713" s="67" t="n"/>
      <c r="S713" s="67" t="n"/>
      <c r="T713" s="67" t="n"/>
      <c r="U713" s="67" t="n"/>
      <c r="V713" s="67" t="n"/>
      <c r="W713" s="67" t="n"/>
      <c r="X713" s="67" t="n"/>
      <c r="Y713" s="67" t="n"/>
      <c r="Z713" s="67" t="n"/>
      <c r="AA713" s="67" t="n"/>
      <c r="AB713" s="67" t="n"/>
    </row>
    <row r="714" ht="15.75" customHeight="1" s="305">
      <c r="A714" s="67" t="n"/>
      <c r="B714" s="67" t="n"/>
      <c r="C714" s="67" t="n"/>
      <c r="D714" s="67" t="n"/>
      <c r="E714" s="67" t="n"/>
      <c r="F714" s="67" t="inlineStr"/>
      <c r="G714" s="67" t="n"/>
      <c r="H714" t="inlineStr"/>
      <c r="I714" s="67" t="n"/>
      <c r="J714" s="67" t="n"/>
      <c r="K714" s="67" t="n"/>
      <c r="L714" s="67" t="n"/>
      <c r="M714" s="67" t="n"/>
      <c r="N714" s="67" t="n"/>
      <c r="O714" s="67" t="n"/>
      <c r="P714" s="67" t="n"/>
      <c r="Q714" s="67" t="n"/>
      <c r="R714" s="67" t="n"/>
      <c r="S714" s="67" t="n"/>
      <c r="T714" s="67" t="n"/>
      <c r="U714" s="67" t="n"/>
      <c r="V714" s="67" t="n"/>
      <c r="W714" s="67" t="n"/>
      <c r="X714" s="67" t="n"/>
      <c r="Y714" s="67" t="n"/>
      <c r="Z714" s="67" t="n"/>
      <c r="AA714" s="67" t="n"/>
      <c r="AB714" s="67" t="n"/>
    </row>
    <row r="715" ht="15.75" customHeight="1" s="305">
      <c r="A715" s="67" t="n"/>
      <c r="B715" s="67" t="n"/>
      <c r="C715" s="67" t="n"/>
      <c r="D715" s="67" t="n"/>
      <c r="E715" s="67" t="n"/>
      <c r="F715" s="67" t="inlineStr"/>
      <c r="G715" s="67" t="n"/>
      <c r="H715" t="inlineStr"/>
      <c r="I715" s="67" t="n"/>
      <c r="J715" s="67" t="n"/>
      <c r="K715" s="67" t="n"/>
      <c r="L715" s="67" t="n"/>
      <c r="M715" s="67" t="n"/>
      <c r="N715" s="67" t="n"/>
      <c r="O715" s="67" t="n"/>
      <c r="P715" s="67" t="n"/>
      <c r="Q715" s="67" t="n"/>
      <c r="R715" s="67" t="n"/>
      <c r="S715" s="67" t="n"/>
      <c r="T715" s="67" t="n"/>
      <c r="U715" s="67" t="n"/>
      <c r="V715" s="67" t="n"/>
      <c r="W715" s="67" t="n"/>
      <c r="X715" s="67" t="n"/>
      <c r="Y715" s="67" t="n"/>
      <c r="Z715" s="67" t="n"/>
      <c r="AA715" s="67" t="n"/>
      <c r="AB715" s="67" t="n"/>
    </row>
    <row r="716" ht="15.75" customHeight="1" s="305">
      <c r="A716" s="67" t="n"/>
      <c r="B716" s="67" t="n"/>
      <c r="C716" s="67" t="n"/>
      <c r="D716" s="67" t="n"/>
      <c r="E716" s="67" t="n"/>
      <c r="F716" s="67" t="inlineStr"/>
      <c r="G716" s="67" t="n"/>
      <c r="H716" t="inlineStr"/>
      <c r="I716" s="67" t="n"/>
      <c r="J716" s="67" t="n"/>
      <c r="K716" s="67" t="n"/>
      <c r="L716" s="67" t="n"/>
      <c r="M716" s="67" t="n"/>
      <c r="N716" s="67" t="n"/>
      <c r="O716" s="67" t="n"/>
      <c r="P716" s="67" t="n"/>
      <c r="Q716" s="67" t="n"/>
      <c r="R716" s="67" t="n"/>
      <c r="S716" s="67" t="n"/>
      <c r="T716" s="67" t="n"/>
      <c r="U716" s="67" t="n"/>
      <c r="V716" s="67" t="n"/>
      <c r="W716" s="67" t="n"/>
      <c r="X716" s="67" t="n"/>
      <c r="Y716" s="67" t="n"/>
      <c r="Z716" s="67" t="n"/>
      <c r="AA716" s="67" t="n"/>
      <c r="AB716" s="67" t="n"/>
    </row>
    <row r="717" ht="15.75" customHeight="1" s="305">
      <c r="A717" s="67" t="n"/>
      <c r="B717" s="67" t="n"/>
      <c r="C717" s="67" t="n"/>
      <c r="D717" s="67" t="n"/>
      <c r="E717" s="67" t="n"/>
      <c r="F717" s="67" t="inlineStr"/>
      <c r="G717" s="67" t="n"/>
      <c r="H717" t="inlineStr"/>
      <c r="I717" s="67" t="n"/>
      <c r="J717" s="67" t="n"/>
      <c r="K717" s="67" t="n"/>
      <c r="L717" s="67" t="n"/>
      <c r="M717" s="67" t="n"/>
      <c r="N717" s="67" t="n"/>
      <c r="O717" s="67" t="n"/>
      <c r="P717" s="67" t="n"/>
      <c r="Q717" s="67" t="n"/>
      <c r="R717" s="67" t="n"/>
      <c r="S717" s="67" t="n"/>
      <c r="T717" s="67" t="n"/>
      <c r="U717" s="67" t="n"/>
      <c r="V717" s="67" t="n"/>
      <c r="W717" s="67" t="n"/>
      <c r="X717" s="67" t="n"/>
      <c r="Y717" s="67" t="n"/>
      <c r="Z717" s="67" t="n"/>
      <c r="AA717" s="67" t="n"/>
      <c r="AB717" s="67" t="n"/>
    </row>
    <row r="718" ht="15.75" customHeight="1" s="305">
      <c r="A718" s="67" t="n"/>
      <c r="B718" s="67" t="n"/>
      <c r="C718" s="67" t="n"/>
      <c r="D718" s="67" t="n"/>
      <c r="E718" s="67" t="n"/>
      <c r="F718" s="67" t="inlineStr"/>
      <c r="G718" s="67" t="n"/>
      <c r="H718" t="inlineStr"/>
      <c r="I718" s="67" t="n"/>
      <c r="J718" s="67" t="n"/>
      <c r="K718" s="67" t="n"/>
      <c r="L718" s="67" t="n"/>
      <c r="M718" s="67" t="n"/>
      <c r="N718" s="67" t="n"/>
      <c r="O718" s="67" t="n"/>
      <c r="P718" s="67" t="n"/>
      <c r="Q718" s="67" t="n"/>
      <c r="R718" s="67" t="n"/>
      <c r="S718" s="67" t="n"/>
      <c r="T718" s="67" t="n"/>
      <c r="U718" s="67" t="n"/>
      <c r="V718" s="67" t="n"/>
      <c r="W718" s="67" t="n"/>
      <c r="X718" s="67" t="n"/>
      <c r="Y718" s="67" t="n"/>
      <c r="Z718" s="67" t="n"/>
      <c r="AA718" s="67" t="n"/>
      <c r="AB718" s="67" t="n"/>
    </row>
    <row r="719" ht="15.75" customHeight="1" s="305">
      <c r="A719" s="67" t="n"/>
      <c r="B719" s="67" t="n"/>
      <c r="C719" s="67" t="n"/>
      <c r="D719" s="67" t="n"/>
      <c r="E719" s="67" t="n"/>
      <c r="F719" s="67" t="inlineStr"/>
      <c r="G719" s="67" t="n"/>
      <c r="H719" t="inlineStr"/>
      <c r="I719" s="67" t="n"/>
      <c r="J719" s="67" t="n"/>
      <c r="K719" s="67" t="n"/>
      <c r="L719" s="67" t="n"/>
      <c r="M719" s="67" t="n"/>
      <c r="N719" s="67" t="n"/>
      <c r="O719" s="67" t="n"/>
      <c r="P719" s="67" t="n"/>
      <c r="Q719" s="67" t="n"/>
      <c r="R719" s="67" t="n"/>
      <c r="S719" s="67" t="n"/>
      <c r="T719" s="67" t="n"/>
      <c r="U719" s="67" t="n"/>
      <c r="V719" s="67" t="n"/>
      <c r="W719" s="67" t="n"/>
      <c r="X719" s="67" t="n"/>
      <c r="Y719" s="67" t="n"/>
      <c r="Z719" s="67" t="n"/>
      <c r="AA719" s="67" t="n"/>
      <c r="AB719" s="67" t="n"/>
    </row>
    <row r="720" ht="15.75" customHeight="1" s="305">
      <c r="A720" s="67" t="n"/>
      <c r="B720" s="67" t="n"/>
      <c r="C720" s="67" t="n"/>
      <c r="D720" s="67" t="n"/>
      <c r="E720" s="67" t="n"/>
      <c r="F720" s="67" t="inlineStr"/>
      <c r="G720" s="67" t="n"/>
      <c r="H720" t="inlineStr"/>
      <c r="I720" s="67" t="n"/>
      <c r="J720" s="67" t="n"/>
      <c r="K720" s="67" t="n"/>
      <c r="L720" s="67" t="n"/>
      <c r="M720" s="67" t="n"/>
      <c r="N720" s="67" t="n"/>
      <c r="O720" s="67" t="n"/>
      <c r="P720" s="67" t="n"/>
      <c r="Q720" s="67" t="n"/>
      <c r="R720" s="67" t="n"/>
      <c r="S720" s="67" t="n"/>
      <c r="T720" s="67" t="n"/>
      <c r="U720" s="67" t="n"/>
      <c r="V720" s="67" t="n"/>
      <c r="W720" s="67" t="n"/>
      <c r="X720" s="67" t="n"/>
      <c r="Y720" s="67" t="n"/>
      <c r="Z720" s="67" t="n"/>
      <c r="AA720" s="67" t="n"/>
      <c r="AB720" s="67" t="n"/>
    </row>
    <row r="721" ht="15.75" customHeight="1" s="305">
      <c r="A721" s="67" t="n"/>
      <c r="B721" s="67" t="n"/>
      <c r="C721" s="67" t="n"/>
      <c r="D721" s="67" t="n"/>
      <c r="E721" s="67" t="n"/>
      <c r="F721" s="67" t="inlineStr"/>
      <c r="G721" s="67" t="n"/>
      <c r="H721" t="inlineStr"/>
      <c r="I721" s="67" t="n"/>
      <c r="J721" s="67" t="n"/>
      <c r="K721" s="67" t="n"/>
      <c r="L721" s="67" t="n"/>
      <c r="M721" s="67" t="n"/>
      <c r="N721" s="67" t="n"/>
      <c r="O721" s="67" t="n"/>
      <c r="P721" s="67" t="n"/>
      <c r="Q721" s="67" t="n"/>
      <c r="R721" s="67" t="n"/>
      <c r="S721" s="67" t="n"/>
      <c r="T721" s="67" t="n"/>
      <c r="U721" s="67" t="n"/>
      <c r="V721" s="67" t="n"/>
      <c r="W721" s="67" t="n"/>
      <c r="X721" s="67" t="n"/>
      <c r="Y721" s="67" t="n"/>
      <c r="Z721" s="67" t="n"/>
      <c r="AA721" s="67" t="n"/>
      <c r="AB721" s="67" t="n"/>
    </row>
    <row r="722" ht="15.75" customHeight="1" s="305">
      <c r="A722" s="67" t="n"/>
      <c r="B722" s="67" t="n"/>
      <c r="C722" s="67" t="n"/>
      <c r="D722" s="67" t="n"/>
      <c r="E722" s="67" t="n"/>
      <c r="F722" s="67" t="inlineStr"/>
      <c r="G722" s="67" t="n"/>
      <c r="H722" t="inlineStr"/>
      <c r="I722" s="67" t="n"/>
      <c r="J722" s="67" t="n"/>
      <c r="K722" s="67" t="n"/>
      <c r="L722" s="67" t="n"/>
      <c r="M722" s="67" t="n"/>
      <c r="N722" s="67" t="n"/>
      <c r="O722" s="67" t="n"/>
      <c r="P722" s="67" t="n"/>
      <c r="Q722" s="67" t="n"/>
      <c r="R722" s="67" t="n"/>
      <c r="S722" s="67" t="n"/>
      <c r="T722" s="67" t="n"/>
      <c r="U722" s="67" t="n"/>
      <c r="V722" s="67" t="n"/>
      <c r="W722" s="67" t="n"/>
      <c r="X722" s="67" t="n"/>
      <c r="Y722" s="67" t="n"/>
      <c r="Z722" s="67" t="n"/>
      <c r="AA722" s="67" t="n"/>
      <c r="AB722" s="67" t="n"/>
    </row>
    <row r="723" ht="15.75" customHeight="1" s="305">
      <c r="A723" s="67" t="n"/>
      <c r="B723" s="67" t="n"/>
      <c r="C723" s="67" t="n"/>
      <c r="D723" s="67" t="n"/>
      <c r="E723" s="67" t="n"/>
      <c r="F723" s="67" t="inlineStr"/>
      <c r="G723" s="67" t="n"/>
      <c r="H723" t="inlineStr"/>
      <c r="I723" s="67" t="n"/>
      <c r="J723" s="67" t="n"/>
      <c r="K723" s="67" t="n"/>
      <c r="L723" s="67" t="n"/>
      <c r="M723" s="67" t="n"/>
      <c r="N723" s="67" t="n"/>
      <c r="O723" s="67" t="n"/>
      <c r="P723" s="67" t="n"/>
      <c r="Q723" s="67" t="n"/>
      <c r="R723" s="67" t="n"/>
      <c r="S723" s="67" t="n"/>
      <c r="T723" s="67" t="n"/>
      <c r="U723" s="67" t="n"/>
      <c r="V723" s="67" t="n"/>
      <c r="W723" s="67" t="n"/>
      <c r="X723" s="67" t="n"/>
      <c r="Y723" s="67" t="n"/>
      <c r="Z723" s="67" t="n"/>
      <c r="AA723" s="67" t="n"/>
      <c r="AB723" s="67" t="n"/>
    </row>
    <row r="724" ht="15.75" customHeight="1" s="305">
      <c r="A724" s="67" t="n"/>
      <c r="B724" s="67" t="n"/>
      <c r="C724" s="67" t="n"/>
      <c r="D724" s="67" t="n"/>
      <c r="E724" s="67" t="n"/>
      <c r="F724" s="67" t="inlineStr"/>
      <c r="G724" s="67" t="n"/>
      <c r="H724" t="inlineStr"/>
      <c r="I724" s="67" t="n"/>
      <c r="J724" s="67" t="n"/>
      <c r="K724" s="67" t="n"/>
      <c r="L724" s="67" t="n"/>
      <c r="M724" s="67" t="n"/>
      <c r="N724" s="67" t="n"/>
      <c r="O724" s="67" t="n"/>
      <c r="P724" s="67" t="n"/>
      <c r="Q724" s="67" t="n"/>
      <c r="R724" s="67" t="n"/>
      <c r="S724" s="67" t="n"/>
      <c r="T724" s="67" t="n"/>
      <c r="U724" s="67" t="n"/>
      <c r="V724" s="67" t="n"/>
      <c r="W724" s="67" t="n"/>
      <c r="X724" s="67" t="n"/>
      <c r="Y724" s="67" t="n"/>
      <c r="Z724" s="67" t="n"/>
      <c r="AA724" s="67" t="n"/>
      <c r="AB724" s="67" t="n"/>
    </row>
    <row r="725" ht="15.75" customHeight="1" s="305">
      <c r="A725" s="67" t="n"/>
      <c r="B725" s="67" t="n"/>
      <c r="C725" s="67" t="n"/>
      <c r="D725" s="67" t="n"/>
      <c r="E725" s="67" t="n"/>
      <c r="F725" s="67" t="inlineStr"/>
      <c r="G725" s="67" t="n"/>
      <c r="H725" t="inlineStr"/>
      <c r="I725" s="67" t="n"/>
      <c r="J725" s="67" t="n"/>
      <c r="K725" s="67" t="n"/>
      <c r="L725" s="67" t="n"/>
      <c r="M725" s="67" t="n"/>
      <c r="N725" s="67" t="n"/>
      <c r="O725" s="67" t="n"/>
      <c r="P725" s="67" t="n"/>
      <c r="Q725" s="67" t="n"/>
      <c r="R725" s="67" t="n"/>
      <c r="S725" s="67" t="n"/>
      <c r="T725" s="67" t="n"/>
      <c r="U725" s="67" t="n"/>
      <c r="V725" s="67" t="n"/>
      <c r="W725" s="67" t="n"/>
      <c r="X725" s="67" t="n"/>
      <c r="Y725" s="67" t="n"/>
      <c r="Z725" s="67" t="n"/>
      <c r="AA725" s="67" t="n"/>
      <c r="AB725" s="67" t="n"/>
    </row>
    <row r="726" ht="15.75" customHeight="1" s="305">
      <c r="A726" s="67" t="n"/>
      <c r="B726" s="67" t="n"/>
      <c r="C726" s="67" t="n"/>
      <c r="D726" s="67" t="n"/>
      <c r="E726" s="67" t="n"/>
      <c r="F726" s="67" t="inlineStr"/>
      <c r="G726" s="67" t="n"/>
      <c r="H726" t="inlineStr"/>
      <c r="I726" s="67" t="n"/>
      <c r="J726" s="67" t="n"/>
      <c r="K726" s="67" t="n"/>
      <c r="L726" s="67" t="n"/>
      <c r="M726" s="67" t="n"/>
      <c r="N726" s="67" t="n"/>
      <c r="O726" s="67" t="n"/>
      <c r="P726" s="67" t="n"/>
      <c r="Q726" s="67" t="n"/>
      <c r="R726" s="67" t="n"/>
      <c r="S726" s="67" t="n"/>
      <c r="T726" s="67" t="n"/>
      <c r="U726" s="67" t="n"/>
      <c r="V726" s="67" t="n"/>
      <c r="W726" s="67" t="n"/>
      <c r="X726" s="67" t="n"/>
      <c r="Y726" s="67" t="n"/>
      <c r="Z726" s="67" t="n"/>
      <c r="AA726" s="67" t="n"/>
      <c r="AB726" s="67" t="n"/>
    </row>
    <row r="727" ht="15.75" customHeight="1" s="305">
      <c r="A727" s="67" t="n"/>
      <c r="B727" s="67" t="n"/>
      <c r="C727" s="67" t="n"/>
      <c r="D727" s="67" t="n"/>
      <c r="E727" s="67" t="n"/>
      <c r="F727" s="67" t="inlineStr"/>
      <c r="G727" s="67" t="n"/>
      <c r="H727" t="inlineStr"/>
      <c r="I727" s="67" t="n"/>
      <c r="J727" s="67" t="n"/>
      <c r="K727" s="67" t="n"/>
      <c r="L727" s="67" t="n"/>
      <c r="M727" s="67" t="n"/>
      <c r="N727" s="67" t="n"/>
      <c r="O727" s="67" t="n"/>
      <c r="P727" s="67" t="n"/>
      <c r="Q727" s="67" t="n"/>
      <c r="R727" s="67" t="n"/>
      <c r="S727" s="67" t="n"/>
      <c r="T727" s="67" t="n"/>
      <c r="U727" s="67" t="n"/>
      <c r="V727" s="67" t="n"/>
      <c r="W727" s="67" t="n"/>
      <c r="X727" s="67" t="n"/>
      <c r="Y727" s="67" t="n"/>
      <c r="Z727" s="67" t="n"/>
      <c r="AA727" s="67" t="n"/>
      <c r="AB727" s="67" t="n"/>
    </row>
    <row r="728" ht="15.75" customHeight="1" s="305">
      <c r="A728" s="67" t="n"/>
      <c r="B728" s="67" t="n"/>
      <c r="C728" s="67" t="n"/>
      <c r="D728" s="67" t="n"/>
      <c r="E728" s="67" t="n"/>
      <c r="F728" s="67" t="inlineStr"/>
      <c r="G728" s="67" t="n"/>
      <c r="H728" t="inlineStr"/>
      <c r="I728" s="67" t="n"/>
      <c r="J728" s="67" t="n"/>
      <c r="K728" s="67" t="n"/>
      <c r="L728" s="67" t="n"/>
      <c r="M728" s="67" t="n"/>
      <c r="N728" s="67" t="n"/>
      <c r="O728" s="67" t="n"/>
      <c r="P728" s="67" t="n"/>
      <c r="Q728" s="67" t="n"/>
      <c r="R728" s="67" t="n"/>
      <c r="S728" s="67" t="n"/>
      <c r="T728" s="67" t="n"/>
      <c r="U728" s="67" t="n"/>
      <c r="V728" s="67" t="n"/>
      <c r="W728" s="67" t="n"/>
      <c r="X728" s="67" t="n"/>
      <c r="Y728" s="67" t="n"/>
      <c r="Z728" s="67" t="n"/>
      <c r="AA728" s="67" t="n"/>
      <c r="AB728" s="67" t="n"/>
    </row>
    <row r="729" ht="15.75" customHeight="1" s="305">
      <c r="A729" s="67" t="n"/>
      <c r="B729" s="67" t="n"/>
      <c r="C729" s="67" t="n"/>
      <c r="D729" s="67" t="n"/>
      <c r="E729" s="67" t="n"/>
      <c r="F729" s="67" t="inlineStr"/>
      <c r="G729" s="67" t="n"/>
      <c r="H729" t="inlineStr"/>
      <c r="I729" s="67" t="n"/>
      <c r="J729" s="67" t="n"/>
      <c r="K729" s="67" t="n"/>
      <c r="L729" s="67" t="n"/>
      <c r="M729" s="67" t="n"/>
      <c r="N729" s="67" t="n"/>
      <c r="O729" s="67" t="n"/>
      <c r="P729" s="67" t="n"/>
      <c r="Q729" s="67" t="n"/>
      <c r="R729" s="67" t="n"/>
      <c r="S729" s="67" t="n"/>
      <c r="T729" s="67" t="n"/>
      <c r="U729" s="67" t="n"/>
      <c r="V729" s="67" t="n"/>
      <c r="W729" s="67" t="n"/>
      <c r="X729" s="67" t="n"/>
      <c r="Y729" s="67" t="n"/>
      <c r="Z729" s="67" t="n"/>
      <c r="AA729" s="67" t="n"/>
      <c r="AB729" s="67" t="n"/>
    </row>
    <row r="730" ht="15.75" customHeight="1" s="305">
      <c r="A730" s="67" t="n"/>
      <c r="B730" s="67" t="n"/>
      <c r="C730" s="67" t="n"/>
      <c r="D730" s="67" t="n"/>
      <c r="E730" s="67" t="n"/>
      <c r="F730" s="67" t="inlineStr"/>
      <c r="G730" s="67" t="n"/>
      <c r="H730" t="inlineStr"/>
      <c r="I730" s="67" t="n"/>
      <c r="J730" s="67" t="n"/>
      <c r="K730" s="67" t="n"/>
      <c r="L730" s="67" t="n"/>
      <c r="M730" s="67" t="n"/>
      <c r="N730" s="67" t="n"/>
      <c r="O730" s="67" t="n"/>
      <c r="P730" s="67" t="n"/>
      <c r="Q730" s="67" t="n"/>
      <c r="R730" s="67" t="n"/>
      <c r="S730" s="67" t="n"/>
      <c r="T730" s="67" t="n"/>
      <c r="U730" s="67" t="n"/>
      <c r="V730" s="67" t="n"/>
      <c r="W730" s="67" t="n"/>
      <c r="X730" s="67" t="n"/>
      <c r="Y730" s="67" t="n"/>
      <c r="Z730" s="67" t="n"/>
      <c r="AA730" s="67" t="n"/>
      <c r="AB730" s="67" t="n"/>
    </row>
    <row r="731" ht="15.75" customHeight="1" s="305">
      <c r="A731" s="67" t="n"/>
      <c r="B731" s="67" t="n"/>
      <c r="C731" s="67" t="n"/>
      <c r="D731" s="67" t="n"/>
      <c r="E731" s="67" t="n"/>
      <c r="F731" s="67" t="inlineStr"/>
      <c r="G731" s="67" t="n"/>
      <c r="H731" t="inlineStr"/>
      <c r="I731" s="67" t="n"/>
      <c r="J731" s="67" t="n"/>
      <c r="K731" s="67" t="n"/>
      <c r="L731" s="67" t="n"/>
      <c r="M731" s="67" t="n"/>
      <c r="N731" s="67" t="n"/>
      <c r="O731" s="67" t="n"/>
      <c r="P731" s="67" t="n"/>
      <c r="Q731" s="67" t="n"/>
      <c r="R731" s="67" t="n"/>
      <c r="S731" s="67" t="n"/>
      <c r="T731" s="67" t="n"/>
      <c r="U731" s="67" t="n"/>
      <c r="V731" s="67" t="n"/>
      <c r="W731" s="67" t="n"/>
      <c r="X731" s="67" t="n"/>
      <c r="Y731" s="67" t="n"/>
      <c r="Z731" s="67" t="n"/>
      <c r="AA731" s="67" t="n"/>
      <c r="AB731" s="67" t="n"/>
    </row>
    <row r="732" ht="15.75" customHeight="1" s="305">
      <c r="A732" s="67" t="n"/>
      <c r="B732" s="67" t="n"/>
      <c r="C732" s="67" t="n"/>
      <c r="D732" s="67" t="n"/>
      <c r="E732" s="67" t="n"/>
      <c r="F732" s="67" t="inlineStr"/>
      <c r="G732" s="67" t="n"/>
      <c r="H732" t="inlineStr"/>
      <c r="I732" s="67" t="n"/>
      <c r="J732" s="67" t="n"/>
      <c r="K732" s="67" t="n"/>
      <c r="L732" s="67" t="n"/>
      <c r="M732" s="67" t="n"/>
      <c r="N732" s="67" t="n"/>
      <c r="O732" s="67" t="n"/>
      <c r="P732" s="67" t="n"/>
      <c r="Q732" s="67" t="n"/>
      <c r="R732" s="67" t="n"/>
      <c r="S732" s="67" t="n"/>
      <c r="T732" s="67" t="n"/>
      <c r="U732" s="67" t="n"/>
      <c r="V732" s="67" t="n"/>
      <c r="W732" s="67" t="n"/>
      <c r="X732" s="67" t="n"/>
      <c r="Y732" s="67" t="n"/>
      <c r="Z732" s="67" t="n"/>
      <c r="AA732" s="67" t="n"/>
      <c r="AB732" s="67" t="n"/>
    </row>
    <row r="733" ht="15.75" customHeight="1" s="305">
      <c r="A733" s="67" t="n"/>
      <c r="B733" s="67" t="n"/>
      <c r="C733" s="67" t="n"/>
      <c r="D733" s="67" t="n"/>
      <c r="E733" s="67" t="n"/>
      <c r="F733" s="67" t="inlineStr"/>
      <c r="G733" s="67" t="n"/>
      <c r="H733" t="inlineStr"/>
      <c r="I733" s="67" t="n"/>
      <c r="J733" s="67" t="n"/>
      <c r="K733" s="67" t="n"/>
      <c r="L733" s="67" t="n"/>
      <c r="M733" s="67" t="n"/>
      <c r="N733" s="67" t="n"/>
      <c r="O733" s="67" t="n"/>
      <c r="P733" s="67" t="n"/>
      <c r="Q733" s="67" t="n"/>
      <c r="R733" s="67" t="n"/>
      <c r="S733" s="67" t="n"/>
      <c r="T733" s="67" t="n"/>
      <c r="U733" s="67" t="n"/>
      <c r="V733" s="67" t="n"/>
      <c r="W733" s="67" t="n"/>
      <c r="X733" s="67" t="n"/>
      <c r="Y733" s="67" t="n"/>
      <c r="Z733" s="67" t="n"/>
      <c r="AA733" s="67" t="n"/>
      <c r="AB733" s="67" t="n"/>
    </row>
    <row r="734" ht="15.75" customHeight="1" s="305">
      <c r="A734" s="67" t="n"/>
      <c r="B734" s="67" t="n"/>
      <c r="C734" s="67" t="n"/>
      <c r="D734" s="67" t="n"/>
      <c r="E734" s="67" t="n"/>
      <c r="F734" s="67" t="inlineStr"/>
      <c r="G734" s="67" t="n"/>
      <c r="H734" t="inlineStr"/>
      <c r="I734" s="67" t="n"/>
      <c r="J734" s="67" t="n"/>
      <c r="K734" s="67" t="n"/>
      <c r="L734" s="67" t="n"/>
      <c r="M734" s="67" t="n"/>
      <c r="N734" s="67" t="n"/>
      <c r="O734" s="67" t="n"/>
      <c r="P734" s="67" t="n"/>
      <c r="Q734" s="67" t="n"/>
      <c r="R734" s="67" t="n"/>
      <c r="S734" s="67" t="n"/>
      <c r="T734" s="67" t="n"/>
      <c r="U734" s="67" t="n"/>
      <c r="V734" s="67" t="n"/>
      <c r="W734" s="67" t="n"/>
      <c r="X734" s="67" t="n"/>
      <c r="Y734" s="67" t="n"/>
      <c r="Z734" s="67" t="n"/>
      <c r="AA734" s="67" t="n"/>
      <c r="AB734" s="67" t="n"/>
    </row>
    <row r="735" ht="15.75" customHeight="1" s="305">
      <c r="A735" s="67" t="n"/>
      <c r="B735" s="67" t="n"/>
      <c r="C735" s="67" t="n"/>
      <c r="D735" s="67" t="n"/>
      <c r="E735" s="67" t="n"/>
      <c r="F735" s="67" t="inlineStr"/>
      <c r="G735" s="67" t="n"/>
      <c r="H735" t="inlineStr"/>
      <c r="I735" s="67" t="n"/>
      <c r="J735" s="67" t="n"/>
      <c r="K735" s="67" t="n"/>
      <c r="L735" s="67" t="n"/>
      <c r="M735" s="67" t="n"/>
      <c r="N735" s="67" t="n"/>
      <c r="O735" s="67" t="n"/>
      <c r="P735" s="67" t="n"/>
      <c r="Q735" s="67" t="n"/>
      <c r="R735" s="67" t="n"/>
      <c r="S735" s="67" t="n"/>
      <c r="T735" s="67" t="n"/>
      <c r="U735" s="67" t="n"/>
      <c r="V735" s="67" t="n"/>
      <c r="W735" s="67" t="n"/>
      <c r="X735" s="67" t="n"/>
      <c r="Y735" s="67" t="n"/>
      <c r="Z735" s="67" t="n"/>
      <c r="AA735" s="67" t="n"/>
      <c r="AB735" s="67" t="n"/>
    </row>
    <row r="736" ht="15.75" customHeight="1" s="305">
      <c r="A736" s="67" t="n"/>
      <c r="B736" s="67" t="n"/>
      <c r="C736" s="67" t="n"/>
      <c r="D736" s="67" t="n"/>
      <c r="E736" s="67" t="n"/>
      <c r="F736" s="67" t="inlineStr"/>
      <c r="G736" s="67" t="n"/>
      <c r="H736" t="inlineStr"/>
      <c r="I736" s="67" t="n"/>
      <c r="J736" s="67" t="n"/>
      <c r="K736" s="67" t="n"/>
      <c r="L736" s="67" t="n"/>
      <c r="M736" s="67" t="n"/>
      <c r="N736" s="67" t="n"/>
      <c r="O736" s="67" t="n"/>
      <c r="P736" s="67" t="n"/>
      <c r="Q736" s="67" t="n"/>
      <c r="R736" s="67" t="n"/>
      <c r="S736" s="67" t="n"/>
      <c r="T736" s="67" t="n"/>
      <c r="U736" s="67" t="n"/>
      <c r="V736" s="67" t="n"/>
      <c r="W736" s="67" t="n"/>
      <c r="X736" s="67" t="n"/>
      <c r="Y736" s="67" t="n"/>
      <c r="Z736" s="67" t="n"/>
      <c r="AA736" s="67" t="n"/>
      <c r="AB736" s="67" t="n"/>
    </row>
    <row r="737" ht="15.75" customHeight="1" s="305">
      <c r="A737" s="67" t="n"/>
      <c r="B737" s="67" t="n"/>
      <c r="C737" s="67" t="n"/>
      <c r="D737" s="67" t="n"/>
      <c r="E737" s="67" t="n"/>
      <c r="F737" s="67" t="inlineStr"/>
      <c r="G737" s="67" t="n"/>
      <c r="H737" t="inlineStr"/>
      <c r="I737" s="67" t="n"/>
      <c r="J737" s="67" t="n"/>
      <c r="K737" s="67" t="n"/>
      <c r="L737" s="67" t="n"/>
      <c r="M737" s="67" t="n"/>
      <c r="N737" s="67" t="n"/>
      <c r="O737" s="67" t="n"/>
      <c r="P737" s="67" t="n"/>
      <c r="Q737" s="67" t="n"/>
      <c r="R737" s="67" t="n"/>
      <c r="S737" s="67" t="n"/>
      <c r="T737" s="67" t="n"/>
      <c r="U737" s="67" t="n"/>
      <c r="V737" s="67" t="n"/>
      <c r="W737" s="67" t="n"/>
      <c r="X737" s="67" t="n"/>
      <c r="Y737" s="67" t="n"/>
      <c r="Z737" s="67" t="n"/>
      <c r="AA737" s="67" t="n"/>
      <c r="AB737" s="67" t="n"/>
    </row>
    <row r="738" ht="15.75" customHeight="1" s="305">
      <c r="A738" s="67" t="n"/>
      <c r="B738" s="67" t="n"/>
      <c r="C738" s="67" t="n"/>
      <c r="D738" s="67" t="n"/>
      <c r="E738" s="67" t="n"/>
      <c r="F738" s="67" t="inlineStr"/>
      <c r="G738" s="67" t="n"/>
      <c r="H738" t="inlineStr"/>
      <c r="I738" s="67" t="n"/>
      <c r="J738" s="67" t="n"/>
      <c r="K738" s="67" t="n"/>
      <c r="L738" s="67" t="n"/>
      <c r="M738" s="67" t="n"/>
      <c r="N738" s="67" t="n"/>
      <c r="O738" s="67" t="n"/>
      <c r="P738" s="67" t="n"/>
      <c r="Q738" s="67" t="n"/>
      <c r="R738" s="67" t="n"/>
      <c r="S738" s="67" t="n"/>
      <c r="T738" s="67" t="n"/>
      <c r="U738" s="67" t="n"/>
      <c r="V738" s="67" t="n"/>
      <c r="W738" s="67" t="n"/>
      <c r="X738" s="67" t="n"/>
      <c r="Y738" s="67" t="n"/>
      <c r="Z738" s="67" t="n"/>
      <c r="AA738" s="67" t="n"/>
      <c r="AB738" s="67" t="n"/>
    </row>
    <row r="739" ht="15.75" customHeight="1" s="305">
      <c r="A739" s="67" t="n"/>
      <c r="B739" s="67" t="n"/>
      <c r="C739" s="67" t="n"/>
      <c r="D739" s="67" t="n"/>
      <c r="E739" s="67" t="n"/>
      <c r="F739" s="67" t="inlineStr"/>
      <c r="G739" s="67" t="n"/>
      <c r="H739" t="inlineStr"/>
      <c r="I739" s="67" t="n"/>
      <c r="J739" s="67" t="n"/>
      <c r="K739" s="67" t="n"/>
      <c r="L739" s="67" t="n"/>
      <c r="M739" s="67" t="n"/>
      <c r="N739" s="67" t="n"/>
      <c r="O739" s="67" t="n"/>
      <c r="P739" s="67" t="n"/>
      <c r="Q739" s="67" t="n"/>
      <c r="R739" s="67" t="n"/>
      <c r="S739" s="67" t="n"/>
      <c r="T739" s="67" t="n"/>
      <c r="U739" s="67" t="n"/>
      <c r="V739" s="67" t="n"/>
      <c r="W739" s="67" t="n"/>
      <c r="X739" s="67" t="n"/>
      <c r="Y739" s="67" t="n"/>
      <c r="Z739" s="67" t="n"/>
      <c r="AA739" s="67" t="n"/>
      <c r="AB739" s="67" t="n"/>
    </row>
    <row r="740" ht="15.75" customHeight="1" s="305">
      <c r="A740" s="67" t="n"/>
      <c r="B740" s="67" t="n"/>
      <c r="C740" s="67" t="n"/>
      <c r="D740" s="67" t="n"/>
      <c r="E740" s="67" t="n"/>
      <c r="F740" s="67" t="inlineStr"/>
      <c r="G740" s="67" t="n"/>
      <c r="H740" t="inlineStr"/>
      <c r="I740" s="67" t="n"/>
      <c r="J740" s="67" t="n"/>
      <c r="K740" s="67" t="n"/>
      <c r="L740" s="67" t="n"/>
      <c r="M740" s="67" t="n"/>
      <c r="N740" s="67" t="n"/>
      <c r="O740" s="67" t="n"/>
      <c r="P740" s="67" t="n"/>
      <c r="Q740" s="67" t="n"/>
      <c r="R740" s="67" t="n"/>
      <c r="S740" s="67" t="n"/>
      <c r="T740" s="67" t="n"/>
      <c r="U740" s="67" t="n"/>
      <c r="V740" s="67" t="n"/>
      <c r="W740" s="67" t="n"/>
      <c r="X740" s="67" t="n"/>
      <c r="Y740" s="67" t="n"/>
      <c r="Z740" s="67" t="n"/>
      <c r="AA740" s="67" t="n"/>
      <c r="AB740" s="67" t="n"/>
    </row>
    <row r="741" ht="15.75" customHeight="1" s="305">
      <c r="A741" s="67" t="n"/>
      <c r="B741" s="67" t="n"/>
      <c r="C741" s="67" t="n"/>
      <c r="D741" s="67" t="n"/>
      <c r="E741" s="67" t="n"/>
      <c r="F741" s="67" t="inlineStr"/>
      <c r="G741" s="67" t="n"/>
      <c r="H741" t="inlineStr"/>
      <c r="I741" s="67" t="n"/>
      <c r="J741" s="67" t="n"/>
      <c r="K741" s="67" t="n"/>
      <c r="L741" s="67" t="n"/>
      <c r="M741" s="67" t="n"/>
      <c r="N741" s="67" t="n"/>
      <c r="O741" s="67" t="n"/>
      <c r="P741" s="67" t="n"/>
      <c r="Q741" s="67" t="n"/>
      <c r="R741" s="67" t="n"/>
      <c r="S741" s="67" t="n"/>
      <c r="T741" s="67" t="n"/>
      <c r="U741" s="67" t="n"/>
      <c r="V741" s="67" t="n"/>
      <c r="W741" s="67" t="n"/>
      <c r="X741" s="67" t="n"/>
      <c r="Y741" s="67" t="n"/>
      <c r="Z741" s="67" t="n"/>
      <c r="AA741" s="67" t="n"/>
      <c r="AB741" s="67" t="n"/>
    </row>
    <row r="742" ht="15.75" customHeight="1" s="305">
      <c r="A742" s="67" t="n"/>
      <c r="B742" s="67" t="n"/>
      <c r="C742" s="67" t="n"/>
      <c r="D742" s="67" t="n"/>
      <c r="E742" s="67" t="n"/>
      <c r="F742" s="67" t="inlineStr"/>
      <c r="G742" s="67" t="n"/>
      <c r="H742" t="inlineStr"/>
      <c r="I742" s="67" t="n"/>
      <c r="J742" s="67" t="n"/>
      <c r="K742" s="67" t="n"/>
      <c r="L742" s="67" t="n"/>
      <c r="M742" s="67" t="n"/>
      <c r="N742" s="67" t="n"/>
      <c r="O742" s="67" t="n"/>
      <c r="P742" s="67" t="n"/>
      <c r="Q742" s="67" t="n"/>
      <c r="R742" s="67" t="n"/>
      <c r="S742" s="67" t="n"/>
      <c r="T742" s="67" t="n"/>
      <c r="U742" s="67" t="n"/>
      <c r="V742" s="67" t="n"/>
      <c r="W742" s="67" t="n"/>
      <c r="X742" s="67" t="n"/>
      <c r="Y742" s="67" t="n"/>
      <c r="Z742" s="67" t="n"/>
      <c r="AA742" s="67" t="n"/>
      <c r="AB742" s="67" t="n"/>
    </row>
    <row r="743" ht="15.75" customHeight="1" s="305">
      <c r="A743" s="67" t="n"/>
      <c r="B743" s="67" t="n"/>
      <c r="C743" s="67" t="n"/>
      <c r="D743" s="67" t="n"/>
      <c r="E743" s="67" t="n"/>
      <c r="F743" s="67" t="inlineStr"/>
      <c r="G743" s="67" t="n"/>
      <c r="H743" t="inlineStr"/>
      <c r="I743" s="67" t="n"/>
      <c r="J743" s="67" t="n"/>
      <c r="K743" s="67" t="n"/>
      <c r="L743" s="67" t="n"/>
      <c r="M743" s="67" t="n"/>
      <c r="N743" s="67" t="n"/>
      <c r="O743" s="67" t="n"/>
      <c r="P743" s="67" t="n"/>
      <c r="Q743" s="67" t="n"/>
      <c r="R743" s="67" t="n"/>
      <c r="S743" s="67" t="n"/>
      <c r="T743" s="67" t="n"/>
      <c r="U743" s="67" t="n"/>
      <c r="V743" s="67" t="n"/>
      <c r="W743" s="67" t="n"/>
      <c r="X743" s="67" t="n"/>
      <c r="Y743" s="67" t="n"/>
      <c r="Z743" s="67" t="n"/>
      <c r="AA743" s="67" t="n"/>
      <c r="AB743" s="67" t="n"/>
    </row>
    <row r="744" ht="15.75" customHeight="1" s="305">
      <c r="A744" s="67" t="n"/>
      <c r="B744" s="67" t="n"/>
      <c r="C744" s="67" t="n"/>
      <c r="D744" s="67" t="n"/>
      <c r="E744" s="67" t="n"/>
      <c r="F744" s="67" t="inlineStr"/>
      <c r="G744" s="67" t="n"/>
      <c r="H744" t="inlineStr"/>
      <c r="I744" s="67" t="n"/>
      <c r="J744" s="67" t="n"/>
      <c r="K744" s="67" t="n"/>
      <c r="L744" s="67" t="n"/>
      <c r="M744" s="67" t="n"/>
      <c r="N744" s="67" t="n"/>
      <c r="O744" s="67" t="n"/>
      <c r="P744" s="67" t="n"/>
      <c r="Q744" s="67" t="n"/>
      <c r="R744" s="67" t="n"/>
      <c r="S744" s="67" t="n"/>
      <c r="T744" s="67" t="n"/>
      <c r="U744" s="67" t="n"/>
      <c r="V744" s="67" t="n"/>
      <c r="W744" s="67" t="n"/>
      <c r="X744" s="67" t="n"/>
      <c r="Y744" s="67" t="n"/>
      <c r="Z744" s="67" t="n"/>
      <c r="AA744" s="67" t="n"/>
      <c r="AB744" s="67" t="n"/>
    </row>
    <row r="745" ht="15.75" customHeight="1" s="305">
      <c r="A745" s="67" t="n"/>
      <c r="B745" s="67" t="n"/>
      <c r="C745" s="67" t="n"/>
      <c r="D745" s="67" t="n"/>
      <c r="E745" s="67" t="n"/>
      <c r="F745" s="67" t="inlineStr"/>
      <c r="G745" s="67" t="n"/>
      <c r="H745" t="inlineStr"/>
      <c r="I745" s="67" t="n"/>
      <c r="J745" s="67" t="n"/>
      <c r="K745" s="67" t="n"/>
      <c r="L745" s="67" t="n"/>
      <c r="M745" s="67" t="n"/>
      <c r="N745" s="67" t="n"/>
      <c r="O745" s="67" t="n"/>
      <c r="P745" s="67" t="n"/>
      <c r="Q745" s="67" t="n"/>
      <c r="R745" s="67" t="n"/>
      <c r="S745" s="67" t="n"/>
      <c r="T745" s="67" t="n"/>
      <c r="U745" s="67" t="n"/>
      <c r="V745" s="67" t="n"/>
      <c r="W745" s="67" t="n"/>
      <c r="X745" s="67" t="n"/>
      <c r="Y745" s="67" t="n"/>
      <c r="Z745" s="67" t="n"/>
      <c r="AA745" s="67" t="n"/>
      <c r="AB745" s="67" t="n"/>
    </row>
    <row r="746" ht="15.75" customHeight="1" s="305">
      <c r="A746" s="67" t="n"/>
      <c r="B746" s="67" t="n"/>
      <c r="C746" s="67" t="n"/>
      <c r="D746" s="67" t="n"/>
      <c r="E746" s="67" t="n"/>
      <c r="F746" s="67" t="inlineStr"/>
      <c r="G746" s="67" t="n"/>
      <c r="H746" t="inlineStr"/>
      <c r="I746" s="67" t="n"/>
      <c r="J746" s="67" t="n"/>
      <c r="K746" s="67" t="n"/>
      <c r="L746" s="67" t="n"/>
      <c r="M746" s="67" t="n"/>
      <c r="N746" s="67" t="n"/>
      <c r="O746" s="67" t="n"/>
      <c r="P746" s="67" t="n"/>
      <c r="Q746" s="67" t="n"/>
      <c r="R746" s="67" t="n"/>
      <c r="S746" s="67" t="n"/>
      <c r="T746" s="67" t="n"/>
      <c r="U746" s="67" t="n"/>
      <c r="V746" s="67" t="n"/>
      <c r="W746" s="67" t="n"/>
      <c r="X746" s="67" t="n"/>
      <c r="Y746" s="67" t="n"/>
      <c r="Z746" s="67" t="n"/>
      <c r="AA746" s="67" t="n"/>
      <c r="AB746" s="67" t="n"/>
    </row>
    <row r="747" ht="15.75" customHeight="1" s="305">
      <c r="A747" s="67" t="n"/>
      <c r="B747" s="67" t="n"/>
      <c r="C747" s="67" t="n"/>
      <c r="D747" s="67" t="n"/>
      <c r="E747" s="67" t="n"/>
      <c r="F747" s="67" t="inlineStr"/>
      <c r="G747" s="67" t="n"/>
      <c r="H747" t="inlineStr"/>
      <c r="I747" s="67" t="n"/>
      <c r="J747" s="67" t="n"/>
      <c r="K747" s="67" t="n"/>
      <c r="L747" s="67" t="n"/>
      <c r="M747" s="67" t="n"/>
      <c r="N747" s="67" t="n"/>
      <c r="O747" s="67" t="n"/>
      <c r="P747" s="67" t="n"/>
      <c r="Q747" s="67" t="n"/>
      <c r="R747" s="67" t="n"/>
      <c r="S747" s="67" t="n"/>
      <c r="T747" s="67" t="n"/>
      <c r="U747" s="67" t="n"/>
      <c r="V747" s="67" t="n"/>
      <c r="W747" s="67" t="n"/>
      <c r="X747" s="67" t="n"/>
      <c r="Y747" s="67" t="n"/>
      <c r="Z747" s="67" t="n"/>
      <c r="AA747" s="67" t="n"/>
      <c r="AB747" s="67" t="n"/>
    </row>
    <row r="748" ht="15.75" customHeight="1" s="305">
      <c r="A748" s="67" t="n"/>
      <c r="B748" s="67" t="n"/>
      <c r="C748" s="67" t="n"/>
      <c r="D748" s="67" t="n"/>
      <c r="E748" s="67" t="n"/>
      <c r="F748" s="67" t="inlineStr"/>
      <c r="G748" s="67" t="n"/>
      <c r="H748" t="inlineStr"/>
      <c r="I748" s="67" t="n"/>
      <c r="J748" s="67" t="n"/>
      <c r="K748" s="67" t="n"/>
      <c r="L748" s="67" t="n"/>
      <c r="M748" s="67" t="n"/>
      <c r="N748" s="67" t="n"/>
      <c r="O748" s="67" t="n"/>
      <c r="P748" s="67" t="n"/>
      <c r="Q748" s="67" t="n"/>
      <c r="R748" s="67" t="n"/>
      <c r="S748" s="67" t="n"/>
      <c r="T748" s="67" t="n"/>
      <c r="U748" s="67" t="n"/>
      <c r="V748" s="67" t="n"/>
      <c r="W748" s="67" t="n"/>
      <c r="X748" s="67" t="n"/>
      <c r="Y748" s="67" t="n"/>
      <c r="Z748" s="67" t="n"/>
      <c r="AA748" s="67" t="n"/>
      <c r="AB748" s="67" t="n"/>
    </row>
    <row r="749" ht="15.75" customHeight="1" s="305">
      <c r="A749" s="67" t="n"/>
      <c r="B749" s="67" t="n"/>
      <c r="C749" s="67" t="n"/>
      <c r="D749" s="67" t="n"/>
      <c r="E749" s="67" t="n"/>
      <c r="F749" s="67" t="inlineStr"/>
      <c r="G749" s="67" t="n"/>
      <c r="H749" t="inlineStr"/>
      <c r="I749" s="67" t="n"/>
      <c r="J749" s="67" t="n"/>
      <c r="K749" s="67" t="n"/>
      <c r="L749" s="67" t="n"/>
      <c r="M749" s="67" t="n"/>
      <c r="N749" s="67" t="n"/>
      <c r="O749" s="67" t="n"/>
      <c r="P749" s="67" t="n"/>
      <c r="Q749" s="67" t="n"/>
      <c r="R749" s="67" t="n"/>
      <c r="S749" s="67" t="n"/>
      <c r="T749" s="67" t="n"/>
      <c r="U749" s="67" t="n"/>
      <c r="V749" s="67" t="n"/>
      <c r="W749" s="67" t="n"/>
      <c r="X749" s="67" t="n"/>
      <c r="Y749" s="67" t="n"/>
      <c r="Z749" s="67" t="n"/>
      <c r="AA749" s="67" t="n"/>
      <c r="AB749" s="67" t="n"/>
    </row>
    <row r="750" ht="15.75" customHeight="1" s="305">
      <c r="A750" s="67" t="n"/>
      <c r="B750" s="67" t="n"/>
      <c r="C750" s="67" t="n"/>
      <c r="D750" s="67" t="n"/>
      <c r="E750" s="67" t="n"/>
      <c r="F750" s="67" t="inlineStr"/>
      <c r="G750" s="67" t="n"/>
      <c r="H750" t="inlineStr"/>
      <c r="I750" s="67" t="n"/>
      <c r="J750" s="67" t="n"/>
      <c r="K750" s="67" t="n"/>
      <c r="L750" s="67" t="n"/>
      <c r="M750" s="67" t="n"/>
      <c r="N750" s="67" t="n"/>
      <c r="O750" s="67" t="n"/>
      <c r="P750" s="67" t="n"/>
      <c r="Q750" s="67" t="n"/>
      <c r="R750" s="67" t="n"/>
      <c r="S750" s="67" t="n"/>
      <c r="T750" s="67" t="n"/>
      <c r="U750" s="67" t="n"/>
      <c r="V750" s="67" t="n"/>
      <c r="W750" s="67" t="n"/>
      <c r="X750" s="67" t="n"/>
      <c r="Y750" s="67" t="n"/>
      <c r="Z750" s="67" t="n"/>
      <c r="AA750" s="67" t="n"/>
      <c r="AB750" s="67" t="n"/>
    </row>
    <row r="751" ht="15.75" customHeight="1" s="305">
      <c r="A751" s="67" t="n"/>
      <c r="B751" s="67" t="n"/>
      <c r="C751" s="67" t="n"/>
      <c r="D751" s="67" t="n"/>
      <c r="E751" s="67" t="n"/>
      <c r="F751" s="67" t="inlineStr"/>
      <c r="G751" s="67" t="n"/>
      <c r="H751" t="inlineStr"/>
      <c r="I751" s="67" t="n"/>
      <c r="J751" s="67" t="n"/>
      <c r="K751" s="67" t="n"/>
      <c r="L751" s="67" t="n"/>
      <c r="M751" s="67" t="n"/>
      <c r="N751" s="67" t="n"/>
      <c r="O751" s="67" t="n"/>
      <c r="P751" s="67" t="n"/>
      <c r="Q751" s="67" t="n"/>
      <c r="R751" s="67" t="n"/>
      <c r="S751" s="67" t="n"/>
      <c r="T751" s="67" t="n"/>
      <c r="U751" s="67" t="n"/>
      <c r="V751" s="67" t="n"/>
      <c r="W751" s="67" t="n"/>
      <c r="X751" s="67" t="n"/>
      <c r="Y751" s="67" t="n"/>
      <c r="Z751" s="67" t="n"/>
      <c r="AA751" s="67" t="n"/>
      <c r="AB751" s="67" t="n"/>
    </row>
    <row r="752" ht="15.75" customHeight="1" s="305">
      <c r="A752" s="67" t="n"/>
      <c r="B752" s="67" t="n"/>
      <c r="C752" s="67" t="n"/>
      <c r="D752" s="67" t="n"/>
      <c r="E752" s="67" t="n"/>
      <c r="F752" s="67" t="inlineStr"/>
      <c r="G752" s="67" t="n"/>
      <c r="H752" t="inlineStr"/>
      <c r="I752" s="67" t="n"/>
      <c r="J752" s="67" t="n"/>
      <c r="K752" s="67" t="n"/>
      <c r="L752" s="67" t="n"/>
      <c r="M752" s="67" t="n"/>
      <c r="N752" s="67" t="n"/>
      <c r="O752" s="67" t="n"/>
      <c r="P752" s="67" t="n"/>
      <c r="Q752" s="67" t="n"/>
      <c r="R752" s="67" t="n"/>
      <c r="S752" s="67" t="n"/>
      <c r="T752" s="67" t="n"/>
      <c r="U752" s="67" t="n"/>
      <c r="V752" s="67" t="n"/>
      <c r="W752" s="67" t="n"/>
      <c r="X752" s="67" t="n"/>
      <c r="Y752" s="67" t="n"/>
      <c r="Z752" s="67" t="n"/>
      <c r="AA752" s="67" t="n"/>
      <c r="AB752" s="67" t="n"/>
    </row>
    <row r="753" ht="15.75" customHeight="1" s="305">
      <c r="A753" s="67" t="n"/>
      <c r="B753" s="67" t="n"/>
      <c r="C753" s="67" t="n"/>
      <c r="D753" s="67" t="n"/>
      <c r="E753" s="67" t="n"/>
      <c r="F753" s="67" t="inlineStr"/>
      <c r="G753" s="67" t="n"/>
      <c r="H753" t="inlineStr"/>
      <c r="I753" s="67" t="n"/>
      <c r="J753" s="67" t="n"/>
      <c r="K753" s="67" t="n"/>
      <c r="L753" s="67" t="n"/>
      <c r="M753" s="67" t="n"/>
      <c r="N753" s="67" t="n"/>
      <c r="O753" s="67" t="n"/>
      <c r="P753" s="67" t="n"/>
      <c r="Q753" s="67" t="n"/>
      <c r="R753" s="67" t="n"/>
      <c r="S753" s="67" t="n"/>
      <c r="T753" s="67" t="n"/>
      <c r="U753" s="67" t="n"/>
      <c r="V753" s="67" t="n"/>
      <c r="W753" s="67" t="n"/>
      <c r="X753" s="67" t="n"/>
      <c r="Y753" s="67" t="n"/>
      <c r="Z753" s="67" t="n"/>
      <c r="AA753" s="67" t="n"/>
      <c r="AB753" s="67" t="n"/>
    </row>
    <row r="754" ht="15.75" customHeight="1" s="305">
      <c r="A754" s="67" t="n"/>
      <c r="B754" s="67" t="n"/>
      <c r="C754" s="67" t="n"/>
      <c r="D754" s="67" t="n"/>
      <c r="E754" s="67" t="n"/>
      <c r="F754" s="67" t="inlineStr"/>
      <c r="G754" s="67" t="n"/>
      <c r="H754" t="inlineStr"/>
      <c r="I754" s="67" t="n"/>
      <c r="J754" s="67" t="n"/>
      <c r="K754" s="67" t="n"/>
      <c r="L754" s="67" t="n"/>
      <c r="M754" s="67" t="n"/>
      <c r="N754" s="67" t="n"/>
      <c r="O754" s="67" t="n"/>
      <c r="P754" s="67" t="n"/>
      <c r="Q754" s="67" t="n"/>
      <c r="R754" s="67" t="n"/>
      <c r="S754" s="67" t="n"/>
      <c r="T754" s="67" t="n"/>
      <c r="U754" s="67" t="n"/>
      <c r="V754" s="67" t="n"/>
      <c r="W754" s="67" t="n"/>
      <c r="X754" s="67" t="n"/>
      <c r="Y754" s="67" t="n"/>
      <c r="Z754" s="67" t="n"/>
      <c r="AA754" s="67" t="n"/>
      <c r="AB754" s="67" t="n"/>
    </row>
    <row r="755" ht="15.75" customHeight="1" s="305">
      <c r="A755" s="67" t="n"/>
      <c r="B755" s="67" t="n"/>
      <c r="C755" s="67" t="n"/>
      <c r="D755" s="67" t="n"/>
      <c r="E755" s="67" t="n"/>
      <c r="F755" s="67" t="inlineStr"/>
      <c r="G755" s="67" t="n"/>
      <c r="H755" t="inlineStr"/>
      <c r="I755" s="67" t="n"/>
      <c r="J755" s="67" t="n"/>
      <c r="K755" s="67" t="n"/>
      <c r="L755" s="67" t="n"/>
      <c r="M755" s="67" t="n"/>
      <c r="N755" s="67" t="n"/>
      <c r="O755" s="67" t="n"/>
      <c r="P755" s="67" t="n"/>
      <c r="Q755" s="67" t="n"/>
      <c r="R755" s="67" t="n"/>
      <c r="S755" s="67" t="n"/>
      <c r="T755" s="67" t="n"/>
      <c r="U755" s="67" t="n"/>
      <c r="V755" s="67" t="n"/>
      <c r="W755" s="67" t="n"/>
      <c r="X755" s="67" t="n"/>
      <c r="Y755" s="67" t="n"/>
      <c r="Z755" s="67" t="n"/>
      <c r="AA755" s="67" t="n"/>
      <c r="AB755" s="67" t="n"/>
    </row>
    <row r="756" ht="15.75" customHeight="1" s="305">
      <c r="A756" s="67" t="n"/>
      <c r="B756" s="67" t="n"/>
      <c r="C756" s="67" t="n"/>
      <c r="D756" s="67" t="n"/>
      <c r="E756" s="67" t="n"/>
      <c r="F756" s="67" t="inlineStr"/>
      <c r="G756" s="67" t="n"/>
      <c r="H756" t="inlineStr"/>
      <c r="I756" s="67" t="n"/>
      <c r="J756" s="67" t="n"/>
      <c r="K756" s="67" t="n"/>
      <c r="L756" s="67" t="n"/>
      <c r="M756" s="67" t="n"/>
      <c r="N756" s="67" t="n"/>
      <c r="O756" s="67" t="n"/>
      <c r="P756" s="67" t="n"/>
      <c r="Q756" s="67" t="n"/>
      <c r="R756" s="67" t="n"/>
      <c r="S756" s="67" t="n"/>
      <c r="T756" s="67" t="n"/>
      <c r="U756" s="67" t="n"/>
      <c r="V756" s="67" t="n"/>
      <c r="W756" s="67" t="n"/>
      <c r="X756" s="67" t="n"/>
      <c r="Y756" s="67" t="n"/>
      <c r="Z756" s="67" t="n"/>
      <c r="AA756" s="67" t="n"/>
      <c r="AB756" s="67" t="n"/>
    </row>
    <row r="757" ht="15.75" customHeight="1" s="305">
      <c r="A757" s="67" t="n"/>
      <c r="B757" s="67" t="n"/>
      <c r="C757" s="67" t="n"/>
      <c r="D757" s="67" t="n"/>
      <c r="E757" s="67" t="n"/>
      <c r="F757" s="67" t="inlineStr"/>
      <c r="G757" s="67" t="n"/>
      <c r="H757" t="inlineStr"/>
      <c r="I757" s="67" t="n"/>
      <c r="J757" s="67" t="n"/>
      <c r="K757" s="67" t="n"/>
      <c r="L757" s="67" t="n"/>
      <c r="M757" s="67" t="n"/>
      <c r="N757" s="67" t="n"/>
      <c r="O757" s="67" t="n"/>
      <c r="P757" s="67" t="n"/>
      <c r="Q757" s="67" t="n"/>
      <c r="R757" s="67" t="n"/>
      <c r="S757" s="67" t="n"/>
      <c r="T757" s="67" t="n"/>
      <c r="U757" s="67" t="n"/>
      <c r="V757" s="67" t="n"/>
      <c r="W757" s="67" t="n"/>
      <c r="X757" s="67" t="n"/>
      <c r="Y757" s="67" t="n"/>
      <c r="Z757" s="67" t="n"/>
      <c r="AA757" s="67" t="n"/>
      <c r="AB757" s="67" t="n"/>
    </row>
    <row r="758" ht="15.75" customHeight="1" s="305">
      <c r="A758" s="67" t="n"/>
      <c r="B758" s="67" t="n"/>
      <c r="C758" s="67" t="n"/>
      <c r="D758" s="67" t="n"/>
      <c r="E758" s="67" t="n"/>
      <c r="F758" s="67" t="inlineStr"/>
      <c r="G758" s="67" t="n"/>
      <c r="H758" t="inlineStr"/>
      <c r="I758" s="67" t="n"/>
      <c r="J758" s="67" t="n"/>
      <c r="K758" s="67" t="n"/>
      <c r="L758" s="67" t="n"/>
      <c r="M758" s="67" t="n"/>
      <c r="N758" s="67" t="n"/>
      <c r="O758" s="67" t="n"/>
      <c r="P758" s="67" t="n"/>
      <c r="Q758" s="67" t="n"/>
      <c r="R758" s="67" t="n"/>
      <c r="S758" s="67" t="n"/>
      <c r="T758" s="67" t="n"/>
      <c r="U758" s="67" t="n"/>
      <c r="V758" s="67" t="n"/>
      <c r="W758" s="67" t="n"/>
      <c r="X758" s="67" t="n"/>
      <c r="Y758" s="67" t="n"/>
      <c r="Z758" s="67" t="n"/>
      <c r="AA758" s="67" t="n"/>
      <c r="AB758" s="67" t="n"/>
    </row>
    <row r="759" ht="15.75" customHeight="1" s="305">
      <c r="A759" s="67" t="n"/>
      <c r="B759" s="67" t="n"/>
      <c r="C759" s="67" t="n"/>
      <c r="D759" s="67" t="n"/>
      <c r="E759" s="67" t="n"/>
      <c r="F759" s="67" t="inlineStr"/>
      <c r="G759" s="67" t="n"/>
      <c r="H759" t="inlineStr"/>
      <c r="I759" s="67" t="n"/>
      <c r="J759" s="67" t="n"/>
      <c r="K759" s="67" t="n"/>
      <c r="L759" s="67" t="n"/>
      <c r="M759" s="67" t="n"/>
      <c r="N759" s="67" t="n"/>
      <c r="O759" s="67" t="n"/>
      <c r="P759" s="67" t="n"/>
      <c r="Q759" s="67" t="n"/>
      <c r="R759" s="67" t="n"/>
      <c r="S759" s="67" t="n"/>
      <c r="T759" s="67" t="n"/>
      <c r="U759" s="67" t="n"/>
      <c r="V759" s="67" t="n"/>
      <c r="W759" s="67" t="n"/>
      <c r="X759" s="67" t="n"/>
      <c r="Y759" s="67" t="n"/>
      <c r="Z759" s="67" t="n"/>
      <c r="AA759" s="67" t="n"/>
      <c r="AB759" s="67" t="n"/>
    </row>
    <row r="760" ht="15.75" customHeight="1" s="305">
      <c r="A760" s="67" t="n"/>
      <c r="B760" s="67" t="n"/>
      <c r="C760" s="67" t="n"/>
      <c r="D760" s="67" t="n"/>
      <c r="E760" s="67" t="n"/>
      <c r="F760" s="67" t="inlineStr"/>
      <c r="G760" s="67" t="n"/>
      <c r="H760" t="inlineStr"/>
      <c r="I760" s="67" t="n"/>
      <c r="J760" s="67" t="n"/>
      <c r="K760" s="67" t="n"/>
      <c r="L760" s="67" t="n"/>
      <c r="M760" s="67" t="n"/>
      <c r="N760" s="67" t="n"/>
      <c r="O760" s="67" t="n"/>
      <c r="P760" s="67" t="n"/>
      <c r="Q760" s="67" t="n"/>
      <c r="R760" s="67" t="n"/>
      <c r="S760" s="67" t="n"/>
      <c r="T760" s="67" t="n"/>
      <c r="U760" s="67" t="n"/>
      <c r="V760" s="67" t="n"/>
      <c r="W760" s="67" t="n"/>
      <c r="X760" s="67" t="n"/>
      <c r="Y760" s="67" t="n"/>
      <c r="Z760" s="67" t="n"/>
      <c r="AA760" s="67" t="n"/>
      <c r="AB760" s="67" t="n"/>
    </row>
    <row r="761" ht="15.75" customHeight="1" s="305">
      <c r="A761" s="67" t="n"/>
      <c r="B761" s="67" t="n"/>
      <c r="C761" s="67" t="n"/>
      <c r="D761" s="67" t="n"/>
      <c r="E761" s="67" t="n"/>
      <c r="F761" s="67" t="inlineStr"/>
      <c r="G761" s="67" t="n"/>
      <c r="H761" t="inlineStr"/>
      <c r="I761" s="67" t="n"/>
      <c r="J761" s="67" t="n"/>
      <c r="K761" s="67" t="n"/>
      <c r="L761" s="67" t="n"/>
      <c r="M761" s="67" t="n"/>
      <c r="N761" s="67" t="n"/>
      <c r="O761" s="67" t="n"/>
      <c r="P761" s="67" t="n"/>
      <c r="Q761" s="67" t="n"/>
      <c r="R761" s="67" t="n"/>
      <c r="S761" s="67" t="n"/>
      <c r="T761" s="67" t="n"/>
      <c r="U761" s="67" t="n"/>
      <c r="V761" s="67" t="n"/>
      <c r="W761" s="67" t="n"/>
      <c r="X761" s="67" t="n"/>
      <c r="Y761" s="67" t="n"/>
      <c r="Z761" s="67" t="n"/>
      <c r="AA761" s="67" t="n"/>
      <c r="AB761" s="67" t="n"/>
    </row>
    <row r="762" ht="15.75" customHeight="1" s="305">
      <c r="A762" s="67" t="n"/>
      <c r="B762" s="67" t="n"/>
      <c r="C762" s="67" t="n"/>
      <c r="D762" s="67" t="n"/>
      <c r="E762" s="67" t="n"/>
      <c r="F762" s="67" t="inlineStr"/>
      <c r="G762" s="67" t="n"/>
      <c r="H762" t="inlineStr"/>
      <c r="I762" s="67" t="n"/>
      <c r="J762" s="67" t="n"/>
      <c r="K762" s="67" t="n"/>
      <c r="L762" s="67" t="n"/>
      <c r="M762" s="67" t="n"/>
      <c r="N762" s="67" t="n"/>
      <c r="O762" s="67" t="n"/>
      <c r="P762" s="67" t="n"/>
      <c r="Q762" s="67" t="n"/>
      <c r="R762" s="67" t="n"/>
      <c r="S762" s="67" t="n"/>
      <c r="T762" s="67" t="n"/>
      <c r="U762" s="67" t="n"/>
      <c r="V762" s="67" t="n"/>
      <c r="W762" s="67" t="n"/>
      <c r="X762" s="67" t="n"/>
      <c r="Y762" s="67" t="n"/>
      <c r="Z762" s="67" t="n"/>
      <c r="AA762" s="67" t="n"/>
      <c r="AB762" s="67" t="n"/>
    </row>
    <row r="763" ht="15.75" customHeight="1" s="305">
      <c r="A763" s="67" t="n"/>
      <c r="B763" s="67" t="n"/>
      <c r="C763" s="67" t="n"/>
      <c r="D763" s="67" t="n"/>
      <c r="E763" s="67" t="n"/>
      <c r="F763" s="67" t="inlineStr"/>
      <c r="G763" s="67" t="n"/>
      <c r="H763" t="inlineStr"/>
      <c r="I763" s="67" t="n"/>
      <c r="J763" s="67" t="n"/>
      <c r="K763" s="67" t="n"/>
      <c r="L763" s="67" t="n"/>
      <c r="M763" s="67" t="n"/>
      <c r="N763" s="67" t="n"/>
      <c r="O763" s="67" t="n"/>
      <c r="P763" s="67" t="n"/>
      <c r="Q763" s="67" t="n"/>
      <c r="R763" s="67" t="n"/>
      <c r="S763" s="67" t="n"/>
      <c r="T763" s="67" t="n"/>
      <c r="U763" s="67" t="n"/>
      <c r="V763" s="67" t="n"/>
      <c r="W763" s="67" t="n"/>
      <c r="X763" s="67" t="n"/>
      <c r="Y763" s="67" t="n"/>
      <c r="Z763" s="67" t="n"/>
      <c r="AA763" s="67" t="n"/>
      <c r="AB763" s="67" t="n"/>
    </row>
    <row r="764" ht="15.75" customHeight="1" s="305">
      <c r="A764" s="67" t="n"/>
      <c r="B764" s="67" t="n"/>
      <c r="C764" s="67" t="n"/>
      <c r="D764" s="67" t="n"/>
      <c r="E764" s="67" t="n"/>
      <c r="F764" s="67" t="inlineStr"/>
      <c r="G764" s="67" t="n"/>
      <c r="H764" t="inlineStr"/>
      <c r="I764" s="67" t="n"/>
      <c r="J764" s="67" t="n"/>
      <c r="K764" s="67" t="n"/>
      <c r="L764" s="67" t="n"/>
      <c r="M764" s="67" t="n"/>
      <c r="N764" s="67" t="n"/>
      <c r="O764" s="67" t="n"/>
      <c r="P764" s="67" t="n"/>
      <c r="Q764" s="67" t="n"/>
      <c r="R764" s="67" t="n"/>
      <c r="S764" s="67" t="n"/>
      <c r="T764" s="67" t="n"/>
      <c r="U764" s="67" t="n"/>
      <c r="V764" s="67" t="n"/>
      <c r="W764" s="67" t="n"/>
      <c r="X764" s="67" t="n"/>
      <c r="Y764" s="67" t="n"/>
      <c r="Z764" s="67" t="n"/>
      <c r="AA764" s="67" t="n"/>
      <c r="AB764" s="67" t="n"/>
    </row>
    <row r="765" ht="15.75" customHeight="1" s="305">
      <c r="A765" s="67" t="n"/>
      <c r="B765" s="67" t="n"/>
      <c r="C765" s="67" t="n"/>
      <c r="D765" s="67" t="n"/>
      <c r="E765" s="67" t="n"/>
      <c r="F765" s="67" t="inlineStr"/>
      <c r="G765" s="67" t="n"/>
      <c r="H765" t="inlineStr"/>
      <c r="I765" s="67" t="n"/>
      <c r="J765" s="67" t="n"/>
      <c r="K765" s="67" t="n"/>
      <c r="L765" s="67" t="n"/>
      <c r="M765" s="67" t="n"/>
      <c r="N765" s="67" t="n"/>
      <c r="O765" s="67" t="n"/>
      <c r="P765" s="67" t="n"/>
      <c r="Q765" s="67" t="n"/>
      <c r="R765" s="67" t="n"/>
      <c r="S765" s="67" t="n"/>
      <c r="T765" s="67" t="n"/>
      <c r="U765" s="67" t="n"/>
      <c r="V765" s="67" t="n"/>
      <c r="W765" s="67" t="n"/>
      <c r="X765" s="67" t="n"/>
      <c r="Y765" s="67" t="n"/>
      <c r="Z765" s="67" t="n"/>
      <c r="AA765" s="67" t="n"/>
      <c r="AB765" s="67" t="n"/>
    </row>
    <row r="766" ht="15.75" customHeight="1" s="305">
      <c r="A766" s="67" t="n"/>
      <c r="B766" s="67" t="n"/>
      <c r="C766" s="67" t="n"/>
      <c r="D766" s="67" t="n"/>
      <c r="E766" s="67" t="n"/>
      <c r="F766" s="67" t="inlineStr"/>
      <c r="G766" s="67" t="n"/>
      <c r="H766" t="inlineStr"/>
      <c r="I766" s="67" t="n"/>
      <c r="J766" s="67" t="n"/>
      <c r="K766" s="67" t="n"/>
      <c r="L766" s="67" t="n"/>
      <c r="M766" s="67" t="n"/>
      <c r="N766" s="67" t="n"/>
      <c r="O766" s="67" t="n"/>
      <c r="P766" s="67" t="n"/>
      <c r="Q766" s="67" t="n"/>
      <c r="R766" s="67" t="n"/>
      <c r="S766" s="67" t="n"/>
      <c r="T766" s="67" t="n"/>
      <c r="U766" s="67" t="n"/>
      <c r="V766" s="67" t="n"/>
      <c r="W766" s="67" t="n"/>
      <c r="X766" s="67" t="n"/>
      <c r="Y766" s="67" t="n"/>
      <c r="Z766" s="67" t="n"/>
      <c r="AA766" s="67" t="n"/>
      <c r="AB766" s="67" t="n"/>
    </row>
    <row r="767" ht="15.75" customHeight="1" s="305">
      <c r="A767" s="67" t="n"/>
      <c r="B767" s="67" t="n"/>
      <c r="C767" s="67" t="n"/>
      <c r="D767" s="67" t="n"/>
      <c r="E767" s="67" t="n"/>
      <c r="F767" s="67" t="inlineStr"/>
      <c r="G767" s="67" t="n"/>
      <c r="H767" t="inlineStr"/>
      <c r="I767" s="67" t="n"/>
      <c r="J767" s="67" t="n"/>
      <c r="K767" s="67" t="n"/>
      <c r="L767" s="67" t="n"/>
      <c r="M767" s="67" t="n"/>
      <c r="N767" s="67" t="n"/>
      <c r="O767" s="67" t="n"/>
      <c r="P767" s="67" t="n"/>
      <c r="Q767" s="67" t="n"/>
      <c r="R767" s="67" t="n"/>
      <c r="S767" s="67" t="n"/>
      <c r="T767" s="67" t="n"/>
      <c r="U767" s="67" t="n"/>
      <c r="V767" s="67" t="n"/>
      <c r="W767" s="67" t="n"/>
      <c r="X767" s="67" t="n"/>
      <c r="Y767" s="67" t="n"/>
      <c r="Z767" s="67" t="n"/>
      <c r="AA767" s="67" t="n"/>
      <c r="AB767" s="67" t="n"/>
    </row>
    <row r="768" ht="15.75" customHeight="1" s="305">
      <c r="A768" s="67" t="n"/>
      <c r="B768" s="67" t="n"/>
      <c r="C768" s="67" t="n"/>
      <c r="D768" s="67" t="n"/>
      <c r="E768" s="67" t="n"/>
      <c r="F768" s="67" t="inlineStr"/>
      <c r="G768" s="67" t="n"/>
      <c r="H768" t="inlineStr"/>
      <c r="I768" s="67" t="n"/>
      <c r="J768" s="67" t="n"/>
      <c r="K768" s="67" t="n"/>
      <c r="L768" s="67" t="n"/>
      <c r="M768" s="67" t="n"/>
      <c r="N768" s="67" t="n"/>
      <c r="O768" s="67" t="n"/>
      <c r="P768" s="67" t="n"/>
      <c r="Q768" s="67" t="n"/>
      <c r="R768" s="67" t="n"/>
      <c r="S768" s="67" t="n"/>
      <c r="T768" s="67" t="n"/>
      <c r="U768" s="67" t="n"/>
      <c r="V768" s="67" t="n"/>
      <c r="W768" s="67" t="n"/>
      <c r="X768" s="67" t="n"/>
      <c r="Y768" s="67" t="n"/>
      <c r="Z768" s="67" t="n"/>
      <c r="AA768" s="67" t="n"/>
      <c r="AB768" s="67" t="n"/>
    </row>
    <row r="769" ht="15.75" customHeight="1" s="305">
      <c r="A769" s="67" t="n"/>
      <c r="B769" s="67" t="n"/>
      <c r="C769" s="67" t="n"/>
      <c r="D769" s="67" t="n"/>
      <c r="E769" s="67" t="n"/>
      <c r="F769" s="67" t="inlineStr"/>
      <c r="G769" s="67" t="n"/>
      <c r="H769" t="inlineStr"/>
      <c r="I769" s="67" t="n"/>
      <c r="J769" s="67" t="n"/>
      <c r="K769" s="67" t="n"/>
      <c r="L769" s="67" t="n"/>
      <c r="M769" s="67" t="n"/>
      <c r="N769" s="67" t="n"/>
      <c r="O769" s="67" t="n"/>
      <c r="P769" s="67" t="n"/>
      <c r="Q769" s="67" t="n"/>
      <c r="R769" s="67" t="n"/>
      <c r="S769" s="67" t="n"/>
      <c r="T769" s="67" t="n"/>
      <c r="U769" s="67" t="n"/>
      <c r="V769" s="67" t="n"/>
      <c r="W769" s="67" t="n"/>
      <c r="X769" s="67" t="n"/>
      <c r="Y769" s="67" t="n"/>
      <c r="Z769" s="67" t="n"/>
      <c r="AA769" s="67" t="n"/>
      <c r="AB769" s="67" t="n"/>
    </row>
    <row r="770" ht="15.75" customHeight="1" s="305">
      <c r="A770" s="67" t="n"/>
      <c r="B770" s="67" t="n"/>
      <c r="C770" s="67" t="n"/>
      <c r="D770" s="67" t="n"/>
      <c r="E770" s="67" t="n"/>
      <c r="F770" s="67" t="inlineStr"/>
      <c r="G770" s="67" t="n"/>
      <c r="H770" t="inlineStr"/>
      <c r="I770" s="67" t="n"/>
      <c r="J770" s="67" t="n"/>
      <c r="K770" s="67" t="n"/>
      <c r="L770" s="67" t="n"/>
      <c r="M770" s="67" t="n"/>
      <c r="N770" s="67" t="n"/>
      <c r="O770" s="67" t="n"/>
      <c r="P770" s="67" t="n"/>
      <c r="Q770" s="67" t="n"/>
      <c r="R770" s="67" t="n"/>
      <c r="S770" s="67" t="n"/>
      <c r="T770" s="67" t="n"/>
      <c r="U770" s="67" t="n"/>
      <c r="V770" s="67" t="n"/>
      <c r="W770" s="67" t="n"/>
      <c r="X770" s="67" t="n"/>
      <c r="Y770" s="67" t="n"/>
      <c r="Z770" s="67" t="n"/>
      <c r="AA770" s="67" t="n"/>
      <c r="AB770" s="67" t="n"/>
    </row>
    <row r="771" ht="15.75" customHeight="1" s="305">
      <c r="A771" s="67" t="n"/>
      <c r="B771" s="67" t="n"/>
      <c r="C771" s="67" t="n"/>
      <c r="D771" s="67" t="n"/>
      <c r="E771" s="67" t="n"/>
      <c r="F771" s="67" t="inlineStr"/>
      <c r="G771" s="67" t="n"/>
      <c r="H771" t="inlineStr"/>
      <c r="I771" s="67" t="n"/>
      <c r="J771" s="67" t="n"/>
      <c r="K771" s="67" t="n"/>
      <c r="L771" s="67" t="n"/>
      <c r="M771" s="67" t="n"/>
      <c r="N771" s="67" t="n"/>
      <c r="O771" s="67" t="n"/>
      <c r="P771" s="67" t="n"/>
      <c r="Q771" s="67" t="n"/>
      <c r="R771" s="67" t="n"/>
      <c r="S771" s="67" t="n"/>
      <c r="T771" s="67" t="n"/>
      <c r="U771" s="67" t="n"/>
      <c r="V771" s="67" t="n"/>
      <c r="W771" s="67" t="n"/>
      <c r="X771" s="67" t="n"/>
      <c r="Y771" s="67" t="n"/>
      <c r="Z771" s="67" t="n"/>
      <c r="AA771" s="67" t="n"/>
      <c r="AB771" s="67" t="n"/>
    </row>
    <row r="772" ht="15.75" customHeight="1" s="305">
      <c r="A772" s="67" t="n"/>
      <c r="B772" s="67" t="n"/>
      <c r="C772" s="67" t="n"/>
      <c r="D772" s="67" t="n"/>
      <c r="E772" s="67" t="n"/>
      <c r="F772" s="67" t="inlineStr"/>
      <c r="G772" s="67" t="n"/>
      <c r="H772" t="inlineStr"/>
      <c r="I772" s="67" t="n"/>
      <c r="J772" s="67" t="n"/>
      <c r="K772" s="67" t="n"/>
      <c r="L772" s="67" t="n"/>
      <c r="M772" s="67" t="n"/>
      <c r="N772" s="67" t="n"/>
      <c r="O772" s="67" t="n"/>
      <c r="P772" s="67" t="n"/>
      <c r="Q772" s="67" t="n"/>
      <c r="R772" s="67" t="n"/>
      <c r="S772" s="67" t="n"/>
      <c r="T772" s="67" t="n"/>
      <c r="U772" s="67" t="n"/>
      <c r="V772" s="67" t="n"/>
      <c r="W772" s="67" t="n"/>
      <c r="X772" s="67" t="n"/>
      <c r="Y772" s="67" t="n"/>
      <c r="Z772" s="67" t="n"/>
      <c r="AA772" s="67" t="n"/>
      <c r="AB772" s="67" t="n"/>
    </row>
    <row r="773" ht="15.75" customHeight="1" s="305">
      <c r="A773" s="67" t="n"/>
      <c r="B773" s="67" t="n"/>
      <c r="C773" s="67" t="n"/>
      <c r="D773" s="67" t="n"/>
      <c r="E773" s="67" t="n"/>
      <c r="F773" s="67" t="inlineStr"/>
      <c r="G773" s="67" t="n"/>
      <c r="H773" t="inlineStr"/>
      <c r="I773" s="67" t="n"/>
      <c r="J773" s="67" t="n"/>
      <c r="K773" s="67" t="n"/>
      <c r="L773" s="67" t="n"/>
      <c r="M773" s="67" t="n"/>
      <c r="N773" s="67" t="n"/>
      <c r="O773" s="67" t="n"/>
      <c r="P773" s="67" t="n"/>
      <c r="Q773" s="67" t="n"/>
      <c r="R773" s="67" t="n"/>
      <c r="S773" s="67" t="n"/>
      <c r="T773" s="67" t="n"/>
      <c r="U773" s="67" t="n"/>
      <c r="V773" s="67" t="n"/>
      <c r="W773" s="67" t="n"/>
      <c r="X773" s="67" t="n"/>
      <c r="Y773" s="67" t="n"/>
      <c r="Z773" s="67" t="n"/>
      <c r="AA773" s="67" t="n"/>
      <c r="AB773" s="67" t="n"/>
    </row>
    <row r="774" ht="15.75" customHeight="1" s="305">
      <c r="A774" s="67" t="n"/>
      <c r="B774" s="67" t="n"/>
      <c r="C774" s="67" t="n"/>
      <c r="D774" s="67" t="n"/>
      <c r="E774" s="67" t="n"/>
      <c r="F774" s="67" t="inlineStr"/>
      <c r="G774" s="67" t="n"/>
      <c r="H774" t="inlineStr"/>
      <c r="I774" s="67" t="n"/>
      <c r="J774" s="67" t="n"/>
      <c r="K774" s="67" t="n"/>
      <c r="L774" s="67" t="n"/>
      <c r="M774" s="67" t="n"/>
      <c r="N774" s="67" t="n"/>
      <c r="O774" s="67" t="n"/>
      <c r="P774" s="67" t="n"/>
      <c r="Q774" s="67" t="n"/>
      <c r="R774" s="67" t="n"/>
      <c r="S774" s="67" t="n"/>
      <c r="T774" s="67" t="n"/>
      <c r="U774" s="67" t="n"/>
      <c r="V774" s="67" t="n"/>
      <c r="W774" s="67" t="n"/>
      <c r="X774" s="67" t="n"/>
      <c r="Y774" s="67" t="n"/>
      <c r="Z774" s="67" t="n"/>
      <c r="AA774" s="67" t="n"/>
      <c r="AB774" s="67" t="n"/>
    </row>
    <row r="775" ht="15.75" customHeight="1" s="305">
      <c r="A775" s="67" t="n"/>
      <c r="B775" s="67" t="n"/>
      <c r="C775" s="67" t="n"/>
      <c r="D775" s="67" t="n"/>
      <c r="E775" s="67" t="n"/>
      <c r="F775" s="67" t="inlineStr"/>
      <c r="G775" s="67" t="n"/>
      <c r="H775" t="inlineStr"/>
      <c r="I775" s="67" t="n"/>
      <c r="J775" s="67" t="n"/>
      <c r="K775" s="67" t="n"/>
      <c r="L775" s="67" t="n"/>
      <c r="M775" s="67" t="n"/>
      <c r="N775" s="67" t="n"/>
      <c r="O775" s="67" t="n"/>
      <c r="P775" s="67" t="n"/>
      <c r="Q775" s="67" t="n"/>
      <c r="R775" s="67" t="n"/>
      <c r="S775" s="67" t="n"/>
      <c r="T775" s="67" t="n"/>
      <c r="U775" s="67" t="n"/>
      <c r="V775" s="67" t="n"/>
      <c r="W775" s="67" t="n"/>
      <c r="X775" s="67" t="n"/>
      <c r="Y775" s="67" t="n"/>
      <c r="Z775" s="67" t="n"/>
      <c r="AA775" s="67" t="n"/>
      <c r="AB775" s="67" t="n"/>
    </row>
    <row r="776" ht="15.75" customHeight="1" s="305">
      <c r="A776" s="67" t="n"/>
      <c r="B776" s="67" t="n"/>
      <c r="C776" s="67" t="n"/>
      <c r="D776" s="67" t="n"/>
      <c r="E776" s="67" t="n"/>
      <c r="F776" s="67" t="inlineStr"/>
      <c r="G776" s="67" t="n"/>
      <c r="H776" t="inlineStr"/>
      <c r="I776" s="67" t="n"/>
      <c r="J776" s="67" t="n"/>
      <c r="K776" s="67" t="n"/>
      <c r="L776" s="67" t="n"/>
      <c r="M776" s="67" t="n"/>
      <c r="N776" s="67" t="n"/>
      <c r="O776" s="67" t="n"/>
      <c r="P776" s="67" t="n"/>
      <c r="Q776" s="67" t="n"/>
      <c r="R776" s="67" t="n"/>
      <c r="S776" s="67" t="n"/>
      <c r="T776" s="67" t="n"/>
      <c r="U776" s="67" t="n"/>
      <c r="V776" s="67" t="n"/>
      <c r="W776" s="67" t="n"/>
      <c r="X776" s="67" t="n"/>
      <c r="Y776" s="67" t="n"/>
      <c r="Z776" s="67" t="n"/>
      <c r="AA776" s="67" t="n"/>
      <c r="AB776" s="67" t="n"/>
    </row>
    <row r="777" ht="15.75" customHeight="1" s="305">
      <c r="A777" s="67" t="n"/>
      <c r="B777" s="67" t="n"/>
      <c r="C777" s="67" t="n"/>
      <c r="D777" s="67" t="n"/>
      <c r="E777" s="67" t="n"/>
      <c r="F777" s="67" t="inlineStr"/>
      <c r="G777" s="67" t="n"/>
      <c r="H777" t="inlineStr"/>
      <c r="I777" s="67" t="n"/>
      <c r="J777" s="67" t="n"/>
      <c r="K777" s="67" t="n"/>
      <c r="L777" s="67" t="n"/>
      <c r="M777" s="67" t="n"/>
      <c r="N777" s="67" t="n"/>
      <c r="O777" s="67" t="n"/>
      <c r="P777" s="67" t="n"/>
      <c r="Q777" s="67" t="n"/>
      <c r="R777" s="67" t="n"/>
      <c r="S777" s="67" t="n"/>
      <c r="T777" s="67" t="n"/>
      <c r="U777" s="67" t="n"/>
      <c r="V777" s="67" t="n"/>
      <c r="W777" s="67" t="n"/>
      <c r="X777" s="67" t="n"/>
      <c r="Y777" s="67" t="n"/>
      <c r="Z777" s="67" t="n"/>
      <c r="AA777" s="67" t="n"/>
      <c r="AB777" s="67" t="n"/>
    </row>
    <row r="778" ht="15.75" customHeight="1" s="305">
      <c r="A778" s="67" t="n"/>
      <c r="B778" s="67" t="n"/>
      <c r="C778" s="67" t="n"/>
      <c r="D778" s="67" t="n"/>
      <c r="E778" s="67" t="n"/>
      <c r="F778" s="67" t="inlineStr"/>
      <c r="G778" s="67" t="n"/>
      <c r="H778" t="inlineStr"/>
      <c r="I778" s="67" t="n"/>
      <c r="J778" s="67" t="n"/>
      <c r="K778" s="67" t="n"/>
      <c r="L778" s="67" t="n"/>
      <c r="M778" s="67" t="n"/>
      <c r="N778" s="67" t="n"/>
      <c r="O778" s="67" t="n"/>
      <c r="P778" s="67" t="n"/>
      <c r="Q778" s="67" t="n"/>
      <c r="R778" s="67" t="n"/>
      <c r="S778" s="67" t="n"/>
      <c r="T778" s="67" t="n"/>
      <c r="U778" s="67" t="n"/>
      <c r="V778" s="67" t="n"/>
      <c r="W778" s="67" t="n"/>
      <c r="X778" s="67" t="n"/>
      <c r="Y778" s="67" t="n"/>
      <c r="Z778" s="67" t="n"/>
      <c r="AA778" s="67" t="n"/>
      <c r="AB778" s="67" t="n"/>
    </row>
    <row r="779" ht="15.75" customHeight="1" s="305">
      <c r="A779" s="67" t="n"/>
      <c r="B779" s="67" t="n"/>
      <c r="C779" s="67" t="n"/>
      <c r="D779" s="67" t="n"/>
      <c r="E779" s="67" t="n"/>
      <c r="F779" s="67" t="inlineStr"/>
      <c r="G779" s="67" t="n"/>
      <c r="H779" t="inlineStr"/>
      <c r="I779" s="67" t="n"/>
      <c r="J779" s="67" t="n"/>
      <c r="K779" s="67" t="n"/>
      <c r="L779" s="67" t="n"/>
      <c r="M779" s="67" t="n"/>
      <c r="N779" s="67" t="n"/>
      <c r="O779" s="67" t="n"/>
      <c r="P779" s="67" t="n"/>
      <c r="Q779" s="67" t="n"/>
      <c r="R779" s="67" t="n"/>
      <c r="S779" s="67" t="n"/>
      <c r="T779" s="67" t="n"/>
      <c r="U779" s="67" t="n"/>
      <c r="V779" s="67" t="n"/>
      <c r="W779" s="67" t="n"/>
      <c r="X779" s="67" t="n"/>
      <c r="Y779" s="67" t="n"/>
      <c r="Z779" s="67" t="n"/>
      <c r="AA779" s="67" t="n"/>
      <c r="AB779" s="67" t="n"/>
    </row>
    <row r="780" ht="15.75" customHeight="1" s="305">
      <c r="A780" s="67" t="n"/>
      <c r="B780" s="67" t="n"/>
      <c r="C780" s="67" t="n"/>
      <c r="D780" s="67" t="n"/>
      <c r="E780" s="67" t="n"/>
      <c r="F780" s="67" t="inlineStr"/>
      <c r="G780" s="67" t="n"/>
      <c r="H780" t="inlineStr"/>
      <c r="I780" s="67" t="n"/>
      <c r="J780" s="67" t="n"/>
      <c r="K780" s="67" t="n"/>
      <c r="L780" s="67" t="n"/>
      <c r="M780" s="67" t="n"/>
      <c r="N780" s="67" t="n"/>
      <c r="O780" s="67" t="n"/>
      <c r="P780" s="67" t="n"/>
      <c r="Q780" s="67" t="n"/>
      <c r="R780" s="67" t="n"/>
      <c r="S780" s="67" t="n"/>
      <c r="T780" s="67" t="n"/>
      <c r="U780" s="67" t="n"/>
      <c r="V780" s="67" t="n"/>
      <c r="W780" s="67" t="n"/>
      <c r="X780" s="67" t="n"/>
      <c r="Y780" s="67" t="n"/>
      <c r="Z780" s="67" t="n"/>
      <c r="AA780" s="67" t="n"/>
      <c r="AB780" s="67" t="n"/>
    </row>
    <row r="781" ht="15.75" customHeight="1" s="305">
      <c r="A781" s="67" t="n"/>
      <c r="B781" s="67" t="n"/>
      <c r="C781" s="67" t="n"/>
      <c r="D781" s="67" t="n"/>
      <c r="E781" s="67" t="n"/>
      <c r="F781" s="67" t="inlineStr"/>
      <c r="G781" s="67" t="n"/>
      <c r="H781" t="inlineStr"/>
      <c r="I781" s="67" t="n"/>
      <c r="J781" s="67" t="n"/>
      <c r="K781" s="67" t="n"/>
      <c r="L781" s="67" t="n"/>
      <c r="M781" s="67" t="n"/>
      <c r="N781" s="67" t="n"/>
      <c r="O781" s="67" t="n"/>
      <c r="P781" s="67" t="n"/>
      <c r="Q781" s="67" t="n"/>
      <c r="R781" s="67" t="n"/>
      <c r="S781" s="67" t="n"/>
      <c r="T781" s="67" t="n"/>
      <c r="U781" s="67" t="n"/>
      <c r="V781" s="67" t="n"/>
      <c r="W781" s="67" t="n"/>
      <c r="X781" s="67" t="n"/>
      <c r="Y781" s="67" t="n"/>
      <c r="Z781" s="67" t="n"/>
      <c r="AA781" s="67" t="n"/>
      <c r="AB781" s="67" t="n"/>
    </row>
    <row r="782" ht="15.75" customHeight="1" s="305">
      <c r="A782" s="67" t="n"/>
      <c r="B782" s="67" t="n"/>
      <c r="C782" s="67" t="n"/>
      <c r="D782" s="67" t="n"/>
      <c r="E782" s="67" t="n"/>
      <c r="F782" s="67" t="inlineStr"/>
      <c r="G782" s="67" t="n"/>
      <c r="H782" t="inlineStr"/>
      <c r="I782" s="67" t="n"/>
      <c r="J782" s="67" t="n"/>
      <c r="K782" s="67" t="n"/>
      <c r="L782" s="67" t="n"/>
      <c r="M782" s="67" t="n"/>
      <c r="N782" s="67" t="n"/>
      <c r="O782" s="67" t="n"/>
      <c r="P782" s="67" t="n"/>
      <c r="Q782" s="67" t="n"/>
      <c r="R782" s="67" t="n"/>
      <c r="S782" s="67" t="n"/>
      <c r="T782" s="67" t="n"/>
      <c r="U782" s="67" t="n"/>
      <c r="V782" s="67" t="n"/>
      <c r="W782" s="67" t="n"/>
      <c r="X782" s="67" t="n"/>
      <c r="Y782" s="67" t="n"/>
      <c r="Z782" s="67" t="n"/>
      <c r="AA782" s="67" t="n"/>
      <c r="AB782" s="67" t="n"/>
    </row>
    <row r="783" ht="15.75" customHeight="1" s="305">
      <c r="A783" s="67" t="n"/>
      <c r="B783" s="67" t="n"/>
      <c r="C783" s="67" t="n"/>
      <c r="D783" s="67" t="n"/>
      <c r="E783" s="67" t="n"/>
      <c r="F783" s="67" t="inlineStr"/>
      <c r="G783" s="67" t="n"/>
      <c r="H783" t="inlineStr"/>
      <c r="I783" s="67" t="n"/>
      <c r="J783" s="67" t="n"/>
      <c r="K783" s="67" t="n"/>
      <c r="L783" s="67" t="n"/>
      <c r="M783" s="67" t="n"/>
      <c r="N783" s="67" t="n"/>
      <c r="O783" s="67" t="n"/>
      <c r="P783" s="67" t="n"/>
      <c r="Q783" s="67" t="n"/>
      <c r="R783" s="67" t="n"/>
      <c r="S783" s="67" t="n"/>
      <c r="T783" s="67" t="n"/>
      <c r="U783" s="67" t="n"/>
      <c r="V783" s="67" t="n"/>
      <c r="W783" s="67" t="n"/>
      <c r="X783" s="67" t="n"/>
      <c r="Y783" s="67" t="n"/>
      <c r="Z783" s="67" t="n"/>
      <c r="AA783" s="67" t="n"/>
      <c r="AB783" s="67" t="n"/>
    </row>
    <row r="784" ht="15.75" customHeight="1" s="305">
      <c r="A784" s="67" t="n"/>
      <c r="B784" s="67" t="n"/>
      <c r="C784" s="67" t="n"/>
      <c r="D784" s="67" t="n"/>
      <c r="E784" s="67" t="n"/>
      <c r="F784" s="67" t="inlineStr"/>
      <c r="G784" s="67" t="n"/>
      <c r="H784" t="inlineStr"/>
      <c r="I784" s="67" t="n"/>
      <c r="J784" s="67" t="n"/>
      <c r="K784" s="67" t="n"/>
      <c r="L784" s="67" t="n"/>
      <c r="M784" s="67" t="n"/>
      <c r="N784" s="67" t="n"/>
      <c r="O784" s="67" t="n"/>
      <c r="P784" s="67" t="n"/>
      <c r="Q784" s="67" t="n"/>
      <c r="R784" s="67" t="n"/>
      <c r="S784" s="67" t="n"/>
      <c r="T784" s="67" t="n"/>
      <c r="U784" s="67" t="n"/>
      <c r="V784" s="67" t="n"/>
      <c r="W784" s="67" t="n"/>
      <c r="X784" s="67" t="n"/>
      <c r="Y784" s="67" t="n"/>
      <c r="Z784" s="67" t="n"/>
      <c r="AA784" s="67" t="n"/>
      <c r="AB784" s="67" t="n"/>
    </row>
    <row r="785" ht="15.75" customHeight="1" s="305">
      <c r="A785" s="67" t="n"/>
      <c r="B785" s="67" t="n"/>
      <c r="C785" s="67" t="n"/>
      <c r="D785" s="67" t="n"/>
      <c r="E785" s="67" t="n"/>
      <c r="F785" s="67" t="inlineStr"/>
      <c r="G785" s="67" t="n"/>
      <c r="H785" t="inlineStr"/>
      <c r="I785" s="67" t="n"/>
      <c r="J785" s="67" t="n"/>
      <c r="K785" s="67" t="n"/>
      <c r="L785" s="67" t="n"/>
      <c r="M785" s="67" t="n"/>
      <c r="N785" s="67" t="n"/>
      <c r="O785" s="67" t="n"/>
      <c r="P785" s="67" t="n"/>
      <c r="Q785" s="67" t="n"/>
      <c r="R785" s="67" t="n"/>
      <c r="S785" s="67" t="n"/>
      <c r="T785" s="67" t="n"/>
      <c r="U785" s="67" t="n"/>
      <c r="V785" s="67" t="n"/>
      <c r="W785" s="67" t="n"/>
      <c r="X785" s="67" t="n"/>
      <c r="Y785" s="67" t="n"/>
      <c r="Z785" s="67" t="n"/>
      <c r="AA785" s="67" t="n"/>
      <c r="AB785" s="67" t="n"/>
    </row>
    <row r="786" ht="15.75" customHeight="1" s="305">
      <c r="A786" s="67" t="n"/>
      <c r="B786" s="67" t="n"/>
      <c r="C786" s="67" t="n"/>
      <c r="D786" s="67" t="n"/>
      <c r="E786" s="67" t="n"/>
      <c r="F786" s="67" t="inlineStr"/>
      <c r="G786" s="67" t="n"/>
      <c r="H786" t="inlineStr"/>
      <c r="I786" s="67" t="n"/>
      <c r="J786" s="67" t="n"/>
      <c r="K786" s="67" t="n"/>
      <c r="L786" s="67" t="n"/>
      <c r="M786" s="67" t="n"/>
      <c r="N786" s="67" t="n"/>
      <c r="O786" s="67" t="n"/>
      <c r="P786" s="67" t="n"/>
      <c r="Q786" s="67" t="n"/>
      <c r="R786" s="67" t="n"/>
      <c r="S786" s="67" t="n"/>
      <c r="T786" s="67" t="n"/>
      <c r="U786" s="67" t="n"/>
      <c r="V786" s="67" t="n"/>
      <c r="W786" s="67" t="n"/>
      <c r="X786" s="67" t="n"/>
      <c r="Y786" s="67" t="n"/>
      <c r="Z786" s="67" t="n"/>
      <c r="AA786" s="67" t="n"/>
      <c r="AB786" s="67" t="n"/>
    </row>
    <row r="787" ht="15.75" customHeight="1" s="305">
      <c r="A787" s="67" t="n"/>
      <c r="B787" s="67" t="n"/>
      <c r="C787" s="67" t="n"/>
      <c r="D787" s="67" t="n"/>
      <c r="E787" s="67" t="n"/>
      <c r="F787" s="67" t="inlineStr"/>
      <c r="G787" s="67" t="n"/>
      <c r="H787" t="inlineStr"/>
      <c r="I787" s="67" t="n"/>
      <c r="J787" s="67" t="n"/>
      <c r="K787" s="67" t="n"/>
      <c r="L787" s="67" t="n"/>
      <c r="M787" s="67" t="n"/>
      <c r="N787" s="67" t="n"/>
      <c r="O787" s="67" t="n"/>
      <c r="P787" s="67" t="n"/>
      <c r="Q787" s="67" t="n"/>
      <c r="R787" s="67" t="n"/>
      <c r="S787" s="67" t="n"/>
      <c r="T787" s="67" t="n"/>
      <c r="U787" s="67" t="n"/>
      <c r="V787" s="67" t="n"/>
      <c r="W787" s="67" t="n"/>
      <c r="X787" s="67" t="n"/>
      <c r="Y787" s="67" t="n"/>
      <c r="Z787" s="67" t="n"/>
      <c r="AA787" s="67" t="n"/>
      <c r="AB787" s="67" t="n"/>
    </row>
    <row r="788" ht="15.75" customHeight="1" s="305">
      <c r="A788" s="67" t="n"/>
      <c r="B788" s="67" t="n"/>
      <c r="C788" s="67" t="n"/>
      <c r="D788" s="67" t="n"/>
      <c r="E788" s="67" t="n"/>
      <c r="F788" s="67" t="inlineStr"/>
      <c r="G788" s="67" t="n"/>
      <c r="H788" t="inlineStr"/>
      <c r="I788" s="67" t="n"/>
      <c r="J788" s="67" t="n"/>
      <c r="K788" s="67" t="n"/>
      <c r="L788" s="67" t="n"/>
      <c r="M788" s="67" t="n"/>
      <c r="N788" s="67" t="n"/>
      <c r="O788" s="67" t="n"/>
      <c r="P788" s="67" t="n"/>
      <c r="Q788" s="67" t="n"/>
      <c r="R788" s="67" t="n"/>
      <c r="S788" s="67" t="n"/>
      <c r="T788" s="67" t="n"/>
      <c r="U788" s="67" t="n"/>
      <c r="V788" s="67" t="n"/>
      <c r="W788" s="67" t="n"/>
      <c r="X788" s="67" t="n"/>
      <c r="Y788" s="67" t="n"/>
      <c r="Z788" s="67" t="n"/>
      <c r="AA788" s="67" t="n"/>
      <c r="AB788" s="67" t="n"/>
    </row>
    <row r="789" ht="15.75" customHeight="1" s="305">
      <c r="A789" s="67" t="n"/>
      <c r="B789" s="67" t="n"/>
      <c r="C789" s="67" t="n"/>
      <c r="D789" s="67" t="n"/>
      <c r="E789" s="67" t="n"/>
      <c r="F789" s="67" t="inlineStr"/>
      <c r="G789" s="67" t="n"/>
      <c r="H789" t="inlineStr"/>
      <c r="I789" s="67" t="n"/>
      <c r="J789" s="67" t="n"/>
      <c r="K789" s="67" t="n"/>
      <c r="L789" s="67" t="n"/>
      <c r="M789" s="67" t="n"/>
      <c r="N789" s="67" t="n"/>
      <c r="O789" s="67" t="n"/>
      <c r="P789" s="67" t="n"/>
      <c r="Q789" s="67" t="n"/>
      <c r="R789" s="67" t="n"/>
      <c r="S789" s="67" t="n"/>
      <c r="T789" s="67" t="n"/>
      <c r="U789" s="67" t="n"/>
      <c r="V789" s="67" t="n"/>
      <c r="W789" s="67" t="n"/>
      <c r="X789" s="67" t="n"/>
      <c r="Y789" s="67" t="n"/>
      <c r="Z789" s="67" t="n"/>
      <c r="AA789" s="67" t="n"/>
      <c r="AB789" s="67" t="n"/>
    </row>
    <row r="790" ht="15.75" customHeight="1" s="305">
      <c r="A790" s="67" t="n"/>
      <c r="B790" s="67" t="n"/>
      <c r="C790" s="67" t="n"/>
      <c r="D790" s="67" t="n"/>
      <c r="E790" s="67" t="n"/>
      <c r="F790" s="67" t="inlineStr"/>
      <c r="G790" s="67" t="n"/>
      <c r="H790" t="inlineStr"/>
      <c r="I790" s="67" t="n"/>
      <c r="J790" s="67" t="n"/>
      <c r="K790" s="67" t="n"/>
      <c r="L790" s="67" t="n"/>
      <c r="M790" s="67" t="n"/>
      <c r="N790" s="67" t="n"/>
      <c r="O790" s="67" t="n"/>
      <c r="P790" s="67" t="n"/>
      <c r="Q790" s="67" t="n"/>
      <c r="R790" s="67" t="n"/>
      <c r="S790" s="67" t="n"/>
      <c r="T790" s="67" t="n"/>
      <c r="U790" s="67" t="n"/>
      <c r="V790" s="67" t="n"/>
      <c r="W790" s="67" t="n"/>
      <c r="X790" s="67" t="n"/>
      <c r="Y790" s="67" t="n"/>
      <c r="Z790" s="67" t="n"/>
      <c r="AA790" s="67" t="n"/>
      <c r="AB790" s="67" t="n"/>
    </row>
    <row r="791" ht="15.75" customHeight="1" s="305">
      <c r="A791" s="67" t="n"/>
      <c r="B791" s="67" t="n"/>
      <c r="C791" s="67" t="n"/>
      <c r="D791" s="67" t="n"/>
      <c r="E791" s="67" t="n"/>
      <c r="F791" s="67" t="inlineStr"/>
      <c r="G791" s="67" t="n"/>
      <c r="H791" t="inlineStr"/>
      <c r="I791" s="67" t="n"/>
      <c r="J791" s="67" t="n"/>
      <c r="K791" s="67" t="n"/>
      <c r="L791" s="67" t="n"/>
      <c r="M791" s="67" t="n"/>
      <c r="N791" s="67" t="n"/>
      <c r="O791" s="67" t="n"/>
      <c r="P791" s="67" t="n"/>
      <c r="Q791" s="67" t="n"/>
      <c r="R791" s="67" t="n"/>
      <c r="S791" s="67" t="n"/>
      <c r="T791" s="67" t="n"/>
      <c r="U791" s="67" t="n"/>
      <c r="V791" s="67" t="n"/>
      <c r="W791" s="67" t="n"/>
      <c r="X791" s="67" t="n"/>
      <c r="Y791" s="67" t="n"/>
      <c r="Z791" s="67" t="n"/>
      <c r="AA791" s="67" t="n"/>
      <c r="AB791" s="67" t="n"/>
    </row>
    <row r="792" ht="15.75" customHeight="1" s="305">
      <c r="A792" s="67" t="n"/>
      <c r="B792" s="67" t="n"/>
      <c r="C792" s="67" t="n"/>
      <c r="D792" s="67" t="n"/>
      <c r="E792" s="67" t="n"/>
      <c r="F792" s="67" t="inlineStr"/>
      <c r="G792" s="67" t="n"/>
      <c r="H792" t="inlineStr"/>
      <c r="I792" s="67" t="n"/>
      <c r="J792" s="67" t="n"/>
      <c r="K792" s="67" t="n"/>
      <c r="L792" s="67" t="n"/>
      <c r="M792" s="67" t="n"/>
      <c r="N792" s="67" t="n"/>
      <c r="O792" s="67" t="n"/>
      <c r="P792" s="67" t="n"/>
      <c r="Q792" s="67" t="n"/>
      <c r="R792" s="67" t="n"/>
      <c r="S792" s="67" t="n"/>
      <c r="T792" s="67" t="n"/>
      <c r="U792" s="67" t="n"/>
      <c r="V792" s="67" t="n"/>
      <c r="W792" s="67" t="n"/>
      <c r="X792" s="67" t="n"/>
      <c r="Y792" s="67" t="n"/>
      <c r="Z792" s="67" t="n"/>
      <c r="AA792" s="67" t="n"/>
      <c r="AB792" s="67" t="n"/>
    </row>
    <row r="793" ht="15.75" customHeight="1" s="305">
      <c r="A793" s="67" t="n"/>
      <c r="B793" s="67" t="n"/>
      <c r="C793" s="67" t="n"/>
      <c r="D793" s="67" t="n"/>
      <c r="E793" s="67" t="n"/>
      <c r="F793" s="67" t="inlineStr"/>
      <c r="G793" s="67" t="n"/>
      <c r="H793" t="inlineStr"/>
      <c r="I793" s="67" t="n"/>
      <c r="J793" s="67" t="n"/>
      <c r="K793" s="67" t="n"/>
      <c r="L793" s="67" t="n"/>
      <c r="M793" s="67" t="n"/>
      <c r="N793" s="67" t="n"/>
      <c r="O793" s="67" t="n"/>
      <c r="P793" s="67" t="n"/>
      <c r="Q793" s="67" t="n"/>
      <c r="R793" s="67" t="n"/>
      <c r="S793" s="67" t="n"/>
      <c r="T793" s="67" t="n"/>
      <c r="U793" s="67" t="n"/>
      <c r="V793" s="67" t="n"/>
      <c r="W793" s="67" t="n"/>
      <c r="X793" s="67" t="n"/>
      <c r="Y793" s="67" t="n"/>
      <c r="Z793" s="67" t="n"/>
      <c r="AA793" s="67" t="n"/>
      <c r="AB793" s="67" t="n"/>
    </row>
    <row r="794" ht="15.75" customHeight="1" s="305">
      <c r="A794" s="67" t="n"/>
      <c r="B794" s="67" t="n"/>
      <c r="C794" s="67" t="n"/>
      <c r="D794" s="67" t="n"/>
      <c r="E794" s="67" t="n"/>
      <c r="F794" s="67" t="inlineStr"/>
      <c r="G794" s="67" t="n"/>
      <c r="H794" t="inlineStr"/>
      <c r="I794" s="67" t="n"/>
      <c r="J794" s="67" t="n"/>
      <c r="K794" s="67" t="n"/>
      <c r="L794" s="67" t="n"/>
      <c r="M794" s="67" t="n"/>
      <c r="N794" s="67" t="n"/>
      <c r="O794" s="67" t="n"/>
      <c r="P794" s="67" t="n"/>
      <c r="Q794" s="67" t="n"/>
      <c r="R794" s="67" t="n"/>
      <c r="S794" s="67" t="n"/>
      <c r="T794" s="67" t="n"/>
      <c r="U794" s="67" t="n"/>
      <c r="V794" s="67" t="n"/>
      <c r="W794" s="67" t="n"/>
      <c r="X794" s="67" t="n"/>
      <c r="Y794" s="67" t="n"/>
      <c r="Z794" s="67" t="n"/>
      <c r="AA794" s="67" t="n"/>
      <c r="AB794" s="67" t="n"/>
    </row>
    <row r="795" ht="15.75" customHeight="1" s="305">
      <c r="A795" s="67" t="n"/>
      <c r="B795" s="67" t="n"/>
      <c r="C795" s="67" t="n"/>
      <c r="D795" s="67" t="n"/>
      <c r="E795" s="67" t="n"/>
      <c r="F795" s="67" t="inlineStr"/>
      <c r="G795" s="67" t="n"/>
      <c r="H795" t="inlineStr"/>
      <c r="I795" s="67" t="n"/>
      <c r="J795" s="67" t="n"/>
      <c r="K795" s="67" t="n"/>
      <c r="L795" s="67" t="n"/>
      <c r="M795" s="67" t="n"/>
      <c r="N795" s="67" t="n"/>
      <c r="O795" s="67" t="n"/>
      <c r="P795" s="67" t="n"/>
      <c r="Q795" s="67" t="n"/>
      <c r="R795" s="67" t="n"/>
      <c r="S795" s="67" t="n"/>
      <c r="T795" s="67" t="n"/>
      <c r="U795" s="67" t="n"/>
      <c r="V795" s="67" t="n"/>
      <c r="W795" s="67" t="n"/>
      <c r="X795" s="67" t="n"/>
      <c r="Y795" s="67" t="n"/>
      <c r="Z795" s="67" t="n"/>
      <c r="AA795" s="67" t="n"/>
      <c r="AB795" s="67" t="n"/>
    </row>
    <row r="796" ht="15.75" customHeight="1" s="305">
      <c r="A796" s="67" t="n"/>
      <c r="B796" s="67" t="n"/>
      <c r="C796" s="67" t="n"/>
      <c r="D796" s="67" t="n"/>
      <c r="E796" s="67" t="n"/>
      <c r="F796" s="67" t="inlineStr"/>
      <c r="G796" s="67" t="n"/>
      <c r="H796" t="inlineStr"/>
      <c r="I796" s="67" t="n"/>
      <c r="J796" s="67" t="n"/>
      <c r="K796" s="67" t="n"/>
      <c r="L796" s="67" t="n"/>
      <c r="M796" s="67" t="n"/>
      <c r="N796" s="67" t="n"/>
      <c r="O796" s="67" t="n"/>
      <c r="P796" s="67" t="n"/>
      <c r="Q796" s="67" t="n"/>
      <c r="R796" s="67" t="n"/>
      <c r="S796" s="67" t="n"/>
      <c r="T796" s="67" t="n"/>
      <c r="U796" s="67" t="n"/>
      <c r="V796" s="67" t="n"/>
      <c r="W796" s="67" t="n"/>
      <c r="X796" s="67" t="n"/>
      <c r="Y796" s="67" t="n"/>
      <c r="Z796" s="67" t="n"/>
      <c r="AA796" s="67" t="n"/>
      <c r="AB796" s="67" t="n"/>
    </row>
    <row r="797" ht="15.75" customHeight="1" s="305">
      <c r="A797" s="67" t="n"/>
      <c r="B797" s="67" t="n"/>
      <c r="C797" s="67" t="n"/>
      <c r="D797" s="67" t="n"/>
      <c r="E797" s="67" t="n"/>
      <c r="F797" s="67" t="inlineStr"/>
      <c r="G797" s="67" t="n"/>
      <c r="H797" t="inlineStr"/>
      <c r="I797" s="67" t="n"/>
      <c r="J797" s="67" t="n"/>
      <c r="K797" s="67" t="n"/>
      <c r="L797" s="67" t="n"/>
      <c r="M797" s="67" t="n"/>
      <c r="N797" s="67" t="n"/>
      <c r="O797" s="67" t="n"/>
      <c r="P797" s="67" t="n"/>
      <c r="Q797" s="67" t="n"/>
      <c r="R797" s="67" t="n"/>
      <c r="S797" s="67" t="n"/>
      <c r="T797" s="67" t="n"/>
      <c r="U797" s="67" t="n"/>
      <c r="V797" s="67" t="n"/>
      <c r="W797" s="67" t="n"/>
      <c r="X797" s="67" t="n"/>
      <c r="Y797" s="67" t="n"/>
      <c r="Z797" s="67" t="n"/>
      <c r="AA797" s="67" t="n"/>
      <c r="AB797" s="67" t="n"/>
    </row>
    <row r="798" ht="15.75" customHeight="1" s="305">
      <c r="A798" s="67" t="n"/>
      <c r="B798" s="67" t="n"/>
      <c r="C798" s="67" t="n"/>
      <c r="D798" s="67" t="n"/>
      <c r="E798" s="67" t="n"/>
      <c r="F798" s="67" t="inlineStr"/>
      <c r="G798" s="67" t="n"/>
      <c r="H798" t="inlineStr"/>
      <c r="I798" s="67" t="n"/>
      <c r="J798" s="67" t="n"/>
      <c r="K798" s="67" t="n"/>
      <c r="L798" s="67" t="n"/>
      <c r="M798" s="67" t="n"/>
      <c r="N798" s="67" t="n"/>
      <c r="O798" s="67" t="n"/>
      <c r="P798" s="67" t="n"/>
      <c r="Q798" s="67" t="n"/>
      <c r="R798" s="67" t="n"/>
      <c r="S798" s="67" t="n"/>
      <c r="T798" s="67" t="n"/>
      <c r="U798" s="67" t="n"/>
      <c r="V798" s="67" t="n"/>
      <c r="W798" s="67" t="n"/>
      <c r="X798" s="67" t="n"/>
      <c r="Y798" s="67" t="n"/>
      <c r="Z798" s="67" t="n"/>
      <c r="AA798" s="67" t="n"/>
      <c r="AB798" s="67" t="n"/>
    </row>
    <row r="799" ht="15.75" customHeight="1" s="305">
      <c r="A799" s="67" t="n"/>
      <c r="B799" s="67" t="n"/>
      <c r="C799" s="67" t="n"/>
      <c r="D799" s="67" t="n"/>
      <c r="E799" s="67" t="n"/>
      <c r="F799" s="67" t="inlineStr"/>
      <c r="G799" s="67" t="n"/>
      <c r="H799" t="inlineStr"/>
      <c r="I799" s="67" t="n"/>
      <c r="J799" s="67" t="n"/>
      <c r="K799" s="67" t="n"/>
      <c r="L799" s="67" t="n"/>
      <c r="M799" s="67" t="n"/>
      <c r="N799" s="67" t="n"/>
      <c r="O799" s="67" t="n"/>
      <c r="P799" s="67" t="n"/>
      <c r="Q799" s="67" t="n"/>
      <c r="R799" s="67" t="n"/>
      <c r="S799" s="67" t="n"/>
      <c r="T799" s="67" t="n"/>
      <c r="U799" s="67" t="n"/>
      <c r="V799" s="67" t="n"/>
      <c r="W799" s="67" t="n"/>
      <c r="X799" s="67" t="n"/>
      <c r="Y799" s="67" t="n"/>
      <c r="Z799" s="67" t="n"/>
      <c r="AA799" s="67" t="n"/>
      <c r="AB799" s="67" t="n"/>
    </row>
    <row r="800" ht="15.75" customHeight="1" s="305">
      <c r="A800" s="67" t="n"/>
      <c r="B800" s="67" t="n"/>
      <c r="C800" s="67" t="n"/>
      <c r="D800" s="67" t="n"/>
      <c r="E800" s="67" t="n"/>
      <c r="F800" s="67" t="inlineStr"/>
      <c r="G800" s="67" t="n"/>
      <c r="H800" t="inlineStr"/>
      <c r="I800" s="67" t="n"/>
      <c r="J800" s="67" t="n"/>
      <c r="K800" s="67" t="n"/>
      <c r="L800" s="67" t="n"/>
      <c r="M800" s="67" t="n"/>
      <c r="N800" s="67" t="n"/>
      <c r="O800" s="67" t="n"/>
      <c r="P800" s="67" t="n"/>
      <c r="Q800" s="67" t="n"/>
      <c r="R800" s="67" t="n"/>
      <c r="S800" s="67" t="n"/>
      <c r="T800" s="67" t="n"/>
      <c r="U800" s="67" t="n"/>
      <c r="V800" s="67" t="n"/>
      <c r="W800" s="67" t="n"/>
      <c r="X800" s="67" t="n"/>
      <c r="Y800" s="67" t="n"/>
      <c r="Z800" s="67" t="n"/>
      <c r="AA800" s="67" t="n"/>
      <c r="AB800" s="67" t="n"/>
    </row>
    <row r="801" ht="15.75" customHeight="1" s="305">
      <c r="A801" s="67" t="n"/>
      <c r="B801" s="67" t="n"/>
      <c r="C801" s="67" t="n"/>
      <c r="D801" s="67" t="n"/>
      <c r="E801" s="67" t="n"/>
      <c r="F801" s="67" t="inlineStr"/>
      <c r="G801" s="67" t="n"/>
      <c r="H801" t="inlineStr"/>
      <c r="I801" s="67" t="n"/>
      <c r="J801" s="67" t="n"/>
      <c r="K801" s="67" t="n"/>
      <c r="L801" s="67" t="n"/>
      <c r="M801" s="67" t="n"/>
      <c r="N801" s="67" t="n"/>
      <c r="O801" s="67" t="n"/>
      <c r="P801" s="67" t="n"/>
      <c r="Q801" s="67" t="n"/>
      <c r="R801" s="67" t="n"/>
      <c r="S801" s="67" t="n"/>
      <c r="T801" s="67" t="n"/>
      <c r="U801" s="67" t="n"/>
      <c r="V801" s="67" t="n"/>
      <c r="W801" s="67" t="n"/>
      <c r="X801" s="67" t="n"/>
      <c r="Y801" s="67" t="n"/>
      <c r="Z801" s="67" t="n"/>
      <c r="AA801" s="67" t="n"/>
      <c r="AB801" s="67" t="n"/>
    </row>
    <row r="802" ht="15.75" customHeight="1" s="305">
      <c r="A802" s="67" t="n"/>
      <c r="B802" s="67" t="n"/>
      <c r="C802" s="67" t="n"/>
      <c r="D802" s="67" t="n"/>
      <c r="E802" s="67" t="n"/>
      <c r="F802" s="67" t="inlineStr"/>
      <c r="G802" s="67" t="n"/>
      <c r="H802" t="inlineStr"/>
      <c r="I802" s="67" t="n"/>
      <c r="J802" s="67" t="n"/>
      <c r="K802" s="67" t="n"/>
      <c r="L802" s="67" t="n"/>
      <c r="M802" s="67" t="n"/>
      <c r="N802" s="67" t="n"/>
      <c r="O802" s="67" t="n"/>
      <c r="P802" s="67" t="n"/>
      <c r="Q802" s="67" t="n"/>
      <c r="R802" s="67" t="n"/>
      <c r="S802" s="67" t="n"/>
      <c r="T802" s="67" t="n"/>
      <c r="U802" s="67" t="n"/>
      <c r="V802" s="67" t="n"/>
      <c r="W802" s="67" t="n"/>
      <c r="X802" s="67" t="n"/>
      <c r="Y802" s="67" t="n"/>
      <c r="Z802" s="67" t="n"/>
      <c r="AA802" s="67" t="n"/>
      <c r="AB802" s="67" t="n"/>
    </row>
    <row r="803" ht="15.75" customHeight="1" s="305">
      <c r="A803" s="67" t="n"/>
      <c r="B803" s="67" t="n"/>
      <c r="C803" s="67" t="n"/>
      <c r="D803" s="67" t="n"/>
      <c r="E803" s="67" t="n"/>
      <c r="F803" s="67" t="inlineStr"/>
      <c r="G803" s="67" t="n"/>
      <c r="H803" t="inlineStr"/>
      <c r="I803" s="67" t="n"/>
      <c r="J803" s="67" t="n"/>
      <c r="K803" s="67" t="n"/>
      <c r="L803" s="67" t="n"/>
      <c r="M803" s="67" t="n"/>
      <c r="N803" s="67" t="n"/>
      <c r="O803" s="67" t="n"/>
      <c r="P803" s="67" t="n"/>
      <c r="Q803" s="67" t="n"/>
      <c r="R803" s="67" t="n"/>
      <c r="S803" s="67" t="n"/>
      <c r="T803" s="67" t="n"/>
      <c r="U803" s="67" t="n"/>
      <c r="V803" s="67" t="n"/>
      <c r="W803" s="67" t="n"/>
      <c r="X803" s="67" t="n"/>
      <c r="Y803" s="67" t="n"/>
      <c r="Z803" s="67" t="n"/>
      <c r="AA803" s="67" t="n"/>
      <c r="AB803" s="67" t="n"/>
    </row>
    <row r="804" ht="15.75" customHeight="1" s="305">
      <c r="A804" s="67" t="n"/>
      <c r="B804" s="67" t="n"/>
      <c r="C804" s="67" t="n"/>
      <c r="D804" s="67" t="n"/>
      <c r="E804" s="67" t="n"/>
      <c r="F804" s="67" t="inlineStr"/>
      <c r="G804" s="67" t="n"/>
      <c r="H804" t="inlineStr"/>
      <c r="I804" s="67" t="n"/>
      <c r="J804" s="67" t="n"/>
      <c r="K804" s="67" t="n"/>
      <c r="L804" s="67" t="n"/>
      <c r="M804" s="67" t="n"/>
      <c r="N804" s="67" t="n"/>
      <c r="O804" s="67" t="n"/>
      <c r="P804" s="67" t="n"/>
      <c r="Q804" s="67" t="n"/>
      <c r="R804" s="67" t="n"/>
      <c r="S804" s="67" t="n"/>
      <c r="T804" s="67" t="n"/>
      <c r="U804" s="67" t="n"/>
      <c r="V804" s="67" t="n"/>
      <c r="W804" s="67" t="n"/>
      <c r="X804" s="67" t="n"/>
      <c r="Y804" s="67" t="n"/>
      <c r="Z804" s="67" t="n"/>
      <c r="AA804" s="67" t="n"/>
      <c r="AB804" s="67" t="n"/>
    </row>
    <row r="805" ht="15.75" customHeight="1" s="305">
      <c r="A805" s="67" t="n"/>
      <c r="B805" s="67" t="n"/>
      <c r="C805" s="67" t="n"/>
      <c r="D805" s="67" t="n"/>
      <c r="E805" s="67" t="n"/>
      <c r="F805" s="67" t="inlineStr"/>
      <c r="G805" s="67" t="n"/>
      <c r="H805" t="inlineStr"/>
      <c r="I805" s="67" t="n"/>
      <c r="J805" s="67" t="n"/>
      <c r="K805" s="67" t="n"/>
      <c r="L805" s="67" t="n"/>
      <c r="M805" s="67" t="n"/>
      <c r="N805" s="67" t="n"/>
      <c r="O805" s="67" t="n"/>
      <c r="P805" s="67" t="n"/>
      <c r="Q805" s="67" t="n"/>
      <c r="R805" s="67" t="n"/>
      <c r="S805" s="67" t="n"/>
      <c r="T805" s="67" t="n"/>
      <c r="U805" s="67" t="n"/>
      <c r="V805" s="67" t="n"/>
      <c r="W805" s="67" t="n"/>
      <c r="X805" s="67" t="n"/>
      <c r="Y805" s="67" t="n"/>
      <c r="Z805" s="67" t="n"/>
      <c r="AA805" s="67" t="n"/>
      <c r="AB805" s="67" t="n"/>
    </row>
    <row r="806" ht="15.75" customHeight="1" s="305">
      <c r="A806" s="67" t="n"/>
      <c r="B806" s="67" t="n"/>
      <c r="C806" s="67" t="n"/>
      <c r="D806" s="67" t="n"/>
      <c r="E806" s="67" t="n"/>
      <c r="F806" s="67" t="inlineStr"/>
      <c r="G806" s="67" t="n"/>
      <c r="H806" t="inlineStr"/>
      <c r="I806" s="67" t="n"/>
      <c r="J806" s="67" t="n"/>
      <c r="K806" s="67" t="n"/>
      <c r="L806" s="67" t="n"/>
      <c r="M806" s="67" t="n"/>
      <c r="N806" s="67" t="n"/>
      <c r="O806" s="67" t="n"/>
      <c r="P806" s="67" t="n"/>
      <c r="Q806" s="67" t="n"/>
      <c r="R806" s="67" t="n"/>
      <c r="S806" s="67" t="n"/>
      <c r="T806" s="67" t="n"/>
      <c r="U806" s="67" t="n"/>
      <c r="V806" s="67" t="n"/>
      <c r="W806" s="67" t="n"/>
      <c r="X806" s="67" t="n"/>
      <c r="Y806" s="67" t="n"/>
      <c r="Z806" s="67" t="n"/>
      <c r="AA806" s="67" t="n"/>
      <c r="AB806" s="67" t="n"/>
    </row>
    <row r="807" ht="15.75" customHeight="1" s="305">
      <c r="A807" s="67" t="n"/>
      <c r="B807" s="67" t="n"/>
      <c r="C807" s="67" t="n"/>
      <c r="D807" s="67" t="n"/>
      <c r="E807" s="67" t="n"/>
      <c r="F807" s="67" t="inlineStr"/>
      <c r="G807" s="67" t="n"/>
      <c r="H807" t="inlineStr"/>
      <c r="I807" s="67" t="n"/>
      <c r="J807" s="67" t="n"/>
      <c r="K807" s="67" t="n"/>
      <c r="L807" s="67" t="n"/>
      <c r="M807" s="67" t="n"/>
      <c r="N807" s="67" t="n"/>
      <c r="O807" s="67" t="n"/>
      <c r="P807" s="67" t="n"/>
      <c r="Q807" s="67" t="n"/>
      <c r="R807" s="67" t="n"/>
      <c r="S807" s="67" t="n"/>
      <c r="T807" s="67" t="n"/>
      <c r="U807" s="67" t="n"/>
      <c r="V807" s="67" t="n"/>
      <c r="W807" s="67" t="n"/>
      <c r="X807" s="67" t="n"/>
      <c r="Y807" s="67" t="n"/>
      <c r="Z807" s="67" t="n"/>
      <c r="AA807" s="67" t="n"/>
      <c r="AB807" s="67" t="n"/>
    </row>
    <row r="808" ht="15.75" customHeight="1" s="305">
      <c r="A808" s="67" t="n"/>
      <c r="B808" s="67" t="n"/>
      <c r="C808" s="67" t="n"/>
      <c r="D808" s="67" t="n"/>
      <c r="E808" s="67" t="n"/>
      <c r="F808" s="67" t="inlineStr"/>
      <c r="G808" s="67" t="n"/>
      <c r="H808" t="inlineStr"/>
      <c r="I808" s="67" t="n"/>
      <c r="J808" s="67" t="n"/>
      <c r="K808" s="67" t="n"/>
      <c r="L808" s="67" t="n"/>
      <c r="M808" s="67" t="n"/>
      <c r="N808" s="67" t="n"/>
      <c r="O808" s="67" t="n"/>
      <c r="P808" s="67" t="n"/>
      <c r="Q808" s="67" t="n"/>
      <c r="R808" s="67" t="n"/>
      <c r="S808" s="67" t="n"/>
      <c r="T808" s="67" t="n"/>
      <c r="U808" s="67" t="n"/>
      <c r="V808" s="67" t="n"/>
      <c r="W808" s="67" t="n"/>
      <c r="X808" s="67" t="n"/>
      <c r="Y808" s="67" t="n"/>
      <c r="Z808" s="67" t="n"/>
      <c r="AA808" s="67" t="n"/>
      <c r="AB808" s="67" t="n"/>
    </row>
    <row r="809" ht="15.75" customHeight="1" s="305">
      <c r="A809" s="67" t="n"/>
      <c r="B809" s="67" t="n"/>
      <c r="C809" s="67" t="n"/>
      <c r="D809" s="67" t="n"/>
      <c r="E809" s="67" t="n"/>
      <c r="F809" s="67" t="inlineStr"/>
      <c r="G809" s="67" t="n"/>
      <c r="H809" t="inlineStr"/>
      <c r="I809" s="67" t="n"/>
      <c r="J809" s="67" t="n"/>
      <c r="K809" s="67" t="n"/>
      <c r="L809" s="67" t="n"/>
      <c r="M809" s="67" t="n"/>
      <c r="N809" s="67" t="n"/>
      <c r="O809" s="67" t="n"/>
      <c r="P809" s="67" t="n"/>
      <c r="Q809" s="67" t="n"/>
      <c r="R809" s="67" t="n"/>
      <c r="S809" s="67" t="n"/>
      <c r="T809" s="67" t="n"/>
      <c r="U809" s="67" t="n"/>
      <c r="V809" s="67" t="n"/>
      <c r="W809" s="67" t="n"/>
      <c r="X809" s="67" t="n"/>
      <c r="Y809" s="67" t="n"/>
      <c r="Z809" s="67" t="n"/>
      <c r="AA809" s="67" t="n"/>
      <c r="AB809" s="67" t="n"/>
    </row>
    <row r="810" ht="15.75" customHeight="1" s="305">
      <c r="A810" s="67" t="n"/>
      <c r="B810" s="67" t="n"/>
      <c r="C810" s="67" t="n"/>
      <c r="D810" s="67" t="n"/>
      <c r="E810" s="67" t="n"/>
      <c r="F810" s="67" t="inlineStr"/>
      <c r="G810" s="67" t="n"/>
      <c r="H810" t="inlineStr"/>
      <c r="I810" s="67" t="n"/>
      <c r="J810" s="67" t="n"/>
      <c r="K810" s="67" t="n"/>
      <c r="L810" s="67" t="n"/>
      <c r="M810" s="67" t="n"/>
      <c r="N810" s="67" t="n"/>
      <c r="O810" s="67" t="n"/>
      <c r="P810" s="67" t="n"/>
      <c r="Q810" s="67" t="n"/>
      <c r="R810" s="67" t="n"/>
      <c r="S810" s="67" t="n"/>
      <c r="T810" s="67" t="n"/>
      <c r="U810" s="67" t="n"/>
      <c r="V810" s="67" t="n"/>
      <c r="W810" s="67" t="n"/>
      <c r="X810" s="67" t="n"/>
      <c r="Y810" s="67" t="n"/>
      <c r="Z810" s="67" t="n"/>
      <c r="AA810" s="67" t="n"/>
      <c r="AB810" s="67" t="n"/>
    </row>
    <row r="811" ht="15.75" customHeight="1" s="305">
      <c r="A811" s="67" t="n"/>
      <c r="B811" s="67" t="n"/>
      <c r="C811" s="67" t="n"/>
      <c r="D811" s="67" t="n"/>
      <c r="E811" s="67" t="n"/>
      <c r="F811" s="67" t="inlineStr"/>
      <c r="G811" s="67" t="n"/>
      <c r="H811" t="inlineStr"/>
      <c r="I811" s="67" t="n"/>
      <c r="J811" s="67" t="n"/>
      <c r="K811" s="67" t="n"/>
      <c r="L811" s="67" t="n"/>
      <c r="M811" s="67" t="n"/>
      <c r="N811" s="67" t="n"/>
      <c r="O811" s="67" t="n"/>
      <c r="P811" s="67" t="n"/>
      <c r="Q811" s="67" t="n"/>
      <c r="R811" s="67" t="n"/>
      <c r="S811" s="67" t="n"/>
      <c r="T811" s="67" t="n"/>
      <c r="U811" s="67" t="n"/>
      <c r="V811" s="67" t="n"/>
      <c r="W811" s="67" t="n"/>
      <c r="X811" s="67" t="n"/>
      <c r="Y811" s="67" t="n"/>
      <c r="Z811" s="67" t="n"/>
      <c r="AA811" s="67" t="n"/>
      <c r="AB811" s="67" t="n"/>
    </row>
    <row r="812" ht="15.75" customHeight="1" s="305">
      <c r="A812" s="67" t="n"/>
      <c r="B812" s="67" t="n"/>
      <c r="C812" s="67" t="n"/>
      <c r="D812" s="67" t="n"/>
      <c r="E812" s="67" t="n"/>
      <c r="F812" s="67" t="inlineStr"/>
      <c r="G812" s="67" t="n"/>
      <c r="H812" t="inlineStr"/>
      <c r="I812" s="67" t="n"/>
      <c r="J812" s="67" t="n"/>
      <c r="K812" s="67" t="n"/>
      <c r="L812" s="67" t="n"/>
      <c r="M812" s="67" t="n"/>
      <c r="N812" s="67" t="n"/>
      <c r="O812" s="67" t="n"/>
      <c r="P812" s="67" t="n"/>
      <c r="Q812" s="67" t="n"/>
      <c r="R812" s="67" t="n"/>
      <c r="S812" s="67" t="n"/>
      <c r="T812" s="67" t="n"/>
      <c r="U812" s="67" t="n"/>
      <c r="V812" s="67" t="n"/>
      <c r="W812" s="67" t="n"/>
      <c r="X812" s="67" t="n"/>
      <c r="Y812" s="67" t="n"/>
      <c r="Z812" s="67" t="n"/>
      <c r="AA812" s="67" t="n"/>
      <c r="AB812" s="67" t="n"/>
    </row>
    <row r="813" ht="15.75" customHeight="1" s="305">
      <c r="A813" s="67" t="n"/>
      <c r="B813" s="67" t="n"/>
      <c r="C813" s="67" t="n"/>
      <c r="D813" s="67" t="n"/>
      <c r="E813" s="67" t="n"/>
      <c r="F813" s="67" t="inlineStr"/>
      <c r="G813" s="67" t="n"/>
      <c r="H813" t="inlineStr"/>
      <c r="I813" s="67" t="n"/>
      <c r="J813" s="67" t="n"/>
      <c r="K813" s="67" t="n"/>
      <c r="L813" s="67" t="n"/>
      <c r="M813" s="67" t="n"/>
      <c r="N813" s="67" t="n"/>
      <c r="O813" s="67" t="n"/>
      <c r="P813" s="67" t="n"/>
      <c r="Q813" s="67" t="n"/>
      <c r="R813" s="67" t="n"/>
      <c r="S813" s="67" t="n"/>
      <c r="T813" s="67" t="n"/>
      <c r="U813" s="67" t="n"/>
      <c r="V813" s="67" t="n"/>
      <c r="W813" s="67" t="n"/>
      <c r="X813" s="67" t="n"/>
      <c r="Y813" s="67" t="n"/>
      <c r="Z813" s="67" t="n"/>
      <c r="AA813" s="67" t="n"/>
      <c r="AB813" s="67" t="n"/>
    </row>
    <row r="814" ht="15.75" customHeight="1" s="305">
      <c r="A814" s="67" t="n"/>
      <c r="B814" s="67" t="n"/>
      <c r="C814" s="67" t="n"/>
      <c r="D814" s="67" t="n"/>
      <c r="E814" s="67" t="n"/>
      <c r="F814" s="67" t="inlineStr"/>
      <c r="G814" s="67" t="n"/>
      <c r="H814" t="inlineStr"/>
      <c r="I814" s="67" t="n"/>
      <c r="J814" s="67" t="n"/>
      <c r="K814" s="67" t="n"/>
      <c r="L814" s="67" t="n"/>
      <c r="M814" s="67" t="n"/>
      <c r="N814" s="67" t="n"/>
      <c r="O814" s="67" t="n"/>
      <c r="P814" s="67" t="n"/>
      <c r="Q814" s="67" t="n"/>
      <c r="R814" s="67" t="n"/>
      <c r="S814" s="67" t="n"/>
      <c r="T814" s="67" t="n"/>
      <c r="U814" s="67" t="n"/>
      <c r="V814" s="67" t="n"/>
      <c r="W814" s="67" t="n"/>
      <c r="X814" s="67" t="n"/>
      <c r="Y814" s="67" t="n"/>
      <c r="Z814" s="67" t="n"/>
      <c r="AA814" s="67" t="n"/>
      <c r="AB814" s="67" t="n"/>
    </row>
    <row r="815" ht="15.75" customHeight="1" s="305">
      <c r="A815" s="67" t="n"/>
      <c r="B815" s="67" t="n"/>
      <c r="C815" s="67" t="n"/>
      <c r="D815" s="67" t="n"/>
      <c r="E815" s="67" t="n"/>
      <c r="F815" s="67" t="inlineStr"/>
      <c r="G815" s="67" t="n"/>
      <c r="H815" t="inlineStr"/>
      <c r="I815" s="67" t="n"/>
      <c r="J815" s="67" t="n"/>
      <c r="K815" s="67" t="n"/>
      <c r="L815" s="67" t="n"/>
      <c r="M815" s="67" t="n"/>
      <c r="N815" s="67" t="n"/>
      <c r="O815" s="67" t="n"/>
      <c r="P815" s="67" t="n"/>
      <c r="Q815" s="67" t="n"/>
      <c r="R815" s="67" t="n"/>
      <c r="S815" s="67" t="n"/>
      <c r="T815" s="67" t="n"/>
      <c r="U815" s="67" t="n"/>
      <c r="V815" s="67" t="n"/>
      <c r="W815" s="67" t="n"/>
      <c r="X815" s="67" t="n"/>
      <c r="Y815" s="67" t="n"/>
      <c r="Z815" s="67" t="n"/>
      <c r="AA815" s="67" t="n"/>
      <c r="AB815" s="67" t="n"/>
    </row>
    <row r="816" ht="15.75" customHeight="1" s="305">
      <c r="A816" s="67" t="n"/>
      <c r="B816" s="67" t="n"/>
      <c r="C816" s="67" t="n"/>
      <c r="D816" s="67" t="n"/>
      <c r="E816" s="67" t="n"/>
      <c r="F816" s="67" t="inlineStr"/>
      <c r="G816" s="67" t="n"/>
      <c r="H816" t="inlineStr"/>
      <c r="I816" s="67" t="n"/>
      <c r="J816" s="67" t="n"/>
      <c r="K816" s="67" t="n"/>
      <c r="L816" s="67" t="n"/>
      <c r="M816" s="67" t="n"/>
      <c r="N816" s="67" t="n"/>
      <c r="O816" s="67" t="n"/>
      <c r="P816" s="67" t="n"/>
      <c r="Q816" s="67" t="n"/>
      <c r="R816" s="67" t="n"/>
      <c r="S816" s="67" t="n"/>
      <c r="T816" s="67" t="n"/>
      <c r="U816" s="67" t="n"/>
      <c r="V816" s="67" t="n"/>
      <c r="W816" s="67" t="n"/>
      <c r="X816" s="67" t="n"/>
      <c r="Y816" s="67" t="n"/>
      <c r="Z816" s="67" t="n"/>
      <c r="AA816" s="67" t="n"/>
      <c r="AB816" s="67" t="n"/>
    </row>
    <row r="817" ht="15.75" customHeight="1" s="305">
      <c r="A817" s="67" t="n"/>
      <c r="B817" s="67" t="n"/>
      <c r="C817" s="67" t="n"/>
      <c r="D817" s="67" t="n"/>
      <c r="E817" s="67" t="n"/>
      <c r="F817" s="67" t="inlineStr"/>
      <c r="G817" s="67" t="n"/>
      <c r="H817" t="inlineStr"/>
      <c r="I817" s="67" t="n"/>
      <c r="J817" s="67" t="n"/>
      <c r="K817" s="67" t="n"/>
      <c r="L817" s="67" t="n"/>
      <c r="M817" s="67" t="n"/>
      <c r="N817" s="67" t="n"/>
      <c r="O817" s="67" t="n"/>
      <c r="P817" s="67" t="n"/>
      <c r="Q817" s="67" t="n"/>
      <c r="R817" s="67" t="n"/>
      <c r="S817" s="67" t="n"/>
      <c r="T817" s="67" t="n"/>
      <c r="U817" s="67" t="n"/>
      <c r="V817" s="67" t="n"/>
      <c r="W817" s="67" t="n"/>
      <c r="X817" s="67" t="n"/>
      <c r="Y817" s="67" t="n"/>
      <c r="Z817" s="67" t="n"/>
      <c r="AA817" s="67" t="n"/>
      <c r="AB817" s="67" t="n"/>
    </row>
    <row r="818" ht="15.75" customHeight="1" s="305">
      <c r="A818" s="67" t="n"/>
      <c r="B818" s="67" t="n"/>
      <c r="C818" s="67" t="n"/>
      <c r="D818" s="67" t="n"/>
      <c r="E818" s="67" t="n"/>
      <c r="F818" s="67" t="inlineStr"/>
      <c r="G818" s="67" t="n"/>
      <c r="H818" t="inlineStr"/>
      <c r="I818" s="67" t="n"/>
      <c r="J818" s="67" t="n"/>
      <c r="K818" s="67" t="n"/>
      <c r="L818" s="67" t="n"/>
      <c r="M818" s="67" t="n"/>
      <c r="N818" s="67" t="n"/>
      <c r="O818" s="67" t="n"/>
      <c r="P818" s="67" t="n"/>
      <c r="Q818" s="67" t="n"/>
      <c r="R818" s="67" t="n"/>
      <c r="S818" s="67" t="n"/>
      <c r="T818" s="67" t="n"/>
      <c r="U818" s="67" t="n"/>
      <c r="V818" s="67" t="n"/>
      <c r="W818" s="67" t="n"/>
      <c r="X818" s="67" t="n"/>
      <c r="Y818" s="67" t="n"/>
      <c r="Z818" s="67" t="n"/>
      <c r="AA818" s="67" t="n"/>
      <c r="AB818" s="67" t="n"/>
    </row>
    <row r="819" ht="15.75" customHeight="1" s="305">
      <c r="A819" s="67" t="n"/>
      <c r="B819" s="67" t="n"/>
      <c r="C819" s="67" t="n"/>
      <c r="D819" s="67" t="n"/>
      <c r="E819" s="67" t="n"/>
      <c r="F819" s="67" t="inlineStr"/>
      <c r="G819" s="67" t="n"/>
      <c r="H819" t="inlineStr"/>
      <c r="I819" s="67" t="n"/>
      <c r="J819" s="67" t="n"/>
      <c r="K819" s="67" t="n"/>
      <c r="L819" s="67" t="n"/>
      <c r="M819" s="67" t="n"/>
      <c r="N819" s="67" t="n"/>
      <c r="O819" s="67" t="n"/>
      <c r="P819" s="67" t="n"/>
      <c r="Q819" s="67" t="n"/>
      <c r="R819" s="67" t="n"/>
      <c r="S819" s="67" t="n"/>
      <c r="T819" s="67" t="n"/>
      <c r="U819" s="67" t="n"/>
      <c r="V819" s="67" t="n"/>
      <c r="W819" s="67" t="n"/>
      <c r="X819" s="67" t="n"/>
      <c r="Y819" s="67" t="n"/>
      <c r="Z819" s="67" t="n"/>
      <c r="AA819" s="67" t="n"/>
      <c r="AB819" s="67" t="n"/>
    </row>
    <row r="820" ht="15.75" customHeight="1" s="305">
      <c r="A820" s="67" t="n"/>
      <c r="B820" s="67" t="n"/>
      <c r="C820" s="67" t="n"/>
      <c r="D820" s="67" t="n"/>
      <c r="E820" s="67" t="n"/>
      <c r="F820" s="67" t="inlineStr"/>
      <c r="G820" s="67" t="n"/>
      <c r="H820" t="inlineStr"/>
      <c r="I820" s="67" t="n"/>
      <c r="J820" s="67" t="n"/>
      <c r="K820" s="67" t="n"/>
      <c r="L820" s="67" t="n"/>
      <c r="M820" s="67" t="n"/>
      <c r="N820" s="67" t="n"/>
      <c r="O820" s="67" t="n"/>
      <c r="P820" s="67" t="n"/>
      <c r="Q820" s="67" t="n"/>
      <c r="R820" s="67" t="n"/>
      <c r="S820" s="67" t="n"/>
      <c r="T820" s="67" t="n"/>
      <c r="U820" s="67" t="n"/>
      <c r="V820" s="67" t="n"/>
      <c r="W820" s="67" t="n"/>
      <c r="X820" s="67" t="n"/>
      <c r="Y820" s="67" t="n"/>
      <c r="Z820" s="67" t="n"/>
      <c r="AA820" s="67" t="n"/>
      <c r="AB820" s="67" t="n"/>
    </row>
    <row r="821" ht="15.75" customHeight="1" s="305">
      <c r="A821" s="67" t="n"/>
      <c r="B821" s="67" t="n"/>
      <c r="C821" s="67" t="n"/>
      <c r="D821" s="67" t="n"/>
      <c r="E821" s="67" t="n"/>
      <c r="F821" s="67" t="inlineStr"/>
      <c r="G821" s="67" t="n"/>
      <c r="H821" t="inlineStr"/>
      <c r="I821" s="67" t="n"/>
      <c r="J821" s="67" t="n"/>
      <c r="K821" s="67" t="n"/>
      <c r="L821" s="67" t="n"/>
      <c r="M821" s="67" t="n"/>
      <c r="N821" s="67" t="n"/>
      <c r="O821" s="67" t="n"/>
      <c r="P821" s="67" t="n"/>
      <c r="Q821" s="67" t="n"/>
      <c r="R821" s="67" t="n"/>
      <c r="S821" s="67" t="n"/>
      <c r="T821" s="67" t="n"/>
      <c r="U821" s="67" t="n"/>
      <c r="V821" s="67" t="n"/>
      <c r="W821" s="67" t="n"/>
      <c r="X821" s="67" t="n"/>
      <c r="Y821" s="67" t="n"/>
      <c r="Z821" s="67" t="n"/>
      <c r="AA821" s="67" t="n"/>
      <c r="AB821" s="67" t="n"/>
    </row>
    <row r="822" ht="15.75" customHeight="1" s="305">
      <c r="A822" s="67" t="n"/>
      <c r="B822" s="67" t="n"/>
      <c r="C822" s="67" t="n"/>
      <c r="D822" s="67" t="n"/>
      <c r="E822" s="67" t="n"/>
      <c r="F822" s="67" t="inlineStr"/>
      <c r="G822" s="67" t="n"/>
      <c r="H822" t="inlineStr"/>
      <c r="I822" s="67" t="n"/>
      <c r="J822" s="67" t="n"/>
      <c r="K822" s="67" t="n"/>
      <c r="L822" s="67" t="n"/>
      <c r="M822" s="67" t="n"/>
      <c r="N822" s="67" t="n"/>
      <c r="O822" s="67" t="n"/>
      <c r="P822" s="67" t="n"/>
      <c r="Q822" s="67" t="n"/>
      <c r="R822" s="67" t="n"/>
      <c r="S822" s="67" t="n"/>
      <c r="T822" s="67" t="n"/>
      <c r="U822" s="67" t="n"/>
      <c r="V822" s="67" t="n"/>
      <c r="W822" s="67" t="n"/>
      <c r="X822" s="67" t="n"/>
      <c r="Y822" s="67" t="n"/>
      <c r="Z822" s="67" t="n"/>
      <c r="AA822" s="67" t="n"/>
      <c r="AB822" s="67" t="n"/>
    </row>
    <row r="823" ht="15.75" customHeight="1" s="305">
      <c r="A823" s="67" t="n"/>
      <c r="B823" s="67" t="n"/>
      <c r="C823" s="67" t="n"/>
      <c r="D823" s="67" t="n"/>
      <c r="E823" s="67" t="n"/>
      <c r="F823" s="67" t="inlineStr"/>
      <c r="G823" s="67" t="n"/>
      <c r="H823" t="inlineStr"/>
      <c r="I823" s="67" t="n"/>
      <c r="J823" s="67" t="n"/>
      <c r="K823" s="67" t="n"/>
      <c r="L823" s="67" t="n"/>
      <c r="M823" s="67" t="n"/>
      <c r="N823" s="67" t="n"/>
      <c r="O823" s="67" t="n"/>
      <c r="P823" s="67" t="n"/>
      <c r="Q823" s="67" t="n"/>
      <c r="R823" s="67" t="n"/>
      <c r="S823" s="67" t="n"/>
      <c r="T823" s="67" t="n"/>
      <c r="U823" s="67" t="n"/>
      <c r="V823" s="67" t="n"/>
      <c r="W823" s="67" t="n"/>
      <c r="X823" s="67" t="n"/>
      <c r="Y823" s="67" t="n"/>
      <c r="Z823" s="67" t="n"/>
      <c r="AA823" s="67" t="n"/>
      <c r="AB823" s="67" t="n"/>
    </row>
    <row r="824" ht="15.75" customHeight="1" s="305">
      <c r="A824" s="67" t="n"/>
      <c r="B824" s="67" t="n"/>
      <c r="C824" s="67" t="n"/>
      <c r="D824" s="67" t="n"/>
      <c r="E824" s="67" t="n"/>
      <c r="F824" s="67" t="inlineStr"/>
      <c r="G824" s="67" t="n"/>
      <c r="H824" t="inlineStr"/>
      <c r="I824" s="67" t="n"/>
      <c r="J824" s="67" t="n"/>
      <c r="K824" s="67" t="n"/>
      <c r="L824" s="67" t="n"/>
      <c r="M824" s="67" t="n"/>
      <c r="N824" s="67" t="n"/>
      <c r="O824" s="67" t="n"/>
      <c r="P824" s="67" t="n"/>
      <c r="Q824" s="67" t="n"/>
      <c r="R824" s="67" t="n"/>
      <c r="S824" s="67" t="n"/>
      <c r="T824" s="67" t="n"/>
      <c r="U824" s="67" t="n"/>
      <c r="V824" s="67" t="n"/>
      <c r="W824" s="67" t="n"/>
      <c r="X824" s="67" t="n"/>
      <c r="Y824" s="67" t="n"/>
      <c r="Z824" s="67" t="n"/>
      <c r="AA824" s="67" t="n"/>
      <c r="AB824" s="67" t="n"/>
    </row>
    <row r="825" ht="15.75" customHeight="1" s="305">
      <c r="A825" s="67" t="n"/>
      <c r="B825" s="67" t="n"/>
      <c r="C825" s="67" t="n"/>
      <c r="D825" s="67" t="n"/>
      <c r="E825" s="67" t="n"/>
      <c r="F825" s="67" t="inlineStr"/>
      <c r="G825" s="67" t="n"/>
      <c r="H825" t="inlineStr"/>
      <c r="I825" s="67" t="n"/>
      <c r="J825" s="67" t="n"/>
      <c r="K825" s="67" t="n"/>
      <c r="L825" s="67" t="n"/>
      <c r="M825" s="67" t="n"/>
      <c r="N825" s="67" t="n"/>
      <c r="O825" s="67" t="n"/>
      <c r="P825" s="67" t="n"/>
      <c r="Q825" s="67" t="n"/>
      <c r="R825" s="67" t="n"/>
      <c r="S825" s="67" t="n"/>
      <c r="T825" s="67" t="n"/>
      <c r="U825" s="67" t="n"/>
      <c r="V825" s="67" t="n"/>
      <c r="W825" s="67" t="n"/>
      <c r="X825" s="67" t="n"/>
      <c r="Y825" s="67" t="n"/>
      <c r="Z825" s="67" t="n"/>
      <c r="AA825" s="67" t="n"/>
      <c r="AB825" s="67" t="n"/>
    </row>
    <row r="826" ht="15.75" customHeight="1" s="305">
      <c r="A826" s="67" t="n"/>
      <c r="B826" s="67" t="n"/>
      <c r="C826" s="67" t="n"/>
      <c r="D826" s="67" t="n"/>
      <c r="E826" s="67" t="n"/>
      <c r="F826" s="67" t="inlineStr"/>
      <c r="G826" s="67" t="n"/>
      <c r="H826" t="inlineStr"/>
      <c r="I826" s="67" t="n"/>
      <c r="J826" s="67" t="n"/>
      <c r="K826" s="67" t="n"/>
      <c r="L826" s="67" t="n"/>
      <c r="M826" s="67" t="n"/>
      <c r="N826" s="67" t="n"/>
      <c r="O826" s="67" t="n"/>
      <c r="P826" s="67" t="n"/>
      <c r="Q826" s="67" t="n"/>
      <c r="R826" s="67" t="n"/>
      <c r="S826" s="67" t="n"/>
      <c r="T826" s="67" t="n"/>
      <c r="U826" s="67" t="n"/>
      <c r="V826" s="67" t="n"/>
      <c r="W826" s="67" t="n"/>
      <c r="X826" s="67" t="n"/>
      <c r="Y826" s="67" t="n"/>
      <c r="Z826" s="67" t="n"/>
      <c r="AA826" s="67" t="n"/>
      <c r="AB826" s="67" t="n"/>
    </row>
    <row r="827" ht="15.75" customHeight="1" s="305">
      <c r="A827" s="67" t="n"/>
      <c r="B827" s="67" t="n"/>
      <c r="C827" s="67" t="n"/>
      <c r="D827" s="67" t="n"/>
      <c r="E827" s="67" t="n"/>
      <c r="F827" s="67" t="inlineStr"/>
      <c r="G827" s="67" t="n"/>
      <c r="H827" t="inlineStr"/>
      <c r="I827" s="67" t="n"/>
      <c r="J827" s="67" t="n"/>
      <c r="K827" s="67" t="n"/>
      <c r="L827" s="67" t="n"/>
      <c r="M827" s="67" t="n"/>
      <c r="N827" s="67" t="n"/>
      <c r="O827" s="67" t="n"/>
      <c r="P827" s="67" t="n"/>
      <c r="Q827" s="67" t="n"/>
      <c r="R827" s="67" t="n"/>
      <c r="S827" s="67" t="n"/>
      <c r="T827" s="67" t="n"/>
      <c r="U827" s="67" t="n"/>
      <c r="V827" s="67" t="n"/>
      <c r="W827" s="67" t="n"/>
      <c r="X827" s="67" t="n"/>
      <c r="Y827" s="67" t="n"/>
      <c r="Z827" s="67" t="n"/>
      <c r="AA827" s="67" t="n"/>
      <c r="AB827" s="67" t="n"/>
    </row>
    <row r="828" ht="15.75" customHeight="1" s="305">
      <c r="A828" s="67" t="n"/>
      <c r="B828" s="67" t="n"/>
      <c r="C828" s="67" t="n"/>
      <c r="D828" s="67" t="n"/>
      <c r="E828" s="67" t="n"/>
      <c r="F828" s="67" t="inlineStr"/>
      <c r="G828" s="67" t="n"/>
      <c r="H828" t="inlineStr"/>
      <c r="I828" s="67" t="n"/>
      <c r="J828" s="67" t="n"/>
      <c r="K828" s="67" t="n"/>
      <c r="L828" s="67" t="n"/>
      <c r="M828" s="67" t="n"/>
      <c r="N828" s="67" t="n"/>
      <c r="O828" s="67" t="n"/>
      <c r="P828" s="67" t="n"/>
      <c r="Q828" s="67" t="n"/>
      <c r="R828" s="67" t="n"/>
      <c r="S828" s="67" t="n"/>
      <c r="T828" s="67" t="n"/>
      <c r="U828" s="67" t="n"/>
      <c r="V828" s="67" t="n"/>
      <c r="W828" s="67" t="n"/>
      <c r="X828" s="67" t="n"/>
      <c r="Y828" s="67" t="n"/>
      <c r="Z828" s="67" t="n"/>
      <c r="AA828" s="67" t="n"/>
      <c r="AB828" s="67" t="n"/>
    </row>
    <row r="829" ht="15.75" customHeight="1" s="305">
      <c r="A829" s="67" t="n"/>
      <c r="B829" s="67" t="n"/>
      <c r="C829" s="67" t="n"/>
      <c r="D829" s="67" t="n"/>
      <c r="E829" s="67" t="n"/>
      <c r="F829" s="67" t="inlineStr"/>
      <c r="G829" s="67" t="n"/>
      <c r="H829" t="inlineStr"/>
      <c r="I829" s="67" t="n"/>
      <c r="J829" s="67" t="n"/>
      <c r="K829" s="67" t="n"/>
      <c r="L829" s="67" t="n"/>
      <c r="M829" s="67" t="n"/>
      <c r="N829" s="67" t="n"/>
      <c r="O829" s="67" t="n"/>
      <c r="P829" s="67" t="n"/>
      <c r="Q829" s="67" t="n"/>
      <c r="R829" s="67" t="n"/>
      <c r="S829" s="67" t="n"/>
      <c r="T829" s="67" t="n"/>
      <c r="U829" s="67" t="n"/>
      <c r="V829" s="67" t="n"/>
      <c r="W829" s="67" t="n"/>
      <c r="X829" s="67" t="n"/>
      <c r="Y829" s="67" t="n"/>
      <c r="Z829" s="67" t="n"/>
      <c r="AA829" s="67" t="n"/>
      <c r="AB829" s="67" t="n"/>
    </row>
    <row r="830" ht="15.75" customHeight="1" s="305">
      <c r="A830" s="67" t="n"/>
      <c r="B830" s="67" t="n"/>
      <c r="C830" s="67" t="n"/>
      <c r="D830" s="67" t="n"/>
      <c r="E830" s="67" t="n"/>
      <c r="F830" s="67" t="inlineStr"/>
      <c r="G830" s="67" t="n"/>
      <c r="H830" t="inlineStr"/>
      <c r="I830" s="67" t="n"/>
      <c r="J830" s="67" t="n"/>
      <c r="K830" s="67" t="n"/>
      <c r="L830" s="67" t="n"/>
      <c r="M830" s="67" t="n"/>
      <c r="N830" s="67" t="n"/>
      <c r="O830" s="67" t="n"/>
      <c r="P830" s="67" t="n"/>
      <c r="Q830" s="67" t="n"/>
      <c r="R830" s="67" t="n"/>
      <c r="S830" s="67" t="n"/>
      <c r="T830" s="67" t="n"/>
      <c r="U830" s="67" t="n"/>
      <c r="V830" s="67" t="n"/>
      <c r="W830" s="67" t="n"/>
      <c r="X830" s="67" t="n"/>
      <c r="Y830" s="67" t="n"/>
      <c r="Z830" s="67" t="n"/>
      <c r="AA830" s="67" t="n"/>
      <c r="AB830" s="67" t="n"/>
    </row>
    <row r="831" ht="15.75" customHeight="1" s="305">
      <c r="A831" s="67" t="n"/>
      <c r="B831" s="67" t="n"/>
      <c r="C831" s="67" t="n"/>
      <c r="D831" s="67" t="n"/>
      <c r="E831" s="67" t="n"/>
      <c r="F831" s="67" t="inlineStr"/>
      <c r="G831" s="67" t="n"/>
      <c r="H831" t="inlineStr"/>
      <c r="I831" s="67" t="n"/>
      <c r="J831" s="67" t="n"/>
      <c r="K831" s="67" t="n"/>
      <c r="L831" s="67" t="n"/>
      <c r="M831" s="67" t="n"/>
      <c r="N831" s="67" t="n"/>
      <c r="O831" s="67" t="n"/>
      <c r="P831" s="67" t="n"/>
      <c r="Q831" s="67" t="n"/>
      <c r="R831" s="67" t="n"/>
      <c r="S831" s="67" t="n"/>
      <c r="T831" s="67" t="n"/>
      <c r="U831" s="67" t="n"/>
      <c r="V831" s="67" t="n"/>
      <c r="W831" s="67" t="n"/>
      <c r="X831" s="67" t="n"/>
      <c r="Y831" s="67" t="n"/>
      <c r="Z831" s="67" t="n"/>
      <c r="AA831" s="67" t="n"/>
      <c r="AB831" s="67" t="n"/>
    </row>
    <row r="832" ht="15.75" customHeight="1" s="305">
      <c r="A832" s="67" t="n"/>
      <c r="B832" s="67" t="n"/>
      <c r="C832" s="67" t="n"/>
      <c r="D832" s="67" t="n"/>
      <c r="E832" s="67" t="n"/>
      <c r="F832" s="67" t="inlineStr"/>
      <c r="G832" s="67" t="n"/>
      <c r="H832" t="inlineStr"/>
      <c r="I832" s="67" t="n"/>
      <c r="J832" s="67" t="n"/>
      <c r="K832" s="67" t="n"/>
      <c r="L832" s="67" t="n"/>
      <c r="M832" s="67" t="n"/>
      <c r="N832" s="67" t="n"/>
      <c r="O832" s="67" t="n"/>
      <c r="P832" s="67" t="n"/>
      <c r="Q832" s="67" t="n"/>
      <c r="R832" s="67" t="n"/>
      <c r="S832" s="67" t="n"/>
      <c r="T832" s="67" t="n"/>
      <c r="U832" s="67" t="n"/>
      <c r="V832" s="67" t="n"/>
      <c r="W832" s="67" t="n"/>
      <c r="X832" s="67" t="n"/>
      <c r="Y832" s="67" t="n"/>
      <c r="Z832" s="67" t="n"/>
      <c r="AA832" s="67" t="n"/>
      <c r="AB832" s="67" t="n"/>
    </row>
    <row r="833" ht="15.75" customHeight="1" s="305">
      <c r="A833" s="67" t="n"/>
      <c r="B833" s="67" t="n"/>
      <c r="C833" s="67" t="n"/>
      <c r="D833" s="67" t="n"/>
      <c r="E833" s="67" t="n"/>
      <c r="F833" s="67" t="inlineStr"/>
      <c r="G833" s="67" t="n"/>
      <c r="H833" t="inlineStr"/>
      <c r="I833" s="67" t="n"/>
      <c r="J833" s="67" t="n"/>
      <c r="K833" s="67" t="n"/>
      <c r="L833" s="67" t="n"/>
      <c r="M833" s="67" t="n"/>
      <c r="N833" s="67" t="n"/>
      <c r="O833" s="67" t="n"/>
      <c r="P833" s="67" t="n"/>
      <c r="Q833" s="67" t="n"/>
      <c r="R833" s="67" t="n"/>
      <c r="S833" s="67" t="n"/>
      <c r="T833" s="67" t="n"/>
      <c r="U833" s="67" t="n"/>
      <c r="V833" s="67" t="n"/>
      <c r="W833" s="67" t="n"/>
      <c r="X833" s="67" t="n"/>
      <c r="Y833" s="67" t="n"/>
      <c r="Z833" s="67" t="n"/>
      <c r="AA833" s="67" t="n"/>
      <c r="AB833" s="67" t="n"/>
    </row>
    <row r="834" ht="15.75" customHeight="1" s="305">
      <c r="A834" s="67" t="n"/>
      <c r="B834" s="67" t="n"/>
      <c r="C834" s="67" t="n"/>
      <c r="D834" s="67" t="n"/>
      <c r="E834" s="67" t="n"/>
      <c r="F834" s="67" t="inlineStr"/>
      <c r="G834" s="67" t="n"/>
      <c r="H834" t="inlineStr"/>
      <c r="I834" s="67" t="n"/>
      <c r="J834" s="67" t="n"/>
      <c r="K834" s="67" t="n"/>
      <c r="L834" s="67" t="n"/>
      <c r="M834" s="67" t="n"/>
      <c r="N834" s="67" t="n"/>
      <c r="O834" s="67" t="n"/>
      <c r="P834" s="67" t="n"/>
      <c r="Q834" s="67" t="n"/>
      <c r="R834" s="67" t="n"/>
      <c r="S834" s="67" t="n"/>
      <c r="T834" s="67" t="n"/>
      <c r="U834" s="67" t="n"/>
      <c r="V834" s="67" t="n"/>
      <c r="W834" s="67" t="n"/>
      <c r="X834" s="67" t="n"/>
      <c r="Y834" s="67" t="n"/>
      <c r="Z834" s="67" t="n"/>
      <c r="AA834" s="67" t="n"/>
      <c r="AB834" s="67" t="n"/>
    </row>
    <row r="835" ht="15.75" customHeight="1" s="305">
      <c r="A835" s="67" t="n"/>
      <c r="B835" s="67" t="n"/>
      <c r="C835" s="67" t="n"/>
      <c r="D835" s="67" t="n"/>
      <c r="E835" s="67" t="n"/>
      <c r="F835" s="67" t="inlineStr"/>
      <c r="G835" s="67" t="n"/>
      <c r="H835" t="inlineStr"/>
      <c r="I835" s="67" t="n"/>
      <c r="J835" s="67" t="n"/>
      <c r="K835" s="67" t="n"/>
      <c r="L835" s="67" t="n"/>
      <c r="M835" s="67" t="n"/>
      <c r="N835" s="67" t="n"/>
      <c r="O835" s="67" t="n"/>
      <c r="P835" s="67" t="n"/>
      <c r="Q835" s="67" t="n"/>
      <c r="R835" s="67" t="n"/>
      <c r="S835" s="67" t="n"/>
      <c r="T835" s="67" t="n"/>
      <c r="U835" s="67" t="n"/>
      <c r="V835" s="67" t="n"/>
      <c r="W835" s="67" t="n"/>
      <c r="X835" s="67" t="n"/>
      <c r="Y835" s="67" t="n"/>
      <c r="Z835" s="67" t="n"/>
      <c r="AA835" s="67" t="n"/>
      <c r="AB835" s="67" t="n"/>
    </row>
    <row r="836" ht="15.75" customHeight="1" s="305">
      <c r="A836" s="67" t="n"/>
      <c r="B836" s="67" t="n"/>
      <c r="C836" s="67" t="n"/>
      <c r="D836" s="67" t="n"/>
      <c r="E836" s="67" t="n"/>
      <c r="F836" s="67" t="inlineStr"/>
      <c r="G836" s="67" t="n"/>
      <c r="H836" t="inlineStr"/>
      <c r="I836" s="67" t="n"/>
      <c r="J836" s="67" t="n"/>
      <c r="K836" s="67" t="n"/>
      <c r="L836" s="67" t="n"/>
      <c r="M836" s="67" t="n"/>
      <c r="N836" s="67" t="n"/>
      <c r="O836" s="67" t="n"/>
      <c r="P836" s="67" t="n"/>
      <c r="Q836" s="67" t="n"/>
      <c r="R836" s="67" t="n"/>
      <c r="S836" s="67" t="n"/>
      <c r="T836" s="67" t="n"/>
      <c r="U836" s="67" t="n"/>
      <c r="V836" s="67" t="n"/>
      <c r="W836" s="67" t="n"/>
      <c r="X836" s="67" t="n"/>
      <c r="Y836" s="67" t="n"/>
      <c r="Z836" s="67" t="n"/>
      <c r="AA836" s="67" t="n"/>
      <c r="AB836" s="67" t="n"/>
    </row>
    <row r="837" ht="15.75" customHeight="1" s="305">
      <c r="A837" s="67" t="n"/>
      <c r="B837" s="67" t="n"/>
      <c r="C837" s="67" t="n"/>
      <c r="D837" s="67" t="n"/>
      <c r="E837" s="67" t="n"/>
      <c r="F837" s="67" t="inlineStr"/>
      <c r="G837" s="67" t="n"/>
      <c r="H837" t="inlineStr"/>
      <c r="I837" s="67" t="n"/>
      <c r="J837" s="67" t="n"/>
      <c r="K837" s="67" t="n"/>
      <c r="L837" s="67" t="n"/>
      <c r="M837" s="67" t="n"/>
      <c r="N837" s="67" t="n"/>
      <c r="O837" s="67" t="n"/>
      <c r="P837" s="67" t="n"/>
      <c r="Q837" s="67" t="n"/>
      <c r="R837" s="67" t="n"/>
      <c r="S837" s="67" t="n"/>
      <c r="T837" s="67" t="n"/>
      <c r="U837" s="67" t="n"/>
      <c r="V837" s="67" t="n"/>
      <c r="W837" s="67" t="n"/>
      <c r="X837" s="67" t="n"/>
      <c r="Y837" s="67" t="n"/>
      <c r="Z837" s="67" t="n"/>
      <c r="AA837" s="67" t="n"/>
      <c r="AB837" s="67" t="n"/>
    </row>
    <row r="838" ht="15.75" customHeight="1" s="305">
      <c r="A838" s="67" t="n"/>
      <c r="B838" s="67" t="n"/>
      <c r="C838" s="67" t="n"/>
      <c r="D838" s="67" t="n"/>
      <c r="E838" s="67" t="n"/>
      <c r="F838" s="67" t="inlineStr"/>
      <c r="G838" s="67" t="n"/>
      <c r="H838" t="inlineStr"/>
      <c r="I838" s="67" t="n"/>
      <c r="J838" s="67" t="n"/>
      <c r="K838" s="67" t="n"/>
      <c r="L838" s="67" t="n"/>
      <c r="M838" s="67" t="n"/>
      <c r="N838" s="67" t="n"/>
      <c r="O838" s="67" t="n"/>
      <c r="P838" s="67" t="n"/>
      <c r="Q838" s="67" t="n"/>
      <c r="R838" s="67" t="n"/>
      <c r="S838" s="67" t="n"/>
      <c r="T838" s="67" t="n"/>
      <c r="U838" s="67" t="n"/>
      <c r="V838" s="67" t="n"/>
      <c r="W838" s="67" t="n"/>
      <c r="X838" s="67" t="n"/>
      <c r="Y838" s="67" t="n"/>
      <c r="Z838" s="67" t="n"/>
      <c r="AA838" s="67" t="n"/>
      <c r="AB838" s="67" t="n"/>
    </row>
    <row r="839" ht="15.75" customHeight="1" s="305">
      <c r="A839" s="67" t="n"/>
      <c r="B839" s="67" t="n"/>
      <c r="C839" s="67" t="n"/>
      <c r="D839" s="67" t="n"/>
      <c r="E839" s="67" t="n"/>
      <c r="F839" s="67" t="inlineStr"/>
      <c r="G839" s="67" t="n"/>
      <c r="H839" t="inlineStr"/>
      <c r="I839" s="67" t="n"/>
      <c r="J839" s="67" t="n"/>
      <c r="K839" s="67" t="n"/>
      <c r="L839" s="67" t="n"/>
      <c r="M839" s="67" t="n"/>
      <c r="N839" s="67" t="n"/>
      <c r="O839" s="67" t="n"/>
      <c r="P839" s="67" t="n"/>
      <c r="Q839" s="67" t="n"/>
      <c r="R839" s="67" t="n"/>
      <c r="S839" s="67" t="n"/>
      <c r="T839" s="67" t="n"/>
      <c r="U839" s="67" t="n"/>
      <c r="V839" s="67" t="n"/>
      <c r="W839" s="67" t="n"/>
      <c r="X839" s="67" t="n"/>
      <c r="Y839" s="67" t="n"/>
      <c r="Z839" s="67" t="n"/>
      <c r="AA839" s="67" t="n"/>
      <c r="AB839" s="67" t="n"/>
    </row>
    <row r="840" ht="15.75" customHeight="1" s="305">
      <c r="A840" s="67" t="n"/>
      <c r="B840" s="67" t="n"/>
      <c r="C840" s="67" t="n"/>
      <c r="D840" s="67" t="n"/>
      <c r="E840" s="67" t="n"/>
      <c r="F840" s="67" t="inlineStr"/>
      <c r="G840" s="67" t="n"/>
      <c r="H840" t="inlineStr"/>
      <c r="I840" s="67" t="n"/>
      <c r="J840" s="67" t="n"/>
      <c r="K840" s="67" t="n"/>
      <c r="L840" s="67" t="n"/>
      <c r="M840" s="67" t="n"/>
      <c r="N840" s="67" t="n"/>
      <c r="O840" s="67" t="n"/>
      <c r="P840" s="67" t="n"/>
      <c r="Q840" s="67" t="n"/>
      <c r="R840" s="67" t="n"/>
      <c r="S840" s="67" t="n"/>
      <c r="T840" s="67" t="n"/>
      <c r="U840" s="67" t="n"/>
      <c r="V840" s="67" t="n"/>
      <c r="W840" s="67" t="n"/>
      <c r="X840" s="67" t="n"/>
      <c r="Y840" s="67" t="n"/>
      <c r="Z840" s="67" t="n"/>
      <c r="AA840" s="67" t="n"/>
      <c r="AB840" s="67" t="n"/>
    </row>
    <row r="841" ht="15.75" customHeight="1" s="305">
      <c r="A841" s="67" t="n"/>
      <c r="B841" s="67" t="n"/>
      <c r="C841" s="67" t="n"/>
      <c r="D841" s="67" t="n"/>
      <c r="E841" s="67" t="n"/>
      <c r="F841" s="67" t="inlineStr"/>
      <c r="G841" s="67" t="n"/>
      <c r="H841" t="inlineStr"/>
      <c r="I841" s="67" t="n"/>
      <c r="J841" s="67" t="n"/>
      <c r="K841" s="67" t="n"/>
      <c r="L841" s="67" t="n"/>
      <c r="M841" s="67" t="n"/>
      <c r="N841" s="67" t="n"/>
      <c r="O841" s="67" t="n"/>
      <c r="P841" s="67" t="n"/>
      <c r="Q841" s="67" t="n"/>
      <c r="R841" s="67" t="n"/>
      <c r="S841" s="67" t="n"/>
      <c r="T841" s="67" t="n"/>
      <c r="U841" s="67" t="n"/>
      <c r="V841" s="67" t="n"/>
      <c r="W841" s="67" t="n"/>
      <c r="X841" s="67" t="n"/>
      <c r="Y841" s="67" t="n"/>
      <c r="Z841" s="67" t="n"/>
      <c r="AA841" s="67" t="n"/>
      <c r="AB841" s="67" t="n"/>
    </row>
    <row r="842" ht="15.75" customHeight="1" s="305">
      <c r="A842" s="67" t="n"/>
      <c r="B842" s="67" t="n"/>
      <c r="C842" s="67" t="n"/>
      <c r="D842" s="67" t="n"/>
      <c r="E842" s="67" t="n"/>
      <c r="F842" s="67" t="inlineStr"/>
      <c r="G842" s="67" t="n"/>
      <c r="H842" t="inlineStr"/>
      <c r="I842" s="67" t="n"/>
      <c r="J842" s="67" t="n"/>
      <c r="K842" s="67" t="n"/>
      <c r="L842" s="67" t="n"/>
      <c r="M842" s="67" t="n"/>
      <c r="N842" s="67" t="n"/>
      <c r="O842" s="67" t="n"/>
      <c r="P842" s="67" t="n"/>
      <c r="Q842" s="67" t="n"/>
      <c r="R842" s="67" t="n"/>
      <c r="S842" s="67" t="n"/>
      <c r="T842" s="67" t="n"/>
      <c r="U842" s="67" t="n"/>
      <c r="V842" s="67" t="n"/>
      <c r="W842" s="67" t="n"/>
      <c r="X842" s="67" t="n"/>
      <c r="Y842" s="67" t="n"/>
      <c r="Z842" s="67" t="n"/>
      <c r="AA842" s="67" t="n"/>
      <c r="AB842" s="67" t="n"/>
    </row>
    <row r="843" ht="15.75" customHeight="1" s="305">
      <c r="A843" s="67" t="n"/>
      <c r="B843" s="67" t="n"/>
      <c r="C843" s="67" t="n"/>
      <c r="D843" s="67" t="n"/>
      <c r="E843" s="67" t="n"/>
      <c r="F843" s="67" t="inlineStr"/>
      <c r="G843" s="67" t="n"/>
      <c r="H843" t="inlineStr"/>
      <c r="I843" s="67" t="n"/>
      <c r="J843" s="67" t="n"/>
      <c r="K843" s="67" t="n"/>
      <c r="L843" s="67" t="n"/>
      <c r="M843" s="67" t="n"/>
      <c r="N843" s="67" t="n"/>
      <c r="O843" s="67" t="n"/>
      <c r="P843" s="67" t="n"/>
      <c r="Q843" s="67" t="n"/>
      <c r="R843" s="67" t="n"/>
      <c r="S843" s="67" t="n"/>
      <c r="T843" s="67" t="n"/>
      <c r="U843" s="67" t="n"/>
      <c r="V843" s="67" t="n"/>
      <c r="W843" s="67" t="n"/>
      <c r="X843" s="67" t="n"/>
      <c r="Y843" s="67" t="n"/>
      <c r="Z843" s="67" t="n"/>
      <c r="AA843" s="67" t="n"/>
      <c r="AB843" s="67" t="n"/>
    </row>
    <row r="844" ht="15.75" customHeight="1" s="305">
      <c r="A844" s="67" t="n"/>
      <c r="B844" s="67" t="n"/>
      <c r="C844" s="67" t="n"/>
      <c r="D844" s="67" t="n"/>
      <c r="E844" s="67" t="n"/>
      <c r="F844" s="67" t="inlineStr"/>
      <c r="G844" s="67" t="n"/>
      <c r="H844" t="inlineStr"/>
      <c r="I844" s="67" t="n"/>
      <c r="J844" s="67" t="n"/>
      <c r="K844" s="67" t="n"/>
      <c r="L844" s="67" t="n"/>
      <c r="M844" s="67" t="n"/>
      <c r="N844" s="67" t="n"/>
      <c r="O844" s="67" t="n"/>
      <c r="P844" s="67" t="n"/>
      <c r="Q844" s="67" t="n"/>
      <c r="R844" s="67" t="n"/>
      <c r="S844" s="67" t="n"/>
      <c r="T844" s="67" t="n"/>
      <c r="U844" s="67" t="n"/>
      <c r="V844" s="67" t="n"/>
      <c r="W844" s="67" t="n"/>
      <c r="X844" s="67" t="n"/>
      <c r="Y844" s="67" t="n"/>
      <c r="Z844" s="67" t="n"/>
      <c r="AA844" s="67" t="n"/>
      <c r="AB844" s="67" t="n"/>
    </row>
    <row r="845" ht="15.75" customHeight="1" s="305">
      <c r="A845" s="67" t="n"/>
      <c r="B845" s="67" t="n"/>
      <c r="C845" s="67" t="n"/>
      <c r="D845" s="67" t="n"/>
      <c r="E845" s="67" t="n"/>
      <c r="F845" s="67" t="inlineStr"/>
      <c r="G845" s="67" t="n"/>
      <c r="H845" t="inlineStr"/>
      <c r="I845" s="67" t="n"/>
      <c r="J845" s="67" t="n"/>
      <c r="K845" s="67" t="n"/>
      <c r="L845" s="67" t="n"/>
      <c r="M845" s="67" t="n"/>
      <c r="N845" s="67" t="n"/>
      <c r="O845" s="67" t="n"/>
      <c r="P845" s="67" t="n"/>
      <c r="Q845" s="67" t="n"/>
      <c r="R845" s="67" t="n"/>
      <c r="S845" s="67" t="n"/>
      <c r="T845" s="67" t="n"/>
      <c r="U845" s="67" t="n"/>
      <c r="V845" s="67" t="n"/>
      <c r="W845" s="67" t="n"/>
      <c r="X845" s="67" t="n"/>
      <c r="Y845" s="67" t="n"/>
      <c r="Z845" s="67" t="n"/>
      <c r="AA845" s="67" t="n"/>
      <c r="AB845" s="67" t="n"/>
    </row>
    <row r="846" ht="15.75" customHeight="1" s="305">
      <c r="A846" s="67" t="n"/>
      <c r="B846" s="67" t="n"/>
      <c r="C846" s="67" t="n"/>
      <c r="D846" s="67" t="n"/>
      <c r="E846" s="67" t="n"/>
      <c r="F846" s="67" t="inlineStr"/>
      <c r="G846" s="67" t="n"/>
      <c r="H846" t="inlineStr"/>
      <c r="I846" s="67" t="n"/>
      <c r="J846" s="67" t="n"/>
      <c r="K846" s="67" t="n"/>
      <c r="L846" s="67" t="n"/>
      <c r="M846" s="67" t="n"/>
      <c r="N846" s="67" t="n"/>
      <c r="O846" s="67" t="n"/>
      <c r="P846" s="67" t="n"/>
      <c r="Q846" s="67" t="n"/>
      <c r="R846" s="67" t="n"/>
      <c r="S846" s="67" t="n"/>
      <c r="T846" s="67" t="n"/>
      <c r="U846" s="67" t="n"/>
      <c r="V846" s="67" t="n"/>
      <c r="W846" s="67" t="n"/>
      <c r="X846" s="67" t="n"/>
      <c r="Y846" s="67" t="n"/>
      <c r="Z846" s="67" t="n"/>
      <c r="AA846" s="67" t="n"/>
      <c r="AB846" s="67" t="n"/>
    </row>
    <row r="847" ht="15.75" customHeight="1" s="305">
      <c r="A847" s="67" t="n"/>
      <c r="B847" s="67" t="n"/>
      <c r="C847" s="67" t="n"/>
      <c r="D847" s="67" t="n"/>
      <c r="E847" s="67" t="n"/>
      <c r="F847" s="67" t="inlineStr"/>
      <c r="G847" s="67" t="n"/>
      <c r="H847" t="inlineStr"/>
      <c r="I847" s="67" t="n"/>
      <c r="J847" s="67" t="n"/>
      <c r="K847" s="67" t="n"/>
      <c r="L847" s="67" t="n"/>
      <c r="M847" s="67" t="n"/>
      <c r="N847" s="67" t="n"/>
      <c r="O847" s="67" t="n"/>
      <c r="P847" s="67" t="n"/>
      <c r="Q847" s="67" t="n"/>
      <c r="R847" s="67" t="n"/>
      <c r="S847" s="67" t="n"/>
      <c r="T847" s="67" t="n"/>
      <c r="U847" s="67" t="n"/>
      <c r="V847" s="67" t="n"/>
      <c r="W847" s="67" t="n"/>
      <c r="X847" s="67" t="n"/>
      <c r="Y847" s="67" t="n"/>
      <c r="Z847" s="67" t="n"/>
      <c r="AA847" s="67" t="n"/>
      <c r="AB847" s="67" t="n"/>
    </row>
    <row r="848" ht="15.75" customHeight="1" s="305">
      <c r="A848" s="67" t="n"/>
      <c r="B848" s="67" t="n"/>
      <c r="C848" s="67" t="n"/>
      <c r="D848" s="67" t="n"/>
      <c r="E848" s="67" t="n"/>
      <c r="F848" s="67" t="inlineStr"/>
      <c r="G848" s="67" t="n"/>
      <c r="H848" t="inlineStr"/>
      <c r="I848" s="67" t="n"/>
      <c r="J848" s="67" t="n"/>
      <c r="K848" s="67" t="n"/>
      <c r="L848" s="67" t="n"/>
      <c r="M848" s="67" t="n"/>
      <c r="N848" s="67" t="n"/>
      <c r="O848" s="67" t="n"/>
      <c r="P848" s="67" t="n"/>
      <c r="Q848" s="67" t="n"/>
      <c r="R848" s="67" t="n"/>
      <c r="S848" s="67" t="n"/>
      <c r="T848" s="67" t="n"/>
      <c r="U848" s="67" t="n"/>
      <c r="V848" s="67" t="n"/>
      <c r="W848" s="67" t="n"/>
      <c r="X848" s="67" t="n"/>
      <c r="Y848" s="67" t="n"/>
      <c r="Z848" s="67" t="n"/>
      <c r="AA848" s="67" t="n"/>
      <c r="AB848" s="67" t="n"/>
    </row>
    <row r="849" ht="15.75" customHeight="1" s="305">
      <c r="A849" s="67" t="n"/>
      <c r="B849" s="67" t="n"/>
      <c r="C849" s="67" t="n"/>
      <c r="D849" s="67" t="n"/>
      <c r="E849" s="67" t="n"/>
      <c r="F849" s="67" t="inlineStr"/>
      <c r="G849" s="67" t="n"/>
      <c r="H849" t="inlineStr"/>
      <c r="I849" s="67" t="n"/>
      <c r="J849" s="67" t="n"/>
      <c r="K849" s="67" t="n"/>
      <c r="L849" s="67" t="n"/>
      <c r="M849" s="67" t="n"/>
      <c r="N849" s="67" t="n"/>
      <c r="O849" s="67" t="n"/>
      <c r="P849" s="67" t="n"/>
      <c r="Q849" s="67" t="n"/>
      <c r="R849" s="67" t="n"/>
      <c r="S849" s="67" t="n"/>
      <c r="T849" s="67" t="n"/>
      <c r="U849" s="67" t="n"/>
      <c r="V849" s="67" t="n"/>
      <c r="W849" s="67" t="n"/>
      <c r="X849" s="67" t="n"/>
      <c r="Y849" s="67" t="n"/>
      <c r="Z849" s="67" t="n"/>
      <c r="AA849" s="67" t="n"/>
      <c r="AB849" s="67" t="n"/>
    </row>
    <row r="850" ht="15.75" customHeight="1" s="305">
      <c r="A850" s="67" t="n"/>
      <c r="B850" s="67" t="n"/>
      <c r="C850" s="67" t="n"/>
      <c r="D850" s="67" t="n"/>
      <c r="E850" s="67" t="n"/>
      <c r="F850" s="67" t="inlineStr"/>
      <c r="G850" s="67" t="n"/>
      <c r="H850" t="inlineStr"/>
      <c r="I850" s="67" t="n"/>
      <c r="J850" s="67" t="n"/>
      <c r="K850" s="67" t="n"/>
      <c r="L850" s="67" t="n"/>
      <c r="M850" s="67" t="n"/>
      <c r="N850" s="67" t="n"/>
      <c r="O850" s="67" t="n"/>
      <c r="P850" s="67" t="n"/>
      <c r="Q850" s="67" t="n"/>
      <c r="R850" s="67" t="n"/>
      <c r="S850" s="67" t="n"/>
      <c r="T850" s="67" t="n"/>
      <c r="U850" s="67" t="n"/>
      <c r="V850" s="67" t="n"/>
      <c r="W850" s="67" t="n"/>
      <c r="X850" s="67" t="n"/>
      <c r="Y850" s="67" t="n"/>
      <c r="Z850" s="67" t="n"/>
      <c r="AA850" s="67" t="n"/>
      <c r="AB850" s="67" t="n"/>
    </row>
    <row r="851" ht="15.75" customHeight="1" s="305">
      <c r="A851" s="67" t="n"/>
      <c r="B851" s="67" t="n"/>
      <c r="C851" s="67" t="n"/>
      <c r="D851" s="67" t="n"/>
      <c r="E851" s="67" t="n"/>
      <c r="F851" s="67" t="inlineStr"/>
      <c r="G851" s="67" t="n"/>
      <c r="H851" t="inlineStr"/>
      <c r="I851" s="67" t="n"/>
      <c r="J851" s="67" t="n"/>
      <c r="K851" s="67" t="n"/>
      <c r="L851" s="67" t="n"/>
      <c r="M851" s="67" t="n"/>
      <c r="N851" s="67" t="n"/>
      <c r="O851" s="67" t="n"/>
      <c r="P851" s="67" t="n"/>
      <c r="Q851" s="67" t="n"/>
      <c r="R851" s="67" t="n"/>
      <c r="S851" s="67" t="n"/>
      <c r="T851" s="67" t="n"/>
      <c r="U851" s="67" t="n"/>
      <c r="V851" s="67" t="n"/>
      <c r="W851" s="67" t="n"/>
      <c r="X851" s="67" t="n"/>
      <c r="Y851" s="67" t="n"/>
      <c r="Z851" s="67" t="n"/>
      <c r="AA851" s="67" t="n"/>
      <c r="AB851" s="67" t="n"/>
    </row>
    <row r="852" ht="15.75" customHeight="1" s="305">
      <c r="A852" s="67" t="n"/>
      <c r="B852" s="67" t="n"/>
      <c r="C852" s="67" t="n"/>
      <c r="D852" s="67" t="n"/>
      <c r="E852" s="67" t="n"/>
      <c r="F852" s="67" t="inlineStr"/>
      <c r="G852" s="67" t="n"/>
      <c r="H852" t="inlineStr"/>
      <c r="I852" s="67" t="n"/>
      <c r="J852" s="67" t="n"/>
      <c r="K852" s="67" t="n"/>
      <c r="L852" s="67" t="n"/>
      <c r="M852" s="67" t="n"/>
      <c r="N852" s="67" t="n"/>
      <c r="O852" s="67" t="n"/>
      <c r="P852" s="67" t="n"/>
      <c r="Q852" s="67" t="n"/>
      <c r="R852" s="67" t="n"/>
      <c r="S852" s="67" t="n"/>
      <c r="T852" s="67" t="n"/>
      <c r="U852" s="67" t="n"/>
      <c r="V852" s="67" t="n"/>
      <c r="W852" s="67" t="n"/>
      <c r="X852" s="67" t="n"/>
      <c r="Y852" s="67" t="n"/>
      <c r="Z852" s="67" t="n"/>
      <c r="AA852" s="67" t="n"/>
      <c r="AB852" s="67" t="n"/>
    </row>
    <row r="853" ht="15.75" customHeight="1" s="305">
      <c r="A853" s="67" t="n"/>
      <c r="B853" s="67" t="n"/>
      <c r="C853" s="67" t="n"/>
      <c r="D853" s="67" t="n"/>
      <c r="E853" s="67" t="n"/>
      <c r="F853" s="67" t="inlineStr"/>
      <c r="G853" s="67" t="n"/>
      <c r="H853" t="inlineStr"/>
      <c r="I853" s="67" t="n"/>
      <c r="J853" s="67" t="n"/>
      <c r="K853" s="67" t="n"/>
      <c r="L853" s="67" t="n"/>
      <c r="M853" s="67" t="n"/>
      <c r="N853" s="67" t="n"/>
      <c r="O853" s="67" t="n"/>
      <c r="P853" s="67" t="n"/>
      <c r="Q853" s="67" t="n"/>
      <c r="R853" s="67" t="n"/>
      <c r="S853" s="67" t="n"/>
      <c r="T853" s="67" t="n"/>
      <c r="U853" s="67" t="n"/>
      <c r="V853" s="67" t="n"/>
      <c r="W853" s="67" t="n"/>
      <c r="X853" s="67" t="n"/>
      <c r="Y853" s="67" t="n"/>
      <c r="Z853" s="67" t="n"/>
      <c r="AA853" s="67" t="n"/>
      <c r="AB853" s="67" t="n"/>
    </row>
    <row r="854" ht="15.75" customHeight="1" s="305">
      <c r="A854" s="67" t="n"/>
      <c r="B854" s="67" t="n"/>
      <c r="C854" s="67" t="n"/>
      <c r="D854" s="67" t="n"/>
      <c r="E854" s="67" t="n"/>
      <c r="F854" s="67" t="inlineStr"/>
      <c r="G854" s="67" t="n"/>
      <c r="H854" t="inlineStr"/>
      <c r="I854" s="67" t="n"/>
      <c r="J854" s="67" t="n"/>
      <c r="K854" s="67" t="n"/>
      <c r="L854" s="67" t="n"/>
      <c r="M854" s="67" t="n"/>
      <c r="N854" s="67" t="n"/>
      <c r="O854" s="67" t="n"/>
      <c r="P854" s="67" t="n"/>
      <c r="Q854" s="67" t="n"/>
      <c r="R854" s="67" t="n"/>
      <c r="S854" s="67" t="n"/>
      <c r="T854" s="67" t="n"/>
      <c r="U854" s="67" t="n"/>
      <c r="V854" s="67" t="n"/>
      <c r="W854" s="67" t="n"/>
      <c r="X854" s="67" t="n"/>
      <c r="Y854" s="67" t="n"/>
      <c r="Z854" s="67" t="n"/>
      <c r="AA854" s="67" t="n"/>
      <c r="AB854" s="67" t="n"/>
    </row>
    <row r="855" ht="15.75" customHeight="1" s="305">
      <c r="A855" s="67" t="n"/>
      <c r="B855" s="67" t="n"/>
      <c r="C855" s="67" t="n"/>
      <c r="D855" s="67" t="n"/>
      <c r="E855" s="67" t="n"/>
      <c r="F855" s="67" t="inlineStr"/>
      <c r="G855" s="67" t="n"/>
      <c r="H855" t="inlineStr"/>
      <c r="I855" s="67" t="n"/>
      <c r="J855" s="67" t="n"/>
      <c r="K855" s="67" t="n"/>
      <c r="L855" s="67" t="n"/>
      <c r="M855" s="67" t="n"/>
      <c r="N855" s="67" t="n"/>
      <c r="O855" s="67" t="n"/>
      <c r="P855" s="67" t="n"/>
      <c r="Q855" s="67" t="n"/>
      <c r="R855" s="67" t="n"/>
      <c r="S855" s="67" t="n"/>
      <c r="T855" s="67" t="n"/>
      <c r="U855" s="67" t="n"/>
      <c r="V855" s="67" t="n"/>
      <c r="W855" s="67" t="n"/>
      <c r="X855" s="67" t="n"/>
      <c r="Y855" s="67" t="n"/>
      <c r="Z855" s="67" t="n"/>
      <c r="AA855" s="67" t="n"/>
      <c r="AB855" s="67" t="n"/>
    </row>
    <row r="856" ht="15.75" customHeight="1" s="305">
      <c r="A856" s="67" t="n"/>
      <c r="B856" s="67" t="n"/>
      <c r="C856" s="67" t="n"/>
      <c r="D856" s="67" t="n"/>
      <c r="E856" s="67" t="n"/>
      <c r="F856" s="67" t="inlineStr"/>
      <c r="G856" s="67" t="n"/>
      <c r="H856" t="inlineStr"/>
      <c r="I856" s="67" t="n"/>
      <c r="J856" s="67" t="n"/>
      <c r="K856" s="67" t="n"/>
      <c r="L856" s="67" t="n"/>
      <c r="M856" s="67" t="n"/>
      <c r="N856" s="67" t="n"/>
      <c r="O856" s="67" t="n"/>
      <c r="P856" s="67" t="n"/>
      <c r="Q856" s="67" t="n"/>
      <c r="R856" s="67" t="n"/>
      <c r="S856" s="67" t="n"/>
      <c r="T856" s="67" t="n"/>
      <c r="U856" s="67" t="n"/>
      <c r="V856" s="67" t="n"/>
      <c r="W856" s="67" t="n"/>
      <c r="X856" s="67" t="n"/>
      <c r="Y856" s="67" t="n"/>
      <c r="Z856" s="67" t="n"/>
      <c r="AA856" s="67" t="n"/>
      <c r="AB856" s="67" t="n"/>
    </row>
    <row r="857" ht="15.75" customHeight="1" s="305">
      <c r="A857" s="67" t="n"/>
      <c r="B857" s="67" t="n"/>
      <c r="C857" s="67" t="n"/>
      <c r="D857" s="67" t="n"/>
      <c r="E857" s="67" t="n"/>
      <c r="F857" s="67" t="inlineStr"/>
      <c r="G857" s="67" t="n"/>
      <c r="H857" t="inlineStr"/>
      <c r="I857" s="67" t="n"/>
      <c r="J857" s="67" t="n"/>
      <c r="K857" s="67" t="n"/>
      <c r="L857" s="67" t="n"/>
      <c r="M857" s="67" t="n"/>
      <c r="N857" s="67" t="n"/>
      <c r="O857" s="67" t="n"/>
      <c r="P857" s="67" t="n"/>
      <c r="Q857" s="67" t="n"/>
      <c r="R857" s="67" t="n"/>
      <c r="S857" s="67" t="n"/>
      <c r="T857" s="67" t="n"/>
      <c r="U857" s="67" t="n"/>
      <c r="V857" s="67" t="n"/>
      <c r="W857" s="67" t="n"/>
      <c r="X857" s="67" t="n"/>
      <c r="Y857" s="67" t="n"/>
      <c r="Z857" s="67" t="n"/>
      <c r="AA857" s="67" t="n"/>
      <c r="AB857" s="67" t="n"/>
    </row>
    <row r="858" ht="15.75" customHeight="1" s="305">
      <c r="A858" s="67" t="n"/>
      <c r="B858" s="67" t="n"/>
      <c r="C858" s="67" t="n"/>
      <c r="D858" s="67" t="n"/>
      <c r="E858" s="67" t="n"/>
      <c r="F858" s="67" t="inlineStr"/>
      <c r="G858" s="67" t="n"/>
      <c r="H858" t="inlineStr"/>
      <c r="I858" s="67" t="n"/>
      <c r="J858" s="67" t="n"/>
      <c r="K858" s="67" t="n"/>
      <c r="L858" s="67" t="n"/>
      <c r="M858" s="67" t="n"/>
      <c r="N858" s="67" t="n"/>
      <c r="O858" s="67" t="n"/>
      <c r="P858" s="67" t="n"/>
      <c r="Q858" s="67" t="n"/>
      <c r="R858" s="67" t="n"/>
      <c r="S858" s="67" t="n"/>
      <c r="T858" s="67" t="n"/>
      <c r="U858" s="67" t="n"/>
      <c r="V858" s="67" t="n"/>
      <c r="W858" s="67" t="n"/>
      <c r="X858" s="67" t="n"/>
      <c r="Y858" s="67" t="n"/>
      <c r="Z858" s="67" t="n"/>
      <c r="AA858" s="67" t="n"/>
      <c r="AB858" s="67" t="n"/>
    </row>
    <row r="859" ht="15.75" customHeight="1" s="305">
      <c r="A859" s="67" t="n"/>
      <c r="B859" s="67" t="n"/>
      <c r="C859" s="67" t="n"/>
      <c r="D859" s="67" t="n"/>
      <c r="E859" s="67" t="n"/>
      <c r="F859" s="67" t="inlineStr"/>
      <c r="G859" s="67" t="n"/>
      <c r="H859" t="inlineStr"/>
      <c r="I859" s="67" t="n"/>
      <c r="J859" s="67" t="n"/>
      <c r="K859" s="67" t="n"/>
      <c r="L859" s="67" t="n"/>
      <c r="M859" s="67" t="n"/>
      <c r="N859" s="67" t="n"/>
      <c r="O859" s="67" t="n"/>
      <c r="P859" s="67" t="n"/>
      <c r="Q859" s="67" t="n"/>
      <c r="R859" s="67" t="n"/>
      <c r="S859" s="67" t="n"/>
      <c r="T859" s="67" t="n"/>
      <c r="U859" s="67" t="n"/>
      <c r="V859" s="67" t="n"/>
      <c r="W859" s="67" t="n"/>
      <c r="X859" s="67" t="n"/>
      <c r="Y859" s="67" t="n"/>
      <c r="Z859" s="67" t="n"/>
      <c r="AA859" s="67" t="n"/>
      <c r="AB859" s="67" t="n"/>
    </row>
    <row r="860" ht="15.75" customHeight="1" s="305">
      <c r="A860" s="67" t="n"/>
      <c r="B860" s="67" t="n"/>
      <c r="C860" s="67" t="n"/>
      <c r="D860" s="67" t="n"/>
      <c r="E860" s="67" t="n"/>
      <c r="F860" s="67" t="inlineStr"/>
      <c r="G860" s="67" t="n"/>
      <c r="H860" t="inlineStr"/>
      <c r="I860" s="67" t="n"/>
      <c r="J860" s="67" t="n"/>
      <c r="K860" s="67" t="n"/>
      <c r="L860" s="67" t="n"/>
      <c r="M860" s="67" t="n"/>
      <c r="N860" s="67" t="n"/>
      <c r="O860" s="67" t="n"/>
      <c r="P860" s="67" t="n"/>
      <c r="Q860" s="67" t="n"/>
      <c r="R860" s="67" t="n"/>
      <c r="S860" s="67" t="n"/>
      <c r="T860" s="67" t="n"/>
      <c r="U860" s="67" t="n"/>
      <c r="V860" s="67" t="n"/>
      <c r="W860" s="67" t="n"/>
      <c r="X860" s="67" t="n"/>
      <c r="Y860" s="67" t="n"/>
      <c r="Z860" s="67" t="n"/>
      <c r="AA860" s="67" t="n"/>
      <c r="AB860" s="67" t="n"/>
    </row>
    <row r="861" ht="15.75" customHeight="1" s="305">
      <c r="A861" s="67" t="n"/>
      <c r="B861" s="67" t="n"/>
      <c r="C861" s="67" t="n"/>
      <c r="D861" s="67" t="n"/>
      <c r="E861" s="67" t="n"/>
      <c r="F861" s="67" t="inlineStr"/>
      <c r="G861" s="67" t="n"/>
      <c r="H861" t="inlineStr"/>
      <c r="I861" s="67" t="n"/>
      <c r="J861" s="67" t="n"/>
      <c r="K861" s="67" t="n"/>
      <c r="L861" s="67" t="n"/>
      <c r="M861" s="67" t="n"/>
      <c r="N861" s="67" t="n"/>
      <c r="O861" s="67" t="n"/>
      <c r="P861" s="67" t="n"/>
      <c r="Q861" s="67" t="n"/>
      <c r="R861" s="67" t="n"/>
      <c r="S861" s="67" t="n"/>
      <c r="T861" s="67" t="n"/>
      <c r="U861" s="67" t="n"/>
      <c r="V861" s="67" t="n"/>
      <c r="W861" s="67" t="n"/>
      <c r="X861" s="67" t="n"/>
      <c r="Y861" s="67" t="n"/>
      <c r="Z861" s="67" t="n"/>
      <c r="AA861" s="67" t="n"/>
      <c r="AB861" s="67" t="n"/>
    </row>
    <row r="862" ht="15.75" customHeight="1" s="305">
      <c r="A862" s="67" t="n"/>
      <c r="B862" s="67" t="n"/>
      <c r="C862" s="67" t="n"/>
      <c r="D862" s="67" t="n"/>
      <c r="E862" s="67" t="n"/>
      <c r="F862" s="67" t="inlineStr"/>
      <c r="G862" s="67" t="n"/>
      <c r="H862" t="inlineStr"/>
      <c r="I862" s="67" t="n"/>
      <c r="J862" s="67" t="n"/>
      <c r="K862" s="67" t="n"/>
      <c r="L862" s="67" t="n"/>
      <c r="M862" s="67" t="n"/>
      <c r="N862" s="67" t="n"/>
      <c r="O862" s="67" t="n"/>
      <c r="P862" s="67" t="n"/>
      <c r="Q862" s="67" t="n"/>
      <c r="R862" s="67" t="n"/>
      <c r="S862" s="67" t="n"/>
      <c r="T862" s="67" t="n"/>
      <c r="U862" s="67" t="n"/>
      <c r="V862" s="67" t="n"/>
      <c r="W862" s="67" t="n"/>
      <c r="X862" s="67" t="n"/>
      <c r="Y862" s="67" t="n"/>
      <c r="Z862" s="67" t="n"/>
      <c r="AA862" s="67" t="n"/>
      <c r="AB862" s="67" t="n"/>
    </row>
    <row r="863" ht="15.75" customHeight="1" s="305">
      <c r="A863" s="67" t="n"/>
      <c r="B863" s="67" t="n"/>
      <c r="C863" s="67" t="n"/>
      <c r="D863" s="67" t="n"/>
      <c r="E863" s="67" t="n"/>
      <c r="F863" s="67" t="inlineStr"/>
      <c r="G863" s="67" t="n"/>
      <c r="H863" t="inlineStr"/>
      <c r="I863" s="67" t="n"/>
      <c r="J863" s="67" t="n"/>
      <c r="K863" s="67" t="n"/>
      <c r="L863" s="67" t="n"/>
      <c r="M863" s="67" t="n"/>
      <c r="N863" s="67" t="n"/>
      <c r="O863" s="67" t="n"/>
      <c r="P863" s="67" t="n"/>
      <c r="Q863" s="67" t="n"/>
      <c r="R863" s="67" t="n"/>
      <c r="S863" s="67" t="n"/>
      <c r="T863" s="67" t="n"/>
      <c r="U863" s="67" t="n"/>
      <c r="V863" s="67" t="n"/>
      <c r="W863" s="67" t="n"/>
      <c r="X863" s="67" t="n"/>
      <c r="Y863" s="67" t="n"/>
      <c r="Z863" s="67" t="n"/>
      <c r="AA863" s="67" t="n"/>
      <c r="AB863" s="67" t="n"/>
    </row>
    <row r="864" ht="15.75" customHeight="1" s="305">
      <c r="A864" s="67" t="n"/>
      <c r="B864" s="67" t="n"/>
      <c r="C864" s="67" t="n"/>
      <c r="D864" s="67" t="n"/>
      <c r="E864" s="67" t="n"/>
      <c r="F864" s="67" t="inlineStr"/>
      <c r="G864" s="67" t="n"/>
      <c r="H864" t="inlineStr"/>
      <c r="I864" s="67" t="n"/>
      <c r="J864" s="67" t="n"/>
      <c r="K864" s="67" t="n"/>
      <c r="L864" s="67" t="n"/>
      <c r="M864" s="67" t="n"/>
      <c r="N864" s="67" t="n"/>
      <c r="O864" s="67" t="n"/>
      <c r="P864" s="67" t="n"/>
      <c r="Q864" s="67" t="n"/>
      <c r="R864" s="67" t="n"/>
      <c r="S864" s="67" t="n"/>
      <c r="T864" s="67" t="n"/>
      <c r="U864" s="67" t="n"/>
      <c r="V864" s="67" t="n"/>
      <c r="W864" s="67" t="n"/>
      <c r="X864" s="67" t="n"/>
      <c r="Y864" s="67" t="n"/>
      <c r="Z864" s="67" t="n"/>
      <c r="AA864" s="67" t="n"/>
      <c r="AB864" s="67" t="n"/>
    </row>
    <row r="865" ht="15.75" customHeight="1" s="305">
      <c r="A865" s="67" t="n"/>
      <c r="B865" s="67" t="n"/>
      <c r="C865" s="67" t="n"/>
      <c r="D865" s="67" t="n"/>
      <c r="E865" s="67" t="n"/>
      <c r="F865" s="67" t="inlineStr"/>
      <c r="G865" s="67" t="n"/>
      <c r="H865" t="inlineStr"/>
      <c r="I865" s="67" t="n"/>
      <c r="J865" s="67" t="n"/>
      <c r="K865" s="67" t="n"/>
      <c r="L865" s="67" t="n"/>
      <c r="M865" s="67" t="n"/>
      <c r="N865" s="67" t="n"/>
      <c r="O865" s="67" t="n"/>
      <c r="P865" s="67" t="n"/>
      <c r="Q865" s="67" t="n"/>
      <c r="R865" s="67" t="n"/>
      <c r="S865" s="67" t="n"/>
      <c r="T865" s="67" t="n"/>
      <c r="U865" s="67" t="n"/>
      <c r="V865" s="67" t="n"/>
      <c r="W865" s="67" t="n"/>
      <c r="X865" s="67" t="n"/>
      <c r="Y865" s="67" t="n"/>
      <c r="Z865" s="67" t="n"/>
      <c r="AA865" s="67" t="n"/>
      <c r="AB865" s="67" t="n"/>
    </row>
    <row r="866" ht="15.75" customHeight="1" s="305">
      <c r="A866" s="67" t="n"/>
      <c r="B866" s="67" t="n"/>
      <c r="C866" s="67" t="n"/>
      <c r="D866" s="67" t="n"/>
      <c r="E866" s="67" t="n"/>
      <c r="F866" s="67" t="inlineStr"/>
      <c r="G866" s="67" t="n"/>
      <c r="H866" t="inlineStr"/>
      <c r="I866" s="67" t="n"/>
      <c r="J866" s="67" t="n"/>
      <c r="K866" s="67" t="n"/>
      <c r="L866" s="67" t="n"/>
      <c r="M866" s="67" t="n"/>
      <c r="N866" s="67" t="n"/>
      <c r="O866" s="67" t="n"/>
      <c r="P866" s="67" t="n"/>
      <c r="Q866" s="67" t="n"/>
      <c r="R866" s="67" t="n"/>
      <c r="S866" s="67" t="n"/>
      <c r="T866" s="67" t="n"/>
      <c r="U866" s="67" t="n"/>
      <c r="V866" s="67" t="n"/>
      <c r="W866" s="67" t="n"/>
      <c r="X866" s="67" t="n"/>
      <c r="Y866" s="67" t="n"/>
      <c r="Z866" s="67" t="n"/>
      <c r="AA866" s="67" t="n"/>
      <c r="AB866" s="67" t="n"/>
    </row>
    <row r="867" ht="15.75" customHeight="1" s="305">
      <c r="A867" s="67" t="n"/>
      <c r="B867" s="67" t="n"/>
      <c r="C867" s="67" t="n"/>
      <c r="D867" s="67" t="n"/>
      <c r="E867" s="67" t="n"/>
      <c r="F867" s="67" t="inlineStr"/>
      <c r="G867" s="67" t="n"/>
      <c r="H867" t="inlineStr"/>
      <c r="I867" s="67" t="n"/>
      <c r="J867" s="67" t="n"/>
      <c r="K867" s="67" t="n"/>
      <c r="L867" s="67" t="n"/>
      <c r="M867" s="67" t="n"/>
      <c r="N867" s="67" t="n"/>
      <c r="O867" s="67" t="n"/>
      <c r="P867" s="67" t="n"/>
      <c r="Q867" s="67" t="n"/>
      <c r="R867" s="67" t="n"/>
      <c r="S867" s="67" t="n"/>
      <c r="T867" s="67" t="n"/>
      <c r="U867" s="67" t="n"/>
      <c r="V867" s="67" t="n"/>
      <c r="W867" s="67" t="n"/>
      <c r="X867" s="67" t="n"/>
      <c r="Y867" s="67" t="n"/>
      <c r="Z867" s="67" t="n"/>
      <c r="AA867" s="67" t="n"/>
      <c r="AB867" s="67" t="n"/>
    </row>
    <row r="868" ht="15.75" customHeight="1" s="305">
      <c r="A868" s="67" t="n"/>
      <c r="B868" s="67" t="n"/>
      <c r="C868" s="67" t="n"/>
      <c r="D868" s="67" t="n"/>
      <c r="E868" s="67" t="n"/>
      <c r="F868" s="67" t="inlineStr"/>
      <c r="G868" s="67" t="n"/>
      <c r="H868" t="inlineStr"/>
      <c r="I868" s="67" t="n"/>
      <c r="J868" s="67" t="n"/>
      <c r="K868" s="67" t="n"/>
      <c r="L868" s="67" t="n"/>
      <c r="M868" s="67" t="n"/>
      <c r="N868" s="67" t="n"/>
      <c r="O868" s="67" t="n"/>
      <c r="P868" s="67" t="n"/>
      <c r="Q868" s="67" t="n"/>
      <c r="R868" s="67" t="n"/>
      <c r="S868" s="67" t="n"/>
      <c r="T868" s="67" t="n"/>
      <c r="U868" s="67" t="n"/>
      <c r="V868" s="67" t="n"/>
      <c r="W868" s="67" t="n"/>
      <c r="X868" s="67" t="n"/>
      <c r="Y868" s="67" t="n"/>
      <c r="Z868" s="67" t="n"/>
      <c r="AA868" s="67" t="n"/>
      <c r="AB868" s="67" t="n"/>
    </row>
    <row r="869" ht="15.75" customHeight="1" s="305">
      <c r="A869" s="67" t="n"/>
      <c r="B869" s="67" t="n"/>
      <c r="C869" s="67" t="n"/>
      <c r="D869" s="67" t="n"/>
      <c r="E869" s="67" t="n"/>
      <c r="F869" s="67" t="inlineStr"/>
      <c r="G869" s="67" t="n"/>
      <c r="H869" t="inlineStr"/>
      <c r="I869" s="67" t="n"/>
      <c r="J869" s="67" t="n"/>
      <c r="K869" s="67" t="n"/>
      <c r="L869" s="67" t="n"/>
      <c r="M869" s="67" t="n"/>
      <c r="N869" s="67" t="n"/>
      <c r="O869" s="67" t="n"/>
      <c r="P869" s="67" t="n"/>
      <c r="Q869" s="67" t="n"/>
      <c r="R869" s="67" t="n"/>
      <c r="S869" s="67" t="n"/>
      <c r="T869" s="67" t="n"/>
      <c r="U869" s="67" t="n"/>
      <c r="V869" s="67" t="n"/>
      <c r="W869" s="67" t="n"/>
      <c r="X869" s="67" t="n"/>
      <c r="Y869" s="67" t="n"/>
      <c r="Z869" s="67" t="n"/>
      <c r="AA869" s="67" t="n"/>
      <c r="AB869" s="67" t="n"/>
    </row>
    <row r="870" ht="15.75" customHeight="1" s="305">
      <c r="A870" s="67" t="n"/>
      <c r="B870" s="67" t="n"/>
      <c r="C870" s="67" t="n"/>
      <c r="D870" s="67" t="n"/>
      <c r="E870" s="67" t="n"/>
      <c r="F870" s="67" t="inlineStr"/>
      <c r="G870" s="67" t="n"/>
      <c r="H870" t="inlineStr"/>
      <c r="I870" s="67" t="n"/>
      <c r="J870" s="67" t="n"/>
      <c r="K870" s="67" t="n"/>
      <c r="L870" s="67" t="n"/>
      <c r="M870" s="67" t="n"/>
      <c r="N870" s="67" t="n"/>
      <c r="O870" s="67" t="n"/>
      <c r="P870" s="67" t="n"/>
      <c r="Q870" s="67" t="n"/>
      <c r="R870" s="67" t="n"/>
      <c r="S870" s="67" t="n"/>
      <c r="T870" s="67" t="n"/>
      <c r="U870" s="67" t="n"/>
      <c r="V870" s="67" t="n"/>
      <c r="W870" s="67" t="n"/>
      <c r="X870" s="67" t="n"/>
      <c r="Y870" s="67" t="n"/>
      <c r="Z870" s="67" t="n"/>
      <c r="AA870" s="67" t="n"/>
      <c r="AB870" s="67" t="n"/>
    </row>
    <row r="871" ht="15.75" customHeight="1" s="305">
      <c r="A871" s="67" t="n"/>
      <c r="B871" s="67" t="n"/>
      <c r="C871" s="67" t="n"/>
      <c r="D871" s="67" t="n"/>
      <c r="E871" s="67" t="n"/>
      <c r="F871" s="67" t="inlineStr"/>
      <c r="G871" s="67" t="n"/>
      <c r="H871" t="inlineStr"/>
      <c r="I871" s="67" t="n"/>
      <c r="J871" s="67" t="n"/>
      <c r="K871" s="67" t="n"/>
      <c r="L871" s="67" t="n"/>
      <c r="M871" s="67" t="n"/>
      <c r="N871" s="67" t="n"/>
      <c r="O871" s="67" t="n"/>
      <c r="P871" s="67" t="n"/>
      <c r="Q871" s="67" t="n"/>
      <c r="R871" s="67" t="n"/>
      <c r="S871" s="67" t="n"/>
      <c r="T871" s="67" t="n"/>
      <c r="U871" s="67" t="n"/>
      <c r="V871" s="67" t="n"/>
      <c r="W871" s="67" t="n"/>
      <c r="X871" s="67" t="n"/>
      <c r="Y871" s="67" t="n"/>
      <c r="Z871" s="67" t="n"/>
      <c r="AA871" s="67" t="n"/>
      <c r="AB871" s="67" t="n"/>
    </row>
    <row r="872" ht="15.75" customHeight="1" s="305">
      <c r="A872" s="67" t="n"/>
      <c r="B872" s="67" t="n"/>
      <c r="C872" s="67" t="n"/>
      <c r="D872" s="67" t="n"/>
      <c r="E872" s="67" t="n"/>
      <c r="F872" s="67" t="inlineStr"/>
      <c r="G872" s="67" t="n"/>
      <c r="H872" t="inlineStr"/>
      <c r="I872" s="67" t="n"/>
      <c r="J872" s="67" t="n"/>
      <c r="K872" s="67" t="n"/>
      <c r="L872" s="67" t="n"/>
      <c r="M872" s="67" t="n"/>
      <c r="N872" s="67" t="n"/>
      <c r="O872" s="67" t="n"/>
      <c r="P872" s="67" t="n"/>
      <c r="Q872" s="67" t="n"/>
      <c r="R872" s="67" t="n"/>
      <c r="S872" s="67" t="n"/>
      <c r="T872" s="67" t="n"/>
      <c r="U872" s="67" t="n"/>
      <c r="V872" s="67" t="n"/>
      <c r="W872" s="67" t="n"/>
      <c r="X872" s="67" t="n"/>
      <c r="Y872" s="67" t="n"/>
      <c r="Z872" s="67" t="n"/>
      <c r="AA872" s="67" t="n"/>
      <c r="AB872" s="67" t="n"/>
    </row>
    <row r="873" ht="15.75" customHeight="1" s="305">
      <c r="A873" s="67" t="n"/>
      <c r="B873" s="67" t="n"/>
      <c r="C873" s="67" t="n"/>
      <c r="D873" s="67" t="n"/>
      <c r="E873" s="67" t="n"/>
      <c r="F873" s="67" t="inlineStr"/>
      <c r="G873" s="67" t="n"/>
      <c r="H873" t="inlineStr"/>
      <c r="I873" s="67" t="n"/>
      <c r="J873" s="67" t="n"/>
      <c r="K873" s="67" t="n"/>
      <c r="L873" s="67" t="n"/>
      <c r="M873" s="67" t="n"/>
      <c r="N873" s="67" t="n"/>
      <c r="O873" s="67" t="n"/>
      <c r="P873" s="67" t="n"/>
      <c r="Q873" s="67" t="n"/>
      <c r="R873" s="67" t="n"/>
      <c r="S873" s="67" t="n"/>
      <c r="T873" s="67" t="n"/>
      <c r="U873" s="67" t="n"/>
      <c r="V873" s="67" t="n"/>
      <c r="W873" s="67" t="n"/>
      <c r="X873" s="67" t="n"/>
      <c r="Y873" s="67" t="n"/>
      <c r="Z873" s="67" t="n"/>
      <c r="AA873" s="67" t="n"/>
      <c r="AB873" s="67" t="n"/>
    </row>
    <row r="874" ht="15.75" customHeight="1" s="305">
      <c r="A874" s="67" t="n"/>
      <c r="B874" s="67" t="n"/>
      <c r="C874" s="67" t="n"/>
      <c r="D874" s="67" t="n"/>
      <c r="E874" s="67" t="n"/>
      <c r="F874" s="67" t="inlineStr"/>
      <c r="G874" s="67" t="n"/>
      <c r="H874" t="inlineStr"/>
      <c r="I874" s="67" t="n"/>
      <c r="J874" s="67" t="n"/>
      <c r="K874" s="67" t="n"/>
      <c r="L874" s="67" t="n"/>
      <c r="M874" s="67" t="n"/>
      <c r="N874" s="67" t="n"/>
      <c r="O874" s="67" t="n"/>
      <c r="P874" s="67" t="n"/>
      <c r="Q874" s="67" t="n"/>
      <c r="R874" s="67" t="n"/>
      <c r="S874" s="67" t="n"/>
      <c r="T874" s="67" t="n"/>
      <c r="U874" s="67" t="n"/>
      <c r="V874" s="67" t="n"/>
      <c r="W874" s="67" t="n"/>
      <c r="X874" s="67" t="n"/>
      <c r="Y874" s="67" t="n"/>
      <c r="Z874" s="67" t="n"/>
      <c r="AA874" s="67" t="n"/>
      <c r="AB874" s="67" t="n"/>
    </row>
    <row r="875" ht="15.75" customHeight="1" s="305">
      <c r="A875" s="67" t="n"/>
      <c r="B875" s="67" t="n"/>
      <c r="C875" s="67" t="n"/>
      <c r="D875" s="67" t="n"/>
      <c r="E875" s="67" t="n"/>
      <c r="F875" s="67" t="inlineStr"/>
      <c r="G875" s="67" t="n"/>
      <c r="H875" t="inlineStr"/>
      <c r="I875" s="67" t="n"/>
      <c r="J875" s="67" t="n"/>
      <c r="K875" s="67" t="n"/>
      <c r="L875" s="67" t="n"/>
      <c r="M875" s="67" t="n"/>
      <c r="N875" s="67" t="n"/>
      <c r="O875" s="67" t="n"/>
      <c r="P875" s="67" t="n"/>
      <c r="Q875" s="67" t="n"/>
      <c r="R875" s="67" t="n"/>
      <c r="S875" s="67" t="n"/>
      <c r="T875" s="67" t="n"/>
      <c r="U875" s="67" t="n"/>
      <c r="V875" s="67" t="n"/>
      <c r="W875" s="67" t="n"/>
      <c r="X875" s="67" t="n"/>
      <c r="Y875" s="67" t="n"/>
      <c r="Z875" s="67" t="n"/>
      <c r="AA875" s="67" t="n"/>
      <c r="AB875" s="67" t="n"/>
    </row>
    <row r="876" ht="15.75" customHeight="1" s="305">
      <c r="A876" s="67" t="n"/>
      <c r="B876" s="67" t="n"/>
      <c r="C876" s="67" t="n"/>
      <c r="D876" s="67" t="n"/>
      <c r="E876" s="67" t="n"/>
      <c r="F876" s="67" t="inlineStr"/>
      <c r="G876" s="67" t="n"/>
      <c r="H876" t="inlineStr"/>
      <c r="I876" s="67" t="n"/>
      <c r="J876" s="67" t="n"/>
      <c r="K876" s="67" t="n"/>
      <c r="L876" s="67" t="n"/>
      <c r="M876" s="67" t="n"/>
      <c r="N876" s="67" t="n"/>
      <c r="O876" s="67" t="n"/>
      <c r="P876" s="67" t="n"/>
      <c r="Q876" s="67" t="n"/>
      <c r="R876" s="67" t="n"/>
      <c r="S876" s="67" t="n"/>
      <c r="T876" s="67" t="n"/>
      <c r="U876" s="67" t="n"/>
      <c r="V876" s="67" t="n"/>
      <c r="W876" s="67" t="n"/>
      <c r="X876" s="67" t="n"/>
      <c r="Y876" s="67" t="n"/>
      <c r="Z876" s="67" t="n"/>
      <c r="AA876" s="67" t="n"/>
      <c r="AB876" s="67" t="n"/>
    </row>
    <row r="877" ht="15.75" customHeight="1" s="305">
      <c r="A877" s="67" t="n"/>
      <c r="B877" s="67" t="n"/>
      <c r="C877" s="67" t="n"/>
      <c r="D877" s="67" t="n"/>
      <c r="E877" s="67" t="n"/>
      <c r="F877" s="67" t="inlineStr"/>
      <c r="G877" s="67" t="n"/>
      <c r="H877" t="inlineStr"/>
      <c r="I877" s="67" t="n"/>
      <c r="J877" s="67" t="n"/>
      <c r="K877" s="67" t="n"/>
      <c r="L877" s="67" t="n"/>
      <c r="M877" s="67" t="n"/>
      <c r="N877" s="67" t="n"/>
      <c r="O877" s="67" t="n"/>
      <c r="P877" s="67" t="n"/>
      <c r="Q877" s="67" t="n"/>
      <c r="R877" s="67" t="n"/>
      <c r="S877" s="67" t="n"/>
      <c r="T877" s="67" t="n"/>
      <c r="U877" s="67" t="n"/>
      <c r="V877" s="67" t="n"/>
      <c r="W877" s="67" t="n"/>
      <c r="X877" s="67" t="n"/>
      <c r="Y877" s="67" t="n"/>
      <c r="Z877" s="67" t="n"/>
      <c r="AA877" s="67" t="n"/>
      <c r="AB877" s="67" t="n"/>
    </row>
    <row r="878" ht="15.75" customHeight="1" s="305">
      <c r="A878" s="67" t="n"/>
      <c r="B878" s="67" t="n"/>
      <c r="C878" s="67" t="n"/>
      <c r="D878" s="67" t="n"/>
      <c r="E878" s="67" t="n"/>
      <c r="F878" s="67" t="inlineStr"/>
      <c r="G878" s="67" t="n"/>
      <c r="H878" t="inlineStr"/>
      <c r="I878" s="67" t="n"/>
      <c r="J878" s="67" t="n"/>
      <c r="K878" s="67" t="n"/>
      <c r="L878" s="67" t="n"/>
      <c r="M878" s="67" t="n"/>
      <c r="N878" s="67" t="n"/>
      <c r="O878" s="67" t="n"/>
      <c r="P878" s="67" t="n"/>
      <c r="Q878" s="67" t="n"/>
      <c r="R878" s="67" t="n"/>
      <c r="S878" s="67" t="n"/>
      <c r="T878" s="67" t="n"/>
      <c r="U878" s="67" t="n"/>
      <c r="V878" s="67" t="n"/>
      <c r="W878" s="67" t="n"/>
      <c r="X878" s="67" t="n"/>
      <c r="Y878" s="67" t="n"/>
      <c r="Z878" s="67" t="n"/>
      <c r="AA878" s="67" t="n"/>
      <c r="AB878" s="67" t="n"/>
    </row>
    <row r="879" ht="15.75" customHeight="1" s="305">
      <c r="A879" s="67" t="n"/>
      <c r="B879" s="67" t="n"/>
      <c r="C879" s="67" t="n"/>
      <c r="D879" s="67" t="n"/>
      <c r="E879" s="67" t="n"/>
      <c r="F879" s="67" t="inlineStr"/>
      <c r="G879" s="67" t="n"/>
      <c r="H879" t="inlineStr"/>
      <c r="I879" s="67" t="n"/>
      <c r="J879" s="67" t="n"/>
      <c r="K879" s="67" t="n"/>
      <c r="L879" s="67" t="n"/>
      <c r="M879" s="67" t="n"/>
      <c r="N879" s="67" t="n"/>
      <c r="O879" s="67" t="n"/>
      <c r="P879" s="67" t="n"/>
      <c r="Q879" s="67" t="n"/>
      <c r="R879" s="67" t="n"/>
      <c r="S879" s="67" t="n"/>
      <c r="T879" s="67" t="n"/>
      <c r="U879" s="67" t="n"/>
      <c r="V879" s="67" t="n"/>
      <c r="W879" s="67" t="n"/>
      <c r="X879" s="67" t="n"/>
      <c r="Y879" s="67" t="n"/>
      <c r="Z879" s="67" t="n"/>
      <c r="AA879" s="67" t="n"/>
      <c r="AB879" s="67" t="n"/>
    </row>
    <row r="880" ht="15.75" customHeight="1" s="305">
      <c r="A880" s="67" t="n"/>
      <c r="B880" s="67" t="n"/>
      <c r="C880" s="67" t="n"/>
      <c r="D880" s="67" t="n"/>
      <c r="E880" s="67" t="n"/>
      <c r="F880" s="67" t="inlineStr"/>
      <c r="G880" s="67" t="n"/>
      <c r="H880" t="inlineStr"/>
      <c r="I880" s="67" t="n"/>
      <c r="J880" s="67" t="n"/>
      <c r="K880" s="67" t="n"/>
      <c r="L880" s="67" t="n"/>
      <c r="M880" s="67" t="n"/>
      <c r="N880" s="67" t="n"/>
      <c r="O880" s="67" t="n"/>
      <c r="P880" s="67" t="n"/>
      <c r="Q880" s="67" t="n"/>
      <c r="R880" s="67" t="n"/>
      <c r="S880" s="67" t="n"/>
      <c r="T880" s="67" t="n"/>
      <c r="U880" s="67" t="n"/>
      <c r="V880" s="67" t="n"/>
      <c r="W880" s="67" t="n"/>
      <c r="X880" s="67" t="n"/>
      <c r="Y880" s="67" t="n"/>
      <c r="Z880" s="67" t="n"/>
      <c r="AA880" s="67" t="n"/>
      <c r="AB880" s="67" t="n"/>
    </row>
    <row r="881" ht="15.75" customHeight="1" s="305">
      <c r="A881" s="67" t="n"/>
      <c r="B881" s="67" t="n"/>
      <c r="C881" s="67" t="n"/>
      <c r="D881" s="67" t="n"/>
      <c r="E881" s="67" t="n"/>
      <c r="F881" s="67" t="inlineStr"/>
      <c r="G881" s="67" t="n"/>
      <c r="H881" t="inlineStr"/>
      <c r="I881" s="67" t="n"/>
      <c r="J881" s="67" t="n"/>
      <c r="K881" s="67" t="n"/>
      <c r="L881" s="67" t="n"/>
      <c r="M881" s="67" t="n"/>
      <c r="N881" s="67" t="n"/>
      <c r="O881" s="67" t="n"/>
      <c r="P881" s="67" t="n"/>
      <c r="Q881" s="67" t="n"/>
      <c r="R881" s="67" t="n"/>
      <c r="S881" s="67" t="n"/>
      <c r="T881" s="67" t="n"/>
      <c r="U881" s="67" t="n"/>
      <c r="V881" s="67" t="n"/>
      <c r="W881" s="67" t="n"/>
      <c r="X881" s="67" t="n"/>
      <c r="Y881" s="67" t="n"/>
      <c r="Z881" s="67" t="n"/>
      <c r="AA881" s="67" t="n"/>
      <c r="AB881" s="67" t="n"/>
    </row>
    <row r="882" ht="15.75" customHeight="1" s="305">
      <c r="A882" s="67" t="n"/>
      <c r="B882" s="67" t="n"/>
      <c r="C882" s="67" t="n"/>
      <c r="D882" s="67" t="n"/>
      <c r="E882" s="67" t="n"/>
      <c r="F882" s="67" t="inlineStr"/>
      <c r="G882" s="67" t="n"/>
      <c r="H882" t="inlineStr"/>
      <c r="I882" s="67" t="n"/>
      <c r="J882" s="67" t="n"/>
      <c r="K882" s="67" t="n"/>
      <c r="L882" s="67" t="n"/>
      <c r="M882" s="67" t="n"/>
      <c r="N882" s="67" t="n"/>
      <c r="O882" s="67" t="n"/>
      <c r="P882" s="67" t="n"/>
      <c r="Q882" s="67" t="n"/>
      <c r="R882" s="67" t="n"/>
      <c r="S882" s="67" t="n"/>
      <c r="T882" s="67" t="n"/>
      <c r="U882" s="67" t="n"/>
      <c r="V882" s="67" t="n"/>
      <c r="W882" s="67" t="n"/>
      <c r="X882" s="67" t="n"/>
      <c r="Y882" s="67" t="n"/>
      <c r="Z882" s="67" t="n"/>
      <c r="AA882" s="67" t="n"/>
      <c r="AB882" s="67" t="n"/>
    </row>
    <row r="883" ht="15.75" customHeight="1" s="305">
      <c r="A883" s="67" t="n"/>
      <c r="B883" s="67" t="n"/>
      <c r="C883" s="67" t="n"/>
      <c r="D883" s="67" t="n"/>
      <c r="E883" s="67" t="n"/>
      <c r="F883" s="67" t="inlineStr"/>
      <c r="G883" s="67" t="n"/>
      <c r="H883" t="inlineStr"/>
      <c r="I883" s="67" t="n"/>
      <c r="J883" s="67" t="n"/>
      <c r="K883" s="67" t="n"/>
      <c r="L883" s="67" t="n"/>
      <c r="M883" s="67" t="n"/>
      <c r="N883" s="67" t="n"/>
      <c r="O883" s="67" t="n"/>
      <c r="P883" s="67" t="n"/>
      <c r="Q883" s="67" t="n"/>
      <c r="R883" s="67" t="n"/>
      <c r="S883" s="67" t="n"/>
      <c r="T883" s="67" t="n"/>
      <c r="U883" s="67" t="n"/>
      <c r="V883" s="67" t="n"/>
      <c r="W883" s="67" t="n"/>
      <c r="X883" s="67" t="n"/>
      <c r="Y883" s="67" t="n"/>
      <c r="Z883" s="67" t="n"/>
      <c r="AA883" s="67" t="n"/>
      <c r="AB883" s="67" t="n"/>
    </row>
    <row r="884" ht="15.75" customHeight="1" s="305">
      <c r="A884" s="67" t="n"/>
      <c r="B884" s="67" t="n"/>
      <c r="C884" s="67" t="n"/>
      <c r="D884" s="67" t="n"/>
      <c r="E884" s="67" t="n"/>
      <c r="F884" s="67" t="inlineStr"/>
      <c r="G884" s="67" t="n"/>
      <c r="H884" t="inlineStr"/>
      <c r="I884" s="67" t="n"/>
      <c r="J884" s="67" t="n"/>
      <c r="K884" s="67" t="n"/>
      <c r="L884" s="67" t="n"/>
      <c r="M884" s="67" t="n"/>
      <c r="N884" s="67" t="n"/>
      <c r="O884" s="67" t="n"/>
      <c r="P884" s="67" t="n"/>
      <c r="Q884" s="67" t="n"/>
      <c r="R884" s="67" t="n"/>
      <c r="S884" s="67" t="n"/>
      <c r="T884" s="67" t="n"/>
      <c r="U884" s="67" t="n"/>
      <c r="V884" s="67" t="n"/>
      <c r="W884" s="67" t="n"/>
      <c r="X884" s="67" t="n"/>
      <c r="Y884" s="67" t="n"/>
      <c r="Z884" s="67" t="n"/>
      <c r="AA884" s="67" t="n"/>
      <c r="AB884" s="67" t="n"/>
    </row>
    <row r="885" ht="15.75" customHeight="1" s="305">
      <c r="A885" s="67" t="n"/>
      <c r="B885" s="67" t="n"/>
      <c r="C885" s="67" t="n"/>
      <c r="D885" s="67" t="n"/>
      <c r="E885" s="67" t="n"/>
      <c r="F885" s="67" t="inlineStr"/>
      <c r="G885" s="67" t="n"/>
      <c r="H885" t="inlineStr"/>
      <c r="I885" s="67" t="n"/>
      <c r="J885" s="67" t="n"/>
      <c r="K885" s="67" t="n"/>
      <c r="L885" s="67" t="n"/>
      <c r="M885" s="67" t="n"/>
      <c r="N885" s="67" t="n"/>
      <c r="O885" s="67" t="n"/>
      <c r="P885" s="67" t="n"/>
      <c r="Q885" s="67" t="n"/>
      <c r="R885" s="67" t="n"/>
      <c r="S885" s="67" t="n"/>
      <c r="T885" s="67" t="n"/>
      <c r="U885" s="67" t="n"/>
      <c r="V885" s="67" t="n"/>
      <c r="W885" s="67" t="n"/>
      <c r="X885" s="67" t="n"/>
      <c r="Y885" s="67" t="n"/>
      <c r="Z885" s="67" t="n"/>
      <c r="AA885" s="67" t="n"/>
      <c r="AB885" s="67" t="n"/>
    </row>
    <row r="886" ht="15.75" customHeight="1" s="305">
      <c r="A886" s="67" t="n"/>
      <c r="B886" s="67" t="n"/>
      <c r="C886" s="67" t="n"/>
      <c r="D886" s="67" t="n"/>
      <c r="E886" s="67" t="n"/>
      <c r="F886" s="67" t="inlineStr"/>
      <c r="G886" s="67" t="n"/>
      <c r="H886" t="inlineStr"/>
      <c r="I886" s="67" t="n"/>
      <c r="J886" s="67" t="n"/>
      <c r="K886" s="67" t="n"/>
      <c r="L886" s="67" t="n"/>
      <c r="M886" s="67" t="n"/>
      <c r="N886" s="67" t="n"/>
      <c r="O886" s="67" t="n"/>
      <c r="P886" s="67" t="n"/>
      <c r="Q886" s="67" t="n"/>
      <c r="R886" s="67" t="n"/>
      <c r="S886" s="67" t="n"/>
      <c r="T886" s="67" t="n"/>
      <c r="U886" s="67" t="n"/>
      <c r="V886" s="67" t="n"/>
      <c r="W886" s="67" t="n"/>
      <c r="X886" s="67" t="n"/>
      <c r="Y886" s="67" t="n"/>
      <c r="Z886" s="67" t="n"/>
      <c r="AA886" s="67" t="n"/>
      <c r="AB886" s="67" t="n"/>
    </row>
    <row r="887" ht="15.75" customHeight="1" s="305">
      <c r="A887" s="67" t="n"/>
      <c r="B887" s="67" t="n"/>
      <c r="C887" s="67" t="n"/>
      <c r="D887" s="67" t="n"/>
      <c r="E887" s="67" t="n"/>
      <c r="F887" s="67" t="inlineStr"/>
      <c r="G887" s="67" t="n"/>
      <c r="H887" t="inlineStr"/>
      <c r="I887" s="67" t="n"/>
      <c r="J887" s="67" t="n"/>
      <c r="K887" s="67" t="n"/>
      <c r="L887" s="67" t="n"/>
      <c r="M887" s="67" t="n"/>
      <c r="N887" s="67" t="n"/>
      <c r="O887" s="67" t="n"/>
      <c r="P887" s="67" t="n"/>
      <c r="Q887" s="67" t="n"/>
      <c r="R887" s="67" t="n"/>
      <c r="S887" s="67" t="n"/>
      <c r="T887" s="67" t="n"/>
      <c r="U887" s="67" t="n"/>
      <c r="V887" s="67" t="n"/>
      <c r="W887" s="67" t="n"/>
      <c r="X887" s="67" t="n"/>
      <c r="Y887" s="67" t="n"/>
      <c r="Z887" s="67" t="n"/>
      <c r="AA887" s="67" t="n"/>
      <c r="AB887" s="67" t="n"/>
    </row>
    <row r="888" ht="15.75" customHeight="1" s="305">
      <c r="A888" s="67" t="n"/>
      <c r="B888" s="67" t="n"/>
      <c r="C888" s="67" t="n"/>
      <c r="D888" s="67" t="n"/>
      <c r="E888" s="67" t="n"/>
      <c r="F888" s="67" t="inlineStr"/>
      <c r="G888" s="67" t="n"/>
      <c r="H888" t="inlineStr"/>
      <c r="I888" s="67" t="n"/>
      <c r="J888" s="67" t="n"/>
      <c r="K888" s="67" t="n"/>
      <c r="L888" s="67" t="n"/>
      <c r="M888" s="67" t="n"/>
      <c r="N888" s="67" t="n"/>
      <c r="O888" s="67" t="n"/>
      <c r="P888" s="67" t="n"/>
      <c r="Q888" s="67" t="n"/>
      <c r="R888" s="67" t="n"/>
      <c r="S888" s="67" t="n"/>
      <c r="T888" s="67" t="n"/>
      <c r="U888" s="67" t="n"/>
      <c r="V888" s="67" t="n"/>
      <c r="W888" s="67" t="n"/>
      <c r="X888" s="67" t="n"/>
      <c r="Y888" s="67" t="n"/>
      <c r="Z888" s="67" t="n"/>
      <c r="AA888" s="67" t="n"/>
      <c r="AB888" s="67" t="n"/>
    </row>
    <row r="889" ht="15.75" customHeight="1" s="305">
      <c r="A889" s="67" t="n"/>
      <c r="B889" s="67" t="n"/>
      <c r="C889" s="67" t="n"/>
      <c r="D889" s="67" t="n"/>
      <c r="E889" s="67" t="n"/>
      <c r="F889" s="67" t="inlineStr"/>
      <c r="G889" s="67" t="n"/>
      <c r="H889" t="inlineStr"/>
      <c r="I889" s="67" t="n"/>
      <c r="J889" s="67" t="n"/>
      <c r="K889" s="67" t="n"/>
      <c r="L889" s="67" t="n"/>
      <c r="M889" s="67" t="n"/>
      <c r="N889" s="67" t="n"/>
      <c r="O889" s="67" t="n"/>
      <c r="P889" s="67" t="n"/>
      <c r="Q889" s="67" t="n"/>
      <c r="R889" s="67" t="n"/>
      <c r="S889" s="67" t="n"/>
      <c r="T889" s="67" t="n"/>
      <c r="U889" s="67" t="n"/>
      <c r="V889" s="67" t="n"/>
      <c r="W889" s="67" t="n"/>
      <c r="X889" s="67" t="n"/>
      <c r="Y889" s="67" t="n"/>
      <c r="Z889" s="67" t="n"/>
      <c r="AA889" s="67" t="n"/>
      <c r="AB889" s="67" t="n"/>
    </row>
    <row r="890" ht="15.75" customHeight="1" s="305">
      <c r="A890" s="67" t="n"/>
      <c r="B890" s="67" t="n"/>
      <c r="C890" s="67" t="n"/>
      <c r="D890" s="67" t="n"/>
      <c r="E890" s="67" t="n"/>
      <c r="F890" s="67" t="inlineStr"/>
      <c r="G890" s="67" t="n"/>
      <c r="H890" t="inlineStr"/>
      <c r="I890" s="67" t="n"/>
      <c r="J890" s="67" t="n"/>
      <c r="K890" s="67" t="n"/>
      <c r="L890" s="67" t="n"/>
      <c r="M890" s="67" t="n"/>
      <c r="N890" s="67" t="n"/>
      <c r="O890" s="67" t="n"/>
      <c r="P890" s="67" t="n"/>
      <c r="Q890" s="67" t="n"/>
      <c r="R890" s="67" t="n"/>
      <c r="S890" s="67" t="n"/>
      <c r="T890" s="67" t="n"/>
      <c r="U890" s="67" t="n"/>
      <c r="V890" s="67" t="n"/>
      <c r="W890" s="67" t="n"/>
      <c r="X890" s="67" t="n"/>
      <c r="Y890" s="67" t="n"/>
      <c r="Z890" s="67" t="n"/>
      <c r="AA890" s="67" t="n"/>
      <c r="AB890" s="67" t="n"/>
    </row>
    <row r="891" ht="15.75" customHeight="1" s="305">
      <c r="A891" s="67" t="n"/>
      <c r="B891" s="67" t="n"/>
      <c r="C891" s="67" t="n"/>
      <c r="D891" s="67" t="n"/>
      <c r="E891" s="67" t="n"/>
      <c r="F891" s="67" t="inlineStr"/>
      <c r="G891" s="67" t="n"/>
      <c r="H891" t="inlineStr"/>
      <c r="I891" s="67" t="n"/>
      <c r="J891" s="67" t="n"/>
      <c r="K891" s="67" t="n"/>
      <c r="L891" s="67" t="n"/>
      <c r="M891" s="67" t="n"/>
      <c r="N891" s="67" t="n"/>
      <c r="O891" s="67" t="n"/>
      <c r="P891" s="67" t="n"/>
      <c r="Q891" s="67" t="n"/>
      <c r="R891" s="67" t="n"/>
      <c r="S891" s="67" t="n"/>
      <c r="T891" s="67" t="n"/>
      <c r="U891" s="67" t="n"/>
      <c r="V891" s="67" t="n"/>
      <c r="W891" s="67" t="n"/>
      <c r="X891" s="67" t="n"/>
      <c r="Y891" s="67" t="n"/>
      <c r="Z891" s="67" t="n"/>
      <c r="AA891" s="67" t="n"/>
      <c r="AB891" s="67" t="n"/>
    </row>
    <row r="892" ht="15.75" customHeight="1" s="305">
      <c r="A892" s="67" t="n"/>
      <c r="B892" s="67" t="n"/>
      <c r="C892" s="67" t="n"/>
      <c r="D892" s="67" t="n"/>
      <c r="E892" s="67" t="n"/>
      <c r="F892" s="67" t="inlineStr"/>
      <c r="G892" s="67" t="n"/>
      <c r="H892" t="inlineStr"/>
      <c r="I892" s="67" t="n"/>
      <c r="J892" s="67" t="n"/>
      <c r="K892" s="67" t="n"/>
      <c r="L892" s="67" t="n"/>
      <c r="M892" s="67" t="n"/>
      <c r="N892" s="67" t="n"/>
      <c r="O892" s="67" t="n"/>
      <c r="P892" s="67" t="n"/>
      <c r="Q892" s="67" t="n"/>
      <c r="R892" s="67" t="n"/>
      <c r="S892" s="67" t="n"/>
      <c r="T892" s="67" t="n"/>
      <c r="U892" s="67" t="n"/>
      <c r="V892" s="67" t="n"/>
      <c r="W892" s="67" t="n"/>
      <c r="X892" s="67" t="n"/>
      <c r="Y892" s="67" t="n"/>
      <c r="Z892" s="67" t="n"/>
      <c r="AA892" s="67" t="n"/>
      <c r="AB892" s="67" t="n"/>
    </row>
    <row r="893" ht="15.75" customHeight="1" s="305">
      <c r="A893" s="67" t="n"/>
      <c r="B893" s="67" t="n"/>
      <c r="C893" s="67" t="n"/>
      <c r="D893" s="67" t="n"/>
      <c r="E893" s="67" t="n"/>
      <c r="F893" s="67" t="inlineStr"/>
      <c r="G893" s="67" t="n"/>
      <c r="H893" t="inlineStr"/>
      <c r="I893" s="67" t="n"/>
      <c r="J893" s="67" t="n"/>
      <c r="K893" s="67" t="n"/>
      <c r="L893" s="67" t="n"/>
      <c r="M893" s="67" t="n"/>
      <c r="N893" s="67" t="n"/>
      <c r="O893" s="67" t="n"/>
      <c r="P893" s="67" t="n"/>
      <c r="Q893" s="67" t="n"/>
      <c r="R893" s="67" t="n"/>
      <c r="S893" s="67" t="n"/>
      <c r="T893" s="67" t="n"/>
      <c r="U893" s="67" t="n"/>
      <c r="V893" s="67" t="n"/>
      <c r="W893" s="67" t="n"/>
      <c r="X893" s="67" t="n"/>
      <c r="Y893" s="67" t="n"/>
      <c r="Z893" s="67" t="n"/>
      <c r="AA893" s="67" t="n"/>
      <c r="AB893" s="67" t="n"/>
    </row>
    <row r="894" ht="15.75" customHeight="1" s="305">
      <c r="A894" s="67" t="n"/>
      <c r="B894" s="67" t="n"/>
      <c r="C894" s="67" t="n"/>
      <c r="D894" s="67" t="n"/>
      <c r="E894" s="67" t="n"/>
      <c r="F894" s="67" t="inlineStr"/>
      <c r="G894" s="67" t="n"/>
      <c r="H894" t="inlineStr"/>
      <c r="I894" s="67" t="n"/>
      <c r="J894" s="67" t="n"/>
      <c r="K894" s="67" t="n"/>
      <c r="L894" s="67" t="n"/>
      <c r="M894" s="67" t="n"/>
      <c r="N894" s="67" t="n"/>
      <c r="O894" s="67" t="n"/>
      <c r="P894" s="67" t="n"/>
      <c r="Q894" s="67" t="n"/>
      <c r="R894" s="67" t="n"/>
      <c r="S894" s="67" t="n"/>
      <c r="T894" s="67" t="n"/>
      <c r="U894" s="67" t="n"/>
      <c r="V894" s="67" t="n"/>
      <c r="W894" s="67" t="n"/>
      <c r="X894" s="67" t="n"/>
      <c r="Y894" s="67" t="n"/>
      <c r="Z894" s="67" t="n"/>
      <c r="AA894" s="67" t="n"/>
      <c r="AB894" s="67" t="n"/>
    </row>
    <row r="895" ht="15.75" customHeight="1" s="305">
      <c r="A895" s="67" t="n"/>
      <c r="B895" s="67" t="n"/>
      <c r="C895" s="67" t="n"/>
      <c r="D895" s="67" t="n"/>
      <c r="E895" s="67" t="n"/>
      <c r="F895" s="67" t="inlineStr"/>
      <c r="G895" s="67" t="n"/>
      <c r="H895" t="inlineStr"/>
      <c r="I895" s="67" t="n"/>
      <c r="J895" s="67" t="n"/>
      <c r="K895" s="67" t="n"/>
      <c r="L895" s="67" t="n"/>
      <c r="M895" s="67" t="n"/>
      <c r="N895" s="67" t="n"/>
      <c r="O895" s="67" t="n"/>
      <c r="P895" s="67" t="n"/>
      <c r="Q895" s="67" t="n"/>
      <c r="R895" s="67" t="n"/>
      <c r="S895" s="67" t="n"/>
      <c r="T895" s="67" t="n"/>
      <c r="U895" s="67" t="n"/>
      <c r="V895" s="67" t="n"/>
      <c r="W895" s="67" t="n"/>
      <c r="X895" s="67" t="n"/>
      <c r="Y895" s="67" t="n"/>
      <c r="Z895" s="67" t="n"/>
      <c r="AA895" s="67" t="n"/>
      <c r="AB895" s="67" t="n"/>
    </row>
    <row r="896" ht="15.75" customHeight="1" s="305">
      <c r="A896" s="67" t="n"/>
      <c r="B896" s="67" t="n"/>
      <c r="C896" s="67" t="n"/>
      <c r="D896" s="67" t="n"/>
      <c r="E896" s="67" t="n"/>
      <c r="F896" s="67" t="inlineStr"/>
      <c r="G896" s="67" t="n"/>
      <c r="H896" t="inlineStr"/>
      <c r="I896" s="67" t="n"/>
      <c r="J896" s="67" t="n"/>
      <c r="K896" s="67" t="n"/>
      <c r="L896" s="67" t="n"/>
      <c r="M896" s="67" t="n"/>
      <c r="N896" s="67" t="n"/>
      <c r="O896" s="67" t="n"/>
      <c r="P896" s="67" t="n"/>
      <c r="Q896" s="67" t="n"/>
      <c r="R896" s="67" t="n"/>
      <c r="S896" s="67" t="n"/>
      <c r="T896" s="67" t="n"/>
      <c r="U896" s="67" t="n"/>
      <c r="V896" s="67" t="n"/>
      <c r="W896" s="67" t="n"/>
      <c r="X896" s="67" t="n"/>
      <c r="Y896" s="67" t="n"/>
      <c r="Z896" s="67" t="n"/>
      <c r="AA896" s="67" t="n"/>
      <c r="AB896" s="67" t="n"/>
    </row>
    <row r="897" ht="15.75" customHeight="1" s="305">
      <c r="A897" s="67" t="n"/>
      <c r="B897" s="67" t="n"/>
      <c r="C897" s="67" t="n"/>
      <c r="D897" s="67" t="n"/>
      <c r="E897" s="67" t="n"/>
      <c r="F897" s="67" t="inlineStr"/>
      <c r="G897" s="67" t="n"/>
      <c r="H897" t="inlineStr"/>
      <c r="I897" s="67" t="n"/>
      <c r="J897" s="67" t="n"/>
      <c r="K897" s="67" t="n"/>
      <c r="L897" s="67" t="n"/>
      <c r="M897" s="67" t="n"/>
      <c r="N897" s="67" t="n"/>
      <c r="O897" s="67" t="n"/>
      <c r="P897" s="67" t="n"/>
      <c r="Q897" s="67" t="n"/>
      <c r="R897" s="67" t="n"/>
      <c r="S897" s="67" t="n"/>
      <c r="T897" s="67" t="n"/>
      <c r="U897" s="67" t="n"/>
      <c r="V897" s="67" t="n"/>
      <c r="W897" s="67" t="n"/>
      <c r="X897" s="67" t="n"/>
      <c r="Y897" s="67" t="n"/>
      <c r="Z897" s="67" t="n"/>
      <c r="AA897" s="67" t="n"/>
      <c r="AB897" s="67" t="n"/>
    </row>
    <row r="898" ht="15.75" customHeight="1" s="305">
      <c r="A898" s="67" t="n"/>
      <c r="B898" s="67" t="n"/>
      <c r="C898" s="67" t="n"/>
      <c r="D898" s="67" t="n"/>
      <c r="E898" s="67" t="n"/>
      <c r="F898" s="67" t="inlineStr"/>
      <c r="G898" s="67" t="n"/>
      <c r="H898" t="inlineStr"/>
      <c r="I898" s="67" t="n"/>
      <c r="J898" s="67" t="n"/>
      <c r="K898" s="67" t="n"/>
      <c r="L898" s="67" t="n"/>
      <c r="M898" s="67" t="n"/>
      <c r="N898" s="67" t="n"/>
      <c r="O898" s="67" t="n"/>
      <c r="P898" s="67" t="n"/>
      <c r="Q898" s="67" t="n"/>
      <c r="R898" s="67" t="n"/>
      <c r="S898" s="67" t="n"/>
      <c r="T898" s="67" t="n"/>
      <c r="U898" s="67" t="n"/>
      <c r="V898" s="67" t="n"/>
      <c r="W898" s="67" t="n"/>
      <c r="X898" s="67" t="n"/>
      <c r="Y898" s="67" t="n"/>
      <c r="Z898" s="67" t="n"/>
      <c r="AA898" s="67" t="n"/>
      <c r="AB898" s="67" t="n"/>
    </row>
    <row r="899" ht="15.75" customHeight="1" s="305">
      <c r="A899" s="67" t="n"/>
      <c r="B899" s="67" t="n"/>
      <c r="C899" s="67" t="n"/>
      <c r="D899" s="67" t="n"/>
      <c r="E899" s="67" t="n"/>
      <c r="F899" s="67" t="inlineStr"/>
      <c r="G899" s="67" t="n"/>
      <c r="H899" t="inlineStr"/>
      <c r="I899" s="67" t="n"/>
      <c r="J899" s="67" t="n"/>
      <c r="K899" s="67" t="n"/>
      <c r="L899" s="67" t="n"/>
      <c r="M899" s="67" t="n"/>
      <c r="N899" s="67" t="n"/>
      <c r="O899" s="67" t="n"/>
      <c r="P899" s="67" t="n"/>
      <c r="Q899" s="67" t="n"/>
      <c r="R899" s="67" t="n"/>
      <c r="S899" s="67" t="n"/>
      <c r="T899" s="67" t="n"/>
      <c r="U899" s="67" t="n"/>
      <c r="V899" s="67" t="n"/>
      <c r="W899" s="67" t="n"/>
      <c r="X899" s="67" t="n"/>
      <c r="Y899" s="67" t="n"/>
      <c r="Z899" s="67" t="n"/>
      <c r="AA899" s="67" t="n"/>
      <c r="AB899" s="67" t="n"/>
    </row>
    <row r="900" ht="15.75" customHeight="1" s="305">
      <c r="A900" s="67" t="n"/>
      <c r="B900" s="67" t="n"/>
      <c r="C900" s="67" t="n"/>
      <c r="D900" s="67" t="n"/>
      <c r="E900" s="67" t="n"/>
      <c r="F900" s="67" t="inlineStr"/>
      <c r="G900" s="67" t="n"/>
      <c r="H900" t="inlineStr"/>
      <c r="I900" s="67" t="n"/>
      <c r="J900" s="67" t="n"/>
      <c r="K900" s="67" t="n"/>
      <c r="L900" s="67" t="n"/>
      <c r="M900" s="67" t="n"/>
      <c r="N900" s="67" t="n"/>
      <c r="O900" s="67" t="n"/>
      <c r="P900" s="67" t="n"/>
      <c r="Q900" s="67" t="n"/>
      <c r="R900" s="67" t="n"/>
      <c r="S900" s="67" t="n"/>
      <c r="T900" s="67" t="n"/>
      <c r="U900" s="67" t="n"/>
      <c r="V900" s="67" t="n"/>
      <c r="W900" s="67" t="n"/>
      <c r="X900" s="67" t="n"/>
      <c r="Y900" s="67" t="n"/>
      <c r="Z900" s="67" t="n"/>
      <c r="AA900" s="67" t="n"/>
      <c r="AB900" s="67" t="n"/>
    </row>
    <row r="901" ht="15.75" customHeight="1" s="305">
      <c r="A901" s="67" t="n"/>
      <c r="B901" s="67" t="n"/>
      <c r="C901" s="67" t="n"/>
      <c r="D901" s="67" t="n"/>
      <c r="E901" s="67" t="n"/>
      <c r="F901" s="67" t="inlineStr"/>
      <c r="G901" s="67" t="n"/>
      <c r="H901" t="inlineStr"/>
      <c r="I901" s="67" t="n"/>
      <c r="J901" s="67" t="n"/>
      <c r="K901" s="67" t="n"/>
      <c r="L901" s="67" t="n"/>
      <c r="M901" s="67" t="n"/>
      <c r="N901" s="67" t="n"/>
      <c r="O901" s="67" t="n"/>
      <c r="P901" s="67" t="n"/>
      <c r="Q901" s="67" t="n"/>
      <c r="R901" s="67" t="n"/>
      <c r="S901" s="67" t="n"/>
      <c r="T901" s="67" t="n"/>
      <c r="U901" s="67" t="n"/>
      <c r="V901" s="67" t="n"/>
      <c r="W901" s="67" t="n"/>
      <c r="X901" s="67" t="n"/>
      <c r="Y901" s="67" t="n"/>
      <c r="Z901" s="67" t="n"/>
      <c r="AA901" s="67" t="n"/>
      <c r="AB901" s="67" t="n"/>
    </row>
    <row r="902" ht="15.75" customHeight="1" s="305">
      <c r="A902" s="67" t="n"/>
      <c r="B902" s="67" t="n"/>
      <c r="C902" s="67" t="n"/>
      <c r="D902" s="67" t="n"/>
      <c r="E902" s="67" t="n"/>
      <c r="F902" s="67" t="inlineStr"/>
      <c r="G902" s="67" t="n"/>
      <c r="H902" t="inlineStr"/>
      <c r="I902" s="67" t="n"/>
      <c r="J902" s="67" t="n"/>
      <c r="K902" s="67" t="n"/>
      <c r="L902" s="67" t="n"/>
      <c r="M902" s="67" t="n"/>
      <c r="N902" s="67" t="n"/>
      <c r="O902" s="67" t="n"/>
      <c r="P902" s="67" t="n"/>
      <c r="Q902" s="67" t="n"/>
      <c r="R902" s="67" t="n"/>
      <c r="S902" s="67" t="n"/>
      <c r="T902" s="67" t="n"/>
      <c r="U902" s="67" t="n"/>
      <c r="V902" s="67" t="n"/>
      <c r="W902" s="67" t="n"/>
      <c r="X902" s="67" t="n"/>
      <c r="Y902" s="67" t="n"/>
      <c r="Z902" s="67" t="n"/>
      <c r="AA902" s="67" t="n"/>
      <c r="AB902" s="67" t="n"/>
    </row>
    <row r="903" ht="15.75" customHeight="1" s="305">
      <c r="A903" s="67" t="n"/>
      <c r="B903" s="67" t="n"/>
      <c r="C903" s="67" t="n"/>
      <c r="D903" s="67" t="n"/>
      <c r="E903" s="67" t="n"/>
      <c r="F903" s="67" t="inlineStr"/>
      <c r="G903" s="67" t="n"/>
      <c r="H903" t="inlineStr"/>
      <c r="I903" s="67" t="n"/>
      <c r="J903" s="67" t="n"/>
      <c r="K903" s="67" t="n"/>
      <c r="L903" s="67" t="n"/>
      <c r="M903" s="67" t="n"/>
      <c r="N903" s="67" t="n"/>
      <c r="O903" s="67" t="n"/>
      <c r="P903" s="67" t="n"/>
      <c r="Q903" s="67" t="n"/>
      <c r="R903" s="67" t="n"/>
      <c r="S903" s="67" t="n"/>
      <c r="T903" s="67" t="n"/>
      <c r="U903" s="67" t="n"/>
      <c r="V903" s="67" t="n"/>
      <c r="W903" s="67" t="n"/>
      <c r="X903" s="67" t="n"/>
      <c r="Y903" s="67" t="n"/>
      <c r="Z903" s="67" t="n"/>
      <c r="AA903" s="67" t="n"/>
      <c r="AB903" s="67" t="n"/>
    </row>
    <row r="904" ht="15.75" customHeight="1" s="305">
      <c r="A904" s="67" t="n"/>
      <c r="B904" s="67" t="n"/>
      <c r="C904" s="67" t="n"/>
      <c r="D904" s="67" t="n"/>
      <c r="E904" s="67" t="n"/>
      <c r="F904" s="67" t="inlineStr"/>
      <c r="G904" s="67" t="n"/>
      <c r="H904" t="inlineStr"/>
      <c r="I904" s="67" t="n"/>
      <c r="J904" s="67" t="n"/>
      <c r="K904" s="67" t="n"/>
      <c r="L904" s="67" t="n"/>
      <c r="M904" s="67" t="n"/>
      <c r="N904" s="67" t="n"/>
      <c r="O904" s="67" t="n"/>
      <c r="P904" s="67" t="n"/>
      <c r="Q904" s="67" t="n"/>
      <c r="R904" s="67" t="n"/>
      <c r="S904" s="67" t="n"/>
      <c r="T904" s="67" t="n"/>
      <c r="U904" s="67" t="n"/>
      <c r="V904" s="67" t="n"/>
      <c r="W904" s="67" t="n"/>
      <c r="X904" s="67" t="n"/>
      <c r="Y904" s="67" t="n"/>
      <c r="Z904" s="67" t="n"/>
      <c r="AA904" s="67" t="n"/>
      <c r="AB904" s="67" t="n"/>
    </row>
    <row r="905" ht="15.75" customHeight="1" s="305">
      <c r="A905" s="67" t="n"/>
      <c r="B905" s="67" t="n"/>
      <c r="C905" s="67" t="n"/>
      <c r="D905" s="67" t="n"/>
      <c r="E905" s="67" t="n"/>
      <c r="F905" s="67" t="inlineStr"/>
      <c r="G905" s="67" t="n"/>
      <c r="H905" t="inlineStr"/>
      <c r="I905" s="67" t="n"/>
      <c r="J905" s="67" t="n"/>
      <c r="K905" s="67" t="n"/>
      <c r="L905" s="67" t="n"/>
      <c r="M905" s="67" t="n"/>
      <c r="N905" s="67" t="n"/>
      <c r="O905" s="67" t="n"/>
      <c r="P905" s="67" t="n"/>
      <c r="Q905" s="67" t="n"/>
      <c r="R905" s="67" t="n"/>
      <c r="S905" s="67" t="n"/>
      <c r="T905" s="67" t="n"/>
      <c r="U905" s="67" t="n"/>
      <c r="V905" s="67" t="n"/>
      <c r="W905" s="67" t="n"/>
      <c r="X905" s="67" t="n"/>
      <c r="Y905" s="67" t="n"/>
      <c r="Z905" s="67" t="n"/>
      <c r="AA905" s="67" t="n"/>
      <c r="AB905" s="67" t="n"/>
    </row>
    <row r="906" ht="15.75" customHeight="1" s="305">
      <c r="A906" s="67" t="n"/>
      <c r="B906" s="67" t="n"/>
      <c r="C906" s="67" t="n"/>
      <c r="D906" s="67" t="n"/>
      <c r="E906" s="67" t="n"/>
      <c r="F906" s="67" t="inlineStr"/>
      <c r="G906" s="67" t="n"/>
      <c r="H906" t="inlineStr"/>
      <c r="I906" s="67" t="n"/>
      <c r="J906" s="67" t="n"/>
      <c r="K906" s="67" t="n"/>
      <c r="L906" s="67" t="n"/>
      <c r="M906" s="67" t="n"/>
      <c r="N906" s="67" t="n"/>
      <c r="O906" s="67" t="n"/>
      <c r="P906" s="67" t="n"/>
      <c r="Q906" s="67" t="n"/>
      <c r="R906" s="67" t="n"/>
      <c r="S906" s="67" t="n"/>
      <c r="T906" s="67" t="n"/>
      <c r="U906" s="67" t="n"/>
      <c r="V906" s="67" t="n"/>
      <c r="W906" s="67" t="n"/>
      <c r="X906" s="67" t="n"/>
      <c r="Y906" s="67" t="n"/>
      <c r="Z906" s="67" t="n"/>
      <c r="AA906" s="67" t="n"/>
      <c r="AB906" s="67" t="n"/>
    </row>
    <row r="907" ht="15.75" customHeight="1" s="305">
      <c r="A907" s="67" t="n"/>
      <c r="B907" s="67" t="n"/>
      <c r="C907" s="67" t="n"/>
      <c r="D907" s="67" t="n"/>
      <c r="E907" s="67" t="n"/>
      <c r="F907" s="67" t="inlineStr"/>
      <c r="G907" s="67" t="n"/>
      <c r="H907" t="inlineStr"/>
      <c r="I907" s="67" t="n"/>
      <c r="J907" s="67" t="n"/>
      <c r="K907" s="67" t="n"/>
      <c r="L907" s="67" t="n"/>
      <c r="M907" s="67" t="n"/>
      <c r="N907" s="67" t="n"/>
      <c r="O907" s="67" t="n"/>
      <c r="P907" s="67" t="n"/>
      <c r="Q907" s="67" t="n"/>
      <c r="R907" s="67" t="n"/>
      <c r="S907" s="67" t="n"/>
      <c r="T907" s="67" t="n"/>
      <c r="U907" s="67" t="n"/>
      <c r="V907" s="67" t="n"/>
      <c r="W907" s="67" t="n"/>
      <c r="X907" s="67" t="n"/>
      <c r="Y907" s="67" t="n"/>
      <c r="Z907" s="67" t="n"/>
      <c r="AA907" s="67" t="n"/>
      <c r="AB907" s="67" t="n"/>
    </row>
    <row r="908" ht="15.75" customHeight="1" s="305">
      <c r="A908" s="67" t="n"/>
      <c r="B908" s="67" t="n"/>
      <c r="C908" s="67" t="n"/>
      <c r="D908" s="67" t="n"/>
      <c r="E908" s="67" t="n"/>
      <c r="F908" s="67" t="inlineStr"/>
      <c r="G908" s="67" t="n"/>
      <c r="H908" t="inlineStr"/>
      <c r="I908" s="67" t="n"/>
      <c r="J908" s="67" t="n"/>
      <c r="K908" s="67" t="n"/>
      <c r="L908" s="67" t="n"/>
      <c r="M908" s="67" t="n"/>
      <c r="N908" s="67" t="n"/>
      <c r="O908" s="67" t="n"/>
      <c r="P908" s="67" t="n"/>
      <c r="Q908" s="67" t="n"/>
      <c r="R908" s="67" t="n"/>
      <c r="S908" s="67" t="n"/>
      <c r="T908" s="67" t="n"/>
      <c r="U908" s="67" t="n"/>
      <c r="V908" s="67" t="n"/>
      <c r="W908" s="67" t="n"/>
      <c r="X908" s="67" t="n"/>
      <c r="Y908" s="67" t="n"/>
      <c r="Z908" s="67" t="n"/>
      <c r="AA908" s="67" t="n"/>
      <c r="AB908" s="67" t="n"/>
    </row>
    <row r="909" ht="15.75" customHeight="1" s="305">
      <c r="A909" s="67" t="n"/>
      <c r="B909" s="67" t="n"/>
      <c r="C909" s="67" t="n"/>
      <c r="D909" s="67" t="n"/>
      <c r="E909" s="67" t="n"/>
      <c r="F909" s="67" t="inlineStr"/>
      <c r="G909" s="67" t="n"/>
      <c r="H909" t="inlineStr"/>
      <c r="I909" s="67" t="n"/>
      <c r="J909" s="67" t="n"/>
      <c r="K909" s="67" t="n"/>
      <c r="L909" s="67" t="n"/>
      <c r="M909" s="67" t="n"/>
      <c r="N909" s="67" t="n"/>
      <c r="O909" s="67" t="n"/>
      <c r="P909" s="67" t="n"/>
      <c r="Q909" s="67" t="n"/>
      <c r="R909" s="67" t="n"/>
      <c r="S909" s="67" t="n"/>
      <c r="T909" s="67" t="n"/>
      <c r="U909" s="67" t="n"/>
      <c r="V909" s="67" t="n"/>
      <c r="W909" s="67" t="n"/>
      <c r="X909" s="67" t="n"/>
      <c r="Y909" s="67" t="n"/>
      <c r="Z909" s="67" t="n"/>
      <c r="AA909" s="67" t="n"/>
      <c r="AB909" s="67" t="n"/>
    </row>
    <row r="910" ht="15.75" customHeight="1" s="305">
      <c r="A910" s="67" t="n"/>
      <c r="B910" s="67" t="n"/>
      <c r="C910" s="67" t="n"/>
      <c r="D910" s="67" t="n"/>
      <c r="E910" s="67" t="n"/>
      <c r="F910" s="67" t="inlineStr"/>
      <c r="G910" s="67" t="n"/>
      <c r="H910" t="inlineStr"/>
      <c r="I910" s="67" t="n"/>
      <c r="J910" s="67" t="n"/>
      <c r="K910" s="67" t="n"/>
      <c r="L910" s="67" t="n"/>
      <c r="M910" s="67" t="n"/>
      <c r="N910" s="67" t="n"/>
      <c r="O910" s="67" t="n"/>
      <c r="P910" s="67" t="n"/>
      <c r="Q910" s="67" t="n"/>
      <c r="R910" s="67" t="n"/>
      <c r="S910" s="67" t="n"/>
      <c r="T910" s="67" t="n"/>
      <c r="U910" s="67" t="n"/>
      <c r="V910" s="67" t="n"/>
      <c r="W910" s="67" t="n"/>
      <c r="X910" s="67" t="n"/>
      <c r="Y910" s="67" t="n"/>
      <c r="Z910" s="67" t="n"/>
      <c r="AA910" s="67" t="n"/>
      <c r="AB910" s="67" t="n"/>
    </row>
    <row r="911" ht="15.75" customHeight="1" s="305">
      <c r="A911" s="67" t="n"/>
      <c r="B911" s="67" t="n"/>
      <c r="C911" s="67" t="n"/>
      <c r="D911" s="67" t="n"/>
      <c r="E911" s="67" t="n"/>
      <c r="F911" s="67" t="inlineStr"/>
      <c r="G911" s="67" t="n"/>
      <c r="H911" t="inlineStr"/>
      <c r="I911" s="67" t="n"/>
      <c r="J911" s="67" t="n"/>
      <c r="K911" s="67" t="n"/>
      <c r="L911" s="67" t="n"/>
      <c r="M911" s="67" t="n"/>
      <c r="N911" s="67" t="n"/>
      <c r="O911" s="67" t="n"/>
      <c r="P911" s="67" t="n"/>
      <c r="Q911" s="67" t="n"/>
      <c r="R911" s="67" t="n"/>
      <c r="S911" s="67" t="n"/>
      <c r="T911" s="67" t="n"/>
      <c r="U911" s="67" t="n"/>
      <c r="V911" s="67" t="n"/>
      <c r="W911" s="67" t="n"/>
      <c r="X911" s="67" t="n"/>
      <c r="Y911" s="67" t="n"/>
      <c r="Z911" s="67" t="n"/>
      <c r="AA911" s="67" t="n"/>
      <c r="AB911" s="67" t="n"/>
    </row>
    <row r="912" ht="15.75" customHeight="1" s="305">
      <c r="A912" s="67" t="n"/>
      <c r="B912" s="67" t="n"/>
      <c r="C912" s="67" t="n"/>
      <c r="D912" s="67" t="n"/>
      <c r="E912" s="67" t="n"/>
      <c r="F912" s="67" t="inlineStr"/>
      <c r="G912" s="67" t="n"/>
      <c r="H912" t="inlineStr"/>
      <c r="I912" s="67" t="n"/>
      <c r="J912" s="67" t="n"/>
      <c r="K912" s="67" t="n"/>
      <c r="L912" s="67" t="n"/>
      <c r="M912" s="67" t="n"/>
      <c r="N912" s="67" t="n"/>
      <c r="O912" s="67" t="n"/>
      <c r="P912" s="67" t="n"/>
      <c r="Q912" s="67" t="n"/>
      <c r="R912" s="67" t="n"/>
      <c r="S912" s="67" t="n"/>
      <c r="T912" s="67" t="n"/>
      <c r="U912" s="67" t="n"/>
      <c r="V912" s="67" t="n"/>
      <c r="W912" s="67" t="n"/>
      <c r="X912" s="67" t="n"/>
      <c r="Y912" s="67" t="n"/>
      <c r="Z912" s="67" t="n"/>
      <c r="AA912" s="67" t="n"/>
      <c r="AB912" s="67" t="n"/>
    </row>
    <row r="913" ht="15.75" customHeight="1" s="305">
      <c r="A913" s="67" t="n"/>
      <c r="B913" s="67" t="n"/>
      <c r="C913" s="67" t="n"/>
      <c r="D913" s="67" t="n"/>
      <c r="E913" s="67" t="n"/>
      <c r="F913" s="67" t="inlineStr"/>
      <c r="G913" s="67" t="n"/>
      <c r="H913" t="inlineStr"/>
      <c r="I913" s="67" t="n"/>
      <c r="J913" s="67" t="n"/>
      <c r="K913" s="67" t="n"/>
      <c r="L913" s="67" t="n"/>
      <c r="M913" s="67" t="n"/>
      <c r="N913" s="67" t="n"/>
      <c r="O913" s="67" t="n"/>
      <c r="P913" s="67" t="n"/>
      <c r="Q913" s="67" t="n"/>
      <c r="R913" s="67" t="n"/>
      <c r="S913" s="67" t="n"/>
      <c r="T913" s="67" t="n"/>
      <c r="U913" s="67" t="n"/>
      <c r="V913" s="67" t="n"/>
      <c r="W913" s="67" t="n"/>
      <c r="X913" s="67" t="n"/>
      <c r="Y913" s="67" t="n"/>
      <c r="Z913" s="67" t="n"/>
      <c r="AA913" s="67" t="n"/>
      <c r="AB913" s="67" t="n"/>
    </row>
    <row r="914" ht="15.75" customHeight="1" s="305">
      <c r="A914" s="67" t="n"/>
      <c r="B914" s="67" t="n"/>
      <c r="C914" s="67" t="n"/>
      <c r="D914" s="67" t="n"/>
      <c r="E914" s="67" t="n"/>
      <c r="F914" s="67" t="inlineStr"/>
      <c r="G914" s="67" t="n"/>
      <c r="H914" t="inlineStr"/>
      <c r="I914" s="67" t="n"/>
      <c r="J914" s="67" t="n"/>
      <c r="K914" s="67" t="n"/>
      <c r="L914" s="67" t="n"/>
      <c r="M914" s="67" t="n"/>
      <c r="N914" s="67" t="n"/>
      <c r="O914" s="67" t="n"/>
      <c r="P914" s="67" t="n"/>
      <c r="Q914" s="67" t="n"/>
      <c r="R914" s="67" t="n"/>
      <c r="S914" s="67" t="n"/>
      <c r="T914" s="67" t="n"/>
      <c r="U914" s="67" t="n"/>
      <c r="V914" s="67" t="n"/>
      <c r="W914" s="67" t="n"/>
      <c r="X914" s="67" t="n"/>
      <c r="Y914" s="67" t="n"/>
      <c r="Z914" s="67" t="n"/>
      <c r="AA914" s="67" t="n"/>
      <c r="AB914" s="67" t="n"/>
    </row>
    <row r="915" ht="15.75" customHeight="1" s="305">
      <c r="A915" s="67" t="n"/>
      <c r="B915" s="67" t="n"/>
      <c r="C915" s="67" t="n"/>
      <c r="D915" s="67" t="n"/>
      <c r="E915" s="67" t="n"/>
      <c r="F915" s="67" t="inlineStr"/>
      <c r="G915" s="67" t="n"/>
      <c r="H915" t="inlineStr"/>
      <c r="I915" s="67" t="n"/>
      <c r="J915" s="67" t="n"/>
      <c r="K915" s="67" t="n"/>
      <c r="L915" s="67" t="n"/>
      <c r="M915" s="67" t="n"/>
      <c r="N915" s="67" t="n"/>
      <c r="O915" s="67" t="n"/>
      <c r="P915" s="67" t="n"/>
      <c r="Q915" s="67" t="n"/>
      <c r="R915" s="67" t="n"/>
      <c r="S915" s="67" t="n"/>
      <c r="T915" s="67" t="n"/>
      <c r="U915" s="67" t="n"/>
      <c r="V915" s="67" t="n"/>
      <c r="W915" s="67" t="n"/>
      <c r="X915" s="67" t="n"/>
      <c r="Y915" s="67" t="n"/>
      <c r="Z915" s="67" t="n"/>
      <c r="AA915" s="67" t="n"/>
      <c r="AB915" s="67" t="n"/>
    </row>
    <row r="916" ht="15.75" customHeight="1" s="305">
      <c r="A916" s="67" t="n"/>
      <c r="B916" s="67" t="n"/>
      <c r="C916" s="67" t="n"/>
      <c r="D916" s="67" t="n"/>
      <c r="E916" s="67" t="n"/>
      <c r="F916" s="67" t="inlineStr"/>
      <c r="G916" s="67" t="n"/>
      <c r="H916" t="inlineStr"/>
      <c r="I916" s="67" t="n"/>
      <c r="J916" s="67" t="n"/>
      <c r="K916" s="67" t="n"/>
      <c r="L916" s="67" t="n"/>
      <c r="M916" s="67" t="n"/>
      <c r="N916" s="67" t="n"/>
      <c r="O916" s="67" t="n"/>
      <c r="P916" s="67" t="n"/>
      <c r="Q916" s="67" t="n"/>
      <c r="R916" s="67" t="n"/>
      <c r="S916" s="67" t="n"/>
      <c r="T916" s="67" t="n"/>
      <c r="U916" s="67" t="n"/>
      <c r="V916" s="67" t="n"/>
      <c r="W916" s="67" t="n"/>
      <c r="X916" s="67" t="n"/>
      <c r="Y916" s="67" t="n"/>
      <c r="Z916" s="67" t="n"/>
      <c r="AA916" s="67" t="n"/>
      <c r="AB916" s="67" t="n"/>
    </row>
    <row r="917" ht="15.75" customHeight="1" s="305">
      <c r="A917" s="67" t="n"/>
      <c r="B917" s="67" t="n"/>
      <c r="C917" s="67" t="n"/>
      <c r="D917" s="67" t="n"/>
      <c r="E917" s="67" t="n"/>
      <c r="F917" s="67" t="inlineStr"/>
      <c r="G917" s="67" t="n"/>
      <c r="H917" t="inlineStr"/>
      <c r="I917" s="67" t="n"/>
      <c r="J917" s="67" t="n"/>
      <c r="K917" s="67" t="n"/>
      <c r="L917" s="67" t="n"/>
      <c r="M917" s="67" t="n"/>
      <c r="N917" s="67" t="n"/>
      <c r="O917" s="67" t="n"/>
      <c r="P917" s="67" t="n"/>
      <c r="Q917" s="67" t="n"/>
      <c r="R917" s="67" t="n"/>
      <c r="S917" s="67" t="n"/>
      <c r="T917" s="67" t="n"/>
      <c r="U917" s="67" t="n"/>
      <c r="V917" s="67" t="n"/>
      <c r="W917" s="67" t="n"/>
      <c r="X917" s="67" t="n"/>
      <c r="Y917" s="67" t="n"/>
      <c r="Z917" s="67" t="n"/>
      <c r="AA917" s="67" t="n"/>
      <c r="AB917" s="67" t="n"/>
    </row>
    <row r="918" ht="15.75" customHeight="1" s="305">
      <c r="A918" s="67" t="n"/>
      <c r="B918" s="67" t="n"/>
      <c r="C918" s="67" t="n"/>
      <c r="D918" s="67" t="n"/>
      <c r="E918" s="67" t="n"/>
      <c r="F918" s="67" t="inlineStr"/>
      <c r="G918" s="67" t="n"/>
      <c r="H918" t="inlineStr"/>
      <c r="I918" s="67" t="n"/>
      <c r="J918" s="67" t="n"/>
      <c r="K918" s="67" t="n"/>
      <c r="L918" s="67" t="n"/>
      <c r="M918" s="67" t="n"/>
      <c r="N918" s="67" t="n"/>
      <c r="O918" s="67" t="n"/>
      <c r="P918" s="67" t="n"/>
      <c r="Q918" s="67" t="n"/>
      <c r="R918" s="67" t="n"/>
      <c r="S918" s="67" t="n"/>
      <c r="T918" s="67" t="n"/>
      <c r="U918" s="67" t="n"/>
      <c r="V918" s="67" t="n"/>
      <c r="W918" s="67" t="n"/>
      <c r="X918" s="67" t="n"/>
      <c r="Y918" s="67" t="n"/>
      <c r="Z918" s="67" t="n"/>
      <c r="AA918" s="67" t="n"/>
      <c r="AB918" s="67" t="n"/>
    </row>
    <row r="919" ht="15.75" customHeight="1" s="305">
      <c r="A919" s="67" t="n"/>
      <c r="B919" s="67" t="n"/>
      <c r="C919" s="67" t="n"/>
      <c r="D919" s="67" t="n"/>
      <c r="E919" s="67" t="n"/>
      <c r="F919" s="67" t="inlineStr"/>
      <c r="G919" s="67" t="n"/>
      <c r="H919" t="inlineStr"/>
      <c r="I919" s="67" t="n"/>
      <c r="J919" s="67" t="n"/>
      <c r="K919" s="67" t="n"/>
      <c r="L919" s="67" t="n"/>
      <c r="M919" s="67" t="n"/>
      <c r="N919" s="67" t="n"/>
      <c r="O919" s="67" t="n"/>
      <c r="P919" s="67" t="n"/>
      <c r="Q919" s="67" t="n"/>
      <c r="R919" s="67" t="n"/>
      <c r="S919" s="67" t="n"/>
      <c r="T919" s="67" t="n"/>
      <c r="U919" s="67" t="n"/>
      <c r="V919" s="67" t="n"/>
      <c r="W919" s="67" t="n"/>
      <c r="X919" s="67" t="n"/>
      <c r="Y919" s="67" t="n"/>
      <c r="Z919" s="67" t="n"/>
      <c r="AA919" s="67" t="n"/>
      <c r="AB919" s="67" t="n"/>
    </row>
    <row r="920" ht="15.75" customHeight="1" s="305">
      <c r="A920" s="67" t="n"/>
      <c r="B920" s="67" t="n"/>
      <c r="C920" s="67" t="n"/>
      <c r="D920" s="67" t="n"/>
      <c r="E920" s="67" t="n"/>
      <c r="F920" s="67" t="inlineStr"/>
      <c r="G920" s="67" t="n"/>
      <c r="H920" t="inlineStr"/>
      <c r="I920" s="67" t="n"/>
      <c r="J920" s="67" t="n"/>
      <c r="K920" s="67" t="n"/>
      <c r="L920" s="67" t="n"/>
      <c r="M920" s="67" t="n"/>
      <c r="N920" s="67" t="n"/>
      <c r="O920" s="67" t="n"/>
      <c r="P920" s="67" t="n"/>
      <c r="Q920" s="67" t="n"/>
      <c r="R920" s="67" t="n"/>
      <c r="S920" s="67" t="n"/>
      <c r="T920" s="67" t="n"/>
      <c r="U920" s="67" t="n"/>
      <c r="V920" s="67" t="n"/>
      <c r="W920" s="67" t="n"/>
      <c r="X920" s="67" t="n"/>
      <c r="Y920" s="67" t="n"/>
      <c r="Z920" s="67" t="n"/>
      <c r="AA920" s="67" t="n"/>
      <c r="AB920" s="67" t="n"/>
    </row>
    <row r="921" ht="15.75" customHeight="1" s="305">
      <c r="A921" s="67" t="n"/>
      <c r="B921" s="67" t="n"/>
      <c r="C921" s="67" t="n"/>
      <c r="D921" s="67" t="n"/>
      <c r="E921" s="67" t="n"/>
      <c r="F921" s="67" t="inlineStr"/>
      <c r="G921" s="67" t="n"/>
      <c r="H921" t="inlineStr"/>
      <c r="I921" s="67" t="n"/>
      <c r="J921" s="67" t="n"/>
      <c r="K921" s="67" t="n"/>
      <c r="L921" s="67" t="n"/>
      <c r="M921" s="67" t="n"/>
      <c r="N921" s="67" t="n"/>
      <c r="O921" s="67" t="n"/>
      <c r="P921" s="67" t="n"/>
      <c r="Q921" s="67" t="n"/>
      <c r="R921" s="67" t="n"/>
      <c r="S921" s="67" t="n"/>
      <c r="T921" s="67" t="n"/>
      <c r="U921" s="67" t="n"/>
      <c r="V921" s="67" t="n"/>
      <c r="W921" s="67" t="n"/>
      <c r="X921" s="67" t="n"/>
      <c r="Y921" s="67" t="n"/>
      <c r="Z921" s="67" t="n"/>
      <c r="AA921" s="67" t="n"/>
      <c r="AB921" s="67" t="n"/>
    </row>
    <row r="922" ht="15.75" customHeight="1" s="305">
      <c r="A922" s="67" t="n"/>
      <c r="B922" s="67" t="n"/>
      <c r="C922" s="67" t="n"/>
      <c r="D922" s="67" t="n"/>
      <c r="E922" s="67" t="n"/>
      <c r="F922" s="67" t="inlineStr"/>
      <c r="G922" s="67" t="n"/>
      <c r="H922" t="inlineStr"/>
      <c r="I922" s="67" t="n"/>
      <c r="J922" s="67" t="n"/>
      <c r="K922" s="67" t="n"/>
      <c r="L922" s="67" t="n"/>
      <c r="M922" s="67" t="n"/>
      <c r="N922" s="67" t="n"/>
      <c r="O922" s="67" t="n"/>
      <c r="P922" s="67" t="n"/>
      <c r="Q922" s="67" t="n"/>
      <c r="R922" s="67" t="n"/>
      <c r="S922" s="67" t="n"/>
      <c r="T922" s="67" t="n"/>
      <c r="U922" s="67" t="n"/>
      <c r="V922" s="67" t="n"/>
      <c r="W922" s="67" t="n"/>
      <c r="X922" s="67" t="n"/>
      <c r="Y922" s="67" t="n"/>
      <c r="Z922" s="67" t="n"/>
      <c r="AA922" s="67" t="n"/>
      <c r="AB922" s="67" t="n"/>
    </row>
    <row r="923" ht="15.75" customHeight="1" s="305">
      <c r="A923" s="67" t="n"/>
      <c r="B923" s="67" t="n"/>
      <c r="C923" s="67" t="n"/>
      <c r="D923" s="67" t="n"/>
      <c r="E923" s="67" t="n"/>
      <c r="F923" s="67" t="inlineStr"/>
      <c r="G923" s="67" t="n"/>
      <c r="H923" t="inlineStr"/>
      <c r="I923" s="67" t="n"/>
      <c r="J923" s="67" t="n"/>
      <c r="K923" s="67" t="n"/>
      <c r="L923" s="67" t="n"/>
      <c r="M923" s="67" t="n"/>
      <c r="N923" s="67" t="n"/>
      <c r="O923" s="67" t="n"/>
      <c r="P923" s="67" t="n"/>
      <c r="Q923" s="67" t="n"/>
      <c r="R923" s="67" t="n"/>
      <c r="S923" s="67" t="n"/>
      <c r="T923" s="67" t="n"/>
      <c r="U923" s="67" t="n"/>
      <c r="V923" s="67" t="n"/>
      <c r="W923" s="67" t="n"/>
      <c r="X923" s="67" t="n"/>
      <c r="Y923" s="67" t="n"/>
      <c r="Z923" s="67" t="n"/>
      <c r="AA923" s="67" t="n"/>
      <c r="AB923" s="67" t="n"/>
    </row>
    <row r="924" ht="15.75" customHeight="1" s="305">
      <c r="A924" s="67" t="n"/>
      <c r="B924" s="67" t="n"/>
      <c r="C924" s="67" t="n"/>
      <c r="D924" s="67" t="n"/>
      <c r="E924" s="67" t="n"/>
      <c r="F924" s="67" t="inlineStr"/>
      <c r="G924" s="67" t="n"/>
      <c r="H924" t="inlineStr"/>
      <c r="I924" s="67" t="n"/>
      <c r="J924" s="67" t="n"/>
      <c r="K924" s="67" t="n"/>
      <c r="L924" s="67" t="n"/>
      <c r="M924" s="67" t="n"/>
      <c r="N924" s="67" t="n"/>
      <c r="O924" s="67" t="n"/>
      <c r="P924" s="67" t="n"/>
      <c r="Q924" s="67" t="n"/>
      <c r="R924" s="67" t="n"/>
      <c r="S924" s="67" t="n"/>
      <c r="T924" s="67" t="n"/>
      <c r="U924" s="67" t="n"/>
      <c r="V924" s="67" t="n"/>
      <c r="W924" s="67" t="n"/>
      <c r="X924" s="67" t="n"/>
      <c r="Y924" s="67" t="n"/>
      <c r="Z924" s="67" t="n"/>
      <c r="AA924" s="67" t="n"/>
      <c r="AB924" s="67" t="n"/>
    </row>
    <row r="925" ht="15.75" customHeight="1" s="305">
      <c r="A925" s="67" t="n"/>
      <c r="B925" s="67" t="n"/>
      <c r="C925" s="67" t="n"/>
      <c r="D925" s="67" t="n"/>
      <c r="E925" s="67" t="n"/>
      <c r="F925" s="67" t="inlineStr"/>
      <c r="G925" s="67" t="n"/>
      <c r="H925" t="inlineStr"/>
      <c r="I925" s="67" t="n"/>
      <c r="J925" s="67" t="n"/>
      <c r="K925" s="67" t="n"/>
      <c r="L925" s="67" t="n"/>
      <c r="M925" s="67" t="n"/>
      <c r="N925" s="67" t="n"/>
      <c r="O925" s="67" t="n"/>
      <c r="P925" s="67" t="n"/>
      <c r="Q925" s="67" t="n"/>
      <c r="R925" s="67" t="n"/>
      <c r="S925" s="67" t="n"/>
      <c r="T925" s="67" t="n"/>
      <c r="U925" s="67" t="n"/>
      <c r="V925" s="67" t="n"/>
      <c r="W925" s="67" t="n"/>
      <c r="X925" s="67" t="n"/>
      <c r="Y925" s="67" t="n"/>
      <c r="Z925" s="67" t="n"/>
      <c r="AA925" s="67" t="n"/>
      <c r="AB925" s="67" t="n"/>
    </row>
    <row r="926" ht="15.75" customHeight="1" s="305">
      <c r="A926" s="67" t="n"/>
      <c r="B926" s="67" t="n"/>
      <c r="C926" s="67" t="n"/>
      <c r="D926" s="67" t="n"/>
      <c r="E926" s="67" t="n"/>
      <c r="F926" s="67" t="inlineStr"/>
      <c r="G926" s="67" t="n"/>
      <c r="H926" t="inlineStr"/>
      <c r="I926" s="67" t="n"/>
      <c r="J926" s="67" t="n"/>
      <c r="K926" s="67" t="n"/>
      <c r="L926" s="67" t="n"/>
      <c r="M926" s="67" t="n"/>
      <c r="N926" s="67" t="n"/>
      <c r="O926" s="67" t="n"/>
      <c r="P926" s="67" t="n"/>
      <c r="Q926" s="67" t="n"/>
      <c r="R926" s="67" t="n"/>
      <c r="S926" s="67" t="n"/>
      <c r="T926" s="67" t="n"/>
      <c r="U926" s="67" t="n"/>
      <c r="V926" s="67" t="n"/>
      <c r="W926" s="67" t="n"/>
      <c r="X926" s="67" t="n"/>
      <c r="Y926" s="67" t="n"/>
      <c r="Z926" s="67" t="n"/>
      <c r="AA926" s="67" t="n"/>
      <c r="AB926" s="67" t="n"/>
    </row>
    <row r="927" ht="15.75" customHeight="1" s="305">
      <c r="A927" s="67" t="n"/>
      <c r="B927" s="67" t="n"/>
      <c r="C927" s="67" t="n"/>
      <c r="D927" s="67" t="n"/>
      <c r="E927" s="67" t="n"/>
      <c r="F927" s="67" t="inlineStr"/>
      <c r="G927" s="67" t="n"/>
      <c r="H927" t="inlineStr"/>
      <c r="I927" s="67" t="n"/>
      <c r="J927" s="67" t="n"/>
      <c r="K927" s="67" t="n"/>
      <c r="L927" s="67" t="n"/>
      <c r="M927" s="67" t="n"/>
      <c r="N927" s="67" t="n"/>
      <c r="O927" s="67" t="n"/>
      <c r="P927" s="67" t="n"/>
      <c r="Q927" s="67" t="n"/>
      <c r="R927" s="67" t="n"/>
      <c r="S927" s="67" t="n"/>
      <c r="T927" s="67" t="n"/>
      <c r="U927" s="67" t="n"/>
      <c r="V927" s="67" t="n"/>
      <c r="W927" s="67" t="n"/>
      <c r="X927" s="67" t="n"/>
      <c r="Y927" s="67" t="n"/>
      <c r="Z927" s="67" t="n"/>
      <c r="AA927" s="67" t="n"/>
      <c r="AB927" s="67" t="n"/>
    </row>
    <row r="928" ht="15.75" customHeight="1" s="305">
      <c r="A928" s="67" t="n"/>
      <c r="B928" s="67" t="n"/>
      <c r="C928" s="67" t="n"/>
      <c r="D928" s="67" t="n"/>
      <c r="E928" s="67" t="n"/>
      <c r="F928" s="67" t="inlineStr"/>
      <c r="G928" s="67" t="n"/>
      <c r="H928" t="inlineStr"/>
      <c r="I928" s="67" t="n"/>
      <c r="J928" s="67" t="n"/>
      <c r="K928" s="67" t="n"/>
      <c r="L928" s="67" t="n"/>
      <c r="M928" s="67" t="n"/>
      <c r="N928" s="67" t="n"/>
      <c r="O928" s="67" t="n"/>
      <c r="P928" s="67" t="n"/>
      <c r="Q928" s="67" t="n"/>
      <c r="R928" s="67" t="n"/>
      <c r="S928" s="67" t="n"/>
      <c r="T928" s="67" t="n"/>
      <c r="U928" s="67" t="n"/>
      <c r="V928" s="67" t="n"/>
      <c r="W928" s="67" t="n"/>
      <c r="X928" s="67" t="n"/>
      <c r="Y928" s="67" t="n"/>
      <c r="Z928" s="67" t="n"/>
      <c r="AA928" s="67" t="n"/>
      <c r="AB928" s="67" t="n"/>
    </row>
    <row r="929" ht="15.75" customHeight="1" s="305">
      <c r="A929" s="67" t="n"/>
      <c r="B929" s="67" t="n"/>
      <c r="C929" s="67" t="n"/>
      <c r="D929" s="67" t="n"/>
      <c r="E929" s="67" t="n"/>
      <c r="F929" s="67" t="inlineStr"/>
      <c r="G929" s="67" t="n"/>
      <c r="H929" t="inlineStr"/>
      <c r="I929" s="67" t="n"/>
      <c r="J929" s="67" t="n"/>
      <c r="K929" s="67" t="n"/>
      <c r="L929" s="67" t="n"/>
      <c r="M929" s="67" t="n"/>
      <c r="N929" s="67" t="n"/>
      <c r="O929" s="67" t="n"/>
      <c r="P929" s="67" t="n"/>
      <c r="Q929" s="67" t="n"/>
      <c r="R929" s="67" t="n"/>
      <c r="S929" s="67" t="n"/>
      <c r="T929" s="67" t="n"/>
      <c r="U929" s="67" t="n"/>
      <c r="V929" s="67" t="n"/>
      <c r="W929" s="67" t="n"/>
      <c r="X929" s="67" t="n"/>
      <c r="Y929" s="67" t="n"/>
      <c r="Z929" s="67" t="n"/>
      <c r="AA929" s="67" t="n"/>
      <c r="AB929" s="67" t="n"/>
    </row>
    <row r="930" ht="15.75" customHeight="1" s="305">
      <c r="A930" s="67" t="n"/>
      <c r="B930" s="67" t="n"/>
      <c r="C930" s="67" t="n"/>
      <c r="D930" s="67" t="n"/>
      <c r="E930" s="67" t="n"/>
      <c r="F930" s="67" t="inlineStr"/>
      <c r="G930" s="67" t="n"/>
      <c r="H930" t="inlineStr"/>
      <c r="I930" s="67" t="n"/>
      <c r="J930" s="67" t="n"/>
      <c r="K930" s="67" t="n"/>
      <c r="L930" s="67" t="n"/>
      <c r="M930" s="67" t="n"/>
      <c r="N930" s="67" t="n"/>
      <c r="O930" s="67" t="n"/>
      <c r="P930" s="67" t="n"/>
      <c r="Q930" s="67" t="n"/>
      <c r="R930" s="67" t="n"/>
      <c r="S930" s="67" t="n"/>
      <c r="T930" s="67" t="n"/>
      <c r="U930" s="67" t="n"/>
      <c r="V930" s="67" t="n"/>
      <c r="W930" s="67" t="n"/>
      <c r="X930" s="67" t="n"/>
      <c r="Y930" s="67" t="n"/>
      <c r="Z930" s="67" t="n"/>
      <c r="AA930" s="67" t="n"/>
      <c r="AB930" s="67" t="n"/>
    </row>
    <row r="931" ht="15.75" customHeight="1" s="305">
      <c r="A931" s="67" t="n"/>
      <c r="B931" s="67" t="n"/>
      <c r="C931" s="67" t="n"/>
      <c r="D931" s="67" t="n"/>
      <c r="E931" s="67" t="n"/>
      <c r="F931" s="67" t="inlineStr"/>
      <c r="G931" s="67" t="n"/>
      <c r="H931" t="inlineStr"/>
      <c r="I931" s="67" t="n"/>
      <c r="J931" s="67" t="n"/>
      <c r="K931" s="67" t="n"/>
      <c r="L931" s="67" t="n"/>
      <c r="M931" s="67" t="n"/>
      <c r="N931" s="67" t="n"/>
      <c r="O931" s="67" t="n"/>
      <c r="P931" s="67" t="n"/>
      <c r="Q931" s="67" t="n"/>
      <c r="R931" s="67" t="n"/>
      <c r="S931" s="67" t="n"/>
      <c r="T931" s="67" t="n"/>
      <c r="U931" s="67" t="n"/>
      <c r="V931" s="67" t="n"/>
      <c r="W931" s="67" t="n"/>
      <c r="X931" s="67" t="n"/>
      <c r="Y931" s="67" t="n"/>
      <c r="Z931" s="67" t="n"/>
      <c r="AA931" s="67" t="n"/>
      <c r="AB931" s="67" t="n"/>
    </row>
    <row r="932" ht="15.75" customHeight="1" s="305">
      <c r="A932" s="67" t="n"/>
      <c r="B932" s="67" t="n"/>
      <c r="C932" s="67" t="n"/>
      <c r="D932" s="67" t="n"/>
      <c r="E932" s="67" t="n"/>
      <c r="F932" s="67" t="inlineStr"/>
      <c r="G932" s="67" t="n"/>
      <c r="H932" t="inlineStr"/>
      <c r="I932" s="67" t="n"/>
      <c r="J932" s="67" t="n"/>
      <c r="K932" s="67" t="n"/>
      <c r="L932" s="67" t="n"/>
      <c r="M932" s="67" t="n"/>
      <c r="N932" s="67" t="n"/>
      <c r="O932" s="67" t="n"/>
      <c r="P932" s="67" t="n"/>
      <c r="Q932" s="67" t="n"/>
      <c r="R932" s="67" t="n"/>
      <c r="S932" s="67" t="n"/>
      <c r="T932" s="67" t="n"/>
      <c r="U932" s="67" t="n"/>
      <c r="V932" s="67" t="n"/>
      <c r="W932" s="67" t="n"/>
      <c r="X932" s="67" t="n"/>
      <c r="Y932" s="67" t="n"/>
      <c r="Z932" s="67" t="n"/>
      <c r="AA932" s="67" t="n"/>
      <c r="AB932" s="67" t="n"/>
    </row>
    <row r="933" ht="15.75" customHeight="1" s="305">
      <c r="A933" s="67" t="n"/>
      <c r="B933" s="67" t="n"/>
      <c r="C933" s="67" t="n"/>
      <c r="D933" s="67" t="n"/>
      <c r="E933" s="67" t="n"/>
      <c r="F933" s="67" t="inlineStr"/>
      <c r="G933" s="67" t="n"/>
      <c r="H933" t="inlineStr"/>
      <c r="I933" s="67" t="n"/>
      <c r="J933" s="67" t="n"/>
      <c r="K933" s="67" t="n"/>
      <c r="L933" s="67" t="n"/>
      <c r="M933" s="67" t="n"/>
      <c r="N933" s="67" t="n"/>
      <c r="O933" s="67" t="n"/>
      <c r="P933" s="67" t="n"/>
      <c r="Q933" s="67" t="n"/>
      <c r="R933" s="67" t="n"/>
      <c r="S933" s="67" t="n"/>
      <c r="T933" s="67" t="n"/>
      <c r="U933" s="67" t="n"/>
      <c r="V933" s="67" t="n"/>
      <c r="W933" s="67" t="n"/>
      <c r="X933" s="67" t="n"/>
      <c r="Y933" s="67" t="n"/>
      <c r="Z933" s="67" t="n"/>
      <c r="AA933" s="67" t="n"/>
      <c r="AB933" s="67" t="n"/>
    </row>
    <row r="934" ht="15.75" customHeight="1" s="305">
      <c r="A934" s="67" t="n"/>
      <c r="B934" s="67" t="n"/>
      <c r="C934" s="67" t="n"/>
      <c r="D934" s="67" t="n"/>
      <c r="E934" s="67" t="n"/>
      <c r="F934" s="67" t="inlineStr"/>
      <c r="G934" s="67" t="n"/>
      <c r="H934" t="inlineStr"/>
      <c r="I934" s="67" t="n"/>
      <c r="J934" s="67" t="n"/>
      <c r="K934" s="67" t="n"/>
      <c r="L934" s="67" t="n"/>
      <c r="M934" s="67" t="n"/>
      <c r="N934" s="67" t="n"/>
      <c r="O934" s="67" t="n"/>
      <c r="P934" s="67" t="n"/>
      <c r="Q934" s="67" t="n"/>
      <c r="R934" s="67" t="n"/>
      <c r="S934" s="67" t="n"/>
      <c r="T934" s="67" t="n"/>
      <c r="U934" s="67" t="n"/>
      <c r="V934" s="67" t="n"/>
      <c r="W934" s="67" t="n"/>
      <c r="X934" s="67" t="n"/>
      <c r="Y934" s="67" t="n"/>
      <c r="Z934" s="67" t="n"/>
      <c r="AA934" s="67" t="n"/>
      <c r="AB934" s="67" t="n"/>
    </row>
    <row r="935" ht="15.75" customHeight="1" s="305">
      <c r="A935" s="67" t="n"/>
      <c r="B935" s="67" t="n"/>
      <c r="C935" s="67" t="n"/>
      <c r="D935" s="67" t="n"/>
      <c r="E935" s="67" t="n"/>
      <c r="F935" s="67" t="inlineStr"/>
      <c r="G935" s="67" t="n"/>
      <c r="H935" t="inlineStr"/>
      <c r="I935" s="67" t="n"/>
      <c r="J935" s="67" t="n"/>
      <c r="K935" s="67" t="n"/>
      <c r="L935" s="67" t="n"/>
      <c r="M935" s="67" t="n"/>
      <c r="N935" s="67" t="n"/>
      <c r="O935" s="67" t="n"/>
      <c r="P935" s="67" t="n"/>
      <c r="Q935" s="67" t="n"/>
      <c r="R935" s="67" t="n"/>
      <c r="S935" s="67" t="n"/>
      <c r="T935" s="67" t="n"/>
      <c r="U935" s="67" t="n"/>
      <c r="V935" s="67" t="n"/>
      <c r="W935" s="67" t="n"/>
      <c r="X935" s="67" t="n"/>
      <c r="Y935" s="67" t="n"/>
      <c r="Z935" s="67" t="n"/>
      <c r="AA935" s="67" t="n"/>
      <c r="AB935" s="67" t="n"/>
    </row>
    <row r="936" ht="15.75" customHeight="1" s="305">
      <c r="A936" s="67" t="n"/>
      <c r="B936" s="67" t="n"/>
      <c r="C936" s="67" t="n"/>
      <c r="D936" s="67" t="n"/>
      <c r="E936" s="67" t="n"/>
      <c r="F936" s="67" t="inlineStr"/>
      <c r="G936" s="67" t="n"/>
      <c r="H936" t="inlineStr"/>
      <c r="I936" s="67" t="n"/>
      <c r="J936" s="67" t="n"/>
      <c r="K936" s="67" t="n"/>
      <c r="L936" s="67" t="n"/>
      <c r="M936" s="67" t="n"/>
      <c r="N936" s="67" t="n"/>
      <c r="O936" s="67" t="n"/>
      <c r="P936" s="67" t="n"/>
      <c r="Q936" s="67" t="n"/>
      <c r="R936" s="67" t="n"/>
      <c r="S936" s="67" t="n"/>
      <c r="T936" s="67" t="n"/>
      <c r="U936" s="67" t="n"/>
      <c r="V936" s="67" t="n"/>
      <c r="W936" s="67" t="n"/>
      <c r="X936" s="67" t="n"/>
      <c r="Y936" s="67" t="n"/>
      <c r="Z936" s="67" t="n"/>
      <c r="AA936" s="67" t="n"/>
      <c r="AB936" s="67" t="n"/>
    </row>
    <row r="937" ht="15.75" customHeight="1" s="305">
      <c r="A937" s="67" t="n"/>
      <c r="B937" s="67" t="n"/>
      <c r="C937" s="67" t="n"/>
      <c r="D937" s="67" t="n"/>
      <c r="E937" s="67" t="n"/>
      <c r="F937" s="67" t="inlineStr"/>
      <c r="G937" s="67" t="n"/>
      <c r="H937" t="inlineStr"/>
      <c r="I937" s="67" t="n"/>
      <c r="J937" s="67" t="n"/>
      <c r="K937" s="67" t="n"/>
      <c r="L937" s="67" t="n"/>
      <c r="M937" s="67" t="n"/>
      <c r="N937" s="67" t="n"/>
      <c r="O937" s="67" t="n"/>
      <c r="P937" s="67" t="n"/>
      <c r="Q937" s="67" t="n"/>
      <c r="R937" s="67" t="n"/>
      <c r="S937" s="67" t="n"/>
      <c r="T937" s="67" t="n"/>
      <c r="U937" s="67" t="n"/>
      <c r="V937" s="67" t="n"/>
      <c r="W937" s="67" t="n"/>
      <c r="X937" s="67" t="n"/>
      <c r="Y937" s="67" t="n"/>
      <c r="Z937" s="67" t="n"/>
      <c r="AA937" s="67" t="n"/>
      <c r="AB937" s="67" t="n"/>
    </row>
    <row r="938" ht="15.75" customHeight="1" s="305">
      <c r="A938" s="67" t="n"/>
      <c r="B938" s="67" t="n"/>
      <c r="C938" s="67" t="n"/>
      <c r="D938" s="67" t="n"/>
      <c r="E938" s="67" t="n"/>
      <c r="F938" s="67" t="inlineStr"/>
      <c r="G938" s="67" t="n"/>
      <c r="H938" t="inlineStr"/>
      <c r="I938" s="67" t="n"/>
      <c r="J938" s="67" t="n"/>
      <c r="K938" s="67" t="n"/>
      <c r="L938" s="67" t="n"/>
      <c r="M938" s="67" t="n"/>
      <c r="N938" s="67" t="n"/>
      <c r="O938" s="67" t="n"/>
      <c r="P938" s="67" t="n"/>
      <c r="Q938" s="67" t="n"/>
      <c r="R938" s="67" t="n"/>
      <c r="S938" s="67" t="n"/>
      <c r="T938" s="67" t="n"/>
      <c r="U938" s="67" t="n"/>
      <c r="V938" s="67" t="n"/>
      <c r="W938" s="67" t="n"/>
      <c r="X938" s="67" t="n"/>
      <c r="Y938" s="67" t="n"/>
      <c r="Z938" s="67" t="n"/>
      <c r="AA938" s="67" t="n"/>
      <c r="AB938" s="67" t="n"/>
    </row>
    <row r="939" ht="15.75" customHeight="1" s="305">
      <c r="A939" s="67" t="n"/>
      <c r="B939" s="67" t="n"/>
      <c r="C939" s="67" t="n"/>
      <c r="D939" s="67" t="n"/>
      <c r="E939" s="67" t="n"/>
      <c r="F939" s="67" t="inlineStr"/>
      <c r="G939" s="67" t="n"/>
      <c r="H939" t="inlineStr"/>
      <c r="I939" s="67" t="n"/>
      <c r="J939" s="67" t="n"/>
      <c r="K939" s="67" t="n"/>
      <c r="L939" s="67" t="n"/>
      <c r="M939" s="67" t="n"/>
      <c r="N939" s="67" t="n"/>
      <c r="O939" s="67" t="n"/>
      <c r="P939" s="67" t="n"/>
      <c r="Q939" s="67" t="n"/>
      <c r="R939" s="67" t="n"/>
      <c r="S939" s="67" t="n"/>
      <c r="T939" s="67" t="n"/>
      <c r="U939" s="67" t="n"/>
      <c r="V939" s="67" t="n"/>
      <c r="W939" s="67" t="n"/>
      <c r="X939" s="67" t="n"/>
      <c r="Y939" s="67" t="n"/>
      <c r="Z939" s="67" t="n"/>
      <c r="AA939" s="67" t="n"/>
      <c r="AB939" s="67" t="n"/>
    </row>
    <row r="940" ht="15.75" customHeight="1" s="305">
      <c r="A940" s="67" t="n"/>
      <c r="B940" s="67" t="n"/>
      <c r="C940" s="67" t="n"/>
      <c r="D940" s="67" t="n"/>
      <c r="E940" s="67" t="n"/>
      <c r="F940" s="67" t="inlineStr"/>
      <c r="G940" s="67" t="n"/>
      <c r="H940" t="inlineStr"/>
      <c r="I940" s="67" t="n"/>
      <c r="J940" s="67" t="n"/>
      <c r="K940" s="67" t="n"/>
      <c r="L940" s="67" t="n"/>
      <c r="M940" s="67" t="n"/>
      <c r="N940" s="67" t="n"/>
      <c r="O940" s="67" t="n"/>
      <c r="P940" s="67" t="n"/>
      <c r="Q940" s="67" t="n"/>
      <c r="R940" s="67" t="n"/>
      <c r="S940" s="67" t="n"/>
      <c r="T940" s="67" t="n"/>
      <c r="U940" s="67" t="n"/>
      <c r="V940" s="67" t="n"/>
      <c r="W940" s="67" t="n"/>
      <c r="X940" s="67" t="n"/>
      <c r="Y940" s="67" t="n"/>
      <c r="Z940" s="67" t="n"/>
      <c r="AA940" s="67" t="n"/>
      <c r="AB940" s="67" t="n"/>
    </row>
    <row r="941" ht="15.75" customHeight="1" s="305">
      <c r="A941" s="67" t="n"/>
      <c r="B941" s="67" t="n"/>
      <c r="C941" s="67" t="n"/>
      <c r="D941" s="67" t="n"/>
      <c r="E941" s="67" t="n"/>
      <c r="F941" s="67" t="inlineStr"/>
      <c r="G941" s="67" t="n"/>
      <c r="H941" t="inlineStr"/>
      <c r="I941" s="67" t="n"/>
      <c r="J941" s="67" t="n"/>
      <c r="K941" s="67" t="n"/>
      <c r="L941" s="67" t="n"/>
      <c r="M941" s="67" t="n"/>
      <c r="N941" s="67" t="n"/>
      <c r="O941" s="67" t="n"/>
      <c r="P941" s="67" t="n"/>
      <c r="Q941" s="67" t="n"/>
      <c r="R941" s="67" t="n"/>
      <c r="S941" s="67" t="n"/>
      <c r="T941" s="67" t="n"/>
      <c r="U941" s="67" t="n"/>
      <c r="V941" s="67" t="n"/>
      <c r="W941" s="67" t="n"/>
      <c r="X941" s="67" t="n"/>
      <c r="Y941" s="67" t="n"/>
      <c r="Z941" s="67" t="n"/>
      <c r="AA941" s="67" t="n"/>
      <c r="AB941" s="67" t="n"/>
    </row>
    <row r="942" ht="15.75" customHeight="1" s="305">
      <c r="A942" s="67" t="n"/>
      <c r="B942" s="67" t="n"/>
      <c r="C942" s="67" t="n"/>
      <c r="D942" s="67" t="n"/>
      <c r="E942" s="67" t="n"/>
      <c r="F942" s="67" t="inlineStr"/>
      <c r="G942" s="67" t="n"/>
      <c r="H942" t="inlineStr"/>
      <c r="I942" s="67" t="n"/>
      <c r="J942" s="67" t="n"/>
      <c r="K942" s="67" t="n"/>
      <c r="L942" s="67" t="n"/>
      <c r="M942" s="67" t="n"/>
      <c r="N942" s="67" t="n"/>
      <c r="O942" s="67" t="n"/>
      <c r="P942" s="67" t="n"/>
      <c r="Q942" s="67" t="n"/>
      <c r="R942" s="67" t="n"/>
      <c r="S942" s="67" t="n"/>
      <c r="T942" s="67" t="n"/>
      <c r="U942" s="67" t="n"/>
      <c r="V942" s="67" t="n"/>
      <c r="W942" s="67" t="n"/>
      <c r="X942" s="67" t="n"/>
      <c r="Y942" s="67" t="n"/>
      <c r="Z942" s="67" t="n"/>
      <c r="AA942" s="67" t="n"/>
      <c r="AB942" s="67" t="n"/>
    </row>
    <row r="943" ht="15.75" customHeight="1" s="305">
      <c r="A943" s="67" t="n"/>
      <c r="B943" s="67" t="n"/>
      <c r="C943" s="67" t="n"/>
      <c r="D943" s="67" t="n"/>
      <c r="E943" s="67" t="n"/>
      <c r="F943" s="67" t="inlineStr"/>
      <c r="G943" s="67" t="n"/>
      <c r="H943" t="inlineStr"/>
      <c r="I943" s="67" t="n"/>
      <c r="J943" s="67" t="n"/>
      <c r="K943" s="67" t="n"/>
      <c r="L943" s="67" t="n"/>
      <c r="M943" s="67" t="n"/>
      <c r="N943" s="67" t="n"/>
      <c r="O943" s="67" t="n"/>
      <c r="P943" s="67" t="n"/>
      <c r="Q943" s="67" t="n"/>
      <c r="R943" s="67" t="n"/>
      <c r="S943" s="67" t="n"/>
      <c r="T943" s="67" t="n"/>
      <c r="U943" s="67" t="n"/>
      <c r="V943" s="67" t="n"/>
      <c r="W943" s="67" t="n"/>
      <c r="X943" s="67" t="n"/>
      <c r="Y943" s="67" t="n"/>
      <c r="Z943" s="67" t="n"/>
      <c r="AA943" s="67" t="n"/>
      <c r="AB943" s="67" t="n"/>
    </row>
    <row r="944" ht="15.75" customHeight="1" s="305">
      <c r="A944" s="67" t="n"/>
      <c r="B944" s="67" t="n"/>
      <c r="C944" s="67" t="n"/>
      <c r="D944" s="67" t="n"/>
      <c r="E944" s="67" t="n"/>
      <c r="F944" s="67" t="inlineStr"/>
      <c r="G944" s="67" t="n"/>
      <c r="H944" t="inlineStr"/>
      <c r="I944" s="67" t="n"/>
      <c r="J944" s="67" t="n"/>
      <c r="K944" s="67" t="n"/>
      <c r="L944" s="67" t="n"/>
      <c r="M944" s="67" t="n"/>
      <c r="N944" s="67" t="n"/>
      <c r="O944" s="67" t="n"/>
      <c r="P944" s="67" t="n"/>
      <c r="Q944" s="67" t="n"/>
      <c r="R944" s="67" t="n"/>
      <c r="S944" s="67" t="n"/>
      <c r="T944" s="67" t="n"/>
      <c r="U944" s="67" t="n"/>
      <c r="V944" s="67" t="n"/>
      <c r="W944" s="67" t="n"/>
      <c r="X944" s="67" t="n"/>
      <c r="Y944" s="67" t="n"/>
      <c r="Z944" s="67" t="n"/>
      <c r="AA944" s="67" t="n"/>
      <c r="AB944" s="67" t="n"/>
    </row>
    <row r="945" ht="15.75" customHeight="1" s="305">
      <c r="A945" s="67" t="n"/>
      <c r="B945" s="67" t="n"/>
      <c r="C945" s="67" t="n"/>
      <c r="D945" s="67" t="n"/>
      <c r="E945" s="67" t="n"/>
      <c r="F945" s="67" t="inlineStr"/>
      <c r="G945" s="67" t="n"/>
      <c r="H945" t="inlineStr"/>
      <c r="I945" s="67" t="n"/>
      <c r="J945" s="67" t="n"/>
      <c r="K945" s="67" t="n"/>
      <c r="L945" s="67" t="n"/>
      <c r="M945" s="67" t="n"/>
      <c r="N945" s="67" t="n"/>
      <c r="O945" s="67" t="n"/>
      <c r="P945" s="67" t="n"/>
      <c r="Q945" s="67" t="n"/>
      <c r="R945" s="67" t="n"/>
      <c r="S945" s="67" t="n"/>
      <c r="T945" s="67" t="n"/>
      <c r="U945" s="67" t="n"/>
      <c r="V945" s="67" t="n"/>
      <c r="W945" s="67" t="n"/>
      <c r="X945" s="67" t="n"/>
      <c r="Y945" s="67" t="n"/>
      <c r="Z945" s="67" t="n"/>
      <c r="AA945" s="67" t="n"/>
      <c r="AB945" s="67" t="n"/>
    </row>
    <row r="946" ht="15.75" customHeight="1" s="305">
      <c r="A946" s="67" t="n"/>
      <c r="B946" s="67" t="n"/>
      <c r="C946" s="67" t="n"/>
      <c r="D946" s="67" t="n"/>
      <c r="E946" s="67" t="n"/>
      <c r="F946" s="67" t="inlineStr"/>
      <c r="G946" s="67" t="n"/>
      <c r="H946" t="inlineStr"/>
      <c r="I946" s="67" t="n"/>
      <c r="J946" s="67" t="n"/>
      <c r="K946" s="67" t="n"/>
      <c r="L946" s="67" t="n"/>
      <c r="M946" s="67" t="n"/>
      <c r="N946" s="67" t="n"/>
      <c r="O946" s="67" t="n"/>
      <c r="P946" s="67" t="n"/>
      <c r="Q946" s="67" t="n"/>
      <c r="R946" s="67" t="n"/>
      <c r="S946" s="67" t="n"/>
      <c r="T946" s="67" t="n"/>
      <c r="U946" s="67" t="n"/>
      <c r="V946" s="67" t="n"/>
      <c r="W946" s="67" t="n"/>
      <c r="X946" s="67" t="n"/>
      <c r="Y946" s="67" t="n"/>
      <c r="Z946" s="67" t="n"/>
      <c r="AA946" s="67" t="n"/>
      <c r="AB946" s="67" t="n"/>
    </row>
    <row r="947" ht="15.75" customHeight="1" s="305">
      <c r="A947" s="67" t="n"/>
      <c r="B947" s="67" t="n"/>
      <c r="C947" s="67" t="n"/>
      <c r="D947" s="67" t="n"/>
      <c r="E947" s="67" t="n"/>
      <c r="F947" s="67" t="inlineStr"/>
      <c r="G947" s="67" t="n"/>
      <c r="H947" t="inlineStr"/>
      <c r="I947" s="67" t="n"/>
      <c r="J947" s="67" t="n"/>
      <c r="K947" s="67" t="n"/>
      <c r="L947" s="67" t="n"/>
      <c r="M947" s="67" t="n"/>
      <c r="N947" s="67" t="n"/>
      <c r="O947" s="67" t="n"/>
      <c r="P947" s="67" t="n"/>
      <c r="Q947" s="67" t="n"/>
      <c r="R947" s="67" t="n"/>
      <c r="S947" s="67" t="n"/>
      <c r="T947" s="67" t="n"/>
      <c r="U947" s="67" t="n"/>
      <c r="V947" s="67" t="n"/>
      <c r="W947" s="67" t="n"/>
      <c r="X947" s="67" t="n"/>
      <c r="Y947" s="67" t="n"/>
      <c r="Z947" s="67" t="n"/>
      <c r="AA947" s="67" t="n"/>
      <c r="AB947" s="67" t="n"/>
    </row>
    <row r="948" ht="15.75" customHeight="1" s="305">
      <c r="A948" s="67" t="n"/>
      <c r="B948" s="67" t="n"/>
      <c r="C948" s="67" t="n"/>
      <c r="D948" s="67" t="n"/>
      <c r="E948" s="67" t="n"/>
      <c r="F948" s="67" t="inlineStr"/>
      <c r="G948" s="67" t="n"/>
      <c r="H948" t="inlineStr"/>
      <c r="I948" s="67" t="n"/>
      <c r="J948" s="67" t="n"/>
      <c r="K948" s="67" t="n"/>
      <c r="L948" s="67" t="n"/>
      <c r="M948" s="67" t="n"/>
      <c r="N948" s="67" t="n"/>
      <c r="O948" s="67" t="n"/>
      <c r="P948" s="67" t="n"/>
      <c r="Q948" s="67" t="n"/>
      <c r="R948" s="67" t="n"/>
      <c r="S948" s="67" t="n"/>
      <c r="T948" s="67" t="n"/>
      <c r="U948" s="67" t="n"/>
      <c r="V948" s="67" t="n"/>
      <c r="W948" s="67" t="n"/>
      <c r="X948" s="67" t="n"/>
      <c r="Y948" s="67" t="n"/>
      <c r="Z948" s="67" t="n"/>
      <c r="AA948" s="67" t="n"/>
      <c r="AB948" s="67" t="n"/>
    </row>
    <row r="949" ht="15.75" customHeight="1" s="305">
      <c r="A949" s="67" t="n"/>
      <c r="B949" s="67" t="n"/>
      <c r="C949" s="67" t="n"/>
      <c r="D949" s="67" t="n"/>
      <c r="E949" s="67" t="n"/>
      <c r="F949" s="67" t="inlineStr"/>
      <c r="G949" s="67" t="n"/>
      <c r="H949" t="inlineStr"/>
      <c r="I949" s="67" t="n"/>
      <c r="J949" s="67" t="n"/>
      <c r="K949" s="67" t="n"/>
      <c r="L949" s="67" t="n"/>
      <c r="M949" s="67" t="n"/>
      <c r="N949" s="67" t="n"/>
      <c r="O949" s="67" t="n"/>
      <c r="P949" s="67" t="n"/>
      <c r="Q949" s="67" t="n"/>
      <c r="R949" s="67" t="n"/>
      <c r="S949" s="67" t="n"/>
      <c r="T949" s="67" t="n"/>
      <c r="U949" s="67" t="n"/>
      <c r="V949" s="67" t="n"/>
      <c r="W949" s="67" t="n"/>
      <c r="X949" s="67" t="n"/>
      <c r="Y949" s="67" t="n"/>
      <c r="Z949" s="67" t="n"/>
      <c r="AA949" s="67" t="n"/>
      <c r="AB949" s="67" t="n"/>
    </row>
    <row r="950" ht="15.75" customHeight="1" s="305">
      <c r="A950" s="67" t="n"/>
      <c r="B950" s="67" t="n"/>
      <c r="C950" s="67" t="n"/>
      <c r="D950" s="67" t="n"/>
      <c r="E950" s="67" t="n"/>
      <c r="F950" s="67" t="inlineStr"/>
      <c r="G950" s="67" t="n"/>
      <c r="H950" t="inlineStr"/>
      <c r="I950" s="67" t="n"/>
      <c r="J950" s="67" t="n"/>
      <c r="K950" s="67" t="n"/>
      <c r="L950" s="67" t="n"/>
      <c r="M950" s="67" t="n"/>
      <c r="N950" s="67" t="n"/>
      <c r="O950" s="67" t="n"/>
      <c r="P950" s="67" t="n"/>
      <c r="Q950" s="67" t="n"/>
      <c r="R950" s="67" t="n"/>
      <c r="S950" s="67" t="n"/>
      <c r="T950" s="67" t="n"/>
      <c r="U950" s="67" t="n"/>
      <c r="V950" s="67" t="n"/>
      <c r="W950" s="67" t="n"/>
      <c r="X950" s="67" t="n"/>
      <c r="Y950" s="67" t="n"/>
      <c r="Z950" s="67" t="n"/>
      <c r="AA950" s="67" t="n"/>
      <c r="AB950" s="67" t="n"/>
    </row>
    <row r="951" ht="15.75" customHeight="1" s="305">
      <c r="A951" s="67" t="n"/>
      <c r="B951" s="67" t="n"/>
      <c r="C951" s="67" t="n"/>
      <c r="D951" s="67" t="n"/>
      <c r="E951" s="67" t="n"/>
      <c r="F951" s="67" t="inlineStr"/>
      <c r="G951" s="67" t="n"/>
      <c r="H951" t="inlineStr"/>
      <c r="I951" s="67" t="n"/>
      <c r="J951" s="67" t="n"/>
      <c r="K951" s="67" t="n"/>
      <c r="L951" s="67" t="n"/>
      <c r="M951" s="67" t="n"/>
      <c r="N951" s="67" t="n"/>
      <c r="O951" s="67" t="n"/>
      <c r="P951" s="67" t="n"/>
      <c r="Q951" s="67" t="n"/>
      <c r="R951" s="67" t="n"/>
      <c r="S951" s="67" t="n"/>
      <c r="T951" s="67" t="n"/>
      <c r="U951" s="67" t="n"/>
      <c r="V951" s="67" t="n"/>
      <c r="W951" s="67" t="n"/>
      <c r="X951" s="67" t="n"/>
      <c r="Y951" s="67" t="n"/>
      <c r="Z951" s="67" t="n"/>
      <c r="AA951" s="67" t="n"/>
      <c r="AB951" s="67" t="n"/>
    </row>
    <row r="952" ht="15.75" customHeight="1" s="305">
      <c r="A952" s="67" t="n"/>
      <c r="B952" s="67" t="n"/>
      <c r="C952" s="67" t="n"/>
      <c r="D952" s="67" t="n"/>
      <c r="E952" s="67" t="n"/>
      <c r="F952" s="67" t="inlineStr"/>
      <c r="G952" s="67" t="n"/>
      <c r="H952" t="inlineStr"/>
      <c r="I952" s="67" t="n"/>
      <c r="J952" s="67" t="n"/>
      <c r="K952" s="67" t="n"/>
      <c r="L952" s="67" t="n"/>
      <c r="M952" s="67" t="n"/>
      <c r="N952" s="67" t="n"/>
      <c r="O952" s="67" t="n"/>
      <c r="P952" s="67" t="n"/>
      <c r="Q952" s="67" t="n"/>
      <c r="R952" s="67" t="n"/>
      <c r="S952" s="67" t="n"/>
      <c r="T952" s="67" t="n"/>
      <c r="U952" s="67" t="n"/>
      <c r="V952" s="67" t="n"/>
      <c r="W952" s="67" t="n"/>
      <c r="X952" s="67" t="n"/>
      <c r="Y952" s="67" t="n"/>
      <c r="Z952" s="67" t="n"/>
      <c r="AA952" s="67" t="n"/>
      <c r="AB952" s="67" t="n"/>
    </row>
    <row r="953" ht="15.75" customHeight="1" s="305">
      <c r="A953" s="67" t="n"/>
      <c r="B953" s="67" t="n"/>
      <c r="C953" s="67" t="n"/>
      <c r="D953" s="67" t="n"/>
      <c r="E953" s="67" t="n"/>
      <c r="F953" s="67" t="inlineStr"/>
      <c r="G953" s="67" t="n"/>
      <c r="H953" t="inlineStr"/>
      <c r="I953" s="67" t="n"/>
      <c r="J953" s="67" t="n"/>
      <c r="K953" s="67" t="n"/>
      <c r="L953" s="67" t="n"/>
      <c r="M953" s="67" t="n"/>
      <c r="N953" s="67" t="n"/>
      <c r="O953" s="67" t="n"/>
      <c r="P953" s="67" t="n"/>
      <c r="Q953" s="67" t="n"/>
      <c r="R953" s="67" t="n"/>
      <c r="S953" s="67" t="n"/>
      <c r="T953" s="67" t="n"/>
      <c r="U953" s="67" t="n"/>
      <c r="V953" s="67" t="n"/>
      <c r="W953" s="67" t="n"/>
      <c r="X953" s="67" t="n"/>
      <c r="Y953" s="67" t="n"/>
      <c r="Z953" s="67" t="n"/>
      <c r="AA953" s="67" t="n"/>
      <c r="AB953" s="67" t="n"/>
    </row>
    <row r="954" ht="15.75" customHeight="1" s="305">
      <c r="A954" s="67" t="n"/>
      <c r="B954" s="67" t="n"/>
      <c r="C954" s="67" t="n"/>
      <c r="D954" s="67" t="n"/>
      <c r="E954" s="67" t="n"/>
      <c r="F954" s="67" t="inlineStr"/>
      <c r="G954" s="67" t="n"/>
      <c r="H954" t="inlineStr"/>
      <c r="I954" s="67" t="n"/>
      <c r="J954" s="67" t="n"/>
      <c r="K954" s="67" t="n"/>
      <c r="L954" s="67" t="n"/>
      <c r="M954" s="67" t="n"/>
      <c r="N954" s="67" t="n"/>
      <c r="O954" s="67" t="n"/>
      <c r="P954" s="67" t="n"/>
      <c r="Q954" s="67" t="n"/>
      <c r="R954" s="67" t="n"/>
      <c r="S954" s="67" t="n"/>
      <c r="T954" s="67" t="n"/>
      <c r="U954" s="67" t="n"/>
      <c r="V954" s="67" t="n"/>
      <c r="W954" s="67" t="n"/>
      <c r="X954" s="67" t="n"/>
      <c r="Y954" s="67" t="n"/>
      <c r="Z954" s="67" t="n"/>
      <c r="AA954" s="67" t="n"/>
      <c r="AB954" s="67" t="n"/>
    </row>
    <row r="955" ht="15.75" customHeight="1" s="305">
      <c r="A955" s="67" t="n"/>
      <c r="B955" s="67" t="n"/>
      <c r="C955" s="67" t="n"/>
      <c r="D955" s="67" t="n"/>
      <c r="E955" s="67" t="n"/>
      <c r="F955" s="67" t="inlineStr"/>
      <c r="G955" s="67" t="n"/>
      <c r="H955" t="inlineStr"/>
      <c r="I955" s="67" t="n"/>
      <c r="J955" s="67" t="n"/>
      <c r="K955" s="67" t="n"/>
      <c r="L955" s="67" t="n"/>
      <c r="M955" s="67" t="n"/>
      <c r="N955" s="67" t="n"/>
      <c r="O955" s="67" t="n"/>
      <c r="P955" s="67" t="n"/>
      <c r="Q955" s="67" t="n"/>
      <c r="R955" s="67" t="n"/>
      <c r="S955" s="67" t="n"/>
      <c r="T955" s="67" t="n"/>
      <c r="U955" s="67" t="n"/>
      <c r="V955" s="67" t="n"/>
      <c r="W955" s="67" t="n"/>
      <c r="X955" s="67" t="n"/>
      <c r="Y955" s="67" t="n"/>
      <c r="Z955" s="67" t="n"/>
      <c r="AA955" s="67" t="n"/>
      <c r="AB955" s="67" t="n"/>
    </row>
    <row r="956" ht="15.75" customHeight="1" s="305">
      <c r="A956" s="67" t="n"/>
      <c r="B956" s="67" t="n"/>
      <c r="C956" s="67" t="n"/>
      <c r="D956" s="67" t="n"/>
      <c r="E956" s="67" t="n"/>
      <c r="F956" s="67" t="inlineStr"/>
      <c r="G956" s="67" t="n"/>
      <c r="H956" t="inlineStr"/>
      <c r="I956" s="67" t="n"/>
      <c r="J956" s="67" t="n"/>
      <c r="K956" s="67" t="n"/>
      <c r="L956" s="67" t="n"/>
      <c r="M956" s="67" t="n"/>
      <c r="N956" s="67" t="n"/>
      <c r="O956" s="67" t="n"/>
      <c r="P956" s="67" t="n"/>
      <c r="Q956" s="67" t="n"/>
      <c r="R956" s="67" t="n"/>
      <c r="S956" s="67" t="n"/>
      <c r="T956" s="67" t="n"/>
      <c r="U956" s="67" t="n"/>
      <c r="V956" s="67" t="n"/>
      <c r="W956" s="67" t="n"/>
      <c r="X956" s="67" t="n"/>
      <c r="Y956" s="67" t="n"/>
      <c r="Z956" s="67" t="n"/>
      <c r="AA956" s="67" t="n"/>
      <c r="AB956" s="67" t="n"/>
    </row>
    <row r="957" ht="15.75" customHeight="1" s="305">
      <c r="A957" s="67" t="n"/>
      <c r="B957" s="67" t="n"/>
      <c r="C957" s="67" t="n"/>
      <c r="D957" s="67" t="n"/>
      <c r="E957" s="67" t="n"/>
      <c r="F957" s="67" t="inlineStr"/>
      <c r="G957" s="67" t="n"/>
      <c r="H957" t="inlineStr"/>
      <c r="I957" s="67" t="n"/>
      <c r="J957" s="67" t="n"/>
      <c r="K957" s="67" t="n"/>
      <c r="L957" s="67" t="n"/>
      <c r="M957" s="67" t="n"/>
      <c r="N957" s="67" t="n"/>
      <c r="O957" s="67" t="n"/>
      <c r="P957" s="67" t="n"/>
      <c r="Q957" s="67" t="n"/>
      <c r="R957" s="67" t="n"/>
      <c r="S957" s="67" t="n"/>
      <c r="T957" s="67" t="n"/>
      <c r="U957" s="67" t="n"/>
      <c r="V957" s="67" t="n"/>
      <c r="W957" s="67" t="n"/>
      <c r="X957" s="67" t="n"/>
      <c r="Y957" s="67" t="n"/>
      <c r="Z957" s="67" t="n"/>
      <c r="AA957" s="67" t="n"/>
      <c r="AB957" s="67" t="n"/>
    </row>
    <row r="958" ht="15.75" customHeight="1" s="305">
      <c r="A958" s="67" t="n"/>
      <c r="B958" s="67" t="n"/>
      <c r="C958" s="67" t="n"/>
      <c r="D958" s="67" t="n"/>
      <c r="E958" s="67" t="n"/>
      <c r="F958" s="67" t="inlineStr"/>
      <c r="G958" s="67" t="n"/>
      <c r="H958" t="inlineStr"/>
      <c r="I958" s="67" t="n"/>
      <c r="J958" s="67" t="n"/>
      <c r="K958" s="67" t="n"/>
      <c r="L958" s="67" t="n"/>
      <c r="M958" s="67" t="n"/>
      <c r="N958" s="67" t="n"/>
      <c r="O958" s="67" t="n"/>
      <c r="P958" s="67" t="n"/>
      <c r="Q958" s="67" t="n"/>
      <c r="R958" s="67" t="n"/>
      <c r="S958" s="67" t="n"/>
      <c r="T958" s="67" t="n"/>
      <c r="U958" s="67" t="n"/>
      <c r="V958" s="67" t="n"/>
      <c r="W958" s="67" t="n"/>
      <c r="X958" s="67" t="n"/>
      <c r="Y958" s="67" t="n"/>
      <c r="Z958" s="67" t="n"/>
      <c r="AA958" s="67" t="n"/>
      <c r="AB958" s="67" t="n"/>
    </row>
    <row r="959" ht="15.75" customHeight="1" s="305">
      <c r="A959" s="67" t="n"/>
      <c r="B959" s="67" t="n"/>
      <c r="C959" s="67" t="n"/>
      <c r="D959" s="67" t="n"/>
      <c r="E959" s="67" t="n"/>
      <c r="F959" s="67" t="inlineStr"/>
      <c r="G959" s="67" t="n"/>
      <c r="H959" t="inlineStr"/>
      <c r="I959" s="67" t="n"/>
      <c r="J959" s="67" t="n"/>
      <c r="K959" s="67" t="n"/>
      <c r="L959" s="67" t="n"/>
      <c r="M959" s="67" t="n"/>
      <c r="N959" s="67" t="n"/>
      <c r="O959" s="67" t="n"/>
      <c r="P959" s="67" t="n"/>
      <c r="Q959" s="67" t="n"/>
      <c r="R959" s="67" t="n"/>
      <c r="S959" s="67" t="n"/>
      <c r="T959" s="67" t="n"/>
      <c r="U959" s="67" t="n"/>
      <c r="V959" s="67" t="n"/>
      <c r="W959" s="67" t="n"/>
      <c r="X959" s="67" t="n"/>
      <c r="Y959" s="67" t="n"/>
      <c r="Z959" s="67" t="n"/>
      <c r="AA959" s="67" t="n"/>
      <c r="AB959" s="67" t="n"/>
    </row>
    <row r="960" ht="15.75" customHeight="1" s="305">
      <c r="A960" s="67" t="n"/>
      <c r="B960" s="67" t="n"/>
      <c r="C960" s="67" t="n"/>
      <c r="D960" s="67" t="n"/>
      <c r="E960" s="67" t="n"/>
      <c r="F960" s="67" t="inlineStr"/>
      <c r="G960" s="67" t="n"/>
      <c r="H960" t="inlineStr"/>
      <c r="I960" s="67" t="n"/>
      <c r="J960" s="67" t="n"/>
      <c r="K960" s="67" t="n"/>
      <c r="L960" s="67" t="n"/>
      <c r="M960" s="67" t="n"/>
      <c r="N960" s="67" t="n"/>
      <c r="O960" s="67" t="n"/>
      <c r="P960" s="67" t="n"/>
      <c r="Q960" s="67" t="n"/>
      <c r="R960" s="67" t="n"/>
      <c r="S960" s="67" t="n"/>
      <c r="T960" s="67" t="n"/>
      <c r="U960" s="67" t="n"/>
      <c r="V960" s="67" t="n"/>
      <c r="W960" s="67" t="n"/>
      <c r="X960" s="67" t="n"/>
      <c r="Y960" s="67" t="n"/>
      <c r="Z960" s="67" t="n"/>
      <c r="AA960" s="67" t="n"/>
      <c r="AB960" s="67" t="n"/>
    </row>
    <row r="961" ht="15.75" customHeight="1" s="305">
      <c r="A961" s="67" t="n"/>
      <c r="B961" s="67" t="n"/>
      <c r="C961" s="67" t="n"/>
      <c r="D961" s="67" t="n"/>
      <c r="E961" s="67" t="n"/>
      <c r="F961" s="67" t="inlineStr"/>
      <c r="G961" s="67" t="n"/>
      <c r="H961" t="inlineStr"/>
      <c r="I961" s="67" t="n"/>
      <c r="J961" s="67" t="n"/>
      <c r="K961" s="67" t="n"/>
      <c r="L961" s="67" t="n"/>
      <c r="M961" s="67" t="n"/>
      <c r="N961" s="67" t="n"/>
      <c r="O961" s="67" t="n"/>
      <c r="P961" s="67" t="n"/>
      <c r="Q961" s="67" t="n"/>
      <c r="R961" s="67" t="n"/>
      <c r="S961" s="67" t="n"/>
      <c r="T961" s="67" t="n"/>
      <c r="U961" s="67" t="n"/>
      <c r="V961" s="67" t="n"/>
      <c r="W961" s="67" t="n"/>
      <c r="X961" s="67" t="n"/>
      <c r="Y961" s="67" t="n"/>
      <c r="Z961" s="67" t="n"/>
      <c r="AA961" s="67" t="n"/>
      <c r="AB961" s="67" t="n"/>
    </row>
    <row r="962" ht="15.75" customHeight="1" s="305">
      <c r="A962" s="67" t="n"/>
      <c r="B962" s="67" t="n"/>
      <c r="C962" s="67" t="n"/>
      <c r="D962" s="67" t="n"/>
      <c r="E962" s="67" t="n"/>
      <c r="F962" s="67" t="inlineStr"/>
      <c r="G962" s="67" t="n"/>
      <c r="H962" t="inlineStr"/>
      <c r="I962" s="67" t="n"/>
      <c r="J962" s="67" t="n"/>
      <c r="K962" s="67" t="n"/>
      <c r="L962" s="67" t="n"/>
      <c r="M962" s="67" t="n"/>
      <c r="N962" s="67" t="n"/>
      <c r="O962" s="67" t="n"/>
      <c r="P962" s="67" t="n"/>
      <c r="Q962" s="67" t="n"/>
      <c r="R962" s="67" t="n"/>
      <c r="S962" s="67" t="n"/>
      <c r="T962" s="67" t="n"/>
      <c r="U962" s="67" t="n"/>
      <c r="V962" s="67" t="n"/>
      <c r="W962" s="67" t="n"/>
      <c r="X962" s="67" t="n"/>
      <c r="Y962" s="67" t="n"/>
      <c r="Z962" s="67" t="n"/>
      <c r="AA962" s="67" t="n"/>
      <c r="AB962" s="67" t="n"/>
    </row>
    <row r="963" ht="15.75" customHeight="1" s="305">
      <c r="A963" s="67" t="n"/>
      <c r="B963" s="67" t="n"/>
      <c r="C963" s="67" t="n"/>
      <c r="D963" s="67" t="n"/>
      <c r="E963" s="67" t="n"/>
      <c r="F963" s="67" t="inlineStr"/>
      <c r="G963" s="67" t="n"/>
      <c r="H963" t="inlineStr"/>
      <c r="I963" s="67" t="n"/>
      <c r="J963" s="67" t="n"/>
      <c r="K963" s="67" t="n"/>
      <c r="L963" s="67" t="n"/>
      <c r="M963" s="67" t="n"/>
      <c r="N963" s="67" t="n"/>
      <c r="O963" s="67" t="n"/>
      <c r="P963" s="67" t="n"/>
      <c r="Q963" s="67" t="n"/>
      <c r="R963" s="67" t="n"/>
      <c r="S963" s="67" t="n"/>
      <c r="T963" s="67" t="n"/>
      <c r="U963" s="67" t="n"/>
      <c r="V963" s="67" t="n"/>
      <c r="W963" s="67" t="n"/>
      <c r="X963" s="67" t="n"/>
      <c r="Y963" s="67" t="n"/>
      <c r="Z963" s="67" t="n"/>
      <c r="AA963" s="67" t="n"/>
      <c r="AB963" s="67" t="n"/>
    </row>
    <row r="964" ht="15.75" customHeight="1" s="305">
      <c r="A964" s="67" t="n"/>
      <c r="B964" s="67" t="n"/>
      <c r="C964" s="67" t="n"/>
      <c r="D964" s="67" t="n"/>
      <c r="E964" s="67" t="n"/>
      <c r="F964" s="67" t="inlineStr"/>
      <c r="G964" s="67" t="n"/>
      <c r="H964" t="inlineStr"/>
      <c r="I964" s="67" t="n"/>
      <c r="J964" s="67" t="n"/>
      <c r="K964" s="67" t="n"/>
      <c r="L964" s="67" t="n"/>
      <c r="M964" s="67" t="n"/>
      <c r="N964" s="67" t="n"/>
      <c r="O964" s="67" t="n"/>
      <c r="P964" s="67" t="n"/>
      <c r="Q964" s="67" t="n"/>
      <c r="R964" s="67" t="n"/>
      <c r="S964" s="67" t="n"/>
      <c r="T964" s="67" t="n"/>
      <c r="U964" s="67" t="n"/>
      <c r="V964" s="67" t="n"/>
      <c r="W964" s="67" t="n"/>
      <c r="X964" s="67" t="n"/>
      <c r="Y964" s="67" t="n"/>
      <c r="Z964" s="67" t="n"/>
      <c r="AA964" s="67" t="n"/>
      <c r="AB964" s="67" t="n"/>
    </row>
    <row r="965" ht="15.75" customHeight="1" s="305">
      <c r="A965" s="67" t="n"/>
      <c r="B965" s="67" t="n"/>
      <c r="C965" s="67" t="n"/>
      <c r="D965" s="67" t="n"/>
      <c r="E965" s="67" t="n"/>
      <c r="F965" s="67" t="inlineStr"/>
      <c r="G965" s="67" t="n"/>
      <c r="H965" t="inlineStr"/>
      <c r="I965" s="67" t="n"/>
      <c r="J965" s="67" t="n"/>
      <c r="K965" s="67" t="n"/>
      <c r="L965" s="67" t="n"/>
      <c r="M965" s="67" t="n"/>
      <c r="N965" s="67" t="n"/>
      <c r="O965" s="67" t="n"/>
      <c r="P965" s="67" t="n"/>
      <c r="Q965" s="67" t="n"/>
      <c r="R965" s="67" t="n"/>
      <c r="S965" s="67" t="n"/>
      <c r="T965" s="67" t="n"/>
      <c r="U965" s="67" t="n"/>
      <c r="V965" s="67" t="n"/>
      <c r="W965" s="67" t="n"/>
      <c r="X965" s="67" t="n"/>
      <c r="Y965" s="67" t="n"/>
      <c r="Z965" s="67" t="n"/>
      <c r="AA965" s="67" t="n"/>
      <c r="AB965" s="67" t="n"/>
    </row>
    <row r="966" ht="15.75" customHeight="1" s="305">
      <c r="A966" s="67" t="n"/>
      <c r="B966" s="67" t="n"/>
      <c r="C966" s="67" t="n"/>
      <c r="D966" s="67" t="n"/>
      <c r="E966" s="67" t="n"/>
      <c r="F966" s="67" t="inlineStr"/>
      <c r="G966" s="67" t="n"/>
      <c r="H966" t="inlineStr"/>
      <c r="I966" s="67" t="n"/>
      <c r="J966" s="67" t="n"/>
      <c r="K966" s="67" t="n"/>
      <c r="L966" s="67" t="n"/>
      <c r="M966" s="67" t="n"/>
      <c r="N966" s="67" t="n"/>
      <c r="O966" s="67" t="n"/>
      <c r="P966" s="67" t="n"/>
      <c r="Q966" s="67" t="n"/>
      <c r="R966" s="67" t="n"/>
      <c r="S966" s="67" t="n"/>
      <c r="T966" s="67" t="n"/>
      <c r="U966" s="67" t="n"/>
      <c r="V966" s="67" t="n"/>
      <c r="W966" s="67" t="n"/>
      <c r="X966" s="67" t="n"/>
      <c r="Y966" s="67" t="n"/>
      <c r="Z966" s="67" t="n"/>
      <c r="AA966" s="67" t="n"/>
      <c r="AB966" s="67" t="n"/>
    </row>
    <row r="967" ht="15.75" customHeight="1" s="305">
      <c r="A967" s="67" t="n"/>
      <c r="B967" s="67" t="n"/>
      <c r="C967" s="67" t="n"/>
      <c r="D967" s="67" t="n"/>
      <c r="E967" s="67" t="n"/>
      <c r="F967" s="67" t="inlineStr"/>
      <c r="G967" s="67" t="n"/>
      <c r="H967" t="inlineStr"/>
      <c r="I967" s="67" t="n"/>
      <c r="J967" s="67" t="n"/>
      <c r="K967" s="67" t="n"/>
      <c r="L967" s="67" t="n"/>
      <c r="M967" s="67" t="n"/>
      <c r="N967" s="67" t="n"/>
      <c r="O967" s="67" t="n"/>
      <c r="P967" s="67" t="n"/>
      <c r="Q967" s="67" t="n"/>
      <c r="R967" s="67" t="n"/>
      <c r="S967" s="67" t="n"/>
      <c r="T967" s="67" t="n"/>
      <c r="U967" s="67" t="n"/>
      <c r="V967" s="67" t="n"/>
      <c r="W967" s="67" t="n"/>
      <c r="X967" s="67" t="n"/>
      <c r="Y967" s="67" t="n"/>
      <c r="Z967" s="67" t="n"/>
      <c r="AA967" s="67" t="n"/>
      <c r="AB967" s="67" t="n"/>
    </row>
    <row r="968" ht="15.75" customHeight="1" s="305">
      <c r="A968" s="67" t="n"/>
      <c r="B968" s="67" t="n"/>
      <c r="C968" s="67" t="n"/>
      <c r="D968" s="67" t="n"/>
      <c r="E968" s="67" t="n"/>
      <c r="F968" s="67" t="inlineStr"/>
      <c r="G968" s="67" t="n"/>
      <c r="H968" t="inlineStr"/>
      <c r="I968" s="67" t="n"/>
      <c r="J968" s="67" t="n"/>
      <c r="K968" s="67" t="n"/>
      <c r="L968" s="67" t="n"/>
      <c r="M968" s="67" t="n"/>
      <c r="N968" s="67" t="n"/>
      <c r="O968" s="67" t="n"/>
      <c r="P968" s="67" t="n"/>
      <c r="Q968" s="67" t="n"/>
      <c r="R968" s="67" t="n"/>
      <c r="S968" s="67" t="n"/>
      <c r="T968" s="67" t="n"/>
      <c r="U968" s="67" t="n"/>
      <c r="V968" s="67" t="n"/>
      <c r="W968" s="67" t="n"/>
      <c r="X968" s="67" t="n"/>
      <c r="Y968" s="67" t="n"/>
      <c r="Z968" s="67" t="n"/>
      <c r="AA968" s="67" t="n"/>
      <c r="AB968" s="67" t="n"/>
    </row>
    <row r="969" ht="15.75" customHeight="1" s="305">
      <c r="A969" s="67" t="n"/>
      <c r="B969" s="67" t="n"/>
      <c r="C969" s="67" t="n"/>
      <c r="D969" s="67" t="n"/>
      <c r="E969" s="67" t="n"/>
      <c r="F969" s="67" t="inlineStr"/>
      <c r="G969" s="67" t="n"/>
      <c r="H969" t="inlineStr"/>
      <c r="I969" s="67" t="n"/>
      <c r="J969" s="67" t="n"/>
      <c r="K969" s="67" t="n"/>
      <c r="L969" s="67" t="n"/>
      <c r="M969" s="67" t="n"/>
      <c r="N969" s="67" t="n"/>
      <c r="O969" s="67" t="n"/>
      <c r="P969" s="67" t="n"/>
      <c r="Q969" s="67" t="n"/>
      <c r="R969" s="67" t="n"/>
      <c r="S969" s="67" t="n"/>
      <c r="T969" s="67" t="n"/>
      <c r="U969" s="67" t="n"/>
      <c r="V969" s="67" t="n"/>
      <c r="W969" s="67" t="n"/>
      <c r="X969" s="67" t="n"/>
      <c r="Y969" s="67" t="n"/>
      <c r="Z969" s="67" t="n"/>
      <c r="AA969" s="67" t="n"/>
      <c r="AB969" s="67" t="n"/>
    </row>
    <row r="970" ht="15.75" customHeight="1" s="305">
      <c r="A970" s="67" t="n"/>
      <c r="B970" s="67" t="n"/>
      <c r="C970" s="67" t="n"/>
      <c r="D970" s="67" t="n"/>
      <c r="E970" s="67" t="n"/>
      <c r="F970" s="67" t="inlineStr"/>
      <c r="G970" s="67" t="n"/>
      <c r="H970" t="inlineStr"/>
      <c r="I970" s="67" t="n"/>
      <c r="J970" s="67" t="n"/>
      <c r="K970" s="67" t="n"/>
      <c r="L970" s="67" t="n"/>
      <c r="M970" s="67" t="n"/>
      <c r="N970" s="67" t="n"/>
      <c r="O970" s="67" t="n"/>
      <c r="P970" s="67" t="n"/>
      <c r="Q970" s="67" t="n"/>
      <c r="R970" s="67" t="n"/>
      <c r="S970" s="67" t="n"/>
      <c r="T970" s="67" t="n"/>
      <c r="U970" s="67" t="n"/>
      <c r="V970" s="67" t="n"/>
      <c r="W970" s="67" t="n"/>
      <c r="X970" s="67" t="n"/>
      <c r="Y970" s="67" t="n"/>
      <c r="Z970" s="67" t="n"/>
      <c r="AA970" s="67" t="n"/>
      <c r="AB970" s="67" t="n"/>
    </row>
    <row r="971" ht="15.75" customHeight="1" s="305">
      <c r="A971" s="67" t="n"/>
      <c r="B971" s="67" t="n"/>
      <c r="C971" s="67" t="n"/>
      <c r="D971" s="67" t="n"/>
      <c r="E971" s="67" t="n"/>
      <c r="F971" s="67" t="inlineStr"/>
      <c r="G971" s="67" t="n"/>
      <c r="H971" t="inlineStr"/>
      <c r="I971" s="67" t="n"/>
      <c r="J971" s="67" t="n"/>
      <c r="K971" s="67" t="n"/>
      <c r="L971" s="67" t="n"/>
      <c r="M971" s="67" t="n"/>
      <c r="N971" s="67" t="n"/>
      <c r="O971" s="67" t="n"/>
      <c r="P971" s="67" t="n"/>
      <c r="Q971" s="67" t="n"/>
      <c r="R971" s="67" t="n"/>
      <c r="S971" s="67" t="n"/>
      <c r="T971" s="67" t="n"/>
      <c r="U971" s="67" t="n"/>
      <c r="V971" s="67" t="n"/>
      <c r="W971" s="67" t="n"/>
      <c r="X971" s="67" t="n"/>
      <c r="Y971" s="67" t="n"/>
      <c r="Z971" s="67" t="n"/>
      <c r="AA971" s="67" t="n"/>
      <c r="AB971" s="67" t="n"/>
    </row>
    <row r="972" ht="15.75" customHeight="1" s="305">
      <c r="A972" s="67" t="n"/>
      <c r="B972" s="67" t="n"/>
      <c r="C972" s="67" t="n"/>
      <c r="D972" s="67" t="n"/>
      <c r="E972" s="67" t="n"/>
      <c r="F972" s="67" t="inlineStr"/>
      <c r="G972" s="67" t="n"/>
      <c r="H972" t="inlineStr"/>
      <c r="I972" s="67" t="n"/>
      <c r="J972" s="67" t="n"/>
      <c r="K972" s="67" t="n"/>
      <c r="L972" s="67" t="n"/>
      <c r="M972" s="67" t="n"/>
      <c r="N972" s="67" t="n"/>
      <c r="O972" s="67" t="n"/>
      <c r="P972" s="67" t="n"/>
      <c r="Q972" s="67" t="n"/>
      <c r="R972" s="67" t="n"/>
      <c r="S972" s="67" t="n"/>
      <c r="T972" s="67" t="n"/>
      <c r="U972" s="67" t="n"/>
      <c r="V972" s="67" t="n"/>
      <c r="W972" s="67" t="n"/>
      <c r="X972" s="67" t="n"/>
      <c r="Y972" s="67" t="n"/>
      <c r="Z972" s="67" t="n"/>
      <c r="AA972" s="67" t="n"/>
      <c r="AB972" s="67" t="n"/>
    </row>
    <row r="973" ht="15.75" customHeight="1" s="305">
      <c r="A973" s="67" t="n"/>
      <c r="B973" s="67" t="n"/>
      <c r="C973" s="67" t="n"/>
      <c r="D973" s="67" t="n"/>
      <c r="E973" s="67" t="n"/>
      <c r="F973" s="67" t="inlineStr"/>
      <c r="G973" s="67" t="n"/>
      <c r="H973" t="inlineStr"/>
      <c r="I973" s="67" t="n"/>
      <c r="J973" s="67" t="n"/>
      <c r="K973" s="67" t="n"/>
      <c r="L973" s="67" t="n"/>
      <c r="M973" s="67" t="n"/>
      <c r="N973" s="67" t="n"/>
      <c r="O973" s="67" t="n"/>
      <c r="P973" s="67" t="n"/>
      <c r="Q973" s="67" t="n"/>
      <c r="R973" s="67" t="n"/>
      <c r="S973" s="67" t="n"/>
      <c r="T973" s="67" t="n"/>
      <c r="U973" s="67" t="n"/>
      <c r="V973" s="67" t="n"/>
      <c r="W973" s="67" t="n"/>
      <c r="X973" s="67" t="n"/>
      <c r="Y973" s="67" t="n"/>
      <c r="Z973" s="67" t="n"/>
      <c r="AA973" s="67" t="n"/>
      <c r="AB973" s="67" t="n"/>
    </row>
    <row r="974" ht="15.75" customHeight="1" s="305">
      <c r="A974" s="67" t="n"/>
      <c r="B974" s="67" t="n"/>
      <c r="C974" s="67" t="n"/>
      <c r="D974" s="67" t="n"/>
      <c r="E974" s="67" t="n"/>
      <c r="F974" s="67" t="inlineStr"/>
      <c r="G974" s="67" t="n"/>
      <c r="H974" t="inlineStr"/>
      <c r="I974" s="67" t="n"/>
      <c r="J974" s="67" t="n"/>
      <c r="K974" s="67" t="n"/>
      <c r="L974" s="67" t="n"/>
      <c r="M974" s="67" t="n"/>
      <c r="N974" s="67" t="n"/>
      <c r="O974" s="67" t="n"/>
      <c r="P974" s="67" t="n"/>
      <c r="Q974" s="67" t="n"/>
      <c r="R974" s="67" t="n"/>
      <c r="S974" s="67" t="n"/>
      <c r="T974" s="67" t="n"/>
      <c r="U974" s="67" t="n"/>
      <c r="V974" s="67" t="n"/>
      <c r="W974" s="67" t="n"/>
      <c r="X974" s="67" t="n"/>
      <c r="Y974" s="67" t="n"/>
      <c r="Z974" s="67" t="n"/>
      <c r="AA974" s="67" t="n"/>
      <c r="AB974" s="67" t="n"/>
    </row>
    <row r="975" ht="15.75" customHeight="1" s="305">
      <c r="A975" s="67" t="n"/>
      <c r="B975" s="67" t="n"/>
      <c r="C975" s="67" t="n"/>
      <c r="D975" s="67" t="n"/>
      <c r="E975" s="67" t="n"/>
      <c r="F975" s="67" t="inlineStr"/>
      <c r="G975" s="67" t="n"/>
      <c r="H975" t="inlineStr"/>
      <c r="I975" s="67" t="n"/>
      <c r="J975" s="67" t="n"/>
      <c r="K975" s="67" t="n"/>
      <c r="L975" s="67" t="n"/>
      <c r="M975" s="67" t="n"/>
      <c r="N975" s="67" t="n"/>
      <c r="O975" s="67" t="n"/>
      <c r="P975" s="67" t="n"/>
      <c r="Q975" s="67" t="n"/>
      <c r="R975" s="67" t="n"/>
      <c r="S975" s="67" t="n"/>
      <c r="T975" s="67" t="n"/>
      <c r="U975" s="67" t="n"/>
      <c r="V975" s="67" t="n"/>
      <c r="W975" s="67" t="n"/>
      <c r="X975" s="67" t="n"/>
      <c r="Y975" s="67" t="n"/>
      <c r="Z975" s="67" t="n"/>
      <c r="AA975" s="67" t="n"/>
      <c r="AB975" s="67" t="n"/>
    </row>
    <row r="976" ht="15.75" customHeight="1" s="305">
      <c r="A976" s="67" t="n"/>
      <c r="B976" s="67" t="n"/>
      <c r="C976" s="67" t="n"/>
      <c r="D976" s="67" t="n"/>
      <c r="E976" s="67" t="n"/>
      <c r="F976" s="67" t="inlineStr"/>
      <c r="G976" s="67" t="n"/>
      <c r="H976" t="inlineStr"/>
      <c r="I976" s="67" t="n"/>
      <c r="J976" s="67" t="n"/>
      <c r="K976" s="67" t="n"/>
      <c r="L976" s="67" t="n"/>
      <c r="M976" s="67" t="n"/>
      <c r="N976" s="67" t="n"/>
      <c r="O976" s="67" t="n"/>
      <c r="P976" s="67" t="n"/>
      <c r="Q976" s="67" t="n"/>
      <c r="R976" s="67" t="n"/>
      <c r="S976" s="67" t="n"/>
      <c r="T976" s="67" t="n"/>
      <c r="U976" s="67" t="n"/>
      <c r="V976" s="67" t="n"/>
      <c r="W976" s="67" t="n"/>
      <c r="X976" s="67" t="n"/>
      <c r="Y976" s="67" t="n"/>
      <c r="Z976" s="67" t="n"/>
      <c r="AA976" s="67" t="n"/>
      <c r="AB976" s="67" t="n"/>
    </row>
    <row r="977" ht="15.75" customHeight="1" s="305">
      <c r="A977" s="67" t="n"/>
      <c r="B977" s="67" t="n"/>
      <c r="C977" s="67" t="n"/>
      <c r="D977" s="67" t="n"/>
      <c r="E977" s="67" t="n"/>
      <c r="F977" s="67" t="inlineStr"/>
      <c r="G977" s="67" t="n"/>
      <c r="H977" t="inlineStr"/>
      <c r="I977" s="67" t="n"/>
      <c r="J977" s="67" t="n"/>
      <c r="K977" s="67" t="n"/>
      <c r="L977" s="67" t="n"/>
      <c r="M977" s="67" t="n"/>
      <c r="N977" s="67" t="n"/>
      <c r="O977" s="67" t="n"/>
      <c r="P977" s="67" t="n"/>
      <c r="Q977" s="67" t="n"/>
      <c r="R977" s="67" t="n"/>
      <c r="S977" s="67" t="n"/>
      <c r="T977" s="67" t="n"/>
      <c r="U977" s="67" t="n"/>
      <c r="V977" s="67" t="n"/>
      <c r="W977" s="67" t="n"/>
      <c r="X977" s="67" t="n"/>
      <c r="Y977" s="67" t="n"/>
      <c r="Z977" s="67" t="n"/>
      <c r="AA977" s="67" t="n"/>
      <c r="AB977" s="67" t="n"/>
    </row>
    <row r="978" ht="15.75" customHeight="1" s="305">
      <c r="A978" s="67" t="n"/>
      <c r="B978" s="67" t="n"/>
      <c r="C978" s="67" t="n"/>
      <c r="D978" s="67" t="n"/>
      <c r="E978" s="67" t="n"/>
      <c r="F978" s="67" t="inlineStr"/>
      <c r="G978" s="67" t="n"/>
      <c r="H978" t="inlineStr"/>
      <c r="I978" s="67" t="n"/>
      <c r="J978" s="67" t="n"/>
      <c r="K978" s="67" t="n"/>
      <c r="L978" s="67" t="n"/>
      <c r="M978" s="67" t="n"/>
      <c r="N978" s="67" t="n"/>
      <c r="O978" s="67" t="n"/>
      <c r="P978" s="67" t="n"/>
      <c r="Q978" s="67" t="n"/>
      <c r="R978" s="67" t="n"/>
      <c r="S978" s="67" t="n"/>
      <c r="T978" s="67" t="n"/>
      <c r="U978" s="67" t="n"/>
      <c r="V978" s="67" t="n"/>
      <c r="W978" s="67" t="n"/>
      <c r="X978" s="67" t="n"/>
      <c r="Y978" s="67" t="n"/>
      <c r="Z978" s="67" t="n"/>
      <c r="AA978" s="67" t="n"/>
      <c r="AB978" s="67" t="n"/>
    </row>
    <row r="979" ht="15.75" customHeight="1" s="305">
      <c r="A979" s="67" t="n"/>
      <c r="B979" s="67" t="n"/>
      <c r="C979" s="67" t="n"/>
      <c r="D979" s="67" t="n"/>
      <c r="E979" s="67" t="n"/>
      <c r="F979" s="67" t="inlineStr"/>
      <c r="G979" s="67" t="n"/>
      <c r="H979" t="inlineStr"/>
      <c r="I979" s="67" t="n"/>
      <c r="J979" s="67" t="n"/>
      <c r="K979" s="67" t="n"/>
      <c r="L979" s="67" t="n"/>
      <c r="M979" s="67" t="n"/>
      <c r="N979" s="67" t="n"/>
      <c r="O979" s="67" t="n"/>
      <c r="P979" s="67" t="n"/>
      <c r="Q979" s="67" t="n"/>
      <c r="R979" s="67" t="n"/>
      <c r="S979" s="67" t="n"/>
      <c r="T979" s="67" t="n"/>
      <c r="U979" s="67" t="n"/>
      <c r="V979" s="67" t="n"/>
      <c r="W979" s="67" t="n"/>
      <c r="X979" s="67" t="n"/>
      <c r="Y979" s="67" t="n"/>
      <c r="Z979" s="67" t="n"/>
      <c r="AA979" s="67" t="n"/>
      <c r="AB979" s="67" t="n"/>
    </row>
    <row r="980" ht="15.75" customHeight="1" s="305">
      <c r="A980" s="67" t="n"/>
      <c r="B980" s="67" t="n"/>
      <c r="C980" s="67" t="n"/>
      <c r="D980" s="67" t="n"/>
      <c r="E980" s="67" t="n"/>
      <c r="F980" s="67" t="inlineStr"/>
      <c r="G980" s="67" t="n"/>
      <c r="H980" t="inlineStr"/>
      <c r="I980" s="67" t="n"/>
      <c r="J980" s="67" t="n"/>
      <c r="K980" s="67" t="n"/>
      <c r="L980" s="67" t="n"/>
      <c r="M980" s="67" t="n"/>
      <c r="N980" s="67" t="n"/>
      <c r="O980" s="67" t="n"/>
      <c r="P980" s="67" t="n"/>
      <c r="Q980" s="67" t="n"/>
      <c r="R980" s="67" t="n"/>
      <c r="S980" s="67" t="n"/>
      <c r="T980" s="67" t="n"/>
      <c r="U980" s="67" t="n"/>
      <c r="V980" s="67" t="n"/>
      <c r="W980" s="67" t="n"/>
      <c r="X980" s="67" t="n"/>
      <c r="Y980" s="67" t="n"/>
      <c r="Z980" s="67" t="n"/>
      <c r="AA980" s="67" t="n"/>
      <c r="AB980" s="67" t="n"/>
    </row>
    <row r="981" ht="15.75" customHeight="1" s="305">
      <c r="A981" s="67" t="n"/>
      <c r="B981" s="67" t="n"/>
      <c r="C981" s="67" t="n"/>
      <c r="D981" s="67" t="n"/>
      <c r="E981" s="67" t="n"/>
      <c r="F981" s="67" t="inlineStr"/>
      <c r="G981" s="67" t="n"/>
      <c r="H981" t="inlineStr"/>
      <c r="I981" s="67" t="n"/>
      <c r="J981" s="67" t="n"/>
      <c r="K981" s="67" t="n"/>
      <c r="L981" s="67" t="n"/>
      <c r="M981" s="67" t="n"/>
      <c r="N981" s="67" t="n"/>
      <c r="O981" s="67" t="n"/>
      <c r="P981" s="67" t="n"/>
      <c r="Q981" s="67" t="n"/>
      <c r="R981" s="67" t="n"/>
      <c r="S981" s="67" t="n"/>
      <c r="T981" s="67" t="n"/>
      <c r="U981" s="67" t="n"/>
      <c r="V981" s="67" t="n"/>
      <c r="W981" s="67" t="n"/>
      <c r="X981" s="67" t="n"/>
      <c r="Y981" s="67" t="n"/>
      <c r="Z981" s="67" t="n"/>
      <c r="AA981" s="67" t="n"/>
      <c r="AB981" s="67" t="n"/>
    </row>
    <row r="982" ht="15.75" customHeight="1" s="305">
      <c r="A982" s="67" t="n"/>
      <c r="B982" s="67" t="n"/>
      <c r="C982" s="67" t="n"/>
      <c r="D982" s="67" t="n"/>
      <c r="E982" s="67" t="n"/>
      <c r="F982" s="67" t="inlineStr"/>
      <c r="G982" s="67" t="n"/>
      <c r="H982" t="inlineStr"/>
      <c r="I982" s="67" t="n"/>
      <c r="J982" s="67" t="n"/>
      <c r="K982" s="67" t="n"/>
      <c r="L982" s="67" t="n"/>
      <c r="M982" s="67" t="n"/>
      <c r="N982" s="67" t="n"/>
      <c r="O982" s="67" t="n"/>
      <c r="P982" s="67" t="n"/>
      <c r="Q982" s="67" t="n"/>
      <c r="R982" s="67" t="n"/>
      <c r="S982" s="67" t="n"/>
      <c r="T982" s="67" t="n"/>
      <c r="U982" s="67" t="n"/>
      <c r="V982" s="67" t="n"/>
      <c r="W982" s="67" t="n"/>
      <c r="X982" s="67" t="n"/>
      <c r="Y982" s="67" t="n"/>
      <c r="Z982" s="67" t="n"/>
      <c r="AA982" s="67" t="n"/>
      <c r="AB982" s="67" t="n"/>
    </row>
    <row r="983" ht="15.75" customHeight="1" s="305">
      <c r="A983" s="67" t="n"/>
      <c r="B983" s="67" t="n"/>
      <c r="C983" s="67" t="n"/>
      <c r="D983" s="67" t="n"/>
      <c r="E983" s="67" t="n"/>
      <c r="F983" s="67" t="inlineStr"/>
      <c r="G983" s="67" t="n"/>
      <c r="H983" t="inlineStr"/>
      <c r="I983" s="67" t="n"/>
      <c r="J983" s="67" t="n"/>
      <c r="K983" s="67" t="n"/>
      <c r="L983" s="67" t="n"/>
      <c r="M983" s="67" t="n"/>
      <c r="N983" s="67" t="n"/>
      <c r="O983" s="67" t="n"/>
      <c r="P983" s="67" t="n"/>
      <c r="Q983" s="67" t="n"/>
      <c r="R983" s="67" t="n"/>
      <c r="S983" s="67" t="n"/>
      <c r="T983" s="67" t="n"/>
      <c r="U983" s="67" t="n"/>
      <c r="V983" s="67" t="n"/>
      <c r="W983" s="67" t="n"/>
      <c r="X983" s="67" t="n"/>
      <c r="Y983" s="67" t="n"/>
      <c r="Z983" s="67" t="n"/>
      <c r="AA983" s="67" t="n"/>
      <c r="AB983" s="67" t="n"/>
    </row>
    <row r="984" ht="15.75" customHeight="1" s="305">
      <c r="A984" s="67" t="n"/>
      <c r="B984" s="67" t="n"/>
      <c r="C984" s="67" t="n"/>
      <c r="D984" s="67" t="n"/>
      <c r="E984" s="67" t="n"/>
      <c r="F984" s="67" t="inlineStr"/>
      <c r="G984" s="67" t="n"/>
      <c r="H984" t="inlineStr"/>
      <c r="I984" s="67" t="n"/>
      <c r="J984" s="67" t="n"/>
      <c r="K984" s="67" t="n"/>
      <c r="L984" s="67" t="n"/>
      <c r="M984" s="67" t="n"/>
      <c r="N984" s="67" t="n"/>
      <c r="O984" s="67" t="n"/>
      <c r="P984" s="67" t="n"/>
      <c r="Q984" s="67" t="n"/>
      <c r="R984" s="67" t="n"/>
      <c r="S984" s="67" t="n"/>
      <c r="T984" s="67" t="n"/>
      <c r="U984" s="67" t="n"/>
      <c r="V984" s="67" t="n"/>
      <c r="W984" s="67" t="n"/>
      <c r="X984" s="67" t="n"/>
      <c r="Y984" s="67" t="n"/>
      <c r="Z984" s="67" t="n"/>
      <c r="AA984" s="67" t="n"/>
      <c r="AB984" s="67" t="n"/>
    </row>
    <row r="985" ht="15.75" customHeight="1" s="305">
      <c r="A985" s="67" t="n"/>
      <c r="B985" s="67" t="n"/>
      <c r="C985" s="67" t="n"/>
      <c r="D985" s="67" t="n"/>
      <c r="E985" s="67" t="n"/>
      <c r="F985" s="67" t="inlineStr"/>
      <c r="G985" s="67" t="n"/>
      <c r="H985" t="inlineStr"/>
      <c r="I985" s="67" t="n"/>
      <c r="J985" s="67" t="n"/>
      <c r="K985" s="67" t="n"/>
      <c r="L985" s="67" t="n"/>
      <c r="M985" s="67" t="n"/>
      <c r="N985" s="67" t="n"/>
      <c r="O985" s="67" t="n"/>
      <c r="P985" s="67" t="n"/>
      <c r="Q985" s="67" t="n"/>
      <c r="R985" s="67" t="n"/>
      <c r="S985" s="67" t="n"/>
      <c r="T985" s="67" t="n"/>
      <c r="U985" s="67" t="n"/>
      <c r="V985" s="67" t="n"/>
      <c r="W985" s="67" t="n"/>
      <c r="X985" s="67" t="n"/>
      <c r="Y985" s="67" t="n"/>
      <c r="Z985" s="67" t="n"/>
      <c r="AA985" s="67" t="n"/>
      <c r="AB985" s="67" t="n"/>
    </row>
    <row r="986" ht="15.75" customHeight="1" s="305">
      <c r="A986" s="67" t="n"/>
      <c r="B986" s="67" t="n"/>
      <c r="C986" s="67" t="n"/>
      <c r="D986" s="67" t="n"/>
      <c r="E986" s="67" t="n"/>
      <c r="F986" s="67" t="inlineStr"/>
      <c r="G986" s="67" t="n"/>
      <c r="H986" t="inlineStr"/>
      <c r="I986" s="67" t="n"/>
      <c r="J986" s="67" t="n"/>
      <c r="K986" s="67" t="n"/>
      <c r="L986" s="67" t="n"/>
      <c r="M986" s="67" t="n"/>
      <c r="N986" s="67" t="n"/>
      <c r="O986" s="67" t="n"/>
      <c r="P986" s="67" t="n"/>
      <c r="Q986" s="67" t="n"/>
      <c r="R986" s="67" t="n"/>
      <c r="S986" s="67" t="n"/>
      <c r="T986" s="67" t="n"/>
      <c r="U986" s="67" t="n"/>
      <c r="V986" s="67" t="n"/>
      <c r="W986" s="67" t="n"/>
      <c r="X986" s="67" t="n"/>
      <c r="Y986" s="67" t="n"/>
      <c r="Z986" s="67" t="n"/>
      <c r="AA986" s="67" t="n"/>
      <c r="AB986" s="67" t="n"/>
    </row>
    <row r="987" ht="15.75" customHeight="1" s="305">
      <c r="A987" s="67" t="n"/>
      <c r="B987" s="67" t="n"/>
      <c r="C987" s="67" t="n"/>
      <c r="D987" s="67" t="n"/>
      <c r="E987" s="67" t="n"/>
      <c r="F987" s="67" t="inlineStr"/>
      <c r="G987" s="67" t="n"/>
      <c r="H987" t="inlineStr"/>
      <c r="I987" s="67" t="n"/>
      <c r="J987" s="67" t="n"/>
      <c r="K987" s="67" t="n"/>
      <c r="L987" s="67" t="n"/>
      <c r="M987" s="67" t="n"/>
      <c r="N987" s="67" t="n"/>
      <c r="O987" s="67" t="n"/>
      <c r="P987" s="67" t="n"/>
      <c r="Q987" s="67" t="n"/>
      <c r="R987" s="67" t="n"/>
      <c r="S987" s="67" t="n"/>
      <c r="T987" s="67" t="n"/>
      <c r="U987" s="67" t="n"/>
      <c r="V987" s="67" t="n"/>
      <c r="W987" s="67" t="n"/>
      <c r="X987" s="67" t="n"/>
      <c r="Y987" s="67" t="n"/>
      <c r="Z987" s="67" t="n"/>
      <c r="AA987" s="67" t="n"/>
      <c r="AB987" s="67" t="n"/>
    </row>
    <row r="988" ht="15.75" customHeight="1" s="305">
      <c r="A988" s="67" t="n"/>
      <c r="B988" s="67" t="n"/>
      <c r="C988" s="67" t="n"/>
      <c r="D988" s="67" t="n"/>
      <c r="E988" s="67" t="n"/>
      <c r="F988" s="67" t="inlineStr"/>
      <c r="G988" s="67" t="n"/>
      <c r="H988" t="inlineStr"/>
      <c r="I988" s="67" t="n"/>
      <c r="J988" s="67" t="n"/>
      <c r="K988" s="67" t="n"/>
      <c r="L988" s="67" t="n"/>
      <c r="M988" s="67" t="n"/>
      <c r="N988" s="67" t="n"/>
      <c r="O988" s="67" t="n"/>
      <c r="P988" s="67" t="n"/>
      <c r="Q988" s="67" t="n"/>
      <c r="R988" s="67" t="n"/>
      <c r="S988" s="67" t="n"/>
      <c r="T988" s="67" t="n"/>
      <c r="U988" s="67" t="n"/>
      <c r="V988" s="67" t="n"/>
      <c r="W988" s="67" t="n"/>
      <c r="X988" s="67" t="n"/>
      <c r="Y988" s="67" t="n"/>
      <c r="Z988" s="67" t="n"/>
      <c r="AA988" s="67" t="n"/>
      <c r="AB988" s="67" t="n"/>
    </row>
    <row r="989" ht="15.75" customHeight="1" s="305">
      <c r="A989" s="67" t="n"/>
      <c r="B989" s="67" t="n"/>
      <c r="C989" s="67" t="n"/>
      <c r="D989" s="67" t="n"/>
      <c r="E989" s="67" t="n"/>
      <c r="F989" s="67" t="inlineStr"/>
      <c r="G989" s="67" t="n"/>
      <c r="H989" t="inlineStr"/>
      <c r="I989" s="67" t="n"/>
      <c r="J989" s="67" t="n"/>
      <c r="K989" s="67" t="n"/>
      <c r="L989" s="67" t="n"/>
      <c r="M989" s="67" t="n"/>
      <c r="N989" s="67" t="n"/>
      <c r="O989" s="67" t="n"/>
      <c r="P989" s="67" t="n"/>
      <c r="Q989" s="67" t="n"/>
      <c r="R989" s="67" t="n"/>
      <c r="S989" s="67" t="n"/>
      <c r="T989" s="67" t="n"/>
      <c r="U989" s="67" t="n"/>
      <c r="V989" s="67" t="n"/>
      <c r="W989" s="67" t="n"/>
      <c r="X989" s="67" t="n"/>
      <c r="Y989" s="67" t="n"/>
      <c r="Z989" s="67" t="n"/>
      <c r="AA989" s="67" t="n"/>
      <c r="AB989" s="67" t="n"/>
    </row>
    <row r="990" ht="15.75" customHeight="1" s="305">
      <c r="A990" s="67" t="n"/>
      <c r="B990" s="67" t="n"/>
      <c r="C990" s="67" t="n"/>
      <c r="D990" s="67" t="n"/>
      <c r="E990" s="67" t="n"/>
      <c r="F990" s="67" t="inlineStr"/>
      <c r="G990" s="67" t="n"/>
      <c r="H990" t="inlineStr"/>
      <c r="I990" s="67" t="n"/>
      <c r="J990" s="67" t="n"/>
      <c r="K990" s="67" t="n"/>
      <c r="L990" s="67" t="n"/>
      <c r="M990" s="67" t="n"/>
      <c r="N990" s="67" t="n"/>
      <c r="O990" s="67" t="n"/>
      <c r="P990" s="67" t="n"/>
      <c r="Q990" s="67" t="n"/>
      <c r="R990" s="67" t="n"/>
      <c r="S990" s="67" t="n"/>
      <c r="T990" s="67" t="n"/>
      <c r="U990" s="67" t="n"/>
      <c r="V990" s="67" t="n"/>
      <c r="W990" s="67" t="n"/>
      <c r="X990" s="67" t="n"/>
      <c r="Y990" s="67" t="n"/>
      <c r="Z990" s="67" t="n"/>
      <c r="AA990" s="67" t="n"/>
      <c r="AB990" s="67" t="n"/>
    </row>
    <row r="991" ht="15.75" customHeight="1" s="305">
      <c r="A991" s="67" t="n"/>
      <c r="B991" s="67" t="n"/>
      <c r="C991" s="67" t="n"/>
      <c r="D991" s="67" t="n"/>
      <c r="E991" s="67" t="n"/>
      <c r="F991" s="67" t="inlineStr"/>
      <c r="G991" s="67" t="n"/>
      <c r="H991" t="inlineStr"/>
      <c r="I991" s="67" t="n"/>
      <c r="J991" s="67" t="n"/>
      <c r="K991" s="67" t="n"/>
      <c r="L991" s="67" t="n"/>
      <c r="M991" s="67" t="n"/>
      <c r="N991" s="67" t="n"/>
      <c r="O991" s="67" t="n"/>
      <c r="P991" s="67" t="n"/>
      <c r="Q991" s="67" t="n"/>
      <c r="R991" s="67" t="n"/>
      <c r="S991" s="67" t="n"/>
      <c r="T991" s="67" t="n"/>
      <c r="U991" s="67" t="n"/>
      <c r="V991" s="67" t="n"/>
      <c r="W991" s="67" t="n"/>
      <c r="X991" s="67" t="n"/>
      <c r="Y991" s="67" t="n"/>
      <c r="Z991" s="67" t="n"/>
      <c r="AA991" s="67" t="n"/>
      <c r="AB991" s="67" t="n"/>
    </row>
    <row r="992" ht="15.75" customHeight="1" s="305">
      <c r="A992" s="67" t="n"/>
      <c r="B992" s="67" t="n"/>
      <c r="C992" s="67" t="n"/>
      <c r="D992" s="67" t="n"/>
      <c r="E992" s="67" t="n"/>
      <c r="F992" s="67" t="inlineStr"/>
      <c r="G992" s="67" t="n"/>
      <c r="H992" t="inlineStr"/>
      <c r="I992" s="67" t="n"/>
      <c r="J992" s="67" t="n"/>
      <c r="K992" s="67" t="n"/>
      <c r="L992" s="67" t="n"/>
      <c r="M992" s="67" t="n"/>
      <c r="N992" s="67" t="n"/>
      <c r="O992" s="67" t="n"/>
      <c r="P992" s="67" t="n"/>
      <c r="Q992" s="67" t="n"/>
      <c r="R992" s="67" t="n"/>
      <c r="S992" s="67" t="n"/>
      <c r="T992" s="67" t="n"/>
      <c r="U992" s="67" t="n"/>
      <c r="V992" s="67" t="n"/>
      <c r="W992" s="67" t="n"/>
      <c r="X992" s="67" t="n"/>
      <c r="Y992" s="67" t="n"/>
      <c r="Z992" s="67" t="n"/>
      <c r="AA992" s="67" t="n"/>
      <c r="AB992" s="67" t="n"/>
    </row>
    <row r="993" ht="15.75" customHeight="1" s="305">
      <c r="A993" s="67" t="n"/>
      <c r="B993" s="67" t="n"/>
      <c r="C993" s="67" t="n"/>
      <c r="D993" s="67" t="n"/>
      <c r="E993" s="67" t="n"/>
      <c r="F993" s="67" t="inlineStr"/>
      <c r="G993" s="67" t="n"/>
      <c r="H993" t="inlineStr"/>
      <c r="I993" s="67" t="n"/>
      <c r="J993" s="67" t="n"/>
      <c r="K993" s="67" t="n"/>
      <c r="L993" s="67" t="n"/>
      <c r="M993" s="67" t="n"/>
      <c r="N993" s="67" t="n"/>
      <c r="O993" s="67" t="n"/>
      <c r="P993" s="67" t="n"/>
      <c r="Q993" s="67" t="n"/>
      <c r="R993" s="67" t="n"/>
      <c r="S993" s="67" t="n"/>
      <c r="T993" s="67" t="n"/>
      <c r="U993" s="67" t="n"/>
      <c r="V993" s="67" t="n"/>
      <c r="W993" s="67" t="n"/>
      <c r="X993" s="67" t="n"/>
      <c r="Y993" s="67" t="n"/>
      <c r="Z993" s="67" t="n"/>
      <c r="AA993" s="67" t="n"/>
      <c r="AB993" s="67" t="n"/>
    </row>
    <row r="994" ht="15.75" customHeight="1" s="305">
      <c r="A994" s="67" t="n"/>
      <c r="B994" s="67" t="n"/>
      <c r="C994" s="67" t="n"/>
      <c r="D994" s="67" t="n"/>
      <c r="E994" s="67" t="n"/>
      <c r="F994" s="67" t="inlineStr"/>
      <c r="G994" s="67" t="n"/>
      <c r="H994" t="inlineStr"/>
      <c r="I994" s="67" t="n"/>
      <c r="J994" s="67" t="n"/>
      <c r="K994" s="67" t="n"/>
      <c r="L994" s="67" t="n"/>
      <c r="M994" s="67" t="n"/>
      <c r="N994" s="67" t="n"/>
      <c r="O994" s="67" t="n"/>
      <c r="P994" s="67" t="n"/>
      <c r="Q994" s="67" t="n"/>
      <c r="R994" s="67" t="n"/>
      <c r="S994" s="67" t="n"/>
      <c r="T994" s="67" t="n"/>
      <c r="U994" s="67" t="n"/>
      <c r="V994" s="67" t="n"/>
      <c r="W994" s="67" t="n"/>
      <c r="X994" s="67" t="n"/>
      <c r="Y994" s="67" t="n"/>
      <c r="Z994" s="67" t="n"/>
      <c r="AA994" s="67" t="n"/>
      <c r="AB994" s="67" t="n"/>
    </row>
    <row r="995" ht="15.75" customHeight="1" s="305">
      <c r="A995" s="67" t="n"/>
      <c r="B995" s="67" t="n"/>
      <c r="C995" s="67" t="n"/>
      <c r="D995" s="67" t="n"/>
      <c r="E995" s="67" t="n"/>
      <c r="F995" s="67" t="inlineStr"/>
      <c r="G995" s="67" t="n"/>
      <c r="H995" t="inlineStr"/>
      <c r="I995" s="67" t="n"/>
      <c r="J995" s="67" t="n"/>
      <c r="K995" s="67" t="n"/>
      <c r="L995" s="67" t="n"/>
      <c r="M995" s="67" t="n"/>
      <c r="N995" s="67" t="n"/>
      <c r="O995" s="67" t="n"/>
      <c r="P995" s="67" t="n"/>
      <c r="Q995" s="67" t="n"/>
      <c r="R995" s="67" t="n"/>
      <c r="S995" s="67" t="n"/>
      <c r="T995" s="67" t="n"/>
      <c r="U995" s="67" t="n"/>
      <c r="V995" s="67" t="n"/>
      <c r="W995" s="67" t="n"/>
      <c r="X995" s="67" t="n"/>
      <c r="Y995" s="67" t="n"/>
      <c r="Z995" s="67" t="n"/>
      <c r="AA995" s="67" t="n"/>
      <c r="AB995" s="67" t="n"/>
    </row>
    <row r="996" ht="15.75" customHeight="1" s="305">
      <c r="A996" s="67" t="n"/>
      <c r="B996" s="67" t="n"/>
      <c r="C996" s="67" t="n"/>
      <c r="D996" s="67" t="n"/>
      <c r="E996" s="67" t="n"/>
      <c r="F996" s="67" t="inlineStr"/>
      <c r="G996" s="67" t="n"/>
      <c r="H996" t="inlineStr"/>
      <c r="I996" s="67" t="n"/>
      <c r="J996" s="67" t="n"/>
      <c r="K996" s="67" t="n"/>
      <c r="L996" s="67" t="n"/>
      <c r="M996" s="67" t="n"/>
      <c r="N996" s="67" t="n"/>
      <c r="O996" s="67" t="n"/>
      <c r="P996" s="67" t="n"/>
      <c r="Q996" s="67" t="n"/>
      <c r="R996" s="67" t="n"/>
      <c r="S996" s="67" t="n"/>
      <c r="T996" s="67" t="n"/>
      <c r="U996" s="67" t="n"/>
      <c r="V996" s="67" t="n"/>
      <c r="W996" s="67" t="n"/>
      <c r="X996" s="67" t="n"/>
      <c r="Y996" s="67" t="n"/>
      <c r="Z996" s="67" t="n"/>
      <c r="AA996" s="67" t="n"/>
      <c r="AB996" s="67" t="n"/>
    </row>
    <row r="997" ht="15.75" customHeight="1" s="305">
      <c r="A997" s="67" t="n"/>
      <c r="B997" s="67" t="n"/>
      <c r="C997" s="67" t="n"/>
      <c r="D997" s="67" t="n"/>
      <c r="E997" s="67" t="n"/>
      <c r="F997" s="67" t="inlineStr"/>
      <c r="G997" s="67" t="n"/>
      <c r="H997" t="inlineStr"/>
      <c r="I997" s="67" t="n"/>
      <c r="J997" s="67" t="n"/>
      <c r="K997" s="67" t="n"/>
      <c r="L997" s="67" t="n"/>
      <c r="M997" s="67" t="n"/>
      <c r="N997" s="67" t="n"/>
      <c r="O997" s="67" t="n"/>
      <c r="P997" s="67" t="n"/>
      <c r="Q997" s="67" t="n"/>
      <c r="R997" s="67" t="n"/>
      <c r="S997" s="67" t="n"/>
      <c r="T997" s="67" t="n"/>
      <c r="U997" s="67" t="n"/>
      <c r="V997" s="67" t="n"/>
      <c r="W997" s="67" t="n"/>
      <c r="X997" s="67" t="n"/>
      <c r="Y997" s="67" t="n"/>
      <c r="Z997" s="67" t="n"/>
      <c r="AA997" s="67" t="n"/>
      <c r="AB997" s="67" t="n"/>
    </row>
    <row r="998" ht="15.75" customHeight="1" s="305">
      <c r="A998" s="67" t="n"/>
      <c r="B998" s="67" t="n"/>
      <c r="C998" s="67" t="n"/>
      <c r="D998" s="67" t="n"/>
      <c r="E998" s="67" t="n"/>
      <c r="F998" s="67" t="inlineStr"/>
      <c r="G998" s="67" t="n"/>
      <c r="H998" t="inlineStr"/>
      <c r="I998" s="67" t="n"/>
      <c r="J998" s="67" t="n"/>
      <c r="K998" s="67" t="n"/>
      <c r="L998" s="67" t="n"/>
      <c r="M998" s="67" t="n"/>
      <c r="N998" s="67" t="n"/>
      <c r="O998" s="67" t="n"/>
      <c r="P998" s="67" t="n"/>
      <c r="Q998" s="67" t="n"/>
      <c r="R998" s="67" t="n"/>
      <c r="S998" s="67" t="n"/>
      <c r="T998" s="67" t="n"/>
      <c r="U998" s="67" t="n"/>
      <c r="V998" s="67" t="n"/>
      <c r="W998" s="67" t="n"/>
      <c r="X998" s="67" t="n"/>
      <c r="Y998" s="67" t="n"/>
      <c r="Z998" s="67" t="n"/>
      <c r="AA998" s="67" t="n"/>
      <c r="AB998" s="67" t="n"/>
    </row>
    <row r="999" ht="15.75" customHeight="1" s="305">
      <c r="A999" s="67" t="n"/>
      <c r="B999" s="67" t="n"/>
      <c r="C999" s="67" t="n"/>
      <c r="D999" s="67" t="n"/>
      <c r="E999" s="67" t="n"/>
      <c r="F999" s="67" t="inlineStr"/>
      <c r="G999" s="67" t="n"/>
      <c r="H999" t="inlineStr"/>
      <c r="I999" s="67" t="n"/>
      <c r="J999" s="67" t="n"/>
      <c r="K999" s="67" t="n"/>
      <c r="L999" s="67" t="n"/>
      <c r="M999" s="67" t="n"/>
      <c r="N999" s="67" t="n"/>
      <c r="O999" s="67" t="n"/>
      <c r="P999" s="67" t="n"/>
      <c r="Q999" s="67" t="n"/>
      <c r="R999" s="67" t="n"/>
      <c r="S999" s="67" t="n"/>
      <c r="T999" s="67" t="n"/>
      <c r="U999" s="67" t="n"/>
      <c r="V999" s="67" t="n"/>
      <c r="W999" s="67" t="n"/>
      <c r="X999" s="67" t="n"/>
      <c r="Y999" s="67" t="n"/>
      <c r="Z999" s="67" t="n"/>
      <c r="AA999" s="67" t="n"/>
      <c r="AB999" s="67" t="n"/>
    </row>
    <row r="1000" ht="15.75" customHeight="1" s="305">
      <c r="A1000" s="67" t="n"/>
      <c r="B1000" s="67" t="n"/>
      <c r="C1000" s="67" t="n"/>
      <c r="D1000" s="67" t="n"/>
      <c r="E1000" s="67" t="n"/>
      <c r="F1000" s="67" t="inlineStr"/>
      <c r="G1000" s="67" t="n"/>
      <c r="H1000" t="inlineStr"/>
      <c r="I1000" s="67" t="n"/>
      <c r="J1000" s="67" t="n"/>
      <c r="K1000" s="67" t="n"/>
      <c r="L1000" s="67" t="n"/>
      <c r="M1000" s="67" t="n"/>
      <c r="N1000" s="67" t="n"/>
      <c r="O1000" s="67" t="n"/>
      <c r="P1000" s="67" t="n"/>
      <c r="Q1000" s="67" t="n"/>
      <c r="R1000" s="67" t="n"/>
      <c r="S1000" s="67" t="n"/>
      <c r="T1000" s="67" t="n"/>
      <c r="U1000" s="67" t="n"/>
      <c r="V1000" s="67" t="n"/>
      <c r="W1000" s="67" t="n"/>
      <c r="X1000" s="67" t="n"/>
      <c r="Y1000" s="67" t="n"/>
      <c r="Z1000" s="67" t="n"/>
      <c r="AA1000" s="67" t="n"/>
      <c r="AB1000" s="67" t="n"/>
    </row>
    <row r="1001" ht="15.75" customHeight="1" s="305">
      <c r="A1001" s="67" t="n"/>
      <c r="B1001" s="67" t="n"/>
      <c r="C1001" s="67" t="n"/>
      <c r="D1001" s="67" t="n"/>
      <c r="E1001" s="67" t="n"/>
      <c r="F1001" s="67" t="inlineStr"/>
      <c r="G1001" s="67" t="n"/>
      <c r="H1001" t="inlineStr"/>
      <c r="I1001" s="67" t="n"/>
      <c r="J1001" s="67" t="n"/>
      <c r="K1001" s="67" t="n"/>
      <c r="L1001" s="67" t="n"/>
      <c r="M1001" s="67" t="n"/>
      <c r="N1001" s="67" t="n"/>
      <c r="O1001" s="67" t="n"/>
      <c r="P1001" s="67" t="n"/>
      <c r="Q1001" s="67" t="n"/>
      <c r="R1001" s="67" t="n"/>
      <c r="S1001" s="67" t="n"/>
      <c r="T1001" s="67" t="n"/>
      <c r="U1001" s="67" t="n"/>
      <c r="V1001" s="67" t="n"/>
      <c r="W1001" s="67" t="n"/>
      <c r="X1001" s="67" t="n"/>
      <c r="Y1001" s="67" t="n"/>
      <c r="Z1001" s="67" t="n"/>
      <c r="AA1001" s="67" t="n"/>
      <c r="AB1001" s="67" t="n"/>
    </row>
  </sheetData>
  <pageMargins left="0.7" right="0.7" top="0.75" bottom="0.75" header="0" footer="0"/>
  <pageSetup orientation="landscape"/>
</worksheet>
</file>

<file path=xl/worksheets/sheet12.xml><?xml version="1.0" encoding="utf-8"?>
<worksheet xmlns="http://schemas.openxmlformats.org/spreadsheetml/2006/main">
  <sheetPr>
    <outlinePr summaryBelow="1" summaryRight="1"/>
    <pageSetUpPr/>
  </sheetPr>
  <dimension ref="B1:AH37"/>
  <sheetViews>
    <sheetView workbookViewId="0">
      <selection activeCell="A1" sqref="A1"/>
    </sheetView>
  </sheetViews>
  <sheetFormatPr baseColWidth="8" defaultColWidth="14.43" defaultRowHeight="15" customHeight="1"/>
  <cols>
    <col width="14.43" customWidth="1" style="305" min="1" max="1"/>
    <col width="49" customWidth="1" style="305" min="2" max="2"/>
    <col width="40.57" customWidth="1" style="305" min="3" max="3"/>
    <col width="55.43" customWidth="1" style="305" min="4" max="4"/>
    <col width="14.43" customWidth="1" style="305" min="5" max="5"/>
  </cols>
  <sheetData>
    <row r="1" ht="15" customHeight="1" s="305">
      <c r="B1" s="217" t="inlineStr">
        <is>
          <t>GG dịch</t>
        </is>
      </c>
      <c r="C1" s="3">
        <f>IFERROR(__xludf.DUMMYFUNCTION("GOOGLETRANSLATE(C2,""en"",""km"")"),"ទេ។")</f>
        <v/>
      </c>
      <c r="D1" s="3">
        <f>IFERROR(__xludf.DUMMYFUNCTION("GOOGLETRANSLATE(D2,""en"",""km"")"),"ឯកសារយោងការបញ្ជាទិញ")</f>
        <v/>
      </c>
      <c r="E1" s="3">
        <f>IFERROR(__xludf.DUMMYFUNCTION("GOOGLETRANSLATE(E2,""en"",""km"")"),"ឈ្មោះអ្នកទទួល (*)")</f>
        <v/>
      </c>
      <c r="F1" s="3">
        <f>IFERROR(__xludf.DUMMYFUNCTION("GOOGLETRANSLATE(F2,""en"",""km"")"),"លេខទូរស័ព្ទអ្នកទទួល (*)")</f>
        <v/>
      </c>
      <c r="G1" s="3">
        <f>IFERROR(__xludf.DUMMYFUNCTION("GOOGLETRANSLATE(G2,""en"",""km"")"),"ខេត្តគោលដៅ (*)")</f>
        <v/>
      </c>
      <c r="H1" s="3">
        <f>IFERROR(__xludf.DUMMYFUNCTION("GOOGLETRANSLATE(H2,""en"",""km"")"),"ស្រុកគោលដៅ (*)")</f>
        <v/>
      </c>
      <c r="I1" s="3">
        <f>IFERROR(__xludf.DUMMYFUNCTION("GOOGLETRANSLATE(I2,""en"",""km"")"),"ឃុំគោលដៅ (*)")</f>
        <v/>
      </c>
      <c r="J1" s="3">
        <f>IFERROR(__xludf.DUMMYFUNCTION("GOOGLETRANSLATE(J2,""en"",""km"")"),"ព័ត៌មានលម្អិតអំពីអាសយដ្ឋាន (*)")</f>
        <v/>
      </c>
      <c r="K1" s="3">
        <f>IFERROR(__xludf.DUMMYFUNCTION("GOOGLETRANSLATE(K2,""en"",""km"")"),"មាតិកាទំនិញ (*)")</f>
        <v/>
      </c>
      <c r="L1" s="3">
        <f>IFERROR(__xludf.DUMMYFUNCTION("GOOGLETRANSLATE(L2,""en"",""km"")"),"ទម្ងន់បញ្ជាទិញ (ក្រាម) (*)")</f>
        <v/>
      </c>
      <c r="M1" s="3">
        <f>IFERROR(__xludf.DUMMYFUNCTION("GOOGLETRANSLATE(M2,""en"",""km"")"),"តម្លៃបញ្ជាទិញ (ដុល្លារអាមេរិក)")</f>
        <v/>
      </c>
      <c r="N1" s="3">
        <f>IFERROR(__xludf.DUMMYFUNCTION("GOOGLETRANSLATE(N2,""en"",""km"")"),"ការប្រមូលប្រាក់ពេលទទួលទំនិញ (COD) (USD)")</f>
        <v/>
      </c>
      <c r="O1" s="3">
        <f>IFERROR(__xludf.DUMMYFUNCTION("GOOGLETRANSLATE(O2,""en"",""km"")"),"ប្រភេទផលិតផល (*)")</f>
        <v/>
      </c>
      <c r="P1" s="3">
        <f>IFERROR(__xludf.DUMMYFUNCTION("GOOGLETRANSLATE(P2,""en"",""km"")"),"សេវាកម្ម (*)")</f>
        <v/>
      </c>
      <c r="Q1" s="3">
        <f>IFERROR(__xludf.DUMMYFUNCTION("GOOGLETRANSLATE(Q2,""en"",""km"")"),"សេវាកម្មបន្ថែម")</f>
        <v/>
      </c>
      <c r="R1" s="3">
        <f>IFERROR(__xludf.DUMMYFUNCTION("GOOGLETRANSLATE(R2,""en"",""km"")"),"ប្រវែង (សង់ទីម៉ែត្រ)")</f>
        <v/>
      </c>
      <c r="S1" s="3">
        <f>IFERROR(__xludf.DUMMYFUNCTION("GOOGLETRANSLATE(S2,""en"",""km"")"),"ទទឹង (សង់ទីម៉ែត្រ)")</f>
        <v/>
      </c>
      <c r="T1" s="3">
        <f>IFERROR(__xludf.DUMMYFUNCTION("GOOGLETRANSLATE(T2,""en"",""km"")"),"កម្ពស់ (សង់ទីម៉ែត្រ)")</f>
        <v/>
      </c>
      <c r="U1" s="3">
        <f>IFERROR(__xludf.DUMMYFUNCTION("GOOGLETRANSLATE(U2,""en"",""km"")"),"អ្នកបង់ប្រាក់")</f>
        <v/>
      </c>
      <c r="V1" s="3">
        <f>IFERROR(__xludf.DUMMYFUNCTION("GOOGLETRANSLATE(V2,""en"",""km"")"),"ពេលវេលាណាត់ជួបសម្រាប់ទៅយក")</f>
        <v/>
      </c>
      <c r="W1" s="3">
        <f>IFERROR(__xludf.DUMMYFUNCTION("GOOGLETRANSLATE(W2,""en"",""km"")"),"កំណត់ចំណាំ")</f>
        <v/>
      </c>
      <c r="X1" s="3">
        <f>IFERROR(__xludf.DUMMYFUNCTION("GOOGLETRANSLATE(X2,""en"",""km"")"),"បញ្ជីបញ្ជាទិញ")</f>
        <v/>
      </c>
      <c r="Y1" s="3">
        <f>IFERROR(__xludf.DUMMYFUNCTION("GOOGLETRANSLATE(Y2,""en"",""km"")"),"សេវាកម្មបន្ថែម")</f>
        <v/>
      </c>
    </row>
    <row r="2">
      <c r="B2" s="225" t="inlineStr">
        <is>
          <t>English</t>
        </is>
      </c>
      <c r="C2" s="220" t="inlineStr">
        <is>
          <t>No.</t>
        </is>
      </c>
      <c r="D2" s="221" t="inlineStr">
        <is>
          <t>Order reference</t>
        </is>
      </c>
      <c r="E2" s="221" t="inlineStr">
        <is>
          <t>Receiver's name (*)</t>
        </is>
      </c>
      <c r="F2" s="221" t="inlineStr">
        <is>
          <t>Receiver's phone number (*)</t>
        </is>
      </c>
      <c r="G2" s="220" t="inlineStr">
        <is>
          <t>Destination Province (*)</t>
        </is>
      </c>
      <c r="H2" s="220" t="inlineStr">
        <is>
          <t>Destination District (*)</t>
        </is>
      </c>
      <c r="I2" s="220" t="inlineStr">
        <is>
          <t>Destination Commune (*)</t>
        </is>
      </c>
      <c r="J2" s="220" t="inlineStr">
        <is>
          <t>Address details (*)</t>
        </is>
      </c>
      <c r="K2" s="221" t="inlineStr">
        <is>
          <t>Goods content (*)</t>
        </is>
      </c>
      <c r="L2" s="221" t="inlineStr">
        <is>
          <t>Order weight (gram) (*)</t>
        </is>
      </c>
      <c r="M2" s="221" t="inlineStr">
        <is>
          <t>Order value (USD)</t>
        </is>
      </c>
      <c r="N2" s="221" t="inlineStr">
        <is>
          <t>Cash on Delivery (COD) collection (USD)</t>
        </is>
      </c>
      <c r="O2" s="221" t="inlineStr">
        <is>
          <t>Type of product (*)</t>
        </is>
      </c>
      <c r="P2" s="221" t="inlineStr">
        <is>
          <t>Service (*)</t>
        </is>
      </c>
      <c r="Q2" s="221" t="inlineStr">
        <is>
          <t>Extra service</t>
        </is>
      </c>
      <c r="R2" s="220" t="inlineStr">
        <is>
          <t>Length (cm)</t>
        </is>
      </c>
      <c r="S2" s="220" t="inlineStr">
        <is>
          <t>Width (cm)</t>
        </is>
      </c>
      <c r="T2" s="220" t="inlineStr">
        <is>
          <t>Height (cm)</t>
        </is>
      </c>
      <c r="U2" s="221" t="inlineStr">
        <is>
          <t>Charge payer</t>
        </is>
      </c>
      <c r="V2" s="221" t="inlineStr">
        <is>
          <t>Pickup Appointment Time</t>
        </is>
      </c>
      <c r="W2" s="221" t="inlineStr">
        <is>
          <t>Note</t>
        </is>
      </c>
      <c r="X2" s="222" t="inlineStr">
        <is>
          <t>Order list</t>
        </is>
      </c>
      <c r="Y2" s="222" t="inlineStr">
        <is>
          <t>Extra Service</t>
        </is>
      </c>
      <c r="Z2" s="223" t="n"/>
      <c r="AH2" s="224" t="n"/>
    </row>
    <row r="3">
      <c r="B3" s="308" t="inlineStr">
        <is>
          <t>Cambodia (cam Thean)</t>
        </is>
      </c>
      <c r="C3" t="inlineStr">
        <is>
          <t>លេខរៀង</t>
        </is>
      </c>
      <c r="D3" t="inlineStr">
        <is>
          <t>លេខកូដយោងបញ្ជាទិញ</t>
        </is>
      </c>
      <c r="E3" t="inlineStr">
        <is>
          <t>ឈ្មោះអ្នកទទួល (*)</t>
        </is>
      </c>
      <c r="F3" t="inlineStr">
        <is>
          <t>លេខទូរស័ព្ទអ្នកទទួល (*)</t>
        </is>
      </c>
      <c r="G3" t="inlineStr">
        <is>
          <t>ខេត្ត/រាជធានីគោលដៅ (*)</t>
        </is>
      </c>
      <c r="H3" t="inlineStr">
        <is>
          <t>ស្រុក/ខណ្ឌគោលដៅ (*)</t>
        </is>
      </c>
      <c r="I3" t="inlineStr">
        <is>
          <t>ឃុំ/សង្កាត់គោលដៅ (*)</t>
        </is>
      </c>
      <c r="J3" t="inlineStr">
        <is>
          <t>អាសយដ្ឋានលម្អិត (*)</t>
        </is>
      </c>
      <c r="K3" t="inlineStr">
        <is>
          <t>បរិយាយទំនិញ (*)</t>
        </is>
      </c>
      <c r="L3" t="inlineStr">
        <is>
          <t>ទម្ងន់បញ្ញើ (ក្រាម) (*)</t>
        </is>
      </c>
      <c r="M3" t="inlineStr">
        <is>
          <t>តម្លៃទំនិញ (USD)</t>
        </is>
      </c>
      <c r="N3" t="inlineStr">
        <is>
          <t>ប្រាក់ទូទាត់ពេលទទួលទំនិញ (COD) (USD)</t>
        </is>
      </c>
      <c r="O3" t="inlineStr">
        <is>
          <t>ប្រភេទផលិតផល (*)</t>
        </is>
      </c>
      <c r="P3" t="inlineStr">
        <is>
          <t>សេវាកម្ម (*)</t>
        </is>
      </c>
      <c r="Q3" t="inlineStr">
        <is>
          <t>សេវាកម្មបន្ថែម</t>
        </is>
      </c>
      <c r="R3" t="inlineStr">
        <is>
          <t>បណ្តោយ (cm)</t>
        </is>
      </c>
      <c r="S3" t="inlineStr">
        <is>
          <t>ទទឹង (cm)</t>
        </is>
      </c>
      <c r="T3" t="inlineStr">
        <is>
          <t>កម្ពស់ (cm)</t>
        </is>
      </c>
      <c r="U3" t="inlineStr">
        <is>
          <t>អ្នកបង់ថ្លៃសេវា</t>
        </is>
      </c>
      <c r="V3" t="inlineStr">
        <is>
          <t>ពេលវេលាណាត់យកទំនិញ</t>
        </is>
      </c>
      <c r="W3" t="inlineStr">
        <is>
          <t>ចំណាំ</t>
        </is>
      </c>
      <c r="X3" t="inlineStr">
        <is>
          <t>បញ្ជីបញ្ជាទិញ</t>
        </is>
      </c>
      <c r="Y3" t="inlineStr">
        <is>
          <t>សេវាកម្មបន្ថែម</t>
        </is>
      </c>
      <c r="Z3" s="223" t="n"/>
      <c r="AH3" s="224" t="n"/>
    </row>
    <row r="4">
      <c r="B4" s="225" t="inlineStr">
        <is>
          <t>Chinese</t>
        </is>
      </c>
      <c r="Z4" s="223" t="n"/>
      <c r="AH4" s="224" t="n"/>
    </row>
    <row r="5">
      <c r="Z5" s="223" t="n"/>
      <c r="AH5" s="224" t="n"/>
    </row>
    <row r="13">
      <c r="B13" s="225" t="inlineStr">
        <is>
          <t>English</t>
        </is>
      </c>
      <c r="C13" s="217" t="inlineStr">
        <is>
          <t>GG Dịch</t>
        </is>
      </c>
      <c r="D13" s="225" t="inlineStr">
        <is>
          <t>Cam-Nita</t>
        </is>
      </c>
    </row>
    <row r="14">
      <c r="B14" s="67" t="inlineStr">
        <is>
          <t>This is our available Extra services. Please enter your extra services code at the designated cells at Order list sheet.</t>
        </is>
      </c>
      <c r="C14" s="3">
        <f>IFERROR(__xludf.DUMMYFUNCTION("GOOGLETRANSLATE(B14,""en"",""km"")"),"នេះ​ជា​សេវាកម្ម​បន្ថែម​ដែល​យើង​មាន។ សូម​បញ្ចូល​លេខ​កូដ​សេវាកម្ម​បន្ថែម​របស់​អ្នក​នៅ​ក្នុង​ក្រឡា​ដែល​បាន​កំណត់​នៅ​ក្នុង​សន្លឹក​បញ្ជី​បញ្ជា​ទិញ។")</f>
        <v/>
      </c>
      <c r="D14" s="3" t="inlineStr">
        <is>
          <t>នេះជាសេវាកម្មបន្ថែមដែលយើងមានរួចជាស្រេច។ សូមបញ្ចូលលេខកូដសេវាកម្មបន្ថែមរបស់អ្នកនៅក្នុងជួរដែលបានកំណត់នៅបញ្ជី Sheet.</t>
        </is>
      </c>
    </row>
    <row r="15">
      <c r="B15" s="67" t="inlineStr">
        <is>
          <t>Notes: Some extra services depend on your provided information and will be shown upon order submission.</t>
        </is>
      </c>
      <c r="C15" s="3">
        <f>IFERROR(__xludf.DUMMYFUNCTION("GOOGLETRANSLATE(B15,""en"",""km"")"),"ចំណាំ៖ សេវាកម្មបន្ថែមមួយចំនួនអាស្រ័យលើព័ត៌មានដែលអ្នកបានផ្តល់ ហើយនឹងត្រូវបានបង្ហាញនៅពេលដាក់ស្នើការបញ្ជាទិញ។")</f>
        <v/>
      </c>
      <c r="D15" s="3" t="inlineStr">
        <is>
          <t>ចំណាំ៖ សេវាកម្មបន្ថែមមួយចំនួនអាស្រ័យលើព័ត៌មានដែលអ្នកបានផ្តល់ឲ្យនិងត្រូវបានបង្ហាញនៅពេលដាក់ការបញ្ញើអីវ៉ាន់</t>
        </is>
      </c>
    </row>
    <row r="16">
      <c r="B16" s="226" t="inlineStr">
        <is>
          <t>GBH - Goods insurance</t>
        </is>
      </c>
      <c r="C16" s="3">
        <f>IFERROR(__xludf.DUMMYFUNCTION("GOOGLETRANSLATE(B16,""en"",""km"")"),"GBH - ការធានារ៉ាប់រងទំនិញ")</f>
        <v/>
      </c>
      <c r="D16" s="217" t="inlineStr">
        <is>
          <t>GBH-ការធានារ៉ាប់រងអីវ៉ាន់</t>
        </is>
      </c>
      <c r="E16" s="217" t="inlineStr">
        <is>
          <t>ធានារ៉ាប់រងទំនិញ</t>
        </is>
      </c>
    </row>
    <row r="17">
      <c r="B17" s="226" t="inlineStr">
        <is>
          <t>GDK - Goods inspection</t>
        </is>
      </c>
      <c r="C17" s="3">
        <f>IFERROR(__xludf.DUMMYFUNCTION("GOOGLETRANSLATE(B17,""en"",""km"")"),"GDK - ការត្រួតពិនិត្យទំនិញ")</f>
        <v/>
      </c>
      <c r="D17" s="217" t="inlineStr">
        <is>
          <t>GDK-ការត្រួតពិនិត្យអីវ៉ាន់</t>
        </is>
      </c>
    </row>
    <row r="18">
      <c r="B18" s="226" t="inlineStr">
        <is>
          <t>GTT - Door-to-door delivery</t>
        </is>
      </c>
      <c r="C18" s="3">
        <f>IFERROR(__xludf.DUMMYFUNCTION("GOOGLETRANSLATE(B18,""en"",""km"")"),"GTT - ការដឹកជញ្ជូនដល់មាត់ទ្វារ")</f>
        <v/>
      </c>
      <c r="D18" s="217" t="inlineStr">
        <is>
          <t>GTT-ដឹកជញ្ជូនដល់មុខទ្វារផ្ទះ</t>
        </is>
      </c>
    </row>
    <row r="19">
      <c r="B19" s="226" t="inlineStr">
        <is>
          <t>GBP - Delivery Notification</t>
        </is>
      </c>
      <c r="C19" s="3">
        <f>IFERROR(__xludf.DUMMYFUNCTION("GOOGLETRANSLATE(B19,""en"",""km"")"),"GBP - ការជូនដំណឹងអំពីការដឹកជញ្ជូន")</f>
        <v/>
      </c>
      <c r="D19" s="217" t="inlineStr">
        <is>
          <t>GBP-ការជូនដំណឹងពីការដឹកជញ្ជូន</t>
        </is>
      </c>
    </row>
    <row r="21" ht="15.75" customHeight="1" s="305">
      <c r="B21" s="227" t="inlineStr">
        <is>
          <t>VI</t>
        </is>
      </c>
      <c r="C21" s="227" t="inlineStr">
        <is>
          <t>EN</t>
        </is>
      </c>
      <c r="D21" s="227" t="inlineStr">
        <is>
          <t>CAM</t>
        </is>
      </c>
    </row>
    <row r="22" ht="15.75" customHeight="1" s="305">
      <c r="B22" s="228" t="inlineStr">
        <is>
          <t>Chỉ cho phép tối đa 150 ký tự</t>
        </is>
      </c>
      <c r="C22" s="228" t="inlineStr">
        <is>
          <t>Only up to 150 characters are allowed</t>
        </is>
      </c>
      <c r="D22" s="229" t="inlineStr">
        <is>
          <t>អាចអនុញាត្តិឲ្យយ៉ាងច្រើន 150 តួអក្សរលេខ</t>
        </is>
      </c>
    </row>
    <row r="23" ht="15.75" customHeight="1" s="305">
      <c r="B23" s="228" t="inlineStr">
        <is>
          <t>Chỉ nhập tối đa 20 ký tự</t>
        </is>
      </c>
      <c r="C23" s="228" t="inlineStr">
        <is>
          <t>Enter only 20 characters</t>
        </is>
      </c>
      <c r="D23" s="229" t="inlineStr">
        <is>
          <t>អាចបញ្ចូលបានយ៉ាងច្រើន 20 តួអក្សរលេខ</t>
        </is>
      </c>
    </row>
    <row r="24" ht="15.75" customHeight="1" s="305">
      <c r="B24" s="228" t="inlineStr">
        <is>
          <t>Vui lòng nhập theo định dạng: Tên, cách nhau bằng dấu phẩy. Ví dụ: Quần ngắn, Áo thun</t>
        </is>
      </c>
      <c r="C24" s="228" t="inlineStr">
        <is>
          <t>Please enter in the format: name, separated by commas. Example: Short, T-shirt</t>
        </is>
      </c>
      <c r="D24" s="229" t="inlineStr">
        <is>
          <t>សូមបញ្ចូលតាមទម្រង់៖ ឈ្មោះ ដកឃ្លាដោយមានសញ្ញាក្បៀស។ ឧទាហរណ៍៖ ខោខ្លី អាវយឺត</t>
        </is>
      </c>
    </row>
    <row r="25" ht="15.75" customHeight="1" s="305">
      <c r="B25" s="228" t="inlineStr">
        <is>
          <t>Vui lòng nhập trọng lượng dưới dạng giá trị số tính bằng gram</t>
        </is>
      </c>
      <c r="C25" s="228" t="inlineStr">
        <is>
          <t>Please enter the weight as a numeric value in grams.</t>
        </is>
      </c>
      <c r="D25" s="229" t="inlineStr">
        <is>
          <t>សូមបញ្ចូលទម្ងន់នៅក្រោមតម្លៃលេខគិតជាក្រាម</t>
        </is>
      </c>
    </row>
    <row r="26" ht="15.75" customHeight="1" s="305">
      <c r="B26" s="228" t="inlineStr">
        <is>
          <t>Vui lòng nhập số nguyên dương. Không được phép nhập chữ cái hoặc ký tự đặc biệt</t>
        </is>
      </c>
      <c r="C26" s="228" t="inlineStr">
        <is>
          <t>Please enter a positive whole number. No letters or special characters are allowed.</t>
        </is>
      </c>
      <c r="D26" s="229" t="inlineStr">
        <is>
          <t>សូមបញ្ចូលលេខវិជ្ជមាន មិនអនុញាត្តិឲ្យបញ្ចូលអក្សរឬសញ្ញាពិសេស</t>
        </is>
      </c>
    </row>
    <row r="27" ht="15.75" customHeight="1" s="305">
      <c r="B27" s="228" t="inlineStr">
        <is>
          <t>Vui lòng nhập số tiền dưới dạng giá trị số</t>
        </is>
      </c>
      <c r="C27" s="228" t="inlineStr">
        <is>
          <t>Please enter the price as numeric value. =&gt; Please enter the amount as a numeric value.</t>
        </is>
      </c>
      <c r="D27" s="229" t="inlineStr">
        <is>
          <t>សូមបញ្ចូលចំនួនប្រាក់ជាតម្លៃលេខ</t>
        </is>
      </c>
    </row>
    <row r="28" ht="15.75" customHeight="1" s="305">
      <c r="B28" s="228" t="inlineStr">
        <is>
          <t>Vui lòng nhập một số thập phân, sử dụng dấu chấm (.) làm dấu thập phân. Số phải có đúng 2 chữ sau dấu chấm và sử dụng dấu phẩy để tách hàng nghìn</t>
        </is>
      </c>
      <c r="C28" s="228" t="inlineStr">
        <is>
          <t>Please enter a decimal number, using a dot (.) as the decimal separator. The number must have exactly 2 digits after the dot and use commas to separate thousands.</t>
        </is>
      </c>
      <c r="D28" s="230" t="inlineStr">
        <is>
          <t>សូមពេលបញ្ចូលលេខទសភាគ គឺត្រូវដាក់សញ្ញា (.) ធ្វើជាសញ្ញាទសភាគ។ ចំនួនលេខត្រូវមានពីរខ្ទង់យ៉ាងតិចនៅខាងក្រោយសញ្ញាចុចនិងប្រើប្រាស់សញ្ញាក្បៀសដើម្បីកាត់ខ្ទង់ពាន់</t>
        </is>
      </c>
    </row>
    <row r="29" ht="15.75" customHeight="1" s="305">
      <c r="B29" s="228" t="inlineStr">
        <is>
          <t>Vui lòng chọn các dịch vụ bổ sung từ bảng ExtraService. Nhiều dịch vụ nên được tách bằng dấu phẩy.</t>
        </is>
      </c>
      <c r="C29" s="228" t="inlineStr">
        <is>
          <t>Please select additional extra services. Multiple services should be separated by commas.</t>
        </is>
      </c>
      <c r="D29" s="229" t="inlineStr">
        <is>
          <t>សូមជ្រើសរើសរាល់សេវាកម្មបន្ថែមទាំងអស់ពីតារាង ExtraService។ សេវាកម្មជាច្រើនគួរតែមានចែកគ្នាដោយសញ្ញាក្បៀស។</t>
        </is>
      </c>
    </row>
    <row r="30" ht="15.75" customHeight="1" s="305">
      <c r="B30" s="228" t="inlineStr">
        <is>
          <t>Vui lòng nhập kích thước từ 1 đến 5000cm</t>
        </is>
      </c>
      <c r="C30" s="228" t="inlineStr">
        <is>
          <t>Please enter a size from 1 to 5000 cm</t>
        </is>
      </c>
      <c r="D30" s="229" t="inlineStr">
        <is>
          <t>សូមបញ្ចូលទំហំពី 1 ដល់ 5000 សង់ទីម៉ែត</t>
        </is>
      </c>
    </row>
    <row r="31" ht="15.75" customHeight="1" s="305"/>
    <row r="32" ht="15.75" customHeight="1" s="305">
      <c r="B32" s="231" t="inlineStr">
        <is>
          <t>(1) Mỗi đơn hàng có thể chọn nhiều dịch vụ cộng thêm (Dịch vụ cộng thêm cách nhau dấu phẩy)
Ví dụ: VTT, NTN, VBH</t>
        </is>
      </c>
      <c r="C32" s="3" t="inlineStr">
        <is>
          <t>(1) Each order can select multiple extra services (separated by commas).
Example: VTT, NTN, VBH</t>
        </is>
      </c>
    </row>
    <row r="33" ht="15.75" customHeight="1" s="305">
      <c r="B33" s="232" t="inlineStr">
        <is>
          <t>(2) Bắt buộc nhập dịch vụ cộng thêm là NTN khi cần lấy hàng tại nhà</t>
        </is>
      </c>
      <c r="C33" s="3" t="inlineStr">
        <is>
          <t>(2) NTN is required for door-to-door pickup.</t>
        </is>
      </c>
    </row>
    <row r="34" ht="15.75" customHeight="1" s="305">
      <c r="B34" s="232" t="inlineStr">
        <is>
          <t>(3) Bắt buộc nhập dịch vụ cộng thêm là VTT khi cần giao hàng tại nhà</t>
        </is>
      </c>
      <c r="C34" s="3" t="inlineStr">
        <is>
          <t>(3) VTT is required for hand delivery.</t>
        </is>
      </c>
    </row>
    <row r="35" ht="15.75" customHeight="1" s="305">
      <c r="B35" s="217" t="inlineStr">
        <is>
          <t>Lưu ý</t>
        </is>
      </c>
      <c r="C35" s="217" t="inlineStr">
        <is>
          <t>Note</t>
        </is>
      </c>
    </row>
    <row r="36" ht="15.75" customHeight="1" s="305"/>
    <row r="37" ht="15.75" customHeight="1" s="305">
      <c r="B37" s="231" t="n"/>
    </row>
    <row r="38" ht="15.75" customHeight="1" s="305"/>
    <row r="39" ht="15.75" customHeight="1" s="305"/>
    <row r="40" ht="15.75" customHeight="1" s="305"/>
    <row r="41" ht="15.75" customHeight="1" s="305"/>
    <row r="42" ht="15.75" customHeight="1" s="305"/>
    <row r="43" ht="15.75" customHeight="1" s="305"/>
    <row r="44" ht="15.75" customHeight="1" s="305"/>
    <row r="45" ht="15.75" customHeight="1" s="305"/>
    <row r="46" ht="15.75" customHeight="1" s="305"/>
    <row r="47" ht="15.75" customHeight="1" s="305"/>
    <row r="48" ht="15.75" customHeight="1" s="305"/>
    <row r="49" ht="15.75" customHeight="1" s="305"/>
    <row r="50" ht="15.75" customHeight="1" s="305"/>
    <row r="51" ht="15.75" customHeight="1" s="305"/>
    <row r="52" ht="15.75" customHeight="1" s="305"/>
    <row r="53" ht="15.75" customHeight="1" s="305"/>
    <row r="54" ht="15.75" customHeight="1" s="305"/>
    <row r="55" ht="15.75" customHeight="1" s="305"/>
    <row r="56" ht="15.75" customHeight="1" s="305"/>
    <row r="57" ht="15.75" customHeight="1" s="305"/>
    <row r="58" ht="15.75" customHeight="1" s="305"/>
    <row r="59" ht="15.75" customHeight="1" s="305"/>
    <row r="60" ht="15.75" customHeight="1" s="305"/>
    <row r="61" ht="15.75" customHeight="1" s="305"/>
    <row r="62" ht="15.75" customHeight="1" s="305"/>
    <row r="63" ht="15.75" customHeight="1" s="305"/>
    <row r="64" ht="15.75" customHeight="1" s="305"/>
    <row r="65" ht="15.75" customHeight="1" s="305"/>
    <row r="66" ht="15.75" customHeight="1" s="305"/>
    <row r="67" ht="15.75" customHeight="1" s="305"/>
    <row r="68" ht="15.75" customHeight="1" s="305"/>
    <row r="69" ht="15.75" customHeight="1" s="305"/>
    <row r="70" ht="15.75" customHeight="1" s="305"/>
    <row r="71" ht="15.75" customHeight="1" s="305"/>
    <row r="72" ht="15.75" customHeight="1" s="305"/>
    <row r="73" ht="15.75" customHeight="1" s="305"/>
    <row r="74" ht="15.75" customHeight="1" s="305"/>
    <row r="75" ht="15.75" customHeight="1" s="305"/>
    <row r="76" ht="15.75" customHeight="1" s="305"/>
    <row r="77" ht="15.75" customHeight="1" s="305"/>
    <row r="78" ht="15.75" customHeight="1" s="305"/>
    <row r="79" ht="15.75" customHeight="1" s="305"/>
    <row r="80" ht="15.75" customHeight="1" s="305"/>
    <row r="81" ht="15.75" customHeight="1" s="305"/>
    <row r="82" ht="15.75" customHeight="1" s="305"/>
    <row r="83" ht="15.75" customHeight="1" s="305"/>
    <row r="84" ht="15.75" customHeight="1" s="305"/>
    <row r="85" ht="15.75" customHeight="1" s="305"/>
    <row r="86" ht="15.75" customHeight="1" s="305"/>
    <row r="87" ht="15.75" customHeight="1" s="305"/>
    <row r="88" ht="15.75" customHeight="1" s="305"/>
    <row r="89" ht="15.75" customHeight="1" s="305"/>
    <row r="90" ht="15.75" customHeight="1" s="305"/>
    <row r="91" ht="15.75" customHeight="1" s="305"/>
    <row r="92" ht="15.75" customHeight="1" s="305"/>
    <row r="93" ht="15.75" customHeight="1" s="305"/>
    <row r="94" ht="15.75" customHeight="1" s="305"/>
    <row r="95" ht="15.75" customHeight="1" s="305"/>
    <row r="96" ht="15.75" customHeight="1" s="305"/>
    <row r="97" ht="15.75" customHeight="1" s="305"/>
    <row r="98" ht="15.75" customHeight="1" s="305"/>
    <row r="99" ht="15.75" customHeight="1" s="305"/>
    <row r="100" ht="15.75" customHeight="1" s="305"/>
    <row r="101" ht="15.75" customHeight="1" s="305"/>
    <row r="102" ht="15.75" customHeight="1" s="305"/>
    <row r="103" ht="15.75" customHeight="1" s="305"/>
    <row r="104" ht="15.75" customHeight="1" s="305"/>
    <row r="105" ht="15.75" customHeight="1" s="305"/>
    <row r="106" ht="15.75" customHeight="1" s="305"/>
    <row r="107" ht="15.75" customHeight="1" s="305"/>
    <row r="108" ht="15.75" customHeight="1" s="305"/>
    <row r="109" ht="15.75" customHeight="1" s="305"/>
    <row r="110" ht="15.75" customHeight="1" s="305"/>
    <row r="111" ht="15.75" customHeight="1" s="305"/>
    <row r="112" ht="15.75" customHeight="1" s="305"/>
    <row r="113" ht="15.75" customHeight="1" s="305"/>
    <row r="114" ht="15.75" customHeight="1" s="305"/>
    <row r="115" ht="15.75" customHeight="1" s="305"/>
    <row r="116" ht="15.75" customHeight="1" s="305"/>
    <row r="117" ht="15.75" customHeight="1" s="305"/>
    <row r="118" ht="15.75" customHeight="1" s="305"/>
    <row r="119" ht="15.75" customHeight="1" s="305"/>
    <row r="120" ht="15.75" customHeight="1" s="305"/>
    <row r="121" ht="15.75" customHeight="1" s="305"/>
    <row r="122" ht="15.75" customHeight="1" s="305"/>
    <row r="123" ht="15.75" customHeight="1" s="305"/>
    <row r="124" ht="15.75" customHeight="1" s="305"/>
    <row r="125" ht="15.75" customHeight="1" s="305"/>
    <row r="126" ht="15.75" customHeight="1" s="305"/>
    <row r="127" ht="15.75" customHeight="1" s="305"/>
    <row r="128" ht="15.75" customHeight="1" s="305"/>
    <row r="129" ht="15.75" customHeight="1" s="305"/>
    <row r="130" ht="15.75" customHeight="1" s="305"/>
    <row r="131" ht="15.75" customHeight="1" s="305"/>
    <row r="132" ht="15.75" customHeight="1" s="305"/>
    <row r="133" ht="15.75" customHeight="1" s="305"/>
    <row r="134" ht="15.75" customHeight="1" s="305"/>
    <row r="135" ht="15.75" customHeight="1" s="305"/>
    <row r="136" ht="15.75" customHeight="1" s="305"/>
    <row r="137" ht="15.75" customHeight="1" s="305"/>
    <row r="138" ht="15.75" customHeight="1" s="305"/>
    <row r="139" ht="15.75" customHeight="1" s="305"/>
    <row r="140" ht="15.75" customHeight="1" s="305"/>
    <row r="141" ht="15.75" customHeight="1" s="305"/>
    <row r="142" ht="15.75" customHeight="1" s="305"/>
    <row r="143" ht="15.75" customHeight="1" s="305"/>
    <row r="144" ht="15.75" customHeight="1" s="305"/>
    <row r="145" ht="15.75" customHeight="1" s="305"/>
    <row r="146" ht="15.75" customHeight="1" s="305"/>
    <row r="147" ht="15.75" customHeight="1" s="305"/>
    <row r="148" ht="15.75" customHeight="1" s="305"/>
    <row r="149" ht="15.75" customHeight="1" s="305"/>
    <row r="150" ht="15.75" customHeight="1" s="305"/>
    <row r="151" ht="15.75" customHeight="1" s="305"/>
    <row r="152" ht="15.75" customHeight="1" s="305"/>
    <row r="153" ht="15.75" customHeight="1" s="305"/>
    <row r="154" ht="15.75" customHeight="1" s="305"/>
    <row r="155" ht="15.75" customHeight="1" s="305"/>
    <row r="156" ht="15.75" customHeight="1" s="305"/>
    <row r="157" ht="15.75" customHeight="1" s="305"/>
    <row r="158" ht="15.75" customHeight="1" s="305"/>
    <row r="159" ht="15.75" customHeight="1" s="305"/>
    <row r="160" ht="15.75" customHeight="1" s="305"/>
    <row r="161" ht="15.75" customHeight="1" s="305"/>
    <row r="162" ht="15.75" customHeight="1" s="305"/>
    <row r="163" ht="15.75" customHeight="1" s="305"/>
    <row r="164" ht="15.75" customHeight="1" s="305"/>
    <row r="165" ht="15.75" customHeight="1" s="305"/>
    <row r="166" ht="15.75" customHeight="1" s="305"/>
    <row r="167" ht="15.75" customHeight="1" s="305"/>
    <row r="168" ht="15.75" customHeight="1" s="305"/>
    <row r="169" ht="15.75" customHeight="1" s="305"/>
    <row r="170" ht="15.75" customHeight="1" s="305"/>
    <row r="171" ht="15.75" customHeight="1" s="305"/>
    <row r="172" ht="15.75" customHeight="1" s="305"/>
    <row r="173" ht="15.75" customHeight="1" s="305"/>
    <row r="174" ht="15.75" customHeight="1" s="305"/>
    <row r="175" ht="15.75" customHeight="1" s="305"/>
    <row r="176" ht="15.75" customHeight="1" s="305"/>
    <row r="177" ht="15.75" customHeight="1" s="305"/>
    <row r="178" ht="15.75" customHeight="1" s="305"/>
    <row r="179" ht="15.75" customHeight="1" s="305"/>
    <row r="180" ht="15.75" customHeight="1" s="305"/>
    <row r="181" ht="15.75" customHeight="1" s="305"/>
    <row r="182" ht="15.75" customHeight="1" s="305"/>
    <row r="183" ht="15.75" customHeight="1" s="305"/>
    <row r="184" ht="15.75" customHeight="1" s="305"/>
    <row r="185" ht="15.75" customHeight="1" s="305"/>
    <row r="186" ht="15.75" customHeight="1" s="305"/>
    <row r="187" ht="15.75" customHeight="1" s="305"/>
    <row r="188" ht="15.75" customHeight="1" s="305"/>
    <row r="189" ht="15.75" customHeight="1" s="305"/>
    <row r="190" ht="15.75" customHeight="1" s="305"/>
    <row r="191" ht="15.75" customHeight="1" s="305"/>
    <row r="192" ht="15.75" customHeight="1" s="305"/>
    <row r="193" ht="15.75" customHeight="1" s="305"/>
    <row r="194" ht="15.75" customHeight="1" s="305"/>
    <row r="195" ht="15.75" customHeight="1" s="305"/>
    <row r="196" ht="15.75" customHeight="1" s="305"/>
    <row r="197" ht="15.75" customHeight="1" s="305"/>
    <row r="198" ht="15.75" customHeight="1" s="305"/>
    <row r="199" ht="15.75" customHeight="1" s="305"/>
    <row r="200" ht="15.75" customHeight="1" s="305"/>
    <row r="201" ht="15.75" customHeight="1" s="305"/>
    <row r="202" ht="15.75" customHeight="1" s="305"/>
    <row r="203" ht="15.75" customHeight="1" s="305"/>
    <row r="204" ht="15.75" customHeight="1" s="305"/>
    <row r="205" ht="15.75" customHeight="1" s="305"/>
    <row r="206" ht="15.75" customHeight="1" s="305"/>
    <row r="207" ht="15.75" customHeight="1" s="305"/>
    <row r="208" ht="15.75" customHeight="1" s="305"/>
    <row r="209" ht="15.75" customHeight="1" s="305"/>
    <row r="210" ht="15.75" customHeight="1" s="305"/>
    <row r="211" ht="15.75" customHeight="1" s="305"/>
    <row r="212" ht="15.75" customHeight="1" s="305"/>
    <row r="213" ht="15.75" customHeight="1" s="305"/>
    <row r="214" ht="15.75" customHeight="1" s="305"/>
    <row r="215" ht="15.75" customHeight="1" s="305"/>
    <row r="216" ht="15.75" customHeight="1" s="305"/>
    <row r="217" ht="15.75" customHeight="1" s="305"/>
    <row r="218" ht="15.75" customHeight="1" s="305"/>
    <row r="219" ht="15.75" customHeight="1" s="305"/>
    <row r="220" ht="15.75" customHeight="1" s="305"/>
    <row r="221" ht="15.75" customHeight="1" s="305"/>
    <row r="222" ht="15.75" customHeight="1" s="305"/>
    <row r="223" ht="15.75" customHeight="1" s="305"/>
    <row r="224" ht="15.75" customHeight="1" s="305"/>
    <row r="225" ht="15.75" customHeight="1" s="305"/>
    <row r="226" ht="15.75" customHeight="1" s="305"/>
    <row r="227" ht="15.75" customHeight="1" s="305"/>
    <row r="228" ht="15.75" customHeight="1" s="305"/>
    <row r="229" ht="15.75" customHeight="1" s="305"/>
    <row r="230" ht="15.75" customHeight="1" s="305"/>
    <row r="231" ht="15.75" customHeight="1" s="305"/>
    <row r="232" ht="15.75" customHeight="1" s="305"/>
    <row r="233" ht="15.75" customHeight="1" s="305"/>
    <row r="234" ht="15.75" customHeight="1" s="305"/>
    <row r="235" ht="15.75" customHeight="1" s="305"/>
    <row r="236" ht="15.75" customHeight="1" s="305"/>
    <row r="237" ht="15.75" customHeight="1" s="305"/>
    <row r="238" ht="15.75" customHeight="1" s="305"/>
    <row r="239" ht="15.75" customHeight="1" s="305"/>
    <row r="240" ht="15.75" customHeight="1" s="305"/>
    <row r="241" ht="15.75" customHeight="1" s="305"/>
    <row r="242" ht="15.75" customHeight="1" s="305"/>
    <row r="243" ht="15.75" customHeight="1" s="305"/>
    <row r="244" ht="15.75" customHeight="1" s="305"/>
    <row r="245" ht="15.75" customHeight="1" s="305"/>
    <row r="246" ht="15.75" customHeight="1" s="305"/>
    <row r="247" ht="15.75" customHeight="1" s="305"/>
    <row r="248" ht="15.75" customHeight="1" s="305"/>
    <row r="249" ht="15.75" customHeight="1" s="305"/>
    <row r="250" ht="15.75" customHeight="1" s="305"/>
    <row r="251" ht="15.75" customHeight="1" s="305"/>
    <row r="252" ht="15.75" customHeight="1" s="305"/>
    <row r="253" ht="15.75" customHeight="1" s="305"/>
    <row r="254" ht="15.75" customHeight="1" s="305"/>
    <row r="255" ht="15.75" customHeight="1" s="305"/>
    <row r="256" ht="15.75" customHeight="1" s="305"/>
    <row r="257" ht="15.75" customHeight="1" s="305"/>
    <row r="258" ht="15.75" customHeight="1" s="305"/>
    <row r="259" ht="15.75" customHeight="1" s="305"/>
    <row r="260" ht="15.75" customHeight="1" s="305"/>
    <row r="261" ht="15.75" customHeight="1" s="305"/>
    <row r="262" ht="15.75" customHeight="1" s="305"/>
    <row r="263" ht="15.75" customHeight="1" s="305"/>
    <row r="264" ht="15.75" customHeight="1" s="305"/>
    <row r="265" ht="15.75" customHeight="1" s="305"/>
    <row r="266" ht="15.75" customHeight="1" s="305"/>
    <row r="267" ht="15.75" customHeight="1" s="305"/>
    <row r="268" ht="15.75" customHeight="1" s="305"/>
    <row r="269" ht="15.75" customHeight="1" s="305"/>
    <row r="270" ht="15.75" customHeight="1" s="305"/>
    <row r="271" ht="15.75" customHeight="1" s="305"/>
    <row r="272" ht="15.75" customHeight="1" s="305"/>
    <row r="273" ht="15.75" customHeight="1" s="305"/>
    <row r="274" ht="15.75" customHeight="1" s="305"/>
    <row r="275" ht="15.75" customHeight="1" s="305"/>
    <row r="276" ht="15.75" customHeight="1" s="305"/>
    <row r="277" ht="15.75" customHeight="1" s="305"/>
    <row r="278" ht="15.75" customHeight="1" s="305"/>
    <row r="279" ht="15.75" customHeight="1" s="305"/>
    <row r="280" ht="15.75" customHeight="1" s="305"/>
    <row r="281" ht="15.75" customHeight="1" s="305"/>
    <row r="282" ht="15.75" customHeight="1" s="305"/>
    <row r="283" ht="15.75" customHeight="1" s="305"/>
    <row r="284" ht="15.75" customHeight="1" s="305"/>
    <row r="285" ht="15.75" customHeight="1" s="305"/>
    <row r="286" ht="15.75" customHeight="1" s="305"/>
    <row r="287" ht="15.75" customHeight="1" s="305"/>
    <row r="288" ht="15.75" customHeight="1" s="305"/>
    <row r="289" ht="15.75" customHeight="1" s="305"/>
    <row r="290" ht="15.75" customHeight="1" s="305"/>
    <row r="291" ht="15.75" customHeight="1" s="305"/>
    <row r="292" ht="15.75" customHeight="1" s="305"/>
    <row r="293" ht="15.75" customHeight="1" s="305"/>
    <row r="294" ht="15.75" customHeight="1" s="305"/>
    <row r="295" ht="15.75" customHeight="1" s="305"/>
    <row r="296" ht="15.75" customHeight="1" s="305"/>
    <row r="297" ht="15.75" customHeight="1" s="305"/>
    <row r="298" ht="15.75" customHeight="1" s="305"/>
    <row r="299" ht="15.75" customHeight="1" s="305"/>
    <row r="300" ht="15.75" customHeight="1" s="305"/>
    <row r="301" ht="15.75" customHeight="1" s="305"/>
    <row r="302" ht="15.75" customHeight="1" s="305"/>
    <row r="303" ht="15.75" customHeight="1" s="305"/>
    <row r="304" ht="15.75" customHeight="1" s="305"/>
    <row r="305" ht="15.75" customHeight="1" s="305"/>
    <row r="306" ht="15.75" customHeight="1" s="305"/>
    <row r="307" ht="15.75" customHeight="1" s="305"/>
    <row r="308" ht="15.75" customHeight="1" s="305"/>
    <row r="309" ht="15.75" customHeight="1" s="305"/>
    <row r="310" ht="15.75" customHeight="1" s="305"/>
    <row r="311" ht="15.75" customHeight="1" s="305"/>
    <row r="312" ht="15.75" customHeight="1" s="305"/>
    <row r="313" ht="15.75" customHeight="1" s="305"/>
    <row r="314" ht="15.75" customHeight="1" s="305"/>
    <row r="315" ht="15.75" customHeight="1" s="305"/>
    <row r="316" ht="15.75" customHeight="1" s="305"/>
    <row r="317" ht="15.75" customHeight="1" s="305"/>
    <row r="318" ht="15.75" customHeight="1" s="305"/>
    <row r="319" ht="15.75" customHeight="1" s="305"/>
    <row r="320" ht="15.75" customHeight="1" s="305"/>
    <row r="321" ht="15.75" customHeight="1" s="305"/>
    <row r="322" ht="15.75" customHeight="1" s="305"/>
    <row r="323" ht="15.75" customHeight="1" s="305"/>
    <row r="324" ht="15.75" customHeight="1" s="305"/>
    <row r="325" ht="15.75" customHeight="1" s="305"/>
    <row r="326" ht="15.75" customHeight="1" s="305"/>
    <row r="327" ht="15.75" customHeight="1" s="305"/>
    <row r="328" ht="15.75" customHeight="1" s="305"/>
    <row r="329" ht="15.75" customHeight="1" s="305"/>
    <row r="330" ht="15.75" customHeight="1" s="305"/>
    <row r="331" ht="15.75" customHeight="1" s="305"/>
    <row r="332" ht="15.75" customHeight="1" s="305"/>
    <row r="333" ht="15.75" customHeight="1" s="305"/>
    <row r="334" ht="15.75" customHeight="1" s="305"/>
    <row r="335" ht="15.75" customHeight="1" s="305"/>
    <row r="336" ht="15.75" customHeight="1" s="305"/>
    <row r="337" ht="15.75" customHeight="1" s="305"/>
    <row r="338" ht="15.75" customHeight="1" s="305"/>
    <row r="339" ht="15.75" customHeight="1" s="305"/>
    <row r="340" ht="15.75" customHeight="1" s="305"/>
    <row r="341" ht="15.75" customHeight="1" s="305"/>
    <row r="342" ht="15.75" customHeight="1" s="305"/>
    <row r="343" ht="15.75" customHeight="1" s="305"/>
    <row r="344" ht="15.75" customHeight="1" s="305"/>
    <row r="345" ht="15.75" customHeight="1" s="305"/>
    <row r="346" ht="15.75" customHeight="1" s="305"/>
    <row r="347" ht="15.75" customHeight="1" s="305"/>
    <row r="348" ht="15.75" customHeight="1" s="305"/>
    <row r="349" ht="15.75" customHeight="1" s="305"/>
    <row r="350" ht="15.75" customHeight="1" s="305"/>
    <row r="351" ht="15.75" customHeight="1" s="305"/>
    <row r="352" ht="15.75" customHeight="1" s="305"/>
    <row r="353" ht="15.75" customHeight="1" s="305"/>
    <row r="354" ht="15.75" customHeight="1" s="305"/>
    <row r="355" ht="15.75" customHeight="1" s="305"/>
    <row r="356" ht="15.75" customHeight="1" s="305"/>
    <row r="357" ht="15.75" customHeight="1" s="305"/>
    <row r="358" ht="15.75" customHeight="1" s="305"/>
    <row r="359" ht="15.75" customHeight="1" s="305"/>
    <row r="360" ht="15.75" customHeight="1" s="305"/>
    <row r="361" ht="15.75" customHeight="1" s="305"/>
    <row r="362" ht="15.75" customHeight="1" s="305"/>
    <row r="363" ht="15.75" customHeight="1" s="305"/>
    <row r="364" ht="15.75" customHeight="1" s="305"/>
    <row r="365" ht="15.75" customHeight="1" s="305"/>
    <row r="366" ht="15.75" customHeight="1" s="305"/>
    <row r="367" ht="15.75" customHeight="1" s="305"/>
    <row r="368" ht="15.75" customHeight="1" s="305"/>
    <row r="369" ht="15.75" customHeight="1" s="305"/>
    <row r="370" ht="15.75" customHeight="1" s="305"/>
    <row r="371" ht="15.75" customHeight="1" s="305"/>
    <row r="372" ht="15.75" customHeight="1" s="305"/>
    <row r="373" ht="15.75" customHeight="1" s="305"/>
    <row r="374" ht="15.75" customHeight="1" s="305"/>
    <row r="375" ht="15.75" customHeight="1" s="305"/>
    <row r="376" ht="15.75" customHeight="1" s="305"/>
    <row r="377" ht="15.75" customHeight="1" s="305"/>
    <row r="378" ht="15.75" customHeight="1" s="305"/>
    <row r="379" ht="15.75" customHeight="1" s="305"/>
    <row r="380" ht="15.75" customHeight="1" s="305"/>
    <row r="381" ht="15.75" customHeight="1" s="305"/>
    <row r="382" ht="15.75" customHeight="1" s="305"/>
    <row r="383" ht="15.75" customHeight="1" s="305"/>
    <row r="384" ht="15.75" customHeight="1" s="305"/>
    <row r="385" ht="15.75" customHeight="1" s="305"/>
    <row r="386" ht="15.75" customHeight="1" s="305"/>
    <row r="387" ht="15.75" customHeight="1" s="305"/>
    <row r="388" ht="15.75" customHeight="1" s="305"/>
    <row r="389" ht="15.75" customHeight="1" s="305"/>
    <row r="390" ht="15.75" customHeight="1" s="305"/>
    <row r="391" ht="15.75" customHeight="1" s="305"/>
    <row r="392" ht="15.75" customHeight="1" s="305"/>
    <row r="393" ht="15.75" customHeight="1" s="305"/>
    <row r="394" ht="15.75" customHeight="1" s="305"/>
    <row r="395" ht="15.75" customHeight="1" s="305"/>
    <row r="396" ht="15.75" customHeight="1" s="305"/>
    <row r="397" ht="15.75" customHeight="1" s="305"/>
    <row r="398" ht="15.75" customHeight="1" s="305"/>
    <row r="399" ht="15.75" customHeight="1" s="305"/>
    <row r="400" ht="15.75" customHeight="1" s="305"/>
    <row r="401" ht="15.75" customHeight="1" s="305"/>
    <row r="402" ht="15.75" customHeight="1" s="305"/>
    <row r="403" ht="15.75" customHeight="1" s="305"/>
    <row r="404" ht="15.75" customHeight="1" s="305"/>
    <row r="405" ht="15.75" customHeight="1" s="305"/>
    <row r="406" ht="15.75" customHeight="1" s="305"/>
    <row r="407" ht="15.75" customHeight="1" s="305"/>
    <row r="408" ht="15.75" customHeight="1" s="305"/>
    <row r="409" ht="15.75" customHeight="1" s="305"/>
    <row r="410" ht="15.75" customHeight="1" s="305"/>
    <row r="411" ht="15.75" customHeight="1" s="305"/>
    <row r="412" ht="15.75" customHeight="1" s="305"/>
    <row r="413" ht="15.75" customHeight="1" s="305"/>
    <row r="414" ht="15.75" customHeight="1" s="305"/>
    <row r="415" ht="15.75" customHeight="1" s="305"/>
    <row r="416" ht="15.75" customHeight="1" s="305"/>
    <row r="417" ht="15.75" customHeight="1" s="305"/>
    <row r="418" ht="15.75" customHeight="1" s="305"/>
    <row r="419" ht="15.75" customHeight="1" s="305"/>
    <row r="420" ht="15.75" customHeight="1" s="305"/>
    <row r="421" ht="15.75" customHeight="1" s="305"/>
    <row r="422" ht="15.75" customHeight="1" s="305"/>
    <row r="423" ht="15.75" customHeight="1" s="305"/>
    <row r="424" ht="15.75" customHeight="1" s="305"/>
    <row r="425" ht="15.75" customHeight="1" s="305"/>
    <row r="426" ht="15.75" customHeight="1" s="305"/>
    <row r="427" ht="15.75" customHeight="1" s="305"/>
    <row r="428" ht="15.75" customHeight="1" s="305"/>
    <row r="429" ht="15.75" customHeight="1" s="305"/>
    <row r="430" ht="15.75" customHeight="1" s="305"/>
    <row r="431" ht="15.75" customHeight="1" s="305"/>
    <row r="432" ht="15.75" customHeight="1" s="305"/>
    <row r="433" ht="15.75" customHeight="1" s="305"/>
    <row r="434" ht="15.75" customHeight="1" s="305"/>
    <row r="435" ht="15.75" customHeight="1" s="305"/>
    <row r="436" ht="15.75" customHeight="1" s="305"/>
    <row r="437" ht="15.75" customHeight="1" s="305"/>
    <row r="438" ht="15.75" customHeight="1" s="305"/>
    <row r="439" ht="15.75" customHeight="1" s="305"/>
    <row r="440" ht="15.75" customHeight="1" s="305"/>
    <row r="441" ht="15.75" customHeight="1" s="305"/>
    <row r="442" ht="15.75" customHeight="1" s="305"/>
    <row r="443" ht="15.75" customHeight="1" s="305"/>
    <row r="444" ht="15.75" customHeight="1" s="305"/>
    <row r="445" ht="15.75" customHeight="1" s="305"/>
    <row r="446" ht="15.75" customHeight="1" s="305"/>
    <row r="447" ht="15.75" customHeight="1" s="305"/>
    <row r="448" ht="15.75" customHeight="1" s="305"/>
    <row r="449" ht="15.75" customHeight="1" s="305"/>
    <row r="450" ht="15.75" customHeight="1" s="305"/>
    <row r="451" ht="15.75" customHeight="1" s="305"/>
    <row r="452" ht="15.75" customHeight="1" s="305"/>
    <row r="453" ht="15.75" customHeight="1" s="305"/>
    <row r="454" ht="15.75" customHeight="1" s="305"/>
    <row r="455" ht="15.75" customHeight="1" s="305"/>
    <row r="456" ht="15.75" customHeight="1" s="305"/>
    <row r="457" ht="15.75" customHeight="1" s="305"/>
    <row r="458" ht="15.75" customHeight="1" s="305"/>
    <row r="459" ht="15.75" customHeight="1" s="305"/>
    <row r="460" ht="15.75" customHeight="1" s="305"/>
    <row r="461" ht="15.75" customHeight="1" s="305"/>
    <row r="462" ht="15.75" customHeight="1" s="305"/>
    <row r="463" ht="15.75" customHeight="1" s="305"/>
    <row r="464" ht="15.75" customHeight="1" s="305"/>
    <row r="465" ht="15.75" customHeight="1" s="305"/>
    <row r="466" ht="15.75" customHeight="1" s="305"/>
    <row r="467" ht="15.75" customHeight="1" s="305"/>
    <row r="468" ht="15.75" customHeight="1" s="305"/>
    <row r="469" ht="15.75" customHeight="1" s="305"/>
    <row r="470" ht="15.75" customHeight="1" s="305"/>
    <row r="471" ht="15.75" customHeight="1" s="305"/>
    <row r="472" ht="15.75" customHeight="1" s="305"/>
    <row r="473" ht="15.75" customHeight="1" s="305"/>
    <row r="474" ht="15.75" customHeight="1" s="305"/>
    <row r="475" ht="15.75" customHeight="1" s="305"/>
    <row r="476" ht="15.75" customHeight="1" s="305"/>
    <row r="477" ht="15.75" customHeight="1" s="305"/>
    <row r="478" ht="15.75" customHeight="1" s="305"/>
    <row r="479" ht="15.75" customHeight="1" s="305"/>
    <row r="480" ht="15.75" customHeight="1" s="305"/>
    <row r="481" ht="15.75" customHeight="1" s="305"/>
    <row r="482" ht="15.75" customHeight="1" s="305"/>
    <row r="483" ht="15.75" customHeight="1" s="305"/>
    <row r="484" ht="15.75" customHeight="1" s="305"/>
    <row r="485" ht="15.75" customHeight="1" s="305"/>
    <row r="486" ht="15.75" customHeight="1" s="305"/>
    <row r="487" ht="15.75" customHeight="1" s="305"/>
    <row r="488" ht="15.75" customHeight="1" s="305"/>
    <row r="489" ht="15.75" customHeight="1" s="305"/>
    <row r="490" ht="15.75" customHeight="1" s="305"/>
    <row r="491" ht="15.75" customHeight="1" s="305"/>
    <row r="492" ht="15.75" customHeight="1" s="305"/>
    <row r="493" ht="15.75" customHeight="1" s="305"/>
    <row r="494" ht="15.75" customHeight="1" s="305"/>
    <row r="495" ht="15.75" customHeight="1" s="305"/>
    <row r="496" ht="15.75" customHeight="1" s="305"/>
    <row r="497" ht="15.75" customHeight="1" s="305"/>
    <row r="498" ht="15.75" customHeight="1" s="305"/>
    <row r="499" ht="15.75" customHeight="1" s="305"/>
    <row r="500" ht="15.75" customHeight="1" s="305"/>
    <row r="501" ht="15.75" customHeight="1" s="305"/>
    <row r="502" ht="15.75" customHeight="1" s="305"/>
    <row r="503" ht="15.75" customHeight="1" s="305"/>
    <row r="504" ht="15.75" customHeight="1" s="305"/>
    <row r="505" ht="15.75" customHeight="1" s="305"/>
    <row r="506" ht="15.75" customHeight="1" s="305"/>
    <row r="507" ht="15.75" customHeight="1" s="305"/>
    <row r="508" ht="15.75" customHeight="1" s="305"/>
    <row r="509" ht="15.75" customHeight="1" s="305"/>
    <row r="510" ht="15.75" customHeight="1" s="305"/>
    <row r="511" ht="15.75" customHeight="1" s="305"/>
    <row r="512" ht="15.75" customHeight="1" s="305"/>
    <row r="513" ht="15.75" customHeight="1" s="305"/>
    <row r="514" ht="15.75" customHeight="1" s="305"/>
    <row r="515" ht="15.75" customHeight="1" s="305"/>
    <row r="516" ht="15.75" customHeight="1" s="305"/>
    <row r="517" ht="15.75" customHeight="1" s="305"/>
    <row r="518" ht="15.75" customHeight="1" s="305"/>
    <row r="519" ht="15.75" customHeight="1" s="305"/>
    <row r="520" ht="15.75" customHeight="1" s="305"/>
    <row r="521" ht="15.75" customHeight="1" s="305"/>
    <row r="522" ht="15.75" customHeight="1" s="305"/>
    <row r="523" ht="15.75" customHeight="1" s="305"/>
    <row r="524" ht="15.75" customHeight="1" s="305"/>
    <row r="525" ht="15.75" customHeight="1" s="305"/>
    <row r="526" ht="15.75" customHeight="1" s="305"/>
    <row r="527" ht="15.75" customHeight="1" s="305"/>
    <row r="528" ht="15.75" customHeight="1" s="305"/>
    <row r="529" ht="15.75" customHeight="1" s="305"/>
    <row r="530" ht="15.75" customHeight="1" s="305"/>
    <row r="531" ht="15.75" customHeight="1" s="305"/>
    <row r="532" ht="15.75" customHeight="1" s="305"/>
    <row r="533" ht="15.75" customHeight="1" s="305"/>
    <row r="534" ht="15.75" customHeight="1" s="305"/>
    <row r="535" ht="15.75" customHeight="1" s="305"/>
    <row r="536" ht="15.75" customHeight="1" s="305"/>
    <row r="537" ht="15.75" customHeight="1" s="305"/>
    <row r="538" ht="15.75" customHeight="1" s="305"/>
    <row r="539" ht="15.75" customHeight="1" s="305"/>
    <row r="540" ht="15.75" customHeight="1" s="305"/>
    <row r="541" ht="15.75" customHeight="1" s="305"/>
    <row r="542" ht="15.75" customHeight="1" s="305"/>
    <row r="543" ht="15.75" customHeight="1" s="305"/>
    <row r="544" ht="15.75" customHeight="1" s="305"/>
    <row r="545" ht="15.75" customHeight="1" s="305"/>
    <row r="546" ht="15.75" customHeight="1" s="305"/>
    <row r="547" ht="15.75" customHeight="1" s="305"/>
    <row r="548" ht="15.75" customHeight="1" s="305"/>
    <row r="549" ht="15.75" customHeight="1" s="305"/>
    <row r="550" ht="15.75" customHeight="1" s="305"/>
    <row r="551" ht="15.75" customHeight="1" s="305"/>
    <row r="552" ht="15.75" customHeight="1" s="305"/>
    <row r="553" ht="15.75" customHeight="1" s="305"/>
    <row r="554" ht="15.75" customHeight="1" s="305"/>
    <row r="555" ht="15.75" customHeight="1" s="305"/>
    <row r="556" ht="15.75" customHeight="1" s="305"/>
    <row r="557" ht="15.75" customHeight="1" s="305"/>
    <row r="558" ht="15.75" customHeight="1" s="305"/>
    <row r="559" ht="15.75" customHeight="1" s="305"/>
    <row r="560" ht="15.75" customHeight="1" s="305"/>
    <row r="561" ht="15.75" customHeight="1" s="305"/>
    <row r="562" ht="15.75" customHeight="1" s="305"/>
    <row r="563" ht="15.75" customHeight="1" s="305"/>
    <row r="564" ht="15.75" customHeight="1" s="305"/>
    <row r="565" ht="15.75" customHeight="1" s="305"/>
    <row r="566" ht="15.75" customHeight="1" s="305"/>
    <row r="567" ht="15.75" customHeight="1" s="305"/>
    <row r="568" ht="15.75" customHeight="1" s="305"/>
    <row r="569" ht="15.75" customHeight="1" s="305"/>
    <row r="570" ht="15.75" customHeight="1" s="305"/>
    <row r="571" ht="15.75" customHeight="1" s="305"/>
    <row r="572" ht="15.75" customHeight="1" s="305"/>
    <row r="573" ht="15.75" customHeight="1" s="305"/>
    <row r="574" ht="15.75" customHeight="1" s="305"/>
    <row r="575" ht="15.75" customHeight="1" s="305"/>
    <row r="576" ht="15.75" customHeight="1" s="305"/>
    <row r="577" ht="15.75" customHeight="1" s="305"/>
    <row r="578" ht="15.75" customHeight="1" s="305"/>
    <row r="579" ht="15.75" customHeight="1" s="305"/>
    <row r="580" ht="15.75" customHeight="1" s="305"/>
    <row r="581" ht="15.75" customHeight="1" s="305"/>
    <row r="582" ht="15.75" customHeight="1" s="305"/>
    <row r="583" ht="15.75" customHeight="1" s="305"/>
    <row r="584" ht="15.75" customHeight="1" s="305"/>
    <row r="585" ht="15.75" customHeight="1" s="305"/>
    <row r="586" ht="15.75" customHeight="1" s="305"/>
    <row r="587" ht="15.75" customHeight="1" s="305"/>
    <row r="588" ht="15.75" customHeight="1" s="305"/>
    <row r="589" ht="15.75" customHeight="1" s="305"/>
    <row r="590" ht="15.75" customHeight="1" s="305"/>
    <row r="591" ht="15.75" customHeight="1" s="305"/>
    <row r="592" ht="15.75" customHeight="1" s="305"/>
    <row r="593" ht="15.75" customHeight="1" s="305"/>
    <row r="594" ht="15.75" customHeight="1" s="305"/>
    <row r="595" ht="15.75" customHeight="1" s="305"/>
    <row r="596" ht="15.75" customHeight="1" s="305"/>
    <row r="597" ht="15.75" customHeight="1" s="305"/>
    <row r="598" ht="15.75" customHeight="1" s="305"/>
    <row r="599" ht="15.75" customHeight="1" s="305"/>
    <row r="600" ht="15.75" customHeight="1" s="305"/>
    <row r="601" ht="15.75" customHeight="1" s="305"/>
    <row r="602" ht="15.75" customHeight="1" s="305"/>
    <row r="603" ht="15.75" customHeight="1" s="305"/>
    <row r="604" ht="15.75" customHeight="1" s="305"/>
    <row r="605" ht="15.75" customHeight="1" s="305"/>
    <row r="606" ht="15.75" customHeight="1" s="305"/>
    <row r="607" ht="15.75" customHeight="1" s="305"/>
    <row r="608" ht="15.75" customHeight="1" s="305"/>
    <row r="609" ht="15.75" customHeight="1" s="305"/>
    <row r="610" ht="15.75" customHeight="1" s="305"/>
    <row r="611" ht="15.75" customHeight="1" s="305"/>
    <row r="612" ht="15.75" customHeight="1" s="305"/>
    <row r="613" ht="15.75" customHeight="1" s="305"/>
    <row r="614" ht="15.75" customHeight="1" s="305"/>
    <row r="615" ht="15.75" customHeight="1" s="305"/>
    <row r="616" ht="15.75" customHeight="1" s="305"/>
    <row r="617" ht="15.75" customHeight="1" s="305"/>
    <row r="618" ht="15.75" customHeight="1" s="305"/>
    <row r="619" ht="15.75" customHeight="1" s="305"/>
    <row r="620" ht="15.75" customHeight="1" s="305"/>
    <row r="621" ht="15.75" customHeight="1" s="305"/>
    <row r="622" ht="15.75" customHeight="1" s="305"/>
    <row r="623" ht="15.75" customHeight="1" s="305"/>
    <row r="624" ht="15.75" customHeight="1" s="305"/>
    <row r="625" ht="15.75" customHeight="1" s="305"/>
    <row r="626" ht="15.75" customHeight="1" s="305"/>
    <row r="627" ht="15.75" customHeight="1" s="305"/>
    <row r="628" ht="15.75" customHeight="1" s="305"/>
    <row r="629" ht="15.75" customHeight="1" s="305"/>
    <row r="630" ht="15.75" customHeight="1" s="305"/>
    <row r="631" ht="15.75" customHeight="1" s="305"/>
    <row r="632" ht="15.75" customHeight="1" s="305"/>
    <row r="633" ht="15.75" customHeight="1" s="305"/>
    <row r="634" ht="15.75" customHeight="1" s="305"/>
    <row r="635" ht="15.75" customHeight="1" s="305"/>
    <row r="636" ht="15.75" customHeight="1" s="305"/>
    <row r="637" ht="15.75" customHeight="1" s="305"/>
    <row r="638" ht="15.75" customHeight="1" s="305"/>
    <row r="639" ht="15.75" customHeight="1" s="305"/>
    <row r="640" ht="15.75" customHeight="1" s="305"/>
    <row r="641" ht="15.75" customHeight="1" s="305"/>
    <row r="642" ht="15.75" customHeight="1" s="305"/>
    <row r="643" ht="15.75" customHeight="1" s="305"/>
    <row r="644" ht="15.75" customHeight="1" s="305"/>
    <row r="645" ht="15.75" customHeight="1" s="305"/>
    <row r="646" ht="15.75" customHeight="1" s="305"/>
    <row r="647" ht="15.75" customHeight="1" s="305"/>
    <row r="648" ht="15.75" customHeight="1" s="305"/>
    <row r="649" ht="15.75" customHeight="1" s="305"/>
    <row r="650" ht="15.75" customHeight="1" s="305"/>
    <row r="651" ht="15.75" customHeight="1" s="305"/>
    <row r="652" ht="15.75" customHeight="1" s="305"/>
    <row r="653" ht="15.75" customHeight="1" s="305"/>
    <row r="654" ht="15.75" customHeight="1" s="305"/>
    <row r="655" ht="15.75" customHeight="1" s="305"/>
    <row r="656" ht="15.75" customHeight="1" s="305"/>
    <row r="657" ht="15.75" customHeight="1" s="305"/>
    <row r="658" ht="15.75" customHeight="1" s="305"/>
    <row r="659" ht="15.75" customHeight="1" s="305"/>
    <row r="660" ht="15.75" customHeight="1" s="305"/>
    <row r="661" ht="15.75" customHeight="1" s="305"/>
    <row r="662" ht="15.75" customHeight="1" s="305"/>
    <row r="663" ht="15.75" customHeight="1" s="305"/>
    <row r="664" ht="15.75" customHeight="1" s="305"/>
    <row r="665" ht="15.75" customHeight="1" s="305"/>
    <row r="666" ht="15.75" customHeight="1" s="305"/>
    <row r="667" ht="15.75" customHeight="1" s="305"/>
    <row r="668" ht="15.75" customHeight="1" s="305"/>
    <row r="669" ht="15.75" customHeight="1" s="305"/>
    <row r="670" ht="15.75" customHeight="1" s="305"/>
    <row r="671" ht="15.75" customHeight="1" s="305"/>
    <row r="672" ht="15.75" customHeight="1" s="305"/>
    <row r="673" ht="15.75" customHeight="1" s="305"/>
    <row r="674" ht="15.75" customHeight="1" s="305"/>
    <row r="675" ht="15.75" customHeight="1" s="305"/>
    <row r="676" ht="15.75" customHeight="1" s="305"/>
    <row r="677" ht="15.75" customHeight="1" s="305"/>
    <row r="678" ht="15.75" customHeight="1" s="305"/>
    <row r="679" ht="15.75" customHeight="1" s="305"/>
    <row r="680" ht="15.75" customHeight="1" s="305"/>
    <row r="681" ht="15.75" customHeight="1" s="305"/>
    <row r="682" ht="15.75" customHeight="1" s="305"/>
    <row r="683" ht="15.75" customHeight="1" s="305"/>
    <row r="684" ht="15.75" customHeight="1" s="305"/>
    <row r="685" ht="15.75" customHeight="1" s="305"/>
    <row r="686" ht="15.75" customHeight="1" s="305"/>
    <row r="687" ht="15.75" customHeight="1" s="305"/>
    <row r="688" ht="15.75" customHeight="1" s="305"/>
    <row r="689" ht="15.75" customHeight="1" s="305"/>
    <row r="690" ht="15.75" customHeight="1" s="305"/>
    <row r="691" ht="15.75" customHeight="1" s="305"/>
    <row r="692" ht="15.75" customHeight="1" s="305"/>
    <row r="693" ht="15.75" customHeight="1" s="305"/>
    <row r="694" ht="15.75" customHeight="1" s="305"/>
    <row r="695" ht="15.75" customHeight="1" s="305"/>
    <row r="696" ht="15.75" customHeight="1" s="305"/>
    <row r="697" ht="15.75" customHeight="1" s="305"/>
    <row r="698" ht="15.75" customHeight="1" s="305"/>
    <row r="699" ht="15.75" customHeight="1" s="305"/>
    <row r="700" ht="15.75" customHeight="1" s="305"/>
    <row r="701" ht="15.75" customHeight="1" s="305"/>
    <row r="702" ht="15.75" customHeight="1" s="305"/>
    <row r="703" ht="15.75" customHeight="1" s="305"/>
    <row r="704" ht="15.75" customHeight="1" s="305"/>
    <row r="705" ht="15.75" customHeight="1" s="305"/>
    <row r="706" ht="15.75" customHeight="1" s="305"/>
    <row r="707" ht="15.75" customHeight="1" s="305"/>
    <row r="708" ht="15.75" customHeight="1" s="305"/>
    <row r="709" ht="15.75" customHeight="1" s="305"/>
    <row r="710" ht="15.75" customHeight="1" s="305"/>
    <row r="711" ht="15.75" customHeight="1" s="305"/>
    <row r="712" ht="15.75" customHeight="1" s="305"/>
    <row r="713" ht="15.75" customHeight="1" s="305"/>
    <row r="714" ht="15.75" customHeight="1" s="305"/>
    <row r="715" ht="15.75" customHeight="1" s="305"/>
    <row r="716" ht="15.75" customHeight="1" s="305"/>
    <row r="717" ht="15.75" customHeight="1" s="305"/>
    <row r="718" ht="15.75" customHeight="1" s="305"/>
    <row r="719" ht="15.75" customHeight="1" s="305"/>
    <row r="720" ht="15.75" customHeight="1" s="305"/>
    <row r="721" ht="15.75" customHeight="1" s="305"/>
    <row r="722" ht="15.75" customHeight="1" s="305"/>
    <row r="723" ht="15.75" customHeight="1" s="305"/>
    <row r="724" ht="15.75" customHeight="1" s="305"/>
    <row r="725" ht="15.75" customHeight="1" s="305"/>
    <row r="726" ht="15.75" customHeight="1" s="305"/>
    <row r="727" ht="15.75" customHeight="1" s="305"/>
    <row r="728" ht="15.75" customHeight="1" s="305"/>
    <row r="729" ht="15.75" customHeight="1" s="305"/>
    <row r="730" ht="15.75" customHeight="1" s="305"/>
    <row r="731" ht="15.75" customHeight="1" s="305"/>
    <row r="732" ht="15.75" customHeight="1" s="305"/>
    <row r="733" ht="15.75" customHeight="1" s="305"/>
    <row r="734" ht="15.75" customHeight="1" s="305"/>
    <row r="735" ht="15.75" customHeight="1" s="305"/>
    <row r="736" ht="15.75" customHeight="1" s="305"/>
    <row r="737" ht="15.75" customHeight="1" s="305"/>
    <row r="738" ht="15.75" customHeight="1" s="305"/>
    <row r="739" ht="15.75" customHeight="1" s="305"/>
    <row r="740" ht="15.75" customHeight="1" s="305"/>
    <row r="741" ht="15.75" customHeight="1" s="305"/>
    <row r="742" ht="15.75" customHeight="1" s="305"/>
    <row r="743" ht="15.75" customHeight="1" s="305"/>
    <row r="744" ht="15.75" customHeight="1" s="305"/>
    <row r="745" ht="15.75" customHeight="1" s="305"/>
    <row r="746" ht="15.75" customHeight="1" s="305"/>
    <row r="747" ht="15.75" customHeight="1" s="305"/>
    <row r="748" ht="15.75" customHeight="1" s="305"/>
    <row r="749" ht="15.75" customHeight="1" s="305"/>
    <row r="750" ht="15.75" customHeight="1" s="305"/>
    <row r="751" ht="15.75" customHeight="1" s="305"/>
    <row r="752" ht="15.75" customHeight="1" s="305"/>
    <row r="753" ht="15.75" customHeight="1" s="305"/>
    <row r="754" ht="15.75" customHeight="1" s="305"/>
    <row r="755" ht="15.75" customHeight="1" s="305"/>
    <row r="756" ht="15.75" customHeight="1" s="305"/>
    <row r="757" ht="15.75" customHeight="1" s="305"/>
    <row r="758" ht="15.75" customHeight="1" s="305"/>
    <row r="759" ht="15.75" customHeight="1" s="305"/>
    <row r="760" ht="15.75" customHeight="1" s="305"/>
    <row r="761" ht="15.75" customHeight="1" s="305"/>
    <row r="762" ht="15.75" customHeight="1" s="305"/>
    <row r="763" ht="15.75" customHeight="1" s="305"/>
    <row r="764" ht="15.75" customHeight="1" s="305"/>
    <row r="765" ht="15.75" customHeight="1" s="305"/>
    <row r="766" ht="15.75" customHeight="1" s="305"/>
    <row r="767" ht="15.75" customHeight="1" s="305"/>
    <row r="768" ht="15.75" customHeight="1" s="305"/>
    <row r="769" ht="15.75" customHeight="1" s="305"/>
    <row r="770" ht="15.75" customHeight="1" s="305"/>
    <row r="771" ht="15.75" customHeight="1" s="305"/>
    <row r="772" ht="15.75" customHeight="1" s="305"/>
    <row r="773" ht="15.75" customHeight="1" s="305"/>
    <row r="774" ht="15.75" customHeight="1" s="305"/>
    <row r="775" ht="15.75" customHeight="1" s="305"/>
    <row r="776" ht="15.75" customHeight="1" s="305"/>
    <row r="777" ht="15.75" customHeight="1" s="305"/>
    <row r="778" ht="15.75" customHeight="1" s="305"/>
    <row r="779" ht="15.75" customHeight="1" s="305"/>
    <row r="780" ht="15.75" customHeight="1" s="305"/>
    <row r="781" ht="15.75" customHeight="1" s="305"/>
    <row r="782" ht="15.75" customHeight="1" s="305"/>
    <row r="783" ht="15.75" customHeight="1" s="305"/>
    <row r="784" ht="15.75" customHeight="1" s="305"/>
    <row r="785" ht="15.75" customHeight="1" s="305"/>
    <row r="786" ht="15.75" customHeight="1" s="305"/>
    <row r="787" ht="15.75" customHeight="1" s="305"/>
    <row r="788" ht="15.75" customHeight="1" s="305"/>
    <row r="789" ht="15.75" customHeight="1" s="305"/>
    <row r="790" ht="15.75" customHeight="1" s="305"/>
    <row r="791" ht="15.75" customHeight="1" s="305"/>
    <row r="792" ht="15.75" customHeight="1" s="305"/>
    <row r="793" ht="15.75" customHeight="1" s="305"/>
    <row r="794" ht="15.75" customHeight="1" s="305"/>
    <row r="795" ht="15.75" customHeight="1" s="305"/>
    <row r="796" ht="15.75" customHeight="1" s="305"/>
    <row r="797" ht="15.75" customHeight="1" s="305"/>
    <row r="798" ht="15.75" customHeight="1" s="305"/>
    <row r="799" ht="15.75" customHeight="1" s="305"/>
    <row r="800" ht="15.75" customHeight="1" s="305"/>
    <row r="801" ht="15.75" customHeight="1" s="305"/>
    <row r="802" ht="15.75" customHeight="1" s="305"/>
    <row r="803" ht="15.75" customHeight="1" s="305"/>
    <row r="804" ht="15.75" customHeight="1" s="305"/>
    <row r="805" ht="15.75" customHeight="1" s="305"/>
    <row r="806" ht="15.75" customHeight="1" s="305"/>
    <row r="807" ht="15.75" customHeight="1" s="305"/>
    <row r="808" ht="15.75" customHeight="1" s="305"/>
    <row r="809" ht="15.75" customHeight="1" s="305"/>
    <row r="810" ht="15.75" customHeight="1" s="305"/>
    <row r="811" ht="15.75" customHeight="1" s="305"/>
    <row r="812" ht="15.75" customHeight="1" s="305"/>
    <row r="813" ht="15.75" customHeight="1" s="305"/>
    <row r="814" ht="15.75" customHeight="1" s="305"/>
    <row r="815" ht="15.75" customHeight="1" s="305"/>
    <row r="816" ht="15.75" customHeight="1" s="305"/>
    <row r="817" ht="15.75" customHeight="1" s="305"/>
    <row r="818" ht="15.75" customHeight="1" s="305"/>
    <row r="819" ht="15.75" customHeight="1" s="305"/>
    <row r="820" ht="15.75" customHeight="1" s="305"/>
    <row r="821" ht="15.75" customHeight="1" s="305"/>
    <row r="822" ht="15.75" customHeight="1" s="305"/>
    <row r="823" ht="15.75" customHeight="1" s="305"/>
    <row r="824" ht="15.75" customHeight="1" s="305"/>
    <row r="825" ht="15.75" customHeight="1" s="305"/>
    <row r="826" ht="15.75" customHeight="1" s="305"/>
    <row r="827" ht="15.75" customHeight="1" s="305"/>
    <row r="828" ht="15.75" customHeight="1" s="305"/>
    <row r="829" ht="15.75" customHeight="1" s="305"/>
    <row r="830" ht="15.75" customHeight="1" s="305"/>
    <row r="831" ht="15.75" customHeight="1" s="305"/>
    <row r="832" ht="15.75" customHeight="1" s="305"/>
    <row r="833" ht="15.75" customHeight="1" s="305"/>
    <row r="834" ht="15.75" customHeight="1" s="305"/>
    <row r="835" ht="15.75" customHeight="1" s="305"/>
    <row r="836" ht="15.75" customHeight="1" s="305"/>
    <row r="837" ht="15.75" customHeight="1" s="305"/>
    <row r="838" ht="15.75" customHeight="1" s="305"/>
    <row r="839" ht="15.75" customHeight="1" s="305"/>
    <row r="840" ht="15.75" customHeight="1" s="305"/>
    <row r="841" ht="15.75" customHeight="1" s="305"/>
    <row r="842" ht="15.75" customHeight="1" s="305"/>
    <row r="843" ht="15.75" customHeight="1" s="305"/>
    <row r="844" ht="15.75" customHeight="1" s="305"/>
    <row r="845" ht="15.75" customHeight="1" s="305"/>
    <row r="846" ht="15.75" customHeight="1" s="305"/>
    <row r="847" ht="15.75" customHeight="1" s="305"/>
    <row r="848" ht="15.75" customHeight="1" s="305"/>
    <row r="849" ht="15.75" customHeight="1" s="305"/>
    <row r="850" ht="15.75" customHeight="1" s="305"/>
    <row r="851" ht="15.75" customHeight="1" s="305"/>
    <row r="852" ht="15.75" customHeight="1" s="305"/>
    <row r="853" ht="15.75" customHeight="1" s="305"/>
    <row r="854" ht="15.75" customHeight="1" s="305"/>
    <row r="855" ht="15.75" customHeight="1" s="305"/>
    <row r="856" ht="15.75" customHeight="1" s="305"/>
    <row r="857" ht="15.75" customHeight="1" s="305"/>
    <row r="858" ht="15.75" customHeight="1" s="305"/>
    <row r="859" ht="15.75" customHeight="1" s="305"/>
    <row r="860" ht="15.75" customHeight="1" s="305"/>
    <row r="861" ht="15.75" customHeight="1" s="305"/>
    <row r="862" ht="15.75" customHeight="1" s="305"/>
    <row r="863" ht="15.75" customHeight="1" s="305"/>
    <row r="864" ht="15.75" customHeight="1" s="305"/>
    <row r="865" ht="15.75" customHeight="1" s="305"/>
    <row r="866" ht="15.75" customHeight="1" s="305"/>
    <row r="867" ht="15.75" customHeight="1" s="305"/>
    <row r="868" ht="15.75" customHeight="1" s="305"/>
    <row r="869" ht="15.75" customHeight="1" s="305"/>
    <row r="870" ht="15.75" customHeight="1" s="305"/>
    <row r="871" ht="15.75" customHeight="1" s="305"/>
    <row r="872" ht="15.75" customHeight="1" s="305"/>
    <row r="873" ht="15.75" customHeight="1" s="305"/>
    <row r="874" ht="15.75" customHeight="1" s="305"/>
    <row r="875" ht="15.75" customHeight="1" s="305"/>
    <row r="876" ht="15.75" customHeight="1" s="305"/>
    <row r="877" ht="15.75" customHeight="1" s="305"/>
    <row r="878" ht="15.75" customHeight="1" s="305"/>
    <row r="879" ht="15.75" customHeight="1" s="305"/>
    <row r="880" ht="15.75" customHeight="1" s="305"/>
    <row r="881" ht="15.75" customHeight="1" s="305"/>
    <row r="882" ht="15.75" customHeight="1" s="305"/>
    <row r="883" ht="15.75" customHeight="1" s="305"/>
    <row r="884" ht="15.75" customHeight="1" s="305"/>
    <row r="885" ht="15.75" customHeight="1" s="305"/>
    <row r="886" ht="15.75" customHeight="1" s="305"/>
    <row r="887" ht="15.75" customHeight="1" s="305"/>
    <row r="888" ht="15.75" customHeight="1" s="305"/>
    <row r="889" ht="15.75" customHeight="1" s="305"/>
    <row r="890" ht="15.75" customHeight="1" s="305"/>
    <row r="891" ht="15.75" customHeight="1" s="305"/>
    <row r="892" ht="15.75" customHeight="1" s="305"/>
    <row r="893" ht="15.75" customHeight="1" s="305"/>
    <row r="894" ht="15.75" customHeight="1" s="305"/>
    <row r="895" ht="15.75" customHeight="1" s="305"/>
    <row r="896" ht="15.75" customHeight="1" s="305"/>
    <row r="897" ht="15.75" customHeight="1" s="305"/>
    <row r="898" ht="15.75" customHeight="1" s="305"/>
    <row r="899" ht="15.75" customHeight="1" s="305"/>
    <row r="900" ht="15.75" customHeight="1" s="305"/>
    <row r="901" ht="15.75" customHeight="1" s="305"/>
    <row r="902" ht="15.75" customHeight="1" s="305"/>
    <row r="903" ht="15.75" customHeight="1" s="305"/>
    <row r="904" ht="15.75" customHeight="1" s="305"/>
    <row r="905" ht="15.75" customHeight="1" s="305"/>
    <row r="906" ht="15.75" customHeight="1" s="305"/>
    <row r="907" ht="15.75" customHeight="1" s="305"/>
    <row r="908" ht="15.75" customHeight="1" s="305"/>
    <row r="909" ht="15.75" customHeight="1" s="305"/>
    <row r="910" ht="15.75" customHeight="1" s="305"/>
    <row r="911" ht="15.75" customHeight="1" s="305"/>
    <row r="912" ht="15.75" customHeight="1" s="305"/>
    <row r="913" ht="15.75" customHeight="1" s="305"/>
    <row r="914" ht="15.75" customHeight="1" s="305"/>
    <row r="915" ht="15.75" customHeight="1" s="305"/>
    <row r="916" ht="15.75" customHeight="1" s="305"/>
    <row r="917" ht="15.75" customHeight="1" s="305"/>
    <row r="918" ht="15.75" customHeight="1" s="305"/>
    <row r="919" ht="15.75" customHeight="1" s="305"/>
    <row r="920" ht="15.75" customHeight="1" s="305"/>
    <row r="921" ht="15.75" customHeight="1" s="305"/>
    <row r="922" ht="15.75" customHeight="1" s="305"/>
    <row r="923" ht="15.75" customHeight="1" s="305"/>
    <row r="924" ht="15.75" customHeight="1" s="305"/>
    <row r="925" ht="15.75" customHeight="1" s="305"/>
    <row r="926" ht="15.75" customHeight="1" s="305"/>
    <row r="927" ht="15.75" customHeight="1" s="305"/>
    <row r="928" ht="15.75" customHeight="1" s="305"/>
    <row r="929" ht="15.75" customHeight="1" s="305"/>
    <row r="930" ht="15.75" customHeight="1" s="305"/>
    <row r="931" ht="15.75" customHeight="1" s="305"/>
    <row r="932" ht="15.75" customHeight="1" s="305"/>
    <row r="933" ht="15.75" customHeight="1" s="305"/>
    <row r="934" ht="15.75" customHeight="1" s="305"/>
    <row r="935" ht="15.75" customHeight="1" s="305"/>
    <row r="936" ht="15.75" customHeight="1" s="305"/>
    <row r="937" ht="15.75" customHeight="1" s="305"/>
    <row r="938" ht="15.75" customHeight="1" s="305"/>
    <row r="939" ht="15.75" customHeight="1" s="305"/>
    <row r="940" ht="15.75" customHeight="1" s="305"/>
    <row r="941" ht="15.75" customHeight="1" s="305"/>
    <row r="942" ht="15.75" customHeight="1" s="305"/>
    <row r="943" ht="15.75" customHeight="1" s="305"/>
    <row r="944" ht="15.75" customHeight="1" s="305"/>
    <row r="945" ht="15.75" customHeight="1" s="305"/>
    <row r="946" ht="15.75" customHeight="1" s="305"/>
    <row r="947" ht="15.75" customHeight="1" s="305"/>
    <row r="948" ht="15.75" customHeight="1" s="305"/>
    <row r="949" ht="15.75" customHeight="1" s="305"/>
    <row r="950" ht="15.75" customHeight="1" s="305"/>
    <row r="951" ht="15.75" customHeight="1" s="305"/>
    <row r="952" ht="15.75" customHeight="1" s="305"/>
    <row r="953" ht="15.75" customHeight="1" s="305"/>
    <row r="954" ht="15.75" customHeight="1" s="305"/>
    <row r="955" ht="15.75" customHeight="1" s="305"/>
    <row r="956" ht="15.75" customHeight="1" s="305"/>
    <row r="957" ht="15.75" customHeight="1" s="305"/>
    <row r="958" ht="15.75" customHeight="1" s="305"/>
    <row r="959" ht="15.75" customHeight="1" s="305"/>
    <row r="960" ht="15.75" customHeight="1" s="305"/>
    <row r="961" ht="15.75" customHeight="1" s="305"/>
    <row r="962" ht="15.75" customHeight="1" s="305"/>
    <row r="963" ht="15.75" customHeight="1" s="305"/>
    <row r="964" ht="15.75" customHeight="1" s="305"/>
    <row r="965" ht="15.75" customHeight="1" s="305"/>
    <row r="966" ht="15.75" customHeight="1" s="305"/>
    <row r="967" ht="15.75" customHeight="1" s="305"/>
    <row r="968" ht="15.75" customHeight="1" s="305"/>
    <row r="969" ht="15.75" customHeight="1" s="305"/>
    <row r="970" ht="15.75" customHeight="1" s="305"/>
    <row r="971" ht="15.75" customHeight="1" s="305"/>
    <row r="972" ht="15.75" customHeight="1" s="305"/>
    <row r="973" ht="15.75" customHeight="1" s="305"/>
    <row r="974" ht="15.75" customHeight="1" s="305"/>
    <row r="975" ht="15.75" customHeight="1" s="305"/>
    <row r="976" ht="15.75" customHeight="1" s="305"/>
    <row r="977" ht="15.75" customHeight="1" s="305"/>
    <row r="978" ht="15.75" customHeight="1" s="305"/>
    <row r="979" ht="15.75" customHeight="1" s="305"/>
    <row r="980" ht="15.75" customHeight="1" s="305"/>
    <row r="981" ht="15.75" customHeight="1" s="305"/>
    <row r="982" ht="15.75" customHeight="1" s="305"/>
    <row r="983" ht="15.75" customHeight="1" s="305"/>
    <row r="984" ht="15.75" customHeight="1" s="305"/>
    <row r="985" ht="15.75" customHeight="1" s="305"/>
    <row r="986" ht="15.75" customHeight="1" s="305"/>
    <row r="987" ht="15.75" customHeight="1" s="305"/>
    <row r="988" ht="15.75" customHeight="1" s="305"/>
    <row r="989" ht="15.75" customHeight="1" s="305"/>
    <row r="990" ht="15.75" customHeight="1" s="305"/>
    <row r="991" ht="15.75" customHeight="1" s="305"/>
    <row r="992" ht="15.75" customHeight="1" s="305"/>
    <row r="993" ht="15.75" customHeight="1" s="305"/>
    <row r="994" ht="15.75" customHeight="1" s="305"/>
    <row r="995" ht="15.75" customHeight="1" s="305"/>
    <row r="996" ht="15.75" customHeight="1" s="305"/>
    <row r="997" ht="15.75" customHeight="1" s="305"/>
    <row r="998" ht="15.75" customHeight="1" s="305"/>
    <row r="999" ht="15.75" customHeight="1" s="305"/>
    <row r="1000" ht="15.75" customHeight="1" s="305"/>
  </sheetData>
  <pageMargins left="0.7" right="0.7" top="0.75" bottom="0.75" header="0" footer="0"/>
  <pageSetup orientation="landscape"/>
</worksheet>
</file>

<file path=xl/worksheets/sheet13.xml><?xml version="1.0" encoding="utf-8"?>
<worksheet xmlns="http://schemas.openxmlformats.org/spreadsheetml/2006/main">
  <sheetPr>
    <outlinePr summaryBelow="1" summaryRight="1"/>
    <pageSetUpPr/>
  </sheetPr>
  <dimension ref="A34:L51"/>
  <sheetViews>
    <sheetView workbookViewId="0">
      <selection activeCell="A1" sqref="A1"/>
    </sheetView>
  </sheetViews>
  <sheetFormatPr baseColWidth="8" defaultColWidth="14.43" defaultRowHeight="15" customHeight="1"/>
  <cols>
    <col width="10.71" customWidth="1" style="305" min="1" max="3"/>
    <col width="17.57" customWidth="1" style="305" min="4" max="4"/>
    <col width="19.14" customWidth="1" style="305" min="5" max="5"/>
    <col width="21" customWidth="1" style="305" min="6" max="6"/>
    <col width="13.43" customWidth="1" style="305" min="7" max="7"/>
    <col width="10.71" customWidth="1" style="305" min="8" max="26"/>
  </cols>
  <sheetData>
    <row r="21" ht="15.75" customHeight="1" s="305"/>
    <row r="22" ht="15.75" customHeight="1" s="305"/>
    <row r="23" ht="15.75" customHeight="1" s="305"/>
    <row r="24" ht="15.75" customHeight="1" s="305"/>
    <row r="25" ht="15.75" customHeight="1" s="305"/>
    <row r="26" ht="15.75" customHeight="1" s="305"/>
    <row r="27" ht="15.75" customHeight="1" s="305"/>
    <row r="28" ht="15.75" customHeight="1" s="305"/>
    <row r="29" ht="15.75" customHeight="1" s="305"/>
    <row r="30" ht="15.75" customHeight="1" s="305"/>
    <row r="31" ht="15.75" customHeight="1" s="305"/>
    <row r="32" ht="15.75" customHeight="1" s="305"/>
    <row r="33" ht="15.75" customHeight="1" s="305"/>
    <row r="34" ht="15.75" customHeight="1" s="305">
      <c r="C34" s="217" t="inlineStr">
        <is>
          <t>English</t>
        </is>
      </c>
      <c r="D34" s="225" t="inlineStr">
        <is>
          <t>Cambodia</t>
        </is>
      </c>
      <c r="E34" s="225" t="inlineStr">
        <is>
          <t>Chinese</t>
        </is>
      </c>
      <c r="F34" s="217" t="inlineStr">
        <is>
          <t>Cam-Nita</t>
        </is>
      </c>
      <c r="G34" s="308" t="inlineStr">
        <is>
          <t>cam Thean</t>
        </is>
      </c>
      <c r="K34" s="225" t="inlineStr">
        <is>
          <t>Cambodia</t>
        </is>
      </c>
      <c r="L34" s="225" t="inlineStr">
        <is>
          <t>Chinese</t>
        </is>
      </c>
    </row>
    <row r="35" ht="15.75" customHeight="1" s="305">
      <c r="C35" s="217" t="inlineStr">
        <is>
          <t>Province</t>
        </is>
      </c>
      <c r="D35" s="3" t="inlineStr">
        <is>
          <t>ខេត្ត/រាជធានី</t>
        </is>
      </c>
      <c r="F35" s="3" t="inlineStr">
        <is>
          <t>ខេត្ត</t>
        </is>
      </c>
      <c r="G35" t="inlineStr">
        <is>
          <t>ខេត្ត/រាជធានី</t>
        </is>
      </c>
    </row>
    <row r="36" ht="15.75" customHeight="1" s="305">
      <c r="C36" s="217" t="inlineStr">
        <is>
          <t>District</t>
        </is>
      </c>
      <c r="D36" s="3" t="inlineStr">
        <is>
          <t>ស្រុក/ខណ្ឌ</t>
        </is>
      </c>
      <c r="F36" s="3" t="inlineStr">
        <is>
          <t>ស្រុក</t>
        </is>
      </c>
      <c r="G36" t="inlineStr">
        <is>
          <t>ស្រុក/ខណ្ឌ</t>
        </is>
      </c>
    </row>
    <row r="37" ht="15.75" customHeight="1" s="305">
      <c r="C37" s="217" t="inlineStr">
        <is>
          <t>Commune</t>
        </is>
      </c>
      <c r="D37" s="3" t="inlineStr">
        <is>
          <t>ឃុំ/សង្កាត់</t>
        </is>
      </c>
      <c r="F37" s="3" t="inlineStr">
        <is>
          <t>ឃុំ</t>
        </is>
      </c>
      <c r="G37" t="inlineStr">
        <is>
          <t>ឃុំ/សង្កាត់</t>
        </is>
      </c>
    </row>
    <row r="38" ht="15.75" customHeight="1" s="305">
      <c r="C38" s="217" t="inlineStr">
        <is>
          <t>Service</t>
        </is>
      </c>
      <c r="D38" s="3" t="inlineStr">
        <is>
          <t>សេវាកម្ម</t>
        </is>
      </c>
      <c r="F38" s="3" t="inlineStr">
        <is>
          <t>សេវាកម្ម</t>
        </is>
      </c>
      <c r="G38" t="inlineStr">
        <is>
          <t>សេវាកម្ម</t>
        </is>
      </c>
    </row>
    <row r="39" ht="15.75" customHeight="1" s="305">
      <c r="C39" s="217" t="inlineStr">
        <is>
          <t>Sender</t>
        </is>
      </c>
      <c r="D39" s="3" t="inlineStr">
        <is>
          <t>អ្នកផ្ញើ</t>
        </is>
      </c>
      <c r="F39" s="3" t="inlineStr">
        <is>
          <t>អ្នកផ្ញើ</t>
        </is>
      </c>
      <c r="G39" t="inlineStr">
        <is>
          <t>អ្នកផ្ញើ</t>
        </is>
      </c>
    </row>
    <row r="40" ht="15.75" customHeight="1" s="305">
      <c r="C40" s="217" t="inlineStr">
        <is>
          <t>Receiver</t>
        </is>
      </c>
      <c r="D40" s="3" t="inlineStr">
        <is>
          <t>អ្នកទទួល</t>
        </is>
      </c>
      <c r="F40" s="3" t="inlineStr">
        <is>
          <t>អ្នកទទួល</t>
        </is>
      </c>
      <c r="G40" t="inlineStr">
        <is>
          <t>អ្នកទទួល</t>
        </is>
      </c>
    </row>
    <row r="41" ht="15.75" customHeight="1" s="305">
      <c r="C41" s="217" t="inlineStr">
        <is>
          <t>Total amount</t>
        </is>
      </c>
      <c r="D41" s="3" t="inlineStr">
        <is>
          <t>ចំនួនទឹកប្រាក់សរុប</t>
        </is>
      </c>
      <c r="F41" s="3" t="inlineStr">
        <is>
          <t>សរុប</t>
        </is>
      </c>
      <c r="G41" t="inlineStr">
        <is>
          <t>ចំនួនទឹកប្រាក់សរុប</t>
        </is>
      </c>
    </row>
    <row r="42" ht="15.75" customHeight="1" s="305">
      <c r="C42" s="217" t="inlineStr">
        <is>
          <t>Fee</t>
        </is>
      </c>
      <c r="D42" s="3" t="inlineStr">
        <is>
          <t>ថ្លៃដឹកជញ្ជូន</t>
        </is>
      </c>
      <c r="F42" s="3" t="inlineStr">
        <is>
          <t>តម្លៃផ្ញើ</t>
        </is>
      </c>
      <c r="G42" t="inlineStr">
        <is>
          <t>ថ្លៃដឹកជញ្ជូន</t>
        </is>
      </c>
    </row>
    <row r="43" ht="15.75" customHeight="1" s="305">
      <c r="C43" s="217" t="inlineStr">
        <is>
          <t>COD</t>
        </is>
      </c>
      <c r="D43" s="3" t="inlineStr">
        <is>
          <t>ប្រាក់ COD</t>
        </is>
      </c>
      <c r="F43" s="3" t="inlineStr">
        <is>
          <t>ថ្លៃអីវ៉ាន់ COD</t>
        </is>
      </c>
      <c r="G43" t="inlineStr">
        <is>
          <t>ប្រាក់ COD</t>
        </is>
      </c>
    </row>
    <row r="44" ht="15.75" customHeight="1" s="305">
      <c r="C44" s="217" t="inlineStr">
        <is>
          <t>Content</t>
        </is>
      </c>
      <c r="D44" s="3" t="inlineStr">
        <is>
          <t>បរិយាយទំនិញ</t>
        </is>
      </c>
      <c r="F44" s="3" t="inlineStr">
        <is>
          <t>ទំនិញ</t>
        </is>
      </c>
      <c r="G44" t="inlineStr">
        <is>
          <t>បរិយាយទំនិញ</t>
        </is>
      </c>
    </row>
    <row r="45" ht="15.75" customHeight="1" s="305">
      <c r="C45" s="217" t="inlineStr">
        <is>
          <t>Signature</t>
        </is>
      </c>
      <c r="D45" s="3" t="inlineStr">
        <is>
          <t>ហត្ថលេខា</t>
        </is>
      </c>
      <c r="F45" s="3" t="inlineStr">
        <is>
          <t>ហត្ថលេខា</t>
        </is>
      </c>
      <c r="G45" t="inlineStr">
        <is>
          <t>ហត្ថលេខា</t>
        </is>
      </c>
    </row>
    <row r="46" ht="15.75" customHeight="1" s="305"/>
    <row r="47" ht="15.75" customHeight="1" s="305"/>
    <row r="48" ht="15.75" customHeight="1" s="305"/>
    <row r="49" ht="15.75" customHeight="1" s="305">
      <c r="A49" s="30" t="inlineStr">
        <is>
          <t>UPDATE NHÃN IN MỚI 15/01/2026</t>
        </is>
      </c>
    </row>
    <row r="50" ht="15.75" customHeight="1" s="305"/>
    <row r="51" ht="15.75" customHeight="1" s="305">
      <c r="A51" s="217" t="inlineStr">
        <is>
          <t>VI</t>
        </is>
      </c>
      <c r="B51" s="217" t="inlineStr">
        <is>
          <t>EN</t>
        </is>
      </c>
      <c r="C51" s="217" t="inlineStr">
        <is>
          <t>Cam</t>
        </is>
      </c>
    </row>
    <row r="52" ht="15.75" customHeight="1" s="305"/>
    <row r="53" ht="15.75" customHeight="1" s="305"/>
    <row r="54" ht="15.75" customHeight="1" s="305"/>
    <row r="55" ht="15.75" customHeight="1" s="305"/>
    <row r="56" ht="15.75" customHeight="1" s="305"/>
    <row r="57" ht="15.75" customHeight="1" s="305"/>
    <row r="58" ht="15.75" customHeight="1" s="305"/>
    <row r="59" ht="15.75" customHeight="1" s="305"/>
    <row r="60" ht="15.75" customHeight="1" s="305"/>
    <row r="61" ht="15.75" customHeight="1" s="305"/>
    <row r="62" ht="15.75" customHeight="1" s="305"/>
    <row r="63" ht="15.75" customHeight="1" s="305"/>
    <row r="64" ht="15.75" customHeight="1" s="305"/>
    <row r="65" ht="15.75" customHeight="1" s="305"/>
    <row r="66" ht="15.75" customHeight="1" s="305"/>
    <row r="67" ht="15.75" customHeight="1" s="305"/>
    <row r="68" ht="15.75" customHeight="1" s="305"/>
    <row r="69" ht="15.75" customHeight="1" s="305"/>
    <row r="70" ht="15.75" customHeight="1" s="305"/>
    <row r="71" ht="15.75" customHeight="1" s="305"/>
    <row r="72" ht="15.75" customHeight="1" s="305"/>
    <row r="73" ht="15.75" customHeight="1" s="305"/>
    <row r="74" ht="15.75" customHeight="1" s="305"/>
    <row r="75" ht="15.75" customHeight="1" s="305"/>
    <row r="76" ht="15.75" customHeight="1" s="305"/>
    <row r="77" ht="15.75" customHeight="1" s="305"/>
    <row r="78" ht="15.75" customHeight="1" s="305"/>
    <row r="79" ht="15.75" customHeight="1" s="305"/>
    <row r="80" ht="15.75" customHeight="1" s="305"/>
    <row r="81" ht="15.75" customHeight="1" s="305"/>
    <row r="82" ht="15.75" customHeight="1" s="305"/>
    <row r="83" ht="15.75" customHeight="1" s="305"/>
    <row r="84" ht="15.75" customHeight="1" s="305"/>
    <row r="85" ht="15.75" customHeight="1" s="305"/>
    <row r="86" ht="15.75" customHeight="1" s="305"/>
    <row r="87" ht="15.75" customHeight="1" s="305"/>
    <row r="88" ht="15.75" customHeight="1" s="305"/>
    <row r="89" ht="15.75" customHeight="1" s="305"/>
    <row r="90" ht="15.75" customHeight="1" s="305"/>
    <row r="91" ht="15.75" customHeight="1" s="305"/>
    <row r="92" ht="15.75" customHeight="1" s="305"/>
    <row r="93" ht="15.75" customHeight="1" s="305"/>
    <row r="94" ht="15.75" customHeight="1" s="305"/>
    <row r="95" ht="15.75" customHeight="1" s="305"/>
    <row r="96" ht="15.75" customHeight="1" s="305"/>
    <row r="97" ht="15.75" customHeight="1" s="305"/>
    <row r="98" ht="15.75" customHeight="1" s="305"/>
    <row r="99" ht="15.75" customHeight="1" s="305"/>
    <row r="100" ht="15.75" customHeight="1" s="305"/>
    <row r="101" ht="15.75" customHeight="1" s="305"/>
    <row r="102" ht="15.75" customHeight="1" s="305"/>
    <row r="103" ht="15.75" customHeight="1" s="305"/>
    <row r="104" ht="15.75" customHeight="1" s="305"/>
    <row r="105" ht="15.75" customHeight="1" s="305"/>
    <row r="106" ht="15.75" customHeight="1" s="305"/>
    <row r="107" ht="15.75" customHeight="1" s="305"/>
    <row r="108" ht="15.75" customHeight="1" s="305"/>
    <row r="109" ht="15.75" customHeight="1" s="305"/>
    <row r="110" ht="15.75" customHeight="1" s="305"/>
    <row r="111" ht="15.75" customHeight="1" s="305"/>
    <row r="112" ht="15.75" customHeight="1" s="305"/>
    <row r="113" ht="15.75" customHeight="1" s="305"/>
    <row r="114" ht="15.75" customHeight="1" s="305"/>
    <row r="115" ht="15.75" customHeight="1" s="305"/>
    <row r="116" ht="15.75" customHeight="1" s="305"/>
    <row r="117" ht="15.75" customHeight="1" s="305"/>
    <row r="118" ht="15.75" customHeight="1" s="305"/>
    <row r="119" ht="15.75" customHeight="1" s="305"/>
    <row r="120" ht="15.75" customHeight="1" s="305"/>
    <row r="121" ht="15.75" customHeight="1" s="305"/>
    <row r="122" ht="15.75" customHeight="1" s="305"/>
    <row r="123" ht="15.75" customHeight="1" s="305"/>
    <row r="124" ht="15.75" customHeight="1" s="305"/>
    <row r="125" ht="15.75" customHeight="1" s="305"/>
    <row r="126" ht="15.75" customHeight="1" s="305"/>
    <row r="127" ht="15.75" customHeight="1" s="305"/>
    <row r="128" ht="15.75" customHeight="1" s="305"/>
    <row r="129" ht="15.75" customHeight="1" s="305"/>
    <row r="130" ht="15.75" customHeight="1" s="305"/>
    <row r="131" ht="15.75" customHeight="1" s="305"/>
    <row r="132" ht="15.75" customHeight="1" s="305"/>
    <row r="133" ht="15.75" customHeight="1" s="305"/>
    <row r="134" ht="15.75" customHeight="1" s="305"/>
    <row r="135" ht="15.75" customHeight="1" s="305"/>
    <row r="136" ht="15.75" customHeight="1" s="305"/>
    <row r="137" ht="15.75" customHeight="1" s="305"/>
    <row r="138" ht="15.75" customHeight="1" s="305"/>
    <row r="139" ht="15.75" customHeight="1" s="305"/>
    <row r="140" ht="15.75" customHeight="1" s="305"/>
    <row r="141" ht="15.75" customHeight="1" s="305"/>
    <row r="142" ht="15.75" customHeight="1" s="305"/>
    <row r="143" ht="15.75" customHeight="1" s="305"/>
    <row r="144" ht="15.75" customHeight="1" s="305"/>
    <row r="145" ht="15.75" customHeight="1" s="305"/>
    <row r="146" ht="15.75" customHeight="1" s="305"/>
    <row r="147" ht="15.75" customHeight="1" s="305"/>
    <row r="148" ht="15.75" customHeight="1" s="305"/>
    <row r="149" ht="15.75" customHeight="1" s="305"/>
    <row r="150" ht="15.75" customHeight="1" s="305"/>
    <row r="151" ht="15.75" customHeight="1" s="305"/>
    <row r="152" ht="15.75" customHeight="1" s="305"/>
    <row r="153" ht="15.75" customHeight="1" s="305"/>
    <row r="154" ht="15.75" customHeight="1" s="305"/>
    <row r="155" ht="15.75" customHeight="1" s="305"/>
    <row r="156" ht="15.75" customHeight="1" s="305"/>
    <row r="157" ht="15.75" customHeight="1" s="305"/>
    <row r="158" ht="15.75" customHeight="1" s="305"/>
    <row r="159" ht="15.75" customHeight="1" s="305"/>
    <row r="160" ht="15.75" customHeight="1" s="305"/>
    <row r="161" ht="15.75" customHeight="1" s="305"/>
    <row r="162" ht="15.75" customHeight="1" s="305"/>
    <row r="163" ht="15.75" customHeight="1" s="305"/>
    <row r="164" ht="15.75" customHeight="1" s="305"/>
    <row r="165" ht="15.75" customHeight="1" s="305"/>
    <row r="166" ht="15.75" customHeight="1" s="305"/>
    <row r="167" ht="15.75" customHeight="1" s="305"/>
    <row r="168" ht="15.75" customHeight="1" s="305"/>
    <row r="169" ht="15.75" customHeight="1" s="305"/>
    <row r="170" ht="15.75" customHeight="1" s="305"/>
    <row r="171" ht="15.75" customHeight="1" s="305"/>
    <row r="172" ht="15.75" customHeight="1" s="305"/>
    <row r="173" ht="15.75" customHeight="1" s="305"/>
    <row r="174" ht="15.75" customHeight="1" s="305"/>
    <row r="175" ht="15.75" customHeight="1" s="305"/>
    <row r="176" ht="15.75" customHeight="1" s="305"/>
    <row r="177" ht="15.75" customHeight="1" s="305"/>
    <row r="178" ht="15.75" customHeight="1" s="305"/>
    <row r="179" ht="15.75" customHeight="1" s="305"/>
    <row r="180" ht="15.75" customHeight="1" s="305"/>
    <row r="181" ht="15.75" customHeight="1" s="305"/>
    <row r="182" ht="15.75" customHeight="1" s="305"/>
    <row r="183" ht="15.75" customHeight="1" s="305"/>
    <row r="184" ht="15.75" customHeight="1" s="305"/>
    <row r="185" ht="15.75" customHeight="1" s="305"/>
    <row r="186" ht="15.75" customHeight="1" s="305"/>
    <row r="187" ht="15.75" customHeight="1" s="305"/>
    <row r="188" ht="15.75" customHeight="1" s="305"/>
    <row r="189" ht="15.75" customHeight="1" s="305"/>
    <row r="190" ht="15.75" customHeight="1" s="305"/>
    <row r="191" ht="15.75" customHeight="1" s="305"/>
    <row r="192" ht="15.75" customHeight="1" s="305"/>
    <row r="193" ht="15.75" customHeight="1" s="305"/>
    <row r="194" ht="15.75" customHeight="1" s="305"/>
    <row r="195" ht="15.75" customHeight="1" s="305"/>
    <row r="196" ht="15.75" customHeight="1" s="305"/>
    <row r="197" ht="15.75" customHeight="1" s="305"/>
    <row r="198" ht="15.75" customHeight="1" s="305"/>
    <row r="199" ht="15.75" customHeight="1" s="305"/>
    <row r="200" ht="15.75" customHeight="1" s="305"/>
    <row r="201" ht="15.75" customHeight="1" s="305"/>
    <row r="202" ht="15.75" customHeight="1" s="305"/>
    <row r="203" ht="15.75" customHeight="1" s="305"/>
    <row r="204" ht="15.75" customHeight="1" s="305"/>
    <row r="205" ht="15.75" customHeight="1" s="305"/>
    <row r="206" ht="15.75" customHeight="1" s="305"/>
    <row r="207" ht="15.75" customHeight="1" s="305"/>
    <row r="208" ht="15.75" customHeight="1" s="305"/>
    <row r="209" ht="15.75" customHeight="1" s="305"/>
    <row r="210" ht="15.75" customHeight="1" s="305"/>
    <row r="211" ht="15.75" customHeight="1" s="305"/>
    <row r="212" ht="15.75" customHeight="1" s="305"/>
    <row r="213" ht="15.75" customHeight="1" s="305"/>
    <row r="214" ht="15.75" customHeight="1" s="305"/>
    <row r="215" ht="15.75" customHeight="1" s="305"/>
    <row r="216" ht="15.75" customHeight="1" s="305"/>
    <row r="217" ht="15.75" customHeight="1" s="305"/>
    <row r="218" ht="15.75" customHeight="1" s="305"/>
    <row r="219" ht="15.75" customHeight="1" s="305"/>
    <row r="220" ht="15.75" customHeight="1" s="305"/>
    <row r="221" ht="15.75" customHeight="1" s="305"/>
    <row r="222" ht="15.75" customHeight="1" s="305"/>
    <row r="223" ht="15.75" customHeight="1" s="305"/>
    <row r="224" ht="15.75" customHeight="1" s="305"/>
    <row r="225" ht="15.75" customHeight="1" s="305"/>
    <row r="226" ht="15.75" customHeight="1" s="305"/>
    <row r="227" ht="15.75" customHeight="1" s="305"/>
    <row r="228" ht="15.75" customHeight="1" s="305"/>
    <row r="229" ht="15.75" customHeight="1" s="305"/>
    <row r="230" ht="15.75" customHeight="1" s="305"/>
    <row r="231" ht="15.75" customHeight="1" s="305"/>
    <row r="232" ht="15.75" customHeight="1" s="305"/>
    <row r="233" ht="15.75" customHeight="1" s="305"/>
    <row r="234" ht="15.75" customHeight="1" s="305"/>
    <row r="235" ht="15.75" customHeight="1" s="305"/>
    <row r="236" ht="15.75" customHeight="1" s="305"/>
    <row r="237" ht="15.75" customHeight="1" s="305"/>
    <row r="238" ht="15.75" customHeight="1" s="305"/>
    <row r="239" ht="15.75" customHeight="1" s="305"/>
    <row r="240" ht="15.75" customHeight="1" s="305"/>
    <row r="241" ht="15.75" customHeight="1" s="305"/>
    <row r="242" ht="15.75" customHeight="1" s="305"/>
    <row r="243" ht="15.75" customHeight="1" s="305"/>
    <row r="244" ht="15.75" customHeight="1" s="305"/>
    <row r="245" ht="15.75" customHeight="1" s="305"/>
    <row r="246" ht="15.75" customHeight="1" s="305"/>
    <row r="247" ht="15.75" customHeight="1" s="305"/>
    <row r="248" ht="15.75" customHeight="1" s="305"/>
    <row r="249" ht="15.75" customHeight="1" s="305"/>
    <row r="250" ht="15.75" customHeight="1" s="305"/>
    <row r="251" ht="15.75" customHeight="1" s="305"/>
    <row r="252" ht="15.75" customHeight="1" s="305"/>
    <row r="253" ht="15.75" customHeight="1" s="305"/>
    <row r="254" ht="15.75" customHeight="1" s="305"/>
    <row r="255" ht="15.75" customHeight="1" s="305"/>
    <row r="256" ht="15.75" customHeight="1" s="305"/>
    <row r="257" ht="15.75" customHeight="1" s="305"/>
    <row r="258" ht="15.75" customHeight="1" s="305"/>
    <row r="259" ht="15.75" customHeight="1" s="305"/>
    <row r="260" ht="15.75" customHeight="1" s="305"/>
    <row r="261" ht="15.75" customHeight="1" s="305"/>
    <row r="262" ht="15.75" customHeight="1" s="305"/>
    <row r="263" ht="15.75" customHeight="1" s="305"/>
    <row r="264" ht="15.75" customHeight="1" s="305"/>
    <row r="265" ht="15.75" customHeight="1" s="305"/>
    <row r="266" ht="15.75" customHeight="1" s="305"/>
    <row r="267" ht="15.75" customHeight="1" s="305"/>
    <row r="268" ht="15.75" customHeight="1" s="305"/>
    <row r="269" ht="15.75" customHeight="1" s="305"/>
    <row r="270" ht="15.75" customHeight="1" s="305"/>
    <row r="271" ht="15.75" customHeight="1" s="305"/>
    <row r="272" ht="15.75" customHeight="1" s="305"/>
    <row r="273" ht="15.75" customHeight="1" s="305"/>
    <row r="274" ht="15.75" customHeight="1" s="305"/>
    <row r="275" ht="15.75" customHeight="1" s="305"/>
    <row r="276" ht="15.75" customHeight="1" s="305"/>
    <row r="277" ht="15.75" customHeight="1" s="305"/>
    <row r="278" ht="15.75" customHeight="1" s="305"/>
    <row r="279" ht="15.75" customHeight="1" s="305"/>
    <row r="280" ht="15.75" customHeight="1" s="305"/>
    <row r="281" ht="15.75" customHeight="1" s="305"/>
    <row r="282" ht="15.75" customHeight="1" s="305"/>
    <row r="283" ht="15.75" customHeight="1" s="305"/>
    <row r="284" ht="15.75" customHeight="1" s="305"/>
    <row r="285" ht="15.75" customHeight="1" s="305"/>
    <row r="286" ht="15.75" customHeight="1" s="305"/>
    <row r="287" ht="15.75" customHeight="1" s="305"/>
    <row r="288" ht="15.75" customHeight="1" s="305"/>
    <row r="289" ht="15.75" customHeight="1" s="305"/>
    <row r="290" ht="15.75" customHeight="1" s="305"/>
    <row r="291" ht="15.75" customHeight="1" s="305"/>
    <row r="292" ht="15.75" customHeight="1" s="305"/>
    <row r="293" ht="15.75" customHeight="1" s="305"/>
    <row r="294" ht="15.75" customHeight="1" s="305"/>
    <row r="295" ht="15.75" customHeight="1" s="305"/>
    <row r="296" ht="15.75" customHeight="1" s="305"/>
    <row r="297" ht="15.75" customHeight="1" s="305"/>
    <row r="298" ht="15.75" customHeight="1" s="305"/>
    <row r="299" ht="15.75" customHeight="1" s="305"/>
    <row r="300" ht="15.75" customHeight="1" s="305"/>
    <row r="301" ht="15.75" customHeight="1" s="305"/>
    <row r="302" ht="15.75" customHeight="1" s="305"/>
    <row r="303" ht="15.75" customHeight="1" s="305"/>
    <row r="304" ht="15.75" customHeight="1" s="305"/>
    <row r="305" ht="15.75" customHeight="1" s="305"/>
    <row r="306" ht="15.75" customHeight="1" s="305"/>
    <row r="307" ht="15.75" customHeight="1" s="305"/>
    <row r="308" ht="15.75" customHeight="1" s="305"/>
    <row r="309" ht="15.75" customHeight="1" s="305"/>
    <row r="310" ht="15.75" customHeight="1" s="305"/>
    <row r="311" ht="15.75" customHeight="1" s="305"/>
    <row r="312" ht="15.75" customHeight="1" s="305"/>
    <row r="313" ht="15.75" customHeight="1" s="305"/>
    <row r="314" ht="15.75" customHeight="1" s="305"/>
    <row r="315" ht="15.75" customHeight="1" s="305"/>
    <row r="316" ht="15.75" customHeight="1" s="305"/>
    <row r="317" ht="15.75" customHeight="1" s="305"/>
    <row r="318" ht="15.75" customHeight="1" s="305"/>
    <row r="319" ht="15.75" customHeight="1" s="305"/>
    <row r="320" ht="15.75" customHeight="1" s="305"/>
    <row r="321" ht="15.75" customHeight="1" s="305"/>
    <row r="322" ht="15.75" customHeight="1" s="305"/>
    <row r="323" ht="15.75" customHeight="1" s="305"/>
    <row r="324" ht="15.75" customHeight="1" s="305"/>
    <row r="325" ht="15.75" customHeight="1" s="305"/>
    <row r="326" ht="15.75" customHeight="1" s="305"/>
    <row r="327" ht="15.75" customHeight="1" s="305"/>
    <row r="328" ht="15.75" customHeight="1" s="305"/>
    <row r="329" ht="15.75" customHeight="1" s="305"/>
    <row r="330" ht="15.75" customHeight="1" s="305"/>
    <row r="331" ht="15.75" customHeight="1" s="305"/>
    <row r="332" ht="15.75" customHeight="1" s="305"/>
    <row r="333" ht="15.75" customHeight="1" s="305"/>
    <row r="334" ht="15.75" customHeight="1" s="305"/>
    <row r="335" ht="15.75" customHeight="1" s="305"/>
    <row r="336" ht="15.75" customHeight="1" s="305"/>
    <row r="337" ht="15.75" customHeight="1" s="305"/>
    <row r="338" ht="15.75" customHeight="1" s="305"/>
    <row r="339" ht="15.75" customHeight="1" s="305"/>
    <row r="340" ht="15.75" customHeight="1" s="305"/>
    <row r="341" ht="15.75" customHeight="1" s="305"/>
    <row r="342" ht="15.75" customHeight="1" s="305"/>
    <row r="343" ht="15.75" customHeight="1" s="305"/>
    <row r="344" ht="15.75" customHeight="1" s="305"/>
    <row r="345" ht="15.75" customHeight="1" s="305"/>
    <row r="346" ht="15.75" customHeight="1" s="305"/>
    <row r="347" ht="15.75" customHeight="1" s="305"/>
    <row r="348" ht="15.75" customHeight="1" s="305"/>
    <row r="349" ht="15.75" customHeight="1" s="305"/>
    <row r="350" ht="15.75" customHeight="1" s="305"/>
    <row r="351" ht="15.75" customHeight="1" s="305"/>
    <row r="352" ht="15.75" customHeight="1" s="305"/>
    <row r="353" ht="15.75" customHeight="1" s="305"/>
    <row r="354" ht="15.75" customHeight="1" s="305"/>
    <row r="355" ht="15.75" customHeight="1" s="305"/>
    <row r="356" ht="15.75" customHeight="1" s="305"/>
    <row r="357" ht="15.75" customHeight="1" s="305"/>
    <row r="358" ht="15.75" customHeight="1" s="305"/>
    <row r="359" ht="15.75" customHeight="1" s="305"/>
    <row r="360" ht="15.75" customHeight="1" s="305"/>
    <row r="361" ht="15.75" customHeight="1" s="305"/>
    <row r="362" ht="15.75" customHeight="1" s="305"/>
    <row r="363" ht="15.75" customHeight="1" s="305"/>
    <row r="364" ht="15.75" customHeight="1" s="305"/>
    <row r="365" ht="15.75" customHeight="1" s="305"/>
    <row r="366" ht="15.75" customHeight="1" s="305"/>
    <row r="367" ht="15.75" customHeight="1" s="305"/>
    <row r="368" ht="15.75" customHeight="1" s="305"/>
    <row r="369" ht="15.75" customHeight="1" s="305"/>
    <row r="370" ht="15.75" customHeight="1" s="305"/>
    <row r="371" ht="15.75" customHeight="1" s="305"/>
    <row r="372" ht="15.75" customHeight="1" s="305"/>
    <row r="373" ht="15.75" customHeight="1" s="305"/>
    <row r="374" ht="15.75" customHeight="1" s="305"/>
    <row r="375" ht="15.75" customHeight="1" s="305"/>
    <row r="376" ht="15.75" customHeight="1" s="305"/>
    <row r="377" ht="15.75" customHeight="1" s="305"/>
    <row r="378" ht="15.75" customHeight="1" s="305"/>
    <row r="379" ht="15.75" customHeight="1" s="305"/>
    <row r="380" ht="15.75" customHeight="1" s="305"/>
    <row r="381" ht="15.75" customHeight="1" s="305"/>
    <row r="382" ht="15.75" customHeight="1" s="305"/>
    <row r="383" ht="15.75" customHeight="1" s="305"/>
    <row r="384" ht="15.75" customHeight="1" s="305"/>
    <row r="385" ht="15.75" customHeight="1" s="305"/>
    <row r="386" ht="15.75" customHeight="1" s="305"/>
    <row r="387" ht="15.75" customHeight="1" s="305"/>
    <row r="388" ht="15.75" customHeight="1" s="305"/>
    <row r="389" ht="15.75" customHeight="1" s="305"/>
    <row r="390" ht="15.75" customHeight="1" s="305"/>
    <row r="391" ht="15.75" customHeight="1" s="305"/>
    <row r="392" ht="15.75" customHeight="1" s="305"/>
    <row r="393" ht="15.75" customHeight="1" s="305"/>
    <row r="394" ht="15.75" customHeight="1" s="305"/>
    <row r="395" ht="15.75" customHeight="1" s="305"/>
    <row r="396" ht="15.75" customHeight="1" s="305"/>
    <row r="397" ht="15.75" customHeight="1" s="305"/>
    <row r="398" ht="15.75" customHeight="1" s="305"/>
    <row r="399" ht="15.75" customHeight="1" s="305"/>
    <row r="400" ht="15.75" customHeight="1" s="305"/>
    <row r="401" ht="15.75" customHeight="1" s="305"/>
    <row r="402" ht="15.75" customHeight="1" s="305"/>
    <row r="403" ht="15.75" customHeight="1" s="305"/>
    <row r="404" ht="15.75" customHeight="1" s="305"/>
    <row r="405" ht="15.75" customHeight="1" s="305"/>
    <row r="406" ht="15.75" customHeight="1" s="305"/>
    <row r="407" ht="15.75" customHeight="1" s="305"/>
    <row r="408" ht="15.75" customHeight="1" s="305"/>
    <row r="409" ht="15.75" customHeight="1" s="305"/>
    <row r="410" ht="15.75" customHeight="1" s="305"/>
    <row r="411" ht="15.75" customHeight="1" s="305"/>
    <row r="412" ht="15.75" customHeight="1" s="305"/>
    <row r="413" ht="15.75" customHeight="1" s="305"/>
    <row r="414" ht="15.75" customHeight="1" s="305"/>
    <row r="415" ht="15.75" customHeight="1" s="305"/>
    <row r="416" ht="15.75" customHeight="1" s="305"/>
    <row r="417" ht="15.75" customHeight="1" s="305"/>
    <row r="418" ht="15.75" customHeight="1" s="305"/>
    <row r="419" ht="15.75" customHeight="1" s="305"/>
    <row r="420" ht="15.75" customHeight="1" s="305"/>
    <row r="421" ht="15.75" customHeight="1" s="305"/>
    <row r="422" ht="15.75" customHeight="1" s="305"/>
    <row r="423" ht="15.75" customHeight="1" s="305"/>
    <row r="424" ht="15.75" customHeight="1" s="305"/>
    <row r="425" ht="15.75" customHeight="1" s="305"/>
    <row r="426" ht="15.75" customHeight="1" s="305"/>
    <row r="427" ht="15.75" customHeight="1" s="305"/>
    <row r="428" ht="15.75" customHeight="1" s="305"/>
    <row r="429" ht="15.75" customHeight="1" s="305"/>
    <row r="430" ht="15.75" customHeight="1" s="305"/>
    <row r="431" ht="15.75" customHeight="1" s="305"/>
    <row r="432" ht="15.75" customHeight="1" s="305"/>
    <row r="433" ht="15.75" customHeight="1" s="305"/>
    <row r="434" ht="15.75" customHeight="1" s="305"/>
    <row r="435" ht="15.75" customHeight="1" s="305"/>
    <row r="436" ht="15.75" customHeight="1" s="305"/>
    <row r="437" ht="15.75" customHeight="1" s="305"/>
    <row r="438" ht="15.75" customHeight="1" s="305"/>
    <row r="439" ht="15.75" customHeight="1" s="305"/>
    <row r="440" ht="15.75" customHeight="1" s="305"/>
    <row r="441" ht="15.75" customHeight="1" s="305"/>
    <row r="442" ht="15.75" customHeight="1" s="305"/>
    <row r="443" ht="15.75" customHeight="1" s="305"/>
    <row r="444" ht="15.75" customHeight="1" s="305"/>
    <row r="445" ht="15.75" customHeight="1" s="305"/>
    <row r="446" ht="15.75" customHeight="1" s="305"/>
    <row r="447" ht="15.75" customHeight="1" s="305"/>
    <row r="448" ht="15.75" customHeight="1" s="305"/>
    <row r="449" ht="15.75" customHeight="1" s="305"/>
    <row r="450" ht="15.75" customHeight="1" s="305"/>
    <row r="451" ht="15.75" customHeight="1" s="305"/>
    <row r="452" ht="15.75" customHeight="1" s="305"/>
    <row r="453" ht="15.75" customHeight="1" s="305"/>
    <row r="454" ht="15.75" customHeight="1" s="305"/>
    <row r="455" ht="15.75" customHeight="1" s="305"/>
    <row r="456" ht="15.75" customHeight="1" s="305"/>
    <row r="457" ht="15.75" customHeight="1" s="305"/>
    <row r="458" ht="15.75" customHeight="1" s="305"/>
    <row r="459" ht="15.75" customHeight="1" s="305"/>
    <row r="460" ht="15.75" customHeight="1" s="305"/>
    <row r="461" ht="15.75" customHeight="1" s="305"/>
    <row r="462" ht="15.75" customHeight="1" s="305"/>
    <row r="463" ht="15.75" customHeight="1" s="305"/>
    <row r="464" ht="15.75" customHeight="1" s="305"/>
    <row r="465" ht="15.75" customHeight="1" s="305"/>
    <row r="466" ht="15.75" customHeight="1" s="305"/>
    <row r="467" ht="15.75" customHeight="1" s="305"/>
    <row r="468" ht="15.75" customHeight="1" s="305"/>
    <row r="469" ht="15.75" customHeight="1" s="305"/>
    <row r="470" ht="15.75" customHeight="1" s="305"/>
    <row r="471" ht="15.75" customHeight="1" s="305"/>
    <row r="472" ht="15.75" customHeight="1" s="305"/>
    <row r="473" ht="15.75" customHeight="1" s="305"/>
    <row r="474" ht="15.75" customHeight="1" s="305"/>
    <row r="475" ht="15.75" customHeight="1" s="305"/>
    <row r="476" ht="15.75" customHeight="1" s="305"/>
    <row r="477" ht="15.75" customHeight="1" s="305"/>
    <row r="478" ht="15.75" customHeight="1" s="305"/>
    <row r="479" ht="15.75" customHeight="1" s="305"/>
    <row r="480" ht="15.75" customHeight="1" s="305"/>
    <row r="481" ht="15.75" customHeight="1" s="305"/>
    <row r="482" ht="15.75" customHeight="1" s="305"/>
    <row r="483" ht="15.75" customHeight="1" s="305"/>
    <row r="484" ht="15.75" customHeight="1" s="305"/>
    <row r="485" ht="15.75" customHeight="1" s="305"/>
    <row r="486" ht="15.75" customHeight="1" s="305"/>
    <row r="487" ht="15.75" customHeight="1" s="305"/>
    <row r="488" ht="15.75" customHeight="1" s="305"/>
    <row r="489" ht="15.75" customHeight="1" s="305"/>
    <row r="490" ht="15.75" customHeight="1" s="305"/>
    <row r="491" ht="15.75" customHeight="1" s="305"/>
    <row r="492" ht="15.75" customHeight="1" s="305"/>
    <row r="493" ht="15.75" customHeight="1" s="305"/>
    <row r="494" ht="15.75" customHeight="1" s="305"/>
    <row r="495" ht="15.75" customHeight="1" s="305"/>
    <row r="496" ht="15.75" customHeight="1" s="305"/>
    <row r="497" ht="15.75" customHeight="1" s="305"/>
    <row r="498" ht="15.75" customHeight="1" s="305"/>
    <row r="499" ht="15.75" customHeight="1" s="305"/>
    <row r="500" ht="15.75" customHeight="1" s="305"/>
    <row r="501" ht="15.75" customHeight="1" s="305"/>
    <row r="502" ht="15.75" customHeight="1" s="305"/>
    <row r="503" ht="15.75" customHeight="1" s="305"/>
    <row r="504" ht="15.75" customHeight="1" s="305"/>
    <row r="505" ht="15.75" customHeight="1" s="305"/>
    <row r="506" ht="15.75" customHeight="1" s="305"/>
    <row r="507" ht="15.75" customHeight="1" s="305"/>
    <row r="508" ht="15.75" customHeight="1" s="305"/>
    <row r="509" ht="15.75" customHeight="1" s="305"/>
    <row r="510" ht="15.75" customHeight="1" s="305"/>
    <row r="511" ht="15.75" customHeight="1" s="305"/>
    <row r="512" ht="15.75" customHeight="1" s="305"/>
    <row r="513" ht="15.75" customHeight="1" s="305"/>
    <row r="514" ht="15.75" customHeight="1" s="305"/>
    <row r="515" ht="15.75" customHeight="1" s="305"/>
    <row r="516" ht="15.75" customHeight="1" s="305"/>
    <row r="517" ht="15.75" customHeight="1" s="305"/>
    <row r="518" ht="15.75" customHeight="1" s="305"/>
    <row r="519" ht="15.75" customHeight="1" s="305"/>
    <row r="520" ht="15.75" customHeight="1" s="305"/>
    <row r="521" ht="15.75" customHeight="1" s="305"/>
    <row r="522" ht="15.75" customHeight="1" s="305"/>
    <row r="523" ht="15.75" customHeight="1" s="305"/>
    <row r="524" ht="15.75" customHeight="1" s="305"/>
    <row r="525" ht="15.75" customHeight="1" s="305"/>
    <row r="526" ht="15.75" customHeight="1" s="305"/>
    <row r="527" ht="15.75" customHeight="1" s="305"/>
    <row r="528" ht="15.75" customHeight="1" s="305"/>
    <row r="529" ht="15.75" customHeight="1" s="305"/>
    <row r="530" ht="15.75" customHeight="1" s="305"/>
    <row r="531" ht="15.75" customHeight="1" s="305"/>
    <row r="532" ht="15.75" customHeight="1" s="305"/>
    <row r="533" ht="15.75" customHeight="1" s="305"/>
    <row r="534" ht="15.75" customHeight="1" s="305"/>
    <row r="535" ht="15.75" customHeight="1" s="305"/>
    <row r="536" ht="15.75" customHeight="1" s="305"/>
    <row r="537" ht="15.75" customHeight="1" s="305"/>
    <row r="538" ht="15.75" customHeight="1" s="305"/>
    <row r="539" ht="15.75" customHeight="1" s="305"/>
    <row r="540" ht="15.75" customHeight="1" s="305"/>
    <row r="541" ht="15.75" customHeight="1" s="305"/>
    <row r="542" ht="15.75" customHeight="1" s="305"/>
    <row r="543" ht="15.75" customHeight="1" s="305"/>
    <row r="544" ht="15.75" customHeight="1" s="305"/>
    <row r="545" ht="15.75" customHeight="1" s="305"/>
    <row r="546" ht="15.75" customHeight="1" s="305"/>
    <row r="547" ht="15.75" customHeight="1" s="305"/>
    <row r="548" ht="15.75" customHeight="1" s="305"/>
    <row r="549" ht="15.75" customHeight="1" s="305"/>
    <row r="550" ht="15.75" customHeight="1" s="305"/>
    <row r="551" ht="15.75" customHeight="1" s="305"/>
    <row r="552" ht="15.75" customHeight="1" s="305"/>
    <row r="553" ht="15.75" customHeight="1" s="305"/>
    <row r="554" ht="15.75" customHeight="1" s="305"/>
    <row r="555" ht="15.75" customHeight="1" s="305"/>
    <row r="556" ht="15.75" customHeight="1" s="305"/>
    <row r="557" ht="15.75" customHeight="1" s="305"/>
    <row r="558" ht="15.75" customHeight="1" s="305"/>
    <row r="559" ht="15.75" customHeight="1" s="305"/>
    <row r="560" ht="15.75" customHeight="1" s="305"/>
    <row r="561" ht="15.75" customHeight="1" s="305"/>
    <row r="562" ht="15.75" customHeight="1" s="305"/>
    <row r="563" ht="15.75" customHeight="1" s="305"/>
    <row r="564" ht="15.75" customHeight="1" s="305"/>
    <row r="565" ht="15.75" customHeight="1" s="305"/>
    <row r="566" ht="15.75" customHeight="1" s="305"/>
    <row r="567" ht="15.75" customHeight="1" s="305"/>
    <row r="568" ht="15.75" customHeight="1" s="305"/>
    <row r="569" ht="15.75" customHeight="1" s="305"/>
    <row r="570" ht="15.75" customHeight="1" s="305"/>
    <row r="571" ht="15.75" customHeight="1" s="305"/>
    <row r="572" ht="15.75" customHeight="1" s="305"/>
    <row r="573" ht="15.75" customHeight="1" s="305"/>
    <row r="574" ht="15.75" customHeight="1" s="305"/>
    <row r="575" ht="15.75" customHeight="1" s="305"/>
    <row r="576" ht="15.75" customHeight="1" s="305"/>
    <row r="577" ht="15.75" customHeight="1" s="305"/>
    <row r="578" ht="15.75" customHeight="1" s="305"/>
    <row r="579" ht="15.75" customHeight="1" s="305"/>
    <row r="580" ht="15.75" customHeight="1" s="305"/>
    <row r="581" ht="15.75" customHeight="1" s="305"/>
    <row r="582" ht="15.75" customHeight="1" s="305"/>
    <row r="583" ht="15.75" customHeight="1" s="305"/>
    <row r="584" ht="15.75" customHeight="1" s="305"/>
    <row r="585" ht="15.75" customHeight="1" s="305"/>
    <row r="586" ht="15.75" customHeight="1" s="305"/>
    <row r="587" ht="15.75" customHeight="1" s="305"/>
    <row r="588" ht="15.75" customHeight="1" s="305"/>
    <row r="589" ht="15.75" customHeight="1" s="305"/>
    <row r="590" ht="15.75" customHeight="1" s="305"/>
    <row r="591" ht="15.75" customHeight="1" s="305"/>
    <row r="592" ht="15.75" customHeight="1" s="305"/>
    <row r="593" ht="15.75" customHeight="1" s="305"/>
    <row r="594" ht="15.75" customHeight="1" s="305"/>
    <row r="595" ht="15.75" customHeight="1" s="305"/>
    <row r="596" ht="15.75" customHeight="1" s="305"/>
    <row r="597" ht="15.75" customHeight="1" s="305"/>
    <row r="598" ht="15.75" customHeight="1" s="305"/>
    <row r="599" ht="15.75" customHeight="1" s="305"/>
    <row r="600" ht="15.75" customHeight="1" s="305"/>
    <row r="601" ht="15.75" customHeight="1" s="305"/>
    <row r="602" ht="15.75" customHeight="1" s="305"/>
    <row r="603" ht="15.75" customHeight="1" s="305"/>
    <row r="604" ht="15.75" customHeight="1" s="305"/>
    <row r="605" ht="15.75" customHeight="1" s="305"/>
    <row r="606" ht="15.75" customHeight="1" s="305"/>
    <row r="607" ht="15.75" customHeight="1" s="305"/>
    <row r="608" ht="15.75" customHeight="1" s="305"/>
    <row r="609" ht="15.75" customHeight="1" s="305"/>
    <row r="610" ht="15.75" customHeight="1" s="305"/>
    <row r="611" ht="15.75" customHeight="1" s="305"/>
    <row r="612" ht="15.75" customHeight="1" s="305"/>
    <row r="613" ht="15.75" customHeight="1" s="305"/>
    <row r="614" ht="15.75" customHeight="1" s="305"/>
    <row r="615" ht="15.75" customHeight="1" s="305"/>
    <row r="616" ht="15.75" customHeight="1" s="305"/>
    <row r="617" ht="15.75" customHeight="1" s="305"/>
    <row r="618" ht="15.75" customHeight="1" s="305"/>
    <row r="619" ht="15.75" customHeight="1" s="305"/>
    <row r="620" ht="15.75" customHeight="1" s="305"/>
    <row r="621" ht="15.75" customHeight="1" s="305"/>
    <row r="622" ht="15.75" customHeight="1" s="305"/>
    <row r="623" ht="15.75" customHeight="1" s="305"/>
    <row r="624" ht="15.75" customHeight="1" s="305"/>
    <row r="625" ht="15.75" customHeight="1" s="305"/>
    <row r="626" ht="15.75" customHeight="1" s="305"/>
    <row r="627" ht="15.75" customHeight="1" s="305"/>
    <row r="628" ht="15.75" customHeight="1" s="305"/>
    <row r="629" ht="15.75" customHeight="1" s="305"/>
    <row r="630" ht="15.75" customHeight="1" s="305"/>
    <row r="631" ht="15.75" customHeight="1" s="305"/>
    <row r="632" ht="15.75" customHeight="1" s="305"/>
    <row r="633" ht="15.75" customHeight="1" s="305"/>
    <row r="634" ht="15.75" customHeight="1" s="305"/>
    <row r="635" ht="15.75" customHeight="1" s="305"/>
    <row r="636" ht="15.75" customHeight="1" s="305"/>
    <row r="637" ht="15.75" customHeight="1" s="305"/>
    <row r="638" ht="15.75" customHeight="1" s="305"/>
    <row r="639" ht="15.75" customHeight="1" s="305"/>
    <row r="640" ht="15.75" customHeight="1" s="305"/>
    <row r="641" ht="15.75" customHeight="1" s="305"/>
    <row r="642" ht="15.75" customHeight="1" s="305"/>
    <row r="643" ht="15.75" customHeight="1" s="305"/>
    <row r="644" ht="15.75" customHeight="1" s="305"/>
    <row r="645" ht="15.75" customHeight="1" s="305"/>
    <row r="646" ht="15.75" customHeight="1" s="305"/>
    <row r="647" ht="15.75" customHeight="1" s="305"/>
    <row r="648" ht="15.75" customHeight="1" s="305"/>
    <row r="649" ht="15.75" customHeight="1" s="305"/>
    <row r="650" ht="15.75" customHeight="1" s="305"/>
    <row r="651" ht="15.75" customHeight="1" s="305"/>
    <row r="652" ht="15.75" customHeight="1" s="305"/>
    <row r="653" ht="15.75" customHeight="1" s="305"/>
    <row r="654" ht="15.75" customHeight="1" s="305"/>
    <row r="655" ht="15.75" customHeight="1" s="305"/>
    <row r="656" ht="15.75" customHeight="1" s="305"/>
    <row r="657" ht="15.75" customHeight="1" s="305"/>
    <row r="658" ht="15.75" customHeight="1" s="305"/>
    <row r="659" ht="15.75" customHeight="1" s="305"/>
    <row r="660" ht="15.75" customHeight="1" s="305"/>
    <row r="661" ht="15.75" customHeight="1" s="305"/>
    <row r="662" ht="15.75" customHeight="1" s="305"/>
    <row r="663" ht="15.75" customHeight="1" s="305"/>
    <row r="664" ht="15.75" customHeight="1" s="305"/>
    <row r="665" ht="15.75" customHeight="1" s="305"/>
    <row r="666" ht="15.75" customHeight="1" s="305"/>
    <row r="667" ht="15.75" customHeight="1" s="305"/>
    <row r="668" ht="15.75" customHeight="1" s="305"/>
    <row r="669" ht="15.75" customHeight="1" s="305"/>
    <row r="670" ht="15.75" customHeight="1" s="305"/>
    <row r="671" ht="15.75" customHeight="1" s="305"/>
    <row r="672" ht="15.75" customHeight="1" s="305"/>
    <row r="673" ht="15.75" customHeight="1" s="305"/>
    <row r="674" ht="15.75" customHeight="1" s="305"/>
    <row r="675" ht="15.75" customHeight="1" s="305"/>
    <row r="676" ht="15.75" customHeight="1" s="305"/>
    <row r="677" ht="15.75" customHeight="1" s="305"/>
    <row r="678" ht="15.75" customHeight="1" s="305"/>
    <row r="679" ht="15.75" customHeight="1" s="305"/>
    <row r="680" ht="15.75" customHeight="1" s="305"/>
    <row r="681" ht="15.75" customHeight="1" s="305"/>
    <row r="682" ht="15.75" customHeight="1" s="305"/>
    <row r="683" ht="15.75" customHeight="1" s="305"/>
    <row r="684" ht="15.75" customHeight="1" s="305"/>
    <row r="685" ht="15.75" customHeight="1" s="305"/>
    <row r="686" ht="15.75" customHeight="1" s="305"/>
    <row r="687" ht="15.75" customHeight="1" s="305"/>
    <row r="688" ht="15.75" customHeight="1" s="305"/>
    <row r="689" ht="15.75" customHeight="1" s="305"/>
    <row r="690" ht="15.75" customHeight="1" s="305"/>
    <row r="691" ht="15.75" customHeight="1" s="305"/>
    <row r="692" ht="15.75" customHeight="1" s="305"/>
    <row r="693" ht="15.75" customHeight="1" s="305"/>
    <row r="694" ht="15.75" customHeight="1" s="305"/>
    <row r="695" ht="15.75" customHeight="1" s="305"/>
    <row r="696" ht="15.75" customHeight="1" s="305"/>
    <row r="697" ht="15.75" customHeight="1" s="305"/>
    <row r="698" ht="15.75" customHeight="1" s="305"/>
    <row r="699" ht="15.75" customHeight="1" s="305"/>
    <row r="700" ht="15.75" customHeight="1" s="305"/>
    <row r="701" ht="15.75" customHeight="1" s="305"/>
    <row r="702" ht="15.75" customHeight="1" s="305"/>
    <row r="703" ht="15.75" customHeight="1" s="305"/>
    <row r="704" ht="15.75" customHeight="1" s="305"/>
    <row r="705" ht="15.75" customHeight="1" s="305"/>
    <row r="706" ht="15.75" customHeight="1" s="305"/>
    <row r="707" ht="15.75" customHeight="1" s="305"/>
    <row r="708" ht="15.75" customHeight="1" s="305"/>
    <row r="709" ht="15.75" customHeight="1" s="305"/>
    <row r="710" ht="15.75" customHeight="1" s="305"/>
    <row r="711" ht="15.75" customHeight="1" s="305"/>
    <row r="712" ht="15.75" customHeight="1" s="305"/>
    <row r="713" ht="15.75" customHeight="1" s="305"/>
    <row r="714" ht="15.75" customHeight="1" s="305"/>
    <row r="715" ht="15.75" customHeight="1" s="305"/>
    <row r="716" ht="15.75" customHeight="1" s="305"/>
    <row r="717" ht="15.75" customHeight="1" s="305"/>
    <row r="718" ht="15.75" customHeight="1" s="305"/>
    <row r="719" ht="15.75" customHeight="1" s="305"/>
    <row r="720" ht="15.75" customHeight="1" s="305"/>
    <row r="721" ht="15.75" customHeight="1" s="305"/>
    <row r="722" ht="15.75" customHeight="1" s="305"/>
    <row r="723" ht="15.75" customHeight="1" s="305"/>
    <row r="724" ht="15.75" customHeight="1" s="305"/>
    <row r="725" ht="15.75" customHeight="1" s="305"/>
    <row r="726" ht="15.75" customHeight="1" s="305"/>
    <row r="727" ht="15.75" customHeight="1" s="305"/>
    <row r="728" ht="15.75" customHeight="1" s="305"/>
    <row r="729" ht="15.75" customHeight="1" s="305"/>
    <row r="730" ht="15.75" customHeight="1" s="305"/>
    <row r="731" ht="15.75" customHeight="1" s="305"/>
    <row r="732" ht="15.75" customHeight="1" s="305"/>
    <row r="733" ht="15.75" customHeight="1" s="305"/>
    <row r="734" ht="15.75" customHeight="1" s="305"/>
    <row r="735" ht="15.75" customHeight="1" s="305"/>
    <row r="736" ht="15.75" customHeight="1" s="305"/>
    <row r="737" ht="15.75" customHeight="1" s="305"/>
    <row r="738" ht="15.75" customHeight="1" s="305"/>
    <row r="739" ht="15.75" customHeight="1" s="305"/>
    <row r="740" ht="15.75" customHeight="1" s="305"/>
    <row r="741" ht="15.75" customHeight="1" s="305"/>
    <row r="742" ht="15.75" customHeight="1" s="305"/>
    <row r="743" ht="15.75" customHeight="1" s="305"/>
    <row r="744" ht="15.75" customHeight="1" s="305"/>
    <row r="745" ht="15.75" customHeight="1" s="305"/>
    <row r="746" ht="15.75" customHeight="1" s="305"/>
    <row r="747" ht="15.75" customHeight="1" s="305"/>
    <row r="748" ht="15.75" customHeight="1" s="305"/>
    <row r="749" ht="15.75" customHeight="1" s="305"/>
    <row r="750" ht="15.75" customHeight="1" s="305"/>
    <row r="751" ht="15.75" customHeight="1" s="305"/>
    <row r="752" ht="15.75" customHeight="1" s="305"/>
    <row r="753" ht="15.75" customHeight="1" s="305"/>
    <row r="754" ht="15.75" customHeight="1" s="305"/>
    <row r="755" ht="15.75" customHeight="1" s="305"/>
    <row r="756" ht="15.75" customHeight="1" s="305"/>
    <row r="757" ht="15.75" customHeight="1" s="305"/>
    <row r="758" ht="15.75" customHeight="1" s="305"/>
    <row r="759" ht="15.75" customHeight="1" s="305"/>
    <row r="760" ht="15.75" customHeight="1" s="305"/>
    <row r="761" ht="15.75" customHeight="1" s="305"/>
    <row r="762" ht="15.75" customHeight="1" s="305"/>
    <row r="763" ht="15.75" customHeight="1" s="305"/>
    <row r="764" ht="15.75" customHeight="1" s="305"/>
    <row r="765" ht="15.75" customHeight="1" s="305"/>
    <row r="766" ht="15.75" customHeight="1" s="305"/>
    <row r="767" ht="15.75" customHeight="1" s="305"/>
    <row r="768" ht="15.75" customHeight="1" s="305"/>
    <row r="769" ht="15.75" customHeight="1" s="305"/>
    <row r="770" ht="15.75" customHeight="1" s="305"/>
    <row r="771" ht="15.75" customHeight="1" s="305"/>
    <row r="772" ht="15.75" customHeight="1" s="305"/>
    <row r="773" ht="15.75" customHeight="1" s="305"/>
    <row r="774" ht="15.75" customHeight="1" s="305"/>
    <row r="775" ht="15.75" customHeight="1" s="305"/>
    <row r="776" ht="15.75" customHeight="1" s="305"/>
    <row r="777" ht="15.75" customHeight="1" s="305"/>
    <row r="778" ht="15.75" customHeight="1" s="305"/>
    <row r="779" ht="15.75" customHeight="1" s="305"/>
    <row r="780" ht="15.75" customHeight="1" s="305"/>
    <row r="781" ht="15.75" customHeight="1" s="305"/>
    <row r="782" ht="15.75" customHeight="1" s="305"/>
    <row r="783" ht="15.75" customHeight="1" s="305"/>
    <row r="784" ht="15.75" customHeight="1" s="305"/>
    <row r="785" ht="15.75" customHeight="1" s="305"/>
    <row r="786" ht="15.75" customHeight="1" s="305"/>
    <row r="787" ht="15.75" customHeight="1" s="305"/>
    <row r="788" ht="15.75" customHeight="1" s="305"/>
    <row r="789" ht="15.75" customHeight="1" s="305"/>
    <row r="790" ht="15.75" customHeight="1" s="305"/>
    <row r="791" ht="15.75" customHeight="1" s="305"/>
    <row r="792" ht="15.75" customHeight="1" s="305"/>
    <row r="793" ht="15.75" customHeight="1" s="305"/>
    <row r="794" ht="15.75" customHeight="1" s="305"/>
    <row r="795" ht="15.75" customHeight="1" s="305"/>
    <row r="796" ht="15.75" customHeight="1" s="305"/>
    <row r="797" ht="15.75" customHeight="1" s="305"/>
    <row r="798" ht="15.75" customHeight="1" s="305"/>
    <row r="799" ht="15.75" customHeight="1" s="305"/>
    <row r="800" ht="15.75" customHeight="1" s="305"/>
    <row r="801" ht="15.75" customHeight="1" s="305"/>
    <row r="802" ht="15.75" customHeight="1" s="305"/>
    <row r="803" ht="15.75" customHeight="1" s="305"/>
    <row r="804" ht="15.75" customHeight="1" s="305"/>
    <row r="805" ht="15.75" customHeight="1" s="305"/>
    <row r="806" ht="15.75" customHeight="1" s="305"/>
    <row r="807" ht="15.75" customHeight="1" s="305"/>
    <row r="808" ht="15.75" customHeight="1" s="305"/>
    <row r="809" ht="15.75" customHeight="1" s="305"/>
    <row r="810" ht="15.75" customHeight="1" s="305"/>
    <row r="811" ht="15.75" customHeight="1" s="305"/>
    <row r="812" ht="15.75" customHeight="1" s="305"/>
    <row r="813" ht="15.75" customHeight="1" s="305"/>
    <row r="814" ht="15.75" customHeight="1" s="305"/>
    <row r="815" ht="15.75" customHeight="1" s="305"/>
    <row r="816" ht="15.75" customHeight="1" s="305"/>
    <row r="817" ht="15.75" customHeight="1" s="305"/>
    <row r="818" ht="15.75" customHeight="1" s="305"/>
    <row r="819" ht="15.75" customHeight="1" s="305"/>
    <row r="820" ht="15.75" customHeight="1" s="305"/>
    <row r="821" ht="15.75" customHeight="1" s="305"/>
    <row r="822" ht="15.75" customHeight="1" s="305"/>
    <row r="823" ht="15.75" customHeight="1" s="305"/>
    <row r="824" ht="15.75" customHeight="1" s="305"/>
    <row r="825" ht="15.75" customHeight="1" s="305"/>
    <row r="826" ht="15.75" customHeight="1" s="305"/>
    <row r="827" ht="15.75" customHeight="1" s="305"/>
    <row r="828" ht="15.75" customHeight="1" s="305"/>
    <row r="829" ht="15.75" customHeight="1" s="305"/>
    <row r="830" ht="15.75" customHeight="1" s="305"/>
    <row r="831" ht="15.75" customHeight="1" s="305"/>
    <row r="832" ht="15.75" customHeight="1" s="305"/>
    <row r="833" ht="15.75" customHeight="1" s="305"/>
    <row r="834" ht="15.75" customHeight="1" s="305"/>
    <row r="835" ht="15.75" customHeight="1" s="305"/>
    <row r="836" ht="15.75" customHeight="1" s="305"/>
    <row r="837" ht="15.75" customHeight="1" s="305"/>
    <row r="838" ht="15.75" customHeight="1" s="305"/>
    <row r="839" ht="15.75" customHeight="1" s="305"/>
    <row r="840" ht="15.75" customHeight="1" s="305"/>
    <row r="841" ht="15.75" customHeight="1" s="305"/>
    <row r="842" ht="15.75" customHeight="1" s="305"/>
    <row r="843" ht="15.75" customHeight="1" s="305"/>
    <row r="844" ht="15.75" customHeight="1" s="305"/>
    <row r="845" ht="15.75" customHeight="1" s="305"/>
    <row r="846" ht="15.75" customHeight="1" s="305"/>
    <row r="847" ht="15.75" customHeight="1" s="305"/>
    <row r="848" ht="15.75" customHeight="1" s="305"/>
    <row r="849" ht="15.75" customHeight="1" s="305"/>
    <row r="850" ht="15.75" customHeight="1" s="305"/>
    <row r="851" ht="15.75" customHeight="1" s="305"/>
    <row r="852" ht="15.75" customHeight="1" s="305"/>
    <row r="853" ht="15.75" customHeight="1" s="305"/>
    <row r="854" ht="15.75" customHeight="1" s="305"/>
    <row r="855" ht="15.75" customHeight="1" s="305"/>
    <row r="856" ht="15.75" customHeight="1" s="305"/>
    <row r="857" ht="15.75" customHeight="1" s="305"/>
    <row r="858" ht="15.75" customHeight="1" s="305"/>
    <row r="859" ht="15.75" customHeight="1" s="305"/>
    <row r="860" ht="15.75" customHeight="1" s="305"/>
    <row r="861" ht="15.75" customHeight="1" s="305"/>
    <row r="862" ht="15.75" customHeight="1" s="305"/>
    <row r="863" ht="15.75" customHeight="1" s="305"/>
    <row r="864" ht="15.75" customHeight="1" s="305"/>
    <row r="865" ht="15.75" customHeight="1" s="305"/>
    <row r="866" ht="15.75" customHeight="1" s="305"/>
    <row r="867" ht="15.75" customHeight="1" s="305"/>
    <row r="868" ht="15.75" customHeight="1" s="305"/>
    <row r="869" ht="15.75" customHeight="1" s="305"/>
    <row r="870" ht="15.75" customHeight="1" s="305"/>
    <row r="871" ht="15.75" customHeight="1" s="305"/>
    <row r="872" ht="15.75" customHeight="1" s="305"/>
    <row r="873" ht="15.75" customHeight="1" s="305"/>
    <row r="874" ht="15.75" customHeight="1" s="305"/>
    <row r="875" ht="15.75" customHeight="1" s="305"/>
    <row r="876" ht="15.75" customHeight="1" s="305"/>
    <row r="877" ht="15.75" customHeight="1" s="305"/>
    <row r="878" ht="15.75" customHeight="1" s="305"/>
    <row r="879" ht="15.75" customHeight="1" s="305"/>
    <row r="880" ht="15.75" customHeight="1" s="305"/>
    <row r="881" ht="15.75" customHeight="1" s="305"/>
    <row r="882" ht="15.75" customHeight="1" s="305"/>
    <row r="883" ht="15.75" customHeight="1" s="305"/>
    <row r="884" ht="15.75" customHeight="1" s="305"/>
    <row r="885" ht="15.75" customHeight="1" s="305"/>
    <row r="886" ht="15.75" customHeight="1" s="305"/>
    <row r="887" ht="15.75" customHeight="1" s="305"/>
    <row r="888" ht="15.75" customHeight="1" s="305"/>
    <row r="889" ht="15.75" customHeight="1" s="305"/>
    <row r="890" ht="15.75" customHeight="1" s="305"/>
    <row r="891" ht="15.75" customHeight="1" s="305"/>
    <row r="892" ht="15.75" customHeight="1" s="305"/>
    <row r="893" ht="15.75" customHeight="1" s="305"/>
    <row r="894" ht="15.75" customHeight="1" s="305"/>
    <row r="895" ht="15.75" customHeight="1" s="305"/>
    <row r="896" ht="15.75" customHeight="1" s="305"/>
    <row r="897" ht="15.75" customHeight="1" s="305"/>
    <row r="898" ht="15.75" customHeight="1" s="305"/>
    <row r="899" ht="15.75" customHeight="1" s="305"/>
    <row r="900" ht="15.75" customHeight="1" s="305"/>
    <row r="901" ht="15.75" customHeight="1" s="305"/>
    <row r="902" ht="15.75" customHeight="1" s="305"/>
    <row r="903" ht="15.75" customHeight="1" s="305"/>
    <row r="904" ht="15.75" customHeight="1" s="305"/>
    <row r="905" ht="15.75" customHeight="1" s="305"/>
    <row r="906" ht="15.75" customHeight="1" s="305"/>
    <row r="907" ht="15.75" customHeight="1" s="305"/>
    <row r="908" ht="15.75" customHeight="1" s="305"/>
    <row r="909" ht="15.75" customHeight="1" s="305"/>
    <row r="910" ht="15.75" customHeight="1" s="305"/>
    <row r="911" ht="15.75" customHeight="1" s="305"/>
    <row r="912" ht="15.75" customHeight="1" s="305"/>
    <row r="913" ht="15.75" customHeight="1" s="305"/>
    <row r="914" ht="15.75" customHeight="1" s="305"/>
    <row r="915" ht="15.75" customHeight="1" s="305"/>
    <row r="916" ht="15.75" customHeight="1" s="305"/>
    <row r="917" ht="15.75" customHeight="1" s="305"/>
    <row r="918" ht="15.75" customHeight="1" s="305"/>
    <row r="919" ht="15.75" customHeight="1" s="305"/>
    <row r="920" ht="15.75" customHeight="1" s="305"/>
    <row r="921" ht="15.75" customHeight="1" s="305"/>
    <row r="922" ht="15.75" customHeight="1" s="305"/>
    <row r="923" ht="15.75" customHeight="1" s="305"/>
    <row r="924" ht="15.75" customHeight="1" s="305"/>
    <row r="925" ht="15.75" customHeight="1" s="305"/>
    <row r="926" ht="15.75" customHeight="1" s="305"/>
    <row r="927" ht="15.75" customHeight="1" s="305"/>
    <row r="928" ht="15.75" customHeight="1" s="305"/>
    <row r="929" ht="15.75" customHeight="1" s="305"/>
    <row r="930" ht="15.75" customHeight="1" s="305"/>
    <row r="931" ht="15.75" customHeight="1" s="305"/>
    <row r="932" ht="15.75" customHeight="1" s="305"/>
    <row r="933" ht="15.75" customHeight="1" s="305"/>
    <row r="934" ht="15.75" customHeight="1" s="305"/>
    <row r="935" ht="15.75" customHeight="1" s="305"/>
    <row r="936" ht="15.75" customHeight="1" s="305"/>
    <row r="937" ht="15.75" customHeight="1" s="305"/>
    <row r="938" ht="15.75" customHeight="1" s="305"/>
    <row r="939" ht="15.75" customHeight="1" s="305"/>
    <row r="940" ht="15.75" customHeight="1" s="305"/>
    <row r="941" ht="15.75" customHeight="1" s="305"/>
    <row r="942" ht="15.75" customHeight="1" s="305"/>
    <row r="943" ht="15.75" customHeight="1" s="305"/>
    <row r="944" ht="15.75" customHeight="1" s="305"/>
    <row r="945" ht="15.75" customHeight="1" s="305"/>
    <row r="946" ht="15.75" customHeight="1" s="305"/>
    <row r="947" ht="15.75" customHeight="1" s="305"/>
    <row r="948" ht="15.75" customHeight="1" s="305"/>
    <row r="949" ht="15.75" customHeight="1" s="305"/>
    <row r="950" ht="15.75" customHeight="1" s="305"/>
    <row r="951" ht="15.75" customHeight="1" s="305"/>
    <row r="952" ht="15.75" customHeight="1" s="305"/>
    <row r="953" ht="15.75" customHeight="1" s="305"/>
    <row r="954" ht="15.75" customHeight="1" s="305"/>
    <row r="955" ht="15.75" customHeight="1" s="305"/>
    <row r="956" ht="15.75" customHeight="1" s="305"/>
    <row r="957" ht="15.75" customHeight="1" s="305"/>
    <row r="958" ht="15.75" customHeight="1" s="305"/>
    <row r="959" ht="15.75" customHeight="1" s="305"/>
    <row r="960" ht="15.75" customHeight="1" s="305"/>
    <row r="961" ht="15.75" customHeight="1" s="305"/>
    <row r="962" ht="15.75" customHeight="1" s="305"/>
    <row r="963" ht="15.75" customHeight="1" s="305"/>
    <row r="964" ht="15.75" customHeight="1" s="305"/>
    <row r="965" ht="15.75" customHeight="1" s="305"/>
    <row r="966" ht="15.75" customHeight="1" s="305"/>
    <row r="967" ht="15.75" customHeight="1" s="305"/>
    <row r="968" ht="15.75" customHeight="1" s="305"/>
    <row r="969" ht="15.75" customHeight="1" s="305"/>
    <row r="970" ht="15.75" customHeight="1" s="305"/>
    <row r="971" ht="15.75" customHeight="1" s="305"/>
    <row r="972" ht="15.75" customHeight="1" s="305"/>
    <row r="973" ht="15.75" customHeight="1" s="305"/>
    <row r="974" ht="15.75" customHeight="1" s="305"/>
    <row r="975" ht="15.75" customHeight="1" s="305"/>
    <row r="976" ht="15.75" customHeight="1" s="305"/>
    <row r="977" ht="15.75" customHeight="1" s="305"/>
    <row r="978" ht="15.75" customHeight="1" s="305"/>
    <row r="979" ht="15.75" customHeight="1" s="305"/>
    <row r="980" ht="15.75" customHeight="1" s="305"/>
    <row r="981" ht="15.75" customHeight="1" s="305"/>
    <row r="982" ht="15.75" customHeight="1" s="305"/>
    <row r="983" ht="15.75" customHeight="1" s="305"/>
    <row r="984" ht="15.75" customHeight="1" s="305"/>
    <row r="985" ht="15.75" customHeight="1" s="305"/>
    <row r="986" ht="15.75" customHeight="1" s="305"/>
    <row r="987" ht="15.75" customHeight="1" s="305"/>
    <row r="988" ht="15.75" customHeight="1" s="305"/>
    <row r="989" ht="15.75" customHeight="1" s="305"/>
    <row r="990" ht="15.75" customHeight="1" s="305"/>
    <row r="991" ht="15.75" customHeight="1" s="305"/>
    <row r="992" ht="15.75" customHeight="1" s="305"/>
    <row r="993" ht="15.75" customHeight="1" s="305"/>
    <row r="994" ht="15.75" customHeight="1" s="305"/>
    <row r="995" ht="15.75" customHeight="1" s="305"/>
    <row r="996" ht="15.75" customHeight="1" s="305"/>
    <row r="997" ht="15.75" customHeight="1" s="305"/>
    <row r="998" ht="15.75" customHeight="1" s="305"/>
    <row r="999" ht="15.75" customHeight="1" s="305"/>
    <row r="1000" ht="15.75" customHeight="1" s="305"/>
  </sheetData>
  <pageMargins left="0.7" right="0.7" top="0.75" bottom="0.75" header="0" footer="0"/>
  <pageSetup orientation="landscape"/>
  <drawing xmlns:r="http://schemas.openxmlformats.org/officeDocument/2006/relationships" r:id="rId1"/>
</worksheet>
</file>

<file path=xl/worksheets/sheet14.xml><?xml version="1.0" encoding="utf-8"?>
<worksheet xmlns="http://schemas.openxmlformats.org/spreadsheetml/2006/main">
  <sheetPr>
    <outlinePr summaryBelow="0" summaryRight="0"/>
    <pageSetUpPr/>
  </sheetPr>
  <dimension ref="A1:Z1153"/>
  <sheetViews>
    <sheetView workbookViewId="0">
      <pane ySplit="1" topLeftCell="A2" activePane="bottomLeft" state="frozen"/>
      <selection pane="bottomLeft" activeCell="B3" sqref="B3"/>
    </sheetView>
  </sheetViews>
  <sheetFormatPr baseColWidth="8" defaultColWidth="14.43" defaultRowHeight="15" customHeight="1"/>
  <cols>
    <col width="42.71" customWidth="1" style="305" min="1" max="1"/>
    <col width="48" customWidth="1" style="305" min="2" max="5"/>
  </cols>
  <sheetData>
    <row r="1">
      <c r="A1" s="233" t="inlineStr">
        <is>
          <t>KEY</t>
        </is>
      </c>
      <c r="B1" s="233" t="inlineStr">
        <is>
          <t>VI</t>
        </is>
      </c>
      <c r="C1" s="233" t="inlineStr">
        <is>
          <t>EN</t>
        </is>
      </c>
      <c r="D1" s="233" t="inlineStr">
        <is>
          <t>CAM</t>
        </is>
      </c>
      <c r="E1" s="233" t="inlineStr">
        <is>
          <t>CN</t>
        </is>
      </c>
      <c r="F1" s="311" t="inlineStr">
        <is>
          <t>cam Thean</t>
        </is>
      </c>
      <c r="G1" s="234" t="n"/>
      <c r="H1" s="234" t="n"/>
      <c r="I1" s="234" t="n"/>
      <c r="J1" s="234" t="n"/>
      <c r="K1" s="234" t="n"/>
      <c r="L1" s="234" t="n"/>
      <c r="M1" s="234" t="n"/>
      <c r="N1" s="234" t="n"/>
      <c r="O1" s="234" t="n"/>
      <c r="P1" s="234" t="n"/>
      <c r="Q1" s="234" t="n"/>
      <c r="R1" s="234" t="n"/>
      <c r="S1" s="234" t="n"/>
      <c r="T1" s="234" t="n"/>
      <c r="U1" s="234" t="n"/>
      <c r="V1" s="234" t="n"/>
      <c r="W1" s="234" t="n"/>
      <c r="X1" s="234" t="n"/>
      <c r="Y1" s="234" t="n"/>
      <c r="Z1" s="234" t="n"/>
    </row>
    <row r="2">
      <c r="A2" s="246" t="n"/>
      <c r="B2" s="236" t="inlineStr">
        <is>
          <t>Hiệu quả sử dụng xe</t>
        </is>
      </c>
      <c r="C2" s="246" t="n"/>
      <c r="D2" s="237" t="inlineStr">
        <is>
          <t>ប្រសិទ្ធភាពការប្រើប្រាស់យានយន្ត</t>
        </is>
      </c>
      <c r="E2" s="246" t="n"/>
      <c r="F2" t="inlineStr">
        <is>
          <t>ប្រសិទ្ធភាពការប្រើប្រាស់យានយន្ត</t>
        </is>
      </c>
    </row>
    <row r="3">
      <c r="A3" s="246" t="n"/>
      <c r="B3" s="236" t="inlineStr">
        <is>
          <t>Tổng quan</t>
        </is>
      </c>
      <c r="C3" s="246" t="n"/>
      <c r="D3" s="237" t="inlineStr">
        <is>
          <t>ទិដ្ឋភាពទូទៅ</t>
        </is>
      </c>
      <c r="E3" s="246" t="n"/>
      <c r="F3" t="inlineStr">
        <is>
          <t>ទិដ្ឋភាពទូទៅ</t>
        </is>
      </c>
    </row>
    <row r="4">
      <c r="A4" s="246" t="n"/>
      <c r="B4" s="236" t="inlineStr">
        <is>
          <t>Cảnh báo hiệu quả sử dụng xe</t>
        </is>
      </c>
      <c r="C4" s="246" t="n"/>
      <c r="D4" s="237" t="inlineStr">
        <is>
          <t>ការជូនដំណឹងអំពីប្រសិទ្ធភាពការប្រើប្រាស់យានយន្ត</t>
        </is>
      </c>
      <c r="E4" s="246" t="n"/>
      <c r="F4" t="inlineStr">
        <is>
          <t>ការជូនដំណឹងអំពីប្រសិទ្ធភាពការប្រើប្រាស់យានយន្ត</t>
        </is>
      </c>
    </row>
    <row r="5">
      <c r="A5" s="246" t="n"/>
      <c r="B5" s="236" t="inlineStr">
        <is>
          <t>Top 20 tuyến HQX thấp nhất tháng</t>
        </is>
      </c>
      <c r="C5" s="246" t="n"/>
      <c r="D5" s="237" t="inlineStr">
        <is>
          <t>ផ្លូវដឹកជញ្ជូន 20 លេខដែលមានប្រសិទ្ធភាពទាបបំផុតក្នុងខែ</t>
        </is>
      </c>
      <c r="E5" s="246" t="n"/>
      <c r="F5" t="inlineStr">
        <is>
          <t>ផ្លូវដឹកជញ្ជូន 20 លេខដែលមានប្រសិទ្ធភាពទាបបំផុតក្នុងខែ</t>
        </is>
      </c>
    </row>
    <row r="6">
      <c r="A6" s="246" t="n"/>
      <c r="B6" s="236" t="inlineStr">
        <is>
          <t>Lũy kế</t>
        </is>
      </c>
      <c r="C6" s="246" t="n"/>
      <c r="D6" s="237" t="inlineStr">
        <is>
          <t>សរុបបង្គរ</t>
        </is>
      </c>
      <c r="E6" s="246" t="n"/>
      <c r="F6" t="inlineStr">
        <is>
          <t>សរុបបង្គរ</t>
        </is>
      </c>
    </row>
    <row r="7">
      <c r="A7" s="246" t="n"/>
      <c r="B7" s="236" t="inlineStr">
        <is>
          <t>Lũy kế tháng</t>
        </is>
      </c>
      <c r="C7" s="246" t="n"/>
      <c r="D7" s="237" t="inlineStr">
        <is>
          <t>សរុបបង្គរតាមខែ</t>
        </is>
      </c>
      <c r="E7" s="246" t="n"/>
      <c r="F7" t="inlineStr">
        <is>
          <t>សរុបបង្គរតាមខែ</t>
        </is>
      </c>
    </row>
    <row r="8">
      <c r="A8" s="246" t="n"/>
      <c r="B8" s="236" t="inlineStr">
        <is>
          <t>Lũy kế ngày</t>
        </is>
      </c>
      <c r="C8" s="246" t="n"/>
      <c r="D8" s="237" t="inlineStr">
        <is>
          <t>សរុបបង្គរតាមថ្ងៃ</t>
        </is>
      </c>
      <c r="E8" s="246" t="n"/>
      <c r="F8" t="inlineStr">
        <is>
          <t>សរុបបង្គរតាមថ្ងៃ</t>
        </is>
      </c>
    </row>
    <row r="9">
      <c r="A9" s="246" t="n"/>
      <c r="B9" s="236" t="inlineStr">
        <is>
          <t>Thời gian</t>
        </is>
      </c>
      <c r="C9" s="246" t="n"/>
      <c r="D9" s="237" t="inlineStr">
        <is>
          <t>ពេលវេលា</t>
        </is>
      </c>
      <c r="E9" s="246" t="n"/>
      <c r="F9" t="inlineStr">
        <is>
          <t>ពេលវេលា</t>
        </is>
      </c>
    </row>
    <row r="10">
      <c r="A10" s="246" t="n"/>
      <c r="B10" s="236" t="inlineStr">
        <is>
          <t>Chọn thời gian</t>
        </is>
      </c>
      <c r="C10" s="246" t="n"/>
      <c r="D10" s="237" t="inlineStr">
        <is>
          <t>ជ្រើសរើសពេលវេលា</t>
        </is>
      </c>
      <c r="E10" s="246" t="n"/>
      <c r="F10" t="inlineStr">
        <is>
          <t>ជ្រើសរើសពេលវេលា</t>
        </is>
      </c>
    </row>
    <row r="11">
      <c r="A11" s="246" t="n"/>
      <c r="B11" s="236" t="inlineStr">
        <is>
          <t>Loại hành trình</t>
        </is>
      </c>
      <c r="C11" s="246" t="n"/>
      <c r="D11" s="237" t="inlineStr">
        <is>
          <t>ប្រភេទដំណើរ</t>
        </is>
      </c>
      <c r="E11" s="246" t="n"/>
      <c r="F11" t="inlineStr">
        <is>
          <t>ប្រភេទដំណើរ</t>
        </is>
      </c>
    </row>
    <row r="12">
      <c r="A12" s="246" t="n"/>
      <c r="B12" s="236" t="inlineStr">
        <is>
          <t>Liên vùng</t>
        </is>
      </c>
      <c r="C12" s="246" t="n"/>
      <c r="D12" s="237" t="inlineStr">
        <is>
          <t>ឆ្លងតំបន់</t>
        </is>
      </c>
      <c r="E12" s="246" t="n"/>
      <c r="F12" t="inlineStr">
        <is>
          <t>ឆ្លងតំបន់</t>
        </is>
      </c>
    </row>
    <row r="13">
      <c r="A13" s="246" t="n"/>
      <c r="B13" s="236" t="inlineStr">
        <is>
          <t>Nội vùng</t>
        </is>
      </c>
      <c r="C13" s="246" t="n"/>
      <c r="D13" s="237" t="inlineStr">
        <is>
          <t>ក្នុងតំបន់</t>
        </is>
      </c>
      <c r="E13" s="246" t="n"/>
      <c r="F13" t="inlineStr">
        <is>
          <t>ក្នុងតំបន់</t>
        </is>
      </c>
    </row>
    <row r="14">
      <c r="A14" s="246" t="n"/>
      <c r="B14" s="236" t="inlineStr">
        <is>
          <t>Nội tỉnh</t>
        </is>
      </c>
      <c r="C14" s="246" t="n"/>
      <c r="D14" s="237" t="inlineStr">
        <is>
          <t>ក្នុងខេត្ត</t>
        </is>
      </c>
      <c r="E14" s="246" t="n"/>
      <c r="F14" t="inlineStr">
        <is>
          <t>ក្នុងខេត្ត</t>
        </is>
      </c>
    </row>
    <row r="15">
      <c r="A15" s="246" t="n"/>
      <c r="B15" s="236" t="inlineStr">
        <is>
          <t>Nội thành</t>
        </is>
      </c>
      <c r="C15" s="246" t="n"/>
      <c r="D15" s="237" t="inlineStr">
        <is>
          <t>ក្នុងទីក្រុង</t>
        </is>
      </c>
      <c r="E15" s="246" t="n"/>
      <c r="F15" t="inlineStr">
        <is>
          <t>ក្នុងទីក្រុង</t>
        </is>
      </c>
    </row>
    <row r="16">
      <c r="A16" s="246" t="n"/>
      <c r="B16" s="236" t="inlineStr">
        <is>
          <t>Tìm kiếm</t>
        </is>
      </c>
      <c r="C16" s="246" t="n"/>
      <c r="D16" s="237" t="inlineStr">
        <is>
          <t>ស្វែងរក</t>
        </is>
      </c>
      <c r="E16" s="246" t="n"/>
      <c r="F16" t="inlineStr">
        <is>
          <t>ស្វែងរក</t>
        </is>
      </c>
    </row>
    <row r="17">
      <c r="A17" s="246" t="n"/>
      <c r="B17" s="236" t="inlineStr">
        <is>
          <t>Xuất excel</t>
        </is>
      </c>
      <c r="C17" s="246" t="n"/>
      <c r="D17" s="237" t="inlineStr">
        <is>
          <t>ចេញទៅ Excel</t>
        </is>
      </c>
      <c r="E17" s="246" t="n"/>
      <c r="F17" t="inlineStr">
        <is>
          <t>ចេញទៅ Excel</t>
        </is>
      </c>
    </row>
    <row r="18">
      <c r="A18" s="246" t="n"/>
      <c r="B18" s="236" t="inlineStr">
        <is>
          <t>Chiều về</t>
        </is>
      </c>
      <c r="C18" s="246" t="n"/>
      <c r="D18" s="237" t="inlineStr">
        <is>
          <t>ជើងត្រឡប់</t>
        </is>
      </c>
      <c r="E18" s="246" t="n"/>
      <c r="F18" t="inlineStr">
        <is>
          <t>ជើងត្រឡប់</t>
        </is>
      </c>
    </row>
    <row r="19">
      <c r="A19" s="246" t="n"/>
      <c r="B19" s="236" t="inlineStr">
        <is>
          <t>Chiều đi</t>
        </is>
      </c>
      <c r="C19" s="246" t="n"/>
      <c r="D19" s="237" t="inlineStr">
        <is>
          <t>ជើងចេញទៅ</t>
        </is>
      </c>
      <c r="E19" s="246" t="n"/>
      <c r="F19" t="inlineStr">
        <is>
          <t>ជើងចេញទៅ</t>
        </is>
      </c>
    </row>
    <row r="20">
      <c r="A20" s="246" t="n"/>
      <c r="B20" s="236" t="inlineStr">
        <is>
          <t>Số chuyến xe</t>
        </is>
      </c>
      <c r="C20" s="246" t="n"/>
      <c r="D20" s="237" t="inlineStr">
        <is>
          <t>ចំនួនដំណើរ</t>
        </is>
      </c>
      <c r="E20" s="246" t="n"/>
      <c r="F20" t="inlineStr">
        <is>
          <t>ចំនួនដំណើរ</t>
        </is>
      </c>
    </row>
    <row r="21">
      <c r="A21" s="246" t="n"/>
      <c r="B21" s="236" t="inlineStr">
        <is>
          <t>Tổng khối lượng</t>
        </is>
      </c>
      <c r="C21" s="246" t="n"/>
      <c r="D21" s="237" t="inlineStr">
        <is>
          <t>ទម្ងន់សរុប</t>
        </is>
      </c>
      <c r="E21" s="246" t="n"/>
      <c r="F21" t="inlineStr">
        <is>
          <t>ទម្ងន់សរុប</t>
        </is>
      </c>
    </row>
    <row r="22">
      <c r="A22" s="246" t="n"/>
      <c r="B22" s="236" t="inlineStr">
        <is>
          <t>Tổng trọng tải</t>
        </is>
      </c>
      <c r="C22" s="246" t="n"/>
      <c r="D22" s="237" t="inlineStr">
        <is>
          <t>សមត្ថភាពផ្ទុកសរុប</t>
        </is>
      </c>
      <c r="E22" s="246" t="n"/>
      <c r="F22" t="inlineStr">
        <is>
          <t>សមត្ថភាពផ្ទុកសរុប</t>
        </is>
      </c>
    </row>
    <row r="23">
      <c r="A23" s="246" t="n"/>
      <c r="B23" s="236" t="inlineStr">
        <is>
          <t>STT</t>
        </is>
      </c>
      <c r="C23" s="246" t="n"/>
      <c r="D23" s="237" t="inlineStr">
        <is>
          <t>ល.រ</t>
        </is>
      </c>
      <c r="E23" s="246" t="n"/>
      <c r="F23" t="inlineStr">
        <is>
          <t>ល.រ</t>
        </is>
      </c>
    </row>
    <row r="24">
      <c r="A24" s="246" t="n"/>
      <c r="B24" s="236" t="inlineStr">
        <is>
          <t>Đơn vị</t>
        </is>
      </c>
      <c r="C24" s="246" t="n"/>
      <c r="D24" s="237" t="inlineStr">
        <is>
          <t>អង្គភាព</t>
        </is>
      </c>
      <c r="E24" s="246" t="n"/>
      <c r="F24" t="inlineStr">
        <is>
          <t>អង្គភាព</t>
        </is>
      </c>
    </row>
    <row r="25">
      <c r="A25" s="246" t="n"/>
      <c r="B25" s="236" t="inlineStr">
        <is>
          <t>Số chuyến</t>
        </is>
      </c>
      <c r="C25" s="246" t="n"/>
      <c r="D25" s="237" t="inlineStr">
        <is>
          <t>ចំនួនដំណើរ</t>
        </is>
      </c>
      <c r="E25" s="246" t="n"/>
      <c r="F25" t="inlineStr">
        <is>
          <t>ចំនួនដំណើរ</t>
        </is>
      </c>
    </row>
    <row r="26">
      <c r="A26" s="246" t="n"/>
      <c r="B26" s="236" t="inlineStr">
        <is>
          <t>Khối lượng (kg)</t>
        </is>
      </c>
      <c r="C26" s="246" t="n"/>
      <c r="D26" s="237" t="inlineStr">
        <is>
          <t>ទម្ងន់ (kg)</t>
        </is>
      </c>
      <c r="E26" s="246" t="n"/>
      <c r="F26" t="inlineStr">
        <is>
          <t>ទម្ងន់ (kg)</t>
        </is>
      </c>
    </row>
    <row r="27">
      <c r="A27" s="246" t="n"/>
      <c r="B27" s="236" t="inlineStr">
        <is>
          <t>Trọng tải (kg)</t>
        </is>
      </c>
      <c r="C27" s="246" t="n"/>
      <c r="D27" s="237" t="inlineStr">
        <is>
          <t>សមត្ថភាពផ្ទុក (kg)</t>
        </is>
      </c>
      <c r="E27" s="246" t="n"/>
      <c r="F27" t="inlineStr">
        <is>
          <t>សមត្ថភាពផ្ទុក (kg)</t>
        </is>
      </c>
    </row>
    <row r="28">
      <c r="A28" s="246" t="n"/>
      <c r="B28" s="236" t="inlineStr">
        <is>
          <t>So sánh cùng ngày tuần trước</t>
        </is>
      </c>
      <c r="C28" s="246" t="n"/>
      <c r="D28" s="237" t="inlineStr">
        <is>
          <t>ប្រៀបធៀបនឹងថ្ងៃដូចគ្នាសប្ដាហ៍មុន</t>
        </is>
      </c>
      <c r="E28" s="246" t="n"/>
      <c r="F28" t="inlineStr">
        <is>
          <t>ប្រៀបធៀបនឹងថ្ងៃដូចគ្នាសប្ដាហ៍មុន</t>
        </is>
      </c>
    </row>
    <row r="29">
      <c r="A29" s="246" t="n"/>
      <c r="B29" s="236" t="inlineStr">
        <is>
          <t>So sánh cùng kỳ tháng trước</t>
        </is>
      </c>
      <c r="C29" s="246" t="n"/>
      <c r="D29" s="237" t="inlineStr">
        <is>
          <t>ប្រៀបធៀបនឹងរយៈពេលដូចគ្នាខែមុន</t>
        </is>
      </c>
      <c r="E29" s="246" t="n"/>
      <c r="F29" t="inlineStr">
        <is>
          <t>ប្រៀបធៀបនឹងរយៈពេលដូចគ្នាខែមុន</t>
        </is>
      </c>
    </row>
    <row r="30">
      <c r="A30" s="246" t="n"/>
      <c r="B30" s="236" t="inlineStr">
        <is>
          <t>Tổng bản ghi</t>
        </is>
      </c>
      <c r="C30" s="246" t="n"/>
      <c r="D30" s="237" t="inlineStr">
        <is>
          <t>កំណត់ត្រាសរុប</t>
        </is>
      </c>
      <c r="E30" s="246" t="n"/>
      <c r="F30" t="inlineStr">
        <is>
          <t>កំណត់ត្រាសរុប</t>
        </is>
      </c>
    </row>
    <row r="31">
      <c r="A31" s="246" t="n"/>
      <c r="B31" s="236" t="inlineStr">
        <is>
          <t>Trang</t>
        </is>
      </c>
      <c r="C31" s="246" t="n"/>
      <c r="D31" s="237" t="inlineStr">
        <is>
          <t>ទំព័រ</t>
        </is>
      </c>
      <c r="E31" s="246" t="n"/>
      <c r="F31" t="inlineStr">
        <is>
          <t>ទំព័រ</t>
        </is>
      </c>
    </row>
    <row r="32">
      <c r="A32" s="246" t="n"/>
      <c r="B32" s="236" t="inlineStr">
        <is>
          <t>Chiều</t>
        </is>
      </c>
      <c r="C32" s="246" t="n"/>
      <c r="D32" s="237" t="inlineStr">
        <is>
          <t>ជើងចេញដំណើរ</t>
        </is>
      </c>
      <c r="E32" s="246" t="n"/>
      <c r="F32" t="inlineStr">
        <is>
          <t>ជើងចេញដំណើរ</t>
        </is>
      </c>
    </row>
    <row r="33">
      <c r="A33" s="246" t="n"/>
      <c r="B33" s="236" t="inlineStr">
        <is>
          <t>Nấc HQX</t>
        </is>
      </c>
      <c r="C33" s="246" t="n"/>
      <c r="D33" s="237" t="inlineStr">
        <is>
          <t>កម្រិតប្រសិទ្ធភាពយានយន្ត</t>
        </is>
      </c>
      <c r="E33" s="246" t="n"/>
      <c r="F33" t="inlineStr">
        <is>
          <t>កម្រិតប្រសិទ្ធភាពយានយន្ត</t>
        </is>
      </c>
    </row>
    <row r="34">
      <c r="A34" s="246" t="n"/>
      <c r="B34" s="236" t="inlineStr">
        <is>
          <t>Tổng</t>
        </is>
      </c>
      <c r="C34" s="246" t="n"/>
      <c r="D34" s="237" t="inlineStr">
        <is>
          <t>សរុប</t>
        </is>
      </c>
      <c r="E34" s="246" t="n"/>
      <c r="F34" t="inlineStr">
        <is>
          <t>សរុប</t>
        </is>
      </c>
    </row>
    <row r="35">
      <c r="A35" s="246" t="n"/>
      <c r="B35" s="236" t="inlineStr">
        <is>
          <t>Chi tiết chuyến xe</t>
        </is>
      </c>
      <c r="C35" s="246" t="n"/>
      <c r="D35" s="237" t="inlineStr">
        <is>
          <t>ព័ត៌មានលម្អិតដំណើររថយន្ត</t>
        </is>
      </c>
      <c r="E35" s="246" t="n"/>
      <c r="F35" t="inlineStr">
        <is>
          <t>ព័ត៌មានលម្អិតដំណើររថយន្ត</t>
        </is>
      </c>
    </row>
    <row r="36">
      <c r="A36" s="246" t="n"/>
      <c r="B36" s="236" t="inlineStr">
        <is>
          <t>Mã chuyến xe</t>
        </is>
      </c>
      <c r="C36" s="246" t="n"/>
      <c r="D36" s="237" t="inlineStr">
        <is>
          <t>លេខកូដដំណើររថយន្ត</t>
        </is>
      </c>
      <c r="E36" s="246" t="n"/>
      <c r="F36" t="inlineStr">
        <is>
          <t>លេខកូដដំណើររថយន្ត</t>
        </is>
      </c>
    </row>
    <row r="37">
      <c r="A37" s="246" t="n"/>
      <c r="B37" s="236" t="inlineStr">
        <is>
          <t>Tên tuyến</t>
        </is>
      </c>
      <c r="C37" s="246" t="n"/>
      <c r="D37" s="237" t="inlineStr">
        <is>
          <t>ឈ្មោះផ្លូវដឹកជញ្ជូន</t>
        </is>
      </c>
      <c r="E37" s="246" t="n"/>
      <c r="F37" t="inlineStr">
        <is>
          <t>ឈ្មោះផ្លូវដឹកជញ្ជូន</t>
        </is>
      </c>
    </row>
    <row r="38">
      <c r="A38" s="246" t="n"/>
      <c r="B38" s="236" t="inlineStr">
        <is>
          <t>User lái xe</t>
        </is>
      </c>
      <c r="C38" s="246" t="n"/>
      <c r="D38" s="237" t="inlineStr">
        <is>
          <t>អ្នកបើកបរ</t>
        </is>
      </c>
      <c r="E38" s="246" t="n"/>
      <c r="F38" t="inlineStr">
        <is>
          <t>អ្នកបើកបរ</t>
        </is>
      </c>
    </row>
    <row r="39">
      <c r="A39" s="246" t="n"/>
      <c r="B39" s="236" t="inlineStr">
        <is>
          <t>Số điện thoại</t>
        </is>
      </c>
      <c r="C39" s="246" t="n"/>
      <c r="D39" s="237" t="inlineStr">
        <is>
          <t>លេខទូរស័ព្ទ</t>
        </is>
      </c>
      <c r="E39" s="246" t="n"/>
      <c r="F39" t="inlineStr">
        <is>
          <t>លេខទូរស័ព្ទ</t>
        </is>
      </c>
    </row>
    <row r="40">
      <c r="A40" s="246" t="n"/>
      <c r="B40" s="236" t="inlineStr">
        <is>
          <t>Khối lượng hàng</t>
        </is>
      </c>
      <c r="C40" s="246" t="n"/>
      <c r="D40" s="237" t="inlineStr">
        <is>
          <t>ទម្ងន់ទំនិញ</t>
        </is>
      </c>
      <c r="E40" s="246" t="n"/>
      <c r="F40" t="inlineStr">
        <is>
          <t>ទម្ងន់ទំនិញ</t>
        </is>
      </c>
    </row>
    <row r="41">
      <c r="A41" s="246" t="n"/>
      <c r="B41" s="236" t="inlineStr">
        <is>
          <t>Trọng tải xe (kg)</t>
        </is>
      </c>
      <c r="C41" s="246" t="n"/>
      <c r="D41" s="237" t="inlineStr">
        <is>
          <t>សមត្ថភាពផ្ទុករថយន្ត (kg)</t>
        </is>
      </c>
      <c r="E41" s="246" t="n"/>
      <c r="F41" t="inlineStr">
        <is>
          <t>សមត្ថភាពផ្ទុករថយន្ត (kg)</t>
        </is>
      </c>
    </row>
    <row r="42">
      <c r="A42" s="246" t="n"/>
      <c r="B42" s="236" t="inlineStr">
        <is>
          <t>Hiệu quả xe</t>
        </is>
      </c>
      <c r="C42" s="246" t="n"/>
      <c r="D42" s="237" t="inlineStr">
        <is>
          <t>ប្រសិទ្ធភាពយានយន្ត</t>
        </is>
      </c>
      <c r="E42" s="246" t="n"/>
      <c r="F42" t="inlineStr">
        <is>
          <t>ប្រសិទ្ធភាពយានយន្ត</t>
        </is>
      </c>
    </row>
    <row r="43">
      <c r="A43" s="246" t="n"/>
      <c r="B43" s="236" t="inlineStr">
        <is>
          <t>Thời gian khởi hành</t>
        </is>
      </c>
      <c r="C43" s="246" t="n"/>
      <c r="D43" s="237" t="inlineStr">
        <is>
          <t>ពេលចេញដំណើរ</t>
        </is>
      </c>
      <c r="E43" s="246" t="n"/>
      <c r="F43" t="inlineStr">
        <is>
          <t>ពេលចេញដំណើរ</t>
        </is>
      </c>
    </row>
    <row r="44">
      <c r="A44" s="246" t="n"/>
      <c r="B44" s="236" t="inlineStr">
        <is>
          <t>Thời gian kết thúc</t>
        </is>
      </c>
      <c r="C44" s="246" t="n"/>
      <c r="D44" s="237" t="inlineStr">
        <is>
          <t>ពេលបញ្ចប់</t>
        </is>
      </c>
      <c r="E44" s="246" t="n"/>
      <c r="F44" t="inlineStr">
        <is>
          <t>ពេលបញ្ចប់</t>
        </is>
      </c>
    </row>
    <row r="45">
      <c r="A45" s="246" t="n"/>
      <c r="B45" s="236" t="inlineStr">
        <is>
          <t>Đơn vị vận chuyển</t>
        </is>
      </c>
      <c r="C45" s="246" t="n"/>
      <c r="D45" s="237" t="inlineStr">
        <is>
          <t>អង្គភាពដឹកជញ្ជូន</t>
        </is>
      </c>
      <c r="E45" s="246" t="n"/>
      <c r="F45" t="inlineStr">
        <is>
          <t>អង្គភាពដឹកជញ្ជូន</t>
        </is>
      </c>
    </row>
    <row r="46">
      <c r="A46" s="246" t="n"/>
      <c r="B46" s="236" t="inlineStr">
        <is>
          <t>Xếp hạng</t>
        </is>
      </c>
      <c r="C46" s="246" t="n"/>
      <c r="D46" s="237" t="inlineStr">
        <is>
          <t>ចំណាត់ថ្នាក់</t>
        </is>
      </c>
      <c r="E46" s="246" t="n"/>
      <c r="F46" t="inlineStr">
        <is>
          <t>ចំណាត់ថ្នាក់</t>
        </is>
      </c>
    </row>
    <row r="47">
      <c r="A47" s="246" t="n"/>
      <c r="B47" s="236" t="inlineStr">
        <is>
          <t>Hiệu quả xe</t>
        </is>
      </c>
      <c r="C47" s="246" t="n"/>
      <c r="D47" s="246" t="inlineStr">
        <is>
          <t>ប្រសិទ្ធភាព យានយន្ត</t>
        </is>
      </c>
      <c r="E47" s="246" t="n"/>
      <c r="F47" t="inlineStr">
        <is>
          <t>ប្រសិទ្ធភាព យានយន្ត</t>
        </is>
      </c>
    </row>
    <row r="48">
      <c r="A48" s="246" t="n"/>
      <c r="B48" s="236" t="inlineStr">
        <is>
          <t>Tần suất</t>
        </is>
      </c>
      <c r="C48" s="246" t="n"/>
      <c r="D48" s="237" t="inlineStr">
        <is>
          <t>ប្រេកង់</t>
        </is>
      </c>
      <c r="E48" s="246" t="n"/>
      <c r="F48" t="inlineStr">
        <is>
          <t>ប្រេកង់</t>
        </is>
      </c>
    </row>
    <row r="49">
      <c r="A49" s="246" t="n"/>
      <c r="B49" s="236" t="inlineStr">
        <is>
          <t>Mã hành trình</t>
        </is>
      </c>
      <c r="C49" s="246" t="n"/>
      <c r="D49" s="237" t="inlineStr">
        <is>
          <t>លេខកូដធ្វើដំណើរ</t>
        </is>
      </c>
      <c r="E49" s="246" t="n"/>
      <c r="F49" t="inlineStr">
        <is>
          <t>លេខកូដធ្វើដំណើរ</t>
        </is>
      </c>
    </row>
    <row r="50">
      <c r="A50" s="246" t="n"/>
      <c r="B50" s="236" t="inlineStr">
        <is>
          <t>Biển số xe</t>
        </is>
      </c>
      <c r="C50" s="246" t="n"/>
      <c r="D50" s="237" t="inlineStr">
        <is>
          <t>ស្លាកលេខរថយន្ត</t>
        </is>
      </c>
      <c r="E50" s="246" t="n"/>
      <c r="F50" t="inlineStr">
        <is>
          <t>ស្លាកលេខរថយន្ត</t>
        </is>
      </c>
    </row>
    <row r="51">
      <c r="A51" s="246" t="n"/>
      <c r="B51" s="236" t="inlineStr">
        <is>
          <t>Loại phương tiện</t>
        </is>
      </c>
      <c r="C51" s="246" t="n"/>
      <c r="D51" s="237" t="inlineStr">
        <is>
          <t>ប្រភេទយានយន្ត</t>
        </is>
      </c>
      <c r="E51" s="246" t="n"/>
      <c r="F51" t="inlineStr">
        <is>
          <t>ប្រភេទយានយន្ត</t>
        </is>
      </c>
    </row>
    <row r="52">
      <c r="A52" s="246" t="n"/>
      <c r="B52" s="236" t="inlineStr">
        <is>
          <t>Đối tác</t>
        </is>
      </c>
      <c r="C52" s="246" t="n"/>
      <c r="D52" s="237" t="inlineStr">
        <is>
          <t>ដៃគូ</t>
        </is>
      </c>
      <c r="E52" s="246" t="n"/>
      <c r="F52" t="inlineStr">
        <is>
          <t>ដៃគូ</t>
        </is>
      </c>
    </row>
    <row r="53">
      <c r="A53" s="246" t="n"/>
      <c r="B53" s="236" t="inlineStr">
        <is>
          <t>Khối lượng hàng hóa (kg)</t>
        </is>
      </c>
      <c r="C53" s="246" t="n"/>
      <c r="D53" s="237" t="inlineStr">
        <is>
          <t>ទម្ងន់ទំនិញ (kg)</t>
        </is>
      </c>
      <c r="E53" s="246" t="n"/>
      <c r="F53" t="inlineStr">
        <is>
          <t>ទម្ងន់ទំនិញ (kg)</t>
        </is>
      </c>
    </row>
    <row r="54">
      <c r="A54" s="246" t="n"/>
      <c r="B54" s="236" t="inlineStr">
        <is>
          <t>TG khởi hành</t>
        </is>
      </c>
      <c r="C54" s="246" t="n"/>
      <c r="D54" s="237" t="inlineStr">
        <is>
          <t>ពេលចេញដំណើរ</t>
        </is>
      </c>
      <c r="E54" s="246" t="n"/>
      <c r="F54" t="inlineStr">
        <is>
          <t>ពេលចេញដំណើរ</t>
        </is>
      </c>
    </row>
    <row r="55">
      <c r="A55" s="246" t="n"/>
      <c r="B55" s="236" t="inlineStr">
        <is>
          <t>TG kết thúc</t>
        </is>
      </c>
      <c r="C55" s="246" t="n"/>
      <c r="D55" s="237" t="inlineStr">
        <is>
          <t>ពេលបញ្ចប់</t>
        </is>
      </c>
      <c r="E55" s="246" t="n"/>
      <c r="F55" t="inlineStr">
        <is>
          <t>ពេលបញ្ចប់</t>
        </is>
      </c>
    </row>
    <row r="56">
      <c r="A56" s="246" t="n"/>
      <c r="B56" s="236" t="inlineStr">
        <is>
          <t>Km hành trình</t>
        </is>
      </c>
      <c r="C56" s="246" t="n"/>
      <c r="D56" s="237" t="inlineStr">
        <is>
          <t>គីឡូម៉ែត្រធ្វើដំណើរ</t>
        </is>
      </c>
      <c r="E56" s="246" t="n"/>
      <c r="F56" t="inlineStr">
        <is>
          <t>គីឡូម៉ែត្រធ្វើដំណើរ</t>
        </is>
      </c>
    </row>
    <row r="57">
      <c r="A57" s="246" t="n"/>
      <c r="B57" s="236" t="inlineStr">
        <is>
          <t>Tổng sản lượng tải</t>
        </is>
      </c>
      <c r="C57" s="246" t="n"/>
      <c r="D57" s="237" t="inlineStr">
        <is>
          <t>បរិមាណផ្ទុកសរុប</t>
        </is>
      </c>
      <c r="E57" s="246" t="n"/>
      <c r="F57" t="inlineStr">
        <is>
          <t>បរិមាណផ្ទុកសរុប</t>
        </is>
      </c>
    </row>
    <row r="58">
      <c r="A58" s="246" t="n"/>
      <c r="B58" s="236" t="inlineStr">
        <is>
          <t>Tổng sản lượng kiện</t>
        </is>
      </c>
      <c r="C58" s="246" t="n"/>
      <c r="D58" s="237" t="inlineStr">
        <is>
          <t>ចំនួនកញ្ចប់សរុប</t>
        </is>
      </c>
      <c r="E58" s="246" t="n"/>
      <c r="F58" t="inlineStr">
        <is>
          <t>ចំនួនកញ្ចប់សរុប</t>
        </is>
      </c>
    </row>
    <row r="59">
      <c r="A59" s="246" t="n"/>
      <c r="B59" s="236" t="inlineStr">
        <is>
          <t>Tổng trọng lượng tải</t>
        </is>
      </c>
      <c r="C59" s="246" t="n"/>
      <c r="D59" s="237" t="inlineStr">
        <is>
          <t>ទម្ងន់ផ្ទុកសរុប</t>
        </is>
      </c>
      <c r="E59" s="246" t="n"/>
      <c r="F59" t="inlineStr">
        <is>
          <t>ទម្ងន់ផ្ទុកសរុប</t>
        </is>
      </c>
    </row>
    <row r="60">
      <c r="A60" s="246" t="n"/>
      <c r="B60" s="236" t="inlineStr">
        <is>
          <t>Tổng trọng lượng kiện</t>
        </is>
      </c>
      <c r="C60" s="246" t="n"/>
      <c r="D60" s="237" t="inlineStr">
        <is>
          <t>ទម្ងន់កញ្ចប់សរុប</t>
        </is>
      </c>
      <c r="E60" s="246" t="n"/>
      <c r="F60" t="inlineStr">
        <is>
          <t>ទម្ងន់កញ្ចប់សរុប</t>
        </is>
      </c>
    </row>
    <row r="61">
      <c r="A61" s="246" t="n"/>
      <c r="B61" s="236" t="inlineStr">
        <is>
          <t>Truy xuất dữ liệu</t>
        </is>
      </c>
      <c r="C61" s="246" t="n"/>
      <c r="D61" s="237" t="inlineStr">
        <is>
          <t>ទាញយកទិន្នន័យ</t>
        </is>
      </c>
      <c r="E61" s="246" t="n"/>
      <c r="F61" t="inlineStr">
        <is>
          <t>ទាញយកទិន្នន័យ</t>
        </is>
      </c>
    </row>
    <row r="62">
      <c r="A62" s="246" t="n"/>
      <c r="B62" s="236" t="inlineStr">
        <is>
          <t>Tên báo cáo</t>
        </is>
      </c>
      <c r="C62" s="246" t="n"/>
      <c r="D62" s="237" t="inlineStr">
        <is>
          <t>ឈ្មោះរបាយការណ៍</t>
        </is>
      </c>
      <c r="E62" s="246" t="n"/>
      <c r="F62" t="inlineStr">
        <is>
          <t>ឈ្មោះរបាយការណ៍</t>
        </is>
      </c>
    </row>
    <row r="63">
      <c r="A63" s="246" t="n"/>
      <c r="B63" s="236" t="inlineStr">
        <is>
          <t>Thao tác</t>
        </is>
      </c>
      <c r="C63" s="246" t="n"/>
      <c r="D63" s="237" t="inlineStr">
        <is>
          <t>ប្រតិបត្តិការ</t>
        </is>
      </c>
      <c r="E63" s="246" t="n"/>
      <c r="F63" t="inlineStr">
        <is>
          <t>ប្រតិបត្តិការ</t>
        </is>
      </c>
    </row>
    <row r="64">
      <c r="A64" s="246" t="n"/>
      <c r="B64" s="236" t="inlineStr">
        <is>
          <t>Chọn ngày xuất Excel</t>
        </is>
      </c>
      <c r="C64" s="246" t="n"/>
      <c r="D64" s="237" t="inlineStr">
        <is>
          <t>ជ្រើសថ្ងៃនាំចេញ Excel</t>
        </is>
      </c>
      <c r="E64" s="246" t="n"/>
      <c r="F64" t="inlineStr">
        <is>
          <t>ជ្រើសថ្ងៃនាំចេញ Excel</t>
        </is>
      </c>
    </row>
    <row r="65">
      <c r="A65" s="246" t="n"/>
      <c r="B65" s="236" t="inlineStr">
        <is>
          <t>Chọn ngày</t>
        </is>
      </c>
      <c r="C65" s="246" t="n"/>
      <c r="D65" s="237" t="inlineStr">
        <is>
          <t>ជ្រើសថ្ងៃ</t>
        </is>
      </c>
      <c r="E65" s="246" t="n"/>
      <c r="F65" t="inlineStr">
        <is>
          <t>ជ្រើសថ្ងៃ</t>
        </is>
      </c>
    </row>
    <row r="66">
      <c r="A66" s="246" t="n"/>
      <c r="B66" s="236" t="inlineStr">
        <is>
          <t>Xuất csv</t>
        </is>
      </c>
      <c r="C66" s="246" t="n"/>
      <c r="D66" s="237" t="inlineStr">
        <is>
          <t>នាំចេញ CSV</t>
        </is>
      </c>
      <c r="E66" s="246" t="n"/>
      <c r="F66" t="inlineStr">
        <is>
          <t>នាំចេញ CSV</t>
        </is>
      </c>
    </row>
    <row r="67">
      <c r="A67" s="246" t="n"/>
      <c r="B67" s="236" t="inlineStr">
        <is>
          <t>Số thứ tự</t>
        </is>
      </c>
      <c r="C67" s="246" t="n"/>
      <c r="D67" s="237" t="inlineStr">
        <is>
          <t>លេខរៀង</t>
        </is>
      </c>
      <c r="E67" s="246" t="n"/>
      <c r="F67" t="inlineStr">
        <is>
          <t>លេខរៀង</t>
        </is>
      </c>
    </row>
    <row r="68">
      <c r="A68" s="246" t="n"/>
      <c r="B68" s="236" t="inlineStr">
        <is>
          <t>Mã vận đơn</t>
        </is>
      </c>
      <c r="C68" s="246" t="n"/>
      <c r="D68" s="237" t="inlineStr">
        <is>
          <t>លេខកូដបុងបញ្ញើ</t>
        </is>
      </c>
      <c r="E68" s="246" t="n"/>
      <c r="F68" t="inlineStr">
        <is>
          <t>លេខកូដបុងបញ្ញើ</t>
        </is>
      </c>
    </row>
    <row r="69">
      <c r="A69" s="246" t="n"/>
      <c r="B69" s="236" t="inlineStr">
        <is>
          <t>Mã tải/kiện</t>
        </is>
      </c>
      <c r="C69" s="246" t="n"/>
      <c r="D69" s="237" t="inlineStr">
        <is>
          <t>លេខកូដទំនិញ/កញ្ចប់</t>
        </is>
      </c>
      <c r="E69" s="246" t="n"/>
      <c r="F69" t="inlineStr">
        <is>
          <t>លេខកូដទំនិញ/កញ្ចប់</t>
        </is>
      </c>
    </row>
    <row r="70">
      <c r="A70" s="246" t="n"/>
      <c r="B70" s="236" t="inlineStr">
        <is>
          <t>Hàng hoàn</t>
        </is>
      </c>
      <c r="C70" s="246" t="n"/>
      <c r="D70" s="237" t="inlineStr">
        <is>
          <t>ទំនិញត្រឡប់</t>
        </is>
      </c>
      <c r="E70" s="246" t="n"/>
      <c r="F70" t="inlineStr">
        <is>
          <t>ទំនិញត្រឡប់</t>
        </is>
      </c>
    </row>
    <row r="71">
      <c r="A71" s="246" t="n"/>
      <c r="B71" s="236" t="inlineStr">
        <is>
          <t>Loại hàng hóa</t>
        </is>
      </c>
      <c r="C71" s="246" t="n"/>
      <c r="D71" s="237" t="inlineStr">
        <is>
          <t>ប្រភេទមុខទំនិញ</t>
        </is>
      </c>
      <c r="E71" s="246" t="n"/>
      <c r="F71" t="inlineStr">
        <is>
          <t>ប្រភេទមុខទំនិញ</t>
        </is>
      </c>
    </row>
    <row r="72">
      <c r="A72" s="246" t="n"/>
      <c r="B72" s="236" t="inlineStr">
        <is>
          <t>Người nhận bàn giao đến</t>
        </is>
      </c>
      <c r="C72" s="246" t="n"/>
      <c r="D72" s="237" t="inlineStr">
        <is>
          <t>អ្នកទទួលការប្រគល់</t>
        </is>
      </c>
      <c r="E72" s="246" t="n"/>
      <c r="F72" t="inlineStr">
        <is>
          <t>អ្នកទទួលការប្រគល់</t>
        </is>
      </c>
    </row>
    <row r="73">
      <c r="A73" s="246" t="n"/>
      <c r="B73" s="236" t="inlineStr">
        <is>
          <t>Người nhận bàn giao đi</t>
        </is>
      </c>
      <c r="C73" s="246" t="n"/>
      <c r="D73" s="237" t="inlineStr">
        <is>
          <t>អ្នកប្រគល់ចេញ</t>
        </is>
      </c>
      <c r="E73" s="246" t="n"/>
      <c r="F73" t="inlineStr">
        <is>
          <t>អ្នកប្រគល់ចេញ</t>
        </is>
      </c>
    </row>
    <row r="74">
      <c r="A74" s="246" t="n"/>
      <c r="B74" s="236" t="inlineStr">
        <is>
          <t>Đơn vị khai thác</t>
        </is>
      </c>
      <c r="C74" s="246" t="n"/>
      <c r="D74" s="237" t="inlineStr">
        <is>
          <t>អង្គភាពប្រតិបត្តិការ</t>
        </is>
      </c>
      <c r="E74" s="246" t="n"/>
      <c r="F74" t="inlineStr">
        <is>
          <t>អង្គភាពប្រតិបត្តិការ</t>
        </is>
      </c>
    </row>
    <row r="75">
      <c r="A75" s="246" t="n"/>
      <c r="B75" s="236" t="inlineStr">
        <is>
          <t>Đơn vị nhận bàn giao đi</t>
        </is>
      </c>
      <c r="C75" s="246" t="n"/>
      <c r="D75" s="237" t="inlineStr">
        <is>
          <t>អង្គភាពទទួលប្រគល់ចេញ</t>
        </is>
      </c>
      <c r="E75" s="246" t="n"/>
      <c r="F75" t="inlineStr">
        <is>
          <t>អង្គភាពទទួលប្រគល់ចេញ</t>
        </is>
      </c>
    </row>
    <row r="76">
      <c r="A76" s="246" t="n"/>
      <c r="B76" s="236" t="inlineStr">
        <is>
          <t>Bưu cục gốc</t>
        </is>
      </c>
      <c r="C76" s="246" t="n"/>
      <c r="D76" s="237" t="inlineStr">
        <is>
          <t>ការិយាល័យប្រៃសណីយ៍ដើម</t>
        </is>
      </c>
      <c r="E76" s="246" t="n"/>
      <c r="F76" t="inlineStr">
        <is>
          <t>ការិយាល័យប្រៃសណីយ៍ដើម</t>
        </is>
      </c>
    </row>
    <row r="77">
      <c r="A77" s="246" t="n"/>
      <c r="B77" s="236" t="inlineStr">
        <is>
          <t>Chi nhánh gốc</t>
        </is>
      </c>
      <c r="C77" s="246" t="n"/>
      <c r="D77" s="237" t="inlineStr">
        <is>
          <t>សាខាដើម</t>
        </is>
      </c>
      <c r="E77" s="246" t="n"/>
      <c r="F77" t="inlineStr">
        <is>
          <t>សាខាដើម</t>
        </is>
      </c>
    </row>
    <row r="78">
      <c r="A78" s="246" t="n"/>
      <c r="B78" s="236" t="inlineStr">
        <is>
          <t>Bưu cục phát</t>
        </is>
      </c>
      <c r="C78" s="246" t="n"/>
      <c r="D78" s="237" t="inlineStr">
        <is>
          <t>ការិយាល័យប្រៃសណីយ៍ដឹកចែក</t>
        </is>
      </c>
      <c r="E78" s="246" t="n"/>
      <c r="F78" t="inlineStr">
        <is>
          <t>ការិយាល័យប្រៃសណីយ៍ដឹកចែក</t>
        </is>
      </c>
    </row>
    <row r="79">
      <c r="A79" s="246" t="n"/>
      <c r="B79" s="236" t="inlineStr">
        <is>
          <t>Chi nhánh phát</t>
        </is>
      </c>
      <c r="C79" s="246" t="n"/>
      <c r="D79" s="237" t="inlineStr">
        <is>
          <t>សាខាចែកចាយ</t>
        </is>
      </c>
      <c r="E79" s="246" t="n"/>
      <c r="F79" t="inlineStr">
        <is>
          <t>សាខាចែកចាយ</t>
        </is>
      </c>
    </row>
    <row r="80">
      <c r="A80" s="246" t="n"/>
      <c r="B80" s="236" t="inlineStr">
        <is>
          <t>Mã dịch vụ</t>
        </is>
      </c>
      <c r="C80" s="246" t="n"/>
      <c r="D80" s="237" t="inlineStr">
        <is>
          <t>លេខកូដសេវាកម្ម</t>
        </is>
      </c>
      <c r="E80" s="246" t="n"/>
      <c r="F80" t="inlineStr">
        <is>
          <t>លេខកូដសេវាកម្ម</t>
        </is>
      </c>
    </row>
    <row r="81">
      <c r="A81" s="246" t="n"/>
      <c r="B81" s="236" t="inlineStr">
        <is>
          <t>Khối lượng</t>
        </is>
      </c>
      <c r="C81" s="246" t="n"/>
      <c r="D81" s="237" t="inlineStr">
        <is>
          <t>ទម្ងន់</t>
        </is>
      </c>
      <c r="E81" s="246" t="n"/>
      <c r="F81" t="inlineStr">
        <is>
          <t>ទម្ងន់</t>
        </is>
      </c>
    </row>
    <row r="82">
      <c r="A82" s="246" t="n"/>
      <c r="B82" s="236" t="inlineStr">
        <is>
          <t>Đích đến tải</t>
        </is>
      </c>
      <c r="C82" s="246" t="n"/>
      <c r="D82" s="237" t="inlineStr">
        <is>
          <t>គោលដៅផ្ទុក</t>
        </is>
      </c>
      <c r="E82" s="246" t="n"/>
      <c r="F82" t="inlineStr">
        <is>
          <t>គោលដៅផ្ទុក</t>
        </is>
      </c>
    </row>
    <row r="83">
      <c r="A83" s="246" t="n"/>
      <c r="B83" s="236" t="inlineStr">
        <is>
          <t>Thời gian xuất TTKT</t>
        </is>
      </c>
      <c r="C83" s="246" t="n"/>
      <c r="D83" s="237" t="inlineStr">
        <is>
          <t>ពេលវេលាចេញពីមជ្ឈមណ្ឌលប្រតិបត្តិការ</t>
        </is>
      </c>
      <c r="E83" s="246" t="n"/>
      <c r="F83" t="inlineStr">
        <is>
          <t>ពេលវេលាចេញពីមជ្ឈមណ្ឌលប្រតិបត្តិការ</t>
        </is>
      </c>
    </row>
    <row r="84">
      <c r="A84" s="246" t="n"/>
      <c r="B84" s="236" t="inlineStr">
        <is>
          <t>Thời gian nhập TTKT</t>
        </is>
      </c>
      <c r="C84" s="246" t="n"/>
      <c r="D84" s="237" t="inlineStr">
        <is>
          <t>ពេលវេលាចូលមជ្ឈមណ្ឌលប្រតិបត្តិការ</t>
        </is>
      </c>
      <c r="E84" s="246" t="n"/>
      <c r="F84" t="inlineStr">
        <is>
          <t>ពេលវេលាចូលមជ្ឈមណ្ឌលប្រតិបត្តិការ</t>
        </is>
      </c>
    </row>
    <row r="85">
      <c r="A85" s="246" t="n"/>
      <c r="B85" s="236" t="inlineStr">
        <is>
          <t>Thời gian khai thác</t>
        </is>
      </c>
      <c r="C85" s="246" t="n"/>
      <c r="D85" s="237" t="inlineStr">
        <is>
          <t>ពេលវេលាប្រតិបត្តិការ</t>
        </is>
      </c>
      <c r="E85" s="246" t="n"/>
      <c r="F85" t="inlineStr">
        <is>
          <t>ពេលវេលាប្រតិបត្តិការ</t>
        </is>
      </c>
    </row>
    <row r="86">
      <c r="A86" s="246" t="n"/>
      <c r="B86" s="236" t="inlineStr">
        <is>
          <t>Ngày xuất báo cáo</t>
        </is>
      </c>
      <c r="C86" s="246" t="n"/>
      <c r="D86" s="237" t="inlineStr">
        <is>
          <t>ថ្ងៃចេញរបាយការណ៍</t>
        </is>
      </c>
      <c r="E86" s="246" t="n"/>
      <c r="F86" t="inlineStr">
        <is>
          <t>ថ្ងៃចេញរបាយការណ៍</t>
        </is>
      </c>
    </row>
    <row r="87">
      <c r="A87" s="246" t="n"/>
      <c r="B87" s="236" t="inlineStr">
        <is>
          <t>Ngày tạo</t>
        </is>
      </c>
      <c r="C87" s="246" t="n"/>
      <c r="D87" s="237" t="inlineStr">
        <is>
          <t>កាលបរិច្ឆេទបង្កើត</t>
        </is>
      </c>
      <c r="E87" s="246" t="n"/>
      <c r="F87" t="inlineStr">
        <is>
          <t>កាលបរិច្ឆេទបង្កើត</t>
        </is>
      </c>
    </row>
    <row r="88">
      <c r="A88" s="246" t="n"/>
      <c r="B88" s="236" t="inlineStr">
        <is>
          <t>Người gửi</t>
        </is>
      </c>
      <c r="C88" s="246" t="n"/>
      <c r="D88" s="237" t="inlineStr">
        <is>
          <t>អ្នកផ្ញើ</t>
        </is>
      </c>
      <c r="E88" s="246" t="n"/>
      <c r="F88" t="inlineStr">
        <is>
          <t>អ្នកផ្ញើ</t>
        </is>
      </c>
    </row>
    <row r="89">
      <c r="A89" s="246" t="n"/>
      <c r="B89" s="236" t="inlineStr">
        <is>
          <t>Người nhận</t>
        </is>
      </c>
      <c r="C89" s="246" t="n"/>
      <c r="D89" s="237" t="inlineStr">
        <is>
          <t>អ្នកទទួល</t>
        </is>
      </c>
      <c r="E89" s="246" t="n"/>
      <c r="F89" t="inlineStr">
        <is>
          <t>អ្នកទទួល</t>
        </is>
      </c>
    </row>
    <row r="90">
      <c r="A90" s="246" t="n"/>
      <c r="B90" s="236" t="inlineStr">
        <is>
          <t>Dịch vụ</t>
        </is>
      </c>
      <c r="C90" s="246" t="n"/>
      <c r="D90" s="237" t="inlineStr">
        <is>
          <t>សេវាកម្ម</t>
        </is>
      </c>
      <c r="E90" s="246" t="n"/>
      <c r="F90" t="inlineStr">
        <is>
          <t>សេវាកម្ម</t>
        </is>
      </c>
    </row>
    <row r="91">
      <c r="A91" s="246" t="n"/>
      <c r="B91" s="236" t="inlineStr">
        <is>
          <t>Loại HH</t>
        </is>
      </c>
      <c r="C91" s="246" t="n"/>
      <c r="D91" s="237" t="inlineStr">
        <is>
          <t>ប្រភេទទំនិញ</t>
        </is>
      </c>
      <c r="E91" s="246" t="n"/>
      <c r="F91" t="inlineStr">
        <is>
          <t>ប្រភេទទំនិញ</t>
        </is>
      </c>
    </row>
    <row r="92">
      <c r="A92" s="246" t="n"/>
      <c r="B92" s="236" t="inlineStr">
        <is>
          <t>Trọng lượng (g)</t>
        </is>
      </c>
      <c r="C92" s="246" t="n"/>
      <c r="D92" s="237" t="inlineStr">
        <is>
          <t>ទម្ងន់ (g)</t>
        </is>
      </c>
      <c r="E92" s="246" t="n"/>
      <c r="F92" t="inlineStr">
        <is>
          <t>ទម្ងន់ (g)</t>
        </is>
      </c>
    </row>
    <row r="93">
      <c r="A93" s="246" t="n"/>
      <c r="B93" s="236" t="inlineStr">
        <is>
          <t>Số kiện</t>
        </is>
      </c>
      <c r="C93" s="246" t="n"/>
      <c r="D93" s="237" t="inlineStr">
        <is>
          <t>ចំនួនកញ្ចប់</t>
        </is>
      </c>
      <c r="E93" s="246" t="n"/>
      <c r="F93" t="inlineStr">
        <is>
          <t>ចំនួនកញ្ចប់</t>
        </is>
      </c>
    </row>
    <row r="94">
      <c r="A94" s="246" t="n"/>
      <c r="B94" s="236" t="inlineStr">
        <is>
          <t>Tỉnh nhận</t>
        </is>
      </c>
      <c r="C94" s="246" t="n"/>
      <c r="D94" s="237" t="inlineStr">
        <is>
          <t>ខេត្តទទួល</t>
        </is>
      </c>
      <c r="E94" s="246" t="n"/>
      <c r="F94" t="inlineStr">
        <is>
          <t>ខេត្តទទួល</t>
        </is>
      </c>
    </row>
    <row r="95">
      <c r="A95" s="246" t="n"/>
      <c r="B95" s="236" t="inlineStr">
        <is>
          <t>Bưu cục nhận</t>
        </is>
      </c>
      <c r="C95" s="246" t="n"/>
      <c r="D95" s="237" t="inlineStr">
        <is>
          <t>ការិយាល័យទទួល</t>
        </is>
      </c>
      <c r="E95" s="246" t="n"/>
      <c r="F95" t="inlineStr">
        <is>
          <t>ការិយាល័យទទួល</t>
        </is>
      </c>
    </row>
    <row r="96">
      <c r="A96" s="246" t="n"/>
      <c r="B96" s="236" t="inlineStr">
        <is>
          <t>Tỉnh phát</t>
        </is>
      </c>
      <c r="C96" s="246" t="n"/>
      <c r="D96" s="237" t="inlineStr">
        <is>
          <t>ខេត្តចែកចាយ</t>
        </is>
      </c>
      <c r="E96" s="246" t="n"/>
      <c r="F96" t="inlineStr">
        <is>
          <t>ខេត្តចែកចាយ</t>
        </is>
      </c>
    </row>
    <row r="97">
      <c r="A97" s="246" t="n"/>
      <c r="B97" s="236" t="inlineStr">
        <is>
          <t>Tỉnh hiện tại</t>
        </is>
      </c>
      <c r="C97" s="246" t="n"/>
      <c r="D97" s="237" t="inlineStr">
        <is>
          <t>ខេត្តបច្ចុប្បន្ន</t>
        </is>
      </c>
      <c r="E97" s="246" t="n"/>
      <c r="F97" t="inlineStr">
        <is>
          <t>ខេត្តបច្ចុប្បន្ន</t>
        </is>
      </c>
    </row>
    <row r="98">
      <c r="A98" s="246" t="n"/>
      <c r="B98" s="236" t="inlineStr">
        <is>
          <t>Bưu cục hiện tại</t>
        </is>
      </c>
      <c r="C98" s="246" t="n"/>
      <c r="D98" s="237" t="inlineStr">
        <is>
          <t>ការិយាល័យបច្ចុប្បន្ន</t>
        </is>
      </c>
      <c r="E98" s="246" t="n"/>
      <c r="F98" t="inlineStr">
        <is>
          <t>ការិយាល័យបច្ចុប្បន្ន</t>
        </is>
      </c>
    </row>
    <row r="99">
      <c r="A99" s="246" t="n"/>
      <c r="B99" s="236" t="inlineStr">
        <is>
          <t>Cước chính (USD)</t>
        </is>
      </c>
      <c r="C99" s="246" t="n"/>
      <c r="D99" s="237" t="inlineStr">
        <is>
          <t>ថ្លៃដឹកជញ្ជូនមូលដ្ឋាន (USD)</t>
        </is>
      </c>
      <c r="E99" s="246" t="n"/>
      <c r="F99" t="inlineStr">
        <is>
          <t>ថ្លៃដឹកជញ្ជូនមូលដ្ឋាន (USD)</t>
        </is>
      </c>
    </row>
    <row r="100">
      <c r="A100" s="246" t="n"/>
      <c r="B100" s="236" t="inlineStr">
        <is>
          <t>Cước gia tăng (USD)</t>
        </is>
      </c>
      <c r="C100" s="246" t="n"/>
      <c r="D100" s="237" t="inlineStr">
        <is>
          <t>ថ្លៃបន្ថែម (USD)</t>
        </is>
      </c>
      <c r="E100" s="246" t="n"/>
      <c r="F100" t="inlineStr">
        <is>
          <t>ថ្លៃបន្ថែម (USD)</t>
        </is>
      </c>
    </row>
    <row r="101">
      <c r="A101" s="246" t="n"/>
      <c r="B101" s="236" t="inlineStr">
        <is>
          <t>Giảm giá (USD)</t>
        </is>
      </c>
      <c r="C101" s="246" t="n"/>
      <c r="D101" s="237" t="inlineStr">
        <is>
          <t>បញ្ចុះតម្លៃ (USD)</t>
        </is>
      </c>
      <c r="E101" s="246" t="n"/>
      <c r="F101" t="inlineStr">
        <is>
          <t>បញ្ចុះតម្លៃ (USD)</t>
        </is>
      </c>
    </row>
    <row r="102">
      <c r="A102" s="246" t="n"/>
      <c r="B102" s="236" t="inlineStr">
        <is>
          <t>Tổng cước (USD)</t>
        </is>
      </c>
      <c r="C102" s="246" t="n"/>
      <c r="D102" s="237" t="inlineStr">
        <is>
          <t>ថ្លៃសរុប (USD)</t>
        </is>
      </c>
      <c r="E102" s="246" t="n"/>
      <c r="F102" t="inlineStr">
        <is>
          <t>ថ្លៃសរុប (USD)</t>
        </is>
      </c>
    </row>
    <row r="103">
      <c r="A103" s="246" t="n"/>
      <c r="B103" s="236" t="inlineStr">
        <is>
          <t>Tiền COD (USD)</t>
        </is>
      </c>
      <c r="C103" s="246" t="n"/>
      <c r="D103" s="237" t="inlineStr">
        <is>
          <t>ប្រាក់ COD (USD)</t>
        </is>
      </c>
      <c r="E103" s="246" t="n"/>
      <c r="F103" t="inlineStr">
        <is>
          <t>ប្រាក់ COD (USD)</t>
        </is>
      </c>
    </row>
    <row r="104">
      <c r="A104" s="246" t="n"/>
      <c r="B104" s="236" t="inlineStr">
        <is>
          <t>Hình thức trả cước</t>
        </is>
      </c>
      <c r="C104" s="246" t="n"/>
      <c r="D104" s="237" t="inlineStr">
        <is>
          <t>វិធីបង់ថ្លៃ</t>
        </is>
      </c>
      <c r="E104" s="246" t="n"/>
      <c r="F104" t="inlineStr">
        <is>
          <t>វិធីបង់ថ្លៃ</t>
        </is>
      </c>
    </row>
    <row r="105">
      <c r="A105" s="246" t="n"/>
      <c r="B105" s="236" t="inlineStr">
        <is>
          <t>Trạng thái hiện tại</t>
        </is>
      </c>
      <c r="C105" s="246" t="n"/>
      <c r="D105" s="237" t="inlineStr">
        <is>
          <t>ស្ថានភាពបច្ចុប្បន្ន</t>
        </is>
      </c>
      <c r="E105" s="246" t="n"/>
      <c r="F105" t="inlineStr">
        <is>
          <t>ស្ថានភាពបច្ចុប្បន្ន</t>
        </is>
      </c>
    </row>
    <row r="106">
      <c r="A106" s="246" t="n"/>
      <c r="B106" s="236" t="inlineStr">
        <is>
          <t>Người tác động</t>
        </is>
      </c>
      <c r="C106" s="246" t="n"/>
      <c r="D106" s="237" t="inlineStr">
        <is>
          <t>អ្នកធ្វើប្រតិបត្តិការ</t>
        </is>
      </c>
      <c r="E106" s="246" t="n"/>
      <c r="F106" t="inlineStr">
        <is>
          <t>អ្នកធ្វើប្រតិបត្តិការ</t>
        </is>
      </c>
    </row>
    <row r="107">
      <c r="A107" s="246" t="n"/>
      <c r="B107" s="236" t="inlineStr">
        <is>
          <t>Thời gian nhập doanh thu</t>
        </is>
      </c>
      <c r="C107" s="246" t="n"/>
      <c r="D107" s="237" t="inlineStr">
        <is>
          <t>ពេលវេលាបញ្ចូលចំណូល</t>
        </is>
      </c>
      <c r="E107" s="246" t="n"/>
      <c r="F107" t="inlineStr">
        <is>
          <t>ពេលវេលាបញ្ចូលចំណូល</t>
        </is>
      </c>
    </row>
    <row r="108">
      <c r="A108" s="246" t="n"/>
      <c r="B108" s="236" t="inlineStr">
        <is>
          <t>Thời gian tồn</t>
        </is>
      </c>
      <c r="C108" s="246" t="n"/>
      <c r="D108" s="237" t="inlineStr">
        <is>
          <t>រយៈពេលស្នាក់នៅ</t>
        </is>
      </c>
      <c r="E108" s="246" t="n"/>
      <c r="F108" t="inlineStr">
        <is>
          <t>រយៈពេលស្នាក់នៅ</t>
        </is>
      </c>
    </row>
    <row r="109">
      <c r="A109" s="246" t="n"/>
      <c r="B109" s="236" t="inlineStr">
        <is>
          <t>Loại cảnh báo</t>
        </is>
      </c>
      <c r="C109" s="246" t="n"/>
      <c r="D109" s="237" t="inlineStr">
        <is>
          <t>ប្រភេទការជូនដំណឹង</t>
        </is>
      </c>
      <c r="E109" s="246" t="n"/>
      <c r="F109" t="inlineStr">
        <is>
          <t>ប្រភេទការជូនដំណឹង</t>
        </is>
      </c>
    </row>
    <row r="110">
      <c r="A110" s="246" t="n"/>
      <c r="B110" s="236" t="inlineStr">
        <is>
          <t>Ghi chú</t>
        </is>
      </c>
      <c r="C110" s="246" t="n"/>
      <c r="D110" s="237" t="inlineStr">
        <is>
          <t>ចំណាំ</t>
        </is>
      </c>
      <c r="E110" s="246" t="n"/>
      <c r="F110" t="inlineStr">
        <is>
          <t>ចំណាំ</t>
        </is>
      </c>
    </row>
    <row r="111">
      <c r="A111" s="246" t="n"/>
      <c r="B111" s="236" t="inlineStr">
        <is>
          <t>Thời gian trạng thái 306 tại cửa hàng, đại lý (lần cuối)</t>
        </is>
      </c>
      <c r="C111" s="246" t="n"/>
      <c r="D111" s="237" t="inlineStr">
        <is>
          <t>ពេលវេលាស្ថានភាព 306 នៅហាង/ភ្នាក់ងារ (ចុងក្រោយ)</t>
        </is>
      </c>
      <c r="E111" s="246" t="n"/>
      <c r="F111" t="inlineStr">
        <is>
          <t>ពេលវេលាស្ថានភាព 306 នៅហាង/ភ្នាក់ងារ (ចុងក្រោយ)</t>
        </is>
      </c>
    </row>
    <row r="112">
      <c r="A112" s="246" t="n"/>
      <c r="B112" s="236" t="inlineStr">
        <is>
          <t>Bưu cục tác động</t>
        </is>
      </c>
      <c r="C112" s="246" t="n"/>
      <c r="D112" s="237" t="inlineStr">
        <is>
          <t>ការិយាល័យដែលបានធ្វើប្រតិបត្តិការ</t>
        </is>
      </c>
      <c r="E112" s="246" t="n"/>
      <c r="F112" t="inlineStr">
        <is>
          <t>ការិយាល័យដែលបានធ្វើប្រតិបត្តិការ</t>
        </is>
      </c>
    </row>
    <row r="113">
      <c r="A113" s="246" t="n"/>
      <c r="B113" s="236" t="inlineStr">
        <is>
          <t>Mã khách hàng</t>
        </is>
      </c>
      <c r="C113" s="246" t="n"/>
      <c r="D113" s="237" t="inlineStr">
        <is>
          <t>លេខសម្គាល់អតិថិជន</t>
        </is>
      </c>
      <c r="E113" s="246" t="n"/>
      <c r="F113" t="inlineStr">
        <is>
          <t>លេខសម្គាល់អតិថិជន</t>
        </is>
      </c>
    </row>
    <row r="114">
      <c r="A114" s="246" t="n"/>
      <c r="B114" s="236" t="inlineStr">
        <is>
          <t>Chi nhánh nhận</t>
        </is>
      </c>
      <c r="C114" s="246" t="n"/>
      <c r="D114" s="237" t="inlineStr">
        <is>
          <t>សាខាទទួល</t>
        </is>
      </c>
      <c r="E114" s="246" t="n"/>
      <c r="F114" t="inlineStr">
        <is>
          <t>សាខាទទួល</t>
        </is>
      </c>
    </row>
    <row r="115">
      <c r="A115" s="246" t="n"/>
      <c r="B115" s="236" t="inlineStr">
        <is>
          <t>Thời gian tác động</t>
        </is>
      </c>
      <c r="C115" s="246" t="n"/>
      <c r="D115" s="237" t="inlineStr">
        <is>
          <t>ពេលវេលាប្រតិបត្តិការ</t>
        </is>
      </c>
      <c r="E115" s="246" t="n"/>
      <c r="F115" t="inlineStr">
        <is>
          <t>ពេលវេលាប្រតិបត្តិការ</t>
        </is>
      </c>
    </row>
    <row r="116">
      <c r="A116" s="246" t="n"/>
      <c r="B116" s="236" t="inlineStr">
        <is>
          <t>Tổng tiền</t>
        </is>
      </c>
      <c r="C116" s="246" t="n"/>
      <c r="D116" s="237" t="inlineStr">
        <is>
          <t>ចំនួនទឹកប្រាក់សរុប</t>
        </is>
      </c>
      <c r="E116" s="246" t="n"/>
      <c r="F116" t="inlineStr">
        <is>
          <t>ចំនួនទឹកប្រាក់សរុប</t>
        </is>
      </c>
    </row>
    <row r="117">
      <c r="A117" s="246" t="n"/>
      <c r="B117" s="236" t="inlineStr">
        <is>
          <t>COD</t>
        </is>
      </c>
      <c r="C117" s="246" t="n"/>
      <c r="D117" s="237" t="inlineStr">
        <is>
          <t>ប្រាក់ COD</t>
        </is>
      </c>
      <c r="E117" s="246" t="n"/>
      <c r="F117" t="inlineStr">
        <is>
          <t>ប្រាក់ COD</t>
        </is>
      </c>
    </row>
    <row r="118">
      <c r="A118" s="246" t="n"/>
      <c r="B118" s="236" t="inlineStr">
        <is>
          <t>Trọng lượng tính cước</t>
        </is>
      </c>
      <c r="C118" s="246" t="n"/>
      <c r="D118" s="237" t="inlineStr">
        <is>
          <t>ទម្ងន់គិតថ្លៃសេវា</t>
        </is>
      </c>
      <c r="E118" s="246" t="n"/>
      <c r="F118" t="inlineStr">
        <is>
          <t>ទម្ងន់គិតថ្លៃសេវា</t>
        </is>
      </c>
    </row>
    <row r="119">
      <c r="A119" s="246" t="n"/>
      <c r="B119" s="236" t="inlineStr">
        <is>
          <t>Trọng lượng thực tế</t>
        </is>
      </c>
      <c r="C119" s="246" t="n"/>
      <c r="D119" s="237" t="inlineStr">
        <is>
          <t>ទម្ងន់ពិតប្រាកដ</t>
        </is>
      </c>
      <c r="E119" s="246" t="n"/>
      <c r="F119" t="inlineStr">
        <is>
          <t>ទម្ងន់ពិតប្រាកដ</t>
        </is>
      </c>
    </row>
    <row r="120">
      <c r="A120" s="246" t="n"/>
      <c r="B120" s="236" t="inlineStr">
        <is>
          <t>Trọng lượng quy đổi</t>
        </is>
      </c>
      <c r="C120" s="246" t="n"/>
      <c r="D120" s="237" t="inlineStr">
        <is>
          <t>ទម្ងន់បម្លែង</t>
        </is>
      </c>
      <c r="E120" s="246" t="n"/>
      <c r="F120" t="inlineStr">
        <is>
          <t>ទម្ងន់បម្លែង</t>
        </is>
      </c>
    </row>
    <row r="121">
      <c r="A121" s="246" t="n"/>
      <c r="B121" s="236" t="inlineStr">
        <is>
          <t>Kích thước</t>
        </is>
      </c>
      <c r="C121" s="246" t="n"/>
      <c r="D121" s="237" t="inlineStr">
        <is>
          <t>ទំហំ</t>
        </is>
      </c>
      <c r="E121" s="246" t="n"/>
      <c r="F121" t="inlineStr">
        <is>
          <t>ទំហំ</t>
        </is>
      </c>
    </row>
    <row r="122">
      <c r="A122" s="246" t="n"/>
      <c r="B122" s="236" t="inlineStr">
        <is>
          <t>Dịch vụ chính</t>
        </is>
      </c>
      <c r="C122" s="246" t="n"/>
      <c r="D122" s="237" t="inlineStr">
        <is>
          <t>សេវាកម្មចម្បង</t>
        </is>
      </c>
      <c r="E122" s="246" t="n"/>
      <c r="F122" t="inlineStr">
        <is>
          <t>សេវាកម្មចម្បង</t>
        </is>
      </c>
    </row>
    <row r="123">
      <c r="A123" s="246" t="n"/>
      <c r="B123" s="236" t="inlineStr">
        <is>
          <t>Dịch vụ cộng thêm</t>
        </is>
      </c>
      <c r="C123" s="246" t="n"/>
      <c r="D123" s="237" t="inlineStr">
        <is>
          <t>សេវាកម្មបន្ថែម</t>
        </is>
      </c>
      <c r="E123" s="246" t="n"/>
      <c r="F123" t="inlineStr">
        <is>
          <t>សេវាកម្មបន្ថែម</t>
        </is>
      </c>
    </row>
    <row r="124">
      <c r="A124" s="246" t="n"/>
      <c r="B124" s="239" t="inlineStr">
        <is>
          <t>Tên báo cáo</t>
        </is>
      </c>
      <c r="C124" s="239" t="inlineStr">
        <is>
          <t>Report Name</t>
        </is>
      </c>
      <c r="D124" s="239" t="inlineStr">
        <is>
          <t>ចំណងជើងរបាយការណ៍</t>
        </is>
      </c>
      <c r="E124" s="240" t="n"/>
      <c r="F124" t="inlineStr">
        <is>
          <t>ចំណងជើងរបាយការណ៍</t>
        </is>
      </c>
    </row>
    <row r="125">
      <c r="A125" s="246" t="n"/>
      <c r="B125" s="241" t="inlineStr">
        <is>
          <t>Báo cáo Tồn kiểm kê - Chi tiết kiểm kê</t>
        </is>
      </c>
      <c r="C125" s="239" t="inlineStr">
        <is>
          <t>Inventory Report - Audit Details</t>
        </is>
      </c>
      <c r="D125" s="239" t="inlineStr">
        <is>
          <t>របាយការណ៍សារពើភ័ណ្ឌ - ព័ត៌មានលម្អិតសារពើភ័ណ្ឌ</t>
        </is>
      </c>
      <c r="E125" s="240" t="n"/>
      <c r="F125" t="inlineStr">
        <is>
          <t>របាយការណ៍សារពើភ័ណ្ឌ - ព័ត៌មានលម្អិតសារពើភ័ណ្ឌ</t>
        </is>
      </c>
    </row>
    <row r="126">
      <c r="A126" s="246" t="n"/>
      <c r="B126" s="241" t="inlineStr">
        <is>
          <t>Báo cáo Tồn kiểm kê - Tồng hợp Chi nhánh</t>
        </is>
      </c>
      <c r="C126" s="239" t="inlineStr">
        <is>
          <t>Inventory Report - Branch Summary</t>
        </is>
      </c>
      <c r="D126" s="239" t="inlineStr">
        <is>
          <t>របាយការណ៍សារពើភ័ណ្ឌ - សេចក្តីសង្ខេប១១សាខា</t>
        </is>
      </c>
      <c r="E126" s="240" t="n"/>
      <c r="F126" t="inlineStr">
        <is>
          <t>របាយការណ៍សារពើភ័ណ្ឌ - សេចក្តីសង្ខេប១១សាខា</t>
        </is>
      </c>
    </row>
    <row r="127">
      <c r="A127" s="246" t="n"/>
      <c r="B127" s="241" t="inlineStr">
        <is>
          <t>Báo cáo Tồn kiểm kê - Tổng hợp Bưu cục</t>
        </is>
      </c>
      <c r="C127" s="239" t="inlineStr">
        <is>
          <t>Inventory Report - Post Office Summary</t>
        </is>
      </c>
      <c r="D127" s="239" t="inlineStr">
        <is>
          <t>របាយការណ៍សារពើភ័ណ្ឌ - សេចក្តីសង្ខេបប្រៃសណីយ៍</t>
        </is>
      </c>
      <c r="E127" s="240" t="n"/>
      <c r="F127" t="inlineStr">
        <is>
          <t>របាយការណ៍សារពើភ័ណ្ឌ - សេចក្តីសង្ខេបប្រៃសណីយ៍</t>
        </is>
      </c>
    </row>
    <row r="128">
      <c r="A128" s="246" t="n"/>
      <c r="B128" s="241" t="inlineStr">
        <is>
          <t>Báo cáo Tồn kiểm kê - Tổng hợp Tuyến</t>
        </is>
      </c>
      <c r="C128" s="239" t="inlineStr">
        <is>
          <t>Inventory Report - Route Summary</t>
        </is>
      </c>
      <c r="D128" s="239" t="inlineStr">
        <is>
          <t>របាយការណ៍សារពើភ័ណ្ឌ - សេចក្តីសង្ខេប - - - ផ្លូវ</t>
        </is>
      </c>
      <c r="E128" s="240" t="n"/>
      <c r="F128" t="inlineStr">
        <is>
          <t>របាយការណ៍សារពើភ័ណ្ឌ - សេចក្តីសង្ខេប - - - ផ្លូវ</t>
        </is>
      </c>
    </row>
    <row r="129">
      <c r="A129" s="246" t="n"/>
      <c r="B129" s="241" t="inlineStr">
        <is>
          <t>Tuyến kiểm</t>
        </is>
      </c>
      <c r="C129" s="239" t="inlineStr">
        <is>
          <t>Audit Route</t>
        </is>
      </c>
      <c r="D129" s="239" t="inlineStr">
        <is>
          <t>ការត្រួតពិនិត្យផ្លូវ</t>
        </is>
      </c>
      <c r="E129" s="240" t="n"/>
      <c r="F129" t="inlineStr">
        <is>
          <t>ការត្រួតពិនិត្យផ្លូវ</t>
        </is>
      </c>
    </row>
    <row r="130">
      <c r="A130" s="246" t="n"/>
      <c r="B130" s="241" t="inlineStr">
        <is>
          <t>Thừa</t>
        </is>
      </c>
      <c r="C130" s="239" t="inlineStr">
        <is>
          <t>Overage</t>
        </is>
      </c>
      <c r="D130" s="239" t="inlineStr">
        <is>
          <t>លើស</t>
        </is>
      </c>
      <c r="E130" s="240" t="n"/>
      <c r="F130" t="inlineStr">
        <is>
          <t>លើស</t>
        </is>
      </c>
    </row>
    <row r="131">
      <c r="A131" s="246" t="n"/>
      <c r="B131" s="241" t="inlineStr">
        <is>
          <t>Thiếu</t>
        </is>
      </c>
      <c r="C131" s="239" t="inlineStr">
        <is>
          <t>Shortage</t>
        </is>
      </c>
      <c r="D131" s="239" t="inlineStr">
        <is>
          <t>ខ្វះ</t>
        </is>
      </c>
      <c r="E131" s="240" t="n"/>
      <c r="F131" t="inlineStr">
        <is>
          <t>ខ្វះ</t>
        </is>
      </c>
    </row>
    <row r="132">
      <c r="A132" s="246" t="n"/>
      <c r="B132" s="241" t="inlineStr">
        <is>
          <t>Đủ</t>
        </is>
      </c>
      <c r="C132" s="239" t="inlineStr">
        <is>
          <t>Matched</t>
        </is>
      </c>
      <c r="D132" s="239" t="inlineStr">
        <is>
          <t>គ្រប់គ្រាន់</t>
        </is>
      </c>
      <c r="E132" s="240" t="n"/>
      <c r="F132" t="inlineStr">
        <is>
          <t>គ្រប់គ្រាន់</t>
        </is>
      </c>
    </row>
    <row r="133">
      <c r="A133" s="246" t="n"/>
      <c r="B133" s="241" t="inlineStr">
        <is>
          <t>Người tạo</t>
        </is>
      </c>
      <c r="C133" s="239" t="inlineStr">
        <is>
          <t>Creator</t>
        </is>
      </c>
      <c r="D133" s="239" t="inlineStr">
        <is>
          <t>អ្នកបង្កើត</t>
        </is>
      </c>
      <c r="E133" s="240" t="n"/>
      <c r="F133" t="inlineStr">
        <is>
          <t>អ្នកបង្កើត</t>
        </is>
      </c>
    </row>
    <row r="134">
      <c r="A134" s="246" t="n"/>
      <c r="B134" s="241" t="inlineStr">
        <is>
          <t>Thời gian tạo</t>
        </is>
      </c>
      <c r="C134" s="239" t="inlineStr">
        <is>
          <t>Creation time</t>
        </is>
      </c>
      <c r="D134" s="239" t="inlineStr">
        <is>
          <t>ពេលវេលាបង្កើត</t>
        </is>
      </c>
      <c r="E134" s="240" t="n"/>
      <c r="F134" t="inlineStr">
        <is>
          <t>ពេលវេលាបង្កើត</t>
        </is>
      </c>
    </row>
    <row r="135">
      <c r="A135" s="246" t="n"/>
      <c r="B135" s="241" t="inlineStr">
        <is>
          <t>Thời gian hoàn thành</t>
        </is>
      </c>
      <c r="C135" s="239" t="inlineStr">
        <is>
          <t>Completion time</t>
        </is>
      </c>
      <c r="D135" s="239" t="inlineStr">
        <is>
          <t>ពេលវេលាបញ្ចប់</t>
        </is>
      </c>
      <c r="E135" s="240" t="n"/>
      <c r="F135" t="inlineStr">
        <is>
          <t>ពេលវេលាបញ្ចប់</t>
        </is>
      </c>
    </row>
    <row r="136">
      <c r="A136" s="246" t="n"/>
      <c r="B136" s="241" t="inlineStr">
        <is>
          <t>Ngày xuất dữ liệu</t>
        </is>
      </c>
      <c r="C136" s="239" t="inlineStr">
        <is>
          <t>Export Date</t>
        </is>
      </c>
      <c r="D136" s="239" t="inlineStr">
        <is>
          <t>កាលបរិច្ឆេទនាំចេញទិន្នន័យ</t>
        </is>
      </c>
      <c r="E136" s="240" t="n"/>
      <c r="F136" t="inlineStr">
        <is>
          <t>កាលបរិច្ឆេទនាំចេញទិន្នន័យ</t>
        </is>
      </c>
    </row>
    <row r="137">
      <c r="A137" s="246" t="n"/>
      <c r="B137" s="241" t="inlineStr">
        <is>
          <t>Số tuyến đã kiểm</t>
        </is>
      </c>
      <c r="C137" s="239" t="inlineStr">
        <is>
          <t>Inspected Routes</t>
        </is>
      </c>
      <c r="D137" s="239" t="inlineStr">
        <is>
          <t>ចំនួនផ្លូវដែលបានត្រួតពិនិត្យ</t>
        </is>
      </c>
      <c r="E137" s="240" t="n"/>
      <c r="F137" t="inlineStr">
        <is>
          <t>ចំនួនផ្លូវដែលបានត្រួតពិនិត្យ</t>
        </is>
      </c>
    </row>
    <row r="138">
      <c r="A138" s="246" t="n"/>
      <c r="B138" s="241" t="inlineStr">
        <is>
          <t>Số tuyến chưa kiểm</t>
        </is>
      </c>
      <c r="C138" s="239" t="inlineStr">
        <is>
          <t>Pending Routes</t>
        </is>
      </c>
      <c r="D138" s="239" t="inlineStr">
        <is>
          <t>ចំនួនផ្លូវដែលមិនបានត្រួតពិនិត្យ</t>
        </is>
      </c>
      <c r="E138" s="240" t="n"/>
      <c r="F138" t="inlineStr">
        <is>
          <t>ចំនួនផ្លូវដែលមិនបានត្រួតពិនិត្យ</t>
        </is>
      </c>
    </row>
    <row r="139">
      <c r="A139" s="246" t="n"/>
      <c r="B139" s="241" t="inlineStr">
        <is>
          <t>Số lần kiểm tuyến</t>
        </is>
      </c>
      <c r="C139" s="239" t="inlineStr">
        <is>
          <t>Number of inspections</t>
        </is>
      </c>
      <c r="D139" s="239" t="inlineStr">
        <is>
          <t>ចំនួនផ្លូវដែលបានត្រួតពិនិត្យ</t>
        </is>
      </c>
      <c r="E139" s="240" t="n"/>
      <c r="F139" t="inlineStr">
        <is>
          <t>ចំនួនផ្លូវដែលបានត្រួតពិនិត្យ</t>
        </is>
      </c>
    </row>
    <row r="140">
      <c r="A140" s="246" t="n"/>
      <c r="B140" s="267" t="inlineStr">
        <is>
          <t>Báo cáo tồn trạng thái quá 7 ngày</t>
        </is>
      </c>
      <c r="C140" s="246" t="n"/>
      <c r="D140" s="236" t="inlineStr">
        <is>
          <t>ស្ថានភាពរបាយការណ៍មានរយៈពេលជាង 7 ថ្ងៃ។</t>
        </is>
      </c>
      <c r="E140" s="246" t="n"/>
      <c r="F140" t="inlineStr">
        <is>
          <t>ស្ថានភាពរបាយការណ៍មានរយៈពេលជាង 7 ថ្ងៃ។</t>
        </is>
      </c>
    </row>
    <row r="141">
      <c r="A141" s="246" t="n"/>
      <c r="B141" s="246" t="inlineStr">
        <is>
          <t>Ngày báo cáo</t>
        </is>
      </c>
      <c r="C141" s="246" t="n"/>
      <c r="D141" s="236" t="inlineStr">
        <is>
          <t>កាលបរិច្ឆេទរាយការណ៍</t>
        </is>
      </c>
      <c r="E141" s="246" t="n"/>
      <c r="F141" t="inlineStr">
        <is>
          <t>កាលបរិច្ឆេទរាយការណ៍</t>
        </is>
      </c>
    </row>
    <row r="142">
      <c r="A142" s="246" t="n"/>
      <c r="B142" s="246" t="inlineStr">
        <is>
          <t>Mã phiếu gửi</t>
        </is>
      </c>
      <c r="C142" s="246" t="n"/>
      <c r="D142" s="236" t="inlineStr">
        <is>
          <t>លេខកូដបុងបញ្ញើ</t>
        </is>
      </c>
      <c r="E142" s="246" t="n"/>
      <c r="F142" t="inlineStr">
        <is>
          <t>លេខកូដបុងបញ្ញើ</t>
        </is>
      </c>
    </row>
    <row r="143">
      <c r="A143" s="246" t="n"/>
      <c r="B143" s="246" t="inlineStr">
        <is>
          <t>Tỉnh nhận</t>
        </is>
      </c>
      <c r="C143" s="246" t="n"/>
      <c r="D143" s="236" t="inlineStr">
        <is>
          <t>ខេត្តទទួល</t>
        </is>
      </c>
      <c r="E143" s="246" t="n"/>
      <c r="F143" t="inlineStr">
        <is>
          <t>ខេត្តទទួល</t>
        </is>
      </c>
    </row>
    <row r="144">
      <c r="A144" s="246" t="n"/>
      <c r="B144" s="246" t="inlineStr">
        <is>
          <t>Tỉnh phát</t>
        </is>
      </c>
      <c r="C144" s="246" t="n"/>
      <c r="D144" s="236" t="inlineStr">
        <is>
          <t>ខេត្តបញ្ជូន</t>
        </is>
      </c>
      <c r="E144" s="246" t="n"/>
      <c r="F144" t="inlineStr">
        <is>
          <t>ខេត្តបញ្ជូន</t>
        </is>
      </c>
    </row>
    <row r="145">
      <c r="A145" s="246" t="n"/>
      <c r="B145" s="246" t="inlineStr">
        <is>
          <t>Mã dịch vụ chính</t>
        </is>
      </c>
      <c r="C145" s="246" t="n"/>
      <c r="D145" s="236" t="inlineStr">
        <is>
          <t>លេខកូដសេវាកម្មចម្បង</t>
        </is>
      </c>
      <c r="E145" s="246" t="n"/>
      <c r="F145" t="inlineStr">
        <is>
          <t>លេខកូដសេវាកម្មចម្បង</t>
        </is>
      </c>
    </row>
    <row r="146">
      <c r="A146" s="246" t="n"/>
      <c r="B146" s="246" t="inlineStr">
        <is>
          <t>Mã bưu cục gốc</t>
        </is>
      </c>
      <c r="C146" s="246" t="n"/>
      <c r="D146" s="236" t="inlineStr">
        <is>
          <t>លេខកូដការិយាល័យប្រៃសណីយ៍ដើម</t>
        </is>
      </c>
      <c r="E146" s="246" t="n"/>
      <c r="F146" t="inlineStr">
        <is>
          <t>លេខកូដការិយាល័យប្រៃសណីយ៍ដើម</t>
        </is>
      </c>
    </row>
    <row r="147">
      <c r="A147" s="246" t="n"/>
      <c r="B147" s="246" t="inlineStr">
        <is>
          <t>Thời gian tác động</t>
        </is>
      </c>
      <c r="C147" s="246" t="n"/>
      <c r="D147" s="236" t="inlineStr">
        <is>
          <t>ប៉ះពាល់ដល់ពេលវេលា</t>
        </is>
      </c>
      <c r="E147" s="246" t="n"/>
      <c r="F147" t="inlineStr">
        <is>
          <t>ប៉ះពាល់ដល់ពេលវេលា</t>
        </is>
      </c>
    </row>
    <row r="148">
      <c r="A148" s="246" t="n"/>
      <c r="B148" s="246" t="inlineStr">
        <is>
          <t>Trạng thái</t>
        </is>
      </c>
      <c r="C148" s="246" t="n"/>
      <c r="D148" s="236" t="inlineStr">
        <is>
          <t>ស្ថានភាព</t>
        </is>
      </c>
      <c r="E148" s="246" t="n"/>
      <c r="F148" t="inlineStr">
        <is>
          <t>ស្ថានភាព</t>
        </is>
      </c>
    </row>
    <row r="149">
      <c r="A149" s="246" t="n"/>
      <c r="B149" s="246" t="inlineStr">
        <is>
          <t>Mã bưu cục hiện tại</t>
        </is>
      </c>
      <c r="C149" s="246" t="n"/>
      <c r="D149" s="236" t="inlineStr">
        <is>
          <t>លេខកូដការិយាល័យប្រៃសណីយ៍បច្ចុប្បន្ន</t>
        </is>
      </c>
      <c r="E149" s="246" t="n"/>
      <c r="F149" t="inlineStr">
        <is>
          <t>លេខកូដការិយាល័យប្រៃសណីយ៍បច្ចុប្បន្ន</t>
        </is>
      </c>
    </row>
    <row r="150">
      <c r="A150" s="246" t="n"/>
      <c r="B150" s="246" t="inlineStr">
        <is>
          <t>Chi nhánh hiện tại</t>
        </is>
      </c>
      <c r="C150" s="246" t="n"/>
      <c r="D150" s="236" t="inlineStr">
        <is>
          <t>សាខាបច្ចុប្បន្ន</t>
        </is>
      </c>
      <c r="E150" s="246" t="n"/>
      <c r="F150" t="inlineStr">
        <is>
          <t>សាខាបច្ចុប្បន្ន</t>
        </is>
      </c>
    </row>
    <row r="151">
      <c r="A151" s="246" t="n"/>
      <c r="B151" s="246" t="inlineStr">
        <is>
          <t>Mã đối tác</t>
        </is>
      </c>
      <c r="C151" s="246" t="n"/>
      <c r="D151" s="236" t="inlineStr">
        <is>
          <t>លេខកូដដៃគូ</t>
        </is>
      </c>
      <c r="E151" s="246" t="n"/>
      <c r="F151" t="inlineStr">
        <is>
          <t>លេខកូដដៃគូ</t>
        </is>
      </c>
    </row>
    <row r="152">
      <c r="A152" s="246" t="n"/>
      <c r="B152" s="246" t="inlineStr">
        <is>
          <t>Mã khách hàng gửi</t>
        </is>
      </c>
      <c r="C152" s="246" t="n"/>
      <c r="D152" s="236" t="inlineStr">
        <is>
          <t>ការផ្ញើលេខកូដអតិថិជន</t>
        </is>
      </c>
      <c r="E152" s="246" t="n"/>
      <c r="F152" t="inlineStr">
        <is>
          <t>ការផ្ញើលេខកូដអតិថិជន</t>
        </is>
      </c>
    </row>
    <row r="153">
      <c r="A153" s="246" t="n"/>
      <c r="B153" s="246" t="inlineStr">
        <is>
          <t>Mã bưu cục phát</t>
        </is>
      </c>
      <c r="C153" s="246" t="n"/>
      <c r="D153" s="236" t="inlineStr">
        <is>
          <t>លេខកូដការិយាល័យប្រៃសណីយ៍ដឹកជញ្ជូន</t>
        </is>
      </c>
      <c r="E153" s="246" t="n"/>
      <c r="F153" t="inlineStr">
        <is>
          <t>លេខកូដការិយាល័យប្រៃសណីយ៍ដឹកជញ្ជូន</t>
        </is>
      </c>
    </row>
    <row r="154">
      <c r="A154" s="246" t="n"/>
      <c r="B154" s="246" t="inlineStr">
        <is>
          <t>Ngày gửi bưu phẩm</t>
        </is>
      </c>
      <c r="C154" s="246" t="n"/>
      <c r="D154" s="236" t="inlineStr">
        <is>
          <t>កាលបរិច្ឆេទនៃការផ្ញើកញ្ចប់</t>
        </is>
      </c>
      <c r="E154" s="246" t="n"/>
      <c r="F154" t="inlineStr">
        <is>
          <t>កាលបរិច្ឆេទនៃការផ្ញើកញ្ចប់</t>
        </is>
      </c>
    </row>
    <row r="155">
      <c r="A155" s="246" t="n"/>
      <c r="B155" s="246" t="inlineStr">
        <is>
          <t>Tiền COD</t>
        </is>
      </c>
      <c r="C155" s="246" t="n"/>
      <c r="D155" s="236" t="inlineStr">
        <is>
          <t>ប្រាក់ COD</t>
        </is>
      </c>
      <c r="E155" s="246" t="n"/>
      <c r="F155" t="inlineStr">
        <is>
          <t>ប្រាក់ COD</t>
        </is>
      </c>
    </row>
    <row r="156">
      <c r="A156" s="246" t="n"/>
      <c r="B156" s="246" t="inlineStr">
        <is>
          <t>Người nhập máy</t>
        </is>
      </c>
      <c r="C156" s="246" t="n"/>
      <c r="D156" s="236" t="inlineStr">
        <is>
          <t>លេខកូដអ្នកបញ្ចូល (ឈ្មោះដែលបានបញ្ចូល)</t>
        </is>
      </c>
      <c r="E156" s="246" t="n"/>
      <c r="F156" t="inlineStr">
        <is>
          <t>លេខកូដអ្នកបញ្ចូល (ឈ្មោះដែលបានបញ្ចូល)</t>
        </is>
      </c>
    </row>
    <row r="157">
      <c r="A157" s="246" t="n"/>
      <c r="B157" s="246" t="inlineStr">
        <is>
          <t>Ngày nhập máy</t>
        </is>
      </c>
      <c r="C157" s="246" t="n"/>
      <c r="D157" s="236" t="inlineStr">
        <is>
          <t>កាលបរិច្ឆេទបញ្ចូលប្រព័ន្ធ</t>
        </is>
      </c>
      <c r="E157" s="246" t="n"/>
      <c r="F157" t="inlineStr">
        <is>
          <t>កាលបរិច្ឆេទបញ្ចូលប្រព័ន្ធ</t>
        </is>
      </c>
    </row>
    <row r="158">
      <c r="A158" s="246" t="n"/>
      <c r="B158" s="246" t="inlineStr">
        <is>
          <t>Loại hàng hóa</t>
        </is>
      </c>
      <c r="C158" s="246" t="n"/>
      <c r="D158" s="236" t="inlineStr">
        <is>
          <t>ប្រភេទមុខទំនិញ</t>
        </is>
      </c>
      <c r="E158" s="246" t="n"/>
      <c r="F158" t="inlineStr">
        <is>
          <t>ប្រភេទមុខទំនិញ</t>
        </is>
      </c>
    </row>
    <row r="159">
      <c r="A159" s="246" t="n"/>
      <c r="B159" s="246" t="inlineStr">
        <is>
          <t>Tiền cước</t>
        </is>
      </c>
      <c r="C159" s="246" t="n"/>
      <c r="D159" s="236" t="inlineStr">
        <is>
          <t>ការចោទប្រកាន់</t>
        </is>
      </c>
      <c r="E159" s="246" t="n"/>
      <c r="F159" t="inlineStr">
        <is>
          <t>ការចោទប្រកាន់</t>
        </is>
      </c>
    </row>
    <row r="160">
      <c r="A160" s="246" t="inlineStr">
        <is>
          <t>Khách hàng đặc thù gửi</t>
        </is>
      </c>
      <c r="B160" s="246" t="inlineStr">
        <is>
          <t>KH đặc thù gửi</t>
        </is>
      </c>
      <c r="C160" s="246" t="n"/>
      <c r="D160" s="236" t="inlineStr">
        <is>
          <t>ផ្ញើអតិថិជនជាក់លាក់</t>
        </is>
      </c>
      <c r="E160" s="246" t="n"/>
      <c r="F160" t="inlineStr">
        <is>
          <t>ផ្ញើអតិថិជនជាក់លាក់</t>
        </is>
      </c>
    </row>
    <row r="161">
      <c r="A161" s="246" t="inlineStr">
        <is>
          <t>Khách hàng đặc thù nhận</t>
        </is>
      </c>
      <c r="B161" s="246" t="inlineStr">
        <is>
          <t>KH đặc thù nhận</t>
        </is>
      </c>
      <c r="C161" s="246" t="n"/>
      <c r="D161" s="236" t="inlineStr">
        <is>
          <t>ការទទួលអតិថិជនជាក់លាក់</t>
        </is>
      </c>
      <c r="E161" s="246" t="n"/>
      <c r="F161" t="inlineStr">
        <is>
          <t>ការទទួលអតិថិជនជាក់លាក់</t>
        </is>
      </c>
    </row>
    <row r="162">
      <c r="A162" s="246" t="n"/>
      <c r="B162" s="246" t="inlineStr">
        <is>
          <t>Loại cảnh báo</t>
        </is>
      </c>
      <c r="C162" s="246" t="n"/>
      <c r="D162" s="236" t="inlineStr">
        <is>
          <t>ប្រភេទការជូនដំណឹង</t>
        </is>
      </c>
      <c r="E162" s="246" t="n"/>
      <c r="F162" t="inlineStr">
        <is>
          <t>ប្រភេទការជូនដំណឹង</t>
        </is>
      </c>
    </row>
    <row r="163">
      <c r="A163" s="246" t="n"/>
      <c r="B163" s="246" t="inlineStr">
        <is>
          <t>Mã dịch vụ cộng thêm</t>
        </is>
      </c>
      <c r="C163" s="246" t="n"/>
      <c r="D163" s="236" t="inlineStr">
        <is>
          <t>លេខកូដសេវាកម្មបន្ថែម</t>
        </is>
      </c>
      <c r="E163" s="246" t="n"/>
      <c r="F163" t="inlineStr">
        <is>
          <t>លេខកូដសេវាកម្មបន្ថែម</t>
        </is>
      </c>
    </row>
    <row r="164">
      <c r="A164" s="246" t="n"/>
      <c r="B164" s="246" t="inlineStr">
        <is>
          <t>Số giờ nhập máy</t>
        </is>
      </c>
      <c r="C164" s="246" t="n"/>
      <c r="D164" s="237" t="inlineStr">
        <is>
          <t>ចំនួនម៉ោងដែលបានបញ្ចូលទៅក្នុងប្រព័ន្ធ
 របាយការណ៍នៃបណ្តឹងដែលកើតឡើងតាមថ្ងៃ
 តំបន់</t>
        </is>
      </c>
      <c r="E164" s="246" t="n"/>
      <c r="F164" t="inlineStr">
        <is>
          <t>ចំនួនម៉ោងដែលបានបញ្ចូលទៅក្នុងប្រព័ន្ធ
 របាយការណ៍នៃបណ្តឹងដែលកើតឡើងតាមថ្ងៃ
 តំបន់</t>
        </is>
      </c>
    </row>
    <row r="165">
      <c r="A165" s="246" t="n"/>
      <c r="B165" s="248" t="inlineStr">
        <is>
          <t>Báo cáo khiếu nại phát sinh theo ngày</t>
        </is>
      </c>
      <c r="C165" s="246" t="n"/>
      <c r="D165" s="312" t="n"/>
      <c r="E165" s="246" t="n"/>
      <c r="F165" t="inlineStr">
        <is>
          <t>របាយការណ៍ពាក្យបណ្ដឹង ដឹកចែក sinh theo កាលបរិច្ឆេទ</t>
        </is>
      </c>
    </row>
    <row r="166">
      <c r="A166" s="246" t="n"/>
      <c r="B166" s="246" t="inlineStr">
        <is>
          <t>Vùng</t>
        </is>
      </c>
      <c r="C166" s="246" t="n"/>
      <c r="D166" s="313" t="n"/>
      <c r="E166" s="246" t="n"/>
      <c r="F166" t="inlineStr">
        <is>
          <t>តំបន់</t>
        </is>
      </c>
    </row>
    <row r="167">
      <c r="A167" s="246" t="n"/>
      <c r="B167" s="246" t="inlineStr">
        <is>
          <t>Chi nhánh</t>
        </is>
      </c>
      <c r="C167" s="246" t="n"/>
      <c r="D167" s="236" t="inlineStr">
        <is>
          <t>សាខា</t>
        </is>
      </c>
      <c r="E167" s="246" t="n"/>
      <c r="F167" t="inlineStr">
        <is>
          <t>សាខា</t>
        </is>
      </c>
    </row>
    <row r="168">
      <c r="A168" s="246" t="n"/>
      <c r="B168" s="246" t="inlineStr">
        <is>
          <t>Tồn đầu ngày</t>
        </is>
      </c>
      <c r="C168" s="246" t="n"/>
      <c r="D168" s="236" t="inlineStr">
        <is>
          <t>សារពើភ័ណ្ឌចាប់ផ្តើម</t>
        </is>
      </c>
      <c r="E168" s="246" t="n"/>
      <c r="F168" t="inlineStr">
        <is>
          <t>សារពើភ័ណ្ឌចាប់ផ្តើម</t>
        </is>
      </c>
    </row>
    <row r="169">
      <c r="A169" s="246" t="n"/>
      <c r="B169" s="246" t="inlineStr">
        <is>
          <t>Tổng tồn đầu ngày</t>
        </is>
      </c>
      <c r="C169" s="246" t="n"/>
      <c r="D169" s="236" t="inlineStr">
        <is>
          <t>សារពើភ័ណ្ឌចាប់ផ្តើមសរុប</t>
        </is>
      </c>
      <c r="E169" s="246" t="n"/>
      <c r="F169" t="inlineStr">
        <is>
          <t>សារពើភ័ណ្ឌចាប់ផ្តើមសរុប</t>
        </is>
      </c>
    </row>
    <row r="170">
      <c r="A170" s="246" t="n"/>
      <c r="B170" s="246" t="inlineStr">
        <is>
          <t>Đã xử lý đầu ngày</t>
        </is>
      </c>
      <c r="C170" s="246" t="n"/>
      <c r="D170" s="236" t="inlineStr">
        <is>
          <t>ដំណើរការនៅដើមថ្ងៃ</t>
        </is>
      </c>
      <c r="E170" s="246" t="n"/>
      <c r="F170" t="inlineStr">
        <is>
          <t>ដំណើរការនៅដើមថ្ងៃ</t>
        </is>
      </c>
    </row>
    <row r="171">
      <c r="A171" s="246" t="n"/>
      <c r="B171" s="246" t="inlineStr">
        <is>
          <t>Tồn cuối ngày</t>
        </is>
      </c>
      <c r="C171" s="246" t="n"/>
      <c r="D171" s="236" t="inlineStr">
        <is>
          <t>ការបញ្ចប់សារពើភ័ណ្ឌ</t>
        </is>
      </c>
      <c r="E171" s="246" t="n"/>
      <c r="F171" t="inlineStr">
        <is>
          <t>ការបញ្ចប់សារពើភ័ណ្ឌ</t>
        </is>
      </c>
    </row>
    <row r="172">
      <c r="A172" s="246" t="n"/>
      <c r="B172" s="246" t="inlineStr">
        <is>
          <t>Tỷ lệ xử lý đầu ngày</t>
        </is>
      </c>
      <c r="C172" s="246" t="n"/>
      <c r="D172" s="236" t="inlineStr">
        <is>
          <t>អត្រាដំណើរការចាប់ផ្តើម</t>
        </is>
      </c>
      <c r="E172" s="246" t="n"/>
      <c r="F172" t="inlineStr">
        <is>
          <t>អត្រាដំណើរការចាប់ផ្តើម</t>
        </is>
      </c>
    </row>
    <row r="173">
      <c r="A173" s="246" t="n"/>
      <c r="B173" s="246" t="inlineStr">
        <is>
          <t>Tổng phát sinh trong ngày</t>
        </is>
      </c>
      <c r="C173" s="246" t="n"/>
      <c r="D173" s="236" t="inlineStr">
        <is>
          <t>ប្រតិបត្តិការសរុបក្នុងអំឡុងពេលថ្ងៃ</t>
        </is>
      </c>
      <c r="E173" s="246" t="n"/>
      <c r="F173" t="inlineStr">
        <is>
          <t>ប្រតិបត្តិការសរុបក្នុងអំឡុងពេលថ្ងៃ</t>
        </is>
      </c>
    </row>
    <row r="174">
      <c r="A174" s="246" t="n"/>
      <c r="B174" s="246" t="inlineStr">
        <is>
          <t>Đã xử lý phát sinh trong ngày</t>
        </is>
      </c>
      <c r="C174" s="246" t="n"/>
      <c r="D174" s="236" t="inlineStr">
        <is>
          <t>ដំណើរការប្រតិបត្តិការក្នុងអំឡុងពេលថ្ងៃ</t>
        </is>
      </c>
      <c r="E174" s="246" t="n"/>
      <c r="F174" t="inlineStr">
        <is>
          <t>ដំណើរការប្រតិបត្តិការក្នុងអំឡុងពេលថ្ងៃ</t>
        </is>
      </c>
    </row>
    <row r="175">
      <c r="A175" s="246" t="n"/>
      <c r="B175" s="246" t="inlineStr">
        <is>
          <t>Tồn cuối ngày (từ phát sinh)</t>
        </is>
      </c>
      <c r="C175" s="246" t="n"/>
      <c r="D175" s="236" t="inlineStr">
        <is>
          <t>ការបញ្ចប់សារពើភ័ណ្ឌ (ពីប្រតិបត្តិការ)</t>
        </is>
      </c>
      <c r="E175" s="246" t="n"/>
      <c r="F175" t="inlineStr">
        <is>
          <t>ការបញ្ចប់សារពើភ័ណ្ឌ (ពីប្រតិបត្តិការ)</t>
        </is>
      </c>
    </row>
    <row r="176">
      <c r="A176" s="246" t="n"/>
      <c r="B176" s="246" t="inlineStr">
        <is>
          <t>Tỷ lệ xử lý phát sinh</t>
        </is>
      </c>
      <c r="C176" s="246" t="n"/>
      <c r="D176" s="236" t="inlineStr">
        <is>
          <t>អត្រាដំណើរការនៃប្រតិបត្តិការ</t>
        </is>
      </c>
      <c r="E176" s="246" t="n"/>
      <c r="F176" t="inlineStr">
        <is>
          <t>អត្រាដំណើរការនៃប្រតិបត្តិការ</t>
        </is>
      </c>
    </row>
    <row r="177">
      <c r="A177" s="246" t="n"/>
      <c r="B177" s="246" t="inlineStr">
        <is>
          <t>Tổng cần xử lý</t>
        </is>
      </c>
      <c r="C177" s="246" t="n"/>
      <c r="D177" s="236" t="inlineStr">
        <is>
          <t>ដំណើរការដែលត្រូវការសរុប</t>
        </is>
      </c>
      <c r="E177" s="246" t="n"/>
      <c r="F177" t="inlineStr">
        <is>
          <t>ដំណើរការដែលត្រូវការសរុប</t>
        </is>
      </c>
    </row>
    <row r="178">
      <c r="A178" s="246" t="n"/>
      <c r="B178" s="246" t="inlineStr">
        <is>
          <t>Tổng đã xử lý</t>
        </is>
      </c>
      <c r="C178" s="246" t="n"/>
      <c r="D178" s="236" t="inlineStr">
        <is>
          <t>ដំណើរការសរុប</t>
        </is>
      </c>
      <c r="E178" s="246" t="n"/>
      <c r="F178" t="inlineStr">
        <is>
          <t>ដំណើរការសរុប</t>
        </is>
      </c>
    </row>
    <row r="179">
      <c r="A179" s="246" t="n"/>
      <c r="B179" s="246" t="inlineStr">
        <is>
          <t>Tổng tồn cuối ngày</t>
        </is>
      </c>
      <c r="C179" s="246" t="n"/>
      <c r="D179" s="236" t="inlineStr">
        <is>
          <t>សារពើភ័ណ្ឌបញ្ចប់សរុប</t>
        </is>
      </c>
      <c r="E179" s="246" t="n"/>
      <c r="F179" t="inlineStr">
        <is>
          <t>សារពើភ័ណ្ឌបញ្ចប់សរុប</t>
        </is>
      </c>
    </row>
    <row r="180">
      <c r="A180" s="246" t="n"/>
      <c r="B180" s="246" t="inlineStr">
        <is>
          <t xml:space="preserve">Tỷ lệ xử lý </t>
        </is>
      </c>
      <c r="C180" s="246" t="n"/>
      <c r="D180" s="236" t="inlineStr">
        <is>
          <t>អត្រាដំណើរការ</t>
        </is>
      </c>
      <c r="E180" s="246" t="n"/>
      <c r="F180" t="inlineStr">
        <is>
          <t>អត្រាដំណើរការ</t>
        </is>
      </c>
    </row>
    <row r="181">
      <c r="A181" s="246" t="n"/>
      <c r="B181" s="246" t="inlineStr">
        <is>
          <t>Xếp hạng</t>
        </is>
      </c>
      <c r="C181" s="246" t="n"/>
      <c r="D181" s="236" t="inlineStr">
        <is>
          <t>ចំណាត់ថ្នាក់</t>
        </is>
      </c>
      <c r="E181" s="246" t="n"/>
      <c r="F181" t="inlineStr">
        <is>
          <t>ចំណាត់ថ្នាក់</t>
        </is>
      </c>
    </row>
    <row r="182">
      <c r="A182" s="246" t="inlineStr">
        <is>
          <t>Khiếu nại phát sinh tháng N-1</t>
        </is>
      </c>
      <c r="B182" s="246" t="inlineStr">
        <is>
          <t>Khiếu nại PS tháng N-1</t>
        </is>
      </c>
      <c r="C182" s="246" t="n"/>
      <c r="D182" s="236" t="inlineStr">
        <is>
          <t>ពាក្យបណ្តឹងសម្រាប់ខែ N-1</t>
        </is>
      </c>
      <c r="E182" s="246" t="n"/>
      <c r="F182" t="inlineStr">
        <is>
          <t>ពាក្យបណ្តឹងសម្រាប់ខែ N-1</t>
        </is>
      </c>
    </row>
    <row r="183">
      <c r="A183" s="246" t="inlineStr">
        <is>
          <t>Khiếu nại phát sinh tháng N</t>
        </is>
      </c>
      <c r="B183" s="246" t="inlineStr">
        <is>
          <t>KPI khiếu nại tháng N</t>
        </is>
      </c>
      <c r="C183" s="246" t="n"/>
      <c r="D183" s="236" t="inlineStr">
        <is>
          <t>ពាក្យបណ្តឹង KPI សម្រាប់ខែ N</t>
        </is>
      </c>
      <c r="E183" s="246" t="n"/>
      <c r="F183" t="inlineStr">
        <is>
          <t>ពាក្យបណ្តឹង KPI សម្រាប់ខែ N</t>
        </is>
      </c>
    </row>
    <row r="184">
      <c r="A184" s="246" t="inlineStr">
        <is>
          <t>Khiếu nại phát sinh tháng N</t>
        </is>
      </c>
      <c r="B184" s="246" t="inlineStr">
        <is>
          <t>Khiếu nại PS tháng N</t>
        </is>
      </c>
      <c r="C184" s="246" t="n"/>
      <c r="D184" s="236" t="inlineStr">
        <is>
          <t>PS ពាក្យបណ្តឹងសម្រាប់ខែ N</t>
        </is>
      </c>
      <c r="E184" s="246" t="n"/>
      <c r="F184" t="inlineStr">
        <is>
          <t>PS ពាក្យបណ្តឹងសម្រាប់ខែ N</t>
        </is>
      </c>
    </row>
    <row r="185">
      <c r="A185" s="246" t="n"/>
      <c r="B185" s="246" t="inlineStr">
        <is>
          <t>Thực hiện tháng N</t>
        </is>
      </c>
      <c r="C185" s="246" t="n"/>
      <c r="D185" s="236" t="inlineStr">
        <is>
          <t>ខែ N ការសម្តែង</t>
        </is>
      </c>
      <c r="E185" s="246" t="n"/>
      <c r="F185" t="inlineStr">
        <is>
          <t>ខែ N ការសម្តែង</t>
        </is>
      </c>
    </row>
    <row r="186">
      <c r="A186" s="246" t="n"/>
      <c r="B186" s="246" t="inlineStr">
        <is>
          <t>Đánh giá KPI</t>
        </is>
      </c>
      <c r="C186" s="246" t="n"/>
      <c r="D186" s="236" t="inlineStr">
        <is>
          <t>ការវាយតម្លៃ KPI</t>
        </is>
      </c>
      <c r="E186" s="246" t="n"/>
      <c r="F186" t="inlineStr">
        <is>
          <t>ការវាយតម្លៃ KPI</t>
        </is>
      </c>
    </row>
    <row r="187">
      <c r="A187" s="246" t="n"/>
      <c r="B187" s="246" t="inlineStr">
        <is>
          <t>So sánh với KPI</t>
        </is>
      </c>
      <c r="C187" s="246" t="n"/>
      <c r="D187" s="236" t="inlineStr">
        <is>
          <t>ការប្រៀបធៀបជាមួយ KPIs</t>
        </is>
      </c>
      <c r="E187" s="246" t="n"/>
      <c r="F187" t="inlineStr">
        <is>
          <t>ការប្រៀបធៀបជាមួយ KPIs</t>
        </is>
      </c>
    </row>
    <row r="188">
      <c r="A188" s="246" t="n"/>
      <c r="B188" s="246" t="inlineStr">
        <is>
          <t>So sánh với cùng kỳ tháng N-1</t>
        </is>
      </c>
      <c r="C188" s="246" t="n"/>
      <c r="D188" s="236" t="inlineStr">
        <is>
          <t>ការប្រៀបធៀបជាមួយរយៈពេលដូចគ្នាក្នុងខែ N-1</t>
        </is>
      </c>
      <c r="E188" s="246" t="n"/>
      <c r="F188" t="inlineStr">
        <is>
          <t>ការប្រៀបធៀបជាមួយរយៈពេលដូចគ្នាក្នុងខែ N-1</t>
        </is>
      </c>
    </row>
    <row r="189">
      <c r="A189" s="246" t="n"/>
      <c r="B189" s="267" t="inlineStr">
        <is>
          <t>Báo cáo chi tiết giải quyết khiếu nại theo ngày</t>
        </is>
      </c>
      <c r="C189" s="246" t="n"/>
      <c r="D189" s="236" t="inlineStr">
        <is>
          <t>របាយការណ៍ដោះស្រាយបណ្ដឹងលម្អិតតាមថ្ងៃ</t>
        </is>
      </c>
      <c r="E189" s="246" t="n"/>
      <c r="F189" t="inlineStr">
        <is>
          <t>របាយការណ៍ដោះស្រាយបណ្ដឹងលម្អិតតាមថ្ងៃ</t>
        </is>
      </c>
    </row>
    <row r="190">
      <c r="A190" s="246" t="inlineStr">
        <is>
          <t>Mã khiếu nại</t>
        </is>
      </c>
      <c r="B190" s="252" t="inlineStr">
        <is>
          <t>MA_KHIEUNAI</t>
        </is>
      </c>
      <c r="C190" s="246" t="n"/>
      <c r="D190" s="256" t="inlineStr">
        <is>
          <t>លេខកូដពាក្យបណ្ដឹង</t>
        </is>
      </c>
      <c r="E190" s="246" t="n"/>
      <c r="F190" t="inlineStr">
        <is>
          <t>លេខកូដពាក្យបណ្ដឹង</t>
        </is>
      </c>
    </row>
    <row r="191">
      <c r="A191" s="246" t="inlineStr">
        <is>
          <t>Ngày tạo</t>
        </is>
      </c>
      <c r="B191" s="252" t="inlineStr">
        <is>
          <t>NGAY_TAO</t>
        </is>
      </c>
      <c r="C191" s="246" t="n"/>
      <c r="D191" s="256" t="inlineStr">
        <is>
          <t>កាលបរិច្ឆេទបង្កើត</t>
        </is>
      </c>
      <c r="E191" s="246" t="n"/>
      <c r="F191" t="inlineStr">
        <is>
          <t>កាលបរិច្ឆេទបង្កើត</t>
        </is>
      </c>
    </row>
    <row r="192">
      <c r="A192" s="246" t="inlineStr">
        <is>
          <t>Ngày update</t>
        </is>
      </c>
      <c r="B192" s="252" t="inlineStr">
        <is>
          <t>NGAY_UPDATE</t>
        </is>
      </c>
      <c r="C192" s="246" t="n"/>
      <c r="D192" s="256" t="inlineStr">
        <is>
          <t>កាលបរិច្ឆេទupdate</t>
        </is>
      </c>
      <c r="E192" s="246" t="n"/>
      <c r="F192" t="inlineStr">
        <is>
          <t>កាលបរិច្ឆេទupdate</t>
        </is>
      </c>
    </row>
    <row r="193">
      <c r="A193" s="246" t="inlineStr">
        <is>
          <t>Mã khách hàng</t>
        </is>
      </c>
      <c r="B193" s="254" t="inlineStr">
        <is>
          <t>MA_KHACHHANG</t>
        </is>
      </c>
      <c r="C193" s="246" t="n"/>
      <c r="D193" s="256" t="inlineStr">
        <is>
          <t>លេខកូដអតិថិជន</t>
        </is>
      </c>
      <c r="E193" s="246" t="n"/>
      <c r="F193" t="inlineStr">
        <is>
          <t>លេខកូដអតិថិជន</t>
        </is>
      </c>
    </row>
    <row r="194">
      <c r="A194" s="246" t="inlineStr">
        <is>
          <t>Bưu cục gốc</t>
        </is>
      </c>
      <c r="B194" s="252" t="inlineStr">
        <is>
          <t>BUU CUC GOC</t>
        </is>
      </c>
      <c r="C194" s="246" t="n"/>
      <c r="D194" s="256" t="inlineStr">
        <is>
          <t>ការិយាល័យប្រៃសណីយ៍ដើម</t>
        </is>
      </c>
      <c r="E194" s="246" t="n"/>
      <c r="F194" t="inlineStr">
        <is>
          <t>ការិយាល័យប្រៃសណីយ៍ដើម</t>
        </is>
      </c>
    </row>
    <row r="195">
      <c r="A195" s="246" t="inlineStr">
        <is>
          <t>Chi nhánh gốc</t>
        </is>
      </c>
      <c r="B195" s="252" t="inlineStr">
        <is>
          <t>CHI NHANH GOC</t>
        </is>
      </c>
      <c r="C195" s="246" t="n"/>
      <c r="D195" s="256" t="inlineStr">
        <is>
          <t>សាខាដើម</t>
        </is>
      </c>
      <c r="E195" s="246" t="n"/>
      <c r="F195" t="inlineStr">
        <is>
          <t>សាខាដើម</t>
        </is>
      </c>
    </row>
    <row r="196">
      <c r="A196" s="246" t="inlineStr">
        <is>
          <t>Loại trước</t>
        </is>
      </c>
      <c r="B196" s="252" t="inlineStr">
        <is>
          <t>LOAI_TRUOC</t>
        </is>
      </c>
      <c r="C196" s="246" t="n"/>
      <c r="D196" s="256" t="inlineStr">
        <is>
          <t>ប្រភេទ trước</t>
        </is>
      </c>
      <c r="E196" s="246" t="n"/>
      <c r="F196" t="inlineStr">
        <is>
          <t>ប្រភេទ trước</t>
        </is>
      </c>
    </row>
    <row r="197">
      <c r="A197" s="246" t="inlineStr">
        <is>
          <t>Loại sau</t>
        </is>
      </c>
      <c r="B197" s="252" t="inlineStr">
        <is>
          <t>LOAI_SAU</t>
        </is>
      </c>
      <c r="C197" s="246" t="n"/>
      <c r="D197" s="256" t="inlineStr">
        <is>
          <t>ប្រភេទ sau</t>
        </is>
      </c>
      <c r="E197" s="246" t="n"/>
      <c r="F197" t="inlineStr">
        <is>
          <t>ប្រភេទ sau</t>
        </is>
      </c>
    </row>
    <row r="198">
      <c r="A198" s="246" t="inlineStr">
        <is>
          <t>Mức độ</t>
        </is>
      </c>
      <c r="B198" s="252" t="inlineStr">
        <is>
          <t>MUC_DO</t>
        </is>
      </c>
      <c r="C198" s="246" t="n"/>
      <c r="D198" s="256" t="inlineStr">
        <is>
          <t>Mức độ</t>
        </is>
      </c>
      <c r="E198" s="246" t="n"/>
      <c r="F198" t="inlineStr">
        <is>
          <t>Mức độ</t>
        </is>
      </c>
    </row>
    <row r="199">
      <c r="A199" s="246" t="inlineStr">
        <is>
          <t>Nguồn tiếp nhận</t>
        </is>
      </c>
      <c r="B199" s="252" t="inlineStr">
        <is>
          <t>NGUON TIEP NHAN</t>
        </is>
      </c>
      <c r="C199" s="246" t="n"/>
      <c r="D199" s="256" t="inlineStr">
        <is>
          <t>Nguồn tiếp ទទួល</t>
        </is>
      </c>
      <c r="E199" s="246" t="n"/>
      <c r="F199" t="inlineStr">
        <is>
          <t>Nguồn tiếp ទទួល</t>
        </is>
      </c>
    </row>
    <row r="200">
      <c r="A200" s="246" t="inlineStr">
        <is>
          <t>Nội dung</t>
        </is>
      </c>
      <c r="B200" s="252" t="inlineStr">
        <is>
          <t>NOI_DUNG</t>
        </is>
      </c>
      <c r="C200" s="246" t="n"/>
      <c r="D200" s="256" t="inlineStr">
        <is>
          <t>ខ្លឹមសារ</t>
        </is>
      </c>
      <c r="E200" s="246" t="n"/>
      <c r="F200" t="inlineStr">
        <is>
          <t>ខ្លឹមសារ</t>
        </is>
      </c>
    </row>
    <row r="201">
      <c r="A201" s="246" t="inlineStr">
        <is>
          <t>Mã phiếu gửi</t>
        </is>
      </c>
      <c r="B201" s="254" t="inlineStr">
        <is>
          <t>MA_PHIEUGUI</t>
        </is>
      </c>
      <c r="C201" s="246" t="n"/>
      <c r="D201" s="256" t="inlineStr">
        <is>
          <t>លេខកូដបុងបញ្ញើ</t>
        </is>
      </c>
      <c r="E201" s="246" t="n"/>
      <c r="F201" t="inlineStr">
        <is>
          <t>លេខកូដបុងបញ្ញើ</t>
        </is>
      </c>
    </row>
    <row r="202">
      <c r="A202" s="246" t="inlineStr">
        <is>
          <t>Mã dịch vụ</t>
        </is>
      </c>
      <c r="B202" s="252" t="inlineStr">
        <is>
          <t>MA DICH VU</t>
        </is>
      </c>
      <c r="C202" s="246" t="n"/>
      <c r="D202" s="256" t="inlineStr">
        <is>
          <t>លេខកូដសេវាកម្ម</t>
        </is>
      </c>
      <c r="E202" s="246" t="n"/>
      <c r="F202" t="inlineStr">
        <is>
          <t>លេខកូដសេវាកម្ម</t>
        </is>
      </c>
    </row>
    <row r="203">
      <c r="A203" s="246" t="inlineStr">
        <is>
          <t>Bưu cục nhập</t>
        </is>
      </c>
      <c r="B203" s="252" t="inlineStr">
        <is>
          <t>BUUCUC_NHẬP</t>
        </is>
      </c>
      <c r="C203" s="246" t="n"/>
      <c r="D203" s="256" t="inlineStr">
        <is>
          <t>ការិយាល័យប្រៃសណីយ៍បញ្ចូលទិន្នន័យ</t>
        </is>
      </c>
      <c r="E203" s="246" t="n"/>
      <c r="F203" t="inlineStr">
        <is>
          <t>ការិយាល័យប្រៃសណីយ៍បញ្ចូលទិន្នន័យ</t>
        </is>
      </c>
    </row>
    <row r="204">
      <c r="A204" s="246" t="inlineStr">
        <is>
          <t>Người nhập khiếu nại</t>
        </is>
      </c>
      <c r="B204" s="252" t="inlineStr">
        <is>
          <t>NGUOI_NHAP KN</t>
        </is>
      </c>
      <c r="C204" s="246" t="n"/>
      <c r="D204" s="256" t="inlineStr">
        <is>
          <t>Người nhập ពាក្យបណ្ដឹង</t>
        </is>
      </c>
      <c r="E204" s="246" t="n"/>
      <c r="F204" t="inlineStr">
        <is>
          <t>Người nhập ពាក្យបណ្ដឹង</t>
        </is>
      </c>
    </row>
    <row r="205">
      <c r="A205" s="246" t="inlineStr">
        <is>
          <t>bưu cục phát sinh khiếu nại</t>
        </is>
      </c>
      <c r="B205" s="254" t="inlineStr">
        <is>
          <t>BUUCUC_PHAT SINH KN</t>
        </is>
      </c>
      <c r="C205" s="246" t="n"/>
      <c r="D205" s="256" t="inlineStr">
        <is>
          <t>ការិយាល័យប្រៃសណីយ៍ ដឹកចែក sinh ពាក្យបណ្ដឹង</t>
        </is>
      </c>
      <c r="E205" s="246" t="n"/>
      <c r="F205" t="inlineStr">
        <is>
          <t>ការិយាល័យប្រៃសណីយ៍ ដឹកចែក sinh ពាក្យបណ្ដឹង</t>
        </is>
      </c>
    </row>
    <row r="206">
      <c r="A206" s="246" t="inlineStr">
        <is>
          <t>Chi nhánh phát sinh</t>
        </is>
      </c>
      <c r="B206" s="252" t="inlineStr">
        <is>
          <t>CHI NHANH PHAT SINH</t>
        </is>
      </c>
      <c r="C206" s="246" t="n"/>
      <c r="D206" s="256" t="inlineStr">
        <is>
          <t>សាខា ដឹកចែក sinh</t>
        </is>
      </c>
      <c r="E206" s="246" t="n"/>
      <c r="F206" t="inlineStr">
        <is>
          <t>សាខា ដឹកចែក sinh</t>
        </is>
      </c>
    </row>
    <row r="207">
      <c r="A207" s="246" t="inlineStr">
        <is>
          <t>Vùng phát sinh</t>
        </is>
      </c>
      <c r="B207" s="254" t="inlineStr">
        <is>
          <t>VUNG PHAT SINH</t>
        </is>
      </c>
      <c r="C207" s="246" t="n"/>
      <c r="D207" s="256" t="inlineStr">
        <is>
          <t>តំបន់ ដឹកចែក sinh</t>
        </is>
      </c>
      <c r="E207" s="246" t="n"/>
      <c r="F207" t="inlineStr">
        <is>
          <t>តំបន់ ដឹកចែក sinh</t>
        </is>
      </c>
    </row>
    <row r="208">
      <c r="A208" s="246" t="inlineStr">
        <is>
          <t>Bưu cục xử lý</t>
        </is>
      </c>
      <c r="B208" s="256" t="inlineStr">
        <is>
          <t>BUUCUC_XU LY</t>
        </is>
      </c>
      <c r="C208" s="246" t="n"/>
      <c r="D208" s="256" t="inlineStr">
        <is>
          <t>ការិយាល័យប្រៃសណីយ៍ xử lý</t>
        </is>
      </c>
      <c r="E208" s="246" t="n"/>
      <c r="F208" t="inlineStr">
        <is>
          <t>ការិយាល័យប្រៃសណីយ៍ xử lý</t>
        </is>
      </c>
    </row>
    <row r="209">
      <c r="A209" s="246" t="inlineStr">
        <is>
          <t>Chi nhánh xử lý</t>
        </is>
      </c>
      <c r="B209" s="256" t="inlineStr">
        <is>
          <t>CHI NHANH XU LY</t>
        </is>
      </c>
      <c r="C209" s="246" t="n"/>
      <c r="D209" s="256" t="inlineStr">
        <is>
          <t>សាខា xử lý</t>
        </is>
      </c>
      <c r="E209" s="246" t="n"/>
      <c r="F209" t="inlineStr">
        <is>
          <t>សាខា xử lý</t>
        </is>
      </c>
    </row>
    <row r="210">
      <c r="A210" s="246" t="inlineStr">
        <is>
          <t>Vùng xử lý</t>
        </is>
      </c>
      <c r="B210" s="252" t="inlineStr">
        <is>
          <t>VUNG XU LY</t>
        </is>
      </c>
      <c r="C210" s="246" t="n"/>
      <c r="D210" s="256" t="inlineStr">
        <is>
          <t>តំបន់ xử lý</t>
        </is>
      </c>
      <c r="E210" s="246" t="n"/>
      <c r="F210" t="inlineStr">
        <is>
          <t>តំបន់ xử lý</t>
        </is>
      </c>
    </row>
    <row r="211">
      <c r="A211" s="246" t="inlineStr">
        <is>
          <t>Người xử lý</t>
        </is>
      </c>
      <c r="B211" s="256" t="inlineStr">
        <is>
          <t>NGUOI_XULY</t>
        </is>
      </c>
      <c r="C211" s="246" t="n"/>
      <c r="D211" s="256" t="inlineStr">
        <is>
          <t>Người xử lý</t>
        </is>
      </c>
      <c r="E211" s="246" t="n"/>
      <c r="F211" t="inlineStr">
        <is>
          <t>Người xử lý</t>
        </is>
      </c>
    </row>
    <row r="212">
      <c r="A212" s="246" t="inlineStr">
        <is>
          <t>Kết quả xử lý nội bộ</t>
        </is>
      </c>
      <c r="B212" s="256" t="inlineStr">
        <is>
          <t>KETQUA_XULY_NOIBO</t>
        </is>
      </c>
      <c r="C212" s="246" t="n"/>
      <c r="D212" s="256" t="inlineStr">
        <is>
          <t>លទ្ធផល xử lý nội bộ</t>
        </is>
      </c>
      <c r="E212" s="246" t="n"/>
      <c r="F212" t="inlineStr">
        <is>
          <t>លទ្ធផល xử lý nội bộ</t>
        </is>
      </c>
    </row>
    <row r="213">
      <c r="A213" s="246" t="inlineStr">
        <is>
          <t>Nội dung phản ánh khách hàng</t>
        </is>
      </c>
      <c r="B213" s="256" t="inlineStr">
        <is>
          <t>NOIDUNG_PHANHOI_KH</t>
        </is>
      </c>
      <c r="C213" s="246" t="n"/>
      <c r="D213" s="256" t="inlineStr">
        <is>
          <t>ខ្លឹមសារ phản ánh អតិថិជន</t>
        </is>
      </c>
      <c r="E213" s="246" t="n"/>
      <c r="F213" t="inlineStr">
        <is>
          <t>ខ្លឹមសារ phản ánh អតិថិជន</t>
        </is>
      </c>
    </row>
    <row r="214">
      <c r="A214" s="246" t="inlineStr">
        <is>
          <t>Trạng thái</t>
        </is>
      </c>
      <c r="B214" s="252" t="inlineStr">
        <is>
          <t>TRANG_THAI</t>
        </is>
      </c>
      <c r="C214" s="246" t="n"/>
      <c r="D214" s="256" t="inlineStr">
        <is>
          <t>ស្ថានភាព</t>
        </is>
      </c>
      <c r="E214" s="246" t="n"/>
      <c r="F214" t="inlineStr">
        <is>
          <t>ស្ថានភាព</t>
        </is>
      </c>
    </row>
    <row r="215">
      <c r="A215" s="246" t="inlineStr">
        <is>
          <t>Hạn xử lý</t>
        </is>
      </c>
      <c r="B215" s="256" t="inlineStr">
        <is>
          <t>HAN_XU_LY</t>
        </is>
      </c>
      <c r="C215" s="246" t="n"/>
      <c r="D215" s="256" t="inlineStr">
        <is>
          <t>Hạn xử lý</t>
        </is>
      </c>
      <c r="E215" s="246" t="n"/>
      <c r="F215" t="inlineStr">
        <is>
          <t>Hạn xử lý</t>
        </is>
      </c>
    </row>
    <row r="216">
      <c r="A216" s="246" t="inlineStr">
        <is>
          <t>Đánh giá thời gian xử lý</t>
        </is>
      </c>
      <c r="B216" s="256" t="inlineStr">
        <is>
          <t>DANH GIA THOI GIAN XU LY</t>
        </is>
      </c>
      <c r="C216" s="246" t="n"/>
      <c r="D216" s="256" t="inlineStr">
        <is>
          <t>ការវាយតម្លៃ ពេលវេលា xử lý</t>
        </is>
      </c>
      <c r="E216" s="246" t="n"/>
      <c r="F216" t="inlineStr">
        <is>
          <t>ការវាយតម្លៃ ពេលវេលា xử lý</t>
        </is>
      </c>
    </row>
    <row r="217">
      <c r="A217" s="246" t="inlineStr">
        <is>
          <t>Bưu cục xử lý chậm</t>
        </is>
      </c>
      <c r="B217" s="256" t="inlineStr">
        <is>
          <t>BUU CUC XU LY CHAM</t>
        </is>
      </c>
      <c r="C217" s="246" t="n"/>
      <c r="D217" s="256" t="inlineStr">
        <is>
          <t>ការិយាល័យប្រៃសណីយ៍ xử lý chậm</t>
        </is>
      </c>
      <c r="E217" s="246" t="n"/>
      <c r="F217" t="inlineStr">
        <is>
          <t>ការិយាល័យប្រៃសណីយ៍ xử lý chậm</t>
        </is>
      </c>
    </row>
    <row r="218">
      <c r="A218" s="246" t="inlineStr">
        <is>
          <t>Chi nhánh xử lý chậm</t>
        </is>
      </c>
      <c r="B218" s="256" t="inlineStr">
        <is>
          <t>CHI NHANH XU LY CHAM</t>
        </is>
      </c>
      <c r="C218" s="246" t="n"/>
      <c r="D218" s="256" t="inlineStr">
        <is>
          <t>សាខា xử lý chậm</t>
        </is>
      </c>
      <c r="E218" s="246" t="n"/>
      <c r="F218" t="inlineStr">
        <is>
          <t>សាខា xử lý chậm</t>
        </is>
      </c>
    </row>
    <row r="219">
      <c r="A219" s="246" t="inlineStr">
        <is>
          <t>Vùng xử lý chậm</t>
        </is>
      </c>
      <c r="B219" s="256" t="inlineStr">
        <is>
          <t>VUNG XU LY CHAM</t>
        </is>
      </c>
      <c r="C219" s="246" t="n"/>
      <c r="D219" s="256" t="inlineStr">
        <is>
          <t>តំបន់ xử lý chậm</t>
        </is>
      </c>
      <c r="E219" s="246" t="n"/>
      <c r="F219" t="inlineStr">
        <is>
          <t>តំបន់ xử lý chậm</t>
        </is>
      </c>
    </row>
    <row r="220">
      <c r="A220" s="246" t="inlineStr">
        <is>
          <t>Cá nhân mắc lỗi</t>
        </is>
      </c>
      <c r="B220" s="256" t="inlineStr">
        <is>
          <t>CA NHAN MAC LOI</t>
        </is>
      </c>
      <c r="C220" s="246" t="n"/>
      <c r="D220" s="256" t="inlineStr">
        <is>
          <t>Cá nhân mắc កំហុស</t>
        </is>
      </c>
      <c r="E220" s="246" t="n"/>
      <c r="F220" t="inlineStr">
        <is>
          <t>Cá nhân mắc កំហុស</t>
        </is>
      </c>
    </row>
    <row r="221">
      <c r="A221" s="246" t="inlineStr">
        <is>
          <t>Bưu cục mắc lỗi</t>
        </is>
      </c>
      <c r="B221" s="256" t="inlineStr">
        <is>
          <t>BUUCUC_MACLOI</t>
        </is>
      </c>
      <c r="C221" s="246" t="n"/>
      <c r="D221" s="256" t="inlineStr">
        <is>
          <t>ការិយាល័យប្រៃសណីយ៍ mắc កំហុស</t>
        </is>
      </c>
      <c r="E221" s="246" t="n"/>
      <c r="F221" t="inlineStr">
        <is>
          <t>ការិយាល័យប្រៃសណីយ៍ mắc កំហុស</t>
        </is>
      </c>
    </row>
    <row r="222">
      <c r="A222" s="246" t="inlineStr">
        <is>
          <t>Chi nhánh mắc lỗi</t>
        </is>
      </c>
      <c r="B222" s="256" t="inlineStr">
        <is>
          <t>CHI NHANH MAC LOI</t>
        </is>
      </c>
      <c r="C222" s="246" t="n"/>
      <c r="D222" s="256" t="inlineStr">
        <is>
          <t>សាខា mắc កំហុស</t>
        </is>
      </c>
      <c r="E222" s="246" t="n"/>
      <c r="F222" t="inlineStr">
        <is>
          <t>សាខា mắc កំហុស</t>
        </is>
      </c>
    </row>
    <row r="223">
      <c r="A223" s="246" t="inlineStr">
        <is>
          <t>Vùng mắc lỗi</t>
        </is>
      </c>
      <c r="B223" s="256" t="inlineStr">
        <is>
          <t>VUNG MAC LOI</t>
        </is>
      </c>
      <c r="C223" s="246" t="n"/>
      <c r="D223" s="256" t="inlineStr">
        <is>
          <t>តំបន់ mắc កំហុស</t>
        </is>
      </c>
      <c r="E223" s="246" t="n"/>
      <c r="F223" t="inlineStr">
        <is>
          <t>តំបន់ mắc កំហុស</t>
        </is>
      </c>
    </row>
    <row r="224">
      <c r="A224" s="246" t="inlineStr">
        <is>
          <t>Nguyên nhân mắc lỗi</t>
        </is>
      </c>
      <c r="B224" s="256" t="inlineStr">
        <is>
          <t>NGUYEN NHAN MAC LOI</t>
        </is>
      </c>
      <c r="C224" s="246" t="n"/>
      <c r="D224" s="256" t="inlineStr">
        <is>
          <t>Nguyên nhân mắc កំហុស</t>
        </is>
      </c>
      <c r="E224" s="246" t="n"/>
      <c r="F224" t="inlineStr">
        <is>
          <t>Nguyên nhân mắc កំហុស</t>
        </is>
      </c>
    </row>
    <row r="225">
      <c r="A225" s="246" t="inlineStr">
        <is>
          <t>Số lần phản ánh</t>
        </is>
      </c>
      <c r="B225" s="256" t="inlineStr">
        <is>
          <t>SO LAN PHAN ANH</t>
        </is>
      </c>
      <c r="C225" s="246" t="n"/>
      <c r="D225" s="256" t="inlineStr">
        <is>
          <t>Số lần phản ánh</t>
        </is>
      </c>
      <c r="E225" s="246" t="n"/>
      <c r="F225" t="inlineStr">
        <is>
          <t>Số lần phản ánh</t>
        </is>
      </c>
    </row>
    <row r="226">
      <c r="A226" s="246" t="inlineStr">
        <is>
          <t>Mã lý do gia hạn</t>
        </is>
      </c>
      <c r="B226" s="256" t="inlineStr">
        <is>
          <t>MA_LYDO_GIAHAN</t>
        </is>
      </c>
      <c r="C226" s="246" t="n"/>
      <c r="D226" s="256" t="inlineStr">
        <is>
          <t>លេខកូដមូលហេតុ gia hạn</t>
        </is>
      </c>
      <c r="E226" s="246" t="n"/>
      <c r="F226" t="inlineStr">
        <is>
          <t>លេខកូដមូលហេតុ gia hạn</t>
        </is>
      </c>
    </row>
    <row r="227">
      <c r="A227" s="246" t="inlineStr">
        <is>
          <t>Lý do gia hạn</t>
        </is>
      </c>
      <c r="B227" s="256" t="inlineStr">
        <is>
          <t>LYDO_GIAHAN</t>
        </is>
      </c>
      <c r="C227" s="246" t="n"/>
      <c r="D227" s="256" t="inlineStr">
        <is>
          <t>មូលហេតុ gia hạn</t>
        </is>
      </c>
      <c r="E227" s="246" t="n"/>
      <c r="F227" t="inlineStr">
        <is>
          <t>មូលហេតុ gia hạn</t>
        </is>
      </c>
    </row>
    <row r="228">
      <c r="A228" s="246" t="inlineStr">
        <is>
          <t>Đối tượng</t>
        </is>
      </c>
      <c r="B228" s="256" t="inlineStr">
        <is>
          <t>DOI_TUONG</t>
        </is>
      </c>
      <c r="C228" s="246" t="n"/>
      <c r="D228" s="256" t="inlineStr">
        <is>
          <t>Đối tượng</t>
        </is>
      </c>
      <c r="E228" s="246" t="n"/>
      <c r="F228" t="inlineStr">
        <is>
          <t>Đối tượng</t>
        </is>
      </c>
    </row>
    <row r="229">
      <c r="A229" s="246" t="inlineStr">
        <is>
          <t>Nhóm dịch vụ</t>
        </is>
      </c>
      <c r="B229" s="256" t="inlineStr">
        <is>
          <t>MHOM_DV</t>
        </is>
      </c>
      <c r="C229" s="246" t="n"/>
      <c r="D229" s="256" t="inlineStr">
        <is>
          <t>ក្រុម dịch vụ</t>
        </is>
      </c>
      <c r="E229" s="246" t="n"/>
      <c r="F229" t="inlineStr">
        <is>
          <t>ក្រុម dịch vụ</t>
        </is>
      </c>
    </row>
    <row r="230">
      <c r="A230" s="246" t="inlineStr">
        <is>
          <t>Mức độ cảnh báo</t>
        </is>
      </c>
      <c r="B230" s="256" t="inlineStr">
        <is>
          <t>MUC DO CANH BAO</t>
        </is>
      </c>
      <c r="C230" s="246" t="n"/>
      <c r="D230" s="256" t="inlineStr">
        <is>
          <t>Mức độ ការដាស់តឿន</t>
        </is>
      </c>
      <c r="E230" s="246" t="n"/>
      <c r="F230" t="inlineStr">
        <is>
          <t>Mức độ ការដាស់តឿន</t>
        </is>
      </c>
    </row>
    <row r="231">
      <c r="A231" s="246" t="inlineStr">
        <is>
          <t>Đánh giá chất lượng xử lý</t>
        </is>
      </c>
      <c r="B231" s="256" t="inlineStr">
        <is>
          <t>DANH GIA CHAT LUONG XU LY</t>
        </is>
      </c>
      <c r="C231" s="246" t="n"/>
      <c r="D231" s="256" t="inlineStr">
        <is>
          <t>ការវាយតម្លៃ គុណភាព xử lý</t>
        </is>
      </c>
      <c r="E231" s="246" t="n"/>
      <c r="F231" t="inlineStr">
        <is>
          <t>ការវាយតម្លៃ គុណភាព xử lý</t>
        </is>
      </c>
    </row>
    <row r="232">
      <c r="A232" s="246" t="inlineStr">
        <is>
          <t>Đánh giá phân loại khiếu nại</t>
        </is>
      </c>
      <c r="B232" s="256" t="inlineStr">
        <is>
          <t>DANH GIA PHAN LOAI KN</t>
        </is>
      </c>
      <c r="C232" s="246" t="n"/>
      <c r="D232" s="256" t="inlineStr">
        <is>
          <t>ការវាយតម្លៃ ចំណាត់ថ្នាក់ ពាក្យបណ្ដឹង</t>
        </is>
      </c>
      <c r="E232" s="246" t="n"/>
      <c r="F232" t="inlineStr">
        <is>
          <t>ការវាយតម្លៃ ចំណាត់ថ្នាក់ ពាក្យបណ្ដឹង</t>
        </is>
      </c>
    </row>
    <row r="233">
      <c r="A233" s="246" t="inlineStr">
        <is>
          <t>Đánh giá gia hạn khiếu nại</t>
        </is>
      </c>
      <c r="B233" s="256" t="inlineStr">
        <is>
          <t>DANH GIA GIA HAN KN</t>
        </is>
      </c>
      <c r="C233" s="246" t="n"/>
      <c r="D233" s="256" t="inlineStr">
        <is>
          <t>ការវាយតម្លៃ gia hạn ពាក្យបណ្ដឹង</t>
        </is>
      </c>
      <c r="E233" s="246" t="n"/>
      <c r="F233" t="inlineStr">
        <is>
          <t>ការវាយតម្លៃ gia hạn ពាក្យបណ្ដឹង</t>
        </is>
      </c>
    </row>
    <row r="234">
      <c r="A234" s="246" t="inlineStr">
        <is>
          <t>Đánh giá chất lượng DTV tiếp nhận</t>
        </is>
      </c>
      <c r="B234" s="256" t="inlineStr">
        <is>
          <t>DANH GIA CHAT LUONG DTV TIEP NHAN</t>
        </is>
      </c>
      <c r="C234" s="246" t="n"/>
      <c r="D234" s="256" t="inlineStr">
        <is>
          <t>ការវាយតម្លៃ គុណភាព DTV tiếp ទទួល</t>
        </is>
      </c>
      <c r="E234" s="246" t="n"/>
      <c r="F234" t="inlineStr">
        <is>
          <t>ការវាយតម្លៃ គុណភាព DTV tiếp ទទួល</t>
        </is>
      </c>
    </row>
    <row r="235">
      <c r="A235" s="246" t="inlineStr">
        <is>
          <t>Loại đơn</t>
        </is>
      </c>
      <c r="B235" s="256" t="inlineStr">
        <is>
          <t>LOAI DON</t>
        </is>
      </c>
      <c r="C235" s="246" t="n"/>
      <c r="D235" s="256" t="inlineStr">
        <is>
          <t>ប្រភេទ បញ្ញើ</t>
        </is>
      </c>
      <c r="E235" s="246" t="n"/>
      <c r="F235" t="inlineStr">
        <is>
          <t>ប្រភេទ បញ្ញើ</t>
        </is>
      </c>
    </row>
    <row r="236">
      <c r="A236" s="246" t="inlineStr">
        <is>
          <t>Loại hàng</t>
        </is>
      </c>
      <c r="B236" s="256" t="inlineStr">
        <is>
          <t>LOAI HANG</t>
        </is>
      </c>
      <c r="C236" s="246" t="n"/>
      <c r="D236" s="256" t="inlineStr">
        <is>
          <t>ប្រភេទ ទំនិញ</t>
        </is>
      </c>
      <c r="E236" s="246" t="n"/>
      <c r="F236" t="inlineStr">
        <is>
          <t>ប្រភេទ ទំនិញ</t>
        </is>
      </c>
    </row>
    <row r="237">
      <c r="A237" s="246" t="inlineStr">
        <is>
          <t>Khiếu nại xử lý thành công lần đầu tương tác</t>
        </is>
      </c>
      <c r="B237" s="256" t="inlineStr">
        <is>
          <t>KHIEU NAI XU LY THANH CONG LAN DAU TUONG TAC</t>
        </is>
      </c>
      <c r="C237" s="246" t="n"/>
      <c r="D237" s="256" t="inlineStr">
        <is>
          <t>ពាក្យបណ្ដឹង xử lý ជោគជ័យ lần đầu tương tác</t>
        </is>
      </c>
      <c r="E237" s="246" t="n"/>
      <c r="F237" t="inlineStr">
        <is>
          <t>ពាក្យបណ្ដឹង xử lý ជោគជ័យ lần đầu tương tác</t>
        </is>
      </c>
    </row>
    <row r="238">
      <c r="A238" s="246" t="inlineStr">
        <is>
          <t>Tuổi tồn khiếu nại</t>
        </is>
      </c>
      <c r="B238" s="256" t="inlineStr">
        <is>
          <t>TUOI TON KHIEU NAI</t>
        </is>
      </c>
      <c r="C238" s="246" t="n"/>
      <c r="D238" s="256" t="inlineStr">
        <is>
          <t>Tuổi tồn ពាក្យបណ្ដឹង</t>
        </is>
      </c>
      <c r="E238" s="246" t="n"/>
      <c r="F238" t="inlineStr">
        <is>
          <t>Tuổi tồn ពាក្យបណ្ដឹង</t>
        </is>
      </c>
    </row>
    <row r="239">
      <c r="A239" s="246" t="inlineStr">
        <is>
          <t>Phân loại khiếu nại cấp 1</t>
        </is>
      </c>
      <c r="B239" s="256" t="inlineStr">
        <is>
          <t>PHAN LOAI KHIEU NAI CAP 1</t>
        </is>
      </c>
      <c r="C239" s="246" t="n"/>
      <c r="D239" s="256" t="inlineStr">
        <is>
          <t>ចំណាត់ថ្នាក់ ពាក្យបណ្ដឹង cấp 1</t>
        </is>
      </c>
      <c r="E239" s="246" t="n"/>
      <c r="F239" t="inlineStr">
        <is>
          <t>ចំណាត់ថ្នាក់ ពាក្យបណ្ដឹង cấp 1</t>
        </is>
      </c>
    </row>
    <row r="240">
      <c r="A240" s="246" t="inlineStr">
        <is>
          <t>Phân loại khiếu nại cấp 3</t>
        </is>
      </c>
      <c r="B240" s="256" t="inlineStr">
        <is>
          <t>PHAN LOAI KHIEU NAI CAP 3</t>
        </is>
      </c>
      <c r="C240" s="246" t="n"/>
      <c r="D240" s="256" t="inlineStr">
        <is>
          <t>ចំណាត់ថ្នាក់ ពាក្យបណ្ដឹង cấp 3</t>
        </is>
      </c>
      <c r="E240" s="246" t="n"/>
      <c r="F240" t="inlineStr">
        <is>
          <t>ចំណាត់ថ្នាក់ ពាក្យបណ្ដឹង cấp 3</t>
        </is>
      </c>
    </row>
    <row r="241">
      <c r="A241" s="246" t="n"/>
      <c r="B241" s="256" t="inlineStr">
        <is>
          <t>PHAN_LOẠI_PHAN_ANH</t>
        </is>
      </c>
      <c r="C241" s="246" t="n"/>
      <c r="D241" s="256" t="inlineStr">
        <is>
          <t>PHAN_LOẠI_PHAN_ANH</t>
        </is>
      </c>
      <c r="E241" s="246" t="n"/>
      <c r="F241" t="inlineStr">
        <is>
          <t>PHAN_LOẠI_PHAN_ANH</t>
        </is>
      </c>
    </row>
    <row r="242">
      <c r="A242" s="246" t="n"/>
      <c r="B242" s="257" t="inlineStr">
        <is>
          <t>Báo cáo tổng hợp khâu nhận - khâu phát</t>
        </is>
      </c>
      <c r="C242" s="246" t="n"/>
      <c r="D242" s="236" t="inlineStr">
        <is>
          <t>របាយការណ៍សង្ខេបនៃដំណើរការទទួល និងដឹកជញ្ជូន</t>
        </is>
      </c>
      <c r="E242" s="246" t="n"/>
      <c r="F242" t="inlineStr">
        <is>
          <t>របាយការណ៍សង្ខេបនៃដំណើរការទទួល និងដឹកជញ្ជូន</t>
        </is>
      </c>
    </row>
    <row r="243">
      <c r="A243" s="246" t="n"/>
      <c r="B243" s="258" t="inlineStr">
        <is>
          <t>Cập nhật báo cáo lần cuối lúc</t>
        </is>
      </c>
      <c r="C243" s="246" t="n"/>
      <c r="D243" s="236" t="inlineStr">
        <is>
          <t>របាយការណ៍បានធ្វើបច្ចុប្បន្នភាពចុងក្រោយនៅ</t>
        </is>
      </c>
      <c r="E243" s="246" t="n"/>
      <c r="F243" t="inlineStr">
        <is>
          <t>របាយការណ៍បានធ្វើបច្ចុប្បន្នភាពចុងក្រោយនៅ</t>
        </is>
      </c>
    </row>
    <row r="244">
      <c r="A244" s="246" t="n"/>
      <c r="B244" s="258" t="inlineStr">
        <is>
          <t>Chi nhánh</t>
        </is>
      </c>
      <c r="C244" s="246" t="n"/>
      <c r="D244" s="236" t="inlineStr">
        <is>
          <t>សាខា</t>
        </is>
      </c>
      <c r="E244" s="246" t="n"/>
      <c r="F244" t="inlineStr">
        <is>
          <t>សាខា</t>
        </is>
      </c>
    </row>
    <row r="245">
      <c r="A245" s="246" t="n"/>
      <c r="B245" s="259" t="inlineStr">
        <is>
          <t>Yêu cầu thu</t>
        </is>
      </c>
      <c r="C245" s="246" t="n"/>
      <c r="D245" s="236" t="inlineStr">
        <is>
          <t>សំណើប្រមូល</t>
        </is>
      </c>
      <c r="E245" s="246" t="n"/>
      <c r="F245" t="inlineStr">
        <is>
          <t>សំណើប្រមូល</t>
        </is>
      </c>
    </row>
    <row r="246">
      <c r="A246" s="246" t="n"/>
      <c r="B246" s="258" t="inlineStr">
        <is>
          <t>Thu thành công</t>
        </is>
      </c>
      <c r="C246" s="246" t="n"/>
      <c r="D246" s="236" t="inlineStr">
        <is>
          <t>ការប្រមូលជោគជ័យ</t>
        </is>
      </c>
      <c r="E246" s="246" t="n"/>
      <c r="F246" t="inlineStr">
        <is>
          <t>ការប្រមូលជោគជ័យ</t>
        </is>
      </c>
    </row>
    <row r="247">
      <c r="A247" s="246" t="inlineStr">
        <is>
          <t>Tỷ lệ thực hiện</t>
        </is>
      </c>
      <c r="B247" s="259" t="inlineStr">
        <is>
          <t>TLTH (%)</t>
        </is>
      </c>
      <c r="C247" s="246" t="n"/>
      <c r="D247" s="236" t="inlineStr">
        <is>
          <t>ភាគរយនៃការប្រមូល (%)</t>
        </is>
      </c>
      <c r="E247" s="246" t="n"/>
      <c r="F247" t="inlineStr">
        <is>
          <t>ភាគរយនៃការប្រមូល (%)</t>
        </is>
      </c>
    </row>
    <row r="248">
      <c r="A248" s="246" t="n"/>
      <c r="B248" s="258" t="inlineStr">
        <is>
          <t>Thu thành công trước 16h</t>
        </is>
      </c>
      <c r="C248" s="246" t="n"/>
      <c r="D248" s="236" t="inlineStr">
        <is>
          <t>ការប្រមូលជោគជ័យមុនម៉ោង 4 រសៀល</t>
        </is>
      </c>
      <c r="E248" s="246" t="n"/>
      <c r="F248" t="inlineStr">
        <is>
          <t>ការប្រមូលជោគជ័យមុនម៉ោង 4 រសៀល</t>
        </is>
      </c>
    </row>
    <row r="249">
      <c r="A249" s="246" t="n"/>
      <c r="B249" s="258" t="inlineStr">
        <is>
          <t>Thu thành công sau 16h</t>
        </is>
      </c>
      <c r="C249" s="246" t="n"/>
      <c r="D249" s="236" t="inlineStr">
        <is>
          <t>ការប្រមូលជោគជ័យបន្ទាប់ពីម៉ោង 4 រសៀល</t>
        </is>
      </c>
      <c r="E249" s="246" t="n"/>
      <c r="F249" t="inlineStr">
        <is>
          <t>ការប្រមូលជោគជ័យបន្ទាប់ពីម៉ោង 4 រសៀល</t>
        </is>
      </c>
    </row>
    <row r="250">
      <c r="A250" s="246" t="n"/>
      <c r="B250" s="258" t="inlineStr">
        <is>
          <t>Thu thành công đúng giờ</t>
        </is>
      </c>
      <c r="C250" s="246" t="n"/>
      <c r="D250" s="236" t="inlineStr">
        <is>
          <t>ការប្រមូលជោគជ័យតាមពេលវេលា</t>
        </is>
      </c>
      <c r="E250" s="246" t="n"/>
      <c r="F250" t="inlineStr">
        <is>
          <t>ការប្រមូលជោគជ័យតាមពេលវេលា</t>
        </is>
      </c>
    </row>
    <row r="251">
      <c r="A251" s="246" t="n"/>
      <c r="B251" s="258" t="inlineStr">
        <is>
          <t>Thu đúng giờ lần 1</t>
        </is>
      </c>
      <c r="C251" s="246" t="n"/>
      <c r="D251" s="236" t="inlineStr">
        <is>
          <t>ការប្រមូលតាមពេលវេលាដំបូង</t>
        </is>
      </c>
      <c r="E251" s="246" t="n"/>
      <c r="F251" t="inlineStr">
        <is>
          <t>ការប្រមូលតាមពេលវេលាដំបូង</t>
        </is>
      </c>
    </row>
    <row r="252">
      <c r="A252" s="246" t="n"/>
      <c r="B252" s="258" t="inlineStr">
        <is>
          <t>Đơn hủy nhận</t>
        </is>
      </c>
      <c r="C252" s="246" t="n"/>
      <c r="D252" s="236" t="inlineStr">
        <is>
          <t>បានលុបបុងចោលបុងបញ្ញើ</t>
        </is>
      </c>
      <c r="E252" s="246" t="n"/>
      <c r="F252" t="inlineStr">
        <is>
          <t>បានលុបបុងចោលបុងបញ្ញើ</t>
        </is>
      </c>
    </row>
    <row r="253">
      <c r="A253" s="246" t="n"/>
      <c r="B253" s="258" t="inlineStr">
        <is>
          <t>Khâu phát</t>
        </is>
      </c>
      <c r="C253" s="246" t="n"/>
      <c r="D253" s="236" t="inlineStr">
        <is>
          <t>ដំណើរការដឹកជញ្ជូន</t>
        </is>
      </c>
      <c r="E253" s="246" t="n"/>
      <c r="F253" t="inlineStr">
        <is>
          <t>ដំណើរការដឹកជញ្ជូន</t>
        </is>
      </c>
    </row>
    <row r="254">
      <c r="A254" s="246" t="n"/>
      <c r="B254" s="259" t="inlineStr">
        <is>
          <t>Phân công phát</t>
        </is>
      </c>
      <c r="C254" s="246" t="n"/>
      <c r="D254" s="236" t="inlineStr">
        <is>
          <t>កិច្ចការដឹកជញ្ជូន</t>
        </is>
      </c>
      <c r="E254" s="246" t="n"/>
      <c r="F254" t="inlineStr">
        <is>
          <t>កិច្ចការដឹកជញ្ជូន</t>
        </is>
      </c>
    </row>
    <row r="255">
      <c r="A255" s="246" t="n"/>
      <c r="B255" s="258" t="inlineStr">
        <is>
          <t>Phát thành công</t>
        </is>
      </c>
      <c r="C255" s="246" t="n"/>
      <c r="D255" s="236" t="inlineStr">
        <is>
          <t>ការដឹកជញ្ជូនជោគជ័យ</t>
        </is>
      </c>
      <c r="E255" s="246" t="n"/>
      <c r="F255" t="inlineStr">
        <is>
          <t>ការដឹកជញ្ជូនជោគជ័យ</t>
        </is>
      </c>
    </row>
    <row r="256">
      <c r="A256" s="246" t="n"/>
      <c r="B256" s="258" t="inlineStr">
        <is>
          <t>Phát thành công COD</t>
        </is>
      </c>
      <c r="C256" s="246" t="n"/>
      <c r="D256" s="236" t="inlineStr">
        <is>
          <t>ការដឹកជញ្ជូន COD ជោគជ័យ</t>
        </is>
      </c>
      <c r="E256" s="246" t="n"/>
      <c r="F256" t="inlineStr">
        <is>
          <t>ការដឹកជញ្ជូន COD ជោគជ័យ</t>
        </is>
      </c>
    </row>
    <row r="257">
      <c r="A257" s="246" t="n"/>
      <c r="B257" s="258" t="inlineStr">
        <is>
          <t>Phát thành công Non-COD</t>
        </is>
      </c>
      <c r="C257" s="246" t="n"/>
      <c r="D257" s="236" t="inlineStr">
        <is>
          <t>ការដឹកជញ្ជូនមិន COD ជោគជ័យ</t>
        </is>
      </c>
      <c r="E257" s="246" t="n"/>
      <c r="F257" t="inlineStr">
        <is>
          <t>ការដឹកជញ្ជូនមិន COD ជោគជ័យ</t>
        </is>
      </c>
    </row>
    <row r="258">
      <c r="A258" s="246" t="n"/>
      <c r="B258" s="258" t="inlineStr">
        <is>
          <t>Phát thành công đúng giờ</t>
        </is>
      </c>
      <c r="C258" s="246" t="n"/>
      <c r="D258" s="236" t="inlineStr">
        <is>
          <t>ការដឹកជញ្ជូនទាន់ពេលវេលាប្រកបដោយជោគជ័យ</t>
        </is>
      </c>
      <c r="E258" s="246" t="n"/>
      <c r="F258" t="inlineStr">
        <is>
          <t>ការដឹកជញ្ជូនទាន់ពេលវេលាប្រកបដោយជោគជ័យ</t>
        </is>
      </c>
    </row>
    <row r="259">
      <c r="A259" s="246" t="n"/>
      <c r="B259" s="258" t="inlineStr">
        <is>
          <t>Phát đúng giờ lần 1</t>
        </is>
      </c>
      <c r="C259" s="246" t="n"/>
      <c r="D259" s="236" t="inlineStr">
        <is>
          <t>ការដឹកជញ្ជូនតាមពេលវេលាដំបូង</t>
        </is>
      </c>
      <c r="E259" s="246" t="n"/>
      <c r="F259" t="inlineStr">
        <is>
          <t>ការដឹកជញ្ជូនតាមពេលវេលាដំបូង</t>
        </is>
      </c>
    </row>
    <row r="260">
      <c r="A260" s="246" t="n"/>
      <c r="B260" s="258" t="inlineStr">
        <is>
          <t>Hoàn</t>
        </is>
      </c>
      <c r="C260" s="246" t="n"/>
      <c r="D260" s="236" t="inlineStr">
        <is>
          <t>បានបញ្ចប់</t>
        </is>
      </c>
      <c r="E260" s="246" t="n"/>
      <c r="F260" t="inlineStr">
        <is>
          <t>បានបញ្ចប់</t>
        </is>
      </c>
    </row>
    <row r="261">
      <c r="A261" s="246" t="n"/>
      <c r="B261" s="246" t="inlineStr">
        <is>
          <t>Lũy kế ngày</t>
        </is>
      </c>
      <c r="C261" s="246" t="n"/>
      <c r="D261" s="236" t="inlineStr">
        <is>
          <t>ប្រមូលផ្តុំសម្រាប់ថ្ងៃ</t>
        </is>
      </c>
      <c r="E261" s="246" t="n"/>
      <c r="F261" t="inlineStr">
        <is>
          <t>ប្រមូលផ្តុំសម្រាប់ថ្ងៃ</t>
        </is>
      </c>
    </row>
    <row r="262">
      <c r="A262" s="246" t="n"/>
      <c r="B262" s="246" t="inlineStr">
        <is>
          <t>Ngày mới</t>
        </is>
      </c>
      <c r="C262" s="246" t="n"/>
      <c r="D262" s="236" t="inlineStr">
        <is>
          <t>ថ្ងៃថ្មី។</t>
        </is>
      </c>
      <c r="E262" s="246" t="n"/>
      <c r="F262" t="inlineStr">
        <is>
          <t>ថ្ងៃថ្មី។</t>
        </is>
      </c>
    </row>
    <row r="263">
      <c r="A263" s="246" t="n"/>
      <c r="B263" s="246" t="inlineStr">
        <is>
          <t>Lũy kế tháng</t>
        </is>
      </c>
      <c r="C263" s="246" t="n"/>
      <c r="D263" s="236" t="inlineStr">
        <is>
          <t>សរុបសម្រាប់ខែ</t>
        </is>
      </c>
      <c r="E263" s="246" t="n"/>
      <c r="F263" t="inlineStr">
        <is>
          <t>សរុបសម្រាប់ខែ</t>
        </is>
      </c>
    </row>
    <row r="264">
      <c r="A264" s="246" t="n"/>
      <c r="B264" s="258" t="inlineStr">
        <is>
          <t>Tỷ lệ Hủy</t>
        </is>
      </c>
      <c r="C264" s="246" t="n"/>
      <c r="D264" s="236" t="inlineStr">
        <is>
          <t>អត្រាការលុបចោល</t>
        </is>
      </c>
      <c r="E264" s="246" t="n"/>
      <c r="F264" t="inlineStr">
        <is>
          <t>អត្រាការលុបចោល</t>
        </is>
      </c>
    </row>
    <row r="265">
      <c r="A265" s="260" t="inlineStr">
        <is>
          <t>Sản lượng thu thành công</t>
        </is>
      </c>
      <c r="B265" s="258" t="inlineStr">
        <is>
          <t>Sản lượng TTC</t>
        </is>
      </c>
      <c r="C265" s="246" t="n"/>
      <c r="D265" s="236" t="inlineStr">
        <is>
          <t>បរិមាណ TTC</t>
        </is>
      </c>
      <c r="E265" s="246" t="n"/>
      <c r="F265" t="inlineStr">
        <is>
          <t>បរិមាណ TTC</t>
        </is>
      </c>
    </row>
    <row r="266">
      <c r="A266" s="260" t="inlineStr">
        <is>
          <t>Tỷ lệ thu thành công</t>
        </is>
      </c>
      <c r="B266" s="258" t="inlineStr">
        <is>
          <t>Tỷ lệ TTC</t>
        </is>
      </c>
      <c r="C266" s="246" t="n"/>
      <c r="D266" s="236" t="inlineStr">
        <is>
          <t>អត្រា TTC</t>
        </is>
      </c>
      <c r="E266" s="246" t="n"/>
      <c r="F266" t="inlineStr">
        <is>
          <t>អត្រា TTC</t>
        </is>
      </c>
    </row>
    <row r="267">
      <c r="A267" s="246" t="n"/>
      <c r="B267" s="258" t="inlineStr">
        <is>
          <t>Yêu cầu thu trước 16H</t>
        </is>
      </c>
      <c r="C267" s="246" t="n"/>
      <c r="D267" s="236" t="inlineStr">
        <is>
          <t>សំណើដែលប្រមូលបានមុនម៉ោង 4 រសៀល</t>
        </is>
      </c>
      <c r="E267" s="246" t="n"/>
      <c r="F267" t="inlineStr">
        <is>
          <t>សំណើដែលប្រមូលបានមុនម៉ោង 4 រសៀល</t>
        </is>
      </c>
    </row>
    <row r="268">
      <c r="A268" s="260" t="inlineStr">
        <is>
          <t>Sản lượng thu thành công trước 16H</t>
        </is>
      </c>
      <c r="B268" s="258" t="inlineStr">
        <is>
          <t>Sản lượng TTC trước 16H</t>
        </is>
      </c>
      <c r="C268" s="246" t="n"/>
      <c r="D268" s="236" t="inlineStr">
        <is>
          <t>បរិមាណ TTC មុនម៉ោង 4 រសៀល</t>
        </is>
      </c>
      <c r="E268" s="246" t="n"/>
      <c r="F268" t="inlineStr">
        <is>
          <t>បរិមាណ TTC មុនម៉ោង 4 រសៀល</t>
        </is>
      </c>
    </row>
    <row r="269">
      <c r="A269" s="260" t="inlineStr">
        <is>
          <t>Tỷ lệ thu thành công trước 16H</t>
        </is>
      </c>
      <c r="B269" s="258" t="inlineStr">
        <is>
          <t>Tỷ lệ TTC trước 16H</t>
        </is>
      </c>
      <c r="C269" s="246" t="n"/>
      <c r="D269" s="236" t="inlineStr">
        <is>
          <t>អត្រា TTC មុនម៉ោង 4 រសៀល</t>
        </is>
      </c>
      <c r="E269" s="246" t="n"/>
      <c r="F269" t="inlineStr">
        <is>
          <t>អត្រា TTC មុនម៉ោង 4 រសៀល</t>
        </is>
      </c>
    </row>
    <row r="270">
      <c r="A270" s="261" t="inlineStr">
        <is>
          <t>Cùng kỳ lũy kế thu thành công trước 16H tháng</t>
        </is>
      </c>
      <c r="B270" s="261" t="inlineStr">
        <is>
          <t>Cùng kỳ lũy kế TTC trước 16H tháng</t>
        </is>
      </c>
      <c r="C270" s="262" t="n"/>
      <c r="D270" s="236" t="inlineStr">
        <is>
          <t>TTC កើនឡើងក្នុងរយៈពេលដូចគ្នាមុនម៉ោង 4 ល្ងាចប្រចាំខែ</t>
        </is>
      </c>
      <c r="E270" s="246" t="n"/>
      <c r="F270" t="inlineStr">
        <is>
          <t>TTC កើនឡើងក្នុងរយៈពេលដូចគ្នាមុនម៉ោង 4 ល្ងាចប្រចាំខែ</t>
        </is>
      </c>
    </row>
    <row r="271">
      <c r="A271" s="246" t="n"/>
      <c r="B271" s="258" t="inlineStr">
        <is>
          <t>Tăng/Giảm</t>
        </is>
      </c>
      <c r="C271" s="246" t="n"/>
      <c r="D271" s="236" t="inlineStr">
        <is>
          <t>បង្កើន/បន្ថយ</t>
        </is>
      </c>
      <c r="E271" s="246" t="n"/>
      <c r="F271" t="inlineStr">
        <is>
          <t>បង្កើន/បន្ថយ</t>
        </is>
      </c>
    </row>
    <row r="272">
      <c r="A272" s="246" t="n"/>
      <c r="B272" s="259" t="inlineStr">
        <is>
          <t>Sản lượng</t>
        </is>
      </c>
      <c r="C272" s="246" t="n"/>
      <c r="D272" s="236" t="inlineStr">
        <is>
          <t>កម្រិតសំឡេង</t>
        </is>
      </c>
      <c r="E272" s="246" t="n"/>
      <c r="F272" t="inlineStr">
        <is>
          <t>កម្រិតសំឡេង</t>
        </is>
      </c>
    </row>
    <row r="273">
      <c r="A273" s="246" t="n"/>
      <c r="B273" s="259" t="inlineStr">
        <is>
          <t>Tỷ lệ</t>
        </is>
      </c>
      <c r="C273" s="246" t="n"/>
      <c r="D273" s="236" t="inlineStr">
        <is>
          <t>អត្រា</t>
        </is>
      </c>
      <c r="E273" s="246" t="n"/>
      <c r="F273" t="inlineStr">
        <is>
          <t>អត្រា</t>
        </is>
      </c>
    </row>
    <row r="274">
      <c r="A274" s="246" t="n"/>
      <c r="B274" s="258" t="inlineStr">
        <is>
          <t>Yêu cầu thu sau 16H</t>
        </is>
      </c>
      <c r="C274" s="246" t="n"/>
      <c r="D274" s="236" t="inlineStr">
        <is>
          <t>សំណើដែលប្រមូលបានក្រោយម៉ោង 4 រសៀល</t>
        </is>
      </c>
      <c r="E274" s="246" t="n"/>
      <c r="F274" t="inlineStr">
        <is>
          <t>សំណើដែលប្រមូលបានក្រោយម៉ោង 4 រសៀល</t>
        </is>
      </c>
    </row>
    <row r="275">
      <c r="A275" s="260" t="inlineStr">
        <is>
          <t>Sản lượng thu thành công sau 16H</t>
        </is>
      </c>
      <c r="B275" s="258" t="inlineStr">
        <is>
          <t>Sản lượng TTC sau 16H</t>
        </is>
      </c>
      <c r="C275" s="246" t="n"/>
      <c r="D275" s="236" t="inlineStr">
        <is>
          <t>កម្រិតសំឡេង TTC បន្ទាប់ពីម៉ោង 4 រសៀល</t>
        </is>
      </c>
      <c r="E275" s="246" t="n"/>
      <c r="F275" t="inlineStr">
        <is>
          <t>កម្រិតសំឡេង TTC បន្ទាប់ពីម៉ោង 4 រសៀល</t>
        </is>
      </c>
    </row>
    <row r="276">
      <c r="A276" s="260" t="inlineStr">
        <is>
          <t>Tỷ lệ thu thành công sau 16H</t>
        </is>
      </c>
      <c r="B276" s="258" t="inlineStr">
        <is>
          <t>Tỷ lệ TTC sau 16H</t>
        </is>
      </c>
      <c r="C276" s="246" t="n"/>
      <c r="D276" s="236" t="inlineStr">
        <is>
          <t>អត្រា TTC បន្ទាប់ពីម៉ោង 4 រសៀល</t>
        </is>
      </c>
      <c r="E276" s="246" t="n"/>
      <c r="F276" t="inlineStr">
        <is>
          <t>អត្រា TTC បន្ទាប់ពីម៉ោង 4 រសៀល</t>
        </is>
      </c>
    </row>
    <row r="277">
      <c r="A277" s="260" t="inlineStr">
        <is>
          <t>Cùng kỳ lũy kế thu thành công sau 16H</t>
        </is>
      </c>
      <c r="B277" s="258" t="inlineStr">
        <is>
          <t>Cùng kỳ lũy kế TTC sau 16H</t>
        </is>
      </c>
      <c r="C277" s="246" t="n"/>
      <c r="D277" s="236" t="inlineStr">
        <is>
          <t>TTC កើនឡើងក្នុងរយៈពេលដូចគ្នាបន្ទាប់ពីម៉ោង 4 រសៀល</t>
        </is>
      </c>
      <c r="E277" s="246" t="n"/>
      <c r="F277" t="inlineStr">
        <is>
          <t>TTC កើនឡើងក្នុងរយៈពេលដូចគ្នាបន្ទាប់ពីម៉ោង 4 រសៀល</t>
        </is>
      </c>
    </row>
    <row r="278">
      <c r="A278" s="246" t="n"/>
      <c r="B278" s="258" t="inlineStr">
        <is>
          <t>Tăng/Giảm</t>
        </is>
      </c>
      <c r="C278" s="246" t="n"/>
      <c r="D278" s="236" t="inlineStr">
        <is>
          <t>បង្កើន/បន្ថយ</t>
        </is>
      </c>
      <c r="E278" s="246" t="n"/>
      <c r="F278" t="inlineStr">
        <is>
          <t>បង្កើន/បន្ថយ</t>
        </is>
      </c>
    </row>
    <row r="279">
      <c r="A279" s="260" t="inlineStr">
        <is>
          <t>Sản lượng thu thành công đúng giờ</t>
        </is>
      </c>
      <c r="B279" s="258" t="inlineStr">
        <is>
          <t>Sản lượng TTC đúng giờ</t>
        </is>
      </c>
      <c r="C279" s="246" t="n"/>
      <c r="D279" s="236" t="inlineStr">
        <is>
          <t>បរិមាណ TTC ទាន់ពេលវេលា</t>
        </is>
      </c>
      <c r="E279" s="246" t="n"/>
      <c r="F279" t="inlineStr">
        <is>
          <t>បរិមាណ TTC ទាន់ពេលវេលា</t>
        </is>
      </c>
    </row>
    <row r="280">
      <c r="A280" s="260" t="inlineStr">
        <is>
          <t>Tỷ lệ thu thành công đúng giờ</t>
        </is>
      </c>
      <c r="B280" s="258" t="inlineStr">
        <is>
          <t>Tỷ lệ TTC đúng giờ</t>
        </is>
      </c>
      <c r="C280" s="246" t="n"/>
      <c r="D280" s="236" t="inlineStr">
        <is>
          <t>អត្រា TTC ទាន់ពេល</t>
        </is>
      </c>
      <c r="E280" s="246" t="n"/>
      <c r="F280" t="inlineStr">
        <is>
          <t>អត្រា TTC ទាន់ពេល</t>
        </is>
      </c>
    </row>
    <row r="281">
      <c r="A281" s="260" t="inlineStr">
        <is>
          <t>Cùng kỳ lũy kế thu thành công đúng giờ tháng</t>
        </is>
      </c>
      <c r="B281" s="258" t="inlineStr">
        <is>
          <t>Cùng kỳ lũy kế TTC đúng giờ tháng</t>
        </is>
      </c>
      <c r="C281" s="246" t="n"/>
      <c r="D281" s="236" t="inlineStr">
        <is>
          <t>TTC កើនឡើងតាមពេលវេលាដូចគ្នាប្រចាំខែ</t>
        </is>
      </c>
      <c r="E281" s="246" t="n"/>
      <c r="F281" t="inlineStr">
        <is>
          <t>TTC កើនឡើងតាមពេលវេលាដូចគ្នាប្រចាំខែ</t>
        </is>
      </c>
    </row>
    <row r="282">
      <c r="A282" s="246" t="n"/>
      <c r="B282" s="258" t="inlineStr">
        <is>
          <t>Sản lượng thu đúng giờ lần 1</t>
        </is>
      </c>
      <c r="C282" s="246" t="n"/>
      <c r="D282" s="236" t="inlineStr">
        <is>
          <t>បរិមាណប្រមូលទាន់ពេល (លើកទី១)</t>
        </is>
      </c>
      <c r="E282" s="246" t="n"/>
      <c r="F282" t="inlineStr">
        <is>
          <t>បរិមាណប្រមូលទាន់ពេល (លើកទី១)</t>
        </is>
      </c>
    </row>
    <row r="283">
      <c r="A283" s="246" t="n"/>
      <c r="B283" s="258" t="inlineStr">
        <is>
          <t>Tỷ lệ thu đúng giờ lần 1</t>
        </is>
      </c>
      <c r="C283" s="246" t="n"/>
      <c r="D283" s="236" t="inlineStr">
        <is>
          <t>អត្រាប្រមូលប្រាក់ទាន់ពេល (លើកទី១)</t>
        </is>
      </c>
      <c r="E283" s="246" t="n"/>
      <c r="F283" t="inlineStr">
        <is>
          <t>អត្រាប្រមូលប្រាក់ទាន់ពេល (លើកទី១)</t>
        </is>
      </c>
    </row>
    <row r="284">
      <c r="A284" s="246" t="n"/>
      <c r="B284" s="258" t="inlineStr">
        <is>
          <t>Cùng kỳ lũy kế thu đúng giờ lần 1 tháng</t>
        </is>
      </c>
      <c r="C284" s="246" t="n"/>
      <c r="D284" s="236" t="inlineStr">
        <is>
          <t>អត្រាប្រមូលទាន់ពេលតាមពេលវេលាដូចគ្នា (លើកទី១) ប្រចាំខែ</t>
        </is>
      </c>
      <c r="E284" s="246" t="n"/>
      <c r="F284" t="inlineStr">
        <is>
          <t>អត្រាប្រមូលទាន់ពេលតាមពេលវេលាដូចគ្នា (លើកទី១) ប្រចាំខែ</t>
        </is>
      </c>
    </row>
    <row r="285">
      <c r="A285" s="246" t="inlineStr">
        <is>
          <t>Tỷ lệ phát thành công</t>
        </is>
      </c>
      <c r="B285" s="258" t="inlineStr">
        <is>
          <t>Tỷ lệ PTC</t>
        </is>
      </c>
      <c r="C285" s="246" t="n"/>
      <c r="D285" s="236" t="inlineStr">
        <is>
          <t>អត្រា PTC</t>
        </is>
      </c>
      <c r="E285" s="246" t="n"/>
      <c r="F285" t="inlineStr">
        <is>
          <t>អត្រា PTC</t>
        </is>
      </c>
    </row>
    <row r="286">
      <c r="A286" s="246" t="inlineStr">
        <is>
          <t>Sản lượng phát thành công</t>
        </is>
      </c>
      <c r="B286" s="258" t="inlineStr">
        <is>
          <t>Sản lượng PTC</t>
        </is>
      </c>
      <c r="C286" s="246" t="n"/>
      <c r="D286" s="236" t="inlineStr">
        <is>
          <t>បរិមាណ PTC</t>
        </is>
      </c>
      <c r="E286" s="246" t="n"/>
      <c r="F286" t="inlineStr">
        <is>
          <t>បរិមាណ PTC</t>
        </is>
      </c>
    </row>
    <row r="287">
      <c r="A287" s="246" t="n"/>
      <c r="B287" s="258" t="inlineStr">
        <is>
          <t>Cùng kỳ lũy kế tháng</t>
        </is>
      </c>
      <c r="C287" s="246" t="n"/>
      <c r="D287" s="236" t="inlineStr">
        <is>
          <t>រយៈពេលដូចគ្នាប្រចាំខែ</t>
        </is>
      </c>
      <c r="E287" s="246" t="n"/>
      <c r="F287" t="inlineStr">
        <is>
          <t>រយៈពេលដូចគ្នាប្រចាំខែ</t>
        </is>
      </c>
    </row>
    <row r="288">
      <c r="A288" s="246" t="inlineStr">
        <is>
          <t>Phân công phát</t>
        </is>
      </c>
      <c r="B288" s="259" t="inlineStr">
        <is>
          <t>PCP</t>
        </is>
      </c>
      <c r="C288" s="246" t="n"/>
      <c r="D288" s="236" t="inlineStr">
        <is>
          <t>អត្រា PCP</t>
        </is>
      </c>
      <c r="E288" s="246" t="n"/>
      <c r="F288" t="inlineStr">
        <is>
          <t>អត្រា PCP</t>
        </is>
      </c>
    </row>
    <row r="289">
      <c r="A289" s="246" t="inlineStr">
        <is>
          <t>Tỷ lệ phát thành công</t>
        </is>
      </c>
      <c r="B289" s="259" t="inlineStr">
        <is>
          <t>Tỷ lệ PTC</t>
        </is>
      </c>
      <c r="C289" s="246" t="n"/>
      <c r="D289" s="236" t="inlineStr">
        <is>
          <t>អត្រា PTC</t>
        </is>
      </c>
      <c r="E289" s="246" t="n"/>
      <c r="F289" t="inlineStr">
        <is>
          <t>អត្រា PTC</t>
        </is>
      </c>
    </row>
    <row r="290">
      <c r="A290" s="246" t="inlineStr">
        <is>
          <t>Phát thành công Đúng giờ</t>
        </is>
      </c>
      <c r="B290" s="258" t="inlineStr">
        <is>
          <t>PTC Đúng giờ</t>
        </is>
      </c>
      <c r="C290" s="246" t="n"/>
      <c r="D290" s="236" t="inlineStr">
        <is>
          <t>PTC ទាន់ពេលវេលា</t>
        </is>
      </c>
      <c r="E290" s="246" t="n"/>
      <c r="F290" t="inlineStr">
        <is>
          <t>PTC ទាន់ពេលវេលា</t>
        </is>
      </c>
    </row>
    <row r="291">
      <c r="A291" s="246" t="inlineStr">
        <is>
          <t>Tỷ lệ phát thành công đúng giờ</t>
        </is>
      </c>
      <c r="B291" s="258" t="inlineStr">
        <is>
          <t>Tỷ lệ PTC Đúng giờ</t>
        </is>
      </c>
      <c r="C291" s="246" t="n"/>
      <c r="D291" s="236" t="inlineStr">
        <is>
          <t>អត្រា PTC ទាន់ពេល</t>
        </is>
      </c>
      <c r="E291" s="246" t="n"/>
      <c r="F291" t="inlineStr">
        <is>
          <t>អត្រា PTC ទាន់ពេល</t>
        </is>
      </c>
    </row>
    <row r="292">
      <c r="A292" s="246" t="inlineStr">
        <is>
          <t>Sản lượng phát thành công đúng giờ</t>
        </is>
      </c>
      <c r="B292" s="246" t="inlineStr">
        <is>
          <t>SL PTC Đúng giờ</t>
        </is>
      </c>
      <c r="C292" s="246" t="n"/>
      <c r="D292" s="236" t="inlineStr">
        <is>
          <t>បរិមាណ PTC ទាន់ពេលវេលា</t>
        </is>
      </c>
      <c r="E292" s="246" t="n"/>
      <c r="F292" t="inlineStr">
        <is>
          <t>បរិមាណ PTC ទាន់ពេលវេលា</t>
        </is>
      </c>
    </row>
    <row r="293">
      <c r="A293" s="246" t="inlineStr">
        <is>
          <t>Tỷ lệ phát thành công đúng giờ lần 1</t>
        </is>
      </c>
      <c r="B293" s="258" t="inlineStr">
        <is>
          <t>Tỷ lệ Phát đúng giờ lần 1</t>
        </is>
      </c>
      <c r="C293" s="246" t="n"/>
      <c r="D293" s="236" t="inlineStr">
        <is>
          <t>អត្រាដឹកជញ្ជូនទាន់ពេលវេលា 1</t>
        </is>
      </c>
      <c r="E293" s="246" t="n"/>
      <c r="F293" t="inlineStr">
        <is>
          <t>អត្រាដឹកជញ្ជូនទាន់ពេលវេលា 1</t>
        </is>
      </c>
    </row>
    <row r="294">
      <c r="A294" s="246" t="inlineStr">
        <is>
          <t>sản lượng phát thành công đúng giờ lần 1</t>
        </is>
      </c>
      <c r="B294" s="246" t="inlineStr">
        <is>
          <t>SL Phát đúng giờ lần 1</t>
        </is>
      </c>
      <c r="C294" s="246" t="n"/>
      <c r="D294" s="236" t="inlineStr">
        <is>
          <t>SL ដឹកជញ្ជូនទាន់ពេល 1</t>
        </is>
      </c>
      <c r="E294" s="246" t="n"/>
      <c r="F294" t="inlineStr">
        <is>
          <t>SL ដឹកជញ្ជូនទាន់ពេល 1</t>
        </is>
      </c>
    </row>
    <row r="295">
      <c r="A295" s="246" t="inlineStr">
        <is>
          <t>Sản lượng phát thành công</t>
        </is>
      </c>
      <c r="B295" s="246" t="inlineStr">
        <is>
          <t>SL PTC</t>
        </is>
      </c>
      <c r="C295" s="246" t="n"/>
      <c r="D295" s="236" t="inlineStr">
        <is>
          <t>អេសអិលភីធីស៊ី</t>
        </is>
      </c>
      <c r="E295" s="246" t="n"/>
      <c r="F295" t="inlineStr">
        <is>
          <t>អេសអិលភីធីស៊ី</t>
        </is>
      </c>
    </row>
    <row r="296">
      <c r="A296" s="246" t="n"/>
      <c r="B296" s="258" t="inlineStr">
        <is>
          <t>Tỷ lệ hoàn</t>
        </is>
      </c>
      <c r="C296" s="246" t="n"/>
      <c r="D296" s="236" t="inlineStr">
        <is>
          <t>អត្រាត្រឡប់មកវិញ</t>
        </is>
      </c>
      <c r="E296" s="246" t="n"/>
      <c r="F296" t="inlineStr">
        <is>
          <t>អត្រាត្រឡប់មកវិញ</t>
        </is>
      </c>
    </row>
    <row r="297">
      <c r="A297" s="246" t="n"/>
      <c r="B297" s="260" t="inlineStr">
        <is>
          <t>Sản lượng hoàn (đơn)</t>
        </is>
      </c>
      <c r="C297" s="246" t="n"/>
      <c r="D297" s="236" t="inlineStr">
        <is>
          <t>បរិមាណត្រឡប់មកវិញ (ការបញ្ជាទិញ)</t>
        </is>
      </c>
      <c r="E297" s="246" t="n"/>
      <c r="F297" t="inlineStr">
        <is>
          <t>បរិមាណត្រឡប់មកវិញ (ការបញ្ជាទិញ)</t>
        </is>
      </c>
    </row>
    <row r="298">
      <c r="A298" s="246" t="n"/>
      <c r="B298" s="258" t="inlineStr">
        <is>
          <t>Báo cáo năng suất lao động</t>
        </is>
      </c>
      <c r="C298" s="246" t="n"/>
      <c r="D298" s="236" t="inlineStr">
        <is>
          <t>របាយការណ៍ផលិតភាពការងារ</t>
        </is>
      </c>
      <c r="E298" s="246" t="n"/>
      <c r="F298" t="inlineStr">
        <is>
          <t>របាយការណ៍ផលិតភាពការងារ</t>
        </is>
      </c>
    </row>
    <row r="299">
      <c r="A299" s="246" t="n"/>
      <c r="B299" s="258" t="inlineStr">
        <is>
          <t>Hoạt động chuyên thu</t>
        </is>
      </c>
      <c r="C299" s="246" t="n"/>
      <c r="D299" s="236" t="inlineStr">
        <is>
          <t>សកម្មភាពប្រមូល</t>
        </is>
      </c>
      <c r="E299" s="246" t="n"/>
      <c r="F299" t="inlineStr">
        <is>
          <t>សកម្មភាពប្រមូល</t>
        </is>
      </c>
    </row>
    <row r="300">
      <c r="A300" s="246" t="n"/>
      <c r="B300" s="258" t="inlineStr">
        <is>
          <t>Hoạt động chuyên phát</t>
        </is>
      </c>
      <c r="C300" s="246" t="n"/>
      <c r="D300" s="236" t="inlineStr">
        <is>
          <t>សកម្មភាពដឹកជញ្ជូន</t>
        </is>
      </c>
      <c r="E300" s="246" t="n"/>
      <c r="F300" t="inlineStr">
        <is>
          <t>សកម្មភាពដឹកជញ្ជូន</t>
        </is>
      </c>
    </row>
    <row r="301">
      <c r="A301" s="246" t="n"/>
      <c r="B301" s="258" t="inlineStr">
        <is>
          <t>Hoạt động thu-phát</t>
        </is>
      </c>
      <c r="C301" s="246" t="n"/>
      <c r="D301" s="236" t="inlineStr">
        <is>
          <t>សកម្មភាពប្រមូល-ចែកចាយ</t>
        </is>
      </c>
      <c r="E301" s="246" t="n"/>
      <c r="F301" t="inlineStr">
        <is>
          <t>សកម្មភាពប្រមូល-ចែកចាយ</t>
        </is>
      </c>
    </row>
    <row r="302">
      <c r="A302" s="246" t="inlineStr">
        <is>
          <t>Năng suất lao động bình quân</t>
        </is>
      </c>
      <c r="B302" s="259" t="inlineStr">
        <is>
          <t>NSLĐ_BQ</t>
        </is>
      </c>
      <c r="C302" s="246" t="n"/>
      <c r="D302" s="236" t="inlineStr">
        <is>
          <t>ផលិតភាពការងារ_ជាមធ្យម</t>
        </is>
      </c>
      <c r="E302" s="246" t="n"/>
      <c r="F302" t="inlineStr">
        <is>
          <t>ផលិតភាពការងារ_ជាមធ្យម</t>
        </is>
      </c>
    </row>
    <row r="303">
      <c r="A303" s="246" t="inlineStr">
        <is>
          <t>Sản lượng thu</t>
        </is>
      </c>
      <c r="B303" s="263" t="inlineStr">
        <is>
          <t>SL thu</t>
        </is>
      </c>
      <c r="C303" s="246" t="n"/>
      <c r="D303" s="236" t="inlineStr">
        <is>
          <t>បរិមាណបញ្ញើប្រមូលបាន</t>
        </is>
      </c>
      <c r="E303" s="246" t="n"/>
      <c r="F303" t="inlineStr">
        <is>
          <t>បរិមាណបញ្ញើប្រមូលបាន</t>
        </is>
      </c>
    </row>
    <row r="304">
      <c r="A304" s="246" t="inlineStr">
        <is>
          <t>Tổng bưu tá</t>
        </is>
      </c>
      <c r="B304" s="260" t="inlineStr">
        <is>
          <t>Tổng BT</t>
        </is>
      </c>
      <c r="C304" s="246" t="n"/>
      <c r="D304" s="236" t="inlineStr">
        <is>
          <t>BT សរុប</t>
        </is>
      </c>
      <c r="E304" s="246" t="n"/>
      <c r="F304" t="inlineStr">
        <is>
          <t>BT សរុប</t>
        </is>
      </c>
    </row>
    <row r="305">
      <c r="A305" s="246" t="inlineStr">
        <is>
          <t>Sản lượng thu phát</t>
        </is>
      </c>
      <c r="B305" s="246" t="inlineStr">
        <is>
          <t>SL thu - phát</t>
        </is>
      </c>
      <c r="C305" s="246" t="n"/>
      <c r="D305" s="236" t="inlineStr">
        <is>
          <t>បរិមាណប្រមូល-ចែកចាយ</t>
        </is>
      </c>
      <c r="E305" s="246" t="n"/>
      <c r="F305" t="inlineStr">
        <is>
          <t>បរិមាណប្រមូល-ចែកចាយ</t>
        </is>
      </c>
    </row>
    <row r="306">
      <c r="A306" s="246" t="n"/>
      <c r="B306" s="246" t="inlineStr">
        <is>
          <t>NGÀY</t>
        </is>
      </c>
      <c r="C306" s="246" t="n"/>
      <c r="D306" s="236" t="inlineStr">
        <is>
          <t>កាលបរិច្ឆេទ</t>
        </is>
      </c>
      <c r="E306" s="246" t="n"/>
      <c r="F306" t="inlineStr">
        <is>
          <t>កាលបរិច្ឆេទ</t>
        </is>
      </c>
    </row>
    <row r="307">
      <c r="A307" s="246" t="n"/>
      <c r="B307" s="246" t="inlineStr">
        <is>
          <t>TÊN BƯU TÁ</t>
        </is>
      </c>
      <c r="C307" s="246" t="n"/>
      <c r="D307" s="236" t="inlineStr">
        <is>
          <t>ឈ្មោះសេវាប្រៃសណីយ៍</t>
        </is>
      </c>
      <c r="E307" s="246" t="n"/>
      <c r="F307" t="inlineStr">
        <is>
          <t>ឈ្មោះសេវាប្រៃសណីយ៍</t>
        </is>
      </c>
    </row>
    <row r="308">
      <c r="A308" s="246" t="n"/>
      <c r="B308" s="246" t="inlineStr">
        <is>
          <t>CHỨC DANH</t>
        </is>
      </c>
      <c r="C308" s="246" t="n"/>
      <c r="D308" s="236" t="inlineStr">
        <is>
          <t>ចំណងជើងការងារ</t>
        </is>
      </c>
      <c r="E308" s="246" t="n"/>
      <c r="F308" t="inlineStr">
        <is>
          <t>ចំណងជើងការងារ</t>
        </is>
      </c>
    </row>
    <row r="309">
      <c r="A309" s="246" t="n"/>
      <c r="B309" s="246" t="inlineStr">
        <is>
          <t>MÃ BƯU CỤC PHÂN CÔNG</t>
        </is>
      </c>
      <c r="C309" s="246" t="n"/>
      <c r="D309" s="236" t="inlineStr">
        <is>
          <t>លេខកូដការិយាល័យប្រៃសណីយ៍ដែលបានកំណត់</t>
        </is>
      </c>
      <c r="E309" s="246" t="n"/>
      <c r="F309" t="inlineStr">
        <is>
          <t>លេខកូដការិយាល័យប្រៃសណីយ៍ដែលបានកំណត់</t>
        </is>
      </c>
    </row>
    <row r="310">
      <c r="A310" s="246" t="n"/>
      <c r="B310" s="246" t="inlineStr">
        <is>
          <t>CHI NHÁNH</t>
        </is>
      </c>
      <c r="C310" s="246" t="n"/>
      <c r="D310" s="236" t="inlineStr">
        <is>
          <t>សាខា</t>
        </is>
      </c>
      <c r="E310" s="246" t="n"/>
      <c r="F310" t="inlineStr">
        <is>
          <t>សាខា</t>
        </is>
      </c>
    </row>
    <row r="311">
      <c r="A311" s="246" t="inlineStr">
        <is>
          <t xml:space="preserve">Sản lượng thu   </t>
        </is>
      </c>
      <c r="B311" s="246" t="inlineStr">
        <is>
          <t>SL THU</t>
        </is>
      </c>
      <c r="C311" s="246" t="n"/>
      <c r="D311" s="236" t="inlineStr">
        <is>
          <t>បរិមាណបញ្ញើប្រមូលបាន</t>
        </is>
      </c>
      <c r="E311" s="246" t="n"/>
      <c r="F311" t="inlineStr">
        <is>
          <t>បរិមាណបញ្ញើប្រមូលបាន</t>
        </is>
      </c>
    </row>
    <row r="312">
      <c r="A312" s="246" t="inlineStr">
        <is>
          <t>Sản lượng phát</t>
        </is>
      </c>
      <c r="B312" s="246" t="inlineStr">
        <is>
          <t>SL PHÁT</t>
        </is>
      </c>
      <c r="C312" s="246" t="n"/>
      <c r="D312" s="236" t="inlineStr">
        <is>
          <t>បរិមាណចែកចាយ</t>
        </is>
      </c>
      <c r="E312" s="246" t="n"/>
      <c r="F312" t="inlineStr">
        <is>
          <t>បរិមាណចែកចាយ</t>
        </is>
      </c>
    </row>
    <row r="313">
      <c r="A313" s="246" t="inlineStr">
        <is>
          <t>Sản lượng thu phát</t>
        </is>
      </c>
      <c r="B313" s="246" t="inlineStr">
        <is>
          <t>SL THU PHÁT</t>
        </is>
      </c>
      <c r="C313" s="246" t="n"/>
      <c r="D313" s="236" t="inlineStr">
        <is>
          <t>បរិមាណប្រមូល-ចែកចាយ</t>
        </is>
      </c>
      <c r="E313" s="246" t="n"/>
      <c r="F313" t="inlineStr">
        <is>
          <t>បរិមាណប្រមូល-ចែកចាយ</t>
        </is>
      </c>
    </row>
    <row r="314">
      <c r="A314" s="246" t="n"/>
      <c r="B314" s="246" t="inlineStr">
        <is>
          <t>PHÂN LOẠI</t>
        </is>
      </c>
      <c r="C314" s="246" t="n"/>
      <c r="D314" s="236" t="inlineStr">
        <is>
          <t>ចំណាត់ថ្នាក់</t>
        </is>
      </c>
      <c r="E314" s="246" t="n"/>
      <c r="F314" t="inlineStr">
        <is>
          <t>ចំណាត់ថ្នាក់</t>
        </is>
      </c>
    </row>
    <row r="315">
      <c r="A315" s="246" t="inlineStr">
        <is>
          <t>chuyên thu</t>
        </is>
      </c>
      <c r="B315" s="246" t="inlineStr">
        <is>
          <t>chuyen_thu</t>
        </is>
      </c>
      <c r="C315" s="246" t="n"/>
      <c r="D315" s="236" t="inlineStr">
        <is>
          <t>ការប្រមូល_ឯកទេស</t>
        </is>
      </c>
      <c r="E315" s="246" t="n"/>
      <c r="F315" t="inlineStr">
        <is>
          <t>ការប្រមូល_ឯកទេស</t>
        </is>
      </c>
    </row>
    <row r="316">
      <c r="A316" s="246" t="inlineStr">
        <is>
          <t>thu - phát</t>
        </is>
      </c>
      <c r="B316" s="246" t="inlineStr">
        <is>
          <t>thu-phat</t>
        </is>
      </c>
      <c r="C316" s="246" t="n"/>
      <c r="D316" s="236" t="inlineStr">
        <is>
          <t>ការប្រមូល-ចែកចាយ</t>
        </is>
      </c>
      <c r="E316" s="246" t="n"/>
      <c r="F316" t="inlineStr">
        <is>
          <t>ការប្រមូល-ចែកចាយ</t>
        </is>
      </c>
    </row>
    <row r="317">
      <c r="A317" s="246" t="inlineStr">
        <is>
          <t>Chuyên phát</t>
        </is>
      </c>
      <c r="B317" s="246" t="inlineStr">
        <is>
          <t>chuyen_phat</t>
        </is>
      </c>
      <c r="C317" s="246" t="n"/>
      <c r="D317" s="236" t="inlineStr">
        <is>
          <t>Chuyên ដឹកចែក</t>
        </is>
      </c>
      <c r="E317" s="246" t="n"/>
      <c r="F317" t="inlineStr">
        <is>
          <t>Chuyên ដឹកចែក</t>
        </is>
      </c>
    </row>
    <row r="318">
      <c r="A318" s="246" t="n"/>
      <c r="B318" s="248" t="inlineStr">
        <is>
          <t>Báo cáo KPI điều hành tổng quan tiến độ doanh thu</t>
        </is>
      </c>
      <c r="C318" s="246" t="n"/>
      <c r="D318" s="236" t="inlineStr">
        <is>
          <t>ទិដ្ឋភាពទូទៅនៃរបាយការណ៍ KPI ការអនុវត្តប្រាក់ចំណូល</t>
        </is>
      </c>
      <c r="E318" s="246" t="n"/>
      <c r="F318" t="inlineStr">
        <is>
          <t>ទិដ្ឋភាពទូទៅនៃរបាយការណ៍ KPI ការអនុវត្តប្រាក់ចំណូល</t>
        </is>
      </c>
    </row>
    <row r="319">
      <c r="A319" s="246" t="n"/>
      <c r="B319" s="264" t="inlineStr">
        <is>
          <t>nguồn</t>
        </is>
      </c>
      <c r="C319" s="246" t="n"/>
      <c r="D319" s="236" t="inlineStr">
        <is>
          <t>ប្រភព</t>
        </is>
      </c>
      <c r="E319" s="246" t="n"/>
      <c r="F319" t="inlineStr">
        <is>
          <t>ប្រភព</t>
        </is>
      </c>
    </row>
    <row r="320">
      <c r="A320" s="246" t="n"/>
      <c r="B320" s="264" t="inlineStr">
        <is>
          <t>Vùng</t>
        </is>
      </c>
      <c r="C320" s="246" t="n"/>
      <c r="D320" s="236" t="inlineStr">
        <is>
          <t>តំបន់</t>
        </is>
      </c>
      <c r="E320" s="246" t="n"/>
      <c r="F320" t="inlineStr">
        <is>
          <t>តំបន់</t>
        </is>
      </c>
    </row>
    <row r="321">
      <c r="A321" s="246" t="n"/>
      <c r="B321" s="264" t="inlineStr">
        <is>
          <t>Chi nhánh</t>
        </is>
      </c>
      <c r="C321" s="246" t="n"/>
      <c r="D321" s="236" t="inlineStr">
        <is>
          <t>សាខា</t>
        </is>
      </c>
      <c r="E321" s="246" t="n"/>
      <c r="F321" t="inlineStr">
        <is>
          <t>សាខា</t>
        </is>
      </c>
    </row>
    <row r="322">
      <c r="A322" s="246" t="n"/>
      <c r="B322" s="264" t="inlineStr">
        <is>
          <t>Bưu cục</t>
        </is>
      </c>
      <c r="C322" s="246" t="n"/>
      <c r="D322" s="236" t="inlineStr">
        <is>
          <t>ការិយាល័យប្រៃសណីយ៍</t>
        </is>
      </c>
      <c r="E322" s="246" t="n"/>
      <c r="F322" t="inlineStr">
        <is>
          <t>ការិយាល័យប្រៃសណីយ៍</t>
        </is>
      </c>
    </row>
    <row r="323">
      <c r="A323" s="246" t="n"/>
      <c r="B323" s="264" t="inlineStr">
        <is>
          <t>Cấp bưu cục</t>
        </is>
      </c>
      <c r="C323" s="246" t="n"/>
      <c r="D323" s="236" t="inlineStr">
        <is>
          <t>កម្រិតការិយាល័យប្រៃសណីយ៍</t>
        </is>
      </c>
      <c r="E323" s="246" t="n"/>
      <c r="F323" t="inlineStr">
        <is>
          <t>កម្រិតការិយាល័យប្រៃសណីយ៍</t>
        </is>
      </c>
    </row>
    <row r="324">
      <c r="A324" s="246" t="n"/>
      <c r="B324" s="264" t="inlineStr">
        <is>
          <t>Dịch vụ</t>
        </is>
      </c>
      <c r="C324" s="246" t="n"/>
      <c r="D324" s="236" t="inlineStr">
        <is>
          <t>សេវាកម្ម</t>
        </is>
      </c>
      <c r="E324" s="246" t="n"/>
      <c r="F324" t="inlineStr">
        <is>
          <t>សេវាកម្ម</t>
        </is>
      </c>
    </row>
    <row r="325">
      <c r="A325" s="246" t="inlineStr">
        <is>
          <t>Thực hiện ngày</t>
        </is>
      </c>
      <c r="B325" s="265" t="inlineStr">
        <is>
          <t>TH ngày</t>
        </is>
      </c>
      <c r="C325" s="246" t="n"/>
      <c r="D325" s="236" t="inlineStr">
        <is>
          <t>ស្ថានភាពលក់ (ថ្ងៃ)</t>
        </is>
      </c>
      <c r="E325" s="246" t="n"/>
      <c r="F325" t="inlineStr">
        <is>
          <t>ស្ថានភាពលក់ (ថ្ងៃ)</t>
        </is>
      </c>
    </row>
    <row r="326">
      <c r="A326" s="246" t="inlineStr">
        <is>
          <t>Lũy kế tháng</t>
        </is>
      </c>
      <c r="B326" s="264" t="inlineStr">
        <is>
          <t>LK tháng</t>
        </is>
      </c>
      <c r="C326" s="246" t="n"/>
      <c r="D326" s="236" t="inlineStr">
        <is>
          <t>ខែដែលត្រូវគ្នា។</t>
        </is>
      </c>
      <c r="E326" s="246" t="n"/>
      <c r="F326" t="inlineStr">
        <is>
          <t>ខែដែលត្រូវគ្នា។</t>
        </is>
      </c>
    </row>
    <row r="327">
      <c r="A327" s="246" t="inlineStr">
        <is>
          <t>Kế hoạch tháng</t>
        </is>
      </c>
      <c r="B327" s="264" t="inlineStr">
        <is>
          <t>KH tháng</t>
        </is>
      </c>
      <c r="C327" s="246" t="n"/>
      <c r="D327" s="236" t="inlineStr">
        <is>
          <t>ផែនការលក់ប្រចាំខែ</t>
        </is>
      </c>
      <c r="E327" s="246" t="n"/>
      <c r="F327" t="inlineStr">
        <is>
          <t>ផែនការលក់ប្រចាំខែ</t>
        </is>
      </c>
    </row>
    <row r="328">
      <c r="A328" s="246" t="inlineStr">
        <is>
          <t>Tỷ lệ hoàn thành kế hoạch</t>
        </is>
      </c>
      <c r="B328" s="264" t="inlineStr">
        <is>
          <t>TL HTKH</t>
        </is>
      </c>
      <c r="C328" s="246" t="n"/>
      <c r="D328" s="236" t="inlineStr">
        <is>
          <t>វឌ្ឍនភាពនៃការលក់</t>
        </is>
      </c>
      <c r="E328" s="246" t="n"/>
      <c r="F328" t="inlineStr">
        <is>
          <t>វឌ្ឍនភាពនៃការលក់</t>
        </is>
      </c>
    </row>
    <row r="329">
      <c r="A329" s="246" t="n"/>
      <c r="B329" s="266" t="inlineStr">
        <is>
          <t>Tiến độ</t>
        </is>
      </c>
      <c r="C329" s="246" t="n"/>
      <c r="D329" s="236" t="inlineStr">
        <is>
          <t>វឌ្ឍនភាព</t>
        </is>
      </c>
      <c r="E329" s="246" t="n"/>
      <c r="F329" t="inlineStr">
        <is>
          <t>វឌ្ឍនភាព</t>
        </is>
      </c>
    </row>
    <row r="330">
      <c r="A330" s="246" t="n"/>
      <c r="B330" s="264" t="inlineStr">
        <is>
          <t>Tháng trước</t>
        </is>
      </c>
      <c r="C330" s="246" t="n"/>
      <c r="D330" s="236" t="inlineStr">
        <is>
          <t>ការលក់ប្រចាំខែ (ការលក់ជាមធ្យមប្រចាំខែ)</t>
        </is>
      </c>
      <c r="E330" s="246" t="n"/>
      <c r="F330" t="inlineStr">
        <is>
          <t>ការលក់ប្រចាំខែ (ការលក់ជាមធ្យមប្រចាំខែ)</t>
        </is>
      </c>
    </row>
    <row r="331">
      <c r="A331" s="246" t="inlineStr">
        <is>
          <t>Tăng trưởng tháng</t>
        </is>
      </c>
      <c r="B331" s="265" t="inlineStr">
        <is>
          <t>TT tháng</t>
        </is>
      </c>
      <c r="C331" s="246" t="n"/>
      <c r="D331" s="236" t="inlineStr">
        <is>
          <t>ឆ្នាំមុន</t>
        </is>
      </c>
      <c r="E331" s="246" t="n"/>
      <c r="F331" t="inlineStr">
        <is>
          <t>ឆ្នាំមុន</t>
        </is>
      </c>
    </row>
    <row r="332">
      <c r="A332" s="246" t="inlineStr">
        <is>
          <t>Tăng trưởng trung bình ngày tháng</t>
        </is>
      </c>
      <c r="B332" s="264" t="inlineStr">
        <is>
          <t>TT TBN tháng</t>
        </is>
      </c>
      <c r="C332" s="246" t="n"/>
      <c r="D332" s="236" t="inlineStr">
        <is>
          <t>ការលក់ប្រចាំឆ្នាំ (ការលក់ជាមធ្យមប្រចាំឆ្នាំ)</t>
        </is>
      </c>
      <c r="E332" s="246" t="n"/>
      <c r="F332" t="inlineStr">
        <is>
          <t>ការលក់ប្រចាំឆ្នាំ (ការលក់ជាមធ្យមប្រចាំឆ្នាំ)</t>
        </is>
      </c>
    </row>
    <row r="333">
      <c r="A333" s="246" t="n"/>
      <c r="B333" s="264" t="inlineStr">
        <is>
          <t>Năm trước</t>
        </is>
      </c>
      <c r="C333" s="246" t="n"/>
      <c r="D333" s="236" t="inlineStr">
        <is>
          <t>ការព្យាករណ៍</t>
        </is>
      </c>
      <c r="E333" s="246" t="n"/>
      <c r="F333" t="inlineStr">
        <is>
          <t>ការព្យាករណ៍</t>
        </is>
      </c>
    </row>
    <row r="334">
      <c r="A334" s="246" t="inlineStr">
        <is>
          <t>Tăng trưởng năm</t>
        </is>
      </c>
      <c r="B334" s="264" t="inlineStr">
        <is>
          <t>TT năm</t>
        </is>
      </c>
      <c r="C334" s="246" t="n"/>
      <c r="D334" s="236" t="inlineStr">
        <is>
          <t>អត្រាការព្យាករណ៍</t>
        </is>
      </c>
      <c r="E334" s="246" t="n"/>
      <c r="F334" t="inlineStr">
        <is>
          <t>អត្រាការព្យាករណ៍</t>
        </is>
      </c>
    </row>
    <row r="335">
      <c r="A335" s="246" t="inlineStr">
        <is>
          <t>Tăng trưởng trung bình ngày năm</t>
        </is>
      </c>
      <c r="B335" s="264" t="inlineStr">
        <is>
          <t>TT TBN năm</t>
        </is>
      </c>
      <c r="C335" s="246" t="n"/>
      <c r="D335" s="236" t="inlineStr">
        <is>
          <t>ការលក់ជាមធ្យម - ថ្ងៃធ្វើការ</t>
        </is>
      </c>
      <c r="E335" s="246" t="n"/>
      <c r="F335" t="inlineStr">
        <is>
          <t>ការលក់ជាមធ្យម - ថ្ងៃធ្វើការ</t>
        </is>
      </c>
    </row>
    <row r="336">
      <c r="A336" s="246" t="n"/>
      <c r="B336" s="264" t="inlineStr">
        <is>
          <t>Dự báo</t>
        </is>
      </c>
      <c r="C336" s="246" t="n"/>
      <c r="D336" s="236" t="inlineStr">
        <is>
          <t>ការលក់ជាមធ្យម - ថ្ងៃសៅរ៍</t>
        </is>
      </c>
      <c r="E336" s="246" t="n"/>
      <c r="F336" t="inlineStr">
        <is>
          <t>ការលក់ជាមធ្យម - ថ្ងៃសៅរ៍</t>
        </is>
      </c>
    </row>
    <row r="337">
      <c r="A337" s="246" t="inlineStr">
        <is>
          <t>Tỷ lệ dự báo</t>
        </is>
      </c>
      <c r="B337" s="264" t="inlineStr">
        <is>
          <t>TL dự báo</t>
        </is>
      </c>
      <c r="C337" s="246" t="n"/>
      <c r="D337" s="236" t="inlineStr">
        <is>
          <t>ការលក់ជាមធ្យម - ថ្ងៃអាទិត្យ</t>
        </is>
      </c>
      <c r="E337" s="246" t="n"/>
      <c r="F337" t="inlineStr">
        <is>
          <t>ការលក់ជាមធ្យម - ថ្ងៃអាទិត្យ</t>
        </is>
      </c>
    </row>
    <row r="338">
      <c r="A338" s="246" t="inlineStr">
        <is>
          <t>Trung bình ngày-ngày thường</t>
        </is>
      </c>
      <c r="B338" s="264" t="inlineStr">
        <is>
          <t>TBN -NT</t>
        </is>
      </c>
      <c r="C338" s="246" t="n"/>
      <c r="D338" s="236" t="inlineStr">
        <is>
          <t>ការលក់ជាមធ្យម - ចុងសប្តាហ៍</t>
        </is>
      </c>
      <c r="E338" s="246" t="n"/>
      <c r="F338" t="inlineStr">
        <is>
          <t>ការលក់ជាមធ្យម - ចុងសប្តាហ៍</t>
        </is>
      </c>
    </row>
    <row r="339">
      <c r="A339" s="246" t="inlineStr">
        <is>
          <t>trung bình ngày - thứ 7</t>
        </is>
      </c>
      <c r="B339" s="264" t="inlineStr">
        <is>
          <t>TBN - T7</t>
        </is>
      </c>
      <c r="C339" s="246" t="n"/>
      <c r="D339" s="236" t="inlineStr">
        <is>
          <t>របាយការណ៍ផ្លាស់ប្តូរចំណូលរបស់អតិថិជន</t>
        </is>
      </c>
      <c r="E339" s="246" t="n"/>
      <c r="F339" t="inlineStr">
        <is>
          <t>របាយការណ៍ផ្លាស់ប្តូរចំណូលរបស់អតិថិជន</t>
        </is>
      </c>
    </row>
    <row r="340">
      <c r="A340" s="246" t="inlineStr">
        <is>
          <t>Trung bình ngày - chủ nhật</t>
        </is>
      </c>
      <c r="B340" s="264" t="inlineStr">
        <is>
          <t>TBN - CN</t>
        </is>
      </c>
      <c r="C340" s="246" t="n"/>
      <c r="D340" s="236" t="inlineStr">
        <is>
          <t>ឧស្សាហកម្ម</t>
        </is>
      </c>
      <c r="E340" s="246" t="n"/>
      <c r="F340" t="inlineStr">
        <is>
          <t>ឧស្សាហកម្ម</t>
        </is>
      </c>
    </row>
    <row r="341">
      <c r="A341" s="246" t="inlineStr">
        <is>
          <t>Trung bình ngày - lễ</t>
        </is>
      </c>
      <c r="B341" s="265" t="inlineStr">
        <is>
          <t>TBN - LE</t>
        </is>
      </c>
      <c r="C341" s="246" t="n"/>
      <c r="D341" s="236" t="inlineStr">
        <is>
          <t>តំបន់</t>
        </is>
      </c>
      <c r="E341" s="246" t="n"/>
      <c r="F341" t="inlineStr">
        <is>
          <t>តំបន់</t>
        </is>
      </c>
    </row>
    <row r="342">
      <c r="A342" s="246" t="n"/>
      <c r="B342" s="267" t="inlineStr">
        <is>
          <t>Báo cáo biến động doanh thu khách hàng</t>
        </is>
      </c>
      <c r="C342" s="246" t="n"/>
      <c r="D342" s="236" t="inlineStr">
        <is>
          <t>លេខកូដសាខា</t>
        </is>
      </c>
      <c r="E342" s="246" t="n"/>
      <c r="F342" t="inlineStr">
        <is>
          <t>លេខកូដសាខា</t>
        </is>
      </c>
    </row>
    <row r="343">
      <c r="A343" s="246" t="n"/>
      <c r="B343" s="264" t="inlineStr">
        <is>
          <t>Ngành</t>
        </is>
      </c>
      <c r="C343" s="246" t="n"/>
      <c r="D343" s="236" t="inlineStr">
        <is>
          <t>លេខកូដអនុតំបន់</t>
        </is>
      </c>
      <c r="E343" s="246" t="n"/>
      <c r="F343" t="inlineStr">
        <is>
          <t>លេខកូដអនុតំបន់</t>
        </is>
      </c>
    </row>
    <row r="344">
      <c r="A344" s="246" t="n"/>
      <c r="B344" s="264" t="inlineStr">
        <is>
          <t>Vùng</t>
        </is>
      </c>
      <c r="C344" s="246" t="n"/>
      <c r="D344" s="236" t="inlineStr">
        <is>
          <t>លេខកូដការិយាល័យប្រៃសណីយ៍</t>
        </is>
      </c>
      <c r="E344" s="246" t="n"/>
      <c r="F344" t="inlineStr">
        <is>
          <t>លេខកូដការិយាល័យប្រៃសណីយ៍</t>
        </is>
      </c>
    </row>
    <row r="345">
      <c r="A345" s="246" t="n"/>
      <c r="B345" s="264" t="inlineStr">
        <is>
          <t>Mã chi nhánh</t>
        </is>
      </c>
      <c r="C345" s="246" t="n"/>
      <c r="D345" s="236" t="inlineStr">
        <is>
          <t>លេខកូដអតិថិជន</t>
        </is>
      </c>
      <c r="E345" s="246" t="n"/>
      <c r="F345" t="inlineStr">
        <is>
          <t>លេខកូដអតិថិជន</t>
        </is>
      </c>
    </row>
    <row r="346">
      <c r="A346" s="246" t="n"/>
      <c r="B346" s="264" t="inlineStr">
        <is>
          <t>Mã vùng con</t>
        </is>
      </c>
      <c r="C346" s="246" t="n"/>
      <c r="D346" s="236" t="inlineStr">
        <is>
          <t>លេខសម្គាល់អតិថិជន</t>
        </is>
      </c>
      <c r="E346" s="246" t="n"/>
      <c r="F346" t="inlineStr">
        <is>
          <t>លេខសម្គាល់អតិថិជន</t>
        </is>
      </c>
    </row>
    <row r="347">
      <c r="A347" s="246" t="n"/>
      <c r="B347" s="264" t="inlineStr">
        <is>
          <t>Mã bưu cục</t>
        </is>
      </c>
      <c r="C347" s="246" t="n"/>
      <c r="D347" s="236" t="inlineStr">
        <is>
          <t>ឈ្មោះអតិថិជន</t>
        </is>
      </c>
      <c r="E347" s="246" t="n"/>
      <c r="F347" t="inlineStr">
        <is>
          <t>ឈ្មោះអតិថិជន</t>
        </is>
      </c>
    </row>
    <row r="348">
      <c r="A348" s="246" t="n"/>
      <c r="B348" s="264" t="inlineStr">
        <is>
          <t>Mã khách hàng</t>
        </is>
      </c>
      <c r="C348" s="246" t="n"/>
      <c r="D348" s="236" t="inlineStr">
        <is>
          <t>អ្នកអភិវឌ្ឍន៍បុគ្គល</t>
        </is>
      </c>
      <c r="E348" s="246" t="n"/>
      <c r="F348" t="inlineStr">
        <is>
          <t>អ្នកអភិវឌ្ឍន៍បុគ្គល</t>
        </is>
      </c>
    </row>
    <row r="349">
      <c r="A349" s="246" t="n"/>
      <c r="B349" s="264" t="inlineStr">
        <is>
          <t>Cus ID</t>
        </is>
      </c>
      <c r="C349" s="246" t="n"/>
      <c r="D349" s="236" t="inlineStr">
        <is>
          <t>លេខកូដផ្ទេរ</t>
        </is>
      </c>
      <c r="E349" s="246" t="n"/>
      <c r="F349" t="inlineStr">
        <is>
          <t>លេខកូដផ្ទេរ</t>
        </is>
      </c>
    </row>
    <row r="350">
      <c r="A350" s="246" t="n"/>
      <c r="B350" s="264" t="inlineStr">
        <is>
          <t>Tên khách hàng</t>
        </is>
      </c>
      <c r="C350" s="246" t="n"/>
      <c r="D350" s="236" t="inlineStr">
        <is>
          <t>ទីផ្សារ</t>
        </is>
      </c>
      <c r="E350" s="246" t="n"/>
      <c r="F350" t="inlineStr">
        <is>
          <t>ទីផ្សារ</t>
        </is>
      </c>
    </row>
    <row r="351">
      <c r="A351" s="246" t="n"/>
      <c r="B351" s="264" t="inlineStr">
        <is>
          <t>Cá nhân phát triển</t>
        </is>
      </c>
      <c r="C351" s="246" t="n"/>
      <c r="D351" s="236" t="inlineStr">
        <is>
          <t>ការដាក់ក្រុមអតិថិជនតាមចំណូល</t>
        </is>
      </c>
      <c r="E351" s="246" t="n"/>
      <c r="F351" t="inlineStr">
        <is>
          <t>ការដាក់ក្រុមអតិថិជនតាមចំណូល</t>
        </is>
      </c>
    </row>
    <row r="352">
      <c r="A352" s="246" t="n"/>
      <c r="B352" s="264" t="inlineStr">
        <is>
          <t>Mã chuyển</t>
        </is>
      </c>
      <c r="C352" s="246" t="n"/>
      <c r="D352" s="236" t="inlineStr">
        <is>
          <t>ប្រាក់ចំណូល - ស្ថានភាពលក់ (ថ្ងៃ)</t>
        </is>
      </c>
      <c r="E352" s="246" t="n"/>
      <c r="F352" t="inlineStr">
        <is>
          <t>ប្រាក់ចំណូល - ស្ថានភាពលក់ (ថ្ងៃ)</t>
        </is>
      </c>
    </row>
    <row r="353">
      <c r="A353" s="246" t="n"/>
      <c r="B353" s="264" t="inlineStr">
        <is>
          <t>Thị trường</t>
        </is>
      </c>
      <c r="C353" s="246" t="n"/>
      <c r="D353" s="236" t="inlineStr">
        <is>
          <t>ប្រាក់ចំណូល - ការលក់ប្រចាំខែ</t>
        </is>
      </c>
      <c r="E353" s="246" t="n"/>
      <c r="F353" t="inlineStr">
        <is>
          <t>ប្រាក់ចំណូល - ការលក់ប្រចាំខែ</t>
        </is>
      </c>
    </row>
    <row r="354">
      <c r="A354" s="246" t="n"/>
      <c r="B354" s="264" t="inlineStr">
        <is>
          <t>Phân nhóm KH theo doanh thu</t>
        </is>
      </c>
      <c r="C354" s="246" t="n"/>
      <c r="D354" s="236" t="inlineStr">
        <is>
          <t>ប្រាក់ចំណូល - ខែដូចគ្នា N-1</t>
        </is>
      </c>
      <c r="E354" s="246" t="n"/>
      <c r="F354" t="inlineStr">
        <is>
          <t>ប្រាក់ចំណូល - ខែដូចគ្នា N-1</t>
        </is>
      </c>
    </row>
    <row r="355">
      <c r="A355" s="273" t="inlineStr">
        <is>
          <t>Doanh thu - Thực hiện ngày</t>
        </is>
      </c>
      <c r="B355" s="273" t="inlineStr">
        <is>
          <t>Doanh thu - TH ngày</t>
        </is>
      </c>
      <c r="C355" s="246" t="n"/>
      <c r="D355" s="236" t="inlineStr">
        <is>
          <t>ប្រាក់ចំណូល - ភាពខុសគ្នានៃរយៈពេលដូចគ្នា។</t>
        </is>
      </c>
      <c r="E355" s="246" t="n"/>
      <c r="F355" t="inlineStr">
        <is>
          <t>ប្រាក់ចំណូល - ភាពខុសគ្នានៃរយៈពេលដូចគ្នា។</t>
        </is>
      </c>
    </row>
    <row r="356">
      <c r="A356" s="273" t="n"/>
      <c r="B356" s="273" t="inlineStr">
        <is>
          <t>Doanh thu - Lũy kế tháng</t>
        </is>
      </c>
      <c r="C356" s="246" t="n"/>
      <c r="D356" s="236" t="inlineStr">
        <is>
          <t>ចំណូល - ខែ N-1</t>
        </is>
      </c>
      <c r="E356" s="246" t="n"/>
      <c r="F356" t="inlineStr">
        <is>
          <t>ចំណូល - ខែ N-1</t>
        </is>
      </c>
    </row>
    <row r="357">
      <c r="A357" s="273" t="n"/>
      <c r="B357" s="273" t="inlineStr">
        <is>
          <t>Doanh thu - Cùng kỳ tháng N-1</t>
        </is>
      </c>
      <c r="C357" s="246" t="n"/>
      <c r="D357" s="236" t="inlineStr">
        <is>
          <t>ចំណូល - ខែ N-2</t>
        </is>
      </c>
      <c r="E357" s="246" t="n"/>
      <c r="F357" t="inlineStr">
        <is>
          <t>ចំណូល - ខែ N-2</t>
        </is>
      </c>
    </row>
    <row r="358">
      <c r="A358" s="273" t="n"/>
      <c r="B358" s="273" t="inlineStr">
        <is>
          <t>Doanh thu - Chênh lệch cùng kỳ</t>
        </is>
      </c>
      <c r="C358" s="246" t="n"/>
      <c r="D358" s="236" t="inlineStr">
        <is>
          <t>ប្រាក់ចំណូល - ការកើនឡើង / ថយចុះប្រចាំថ្ងៃជាមធ្យម</t>
        </is>
      </c>
      <c r="E358" s="246" t="n"/>
      <c r="F358" t="inlineStr">
        <is>
          <t>ប្រាក់ចំណូល - ការកើនឡើង / ថយចុះប្រចាំថ្ងៃជាមធ្យម</t>
        </is>
      </c>
    </row>
    <row r="359">
      <c r="A359" s="273" t="n"/>
      <c r="B359" s="273" t="inlineStr">
        <is>
          <t>Doanh thu - Tháng N-1</t>
        </is>
      </c>
      <c r="C359" s="246" t="n"/>
      <c r="D359" s="236" t="inlineStr">
        <is>
          <t>ស្ថានភាពអតិថិជន</t>
        </is>
      </c>
      <c r="E359" s="246" t="n"/>
      <c r="F359" t="inlineStr">
        <is>
          <t>ស្ថានភាពអតិថិជន</t>
        </is>
      </c>
    </row>
    <row r="360">
      <c r="A360" s="273" t="n"/>
      <c r="B360" s="273" t="inlineStr">
        <is>
          <t>Doanh thu - Tháng N-2</t>
        </is>
      </c>
      <c r="C360" s="246" t="n"/>
      <c r="D360" s="236" t="inlineStr">
        <is>
          <t>បរិមាណផលិតកម្ម - ស្ថានភាពលក់ (ថ្ងៃ)</t>
        </is>
      </c>
      <c r="E360" s="246" t="n"/>
      <c r="F360" t="inlineStr">
        <is>
          <t>បរិមាណផលិតកម្ម - ស្ថានភាពលក់ (ថ្ងៃ)</t>
        </is>
      </c>
    </row>
    <row r="361">
      <c r="A361" s="246" t="n"/>
      <c r="B361" s="273" t="inlineStr">
        <is>
          <t>Doanh thu - Tăng giảm bình quân ngày</t>
        </is>
      </c>
      <c r="C361" s="246" t="n"/>
      <c r="D361" s="236" t="inlineStr">
        <is>
          <t>បរិមាណផលិតកម្ម - ការលក់ប្រចាំខែកើនឡើង</t>
        </is>
      </c>
      <c r="E361" s="246" t="n"/>
      <c r="F361" t="inlineStr">
        <is>
          <t>បរិមាណផលិតកម្ម - ការលក់ប្រចាំខែកើនឡើង</t>
        </is>
      </c>
    </row>
    <row r="362">
      <c r="A362" s="246" t="n"/>
      <c r="B362" s="273" t="inlineStr">
        <is>
          <t>Tình trạng khách hàng</t>
        </is>
      </c>
      <c r="C362" s="246" t="n"/>
      <c r="D362" s="236" t="inlineStr">
        <is>
          <t>បរិមាណផលិតកម្ម - ខែដូចគ្នា N-1</t>
        </is>
      </c>
      <c r="E362" s="246" t="n"/>
      <c r="F362" t="inlineStr">
        <is>
          <t>បរិមាណផលិតកម្ម - ខែដូចគ្នា N-1</t>
        </is>
      </c>
    </row>
    <row r="363">
      <c r="A363" s="273" t="inlineStr">
        <is>
          <t>Sản lượng - thực hiện ngày</t>
        </is>
      </c>
      <c r="B363" s="273" t="inlineStr">
        <is>
          <t>Sản lượng - TH ngày</t>
        </is>
      </c>
      <c r="C363" s="246" t="n"/>
      <c r="D363" s="236" t="inlineStr">
        <is>
          <t>បរិមាណផលិតកម្ម - ភាពខុសគ្នានៃរយៈពេលដូចគ្នា។</t>
        </is>
      </c>
      <c r="E363" s="246" t="n"/>
      <c r="F363" t="inlineStr">
        <is>
          <t>បរិមាណផលិតកម្ម - ភាពខុសគ្នានៃរយៈពេលដូចគ្នា។</t>
        </is>
      </c>
    </row>
    <row r="364">
      <c r="A364" s="246" t="n"/>
      <c r="B364" s="273" t="inlineStr">
        <is>
          <t>Sản lượng - Lũy kế tháng</t>
        </is>
      </c>
      <c r="C364" s="246" t="n"/>
      <c r="D364" s="236" t="inlineStr">
        <is>
          <t>បរិមាណផលិតកម្ម - ខែ N-1</t>
        </is>
      </c>
      <c r="E364" s="246" t="n"/>
      <c r="F364" t="inlineStr">
        <is>
          <t>បរិមាណផលិតកម្ម - ខែ N-1</t>
        </is>
      </c>
    </row>
    <row r="365">
      <c r="A365" s="246" t="n"/>
      <c r="B365" s="273" t="inlineStr">
        <is>
          <t>Sản lượng - Cùng kỳ tháng N-1</t>
        </is>
      </c>
      <c r="C365" s="246" t="n"/>
      <c r="D365" s="236" t="inlineStr">
        <is>
          <t>ផលិតកម្ម - ខែ N-2</t>
        </is>
      </c>
      <c r="E365" s="246" t="n"/>
      <c r="F365" t="inlineStr">
        <is>
          <t>ផលិតកម្ម - ខែ N-2</t>
        </is>
      </c>
    </row>
    <row r="366">
      <c r="A366" s="246" t="n"/>
      <c r="B366" s="273" t="inlineStr">
        <is>
          <t>Sản lượng - Chênh lệch cùng kỳ</t>
        </is>
      </c>
      <c r="C366" s="246" t="n"/>
      <c r="D366" s="236" t="inlineStr">
        <is>
          <t>ផលិតកម្ម - ការកើនឡើង / ថយចុះប្រចាំថ្ងៃជាមធ្យម</t>
        </is>
      </c>
      <c r="E366" s="246" t="n"/>
      <c r="F366" t="inlineStr">
        <is>
          <t>ផលិតកម្ម - ការកើនឡើង / ថយចុះប្រចាំថ្ងៃជាមធ្យម</t>
        </is>
      </c>
    </row>
    <row r="367">
      <c r="A367" s="246" t="n"/>
      <c r="B367" s="273" t="inlineStr">
        <is>
          <t>Sản lượng - Tháng N-1</t>
        </is>
      </c>
      <c r="C367" s="246" t="n"/>
      <c r="D367" s="236" t="inlineStr">
        <is>
          <t>កាលបរិច្ឆេទបង្កើត</t>
        </is>
      </c>
      <c r="E367" s="246" t="n"/>
      <c r="F367" t="inlineStr">
        <is>
          <t>កាលបរិច្ឆេទបង្កើត</t>
        </is>
      </c>
    </row>
    <row r="368">
      <c r="A368" s="246" t="n"/>
      <c r="B368" s="273" t="inlineStr">
        <is>
          <t>Sản lượng - Tháng N-2</t>
        </is>
      </c>
      <c r="C368" s="246" t="n"/>
      <c r="D368" s="236" t="inlineStr">
        <is>
          <t>កាលបរិច្ឆេទបានធ្វើបច្ចុប្បន្នភាព</t>
        </is>
      </c>
      <c r="E368" s="246" t="n"/>
      <c r="F368" t="inlineStr">
        <is>
          <t>កាលបរិច្ឆេទបានធ្វើបច្ចុប្បន្នភាព</t>
        </is>
      </c>
    </row>
    <row r="369">
      <c r="A369" s="273" t="inlineStr">
        <is>
          <t>Sản lượng - Tăng giảm sản lượng bình quân ngày</t>
        </is>
      </c>
      <c r="B369" s="273" t="inlineStr">
        <is>
          <t>Sản lượng - Tăng giảm SL bình quân ngày</t>
        </is>
      </c>
      <c r="C369" s="246" t="n"/>
      <c r="D369" s="236" t="inlineStr">
        <is>
          <t>ទិន្នផល - ទិន្នផលប្រចាំថ្ងៃជាមធ្យមកើនឡើង / ថយចុះ</t>
        </is>
      </c>
      <c r="E369" s="246" t="n"/>
      <c r="F369" t="inlineStr">
        <is>
          <t>ទិន្នផល - ទិន្នផលប្រចាំថ្ងៃជាមធ្យមកើនឡើង / ថយចុះ</t>
        </is>
      </c>
    </row>
    <row r="370">
      <c r="A370" s="246" t="n"/>
      <c r="B370" s="273" t="inlineStr">
        <is>
          <t>Ngày tạo</t>
        </is>
      </c>
      <c r="C370" s="246" t="n"/>
      <c r="D370" s="236" t="inlineStr">
        <is>
          <t>កាលបរិច្ឆេទបង្កើត</t>
        </is>
      </c>
      <c r="E370" s="246" t="n"/>
      <c r="F370" t="inlineStr">
        <is>
          <t>កាលបរិច្ឆេទបង្កើត</t>
        </is>
      </c>
    </row>
    <row r="371">
      <c r="A371" s="246" t="n"/>
      <c r="B371" s="273" t="inlineStr">
        <is>
          <t>Ngày cập nhật</t>
        </is>
      </c>
      <c r="C371" s="246" t="n"/>
      <c r="D371" s="236" t="inlineStr">
        <is>
          <t>កាលបរិច្ឆេទបានធ្វើបច្ចុប្បន្នភាព</t>
        </is>
      </c>
      <c r="E371" s="246" t="n"/>
      <c r="F371" t="inlineStr">
        <is>
          <t>កាលបរិច្ឆេទបានធ្វើបច្ចុប្បន្នភាព</t>
        </is>
      </c>
    </row>
    <row r="372">
      <c r="A372" s="246" t="n"/>
      <c r="B372" s="269" t="inlineStr">
        <is>
          <t>Ngày kpi</t>
        </is>
      </c>
      <c r="C372" s="246" t="n"/>
      <c r="D372" s="246" t="inlineStr">
        <is>
          <t>កាលបរិច្ឆេទkpi</t>
        </is>
      </c>
      <c r="E372" s="246" t="n"/>
      <c r="F372" t="inlineStr">
        <is>
          <t>កាលបរិច្ឆេទkpi</t>
        </is>
      </c>
    </row>
    <row r="373">
      <c r="A373" s="246" t="n"/>
      <c r="B373" s="269" t="inlineStr">
        <is>
          <t>Mã vận đơn</t>
        </is>
      </c>
      <c r="C373" s="246" t="n"/>
      <c r="D373" s="246" t="inlineStr">
        <is>
          <t>លេខកូដបុងបញ្ញើ</t>
        </is>
      </c>
      <c r="E373" s="246" t="n"/>
      <c r="F373" t="inlineStr">
        <is>
          <t>លេខកូដបុងបញ្ញើ</t>
        </is>
      </c>
    </row>
    <row r="374">
      <c r="A374" s="246" t="inlineStr">
        <is>
          <t>Mã dịch vụ chính</t>
        </is>
      </c>
      <c r="B374" s="269" t="inlineStr">
        <is>
          <t>Mã dịch vụ Viettel</t>
        </is>
      </c>
      <c r="C374" s="246" t="n"/>
      <c r="D374" s="246" t="inlineStr">
        <is>
          <t>លេខកូដdịch vụ chính</t>
        </is>
      </c>
      <c r="E374" s="246" t="n"/>
      <c r="F374" t="inlineStr">
        <is>
          <t>លេខកូដdịch vụ chính</t>
        </is>
      </c>
    </row>
    <row r="375">
      <c r="A375" s="246" t="n"/>
      <c r="B375" s="269" t="inlineStr">
        <is>
          <t>Mã bưu cục phát</t>
        </is>
      </c>
      <c r="C375" s="246" t="n"/>
      <c r="D375" s="246" t="inlineStr">
        <is>
          <t>លេខកូដការិយាល័យប្រៃសណីយ៍ដឹកចែក</t>
        </is>
      </c>
      <c r="E375" s="246" t="n"/>
      <c r="F375" t="inlineStr">
        <is>
          <t>លេខកូដការិយាល័យប្រៃសណីយ៍ដឹកចែក</t>
        </is>
      </c>
    </row>
    <row r="376">
      <c r="A376" s="246" t="n"/>
      <c r="B376" s="269" t="inlineStr">
        <is>
          <t>Mã chi nhánh phát</t>
        </is>
      </c>
      <c r="C376" s="246" t="n"/>
      <c r="D376" s="246" t="inlineStr">
        <is>
          <t>លេខកូដសាខា ដឹកចែក</t>
        </is>
      </c>
      <c r="E376" s="246" t="n"/>
      <c r="F376" t="inlineStr">
        <is>
          <t>លេខកូដសាខា ដឹកចែក</t>
        </is>
      </c>
    </row>
    <row r="377">
      <c r="A377" s="246" t="n"/>
      <c r="B377" s="269" t="inlineStr">
        <is>
          <t>Tên huyện phát</t>
        </is>
      </c>
      <c r="C377" s="246" t="n"/>
      <c r="D377" s="246" t="inlineStr">
        <is>
          <t>ឈ្មោះស្រុក/ខណ្ឌដឹកចែក</t>
        </is>
      </c>
      <c r="E377" s="246" t="n"/>
      <c r="F377" t="inlineStr">
        <is>
          <t>ឈ្មោះស្រុក/ខណ្ឌដឹកចែក</t>
        </is>
      </c>
    </row>
    <row r="378">
      <c r="A378" s="246" t="n"/>
      <c r="B378" s="269" t="inlineStr">
        <is>
          <t>Tuyến bưu tá</t>
        </is>
      </c>
      <c r="C378" s="246" t="n"/>
      <c r="D378" s="246" t="inlineStr">
        <is>
          <t>ខ្សែផ្លូវ បុគ្គលិកដឹកជញ្ជូន</t>
        </is>
      </c>
      <c r="E378" s="246" t="n"/>
      <c r="F378" t="inlineStr">
        <is>
          <t>ខ្សែផ្លូវ បុគ្គលិកដឹកជញ្ជូន</t>
        </is>
      </c>
    </row>
    <row r="379">
      <c r="A379" s="246" t="n"/>
      <c r="B379" s="269" t="inlineStr">
        <is>
          <t>Đánh giá đúng giờ</t>
        </is>
      </c>
      <c r="C379" s="246" t="n"/>
      <c r="D379" s="246" t="inlineStr">
        <is>
          <t>ការវាយតម្លៃ đúng ម៉ោង</t>
        </is>
      </c>
      <c r="E379" s="246" t="n"/>
      <c r="F379" t="inlineStr">
        <is>
          <t>ការវាយតម្លៃ đúng ម៉ោង</t>
        </is>
      </c>
    </row>
    <row r="380">
      <c r="A380" s="246" t="n"/>
      <c r="B380" s="269" t="inlineStr">
        <is>
          <t>Tỉnh thu</t>
        </is>
      </c>
      <c r="C380" s="246" t="n"/>
      <c r="D380" s="246" t="inlineStr">
        <is>
          <t>ខេត្ត thu</t>
        </is>
      </c>
      <c r="E380" s="246" t="n"/>
      <c r="F380" t="inlineStr">
        <is>
          <t>ខេត្ត thu</t>
        </is>
      </c>
    </row>
    <row r="381">
      <c r="A381" s="246" t="n"/>
      <c r="B381" s="269" t="inlineStr">
        <is>
          <t>Mã huyện thu</t>
        </is>
      </c>
      <c r="C381" s="246" t="n"/>
      <c r="D381" s="246" t="inlineStr">
        <is>
          <t>លេខកូដស្រុក/ខណ្ឌ thu</t>
        </is>
      </c>
      <c r="E381" s="246" t="n"/>
      <c r="F381" t="inlineStr">
        <is>
          <t>លេខកូដស្រុក/ខណ្ឌ thu</t>
        </is>
      </c>
    </row>
    <row r="382">
      <c r="A382" s="246" t="n"/>
      <c r="B382" s="269" t="inlineStr">
        <is>
          <t>Tên huyện thu</t>
        </is>
      </c>
      <c r="C382" s="246" t="n"/>
      <c r="D382" s="246" t="inlineStr">
        <is>
          <t>ឈ្មោះស្រុក/ខណ្ឌ thu</t>
        </is>
      </c>
      <c r="E382" s="246" t="n"/>
      <c r="F382" t="inlineStr">
        <is>
          <t>ឈ្មោះស្រុក/ខណ្ឌ thu</t>
        </is>
      </c>
    </row>
    <row r="383">
      <c r="A383" s="246" t="n"/>
      <c r="B383" s="269" t="inlineStr">
        <is>
          <t>Mã bưu cục thu</t>
        </is>
      </c>
      <c r="C383" s="246" t="n"/>
      <c r="D383" s="246" t="inlineStr">
        <is>
          <t>លេខកូដការិយាល័យប្រៃសណីយ៍ thu</t>
        </is>
      </c>
      <c r="E383" s="246" t="n"/>
      <c r="F383" t="inlineStr">
        <is>
          <t>លេខកូដការិយាល័យប្រៃសណីយ៍ thu</t>
        </is>
      </c>
    </row>
    <row r="384">
      <c r="A384" s="246" t="n"/>
      <c r="B384" s="269" t="inlineStr">
        <is>
          <t>Thời gian quy định</t>
        </is>
      </c>
      <c r="C384" s="246" t="n"/>
      <c r="D384" s="246" t="inlineStr">
        <is>
          <t>ពេលវេលាquy định</t>
        </is>
      </c>
      <c r="E384" s="246" t="n"/>
      <c r="F384" t="inlineStr">
        <is>
          <t>ពេលវេលាquy định</t>
        </is>
      </c>
    </row>
    <row r="385">
      <c r="A385" s="246" t="n"/>
      <c r="B385" s="269" t="inlineStr">
        <is>
          <t>Thời gian phân công phát</t>
        </is>
      </c>
      <c r="C385" s="246" t="n"/>
      <c r="D385" s="246" t="inlineStr">
        <is>
          <t>ពេលវេលាphân công ដឹកចែក</t>
        </is>
      </c>
      <c r="E385" s="246" t="n"/>
      <c r="F385" t="inlineStr">
        <is>
          <t>ពេលវេលាphân công ដឹកចែក</t>
        </is>
      </c>
    </row>
    <row r="386">
      <c r="A386" s="246" t="n"/>
      <c r="B386" s="269" t="inlineStr">
        <is>
          <t>Thời gian bắt đầu kpi</t>
        </is>
      </c>
      <c r="C386" s="246" t="n"/>
      <c r="D386" s="246" t="inlineStr">
        <is>
          <t>ពេលវេលាbắt đầu kpi</t>
        </is>
      </c>
      <c r="E386" s="246" t="n"/>
      <c r="F386" t="inlineStr">
        <is>
          <t>ពេលវេលាbắt đầu kpi</t>
        </is>
      </c>
    </row>
    <row r="387">
      <c r="A387" s="246" t="n"/>
      <c r="B387" s="269" t="inlineStr">
        <is>
          <t>Thời gian phát lần 1</t>
        </is>
      </c>
      <c r="C387" s="246" t="n"/>
      <c r="D387" s="246" t="inlineStr">
        <is>
          <t>ពេលវេលាដឹកចែក lần 1</t>
        </is>
      </c>
      <c r="E387" s="246" t="n"/>
      <c r="F387" t="inlineStr">
        <is>
          <t>ពេលវេលាដឹកចែក lần 1</t>
        </is>
      </c>
    </row>
    <row r="388">
      <c r="A388" s="246" t="n"/>
      <c r="B388" s="269" t="inlineStr">
        <is>
          <t>Thời gian phát thành công</t>
        </is>
      </c>
      <c r="C388" s="246" t="n"/>
      <c r="D388" s="246" t="inlineStr">
        <is>
          <t>ពេលវេលាដឹកចែក ជោគជ័យ</t>
        </is>
      </c>
      <c r="E388" s="246" t="n"/>
      <c r="F388" t="inlineStr">
        <is>
          <t>ពេលវេលាដឹកចែក ជោគជ័យ</t>
        </is>
      </c>
    </row>
    <row r="389">
      <c r="A389" s="246" t="n"/>
      <c r="B389" s="269" t="inlineStr">
        <is>
          <t>Thời gian phát tối đa</t>
        </is>
      </c>
      <c r="C389" s="246" t="n"/>
      <c r="D389" s="246" t="inlineStr">
        <is>
          <t>ពេលវេលាដឹកចែក tối đa</t>
        </is>
      </c>
      <c r="E389" s="246" t="n"/>
      <c r="F389" t="inlineStr">
        <is>
          <t>ពេលវេលាដឹកចែក tối đa</t>
        </is>
      </c>
    </row>
    <row r="390">
      <c r="A390" s="246" t="n"/>
      <c r="B390" s="269" t="inlineStr">
        <is>
          <t>Loại đơn</t>
        </is>
      </c>
      <c r="C390" s="246" t="n"/>
      <c r="D390" s="246" t="inlineStr">
        <is>
          <t>ប្រភេទ បញ្ញើ</t>
        </is>
      </c>
      <c r="E390" s="246" t="n"/>
      <c r="F390" t="inlineStr">
        <is>
          <t>ប្រភេទ បញ្ញើ</t>
        </is>
      </c>
    </row>
    <row r="391">
      <c r="A391" s="246" t="n"/>
      <c r="B391" s="269" t="inlineStr">
        <is>
          <t>Loại cod</t>
        </is>
      </c>
      <c r="C391" s="246" t="n"/>
      <c r="D391" s="246" t="inlineStr">
        <is>
          <t>ប្រភេទ cod</t>
        </is>
      </c>
      <c r="E391" s="246" t="n"/>
      <c r="F391" t="inlineStr">
        <is>
          <t>ប្រភេទ cod</t>
        </is>
      </c>
    </row>
    <row r="392">
      <c r="A392" s="246" t="n"/>
      <c r="B392" s="269" t="inlineStr">
        <is>
          <t>Loại dịch vụ</t>
        </is>
      </c>
      <c r="C392" s="246" t="n"/>
      <c r="D392" s="246" t="inlineStr">
        <is>
          <t>ប្រភេទ dịch vụ</t>
        </is>
      </c>
      <c r="E392" s="246" t="n"/>
      <c r="F392" t="inlineStr">
        <is>
          <t>ប្រភេទ dịch vụ</t>
        </is>
      </c>
    </row>
    <row r="393">
      <c r="A393" s="246" t="n"/>
      <c r="B393" s="269" t="inlineStr">
        <is>
          <t>Mã phường xã phát</t>
        </is>
      </c>
      <c r="C393" s="246" t="n"/>
      <c r="D393" s="246" t="inlineStr">
        <is>
          <t>លេខកូដឃុំ/សង្កាត់ ដឹកចែក</t>
        </is>
      </c>
      <c r="E393" s="246" t="n"/>
      <c r="F393" t="inlineStr">
        <is>
          <t>លេខកូដឃុំ/សង្កាត់ ដឹកចែក</t>
        </is>
      </c>
    </row>
    <row r="394">
      <c r="A394" s="246" t="n"/>
      <c r="B394" s="269" t="inlineStr">
        <is>
          <t>Tên phường xã phát</t>
        </is>
      </c>
      <c r="C394" s="246" t="n"/>
      <c r="D394" s="246" t="inlineStr">
        <is>
          <t>ឈ្មោះឃុំ/សង្កាត់ ដឹកចែក</t>
        </is>
      </c>
      <c r="E394" s="246" t="n"/>
      <c r="F394" t="inlineStr">
        <is>
          <t>ឈ្មោះឃុំ/សង្កាត់ ដឹកចែក</t>
        </is>
      </c>
    </row>
    <row r="395">
      <c r="A395" s="246" t="inlineStr">
        <is>
          <t>Đơn hoàn</t>
        </is>
      </c>
      <c r="B395" s="269" t="inlineStr">
        <is>
          <t>Đơn 470</t>
        </is>
      </c>
      <c r="C395" s="246" t="n"/>
      <c r="D395" s="246" t="inlineStr">
        <is>
          <t>បញ្ញើ hoàn</t>
        </is>
      </c>
      <c r="E395" s="246" t="n"/>
      <c r="F395" t="inlineStr">
        <is>
          <t>បញ្ញើ hoàn</t>
        </is>
      </c>
    </row>
    <row r="396">
      <c r="A396" s="246" t="inlineStr">
        <is>
          <t>Đơn phát thành công</t>
        </is>
      </c>
      <c r="B396" s="269" t="inlineStr">
        <is>
          <t>Đơn 410</t>
        </is>
      </c>
      <c r="C396" s="246" t="n"/>
      <c r="D396" s="246" t="inlineStr">
        <is>
          <t>បញ្ញើ ដឹកចែក ជោគជ័យ</t>
        </is>
      </c>
      <c r="E396" s="246" t="n"/>
      <c r="F396" t="inlineStr">
        <is>
          <t>បញ្ញើ ដឹកចែក ជោគជ័យ</t>
        </is>
      </c>
    </row>
    <row r="397">
      <c r="A397" s="246" t="n"/>
      <c r="B397" s="269" t="inlineStr">
        <is>
          <t>Đơn mới</t>
        </is>
      </c>
      <c r="C397" s="246" t="n"/>
      <c r="D397" s="246" t="inlineStr">
        <is>
          <t>បញ្ញើ mới</t>
        </is>
      </c>
      <c r="E397" s="246" t="n"/>
      <c r="F397" t="inlineStr">
        <is>
          <t>បញ្ញើ mới</t>
        </is>
      </c>
    </row>
    <row r="398">
      <c r="A398" s="246" t="n"/>
      <c r="B398" s="269" t="inlineStr">
        <is>
          <t>Thu hộ</t>
        </is>
      </c>
      <c r="C398" s="246" t="n"/>
      <c r="D398" s="246" t="inlineStr">
        <is>
          <t>ប្រមូលប្រាក់ជំនួស</t>
        </is>
      </c>
      <c r="E398" s="246" t="n"/>
      <c r="F398" t="inlineStr">
        <is>
          <t>ប្រមូលប្រាក់ជំនួស</t>
        </is>
      </c>
    </row>
    <row r="399">
      <c r="A399" s="246" t="n"/>
      <c r="B399" s="269" t="inlineStr">
        <is>
          <t>Mã loại hàng hóa</t>
        </is>
      </c>
      <c r="C399" s="246" t="n"/>
      <c r="D399" s="246" t="inlineStr">
        <is>
          <t>លេខកូដប្រភេទ ទំនិញ</t>
        </is>
      </c>
      <c r="E399" s="246" t="n"/>
      <c r="F399" t="inlineStr">
        <is>
          <t>លេខកូដប្រភេទ ទំនិញ</t>
        </is>
      </c>
    </row>
    <row r="400">
      <c r="A400" s="246" t="n"/>
      <c r="B400" s="269" t="inlineStr">
        <is>
          <t>Trọng lượng</t>
        </is>
      </c>
      <c r="C400" s="246" t="n"/>
      <c r="D400" s="246" t="inlineStr">
        <is>
          <t>ទម្ងន់</t>
        </is>
      </c>
      <c r="E400" s="246" t="n"/>
      <c r="F400" t="inlineStr">
        <is>
          <t>ទម្ងន់</t>
        </is>
      </c>
    </row>
    <row r="401">
      <c r="A401" s="246" t="n"/>
      <c r="B401" s="269" t="inlineStr">
        <is>
          <t>Mã khách hàng gửi</t>
        </is>
      </c>
      <c r="C401" s="246" t="n"/>
      <c r="D401" s="246" t="inlineStr">
        <is>
          <t>លេខកូដអតិថិជនផ្ញើ</t>
        </is>
      </c>
      <c r="E401" s="246" t="n"/>
      <c r="F401" t="inlineStr">
        <is>
          <t>លេខកូដអតិថិជនផ្ញើ</t>
        </is>
      </c>
    </row>
    <row r="402">
      <c r="A402" s="246" t="n"/>
      <c r="B402" s="269" t="inlineStr">
        <is>
          <t>Mã đối tác</t>
        </is>
      </c>
      <c r="C402" s="246" t="n"/>
      <c r="D402" s="246" t="inlineStr">
        <is>
          <t>លេខកូដដៃគូ</t>
        </is>
      </c>
      <c r="E402" s="246" t="n"/>
      <c r="F402" t="inlineStr">
        <is>
          <t>លេខកូដដៃគូ</t>
        </is>
      </c>
    </row>
    <row r="403">
      <c r="A403" s="246" t="n"/>
      <c r="B403" s="269" t="inlineStr">
        <is>
          <t>Phụ phí comment</t>
        </is>
      </c>
      <c r="C403" s="246" t="n"/>
      <c r="D403" s="246" t="inlineStr">
        <is>
          <t>ថ្លៃសេវាបន្ថែម comment</t>
        </is>
      </c>
      <c r="E403" s="246" t="n"/>
      <c r="F403" t="inlineStr">
        <is>
          <t>ថ្លៃសេវាបន្ថែម comment</t>
        </is>
      </c>
    </row>
    <row r="404">
      <c r="A404" s="246" t="n"/>
      <c r="B404" s="269" t="inlineStr">
        <is>
          <t>Zone phát</t>
        </is>
      </c>
      <c r="C404" s="246" t="n"/>
      <c r="D404" s="246" t="inlineStr">
        <is>
          <t>Zone ដឹកចែក</t>
        </is>
      </c>
      <c r="E404" s="246" t="n"/>
      <c r="F404" t="inlineStr">
        <is>
          <t>Zone ដឹកចែក</t>
        </is>
      </c>
    </row>
    <row r="405">
      <c r="A405" s="246" t="inlineStr">
        <is>
          <t>Phân loại đặc thù phát</t>
        </is>
      </c>
      <c r="B405" s="269" t="inlineStr">
        <is>
          <t>PL đặc thù phát</t>
        </is>
      </c>
      <c r="C405" s="246" t="n"/>
      <c r="D405" s="246" t="inlineStr">
        <is>
          <t>ចំណាត់ថ្នាក់ đặc thù ដឹកចែក</t>
        </is>
      </c>
      <c r="E405" s="246" t="n"/>
      <c r="F405" t="inlineStr">
        <is>
          <t>ចំណាត់ថ្នាក់ đặc thù ដឹកចែក</t>
        </is>
      </c>
    </row>
    <row r="406">
      <c r="A406" s="246" t="n"/>
      <c r="B406" s="269" t="inlineStr">
        <is>
          <t>NGÀY BÁO CÁO</t>
        </is>
      </c>
      <c r="C406" s="246" t="n"/>
      <c r="D406" s="246" t="inlineStr">
        <is>
          <t>កាលបរិច្ឆេទ របាយការណ៍</t>
        </is>
      </c>
      <c r="E406" s="246" t="n"/>
      <c r="F406" t="inlineStr">
        <is>
          <t>កាលបរិច្ឆេទ របាយការណ៍</t>
        </is>
      </c>
    </row>
    <row r="407">
      <c r="A407" s="246" t="n"/>
      <c r="B407" s="269" t="inlineStr">
        <is>
          <t>MÃ VẬN ĐƠN</t>
        </is>
      </c>
      <c r="C407" s="246" t="n"/>
      <c r="D407" s="246" t="inlineStr">
        <is>
          <t>លេខកូដបញ្ញើ</t>
        </is>
      </c>
      <c r="E407" s="246" t="n"/>
      <c r="F407" t="inlineStr">
        <is>
          <t>លេខកូដបញ្ញើ</t>
        </is>
      </c>
    </row>
    <row r="408">
      <c r="A408" s="246" t="n"/>
      <c r="B408" s="269" t="inlineStr">
        <is>
          <t>NGÀY TẠO ĐƠN</t>
        </is>
      </c>
      <c r="C408" s="246" t="n"/>
      <c r="D408" s="246" t="inlineStr">
        <is>
          <t>កាលបរិច្ឆេទបង្កើត បញ្ញើ</t>
        </is>
      </c>
      <c r="E408" s="246" t="n"/>
      <c r="F408" t="inlineStr">
        <is>
          <t>កាលបរិច្ឆេទបង្កើត បញ្ញើ</t>
        </is>
      </c>
    </row>
    <row r="409">
      <c r="A409" s="246" t="inlineStr">
        <is>
          <t>Thời gian hẹn nhận</t>
        </is>
      </c>
      <c r="B409" s="269" t="inlineStr">
        <is>
          <t>TG HẸN NHẬN</t>
        </is>
      </c>
      <c r="C409" s="246" t="n"/>
      <c r="D409" s="246" t="inlineStr">
        <is>
          <t>ពេលវេលាhẹn ទទួល</t>
        </is>
      </c>
      <c r="E409" s="246" t="n"/>
      <c r="F409" t="inlineStr">
        <is>
          <t>ពេលវេលាhẹn ទទួល</t>
        </is>
      </c>
    </row>
    <row r="410">
      <c r="A410" s="246" t="n"/>
      <c r="B410" s="269" t="inlineStr">
        <is>
          <t>NGÀY THU ĐƠN</t>
        </is>
      </c>
      <c r="C410" s="246" t="n"/>
      <c r="D410" s="246" t="inlineStr">
        <is>
          <t>កាលបរិច្ឆេទ THU បញ្ញើ</t>
        </is>
      </c>
      <c r="E410" s="246" t="n"/>
      <c r="F410" t="inlineStr">
        <is>
          <t>កាលបរិច្ឆេទ THU បញ្ញើ</t>
        </is>
      </c>
    </row>
    <row r="411">
      <c r="A411" s="246" t="n"/>
      <c r="B411" s="269" t="inlineStr">
        <is>
          <t>THỜI GIAN THU LẦN 1</t>
        </is>
      </c>
      <c r="C411" s="246" t="n"/>
      <c r="D411" s="246" t="inlineStr">
        <is>
          <t>ពេលវេលា THU LẦN 1</t>
        </is>
      </c>
      <c r="E411" s="246" t="n"/>
      <c r="F411" t="inlineStr">
        <is>
          <t>ពេលវេលា THU LẦN 1</t>
        </is>
      </c>
    </row>
    <row r="412">
      <c r="A412" s="246" t="n"/>
      <c r="B412" s="269" t="inlineStr">
        <is>
          <t>ĐÁNH GIÁ LẦN 1 ĐÚNG GIỜ</t>
        </is>
      </c>
      <c r="C412" s="246" t="n"/>
      <c r="D412" s="246" t="inlineStr">
        <is>
          <t>ការវាយតម្លៃ LẦN 1 ĐÚNG ម៉ោង</t>
        </is>
      </c>
      <c r="E412" s="246" t="n"/>
      <c r="F412" t="inlineStr">
        <is>
          <t>ការវាយតម្លៃ LẦN 1 ĐÚNG ម៉ោង</t>
        </is>
      </c>
    </row>
    <row r="413">
      <c r="A413" s="246" t="n"/>
      <c r="B413" s="269" t="inlineStr">
        <is>
          <t>TUYẾN BƯU TÁ</t>
        </is>
      </c>
      <c r="C413" s="246" t="n"/>
      <c r="D413" s="246" t="inlineStr">
        <is>
          <t>ខ្សែផ្លូវ បុគ្គលិកដឹកជញ្ជូន</t>
        </is>
      </c>
      <c r="E413" s="246" t="n"/>
      <c r="F413" t="inlineStr">
        <is>
          <t>ខ្សែផ្លូវ បុគ្គលិកដឹកជញ្ជូន</t>
        </is>
      </c>
    </row>
    <row r="414">
      <c r="A414" s="246" t="n"/>
      <c r="B414" s="269" t="inlineStr">
        <is>
          <t>ĐÁNH GIÁ ĐÚNG GIỜ</t>
        </is>
      </c>
      <c r="C414" s="246" t="n"/>
      <c r="D414" s="246" t="inlineStr">
        <is>
          <t>ការវាយតម្លៃ ĐÚNG ម៉ោង</t>
        </is>
      </c>
      <c r="E414" s="246" t="n"/>
      <c r="F414" t="inlineStr">
        <is>
          <t>ការវាយតម្លៃ ĐÚNG ម៉ោង</t>
        </is>
      </c>
    </row>
    <row r="415">
      <c r="A415" s="246" t="n"/>
      <c r="B415" s="269" t="inlineStr">
        <is>
          <t>TÊN QUẬN/HUYỆN KH NHẬN</t>
        </is>
      </c>
      <c r="C415" s="246" t="n"/>
      <c r="D415" s="246" t="inlineStr">
        <is>
          <t>ឈ្មោះ ស្រុក/ខណ្ឌ KH ទទួល</t>
        </is>
      </c>
      <c r="E415" s="246" t="n"/>
      <c r="F415" t="inlineStr">
        <is>
          <t>ឈ្មោះ ស្រុក/ខណ្ឌ KH ទទួល</t>
        </is>
      </c>
    </row>
    <row r="416">
      <c r="A416" s="246" t="n"/>
      <c r="B416" s="269" t="inlineStr">
        <is>
          <t>MÃ QUẬN/HUYỆN KH NHẬN</t>
        </is>
      </c>
      <c r="C416" s="246" t="n"/>
      <c r="D416" s="246" t="inlineStr">
        <is>
          <t>លេខកូដ ស្រុក/ខណ្ឌ KH ទទួល</t>
        </is>
      </c>
      <c r="E416" s="246" t="n"/>
      <c r="F416" t="inlineStr">
        <is>
          <t>លេខកូដ ស្រុក/ខណ្ឌ KH ទទួល</t>
        </is>
      </c>
    </row>
    <row r="417">
      <c r="A417" s="246" t="n"/>
      <c r="B417" s="269" t="inlineStr">
        <is>
          <t>TÊN PHƯỜNG/XÃ KH NHẬN</t>
        </is>
      </c>
      <c r="C417" s="246" t="n"/>
      <c r="D417" s="246" t="inlineStr">
        <is>
          <t>ឈ្មោះ ឃុំ/សង្កាត់ KH ទទួល</t>
        </is>
      </c>
      <c r="E417" s="246" t="n"/>
      <c r="F417" t="inlineStr">
        <is>
          <t>ឈ្មោះ ឃុំ/សង្កាត់ KH ទទួល</t>
        </is>
      </c>
    </row>
    <row r="418">
      <c r="A418" s="246" t="n"/>
      <c r="B418" s="269" t="inlineStr">
        <is>
          <t>MÃ PHƯỜNG/XÃ KH NHẬN</t>
        </is>
      </c>
      <c r="C418" s="246" t="n"/>
      <c r="D418" s="246" t="inlineStr">
        <is>
          <t>លេខកូដ ឃុំ/សង្កាត់ KH ទទួល</t>
        </is>
      </c>
      <c r="E418" s="246" t="n"/>
      <c r="F418" t="inlineStr">
        <is>
          <t>លេខកូដ ឃុំ/សង្កាត់ KH ទទួល</t>
        </is>
      </c>
    </row>
    <row r="419">
      <c r="A419" s="246" t="n"/>
      <c r="B419" s="269" t="inlineStr">
        <is>
          <t>NHÓM DỊCH VỤ</t>
        </is>
      </c>
      <c r="C419" s="246" t="n"/>
      <c r="D419" s="246" t="inlineStr">
        <is>
          <t>ក្រុម DỊCH VỤ</t>
        </is>
      </c>
      <c r="E419" s="246" t="n"/>
      <c r="F419" t="inlineStr">
        <is>
          <t>ក្រុម DỊCH VỤ</t>
        </is>
      </c>
    </row>
    <row r="420">
      <c r="A420" s="246" t="n"/>
      <c r="B420" s="269" t="inlineStr">
        <is>
          <t>CHI NHÁNH</t>
        </is>
      </c>
      <c r="C420" s="246" t="n"/>
      <c r="D420" s="246" t="inlineStr">
        <is>
          <t>សាខា</t>
        </is>
      </c>
      <c r="E420" s="246" t="n"/>
      <c r="F420" t="inlineStr">
        <is>
          <t>សាខា</t>
        </is>
      </c>
    </row>
    <row r="421">
      <c r="A421" s="246" t="n"/>
      <c r="B421" s="269" t="inlineStr">
        <is>
          <t>BƯU CỤC</t>
        </is>
      </c>
      <c r="C421" s="246" t="n"/>
      <c r="D421" s="246" t="inlineStr">
        <is>
          <t>ការិយាល័យប្រៃសណីយ៍</t>
        </is>
      </c>
      <c r="E421" s="246" t="n"/>
      <c r="F421" t="inlineStr">
        <is>
          <t>ការិយាល័យប្រៃសណីយ៍</t>
        </is>
      </c>
    </row>
    <row r="422">
      <c r="A422" s="246" t="inlineStr">
        <is>
          <t>Mã khách hàng gửi</t>
        </is>
      </c>
      <c r="B422" s="269" t="inlineStr">
        <is>
          <t>MÃ KH GỬI</t>
        </is>
      </c>
      <c r="C422" s="246" t="n"/>
      <c r="D422" s="246" t="inlineStr">
        <is>
          <t>លេខកូដអតិថិជនផ្ញើ</t>
        </is>
      </c>
      <c r="E422" s="246" t="n"/>
      <c r="F422" t="inlineStr">
        <is>
          <t>លេខកូដអតិថិជនផ្ញើ</t>
        </is>
      </c>
    </row>
    <row r="423">
      <c r="A423" s="246" t="n"/>
      <c r="B423" s="269" t="inlineStr">
        <is>
          <t>MÃ ĐỐI TÁC</t>
        </is>
      </c>
      <c r="C423" s="246" t="n"/>
      <c r="D423" s="246" t="inlineStr">
        <is>
          <t>លេខកូដ ĐỐI TÁC</t>
        </is>
      </c>
      <c r="E423" s="246" t="n"/>
      <c r="F423" t="inlineStr">
        <is>
          <t>លេខកូដ ĐỐI TÁC</t>
        </is>
      </c>
    </row>
    <row r="424">
      <c r="A424" s="246" t="n"/>
      <c r="B424" s="269" t="inlineStr">
        <is>
          <t>PHÂN LOẠI ĐẶC THÙ - GỬI</t>
        </is>
      </c>
      <c r="C424" s="246" t="n"/>
      <c r="D424" s="246" t="inlineStr">
        <is>
          <t>ចំណាត់ថ្នាក់ ĐẶC THÙ - ផ្ញើ</t>
        </is>
      </c>
      <c r="E424" s="246" t="n"/>
      <c r="F424" t="inlineStr">
        <is>
          <t>ចំណាត់ថ្នាក់ ĐẶC THÙ - ផ្ញើ</t>
        </is>
      </c>
    </row>
    <row r="425">
      <c r="A425" s="246" t="n"/>
      <c r="B425" s="269" t="inlineStr">
        <is>
          <t>LOẠI COD</t>
        </is>
      </c>
      <c r="C425" s="246" t="n"/>
      <c r="D425" s="246" t="inlineStr">
        <is>
          <t>ប្រភេទ COD</t>
        </is>
      </c>
      <c r="E425" s="246" t="n"/>
      <c r="F425" t="inlineStr">
        <is>
          <t>ប្រភេទ COD</t>
        </is>
      </c>
    </row>
    <row r="426">
      <c r="A426" s="246" t="n"/>
      <c r="B426" s="269" t="inlineStr">
        <is>
          <t>LOẠI ĐƠN</t>
        </is>
      </c>
      <c r="C426" s="246" t="n"/>
      <c r="D426" s="246" t="inlineStr">
        <is>
          <t>ប្រភេទ បញ្ញើ</t>
        </is>
      </c>
      <c r="E426" s="246" t="n"/>
      <c r="F426" t="inlineStr">
        <is>
          <t>ប្រភេទ បញ្ញើ</t>
        </is>
      </c>
    </row>
    <row r="427">
      <c r="A427" s="246" t="inlineStr">
        <is>
          <t>Tên khách hàng gửi</t>
        </is>
      </c>
      <c r="B427" s="269" t="inlineStr">
        <is>
          <t>TÊN KH GỬI</t>
        </is>
      </c>
      <c r="C427" s="246" t="n"/>
      <c r="D427" s="246" t="inlineStr">
        <is>
          <t>ឈ្មោះអតិថិជន ផ្ញើ</t>
        </is>
      </c>
      <c r="E427" s="246" t="n"/>
      <c r="F427" t="inlineStr">
        <is>
          <t>ឈ្មោះអតិថិជន ផ្ញើ</t>
        </is>
      </c>
    </row>
    <row r="428">
      <c r="A428" s="246" t="n"/>
      <c r="B428" s="270" t="inlineStr">
        <is>
          <t>BÁO CÁO SẢN LƯỢNG TỒN TẠI TTKT, KHO VÙNG - NGÀY DD/MM/YYYY - BC VÀO LÚC HH:MM</t>
        </is>
      </c>
      <c r="C428" s="246" t="n"/>
      <c r="D428" s="246" t="inlineStr">
        <is>
          <t>របាយការណ៍ SẢN LƯỢNG TỒN TẠI TTKT, ឃ្លាំង តំបន់ - កាលបរិច្ឆេទ DD/MM/YYYY - BC VÀO LÚC HH:MM</t>
        </is>
      </c>
      <c r="E428" s="246" t="n"/>
      <c r="F428" t="inlineStr">
        <is>
          <t>របាយការណ៍ SẢN LƯỢNG TỒN TẠI TTKT, ឃ្លាំង តំបន់ - កាលបរិច្ឆេទ DD/MM/YYYY - BC VÀO LÚC HH:MM</t>
        </is>
      </c>
    </row>
    <row r="429">
      <c r="A429" s="246" t="n"/>
      <c r="B429" s="264" t="inlineStr">
        <is>
          <t>Bộ lọc thời gian</t>
        </is>
      </c>
      <c r="C429" s="246" t="n"/>
      <c r="D429" s="246" t="inlineStr">
        <is>
          <t>Bộ lọc ពេលវេលា</t>
        </is>
      </c>
      <c r="E429" s="246" t="n"/>
      <c r="F429" t="inlineStr">
        <is>
          <t>Bộ lọc ពេលវេលា</t>
        </is>
      </c>
    </row>
    <row r="430">
      <c r="A430" s="246" t="n"/>
      <c r="B430" s="264" t="inlineStr">
        <is>
          <t>Cấp bưu cục</t>
        </is>
      </c>
      <c r="C430" s="246" t="n"/>
      <c r="D430" s="246" t="inlineStr">
        <is>
          <t>Cấp ការិយាល័យប្រៃសណីយ៍</t>
        </is>
      </c>
      <c r="E430" s="246" t="n"/>
      <c r="F430" t="inlineStr">
        <is>
          <t>Cấp ការិយាល័យប្រៃសណីយ៍</t>
        </is>
      </c>
    </row>
    <row r="431">
      <c r="A431" s="246" t="n"/>
      <c r="B431" s="264" t="inlineStr">
        <is>
          <t>Lọc TTKT, kho vùng</t>
        </is>
      </c>
      <c r="C431" s="246" t="n"/>
      <c r="D431" s="246" t="inlineStr">
        <is>
          <t>Lọc TTKT, ឃ្លាំង តំបន់</t>
        </is>
      </c>
      <c r="E431" s="246" t="n"/>
      <c r="F431" t="inlineStr">
        <is>
          <t>Lọc TTKT, ឃ្លាំង តំបន់</t>
        </is>
      </c>
    </row>
    <row r="432">
      <c r="A432" s="246" t="n"/>
      <c r="B432" s="264" t="inlineStr">
        <is>
          <t>Bộ lọc theo tỉnh phát</t>
        </is>
      </c>
      <c r="C432" s="246" t="n"/>
      <c r="D432" s="246" t="inlineStr">
        <is>
          <t>Bộ lọc theo ខេត្ត ដឹកចែក</t>
        </is>
      </c>
      <c r="E432" s="246" t="n"/>
      <c r="F432" t="inlineStr">
        <is>
          <t>Bộ lọc theo ខេត្ត ដឹកចែក</t>
        </is>
      </c>
    </row>
    <row r="433">
      <c r="A433" s="246" t="n"/>
      <c r="B433" s="264" t="inlineStr">
        <is>
          <t>Bộ lọc theo điểm đến</t>
        </is>
      </c>
      <c r="C433" s="246" t="n"/>
      <c r="D433" s="246" t="inlineStr">
        <is>
          <t>ចម្រោះតាមគោលដៅ</t>
        </is>
      </c>
      <c r="E433" s="246" t="n"/>
      <c r="F433" t="inlineStr">
        <is>
          <t>ចម្រោះតាមគោលដៅ</t>
        </is>
      </c>
    </row>
    <row r="434">
      <c r="A434" s="246" t="n"/>
      <c r="B434" s="264" t="inlineStr">
        <is>
          <t>Bộ lọc theo nhóm dịch vụ</t>
        </is>
      </c>
      <c r="C434" s="246" t="n"/>
      <c r="D434" s="246" t="inlineStr">
        <is>
          <t>Bộ lọc theo ក្រុម dịch vụ</t>
        </is>
      </c>
      <c r="E434" s="246" t="n"/>
      <c r="F434" t="inlineStr">
        <is>
          <t>Bộ lọc theo ក្រុម dịch vụ</t>
        </is>
      </c>
    </row>
    <row r="435">
      <c r="A435" s="246" t="n"/>
      <c r="B435" s="264" t="inlineStr">
        <is>
          <t>Làm mới</t>
        </is>
      </c>
      <c r="C435" s="246" t="n"/>
      <c r="D435" s="246" t="inlineStr">
        <is>
          <t>ផ្ទុកឡើងវិញ</t>
        </is>
      </c>
      <c r="E435" s="246" t="n"/>
      <c r="F435" t="inlineStr">
        <is>
          <t>ផ្ទុកឡើងវិញ</t>
        </is>
      </c>
    </row>
    <row r="436">
      <c r="A436" s="246" t="n"/>
      <c r="B436" s="266" t="inlineStr">
        <is>
          <t xml:space="preserve">Xuất excel </t>
        </is>
      </c>
      <c r="C436" s="246" t="n"/>
      <c r="D436" s="246" t="inlineStr">
        <is>
          <t>ទាញយក Excel</t>
        </is>
      </c>
      <c r="E436" s="246" t="n"/>
      <c r="F436" t="inlineStr">
        <is>
          <t>ទាញយក Excel</t>
        </is>
      </c>
    </row>
    <row r="437">
      <c r="A437" s="246" t="n"/>
      <c r="B437" s="264" t="inlineStr">
        <is>
          <t>Xuất excel chi tiết</t>
        </is>
      </c>
      <c r="C437" s="246" t="n"/>
      <c r="D437" s="246" t="inlineStr">
        <is>
          <t>ទាញយក Excel ព័ត៌មានលម្អិត</t>
        </is>
      </c>
      <c r="E437" s="246" t="n"/>
      <c r="F437" t="inlineStr">
        <is>
          <t>ទាញយក Excel ព័ត៌មានលម្អិត</t>
        </is>
      </c>
    </row>
    <row r="438">
      <c r="A438" s="246" t="n"/>
      <c r="B438" s="264" t="inlineStr">
        <is>
          <t>TTKT/ kho vùng</t>
        </is>
      </c>
      <c r="C438" s="246" t="n"/>
      <c r="D438" s="246" t="inlineStr">
        <is>
          <t>TTKT/ ឃ្លាំង តំបន់</t>
        </is>
      </c>
      <c r="E438" s="246" t="n"/>
      <c r="F438" t="inlineStr">
        <is>
          <t>TTKT/ ឃ្លាំង តំបន់</t>
        </is>
      </c>
    </row>
    <row r="439">
      <c r="A439" s="246" t="n"/>
      <c r="B439" s="264" t="inlineStr">
        <is>
          <t>Tỉnh phát</t>
        </is>
      </c>
      <c r="C439" s="246" t="n"/>
      <c r="D439" s="246" t="inlineStr">
        <is>
          <t>ខេត្តដឹកចែក</t>
        </is>
      </c>
      <c r="E439" s="246" t="n"/>
      <c r="F439" t="inlineStr">
        <is>
          <t>ខេត្តដឹកចែក</t>
        </is>
      </c>
    </row>
    <row r="440">
      <c r="A440" s="246" t="n"/>
      <c r="B440" s="264" t="inlineStr">
        <is>
          <t>Dưới 3h</t>
        </is>
      </c>
      <c r="C440" s="246" t="n"/>
      <c r="D440" s="246" t="inlineStr">
        <is>
          <t>ក្រោម 3 ម៉ោង</t>
        </is>
      </c>
      <c r="E440" s="246" t="n"/>
      <c r="F440" t="inlineStr">
        <is>
          <t>ក្រោម 3 ម៉ោង</t>
        </is>
      </c>
    </row>
    <row r="441">
      <c r="A441" s="246" t="n"/>
      <c r="B441" s="264" t="inlineStr">
        <is>
          <t>Tồn 3 - 6h</t>
        </is>
      </c>
      <c r="C441" s="246" t="n"/>
      <c r="D441" s="246" t="inlineStr">
        <is>
          <t>សល់ 3 - 6 ម៉ោង</t>
        </is>
      </c>
      <c r="E441" s="246" t="n"/>
      <c r="F441" t="inlineStr">
        <is>
          <t>សល់ 3 - 6 ម៉ោង</t>
        </is>
      </c>
    </row>
    <row r="442">
      <c r="A442" s="246" t="n"/>
      <c r="B442" s="264" t="inlineStr">
        <is>
          <t>Tồn 6 - 12h</t>
        </is>
      </c>
      <c r="C442" s="246" t="n"/>
      <c r="D442" s="246" t="inlineStr">
        <is>
          <t>សល់ 6 - 12 ម៉ោង</t>
        </is>
      </c>
      <c r="E442" s="246" t="n"/>
      <c r="F442" t="inlineStr">
        <is>
          <t>សល់ 6 - 12 ម៉ោង</t>
        </is>
      </c>
    </row>
    <row r="443">
      <c r="A443" s="246" t="n"/>
      <c r="B443" s="264" t="inlineStr">
        <is>
          <t>Tồn 12- 24h</t>
        </is>
      </c>
      <c r="C443" s="246" t="n"/>
      <c r="D443" s="246" t="inlineStr">
        <is>
          <t>សល់ 12 - 24 ម៉ោង</t>
        </is>
      </c>
      <c r="E443" s="246" t="n"/>
      <c r="F443" t="inlineStr">
        <is>
          <t>សល់ 12 - 24 ម៉ោង</t>
        </is>
      </c>
    </row>
    <row r="444">
      <c r="A444" s="246" t="n"/>
      <c r="B444" s="265" t="inlineStr">
        <is>
          <t>Trên 24h</t>
        </is>
      </c>
      <c r="C444" s="246" t="n"/>
      <c r="D444" s="246" t="inlineStr">
        <is>
          <t>លើស 24 ម៉ោង</t>
        </is>
      </c>
      <c r="E444" s="246" t="n"/>
      <c r="F444" t="inlineStr">
        <is>
          <t>លើស 24 ម៉ោង</t>
        </is>
      </c>
    </row>
    <row r="445">
      <c r="A445" s="246" t="n"/>
      <c r="B445" s="264" t="inlineStr">
        <is>
          <t>Trên 40h</t>
        </is>
      </c>
      <c r="C445" s="246" t="n"/>
      <c r="D445" s="246" t="inlineStr">
        <is>
          <t>លើស 40 ម៉ោង</t>
        </is>
      </c>
      <c r="E445" s="246" t="n"/>
      <c r="F445" t="inlineStr">
        <is>
          <t>លើស 40 ម៉ោង</t>
        </is>
      </c>
    </row>
    <row r="446">
      <c r="A446" s="246" t="n"/>
      <c r="B446" s="264" t="inlineStr">
        <is>
          <t>Trên 48h</t>
        </is>
      </c>
      <c r="C446" s="246" t="n"/>
      <c r="D446" s="246" t="inlineStr">
        <is>
          <t>លើស 48 ម៉ោង</t>
        </is>
      </c>
      <c r="E446" s="246" t="n"/>
      <c r="F446" t="inlineStr">
        <is>
          <t>លើស 48 ម៉ោង</t>
        </is>
      </c>
    </row>
    <row r="447">
      <c r="A447" s="246" t="n"/>
      <c r="B447" s="264" t="inlineStr">
        <is>
          <t>Tồn 3 - 7 ngày</t>
        </is>
      </c>
      <c r="C447" s="246" t="n"/>
      <c r="D447" s="246" t="inlineStr">
        <is>
          <t>Tồn 3 - 7 កាលបរិច្ឆេទ</t>
        </is>
      </c>
      <c r="E447" s="246" t="n"/>
      <c r="F447" t="inlineStr">
        <is>
          <t>Tồn 3 - 7 កាលបរិច្ឆេទ</t>
        </is>
      </c>
    </row>
    <row r="448">
      <c r="A448" s="246" t="n"/>
      <c r="B448" s="264" t="inlineStr">
        <is>
          <t>Trên 7 ngày</t>
        </is>
      </c>
      <c r="C448" s="246" t="n"/>
      <c r="D448" s="246" t="inlineStr">
        <is>
          <t>Trên 7 កាលបរិច្ឆេទ</t>
        </is>
      </c>
      <c r="E448" s="246" t="n"/>
      <c r="F448" t="inlineStr">
        <is>
          <t>Trên 7 កាលបរិច្ឆេទ</t>
        </is>
      </c>
    </row>
    <row r="449">
      <c r="A449" s="246" t="n"/>
      <c r="B449" s="264" t="inlineStr">
        <is>
          <t>Tổng sản lượng tồn</t>
        </is>
      </c>
      <c r="C449" s="246" t="n"/>
      <c r="D449" s="246" t="inlineStr">
        <is>
          <t>ចំនួនsản lượng tồnសរុប</t>
        </is>
      </c>
      <c r="E449" s="246" t="n"/>
      <c r="F449" t="inlineStr">
        <is>
          <t>ចំនួនsản lượng tồnសរុប</t>
        </is>
      </c>
    </row>
    <row r="450">
      <c r="A450" s="246" t="n"/>
      <c r="B450" s="264" t="inlineStr">
        <is>
          <t>Tổng khối lượng tồn(gram)</t>
        </is>
      </c>
      <c r="C450" s="246" t="n"/>
      <c r="D450" s="246" t="inlineStr">
        <is>
          <t>ចំនួនទម្ងន់ tồn(gram)សរុប</t>
        </is>
      </c>
      <c r="E450" s="246" t="n"/>
      <c r="F450" t="inlineStr">
        <is>
          <t>ចំនួនទម្ងន់ tồn(gram)សរុប</t>
        </is>
      </c>
    </row>
    <row r="451">
      <c r="A451" s="246" t="n"/>
      <c r="B451" s="264" t="inlineStr">
        <is>
          <t>Mã phiếu gửi</t>
        </is>
      </c>
      <c r="C451" s="246" t="n"/>
      <c r="D451" s="246" t="inlineStr">
        <is>
          <t>លេខកូដបុងបញ្ញើ</t>
        </is>
      </c>
      <c r="E451" s="246" t="n"/>
      <c r="F451" t="inlineStr">
        <is>
          <t>លេខកូដបុងបញ្ញើ</t>
        </is>
      </c>
    </row>
    <row r="452">
      <c r="A452" s="246" t="n"/>
      <c r="B452" s="264" t="inlineStr">
        <is>
          <t>Bưu cục nhập máy</t>
        </is>
      </c>
      <c r="C452" s="246" t="n"/>
      <c r="D452" s="246" t="inlineStr">
        <is>
          <t>ការិយាល័យប្រៃសណីយ៍ nhập máy</t>
        </is>
      </c>
      <c r="E452" s="246" t="n"/>
      <c r="F452" t="inlineStr">
        <is>
          <t>ការិយាល័យប្រៃសណីយ៍ nhập máy</t>
        </is>
      </c>
    </row>
    <row r="453">
      <c r="A453" s="246" t="n"/>
      <c r="B453" s="264" t="inlineStr">
        <is>
          <t>User nhập máy</t>
        </is>
      </c>
      <c r="C453" s="246" t="n"/>
      <c r="D453" s="246" t="inlineStr">
        <is>
          <t>អ្នកបញ្ចូលទិន្នន័យ</t>
        </is>
      </c>
      <c r="E453" s="246" t="n"/>
      <c r="F453" t="inlineStr">
        <is>
          <t>អ្នកបញ្ចូលទិន្នន័យ</t>
        </is>
      </c>
    </row>
    <row r="454">
      <c r="A454" s="246" t="n"/>
      <c r="B454" s="264" t="inlineStr">
        <is>
          <t>Thời gian nhập máy</t>
        </is>
      </c>
      <c r="C454" s="246" t="n"/>
      <c r="D454" s="246" t="inlineStr">
        <is>
          <t>ពេលវេលាnhập máy</t>
        </is>
      </c>
      <c r="E454" s="246" t="n"/>
      <c r="F454" t="inlineStr">
        <is>
          <t>ពេលវេលាnhập máy</t>
        </is>
      </c>
    </row>
    <row r="455">
      <c r="A455" s="246" t="n"/>
      <c r="B455" s="264" t="inlineStr">
        <is>
          <t>Đơn hoàn</t>
        </is>
      </c>
      <c r="C455" s="246" t="n"/>
      <c r="D455" s="246" t="inlineStr">
        <is>
          <t>បញ្ញើ hoàn</t>
        </is>
      </c>
      <c r="E455" s="246" t="n"/>
      <c r="F455" t="inlineStr">
        <is>
          <t>បញ្ញើ hoàn</t>
        </is>
      </c>
    </row>
    <row r="456">
      <c r="A456" s="246" t="n"/>
      <c r="B456" s="264" t="inlineStr">
        <is>
          <t>Khối lượng</t>
        </is>
      </c>
      <c r="C456" s="246" t="n"/>
      <c r="D456" s="246" t="inlineStr">
        <is>
          <t>ទម្ងន់</t>
        </is>
      </c>
      <c r="E456" s="246" t="n"/>
      <c r="F456" t="inlineStr">
        <is>
          <t>ទម្ងន់</t>
        </is>
      </c>
    </row>
    <row r="457">
      <c r="A457" s="246" t="n"/>
      <c r="B457" s="265" t="inlineStr">
        <is>
          <t>Bưu cục hiện tại</t>
        </is>
      </c>
      <c r="C457" s="246" t="n"/>
      <c r="D457" s="246" t="inlineStr">
        <is>
          <t>ការិយាល័យប្រៃសណីយ៍បច្ចុប្បន្ន</t>
        </is>
      </c>
      <c r="E457" s="246" t="n"/>
      <c r="F457" t="inlineStr">
        <is>
          <t>ការិយាល័យប្រៃសណីយ៍បច្ចុប្បន្ន</t>
        </is>
      </c>
    </row>
    <row r="458">
      <c r="A458" s="246" t="n"/>
      <c r="B458" s="264" t="inlineStr">
        <is>
          <t>Chi nhánh hiện tại</t>
        </is>
      </c>
      <c r="C458" s="246" t="n"/>
      <c r="D458" s="246" t="inlineStr">
        <is>
          <t>សាខាបច្ចុប្បន្ន</t>
        </is>
      </c>
      <c r="E458" s="246" t="n"/>
      <c r="F458" t="inlineStr">
        <is>
          <t>សាខាបច្ចុប្បន្ន</t>
        </is>
      </c>
    </row>
    <row r="459">
      <c r="A459" s="246" t="n"/>
      <c r="B459" s="264" t="inlineStr">
        <is>
          <t>Trạng thái</t>
        </is>
      </c>
      <c r="C459" s="246" t="n"/>
      <c r="D459" s="246" t="inlineStr">
        <is>
          <t>ស្ថានភាព</t>
        </is>
      </c>
      <c r="E459" s="246" t="n"/>
      <c r="F459" t="inlineStr">
        <is>
          <t>ស្ថានភាព</t>
        </is>
      </c>
    </row>
    <row r="460">
      <c r="A460" s="246" t="n"/>
      <c r="B460" s="264" t="inlineStr">
        <is>
          <t>Thời gian tác động</t>
        </is>
      </c>
      <c r="C460" s="246" t="n"/>
      <c r="D460" s="246" t="inlineStr">
        <is>
          <t>ពេលវេលាប្រតិបត្តិការ</t>
        </is>
      </c>
      <c r="E460" s="246" t="n"/>
      <c r="F460" t="inlineStr">
        <is>
          <t>ពេលវេលាប្រតិបត្តិការ</t>
        </is>
      </c>
    </row>
    <row r="461">
      <c r="A461" s="246" t="n"/>
      <c r="B461" s="264" t="inlineStr">
        <is>
          <t>Mã dịch vụ</t>
        </is>
      </c>
      <c r="C461" s="246" t="n"/>
      <c r="D461" s="246" t="inlineStr">
        <is>
          <t>លេខកូដសេវាកម្ម</t>
        </is>
      </c>
      <c r="E461" s="246" t="n"/>
      <c r="F461" t="inlineStr">
        <is>
          <t>លេខកូដសេវាកម្ម</t>
        </is>
      </c>
    </row>
    <row r="462">
      <c r="A462" s="246" t="n"/>
      <c r="B462" s="264" t="inlineStr">
        <is>
          <t>Nhóm dịch vụ</t>
        </is>
      </c>
      <c r="C462" s="246" t="n"/>
      <c r="D462" s="246" t="inlineStr">
        <is>
          <t>ក្រុម dịch vụ</t>
        </is>
      </c>
      <c r="E462" s="246" t="n"/>
      <c r="F462" t="inlineStr">
        <is>
          <t>ក្រុម dịch vụ</t>
        </is>
      </c>
    </row>
    <row r="463">
      <c r="A463" s="246" t="n"/>
      <c r="B463" s="264" t="inlineStr">
        <is>
          <t>Loại hàng</t>
        </is>
      </c>
      <c r="C463" s="246" t="n"/>
      <c r="D463" s="246" t="inlineStr">
        <is>
          <t>ប្រភេទ ទំនិញ</t>
        </is>
      </c>
      <c r="E463" s="246" t="n"/>
      <c r="F463" t="inlineStr">
        <is>
          <t>ប្រភេទ ទំនិញ</t>
        </is>
      </c>
    </row>
    <row r="464">
      <c r="A464" s="246" t="n"/>
      <c r="B464" s="264" t="inlineStr">
        <is>
          <t>Bưu cục phát</t>
        </is>
      </c>
      <c r="C464" s="246" t="n"/>
      <c r="D464" s="246" t="inlineStr">
        <is>
          <t>ការិយាល័យប្រៃសណីយ៍ដឹកចែក</t>
        </is>
      </c>
      <c r="E464" s="246" t="n"/>
      <c r="F464" t="inlineStr">
        <is>
          <t>ការិយាល័យប្រៃសណីយ៍ដឹកចែក</t>
        </is>
      </c>
    </row>
    <row r="465">
      <c r="A465" s="246" t="n"/>
      <c r="B465" s="264" t="inlineStr">
        <is>
          <t>Chi nhánh nhận</t>
        </is>
      </c>
      <c r="C465" s="246" t="n"/>
      <c r="D465" s="246" t="inlineStr">
        <is>
          <t>សាខាទទួល</t>
        </is>
      </c>
      <c r="E465" s="246" t="n"/>
      <c r="F465" t="inlineStr">
        <is>
          <t>សាខាទទួល</t>
        </is>
      </c>
    </row>
    <row r="466">
      <c r="A466" s="246" t="n"/>
      <c r="B466" s="264" t="inlineStr">
        <is>
          <t>Chi nhánh phát</t>
        </is>
      </c>
      <c r="C466" s="246" t="n"/>
      <c r="D466" s="246" t="inlineStr">
        <is>
          <t>សាខាដឹកចែក</t>
        </is>
      </c>
      <c r="E466" s="246" t="n"/>
      <c r="F466" t="inlineStr">
        <is>
          <t>សាខាដឹកចែក</t>
        </is>
      </c>
    </row>
    <row r="467">
      <c r="A467" s="246" t="n"/>
      <c r="B467" s="264" t="inlineStr">
        <is>
          <t>Tiền thu hộ</t>
        </is>
      </c>
      <c r="C467" s="246" t="n"/>
      <c r="D467" s="246" t="inlineStr">
        <is>
          <t>ប្រាក់ប្រមូលជំនួស (COD)</t>
        </is>
      </c>
      <c r="E467" s="246" t="n"/>
      <c r="F467" t="inlineStr">
        <is>
          <t>ប្រាក់ប្រមូលជំនួស (COD)</t>
        </is>
      </c>
    </row>
    <row r="468">
      <c r="A468" s="246" t="n"/>
      <c r="B468" s="264" t="inlineStr">
        <is>
          <t>Tổng cước</t>
        </is>
      </c>
      <c r="C468" s="246" t="n"/>
      <c r="D468" s="246" t="inlineStr">
        <is>
          <t>ថ្លៃដឹកជញ្ជូនសរុប</t>
        </is>
      </c>
      <c r="E468" s="246" t="n"/>
      <c r="F468" t="inlineStr">
        <is>
          <t>ថ្លៃដឹកជញ្ជូនសរុប</t>
        </is>
      </c>
    </row>
    <row r="469">
      <c r="A469" s="246" t="n"/>
      <c r="B469" s="264" t="inlineStr">
        <is>
          <t>Thời gian nhận</t>
        </is>
      </c>
      <c r="C469" s="246" t="n"/>
      <c r="D469" s="246" t="inlineStr">
        <is>
          <t>ពេលវេលាទទួល</t>
        </is>
      </c>
      <c r="E469" s="246" t="n"/>
      <c r="F469" t="inlineStr">
        <is>
          <t>ពេលវេលាទទួល</t>
        </is>
      </c>
    </row>
    <row r="470">
      <c r="A470" s="246" t="n"/>
      <c r="B470" s="264" t="inlineStr">
        <is>
          <t>Thời gian báo cáo</t>
        </is>
      </c>
      <c r="C470" s="246" t="n"/>
      <c r="D470" s="246" t="inlineStr">
        <is>
          <t>ពេលវេលារបាយការណ៍</t>
        </is>
      </c>
      <c r="E470" s="246" t="n"/>
      <c r="F470" t="inlineStr">
        <is>
          <t>ពេលវេលារបាយការណ៍</t>
        </is>
      </c>
    </row>
    <row r="471">
      <c r="A471" s="246" t="n"/>
      <c r="B471" s="264" t="inlineStr">
        <is>
          <t>Thời gian tồn</t>
        </is>
      </c>
      <c r="C471" s="246" t="n"/>
      <c r="D471" s="246" t="inlineStr">
        <is>
          <t>ពេលវេលាtồn</t>
        </is>
      </c>
      <c r="E471" s="246" t="n"/>
      <c r="F471" t="inlineStr">
        <is>
          <t>ពេលវេលាtồn</t>
        </is>
      </c>
    </row>
    <row r="472">
      <c r="A472" s="246" t="n"/>
      <c r="B472" s="264" t="inlineStr">
        <is>
          <t>Ngưỡng tồn</t>
        </is>
      </c>
      <c r="C472" s="246" t="n"/>
      <c r="D472" s="246" t="inlineStr">
        <is>
          <t>កម្រិតកំណត់បញ្ញើសល់</t>
        </is>
      </c>
      <c r="E472" s="246" t="n"/>
      <c r="F472" t="inlineStr">
        <is>
          <t>កម្រិតកំណត់បញ្ញើសល់</t>
        </is>
      </c>
    </row>
    <row r="473">
      <c r="A473" s="246" t="n"/>
      <c r="B473" s="264" t="inlineStr">
        <is>
          <t>Điểm đến</t>
        </is>
      </c>
      <c r="C473" s="246" t="n"/>
      <c r="D473" s="246" t="inlineStr">
        <is>
          <t>គោលដៅ</t>
        </is>
      </c>
      <c r="E473" s="246" t="n"/>
      <c r="F473" t="inlineStr">
        <is>
          <t>គោលដៅ</t>
        </is>
      </c>
    </row>
    <row r="474">
      <c r="A474" s="246" t="n"/>
      <c r="B474" s="264" t="inlineStr">
        <is>
          <t>User tác động</t>
        </is>
      </c>
      <c r="C474" s="246" t="n"/>
      <c r="D474" s="246" t="inlineStr">
        <is>
          <t>អ្នកធ្វើប្រតិបត្តិការ</t>
        </is>
      </c>
      <c r="E474" s="246" t="n"/>
      <c r="F474" t="inlineStr">
        <is>
          <t>អ្នកធ្វើប្រតិបត្តិការ</t>
        </is>
      </c>
    </row>
    <row r="475">
      <c r="A475" s="246" t="n"/>
      <c r="B475" s="264" t="inlineStr">
        <is>
          <t>Mã tải</t>
        </is>
      </c>
      <c r="C475" s="246" t="n"/>
      <c r="D475" s="246" t="inlineStr">
        <is>
          <t>លេខកូដtải</t>
        </is>
      </c>
      <c r="E475" s="246" t="n"/>
      <c r="F475" t="inlineStr">
        <is>
          <t>លេខកូដtải</t>
        </is>
      </c>
    </row>
    <row r="476">
      <c r="A476" s="246" t="n"/>
      <c r="B476" s="264" t="inlineStr">
        <is>
          <t>Khai giá</t>
        </is>
      </c>
      <c r="C476" s="246" t="n"/>
      <c r="D476" s="246" t="inlineStr">
        <is>
          <t>ធានារ៉ាប់រងតម្លៃទំនិញ</t>
        </is>
      </c>
      <c r="E476" s="246" t="n"/>
      <c r="F476" t="inlineStr">
        <is>
          <t>ធានារ៉ាប់រងតម្លៃទំនិញ</t>
        </is>
      </c>
    </row>
    <row r="477">
      <c r="A477" s="246" t="n"/>
      <c r="B477" s="264" t="inlineStr">
        <is>
          <t>Nội dung hàng</t>
        </is>
      </c>
      <c r="C477" s="246" t="n"/>
      <c r="D477" s="246" t="inlineStr">
        <is>
          <t>ខ្លឹមសារ ទំនិញ</t>
        </is>
      </c>
      <c r="E477" s="246" t="n"/>
      <c r="F477" t="inlineStr">
        <is>
          <t>ខ្លឹមសារ ទំនិញ</t>
        </is>
      </c>
    </row>
    <row r="478">
      <c r="A478" s="246" t="n"/>
      <c r="B478" s="264" t="inlineStr">
        <is>
          <t>Tình trạng tải</t>
        </is>
      </c>
      <c r="C478" s="246" t="n"/>
      <c r="D478" s="246" t="inlineStr">
        <is>
          <t>ស្ថានភាពបាវបញ្ញើ</t>
        </is>
      </c>
      <c r="E478" s="246" t="n"/>
      <c r="F478" t="inlineStr">
        <is>
          <t>ស្ថានភាពបាវបញ្ញើ</t>
        </is>
      </c>
    </row>
    <row r="479">
      <c r="A479" s="246" t="n"/>
      <c r="B479" s="270" t="inlineStr">
        <is>
          <t>BÁO CÁO NHẬP XUẤT ĐÚNG GIỜ THEO TTKT DD-MM-YYYY (cập nhật lúc HH:MM)</t>
        </is>
      </c>
      <c r="C479" s="246" t="n"/>
      <c r="D479" s="246" t="inlineStr">
        <is>
          <t>របាយការណ៍ NHẬP XUẤT ĐÚNG ម៉ោង THEO TTKT DD-MM-YYYY (ធ្វើបច្ចុប្បន្នភាព lúc HH:MM)</t>
        </is>
      </c>
      <c r="E479" s="246" t="n"/>
      <c r="F479" t="inlineStr">
        <is>
          <t>របាយការណ៍ NHẬP XUẤT ĐÚNG ម៉ោង THEO TTKT DD-MM-YYYY (ធ្វើបច្ចុប្បន្នភាព lúc HH:MM)</t>
        </is>
      </c>
    </row>
    <row r="480">
      <c r="A480" s="246" t="n"/>
      <c r="B480" s="264" t="inlineStr">
        <is>
          <t>Bộ lọc theo chi nhánh</t>
        </is>
      </c>
      <c r="C480" s="246" t="n"/>
      <c r="D480" s="246" t="inlineStr">
        <is>
          <t>Bộ lọc theo សាខា</t>
        </is>
      </c>
      <c r="E480" s="246" t="n"/>
      <c r="F480" t="inlineStr">
        <is>
          <t>Bộ lọc theo សាខា</t>
        </is>
      </c>
    </row>
    <row r="481">
      <c r="A481" s="246" t="n"/>
      <c r="B481" s="264" t="inlineStr">
        <is>
          <t>Lọc theo bưu cục</t>
        </is>
      </c>
      <c r="C481" s="246" t="n"/>
      <c r="D481" s="246" t="inlineStr">
        <is>
          <t>Lọc theo ការិយាល័យប្រៃសណីយ៍</t>
        </is>
      </c>
      <c r="E481" s="246" t="n"/>
      <c r="F481" t="inlineStr">
        <is>
          <t>Lọc theo ការិយាល័យប្រៃសណីយ៍</t>
        </is>
      </c>
    </row>
    <row r="482">
      <c r="A482" s="246" t="n"/>
      <c r="B482" s="264" t="inlineStr">
        <is>
          <t>Lọc chi tiết excel</t>
        </is>
      </c>
      <c r="C482" s="246" t="n"/>
      <c r="D482" s="246" t="inlineStr">
        <is>
          <t>Lọc ព័ត៌មានលម្អិត excel</t>
        </is>
      </c>
      <c r="E482" s="246" t="n"/>
      <c r="F482" t="inlineStr">
        <is>
          <t>Lọc ព័ត៌មានលម្អិត excel</t>
        </is>
      </c>
    </row>
    <row r="483">
      <c r="A483" s="246" t="n"/>
      <c r="B483" s="264" t="inlineStr">
        <is>
          <t>Excel tổng hợp</t>
        </is>
      </c>
      <c r="C483" s="246" t="n"/>
      <c r="D483" s="246" t="inlineStr">
        <is>
          <t>ឯកសារ Excel សរុប</t>
        </is>
      </c>
      <c r="E483" s="246" t="n"/>
      <c r="F483" t="inlineStr">
        <is>
          <t>ឯកសារ Excel សរុប</t>
        </is>
      </c>
    </row>
    <row r="484">
      <c r="A484" s="246" t="n"/>
      <c r="B484" s="264" t="inlineStr">
        <is>
          <t>Excel chi tiết</t>
        </is>
      </c>
      <c r="C484" s="246" t="n"/>
      <c r="D484" s="246" t="inlineStr">
        <is>
          <t>Excel ព័ត៌មានលម្អិត</t>
        </is>
      </c>
      <c r="E484" s="246" t="n"/>
      <c r="F484" t="inlineStr">
        <is>
          <t>Excel ព័ត៌មានលម្អិត</t>
        </is>
      </c>
    </row>
    <row r="485">
      <c r="A485" s="246" t="n"/>
      <c r="B485" s="264" t="inlineStr">
        <is>
          <t>Đơn vị</t>
        </is>
      </c>
      <c r="C485" s="246" t="n"/>
      <c r="D485" s="246" t="inlineStr">
        <is>
          <t>បញ្ញើ vị</t>
        </is>
      </c>
      <c r="E485" s="246" t="n"/>
      <c r="F485" t="inlineStr">
        <is>
          <t>បញ្ញើ vị</t>
        </is>
      </c>
    </row>
    <row r="486">
      <c r="A486" s="246" t="n"/>
      <c r="B486" s="264" t="inlineStr">
        <is>
          <t>Chuyến xe</t>
        </is>
      </c>
      <c r="C486" s="246" t="n"/>
      <c r="D486" s="246" t="inlineStr">
        <is>
          <t>Chuyến យានយន្ត</t>
        </is>
      </c>
      <c r="E486" s="246" t="n"/>
      <c r="F486" t="inlineStr">
        <is>
          <t>Chuyến យានយន្ត</t>
        </is>
      </c>
    </row>
    <row r="487">
      <c r="A487" s="246" t="n"/>
      <c r="B487" s="264" t="inlineStr">
        <is>
          <t>Tuyến xe</t>
        </is>
      </c>
      <c r="C487" s="246" t="n"/>
      <c r="D487" s="246" t="inlineStr">
        <is>
          <t>ខ្សែផ្លូវ យានយន្ត</t>
        </is>
      </c>
      <c r="E487" s="246" t="n"/>
      <c r="F487" t="inlineStr">
        <is>
          <t>ខ្សែផ្លូវ យានយន្ត</t>
        </is>
      </c>
    </row>
    <row r="488">
      <c r="A488" s="246" t="n"/>
      <c r="B488" s="264" t="inlineStr">
        <is>
          <t>Thời gian khai thác</t>
        </is>
      </c>
      <c r="C488" s="246" t="n"/>
      <c r="D488" s="246" t="inlineStr">
        <is>
          <t>ពេលវេលាkhai thác</t>
        </is>
      </c>
      <c r="E488" s="246" t="n"/>
      <c r="F488" t="inlineStr">
        <is>
          <t>ពេលវេលាkhai thác</t>
        </is>
      </c>
    </row>
    <row r="489">
      <c r="A489" s="246" t="n"/>
      <c r="B489" s="264" t="inlineStr">
        <is>
          <t>Tổng BP khai thác</t>
        </is>
      </c>
      <c r="C489" s="246" t="n"/>
      <c r="D489" s="246" t="inlineStr">
        <is>
          <t>ចំនួនBP khai thácសរុប</t>
        </is>
      </c>
      <c r="E489" s="246" t="n"/>
      <c r="F489" t="inlineStr">
        <is>
          <t>ចំនួនBP khai thácសរុប</t>
        </is>
      </c>
    </row>
    <row r="490">
      <c r="A490" s="246" t="n"/>
      <c r="B490" s="264" t="inlineStr">
        <is>
          <t>Tỷ lệ đúng giờ</t>
        </is>
      </c>
      <c r="C490" s="246" t="n"/>
      <c r="D490" s="246" t="inlineStr">
        <is>
          <t>អត្រា đúng ម៉ោង</t>
        </is>
      </c>
      <c r="E490" s="246" t="n"/>
      <c r="F490" t="inlineStr">
        <is>
          <t>អត្រា đúng ម៉ោង</t>
        </is>
      </c>
    </row>
    <row r="491">
      <c r="A491" s="246" t="n"/>
      <c r="B491" s="264" t="inlineStr">
        <is>
          <t>Tổng tải, kiện</t>
        </is>
      </c>
      <c r="C491" s="246" t="n"/>
      <c r="D491" s="246" t="inlineStr">
        <is>
          <t>ចំនួនtải, kiệnសរុប</t>
        </is>
      </c>
      <c r="E491" s="246" t="n"/>
      <c r="F491" t="inlineStr">
        <is>
          <t>ចំនួនtải, kiệnសរុប</t>
        </is>
      </c>
    </row>
    <row r="492">
      <c r="A492" s="246" t="n"/>
      <c r="B492" s="264" t="inlineStr">
        <is>
          <t>Tổng số chuyến</t>
        </is>
      </c>
      <c r="C492" s="246" t="n"/>
      <c r="D492" s="246" t="inlineStr">
        <is>
          <t>ចំនួនsố chuyếnសរុប</t>
        </is>
      </c>
      <c r="E492" s="246" t="n"/>
      <c r="F492" t="inlineStr">
        <is>
          <t>ចំនួនsố chuyếnសរុប</t>
        </is>
      </c>
    </row>
    <row r="493">
      <c r="A493" s="246" t="n"/>
      <c r="B493" s="264" t="inlineStr">
        <is>
          <t>Trọng lượng</t>
        </is>
      </c>
      <c r="C493" s="246" t="n"/>
      <c r="D493" s="246" t="inlineStr">
        <is>
          <t>ទម្ងន់</t>
        </is>
      </c>
      <c r="E493" s="246" t="n"/>
      <c r="F493" t="inlineStr">
        <is>
          <t>ទម្ងន់</t>
        </is>
      </c>
    </row>
    <row r="494">
      <c r="A494" s="246" t="n"/>
      <c r="B494" s="264" t="inlineStr">
        <is>
          <t>Thời gian đơn vị nhận bàn giao</t>
        </is>
      </c>
      <c r="C494" s="246" t="n"/>
      <c r="D494" s="246" t="inlineStr">
        <is>
          <t>ពេលវេលាបញ្ញើ vị ទទួល bàn giao</t>
        </is>
      </c>
      <c r="E494" s="246" t="n"/>
      <c r="F494" t="inlineStr">
        <is>
          <t>ពេលវេលាបញ្ញើ vị ទទួល bàn giao</t>
        </is>
      </c>
    </row>
    <row r="495">
      <c r="A495" s="246" t="n"/>
      <c r="B495" s="264" t="inlineStr">
        <is>
          <t>Thời gian chờ nhập (Phút)</t>
        </is>
      </c>
      <c r="C495" s="246" t="n"/>
      <c r="D495" s="246" t="inlineStr">
        <is>
          <t>ពេលវេលាchờ nhập (នាទី)</t>
        </is>
      </c>
      <c r="E495" s="246" t="n"/>
      <c r="F495" t="inlineStr">
        <is>
          <t>ពេលវេលាchờ nhập (នាទី)</t>
        </is>
      </c>
    </row>
    <row r="496">
      <c r="A496" s="246" t="n"/>
      <c r="B496" s="264" t="inlineStr">
        <is>
          <t>TG TB nhập</t>
        </is>
      </c>
      <c r="C496" s="246" t="n"/>
      <c r="D496" s="246" t="inlineStr">
        <is>
          <t>រយៈពេលមធ្យមបញ្ចូលទិន្នន័យ</t>
        </is>
      </c>
      <c r="E496" s="246" t="n"/>
      <c r="F496" t="inlineStr">
        <is>
          <t>រយៈពេលមធ្យមបញ្ចូលទិន្នន័យ</t>
        </is>
      </c>
    </row>
    <row r="497">
      <c r="A497" s="246" t="n"/>
      <c r="B497" s="264" t="inlineStr">
        <is>
          <t>TG nhập TB 1 tải, kiện</t>
        </is>
      </c>
      <c r="C497" s="246" t="n"/>
      <c r="D497" s="246" t="inlineStr">
        <is>
          <t>រយៈពេលមធ្យមបញ្ចូល 1 បាវ/កញ្ចប់បញ្ញើ</t>
        </is>
      </c>
      <c r="E497" s="246" t="n"/>
      <c r="F497" t="inlineStr">
        <is>
          <t>រយៈពេលមធ្យមបញ្ចូល 1 បាវ/កញ្ចប់បញ្ញើ</t>
        </is>
      </c>
    </row>
    <row r="498">
      <c r="A498" s="246" t="n"/>
      <c r="B498" s="264" t="inlineStr">
        <is>
          <t>TG quy định</t>
        </is>
      </c>
      <c r="C498" s="246" t="n"/>
      <c r="D498" s="246" t="inlineStr">
        <is>
          <t>រយៈពេលកំណត់តាមបទដ្ឋាន</t>
        </is>
      </c>
      <c r="E498" s="246" t="n"/>
      <c r="F498" t="inlineStr">
        <is>
          <t>រយៈពេលកំណត់តាមបទដ្ឋាន</t>
        </is>
      </c>
    </row>
    <row r="499">
      <c r="A499" s="246" t="n"/>
      <c r="B499" s="264" t="inlineStr">
        <is>
          <t>Đánh giá</t>
        </is>
      </c>
      <c r="C499" s="246" t="n"/>
      <c r="D499" s="246" t="inlineStr">
        <is>
          <t>ការវាយតម្លៃ</t>
        </is>
      </c>
      <c r="E499" s="246" t="n"/>
      <c r="F499" t="inlineStr">
        <is>
          <t>ការវាយតម្លៃ</t>
        </is>
      </c>
    </row>
    <row r="500">
      <c r="A500" s="246" t="n"/>
      <c r="B500" s="264" t="inlineStr">
        <is>
          <t>Tỷ lệ đúng giờ</t>
        </is>
      </c>
      <c r="C500" s="246" t="n"/>
      <c r="D500" s="246" t="inlineStr">
        <is>
          <t>អត្រា đúng ម៉ោង</t>
        </is>
      </c>
      <c r="E500" s="246" t="n"/>
      <c r="F500" t="inlineStr">
        <is>
          <t>អត្រា đúng ម៉ោង</t>
        </is>
      </c>
    </row>
    <row r="501">
      <c r="A501" s="246" t="n"/>
      <c r="B501" s="264" t="inlineStr">
        <is>
          <t>Số chuyến xe chờ nhập</t>
        </is>
      </c>
      <c r="C501" s="246" t="n"/>
      <c r="D501" s="246" t="inlineStr">
        <is>
          <t>Số chuyến យានយន្ត chờ nhập</t>
        </is>
      </c>
      <c r="E501" s="246" t="n"/>
      <c r="F501" t="inlineStr">
        <is>
          <t>Số chuyến យានយន្ត chờ nhập</t>
        </is>
      </c>
    </row>
    <row r="502">
      <c r="A502" s="246" t="n"/>
      <c r="B502" s="264" t="inlineStr">
        <is>
          <t>Số xe nhập trễ</t>
        </is>
      </c>
      <c r="C502" s="246" t="n"/>
      <c r="D502" s="246" t="inlineStr">
        <is>
          <t>Số យានយន្ត nhập trễ</t>
        </is>
      </c>
      <c r="E502" s="246" t="n"/>
      <c r="F502" t="inlineStr">
        <is>
          <t>Số យានយន្ត nhập trễ</t>
        </is>
      </c>
    </row>
    <row r="503">
      <c r="A503" s="246" t="n"/>
      <c r="B503" s="264" t="inlineStr">
        <is>
          <t>Số xe đến nơi đúng hẹn</t>
        </is>
      </c>
      <c r="C503" s="246" t="n"/>
      <c r="D503" s="246" t="inlineStr">
        <is>
          <t>Số យានយន្ត đến nơi đúng hẹn</t>
        </is>
      </c>
      <c r="E503" s="246" t="n"/>
      <c r="F503" t="inlineStr">
        <is>
          <t>Số យានយន្ត đến nơi đúng hẹn</t>
        </is>
      </c>
    </row>
    <row r="504">
      <c r="A504" s="246" t="n"/>
      <c r="B504" s="264" t="inlineStr">
        <is>
          <t>Thời gian lái xe nhận bàn giao</t>
        </is>
      </c>
      <c r="C504" s="246" t="n"/>
      <c r="D504" s="246" t="inlineStr">
        <is>
          <t>ពេលវេលាអ្នកបើកបរ ទទួល bàn giao</t>
        </is>
      </c>
      <c r="E504" s="246" t="n"/>
      <c r="F504" t="inlineStr">
        <is>
          <t>ពេលវេលាអ្នកបើកបរ ទទួល bàn giao</t>
        </is>
      </c>
    </row>
    <row r="505">
      <c r="A505" s="246" t="n"/>
      <c r="B505" s="264" t="inlineStr">
        <is>
          <t>Thời gian chờ xuất (Phút)</t>
        </is>
      </c>
      <c r="C505" s="246" t="n"/>
      <c r="D505" s="246" t="inlineStr">
        <is>
          <t>ពេលវេលាchờ xuất (នាទី)</t>
        </is>
      </c>
      <c r="E505" s="246" t="n"/>
      <c r="F505" t="inlineStr">
        <is>
          <t>ពេលវេលាchờ xuất (នាទី)</t>
        </is>
      </c>
    </row>
    <row r="506">
      <c r="A506" s="246" t="n"/>
      <c r="B506" s="264" t="inlineStr">
        <is>
          <t>TG TB xuất</t>
        </is>
      </c>
      <c r="C506" s="246" t="n"/>
      <c r="D506" s="246" t="inlineStr">
        <is>
          <t>រយៈពេលមធ្យមបញ្ចេញទំនិញ</t>
        </is>
      </c>
      <c r="E506" s="246" t="n"/>
      <c r="F506" t="inlineStr">
        <is>
          <t>រយៈពេលមធ្យមបញ្ចេញទំនិញ</t>
        </is>
      </c>
    </row>
    <row r="507">
      <c r="A507" s="246" t="n"/>
      <c r="B507" s="264" t="inlineStr">
        <is>
          <t>TG xuất TB 1 tải, kiện</t>
        </is>
      </c>
      <c r="C507" s="246" t="n"/>
      <c r="D507" s="246" t="inlineStr">
        <is>
          <t>រយៈពេលមធ្យមបញ្ចេញ 1 បាវ/កញ្ចប់បញ្ញើ</t>
        </is>
      </c>
      <c r="E507" s="246" t="n"/>
      <c r="F507" t="inlineStr">
        <is>
          <t>រយៈពេលមធ្យមបញ្ចេញ 1 បាវ/កញ្ចប់បញ្ញើ</t>
        </is>
      </c>
    </row>
    <row r="508">
      <c r="A508" s="246" t="n"/>
      <c r="B508" s="264" t="inlineStr">
        <is>
          <t>Số xe xuất trễ</t>
        </is>
      </c>
      <c r="C508" s="246" t="n"/>
      <c r="D508" s="246" t="inlineStr">
        <is>
          <t>Số យានយន្ត xuất trễ</t>
        </is>
      </c>
      <c r="E508" s="246" t="n"/>
      <c r="F508" t="inlineStr">
        <is>
          <t>Số យានយន្ត xuất trễ</t>
        </is>
      </c>
    </row>
    <row r="509">
      <c r="A509" s="246" t="n"/>
      <c r="B509" s="264" t="inlineStr">
        <is>
          <t>Số xe xuất đúng hẹn</t>
        </is>
      </c>
      <c r="C509" s="246" t="n"/>
      <c r="D509" s="246" t="inlineStr">
        <is>
          <t>Số យានយន្ត xuất đúng hẹn</t>
        </is>
      </c>
      <c r="E509" s="246" t="n"/>
      <c r="F509" t="inlineStr">
        <is>
          <t>Số យានយន្ត xuất đúng hẹn</t>
        </is>
      </c>
    </row>
    <row r="510">
      <c r="A510" s="246" t="n"/>
      <c r="B510" s="264" t="inlineStr">
        <is>
          <t>Loại khai thác</t>
        </is>
      </c>
      <c r="C510" s="246" t="n"/>
      <c r="D510" s="246" t="inlineStr">
        <is>
          <t>ប្រភេទ khai thác</t>
        </is>
      </c>
      <c r="E510" s="246" t="n"/>
      <c r="F510" t="inlineStr">
        <is>
          <t>ប្រភេទ khai thác</t>
        </is>
      </c>
    </row>
    <row r="511">
      <c r="A511" s="246" t="n"/>
      <c r="B511" s="264" t="inlineStr">
        <is>
          <t>Xe rời đúng hẹn</t>
        </is>
      </c>
      <c r="C511" s="246" t="n"/>
      <c r="D511" s="246" t="inlineStr">
        <is>
          <t>យានយន្ត rời đúng hẹn</t>
        </is>
      </c>
      <c r="E511" s="246" t="n"/>
      <c r="F511" t="inlineStr">
        <is>
          <t>យានយន្ត rời đúng hẹn</t>
        </is>
      </c>
    </row>
    <row r="512">
      <c r="A512" s="246" t="n"/>
      <c r="B512" s="264" t="inlineStr">
        <is>
          <t>Xe đến nơi đúng hẹn</t>
        </is>
      </c>
      <c r="C512" s="246" t="n"/>
      <c r="D512" s="246" t="inlineStr">
        <is>
          <t>យានយន្ត đến nơi đúng hẹn</t>
        </is>
      </c>
      <c r="E512" s="246" t="n"/>
      <c r="F512" t="inlineStr">
        <is>
          <t>យានយន្ត đến nơi đúng hẹn</t>
        </is>
      </c>
    </row>
    <row r="513">
      <c r="A513" s="246" t="n"/>
      <c r="B513" s="264" t="inlineStr">
        <is>
          <t>Tìm kiếm theo mã phiếu gửi</t>
        </is>
      </c>
      <c r="C513" s="246" t="n"/>
      <c r="D513" s="246" t="inlineStr">
        <is>
          <t>ស្វែងរក theo លេខកូដ phiếu ផ្ញើ</t>
        </is>
      </c>
      <c r="E513" s="246" t="n"/>
      <c r="F513" t="inlineStr">
        <is>
          <t>ស្វែងរក theo លេខកូដ phiếu ផ្ញើ</t>
        </is>
      </c>
    </row>
    <row r="514">
      <c r="A514" s="246" t="n"/>
      <c r="B514" s="264" t="inlineStr">
        <is>
          <t>Đánh giá toàn trình</t>
        </is>
      </c>
      <c r="C514" s="246" t="n"/>
      <c r="D514" s="246" t="inlineStr">
        <is>
          <t>ការវាយតម្លៃ toàn trình</t>
        </is>
      </c>
      <c r="E514" s="246" t="n"/>
      <c r="F514" t="inlineStr">
        <is>
          <t>ការវាយតម្លៃ toàn trình</t>
        </is>
      </c>
    </row>
    <row r="515">
      <c r="A515" s="246" t="n"/>
      <c r="B515" s="264" t="inlineStr">
        <is>
          <t>Đánh giá First mile</t>
        </is>
      </c>
      <c r="C515" s="246" t="n"/>
      <c r="D515" s="246" t="inlineStr">
        <is>
          <t>ការវាយតម្លៃ First mile</t>
        </is>
      </c>
      <c r="E515" s="246" t="n"/>
      <c r="F515" t="inlineStr">
        <is>
          <t>ការវាយតម្លៃ First mile</t>
        </is>
      </c>
    </row>
    <row r="516">
      <c r="A516" s="246" t="n"/>
      <c r="B516" s="264" t="inlineStr">
        <is>
          <t>Đánh giá Middle mile</t>
        </is>
      </c>
      <c r="C516" s="246" t="n"/>
      <c r="D516" s="246" t="inlineStr">
        <is>
          <t>ការវាយតម្លៃ Middle mile</t>
        </is>
      </c>
      <c r="E516" s="246" t="n"/>
      <c r="F516" t="inlineStr">
        <is>
          <t>ការវាយតម្លៃ Middle mile</t>
        </is>
      </c>
    </row>
    <row r="517">
      <c r="A517" s="246" t="n"/>
      <c r="B517" s="264" t="inlineStr">
        <is>
          <t>Đánh giá Last mile</t>
        </is>
      </c>
      <c r="C517" s="246" t="n"/>
      <c r="D517" s="246" t="inlineStr">
        <is>
          <t>ការវាយតម្លៃ Last mile</t>
        </is>
      </c>
      <c r="E517" s="246" t="n"/>
      <c r="F517" t="inlineStr">
        <is>
          <t>ការវាយតម្លៃ Last mile</t>
        </is>
      </c>
    </row>
    <row r="518">
      <c r="A518" s="246" t="n"/>
      <c r="B518" s="264" t="inlineStr">
        <is>
          <t>Loại đơn</t>
        </is>
      </c>
      <c r="C518" s="246" t="n"/>
      <c r="D518" s="246" t="inlineStr">
        <is>
          <t>ប្រភេទ បញ្ញើ</t>
        </is>
      </c>
      <c r="E518" s="246" t="n"/>
      <c r="F518" t="inlineStr">
        <is>
          <t>ប្រភេទ បញ្ញើ</t>
        </is>
      </c>
    </row>
    <row r="519">
      <c r="A519" s="246" t="n"/>
      <c r="B519" s="264" t="inlineStr">
        <is>
          <t>Tỷ lệ đúng giờ khâu first mile</t>
        </is>
      </c>
      <c r="C519" s="246" t="n"/>
      <c r="D519" s="246" t="inlineStr">
        <is>
          <t>អត្រា đúng ម៉ោង khâu first mile</t>
        </is>
      </c>
      <c r="E519" s="246" t="n"/>
      <c r="F519" t="inlineStr">
        <is>
          <t>អត្រា đúng ម៉ោង khâu first mile</t>
        </is>
      </c>
    </row>
    <row r="520">
      <c r="A520" s="246" t="n"/>
      <c r="B520" s="264" t="inlineStr">
        <is>
          <t>Tỷ lệ đúng giờ khâu middle mile</t>
        </is>
      </c>
      <c r="C520" s="246" t="n"/>
      <c r="D520" s="246" t="inlineStr">
        <is>
          <t>អត្រា đúng ម៉ោង khâu middle mile</t>
        </is>
      </c>
      <c r="E520" s="246" t="n"/>
      <c r="F520" t="inlineStr">
        <is>
          <t>អត្រា đúng ម៉ោង khâu middle mile</t>
        </is>
      </c>
    </row>
    <row r="521">
      <c r="A521" s="246" t="n"/>
      <c r="B521" s="264" t="inlineStr">
        <is>
          <t>Tỷ lệ đúng giờ khâu last mile</t>
        </is>
      </c>
      <c r="C521" s="246" t="n"/>
      <c r="D521" s="246" t="inlineStr">
        <is>
          <t>អត្រា đúng ម៉ោង khâu last mile</t>
        </is>
      </c>
      <c r="E521" s="246" t="n"/>
      <c r="F521" t="inlineStr">
        <is>
          <t>អត្រា đúng ម៉ោង khâu last mile</t>
        </is>
      </c>
    </row>
    <row r="522">
      <c r="A522" s="246" t="n"/>
      <c r="B522" s="264" t="inlineStr">
        <is>
          <t>Tỷ lệ đúng giờ toàn trình</t>
        </is>
      </c>
      <c r="C522" s="246" t="n"/>
      <c r="D522" s="246" t="inlineStr">
        <is>
          <t>អត្រា đúng ម៉ោង toàn trình</t>
        </is>
      </c>
      <c r="E522" s="246" t="n"/>
      <c r="F522" t="inlineStr">
        <is>
          <t>អត្រា đúng ម៉ោង toàn trình</t>
        </is>
      </c>
    </row>
    <row r="523">
      <c r="A523" s="246" t="n"/>
      <c r="B523" s="266" t="inlineStr">
        <is>
          <t>Thời gian nhận thành công (TT210)</t>
        </is>
      </c>
      <c r="C523" s="246" t="n"/>
      <c r="D523" s="246" t="inlineStr">
        <is>
          <t>ពេលវេលាទទួល ជោគជ័យ (TT210)</t>
        </is>
      </c>
      <c r="E523" s="246" t="n"/>
      <c r="F523" t="inlineStr">
        <is>
          <t>ពេលវេលាទទួល ជោគជ័យ (TT210)</t>
        </is>
      </c>
    </row>
    <row r="524">
      <c r="A524" s="246" t="n"/>
      <c r="B524" s="264" t="inlineStr">
        <is>
          <t>TG Lái xe xác nhận bàn giao (TT306)</t>
        </is>
      </c>
      <c r="C524" s="246" t="n"/>
      <c r="D524" s="246" t="inlineStr">
        <is>
          <t>TG អ្នកបើកបរ បញ្ជាក់ bàn giao (TT306)</t>
        </is>
      </c>
      <c r="E524" s="246" t="n"/>
      <c r="F524" t="inlineStr">
        <is>
          <t>TG អ្នកបើកបរ បញ្ជាក់ bàn giao (TT306)</t>
        </is>
      </c>
    </row>
    <row r="525">
      <c r="A525" s="246" t="n"/>
      <c r="B525" s="264" t="inlineStr">
        <is>
          <t>Chênh lệch KPI</t>
        </is>
      </c>
      <c r="C525" s="246" t="n"/>
      <c r="D525" s="246" t="inlineStr">
        <is>
          <t>គម្លាតធៀបនឹង KPI</t>
        </is>
      </c>
      <c r="E525" s="246" t="n"/>
      <c r="F525" t="inlineStr">
        <is>
          <t>គម្លាតធៀបនឹង KPI</t>
        </is>
      </c>
    </row>
    <row r="526">
      <c r="A526" s="246" t="n"/>
      <c r="B526" s="264" t="inlineStr">
        <is>
          <t>TG phát lần đầu</t>
        </is>
      </c>
      <c r="C526" s="246" t="n"/>
      <c r="D526" s="246" t="inlineStr">
        <is>
          <t>TG ដឹកចែក lần đầu</t>
        </is>
      </c>
      <c r="E526" s="246" t="n"/>
      <c r="F526" t="inlineStr">
        <is>
          <t>TG ដឹកចែក lần đầu</t>
        </is>
      </c>
    </row>
    <row r="527">
      <c r="A527" s="246" t="n"/>
      <c r="B527" s="264" t="inlineStr">
        <is>
          <t>TG BC phát xác nhận bàn giao (TT306)</t>
        </is>
      </c>
      <c r="C527" s="246" t="n"/>
      <c r="D527" s="246" t="inlineStr">
        <is>
          <t>TG BC ដឹកចែក បញ្ជាក់ bàn giao (TT306)</t>
        </is>
      </c>
      <c r="E527" s="246" t="n"/>
      <c r="F527" t="inlineStr">
        <is>
          <t>TG BC ដឹកចែក បញ្ជាក់ bàn giao (TT306)</t>
        </is>
      </c>
    </row>
    <row r="528">
      <c r="A528" s="246" t="n"/>
      <c r="B528" s="264" t="inlineStr">
        <is>
          <t>Tổng khâu</t>
        </is>
      </c>
      <c r="C528" s="246" t="n"/>
      <c r="D528" s="246" t="inlineStr">
        <is>
          <t>ចំនួនkhâuសរុប</t>
        </is>
      </c>
      <c r="E528" s="246" t="n"/>
      <c r="F528" t="inlineStr">
        <is>
          <t>ចំនួនkhâuសរុប</t>
        </is>
      </c>
    </row>
    <row r="529">
      <c r="A529" s="246" t="n"/>
      <c r="B529" s="264" t="inlineStr">
        <is>
          <t>TG TT thực tế</t>
        </is>
      </c>
      <c r="C529" s="246" t="n"/>
      <c r="D529" s="246" t="inlineStr">
        <is>
          <t>រយៈពេលឆ្លងកាត់ជាក់ស្តែង</t>
        </is>
      </c>
      <c r="E529" s="246" t="n"/>
      <c r="F529" t="inlineStr">
        <is>
          <t>រយៈពេលឆ្លងកាត់ជាក់ស្តែង</t>
        </is>
      </c>
    </row>
    <row r="530">
      <c r="A530" s="246" t="n"/>
      <c r="B530" s="264" t="inlineStr">
        <is>
          <t>TG chỉ tiêu phát lần đầu</t>
        </is>
      </c>
      <c r="C530" s="246" t="n"/>
      <c r="D530" s="246" t="inlineStr">
        <is>
          <t>TG chỉ tiêu ដឹកចែក lần đầu</t>
        </is>
      </c>
      <c r="E530" s="246" t="n"/>
      <c r="F530" t="inlineStr">
        <is>
          <t>TG chỉ tiêu ដឹកចែក lần đầu</t>
        </is>
      </c>
    </row>
    <row r="531">
      <c r="A531" s="246" t="n"/>
      <c r="B531" s="264" t="inlineStr">
        <is>
          <t>Khâu MM</t>
        </is>
      </c>
      <c r="C531" s="246" t="n"/>
      <c r="D531" s="246" t="inlineStr">
        <is>
          <t>ដំណាក់កាលដឹកឆ្លងកាត់ (Middle Mile)</t>
        </is>
      </c>
      <c r="E531" s="246" t="n"/>
      <c r="F531" t="inlineStr">
        <is>
          <t>ដំណាក់កាលដឹកឆ្លងកាត់ (Middle Mile)</t>
        </is>
      </c>
    </row>
    <row r="532">
      <c r="A532" s="246" t="n"/>
      <c r="B532" s="264" t="inlineStr">
        <is>
          <t>Khâu FM</t>
        </is>
      </c>
      <c r="C532" s="246" t="n"/>
      <c r="D532" s="246" t="inlineStr">
        <is>
          <t>ដំណាក់កាលទទួលបញ្ញើដំបូង (First Mile)</t>
        </is>
      </c>
      <c r="E532" s="246" t="n"/>
      <c r="F532" t="inlineStr">
        <is>
          <t>ដំណាក់កាលទទួលបញ្ញើដំបូង (First Mile)</t>
        </is>
      </c>
    </row>
    <row r="533">
      <c r="A533" s="246" t="n"/>
      <c r="B533" s="264" t="inlineStr">
        <is>
          <t>Khâu LM</t>
        </is>
      </c>
      <c r="C533" s="246" t="n"/>
      <c r="D533" s="246" t="inlineStr">
        <is>
          <t>ដំណាក់កាលដឹកចែកដល់ផ្ទះ (Last Mile)</t>
        </is>
      </c>
      <c r="E533" s="246" t="n"/>
      <c r="F533" t="inlineStr">
        <is>
          <t>ដំណាក់កាលដឹកចែកដល់ផ្ទះ (Last Mile)</t>
        </is>
      </c>
    </row>
    <row r="534">
      <c r="A534" s="246" t="n"/>
      <c r="B534" s="264" t="inlineStr">
        <is>
          <t>Thời gian toàn trình bưu gửi</t>
        </is>
      </c>
      <c r="C534" s="246" t="n"/>
      <c r="D534" s="246" t="inlineStr">
        <is>
          <t>ពេលវេលាtoàn trình bưu ផ្ញើ</t>
        </is>
      </c>
      <c r="E534" s="246" t="n"/>
      <c r="F534" t="inlineStr">
        <is>
          <t>ពេលវេលាtoàn trình bưu ផ្ញើ</t>
        </is>
      </c>
    </row>
    <row r="535">
      <c r="A535" s="246" t="n"/>
      <c r="B535" s="264" t="inlineStr">
        <is>
          <t>Báo cáo KPI phân đoạn nội bộ</t>
        </is>
      </c>
      <c r="C535" s="246" t="n"/>
      <c r="D535" s="246" t="inlineStr">
        <is>
          <t>របាយការណ៍KPI phân đoạn nội bộ</t>
        </is>
      </c>
      <c r="E535" s="246" t="n"/>
      <c r="F535" t="inlineStr">
        <is>
          <t>របាយការណ៍KPI phân đoạn nội bộ</t>
        </is>
      </c>
    </row>
    <row r="536">
      <c r="A536" s="246" t="n"/>
      <c r="B536" s="264" t="inlineStr">
        <is>
          <t>Báo cáo KPI hoàn</t>
        </is>
      </c>
      <c r="C536" s="246" t="n"/>
      <c r="D536" s="246" t="inlineStr">
        <is>
          <t>របាយការណ៍KPI hoàn</t>
        </is>
      </c>
      <c r="E536" s="246" t="n"/>
      <c r="F536" t="inlineStr">
        <is>
          <t>របាយការណ៍KPI hoàn</t>
        </is>
      </c>
    </row>
    <row r="537">
      <c r="A537" s="246" t="n"/>
      <c r="B537" s="264" t="inlineStr">
        <is>
          <t>Lọc theo phát hoàn</t>
        </is>
      </c>
      <c r="C537" s="246" t="n"/>
      <c r="D537" s="246" t="inlineStr">
        <is>
          <t>Lọc theo ដឹកចែក hoàn</t>
        </is>
      </c>
      <c r="E537" s="246" t="n"/>
      <c r="F537" t="inlineStr">
        <is>
          <t>Lọc theo ដឹកចែក hoàn</t>
        </is>
      </c>
    </row>
    <row r="538">
      <c r="A538" s="246" t="n"/>
      <c r="B538" s="264" t="inlineStr">
        <is>
          <t>Lọc theo chuyển hoàn</t>
        </is>
      </c>
      <c r="C538" s="246" t="n"/>
      <c r="D538" s="246" t="inlineStr">
        <is>
          <t>ចម្រោះតាមការប្រគល់ត្រឡប់</t>
        </is>
      </c>
      <c r="E538" s="246" t="n"/>
      <c r="F538" t="inlineStr">
        <is>
          <t>ចម្រោះតាមការប្រគល់ត្រឡប់</t>
        </is>
      </c>
    </row>
    <row r="539">
      <c r="A539" s="246" t="n"/>
      <c r="B539" s="264" t="inlineStr">
        <is>
          <t>Lọc theo đánh giá</t>
        </is>
      </c>
      <c r="C539" s="246" t="n"/>
      <c r="D539" s="246" t="inlineStr">
        <is>
          <t>Lọc theo ការវាយតម្លៃ</t>
        </is>
      </c>
      <c r="E539" s="246" t="n"/>
      <c r="F539" t="inlineStr">
        <is>
          <t>Lọc theo ការវាយតម្លៃ</t>
        </is>
      </c>
    </row>
    <row r="540">
      <c r="A540" s="246" t="n"/>
      <c r="B540" s="264" t="inlineStr">
        <is>
          <t>Bưu cục hoàn</t>
        </is>
      </c>
      <c r="C540" s="246" t="n"/>
      <c r="D540" s="246" t="inlineStr">
        <is>
          <t>ការិយាល័យប្រៃសណីយ៍ hoàn</t>
        </is>
      </c>
      <c r="E540" s="246" t="n"/>
      <c r="F540" t="inlineStr">
        <is>
          <t>ការិយាល័យប្រៃសណីយ៍ hoàn</t>
        </is>
      </c>
    </row>
    <row r="541">
      <c r="A541" s="246" t="n"/>
      <c r="B541" s="264" t="inlineStr">
        <is>
          <t>Khâu FM hoàn</t>
        </is>
      </c>
      <c r="C541" s="246" t="n"/>
      <c r="D541" s="246" t="inlineStr">
        <is>
          <t>ដំណាក់កាល FM ប្រគល់ត្រឡប់</t>
        </is>
      </c>
      <c r="E541" s="246" t="n"/>
      <c r="F541" t="inlineStr">
        <is>
          <t>ដំណាក់កាល FM ប្រគល់ត្រឡប់</t>
        </is>
      </c>
    </row>
    <row r="542">
      <c r="A542" s="246" t="n"/>
      <c r="B542" s="264" t="inlineStr">
        <is>
          <t>Thời gian bưu cục gốc duyệt hoàn</t>
        </is>
      </c>
      <c r="C542" s="246" t="n"/>
      <c r="D542" s="246" t="inlineStr">
        <is>
          <t>ពេលវេលាការិយាល័យប្រៃសណីយ៍ gốc duyệt hoàn</t>
        </is>
      </c>
      <c r="E542" s="246" t="n"/>
      <c r="F542" t="inlineStr">
        <is>
          <t>ពេលវេលាការិយាល័យប្រៃសណីយ៍ gốc duyệt hoàn</t>
        </is>
      </c>
    </row>
    <row r="543">
      <c r="A543" s="246" t="n"/>
      <c r="B543" s="264" t="inlineStr">
        <is>
          <t>Thời gian lái xe nhận bàn giao</t>
        </is>
      </c>
      <c r="C543" s="246" t="n"/>
      <c r="D543" s="246" t="inlineStr">
        <is>
          <t>ពេលវេលាអ្នកបើកបរ ទទួល bàn giao</t>
        </is>
      </c>
      <c r="E543" s="246" t="n"/>
      <c r="F543" t="inlineStr">
        <is>
          <t>ពេលវេលាអ្នកបើកបរ ទទួល bàn giao</t>
        </is>
      </c>
    </row>
    <row r="544">
      <c r="A544" s="246" t="n"/>
      <c r="B544" s="264" t="inlineStr">
        <is>
          <t>Khâu MM hoàn</t>
        </is>
      </c>
      <c r="C544" s="246" t="n"/>
      <c r="D544" s="246" t="inlineStr">
        <is>
          <t>ដំណាក់កាល MM ប្រគល់ត្រឡប់</t>
        </is>
      </c>
      <c r="E544" s="246" t="n"/>
      <c r="F544" t="inlineStr">
        <is>
          <t>ដំណាក់កាល MM ប្រគល់ត្រឡប់</t>
        </is>
      </c>
    </row>
    <row r="545">
      <c r="A545" s="246" t="n"/>
      <c r="B545" s="264" t="inlineStr">
        <is>
          <t>Thời gian lái xe nhận bàn giao</t>
        </is>
      </c>
      <c r="C545" s="246" t="n"/>
      <c r="D545" s="246" t="inlineStr">
        <is>
          <t>ពេលវេលាអ្នកបើកបរ ទទួល bàn giao</t>
        </is>
      </c>
      <c r="E545" s="246" t="n"/>
      <c r="F545" t="inlineStr">
        <is>
          <t>ពេលវេលាអ្នកបើកបរ ទទួល bàn giao</t>
        </is>
      </c>
    </row>
    <row r="546">
      <c r="A546" s="246" t="n"/>
      <c r="B546" s="264" t="inlineStr">
        <is>
          <t>Thời gian Bưu cục gốc xác nhận bàn giao</t>
        </is>
      </c>
      <c r="C546" s="246" t="n"/>
      <c r="D546" s="246" t="inlineStr">
        <is>
          <t>ពេលវេលាការិយាល័យប្រៃសណីយ៍ gốc បញ្ជាក់ bàn giao</t>
        </is>
      </c>
      <c r="E546" s="246" t="n"/>
      <c r="F546" t="inlineStr">
        <is>
          <t>ពេលវេលាការិយាល័យប្រៃសណីយ៍ gốc បញ្ជាក់ bàn giao</t>
        </is>
      </c>
    </row>
    <row r="547">
      <c r="A547" s="246" t="n"/>
      <c r="B547" s="264" t="inlineStr">
        <is>
          <t>Thời gian hoàn lần đầu</t>
        </is>
      </c>
      <c r="C547" s="246" t="n"/>
      <c r="D547" s="246" t="inlineStr">
        <is>
          <t>ពេលវេលាhoàn lần đầu</t>
        </is>
      </c>
      <c r="E547" s="246" t="n"/>
      <c r="F547" t="inlineStr">
        <is>
          <t>ពេលវេលាhoàn lần đầu</t>
        </is>
      </c>
    </row>
    <row r="548">
      <c r="A548" s="246" t="n"/>
      <c r="B548" s="264" t="inlineStr">
        <is>
          <t>Thời gian toàn trình thực tế</t>
        </is>
      </c>
      <c r="C548" s="246" t="n"/>
      <c r="D548" s="246" t="inlineStr">
        <is>
          <t>ពេលវេលាtoàn trình thực tế</t>
        </is>
      </c>
      <c r="E548" s="246" t="n"/>
      <c r="F548" t="inlineStr">
        <is>
          <t>ពេលវេលាtoàn trình thực tế</t>
        </is>
      </c>
    </row>
    <row r="549">
      <c r="A549" s="246" t="n"/>
      <c r="B549" s="264" t="inlineStr">
        <is>
          <t>Báo cáo bàn giao bưu phẩm</t>
        </is>
      </c>
      <c r="C549" s="246" t="n"/>
      <c r="D549" s="246" t="inlineStr">
        <is>
          <t>របាយការណ៍bàn giao bưu phẩm</t>
        </is>
      </c>
      <c r="E549" s="246" t="n"/>
      <c r="F549" t="inlineStr">
        <is>
          <t>របាយការណ៍bàn giao bưu phẩm</t>
        </is>
      </c>
    </row>
    <row r="550">
      <c r="A550" s="246" t="n"/>
      <c r="B550" s="264" t="inlineStr">
        <is>
          <t>Buucuc_dich</t>
        </is>
      </c>
      <c r="C550" s="246" t="n"/>
      <c r="D550" s="246" t="inlineStr">
        <is>
          <t>Buucuc_dich</t>
        </is>
      </c>
      <c r="E550" s="246" t="n"/>
      <c r="F550" t="inlineStr">
        <is>
          <t>Buucuc_dich</t>
        </is>
      </c>
    </row>
    <row r="551">
      <c r="A551" s="246" t="n"/>
      <c r="B551" s="246" t="inlineStr">
        <is>
          <t>Kế hoạch doanh thu</t>
        </is>
      </c>
      <c r="C551" s="246" t="n"/>
      <c r="D551" s="246" t="inlineStr">
        <is>
          <t>ផែនការចំណូល</t>
        </is>
      </c>
      <c r="E551" s="246" t="n"/>
      <c r="F551" t="inlineStr">
        <is>
          <t>ផែនការចំណូល</t>
        </is>
      </c>
    </row>
    <row r="552">
      <c r="A552" s="246" t="n"/>
      <c r="B552" s="246" t="inlineStr">
        <is>
          <t>DT ngày / TBN</t>
        </is>
      </c>
      <c r="C552" s="246" t="n"/>
      <c r="D552" s="246" t="inlineStr">
        <is>
          <t>DT កាលបរិច្ឆេទ / TBN</t>
        </is>
      </c>
      <c r="E552" s="246" t="n"/>
      <c r="F552" t="inlineStr">
        <is>
          <t>DT កាលបរិច្ឆេទ / TBN</t>
        </is>
      </c>
    </row>
    <row r="553">
      <c r="A553" s="246" t="n"/>
      <c r="B553" s="246" t="inlineStr">
        <is>
          <t>DT LK tháng</t>
        </is>
      </c>
      <c r="C553" s="246" t="n"/>
      <c r="D553" s="246" t="inlineStr">
        <is>
          <t>DT LK ខែ</t>
        </is>
      </c>
      <c r="E553" s="246" t="n"/>
      <c r="F553" t="inlineStr">
        <is>
          <t>DT LK ខែ</t>
        </is>
      </c>
    </row>
    <row r="554">
      <c r="A554" s="246" t="n"/>
      <c r="B554" s="246" t="inlineStr">
        <is>
          <t>DT lũy kế năm</t>
        </is>
      </c>
      <c r="C554" s="246" t="n"/>
      <c r="D554" s="246" t="inlineStr">
        <is>
          <t>DT lũy kế ឆ្នាំ</t>
        </is>
      </c>
      <c r="E554" s="246" t="n"/>
      <c r="F554" t="inlineStr">
        <is>
          <t>DT lũy kế ឆ្នាំ</t>
        </is>
      </c>
    </row>
    <row r="555">
      <c r="A555" s="246" t="n"/>
      <c r="B555" s="246" t="inlineStr">
        <is>
          <t>Tiến độ</t>
        </is>
      </c>
      <c r="C555" s="246" t="n"/>
      <c r="D555" s="246" t="inlineStr">
        <is>
          <t>វឌ្ឍនភាព</t>
        </is>
      </c>
      <c r="E555" s="246" t="n"/>
      <c r="F555" t="inlineStr">
        <is>
          <t>វឌ្ឍនភាព</t>
        </is>
      </c>
    </row>
    <row r="556">
      <c r="A556" s="246" t="n"/>
      <c r="B556" s="246" t="inlineStr">
        <is>
          <t>Dự kiến</t>
        </is>
      </c>
      <c r="C556" s="246" t="n"/>
      <c r="D556" s="246" t="inlineStr">
        <is>
          <t>ការរំពឹងទុក</t>
        </is>
      </c>
      <c r="E556" s="246" t="n"/>
      <c r="F556" t="inlineStr">
        <is>
          <t>ការរំពឹងទុក</t>
        </is>
      </c>
    </row>
    <row r="557">
      <c r="A557" s="246" t="n"/>
      <c r="B557" s="246" t="inlineStr">
        <is>
          <t>Tăng trưởng lũy kế năm</t>
        </is>
      </c>
      <c r="C557" s="246" t="n"/>
      <c r="D557" s="246" t="inlineStr">
        <is>
          <t>Tăng trưởng lũy kế ឆ្នាំ</t>
        </is>
      </c>
      <c r="E557" s="246" t="n"/>
      <c r="F557" t="inlineStr">
        <is>
          <t>Tăng trưởng lũy kế ឆ្នាំ</t>
        </is>
      </c>
    </row>
    <row r="558">
      <c r="A558" s="246" t="n"/>
      <c r="B558" s="246" t="inlineStr">
        <is>
          <t>Tăng trưởng cùng kỳ tháng</t>
        </is>
      </c>
      <c r="C558" s="246" t="n"/>
      <c r="D558" s="246" t="inlineStr">
        <is>
          <t>Tăng trưởng cùng kỳ ខែ</t>
        </is>
      </c>
      <c r="E558" s="246" t="n"/>
      <c r="F558" t="inlineStr">
        <is>
          <t>Tăng trưởng cùng kỳ ខែ</t>
        </is>
      </c>
    </row>
    <row r="559">
      <c r="A559" s="246" t="n"/>
      <c r="B559" s="246" t="inlineStr">
        <is>
          <t>Tăng trưởng tháng trước</t>
        </is>
      </c>
      <c r="C559" s="246" t="n"/>
      <c r="D559" s="246" t="inlineStr">
        <is>
          <t>Tăng trưởng ខែ trước</t>
        </is>
      </c>
      <c r="E559" s="246" t="n"/>
      <c r="F559" t="inlineStr">
        <is>
          <t>Tăng trưởng ខែ trước</t>
        </is>
      </c>
    </row>
    <row r="560">
      <c r="A560" s="246" t="n"/>
      <c r="B560" s="246" t="inlineStr">
        <is>
          <t>Tăng trưởng cùng kỳ ngày</t>
        </is>
      </c>
      <c r="C560" s="246" t="n"/>
      <c r="D560" s="246" t="inlineStr">
        <is>
          <t>Tăng trưởng cùng kỳ កាលបរិច្ឆេទ</t>
        </is>
      </c>
      <c r="E560" s="246" t="n"/>
      <c r="F560" t="inlineStr">
        <is>
          <t>Tăng trưởng cùng kỳ កាលបរិច្ឆេទ</t>
        </is>
      </c>
    </row>
    <row r="561">
      <c r="A561" s="246" t="n"/>
      <c r="B561" s="246" t="inlineStr">
        <is>
          <t>Sản lượng chuyển phát ngày</t>
        </is>
      </c>
      <c r="C561" s="246" t="n"/>
      <c r="D561" s="246" t="inlineStr">
        <is>
          <t>Sản lượng chuyển ដឹកចែក កាលបរិច្ឆេទ</t>
        </is>
      </c>
      <c r="E561" s="246" t="n"/>
      <c r="F561" t="inlineStr">
        <is>
          <t>Sản lượng chuyển ដឹកចែក កាលបរិច្ឆេទ</t>
        </is>
      </c>
    </row>
    <row r="562">
      <c r="A562" s="246" t="n"/>
      <c r="B562" s="246" t="inlineStr">
        <is>
          <t>Sản lượng chuyển phát LK tháng</t>
        </is>
      </c>
      <c r="C562" s="246" t="n"/>
      <c r="D562" s="246" t="inlineStr">
        <is>
          <t>Sản lượng chuyển ដឹកចែក LK ខែ</t>
        </is>
      </c>
      <c r="E562" s="246" t="n"/>
      <c r="F562" t="inlineStr">
        <is>
          <t>Sản lượng chuyển ដឹកចែក LK ខែ</t>
        </is>
      </c>
    </row>
    <row r="563">
      <c r="A563" s="246" t="n"/>
      <c r="B563" s="246" t="inlineStr">
        <is>
          <t>Sản lượng chuyển phát năm</t>
        </is>
      </c>
      <c r="C563" s="246" t="n"/>
      <c r="D563" s="246" t="inlineStr">
        <is>
          <t>Sản lượng chuyển ដឹកចែក ឆ្នាំ</t>
        </is>
      </c>
      <c r="E563" s="246" t="n"/>
      <c r="F563" t="inlineStr">
        <is>
          <t>Sản lượng chuyển ដឹកចែក ឆ្នាំ</t>
        </is>
      </c>
    </row>
    <row r="564">
      <c r="A564" s="246" t="n"/>
      <c r="B564" s="246" t="inlineStr">
        <is>
          <t>Số lượng KHM</t>
        </is>
      </c>
      <c r="C564" s="246" t="n"/>
      <c r="D564" s="246" t="inlineStr">
        <is>
          <t>ចំនួន KHM</t>
        </is>
      </c>
      <c r="E564" s="246" t="n"/>
      <c r="F564" t="inlineStr">
        <is>
          <t>ចំនួន KHM</t>
        </is>
      </c>
    </row>
    <row r="565">
      <c r="A565" s="246" t="n"/>
      <c r="B565" s="246" t="inlineStr">
        <is>
          <t>Doanh thu KHM</t>
        </is>
      </c>
      <c r="C565" s="246" t="n"/>
      <c r="D565" s="246" t="inlineStr">
        <is>
          <t>Doanh thu KHM</t>
        </is>
      </c>
      <c r="E565" s="246" t="n"/>
      <c r="F565" t="inlineStr">
        <is>
          <t>Doanh thu KHM</t>
        </is>
      </c>
    </row>
    <row r="566">
      <c r="A566" s="246" t="n"/>
      <c r="B566" s="246" t="inlineStr">
        <is>
          <t>TT tháng</t>
        </is>
      </c>
      <c r="C566" s="246" t="n"/>
      <c r="D566" s="246" t="inlineStr">
        <is>
          <t>TT ខែ</t>
        </is>
      </c>
      <c r="E566" s="246" t="n"/>
      <c r="F566" t="inlineStr">
        <is>
          <t>TT ខែ</t>
        </is>
      </c>
    </row>
    <row r="567">
      <c r="A567" s="246" t="n"/>
      <c r="B567" s="246" t="inlineStr">
        <is>
          <t>Tỷ lệ hoàn thành</t>
        </is>
      </c>
      <c r="C567" s="246" t="n"/>
      <c r="D567" s="246" t="inlineStr">
        <is>
          <t>អត្រា បានបញ្ចប់</t>
        </is>
      </c>
      <c r="E567" s="246" t="n"/>
      <c r="F567" t="inlineStr">
        <is>
          <t>អត្រា បានបញ្ចប់</t>
        </is>
      </c>
    </row>
    <row r="568">
      <c r="A568" s="246" t="n"/>
      <c r="B568" s="246" t="inlineStr">
        <is>
          <t xml:space="preserve">Tỷ trọng DT tháng </t>
        </is>
      </c>
      <c r="C568" s="246" t="n"/>
      <c r="D568" s="246" t="inlineStr">
        <is>
          <t>Tỷ trọng DT ខែ</t>
        </is>
      </c>
      <c r="E568" s="246" t="n"/>
      <c r="F568" t="inlineStr">
        <is>
          <t>Tỷ trọng DT ខែ</t>
        </is>
      </c>
    </row>
    <row r="569">
      <c r="A569" s="246" t="n"/>
      <c r="B569" s="246" t="inlineStr">
        <is>
          <t>Tồn thu</t>
        </is>
      </c>
      <c r="C569" s="246" t="n"/>
      <c r="D569" s="246" t="inlineStr">
        <is>
          <t>បញ្ញើសេសសល់ត្រូវប្រមូល</t>
        </is>
      </c>
      <c r="E569" s="246" t="n"/>
      <c r="F569" t="inlineStr">
        <is>
          <t>បញ្ញើសេសសល់ត្រូវប្រមូល</t>
        </is>
      </c>
    </row>
    <row r="570">
      <c r="A570" s="246" t="n"/>
      <c r="B570" s="246" t="inlineStr">
        <is>
          <t>Tồn nhập máy chưa
kết nối</t>
        </is>
      </c>
      <c r="C570" s="246" t="n"/>
      <c r="D570" s="246" t="inlineStr">
        <is>
          <t>Tồn nhập máy chưa
kết nối</t>
        </is>
      </c>
      <c r="E570" s="246" t="n"/>
      <c r="F570" t="inlineStr">
        <is>
          <t>Tồn nhập máy chưa
kết nối</t>
        </is>
      </c>
    </row>
    <row r="571">
      <c r="A571" s="246" t="n"/>
      <c r="B571" s="246" t="inlineStr">
        <is>
          <t>Tồn nhận bàn giao</t>
        </is>
      </c>
      <c r="C571" s="246" t="n"/>
      <c r="D571" s="246" t="inlineStr">
        <is>
          <t>Tồn ទទួល bàn giao</t>
        </is>
      </c>
      <c r="E571" s="246" t="n"/>
      <c r="F571" t="inlineStr">
        <is>
          <t>Tồn ទទួល bàn giao</t>
        </is>
      </c>
    </row>
    <row r="572">
      <c r="A572" s="246" t="n"/>
      <c r="B572" s="246" t="inlineStr">
        <is>
          <t>Tồn chưa phân công phát</t>
        </is>
      </c>
      <c r="C572" s="246" t="n"/>
      <c r="D572" s="246" t="inlineStr">
        <is>
          <t>Tồn chưa phân công ដឹកចែក</t>
        </is>
      </c>
      <c r="E572" s="246" t="n"/>
      <c r="F572" t="inlineStr">
        <is>
          <t>Tồn chưa phân công ដឹកចែក</t>
        </is>
      </c>
    </row>
    <row r="573">
      <c r="A573" s="246" t="n"/>
      <c r="B573" s="246" t="inlineStr">
        <is>
          <t>Tồn phát</t>
        </is>
      </c>
      <c r="C573" s="246" t="n"/>
      <c r="D573" s="246" t="inlineStr">
        <is>
          <t>Tồn ដឹកចែក</t>
        </is>
      </c>
      <c r="E573" s="246" t="n"/>
      <c r="F573" t="inlineStr">
        <is>
          <t>Tồn ដឹកចែក</t>
        </is>
      </c>
    </row>
    <row r="574">
      <c r="A574" s="246" t="n"/>
      <c r="B574" s="246" t="inlineStr">
        <is>
          <t>Tồn chưa có hành trình
tiếp theo</t>
        </is>
      </c>
      <c r="C574" s="246" t="n"/>
      <c r="D574" s="246" t="inlineStr">
        <is>
          <t>Tồn chưa có hành trình
tiếp theo</t>
        </is>
      </c>
      <c r="E574" s="246" t="n"/>
      <c r="F574" t="inlineStr">
        <is>
          <t>Tồn chưa có hành trình
tiếp theo</t>
        </is>
      </c>
    </row>
    <row r="575">
      <c r="A575" s="246" t="n"/>
      <c r="B575" s="246" t="inlineStr">
        <is>
          <t>Sản lượng thu</t>
        </is>
      </c>
      <c r="C575" s="246" t="n"/>
      <c r="D575" s="246" t="inlineStr">
        <is>
          <t>បរិមាណបញ្ញើប្រមូលបាន</t>
        </is>
      </c>
      <c r="E575" s="246" t="n"/>
      <c r="F575" t="inlineStr">
        <is>
          <t>បរិមាណបញ្ញើប្រមូលបាន</t>
        </is>
      </c>
    </row>
    <row r="576">
      <c r="A576" s="246" t="n"/>
      <c r="B576" s="246" t="inlineStr">
        <is>
          <t>Tháng trước</t>
        </is>
      </c>
      <c r="C576" s="246" t="n"/>
      <c r="D576" s="246" t="inlineStr">
        <is>
          <t>ខែ trước</t>
        </is>
      </c>
      <c r="E576" s="246" t="n"/>
      <c r="F576" t="inlineStr">
        <is>
          <t>ខែ trước</t>
        </is>
      </c>
    </row>
    <row r="577">
      <c r="A577" s="246" t="n"/>
      <c r="B577" s="246" t="inlineStr">
        <is>
          <t>SL nhập doanh thu</t>
        </is>
      </c>
      <c r="C577" s="246" t="n"/>
      <c r="D577" s="246" t="inlineStr">
        <is>
          <t>បរិមាណបញ្ចូលចំណូល</t>
        </is>
      </c>
      <c r="E577" s="246" t="n"/>
      <c r="F577" t="inlineStr">
        <is>
          <t>បរិមាណបញ្ចូលចំណូល</t>
        </is>
      </c>
    </row>
    <row r="578">
      <c r="A578" s="246" t="n"/>
      <c r="B578" s="246" t="inlineStr">
        <is>
          <t>Tỷ lệ thu thành công theo ngày</t>
        </is>
      </c>
      <c r="C578" s="246" t="n"/>
      <c r="D578" s="246" t="inlineStr">
        <is>
          <t>អត្រា thu ជោគជ័យ theo កាលបរិច្ឆេទ</t>
        </is>
      </c>
      <c r="E578" s="246" t="n"/>
      <c r="F578" t="inlineStr">
        <is>
          <t>អត្រា thu ជោគជ័យ theo កាលបរិច្ឆេទ</t>
        </is>
      </c>
    </row>
    <row r="579">
      <c r="A579" s="246" t="n"/>
      <c r="B579" s="246" t="inlineStr">
        <is>
          <t>Middle mile nội tỉnh</t>
        </is>
      </c>
      <c r="C579" s="246" t="n"/>
      <c r="D579" s="246" t="inlineStr">
        <is>
          <t>Middle mile nội ខេត្ត</t>
        </is>
      </c>
      <c r="E579" s="246" t="n"/>
      <c r="F579" t="inlineStr">
        <is>
          <t>Middle mile nội ខេត្ត</t>
        </is>
      </c>
    </row>
    <row r="580">
      <c r="A580" s="246" t="n"/>
      <c r="B580" s="246" t="inlineStr">
        <is>
          <t>Middle mile nội vùng</t>
        </is>
      </c>
      <c r="C580" s="246" t="n"/>
      <c r="D580" s="246" t="inlineStr">
        <is>
          <t>Middle mile nội តំបន់</t>
        </is>
      </c>
      <c r="E580" s="246" t="n"/>
      <c r="F580" t="inlineStr">
        <is>
          <t>Middle mile nội តំបន់</t>
        </is>
      </c>
    </row>
    <row r="581">
      <c r="A581" s="246" t="n"/>
      <c r="B581" s="246" t="inlineStr">
        <is>
          <t>Middle mile liên vùng</t>
        </is>
      </c>
      <c r="C581" s="246" t="n"/>
      <c r="D581" s="246" t="inlineStr">
        <is>
          <t>Middle mile liên តំបន់</t>
        </is>
      </c>
      <c r="E581" s="246" t="n"/>
      <c r="F581" t="inlineStr">
        <is>
          <t>Middle mile liên តំបន់</t>
        </is>
      </c>
    </row>
    <row r="582">
      <c r="A582" s="246" t="n"/>
      <c r="B582" s="246" t="inlineStr">
        <is>
          <t>Middle mile PnP</t>
        </is>
      </c>
      <c r="C582" s="246" t="n"/>
      <c r="D582" s="246" t="inlineStr">
        <is>
          <t>Middle mile PnP</t>
        </is>
      </c>
      <c r="E582" s="246" t="n"/>
      <c r="F582" t="inlineStr">
        <is>
          <t>Middle mile PnP</t>
        </is>
      </c>
    </row>
    <row r="583">
      <c r="A583" s="246" t="n"/>
      <c r="B583" s="246" t="inlineStr">
        <is>
          <t>Middle mile cận vùng</t>
        </is>
      </c>
      <c r="C583" s="246" t="n"/>
      <c r="D583" s="246" t="inlineStr">
        <is>
          <t>Middle mile cận តំបន់</t>
        </is>
      </c>
      <c r="E583" s="246" t="n"/>
      <c r="F583" t="inlineStr">
        <is>
          <t>Middle mile cận តំបន់</t>
        </is>
      </c>
    </row>
    <row r="584">
      <c r="A584" s="246" t="n"/>
      <c r="B584" s="246" t="inlineStr">
        <is>
          <t>Khai thác</t>
        </is>
      </c>
      <c r="C584" s="246" t="n"/>
      <c r="D584" s="246" t="inlineStr">
        <is>
          <t>ប្រតិបត្តិការចាត់ចែងបញ្ញើ</t>
        </is>
      </c>
      <c r="E584" s="246" t="n"/>
      <c r="F584" t="inlineStr">
        <is>
          <t>ប្រតិបត្តិការចាត់ចែងបញ្ញើ</t>
        </is>
      </c>
    </row>
    <row r="585">
      <c r="A585" s="246" t="n"/>
      <c r="B585" s="246" t="inlineStr">
        <is>
          <t>SL tải/kiện nhâp</t>
        </is>
      </c>
      <c r="C585" s="246" t="n"/>
      <c r="D585" s="246" t="inlineStr">
        <is>
          <t>SL tải/kiện nhâp</t>
        </is>
      </c>
      <c r="E585" s="246" t="n"/>
      <c r="F585" t="inlineStr">
        <is>
          <t>SL tải/kiện nhâp</t>
        </is>
      </c>
    </row>
    <row r="586">
      <c r="A586" s="246" t="n"/>
      <c r="B586" s="246" t="inlineStr">
        <is>
          <t>Số BP khai thác</t>
        </is>
      </c>
      <c r="C586" s="246" t="n"/>
      <c r="D586" s="246" t="inlineStr">
        <is>
          <t>ចំនួនបញ្ញើដែលបានចាត់ចែង</t>
        </is>
      </c>
      <c r="E586" s="246" t="n"/>
      <c r="F586" t="inlineStr">
        <is>
          <t>ចំនួនបញ្ញើដែលបានចាត់ចែង</t>
        </is>
      </c>
    </row>
    <row r="587">
      <c r="A587" s="246" t="n"/>
      <c r="B587" s="246" t="inlineStr">
        <is>
          <t>SL điểm cam kết</t>
        </is>
      </c>
      <c r="C587" s="246" t="n"/>
      <c r="D587" s="246" t="inlineStr">
        <is>
          <t>ចំនួនទីតាំងប្តេជ្ញាចិត្ត (SLA)</t>
        </is>
      </c>
      <c r="E587" s="246" t="n"/>
      <c r="F587" t="inlineStr">
        <is>
          <t>ចំនួនទីតាំងប្តេជ្ញាចិត្ត (SLA)</t>
        </is>
      </c>
    </row>
    <row r="588">
      <c r="A588" s="246" t="n"/>
      <c r="B588" s="246" t="inlineStr">
        <is>
          <t>SL điểm kết nối TT</t>
        </is>
      </c>
      <c r="C588" s="246" t="n"/>
      <c r="D588" s="246" t="inlineStr">
        <is>
          <t>ចំនួនទីតាំងតភ្ជាប់កណ្តាល</t>
        </is>
      </c>
      <c r="E588" s="246" t="n"/>
      <c r="F588" t="inlineStr">
        <is>
          <t>ចំនួនទីតាំងតភ្ជាប់កណ្តាល</t>
        </is>
      </c>
    </row>
    <row r="589">
      <c r="A589" s="246" t="n"/>
      <c r="B589" s="246" t="inlineStr">
        <is>
          <t>SL điểm kết nối ĐG</t>
        </is>
      </c>
      <c r="C589" s="246" t="n"/>
      <c r="D589" s="246" t="inlineStr">
        <is>
          <t>ចំនួនទីតាំងតភ្ជាប់ដឹកចែក</t>
        </is>
      </c>
      <c r="E589" s="246" t="n"/>
      <c r="F589" t="inlineStr">
        <is>
          <t>ចំនួនទីតាំងតភ្ជាប់ដឹកចែក</t>
        </is>
      </c>
    </row>
    <row r="590">
      <c r="A590" s="246" t="n"/>
      <c r="B590" s="246" t="inlineStr">
        <is>
          <t>Tỷ lệ kết nối đủ</t>
        </is>
      </c>
      <c r="C590" s="246" t="n"/>
      <c r="D590" s="246" t="inlineStr">
        <is>
          <t>អត្រា kết nối đủ</t>
        </is>
      </c>
      <c r="E590" s="246" t="n"/>
      <c r="F590" t="inlineStr">
        <is>
          <t>អត្រា kết nối đủ</t>
        </is>
      </c>
    </row>
    <row r="591">
      <c r="A591" s="246" t="n"/>
      <c r="B591" s="246" t="inlineStr">
        <is>
          <t>Tỷ lệ kết nối đúng giờ</t>
        </is>
      </c>
      <c r="C591" s="246" t="n"/>
      <c r="D591" s="246" t="inlineStr">
        <is>
          <t>អត្រា kết nối đúng ម៉ោង</t>
        </is>
      </c>
      <c r="E591" s="246" t="n"/>
      <c r="F591" t="inlineStr">
        <is>
          <t>អត្រា kết nối đúng ម៉ោង</t>
        </is>
      </c>
    </row>
    <row r="592">
      <c r="A592" s="246" t="n"/>
      <c r="B592" s="246" t="inlineStr">
        <is>
          <t>Nội tỉnh, nội thành &amp; nội vùng</t>
        </is>
      </c>
      <c r="C592" s="246" t="n"/>
      <c r="D592" s="246" t="inlineStr">
        <is>
          <t>Nội ខេត្ត, ក្នុងទីក្រុង &amp; nội តំបន់</t>
        </is>
      </c>
      <c r="E592" s="246" t="n"/>
      <c r="F592" t="inlineStr">
        <is>
          <t>Nội ខេត្ត, ក្នុងទីក្រុង &amp; nội តំបន់</t>
        </is>
      </c>
    </row>
    <row r="593">
      <c r="A593" s="246" t="n"/>
      <c r="B593" s="246" t="inlineStr">
        <is>
          <t>Liên vùng</t>
        </is>
      </c>
      <c r="C593" s="246" t="n"/>
      <c r="D593" s="246" t="inlineStr">
        <is>
          <t>Liên តំបន់</t>
        </is>
      </c>
      <c r="E593" s="246" t="n"/>
      <c r="F593" t="inlineStr">
        <is>
          <t>Liên តំបន់</t>
        </is>
      </c>
    </row>
    <row r="594">
      <c r="A594" s="246" t="n"/>
      <c r="B594" s="246" t="inlineStr">
        <is>
          <t>Sản lượng phát</t>
        </is>
      </c>
      <c r="C594" s="246" t="n"/>
      <c r="D594" s="246" t="inlineStr">
        <is>
          <t>Sản lượng ដឹកចែក</t>
        </is>
      </c>
      <c r="E594" s="246" t="n"/>
      <c r="F594" t="inlineStr">
        <is>
          <t>Sản lượng ដឹកចែក</t>
        </is>
      </c>
    </row>
    <row r="595">
      <c r="A595" s="246" t="n"/>
      <c r="B595" s="246" t="inlineStr">
        <is>
          <t>TG toàn trình - All</t>
        </is>
      </c>
      <c r="C595" s="246" t="n"/>
      <c r="D595" s="246" t="inlineStr">
        <is>
          <t>រយៈពេលឆ្លងកាត់សរុប (All)</t>
        </is>
      </c>
      <c r="E595" s="246" t="n"/>
      <c r="F595" t="inlineStr">
        <is>
          <t>រយៈពេលឆ្លងកាត់សរុប (All)</t>
        </is>
      </c>
    </row>
    <row r="596">
      <c r="A596" s="246" t="n"/>
      <c r="B596" s="246" t="inlineStr">
        <is>
          <t>FM - All</t>
        </is>
      </c>
      <c r="C596" s="246" t="n"/>
      <c r="D596" s="246" t="inlineStr">
        <is>
          <t>FM - All</t>
        </is>
      </c>
      <c r="E596" s="246" t="n"/>
      <c r="F596" t="inlineStr">
        <is>
          <t>FM - All</t>
        </is>
      </c>
    </row>
    <row r="597">
      <c r="A597" s="246" t="n"/>
      <c r="B597" s="246" t="inlineStr">
        <is>
          <t>MM - All</t>
        </is>
      </c>
      <c r="C597" s="246" t="n"/>
      <c r="D597" s="246" t="inlineStr">
        <is>
          <t>MM - All</t>
        </is>
      </c>
      <c r="E597" s="246" t="n"/>
      <c r="F597" t="inlineStr">
        <is>
          <t>MM - All</t>
        </is>
      </c>
    </row>
    <row r="598">
      <c r="A598" s="246" t="n"/>
      <c r="B598" s="246" t="inlineStr">
        <is>
          <t>LM - All</t>
        </is>
      </c>
      <c r="C598" s="246" t="n"/>
      <c r="D598" s="246" t="inlineStr">
        <is>
          <t>LM - All</t>
        </is>
      </c>
      <c r="E598" s="246" t="n"/>
      <c r="F598" t="inlineStr">
        <is>
          <t>LM - All</t>
        </is>
      </c>
    </row>
    <row r="599">
      <c r="A599" s="246" t="n"/>
      <c r="B599" s="246" t="inlineStr">
        <is>
          <t>Nội vùng - All</t>
        </is>
      </c>
      <c r="C599" s="246" t="n"/>
      <c r="D599" s="246" t="inlineStr">
        <is>
          <t>Nội តំបន់ - All</t>
        </is>
      </c>
      <c r="E599" s="246" t="n"/>
      <c r="F599" t="inlineStr">
        <is>
          <t>Nội តំបន់ - All</t>
        </is>
      </c>
    </row>
    <row r="600">
      <c r="A600" s="246" t="n"/>
      <c r="B600" s="246" t="inlineStr">
        <is>
          <t>Nội tỉnh - All</t>
        </is>
      </c>
      <c r="C600" s="246" t="n"/>
      <c r="D600" s="246" t="inlineStr">
        <is>
          <t>Nội ខេត្ត - All</t>
        </is>
      </c>
      <c r="E600" s="246" t="n"/>
      <c r="F600" t="inlineStr">
        <is>
          <t>Nội ខេត្ត - All</t>
        </is>
      </c>
    </row>
    <row r="601">
      <c r="A601" s="246" t="n"/>
      <c r="B601" s="246" t="inlineStr">
        <is>
          <t>Liên vùng - All</t>
        </is>
      </c>
      <c r="C601" s="246" t="n"/>
      <c r="D601" s="246" t="inlineStr">
        <is>
          <t>Liên តំបន់ - All</t>
        </is>
      </c>
      <c r="E601" s="246" t="n"/>
      <c r="F601" t="inlineStr">
        <is>
          <t>Liên តំបន់ - All</t>
        </is>
      </c>
    </row>
    <row r="602">
      <c r="A602" s="246" t="n"/>
      <c r="B602" s="246" t="inlineStr">
        <is>
          <t>Cận vùng - All</t>
        </is>
      </c>
      <c r="C602" s="246" t="n"/>
      <c r="D602" s="246" t="inlineStr">
        <is>
          <t>Cận តំបន់ - All</t>
        </is>
      </c>
      <c r="E602" s="246" t="n"/>
      <c r="F602" t="inlineStr">
        <is>
          <t>Cận តំបន់ - All</t>
        </is>
      </c>
    </row>
    <row r="603">
      <c r="A603" s="246" t="n"/>
      <c r="B603" s="246" t="inlineStr">
        <is>
          <t>PnP - All</t>
        </is>
      </c>
      <c r="C603" s="246" t="n"/>
      <c r="D603" s="246" t="inlineStr">
        <is>
          <t>PnP - All</t>
        </is>
      </c>
      <c r="E603" s="246" t="n"/>
      <c r="F603" t="inlineStr">
        <is>
          <t>PnP - All</t>
        </is>
      </c>
    </row>
    <row r="604">
      <c r="A604" s="246" t="n"/>
      <c r="B604" s="246" t="inlineStr">
        <is>
          <t>Xu hướng thời gian toàn trình - All theo ngày</t>
        </is>
      </c>
      <c r="C604" s="246" t="n"/>
      <c r="D604" s="246" t="inlineStr">
        <is>
          <t>Xu hướng ពេលវេលា toàn trình - All theo កាលបរិច្ឆេទ</t>
        </is>
      </c>
      <c r="E604" s="246" t="n"/>
      <c r="F604" t="inlineStr">
        <is>
          <t>Xu hướng ពេលវេលា toàn trình - All theo កាលបរិច្ឆេទ</t>
        </is>
      </c>
    </row>
    <row r="605">
      <c r="A605" s="246" t="n"/>
      <c r="B605" s="246" t="inlineStr">
        <is>
          <t>Top chi nhánh</t>
        </is>
      </c>
      <c r="C605" s="246" t="n"/>
      <c r="D605" s="246" t="inlineStr">
        <is>
          <t>Top សាខា</t>
        </is>
      </c>
      <c r="E605" s="246" t="n"/>
      <c r="F605" t="inlineStr">
        <is>
          <t>Top សាខា</t>
        </is>
      </c>
    </row>
    <row r="606">
      <c r="A606" s="246" t="inlineStr">
        <is>
          <t>TL thực hiện</t>
        </is>
      </c>
      <c r="B606" s="246" t="inlineStr">
        <is>
          <t>Tỷ lệ thực hiện</t>
        </is>
      </c>
      <c r="C606" s="246" t="n"/>
      <c r="D606" s="246" t="inlineStr">
        <is>
          <t>TL thực hiện</t>
        </is>
      </c>
      <c r="E606" s="246" t="n"/>
      <c r="F606" t="inlineStr">
        <is>
          <t>TL thực hiện</t>
        </is>
      </c>
    </row>
    <row r="607">
      <c r="A607" s="246" t="n"/>
      <c r="B607" s="246" t="inlineStr">
        <is>
          <t>Chi nhánh</t>
        </is>
      </c>
      <c r="C607" s="246" t="n"/>
      <c r="D607" s="246" t="inlineStr">
        <is>
          <t>សាខា</t>
        </is>
      </c>
      <c r="E607" s="246" t="n"/>
      <c r="F607" t="inlineStr">
        <is>
          <t>សាខា</t>
        </is>
      </c>
    </row>
    <row r="608">
      <c r="A608" s="271" t="n"/>
      <c r="B608" s="291" t="inlineStr">
        <is>
          <t>Báo cáo chi tiết khâu Middle Mile</t>
        </is>
      </c>
      <c r="C608" s="271" t="n"/>
      <c r="D608" s="271" t="inlineStr">
        <is>
          <t>របាយការណ៍ព័ត៌មានលម្អិត khâu Middle Mile</t>
        </is>
      </c>
      <c r="E608" s="271" t="n"/>
      <c r="F608" t="inlineStr">
        <is>
          <t>របាយការណ៍ព័ត៌មានលម្អិត khâu Middle Mile</t>
        </is>
      </c>
    </row>
    <row r="609">
      <c r="A609" s="271" t="n"/>
      <c r="B609" s="273" t="inlineStr">
        <is>
          <t>STT</t>
        </is>
      </c>
      <c r="C609" s="271" t="n"/>
      <c r="D609" s="271" t="inlineStr">
        <is>
          <t>លេខរៀង</t>
        </is>
      </c>
      <c r="E609" s="271" t="n"/>
      <c r="F609" t="inlineStr">
        <is>
          <t>លេខរៀង</t>
        </is>
      </c>
    </row>
    <row r="610">
      <c r="A610" s="271" t="n"/>
      <c r="B610" s="273" t="inlineStr">
        <is>
          <t>Ngày báo cáo</t>
        </is>
      </c>
      <c r="C610" s="271" t="n"/>
      <c r="D610" s="271" t="inlineStr">
        <is>
          <t>កាលបរិច្ឆេទរបាយការណ៍</t>
        </is>
      </c>
      <c r="E610" s="271" t="n"/>
      <c r="F610" t="inlineStr">
        <is>
          <t>កាលបរិច្ឆេទរបាយការណ៍</t>
        </is>
      </c>
    </row>
    <row r="611">
      <c r="A611" s="271" t="n"/>
      <c r="B611" s="273" t="inlineStr">
        <is>
          <t>Mã phiếu gửi</t>
        </is>
      </c>
      <c r="C611" s="271" t="n"/>
      <c r="D611" s="271" t="inlineStr">
        <is>
          <t>លេខកូដបុងបញ្ញើ</t>
        </is>
      </c>
      <c r="E611" s="271" t="n"/>
      <c r="F611" t="inlineStr">
        <is>
          <t>លេខកូដបុងបញ្ញើ</t>
        </is>
      </c>
    </row>
    <row r="612">
      <c r="A612" s="271" t="n"/>
      <c r="B612" s="273" t="inlineStr">
        <is>
          <t>Chi nhánh nhận</t>
        </is>
      </c>
      <c r="C612" s="271" t="n"/>
      <c r="D612" s="271" t="inlineStr">
        <is>
          <t>សាខាទទួល</t>
        </is>
      </c>
      <c r="E612" s="271" t="n"/>
      <c r="F612" t="inlineStr">
        <is>
          <t>សាខាទទួល</t>
        </is>
      </c>
    </row>
    <row r="613">
      <c r="A613" s="271" t="n"/>
      <c r="B613" s="273" t="inlineStr">
        <is>
          <t>Chi nhánh phát</t>
        </is>
      </c>
      <c r="C613" s="271" t="n"/>
      <c r="D613" s="271" t="inlineStr">
        <is>
          <t>សាខាដឹកចែក</t>
        </is>
      </c>
      <c r="E613" s="271" t="n"/>
      <c r="F613" t="inlineStr">
        <is>
          <t>សាខាដឹកចែក</t>
        </is>
      </c>
    </row>
    <row r="614">
      <c r="A614" s="271" t="n"/>
      <c r="B614" s="273" t="inlineStr">
        <is>
          <t>Mã bưu cục nhận</t>
        </is>
      </c>
      <c r="C614" s="271" t="n"/>
      <c r="D614" s="271" t="inlineStr">
        <is>
          <t>លេខកូដការិយាល័យប្រៃសណីយ៍ ទទួល</t>
        </is>
      </c>
      <c r="E614" s="271" t="n"/>
      <c r="F614" t="inlineStr">
        <is>
          <t>លេខកូដការិយាល័យប្រៃសណីយ៍ ទទួល</t>
        </is>
      </c>
    </row>
    <row r="615">
      <c r="A615" s="271" t="n"/>
      <c r="B615" s="273" t="inlineStr">
        <is>
          <t>Mã bưu cục phát</t>
        </is>
      </c>
      <c r="C615" s="271" t="n"/>
      <c r="D615" s="271" t="inlineStr">
        <is>
          <t>លេខកូដការិយាល័យប្រៃសណីយ៍ដឹកចែក</t>
        </is>
      </c>
      <c r="E615" s="271" t="n"/>
      <c r="F615" t="inlineStr">
        <is>
          <t>លេខកូដការិយាល័យប្រៃសណីយ៍ដឹកចែក</t>
        </is>
      </c>
    </row>
    <row r="616">
      <c r="A616" s="271" t="n"/>
      <c r="B616" s="273" t="inlineStr">
        <is>
          <t>Dịch vụ</t>
        </is>
      </c>
      <c r="C616" s="271" t="n"/>
      <c r="D616" s="271" t="inlineStr">
        <is>
          <t>សេវាកម្ម</t>
        </is>
      </c>
      <c r="E616" s="271" t="n"/>
      <c r="F616" t="inlineStr">
        <is>
          <t>សេវាកម្ម</t>
        </is>
      </c>
    </row>
    <row r="617">
      <c r="A617" s="271" t="n"/>
      <c r="B617" s="273" t="inlineStr">
        <is>
          <t>Trọng lượng (gram)</t>
        </is>
      </c>
      <c r="C617" s="271" t="n"/>
      <c r="D617" s="271" t="inlineStr">
        <is>
          <t>ទម្ងន់ (gram)</t>
        </is>
      </c>
      <c r="E617" s="271" t="n"/>
      <c r="F617" t="inlineStr">
        <is>
          <t>ទម្ងន់ (gram)</t>
        </is>
      </c>
    </row>
    <row r="618">
      <c r="A618" s="271" t="n"/>
      <c r="B618" s="273" t="inlineStr">
        <is>
          <t>Loại hàng</t>
        </is>
      </c>
      <c r="C618" s="271" t="n"/>
      <c r="D618" s="271" t="inlineStr">
        <is>
          <t>ប្រភេទ ទំនិញ</t>
        </is>
      </c>
      <c r="E618" s="271" t="n"/>
      <c r="F618" t="inlineStr">
        <is>
          <t>ប្រភេទ ទំនិញ</t>
        </is>
      </c>
    </row>
    <row r="619">
      <c r="A619" s="271" t="n"/>
      <c r="B619" s="273" t="inlineStr">
        <is>
          <t>Trạng thái hiện tại</t>
        </is>
      </c>
      <c r="C619" s="271" t="n"/>
      <c r="D619" s="271" t="inlineStr">
        <is>
          <t>ស្ថានភាព hiện tại</t>
        </is>
      </c>
      <c r="E619" s="271" t="n"/>
      <c r="F619" t="inlineStr">
        <is>
          <t>ស្ថានភាព hiện tại</t>
        </is>
      </c>
    </row>
    <row r="620">
      <c r="A620" s="271" t="n"/>
      <c r="B620" s="273" t="inlineStr">
        <is>
          <t>TG lái xe xác nhận bàn giao từ BCG</t>
        </is>
      </c>
      <c r="C620" s="271" t="n"/>
      <c r="D620" s="271" t="inlineStr">
        <is>
          <t>TG អ្នកបើកបរ បញ្ជាក់ bàn giao từ BCG</t>
        </is>
      </c>
      <c r="E620" s="271" t="n"/>
      <c r="F620" t="inlineStr">
        <is>
          <t>TG អ្នកបើកបរ បញ្ជាក់ bàn giao từ BCG</t>
        </is>
      </c>
    </row>
    <row r="621">
      <c r="A621" s="271" t="n"/>
      <c r="B621" s="273" t="inlineStr">
        <is>
          <t>User bắt đầu MM</t>
        </is>
      </c>
      <c r="C621" s="271" t="n"/>
      <c r="D621" s="271" t="inlineStr">
        <is>
          <t>User bắt đầu MM</t>
        </is>
      </c>
      <c r="E621" s="271" t="n"/>
      <c r="F621" t="inlineStr">
        <is>
          <t>User bắt đầu MM</t>
        </is>
      </c>
    </row>
    <row r="622">
      <c r="A622" s="271" t="n"/>
      <c r="B622" s="273" t="inlineStr">
        <is>
          <t>TG KVT đầu nhận bàn giao</t>
        </is>
      </c>
      <c r="C622" s="271" t="n"/>
      <c r="D622" s="271" t="inlineStr">
        <is>
          <t>TG KVT đầu ទទួល bàn giao</t>
        </is>
      </c>
      <c r="E622" s="271" t="n"/>
      <c r="F622" t="inlineStr">
        <is>
          <t>TG KVT đầu ទទួល bàn giao</t>
        </is>
      </c>
    </row>
    <row r="623">
      <c r="A623" s="271" t="n"/>
      <c r="B623" s="273" t="inlineStr">
        <is>
          <t>Mã KVT đầu</t>
        </is>
      </c>
      <c r="C623" s="271" t="n"/>
      <c r="D623" s="271" t="inlineStr">
        <is>
          <t>លេខកូដKVT đầu</t>
        </is>
      </c>
      <c r="E623" s="271" t="n"/>
      <c r="F623" t="inlineStr">
        <is>
          <t>លេខកូដKVT đầu</t>
        </is>
      </c>
    </row>
    <row r="624">
      <c r="A624" s="271" t="n"/>
      <c r="B624" s="273" t="inlineStr">
        <is>
          <t>TG lái xe nhận bàn giao từ KVT</t>
        </is>
      </c>
      <c r="C624" s="271" t="n"/>
      <c r="D624" s="271" t="inlineStr">
        <is>
          <t>TG អ្នកបើកបរ ទទួល bàn giao từ KVT</t>
        </is>
      </c>
      <c r="E624" s="271" t="n"/>
      <c r="F624" t="inlineStr">
        <is>
          <t>TG អ្នកបើកបរ ទទួល bàn giao từ KVT</t>
        </is>
      </c>
    </row>
    <row r="625">
      <c r="A625" s="271" t="n"/>
      <c r="B625" s="273" t="inlineStr">
        <is>
          <t>Di chuyển đến KVT đầu</t>
        </is>
      </c>
      <c r="C625" s="271" t="n"/>
      <c r="D625" s="271" t="inlineStr">
        <is>
          <t>Di chuyển đến KVT đầu</t>
        </is>
      </c>
      <c r="E625" s="271" t="n"/>
      <c r="F625" t="inlineStr">
        <is>
          <t>Di chuyển đến KVT đầu</t>
        </is>
      </c>
    </row>
    <row r="626">
      <c r="A626" s="271" t="n"/>
      <c r="B626" s="273" t="inlineStr">
        <is>
          <t>TG KVT đầu khai thác xong</t>
        </is>
      </c>
      <c r="C626" s="271" t="n"/>
      <c r="D626" s="271" t="inlineStr">
        <is>
          <t>TG KVT đầu khai thác xong</t>
        </is>
      </c>
      <c r="E626" s="271" t="n"/>
      <c r="F626" t="inlineStr">
        <is>
          <t>TG KVT đầu khai thác xong</t>
        </is>
      </c>
    </row>
    <row r="627">
      <c r="A627" s="271" t="n"/>
      <c r="B627" s="273" t="inlineStr">
        <is>
          <t>TG TTKT đầu nhận bàn giao</t>
        </is>
      </c>
      <c r="C627" s="271" t="n"/>
      <c r="D627" s="271" t="inlineStr">
        <is>
          <t>TG TTKT đầu ទទួល bàn giao</t>
        </is>
      </c>
      <c r="E627" s="271" t="n"/>
      <c r="F627" t="inlineStr">
        <is>
          <t>TG TTKT đầu ទទួល bàn giao</t>
        </is>
      </c>
    </row>
    <row r="628">
      <c r="A628" s="271" t="n"/>
      <c r="B628" s="273" t="inlineStr">
        <is>
          <t>Mã TTKT đầu</t>
        </is>
      </c>
      <c r="C628" s="271" t="n"/>
      <c r="D628" s="271" t="inlineStr">
        <is>
          <t>លេខកូដTTKT đầu</t>
        </is>
      </c>
      <c r="E628" s="271" t="n"/>
      <c r="F628" t="inlineStr">
        <is>
          <t>លេខកូដTTKT đầu</t>
        </is>
      </c>
    </row>
    <row r="629">
      <c r="A629" s="271" t="n"/>
      <c r="B629" s="273" t="inlineStr">
        <is>
          <t>TG lái xe nhận bàn giao từ TTKT đầu</t>
        </is>
      </c>
      <c r="C629" s="271" t="n"/>
      <c r="D629" s="271" t="inlineStr">
        <is>
          <t>TG អ្នកបើកបរ ទទួល bàn giao từ TTKT đầu</t>
        </is>
      </c>
      <c r="E629" s="271" t="n"/>
      <c r="F629" t="inlineStr">
        <is>
          <t>TG អ្នកបើកបរ ទទួល bàn giao từ TTKT đầu</t>
        </is>
      </c>
    </row>
    <row r="630">
      <c r="A630" s="271" t="n"/>
      <c r="B630" s="273" t="inlineStr">
        <is>
          <t>Di chuyển đến TTKT đầu</t>
        </is>
      </c>
      <c r="C630" s="271" t="n"/>
      <c r="D630" s="271" t="inlineStr">
        <is>
          <t>Di chuyển đến TTKT đầu</t>
        </is>
      </c>
      <c r="E630" s="271" t="n"/>
      <c r="F630" t="inlineStr">
        <is>
          <t>Di chuyển đến TTKT đầu</t>
        </is>
      </c>
    </row>
    <row r="631">
      <c r="A631" s="271" t="n"/>
      <c r="B631" s="273" t="inlineStr">
        <is>
          <t>TTKT đầu khai thác xong</t>
        </is>
      </c>
      <c r="C631" s="271" t="n"/>
      <c r="D631" s="271" t="inlineStr">
        <is>
          <t>TTKT đầu khai thác xong</t>
        </is>
      </c>
      <c r="E631" s="271" t="n"/>
      <c r="F631" t="inlineStr">
        <is>
          <t>TTKT đầu khai thác xong</t>
        </is>
      </c>
    </row>
    <row r="632">
      <c r="A632" s="271" t="n"/>
      <c r="B632" s="273" t="inlineStr">
        <is>
          <t>TG TTKT cuối nhận bàn giao</t>
        </is>
      </c>
      <c r="C632" s="271" t="n"/>
      <c r="D632" s="271" t="inlineStr">
        <is>
          <t>TG TTKT cuối ទទួល bàn giao</t>
        </is>
      </c>
      <c r="E632" s="271" t="n"/>
      <c r="F632" t="inlineStr">
        <is>
          <t>TG TTKT cuối ទទួល bàn giao</t>
        </is>
      </c>
    </row>
    <row r="633">
      <c r="A633" s="271" t="n"/>
      <c r="B633" s="273" t="inlineStr">
        <is>
          <t>Mã TTKT cuối</t>
        </is>
      </c>
      <c r="C633" s="271" t="n"/>
      <c r="D633" s="271" t="inlineStr">
        <is>
          <t>លេខកូដTTKT cuối</t>
        </is>
      </c>
      <c r="E633" s="271" t="n"/>
      <c r="F633" t="inlineStr">
        <is>
          <t>លេខកូដTTKT cuối</t>
        </is>
      </c>
    </row>
    <row r="634">
      <c r="A634" s="271" t="n"/>
      <c r="B634" s="273" t="inlineStr">
        <is>
          <t>TG lái xe nhận bàn giao từ TTKT cuối</t>
        </is>
      </c>
      <c r="C634" s="271" t="n"/>
      <c r="D634" s="271" t="inlineStr">
        <is>
          <t>TG អ្នកបើកបរ ទទួល bàn giao từ TTKT cuối</t>
        </is>
      </c>
      <c r="E634" s="271" t="n"/>
      <c r="F634" t="inlineStr">
        <is>
          <t>TG អ្នកបើកបរ ទទួល bàn giao từ TTKT cuối</t>
        </is>
      </c>
    </row>
    <row r="635">
      <c r="A635" s="271" t="n"/>
      <c r="B635" s="273" t="inlineStr">
        <is>
          <t>Di chuyển đến TTKT cuối</t>
        </is>
      </c>
      <c r="C635" s="271" t="n"/>
      <c r="D635" s="271" t="inlineStr">
        <is>
          <t>Di chuyển đến TTKT cuối</t>
        </is>
      </c>
      <c r="E635" s="271" t="n"/>
      <c r="F635" t="inlineStr">
        <is>
          <t>Di chuyển đến TTKT cuối</t>
        </is>
      </c>
    </row>
    <row r="636">
      <c r="A636" s="271" t="n"/>
      <c r="B636" s="273" t="inlineStr">
        <is>
          <t>TTKT cuối khai thác xong</t>
        </is>
      </c>
      <c r="C636" s="271" t="n"/>
      <c r="D636" s="271" t="inlineStr">
        <is>
          <t>TTKT cuối khai thác xong</t>
        </is>
      </c>
      <c r="E636" s="271" t="n"/>
      <c r="F636" t="inlineStr">
        <is>
          <t>TTKT cuối khai thác xong</t>
        </is>
      </c>
    </row>
    <row r="637">
      <c r="A637" s="271" t="n"/>
      <c r="B637" s="273" t="inlineStr">
        <is>
          <t>TG KVT cuối nhận bàn giao</t>
        </is>
      </c>
      <c r="C637" s="271" t="n"/>
      <c r="D637" s="271" t="inlineStr">
        <is>
          <t>TG KVT cuối ទទួល bàn giao</t>
        </is>
      </c>
      <c r="E637" s="271" t="n"/>
      <c r="F637" t="inlineStr">
        <is>
          <t>TG KVT cuối ទទួល bàn giao</t>
        </is>
      </c>
    </row>
    <row r="638">
      <c r="A638" s="271" t="n"/>
      <c r="B638" s="273" t="inlineStr">
        <is>
          <t>Mã KVT cuối</t>
        </is>
      </c>
      <c r="C638" s="271" t="n"/>
      <c r="D638" s="271" t="inlineStr">
        <is>
          <t>លេខកូដKVT cuối</t>
        </is>
      </c>
      <c r="E638" s="271" t="n"/>
      <c r="F638" t="inlineStr">
        <is>
          <t>លេខកូដKVT cuối</t>
        </is>
      </c>
    </row>
    <row r="639">
      <c r="A639" s="271" t="n"/>
      <c r="B639" s="273" t="inlineStr">
        <is>
          <t>TG lái xe nhận bàn giao từ KVT cuối</t>
        </is>
      </c>
      <c r="C639" s="271" t="n"/>
      <c r="D639" s="271" t="inlineStr">
        <is>
          <t>TG អ្នកបើកបរ ទទួល bàn giao từ KVT cuối</t>
        </is>
      </c>
      <c r="E639" s="271" t="n"/>
      <c r="F639" t="inlineStr">
        <is>
          <t>TG អ្នកបើកបរ ទទួល bàn giao từ KVT cuối</t>
        </is>
      </c>
    </row>
    <row r="640">
      <c r="A640" s="271" t="n"/>
      <c r="B640" s="273" t="inlineStr">
        <is>
          <t>Di chuyển đến KVT cuối</t>
        </is>
      </c>
      <c r="C640" s="271" t="n"/>
      <c r="D640" s="271" t="inlineStr">
        <is>
          <t>Di chuyển đến KVT cuối</t>
        </is>
      </c>
      <c r="E640" s="271" t="n"/>
      <c r="F640" t="inlineStr">
        <is>
          <t>Di chuyển đến KVT cuối</t>
        </is>
      </c>
    </row>
    <row r="641">
      <c r="A641" s="271" t="n"/>
      <c r="B641" s="273" t="inlineStr">
        <is>
          <t>KVT cuối khai thác xong</t>
        </is>
      </c>
      <c r="C641" s="271" t="n"/>
      <c r="D641" s="271" t="inlineStr">
        <is>
          <t>KVT cuối khai thác xong</t>
        </is>
      </c>
      <c r="E641" s="271" t="n"/>
      <c r="F641" t="inlineStr">
        <is>
          <t>KVT cuối khai thác xong</t>
        </is>
      </c>
    </row>
    <row r="642">
      <c r="A642" s="271" t="n"/>
      <c r="B642" s="273" t="inlineStr">
        <is>
          <t>Thời gian BCP nhận bàn giao</t>
        </is>
      </c>
      <c r="C642" s="271" t="n"/>
      <c r="D642" s="271" t="inlineStr">
        <is>
          <t>ពេលវេលាBCP ទទួល bàn giao</t>
        </is>
      </c>
      <c r="E642" s="271" t="n"/>
      <c r="F642" t="inlineStr">
        <is>
          <t>ពេលវេលាBCP ទទួល bàn giao</t>
        </is>
      </c>
    </row>
    <row r="643">
      <c r="A643" s="271" t="n"/>
      <c r="B643" s="273" t="inlineStr">
        <is>
          <t>TG BCP nhận chi tiết bưu gửi</t>
        </is>
      </c>
      <c r="C643" s="271" t="n"/>
      <c r="D643" s="271" t="inlineStr">
        <is>
          <t>TG BCP ទទួល ព័ត៌មានលម្អិត bưu ផ្ញើ</t>
        </is>
      </c>
      <c r="E643" s="271" t="n"/>
      <c r="F643" t="inlineStr">
        <is>
          <t>TG BCP ទទួល ព័ត៌មានលម្អិត bưu ផ្ញើ</t>
        </is>
      </c>
    </row>
    <row r="644">
      <c r="A644" s="271" t="n"/>
      <c r="B644" s="273" t="inlineStr">
        <is>
          <t>User - đơn vị nhận bàn giao</t>
        </is>
      </c>
      <c r="C644" s="271" t="n"/>
      <c r="D644" s="271" t="inlineStr">
        <is>
          <t>User - បញ្ញើ vị ទទួល bàn giao</t>
        </is>
      </c>
      <c r="E644" s="271" t="n"/>
      <c r="F644" t="inlineStr">
        <is>
          <t>User - បញ្ញើ vị ទទួល bàn giao</t>
        </is>
      </c>
    </row>
    <row r="645">
      <c r="A645" s="271" t="n"/>
      <c r="B645" s="273" t="inlineStr">
        <is>
          <t>Di chuyển đến BCP</t>
        </is>
      </c>
      <c r="C645" s="271" t="n"/>
      <c r="D645" s="271" t="inlineStr">
        <is>
          <t>Di chuyển đến BCP</t>
        </is>
      </c>
      <c r="E645" s="271" t="n"/>
      <c r="F645" t="inlineStr">
        <is>
          <t>Di chuyển đến BCP</t>
        </is>
      </c>
    </row>
    <row r="646">
      <c r="A646" s="271" t="n"/>
      <c r="B646" s="273" t="inlineStr">
        <is>
          <t>Tổng khâu MM (giờ)</t>
        </is>
      </c>
      <c r="C646" s="271" t="n"/>
      <c r="D646" s="271" t="inlineStr">
        <is>
          <t>ចំនួនkhâu MM (ម៉ោង)សរុប</t>
        </is>
      </c>
      <c r="E646" s="271" t="n"/>
      <c r="F646" t="inlineStr">
        <is>
          <t>ចំនួនkhâu MM (ម៉ោង)សរុប</t>
        </is>
      </c>
    </row>
    <row r="647">
      <c r="A647" s="271" t="n"/>
      <c r="B647" s="273" t="inlineStr">
        <is>
          <t>TG khách hàng tạo đơn</t>
        </is>
      </c>
      <c r="C647" s="271" t="n"/>
      <c r="D647" s="271" t="inlineStr">
        <is>
          <t>TG អតិថិជន tạo បញ្ញើ</t>
        </is>
      </c>
      <c r="E647" s="271" t="n"/>
      <c r="F647" t="inlineStr">
        <is>
          <t>TG អតិថិជន tạo បញ្ញើ</t>
        </is>
      </c>
    </row>
    <row r="648">
      <c r="A648" s="271" t="n"/>
      <c r="B648" s="273" t="inlineStr">
        <is>
          <t>TG tác động lần đầu sau TT110</t>
        </is>
      </c>
      <c r="C648" s="271" t="n"/>
      <c r="D648" s="271" t="inlineStr">
        <is>
          <t>TG tác động lần đầu sau TT110</t>
        </is>
      </c>
      <c r="E648" s="271" t="n"/>
      <c r="F648" t="inlineStr">
        <is>
          <t>TG tác động lần đầu sau TT110</t>
        </is>
      </c>
    </row>
    <row r="649">
      <c r="A649" s="271" t="n"/>
      <c r="B649" s="273" t="inlineStr">
        <is>
          <t>TG thu thành công / Nhập doanh thu</t>
        </is>
      </c>
      <c r="C649" s="271" t="n"/>
      <c r="D649" s="271" t="inlineStr">
        <is>
          <t>TG thu ជោគជ័យ / Nhập doanh thu</t>
        </is>
      </c>
      <c r="E649" s="271" t="n"/>
      <c r="F649" t="inlineStr">
        <is>
          <t>TG thu ជោគជ័យ / Nhập doanh thu</t>
        </is>
      </c>
    </row>
    <row r="650">
      <c r="A650" s="271" t="n"/>
      <c r="B650" s="273" t="inlineStr">
        <is>
          <t>TG PCP lần đầu</t>
        </is>
      </c>
      <c r="C650" s="271" t="n"/>
      <c r="D650" s="271" t="inlineStr">
        <is>
          <t>TG PCP lần đầu</t>
        </is>
      </c>
      <c r="E650" s="271" t="n"/>
      <c r="F650" t="inlineStr">
        <is>
          <t>TG PCP lần đầu</t>
        </is>
      </c>
    </row>
    <row r="651">
      <c r="A651" s="271" t="n"/>
      <c r="B651" s="273" t="inlineStr">
        <is>
          <t>TG tác động lần đầu sau TT400</t>
        </is>
      </c>
      <c r="C651" s="271" t="n"/>
      <c r="D651" s="271" t="inlineStr">
        <is>
          <t>TG tác động lần đầu sau TT400</t>
        </is>
      </c>
      <c r="E651" s="271" t="n"/>
      <c r="F651" t="inlineStr">
        <is>
          <t>TG tác động lần đầu sau TT400</t>
        </is>
      </c>
    </row>
    <row r="652">
      <c r="A652" s="271" t="n"/>
      <c r="B652" s="291" t="inlineStr">
        <is>
          <t>Báo cáo sản lượng chuyến xe</t>
        </is>
      </c>
      <c r="C652" s="271" t="n"/>
      <c r="D652" s="271" t="inlineStr">
        <is>
          <t>របាយការណ៍sản lượng chuyến យានយន្ត</t>
        </is>
      </c>
      <c r="E652" s="271" t="n"/>
      <c r="F652" t="inlineStr">
        <is>
          <t>របាយការណ៍sản lượng chuyến យានយន្ត</t>
        </is>
      </c>
    </row>
    <row r="653">
      <c r="A653" s="271" t="n"/>
      <c r="B653" s="273" t="inlineStr">
        <is>
          <t>ma_taikien</t>
        </is>
      </c>
      <c r="C653" s="271" t="n"/>
      <c r="D653" s="271" t="inlineStr">
        <is>
          <t>ma_taikien</t>
        </is>
      </c>
      <c r="E653" s="271" t="n"/>
      <c r="F653" t="inlineStr">
        <is>
          <t>ma_taikien</t>
        </is>
      </c>
    </row>
    <row r="654">
      <c r="A654" s="271" t="n"/>
      <c r="B654" s="273" t="inlineStr">
        <is>
          <t>ma_chuyenxe</t>
        </is>
      </c>
      <c r="C654" s="271" t="n"/>
      <c r="D654" s="271" t="inlineStr">
        <is>
          <t>ma_chuyenxe</t>
        </is>
      </c>
      <c r="E654" s="271" t="n"/>
      <c r="F654" t="inlineStr">
        <is>
          <t>ma_chuyenxe</t>
        </is>
      </c>
    </row>
    <row r="655">
      <c r="A655" s="271" t="n"/>
      <c r="B655" s="273" t="inlineStr">
        <is>
          <t>bien_kiemsoat</t>
        </is>
      </c>
      <c r="C655" s="271" t="n"/>
      <c r="D655" s="271" t="inlineStr">
        <is>
          <t>bien_kiemsoat</t>
        </is>
      </c>
      <c r="E655" s="271" t="n"/>
      <c r="F655" t="inlineStr">
        <is>
          <t>bien_kiemsoat</t>
        </is>
      </c>
    </row>
    <row r="656">
      <c r="A656" s="271" t="n"/>
      <c r="B656" s="273" t="inlineStr">
        <is>
          <t>ten_tuyen</t>
        </is>
      </c>
      <c r="C656" s="271" t="n"/>
      <c r="D656" s="271" t="inlineStr">
        <is>
          <t>ten_tuyen</t>
        </is>
      </c>
      <c r="E656" s="271" t="n"/>
      <c r="F656" t="inlineStr">
        <is>
          <t>ten_tuyen</t>
        </is>
      </c>
    </row>
    <row r="657">
      <c r="A657" s="271" t="n"/>
      <c r="B657" s="273" t="inlineStr">
        <is>
          <t>chieu</t>
        </is>
      </c>
      <c r="C657" s="271" t="n"/>
      <c r="D657" s="271" t="inlineStr">
        <is>
          <t>chieu</t>
        </is>
      </c>
      <c r="E657" s="271" t="n"/>
      <c r="F657" t="inlineStr">
        <is>
          <t>chieu</t>
        </is>
      </c>
    </row>
    <row r="658">
      <c r="A658" s="271" t="n"/>
      <c r="B658" s="273" t="inlineStr">
        <is>
          <t>so_luong</t>
        </is>
      </c>
      <c r="C658" s="271" t="n"/>
      <c r="D658" s="271" t="inlineStr">
        <is>
          <t>so_luong</t>
        </is>
      </c>
      <c r="E658" s="271" t="n"/>
      <c r="F658" t="inlineStr">
        <is>
          <t>so_luong</t>
        </is>
      </c>
    </row>
    <row r="659">
      <c r="A659" s="271" t="n"/>
      <c r="B659" s="273" t="inlineStr">
        <is>
          <t>trong_luong</t>
        </is>
      </c>
      <c r="C659" s="271" t="n"/>
      <c r="D659" s="271" t="inlineStr">
        <is>
          <t>trong_luong</t>
        </is>
      </c>
      <c r="E659" s="271" t="n"/>
      <c r="F659" t="inlineStr">
        <is>
          <t>trong_luong</t>
        </is>
      </c>
    </row>
    <row r="660">
      <c r="A660" s="271" t="n"/>
      <c r="B660" s="273" t="inlineStr">
        <is>
          <t>thoigian_batdau</t>
        </is>
      </c>
      <c r="C660" s="271" t="n"/>
      <c r="D660" s="271" t="inlineStr">
        <is>
          <t>thoigian_batdau</t>
        </is>
      </c>
      <c r="E660" s="271" t="n"/>
      <c r="F660" t="inlineStr">
        <is>
          <t>thoigian_batdau</t>
        </is>
      </c>
    </row>
    <row r="661">
      <c r="A661" s="271" t="n"/>
      <c r="B661" s="273" t="inlineStr">
        <is>
          <t>thoigian_ketthuc</t>
        </is>
      </c>
      <c r="C661" s="271" t="n"/>
      <c r="D661" s="271" t="inlineStr">
        <is>
          <t>thoigian_ketthuc</t>
        </is>
      </c>
      <c r="E661" s="271" t="n"/>
      <c r="F661" t="inlineStr">
        <is>
          <t>thoigian_ketthuc</t>
        </is>
      </c>
    </row>
    <row r="662">
      <c r="A662" s="271" t="n"/>
      <c r="B662" s="273" t="inlineStr">
        <is>
          <t>loai_nhap_xuat</t>
        </is>
      </c>
      <c r="C662" s="271" t="n"/>
      <c r="D662" s="271" t="inlineStr">
        <is>
          <t>loai_nhap_xuat</t>
        </is>
      </c>
      <c r="E662" s="271" t="n"/>
      <c r="F662" t="inlineStr">
        <is>
          <t>loai_nhap_xuat</t>
        </is>
      </c>
    </row>
    <row r="663">
      <c r="A663" s="271" t="n"/>
      <c r="B663" s="273" t="inlineStr">
        <is>
          <t>tg_tao_bg</t>
        </is>
      </c>
      <c r="C663" s="271" t="n"/>
      <c r="D663" s="271" t="inlineStr">
        <is>
          <t>tg_tao_bg</t>
        </is>
      </c>
      <c r="E663" s="271" t="n"/>
      <c r="F663" t="inlineStr">
        <is>
          <t>tg_tao_bg</t>
        </is>
      </c>
    </row>
    <row r="664">
      <c r="A664" s="271" t="n"/>
      <c r="B664" s="273" t="inlineStr">
        <is>
          <t>tg_nhan_bg</t>
        </is>
      </c>
      <c r="C664" s="271" t="n"/>
      <c r="D664" s="271" t="inlineStr">
        <is>
          <t>tg_nhan_bg</t>
        </is>
      </c>
      <c r="E664" s="271" t="n"/>
      <c r="F664" t="inlineStr">
        <is>
          <t>tg_nhan_bg</t>
        </is>
      </c>
    </row>
    <row r="665">
      <c r="A665" s="271" t="n"/>
      <c r="B665" s="273" t="inlineStr">
        <is>
          <t>donvi_tao_bg</t>
        </is>
      </c>
      <c r="C665" s="271" t="n"/>
      <c r="D665" s="271" t="inlineStr">
        <is>
          <t>donvi_tao_bg</t>
        </is>
      </c>
      <c r="E665" s="271" t="n"/>
      <c r="F665" t="inlineStr">
        <is>
          <t>donvi_tao_bg</t>
        </is>
      </c>
    </row>
    <row r="666">
      <c r="A666" s="271" t="n"/>
      <c r="B666" s="273" t="inlineStr">
        <is>
          <t>donvi_nhan_bg</t>
        </is>
      </c>
      <c r="C666" s="271" t="n"/>
      <c r="D666" s="271" t="inlineStr">
        <is>
          <t>donvi_nhan_bg</t>
        </is>
      </c>
      <c r="E666" s="271" t="n"/>
      <c r="F666" t="inlineStr">
        <is>
          <t>donvi_nhan_bg</t>
        </is>
      </c>
    </row>
    <row r="667">
      <c r="A667" s="271" t="n"/>
      <c r="B667" s="273" t="inlineStr">
        <is>
          <t>nguoi_tao_bg</t>
        </is>
      </c>
      <c r="C667" s="271" t="n"/>
      <c r="D667" s="271" t="inlineStr">
        <is>
          <t>nguoi_tao_bg</t>
        </is>
      </c>
      <c r="E667" s="271" t="n"/>
      <c r="F667" t="inlineStr">
        <is>
          <t>nguoi_tao_bg</t>
        </is>
      </c>
    </row>
    <row r="668">
      <c r="A668" s="271" t="n"/>
      <c r="B668" s="273" t="inlineStr">
        <is>
          <t>nguoi_nhan_bg</t>
        </is>
      </c>
      <c r="C668" s="271" t="n"/>
      <c r="D668" s="271" t="inlineStr">
        <is>
          <t>nguoi_nhan_bg</t>
        </is>
      </c>
      <c r="E668" s="271" t="n"/>
      <c r="F668" t="inlineStr">
        <is>
          <t>nguoi_nhan_bg</t>
        </is>
      </c>
    </row>
    <row r="669">
      <c r="A669" s="271" t="n"/>
      <c r="B669" s="273" t="inlineStr">
        <is>
          <t>diem_len_xuong</t>
        </is>
      </c>
      <c r="C669" s="271" t="n"/>
      <c r="D669" s="271" t="inlineStr">
        <is>
          <t>diem_len_xuong</t>
        </is>
      </c>
      <c r="E669" s="271" t="n"/>
      <c r="F669" t="inlineStr">
        <is>
          <t>diem_len_xuong</t>
        </is>
      </c>
    </row>
    <row r="670">
      <c r="A670" s="271" t="n"/>
      <c r="B670" s="273" t="inlineStr">
        <is>
          <t>mien_xuatphat</t>
        </is>
      </c>
      <c r="C670" s="271" t="n"/>
      <c r="D670" s="271" t="inlineStr">
        <is>
          <t>mien_xuatphat</t>
        </is>
      </c>
      <c r="E670" s="271" t="n"/>
      <c r="F670" t="inlineStr">
        <is>
          <t>mien_xuatphat</t>
        </is>
      </c>
    </row>
    <row r="671">
      <c r="A671" s="271" t="n"/>
      <c r="B671" s="273" t="inlineStr">
        <is>
          <t>dich_den</t>
        </is>
      </c>
      <c r="C671" s="271" t="n"/>
      <c r="D671" s="271" t="inlineStr">
        <is>
          <t>dich_den</t>
        </is>
      </c>
      <c r="E671" s="271" t="n"/>
      <c r="F671" t="inlineStr">
        <is>
          <t>dich_den</t>
        </is>
      </c>
    </row>
    <row r="672">
      <c r="A672" s="271" t="n"/>
      <c r="B672" s="275" t="inlineStr">
        <is>
          <t>Báo cáo hiệu quả chuyến xe</t>
        </is>
      </c>
      <c r="C672" s="271" t="n"/>
      <c r="D672" s="271" t="inlineStr">
        <is>
          <t>របាយការណ៍ប្រសិទ្ធភាព chuyến យានយន្ត</t>
        </is>
      </c>
      <c r="E672" s="271" t="n"/>
      <c r="F672" t="inlineStr">
        <is>
          <t>របាយការណ៍ប្រសិទ្ធភាព chuyến យានយន្ត</t>
        </is>
      </c>
    </row>
    <row r="673">
      <c r="A673" s="271" t="n"/>
      <c r="B673" s="273" t="inlineStr">
        <is>
          <t>Ngày</t>
        </is>
      </c>
      <c r="C673" s="271" t="n"/>
      <c r="D673" s="271" t="inlineStr">
        <is>
          <t>កាលបរិច្ឆេទ</t>
        </is>
      </c>
      <c r="E673" s="271" t="n"/>
      <c r="F673" t="inlineStr">
        <is>
          <t>កាលបរិច្ឆេទ</t>
        </is>
      </c>
    </row>
    <row r="674">
      <c r="A674" s="271" t="n"/>
      <c r="B674" s="273" t="inlineStr">
        <is>
          <t>Chuyến xe</t>
        </is>
      </c>
      <c r="C674" s="271" t="n"/>
      <c r="D674" s="271" t="inlineStr">
        <is>
          <t>Chuyến យានយន្ត</t>
        </is>
      </c>
      <c r="E674" s="271" t="n"/>
      <c r="F674" t="inlineStr">
        <is>
          <t>Chuyến យានយន្ត</t>
        </is>
      </c>
    </row>
    <row r="675">
      <c r="A675" s="271" t="n"/>
      <c r="B675" s="273" t="inlineStr">
        <is>
          <t>Chuyển xe rỗng</t>
        </is>
      </c>
      <c r="C675" s="271" t="n"/>
      <c r="D675" s="271" t="inlineStr">
        <is>
          <t>Chuyển យានយន្ត rỗng</t>
        </is>
      </c>
      <c r="E675" s="271" t="n"/>
      <c r="F675" t="inlineStr">
        <is>
          <t>Chuyển យានយន្ត rỗng</t>
        </is>
      </c>
    </row>
    <row r="676">
      <c r="A676" s="271" t="n"/>
      <c r="B676" s="273" t="inlineStr">
        <is>
          <t>Biển số xe</t>
        </is>
      </c>
      <c r="C676" s="271" t="n"/>
      <c r="D676" s="271" t="inlineStr">
        <is>
          <t>ស្លាកលេខរថយន្ត</t>
        </is>
      </c>
      <c r="E676" s="271" t="n"/>
      <c r="F676" t="inlineStr">
        <is>
          <t>ស្លាកលេខរថយន្ត</t>
        </is>
      </c>
    </row>
    <row r="677">
      <c r="A677" s="271" t="n"/>
      <c r="B677" s="273" t="inlineStr">
        <is>
          <t>Loại phương tiện</t>
        </is>
      </c>
      <c r="C677" s="271" t="n"/>
      <c r="D677" s="271" t="inlineStr">
        <is>
          <t>ប្រភេទ phương tiện</t>
        </is>
      </c>
      <c r="E677" s="271" t="n"/>
      <c r="F677" t="inlineStr">
        <is>
          <t>ប្រភេទ phương tiện</t>
        </is>
      </c>
    </row>
    <row r="678">
      <c r="A678" s="271" t="n"/>
      <c r="B678" s="273" t="inlineStr">
        <is>
          <t>User lái xe</t>
        </is>
      </c>
      <c r="C678" s="271" t="n"/>
      <c r="D678" s="271" t="inlineStr">
        <is>
          <t>User អ្នកបើកបរ</t>
        </is>
      </c>
      <c r="E678" s="271" t="n"/>
      <c r="F678" t="inlineStr">
        <is>
          <t>User អ្នកបើកបរ</t>
        </is>
      </c>
    </row>
    <row r="679">
      <c r="A679" s="271" t="n"/>
      <c r="B679" s="273" t="inlineStr">
        <is>
          <t>Loại hành trình</t>
        </is>
      </c>
      <c r="C679" s="271" t="n"/>
      <c r="D679" s="271" t="inlineStr">
        <is>
          <t>ប្រភេទ hành trình</t>
        </is>
      </c>
      <c r="E679" s="271" t="n"/>
      <c r="F679" t="inlineStr">
        <is>
          <t>ប្រភេទ hành trình</t>
        </is>
      </c>
    </row>
    <row r="680">
      <c r="A680" s="271" t="n"/>
      <c r="B680" s="273" t="inlineStr">
        <is>
          <t>Tỷ lệ kết nối chuyến xe</t>
        </is>
      </c>
      <c r="C680" s="271" t="n"/>
      <c r="D680" s="271" t="inlineStr">
        <is>
          <t>អត្រា kết nối chuyến យានយន្ត</t>
        </is>
      </c>
      <c r="E680" s="271" t="n"/>
      <c r="F680" t="inlineStr">
        <is>
          <t>អត្រា kết nối chuyến យានយន្ត</t>
        </is>
      </c>
    </row>
    <row r="681">
      <c r="A681" s="271" t="n"/>
      <c r="B681" s="273" t="inlineStr">
        <is>
          <t>Trọng tải tính cước</t>
        </is>
      </c>
      <c r="C681" s="271" t="n"/>
      <c r="D681" s="271" t="inlineStr">
        <is>
          <t>Trọng tải tính cước</t>
        </is>
      </c>
      <c r="E681" s="271" t="n"/>
      <c r="F681" t="inlineStr">
        <is>
          <t>Trọng tải tính cước</t>
        </is>
      </c>
    </row>
    <row r="682">
      <c r="A682" s="271" t="n"/>
      <c r="B682" s="273" t="inlineStr">
        <is>
          <t>Trọng tải xe</t>
        </is>
      </c>
      <c r="C682" s="271" t="n"/>
      <c r="D682" s="271" t="inlineStr">
        <is>
          <t>Trọng tải យានយន្ត</t>
        </is>
      </c>
      <c r="E682" s="271" t="n"/>
      <c r="F682" t="inlineStr">
        <is>
          <t>Trọng tải យានយន្ត</t>
        </is>
      </c>
    </row>
    <row r="683">
      <c r="A683" s="271" t="n"/>
      <c r="B683" s="273" t="inlineStr">
        <is>
          <t>Nhóm nấc trọng tải</t>
        </is>
      </c>
      <c r="C683" s="271" t="n"/>
      <c r="D683" s="271" t="inlineStr">
        <is>
          <t>ក្រុម nấc trọng tải</t>
        </is>
      </c>
      <c r="E683" s="271" t="n"/>
      <c r="F683" t="inlineStr">
        <is>
          <t>ក្រុម nấc trọng tải</t>
        </is>
      </c>
    </row>
    <row r="684">
      <c r="A684" s="271" t="n"/>
      <c r="B684" s="273" t="inlineStr">
        <is>
          <t>Trọng lượng kinh doanh theo đơn</t>
        </is>
      </c>
      <c r="C684" s="271" t="n"/>
      <c r="D684" s="271" t="inlineStr">
        <is>
          <t>ទម្ងន់ kinh doanh theo បញ្ញើ</t>
        </is>
      </c>
      <c r="E684" s="271" t="n"/>
      <c r="F684" t="inlineStr">
        <is>
          <t>ទម្ងន់ kinh doanh theo បញ្ញើ</t>
        </is>
      </c>
    </row>
    <row r="685">
      <c r="A685" s="271" t="n"/>
      <c r="B685" s="273" t="inlineStr">
        <is>
          <t>Trọng lượng bưu chính kết nối</t>
        </is>
      </c>
      <c r="C685" s="271" t="n"/>
      <c r="D685" s="271" t="inlineStr">
        <is>
          <t>ទម្ងន់ bưu chính kết nối</t>
        </is>
      </c>
      <c r="E685" s="271" t="n"/>
      <c r="F685" t="inlineStr">
        <is>
          <t>ទម្ងន់ bưu chính kết nối</t>
        </is>
      </c>
    </row>
    <row r="686">
      <c r="A686" s="271" t="n"/>
      <c r="B686" s="273" t="inlineStr">
        <is>
          <t>Trọng lượng bưu chính phát hàng</t>
        </is>
      </c>
      <c r="C686" s="271" t="n"/>
      <c r="D686" s="271" t="inlineStr">
        <is>
          <t>ទម្ងន់ bưu chính ដឹកចែក ទំនិញ</t>
        </is>
      </c>
      <c r="E686" s="271" t="n"/>
      <c r="F686" t="inlineStr">
        <is>
          <t>ទម្ងន់ bưu chính ដឹកចែក ទំនិញ</t>
        </is>
      </c>
    </row>
    <row r="687">
      <c r="A687" s="271" t="n"/>
      <c r="B687" s="273" t="inlineStr">
        <is>
          <t>Tổng trọng lượng</t>
        </is>
      </c>
      <c r="C687" s="271" t="n"/>
      <c r="D687" s="271" t="inlineStr">
        <is>
          <t>ចំនួនទម្ងន់សរុប</t>
        </is>
      </c>
      <c r="E687" s="271" t="n"/>
      <c r="F687" t="inlineStr">
        <is>
          <t>ចំនួនទម្ងន់សរុប</t>
        </is>
      </c>
    </row>
    <row r="688">
      <c r="A688" s="271" t="n"/>
      <c r="B688" s="273" t="inlineStr">
        <is>
          <t>Km kinh doanh</t>
        </is>
      </c>
      <c r="C688" s="271" t="n"/>
      <c r="D688" s="271" t="inlineStr">
        <is>
          <t>Km kinh doanh</t>
        </is>
      </c>
      <c r="E688" s="271" t="n"/>
      <c r="F688" t="inlineStr">
        <is>
          <t>Km kinh doanh</t>
        </is>
      </c>
    </row>
    <row r="689">
      <c r="A689" s="271" t="n"/>
      <c r="B689" s="273" t="inlineStr">
        <is>
          <t>Km bưu chính kết nối phê duyệt</t>
        </is>
      </c>
      <c r="C689" s="271" t="n"/>
      <c r="D689" s="271" t="inlineStr">
        <is>
          <t>Km bưu chính kết nối អនុម័ត</t>
        </is>
      </c>
      <c r="E689" s="271" t="n"/>
      <c r="F689" t="inlineStr">
        <is>
          <t>Km bưu chính kết nối អនុម័ត</t>
        </is>
      </c>
    </row>
    <row r="690">
      <c r="A690" s="271" t="n"/>
      <c r="B690" s="273" t="inlineStr">
        <is>
          <t>Km bưu chính phát hàng</t>
        </is>
      </c>
      <c r="C690" s="271" t="n"/>
      <c r="D690" s="271" t="inlineStr">
        <is>
          <t>Km bưu chính ដឹកចែក ទំនិញ</t>
        </is>
      </c>
      <c r="E690" s="271" t="n"/>
      <c r="F690" t="inlineStr">
        <is>
          <t>Km bưu chính ដឹកចែក ទំនិញ</t>
        </is>
      </c>
    </row>
    <row r="691">
      <c r="A691" s="271" t="n"/>
      <c r="B691" s="273" t="inlineStr">
        <is>
          <t>Km rỗng</t>
        </is>
      </c>
      <c r="C691" s="271" t="n"/>
      <c r="D691" s="271" t="inlineStr">
        <is>
          <t>Km rỗng</t>
        </is>
      </c>
      <c r="E691" s="271" t="n"/>
      <c r="F691" t="inlineStr">
        <is>
          <t>Km rỗng</t>
        </is>
      </c>
    </row>
    <row r="692">
      <c r="A692" s="271" t="n"/>
      <c r="B692" s="273" t="inlineStr">
        <is>
          <t>Tổng km</t>
        </is>
      </c>
      <c r="C692" s="271" t="n"/>
      <c r="D692" s="271" t="inlineStr">
        <is>
          <t>ចំនួនkmសរុប</t>
        </is>
      </c>
      <c r="E692" s="271" t="n"/>
      <c r="F692" t="inlineStr">
        <is>
          <t>ចំនួនkmសរុប</t>
        </is>
      </c>
    </row>
    <row r="693">
      <c r="A693" s="271" t="n"/>
      <c r="B693" s="273" t="inlineStr">
        <is>
          <t>Doanh thu kinh doanh (USD)</t>
        </is>
      </c>
      <c r="C693" s="271" t="n"/>
      <c r="D693" s="271" t="inlineStr">
        <is>
          <t>Doanh thu kinh doanh (USD)</t>
        </is>
      </c>
      <c r="E693" s="271" t="n"/>
      <c r="F693" t="inlineStr">
        <is>
          <t>Doanh thu kinh doanh (USD)</t>
        </is>
      </c>
    </row>
    <row r="694">
      <c r="A694" s="271" t="n"/>
      <c r="B694" s="273" t="inlineStr">
        <is>
          <t>Chi phí kết nối (USD)</t>
        </is>
      </c>
      <c r="C694" s="271" t="n"/>
      <c r="D694" s="271" t="inlineStr">
        <is>
          <t>ថ្លៃចំណាយតភ្ជាប់ (USD)</t>
        </is>
      </c>
      <c r="E694" s="271" t="n"/>
      <c r="F694" t="inlineStr">
        <is>
          <t>ថ្លៃចំណាយតភ្ជាប់ (USD)</t>
        </is>
      </c>
    </row>
    <row r="695">
      <c r="A695" s="271" t="n"/>
      <c r="B695" s="273" t="inlineStr">
        <is>
          <t>Chi phí lương lái (USD)</t>
        </is>
      </c>
      <c r="C695" s="271" t="n"/>
      <c r="D695" s="271" t="inlineStr">
        <is>
          <t>ថ្លៃប្រាក់ខែអ្នកបើកបរ (USD)</t>
        </is>
      </c>
      <c r="E695" s="271" t="n"/>
      <c r="F695" t="inlineStr">
        <is>
          <t>ថ្លៃប្រាក់ខែអ្នកបើកបរ (USD)</t>
        </is>
      </c>
    </row>
    <row r="696">
      <c r="A696" s="271" t="n"/>
      <c r="B696" s="273" t="inlineStr">
        <is>
          <t>Chi phí dầu (USD)</t>
        </is>
      </c>
      <c r="C696" s="271" t="n"/>
      <c r="D696" s="271" t="inlineStr">
        <is>
          <t>ថ្លៃប្រេងឥន្ធនៈ (USD)</t>
        </is>
      </c>
      <c r="E696" s="271" t="n"/>
      <c r="F696" t="inlineStr">
        <is>
          <t>ថ្លៃប្រេងឥន្ធនៈ (USD)</t>
        </is>
      </c>
    </row>
    <row r="697">
      <c r="A697" s="271" t="n"/>
      <c r="B697" s="273" t="inlineStr">
        <is>
          <t>Chi phí thuê xe (USD)</t>
        </is>
      </c>
      <c r="C697" s="271" t="n"/>
      <c r="D697" s="271" t="inlineStr">
        <is>
          <t>Chi phí thuê យានយន្ត (USD)</t>
        </is>
      </c>
      <c r="E697" s="271" t="n"/>
      <c r="F697" t="inlineStr">
        <is>
          <t>Chi phí thuê យានយន្ត (USD)</t>
        </is>
      </c>
    </row>
    <row r="698">
      <c r="A698" s="271" t="n"/>
      <c r="B698" s="273" t="inlineStr">
        <is>
          <t>Đơn giá dầu (USD)</t>
        </is>
      </c>
      <c r="C698" s="271" t="n"/>
      <c r="D698" s="271" t="inlineStr">
        <is>
          <t>បញ្ញើ giá dầu (USD)</t>
        </is>
      </c>
      <c r="E698" s="271" t="n"/>
      <c r="F698" t="inlineStr">
        <is>
          <t>បញ្ញើ giá dầu (USD)</t>
        </is>
      </c>
    </row>
    <row r="699">
      <c r="A699" s="271" t="n"/>
      <c r="B699" s="273" t="inlineStr">
        <is>
          <t>Định mức lite</t>
        </is>
      </c>
      <c r="C699" s="271" t="n"/>
      <c r="D699" s="271" t="inlineStr">
        <is>
          <t>កម្រិតកំណត់ប្រេងឥន្ធនៈ (លីត្រ)</t>
        </is>
      </c>
      <c r="E699" s="271" t="n"/>
      <c r="F699" t="inlineStr">
        <is>
          <t>កម្រិតកំណត់ប្រេងឥន្ធនៈ (លីត្រ)</t>
        </is>
      </c>
    </row>
    <row r="700">
      <c r="A700" s="271" t="n"/>
      <c r="B700" s="273" t="inlineStr">
        <is>
          <t>Chi phí khấu hao (USD)</t>
        </is>
      </c>
      <c r="C700" s="271" t="n"/>
      <c r="D700" s="271" t="inlineStr">
        <is>
          <t>ថ្លៃរំលស់ (USD)</t>
        </is>
      </c>
      <c r="E700" s="271" t="n"/>
      <c r="F700" t="inlineStr">
        <is>
          <t>ថ្លៃរំលស់ (USD)</t>
        </is>
      </c>
    </row>
    <row r="701">
      <c r="A701" s="271" t="n"/>
      <c r="B701" s="273" t="inlineStr">
        <is>
          <t>Vé cầu đường (USD)</t>
        </is>
      </c>
      <c r="C701" s="271" t="n"/>
      <c r="D701" s="271" t="inlineStr">
        <is>
          <t>ថ្លៃសំបុត្រផ្លូវ/ស្ពាន (USD)</t>
        </is>
      </c>
      <c r="E701" s="271" t="n"/>
      <c r="F701" t="inlineStr">
        <is>
          <t>ថ្លៃសំបុត្រផ្លូវ/ស្ពាន (USD)</t>
        </is>
      </c>
    </row>
    <row r="702">
      <c r="A702" s="271" t="n"/>
      <c r="B702" s="273" t="inlineStr">
        <is>
          <t>Chi phí rửa xe (USD)</t>
        </is>
      </c>
      <c r="C702" s="271" t="n"/>
      <c r="D702" s="271" t="inlineStr">
        <is>
          <t>Chi phí rửa យានយន្ត (USD)</t>
        </is>
      </c>
      <c r="E702" s="271" t="n"/>
      <c r="F702" t="inlineStr">
        <is>
          <t>Chi phí rửa យានយន្ត (USD)</t>
        </is>
      </c>
    </row>
    <row r="703">
      <c r="A703" s="271" t="n"/>
      <c r="B703" s="273" t="inlineStr">
        <is>
          <t>Chi phí sửa chữa (USD)</t>
        </is>
      </c>
      <c r="C703" s="271" t="n"/>
      <c r="D703" s="271" t="inlineStr">
        <is>
          <t>ថ្លៃជួសជុល (USD)</t>
        </is>
      </c>
      <c r="E703" s="271" t="n"/>
      <c r="F703" t="inlineStr">
        <is>
          <t>ថ្លៃជួសជុល (USD)</t>
        </is>
      </c>
    </row>
    <row r="704">
      <c r="A704" s="271" t="n"/>
      <c r="B704" s="273" t="inlineStr">
        <is>
          <t>Đơn giá Km (USD)</t>
        </is>
      </c>
      <c r="C704" s="271" t="n"/>
      <c r="D704" s="271" t="inlineStr">
        <is>
          <t>បញ្ញើ giá Km (USD)</t>
        </is>
      </c>
      <c r="E704" s="271" t="n"/>
      <c r="F704" t="inlineStr">
        <is>
          <t>បញ្ញើ giá Km (USD)</t>
        </is>
      </c>
    </row>
    <row r="705">
      <c r="A705" s="271" t="n"/>
      <c r="B705" s="273" t="inlineStr">
        <is>
          <t>Lương chuyên cần +ăn ca + điện thoại (USD)</t>
        </is>
      </c>
      <c r="C705" s="271" t="n"/>
      <c r="D705" s="271" t="inlineStr">
        <is>
          <t>Lương chuyên cần +ăn វេនការងារ + điện thoại (USD)</t>
        </is>
      </c>
      <c r="E705" s="271" t="n"/>
      <c r="F705" t="inlineStr">
        <is>
          <t>Lương chuyên cần +ăn វេនការងារ + điện thoại (USD)</t>
        </is>
      </c>
    </row>
    <row r="706">
      <c r="A706" s="271" t="n"/>
      <c r="B706" s="273" t="inlineStr">
        <is>
          <t>Chi phí quản lý công ty (USD)</t>
        </is>
      </c>
      <c r="C706" s="271" t="n"/>
      <c r="D706" s="271" t="inlineStr">
        <is>
          <t>Chi phí គ្រប់គ្រង công ty (USD)</t>
        </is>
      </c>
      <c r="E706" s="271" t="n"/>
      <c r="F706" t="inlineStr">
        <is>
          <t>Chi phí គ្រប់គ្រង công ty (USD)</t>
        </is>
      </c>
    </row>
    <row r="707">
      <c r="A707" s="271" t="n"/>
      <c r="B707" s="273" t="inlineStr">
        <is>
          <t>Tổng chi phí (USD)</t>
        </is>
      </c>
      <c r="C707" s="271" t="n"/>
      <c r="D707" s="271" t="inlineStr">
        <is>
          <t>ចំនួនchi phí (USD)សរុប</t>
        </is>
      </c>
      <c r="E707" s="271" t="n"/>
      <c r="F707" t="inlineStr">
        <is>
          <t>ចំនួនchi phí (USD)សរុប</t>
        </is>
      </c>
    </row>
    <row r="708">
      <c r="A708" s="271" t="n"/>
      <c r="B708" s="291" t="inlineStr">
        <is>
          <t>Báo cáo xuất sạch tại kho vùng tỉnh</t>
        </is>
      </c>
      <c r="C708" s="271" t="n"/>
      <c r="D708" s="271" t="inlineStr">
        <is>
          <t>របាយការណ៍xuất sạch tại ឃ្លាំង តំបន់ ខេត្ត</t>
        </is>
      </c>
      <c r="E708" s="271" t="n"/>
      <c r="F708" t="inlineStr">
        <is>
          <t>របាយការណ៍xuất sạch tại ឃ្លាំង តំបន់ ខេត្ត</t>
        </is>
      </c>
    </row>
    <row r="709">
      <c r="A709" s="271" t="n"/>
      <c r="B709" s="273" t="inlineStr">
        <is>
          <t>Ma phieu gui</t>
        </is>
      </c>
      <c r="C709" s="271" t="n"/>
      <c r="D709" s="271" t="inlineStr">
        <is>
          <t>Ma phieu gui</t>
        </is>
      </c>
      <c r="E709" s="271" t="n"/>
      <c r="F709" t="inlineStr">
        <is>
          <t>Ma phieu gui</t>
        </is>
      </c>
    </row>
    <row r="710">
      <c r="A710" s="271" t="n"/>
      <c r="B710" s="273" t="inlineStr">
        <is>
          <t>Ma tai</t>
        </is>
      </c>
      <c r="C710" s="271" t="n"/>
      <c r="D710" s="271" t="inlineStr">
        <is>
          <t>Ma tai</t>
        </is>
      </c>
      <c r="E710" s="271" t="n"/>
      <c r="F710" t="inlineStr">
        <is>
          <t>Ma tai</t>
        </is>
      </c>
    </row>
    <row r="711">
      <c r="A711" s="271" t="n"/>
      <c r="B711" s="273" t="inlineStr">
        <is>
          <t>Don hoan</t>
        </is>
      </c>
      <c r="C711" s="271" t="n"/>
      <c r="D711" s="271" t="inlineStr">
        <is>
          <t>Don hoan</t>
        </is>
      </c>
      <c r="E711" s="271" t="n"/>
      <c r="F711" t="inlineStr">
        <is>
          <t>Don hoan</t>
        </is>
      </c>
    </row>
    <row r="712">
      <c r="A712" s="271" t="n"/>
      <c r="B712" s="273" t="inlineStr">
        <is>
          <t>Loai hang</t>
        </is>
      </c>
      <c r="C712" s="271" t="n"/>
      <c r="D712" s="271" t="inlineStr">
        <is>
          <t>Loai hang</t>
        </is>
      </c>
      <c r="E712" s="271" t="n"/>
      <c r="F712" t="inlineStr">
        <is>
          <t>Loai hang</t>
        </is>
      </c>
    </row>
    <row r="713">
      <c r="A713" s="271" t="n"/>
      <c r="B713" s="273" t="inlineStr">
        <is>
          <t>Khoi luong</t>
        </is>
      </c>
      <c r="C713" s="271" t="n"/>
      <c r="D713" s="271" t="inlineStr">
        <is>
          <t>Khoi luong</t>
        </is>
      </c>
      <c r="E713" s="271" t="n"/>
      <c r="F713" t="inlineStr">
        <is>
          <t>Khoi luong</t>
        </is>
      </c>
    </row>
    <row r="714">
      <c r="A714" s="271" t="n"/>
      <c r="B714" s="273" t="inlineStr">
        <is>
          <t>Buu cuc nhan</t>
        </is>
      </c>
      <c r="C714" s="271" t="n"/>
      <c r="D714" s="271" t="inlineStr">
        <is>
          <t>Buu cuc nhan</t>
        </is>
      </c>
      <c r="E714" s="271" t="n"/>
      <c r="F714" t="inlineStr">
        <is>
          <t>Buu cuc nhan</t>
        </is>
      </c>
    </row>
    <row r="715">
      <c r="A715" s="271" t="n"/>
      <c r="B715" s="273" t="inlineStr">
        <is>
          <t>Chi nhanh nhan</t>
        </is>
      </c>
      <c r="C715" s="271" t="n"/>
      <c r="D715" s="271" t="inlineStr">
        <is>
          <t>Chi nhanh nhan</t>
        </is>
      </c>
      <c r="E715" s="271" t="n"/>
      <c r="F715" t="inlineStr">
        <is>
          <t>Chi nhanh nhan</t>
        </is>
      </c>
    </row>
    <row r="716">
      <c r="A716" s="271" t="n"/>
      <c r="B716" s="273" t="inlineStr">
        <is>
          <t>Buu cuc phat</t>
        </is>
      </c>
      <c r="C716" s="271" t="n"/>
      <c r="D716" s="271" t="inlineStr">
        <is>
          <t>Buu cuc phat</t>
        </is>
      </c>
      <c r="E716" s="271" t="n"/>
      <c r="F716" t="inlineStr">
        <is>
          <t>Buu cuc phat</t>
        </is>
      </c>
    </row>
    <row r="717">
      <c r="A717" s="271" t="n"/>
      <c r="B717" s="273" t="inlineStr">
        <is>
          <t>Chi nhanh phat</t>
        </is>
      </c>
      <c r="C717" s="271" t="n"/>
      <c r="D717" s="271" t="inlineStr">
        <is>
          <t>Chi nhanh phat</t>
        </is>
      </c>
      <c r="E717" s="271" t="n"/>
      <c r="F717" t="inlineStr">
        <is>
          <t>Chi nhanh phat</t>
        </is>
      </c>
    </row>
    <row r="718">
      <c r="A718" s="271" t="n"/>
      <c r="B718" s="273" t="inlineStr">
        <is>
          <t>Don vi khai thac</t>
        </is>
      </c>
      <c r="C718" s="271" t="n"/>
      <c r="D718" s="271" t="inlineStr">
        <is>
          <t>Don vi khai thac</t>
        </is>
      </c>
      <c r="E718" s="271" t="n"/>
      <c r="F718" t="inlineStr">
        <is>
          <t>Don vi khai thac</t>
        </is>
      </c>
    </row>
    <row r="719">
      <c r="A719" s="271" t="n"/>
      <c r="B719" s="273" t="inlineStr">
        <is>
          <t>Ma dich vu</t>
        </is>
      </c>
      <c r="C719" s="271" t="n"/>
      <c r="D719" s="271" t="inlineStr">
        <is>
          <t>Ma dich vu</t>
        </is>
      </c>
      <c r="E719" s="271" t="n"/>
      <c r="F719" t="inlineStr">
        <is>
          <t>Ma dich vu</t>
        </is>
      </c>
    </row>
    <row r="720">
      <c r="A720" s="271" t="n"/>
      <c r="B720" s="273" t="inlineStr">
        <is>
          <t>Nhom dich vu</t>
        </is>
      </c>
      <c r="C720" s="271" t="n"/>
      <c r="D720" s="271" t="inlineStr">
        <is>
          <t>Nhom dich vu</t>
        </is>
      </c>
      <c r="E720" s="271" t="n"/>
      <c r="F720" t="inlineStr">
        <is>
          <t>Nhom dich vu</t>
        </is>
      </c>
    </row>
    <row r="721">
      <c r="A721" s="271" t="n"/>
      <c r="B721" s="273" t="inlineStr">
        <is>
          <t>Thoi gian nhap doanh thu</t>
        </is>
      </c>
      <c r="C721" s="271" t="n"/>
      <c r="D721" s="271" t="inlineStr">
        <is>
          <t>Thoi gian nhap doanh thu</t>
        </is>
      </c>
      <c r="E721" s="271" t="n"/>
      <c r="F721" t="inlineStr">
        <is>
          <t>Thoi gian nhap doanh thu</t>
        </is>
      </c>
    </row>
    <row r="722">
      <c r="A722" s="271" t="n"/>
      <c r="B722" s="273" t="inlineStr">
        <is>
          <t>Thoi gian nhan</t>
        </is>
      </c>
      <c r="C722" s="271" t="n"/>
      <c r="D722" s="271" t="inlineStr">
        <is>
          <t>Thoi gian nhan</t>
        </is>
      </c>
      <c r="E722" s="271" t="n"/>
      <c r="F722" t="inlineStr">
        <is>
          <t>Thoi gian nhan</t>
        </is>
      </c>
    </row>
    <row r="723">
      <c r="A723" s="271" t="n"/>
      <c r="B723" s="273" t="inlineStr">
        <is>
          <t>Thoi gian xuat thuc te</t>
        </is>
      </c>
      <c r="C723" s="271" t="n"/>
      <c r="D723" s="271" t="inlineStr">
        <is>
          <t>Thoi gian xuat thuc te</t>
        </is>
      </c>
      <c r="E723" s="271" t="n"/>
      <c r="F723" t="inlineStr">
        <is>
          <t>Thoi gian xuat thuc te</t>
        </is>
      </c>
    </row>
    <row r="724">
      <c r="A724" s="271" t="n"/>
      <c r="B724" s="273" t="inlineStr">
        <is>
          <t>Thoi gian phai xuat</t>
        </is>
      </c>
      <c r="C724" s="271" t="n"/>
      <c r="D724" s="271" t="inlineStr">
        <is>
          <t>Thoi gian phai xuat</t>
        </is>
      </c>
      <c r="E724" s="271" t="n"/>
      <c r="F724" t="inlineStr">
        <is>
          <t>Thoi gian phai xuat</t>
        </is>
      </c>
    </row>
    <row r="725">
      <c r="A725" s="271" t="n"/>
      <c r="B725" s="273" t="inlineStr">
        <is>
          <t>Buu cuc ban giao den</t>
        </is>
      </c>
      <c r="C725" s="271" t="n"/>
      <c r="D725" s="271" t="inlineStr">
        <is>
          <t>Buu cuc ban giao den</t>
        </is>
      </c>
      <c r="E725" s="271" t="n"/>
      <c r="F725" t="inlineStr">
        <is>
          <t>Buu cuc ban giao den</t>
        </is>
      </c>
    </row>
    <row r="726">
      <c r="A726" s="271" t="n"/>
      <c r="B726" s="273" t="inlineStr">
        <is>
          <t>Ma chuyen xe</t>
        </is>
      </c>
      <c r="C726" s="271" t="n"/>
      <c r="D726" s="271" t="inlineStr">
        <is>
          <t>Ma chuyen យានយន្ត</t>
        </is>
      </c>
      <c r="E726" s="271" t="n"/>
      <c r="F726" t="inlineStr">
        <is>
          <t>Ma chuyen យានយន្ត</t>
        </is>
      </c>
    </row>
    <row r="727">
      <c r="A727" s="271" t="n"/>
      <c r="B727" s="273" t="inlineStr">
        <is>
          <t>Ten tuyen</t>
        </is>
      </c>
      <c r="C727" s="271" t="n"/>
      <c r="D727" s="271" t="inlineStr">
        <is>
          <t>Ten tuyen</t>
        </is>
      </c>
      <c r="E727" s="271" t="n"/>
      <c r="F727" t="inlineStr">
        <is>
          <t>Ten tuyen</t>
        </is>
      </c>
    </row>
    <row r="728">
      <c r="A728" s="271" t="n"/>
      <c r="B728" s="273" t="inlineStr">
        <is>
          <t>Thoi gian check out</t>
        </is>
      </c>
      <c r="C728" s="271" t="n"/>
      <c r="D728" s="271" t="inlineStr">
        <is>
          <t>Thoi gian check out</t>
        </is>
      </c>
      <c r="E728" s="271" t="n"/>
      <c r="F728" t="inlineStr">
        <is>
          <t>Thoi gian check out</t>
        </is>
      </c>
    </row>
    <row r="729">
      <c r="A729" s="271" t="n"/>
      <c r="B729" s="273" t="inlineStr">
        <is>
          <t>Xuat dung</t>
        </is>
      </c>
      <c r="C729" s="271" t="n"/>
      <c r="D729" s="271" t="inlineStr">
        <is>
          <t>Xuat dung</t>
        </is>
      </c>
      <c r="E729" s="271" t="n"/>
      <c r="F729" t="inlineStr">
        <is>
          <t>Xuat dung</t>
        </is>
      </c>
    </row>
    <row r="730">
      <c r="A730" s="271" t="n"/>
      <c r="B730" s="273" t="inlineStr">
        <is>
          <t>Hanh trinh</t>
        </is>
      </c>
      <c r="C730" s="271" t="n"/>
      <c r="D730" s="271" t="inlineStr">
        <is>
          <t>Hanh trinh</t>
        </is>
      </c>
      <c r="E730" s="271" t="n"/>
      <c r="F730" t="inlineStr">
        <is>
          <t>Hanh trinh</t>
        </is>
      </c>
    </row>
    <row r="731">
      <c r="A731" s="271" t="n"/>
      <c r="B731" s="273" t="inlineStr">
        <is>
          <t>Chi nhanh khai thac</t>
        </is>
      </c>
      <c r="C731" s="271" t="n"/>
      <c r="D731" s="271" t="inlineStr">
        <is>
          <t>Chi nhanh khai thac</t>
        </is>
      </c>
      <c r="E731" s="271" t="n"/>
      <c r="F731" t="inlineStr">
        <is>
          <t>Chi nhanh khai thac</t>
        </is>
      </c>
    </row>
    <row r="732">
      <c r="A732" s="271" t="n"/>
      <c r="B732" s="273" t="inlineStr">
        <is>
          <t>Mien khai thac</t>
        </is>
      </c>
      <c r="C732" s="271" t="n"/>
      <c r="D732" s="271" t="inlineStr">
        <is>
          <t>Mien khai thac</t>
        </is>
      </c>
      <c r="E732" s="271" t="n"/>
      <c r="F732" t="inlineStr">
        <is>
          <t>Mien khai thac</t>
        </is>
      </c>
    </row>
    <row r="733">
      <c r="A733" s="271" t="n"/>
      <c r="B733" s="273" t="inlineStr">
        <is>
          <t>Loai hang kho</t>
        </is>
      </c>
      <c r="C733" s="271" t="n"/>
      <c r="D733" s="271" t="inlineStr">
        <is>
          <t>Loai hang ឃ្លាំង</t>
        </is>
      </c>
      <c r="E733" s="271" t="n"/>
      <c r="F733" t="inlineStr">
        <is>
          <t>Loai hang ឃ្លាំង</t>
        </is>
      </c>
    </row>
    <row r="734">
      <c r="A734" s="271" t="n"/>
      <c r="B734" s="273" t="inlineStr">
        <is>
          <t>Bien kiem soat</t>
        </is>
      </c>
      <c r="C734" s="271" t="n"/>
      <c r="D734" s="271" t="inlineStr">
        <is>
          <t>Bien kiem soat</t>
        </is>
      </c>
      <c r="E734" s="271" t="n"/>
      <c r="F734" t="inlineStr">
        <is>
          <t>Bien kiem soat</t>
        </is>
      </c>
    </row>
    <row r="735">
      <c r="A735" s="271" t="n"/>
      <c r="B735" s="273" t="inlineStr">
        <is>
          <t>Chuyen tuyen</t>
        </is>
      </c>
      <c r="C735" s="271" t="n"/>
      <c r="D735" s="271" t="inlineStr">
        <is>
          <t>Chuyen tuyen</t>
        </is>
      </c>
      <c r="E735" s="271" t="n"/>
      <c r="F735" t="inlineStr">
        <is>
          <t>Chuyen tuyen</t>
        </is>
      </c>
    </row>
    <row r="736">
      <c r="A736" s="271" t="n"/>
      <c r="B736" s="273" t="inlineStr">
        <is>
          <t>Buu cuc xe xa hoi</t>
        </is>
      </c>
      <c r="C736" s="271" t="n"/>
      <c r="D736" s="271" t="inlineStr">
        <is>
          <t>Buu cuc យានយន្ត xa hoi</t>
        </is>
      </c>
      <c r="E736" s="271" t="n"/>
      <c r="F736" t="inlineStr">
        <is>
          <t>Buu cuc យានយន្ត xa hoi</t>
        </is>
      </c>
    </row>
    <row r="737">
      <c r="A737" s="271" t="n"/>
      <c r="B737" s="273" t="inlineStr">
        <is>
          <t>Buu cuc chay 1 ca</t>
        </is>
      </c>
      <c r="C737" s="271" t="n"/>
      <c r="D737" s="271" t="inlineStr">
        <is>
          <t>Buu cuc chay 1 វេនការងារ</t>
        </is>
      </c>
      <c r="E737" s="271" t="n"/>
      <c r="F737" t="inlineStr">
        <is>
          <t>Buu cuc chay 1 វេនការងារ</t>
        </is>
      </c>
    </row>
    <row r="738">
      <c r="A738" s="271" t="n"/>
      <c r="B738" s="273" t="inlineStr">
        <is>
          <t>Deadline HTDT</t>
        </is>
      </c>
      <c r="C738" s="271" t="n"/>
      <c r="D738" s="271" t="inlineStr">
        <is>
          <t>Deadline HTDT</t>
        </is>
      </c>
      <c r="E738" s="271" t="n"/>
      <c r="F738" t="inlineStr">
        <is>
          <t>Deadline HTDT</t>
        </is>
      </c>
    </row>
    <row r="739">
      <c r="A739" s="271" t="n"/>
      <c r="B739" s="273" t="inlineStr">
        <is>
          <t>Danh gia HTDT</t>
        </is>
      </c>
      <c r="C739" s="271" t="n"/>
      <c r="D739" s="271" t="inlineStr">
        <is>
          <t>Danh gia HTDT</t>
        </is>
      </c>
      <c r="E739" s="271" t="n"/>
      <c r="F739" t="inlineStr">
        <is>
          <t>Danh gia HTDT</t>
        </is>
      </c>
    </row>
    <row r="740">
      <c r="A740" s="271" t="n"/>
      <c r="B740" s="273" t="inlineStr">
        <is>
          <t>Deadline CLDV</t>
        </is>
      </c>
      <c r="C740" s="271" t="n"/>
      <c r="D740" s="271" t="inlineStr">
        <is>
          <t>Deadline CLDV</t>
        </is>
      </c>
      <c r="E740" s="271" t="n"/>
      <c r="F740" t="inlineStr">
        <is>
          <t>Deadline CLDV</t>
        </is>
      </c>
    </row>
    <row r="741">
      <c r="A741" s="271" t="n"/>
      <c r="B741" s="273" t="inlineStr">
        <is>
          <t>Danh gia CLDV</t>
        </is>
      </c>
      <c r="C741" s="271" t="n"/>
      <c r="D741" s="271" t="inlineStr">
        <is>
          <t>Danh gia CLDV</t>
        </is>
      </c>
      <c r="E741" s="271" t="n"/>
      <c r="F741" t="inlineStr">
        <is>
          <t>Danh gia CLDV</t>
        </is>
      </c>
    </row>
    <row r="742">
      <c r="A742" s="271" t="n"/>
      <c r="B742" s="273" t="inlineStr">
        <is>
          <t>Ma chuyen xe don hang can xuat</t>
        </is>
      </c>
      <c r="C742" s="271" t="n"/>
      <c r="D742" s="271" t="inlineStr">
        <is>
          <t>Ma chuyen យានយន្ត don hang can xuat</t>
        </is>
      </c>
      <c r="E742" s="271" t="n"/>
      <c r="F742" t="inlineStr">
        <is>
          <t>Ma chuyen យានយន្ត don hang can xuat</t>
        </is>
      </c>
    </row>
    <row r="743">
      <c r="A743" s="271" t="n"/>
      <c r="B743" s="273" t="inlineStr">
        <is>
          <t>Ten tuyen xe don hang can xuat</t>
        </is>
      </c>
      <c r="C743" s="271" t="n"/>
      <c r="D743" s="271" t="inlineStr">
        <is>
          <t>Ten tuyen យានយន្ត don hang can xuat</t>
        </is>
      </c>
      <c r="E743" s="271" t="n"/>
      <c r="F743" t="inlineStr">
        <is>
          <t>Ten tuyen យានយន្ត don hang can xuat</t>
        </is>
      </c>
    </row>
    <row r="744">
      <c r="A744" s="271" t="n"/>
      <c r="B744" s="278" t="inlineStr">
        <is>
          <t>Báo cáo xuất sạch tại Trung Tâm Khai Thác</t>
        </is>
      </c>
      <c r="C744" s="271" t="n"/>
      <c r="D744" s="271" t="inlineStr">
        <is>
          <t>របាយការណ៍xuất sạch tại Trung Tâm Khai Thác</t>
        </is>
      </c>
      <c r="E744" s="271" t="n"/>
      <c r="F744" t="inlineStr">
        <is>
          <t>របាយការណ៍xuất sạch tại Trung Tâm Khai Thác</t>
        </is>
      </c>
    </row>
    <row r="745">
      <c r="A745" s="271" t="n"/>
      <c r="B745" s="273" t="inlineStr">
        <is>
          <t>Ma phieu gui</t>
        </is>
      </c>
      <c r="C745" s="271" t="n"/>
      <c r="D745" s="271" t="inlineStr">
        <is>
          <t>Ma phieu gui</t>
        </is>
      </c>
      <c r="E745" s="271" t="n"/>
      <c r="F745" t="inlineStr">
        <is>
          <t>Ma phieu gui</t>
        </is>
      </c>
    </row>
    <row r="746">
      <c r="A746" s="271" t="n"/>
      <c r="B746" s="273" t="inlineStr">
        <is>
          <t>Ma tai</t>
        </is>
      </c>
      <c r="C746" s="271" t="n"/>
      <c r="D746" s="271" t="inlineStr">
        <is>
          <t>Ma tai</t>
        </is>
      </c>
      <c r="E746" s="271" t="n"/>
      <c r="F746" t="inlineStr">
        <is>
          <t>Ma tai</t>
        </is>
      </c>
    </row>
    <row r="747">
      <c r="A747" s="271" t="n"/>
      <c r="B747" s="273" t="inlineStr">
        <is>
          <t>Don hoan</t>
        </is>
      </c>
      <c r="C747" s="271" t="n"/>
      <c r="D747" s="271" t="inlineStr">
        <is>
          <t>Don hoan</t>
        </is>
      </c>
      <c r="E747" s="271" t="n"/>
      <c r="F747" t="inlineStr">
        <is>
          <t>Don hoan</t>
        </is>
      </c>
    </row>
    <row r="748">
      <c r="A748" s="271" t="n"/>
      <c r="B748" s="273" t="inlineStr">
        <is>
          <t>Loai hang</t>
        </is>
      </c>
      <c r="C748" s="271" t="n"/>
      <c r="D748" s="271" t="inlineStr">
        <is>
          <t>Loai hang</t>
        </is>
      </c>
      <c r="E748" s="271" t="n"/>
      <c r="F748" t="inlineStr">
        <is>
          <t>Loai hang</t>
        </is>
      </c>
    </row>
    <row r="749">
      <c r="A749" s="271" t="n"/>
      <c r="B749" s="273" t="inlineStr">
        <is>
          <t>Khoi luong</t>
        </is>
      </c>
      <c r="C749" s="271" t="n"/>
      <c r="D749" s="271" t="inlineStr">
        <is>
          <t>Khoi luong</t>
        </is>
      </c>
      <c r="E749" s="271" t="n"/>
      <c r="F749" t="inlineStr">
        <is>
          <t>Khoi luong</t>
        </is>
      </c>
    </row>
    <row r="750">
      <c r="A750" s="271" t="n"/>
      <c r="B750" s="273" t="inlineStr">
        <is>
          <t>Buu cuc nhan</t>
        </is>
      </c>
      <c r="C750" s="271" t="n"/>
      <c r="D750" s="271" t="inlineStr">
        <is>
          <t>Buu cuc nhan</t>
        </is>
      </c>
      <c r="E750" s="271" t="n"/>
      <c r="F750" t="inlineStr">
        <is>
          <t>Buu cuc nhan</t>
        </is>
      </c>
    </row>
    <row r="751">
      <c r="A751" s="271" t="n"/>
      <c r="B751" s="273" t="inlineStr">
        <is>
          <t>Chi nhanh nhan</t>
        </is>
      </c>
      <c r="C751" s="271" t="n"/>
      <c r="D751" s="271" t="inlineStr">
        <is>
          <t>Chi nhanh nhan</t>
        </is>
      </c>
      <c r="E751" s="271" t="n"/>
      <c r="F751" t="inlineStr">
        <is>
          <t>Chi nhanh nhan</t>
        </is>
      </c>
    </row>
    <row r="752">
      <c r="A752" s="271" t="n"/>
      <c r="B752" s="273" t="inlineStr">
        <is>
          <t>Buu cuc phat</t>
        </is>
      </c>
      <c r="C752" s="271" t="n"/>
      <c r="D752" s="271" t="inlineStr">
        <is>
          <t>Buu cuc phat</t>
        </is>
      </c>
      <c r="E752" s="271" t="n"/>
      <c r="F752" t="inlineStr">
        <is>
          <t>Buu cuc phat</t>
        </is>
      </c>
    </row>
    <row r="753">
      <c r="A753" s="271" t="n"/>
      <c r="B753" s="273" t="inlineStr">
        <is>
          <t>Chi nhanh phat</t>
        </is>
      </c>
      <c r="C753" s="271" t="n"/>
      <c r="D753" s="271" t="inlineStr">
        <is>
          <t>Chi nhanh phat</t>
        </is>
      </c>
      <c r="E753" s="271" t="n"/>
      <c r="F753" t="inlineStr">
        <is>
          <t>Chi nhanh phat</t>
        </is>
      </c>
    </row>
    <row r="754">
      <c r="A754" s="271" t="n"/>
      <c r="B754" s="273" t="inlineStr">
        <is>
          <t>Don vi khai thac</t>
        </is>
      </c>
      <c r="C754" s="271" t="n"/>
      <c r="D754" s="271" t="inlineStr">
        <is>
          <t>Don vi khai thac</t>
        </is>
      </c>
      <c r="E754" s="271" t="n"/>
      <c r="F754" t="inlineStr">
        <is>
          <t>Don vi khai thac</t>
        </is>
      </c>
    </row>
    <row r="755">
      <c r="A755" s="271" t="n"/>
      <c r="B755" s="273" t="inlineStr">
        <is>
          <t>Ma dich vu</t>
        </is>
      </c>
      <c r="C755" s="271" t="n"/>
      <c r="D755" s="271" t="inlineStr">
        <is>
          <t>Ma dich vu</t>
        </is>
      </c>
      <c r="E755" s="271" t="n"/>
      <c r="F755" t="inlineStr">
        <is>
          <t>Ma dich vu</t>
        </is>
      </c>
    </row>
    <row r="756">
      <c r="A756" s="271" t="n"/>
      <c r="B756" s="273" t="inlineStr">
        <is>
          <t>Nhom dich vu</t>
        </is>
      </c>
      <c r="C756" s="271" t="n"/>
      <c r="D756" s="271" t="inlineStr">
        <is>
          <t>Nhom dich vu</t>
        </is>
      </c>
      <c r="E756" s="271" t="n"/>
      <c r="F756" t="inlineStr">
        <is>
          <t>Nhom dich vu</t>
        </is>
      </c>
    </row>
    <row r="757">
      <c r="A757" s="271" t="n"/>
      <c r="B757" s="273" t="inlineStr">
        <is>
          <t>Thoi gian nhap doanh thu</t>
        </is>
      </c>
      <c r="C757" s="271" t="n"/>
      <c r="D757" s="271" t="inlineStr">
        <is>
          <t>Thoi gian nhap doanh thu</t>
        </is>
      </c>
      <c r="E757" s="271" t="n"/>
      <c r="F757" t="inlineStr">
        <is>
          <t>Thoi gian nhap doanh thu</t>
        </is>
      </c>
    </row>
    <row r="758">
      <c r="A758" s="271" t="n"/>
      <c r="B758" s="273" t="inlineStr">
        <is>
          <t>Thoi gian nhan</t>
        </is>
      </c>
      <c r="C758" s="271" t="n"/>
      <c r="D758" s="271" t="inlineStr">
        <is>
          <t>Thoi gian nhan</t>
        </is>
      </c>
      <c r="E758" s="271" t="n"/>
      <c r="F758" t="inlineStr">
        <is>
          <t>Thoi gian nhan</t>
        </is>
      </c>
    </row>
    <row r="759">
      <c r="A759" s="271" t="n"/>
      <c r="B759" s="273" t="inlineStr">
        <is>
          <t>Thoi gian xuat thuc te</t>
        </is>
      </c>
      <c r="C759" s="271" t="n"/>
      <c r="D759" s="271" t="inlineStr">
        <is>
          <t>Thoi gian xuat thuc te</t>
        </is>
      </c>
      <c r="E759" s="271" t="n"/>
      <c r="F759" t="inlineStr">
        <is>
          <t>Thoi gian xuat thuc te</t>
        </is>
      </c>
    </row>
    <row r="760">
      <c r="A760" s="271" t="n"/>
      <c r="B760" s="273" t="inlineStr">
        <is>
          <t>Thoi gian phai xuat</t>
        </is>
      </c>
      <c r="C760" s="271" t="n"/>
      <c r="D760" s="271" t="inlineStr">
        <is>
          <t>Thoi gian phai xuat</t>
        </is>
      </c>
      <c r="E760" s="271" t="n"/>
      <c r="F760" t="inlineStr">
        <is>
          <t>Thoi gian phai xuat</t>
        </is>
      </c>
    </row>
    <row r="761">
      <c r="A761" s="271" t="n"/>
      <c r="B761" s="273" t="inlineStr">
        <is>
          <t>Buu cuc ban giao den</t>
        </is>
      </c>
      <c r="C761" s="271" t="n"/>
      <c r="D761" s="271" t="inlineStr">
        <is>
          <t>Buu cuc ban giao den</t>
        </is>
      </c>
      <c r="E761" s="271" t="n"/>
      <c r="F761" t="inlineStr">
        <is>
          <t>Buu cuc ban giao den</t>
        </is>
      </c>
    </row>
    <row r="762">
      <c r="A762" s="271" t="n"/>
      <c r="B762" s="273" t="inlineStr">
        <is>
          <t>Ma chuyen xe</t>
        </is>
      </c>
      <c r="C762" s="271" t="n"/>
      <c r="D762" s="271" t="inlineStr">
        <is>
          <t>Ma chuyen យានយន្ត</t>
        </is>
      </c>
      <c r="E762" s="271" t="n"/>
      <c r="F762" t="inlineStr">
        <is>
          <t>Ma chuyen យានយន្ត</t>
        </is>
      </c>
    </row>
    <row r="763">
      <c r="A763" s="271" t="n"/>
      <c r="B763" s="273" t="inlineStr">
        <is>
          <t>Ten tuyen</t>
        </is>
      </c>
      <c r="C763" s="271" t="n"/>
      <c r="D763" s="271" t="inlineStr">
        <is>
          <t>Ten tuyen</t>
        </is>
      </c>
      <c r="E763" s="271" t="n"/>
      <c r="F763" t="inlineStr">
        <is>
          <t>Ten tuyen</t>
        </is>
      </c>
    </row>
    <row r="764">
      <c r="A764" s="271" t="n"/>
      <c r="B764" s="273" t="inlineStr">
        <is>
          <t>Thoi gian check out</t>
        </is>
      </c>
      <c r="C764" s="271" t="n"/>
      <c r="D764" s="271" t="inlineStr">
        <is>
          <t>Thoi gian check out</t>
        </is>
      </c>
      <c r="E764" s="271" t="n"/>
      <c r="F764" t="inlineStr">
        <is>
          <t>Thoi gian check out</t>
        </is>
      </c>
    </row>
    <row r="765">
      <c r="A765" s="271" t="n"/>
      <c r="B765" s="273" t="inlineStr">
        <is>
          <t>Xuat dung</t>
        </is>
      </c>
      <c r="C765" s="271" t="n"/>
      <c r="D765" s="271" t="inlineStr">
        <is>
          <t>Xuat dung</t>
        </is>
      </c>
      <c r="E765" s="271" t="n"/>
      <c r="F765" t="inlineStr">
        <is>
          <t>Xuat dung</t>
        </is>
      </c>
    </row>
    <row r="766">
      <c r="A766" s="271" t="n"/>
      <c r="B766" s="273" t="inlineStr">
        <is>
          <t>Hanh trinh</t>
        </is>
      </c>
      <c r="C766" s="271" t="n"/>
      <c r="D766" s="271" t="inlineStr">
        <is>
          <t>Hanh trinh</t>
        </is>
      </c>
      <c r="E766" s="271" t="n"/>
      <c r="F766" t="inlineStr">
        <is>
          <t>Hanh trinh</t>
        </is>
      </c>
    </row>
    <row r="767">
      <c r="A767" s="271" t="n"/>
      <c r="B767" s="273" t="inlineStr">
        <is>
          <t>Loai mien</t>
        </is>
      </c>
      <c r="C767" s="271" t="n"/>
      <c r="D767" s="271" t="inlineStr">
        <is>
          <t>Loai mien</t>
        </is>
      </c>
      <c r="E767" s="271" t="n"/>
      <c r="F767" t="inlineStr">
        <is>
          <t>Loai mien</t>
        </is>
      </c>
    </row>
    <row r="768">
      <c r="A768" s="271" t="n"/>
      <c r="B768" s="273" t="inlineStr">
        <is>
          <t>Thoi gian TTKT tao ban giao</t>
        </is>
      </c>
      <c r="C768" s="271" t="n"/>
      <c r="D768" s="271" t="inlineStr">
        <is>
          <t>Thoi gian TTKT tao ban giao</t>
        </is>
      </c>
      <c r="E768" s="271" t="n"/>
      <c r="F768" t="inlineStr">
        <is>
          <t>Thoi gian TTKT tao ban giao</t>
        </is>
      </c>
    </row>
    <row r="769">
      <c r="A769" s="271" t="n"/>
      <c r="B769" s="273" t="inlineStr">
        <is>
          <t>Ma chuyen xe don hang can xuat</t>
        </is>
      </c>
      <c r="C769" s="271" t="n"/>
      <c r="D769" s="271" t="inlineStr">
        <is>
          <t>Ma chuyen យានយន្ត don hang can xuat</t>
        </is>
      </c>
      <c r="E769" s="271" t="n"/>
      <c r="F769" t="inlineStr">
        <is>
          <t>Ma chuyen យានយន្ត don hang can xuat</t>
        </is>
      </c>
    </row>
    <row r="770">
      <c r="A770" s="271" t="n"/>
      <c r="B770" s="273" t="inlineStr">
        <is>
          <t>Ten tuyen xe don hang can xuat</t>
        </is>
      </c>
      <c r="C770" s="271" t="n"/>
      <c r="D770" s="271" t="inlineStr">
        <is>
          <t>Ten tuyen យានយន្ត don hang can xuat</t>
        </is>
      </c>
      <c r="E770" s="271" t="n"/>
      <c r="F770" t="inlineStr">
        <is>
          <t>Ten tuyen យានយន្ត don hang can xuat</t>
        </is>
      </c>
    </row>
    <row r="771">
      <c r="A771" s="271" t="n"/>
      <c r="B771" s="291" t="inlineStr">
        <is>
          <t>Báo cáo xuất sạch tại Bưu cục</t>
        </is>
      </c>
      <c r="C771" s="271" t="n"/>
      <c r="D771" s="271" t="inlineStr">
        <is>
          <t>របាយការណ៍xuất sạch tại ការិយាល័យប្រៃសណីយ៍</t>
        </is>
      </c>
      <c r="E771" s="271" t="n"/>
      <c r="F771" t="inlineStr">
        <is>
          <t>របាយការណ៍xuất sạch tại ការិយាល័យប្រៃសណីយ៍</t>
        </is>
      </c>
    </row>
    <row r="772">
      <c r="A772" s="271" t="n"/>
      <c r="B772" s="273" t="inlineStr">
        <is>
          <t>Ngay loc</t>
        </is>
      </c>
      <c r="C772" s="271" t="n"/>
      <c r="D772" s="271" t="inlineStr">
        <is>
          <t>Ngay loc</t>
        </is>
      </c>
      <c r="E772" s="271" t="n"/>
      <c r="F772" t="inlineStr">
        <is>
          <t>Ngay loc</t>
        </is>
      </c>
    </row>
    <row r="773">
      <c r="A773" s="271" t="n"/>
      <c r="B773" s="273" t="inlineStr">
        <is>
          <t>Ma phieu gui</t>
        </is>
      </c>
      <c r="C773" s="271" t="n"/>
      <c r="D773" s="271" t="inlineStr">
        <is>
          <t>Ma phieu gui</t>
        </is>
      </c>
      <c r="E773" s="271" t="n"/>
      <c r="F773" t="inlineStr">
        <is>
          <t>Ma phieu gui</t>
        </is>
      </c>
    </row>
    <row r="774">
      <c r="A774" s="271" t="n"/>
      <c r="B774" s="273" t="inlineStr">
        <is>
          <t>Ma tai</t>
        </is>
      </c>
      <c r="C774" s="271" t="n"/>
      <c r="D774" s="271" t="inlineStr">
        <is>
          <t>Ma tai</t>
        </is>
      </c>
      <c r="E774" s="271" t="n"/>
      <c r="F774" t="inlineStr">
        <is>
          <t>Ma tai</t>
        </is>
      </c>
    </row>
    <row r="775">
      <c r="A775" s="271" t="n"/>
      <c r="B775" s="273" t="inlineStr">
        <is>
          <t>Don hoan</t>
        </is>
      </c>
      <c r="C775" s="271" t="n"/>
      <c r="D775" s="271" t="inlineStr">
        <is>
          <t>Don hoan</t>
        </is>
      </c>
      <c r="E775" s="271" t="n"/>
      <c r="F775" t="inlineStr">
        <is>
          <t>Don hoan</t>
        </is>
      </c>
    </row>
    <row r="776">
      <c r="A776" s="271" t="n"/>
      <c r="B776" s="273" t="inlineStr">
        <is>
          <t>Loai hang</t>
        </is>
      </c>
      <c r="C776" s="271" t="n"/>
      <c r="D776" s="271" t="inlineStr">
        <is>
          <t>Loai hang</t>
        </is>
      </c>
      <c r="E776" s="271" t="n"/>
      <c r="F776" t="inlineStr">
        <is>
          <t>Loai hang</t>
        </is>
      </c>
    </row>
    <row r="777">
      <c r="A777" s="271" t="n"/>
      <c r="B777" s="273" t="inlineStr">
        <is>
          <t>Khoi luong</t>
        </is>
      </c>
      <c r="C777" s="271" t="n"/>
      <c r="D777" s="271" t="inlineStr">
        <is>
          <t>Khoi luong</t>
        </is>
      </c>
      <c r="E777" s="271" t="n"/>
      <c r="F777" t="inlineStr">
        <is>
          <t>Khoi luong</t>
        </is>
      </c>
    </row>
    <row r="778">
      <c r="A778" s="271" t="n"/>
      <c r="B778" s="273" t="inlineStr">
        <is>
          <t>Buu cuc nhan</t>
        </is>
      </c>
      <c r="C778" s="271" t="n"/>
      <c r="D778" s="271" t="inlineStr">
        <is>
          <t>Buu cuc nhan</t>
        </is>
      </c>
      <c r="E778" s="271" t="n"/>
      <c r="F778" t="inlineStr">
        <is>
          <t>Buu cuc nhan</t>
        </is>
      </c>
    </row>
    <row r="779">
      <c r="A779" s="271" t="n"/>
      <c r="B779" s="273" t="inlineStr">
        <is>
          <t>Chi nhanh nhan</t>
        </is>
      </c>
      <c r="C779" s="271" t="n"/>
      <c r="D779" s="271" t="inlineStr">
        <is>
          <t>Chi nhanh nhan</t>
        </is>
      </c>
      <c r="E779" s="271" t="n"/>
      <c r="F779" t="inlineStr">
        <is>
          <t>Chi nhanh nhan</t>
        </is>
      </c>
    </row>
    <row r="780">
      <c r="A780" s="271" t="n"/>
      <c r="B780" s="273" t="inlineStr">
        <is>
          <t>Buu cuc phat</t>
        </is>
      </c>
      <c r="C780" s="271" t="n"/>
      <c r="D780" s="271" t="inlineStr">
        <is>
          <t>Buu cuc phat</t>
        </is>
      </c>
      <c r="E780" s="271" t="n"/>
      <c r="F780" t="inlineStr">
        <is>
          <t>Buu cuc phat</t>
        </is>
      </c>
    </row>
    <row r="781">
      <c r="A781" s="271" t="n"/>
      <c r="B781" s="273" t="inlineStr">
        <is>
          <t>Chi nhanh phat</t>
        </is>
      </c>
      <c r="C781" s="271" t="n"/>
      <c r="D781" s="271" t="inlineStr">
        <is>
          <t>Chi nhanh phat</t>
        </is>
      </c>
      <c r="E781" s="271" t="n"/>
      <c r="F781" t="inlineStr">
        <is>
          <t>Chi nhanh phat</t>
        </is>
      </c>
    </row>
    <row r="782">
      <c r="A782" s="271" t="n"/>
      <c r="B782" s="273" t="inlineStr">
        <is>
          <t>Don vi khai thac</t>
        </is>
      </c>
      <c r="C782" s="271" t="n"/>
      <c r="D782" s="271" t="inlineStr">
        <is>
          <t>Don vi khai thac</t>
        </is>
      </c>
      <c r="E782" s="271" t="n"/>
      <c r="F782" t="inlineStr">
        <is>
          <t>Don vi khai thac</t>
        </is>
      </c>
    </row>
    <row r="783">
      <c r="A783" s="271" t="n"/>
      <c r="B783" s="273" t="inlineStr">
        <is>
          <t>Ma dich vu</t>
        </is>
      </c>
      <c r="C783" s="271" t="n"/>
      <c r="D783" s="271" t="inlineStr">
        <is>
          <t>Ma dich vu</t>
        </is>
      </c>
      <c r="E783" s="271" t="n"/>
      <c r="F783" t="inlineStr">
        <is>
          <t>Ma dich vu</t>
        </is>
      </c>
    </row>
    <row r="784">
      <c r="A784" s="271" t="n"/>
      <c r="B784" s="273" t="inlineStr">
        <is>
          <t>Nhom dich vu</t>
        </is>
      </c>
      <c r="C784" s="271" t="n"/>
      <c r="D784" s="271" t="inlineStr">
        <is>
          <t>Nhom dich vu</t>
        </is>
      </c>
      <c r="E784" s="271" t="n"/>
      <c r="F784" t="inlineStr">
        <is>
          <t>Nhom dich vu</t>
        </is>
      </c>
    </row>
    <row r="785">
      <c r="A785" s="271" t="n"/>
      <c r="B785" s="273" t="inlineStr">
        <is>
          <t>Thoi gian nhap doanh thu</t>
        </is>
      </c>
      <c r="C785" s="271" t="n"/>
      <c r="D785" s="271" t="inlineStr">
        <is>
          <t>Thoi gian nhap doanh thu</t>
        </is>
      </c>
      <c r="E785" s="271" t="n"/>
      <c r="F785" t="inlineStr">
        <is>
          <t>Thoi gian nhap doanh thu</t>
        </is>
      </c>
    </row>
    <row r="786">
      <c r="A786" s="271" t="n"/>
      <c r="B786" s="273" t="inlineStr">
        <is>
          <t>Thoi gian nhan</t>
        </is>
      </c>
      <c r="C786" s="271" t="n"/>
      <c r="D786" s="271" t="inlineStr">
        <is>
          <t>Thoi gian nhan</t>
        </is>
      </c>
      <c r="E786" s="271" t="n"/>
      <c r="F786" t="inlineStr">
        <is>
          <t>Thoi gian nhan</t>
        </is>
      </c>
    </row>
    <row r="787">
      <c r="A787" s="271" t="n"/>
      <c r="B787" s="273" t="inlineStr">
        <is>
          <t>Thoi gian xuat thuc te</t>
        </is>
      </c>
      <c r="C787" s="271" t="n"/>
      <c r="D787" s="271" t="inlineStr">
        <is>
          <t>Thoi gian xuat thuc te</t>
        </is>
      </c>
      <c r="E787" s="271" t="n"/>
      <c r="F787" t="inlineStr">
        <is>
          <t>Thoi gian xuat thuc te</t>
        </is>
      </c>
    </row>
    <row r="788">
      <c r="A788" s="271" t="n"/>
      <c r="B788" s="273" t="inlineStr">
        <is>
          <t>Thoi gian phai xuat</t>
        </is>
      </c>
      <c r="C788" s="271" t="n"/>
      <c r="D788" s="271" t="inlineStr">
        <is>
          <t>Thoi gian phai xuat</t>
        </is>
      </c>
      <c r="E788" s="271" t="n"/>
      <c r="F788" t="inlineStr">
        <is>
          <t>Thoi gian phai xuat</t>
        </is>
      </c>
    </row>
    <row r="789">
      <c r="A789" s="271" t="n"/>
      <c r="B789" s="273" t="inlineStr">
        <is>
          <t>Buu cuc ban giao den</t>
        </is>
      </c>
      <c r="C789" s="271" t="n"/>
      <c r="D789" s="271" t="inlineStr">
        <is>
          <t>Buu cuc ban giao den</t>
        </is>
      </c>
      <c r="E789" s="271" t="n"/>
      <c r="F789" t="inlineStr">
        <is>
          <t>Buu cuc ban giao den</t>
        </is>
      </c>
    </row>
    <row r="790">
      <c r="A790" s="271" t="n"/>
      <c r="B790" s="273" t="inlineStr">
        <is>
          <t>Ma chuyen xe</t>
        </is>
      </c>
      <c r="C790" s="271" t="n"/>
      <c r="D790" s="271" t="inlineStr">
        <is>
          <t>Ma chuyen យានយន្ត</t>
        </is>
      </c>
      <c r="E790" s="271" t="n"/>
      <c r="F790" t="inlineStr">
        <is>
          <t>Ma chuyen យានយន្ត</t>
        </is>
      </c>
    </row>
    <row r="791">
      <c r="A791" s="271" t="n"/>
      <c r="B791" s="273" t="inlineStr">
        <is>
          <t>Ten tuyen</t>
        </is>
      </c>
      <c r="C791" s="271" t="n"/>
      <c r="D791" s="271" t="inlineStr">
        <is>
          <t>Ten tuyen</t>
        </is>
      </c>
      <c r="E791" s="271" t="n"/>
      <c r="F791" t="inlineStr">
        <is>
          <t>Ten tuyen</t>
        </is>
      </c>
    </row>
    <row r="792">
      <c r="A792" s="271" t="n"/>
      <c r="B792" s="273" t="inlineStr">
        <is>
          <t>Thoi gian check out</t>
        </is>
      </c>
      <c r="C792" s="271" t="n"/>
      <c r="D792" s="271" t="inlineStr">
        <is>
          <t>Thoi gian check out</t>
        </is>
      </c>
      <c r="E792" s="271" t="n"/>
      <c r="F792" t="inlineStr">
        <is>
          <t>Thoi gian check out</t>
        </is>
      </c>
    </row>
    <row r="793">
      <c r="A793" s="271" t="n"/>
      <c r="B793" s="273" t="inlineStr">
        <is>
          <t>Xuat dung</t>
        </is>
      </c>
      <c r="C793" s="271" t="n"/>
      <c r="D793" s="271" t="inlineStr">
        <is>
          <t>Xuat dung</t>
        </is>
      </c>
      <c r="E793" s="271" t="n"/>
      <c r="F793" t="inlineStr">
        <is>
          <t>Xuat dung</t>
        </is>
      </c>
    </row>
    <row r="794">
      <c r="A794" s="271" t="n"/>
      <c r="B794" s="273" t="inlineStr">
        <is>
          <t>Hanh trinh</t>
        </is>
      </c>
      <c r="C794" s="271" t="n"/>
      <c r="D794" s="271" t="inlineStr">
        <is>
          <t>Hanh trinh</t>
        </is>
      </c>
      <c r="E794" s="271" t="n"/>
      <c r="F794" t="inlineStr">
        <is>
          <t>Hanh trinh</t>
        </is>
      </c>
    </row>
    <row r="795">
      <c r="A795" s="271" t="n"/>
      <c r="B795" s="273" t="inlineStr">
        <is>
          <t>Ma chuyen xe don hang can xuat</t>
        </is>
      </c>
      <c r="C795" s="271" t="n"/>
      <c r="D795" s="271" t="inlineStr">
        <is>
          <t>Ma chuyen យានយន្ត don hang can xuat</t>
        </is>
      </c>
      <c r="E795" s="271" t="n"/>
      <c r="F795" t="inlineStr">
        <is>
          <t>Ma chuyen យានយន្ត don hang can xuat</t>
        </is>
      </c>
    </row>
    <row r="796">
      <c r="A796" s="271" t="n"/>
      <c r="B796" s="273" t="inlineStr">
        <is>
          <t>Ten tuyen xe don hang can xuat</t>
        </is>
      </c>
      <c r="C796" s="271" t="n"/>
      <c r="D796" s="271" t="inlineStr">
        <is>
          <t>Ten tuyen យានយន្ត don hang can xuat</t>
        </is>
      </c>
      <c r="E796" s="271" t="n"/>
      <c r="F796" t="inlineStr">
        <is>
          <t>Ten tuyen យានយន្ត don hang can xuat</t>
        </is>
      </c>
    </row>
    <row r="797">
      <c r="A797" s="271" t="n"/>
      <c r="B797" s="275" t="inlineStr">
        <is>
          <t>Báo cáo chi tiết đơn bàn giao bưu phẩm giữa các đơn vị</t>
        </is>
      </c>
      <c r="C797" s="271" t="n"/>
      <c r="D797" s="271" t="inlineStr">
        <is>
          <t>របាយការណ៍ព័ត៌មានលម្អិត បញ្ញើ bàn giao bưu phẩm giữa các បញ្ញើ vị</t>
        </is>
      </c>
      <c r="E797" s="271" t="n"/>
      <c r="F797" t="inlineStr">
        <is>
          <t>របាយការណ៍ព័ត៌មានលម្អិត បញ្ញើ bàn giao bưu phẩm giữa các បញ្ញើ vị</t>
        </is>
      </c>
    </row>
    <row r="798">
      <c r="A798" s="271" t="n"/>
      <c r="B798" s="273" t="inlineStr">
        <is>
          <t>Mã phiếu gửi</t>
        </is>
      </c>
      <c r="C798" s="271" t="n"/>
      <c r="D798" s="271" t="inlineStr">
        <is>
          <t>លេខកូដបុងបញ្ញើ</t>
        </is>
      </c>
      <c r="E798" s="271" t="n"/>
      <c r="F798" t="inlineStr">
        <is>
          <t>លេខកូដបុងបញ្ញើ</t>
        </is>
      </c>
    </row>
    <row r="799">
      <c r="A799" s="271" t="n"/>
      <c r="B799" s="273" t="inlineStr">
        <is>
          <t>Mã tải kiện</t>
        </is>
      </c>
      <c r="C799" s="271" t="n"/>
      <c r="D799" s="271" t="inlineStr">
        <is>
          <t>លេខកូដtải kiện</t>
        </is>
      </c>
      <c r="E799" s="271" t="n"/>
      <c r="F799" t="inlineStr">
        <is>
          <t>លេខកូដtải kiện</t>
        </is>
      </c>
    </row>
    <row r="800">
      <c r="A800" s="271" t="n"/>
      <c r="B800" s="273" t="inlineStr">
        <is>
          <t>Loại hàng hóa</t>
        </is>
      </c>
      <c r="C800" s="271" t="n"/>
      <c r="D800" s="271" t="inlineStr">
        <is>
          <t>ប្រភេទមុខទំនិញ</t>
        </is>
      </c>
      <c r="E800" s="271" t="n"/>
      <c r="F800" t="inlineStr">
        <is>
          <t>ប្រភេទមុខទំនិញ</t>
        </is>
      </c>
    </row>
    <row r="801">
      <c r="A801" s="271" t="n"/>
      <c r="B801" s="273" t="inlineStr">
        <is>
          <t>Mã dịch vụ</t>
        </is>
      </c>
      <c r="C801" s="271" t="n"/>
      <c r="D801" s="271" t="inlineStr">
        <is>
          <t>លេខកូដសេវាកម្ម</t>
        </is>
      </c>
      <c r="E801" s="271" t="n"/>
      <c r="F801" t="inlineStr">
        <is>
          <t>លេខកូដសេវាកម្ម</t>
        </is>
      </c>
    </row>
    <row r="802">
      <c r="A802" s="271" t="n"/>
      <c r="B802" s="273" t="inlineStr">
        <is>
          <t>Mã dịch vụ khác</t>
        </is>
      </c>
      <c r="C802" s="271" t="n"/>
      <c r="D802" s="271" t="inlineStr">
        <is>
          <t>លេខកូដdịch vụ khác</t>
        </is>
      </c>
      <c r="E802" s="271" t="n"/>
      <c r="F802" t="inlineStr">
        <is>
          <t>លេខកូដdịch vụ khác</t>
        </is>
      </c>
    </row>
    <row r="803">
      <c r="A803" s="271" t="n"/>
      <c r="B803" s="273" t="inlineStr">
        <is>
          <t>Trọng lượng</t>
        </is>
      </c>
      <c r="C803" s="271" t="n"/>
      <c r="D803" s="271" t="inlineStr">
        <is>
          <t>ទម្ងន់</t>
        </is>
      </c>
      <c r="E803" s="271" t="n"/>
      <c r="F803" t="inlineStr">
        <is>
          <t>ទម្ងន់</t>
        </is>
      </c>
    </row>
    <row r="804">
      <c r="A804" s="271" t="n"/>
      <c r="B804" s="273" t="inlineStr">
        <is>
          <t>Người nhập máy</t>
        </is>
      </c>
      <c r="C804" s="271" t="n"/>
      <c r="D804" s="271" t="inlineStr">
        <is>
          <t>អ្នកបញ្ចូលទិន្នន័យ</t>
        </is>
      </c>
      <c r="E804" s="271" t="n"/>
      <c r="F804" t="inlineStr">
        <is>
          <t>អ្នកបញ្ចូលទិន្នន័យ</t>
        </is>
      </c>
    </row>
    <row r="805">
      <c r="A805" s="271" t="n"/>
      <c r="B805" s="273" t="inlineStr">
        <is>
          <t>Ngày nhập máy</t>
        </is>
      </c>
      <c r="C805" s="271" t="n"/>
      <c r="D805" s="271" t="inlineStr">
        <is>
          <t>កាលបរិច្ឆេទបញ្ចូលប្រព័ន្ធ</t>
        </is>
      </c>
      <c r="E805" s="271" t="n"/>
      <c r="F805" t="inlineStr">
        <is>
          <t>កាលបរិច្ឆេទបញ្ចូលប្រព័ន្ធ</t>
        </is>
      </c>
    </row>
    <row r="806">
      <c r="A806" s="271" t="n"/>
      <c r="B806" s="273" t="inlineStr">
        <is>
          <t>Mã bưu cục gốc</t>
        </is>
      </c>
      <c r="C806" s="271" t="n"/>
      <c r="D806" s="271" t="inlineStr">
        <is>
          <t>លេខកូដការិយាល័យប្រៃសណីយ៍ដើម</t>
        </is>
      </c>
      <c r="E806" s="271" t="n"/>
      <c r="F806" t="inlineStr">
        <is>
          <t>លេខកូដការិយាល័យប្រៃសណីយ៍ដើម</t>
        </is>
      </c>
    </row>
    <row r="807">
      <c r="A807" s="271" t="n"/>
      <c r="B807" s="273" t="inlineStr">
        <is>
          <t>Thời gian nhận bàn giao tải kiện</t>
        </is>
      </c>
      <c r="C807" s="271" t="n"/>
      <c r="D807" s="271" t="inlineStr">
        <is>
          <t>ពេលវេលាទទួល bàn giao tải kiện</t>
        </is>
      </c>
      <c r="E807" s="271" t="n"/>
      <c r="F807" t="inlineStr">
        <is>
          <t>ពេលវេលាទទួល bàn giao tải kiện</t>
        </is>
      </c>
    </row>
    <row r="808">
      <c r="A808" s="271" t="n"/>
      <c r="B808" s="273" t="inlineStr">
        <is>
          <t>Bưu cục nhận bàn giao</t>
        </is>
      </c>
      <c r="C808" s="271" t="n"/>
      <c r="D808" s="271" t="inlineStr">
        <is>
          <t>ការិយាល័យប្រៃសណីយ៍ ទទួល bàn giao</t>
        </is>
      </c>
      <c r="E808" s="271" t="n"/>
      <c r="F808" t="inlineStr">
        <is>
          <t>ការិយាល័យប្រៃសណីយ៍ ទទួល bàn giao</t>
        </is>
      </c>
    </row>
    <row r="809">
      <c r="A809" s="271" t="n"/>
      <c r="B809" s="273" t="inlineStr">
        <is>
          <t>Bưu cục phát</t>
        </is>
      </c>
      <c r="C809" s="271" t="n"/>
      <c r="D809" s="271" t="inlineStr">
        <is>
          <t>ការិយាល័យប្រៃសណីយ៍ដឹកចែក</t>
        </is>
      </c>
      <c r="E809" s="271" t="n"/>
      <c r="F809" t="inlineStr">
        <is>
          <t>ការិយាល័យប្រៃសណីយ៍ដឹកចែក</t>
        </is>
      </c>
    </row>
    <row r="810">
      <c r="A810" s="271" t="n"/>
      <c r="B810" s="273" t="inlineStr">
        <is>
          <t>Mã chi nhánh</t>
        </is>
      </c>
      <c r="C810" s="271" t="n"/>
      <c r="D810" s="271" t="inlineStr">
        <is>
          <t>លេខកូដសាខា</t>
        </is>
      </c>
      <c r="E810" s="271" t="n"/>
      <c r="F810" t="inlineStr">
        <is>
          <t>លេខកូដសាខា</t>
        </is>
      </c>
    </row>
    <row r="811">
      <c r="A811" s="271" t="n"/>
      <c r="B811" s="273" t="inlineStr">
        <is>
          <t>Bưu cục đích</t>
        </is>
      </c>
      <c r="C811" s="271" t="n"/>
      <c r="D811" s="271" t="inlineStr">
        <is>
          <t>ការិយាល័យប្រៃសណីយ៍គោលដៅ</t>
        </is>
      </c>
      <c r="E811" s="271" t="n"/>
      <c r="F811" t="inlineStr">
        <is>
          <t>ការិយាល័យប្រៃសណីយ៍គោលដៅ</t>
        </is>
      </c>
    </row>
    <row r="812">
      <c r="A812" s="271" t="n"/>
      <c r="B812" s="280" t="inlineStr">
        <is>
          <t>Chitietbillnhaptheongay_ddmmyyyy.xlsx</t>
        </is>
      </c>
      <c r="C812" s="271" t="n"/>
      <c r="D812" s="271" t="inlineStr">
        <is>
          <t>Chitietbillnhaptheongay_ddmmyyyy.xlsx</t>
        </is>
      </c>
      <c r="E812" s="271" t="n"/>
      <c r="F812" t="inlineStr">
        <is>
          <t>Chitietbillnhaptheongay_ddmmyyyy.xlsx</t>
        </is>
      </c>
    </row>
    <row r="813">
      <c r="A813" s="285" t="n"/>
      <c r="B813" s="285" t="inlineStr">
        <is>
          <t>NO</t>
        </is>
      </c>
      <c r="C813" s="285" t="n"/>
      <c r="D813" s="285" t="inlineStr">
        <is>
          <t>NO</t>
        </is>
      </c>
      <c r="E813" s="271" t="n"/>
      <c r="F813" t="inlineStr">
        <is>
          <t>NO</t>
        </is>
      </c>
    </row>
    <row r="814">
      <c r="A814" s="285" t="n"/>
      <c r="B814" s="285" t="inlineStr">
        <is>
          <t>ORDER_NUMBER</t>
        </is>
      </c>
      <c r="C814" s="285" t="n"/>
      <c r="D814" s="285" t="inlineStr">
        <is>
          <t>ORDER_NUMBER</t>
        </is>
      </c>
      <c r="E814" s="271" t="n"/>
      <c r="F814" t="inlineStr">
        <is>
          <t>ORDER_NUMBER</t>
        </is>
      </c>
    </row>
    <row r="815">
      <c r="A815" s="285" t="n"/>
      <c r="B815" s="285" t="inlineStr">
        <is>
          <t>CUSTOMER</t>
        </is>
      </c>
      <c r="C815" s="285" t="n"/>
      <c r="D815" s="285" t="inlineStr">
        <is>
          <t>CUSTOMER</t>
        </is>
      </c>
      <c r="E815" s="271" t="n"/>
      <c r="F815" t="inlineStr">
        <is>
          <t>CUSTOMER</t>
        </is>
      </c>
    </row>
    <row r="816">
      <c r="A816" s="285" t="n"/>
      <c r="B816" s="285" t="inlineStr">
        <is>
          <t>ORIGIN_BRANCH</t>
        </is>
      </c>
      <c r="C816" s="285" t="n"/>
      <c r="D816" s="285" t="inlineStr">
        <is>
          <t>ORIGIN_BRANCH</t>
        </is>
      </c>
      <c r="E816" s="271" t="n"/>
      <c r="F816" t="inlineStr">
        <is>
          <t>ORIGIN_BRANCH</t>
        </is>
      </c>
    </row>
    <row r="817">
      <c r="A817" s="285" t="n"/>
      <c r="B817" s="285" t="inlineStr">
        <is>
          <t>ORIGIN_POST</t>
        </is>
      </c>
      <c r="C817" s="285" t="n"/>
      <c r="D817" s="285" t="inlineStr">
        <is>
          <t>ORIGIN_POST</t>
        </is>
      </c>
      <c r="E817" s="271" t="n"/>
      <c r="F817" t="inlineStr">
        <is>
          <t>ORIGIN_POST</t>
        </is>
      </c>
    </row>
    <row r="818">
      <c r="A818" s="285" t="n"/>
      <c r="B818" s="285" t="inlineStr">
        <is>
          <t>DESTINATION_BRANCH</t>
        </is>
      </c>
      <c r="C818" s="285" t="n"/>
      <c r="D818" s="285" t="inlineStr">
        <is>
          <t>DESTINATION_BRANCH</t>
        </is>
      </c>
      <c r="E818" s="271" t="n"/>
      <c r="F818" t="inlineStr">
        <is>
          <t>DESTINATION_BRANCH</t>
        </is>
      </c>
    </row>
    <row r="819">
      <c r="A819" s="285" t="n"/>
      <c r="B819" s="285" t="inlineStr">
        <is>
          <t>DESTINATION_POST</t>
        </is>
      </c>
      <c r="C819" s="285" t="n"/>
      <c r="D819" s="285" t="inlineStr">
        <is>
          <t>DESTINATION_POST</t>
        </is>
      </c>
      <c r="E819" s="271" t="n"/>
      <c r="F819" t="inlineStr">
        <is>
          <t>DESTINATION_POST</t>
        </is>
      </c>
    </row>
    <row r="820">
      <c r="A820" s="285" t="n"/>
      <c r="B820" s="285" t="inlineStr">
        <is>
          <t>CREATED_BY</t>
        </is>
      </c>
      <c r="C820" s="285" t="n"/>
      <c r="D820" s="285" t="inlineStr">
        <is>
          <t>CREATED_BY</t>
        </is>
      </c>
      <c r="E820" s="271" t="n"/>
      <c r="F820" t="inlineStr">
        <is>
          <t>CREATED_BY</t>
        </is>
      </c>
    </row>
    <row r="821">
      <c r="A821" s="285" t="n"/>
      <c r="B821" s="285" t="inlineStr">
        <is>
          <t>CREATED_AT</t>
        </is>
      </c>
      <c r="C821" s="285" t="n"/>
      <c r="D821" s="285" t="inlineStr">
        <is>
          <t>CREATED_AT</t>
        </is>
      </c>
      <c r="E821" s="271" t="n"/>
      <c r="F821" t="inlineStr">
        <is>
          <t>CREATED_AT</t>
        </is>
      </c>
    </row>
    <row r="822">
      <c r="A822" s="285" t="n"/>
      <c r="B822" s="285" t="inlineStr">
        <is>
          <t>PAYMENT_TERM</t>
        </is>
      </c>
      <c r="C822" s="285" t="n"/>
      <c r="D822" s="285" t="inlineStr">
        <is>
          <t>PAYMENT_TERM</t>
        </is>
      </c>
      <c r="E822" s="271" t="n"/>
      <c r="F822" t="inlineStr">
        <is>
          <t>PAYMENT_TERM</t>
        </is>
      </c>
    </row>
    <row r="823">
      <c r="A823" s="285" t="n"/>
      <c r="B823" s="285" t="inlineStr">
        <is>
          <t>BASE_FEE (USD)
(1)</t>
        </is>
      </c>
      <c r="C823" s="285" t="n"/>
      <c r="D823" s="285" t="inlineStr">
        <is>
          <t>BASE_FEE (USD)
(1)</t>
        </is>
      </c>
      <c r="E823" s="271" t="n"/>
      <c r="F823" t="inlineStr">
        <is>
          <t>BASE_FEE (USD)
(1)</t>
        </is>
      </c>
    </row>
    <row r="824">
      <c r="A824" s="285" t="n"/>
      <c r="B824" s="285" t="inlineStr">
        <is>
          <t>VAS_FEE (USD)
(2)</t>
        </is>
      </c>
      <c r="C824" s="285" t="n"/>
      <c r="D824" s="285" t="inlineStr">
        <is>
          <t>VAS_FEE (USD)
(2)</t>
        </is>
      </c>
      <c r="E824" s="271" t="n"/>
      <c r="F824" t="inlineStr">
        <is>
          <t>VAS_FEE (USD)
(2)</t>
        </is>
      </c>
    </row>
    <row r="825">
      <c r="A825" s="285" t="n"/>
      <c r="B825" s="285" t="inlineStr">
        <is>
          <t>DISCOUNT (USD)
(3)</t>
        </is>
      </c>
      <c r="C825" s="285" t="n"/>
      <c r="D825" s="285" t="inlineStr">
        <is>
          <t>DISCOUNT (USD)
(3)</t>
        </is>
      </c>
      <c r="E825" s="271" t="n"/>
      <c r="F825" t="inlineStr">
        <is>
          <t>DISCOUNT (USD)
(3)</t>
        </is>
      </c>
    </row>
    <row r="826">
      <c r="A826" s="285" t="n"/>
      <c r="B826" s="285" t="inlineStr">
        <is>
          <t>TOTAL_AMOUNT (USD)
(4) = (1) + (2) - (3)</t>
        </is>
      </c>
      <c r="C826" s="285" t="n"/>
      <c r="D826" s="285" t="inlineStr">
        <is>
          <t>TOTAL_AMOUNT (USD)
(4) = (1) + (2) - (3)</t>
        </is>
      </c>
      <c r="E826" s="271" t="n"/>
      <c r="F826" t="inlineStr">
        <is>
          <t>TOTAL_AMOUNT (USD)
(4) = (1) + (2) - (3)</t>
        </is>
      </c>
    </row>
    <row r="827">
      <c r="A827" s="285" t="n"/>
      <c r="B827" s="285" t="inlineStr">
        <is>
          <t>COD (USD)</t>
        </is>
      </c>
      <c r="C827" s="285" t="n"/>
      <c r="D827" s="285" t="inlineStr">
        <is>
          <t>COD (USD)</t>
        </is>
      </c>
      <c r="E827" s="271" t="n"/>
      <c r="F827" t="inlineStr">
        <is>
          <t>COD (USD)</t>
        </is>
      </c>
    </row>
    <row r="828">
      <c r="A828" s="285" t="n"/>
      <c r="B828" s="285" t="inlineStr">
        <is>
          <t>CHARGEABLE_WEIGHT
(GRAM)</t>
        </is>
      </c>
      <c r="C828" s="285" t="n"/>
      <c r="D828" s="285" t="inlineStr">
        <is>
          <t>CHARGEABLE_WEIGHT
(GRAM)</t>
        </is>
      </c>
      <c r="E828" s="271" t="n"/>
      <c r="F828" t="inlineStr">
        <is>
          <t>CHARGEABLE_WEIGHT
(GRAM)</t>
        </is>
      </c>
    </row>
    <row r="829">
      <c r="A829" s="285" t="n"/>
      <c r="B829" s="285" t="inlineStr">
        <is>
          <t>ACTUAL_WEIGHT (GRAM)</t>
        </is>
      </c>
      <c r="C829" s="285" t="n"/>
      <c r="D829" s="285" t="inlineStr">
        <is>
          <t>ACTUAL_WEIGHT (GRAM)</t>
        </is>
      </c>
      <c r="E829" s="271" t="n"/>
      <c r="F829" t="inlineStr">
        <is>
          <t>ACTUAL_WEIGHT (GRAM)</t>
        </is>
      </c>
    </row>
    <row r="830">
      <c r="A830" s="285" t="n"/>
      <c r="B830" s="285" t="inlineStr">
        <is>
          <t>CONVERTED_WEIGHT
(GRAM)</t>
        </is>
      </c>
      <c r="C830" s="285" t="n"/>
      <c r="D830" s="285" t="inlineStr">
        <is>
          <t>CONVERTED_WEIGHT
(GRAM)</t>
        </is>
      </c>
      <c r="E830" s="271" t="n"/>
      <c r="F830" t="inlineStr">
        <is>
          <t>CONVERTED_WEIGHT
(GRAM)</t>
        </is>
      </c>
    </row>
    <row r="831">
      <c r="A831" s="285" t="n"/>
      <c r="B831" s="285" t="inlineStr">
        <is>
          <t>SIZE (LxWxH)
(CM)</t>
        </is>
      </c>
      <c r="C831" s="285" t="n"/>
      <c r="D831" s="285" t="inlineStr">
        <is>
          <t>SIZE (LxWxH)
(CM)</t>
        </is>
      </c>
      <c r="E831" s="271" t="n"/>
      <c r="F831" t="inlineStr">
        <is>
          <t>SIZE (LxWxH)
(CM)</t>
        </is>
      </c>
    </row>
    <row r="832">
      <c r="A832" s="285" t="n"/>
      <c r="B832" s="285" t="inlineStr">
        <is>
          <t>BASE_SERVICE</t>
        </is>
      </c>
      <c r="C832" s="285" t="n"/>
      <c r="D832" s="285" t="inlineStr">
        <is>
          <t>BASE_SERVICE</t>
        </is>
      </c>
      <c r="E832" s="271" t="n"/>
      <c r="F832" t="inlineStr">
        <is>
          <t>BASE_SERVICE</t>
        </is>
      </c>
    </row>
    <row r="833">
      <c r="A833" s="285" t="n"/>
      <c r="B833" s="285" t="inlineStr">
        <is>
          <t>VALUE_ADDED_SERVICE</t>
        </is>
      </c>
      <c r="C833" s="285" t="n"/>
      <c r="D833" s="285" t="inlineStr">
        <is>
          <t>VALUE_ADDED_SERVICE</t>
        </is>
      </c>
      <c r="E833" s="271" t="n"/>
      <c r="F833" t="inlineStr">
        <is>
          <t>VALUE_ADDED_SERVICE</t>
        </is>
      </c>
    </row>
    <row r="834">
      <c r="A834" s="285" t="n"/>
      <c r="B834" s="285" t="inlineStr">
        <is>
          <t>CARGO_TYPE</t>
        </is>
      </c>
      <c r="C834" s="285" t="n"/>
      <c r="D834" s="285" t="inlineStr">
        <is>
          <t>CARGO_TYPE</t>
        </is>
      </c>
      <c r="E834" s="271" t="n"/>
      <c r="F834" t="inlineStr">
        <is>
          <t>CARGO_TYPE</t>
        </is>
      </c>
    </row>
    <row r="835">
      <c r="A835" s="285" t="n"/>
      <c r="B835" s="285" t="inlineStr">
        <is>
          <t>FROM_WARD_CODE</t>
        </is>
      </c>
      <c r="C835" s="285" t="n"/>
      <c r="D835" s="285" t="inlineStr">
        <is>
          <t>FROM_WARD_CODE</t>
        </is>
      </c>
      <c r="E835" s="271" t="n"/>
      <c r="F835" t="inlineStr">
        <is>
          <t>FROM_WARD_CODE</t>
        </is>
      </c>
    </row>
    <row r="836">
      <c r="A836" s="285" t="n"/>
      <c r="B836" s="285" t="inlineStr">
        <is>
          <t>FROM_DISTRICT_CODE</t>
        </is>
      </c>
      <c r="C836" s="285" t="n"/>
      <c r="D836" s="285" t="inlineStr">
        <is>
          <t>FROM_DISTRICT_CODE</t>
        </is>
      </c>
      <c r="E836" s="271" t="n"/>
      <c r="F836" t="inlineStr">
        <is>
          <t>FROM_DISTRICT_CODE</t>
        </is>
      </c>
    </row>
    <row r="837">
      <c r="A837" s="285" t="n"/>
      <c r="B837" s="285" t="inlineStr">
        <is>
          <t>TO_DISTRICT_CODE</t>
        </is>
      </c>
      <c r="C837" s="285" t="n"/>
      <c r="D837" s="285" t="inlineStr">
        <is>
          <t>TO_DISTRICT_CODE</t>
        </is>
      </c>
      <c r="E837" s="271" t="n"/>
      <c r="F837" t="inlineStr">
        <is>
          <t>TO_DISTRICT_CODE</t>
        </is>
      </c>
    </row>
    <row r="838">
      <c r="A838" s="285" t="n"/>
      <c r="B838" s="285" t="inlineStr">
        <is>
          <t>TO_WARD_CODE</t>
        </is>
      </c>
      <c r="C838" s="271" t="n"/>
      <c r="D838" s="271" t="inlineStr">
        <is>
          <t>TO_WARD_CODE</t>
        </is>
      </c>
      <c r="E838" s="271" t="n"/>
      <c r="F838" t="inlineStr">
        <is>
          <t>TO_WARD_CODE</t>
        </is>
      </c>
    </row>
    <row r="839">
      <c r="A839" s="271" t="n"/>
      <c r="B839" s="282" t="inlineStr">
        <is>
          <t>Tồn thu</t>
        </is>
      </c>
      <c r="C839" s="271" t="n"/>
      <c r="D839" s="271" t="inlineStr">
        <is>
          <t>បញ្ញើសេសសល់ត្រូវប្រមូល</t>
        </is>
      </c>
      <c r="E839" s="271" t="n"/>
      <c r="F839" t="inlineStr">
        <is>
          <t>បញ្ញើសេសសល់ត្រូវប្រមូល</t>
        </is>
      </c>
    </row>
    <row r="840">
      <c r="A840" s="285" t="n"/>
      <c r="B840" s="285" t="inlineStr">
        <is>
          <t>STT</t>
        </is>
      </c>
      <c r="C840" s="285" t="n"/>
      <c r="D840" s="285" t="inlineStr">
        <is>
          <t>លេខរៀង</t>
        </is>
      </c>
      <c r="E840" s="285" t="n"/>
      <c r="F840" t="inlineStr">
        <is>
          <t>លេខរៀង</t>
        </is>
      </c>
    </row>
    <row r="841">
      <c r="A841" s="285" t="n"/>
      <c r="B841" s="285" t="inlineStr">
        <is>
          <t>Chi nhánh nhận</t>
        </is>
      </c>
      <c r="C841" s="285" t="n"/>
      <c r="D841" s="285" t="inlineStr">
        <is>
          <t>សាខាទទួល</t>
        </is>
      </c>
      <c r="E841" s="285" t="n"/>
      <c r="F841" t="inlineStr">
        <is>
          <t>សាខាទទួល</t>
        </is>
      </c>
    </row>
    <row r="842">
      <c r="A842" s="285" t="n"/>
      <c r="B842" s="285" t="inlineStr">
        <is>
          <t>Vùng con</t>
        </is>
      </c>
      <c r="C842" s="285" t="n"/>
      <c r="D842" s="285" t="inlineStr">
        <is>
          <t>តំបន់ con</t>
        </is>
      </c>
      <c r="E842" s="285" t="n"/>
      <c r="F842" t="inlineStr">
        <is>
          <t>តំបន់ con</t>
        </is>
      </c>
    </row>
    <row r="843">
      <c r="A843" s="285" t="n"/>
      <c r="B843" s="285" t="inlineStr">
        <is>
          <t>Bưu cục nhận</t>
        </is>
      </c>
      <c r="C843" s="285" t="n"/>
      <c r="D843" s="285" t="inlineStr">
        <is>
          <t>ការិយាល័យប្រៃសណីយ៍ ទទួល</t>
        </is>
      </c>
      <c r="E843" s="285" t="n"/>
      <c r="F843" t="inlineStr">
        <is>
          <t>ការិយាល័យប្រៃសណីយ៍ ទទួល</t>
        </is>
      </c>
    </row>
    <row r="844">
      <c r="A844" s="285" t="n"/>
      <c r="B844" s="285" t="inlineStr">
        <is>
          <t>Tuyến bưu tá nhận</t>
        </is>
      </c>
      <c r="C844" s="285" t="n"/>
      <c r="D844" s="285" t="inlineStr">
        <is>
          <t>ខ្សែផ្លូវ បុគ្គលិកដឹកជញ្ជូន ទទួល</t>
        </is>
      </c>
      <c r="E844" s="285" t="n"/>
      <c r="F844" t="inlineStr">
        <is>
          <t>ខ្សែផ្លូវ បុគ្គលិកដឹកជញ្ជូន ទទួល</t>
        </is>
      </c>
    </row>
    <row r="845">
      <c r="A845" s="285" t="n"/>
      <c r="B845" s="285" t="inlineStr">
        <is>
          <t>Tổng shop tồn</t>
        </is>
      </c>
      <c r="C845" s="285" t="n"/>
      <c r="D845" s="285" t="inlineStr">
        <is>
          <t>ចំនួនshop tồnសរុប</t>
        </is>
      </c>
      <c r="E845" s="285" t="n"/>
      <c r="F845" t="inlineStr">
        <is>
          <t>ចំនួនshop tồnសរុប</t>
        </is>
      </c>
    </row>
    <row r="846">
      <c r="A846" s="285" t="n"/>
      <c r="B846" s="285" t="inlineStr">
        <is>
          <t>Tổng tồn thu</t>
        </is>
      </c>
      <c r="C846" s="285" t="n"/>
      <c r="D846" s="285" t="inlineStr">
        <is>
          <t>ចំនួនtồn thuសរុប</t>
        </is>
      </c>
      <c r="E846" s="285" t="n"/>
      <c r="F846" t="inlineStr">
        <is>
          <t>ចំនួនtồn thuសរុប</t>
        </is>
      </c>
    </row>
    <row r="847">
      <c r="A847" s="285" t="n"/>
      <c r="B847" s="285" t="inlineStr">
        <is>
          <t>XANH</t>
        </is>
      </c>
      <c r="C847" s="285" t="n"/>
      <c r="D847" s="285" t="inlineStr">
        <is>
          <t>XANH</t>
        </is>
      </c>
      <c r="E847" s="285" t="n"/>
      <c r="F847" t="inlineStr">
        <is>
          <t>XANH</t>
        </is>
      </c>
    </row>
    <row r="848">
      <c r="A848" s="285" t="n"/>
      <c r="B848" s="285" t="inlineStr">
        <is>
          <t>VANG</t>
        </is>
      </c>
      <c r="C848" s="285" t="n"/>
      <c r="D848" s="285" t="inlineStr">
        <is>
          <t>VANG</t>
        </is>
      </c>
      <c r="E848" s="285" t="n"/>
      <c r="F848" t="inlineStr">
        <is>
          <t>VANG</t>
        </is>
      </c>
    </row>
    <row r="849">
      <c r="A849" s="285" t="n"/>
      <c r="B849" s="285" t="inlineStr">
        <is>
          <t>DO_1</t>
        </is>
      </c>
      <c r="C849" s="285" t="n"/>
      <c r="D849" s="285" t="inlineStr">
        <is>
          <t>DO_1</t>
        </is>
      </c>
      <c r="E849" s="285" t="n"/>
      <c r="F849" t="inlineStr">
        <is>
          <t>DO_1</t>
        </is>
      </c>
    </row>
    <row r="850">
      <c r="A850" s="285" t="n"/>
      <c r="B850" s="285" t="inlineStr">
        <is>
          <t>DO_2</t>
        </is>
      </c>
      <c r="C850" s="285" t="n"/>
      <c r="D850" s="285" t="inlineStr">
        <is>
          <t>DO_2</t>
        </is>
      </c>
      <c r="E850" s="285" t="n"/>
      <c r="F850" t="inlineStr">
        <is>
          <t>DO_2</t>
        </is>
      </c>
    </row>
    <row r="851">
      <c r="A851" s="285" t="n"/>
      <c r="B851" s="285" t="inlineStr">
        <is>
          <t>DO_3</t>
        </is>
      </c>
      <c r="C851" s="285" t="n"/>
      <c r="D851" s="285" t="inlineStr">
        <is>
          <t>DO_3</t>
        </is>
      </c>
      <c r="E851" s="285" t="n"/>
      <c r="F851" t="inlineStr">
        <is>
          <t>DO_3</t>
        </is>
      </c>
    </row>
    <row r="852">
      <c r="A852" s="285" t="n"/>
      <c r="B852" s="285" t="inlineStr">
        <is>
          <t>Mã phiếu gửi</t>
        </is>
      </c>
      <c r="C852" s="285" t="n"/>
      <c r="D852" s="285" t="inlineStr">
        <is>
          <t>លេខកូដបុងបញ្ញើ</t>
        </is>
      </c>
      <c r="E852" s="285" t="n"/>
      <c r="F852" t="inlineStr">
        <is>
          <t>លេខកូដបុងបញ្ញើ</t>
        </is>
      </c>
    </row>
    <row r="853">
      <c r="A853" s="285" t="n"/>
      <c r="B853" s="285" t="inlineStr">
        <is>
          <t>Trạng thái</t>
        </is>
      </c>
      <c r="C853" s="285" t="n"/>
      <c r="D853" s="285" t="inlineStr">
        <is>
          <t>ស្ថានភាព</t>
        </is>
      </c>
      <c r="E853" s="285" t="n"/>
      <c r="F853" t="inlineStr">
        <is>
          <t>ស្ថានភាព</t>
        </is>
      </c>
    </row>
    <row r="854">
      <c r="A854" s="285" t="n"/>
      <c r="B854" s="285" t="inlineStr">
        <is>
          <t>Mã đối tác</t>
        </is>
      </c>
      <c r="C854" s="285" t="n"/>
      <c r="D854" s="285" t="inlineStr">
        <is>
          <t>លេខកូដដៃគូ</t>
        </is>
      </c>
      <c r="E854" s="285" t="n"/>
      <c r="F854" t="inlineStr">
        <is>
          <t>លេខកូដដៃគូ</t>
        </is>
      </c>
    </row>
    <row r="855">
      <c r="A855" s="285" t="n"/>
      <c r="B855" s="285" t="inlineStr">
        <is>
          <t>Ngày tạo</t>
        </is>
      </c>
      <c r="C855" s="285" t="n"/>
      <c r="D855" s="285" t="inlineStr">
        <is>
          <t>កាលបរិច្ឆេទបង្កើត</t>
        </is>
      </c>
      <c r="E855" s="285" t="n"/>
      <c r="F855" t="inlineStr">
        <is>
          <t>កាលបរិច្ឆេទបង្កើត</t>
        </is>
      </c>
    </row>
    <row r="856">
      <c r="A856" s="285" t="n"/>
      <c r="B856" s="285" t="inlineStr">
        <is>
          <t>Ngày duyệt</t>
        </is>
      </c>
      <c r="C856" s="285" t="n"/>
      <c r="D856" s="285" t="inlineStr">
        <is>
          <t>កាលបរិច្ឆេទអនុម័ត</t>
        </is>
      </c>
      <c r="E856" s="285" t="n"/>
      <c r="F856" t="inlineStr">
        <is>
          <t>កាលបរិច្ឆេទអនុម័ត</t>
        </is>
      </c>
    </row>
    <row r="857">
      <c r="A857" s="285" t="n"/>
      <c r="B857" s="285" t="inlineStr">
        <is>
          <t>Ngày hẹn thu</t>
        </is>
      </c>
      <c r="C857" s="285" t="n"/>
      <c r="D857" s="285" t="inlineStr">
        <is>
          <t>កាលបរិច្ឆេទhẹn thu</t>
        </is>
      </c>
      <c r="E857" s="285" t="n"/>
      <c r="F857" t="inlineStr">
        <is>
          <t>កាលបរិច្ឆេទhẹn thu</t>
        </is>
      </c>
    </row>
    <row r="858">
      <c r="A858" s="285" t="n"/>
      <c r="B858" s="285" t="inlineStr">
        <is>
          <t>Tên KH gửi</t>
        </is>
      </c>
      <c r="C858" s="285" t="n"/>
      <c r="D858" s="285" t="inlineStr">
        <is>
          <t>ឈ្មោះKH ផ្ញើ</t>
        </is>
      </c>
      <c r="E858" s="285" t="n"/>
      <c r="F858" t="inlineStr">
        <is>
          <t>ឈ្មោះKH ផ្ញើ</t>
        </is>
      </c>
    </row>
    <row r="859">
      <c r="A859" s="285" t="n"/>
      <c r="B859" s="285" t="inlineStr">
        <is>
          <t>Địa chỉ KH gửi</t>
        </is>
      </c>
      <c r="C859" s="285" t="n"/>
      <c r="D859" s="285" t="inlineStr">
        <is>
          <t>អាសយដ្ឋាន KH ផ្ញើ</t>
        </is>
      </c>
      <c r="E859" s="285" t="n"/>
      <c r="F859" t="inlineStr">
        <is>
          <t>អាសយដ្ឋាន KH ផ្ញើ</t>
        </is>
      </c>
    </row>
    <row r="860">
      <c r="A860" s="285" t="n"/>
      <c r="B860" s="285" t="inlineStr">
        <is>
          <t>Tỉnh KH nhận</t>
        </is>
      </c>
      <c r="C860" s="285" t="n"/>
      <c r="D860" s="285" t="inlineStr">
        <is>
          <t>ខេត្ត KH ទទួល</t>
        </is>
      </c>
      <c r="E860" s="285" t="n"/>
      <c r="F860" t="inlineStr">
        <is>
          <t>ខេត្ត KH ទទួល</t>
        </is>
      </c>
    </row>
    <row r="861">
      <c r="A861" s="285" t="n"/>
      <c r="B861" s="285" t="inlineStr">
        <is>
          <t>Mã bưu cục</t>
        </is>
      </c>
      <c r="C861" s="285" t="n"/>
      <c r="D861" s="285" t="inlineStr">
        <is>
          <t>លេខកូដការិយាល័យប្រៃសណីយ៍</t>
        </is>
      </c>
      <c r="E861" s="285" t="n"/>
      <c r="F861" t="inlineStr">
        <is>
          <t>លេខកូដការិយាល័យប្រៃសណីយ៍</t>
        </is>
      </c>
    </row>
    <row r="862">
      <c r="A862" s="285" t="n"/>
      <c r="B862" s="285" t="inlineStr">
        <is>
          <t>Chi nhánh</t>
        </is>
      </c>
      <c r="C862" s="285" t="n"/>
      <c r="D862" s="285" t="inlineStr">
        <is>
          <t>សាខា</t>
        </is>
      </c>
      <c r="E862" s="285" t="n"/>
      <c r="F862" t="inlineStr">
        <is>
          <t>សាខា</t>
        </is>
      </c>
    </row>
    <row r="863">
      <c r="A863" s="285" t="n"/>
      <c r="B863" s="285" t="inlineStr">
        <is>
          <t>Mã dịch vụ Viettel</t>
        </is>
      </c>
      <c r="C863" s="285" t="n"/>
      <c r="D863" s="285" t="inlineStr">
        <is>
          <t>លេខកូដសេវាកម្ម</t>
        </is>
      </c>
      <c r="E863" s="285" t="n"/>
      <c r="F863" t="inlineStr">
        <is>
          <t>លេខកូដសេវាកម្ម</t>
        </is>
      </c>
    </row>
    <row r="864">
      <c r="A864" s="285" t="n"/>
      <c r="B864" s="285" t="inlineStr">
        <is>
          <t>Tổng tiền</t>
        </is>
      </c>
      <c r="C864" s="285" t="n"/>
      <c r="D864" s="285" t="inlineStr">
        <is>
          <t>ចំនួនទឹកប្រាក់សរុប</t>
        </is>
      </c>
      <c r="E864" s="285" t="n"/>
      <c r="F864" t="inlineStr">
        <is>
          <t>ចំនួនទឹកប្រាក់សរុប</t>
        </is>
      </c>
    </row>
    <row r="865">
      <c r="A865" s="285" t="n"/>
      <c r="B865" s="285" t="inlineStr">
        <is>
          <t>Bưu tá nhận</t>
        </is>
      </c>
      <c r="C865" s="285" t="n"/>
      <c r="D865" s="285" t="inlineStr">
        <is>
          <t>បុគ្គលិកដឹកជញ្ជូន ទទួល</t>
        </is>
      </c>
      <c r="E865" s="285" t="n"/>
      <c r="F865" t="inlineStr">
        <is>
          <t>បុគ្គលិកដឹកជញ្ជូន ទទួល</t>
        </is>
      </c>
    </row>
    <row r="866">
      <c r="A866" s="285" t="n"/>
      <c r="B866" s="285" t="inlineStr">
        <is>
          <t>Tên bưu tá</t>
        </is>
      </c>
      <c r="C866" s="285" t="n"/>
      <c r="D866" s="285" t="inlineStr">
        <is>
          <t>ឈ្មោះបុគ្គលិកដឹកជញ្ជូន</t>
        </is>
      </c>
      <c r="E866" s="285" t="n"/>
      <c r="F866" t="inlineStr">
        <is>
          <t>ឈ្មោះបុគ្គលិកដឹកជញ្ជូន</t>
        </is>
      </c>
    </row>
    <row r="867">
      <c r="A867" s="285" t="n"/>
      <c r="B867" s="285" t="inlineStr">
        <is>
          <t>Thời gian tồn</t>
        </is>
      </c>
      <c r="C867" s="285" t="n"/>
      <c r="D867" s="285" t="inlineStr">
        <is>
          <t>ពេលវេលាtồn</t>
        </is>
      </c>
      <c r="E867" s="285" t="n"/>
      <c r="F867" t="inlineStr">
        <is>
          <t>ពេលវេលាtồn</t>
        </is>
      </c>
    </row>
    <row r="868">
      <c r="A868" s="285" t="n"/>
      <c r="B868" s="285" t="inlineStr">
        <is>
          <t>Ngày tồn</t>
        </is>
      </c>
      <c r="C868" s="285" t="n"/>
      <c r="D868" s="285" t="inlineStr">
        <is>
          <t>កាលបរិច្ឆេទtồn</t>
        </is>
      </c>
      <c r="E868" s="285" t="n"/>
      <c r="F868" t="inlineStr">
        <is>
          <t>កាលបរិច្ឆេទtồn</t>
        </is>
      </c>
    </row>
    <row r="869">
      <c r="A869" s="285" t="n"/>
      <c r="B869" s="285" t="inlineStr">
        <is>
          <t>Loại cảnh báo</t>
        </is>
      </c>
      <c r="C869" s="285" t="n"/>
      <c r="D869" s="285" t="inlineStr">
        <is>
          <t>ប្រភេទ ការដាស់តឿន</t>
        </is>
      </c>
      <c r="E869" s="285" t="n"/>
      <c r="F869" t="inlineStr">
        <is>
          <t>ប្រភេទ ការដាស់តឿន</t>
        </is>
      </c>
    </row>
    <row r="870">
      <c r="A870" s="285" t="n"/>
      <c r="B870" s="285" t="inlineStr">
        <is>
          <t>Nhóm dịch vụ</t>
        </is>
      </c>
      <c r="C870" s="285" t="n"/>
      <c r="D870" s="285" t="inlineStr">
        <is>
          <t>ក្រុម dịch vụ</t>
        </is>
      </c>
      <c r="E870" s="285" t="n"/>
      <c r="F870" t="inlineStr">
        <is>
          <t>ក្រុម dịch vụ</t>
        </is>
      </c>
    </row>
    <row r="871">
      <c r="A871" s="285" t="n"/>
      <c r="B871" s="285" t="inlineStr">
        <is>
          <t>Thời gian tính toán</t>
        </is>
      </c>
      <c r="C871" s="285" t="n"/>
      <c r="D871" s="285" t="inlineStr">
        <is>
          <t>ពេលវេលាtính toán</t>
        </is>
      </c>
      <c r="E871" s="285" t="n"/>
      <c r="F871" t="inlineStr">
        <is>
          <t>ពេលវេលាtính toán</t>
        </is>
      </c>
    </row>
    <row r="872">
      <c r="A872" s="285" t="n"/>
      <c r="B872" s="285" t="inlineStr">
        <is>
          <t>KH đặc thù gửi</t>
        </is>
      </c>
      <c r="C872" s="285" t="n"/>
      <c r="D872" s="285" t="inlineStr">
        <is>
          <t>KH đặc thù ផ្ញើ</t>
        </is>
      </c>
      <c r="E872" s="285" t="n"/>
      <c r="F872" t="inlineStr">
        <is>
          <t>KH đặc thù ផ្ញើ</t>
        </is>
      </c>
    </row>
    <row r="873">
      <c r="A873" s="285" t="n"/>
      <c r="B873" s="285" t="inlineStr">
        <is>
          <t>KH đặc thù nhận</t>
        </is>
      </c>
      <c r="C873" s="285" t="n"/>
      <c r="D873" s="285" t="inlineStr">
        <is>
          <t>KH đặc thù ទទួល</t>
        </is>
      </c>
      <c r="E873" s="285" t="n"/>
      <c r="F873" t="inlineStr">
        <is>
          <t>KH đặc thù ទទួល</t>
        </is>
      </c>
    </row>
    <row r="874">
      <c r="A874" s="285" t="n"/>
      <c r="B874" s="285" t="inlineStr">
        <is>
          <t>Mã khách hàng gửi</t>
        </is>
      </c>
      <c r="C874" s="285" t="n"/>
      <c r="D874" s="285" t="inlineStr">
        <is>
          <t>លេខកូដអតិថិជនផ្ញើ</t>
        </is>
      </c>
      <c r="E874" s="285" t="n"/>
      <c r="F874" t="inlineStr">
        <is>
          <t>លេខកូដអតិថិជនផ្ញើ</t>
        </is>
      </c>
    </row>
    <row r="875">
      <c r="A875" s="285" t="n"/>
      <c r="B875" s="285" t="inlineStr">
        <is>
          <t>Mã phường xã nhận</t>
        </is>
      </c>
      <c r="C875" s="285" t="n"/>
      <c r="D875" s="285" t="inlineStr">
        <is>
          <t>លេខកូដឃុំ/សង្កាត់ ទទួល</t>
        </is>
      </c>
      <c r="E875" s="285" t="n"/>
      <c r="F875" t="inlineStr">
        <is>
          <t>លេខកូដឃុំ/សង្កាត់ ទទួល</t>
        </is>
      </c>
    </row>
    <row r="876">
      <c r="A876" s="285" t="n"/>
      <c r="B876" s="285" t="inlineStr">
        <is>
          <t>Tên phường xã nhận</t>
        </is>
      </c>
      <c r="C876" s="285" t="n"/>
      <c r="D876" s="285" t="inlineStr">
        <is>
          <t>ឈ្មោះឃុំ/សង្កាត់ ទទួល</t>
        </is>
      </c>
      <c r="E876" s="285" t="n"/>
      <c r="F876" t="inlineStr">
        <is>
          <t>ឈ្មោះឃុំ/សង្កាត់ ទទួល</t>
        </is>
      </c>
    </row>
    <row r="877">
      <c r="A877" s="285" t="n"/>
      <c r="B877" s="285" t="inlineStr">
        <is>
          <t>Đơn dropoff</t>
        </is>
      </c>
      <c r="C877" s="285" t="n"/>
      <c r="D877" s="285" t="inlineStr">
        <is>
          <t>បញ្ញើ dropoff</t>
        </is>
      </c>
      <c r="E877" s="285" t="n"/>
      <c r="F877" t="inlineStr">
        <is>
          <t>បញ្ញើ dropoff</t>
        </is>
      </c>
    </row>
    <row r="878">
      <c r="A878" s="285" t="n"/>
      <c r="B878" s="285" t="inlineStr">
        <is>
          <t>Tên quận huyện nhận</t>
        </is>
      </c>
      <c r="C878" s="285" t="n"/>
      <c r="D878" s="285" t="inlineStr">
        <is>
          <t>ឈ្មោះស្រុក/ខណ្ឌ ទទួល</t>
        </is>
      </c>
      <c r="E878" s="285" t="n"/>
      <c r="F878" t="inlineStr">
        <is>
          <t>ឈ្មោះស្រុក/ខណ្ឌ ទទួល</t>
        </is>
      </c>
    </row>
    <row r="879">
      <c r="A879" s="285" t="n"/>
      <c r="B879" s="285" t="inlineStr">
        <is>
          <t>Mã dịch vụ cộng thêm</t>
        </is>
      </c>
      <c r="C879" s="285" t="n"/>
      <c r="D879" s="285" t="inlineStr">
        <is>
          <t>លេខកូដសេវាកម្មបន្ថែម</t>
        </is>
      </c>
      <c r="E879" s="285" t="n"/>
      <c r="F879" t="inlineStr">
        <is>
          <t>លេខកូដសេវាកម្មបន្ថែម</t>
        </is>
      </c>
    </row>
    <row r="880">
      <c r="A880" s="285" t="n"/>
      <c r="B880" s="285" t="inlineStr">
        <is>
          <t>Cước chính</t>
        </is>
      </c>
      <c r="C880" s="285" t="n"/>
      <c r="D880" s="285" t="inlineStr">
        <is>
          <t>ថ្លៃសេវាចម្បង</t>
        </is>
      </c>
      <c r="E880" s="285" t="n"/>
      <c r="F880" t="inlineStr">
        <is>
          <t>ថ្លៃសេវាចម្បង</t>
        </is>
      </c>
    </row>
    <row r="881">
      <c r="A881" s="285" t="n"/>
      <c r="B881" s="285" t="inlineStr">
        <is>
          <t>Cước dịch vụ gia tăng</t>
        </is>
      </c>
      <c r="C881" s="285" t="n"/>
      <c r="D881" s="285" t="inlineStr">
        <is>
          <t>ថ្លៃសេវាបន្ថែម</t>
        </is>
      </c>
      <c r="E881" s="285" t="n"/>
      <c r="F881" t="inlineStr">
        <is>
          <t>ថ្លៃសេវាបន្ថែម</t>
        </is>
      </c>
    </row>
    <row r="882">
      <c r="A882" s="285" t="n"/>
      <c r="B882" s="285" t="inlineStr">
        <is>
          <t>Giảm giá</t>
        </is>
      </c>
      <c r="C882" s="271" t="n"/>
      <c r="D882" s="271" t="inlineStr">
        <is>
          <t>បញ្ចុះតម្លៃ</t>
        </is>
      </c>
      <c r="E882" s="271" t="n"/>
      <c r="F882" t="inlineStr">
        <is>
          <t>បញ្ចុះតម្លៃ</t>
        </is>
      </c>
    </row>
    <row r="883">
      <c r="A883" s="271" t="n"/>
      <c r="B883" s="286" t="inlineStr">
        <is>
          <t>Tồn phát</t>
        </is>
      </c>
      <c r="C883" s="271" t="n"/>
      <c r="D883" s="271" t="inlineStr">
        <is>
          <t>Tồn ដឹកចែក</t>
        </is>
      </c>
      <c r="E883" s="271" t="n"/>
      <c r="F883" t="inlineStr">
        <is>
          <t>Tồn ដឹកចែក</t>
        </is>
      </c>
    </row>
    <row r="884">
      <c r="A884" s="285" t="n"/>
      <c r="B884" s="285" t="inlineStr">
        <is>
          <t>STT</t>
        </is>
      </c>
      <c r="C884" s="285" t="n"/>
      <c r="D884" s="285" t="inlineStr">
        <is>
          <t>លេខរៀង</t>
        </is>
      </c>
      <c r="E884" s="285" t="n"/>
      <c r="F884" t="inlineStr">
        <is>
          <t>លេខរៀង</t>
        </is>
      </c>
    </row>
    <row r="885">
      <c r="A885" s="285" t="n"/>
      <c r="B885" s="285" t="inlineStr">
        <is>
          <t>Chi nhánh phát</t>
        </is>
      </c>
      <c r="C885" s="285" t="n"/>
      <c r="D885" s="285" t="inlineStr">
        <is>
          <t>សាខាដឹកចែក</t>
        </is>
      </c>
      <c r="E885" s="285" t="n"/>
      <c r="F885" t="inlineStr">
        <is>
          <t>សាខាដឹកចែក</t>
        </is>
      </c>
    </row>
    <row r="886">
      <c r="A886" s="285" t="n"/>
      <c r="B886" s="285" t="inlineStr">
        <is>
          <t>Vùng con</t>
        </is>
      </c>
      <c r="C886" s="285" t="n"/>
      <c r="D886" s="285" t="inlineStr">
        <is>
          <t>តំបន់ con</t>
        </is>
      </c>
      <c r="E886" s="285" t="n"/>
      <c r="F886" t="inlineStr">
        <is>
          <t>តំបន់ con</t>
        </is>
      </c>
    </row>
    <row r="887">
      <c r="A887" s="285" t="n"/>
      <c r="B887" s="285" t="inlineStr">
        <is>
          <t>Bưu cục phát</t>
        </is>
      </c>
      <c r="C887" s="285" t="n"/>
      <c r="D887" s="285" t="inlineStr">
        <is>
          <t>ការិយាល័យប្រៃសណីយ៍ដឹកចែក</t>
        </is>
      </c>
      <c r="E887" s="285" t="n"/>
      <c r="F887" t="inlineStr">
        <is>
          <t>ការិយាល័យប្រៃសណីយ៍ដឹកចែក</t>
        </is>
      </c>
    </row>
    <row r="888">
      <c r="A888" s="285" t="n"/>
      <c r="B888" s="285" t="inlineStr">
        <is>
          <t>Tuyến bưu tá nhận</t>
        </is>
      </c>
      <c r="C888" s="285" t="n"/>
      <c r="D888" s="285" t="inlineStr">
        <is>
          <t>ខ្សែផ្លូវ បុគ្គលិកដឹកជញ្ជូន ទទួល</t>
        </is>
      </c>
      <c r="E888" s="285" t="n"/>
      <c r="F888" t="inlineStr">
        <is>
          <t>ខ្សែផ្លូវ បុគ្គលិកដឹកជញ្ជូន ទទួល</t>
        </is>
      </c>
    </row>
    <row r="889">
      <c r="A889" s="285" t="n"/>
      <c r="B889" s="285" t="inlineStr">
        <is>
          <t>Tổng tồn phát</t>
        </is>
      </c>
      <c r="C889" s="285" t="n"/>
      <c r="D889" s="285" t="inlineStr">
        <is>
          <t>ចំនួនtồn ដឹកចែកសរុប</t>
        </is>
      </c>
      <c r="E889" s="285" t="n"/>
      <c r="F889" t="inlineStr">
        <is>
          <t>ចំនួនtồn ដឹកចែកសរុប</t>
        </is>
      </c>
    </row>
    <row r="890">
      <c r="A890" s="285" t="n"/>
      <c r="B890" s="285" t="inlineStr">
        <is>
          <t>VANG</t>
        </is>
      </c>
      <c r="C890" s="285" t="n"/>
      <c r="D890" s="285" t="inlineStr">
        <is>
          <t>VANG</t>
        </is>
      </c>
      <c r="E890" s="285" t="n"/>
      <c r="F890" t="inlineStr">
        <is>
          <t>VANG</t>
        </is>
      </c>
    </row>
    <row r="891">
      <c r="A891" s="285" t="n"/>
      <c r="B891" s="285" t="inlineStr">
        <is>
          <t>DO_1</t>
        </is>
      </c>
      <c r="C891" s="285" t="n"/>
      <c r="D891" s="285" t="inlineStr">
        <is>
          <t>DO_1</t>
        </is>
      </c>
      <c r="E891" s="285" t="n"/>
      <c r="F891" t="inlineStr">
        <is>
          <t>DO_1</t>
        </is>
      </c>
    </row>
    <row r="892">
      <c r="A892" s="285" t="n"/>
      <c r="B892" s="285" t="inlineStr">
        <is>
          <t>DO_2</t>
        </is>
      </c>
      <c r="C892" s="285" t="n"/>
      <c r="D892" s="285" t="inlineStr">
        <is>
          <t>DO_2</t>
        </is>
      </c>
      <c r="E892" s="285" t="n"/>
      <c r="F892" t="inlineStr">
        <is>
          <t>DO_2</t>
        </is>
      </c>
    </row>
    <row r="893">
      <c r="A893" s="285" t="n"/>
      <c r="B893" s="285" t="inlineStr">
        <is>
          <t>DO_3</t>
        </is>
      </c>
      <c r="C893" s="285" t="n"/>
      <c r="D893" s="285" t="inlineStr">
        <is>
          <t>DO_3</t>
        </is>
      </c>
      <c r="E893" s="285" t="n"/>
      <c r="F893" t="inlineStr">
        <is>
          <t>DO_3</t>
        </is>
      </c>
    </row>
    <row r="894">
      <c r="A894" s="285" t="n"/>
      <c r="B894" s="285" t="inlineStr">
        <is>
          <t>DO_4</t>
        </is>
      </c>
      <c r="C894" s="285" t="n"/>
      <c r="D894" s="285" t="inlineStr">
        <is>
          <t>DO_4</t>
        </is>
      </c>
      <c r="E894" s="285" t="n"/>
      <c r="F894" t="inlineStr">
        <is>
          <t>DO_4</t>
        </is>
      </c>
    </row>
    <row r="895">
      <c r="A895" s="285" t="n"/>
      <c r="B895" s="285" t="inlineStr">
        <is>
          <t>DO_5</t>
        </is>
      </c>
      <c r="C895" s="285" t="n"/>
      <c r="D895" s="285" t="inlineStr">
        <is>
          <t>DO_5</t>
        </is>
      </c>
      <c r="E895" s="285" t="n"/>
      <c r="F895" t="inlineStr">
        <is>
          <t>DO_5</t>
        </is>
      </c>
    </row>
    <row r="896">
      <c r="A896" s="285" t="n"/>
      <c r="B896" s="285" t="inlineStr">
        <is>
          <t>DO_6</t>
        </is>
      </c>
      <c r="C896" s="285" t="n"/>
      <c r="D896" s="285" t="inlineStr">
        <is>
          <t>DO_6</t>
        </is>
      </c>
      <c r="E896" s="285" t="n"/>
      <c r="F896" t="inlineStr">
        <is>
          <t>DO_6</t>
        </is>
      </c>
    </row>
    <row r="897">
      <c r="A897" s="285" t="n"/>
      <c r="B897" s="285" t="inlineStr">
        <is>
          <t>DO_7</t>
        </is>
      </c>
      <c r="C897" s="285" t="n"/>
      <c r="D897" s="285" t="inlineStr">
        <is>
          <t>DO_7</t>
        </is>
      </c>
      <c r="E897" s="285" t="n"/>
      <c r="F897" t="inlineStr">
        <is>
          <t>DO_7</t>
        </is>
      </c>
    </row>
    <row r="898">
      <c r="A898" s="285" t="n"/>
      <c r="B898" s="285" t="inlineStr">
        <is>
          <t>DO_8</t>
        </is>
      </c>
      <c r="C898" s="285" t="n"/>
      <c r="D898" s="285" t="inlineStr">
        <is>
          <t>DO_8</t>
        </is>
      </c>
      <c r="E898" s="285" t="n"/>
      <c r="F898" t="inlineStr">
        <is>
          <t>DO_8</t>
        </is>
      </c>
    </row>
    <row r="899">
      <c r="A899" s="285" t="n"/>
      <c r="B899" s="285" t="inlineStr">
        <is>
          <t>DO_9</t>
        </is>
      </c>
      <c r="C899" s="285" t="n"/>
      <c r="D899" s="285" t="inlineStr">
        <is>
          <t>DO_9</t>
        </is>
      </c>
      <c r="E899" s="285" t="n"/>
      <c r="F899" t="inlineStr">
        <is>
          <t>DO_9</t>
        </is>
      </c>
    </row>
    <row r="900">
      <c r="A900" s="285" t="n"/>
      <c r="B900" s="285" t="inlineStr">
        <is>
          <t>Chưa xác định</t>
        </is>
      </c>
      <c r="C900" s="285" t="n"/>
      <c r="D900" s="285" t="inlineStr">
        <is>
          <t>មិនទាន់កំណត់</t>
        </is>
      </c>
      <c r="E900" s="285" t="n"/>
      <c r="F900" t="inlineStr">
        <is>
          <t>មិនទាន់កំណត់</t>
        </is>
      </c>
    </row>
    <row r="901">
      <c r="A901" s="285" t="n"/>
      <c r="B901" s="285" t="inlineStr">
        <is>
          <t>STT</t>
        </is>
      </c>
      <c r="C901" s="285" t="n"/>
      <c r="D901" s="285" t="inlineStr">
        <is>
          <t>លេខរៀង</t>
        </is>
      </c>
      <c r="E901" s="271" t="n"/>
      <c r="F901" t="inlineStr">
        <is>
          <t>លេខរៀង</t>
        </is>
      </c>
    </row>
    <row r="902">
      <c r="A902" s="285" t="n"/>
      <c r="B902" s="285" t="inlineStr">
        <is>
          <t>Mã phiếu gửi</t>
        </is>
      </c>
      <c r="C902" s="285" t="n"/>
      <c r="D902" s="285" t="inlineStr">
        <is>
          <t>លេខកូដបុងបញ្ញើ</t>
        </is>
      </c>
      <c r="E902" s="271" t="n"/>
      <c r="F902" t="inlineStr">
        <is>
          <t>លេខកូដបុងបញ្ញើ</t>
        </is>
      </c>
    </row>
    <row r="903">
      <c r="A903" s="285" t="n"/>
      <c r="B903" s="285" t="inlineStr">
        <is>
          <t>Tỉnh nhận</t>
        </is>
      </c>
      <c r="C903" s="285" t="n"/>
      <c r="D903" s="285" t="inlineStr">
        <is>
          <t>ខេត្តទទួល</t>
        </is>
      </c>
      <c r="E903" s="271" t="n"/>
      <c r="F903" t="inlineStr">
        <is>
          <t>ខេត្តទទួល</t>
        </is>
      </c>
    </row>
    <row r="904">
      <c r="A904" s="285" t="n"/>
      <c r="B904" s="285" t="inlineStr">
        <is>
          <t>Huyện nhận</t>
        </is>
      </c>
      <c r="C904" s="285" t="n"/>
      <c r="D904" s="285" t="inlineStr">
        <is>
          <t>ស្រុក/ខណ្ឌទទួល</t>
        </is>
      </c>
      <c r="E904" s="271" t="n"/>
      <c r="F904" t="inlineStr">
        <is>
          <t>ស្រុក/ខណ្ឌទទួល</t>
        </is>
      </c>
    </row>
    <row r="905">
      <c r="A905" s="285" t="n"/>
      <c r="B905" s="285" t="inlineStr">
        <is>
          <t>Tên huyện nhận</t>
        </is>
      </c>
      <c r="C905" s="285" t="n"/>
      <c r="D905" s="285" t="inlineStr">
        <is>
          <t>ឈ្មោះស្រុក/ខណ្ឌទទួល</t>
        </is>
      </c>
      <c r="E905" s="271" t="n"/>
      <c r="F905" t="inlineStr">
        <is>
          <t>ឈ្មោះស្រុក/ខណ្ឌទទួល</t>
        </is>
      </c>
    </row>
    <row r="906">
      <c r="A906" s="285" t="n"/>
      <c r="B906" s="285" t="inlineStr">
        <is>
          <t>TTKT FROM</t>
        </is>
      </c>
      <c r="C906" s="285" t="n"/>
      <c r="D906" s="285" t="inlineStr">
        <is>
          <t>TTKT FROM</t>
        </is>
      </c>
      <c r="E906" s="271" t="n"/>
      <c r="F906" t="inlineStr">
        <is>
          <t>TTKT FROM</t>
        </is>
      </c>
    </row>
    <row r="907">
      <c r="A907" s="285" t="n"/>
      <c r="B907" s="285" t="inlineStr">
        <is>
          <t>Tỉnh phát</t>
        </is>
      </c>
      <c r="C907" s="285" t="n"/>
      <c r="D907" s="285" t="inlineStr">
        <is>
          <t>ខេត្តដឹកចែក</t>
        </is>
      </c>
      <c r="E907" s="271" t="n"/>
      <c r="F907" t="inlineStr">
        <is>
          <t>ខេត្តដឹកចែក</t>
        </is>
      </c>
    </row>
    <row r="908">
      <c r="A908" s="285" t="n"/>
      <c r="B908" s="285" t="inlineStr">
        <is>
          <t>Huyện phát</t>
        </is>
      </c>
      <c r="C908" s="285" t="n"/>
      <c r="D908" s="285" t="inlineStr">
        <is>
          <t>ស្រុក/ខណ្ឌដឹកចែក</t>
        </is>
      </c>
      <c r="E908" s="271" t="n"/>
      <c r="F908" t="inlineStr">
        <is>
          <t>ស្រុក/ខណ្ឌដឹកចែក</t>
        </is>
      </c>
    </row>
    <row r="909">
      <c r="A909" s="285" t="n"/>
      <c r="B909" s="285" t="inlineStr">
        <is>
          <t>Tên huyện phát</t>
        </is>
      </c>
      <c r="C909" s="285" t="n"/>
      <c r="D909" s="285" t="inlineStr">
        <is>
          <t>ឈ្មោះស្រុក/ខណ្ឌដឹកចែក</t>
        </is>
      </c>
      <c r="E909" s="271" t="n"/>
      <c r="F909" t="inlineStr">
        <is>
          <t>ឈ្មោះស្រុក/ខណ្ឌដឹកចែក</t>
        </is>
      </c>
    </row>
    <row r="910">
      <c r="A910" s="285" t="n"/>
      <c r="B910" s="285" t="inlineStr">
        <is>
          <t>TTKT TO</t>
        </is>
      </c>
      <c r="C910" s="285" t="n"/>
      <c r="D910" s="285" t="inlineStr">
        <is>
          <t>TTKT TO</t>
        </is>
      </c>
      <c r="E910" s="271" t="n"/>
      <c r="F910" t="inlineStr">
        <is>
          <t>TTKT TO</t>
        </is>
      </c>
    </row>
    <row r="911">
      <c r="A911" s="285" t="n"/>
      <c r="B911" s="285" t="inlineStr">
        <is>
          <t>Mã dịch vụ Viettel</t>
        </is>
      </c>
      <c r="C911" s="285" t="n"/>
      <c r="D911" s="285" t="inlineStr">
        <is>
          <t>លេខកូដសេវាកម្ម</t>
        </is>
      </c>
      <c r="E911" s="271" t="n"/>
      <c r="F911" t="inlineStr">
        <is>
          <t>លេខកូដសេវាកម្ម</t>
        </is>
      </c>
    </row>
    <row r="912">
      <c r="A912" s="285" t="n"/>
      <c r="B912" s="285" t="inlineStr">
        <is>
          <t>Mã bưu cục gốc</t>
        </is>
      </c>
      <c r="C912" s="285" t="n"/>
      <c r="D912" s="285" t="inlineStr">
        <is>
          <t>លេខកូដការិយាល័យប្រៃសណីយ៍ដើម</t>
        </is>
      </c>
      <c r="E912" s="271" t="n"/>
      <c r="F912" t="inlineStr">
        <is>
          <t>លេខកូដការិយាល័យប្រៃសណីយ៍ដើម</t>
        </is>
      </c>
    </row>
    <row r="913">
      <c r="A913" s="285" t="n"/>
      <c r="B913" s="285" t="inlineStr">
        <is>
          <t>Thời gian tác động</t>
        </is>
      </c>
      <c r="C913" s="285" t="n"/>
      <c r="D913" s="285" t="inlineStr">
        <is>
          <t>ពេលវេលាប្រតិបត្តិការ</t>
        </is>
      </c>
      <c r="E913" s="271" t="n"/>
      <c r="F913" t="inlineStr">
        <is>
          <t>ពេលវេលាប្រតិបត្តិការ</t>
        </is>
      </c>
    </row>
    <row r="914">
      <c r="A914" s="285" t="n"/>
      <c r="B914" s="285" t="inlineStr">
        <is>
          <t>Trạng thái</t>
        </is>
      </c>
      <c r="C914" s="285" t="n"/>
      <c r="D914" s="285" t="inlineStr">
        <is>
          <t>ស្ថានភាព</t>
        </is>
      </c>
      <c r="E914" s="271" t="n"/>
      <c r="F914" t="inlineStr">
        <is>
          <t>ស្ថានភាព</t>
        </is>
      </c>
    </row>
    <row r="915">
      <c r="A915" s="285" t="n"/>
      <c r="B915" s="285" t="inlineStr">
        <is>
          <t>Mã bưu cục hiện tại</t>
        </is>
      </c>
      <c r="C915" s="285" t="n"/>
      <c r="D915" s="285" t="inlineStr">
        <is>
          <t>លេខកូដការិយាល័យប្រៃសណីយ៍បច្ចុប្បន្ន</t>
        </is>
      </c>
      <c r="E915" s="271" t="n"/>
      <c r="F915" t="inlineStr">
        <is>
          <t>លេខកូដការិយាល័យប្រៃសណីយ៍បច្ចុប្បន្ន</t>
        </is>
      </c>
    </row>
    <row r="916">
      <c r="A916" s="285" t="n"/>
      <c r="B916" s="285" t="inlineStr">
        <is>
          <t>Chi nhánh hiện tại</t>
        </is>
      </c>
      <c r="C916" s="285" t="n"/>
      <c r="D916" s="285" t="inlineStr">
        <is>
          <t>សាខាបច្ចុប្បន្ន</t>
        </is>
      </c>
      <c r="E916" s="271" t="n"/>
      <c r="F916" t="inlineStr">
        <is>
          <t>សាខាបច្ចុប្បន្ន</t>
        </is>
      </c>
    </row>
    <row r="917">
      <c r="A917" s="285" t="n"/>
      <c r="B917" s="285" t="inlineStr">
        <is>
          <t>Mã đối tác</t>
        </is>
      </c>
      <c r="C917" s="285" t="n"/>
      <c r="D917" s="285" t="inlineStr">
        <is>
          <t>លេខកូដដៃគូ</t>
        </is>
      </c>
      <c r="E917" s="271" t="n"/>
      <c r="F917" t="inlineStr">
        <is>
          <t>លេខកូដដៃគូ</t>
        </is>
      </c>
    </row>
    <row r="918">
      <c r="A918" s="285" t="n"/>
      <c r="B918" s="285" t="inlineStr">
        <is>
          <t>Mã khách hàng gửi</t>
        </is>
      </c>
      <c r="C918" s="285" t="n"/>
      <c r="D918" s="285" t="inlineStr">
        <is>
          <t>លេខកូដអតិថិជនផ្ញើ</t>
        </is>
      </c>
      <c r="E918" s="271" t="n"/>
      <c r="F918" t="inlineStr">
        <is>
          <t>លេខកូដអតិថិជនផ្ញើ</t>
        </is>
      </c>
    </row>
    <row r="919">
      <c r="A919" s="285" t="n"/>
      <c r="B919" s="285" t="inlineStr">
        <is>
          <t>Mã bưu cục phát</t>
        </is>
      </c>
      <c r="C919" s="285" t="n"/>
      <c r="D919" s="285" t="inlineStr">
        <is>
          <t>លេខកូដការិយាល័យប្រៃសណីយ៍ដឹកចែក</t>
        </is>
      </c>
      <c r="E919" s="271" t="n"/>
      <c r="F919" t="inlineStr">
        <is>
          <t>លេខកូដការិយាល័យប្រៃសណីយ៍ដឹកចែក</t>
        </is>
      </c>
    </row>
    <row r="920">
      <c r="A920" s="285" t="n"/>
      <c r="B920" s="285" t="inlineStr">
        <is>
          <t>Thời gian phân công phát cuối cùng</t>
        </is>
      </c>
      <c r="C920" s="285" t="n"/>
      <c r="D920" s="285" t="inlineStr">
        <is>
          <t>ពេលវេលាphân công ដឹកចែក cuối cùng</t>
        </is>
      </c>
      <c r="E920" s="271" t="n"/>
      <c r="F920" t="inlineStr">
        <is>
          <t>ពេលវេលាphân công ដឹកចែក cuối cùng</t>
        </is>
      </c>
    </row>
    <row r="921">
      <c r="A921" s="285" t="n"/>
      <c r="B921" s="285" t="inlineStr">
        <is>
          <t>Thời gian phân công phát đầu tiên</t>
        </is>
      </c>
      <c r="C921" s="285" t="n"/>
      <c r="D921" s="285" t="inlineStr">
        <is>
          <t>ពេលវេលាphân công ដឹកចែក đầu tiên</t>
        </is>
      </c>
      <c r="E921" s="271" t="n"/>
      <c r="F921" t="inlineStr">
        <is>
          <t>ពេលវេលាphân công ដឹកចែក đầu tiên</t>
        </is>
      </c>
    </row>
    <row r="922">
      <c r="A922" s="285" t="n"/>
      <c r="B922" s="285" t="inlineStr">
        <is>
          <t>Ngày gửi bưu phẩm</t>
        </is>
      </c>
      <c r="C922" s="285" t="n"/>
      <c r="D922" s="285" t="inlineStr">
        <is>
          <t>កាលបរិច្ឆេទផ្ញើបញ្ញើ</t>
        </is>
      </c>
      <c r="E922" s="271" t="n"/>
      <c r="F922" t="inlineStr">
        <is>
          <t>កាលបរិច្ឆេទផ្ញើបញ្ញើ</t>
        </is>
      </c>
    </row>
    <row r="923">
      <c r="A923" s="285" t="n"/>
      <c r="B923" s="285" t="inlineStr">
        <is>
          <t>Loại phiếu gửi</t>
        </is>
      </c>
      <c r="C923" s="285" t="n"/>
      <c r="D923" s="285" t="inlineStr">
        <is>
          <t>ប្រភេទ phiếu ផ្ញើ</t>
        </is>
      </c>
      <c r="E923" s="271" t="n"/>
      <c r="F923" t="inlineStr">
        <is>
          <t>ប្រភេទ phiếu ផ្ញើ</t>
        </is>
      </c>
    </row>
    <row r="924">
      <c r="A924" s="285" t="n"/>
      <c r="B924" s="285" t="inlineStr">
        <is>
          <t>Lần phát</t>
        </is>
      </c>
      <c r="C924" s="285" t="n"/>
      <c r="D924" s="285" t="inlineStr">
        <is>
          <t>Lần ដឹកចែក</t>
        </is>
      </c>
      <c r="E924" s="271" t="n"/>
      <c r="F924" t="inlineStr">
        <is>
          <t>Lần ដឹកចែក</t>
        </is>
      </c>
    </row>
    <row r="925">
      <c r="A925" s="285" t="n"/>
      <c r="B925" s="285" t="inlineStr">
        <is>
          <t>Bưu tá phát</t>
        </is>
      </c>
      <c r="C925" s="285" t="n"/>
      <c r="D925" s="285" t="inlineStr">
        <is>
          <t>បុគ្គលិកដឹកជញ្ជូន ដឹកចែក</t>
        </is>
      </c>
      <c r="E925" s="271" t="n"/>
      <c r="F925" t="inlineStr">
        <is>
          <t>បុគ្គលិកដឹកជញ្ជូន ដឹកចែក</t>
        </is>
      </c>
    </row>
    <row r="926">
      <c r="A926" s="285" t="n"/>
      <c r="B926" s="285" t="inlineStr">
        <is>
          <t>Tiền COD</t>
        </is>
      </c>
      <c r="C926" s="285" t="n"/>
      <c r="D926" s="285" t="inlineStr">
        <is>
          <t>ប្រាក់ COD</t>
        </is>
      </c>
      <c r="E926" s="271" t="n"/>
      <c r="F926" t="inlineStr">
        <is>
          <t>ប្រាក់ COD</t>
        </is>
      </c>
    </row>
    <row r="927">
      <c r="A927" s="285" t="n"/>
      <c r="B927" s="285" t="inlineStr">
        <is>
          <t>Thời gian quy định</t>
        </is>
      </c>
      <c r="C927" s="285" t="n"/>
      <c r="D927" s="285" t="inlineStr">
        <is>
          <t>ពេលវេលាquy định</t>
        </is>
      </c>
      <c r="E927" s="271" t="n"/>
      <c r="F927" t="inlineStr">
        <is>
          <t>ពេលវេលាquy định</t>
        </is>
      </c>
    </row>
    <row r="928">
      <c r="A928" s="285" t="n"/>
      <c r="B928" s="285" t="inlineStr">
        <is>
          <t>Thời gian toàn trình thực tế</t>
        </is>
      </c>
      <c r="C928" s="285" t="n"/>
      <c r="D928" s="285" t="inlineStr">
        <is>
          <t>ពេលវេលាtoàn trình thực tế</t>
        </is>
      </c>
      <c r="E928" s="271" t="n"/>
      <c r="F928" t="inlineStr">
        <is>
          <t>ពេលវេលាtoàn trình thực tế</t>
        </is>
      </c>
    </row>
    <row r="929">
      <c r="A929" s="285" t="n"/>
      <c r="B929" s="285" t="inlineStr">
        <is>
          <t>Thời gian chênh lệch</t>
        </is>
      </c>
      <c r="C929" s="285" t="n"/>
      <c r="D929" s="285" t="inlineStr">
        <is>
          <t>ពេលវេលាchênh lệch</t>
        </is>
      </c>
      <c r="E929" s="271" t="n"/>
      <c r="F929" t="inlineStr">
        <is>
          <t>ពេលវេលាchênh lệch</t>
        </is>
      </c>
    </row>
    <row r="930">
      <c r="A930" s="285" t="n"/>
      <c r="B930" s="285" t="inlineStr">
        <is>
          <t>IS_CHECKED (Loại tồn)</t>
        </is>
      </c>
      <c r="C930" s="285" t="n"/>
      <c r="D930" s="285" t="inlineStr">
        <is>
          <t>IS_CHECKED (ប្រភេទ tồn)</t>
        </is>
      </c>
      <c r="E930" s="271" t="n"/>
      <c r="F930" t="inlineStr">
        <is>
          <t>IS_CHECKED (ប្រភេទ tồn)</t>
        </is>
      </c>
    </row>
    <row r="931">
      <c r="A931" s="285" t="n"/>
      <c r="B931" s="285" t="inlineStr">
        <is>
          <t>Loại phân công phát</t>
        </is>
      </c>
      <c r="C931" s="285" t="n"/>
      <c r="D931" s="285" t="inlineStr">
        <is>
          <t>ប្រភេទ phân công ដឹកចែក</t>
        </is>
      </c>
      <c r="E931" s="271" t="n"/>
      <c r="F931" t="inlineStr">
        <is>
          <t>ប្រភេទ phân công ដឹកចែក</t>
        </is>
      </c>
    </row>
    <row r="932">
      <c r="A932" s="285" t="n"/>
      <c r="B932" s="285" t="inlineStr">
        <is>
          <t>Ngày báo cáo</t>
        </is>
      </c>
      <c r="C932" s="285" t="n"/>
      <c r="D932" s="285" t="inlineStr">
        <is>
          <t>កាលបរិច្ឆេទរបាយការណ៍</t>
        </is>
      </c>
      <c r="E932" s="271" t="n"/>
      <c r="F932" t="inlineStr">
        <is>
          <t>កាលបរិច្ឆេទរបាយការណ៍</t>
        </is>
      </c>
    </row>
    <row r="933">
      <c r="A933" s="285" t="n"/>
      <c r="B933" s="285" t="inlineStr">
        <is>
          <t>Loại cảnh báo</t>
        </is>
      </c>
      <c r="C933" s="285" t="n"/>
      <c r="D933" s="285" t="inlineStr">
        <is>
          <t>ប្រភេទ ការដាស់តឿន</t>
        </is>
      </c>
      <c r="E933" s="271" t="n"/>
      <c r="F933" t="inlineStr">
        <is>
          <t>ប្រភេទ ការដាស់តឿន</t>
        </is>
      </c>
    </row>
    <row r="934">
      <c r="A934" s="285" t="n"/>
      <c r="B934" s="285" t="inlineStr">
        <is>
          <t>Đánh giá mốc LM</t>
        </is>
      </c>
      <c r="C934" s="285" t="n"/>
      <c r="D934" s="285" t="inlineStr">
        <is>
          <t>ការវាយតម្លៃ mốc LM</t>
        </is>
      </c>
      <c r="E934" s="271" t="n"/>
      <c r="F934" t="inlineStr">
        <is>
          <t>ការវាយតម្លៃ mốc LM</t>
        </is>
      </c>
    </row>
    <row r="935">
      <c r="A935" s="285" t="n"/>
      <c r="B935" s="285" t="inlineStr">
        <is>
          <t>Nhóm dịch vụ</t>
        </is>
      </c>
      <c r="C935" s="285" t="n"/>
      <c r="D935" s="285" t="inlineStr">
        <is>
          <t>ក្រុម dịch vụ</t>
        </is>
      </c>
      <c r="E935" s="271" t="n"/>
      <c r="F935" t="inlineStr">
        <is>
          <t>ក្រុម dịch vụ</t>
        </is>
      </c>
    </row>
    <row r="936">
      <c r="A936" s="285" t="n"/>
      <c r="B936" s="285" t="inlineStr">
        <is>
          <t>Trọng lượng</t>
        </is>
      </c>
      <c r="C936" s="285" t="n"/>
      <c r="D936" s="285" t="inlineStr">
        <is>
          <t>ទម្ងន់</t>
        </is>
      </c>
      <c r="E936" s="271" t="n"/>
      <c r="F936" t="inlineStr">
        <is>
          <t>ទម្ងន់</t>
        </is>
      </c>
    </row>
    <row r="937">
      <c r="A937" s="285" t="n"/>
      <c r="B937" s="285" t="inlineStr">
        <is>
          <t>Hàng hóa</t>
        </is>
      </c>
      <c r="C937" s="285" t="n"/>
      <c r="D937" s="285" t="inlineStr">
        <is>
          <t>ទំនិញ</t>
        </is>
      </c>
      <c r="E937" s="271" t="n"/>
      <c r="F937" t="inlineStr">
        <is>
          <t>ទំនិញ</t>
        </is>
      </c>
    </row>
    <row r="938">
      <c r="A938" s="285" t="n"/>
      <c r="B938" s="285" t="inlineStr">
        <is>
          <t>KH đặc thù gửi</t>
        </is>
      </c>
      <c r="C938" s="285" t="n"/>
      <c r="D938" s="285" t="inlineStr">
        <is>
          <t>KH đặc thù ផ្ញើ</t>
        </is>
      </c>
      <c r="E938" s="271" t="n"/>
      <c r="F938" t="inlineStr">
        <is>
          <t>KH đặc thù ផ្ញើ</t>
        </is>
      </c>
    </row>
    <row r="939">
      <c r="A939" s="285" t="n"/>
      <c r="B939" s="285" t="inlineStr">
        <is>
          <t>KH đặc thù nhận</t>
        </is>
      </c>
      <c r="C939" s="285" t="n"/>
      <c r="D939" s="285" t="inlineStr">
        <is>
          <t>KH đặc thù ទទួល</t>
        </is>
      </c>
      <c r="E939" s="271" t="n"/>
      <c r="F939" t="inlineStr">
        <is>
          <t>KH đặc thù ទទួល</t>
        </is>
      </c>
    </row>
    <row r="940">
      <c r="A940" s="285" t="n"/>
      <c r="B940" s="285" t="inlineStr">
        <is>
          <t>Mã phường xã phát</t>
        </is>
      </c>
      <c r="C940" s="285" t="n"/>
      <c r="D940" s="285" t="inlineStr">
        <is>
          <t>លេខកូដឃុំ/សង្កាត់ ដឹកចែក</t>
        </is>
      </c>
      <c r="E940" s="271" t="n"/>
      <c r="F940" t="inlineStr">
        <is>
          <t>លេខកូដឃុំ/សង្កាត់ ដឹកចែក</t>
        </is>
      </c>
    </row>
    <row r="941">
      <c r="A941" s="285" t="n"/>
      <c r="B941" s="285" t="inlineStr">
        <is>
          <t>Tên phường xã phát</t>
        </is>
      </c>
      <c r="C941" s="285" t="n"/>
      <c r="D941" s="285" t="inlineStr">
        <is>
          <t>ឈ្មោះឃុំ/សង្កាត់ ដឹកចែក</t>
        </is>
      </c>
      <c r="E941" s="271" t="n"/>
      <c r="F941" t="inlineStr">
        <is>
          <t>ឈ្មោះឃុំ/សង្កាត់ ដឹកចែក</t>
        </is>
      </c>
    </row>
    <row r="942">
      <c r="A942" s="285" t="n"/>
      <c r="B942" s="285" t="inlineStr">
        <is>
          <t>Mã dịch vụ cộng thêm</t>
        </is>
      </c>
      <c r="C942" s="285" t="n"/>
      <c r="D942" s="285" t="inlineStr">
        <is>
          <t>លេខកូដសេវាកម្មបន្ថែម</t>
        </is>
      </c>
      <c r="E942" s="271" t="n"/>
      <c r="F942" t="inlineStr">
        <is>
          <t>លេខកូដសេវាកម្មបន្ថែម</t>
        </is>
      </c>
    </row>
    <row r="943">
      <c r="A943" s="285" t="n"/>
      <c r="B943" s="285" t="inlineStr">
        <is>
          <t>Thời gian tồn PCP cuối cùng</t>
        </is>
      </c>
      <c r="C943" s="285" t="n"/>
      <c r="D943" s="285" t="inlineStr">
        <is>
          <t>ពេលវេលាtồn PCP cuối cùng</t>
        </is>
      </c>
      <c r="E943" s="271" t="n"/>
      <c r="F943" t="inlineStr">
        <is>
          <t>ពេលវេលាtồn PCP cuối cùng</t>
        </is>
      </c>
    </row>
    <row r="944">
      <c r="A944" s="285" t="n"/>
      <c r="B944" s="285" t="inlineStr">
        <is>
          <t>Loại đơn</t>
        </is>
      </c>
      <c r="C944" s="285" t="n"/>
      <c r="D944" s="285" t="inlineStr">
        <is>
          <t>ប្រភេទ បញ្ញើ</t>
        </is>
      </c>
      <c r="E944" s="271" t="n"/>
      <c r="F944" t="inlineStr">
        <is>
          <t>ប្រភេទ បញ្ញើ</t>
        </is>
      </c>
    </row>
    <row r="945">
      <c r="A945" s="271" t="n"/>
      <c r="B945" s="286" t="inlineStr">
        <is>
          <t>Tồn nhập máy chưa kết nối</t>
        </is>
      </c>
      <c r="C945" s="271" t="n"/>
      <c r="D945" s="271" t="inlineStr">
        <is>
          <t>បញ្ញើបញ្ចូលប្រព័ន្ធហើយមិនទាន់តភ្ជាប់បន្ត</t>
        </is>
      </c>
      <c r="E945" s="271" t="n"/>
      <c r="F945" t="inlineStr">
        <is>
          <t>បញ្ញើបញ្ចូលប្រព័ន្ធហើយមិនទាន់តភ្ជាប់បន្ត</t>
        </is>
      </c>
    </row>
    <row r="946">
      <c r="A946" s="285" t="n"/>
      <c r="B946" s="285" t="inlineStr">
        <is>
          <t>Ngày báo cáo</t>
        </is>
      </c>
      <c r="C946" s="285" t="n"/>
      <c r="D946" s="285" t="inlineStr">
        <is>
          <t>កាលបរិច្ឆេទរបាយការណ៍</t>
        </is>
      </c>
      <c r="E946" s="271" t="n"/>
      <c r="F946" t="inlineStr">
        <is>
          <t>កាលបរិច្ឆេទរបាយការណ៍</t>
        </is>
      </c>
    </row>
    <row r="947">
      <c r="A947" s="285" t="n"/>
      <c r="B947" s="285" t="inlineStr">
        <is>
          <t>Mã phiếu gửi</t>
        </is>
      </c>
      <c r="C947" s="285" t="n"/>
      <c r="D947" s="285" t="inlineStr">
        <is>
          <t>លេខកូដបុងបញ្ញើ</t>
        </is>
      </c>
      <c r="E947" s="271" t="n"/>
      <c r="F947" t="inlineStr">
        <is>
          <t>លេខកូដបុងបញ្ញើ</t>
        </is>
      </c>
    </row>
    <row r="948">
      <c r="A948" s="285" t="n"/>
      <c r="B948" s="285" t="inlineStr">
        <is>
          <t>Tỉnh nhận</t>
        </is>
      </c>
      <c r="C948" s="285" t="n"/>
      <c r="D948" s="285" t="inlineStr">
        <is>
          <t>ខេត្តទទួល</t>
        </is>
      </c>
      <c r="E948" s="271" t="n"/>
      <c r="F948" t="inlineStr">
        <is>
          <t>ខេត្តទទួល</t>
        </is>
      </c>
    </row>
    <row r="949">
      <c r="A949" s="285" t="n"/>
      <c r="B949" s="285" t="inlineStr">
        <is>
          <t>Huyện nhận</t>
        </is>
      </c>
      <c r="C949" s="285" t="n"/>
      <c r="D949" s="285" t="inlineStr">
        <is>
          <t>ស្រុក/ខណ្ឌទទួល</t>
        </is>
      </c>
      <c r="E949" s="271" t="n"/>
      <c r="F949" t="inlineStr">
        <is>
          <t>ស្រុក/ខណ្ឌទទួល</t>
        </is>
      </c>
    </row>
    <row r="950">
      <c r="A950" s="285" t="n"/>
      <c r="B950" s="285" t="inlineStr">
        <is>
          <t>Tên huyện nhận</t>
        </is>
      </c>
      <c r="C950" s="285" t="n"/>
      <c r="D950" s="285" t="inlineStr">
        <is>
          <t>ឈ្មោះស្រុក/ខណ្ឌទទួល</t>
        </is>
      </c>
      <c r="E950" s="271" t="n"/>
      <c r="F950" t="inlineStr">
        <is>
          <t>ឈ្មោះស្រុក/ខណ្ឌទទួល</t>
        </is>
      </c>
    </row>
    <row r="951">
      <c r="A951" s="285" t="n"/>
      <c r="B951" s="285" t="inlineStr">
        <is>
          <t>Tỉnh phát</t>
        </is>
      </c>
      <c r="C951" s="285" t="n"/>
      <c r="D951" s="285" t="inlineStr">
        <is>
          <t>ខេត្តដឹកចែក</t>
        </is>
      </c>
      <c r="E951" s="271" t="n"/>
      <c r="F951" t="inlineStr">
        <is>
          <t>ខេត្តដឹកចែក</t>
        </is>
      </c>
    </row>
    <row r="952">
      <c r="A952" s="285" t="n"/>
      <c r="B952" s="285" t="inlineStr">
        <is>
          <t>Huyện phát</t>
        </is>
      </c>
      <c r="C952" s="285" t="n"/>
      <c r="D952" s="285" t="inlineStr">
        <is>
          <t>ស្រុក/ខណ្ឌដឹកចែក</t>
        </is>
      </c>
      <c r="E952" s="271" t="n"/>
      <c r="F952" t="inlineStr">
        <is>
          <t>ស្រុក/ខណ្ឌដឹកចែក</t>
        </is>
      </c>
    </row>
    <row r="953">
      <c r="A953" s="285" t="n"/>
      <c r="B953" s="285" t="inlineStr">
        <is>
          <t>Tên huyện phát</t>
        </is>
      </c>
      <c r="C953" s="285" t="n"/>
      <c r="D953" s="285" t="inlineStr">
        <is>
          <t>ឈ្មោះស្រុក/ខណ្ឌដឹកចែក</t>
        </is>
      </c>
      <c r="E953" s="271" t="n"/>
      <c r="F953" t="inlineStr">
        <is>
          <t>ឈ្មោះស្រុក/ខណ្ឌដឹកចែក</t>
        </is>
      </c>
    </row>
    <row r="954">
      <c r="A954" s="285" t="n"/>
      <c r="B954" s="285" t="inlineStr">
        <is>
          <t>Mã dịch vụ Viettel</t>
        </is>
      </c>
      <c r="C954" s="285" t="n"/>
      <c r="D954" s="285" t="inlineStr">
        <is>
          <t>លេខកូដសេវាកម្ម</t>
        </is>
      </c>
      <c r="E954" s="271" t="n"/>
      <c r="F954" t="inlineStr">
        <is>
          <t>លេខកូដសេវាកម្ម</t>
        </is>
      </c>
    </row>
    <row r="955">
      <c r="A955" s="285" t="n"/>
      <c r="B955" s="285" t="inlineStr">
        <is>
          <t>Mã bưu cục gốc</t>
        </is>
      </c>
      <c r="C955" s="285" t="n"/>
      <c r="D955" s="285" t="inlineStr">
        <is>
          <t>លេខកូដការិយាល័យប្រៃសណីយ៍ដើម</t>
        </is>
      </c>
      <c r="E955" s="271" t="n"/>
      <c r="F955" t="inlineStr">
        <is>
          <t>លេខកូដការិយាល័យប្រៃសណីយ៍ដើម</t>
        </is>
      </c>
    </row>
    <row r="956">
      <c r="A956" s="285" t="n"/>
      <c r="B956" s="285" t="inlineStr">
        <is>
          <t>Thời gian tác động</t>
        </is>
      </c>
      <c r="C956" s="285" t="n"/>
      <c r="D956" s="285" t="inlineStr">
        <is>
          <t>ពេលវេលាប្រតិបត្តិការ</t>
        </is>
      </c>
      <c r="E956" s="271" t="n"/>
      <c r="F956" t="inlineStr">
        <is>
          <t>ពេលវេលាប្រតិបត្តិការ</t>
        </is>
      </c>
    </row>
    <row r="957">
      <c r="A957" s="285" t="n"/>
      <c r="B957" s="285" t="inlineStr">
        <is>
          <t>Trạng thái</t>
        </is>
      </c>
      <c r="C957" s="285" t="n"/>
      <c r="D957" s="285" t="inlineStr">
        <is>
          <t>ស្ថានភាព</t>
        </is>
      </c>
      <c r="E957" s="271" t="n"/>
      <c r="F957" t="inlineStr">
        <is>
          <t>ស្ថានភាព</t>
        </is>
      </c>
    </row>
    <row r="958">
      <c r="A958" s="285" t="n"/>
      <c r="B958" s="285" t="inlineStr">
        <is>
          <t>Mã bưu cục hiện tại</t>
        </is>
      </c>
      <c r="C958" s="285" t="n"/>
      <c r="D958" s="285" t="inlineStr">
        <is>
          <t>លេខកូដការិយាល័យប្រៃសណីយ៍បច្ចុប្បន្ន</t>
        </is>
      </c>
      <c r="E958" s="271" t="n"/>
      <c r="F958" t="inlineStr">
        <is>
          <t>លេខកូដការិយាល័យប្រៃសណីយ៍បច្ចុប្បន្ន</t>
        </is>
      </c>
    </row>
    <row r="959">
      <c r="A959" s="285" t="n"/>
      <c r="B959" s="285" t="inlineStr">
        <is>
          <t>Chi nhánh hiện tại</t>
        </is>
      </c>
      <c r="C959" s="285" t="n"/>
      <c r="D959" s="285" t="inlineStr">
        <is>
          <t>សាខាបច្ចុប្បន្ន</t>
        </is>
      </c>
      <c r="E959" s="271" t="n"/>
      <c r="F959" t="inlineStr">
        <is>
          <t>សាខាបច្ចុប្បន្ន</t>
        </is>
      </c>
    </row>
    <row r="960">
      <c r="A960" s="285" t="n"/>
      <c r="B960" s="285" t="inlineStr">
        <is>
          <t>Mã đối tác</t>
        </is>
      </c>
      <c r="C960" s="285" t="n"/>
      <c r="D960" s="285" t="inlineStr">
        <is>
          <t>លេខកូដដៃគូ</t>
        </is>
      </c>
      <c r="E960" s="271" t="n"/>
      <c r="F960" t="inlineStr">
        <is>
          <t>លេខកូដដៃគូ</t>
        </is>
      </c>
    </row>
    <row r="961">
      <c r="A961" s="285" t="n"/>
      <c r="B961" s="285" t="inlineStr">
        <is>
          <t>Mã khách hàng gửi</t>
        </is>
      </c>
      <c r="C961" s="285" t="n"/>
      <c r="D961" s="285" t="inlineStr">
        <is>
          <t>លេខកូដអតិថិជនផ្ញើ</t>
        </is>
      </c>
      <c r="E961" s="271" t="n"/>
      <c r="F961" t="inlineStr">
        <is>
          <t>លេខកូដអតិថិជនផ្ញើ</t>
        </is>
      </c>
    </row>
    <row r="962">
      <c r="A962" s="285" t="n"/>
      <c r="B962" s="285" t="inlineStr">
        <is>
          <t>Mã bưu cục phát</t>
        </is>
      </c>
      <c r="C962" s="285" t="n"/>
      <c r="D962" s="285" t="inlineStr">
        <is>
          <t>លេខកូដការិយាល័យប្រៃសណីយ៍ដឹកចែក</t>
        </is>
      </c>
      <c r="E962" s="271" t="n"/>
      <c r="F962" t="inlineStr">
        <is>
          <t>លេខកូដការិយាល័យប្រៃសណីយ៍ដឹកចែក</t>
        </is>
      </c>
    </row>
    <row r="963">
      <c r="A963" s="285" t="n"/>
      <c r="B963" s="285" t="inlineStr">
        <is>
          <t>Ngày gửi bưu phẩm</t>
        </is>
      </c>
      <c r="C963" s="285" t="n"/>
      <c r="D963" s="285" t="inlineStr">
        <is>
          <t>កាលបរិច្ឆេទផ្ញើបញ្ញើ</t>
        </is>
      </c>
      <c r="E963" s="271" t="n"/>
      <c r="F963" t="inlineStr">
        <is>
          <t>កាលបរិច្ឆេទផ្ញើបញ្ញើ</t>
        </is>
      </c>
    </row>
    <row r="964">
      <c r="A964" s="285" t="n"/>
      <c r="B964" s="285" t="inlineStr">
        <is>
          <t>Tiền COD</t>
        </is>
      </c>
      <c r="C964" s="285" t="n"/>
      <c r="D964" s="285" t="inlineStr">
        <is>
          <t>ប្រាក់ COD</t>
        </is>
      </c>
      <c r="E964" s="271" t="n"/>
      <c r="F964" t="inlineStr">
        <is>
          <t>ប្រាក់ COD</t>
        </is>
      </c>
    </row>
    <row r="965">
      <c r="A965" s="285" t="n"/>
      <c r="B965" s="285" t="inlineStr">
        <is>
          <t>Người nhập máy</t>
        </is>
      </c>
      <c r="C965" s="285" t="n"/>
      <c r="D965" s="285" t="inlineStr">
        <is>
          <t>អ្នកបញ្ចូលទិន្នន័យ</t>
        </is>
      </c>
      <c r="E965" s="271" t="n"/>
      <c r="F965" t="inlineStr">
        <is>
          <t>អ្នកបញ្ចូលទិន្នន័យ</t>
        </is>
      </c>
    </row>
    <row r="966">
      <c r="A966" s="285" t="n"/>
      <c r="B966" s="285" t="inlineStr">
        <is>
          <t>Ngày nhập máy</t>
        </is>
      </c>
      <c r="C966" s="285" t="n"/>
      <c r="D966" s="285" t="inlineStr">
        <is>
          <t>កាលបរិច្ឆេទបញ្ចូលប្រព័ន្ធ</t>
        </is>
      </c>
      <c r="E966" s="271" t="n"/>
      <c r="F966" t="inlineStr">
        <is>
          <t>កាលបរិច្ឆេទបញ្ចូលប្រព័ន្ធ</t>
        </is>
      </c>
    </row>
    <row r="967">
      <c r="A967" s="285" t="n"/>
      <c r="B967" s="285" t="inlineStr">
        <is>
          <t>Loại hàng hóa</t>
        </is>
      </c>
      <c r="C967" s="285" t="n"/>
      <c r="D967" s="285" t="inlineStr">
        <is>
          <t>ប្រភេទមុខទំនិញ</t>
        </is>
      </c>
      <c r="E967" s="271" t="n"/>
      <c r="F967" t="inlineStr">
        <is>
          <t>ប្រភេទមុខទំនិញ</t>
        </is>
      </c>
    </row>
    <row r="968">
      <c r="A968" s="285" t="n"/>
      <c r="B968" s="285" t="inlineStr">
        <is>
          <t>Tiền cước</t>
        </is>
      </c>
      <c r="C968" s="285" t="n"/>
      <c r="D968" s="285" t="inlineStr">
        <is>
          <t>ថ្លៃដឹកជញ្ជូន</t>
        </is>
      </c>
      <c r="E968" s="271" t="n"/>
      <c r="F968" t="inlineStr">
        <is>
          <t>ថ្លៃដឹកជញ្ជូន</t>
        </is>
      </c>
    </row>
    <row r="969">
      <c r="A969" s="285" t="n"/>
      <c r="B969" s="285" t="inlineStr">
        <is>
          <t>Mã dịch vụ cộng thêm</t>
        </is>
      </c>
      <c r="C969" s="285" t="n"/>
      <c r="D969" s="285" t="inlineStr">
        <is>
          <t>លេខកូដសេវាកម្មបន្ថែម</t>
        </is>
      </c>
      <c r="E969" s="271" t="n"/>
      <c r="F969" t="inlineStr">
        <is>
          <t>លេខកូដសេវាកម្មបន្ថែម</t>
        </is>
      </c>
    </row>
    <row r="970">
      <c r="A970" s="271" t="n"/>
      <c r="B970" s="286" t="inlineStr">
        <is>
          <t>Tồn trạng thái</t>
        </is>
      </c>
      <c r="C970" s="271" t="n"/>
      <c r="D970" s="271" t="inlineStr">
        <is>
          <t>Tồn ស្ថានភាព</t>
        </is>
      </c>
      <c r="E970" s="271" t="n"/>
      <c r="F970" t="inlineStr">
        <is>
          <t>Tồn ស្ថានភាព</t>
        </is>
      </c>
    </row>
    <row r="971">
      <c r="A971" s="285" t="n"/>
      <c r="B971" s="285" t="inlineStr">
        <is>
          <t>Ngày báo cáo</t>
        </is>
      </c>
      <c r="C971" s="285" t="n"/>
      <c r="D971" s="285" t="inlineStr">
        <is>
          <t>កាលបរិច្ឆេទរបាយការណ៍</t>
        </is>
      </c>
      <c r="E971" s="271" t="n"/>
      <c r="F971" t="inlineStr">
        <is>
          <t>កាលបរិច្ឆេទរបាយការណ៍</t>
        </is>
      </c>
    </row>
    <row r="972">
      <c r="A972" s="285" t="n"/>
      <c r="B972" s="285" t="inlineStr">
        <is>
          <t>Mã phiếu gửi</t>
        </is>
      </c>
      <c r="C972" s="285" t="n"/>
      <c r="D972" s="285" t="inlineStr">
        <is>
          <t>លេខកូដបុងបញ្ញើ</t>
        </is>
      </c>
      <c r="E972" s="271" t="n"/>
      <c r="F972" t="inlineStr">
        <is>
          <t>លេខកូដបុងបញ្ញើ</t>
        </is>
      </c>
    </row>
    <row r="973">
      <c r="A973" s="285" t="n"/>
      <c r="B973" s="285" t="inlineStr">
        <is>
          <t>Tỉnh nhận</t>
        </is>
      </c>
      <c r="C973" s="285" t="n"/>
      <c r="D973" s="285" t="inlineStr">
        <is>
          <t>ខេត្តទទួល</t>
        </is>
      </c>
      <c r="E973" s="271" t="n"/>
      <c r="F973" t="inlineStr">
        <is>
          <t>ខេត្តទទួល</t>
        </is>
      </c>
    </row>
    <row r="974">
      <c r="A974" s="285" t="n"/>
      <c r="B974" s="285" t="inlineStr">
        <is>
          <t>Huyện nhận</t>
        </is>
      </c>
      <c r="C974" s="285" t="n"/>
      <c r="D974" s="285" t="inlineStr">
        <is>
          <t>ស្រុក/ខណ្ឌទទួល</t>
        </is>
      </c>
      <c r="E974" s="271" t="n"/>
      <c r="F974" t="inlineStr">
        <is>
          <t>ស្រុក/ខណ្ឌទទួល</t>
        </is>
      </c>
    </row>
    <row r="975">
      <c r="A975" s="285" t="n"/>
      <c r="B975" s="285" t="inlineStr">
        <is>
          <t>Tên huyện nhận</t>
        </is>
      </c>
      <c r="C975" s="285" t="n"/>
      <c r="D975" s="285" t="inlineStr">
        <is>
          <t>ឈ្មោះស្រុក/ខណ្ឌទទួល</t>
        </is>
      </c>
      <c r="E975" s="271" t="n"/>
      <c r="F975" t="inlineStr">
        <is>
          <t>ឈ្មោះស្រុក/ខណ្ឌទទួល</t>
        </is>
      </c>
    </row>
    <row r="976">
      <c r="A976" s="285" t="n"/>
      <c r="B976" s="285" t="inlineStr">
        <is>
          <t>Tỉnh phát</t>
        </is>
      </c>
      <c r="C976" s="285" t="n"/>
      <c r="D976" s="285" t="inlineStr">
        <is>
          <t>ខេត្តដឹកចែក</t>
        </is>
      </c>
      <c r="E976" s="271" t="n"/>
      <c r="F976" t="inlineStr">
        <is>
          <t>ខេត្តដឹកចែក</t>
        </is>
      </c>
    </row>
    <row r="977">
      <c r="A977" s="285" t="n"/>
      <c r="B977" s="285" t="inlineStr">
        <is>
          <t>Huyện phát</t>
        </is>
      </c>
      <c r="C977" s="285" t="n"/>
      <c r="D977" s="285" t="inlineStr">
        <is>
          <t>ស្រុក/ខណ្ឌដឹកចែក</t>
        </is>
      </c>
      <c r="E977" s="271" t="n"/>
      <c r="F977" t="inlineStr">
        <is>
          <t>ស្រុក/ខណ្ឌដឹកចែក</t>
        </is>
      </c>
    </row>
    <row r="978">
      <c r="A978" s="285" t="n"/>
      <c r="B978" s="285" t="inlineStr">
        <is>
          <t>Tên huyện phát</t>
        </is>
      </c>
      <c r="C978" s="285" t="n"/>
      <c r="D978" s="285" t="inlineStr">
        <is>
          <t>ឈ្មោះស្រុក/ខណ្ឌដឹកចែក</t>
        </is>
      </c>
      <c r="E978" s="271" t="n"/>
      <c r="F978" t="inlineStr">
        <is>
          <t>ឈ្មោះស្រុក/ខណ្ឌដឹកចែក</t>
        </is>
      </c>
    </row>
    <row r="979">
      <c r="A979" s="285" t="n"/>
      <c r="B979" s="285" t="inlineStr">
        <is>
          <t>Mã dịch vụ Viettel</t>
        </is>
      </c>
      <c r="C979" s="285" t="n"/>
      <c r="D979" s="285" t="inlineStr">
        <is>
          <t>លេខកូដសេវាកម្ម</t>
        </is>
      </c>
      <c r="E979" s="271" t="n"/>
      <c r="F979" t="inlineStr">
        <is>
          <t>លេខកូដសេវាកម្ម</t>
        </is>
      </c>
    </row>
    <row r="980">
      <c r="A980" s="285" t="n"/>
      <c r="B980" s="285" t="inlineStr">
        <is>
          <t>Mã bưu cục gốc</t>
        </is>
      </c>
      <c r="C980" s="285" t="n"/>
      <c r="D980" s="285" t="inlineStr">
        <is>
          <t>លេខកូដការិយាល័យប្រៃសណីយ៍ដើម</t>
        </is>
      </c>
      <c r="E980" s="271" t="n"/>
      <c r="F980" t="inlineStr">
        <is>
          <t>លេខកូដការិយាល័យប្រៃសណីយ៍ដើម</t>
        </is>
      </c>
    </row>
    <row r="981">
      <c r="A981" s="285" t="n"/>
      <c r="B981" s="285" t="inlineStr">
        <is>
          <t>Thời gian tác động</t>
        </is>
      </c>
      <c r="C981" s="285" t="n"/>
      <c r="D981" s="285" t="inlineStr">
        <is>
          <t>ពេលវេលាប្រតិបត្តិការ</t>
        </is>
      </c>
      <c r="E981" s="271" t="n"/>
      <c r="F981" t="inlineStr">
        <is>
          <t>ពេលវេលាប្រតិបត្តិការ</t>
        </is>
      </c>
    </row>
    <row r="982">
      <c r="A982" s="285" t="n"/>
      <c r="B982" s="285" t="inlineStr">
        <is>
          <t>Trạng thái</t>
        </is>
      </c>
      <c r="C982" s="285" t="n"/>
      <c r="D982" s="285" t="inlineStr">
        <is>
          <t>ស្ថានភាព</t>
        </is>
      </c>
      <c r="E982" s="271" t="n"/>
      <c r="F982" t="inlineStr">
        <is>
          <t>ស្ថានភាព</t>
        </is>
      </c>
    </row>
    <row r="983">
      <c r="A983" s="285" t="n"/>
      <c r="B983" s="285" t="inlineStr">
        <is>
          <t>Mã bưu cục hiện tại</t>
        </is>
      </c>
      <c r="C983" s="285" t="n"/>
      <c r="D983" s="285" t="inlineStr">
        <is>
          <t>លេខកូដការិយាល័យប្រៃសណីយ៍បច្ចុប្បន្ន</t>
        </is>
      </c>
      <c r="E983" s="271" t="n"/>
      <c r="F983" t="inlineStr">
        <is>
          <t>លេខកូដការិយាល័យប្រៃសណីយ៍បច្ចុប្បន្ន</t>
        </is>
      </c>
    </row>
    <row r="984">
      <c r="A984" s="285" t="n"/>
      <c r="B984" s="285" t="inlineStr">
        <is>
          <t>Chi nhánh hiện tại</t>
        </is>
      </c>
      <c r="C984" s="285" t="n"/>
      <c r="D984" s="285" t="inlineStr">
        <is>
          <t>សាខាបច្ចុប្បន្ន</t>
        </is>
      </c>
      <c r="E984" s="271" t="n"/>
      <c r="F984" t="inlineStr">
        <is>
          <t>សាខាបច្ចុប្បន្ន</t>
        </is>
      </c>
    </row>
    <row r="985">
      <c r="A985" s="285" t="n"/>
      <c r="B985" s="285" t="inlineStr">
        <is>
          <t>Mã đối tác</t>
        </is>
      </c>
      <c r="C985" s="285" t="n"/>
      <c r="D985" s="285" t="inlineStr">
        <is>
          <t>លេខកូដដៃគូ</t>
        </is>
      </c>
      <c r="E985" s="271" t="n"/>
      <c r="F985" t="inlineStr">
        <is>
          <t>លេខកូដដៃគូ</t>
        </is>
      </c>
    </row>
    <row r="986">
      <c r="A986" s="285" t="n"/>
      <c r="B986" s="285" t="inlineStr">
        <is>
          <t>Mã khách hàng gửi</t>
        </is>
      </c>
      <c r="C986" s="285" t="n"/>
      <c r="D986" s="285" t="inlineStr">
        <is>
          <t>លេខកូដអតិថិជនផ្ញើ</t>
        </is>
      </c>
      <c r="E986" s="271" t="n"/>
      <c r="F986" t="inlineStr">
        <is>
          <t>លេខកូដអតិថិជនផ្ញើ</t>
        </is>
      </c>
    </row>
    <row r="987">
      <c r="A987" s="285" t="n"/>
      <c r="B987" s="285" t="inlineStr">
        <is>
          <t>Mã bưu cục phát</t>
        </is>
      </c>
      <c r="C987" s="285" t="n"/>
      <c r="D987" s="285" t="inlineStr">
        <is>
          <t>លេខកូដការិយាល័យប្រៃសណីយ៍ដឹកចែក</t>
        </is>
      </c>
      <c r="E987" s="271" t="n"/>
      <c r="F987" t="inlineStr">
        <is>
          <t>លេខកូដការិយាល័យប្រៃសណីយ៍ដឹកចែក</t>
        </is>
      </c>
    </row>
    <row r="988">
      <c r="A988" s="285" t="n"/>
      <c r="B988" s="285" t="inlineStr">
        <is>
          <t>Ngày gửi bưu phẩm</t>
        </is>
      </c>
      <c r="C988" s="285" t="n"/>
      <c r="D988" s="285" t="inlineStr">
        <is>
          <t>កាលបរិច្ឆេទផ្ញើបញ្ញើ</t>
        </is>
      </c>
      <c r="E988" s="271" t="n"/>
      <c r="F988" t="inlineStr">
        <is>
          <t>កាលបរិច្ឆេទផ្ញើបញ្ញើ</t>
        </is>
      </c>
    </row>
    <row r="989">
      <c r="A989" s="285" t="n"/>
      <c r="B989" s="285" t="inlineStr">
        <is>
          <t>Tiền COD</t>
        </is>
      </c>
      <c r="C989" s="285" t="n"/>
      <c r="D989" s="285" t="inlineStr">
        <is>
          <t>ប្រាក់ COD</t>
        </is>
      </c>
      <c r="E989" s="271" t="n"/>
      <c r="F989" t="inlineStr">
        <is>
          <t>ប្រាក់ COD</t>
        </is>
      </c>
    </row>
    <row r="990">
      <c r="A990" s="285" t="n"/>
      <c r="B990" s="285" t="inlineStr">
        <is>
          <t>Người nhập máy</t>
        </is>
      </c>
      <c r="C990" s="285" t="n"/>
      <c r="D990" s="285" t="inlineStr">
        <is>
          <t>អ្នកបញ្ចូលទិន្នន័យ</t>
        </is>
      </c>
      <c r="E990" s="271" t="n"/>
      <c r="F990" t="inlineStr">
        <is>
          <t>អ្នកបញ្ចូលទិន្នន័យ</t>
        </is>
      </c>
    </row>
    <row r="991">
      <c r="A991" s="285" t="n"/>
      <c r="B991" s="285" t="inlineStr">
        <is>
          <t>Ngày nhập máy</t>
        </is>
      </c>
      <c r="C991" s="285" t="n"/>
      <c r="D991" s="285" t="inlineStr">
        <is>
          <t>កាលបរិច្ឆេទបញ្ចូលប្រព័ន្ធ</t>
        </is>
      </c>
      <c r="E991" s="271" t="n"/>
      <c r="F991" t="inlineStr">
        <is>
          <t>កាលបរិច្ឆេទបញ្ចូលប្រព័ន្ធ</t>
        </is>
      </c>
    </row>
    <row r="992">
      <c r="A992" s="285" t="n"/>
      <c r="B992" s="285" t="inlineStr">
        <is>
          <t>Loại hàng hóa</t>
        </is>
      </c>
      <c r="C992" s="285" t="n"/>
      <c r="D992" s="285" t="inlineStr">
        <is>
          <t>ប្រភេទមុខទំនិញ</t>
        </is>
      </c>
      <c r="E992" s="271" t="n"/>
      <c r="F992" t="inlineStr">
        <is>
          <t>ប្រភេទមុខទំនិញ</t>
        </is>
      </c>
    </row>
    <row r="993">
      <c r="A993" s="285" t="n"/>
      <c r="B993" s="285" t="inlineStr">
        <is>
          <t>Tiền cước</t>
        </is>
      </c>
      <c r="C993" s="285" t="n"/>
      <c r="D993" s="285" t="inlineStr">
        <is>
          <t>ថ្លៃដឹកជញ្ជូន</t>
        </is>
      </c>
      <c r="E993" s="271" t="n"/>
      <c r="F993" t="inlineStr">
        <is>
          <t>ថ្លៃដឹកជញ្ជូន</t>
        </is>
      </c>
    </row>
    <row r="994">
      <c r="A994" s="285" t="n"/>
      <c r="B994" s="285" t="inlineStr">
        <is>
          <t>KH đặc thù gửi</t>
        </is>
      </c>
      <c r="C994" s="285" t="n"/>
      <c r="D994" s="285" t="inlineStr">
        <is>
          <t>KH đặc thù ផ្ញើ</t>
        </is>
      </c>
      <c r="E994" s="271" t="n"/>
      <c r="F994" t="inlineStr">
        <is>
          <t>KH đặc thù ផ្ញើ</t>
        </is>
      </c>
    </row>
    <row r="995">
      <c r="A995" s="285" t="n"/>
      <c r="B995" s="285" t="inlineStr">
        <is>
          <t>KH đặc thù nhận</t>
        </is>
      </c>
      <c r="C995" s="285" t="n"/>
      <c r="D995" s="285" t="inlineStr">
        <is>
          <t>KH đặc thù ទទួល</t>
        </is>
      </c>
      <c r="E995" s="271" t="n"/>
      <c r="F995" t="inlineStr">
        <is>
          <t>KH đặc thù ទទួល</t>
        </is>
      </c>
    </row>
    <row r="996">
      <c r="A996" s="285" t="n"/>
      <c r="B996" s="285" t="inlineStr">
        <is>
          <t>Loại cảnh báo</t>
        </is>
      </c>
      <c r="C996" s="285" t="n"/>
      <c r="D996" s="285" t="inlineStr">
        <is>
          <t>ប្រភេទ ការដាស់តឿន</t>
        </is>
      </c>
      <c r="E996" s="271" t="n"/>
      <c r="F996" t="inlineStr">
        <is>
          <t>ប្រភេទ ការដាស់តឿន</t>
        </is>
      </c>
    </row>
    <row r="997">
      <c r="A997" s="285" t="n"/>
      <c r="B997" s="285" t="inlineStr">
        <is>
          <t>Mã dịch vụ cộng thêm</t>
        </is>
      </c>
      <c r="C997" s="285" t="n"/>
      <c r="D997" s="285" t="inlineStr">
        <is>
          <t>លេខកូដសេវាកម្មបន្ថែម</t>
        </is>
      </c>
      <c r="E997" s="271" t="n"/>
      <c r="F997" t="inlineStr">
        <is>
          <t>លេខកូដសេវាកម្មបន្ថែម</t>
        </is>
      </c>
    </row>
    <row r="998">
      <c r="A998" s="285" t="n"/>
      <c r="B998" s="285" t="inlineStr">
        <is>
          <t>Số giờ nhập máy</t>
        </is>
      </c>
      <c r="C998" s="285" t="n"/>
      <c r="D998" s="285" t="inlineStr">
        <is>
          <t>Số ម៉ោង nhập máy</t>
        </is>
      </c>
      <c r="E998" s="271" t="n"/>
      <c r="F998" t="inlineStr">
        <is>
          <t>Số ម៉ោង nhập máy</t>
        </is>
      </c>
    </row>
    <row r="999">
      <c r="A999" s="287" t="n"/>
      <c r="B999" s="286" t="inlineStr">
        <is>
          <t>Tồn nhận bàn giao</t>
        </is>
      </c>
      <c r="C999" s="287" t="n"/>
      <c r="D999" s="287" t="inlineStr">
        <is>
          <t>Tồn ទទួល bàn giao</t>
        </is>
      </c>
      <c r="E999" s="271" t="n"/>
      <c r="F999" t="inlineStr">
        <is>
          <t>Tồn ទទួល bàn giao</t>
        </is>
      </c>
    </row>
    <row r="1000">
      <c r="A1000" s="285" t="n"/>
      <c r="B1000" s="285" t="inlineStr">
        <is>
          <t>Ngày báo cáo</t>
        </is>
      </c>
      <c r="C1000" s="285" t="n"/>
      <c r="D1000" s="285" t="inlineStr">
        <is>
          <t>កាលបរិច្ឆេទរបាយការណ៍</t>
        </is>
      </c>
      <c r="E1000" s="271" t="n"/>
      <c r="F1000" t="inlineStr">
        <is>
          <t>កាលបរិច្ឆេទរបាយការណ៍</t>
        </is>
      </c>
    </row>
    <row r="1001">
      <c r="A1001" s="285" t="n"/>
      <c r="B1001" s="285" t="inlineStr">
        <is>
          <t>Mã phiếu gửi</t>
        </is>
      </c>
      <c r="C1001" s="285" t="n"/>
      <c r="D1001" s="285" t="inlineStr">
        <is>
          <t>លេខកូដបុងបញ្ញើ</t>
        </is>
      </c>
      <c r="E1001" s="271" t="n"/>
      <c r="F1001" t="inlineStr">
        <is>
          <t>លេខកូដបុងបញ្ញើ</t>
        </is>
      </c>
    </row>
    <row r="1002">
      <c r="A1002" s="285" t="n"/>
      <c r="B1002" s="285" t="inlineStr">
        <is>
          <t>Tỉnh nhận</t>
        </is>
      </c>
      <c r="C1002" s="285" t="n"/>
      <c r="D1002" s="285" t="inlineStr">
        <is>
          <t>ខេត្តទទួល</t>
        </is>
      </c>
      <c r="E1002" s="271" t="n"/>
      <c r="F1002" t="inlineStr">
        <is>
          <t>ខេត្តទទួល</t>
        </is>
      </c>
    </row>
    <row r="1003">
      <c r="A1003" s="285" t="n"/>
      <c r="B1003" s="285" t="inlineStr">
        <is>
          <t>Huyện nhận</t>
        </is>
      </c>
      <c r="C1003" s="285" t="n"/>
      <c r="D1003" s="285" t="inlineStr">
        <is>
          <t>ស្រុក/ខណ្ឌទទួល</t>
        </is>
      </c>
      <c r="E1003" s="271" t="n"/>
      <c r="F1003" t="inlineStr">
        <is>
          <t>ស្រុក/ខណ្ឌទទួល</t>
        </is>
      </c>
    </row>
    <row r="1004">
      <c r="A1004" s="285" t="n"/>
      <c r="B1004" s="285" t="inlineStr">
        <is>
          <t>Tên huyện nhận</t>
        </is>
      </c>
      <c r="C1004" s="285" t="n"/>
      <c r="D1004" s="285" t="inlineStr">
        <is>
          <t>ឈ្មោះស្រុក/ខណ្ឌទទួល</t>
        </is>
      </c>
      <c r="E1004" s="271" t="n"/>
      <c r="F1004" t="inlineStr">
        <is>
          <t>ឈ្មោះស្រុក/ខណ្ឌទទួល</t>
        </is>
      </c>
    </row>
    <row r="1005">
      <c r="A1005" s="285" t="n"/>
      <c r="B1005" s="285" t="inlineStr">
        <is>
          <t>Tỉnh phát</t>
        </is>
      </c>
      <c r="C1005" s="285" t="n"/>
      <c r="D1005" s="285" t="inlineStr">
        <is>
          <t>ខេត្តដឹកចែក</t>
        </is>
      </c>
      <c r="E1005" s="271" t="n"/>
      <c r="F1005" t="inlineStr">
        <is>
          <t>ខេត្តដឹកចែក</t>
        </is>
      </c>
    </row>
    <row r="1006">
      <c r="A1006" s="285" t="n"/>
      <c r="B1006" s="285" t="inlineStr">
        <is>
          <t>Huyện phát</t>
        </is>
      </c>
      <c r="C1006" s="285" t="n"/>
      <c r="D1006" s="285" t="inlineStr">
        <is>
          <t>ស្រុក/ខណ្ឌដឹកចែក</t>
        </is>
      </c>
      <c r="E1006" s="271" t="n"/>
      <c r="F1006" t="inlineStr">
        <is>
          <t>ស្រុក/ខណ្ឌដឹកចែក</t>
        </is>
      </c>
    </row>
    <row r="1007">
      <c r="A1007" s="285" t="n"/>
      <c r="B1007" s="285" t="inlineStr">
        <is>
          <t>Tên huyện phát</t>
        </is>
      </c>
      <c r="C1007" s="285" t="n"/>
      <c r="D1007" s="285" t="inlineStr">
        <is>
          <t>ឈ្មោះស្រុក/ខណ្ឌដឹកចែក</t>
        </is>
      </c>
      <c r="E1007" s="271" t="n"/>
      <c r="F1007" t="inlineStr">
        <is>
          <t>ឈ្មោះស្រុក/ខណ្ឌដឹកចែក</t>
        </is>
      </c>
    </row>
    <row r="1008">
      <c r="A1008" s="285" t="n"/>
      <c r="B1008" s="285" t="inlineStr">
        <is>
          <t>Mã dịch vụ Viettel</t>
        </is>
      </c>
      <c r="C1008" s="285" t="n"/>
      <c r="D1008" s="285" t="inlineStr">
        <is>
          <t>លេខកូដសេវាកម្ម</t>
        </is>
      </c>
      <c r="E1008" s="271" t="n"/>
      <c r="F1008" t="inlineStr">
        <is>
          <t>លេខកូដសេវាកម្ម</t>
        </is>
      </c>
    </row>
    <row r="1009">
      <c r="A1009" s="285" t="n"/>
      <c r="B1009" s="285" t="inlineStr">
        <is>
          <t>Mã dịch vụ cộng thêm</t>
        </is>
      </c>
      <c r="C1009" s="285" t="n"/>
      <c r="D1009" s="285" t="inlineStr">
        <is>
          <t>លេខកូដសេវាកម្មបន្ថែម</t>
        </is>
      </c>
      <c r="E1009" s="271" t="n"/>
      <c r="F1009" t="inlineStr">
        <is>
          <t>លេខកូដសេវាកម្មបន្ថែម</t>
        </is>
      </c>
    </row>
    <row r="1010">
      <c r="A1010" s="285" t="n"/>
      <c r="B1010" s="285" t="inlineStr">
        <is>
          <t>Mã bưu cục gốc</t>
        </is>
      </c>
      <c r="C1010" s="285" t="n"/>
      <c r="D1010" s="285" t="inlineStr">
        <is>
          <t>លេខកូដការិយាល័យប្រៃសណីយ៍ដើម</t>
        </is>
      </c>
      <c r="E1010" s="271" t="n"/>
      <c r="F1010" t="inlineStr">
        <is>
          <t>លេខកូដការិយាល័យប្រៃសណីយ៍ដើម</t>
        </is>
      </c>
    </row>
    <row r="1011">
      <c r="A1011" s="285" t="n"/>
      <c r="B1011" s="285" t="inlineStr">
        <is>
          <t>Thời gian tác động</t>
        </is>
      </c>
      <c r="C1011" s="285" t="n"/>
      <c r="D1011" s="285" t="inlineStr">
        <is>
          <t>ពេលវេលាប្រតិបត្តិការ</t>
        </is>
      </c>
      <c r="E1011" s="271" t="n"/>
      <c r="F1011" t="inlineStr">
        <is>
          <t>ពេលវេលាប្រតិបត្តិការ</t>
        </is>
      </c>
    </row>
    <row r="1012">
      <c r="A1012" s="285" t="n"/>
      <c r="B1012" s="285" t="inlineStr">
        <is>
          <t>Trạng thái</t>
        </is>
      </c>
      <c r="C1012" s="285" t="n"/>
      <c r="D1012" s="285" t="inlineStr">
        <is>
          <t>ស្ថានភាព</t>
        </is>
      </c>
      <c r="E1012" s="271" t="n"/>
      <c r="F1012" t="inlineStr">
        <is>
          <t>ស្ថានភាព</t>
        </is>
      </c>
    </row>
    <row r="1013">
      <c r="A1013" s="285" t="n"/>
      <c r="B1013" s="285" t="inlineStr">
        <is>
          <t>Mã bưu cục hiện tại</t>
        </is>
      </c>
      <c r="C1013" s="285" t="n"/>
      <c r="D1013" s="285" t="inlineStr">
        <is>
          <t>លេខកូដការិយាល័យប្រៃសណីយ៍បច្ចុប្បន្ន</t>
        </is>
      </c>
      <c r="E1013" s="271" t="n"/>
      <c r="F1013" t="inlineStr">
        <is>
          <t>លេខកូដការិយាល័យប្រៃសណីយ៍បច្ចុប្បន្ន</t>
        </is>
      </c>
    </row>
    <row r="1014">
      <c r="A1014" s="285" t="n"/>
      <c r="B1014" s="285" t="inlineStr">
        <is>
          <t>Chi nhánh hiện tại</t>
        </is>
      </c>
      <c r="C1014" s="285" t="n"/>
      <c r="D1014" s="285" t="inlineStr">
        <is>
          <t>សាខាបច្ចុប្បន្ន</t>
        </is>
      </c>
      <c r="E1014" s="271" t="n"/>
      <c r="F1014" t="inlineStr">
        <is>
          <t>សាខាបច្ចុប្បន្ន</t>
        </is>
      </c>
    </row>
    <row r="1015">
      <c r="A1015" s="285" t="n"/>
      <c r="B1015" s="285" t="inlineStr">
        <is>
          <t>Mã đối tác</t>
        </is>
      </c>
      <c r="C1015" s="285" t="n"/>
      <c r="D1015" s="285" t="inlineStr">
        <is>
          <t>លេខកូដដៃគូ</t>
        </is>
      </c>
      <c r="E1015" s="271" t="n"/>
      <c r="F1015" t="inlineStr">
        <is>
          <t>លេខកូដដៃគូ</t>
        </is>
      </c>
    </row>
    <row r="1016">
      <c r="A1016" s="285" t="n"/>
      <c r="B1016" s="285" t="inlineStr">
        <is>
          <t>Mã khách hàng gửi</t>
        </is>
      </c>
      <c r="C1016" s="285" t="n"/>
      <c r="D1016" s="285" t="inlineStr">
        <is>
          <t>លេខកូដអតិថិជនផ្ញើ</t>
        </is>
      </c>
      <c r="E1016" s="271" t="n"/>
      <c r="F1016" t="inlineStr">
        <is>
          <t>លេខកូដអតិថិជនផ្ញើ</t>
        </is>
      </c>
    </row>
    <row r="1017">
      <c r="A1017" s="285" t="n"/>
      <c r="B1017" s="285" t="inlineStr">
        <is>
          <t>Mã bưu cục phát</t>
        </is>
      </c>
      <c r="C1017" s="285" t="n"/>
      <c r="D1017" s="285" t="inlineStr">
        <is>
          <t>លេខកូដការិយាល័យប្រៃសណីយ៍ដឹកចែក</t>
        </is>
      </c>
      <c r="E1017" s="271" t="n"/>
      <c r="F1017" t="inlineStr">
        <is>
          <t>លេខកូដការិយាល័យប្រៃសណីយ៍ដឹកចែក</t>
        </is>
      </c>
    </row>
    <row r="1018">
      <c r="A1018" s="285" t="n"/>
      <c r="B1018" s="285" t="inlineStr">
        <is>
          <t>Ngày gửi bưu phẩm</t>
        </is>
      </c>
      <c r="C1018" s="285" t="n"/>
      <c r="D1018" s="285" t="inlineStr">
        <is>
          <t>កាលបរិច្ឆេទផ្ញើបញ្ញើ</t>
        </is>
      </c>
      <c r="E1018" s="271" t="n"/>
      <c r="F1018" t="inlineStr">
        <is>
          <t>កាលបរិច្ឆេទផ្ញើបញ្ញើ</t>
        </is>
      </c>
    </row>
    <row r="1019">
      <c r="A1019" s="285" t="n"/>
      <c r="B1019" s="285" t="inlineStr">
        <is>
          <t>Tiền COD</t>
        </is>
      </c>
      <c r="C1019" s="285" t="n"/>
      <c r="D1019" s="285" t="inlineStr">
        <is>
          <t>ប្រាក់ COD</t>
        </is>
      </c>
      <c r="E1019" s="271" t="n"/>
      <c r="F1019" t="inlineStr">
        <is>
          <t>ប្រាក់ COD</t>
        </is>
      </c>
    </row>
    <row r="1020">
      <c r="A1020" s="285" t="n"/>
      <c r="B1020" s="285" t="inlineStr">
        <is>
          <t>Người nhập máy</t>
        </is>
      </c>
      <c r="C1020" s="285" t="n"/>
      <c r="D1020" s="285" t="inlineStr">
        <is>
          <t>អ្នកបញ្ចូលទិន្នន័យ</t>
        </is>
      </c>
      <c r="E1020" s="271" t="n"/>
      <c r="F1020" t="inlineStr">
        <is>
          <t>អ្នកបញ្ចូលទិន្នន័យ</t>
        </is>
      </c>
    </row>
    <row r="1021">
      <c r="A1021" s="285" t="n"/>
      <c r="B1021" s="285" t="inlineStr">
        <is>
          <t>Ngày nhập máy</t>
        </is>
      </c>
      <c r="C1021" s="285" t="n"/>
      <c r="D1021" s="285" t="inlineStr">
        <is>
          <t>កាលបរិច្ឆេទបញ្ចូលប្រព័ន្ធ</t>
        </is>
      </c>
      <c r="E1021" s="271" t="n"/>
      <c r="F1021" t="inlineStr">
        <is>
          <t>កាលបរិច្ឆេទបញ្ចូលប្រព័ន្ធ</t>
        </is>
      </c>
    </row>
    <row r="1022">
      <c r="A1022" s="285" t="n"/>
      <c r="B1022" s="285" t="inlineStr">
        <is>
          <t>Loại hàng hóa</t>
        </is>
      </c>
      <c r="C1022" s="285" t="n"/>
      <c r="D1022" s="285" t="inlineStr">
        <is>
          <t>ប្រភេទមុខទំនិញ</t>
        </is>
      </c>
      <c r="E1022" s="271" t="n"/>
      <c r="F1022" t="inlineStr">
        <is>
          <t>ប្រភេទមុខទំនិញ</t>
        </is>
      </c>
    </row>
    <row r="1023">
      <c r="A1023" s="285" t="n"/>
      <c r="B1023" s="285" t="inlineStr">
        <is>
          <t>Tiền cước</t>
        </is>
      </c>
      <c r="C1023" s="285" t="n"/>
      <c r="D1023" s="285" t="inlineStr">
        <is>
          <t>ថ្លៃដឹកជញ្ជូន</t>
        </is>
      </c>
      <c r="E1023" s="271" t="n"/>
      <c r="F1023" t="inlineStr">
        <is>
          <t>ថ្លៃដឹកជញ្ជូន</t>
        </is>
      </c>
    </row>
    <row r="1024">
      <c r="A1024" s="285" t="n"/>
      <c r="B1024" s="285" t="inlineStr">
        <is>
          <t>Loại cảnh báo</t>
        </is>
      </c>
      <c r="C1024" s="285" t="n"/>
      <c r="D1024" s="285" t="inlineStr">
        <is>
          <t>ប្រភេទ ការដាស់តឿន</t>
        </is>
      </c>
      <c r="E1024" s="271" t="n"/>
      <c r="F1024" t="inlineStr">
        <is>
          <t>ប្រភេទ ការដាស់តឿន</t>
        </is>
      </c>
    </row>
    <row r="1025">
      <c r="A1025" s="285" t="n"/>
      <c r="B1025" s="285" t="inlineStr">
        <is>
          <t>Tên phường xã phát</t>
        </is>
      </c>
      <c r="C1025" s="287" t="n"/>
      <c r="D1025" s="287" t="inlineStr">
        <is>
          <t>ឈ្មោះឃុំ/សង្កាត់ ដឹកចែក</t>
        </is>
      </c>
      <c r="E1025" s="271" t="n"/>
      <c r="F1025" t="inlineStr">
        <is>
          <t>ឈ្មោះឃុំ/សង្កាត់ ដឹកចែក</t>
        </is>
      </c>
    </row>
    <row r="1026">
      <c r="A1026" s="287" t="n"/>
      <c r="B1026" s="286" t="inlineStr">
        <is>
          <t>Tồn chưa phân công phát</t>
        </is>
      </c>
      <c r="C1026" s="287" t="n"/>
      <c r="D1026" s="287" t="inlineStr">
        <is>
          <t>Tồn chưa phân công ដឹកចែក</t>
        </is>
      </c>
      <c r="E1026" s="271" t="n"/>
      <c r="F1026" t="inlineStr">
        <is>
          <t>Tồn chưa phân công ដឹកចែក</t>
        </is>
      </c>
    </row>
    <row r="1027">
      <c r="A1027" s="285" t="n"/>
      <c r="B1027" s="285" t="inlineStr">
        <is>
          <t>Ngày báo cáo</t>
        </is>
      </c>
      <c r="C1027" s="285" t="n"/>
      <c r="D1027" s="285" t="inlineStr">
        <is>
          <t>កាលបរិច្ឆេទរបាយការណ៍</t>
        </is>
      </c>
      <c r="E1027" s="271" t="n"/>
      <c r="F1027" t="inlineStr">
        <is>
          <t>កាលបរិច្ឆេទរបាយការណ៍</t>
        </is>
      </c>
    </row>
    <row r="1028">
      <c r="A1028" s="285" t="n"/>
      <c r="B1028" s="285" t="inlineStr">
        <is>
          <t>Mã phiếu gửi</t>
        </is>
      </c>
      <c r="C1028" s="285" t="n"/>
      <c r="D1028" s="285" t="inlineStr">
        <is>
          <t>លេខកូដបុងបញ្ញើ</t>
        </is>
      </c>
      <c r="E1028" s="271" t="n"/>
      <c r="F1028" t="inlineStr">
        <is>
          <t>លេខកូដបុងបញ្ញើ</t>
        </is>
      </c>
    </row>
    <row r="1029">
      <c r="A1029" s="285" t="n"/>
      <c r="B1029" s="285" t="inlineStr">
        <is>
          <t>Tỉnh nhận</t>
        </is>
      </c>
      <c r="C1029" s="285" t="n"/>
      <c r="D1029" s="285" t="inlineStr">
        <is>
          <t>ខេត្តទទួល</t>
        </is>
      </c>
      <c r="E1029" s="271" t="n"/>
      <c r="F1029" t="inlineStr">
        <is>
          <t>ខេត្តទទួល</t>
        </is>
      </c>
    </row>
    <row r="1030">
      <c r="A1030" s="285" t="n"/>
      <c r="B1030" s="285" t="inlineStr">
        <is>
          <t>Huyện nhận</t>
        </is>
      </c>
      <c r="C1030" s="285" t="n"/>
      <c r="D1030" s="285" t="inlineStr">
        <is>
          <t>ស្រុក/ខណ្ឌទទួល</t>
        </is>
      </c>
      <c r="E1030" s="271" t="n"/>
      <c r="F1030" t="inlineStr">
        <is>
          <t>ស្រុក/ខណ្ឌទទួល</t>
        </is>
      </c>
    </row>
    <row r="1031">
      <c r="A1031" s="285" t="n"/>
      <c r="B1031" s="285" t="inlineStr">
        <is>
          <t>Tên huyện nhận</t>
        </is>
      </c>
      <c r="C1031" s="285" t="n"/>
      <c r="D1031" s="285" t="inlineStr">
        <is>
          <t>ឈ្មោះស្រុក/ខណ្ឌទទួល</t>
        </is>
      </c>
      <c r="E1031" s="271" t="n"/>
      <c r="F1031" t="inlineStr">
        <is>
          <t>ឈ្មោះស្រុក/ខណ្ឌទទួល</t>
        </is>
      </c>
    </row>
    <row r="1032">
      <c r="A1032" s="285" t="n"/>
      <c r="B1032" s="285" t="inlineStr">
        <is>
          <t>Tỉnh phát</t>
        </is>
      </c>
      <c r="C1032" s="285" t="n"/>
      <c r="D1032" s="285" t="inlineStr">
        <is>
          <t>ខេត្តដឹកចែក</t>
        </is>
      </c>
      <c r="E1032" s="271" t="n"/>
      <c r="F1032" t="inlineStr">
        <is>
          <t>ខេត្តដឹកចែក</t>
        </is>
      </c>
    </row>
    <row r="1033">
      <c r="A1033" s="285" t="n"/>
      <c r="B1033" s="285" t="inlineStr">
        <is>
          <t>Huyện phát</t>
        </is>
      </c>
      <c r="C1033" s="285" t="n"/>
      <c r="D1033" s="285" t="inlineStr">
        <is>
          <t>ស្រុក/ខណ្ឌដឹកចែក</t>
        </is>
      </c>
      <c r="E1033" s="271" t="n"/>
      <c r="F1033" t="inlineStr">
        <is>
          <t>ស្រុក/ខណ្ឌដឹកចែក</t>
        </is>
      </c>
    </row>
    <row r="1034">
      <c r="A1034" s="285" t="n"/>
      <c r="B1034" s="285" t="inlineStr">
        <is>
          <t>Tên huyện phát</t>
        </is>
      </c>
      <c r="C1034" s="285" t="n"/>
      <c r="D1034" s="285" t="inlineStr">
        <is>
          <t>ឈ្មោះស្រុក/ខណ្ឌដឹកចែក</t>
        </is>
      </c>
      <c r="E1034" s="271" t="n"/>
      <c r="F1034" t="inlineStr">
        <is>
          <t>ឈ្មោះស្រុក/ខណ្ឌដឹកចែក</t>
        </is>
      </c>
    </row>
    <row r="1035">
      <c r="A1035" s="285" t="n"/>
      <c r="B1035" s="285" t="inlineStr">
        <is>
          <t>Mã dịch vụ Viettel</t>
        </is>
      </c>
      <c r="C1035" s="285" t="n"/>
      <c r="D1035" s="285" t="inlineStr">
        <is>
          <t>លេខកូដសេវាកម្ម</t>
        </is>
      </c>
      <c r="E1035" s="271" t="n"/>
      <c r="F1035" t="inlineStr">
        <is>
          <t>លេខកូដសេវាកម្ម</t>
        </is>
      </c>
    </row>
    <row r="1036">
      <c r="A1036" s="285" t="n"/>
      <c r="B1036" s="285" t="inlineStr">
        <is>
          <t>Mã bưu cục gốc</t>
        </is>
      </c>
      <c r="C1036" s="285" t="n"/>
      <c r="D1036" s="285" t="inlineStr">
        <is>
          <t>លេខកូដការិយាល័យប្រៃសណីយ៍ដើម</t>
        </is>
      </c>
      <c r="E1036" s="271" t="n"/>
      <c r="F1036" t="inlineStr">
        <is>
          <t>លេខកូដការិយាល័យប្រៃសណីយ៍ដើម</t>
        </is>
      </c>
    </row>
    <row r="1037">
      <c r="A1037" s="285" t="n"/>
      <c r="B1037" s="285" t="inlineStr">
        <is>
          <t>Thời gian tác động</t>
        </is>
      </c>
      <c r="C1037" s="285" t="n"/>
      <c r="D1037" s="285" t="inlineStr">
        <is>
          <t>ពេលវេលាប្រតិបត្តិការ</t>
        </is>
      </c>
      <c r="E1037" s="271" t="n"/>
      <c r="F1037" t="inlineStr">
        <is>
          <t>ពេលវេលាប្រតិបត្តិការ</t>
        </is>
      </c>
    </row>
    <row r="1038">
      <c r="A1038" s="285" t="n"/>
      <c r="B1038" s="285" t="inlineStr">
        <is>
          <t>Trạng thái</t>
        </is>
      </c>
      <c r="C1038" s="285" t="n"/>
      <c r="D1038" s="285" t="inlineStr">
        <is>
          <t>ស្ថានភាព</t>
        </is>
      </c>
      <c r="E1038" s="271" t="n"/>
      <c r="F1038" t="inlineStr">
        <is>
          <t>ស្ថានភាព</t>
        </is>
      </c>
    </row>
    <row r="1039">
      <c r="A1039" s="285" t="n"/>
      <c r="B1039" s="285" t="inlineStr">
        <is>
          <t>Mã bưu cục hiện tại</t>
        </is>
      </c>
      <c r="C1039" s="285" t="n"/>
      <c r="D1039" s="285" t="inlineStr">
        <is>
          <t>លេខកូដការិយាល័យប្រៃសណីយ៍បច្ចុប្បន្ន</t>
        </is>
      </c>
      <c r="E1039" s="271" t="n"/>
      <c r="F1039" t="inlineStr">
        <is>
          <t>លេខកូដការិយាល័យប្រៃសណីយ៍បច្ចុប្បន្ន</t>
        </is>
      </c>
    </row>
    <row r="1040">
      <c r="A1040" s="285" t="n"/>
      <c r="B1040" s="285" t="inlineStr">
        <is>
          <t>Chi nhánh hiện tại</t>
        </is>
      </c>
      <c r="C1040" s="285" t="n"/>
      <c r="D1040" s="285" t="inlineStr">
        <is>
          <t>សាខាបច្ចុប្បន្ន</t>
        </is>
      </c>
      <c r="E1040" s="271" t="n"/>
      <c r="F1040" t="inlineStr">
        <is>
          <t>សាខាបច្ចុប្បន្ន</t>
        </is>
      </c>
    </row>
    <row r="1041">
      <c r="A1041" s="285" t="n"/>
      <c r="B1041" s="285" t="inlineStr">
        <is>
          <t>Mã đối tác</t>
        </is>
      </c>
      <c r="C1041" s="285" t="n"/>
      <c r="D1041" s="285" t="inlineStr">
        <is>
          <t>លេខកូដដៃគូ</t>
        </is>
      </c>
      <c r="E1041" s="271" t="n"/>
      <c r="F1041" t="inlineStr">
        <is>
          <t>លេខកូដដៃគូ</t>
        </is>
      </c>
    </row>
    <row r="1042">
      <c r="A1042" s="285" t="n"/>
      <c r="B1042" s="285" t="inlineStr">
        <is>
          <t>Mã khách hàng gửi</t>
        </is>
      </c>
      <c r="C1042" s="285" t="n"/>
      <c r="D1042" s="285" t="inlineStr">
        <is>
          <t>លេខកូដអតិថិជនផ្ញើ</t>
        </is>
      </c>
      <c r="E1042" s="271" t="n"/>
      <c r="F1042" t="inlineStr">
        <is>
          <t>លេខកូដអតិថិជនផ្ញើ</t>
        </is>
      </c>
    </row>
    <row r="1043">
      <c r="A1043" s="285" t="n"/>
      <c r="B1043" s="285" t="inlineStr">
        <is>
          <t>Mã bưu cục phát</t>
        </is>
      </c>
      <c r="C1043" s="285" t="n"/>
      <c r="D1043" s="285" t="inlineStr">
        <is>
          <t>លេខកូដការិយាល័យប្រៃសណីយ៍ដឹកចែក</t>
        </is>
      </c>
      <c r="E1043" s="271" t="n"/>
      <c r="F1043" t="inlineStr">
        <is>
          <t>លេខកូដការិយាល័យប្រៃសណីយ៍ដឹកចែក</t>
        </is>
      </c>
    </row>
    <row r="1044">
      <c r="A1044" s="285" t="n"/>
      <c r="B1044" s="285" t="inlineStr">
        <is>
          <t>Ngày gửi bưu phẩm</t>
        </is>
      </c>
      <c r="C1044" s="285" t="n"/>
      <c r="D1044" s="285" t="inlineStr">
        <is>
          <t>កាលបរិច្ឆេទផ្ញើបញ្ញើ</t>
        </is>
      </c>
      <c r="E1044" s="271" t="n"/>
      <c r="F1044" t="inlineStr">
        <is>
          <t>កាលបរិច្ឆេទផ្ញើបញ្ញើ</t>
        </is>
      </c>
    </row>
    <row r="1045">
      <c r="A1045" s="285" t="n"/>
      <c r="B1045" s="285" t="inlineStr">
        <is>
          <t>Tiền COD</t>
        </is>
      </c>
      <c r="C1045" s="285" t="n"/>
      <c r="D1045" s="285" t="inlineStr">
        <is>
          <t>ប្រាក់ COD</t>
        </is>
      </c>
      <c r="E1045" s="271" t="n"/>
      <c r="F1045" t="inlineStr">
        <is>
          <t>ប្រាក់ COD</t>
        </is>
      </c>
    </row>
    <row r="1046">
      <c r="A1046" s="285" t="n"/>
      <c r="B1046" s="285" t="inlineStr">
        <is>
          <t>Người nhập máy</t>
        </is>
      </c>
      <c r="C1046" s="285" t="n"/>
      <c r="D1046" s="285" t="inlineStr">
        <is>
          <t>អ្នកបញ្ចូលទិន្នន័យ</t>
        </is>
      </c>
      <c r="E1046" s="271" t="n"/>
      <c r="F1046" t="inlineStr">
        <is>
          <t>អ្នកបញ្ចូលទិន្នន័យ</t>
        </is>
      </c>
    </row>
    <row r="1047">
      <c r="A1047" s="285" t="n"/>
      <c r="B1047" s="285" t="inlineStr">
        <is>
          <t>Ngày nhập máy</t>
        </is>
      </c>
      <c r="C1047" s="285" t="n"/>
      <c r="D1047" s="285" t="inlineStr">
        <is>
          <t>កាលបរិច្ឆេទបញ្ចូលប្រព័ន្ធ</t>
        </is>
      </c>
      <c r="E1047" s="271" t="n"/>
      <c r="F1047" t="inlineStr">
        <is>
          <t>កាលបរិច្ឆេទបញ្ចូលប្រព័ន្ធ</t>
        </is>
      </c>
    </row>
    <row r="1048">
      <c r="A1048" s="285" t="n"/>
      <c r="B1048" s="285" t="inlineStr">
        <is>
          <t>Trọng lượng</t>
        </is>
      </c>
      <c r="C1048" s="285" t="n"/>
      <c r="D1048" s="285" t="inlineStr">
        <is>
          <t>ទម្ងន់</t>
        </is>
      </c>
      <c r="E1048" s="271" t="n"/>
      <c r="F1048" t="inlineStr">
        <is>
          <t>ទម្ងន់</t>
        </is>
      </c>
    </row>
    <row r="1049">
      <c r="A1049" s="285" t="n"/>
      <c r="B1049" s="285" t="inlineStr">
        <is>
          <t>Loại hàng hóa</t>
        </is>
      </c>
      <c r="C1049" s="285" t="n"/>
      <c r="D1049" s="285" t="inlineStr">
        <is>
          <t>ប្រភេទមុខទំនិញ</t>
        </is>
      </c>
      <c r="E1049" s="271" t="n"/>
      <c r="F1049" t="inlineStr">
        <is>
          <t>ប្រភេទមុខទំនិញ</t>
        </is>
      </c>
    </row>
    <row r="1050">
      <c r="A1050" s="285" t="n"/>
      <c r="B1050" s="285" t="inlineStr">
        <is>
          <t>Tiền cước</t>
        </is>
      </c>
      <c r="C1050" s="285" t="n"/>
      <c r="D1050" s="285" t="inlineStr">
        <is>
          <t>ថ្លៃដឹកជញ្ជូន</t>
        </is>
      </c>
      <c r="E1050" s="271" t="n"/>
      <c r="F1050" t="inlineStr">
        <is>
          <t>ថ្លៃដឹកជញ្ជូន</t>
        </is>
      </c>
    </row>
    <row r="1051">
      <c r="A1051" s="285" t="n"/>
      <c r="B1051" s="285" t="inlineStr">
        <is>
          <t>Mã dịch vụ cộng thêm</t>
        </is>
      </c>
      <c r="C1051" s="285" t="n"/>
      <c r="D1051" s="285" t="inlineStr">
        <is>
          <t>លេខកូដសេវាកម្មបន្ថែម</t>
        </is>
      </c>
      <c r="E1051" s="271" t="n"/>
      <c r="F1051" t="inlineStr">
        <is>
          <t>លេខកូដសេវាកម្មបន្ថែម</t>
        </is>
      </c>
    </row>
    <row r="1052">
      <c r="A1052" s="287" t="n"/>
      <c r="B1052" s="286" t="inlineStr">
        <is>
          <t>Tồn chưa có hành trình tiếp theo</t>
        </is>
      </c>
      <c r="C1052" s="287" t="n"/>
      <c r="D1052" s="287" t="inlineStr">
        <is>
          <t>បញ្ញើសល់មិនទាន់មានដំណើរឆ្លងកាត់បន្ត</t>
        </is>
      </c>
      <c r="E1052" s="271" t="n"/>
      <c r="F1052" t="inlineStr">
        <is>
          <t>បញ្ញើសល់មិនទាន់មានដំណើរឆ្លងកាត់បន្ត</t>
        </is>
      </c>
    </row>
    <row r="1053">
      <c r="A1053" s="285" t="n"/>
      <c r="B1053" s="285" t="inlineStr">
        <is>
          <t>Ngày báo cáo</t>
        </is>
      </c>
      <c r="C1053" s="285" t="n"/>
      <c r="D1053" s="285" t="inlineStr">
        <is>
          <t>កាលបរិច្ឆេទរបាយការណ៍</t>
        </is>
      </c>
      <c r="E1053" s="271" t="n"/>
      <c r="F1053" t="inlineStr">
        <is>
          <t>កាលបរិច្ឆេទរបាយការណ៍</t>
        </is>
      </c>
    </row>
    <row r="1054">
      <c r="A1054" s="285" t="n"/>
      <c r="B1054" s="285" t="inlineStr">
        <is>
          <t>Mã phiếu gửi</t>
        </is>
      </c>
      <c r="C1054" s="285" t="n"/>
      <c r="D1054" s="285" t="inlineStr">
        <is>
          <t>លេខកូដបុងបញ្ញើ</t>
        </is>
      </c>
      <c r="E1054" s="271" t="n"/>
      <c r="F1054" t="inlineStr">
        <is>
          <t>លេខកូដបុងបញ្ញើ</t>
        </is>
      </c>
    </row>
    <row r="1055">
      <c r="A1055" s="285" t="n"/>
      <c r="B1055" s="285" t="inlineStr">
        <is>
          <t>Tỉnh nhận</t>
        </is>
      </c>
      <c r="C1055" s="285" t="n"/>
      <c r="D1055" s="285" t="inlineStr">
        <is>
          <t>ខេត្តទទួល</t>
        </is>
      </c>
      <c r="E1055" s="271" t="n"/>
      <c r="F1055" t="inlineStr">
        <is>
          <t>ខេត្តទទួល</t>
        </is>
      </c>
    </row>
    <row r="1056">
      <c r="A1056" s="285" t="n"/>
      <c r="B1056" s="285" t="inlineStr">
        <is>
          <t>Huyện nhận</t>
        </is>
      </c>
      <c r="C1056" s="285" t="n"/>
      <c r="D1056" s="285" t="inlineStr">
        <is>
          <t>ស្រុក/ខណ្ឌទទួល</t>
        </is>
      </c>
      <c r="E1056" s="271" t="n"/>
      <c r="F1056" t="inlineStr">
        <is>
          <t>ស្រុក/ខណ្ឌទទួល</t>
        </is>
      </c>
    </row>
    <row r="1057">
      <c r="A1057" s="285" t="n"/>
      <c r="B1057" s="285" t="inlineStr">
        <is>
          <t>Tên huyện nhận</t>
        </is>
      </c>
      <c r="C1057" s="285" t="n"/>
      <c r="D1057" s="285" t="inlineStr">
        <is>
          <t>ឈ្មោះស្រុក/ខណ្ឌទទួល</t>
        </is>
      </c>
      <c r="E1057" s="271" t="n"/>
      <c r="F1057" t="inlineStr">
        <is>
          <t>ឈ្មោះស្រុក/ខណ្ឌទទួល</t>
        </is>
      </c>
    </row>
    <row r="1058">
      <c r="A1058" s="285" t="n"/>
      <c r="B1058" s="285" t="inlineStr">
        <is>
          <t>Tỉnh phát</t>
        </is>
      </c>
      <c r="C1058" s="285" t="n"/>
      <c r="D1058" s="285" t="inlineStr">
        <is>
          <t>ខេត្តដឹកចែក</t>
        </is>
      </c>
      <c r="E1058" s="271" t="n"/>
      <c r="F1058" t="inlineStr">
        <is>
          <t>ខេត្តដឹកចែក</t>
        </is>
      </c>
    </row>
    <row r="1059">
      <c r="A1059" s="285" t="n"/>
      <c r="B1059" s="285" t="inlineStr">
        <is>
          <t>Huyện phát</t>
        </is>
      </c>
      <c r="C1059" s="285" t="n"/>
      <c r="D1059" s="285" t="inlineStr">
        <is>
          <t>ស្រុក/ខណ្ឌដឹកចែក</t>
        </is>
      </c>
      <c r="E1059" s="271" t="n"/>
      <c r="F1059" t="inlineStr">
        <is>
          <t>ស្រុក/ខណ្ឌដឹកចែក</t>
        </is>
      </c>
    </row>
    <row r="1060">
      <c r="A1060" s="285" t="n"/>
      <c r="B1060" s="285" t="inlineStr">
        <is>
          <t>Tên huyện phát</t>
        </is>
      </c>
      <c r="C1060" s="285" t="n"/>
      <c r="D1060" s="285" t="inlineStr">
        <is>
          <t>ឈ្មោះស្រុក/ខណ្ឌដឹកចែក</t>
        </is>
      </c>
      <c r="E1060" s="271" t="n"/>
      <c r="F1060" t="inlineStr">
        <is>
          <t>ឈ្មោះស្រុក/ខណ្ឌដឹកចែក</t>
        </is>
      </c>
    </row>
    <row r="1061">
      <c r="A1061" s="285" t="n"/>
      <c r="B1061" s="285" t="inlineStr">
        <is>
          <t>Mã dịch vụ Viettel</t>
        </is>
      </c>
      <c r="C1061" s="285" t="n"/>
      <c r="D1061" s="285" t="inlineStr">
        <is>
          <t>លេខកូដសេវាកម្ម</t>
        </is>
      </c>
      <c r="E1061" s="271" t="n"/>
      <c r="F1061" t="inlineStr">
        <is>
          <t>លេខកូដសេវាកម្ម</t>
        </is>
      </c>
    </row>
    <row r="1062">
      <c r="A1062" s="285" t="n"/>
      <c r="B1062" s="285" t="inlineStr">
        <is>
          <t>Mã dịch vụ cộng thêm</t>
        </is>
      </c>
      <c r="C1062" s="285" t="n"/>
      <c r="D1062" s="285" t="inlineStr">
        <is>
          <t>លេខកូដសេវាកម្មបន្ថែម</t>
        </is>
      </c>
      <c r="E1062" s="271" t="n"/>
      <c r="F1062" t="inlineStr">
        <is>
          <t>លេខកូដសេវាកម្មបន្ថែម</t>
        </is>
      </c>
    </row>
    <row r="1063">
      <c r="A1063" s="285" t="n"/>
      <c r="B1063" s="285" t="inlineStr">
        <is>
          <t>Mã bưu cục gốc</t>
        </is>
      </c>
      <c r="C1063" s="285" t="n"/>
      <c r="D1063" s="285" t="inlineStr">
        <is>
          <t>លេខកូដការិយាល័យប្រៃសណីយ៍ដើម</t>
        </is>
      </c>
      <c r="E1063" s="271" t="n"/>
      <c r="F1063" t="inlineStr">
        <is>
          <t>លេខកូដការិយាល័យប្រៃសណីយ៍ដើម</t>
        </is>
      </c>
    </row>
    <row r="1064">
      <c r="A1064" s="285" t="n"/>
      <c r="B1064" s="285" t="inlineStr">
        <is>
          <t>Thời gian tác động</t>
        </is>
      </c>
      <c r="C1064" s="285" t="n"/>
      <c r="D1064" s="285" t="inlineStr">
        <is>
          <t>ពេលវេលាប្រតិបត្តិការ</t>
        </is>
      </c>
      <c r="E1064" s="271" t="n"/>
      <c r="F1064" t="inlineStr">
        <is>
          <t>ពេលវេលាប្រតិបត្តិការ</t>
        </is>
      </c>
    </row>
    <row r="1065">
      <c r="A1065" s="285" t="n"/>
      <c r="B1065" s="285" t="inlineStr">
        <is>
          <t>Trạng thái</t>
        </is>
      </c>
      <c r="C1065" s="285" t="n"/>
      <c r="D1065" s="285" t="inlineStr">
        <is>
          <t>ស្ថានភាព</t>
        </is>
      </c>
      <c r="E1065" s="271" t="n"/>
      <c r="F1065" t="inlineStr">
        <is>
          <t>ស្ថានភាព</t>
        </is>
      </c>
    </row>
    <row r="1066">
      <c r="A1066" s="285" t="n"/>
      <c r="B1066" s="285" t="inlineStr">
        <is>
          <t>Mã bưu cục hiện tại</t>
        </is>
      </c>
      <c r="C1066" s="285" t="n"/>
      <c r="D1066" s="285" t="inlineStr">
        <is>
          <t>លេខកូដការិយាល័យប្រៃសណីយ៍បច្ចុប្បន្ន</t>
        </is>
      </c>
      <c r="E1066" s="271" t="n"/>
      <c r="F1066" t="inlineStr">
        <is>
          <t>លេខកូដការិយាល័យប្រៃសណីយ៍បច្ចុប្បន្ន</t>
        </is>
      </c>
    </row>
    <row r="1067">
      <c r="A1067" s="285" t="n"/>
      <c r="B1067" s="285" t="inlineStr">
        <is>
          <t>Chi nhánh hiện tại</t>
        </is>
      </c>
      <c r="C1067" s="285" t="n"/>
      <c r="D1067" s="285" t="inlineStr">
        <is>
          <t>សាខាបច្ចុប្បន្ន</t>
        </is>
      </c>
      <c r="E1067" s="271" t="n"/>
      <c r="F1067" t="inlineStr">
        <is>
          <t>សាខាបច្ចុប្បន្ន</t>
        </is>
      </c>
    </row>
    <row r="1068">
      <c r="A1068" s="285" t="n"/>
      <c r="B1068" s="285" t="inlineStr">
        <is>
          <t>Mã đối tác</t>
        </is>
      </c>
      <c r="C1068" s="285" t="n"/>
      <c r="D1068" s="285" t="inlineStr">
        <is>
          <t>លេខកូដដៃគូ</t>
        </is>
      </c>
      <c r="E1068" s="271" t="n"/>
      <c r="F1068" t="inlineStr">
        <is>
          <t>លេខកូដដៃគូ</t>
        </is>
      </c>
    </row>
    <row r="1069">
      <c r="A1069" s="285" t="n"/>
      <c r="B1069" s="285" t="inlineStr">
        <is>
          <t>Mã khách hàng gửi</t>
        </is>
      </c>
      <c r="C1069" s="285" t="n"/>
      <c r="D1069" s="285" t="inlineStr">
        <is>
          <t>លេខកូដអតិថិជនផ្ញើ</t>
        </is>
      </c>
      <c r="E1069" s="271" t="n"/>
      <c r="F1069" t="inlineStr">
        <is>
          <t>លេខកូដអតិថិជនផ្ញើ</t>
        </is>
      </c>
    </row>
    <row r="1070">
      <c r="A1070" s="285" t="n"/>
      <c r="B1070" s="285" t="inlineStr">
        <is>
          <t>Mã bưu cục phát</t>
        </is>
      </c>
      <c r="C1070" s="285" t="n"/>
      <c r="D1070" s="285" t="inlineStr">
        <is>
          <t>លេខកូដការិយាល័យប្រៃសណីយ៍ដឹកចែក</t>
        </is>
      </c>
      <c r="E1070" s="271" t="n"/>
      <c r="F1070" t="inlineStr">
        <is>
          <t>លេខកូដការិយាល័យប្រៃសណីយ៍ដឹកចែក</t>
        </is>
      </c>
    </row>
    <row r="1071">
      <c r="A1071" s="285" t="n"/>
      <c r="B1071" s="285" t="inlineStr">
        <is>
          <t>Ngày gửi bưu phẩm</t>
        </is>
      </c>
      <c r="C1071" s="285" t="n"/>
      <c r="D1071" s="285" t="inlineStr">
        <is>
          <t>កាលបរិច្ឆេទផ្ញើបញ្ញើ</t>
        </is>
      </c>
      <c r="E1071" s="271" t="n"/>
      <c r="F1071" t="inlineStr">
        <is>
          <t>កាលបរិច្ឆេទផ្ញើបញ្ញើ</t>
        </is>
      </c>
    </row>
    <row r="1072">
      <c r="A1072" s="285" t="n"/>
      <c r="B1072" s="285" t="inlineStr">
        <is>
          <t>Tiền COD</t>
        </is>
      </c>
      <c r="C1072" s="285" t="n"/>
      <c r="D1072" s="285" t="inlineStr">
        <is>
          <t>ប្រាក់ COD</t>
        </is>
      </c>
      <c r="E1072" s="271" t="n"/>
      <c r="F1072" t="inlineStr">
        <is>
          <t>ប្រាក់ COD</t>
        </is>
      </c>
    </row>
    <row r="1073">
      <c r="A1073" s="285" t="n"/>
      <c r="B1073" s="285" t="inlineStr">
        <is>
          <t>Người nhập máy</t>
        </is>
      </c>
      <c r="C1073" s="285" t="n"/>
      <c r="D1073" s="285" t="inlineStr">
        <is>
          <t>អ្នកបញ្ចូលទិន្នន័យ</t>
        </is>
      </c>
      <c r="E1073" s="271" t="n"/>
      <c r="F1073" t="inlineStr">
        <is>
          <t>អ្នកបញ្ចូលទិន្នន័យ</t>
        </is>
      </c>
    </row>
    <row r="1074">
      <c r="A1074" s="285" t="n"/>
      <c r="B1074" s="285" t="inlineStr">
        <is>
          <t>Ngày nhập máy</t>
        </is>
      </c>
      <c r="C1074" s="285" t="n"/>
      <c r="D1074" s="285" t="inlineStr">
        <is>
          <t>កាលបរិច្ឆេទបញ្ចូលប្រព័ន្ធ</t>
        </is>
      </c>
      <c r="E1074" s="271" t="n"/>
      <c r="F1074" t="inlineStr">
        <is>
          <t>កាលបរិច្ឆេទបញ្ចូលប្រព័ន្ធ</t>
        </is>
      </c>
    </row>
    <row r="1075">
      <c r="A1075" s="285" t="n"/>
      <c r="B1075" s="285" t="inlineStr">
        <is>
          <t>Trọng lượng</t>
        </is>
      </c>
      <c r="C1075" s="285" t="n"/>
      <c r="D1075" s="285" t="inlineStr">
        <is>
          <t>ទម្ងន់</t>
        </is>
      </c>
      <c r="E1075" s="271" t="n"/>
      <c r="F1075" t="inlineStr">
        <is>
          <t>ទម្ងន់</t>
        </is>
      </c>
    </row>
    <row r="1076">
      <c r="A1076" s="285" t="n"/>
      <c r="B1076" s="285" t="inlineStr">
        <is>
          <t>Loại hàng hóa</t>
        </is>
      </c>
      <c r="C1076" s="285" t="n"/>
      <c r="D1076" s="285" t="inlineStr">
        <is>
          <t>ប្រភេទមុខទំនិញ</t>
        </is>
      </c>
      <c r="E1076" s="271" t="n"/>
      <c r="F1076" t="inlineStr">
        <is>
          <t>ប្រភេទមុខទំនិញ</t>
        </is>
      </c>
    </row>
    <row r="1077">
      <c r="A1077" s="285" t="n"/>
      <c r="B1077" s="285" t="inlineStr">
        <is>
          <t>Tiền cước</t>
        </is>
      </c>
      <c r="C1077" s="285" t="n"/>
      <c r="D1077" s="285" t="inlineStr">
        <is>
          <t>ថ្លៃដឹកជញ្ជូន</t>
        </is>
      </c>
      <c r="E1077" s="271" t="n"/>
      <c r="F1077" t="inlineStr">
        <is>
          <t>ថ្លៃដឹកជញ្ជូន</t>
        </is>
      </c>
    </row>
    <row r="1078">
      <c r="A1078" s="285" t="n"/>
      <c r="B1078" s="285" t="inlineStr">
        <is>
          <t>Cấp độ cảnh báo</t>
        </is>
      </c>
      <c r="C1078" s="285" t="n"/>
      <c r="D1078" s="285" t="inlineStr">
        <is>
          <t>Cấp độ ការដាស់តឿន</t>
        </is>
      </c>
      <c r="E1078" s="271" t="n"/>
      <c r="F1078" t="inlineStr">
        <is>
          <t>Cấp độ ការដាស់តឿន</t>
        </is>
      </c>
    </row>
    <row r="1079">
      <c r="A1079" s="285" t="n"/>
      <c r="B1079" s="285" t="inlineStr">
        <is>
          <t>User tác động</t>
        </is>
      </c>
      <c r="C1079" s="285" t="n"/>
      <c r="D1079" s="285" t="inlineStr">
        <is>
          <t>អ្នកធ្វើប្រតិបត្តិការ</t>
        </is>
      </c>
      <c r="E1079" s="271" t="n"/>
      <c r="F1079" t="inlineStr">
        <is>
          <t>អ្នកធ្វើប្រតិបត្តិការ</t>
        </is>
      </c>
    </row>
    <row r="1080">
      <c r="A1080" s="287" t="n"/>
      <c r="B1080" s="288" t="inlineStr">
        <is>
          <t>Sản lượng dự kiến đến</t>
        </is>
      </c>
      <c r="C1080" s="287" t="n"/>
      <c r="D1080" s="287" t="inlineStr">
        <is>
          <t>បរិមាណបញ្ញើរំពឹងថានឹងមកដល់</t>
        </is>
      </c>
      <c r="E1080" s="271" t="n"/>
      <c r="F1080" t="inlineStr">
        <is>
          <t>បរិមាណបញ្ញើរំពឹងថានឹងមកដល់</t>
        </is>
      </c>
    </row>
    <row r="1081">
      <c r="A1081" s="285" t="n"/>
      <c r="B1081" s="285" t="inlineStr">
        <is>
          <t>STT</t>
        </is>
      </c>
      <c r="C1081" s="285" t="n"/>
      <c r="D1081" s="285" t="inlineStr">
        <is>
          <t>លេខរៀង</t>
        </is>
      </c>
      <c r="E1081" s="271" t="n"/>
      <c r="F1081" t="inlineStr">
        <is>
          <t>លេខរៀង</t>
        </is>
      </c>
    </row>
    <row r="1082">
      <c r="A1082" s="285" t="n"/>
      <c r="B1082" s="285" t="inlineStr">
        <is>
          <t>Chi nhánh</t>
        </is>
      </c>
      <c r="C1082" s="285" t="n"/>
      <c r="D1082" s="285" t="inlineStr">
        <is>
          <t>សាខា</t>
        </is>
      </c>
      <c r="E1082" s="271" t="n"/>
      <c r="F1082" t="inlineStr">
        <is>
          <t>សាខា</t>
        </is>
      </c>
    </row>
    <row r="1083">
      <c r="A1083" s="285" t="n"/>
      <c r="B1083" s="285" t="inlineStr">
        <is>
          <t>Bưu cục</t>
        </is>
      </c>
      <c r="C1083" s="285" t="n"/>
      <c r="D1083" s="285" t="inlineStr">
        <is>
          <t>ការិយាល័យប្រៃសណីយ៍</t>
        </is>
      </c>
      <c r="E1083" s="271" t="n"/>
      <c r="F1083" t="inlineStr">
        <is>
          <t>ការិយាល័យប្រៃសណីយ៍</t>
        </is>
      </c>
    </row>
    <row r="1084">
      <c r="A1084" s="285" t="n"/>
      <c r="B1084" s="285" t="inlineStr">
        <is>
          <t>Tổng trọng lượng</t>
        </is>
      </c>
      <c r="C1084" s="285" t="n"/>
      <c r="D1084" s="285" t="inlineStr">
        <is>
          <t>ចំនួនទម្ងន់សរុប</t>
        </is>
      </c>
      <c r="E1084" s="271" t="n"/>
      <c r="F1084" t="inlineStr">
        <is>
          <t>ចំនួនទម្ងន់សរុប</t>
        </is>
      </c>
    </row>
    <row r="1085">
      <c r="A1085" s="285" t="n"/>
      <c r="B1085" s="285" t="inlineStr">
        <is>
          <t>Sản lượng dự kiến đến hôm nay
(hint: thời gian dự kiến đến &lt; 24h ngày N)</t>
        </is>
      </c>
      <c r="C1085" s="285" t="n"/>
      <c r="D1085" s="285" t="inlineStr">
        <is>
          <t>Sản lượng dự kiến đến hôm nay
(hint: ពេលវេលា dự kiến đến &lt; 24h កាលបរិច្ឆេទ N)</t>
        </is>
      </c>
      <c r="E1085" s="271" t="n"/>
      <c r="F1085" t="inlineStr">
        <is>
          <t>Sản lượng dự kiến đến hôm nay
(hint: ពេលវេលា dự kiến đến &lt; 24h កាលបរិច្ឆេទ N)</t>
        </is>
      </c>
    </row>
    <row r="1086">
      <c r="A1086" s="285" t="n"/>
      <c r="B1086" s="285" t="inlineStr">
        <is>
          <t>Sản lượng dự kiến đến ngày mai
(Hint: ( 24h ngày N&lt; =thời gian dự kiến đến trước 24h N+1)</t>
        </is>
      </c>
      <c r="C1086" s="285" t="n"/>
      <c r="D1086" s="285" t="inlineStr">
        <is>
          <t>Sản lượng dự kiến រហូតដល់ថ្ងៃ mai
(Hint: ( 24h កាលបរិច្ឆេទ N&lt; =ពេលវេលា dự kiến đến trước 24h N+1)</t>
        </is>
      </c>
      <c r="E1086" s="271" t="n"/>
      <c r="F1086" t="inlineStr">
        <is>
          <t>Sản lượng dự kiến រហូតដល់ថ្ងៃ mai
(Hint: ( 24h កាលបរិច្ឆេទ N&lt; =ពេលវេលា dự kiến đến trước 24h N+1)</t>
        </is>
      </c>
    </row>
    <row r="1087">
      <c r="A1087" s="285" t="n"/>
      <c r="B1087" s="285" t="inlineStr">
        <is>
          <t>Sản lượng dự kiến đến ngày kia
(Hint: (24h N+1&lt; =thời gian dự kiến đến trước 24h N+2) )</t>
        </is>
      </c>
      <c r="C1087" s="285" t="n"/>
      <c r="D1087" s="285" t="inlineStr">
        <is>
          <t>Sản lượng dự kiến រហូតដល់ថ្ងៃ kia
(Hint: (24h N+1&lt; =ពេលវេលា dự kiến đến trước 24h N+2) )</t>
        </is>
      </c>
      <c r="E1087" s="271" t="n"/>
      <c r="F1087" t="inlineStr">
        <is>
          <t>Sản lượng dự kiến រហូតដល់ថ្ងៃ kia
(Hint: (24h N+1&lt; =ពេលវេលា dự kiến đến trước 24h N+2) )</t>
        </is>
      </c>
    </row>
    <row r="1088">
      <c r="A1088" s="285" t="n"/>
      <c r="B1088" s="285" t="inlineStr">
        <is>
          <t>Tổng SL dự kiến đến</t>
        </is>
      </c>
      <c r="C1088" s="285" t="n"/>
      <c r="D1088" s="285" t="inlineStr">
        <is>
          <t>ចំនួនSL dự kiến đếnសរុប</t>
        </is>
      </c>
      <c r="E1088" s="271" t="n"/>
      <c r="F1088" t="inlineStr">
        <is>
          <t>ចំនួនSL dự kiến đếnសរុប</t>
        </is>
      </c>
    </row>
    <row r="1089">
      <c r="A1089" s="287" t="n"/>
      <c r="B1089" s="291" t="inlineStr">
        <is>
          <t>Báo cáo sản lượng kho vùng tỉnh</t>
        </is>
      </c>
      <c r="C1089" s="287" t="n"/>
      <c r="D1089" s="287" t="inlineStr">
        <is>
          <t>របាយការណ៍sản lượng ឃ្លាំង តំបន់ ខេត្ត</t>
        </is>
      </c>
      <c r="E1089" s="271" t="n"/>
      <c r="F1089" t="inlineStr">
        <is>
          <t>របាយការណ៍sản lượng ឃ្លាំង តំបន់ ខេត្ត</t>
        </is>
      </c>
    </row>
    <row r="1090">
      <c r="A1090" s="287" t="n"/>
      <c r="B1090" s="273" t="inlineStr">
        <is>
          <t>STT</t>
        </is>
      </c>
      <c r="C1090" s="287" t="n"/>
      <c r="D1090" s="287" t="inlineStr">
        <is>
          <t>លេខរៀង</t>
        </is>
      </c>
      <c r="E1090" s="271" t="n"/>
      <c r="F1090" t="inlineStr">
        <is>
          <t>លេខរៀង</t>
        </is>
      </c>
    </row>
    <row r="1091">
      <c r="A1091" s="287" t="n"/>
      <c r="B1091" s="273" t="inlineStr">
        <is>
          <t>Ngày báo cáo</t>
        </is>
      </c>
      <c r="C1091" s="287" t="n"/>
      <c r="D1091" s="287" t="inlineStr">
        <is>
          <t>កាលបរិច្ឆេទរបាយការណ៍</t>
        </is>
      </c>
      <c r="E1091" s="271" t="n"/>
      <c r="F1091" t="inlineStr">
        <is>
          <t>កាលបរិច្ឆេទរបាយការណ៍</t>
        </is>
      </c>
    </row>
    <row r="1092">
      <c r="A1092" s="287" t="n"/>
      <c r="B1092" s="273" t="inlineStr">
        <is>
          <t>Mã vận đơn</t>
        </is>
      </c>
      <c r="C1092" s="287" t="n"/>
      <c r="D1092" s="287" t="inlineStr">
        <is>
          <t>លេខកូដបុងបញ្ញើ</t>
        </is>
      </c>
      <c r="E1092" s="271" t="n"/>
      <c r="F1092" t="inlineStr">
        <is>
          <t>លេខកូដបុងបញ្ញើ</t>
        </is>
      </c>
    </row>
    <row r="1093">
      <c r="A1093" s="287" t="n"/>
      <c r="B1093" s="273" t="inlineStr">
        <is>
          <t>Mã tải/kiện nhập</t>
        </is>
      </c>
      <c r="C1093" s="287" t="n"/>
      <c r="D1093" s="287" t="inlineStr">
        <is>
          <t>លេខកូដtải/kiện nhập</t>
        </is>
      </c>
      <c r="E1093" s="271" t="n"/>
      <c r="F1093" t="inlineStr">
        <is>
          <t>លេខកូដtải/kiện nhập</t>
        </is>
      </c>
    </row>
    <row r="1094">
      <c r="A1094" s="287" t="n"/>
      <c r="B1094" s="273" t="inlineStr">
        <is>
          <t>Mã tải/kiện xuất</t>
        </is>
      </c>
      <c r="C1094" s="287" t="n"/>
      <c r="D1094" s="287" t="inlineStr">
        <is>
          <t>លេខកូដtải/kiện xuất</t>
        </is>
      </c>
      <c r="E1094" s="271" t="n"/>
      <c r="F1094" t="inlineStr">
        <is>
          <t>លេខកូដtải/kiện xuất</t>
        </is>
      </c>
    </row>
    <row r="1095">
      <c r="A1095" s="287" t="n"/>
      <c r="B1095" s="273" t="inlineStr">
        <is>
          <t>Hàng hoàn</t>
        </is>
      </c>
      <c r="C1095" s="287" t="n"/>
      <c r="D1095" s="287" t="inlineStr">
        <is>
          <t>ទំនិញ hoàn</t>
        </is>
      </c>
      <c r="E1095" s="271" t="n"/>
      <c r="F1095" t="inlineStr">
        <is>
          <t>ទំនិញ hoàn</t>
        </is>
      </c>
    </row>
    <row r="1096">
      <c r="A1096" s="287" t="n"/>
      <c r="B1096" s="273" t="inlineStr">
        <is>
          <t>Loại đơn hàng</t>
        </is>
      </c>
      <c r="C1096" s="287" t="n"/>
      <c r="D1096" s="287" t="inlineStr">
        <is>
          <t>ប្រភេទ បញ្ញើ ទំនិញ</t>
        </is>
      </c>
      <c r="E1096" s="271" t="n"/>
      <c r="F1096" t="inlineStr">
        <is>
          <t>ប្រភេទ បញ្ញើ ទំនិញ</t>
        </is>
      </c>
    </row>
    <row r="1097">
      <c r="A1097" s="287" t="n"/>
      <c r="B1097" s="273" t="inlineStr">
        <is>
          <t>Người nhận bàn giao đến</t>
        </is>
      </c>
      <c r="C1097" s="287" t="n"/>
      <c r="D1097" s="287" t="inlineStr">
        <is>
          <t>Người ទទួល bàn giao đến</t>
        </is>
      </c>
      <c r="E1097" s="271" t="n"/>
      <c r="F1097" t="inlineStr">
        <is>
          <t>Người ទទួល bàn giao đến</t>
        </is>
      </c>
    </row>
    <row r="1098">
      <c r="A1098" s="287" t="n"/>
      <c r="B1098" s="273" t="inlineStr">
        <is>
          <t>Người nhận bàn giao đi</t>
        </is>
      </c>
      <c r="C1098" s="287" t="n"/>
      <c r="D1098" s="287" t="inlineStr">
        <is>
          <t>Người ទទួល bàn giao đi</t>
        </is>
      </c>
      <c r="E1098" s="271" t="n"/>
      <c r="F1098" t="inlineStr">
        <is>
          <t>Người ទទួល bàn giao đi</t>
        </is>
      </c>
    </row>
    <row r="1099">
      <c r="A1099" s="287" t="n"/>
      <c r="B1099" s="273" t="inlineStr">
        <is>
          <t>Đơn vị khai thác (kho vùng)</t>
        </is>
      </c>
      <c r="C1099" s="287" t="n"/>
      <c r="D1099" s="287" t="inlineStr">
        <is>
          <t>បញ្ញើ vị khai thác (ឃ្លាំង តំបន់)</t>
        </is>
      </c>
      <c r="E1099" s="271" t="n"/>
      <c r="F1099" t="inlineStr">
        <is>
          <t>បញ្ញើ vị khai thác (ឃ្លាំង តំបន់)</t>
        </is>
      </c>
    </row>
    <row r="1100">
      <c r="A1100" s="287" t="n"/>
      <c r="B1100" s="273" t="inlineStr">
        <is>
          <t>Chi nhánh khai thác</t>
        </is>
      </c>
      <c r="C1100" s="287" t="n"/>
      <c r="D1100" s="287" t="inlineStr">
        <is>
          <t>សាខា khai thác</t>
        </is>
      </c>
      <c r="E1100" s="271" t="n"/>
      <c r="F1100" t="inlineStr">
        <is>
          <t>សាខា khai thác</t>
        </is>
      </c>
    </row>
    <row r="1101">
      <c r="A1101" s="287" t="n"/>
      <c r="B1101" s="273" t="inlineStr">
        <is>
          <t>Đơn vị nhận bàn giao đi</t>
        </is>
      </c>
      <c r="C1101" s="287" t="n"/>
      <c r="D1101" s="287" t="inlineStr">
        <is>
          <t>បញ្ញើ vị ទទួល bàn giao đi</t>
        </is>
      </c>
      <c r="E1101" s="271" t="n"/>
      <c r="F1101" t="inlineStr">
        <is>
          <t>បញ្ញើ vị ទទួល bàn giao đi</t>
        </is>
      </c>
    </row>
    <row r="1102">
      <c r="A1102" s="287" t="n"/>
      <c r="B1102" s="273" t="inlineStr">
        <is>
          <t>Bưu cục gốc</t>
        </is>
      </c>
      <c r="C1102" s="287" t="n"/>
      <c r="D1102" s="287" t="inlineStr">
        <is>
          <t>ការិយាល័យប្រៃសណីយ៍ដើម</t>
        </is>
      </c>
      <c r="E1102" s="271" t="n"/>
      <c r="F1102" t="inlineStr">
        <is>
          <t>ការិយាល័យប្រៃសណីយ៍ដើម</t>
        </is>
      </c>
    </row>
    <row r="1103">
      <c r="A1103" s="287" t="n"/>
      <c r="B1103" s="273" t="inlineStr">
        <is>
          <t>Chi nhánh gốc</t>
        </is>
      </c>
      <c r="C1103" s="287" t="n"/>
      <c r="D1103" s="287" t="inlineStr">
        <is>
          <t>សាខាដើម</t>
        </is>
      </c>
      <c r="E1103" s="271" t="n"/>
      <c r="F1103" t="inlineStr">
        <is>
          <t>សាខាដើម</t>
        </is>
      </c>
    </row>
    <row r="1104">
      <c r="A1104" s="287" t="n"/>
      <c r="B1104" s="273" t="inlineStr">
        <is>
          <t>Bưu cục phát</t>
        </is>
      </c>
      <c r="C1104" s="287" t="n"/>
      <c r="D1104" s="287" t="inlineStr">
        <is>
          <t>ការិយាល័យប្រៃសណីយ៍ដឹកចែក</t>
        </is>
      </c>
      <c r="E1104" s="271" t="n"/>
      <c r="F1104" t="inlineStr">
        <is>
          <t>ការិយាល័យប្រៃសណីយ៍ដឹកចែក</t>
        </is>
      </c>
    </row>
    <row r="1105">
      <c r="A1105" s="287" t="n"/>
      <c r="B1105" s="273" t="inlineStr">
        <is>
          <t>Chi nhánh phát</t>
        </is>
      </c>
      <c r="C1105" s="287" t="n"/>
      <c r="D1105" s="287" t="inlineStr">
        <is>
          <t>សាខាដឹកចែក</t>
        </is>
      </c>
      <c r="E1105" s="271" t="n"/>
      <c r="F1105" t="inlineStr">
        <is>
          <t>សាខាដឹកចែក</t>
        </is>
      </c>
    </row>
    <row r="1106">
      <c r="A1106" s="287" t="n"/>
      <c r="B1106" s="273" t="inlineStr">
        <is>
          <t>Mã dịch vụ</t>
        </is>
      </c>
      <c r="C1106" s="287" t="n"/>
      <c r="D1106" s="287" t="inlineStr">
        <is>
          <t>លេខកូដសេវាកម្ម</t>
        </is>
      </c>
      <c r="E1106" s="271" t="n"/>
      <c r="F1106" t="inlineStr">
        <is>
          <t>លេខកូដសេវាកម្ម</t>
        </is>
      </c>
    </row>
    <row r="1107">
      <c r="A1107" s="287" t="n"/>
      <c r="B1107" s="273" t="inlineStr">
        <is>
          <t>Khối lượng (gram)</t>
        </is>
      </c>
      <c r="C1107" s="287" t="n"/>
      <c r="D1107" s="287" t="inlineStr">
        <is>
          <t>ទម្ងន់ (gram)</t>
        </is>
      </c>
      <c r="E1107" s="271" t="n"/>
      <c r="F1107" t="inlineStr">
        <is>
          <t>ទម្ងន់ (gram)</t>
        </is>
      </c>
    </row>
    <row r="1108">
      <c r="A1108" s="287" t="n"/>
      <c r="B1108" s="273" t="inlineStr">
        <is>
          <t>Đích đến tải/kiện xuất</t>
        </is>
      </c>
      <c r="C1108" s="287" t="n"/>
      <c r="D1108" s="287" t="inlineStr">
        <is>
          <t>គោលដៅនៃបាវ/កញ្ចប់បញ្ញើបញ្ចេញ</t>
        </is>
      </c>
      <c r="E1108" s="271" t="n"/>
      <c r="F1108" t="inlineStr">
        <is>
          <t>គោលដៅនៃបាវ/កញ្ចប់បញ្ញើបញ្ចេញ</t>
        </is>
      </c>
    </row>
    <row r="1109">
      <c r="A1109" s="287" t="n"/>
      <c r="B1109" s="273" t="inlineStr">
        <is>
          <t>Thời gian nhập kho vùng</t>
        </is>
      </c>
      <c r="C1109" s="287" t="n"/>
      <c r="D1109" s="287" t="inlineStr">
        <is>
          <t>ពេលវេលាnhập ឃ្លាំង តំបន់</t>
        </is>
      </c>
      <c r="E1109" s="271" t="n"/>
      <c r="F1109" t="inlineStr">
        <is>
          <t>ពេលវេលាnhập ឃ្លាំង តំបន់</t>
        </is>
      </c>
    </row>
    <row r="1110">
      <c r="A1110" s="287" t="n"/>
      <c r="B1110" s="273" t="inlineStr">
        <is>
          <t>Thời gian xuất kho vùng</t>
        </is>
      </c>
      <c r="C1110" s="287" t="n"/>
      <c r="D1110" s="287" t="inlineStr">
        <is>
          <t>ពេលវេលាxuất ឃ្លាំង តំបន់</t>
        </is>
      </c>
      <c r="E1110" s="271" t="n"/>
      <c r="F1110" t="inlineStr">
        <is>
          <t>ពេលវេលាxuất ឃ្លាំង តំបន់</t>
        </is>
      </c>
    </row>
    <row r="1111">
      <c r="A1111" s="287" t="n"/>
      <c r="B1111" s="273" t="inlineStr">
        <is>
          <t>Thời gian khai thác (giờ)</t>
        </is>
      </c>
      <c r="C1111" s="287" t="n"/>
      <c r="D1111" s="287" t="inlineStr">
        <is>
          <t>ពេលវេលាkhai thác (ម៉ោង)</t>
        </is>
      </c>
      <c r="E1111" s="271" t="n"/>
      <c r="F1111" t="inlineStr">
        <is>
          <t>ពេលវេលាkhai thác (ម៉ោង)</t>
        </is>
      </c>
    </row>
    <row r="1112">
      <c r="A1112" s="300" t="n"/>
      <c r="B1112" s="300" t="n"/>
      <c r="C1112" s="300" t="n"/>
      <c r="D1112" s="300" t="inlineStr"/>
      <c r="F1112" t="inlineStr"/>
    </row>
    <row r="1113">
      <c r="A1113" s="300" t="n"/>
      <c r="B1113" s="300" t="n"/>
      <c r="C1113" s="300" t="n"/>
      <c r="D1113" s="300" t="inlineStr"/>
      <c r="F1113" t="inlineStr"/>
    </row>
    <row r="1114">
      <c r="A1114" s="300" t="n"/>
      <c r="B1114" s="300" t="n"/>
      <c r="C1114" s="300" t="n"/>
      <c r="D1114" s="300" t="inlineStr"/>
      <c r="F1114" t="inlineStr"/>
    </row>
    <row r="1115">
      <c r="A1115" s="300" t="n"/>
      <c r="B1115" s="300" t="n"/>
      <c r="C1115" s="300" t="n"/>
      <c r="D1115" s="300" t="inlineStr"/>
      <c r="F1115" t="inlineStr"/>
    </row>
    <row r="1116">
      <c r="A1116" s="300" t="n"/>
      <c r="B1116" s="300" t="n"/>
      <c r="C1116" s="300" t="n"/>
      <c r="D1116" s="300" t="inlineStr"/>
      <c r="F1116" t="inlineStr"/>
    </row>
    <row r="1117">
      <c r="A1117" s="300" t="n"/>
      <c r="B1117" s="300" t="n"/>
      <c r="C1117" s="300" t="n"/>
      <c r="D1117" s="300" t="inlineStr"/>
      <c r="F1117" t="inlineStr"/>
    </row>
    <row r="1118">
      <c r="A1118" s="300" t="n"/>
      <c r="B1118" s="300" t="n"/>
      <c r="C1118" s="300" t="n"/>
      <c r="D1118" s="300" t="inlineStr"/>
      <c r="F1118" t="inlineStr"/>
    </row>
    <row r="1119">
      <c r="A1119" s="300" t="n"/>
      <c r="B1119" s="300" t="n"/>
      <c r="C1119" s="300" t="n"/>
      <c r="D1119" s="300" t="inlineStr"/>
      <c r="F1119" t="inlineStr"/>
    </row>
    <row r="1120">
      <c r="A1120" s="300" t="n"/>
      <c r="B1120" s="300" t="n"/>
      <c r="C1120" s="300" t="n"/>
      <c r="D1120" s="300" t="inlineStr"/>
      <c r="F1120" t="inlineStr"/>
    </row>
    <row r="1121">
      <c r="A1121" s="300" t="n"/>
      <c r="B1121" s="300" t="n"/>
      <c r="C1121" s="300" t="n"/>
      <c r="D1121" s="300" t="inlineStr"/>
      <c r="F1121" t="inlineStr"/>
    </row>
    <row r="1122">
      <c r="A1122" s="300" t="n"/>
      <c r="B1122" s="300" t="n"/>
      <c r="C1122" s="300" t="n"/>
      <c r="D1122" s="300" t="inlineStr"/>
      <c r="F1122" t="inlineStr"/>
    </row>
    <row r="1123">
      <c r="A1123" s="300" t="n"/>
      <c r="B1123" s="300" t="n"/>
      <c r="C1123" s="300" t="n"/>
      <c r="D1123" s="300" t="inlineStr"/>
      <c r="F1123" t="inlineStr"/>
    </row>
    <row r="1124">
      <c r="A1124" s="300" t="n"/>
      <c r="B1124" s="300" t="n"/>
      <c r="C1124" s="300" t="n"/>
      <c r="D1124" s="300" t="inlineStr"/>
      <c r="F1124" t="inlineStr"/>
    </row>
    <row r="1125">
      <c r="A1125" s="300" t="n"/>
      <c r="B1125" s="300" t="n"/>
      <c r="C1125" s="300" t="n"/>
      <c r="D1125" s="300" t="inlineStr"/>
      <c r="F1125" t="inlineStr"/>
    </row>
    <row r="1126">
      <c r="A1126" s="300" t="n"/>
      <c r="B1126" s="300" t="n"/>
      <c r="C1126" s="300" t="n"/>
      <c r="D1126" s="300" t="inlineStr"/>
      <c r="F1126" t="inlineStr"/>
    </row>
    <row r="1127">
      <c r="A1127" s="300" t="n"/>
      <c r="B1127" s="300" t="n"/>
      <c r="C1127" s="300" t="n"/>
      <c r="D1127" s="300" t="inlineStr"/>
      <c r="F1127" t="inlineStr"/>
    </row>
    <row r="1128">
      <c r="A1128" s="300" t="n"/>
      <c r="B1128" s="300" t="n"/>
      <c r="C1128" s="300" t="n"/>
      <c r="D1128" s="300" t="inlineStr"/>
      <c r="F1128" t="inlineStr"/>
    </row>
    <row r="1129">
      <c r="A1129" s="300" t="n"/>
      <c r="B1129" s="300" t="n"/>
      <c r="C1129" s="300" t="n"/>
      <c r="D1129" s="300" t="inlineStr"/>
      <c r="F1129" t="inlineStr"/>
    </row>
    <row r="1130">
      <c r="A1130" s="300" t="n"/>
      <c r="B1130" s="300" t="n"/>
      <c r="C1130" s="300" t="n"/>
      <c r="D1130" s="300" t="inlineStr"/>
      <c r="F1130" t="inlineStr"/>
    </row>
    <row r="1131">
      <c r="A1131" s="300" t="n"/>
      <c r="B1131" s="300" t="n"/>
      <c r="C1131" s="300" t="n"/>
      <c r="D1131" s="300" t="inlineStr"/>
      <c r="F1131" t="inlineStr"/>
    </row>
    <row r="1132">
      <c r="A1132" s="300" t="n"/>
      <c r="B1132" s="300" t="n"/>
      <c r="C1132" s="300" t="n"/>
      <c r="D1132" s="300" t="inlineStr"/>
      <c r="F1132" t="inlineStr"/>
    </row>
    <row r="1133">
      <c r="A1133" s="300" t="n"/>
      <c r="B1133" s="300" t="n"/>
      <c r="C1133" s="300" t="n"/>
      <c r="D1133" s="300" t="inlineStr"/>
      <c r="F1133" t="inlineStr"/>
    </row>
    <row r="1134">
      <c r="A1134" s="300" t="n"/>
      <c r="B1134" s="300" t="n"/>
      <c r="C1134" s="300" t="n"/>
      <c r="D1134" s="300" t="inlineStr"/>
      <c r="F1134" t="inlineStr"/>
    </row>
    <row r="1135">
      <c r="A1135" s="300" t="n"/>
      <c r="B1135" s="300" t="n"/>
      <c r="C1135" s="300" t="n"/>
      <c r="D1135" s="300" t="inlineStr"/>
      <c r="F1135" t="inlineStr"/>
    </row>
    <row r="1136">
      <c r="A1136" s="300" t="n"/>
      <c r="B1136" s="300" t="n"/>
      <c r="C1136" s="300" t="n"/>
      <c r="D1136" s="300" t="inlineStr"/>
      <c r="F1136" t="inlineStr"/>
    </row>
    <row r="1137">
      <c r="A1137" s="300" t="n"/>
      <c r="B1137" s="300" t="n"/>
      <c r="C1137" s="300" t="n"/>
      <c r="D1137" s="300" t="inlineStr"/>
      <c r="F1137" t="inlineStr"/>
    </row>
    <row r="1138">
      <c r="A1138" s="300" t="n"/>
      <c r="B1138" s="300" t="n"/>
      <c r="C1138" s="300" t="n"/>
      <c r="D1138" s="300" t="inlineStr"/>
      <c r="F1138" t="inlineStr"/>
    </row>
    <row r="1139">
      <c r="A1139" s="300" t="n"/>
      <c r="B1139" s="300" t="n"/>
      <c r="C1139" s="300" t="n"/>
      <c r="D1139" s="300" t="inlineStr"/>
      <c r="F1139" t="inlineStr"/>
    </row>
    <row r="1140">
      <c r="A1140" s="300" t="n"/>
      <c r="B1140" s="300" t="n"/>
      <c r="C1140" s="300" t="n"/>
      <c r="D1140" s="300" t="inlineStr"/>
      <c r="F1140" t="inlineStr"/>
    </row>
    <row r="1141">
      <c r="A1141" s="300" t="n"/>
      <c r="B1141" s="300" t="n"/>
      <c r="C1141" s="300" t="n"/>
      <c r="D1141" s="300" t="inlineStr"/>
      <c r="F1141" t="inlineStr"/>
    </row>
    <row r="1142">
      <c r="A1142" s="300" t="n"/>
      <c r="B1142" s="300" t="n"/>
      <c r="C1142" s="300" t="n"/>
      <c r="D1142" s="300" t="inlineStr"/>
      <c r="F1142" t="inlineStr"/>
    </row>
    <row r="1143">
      <c r="A1143" s="300" t="n"/>
      <c r="B1143" s="300" t="n"/>
      <c r="C1143" s="300" t="n"/>
      <c r="D1143" s="300" t="inlineStr"/>
      <c r="F1143" t="inlineStr"/>
    </row>
    <row r="1144">
      <c r="A1144" s="300" t="n"/>
      <c r="B1144" s="300" t="n"/>
      <c r="C1144" s="300" t="n"/>
      <c r="D1144" s="300" t="inlineStr"/>
      <c r="F1144" t="inlineStr"/>
    </row>
    <row r="1145">
      <c r="A1145" s="300" t="n"/>
      <c r="B1145" s="300" t="n"/>
      <c r="C1145" s="300" t="n"/>
      <c r="D1145" s="300" t="inlineStr"/>
      <c r="F1145" t="inlineStr"/>
    </row>
    <row r="1146">
      <c r="A1146" s="300" t="n"/>
      <c r="B1146" s="300" t="n"/>
      <c r="C1146" s="300" t="n"/>
      <c r="D1146" s="300" t="inlineStr"/>
      <c r="F1146" t="inlineStr"/>
    </row>
    <row r="1147">
      <c r="A1147" s="300" t="n"/>
      <c r="B1147" s="300" t="n"/>
      <c r="C1147" s="300" t="n"/>
      <c r="D1147" s="300" t="inlineStr"/>
      <c r="F1147" t="inlineStr"/>
    </row>
    <row r="1148">
      <c r="A1148" s="300" t="n"/>
      <c r="B1148" s="300" t="n"/>
      <c r="C1148" s="300" t="n"/>
      <c r="D1148" s="300" t="inlineStr"/>
      <c r="F1148" t="inlineStr"/>
    </row>
    <row r="1149">
      <c r="A1149" s="300" t="n"/>
      <c r="B1149" s="300" t="n"/>
      <c r="C1149" s="300" t="n"/>
      <c r="D1149" s="300" t="inlineStr"/>
      <c r="F1149" t="inlineStr"/>
    </row>
    <row r="1150">
      <c r="A1150" s="300" t="n"/>
      <c r="B1150" s="300" t="n"/>
      <c r="C1150" s="300" t="n"/>
      <c r="D1150" s="300" t="inlineStr"/>
      <c r="F1150" t="inlineStr"/>
    </row>
    <row r="1151">
      <c r="A1151" s="300" t="n"/>
      <c r="B1151" s="300" t="n"/>
      <c r="C1151" s="300" t="n"/>
      <c r="D1151" s="300" t="inlineStr"/>
      <c r="F1151" t="inlineStr"/>
    </row>
    <row r="1152">
      <c r="A1152" s="300" t="n"/>
      <c r="B1152" s="300" t="n"/>
      <c r="C1152" s="300" t="n"/>
      <c r="D1152" s="300" t="inlineStr"/>
      <c r="F1152" t="inlineStr"/>
    </row>
    <row r="1153">
      <c r="A1153" s="300" t="n"/>
      <c r="B1153" s="300" t="n"/>
      <c r="C1153" s="300" t="n"/>
      <c r="D1153" s="300" t="inlineStr"/>
      <c r="F1153" t="inlineStr"/>
    </row>
  </sheetData>
  <mergeCells count="1">
    <mergeCell ref="D164:D166"/>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O2610"/>
  <sheetViews>
    <sheetView workbookViewId="0">
      <pane ySplit="1" topLeftCell="A2" activePane="bottomLeft" state="frozen"/>
      <selection pane="bottomLeft" activeCell="B3" sqref="B3"/>
    </sheetView>
  </sheetViews>
  <sheetFormatPr baseColWidth="8" defaultColWidth="14.43" defaultRowHeight="15" customHeight="1"/>
  <cols>
    <col hidden="1" width="33.29" customWidth="1" style="305" min="1" max="1"/>
    <col width="36" customWidth="1" style="305" min="2" max="2"/>
    <col width="46.14" customWidth="1" style="305" min="3" max="3"/>
    <col width="39.29" customWidth="1" style="305" min="4" max="4"/>
    <col width="39" customWidth="1" style="305" min="5" max="5"/>
    <col width="12.86" customWidth="1" style="305" min="6" max="6"/>
    <col width="39.29" customWidth="1" style="305" min="7" max="7"/>
    <col width="10.71" customWidth="1" style="305" min="8" max="8"/>
    <col width="55.14" customWidth="1" style="305" min="9" max="9"/>
    <col width="42" customWidth="1" style="305" min="10" max="10"/>
    <col width="10.71" customWidth="1" style="305" min="11" max="26"/>
  </cols>
  <sheetData>
    <row r="1">
      <c r="A1" s="242" t="inlineStr">
        <is>
          <t>key (label.id)</t>
        </is>
      </c>
      <c r="B1" s="242" t="inlineStr">
        <is>
          <t>vi-VN</t>
        </is>
      </c>
      <c r="C1" s="242" t="inlineStr">
        <is>
          <t>en-US</t>
        </is>
      </c>
      <c r="D1" s="242" t="inlineStr">
        <is>
          <t>GG DỊCH</t>
        </is>
      </c>
      <c r="E1" s="243" t="inlineStr">
        <is>
          <t>Cam SONITA</t>
        </is>
      </c>
      <c r="F1" s="244" t="inlineStr">
        <is>
          <t>Cam review</t>
        </is>
      </c>
      <c r="G1" s="244" t="inlineStr">
        <is>
          <t>Cam - final</t>
        </is>
      </c>
      <c r="H1" s="308" t="inlineStr">
        <is>
          <t>cam Thean</t>
        </is>
      </c>
    </row>
    <row r="2">
      <c r="A2" s="146" t="inlineStr">
        <is>
          <t>common.hello</t>
        </is>
      </c>
      <c r="B2" s="146" t="inlineStr">
        <is>
          <t>Xin chào</t>
        </is>
      </c>
      <c r="C2" s="146" t="inlineStr">
        <is>
          <t>Hello</t>
        </is>
      </c>
      <c r="D2" s="146" t="inlineStr">
        <is>
          <t>សួស្តី</t>
        </is>
      </c>
      <c r="E2" s="3" t="n"/>
      <c r="F2" s="217" t="inlineStr">
        <is>
          <t>OK</t>
        </is>
      </c>
      <c r="G2" t="inlineStr">
        <is>
          <t>សួស្តី</t>
        </is>
      </c>
      <c r="H2" t="inlineStr">
        <is>
          <t>សួស្តី</t>
        </is>
      </c>
      <c r="J2" s="217">
        <f t="array" ref="J2:J2610">IF(A2:A2610="","",CHAR(34)&amp;A2:A2610&amp;CHAR(34)&amp;": "&amp;CHAR(34)&amp;SUBSTITUTE(SUBSTITUTE(C2:C2610,CHAR(92)&amp;CHAR(34),CHAR(92)&amp;CHAR(92)&amp;CHAR(34)),CHAR(34),CHAR(92)&amp;CHAR(34))&amp;CHAR(34)&amp;",")</f>
        <v/>
      </c>
    </row>
    <row r="3">
      <c r="A3" s="146" t="inlineStr">
        <is>
          <t>common.home</t>
        </is>
      </c>
      <c r="B3" s="146" t="inlineStr">
        <is>
          <t>Trang chủ</t>
        </is>
      </c>
      <c r="C3" s="146" t="inlineStr">
        <is>
          <t>Home</t>
        </is>
      </c>
      <c r="D3" s="146" t="inlineStr">
        <is>
          <t>ទំព័រដើម</t>
        </is>
      </c>
      <c r="E3" s="31" t="n"/>
      <c r="F3" s="217" t="inlineStr">
        <is>
          <t>OK</t>
        </is>
      </c>
      <c r="G3" t="inlineStr">
        <is>
          <t>ទំព័រដើម</t>
        </is>
      </c>
      <c r="H3" t="inlineStr">
        <is>
          <t>ទំព័រដើម</t>
        </is>
      </c>
      <c r="J3" s="217" t="inlineStr">
        <is>
          <t>"common.home": "Home",</t>
        </is>
      </c>
    </row>
    <row r="4">
      <c r="A4" s="146" t="inlineStr">
        <is>
          <t>common.menu</t>
        </is>
      </c>
      <c r="B4" s="146" t="inlineStr">
        <is>
          <t>Danh mục</t>
        </is>
      </c>
      <c r="C4" s="146" t="inlineStr">
        <is>
          <t>Menu</t>
        </is>
      </c>
      <c r="D4" s="146" t="inlineStr">
        <is>
          <t>ម៉ឺនុយ</t>
        </is>
      </c>
      <c r="E4" s="31" t="n"/>
      <c r="G4" t="inlineStr">
        <is>
          <t>ម៉ឺនុយ</t>
        </is>
      </c>
      <c r="H4" t="inlineStr">
        <is>
          <t>ម៉ឺនុយ</t>
        </is>
      </c>
      <c r="J4" s="217" t="inlineStr">
        <is>
          <t>"common.menu": "Menu",</t>
        </is>
      </c>
    </row>
    <row r="5">
      <c r="A5" s="146" t="inlineStr">
        <is>
          <t>common.system</t>
        </is>
      </c>
      <c r="B5" s="146" t="inlineStr">
        <is>
          <t>Hệ thống</t>
        </is>
      </c>
      <c r="C5" s="146" t="inlineStr">
        <is>
          <t>System</t>
        </is>
      </c>
      <c r="D5" s="146" t="inlineStr">
        <is>
          <t>ប្រព័ន្ធ</t>
        </is>
      </c>
      <c r="E5" s="31" t="n"/>
      <c r="F5" s="217" t="inlineStr">
        <is>
          <t>OK</t>
        </is>
      </c>
      <c r="G5" t="inlineStr">
        <is>
          <t>Hệ thống</t>
        </is>
      </c>
      <c r="H5" t="inlineStr">
        <is>
          <t>Hệ thống</t>
        </is>
      </c>
      <c r="J5" s="217" t="inlineStr">
        <is>
          <t>"common.system": "System",</t>
        </is>
      </c>
    </row>
    <row r="6">
      <c r="A6" s="146" t="inlineStr">
        <is>
          <t>common.reportType</t>
        </is>
      </c>
      <c r="B6" s="146" t="inlineStr">
        <is>
          <t>Loại báo cáo</t>
        </is>
      </c>
      <c r="C6" s="146" t="inlineStr">
        <is>
          <t>Report Type</t>
        </is>
      </c>
      <c r="D6" s="146" t="inlineStr">
        <is>
          <t>ប្រភេទរបាយការណ៍</t>
        </is>
      </c>
      <c r="E6" s="31" t="n"/>
      <c r="F6" s="217" t="inlineStr">
        <is>
          <t>ok</t>
        </is>
      </c>
      <c r="G6" t="inlineStr">
        <is>
          <t>ប្រភេទ របាយការណ៍</t>
        </is>
      </c>
      <c r="H6" t="inlineStr">
        <is>
          <t>ប្រភេទ របាយការណ៍</t>
        </is>
      </c>
      <c r="J6" s="217" t="inlineStr">
        <is>
          <t>"common.reportType": "Report Type",</t>
        </is>
      </c>
    </row>
    <row r="7">
      <c r="A7" s="146" t="inlineStr">
        <is>
          <t>common.report</t>
        </is>
      </c>
      <c r="B7" s="146" t="inlineStr">
        <is>
          <t>Báo cáo</t>
        </is>
      </c>
      <c r="C7" s="146" t="inlineStr">
        <is>
          <t>Report</t>
        </is>
      </c>
      <c r="D7" s="146" t="inlineStr">
        <is>
          <t>របាយការណ៍</t>
        </is>
      </c>
      <c r="E7" s="31" t="n"/>
      <c r="F7" s="217" t="inlineStr">
        <is>
          <t>ok</t>
        </is>
      </c>
      <c r="G7" t="inlineStr">
        <is>
          <t>របាយការណ៍</t>
        </is>
      </c>
      <c r="H7" t="inlineStr">
        <is>
          <t>របាយការណ៍</t>
        </is>
      </c>
      <c r="J7" s="217" t="inlineStr">
        <is>
          <t>"common.report": "Report",</t>
        </is>
      </c>
    </row>
    <row r="8">
      <c r="A8" s="146" t="inlineStr">
        <is>
          <t>common.remunerationSummary</t>
        </is>
      </c>
      <c r="B8" s="146" t="inlineStr">
        <is>
          <t>Tổng hợp thù lao</t>
        </is>
      </c>
      <c r="C8" s="146" t="inlineStr">
        <is>
          <t>Remuneration Summary</t>
        </is>
      </c>
      <c r="D8" s="146" t="inlineStr">
        <is>
          <t>សរុបប្រាក់ឧបត្ថម្ភ</t>
        </is>
      </c>
      <c r="E8" s="31" t="n"/>
      <c r="G8" s="217" t="inlineStr">
        <is>
          <t>សរុបប្រាក់ចំណូល</t>
        </is>
      </c>
      <c r="H8" t="inlineStr">
        <is>
          <t>សរុបប្រាក់ចំណូល</t>
        </is>
      </c>
      <c r="J8" s="217" t="inlineStr">
        <is>
          <t>"common.remunerationSummary": "Remuneration Summary",</t>
        </is>
      </c>
    </row>
    <row r="9">
      <c r="A9" s="146" t="inlineStr">
        <is>
          <t>common.agencyCommission</t>
        </is>
      </c>
      <c r="B9" s="146" t="inlineStr">
        <is>
          <t>Hoa hồng đại lý</t>
        </is>
      </c>
      <c r="C9" s="146" t="inlineStr">
        <is>
          <t>Agency Commission</t>
        </is>
      </c>
      <c r="D9" s="146" t="inlineStr">
        <is>
          <t>កម្រៃជើងសារអាជ្ញាកណ្តាល</t>
        </is>
      </c>
      <c r="E9" s="31" t="n"/>
      <c r="G9" s="217" t="inlineStr">
        <is>
          <t>កម្រៃជើងសារភ្នាក់ងារ</t>
        </is>
      </c>
      <c r="H9" t="inlineStr">
        <is>
          <t>កម្រៃជើងសារភ្នាក់ងារ</t>
        </is>
      </c>
      <c r="J9" s="217" t="inlineStr">
        <is>
          <t>"common.agencyCommission": "Agency Commission",</t>
        </is>
      </c>
    </row>
    <row r="10">
      <c r="A10" s="146" t="inlineStr">
        <is>
          <t>common.revenueCompletion</t>
        </is>
      </c>
      <c r="B10" s="146" t="inlineStr">
        <is>
          <t>Tỷ lệ hoàn thành doanh thu</t>
        </is>
      </c>
      <c r="C10" s="146" t="inlineStr">
        <is>
          <t>Revenue Completion Rate</t>
        </is>
      </c>
      <c r="D10" s="146" t="inlineStr">
        <is>
          <t>អត្រាបំពេញប្រាក់ចំណូល</t>
        </is>
      </c>
      <c r="E10" s="31" t="n"/>
      <c r="G10" s="217" t="inlineStr">
        <is>
          <t>អត្រាសម្រេចបានចំណូល</t>
        </is>
      </c>
      <c r="H10" t="inlineStr">
        <is>
          <t>អត្រាសម្រេចបានចំណូល</t>
        </is>
      </c>
      <c r="J10" s="217" t="inlineStr">
        <is>
          <t>"common.revenueCompletion": "Revenue Completion Rate",</t>
        </is>
      </c>
    </row>
    <row r="11">
      <c r="A11" s="146" t="inlineStr">
        <is>
          <t>common.tabRegion</t>
        </is>
      </c>
      <c r="B11" s="146" t="inlineStr">
        <is>
          <t>Vùng</t>
        </is>
      </c>
      <c r="C11" s="146" t="inlineStr">
        <is>
          <t>Region</t>
        </is>
      </c>
      <c r="D11" s="146" t="inlineStr">
        <is>
          <t>តំបន់</t>
        </is>
      </c>
      <c r="E11" s="31" t="n"/>
      <c r="G11" t="inlineStr">
        <is>
          <t>តំបន់</t>
        </is>
      </c>
      <c r="H11" t="inlineStr">
        <is>
          <t>តំបន់</t>
        </is>
      </c>
      <c r="J11" s="217" t="inlineStr">
        <is>
          <t>"common.tabRegion": "Region",</t>
        </is>
      </c>
    </row>
    <row r="12">
      <c r="A12" s="146" t="inlineStr">
        <is>
          <t>common.tabProvince</t>
        </is>
      </c>
      <c r="B12" s="146" t="inlineStr">
        <is>
          <t>Tỉnh</t>
        </is>
      </c>
      <c r="C12" s="146" t="inlineStr">
        <is>
          <t>Province</t>
        </is>
      </c>
      <c r="D12" s="146" t="inlineStr">
        <is>
          <t>ខែត</t>
        </is>
      </c>
      <c r="E12" s="31" t="n"/>
      <c r="F12" s="3" t="inlineStr">
        <is>
          <t>ok</t>
        </is>
      </c>
      <c r="G12" t="inlineStr">
        <is>
          <t>ខេត្ត</t>
        </is>
      </c>
      <c r="H12" t="inlineStr">
        <is>
          <t>ខេត្ត</t>
        </is>
      </c>
      <c r="J12" s="217" t="inlineStr">
        <is>
          <t>"common.tabProvince": "Province",</t>
        </is>
      </c>
    </row>
    <row r="13">
      <c r="A13" s="146" t="inlineStr">
        <is>
          <t>common.tabPostOffice</t>
        </is>
      </c>
      <c r="B13" s="146" t="inlineStr">
        <is>
          <t>Bưu cục</t>
        </is>
      </c>
      <c r="C13" s="146" t="inlineStr">
        <is>
          <t>Post Office</t>
        </is>
      </c>
      <c r="D13" s="146" t="inlineStr">
        <is>
          <t>ប្រាក់សណីយ៍</t>
        </is>
      </c>
      <c r="E13" s="31" t="n"/>
      <c r="G13" s="217" t="inlineStr">
        <is>
          <t>ការិយាល័យប្រៃសណីយ៍</t>
        </is>
      </c>
      <c r="H13" t="inlineStr">
        <is>
          <t>ការិយាល័យប្រៃសណីយ៍</t>
        </is>
      </c>
      <c r="J13" s="217" t="inlineStr">
        <is>
          <t>"common.tabPostOffice": "Post Office",</t>
        </is>
      </c>
    </row>
    <row r="14">
      <c r="A14" s="146" t="inlineStr">
        <is>
          <t>common.professionalManagement</t>
        </is>
      </c>
      <c r="B14" s="146" t="inlineStr">
        <is>
          <t>Quản lý nghiệp vụ</t>
        </is>
      </c>
      <c r="C14" s="146" t="inlineStr">
        <is>
          <t>Professional Management</t>
        </is>
      </c>
      <c r="D14" s="146" t="inlineStr">
        <is>
          <t>ការគ្រប់គ្រងវិជ្ជាជីវៈ</t>
        </is>
      </c>
      <c r="E14" s="31" t="n"/>
      <c r="F14" s="217" t="inlineStr">
        <is>
          <t>ok</t>
        </is>
      </c>
      <c r="G14" t="inlineStr">
        <is>
          <t>គ្រប់គ្រងnghiệp vụ</t>
        </is>
      </c>
      <c r="H14" t="inlineStr">
        <is>
          <t>គ្រប់គ្រងnghiệp vụ</t>
        </is>
      </c>
      <c r="J14" s="217" t="inlineStr">
        <is>
          <t>"common.professionalManagement": "Professional Management",</t>
        </is>
      </c>
    </row>
    <row r="15">
      <c r="A15" s="146" t="inlineStr">
        <is>
          <t>common.dataManagement</t>
        </is>
      </c>
      <c r="B15" s="146" t="inlineStr">
        <is>
          <t>Quản lý dữ liệu</t>
        </is>
      </c>
      <c r="C15" s="146" t="inlineStr">
        <is>
          <t>Data Management</t>
        </is>
      </c>
      <c r="D15" s="146" t="inlineStr">
        <is>
          <t>ការគ្រប់គ្រងទិន្នន័យ</t>
        </is>
      </c>
      <c r="E15" s="3" t="n"/>
      <c r="F15" s="217" t="inlineStr">
        <is>
          <t>ok</t>
        </is>
      </c>
      <c r="G15" t="inlineStr">
        <is>
          <t>គ្រប់គ្រងdữ liệu</t>
        </is>
      </c>
      <c r="H15" t="inlineStr">
        <is>
          <t>គ្រប់គ្រងdữ liệu</t>
        </is>
      </c>
      <c r="J15" s="217" t="inlineStr">
        <is>
          <t>"common.dataManagement": "Data Management",</t>
        </is>
      </c>
    </row>
    <row r="16">
      <c r="A16" s="146" t="inlineStr">
        <is>
          <t>common.detail</t>
        </is>
      </c>
      <c r="B16" s="146" t="inlineStr">
        <is>
          <t>Chi tiết</t>
        </is>
      </c>
      <c r="C16" s="146" t="inlineStr">
        <is>
          <t>Detail</t>
        </is>
      </c>
      <c r="D16" s="146" t="inlineStr">
        <is>
          <t>លម្អិត</t>
        </is>
      </c>
      <c r="E16" s="3" t="n"/>
      <c r="F16" s="217" t="inlineStr">
        <is>
          <t>ok</t>
        </is>
      </c>
      <c r="G16" t="inlineStr">
        <is>
          <t>ព័ត៌មានលម្អិត</t>
        </is>
      </c>
      <c r="H16" t="inlineStr">
        <is>
          <t>ព័ត៌មានលម្អិត</t>
        </is>
      </c>
      <c r="J16" s="217" t="inlineStr">
        <is>
          <t>"common.detail": "Detail",</t>
        </is>
      </c>
    </row>
    <row r="17">
      <c r="A17" s="146" t="inlineStr">
        <is>
          <t>common.event</t>
        </is>
      </c>
      <c r="B17" s="146" t="inlineStr">
        <is>
          <t>Sự kiện</t>
        </is>
      </c>
      <c r="C17" s="146" t="inlineStr">
        <is>
          <t>Event</t>
        </is>
      </c>
      <c r="D17" s="146" t="inlineStr">
        <is>
          <t>ព្រឹត្តិការណ៍</t>
        </is>
      </c>
      <c r="E17" s="3" t="n"/>
      <c r="F17" s="217" t="inlineStr">
        <is>
          <t>ok</t>
        </is>
      </c>
      <c r="G17" t="inlineStr">
        <is>
          <t>Sự kiện</t>
        </is>
      </c>
      <c r="H17" t="inlineStr">
        <is>
          <t>Sự kiện</t>
        </is>
      </c>
      <c r="J17" s="217" t="inlineStr">
        <is>
          <t>"common.event": "Event",</t>
        </is>
      </c>
    </row>
    <row r="18">
      <c r="A18" s="146" t="inlineStr">
        <is>
          <t>common.stt</t>
        </is>
      </c>
      <c r="B18" s="146" t="inlineStr">
        <is>
          <t>STT</t>
        </is>
      </c>
      <c r="C18" s="146" t="inlineStr">
        <is>
          <t>No.</t>
        </is>
      </c>
      <c r="D18" s="146" t="inlineStr">
        <is>
          <t>ល.រ</t>
        </is>
      </c>
      <c r="E18" s="3" t="n"/>
      <c r="F18" s="217" t="inlineStr">
        <is>
          <t>ok</t>
        </is>
      </c>
      <c r="G18" t="inlineStr">
        <is>
          <t>លេខរៀង</t>
        </is>
      </c>
      <c r="H18" t="inlineStr">
        <is>
          <t>លេខរៀង</t>
        </is>
      </c>
      <c r="J18" s="217" t="inlineStr">
        <is>
          <t>"common.stt": "No.",</t>
        </is>
      </c>
    </row>
    <row r="19">
      <c r="A19" s="146" t="inlineStr">
        <is>
          <t>common.search</t>
        </is>
      </c>
      <c r="B19" s="146" t="inlineStr">
        <is>
          <t>Tìm kiếm</t>
        </is>
      </c>
      <c r="C19" s="146" t="inlineStr">
        <is>
          <t>Search</t>
        </is>
      </c>
      <c r="D19" s="146" t="inlineStr">
        <is>
          <t>ស្វែងរក</t>
        </is>
      </c>
      <c r="E19" s="3" t="n"/>
      <c r="F19" s="217" t="inlineStr">
        <is>
          <t>ok</t>
        </is>
      </c>
      <c r="G19" t="inlineStr">
        <is>
          <t>ស្វែងរក</t>
        </is>
      </c>
      <c r="H19" t="inlineStr">
        <is>
          <t>ស្វែងរក</t>
        </is>
      </c>
      <c r="J19" s="217" t="inlineStr">
        <is>
          <t>"common.search": "Search",</t>
        </is>
      </c>
    </row>
    <row r="20">
      <c r="A20" s="146" t="inlineStr">
        <is>
          <t>common.exportExcel</t>
        </is>
      </c>
      <c r="B20" s="146" t="inlineStr">
        <is>
          <t>Xuất Excel</t>
        </is>
      </c>
      <c r="C20" s="146" t="inlineStr">
        <is>
          <t>Export Excel</t>
        </is>
      </c>
      <c r="D20" s="146" t="inlineStr">
        <is>
          <t>នាំចេញ Excel</t>
        </is>
      </c>
      <c r="E20" s="3" t="n"/>
      <c r="F20" s="217" t="inlineStr">
        <is>
          <t>ok</t>
        </is>
      </c>
      <c r="G20" t="inlineStr">
        <is>
          <t>ទាញយក Excel</t>
        </is>
      </c>
      <c r="H20" t="inlineStr">
        <is>
          <t>ទាញយក Excel</t>
        </is>
      </c>
      <c r="J20" s="217" t="inlineStr">
        <is>
          <t>"common.exportExcel": "Export Excel",</t>
        </is>
      </c>
    </row>
    <row r="21" ht="15.75" customHeight="1" s="305">
      <c r="A21" s="146" t="inlineStr">
        <is>
          <t>common.importFile</t>
        </is>
      </c>
      <c r="B21" s="146" t="inlineStr">
        <is>
          <t>Nhập file</t>
        </is>
      </c>
      <c r="C21" s="146" t="inlineStr">
        <is>
          <t>Import File</t>
        </is>
      </c>
      <c r="D21" s="146" t="inlineStr">
        <is>
          <t>នាំចូលឯកសារ</t>
        </is>
      </c>
      <c r="E21" s="3" t="n"/>
      <c r="F21" s="217" t="inlineStr">
        <is>
          <t>ok</t>
        </is>
      </c>
      <c r="G21" t="inlineStr">
        <is>
          <t>បញ្ចូលfile</t>
        </is>
      </c>
      <c r="H21" t="inlineStr">
        <is>
          <t>បញ្ចូលfile</t>
        </is>
      </c>
      <c r="J21" s="217" t="inlineStr">
        <is>
          <t>"common.importFile": "Import File",</t>
        </is>
      </c>
    </row>
    <row r="22" ht="15.75" customHeight="1" s="305">
      <c r="A22" s="146" t="inlineStr">
        <is>
          <t>common.addNew</t>
        </is>
      </c>
      <c r="B22" s="146" t="inlineStr">
        <is>
          <t>Thêm mới</t>
        </is>
      </c>
      <c r="C22" s="146" t="inlineStr">
        <is>
          <t>Add New</t>
        </is>
      </c>
      <c r="D22" s="146" t="inlineStr">
        <is>
          <t>បន្ថែមថ្មី</t>
        </is>
      </c>
      <c r="E22" s="3" t="n"/>
      <c r="F22" s="217" t="inlineStr">
        <is>
          <t>ok</t>
        </is>
      </c>
      <c r="G22" t="inlineStr">
        <is>
          <t>បន្ថែមថ្មី</t>
        </is>
      </c>
      <c r="H22" t="inlineStr">
        <is>
          <t>បន្ថែមថ្មី</t>
        </is>
      </c>
      <c r="J22" s="217" t="inlineStr">
        <is>
          <t>"common.addNew": "Add New",</t>
        </is>
      </c>
    </row>
    <row r="23" ht="15.75" customHeight="1" s="305">
      <c r="A23" s="146" t="inlineStr">
        <is>
          <t>common.cancel</t>
        </is>
      </c>
      <c r="B23" s="146" t="inlineStr">
        <is>
          <t>Hủy</t>
        </is>
      </c>
      <c r="C23" s="146" t="inlineStr">
        <is>
          <t>Cancel</t>
        </is>
      </c>
      <c r="D23" s="146" t="inlineStr">
        <is>
          <t>បោះបង់</t>
        </is>
      </c>
      <c r="E23" s="159" t="n"/>
      <c r="G23" s="217" t="inlineStr">
        <is>
          <t>លុបចោល</t>
        </is>
      </c>
      <c r="H23" t="inlineStr">
        <is>
          <t>លុបចោល</t>
        </is>
      </c>
      <c r="J23" s="217" t="inlineStr">
        <is>
          <t>"common.cancel": "Cancel",</t>
        </is>
      </c>
    </row>
    <row r="24" ht="15.75" customHeight="1" s="305">
      <c r="A24" s="146" t="inlineStr">
        <is>
          <t>common.confirm</t>
        </is>
      </c>
      <c r="B24" s="146" t="inlineStr">
        <is>
          <t>Xác nhận</t>
        </is>
      </c>
      <c r="C24" s="146" t="inlineStr">
        <is>
          <t>Confirm</t>
        </is>
      </c>
      <c r="D24" s="146" t="inlineStr">
        <is>
          <t>បញ្ជាក់</t>
        </is>
      </c>
      <c r="E24" s="159" t="n"/>
      <c r="F24" s="217" t="inlineStr">
        <is>
          <t>ok</t>
        </is>
      </c>
      <c r="G24" t="inlineStr">
        <is>
          <t>បញ្ជាក់</t>
        </is>
      </c>
      <c r="H24" t="inlineStr">
        <is>
          <t>បញ្ជាក់</t>
        </is>
      </c>
      <c r="J24" s="217" t="inlineStr">
        <is>
          <t>"common.confirm": "Confirm",</t>
        </is>
      </c>
    </row>
    <row r="25" ht="15.75" customHeight="1" s="305">
      <c r="A25" s="146" t="inlineStr">
        <is>
          <t>common.confirmCancelTitle</t>
        </is>
      </c>
      <c r="B25" s="146" t="inlineStr">
        <is>
          <t>Xác nhận hủy</t>
        </is>
      </c>
      <c r="C25" s="146" t="inlineStr">
        <is>
          <t>Confirm Cancel</t>
        </is>
      </c>
      <c r="D25" s="146" t="inlineStr">
        <is>
          <t>បញ្ជាក់ការលុបចោល</t>
        </is>
      </c>
      <c r="E25" s="3" t="n"/>
      <c r="F25" s="217" t="inlineStr">
        <is>
          <t>ok</t>
        </is>
      </c>
      <c r="G25" t="inlineStr">
        <is>
          <t>បញ្ជាក់ លុបចោល</t>
        </is>
      </c>
      <c r="H25" t="inlineStr">
        <is>
          <t>បញ្ជាក់ លុបចោល</t>
        </is>
      </c>
      <c r="J25" s="217" t="inlineStr">
        <is>
          <t>"common.confirmCancelTitle": "Confirm Cancel",</t>
        </is>
      </c>
    </row>
    <row r="26" ht="15.75" customHeight="1" s="305">
      <c r="A26" s="146" t="inlineStr">
        <is>
          <t>common.confirmCancelDescription</t>
        </is>
      </c>
      <c r="B26" s="146" t="inlineStr">
        <is>
          <t>Bạn có chắc chắn muốn hủy? Các thay đổi chưa lưu sẽ bị mất.</t>
        </is>
      </c>
      <c r="C26" s="146" t="inlineStr">
        <is>
          <t>Are you sure you want to cancel? Unsaved changes will be lost.</t>
        </is>
      </c>
      <c r="D26" s="146" t="inlineStr">
        <is>
          <t>តើអ្នកប្រាកដថាចង់លុបចោលឬ? ការផ្លាស់ប្តូរដែលមិនទាន់រក្សាទុកនឹងត្រូវបាត់បង់។</t>
        </is>
      </c>
      <c r="E26" s="3" t="n"/>
      <c r="F26" s="217" t="inlineStr">
        <is>
          <t>ok</t>
        </is>
      </c>
      <c r="G26" t="inlineStr">
        <is>
          <t>Bạn có chắc chắn muốn លុបចោល? Các thay đổi chưa lưu sẽ bị mất.</t>
        </is>
      </c>
      <c r="H26" t="inlineStr">
        <is>
          <t>Bạn có chắc chắn muốn លុបចោល? Các thay đổi chưa lưu sẽ bị mất.</t>
        </is>
      </c>
      <c r="J26" s="217" t="inlineStr">
        <is>
          <t>"common.confirmCancelDescription": "Are you sure you want to cancel? Unsaved changes will be lost.",</t>
        </is>
      </c>
    </row>
    <row r="27" ht="15.75" customHeight="1" s="305">
      <c r="A27" s="146" t="inlineStr">
        <is>
          <t>common.upload</t>
        </is>
      </c>
      <c r="B27" s="146" t="inlineStr">
        <is>
          <t>Tải lên</t>
        </is>
      </c>
      <c r="C27" s="146" t="inlineStr">
        <is>
          <t>Upload</t>
        </is>
      </c>
      <c r="D27" s="146" t="inlineStr">
        <is>
          <t>ផ្ទុកឡើង</t>
        </is>
      </c>
      <c r="E27" s="3" t="n"/>
      <c r="F27" s="217" t="inlineStr">
        <is>
          <t>ok</t>
        </is>
      </c>
      <c r="G27" t="inlineStr">
        <is>
          <t>បង្ហោះឡើង</t>
        </is>
      </c>
      <c r="H27" t="inlineStr">
        <is>
          <t>បង្ហោះឡើង</t>
        </is>
      </c>
      <c r="J27" s="217" t="inlineStr">
        <is>
          <t>"common.upload": "Upload",</t>
        </is>
      </c>
    </row>
    <row r="28" ht="15.75" customHeight="1" s="305">
      <c r="A28" s="146" t="inlineStr">
        <is>
          <t>common.uploadFile</t>
        </is>
      </c>
      <c r="B28" s="146" t="inlineStr">
        <is>
          <t>Tải tệp lên</t>
        </is>
      </c>
      <c r="C28" s="146" t="inlineStr">
        <is>
          <t>Upload File</t>
        </is>
      </c>
      <c r="D28" s="146" t="inlineStr">
        <is>
          <t>ផ្ទុកឯកសារ</t>
        </is>
      </c>
      <c r="E28" s="3" t="n"/>
      <c r="F28" s="217" t="inlineStr">
        <is>
          <t>ok</t>
        </is>
      </c>
      <c r="G28" t="inlineStr">
        <is>
          <t>Tải tệp lên</t>
        </is>
      </c>
      <c r="H28" t="inlineStr">
        <is>
          <t>Tải tệp lên</t>
        </is>
      </c>
      <c r="J28" s="217" t="inlineStr">
        <is>
          <t>"common.uploadFile": "Upload File",</t>
        </is>
      </c>
    </row>
    <row r="29" ht="15.75" customHeight="1" s="305">
      <c r="A29" s="146" t="inlineStr">
        <is>
          <t>common.dragDropOrClick</t>
        </is>
      </c>
      <c r="B29" s="146" t="inlineStr">
        <is>
          <t>Kéo và thả tệp vào đây hoặc nhấp để chọn</t>
        </is>
      </c>
      <c r="C29" s="146" t="inlineStr">
        <is>
          <t>Drag and drop files here or click to select</t>
        </is>
      </c>
      <c r="D29" s="146" t="inlineStr">
        <is>
          <t>អូសទម្លាក់ឯកសារទីនេះ ឬចុចដើម្បីជ្រើស</t>
        </is>
      </c>
      <c r="E29" s="3" t="n"/>
      <c r="F29" s="217" t="inlineStr">
        <is>
          <t>ok</t>
        </is>
      </c>
      <c r="G29" t="inlineStr">
        <is>
          <t>Kéo và thả tệp vào đây hoặc nhấp để chọn</t>
        </is>
      </c>
      <c r="H29" t="inlineStr">
        <is>
          <t>Kéo và thả tệp vào đây hoặc nhấp để chọn</t>
        </is>
      </c>
      <c r="J29" s="217" t="inlineStr">
        <is>
          <t>"common.dragDropOrClick": "Drag and drop files here or click to select",</t>
        </is>
      </c>
    </row>
    <row r="30" ht="15.75" customHeight="1" s="305">
      <c r="A30" s="146" t="inlineStr">
        <is>
          <t>common.uploading</t>
        </is>
      </c>
      <c r="B30" s="146" t="inlineStr">
        <is>
          <t>Đang tải lên...</t>
        </is>
      </c>
      <c r="C30" s="146" t="inlineStr">
        <is>
          <t>Uploading...</t>
        </is>
      </c>
      <c r="D30" s="146" t="inlineStr">
        <is>
          <t>កំពុងផ្ទុកឡើង...</t>
        </is>
      </c>
      <c r="E30" s="3" t="n"/>
      <c r="F30" s="217" t="inlineStr">
        <is>
          <t>ok</t>
        </is>
      </c>
      <c r="G30" s="3" t="inlineStr">
        <is>
          <t>Đang បង្ហោះឡើង...</t>
        </is>
      </c>
      <c r="H30" t="inlineStr">
        <is>
          <t>Đang បង្ហោះឡើង...</t>
        </is>
      </c>
      <c r="J30" s="217" t="inlineStr">
        <is>
          <t>"common.uploading": "Uploading...",</t>
        </is>
      </c>
    </row>
    <row r="31" ht="15.75" customHeight="1" s="305">
      <c r="A31" s="146" t="inlineStr">
        <is>
          <t>common.uploadSuccess</t>
        </is>
      </c>
      <c r="B31" s="146" t="inlineStr">
        <is>
          <t>Đã tải lên thành công</t>
        </is>
      </c>
      <c r="C31" s="146" t="inlineStr">
        <is>
          <t>Upload successful</t>
        </is>
      </c>
      <c r="D31" s="146" t="inlineStr">
        <is>
          <t>ផ្ទុកឡើងបានជោគជ័យ</t>
        </is>
      </c>
      <c r="E31" s="3" t="n"/>
      <c r="F31" s="217" t="inlineStr">
        <is>
          <t>ok</t>
        </is>
      </c>
      <c r="G31" t="inlineStr">
        <is>
          <t>Đã បង្ហោះឡើង ជោគជ័យ</t>
        </is>
      </c>
      <c r="H31" t="inlineStr">
        <is>
          <t>Đã បង្ហោះឡើង ជោគជ័យ</t>
        </is>
      </c>
      <c r="J31" s="217" t="inlineStr">
        <is>
          <t>"common.uploadSuccess": "Upload successful",</t>
        </is>
      </c>
    </row>
    <row r="32" ht="15.75" customHeight="1" s="305">
      <c r="A32" s="146" t="inlineStr">
        <is>
          <t>common.from</t>
        </is>
      </c>
      <c r="B32" s="146" t="inlineStr">
        <is>
          <t>Từ</t>
        </is>
      </c>
      <c r="C32" s="146" t="inlineStr">
        <is>
          <t>From</t>
        </is>
      </c>
      <c r="D32" s="146" t="inlineStr">
        <is>
          <t>ពី</t>
        </is>
      </c>
      <c r="E32" s="3" t="n"/>
      <c r="F32" s="217" t="inlineStr">
        <is>
          <t>ok</t>
        </is>
      </c>
      <c r="G32" t="inlineStr">
        <is>
          <t>Từ</t>
        </is>
      </c>
      <c r="H32" t="inlineStr">
        <is>
          <t>Từ</t>
        </is>
      </c>
      <c r="J32" s="217" t="inlineStr">
        <is>
          <t>"common.from": "From",</t>
        </is>
      </c>
    </row>
    <row r="33" ht="15.75" customHeight="1" s="305">
      <c r="A33" s="255" t="inlineStr">
        <is>
          <t>common.to</t>
        </is>
      </c>
      <c r="B33" s="146" t="inlineStr">
        <is>
          <t>Đến</t>
        </is>
      </c>
      <c r="C33" s="146" t="inlineStr">
        <is>
          <t>To</t>
        </is>
      </c>
      <c r="D33" s="146" t="inlineStr">
        <is>
          <t>ទៅ</t>
        </is>
      </c>
      <c r="E33" s="3" t="n"/>
      <c r="F33" s="217" t="inlineStr">
        <is>
          <t>ok</t>
        </is>
      </c>
      <c r="G33" t="inlineStr">
        <is>
          <t>Đến</t>
        </is>
      </c>
      <c r="H33" t="inlineStr">
        <is>
          <t>Đến</t>
        </is>
      </c>
      <c r="J33" s="217" t="inlineStr">
        <is>
          <t>"common.to": "To",</t>
        </is>
      </c>
    </row>
    <row r="34" ht="15.75" customHeight="1" s="305">
      <c r="A34" s="146" t="inlineStr">
        <is>
          <t>common.delete</t>
        </is>
      </c>
      <c r="B34" s="146" t="inlineStr">
        <is>
          <t>Xóa</t>
        </is>
      </c>
      <c r="C34" s="146" t="inlineStr">
        <is>
          <t>Delete</t>
        </is>
      </c>
      <c r="D34" s="146" t="inlineStr">
        <is>
          <t>លុប</t>
        </is>
      </c>
      <c r="E34" s="3" t="n"/>
      <c r="F34" s="217" t="inlineStr">
        <is>
          <t>ok</t>
        </is>
      </c>
      <c r="G34" t="inlineStr">
        <is>
          <t>លុប</t>
        </is>
      </c>
      <c r="H34" t="inlineStr">
        <is>
          <t>លុប</t>
        </is>
      </c>
      <c r="J34" s="217" t="inlineStr">
        <is>
          <t>"common.delete": "Delete",</t>
        </is>
      </c>
    </row>
    <row r="35" ht="15.75" customHeight="1" s="305">
      <c r="A35" s="146" t="inlineStr">
        <is>
          <t>common.propose</t>
        </is>
      </c>
      <c r="B35" s="146" t="inlineStr">
        <is>
          <t>Đề xuất</t>
        </is>
      </c>
      <c r="C35" s="146" t="inlineStr">
        <is>
          <t>Propose</t>
        </is>
      </c>
      <c r="D35" s="146" t="inlineStr">
        <is>
          <t>សំណើ</t>
        </is>
      </c>
      <c r="E35" s="3" t="n"/>
      <c r="F35" s="217" t="inlineStr">
        <is>
          <t>ok</t>
        </is>
      </c>
      <c r="G35" t="inlineStr">
        <is>
          <t>សំណើ</t>
        </is>
      </c>
      <c r="H35" t="inlineStr">
        <is>
          <t>សំណើ</t>
        </is>
      </c>
      <c r="J35" s="217" t="inlineStr">
        <is>
          <t>"common.propose": "Propose",</t>
        </is>
      </c>
    </row>
    <row r="36" ht="15.75" customHeight="1" s="305">
      <c r="A36" s="146" t="inlineStr">
        <is>
          <t>common.confirmDelete</t>
        </is>
      </c>
      <c r="B36" s="146" t="inlineStr">
        <is>
          <t>Xác nhận xóa</t>
        </is>
      </c>
      <c r="C36" s="146" t="inlineStr">
        <is>
          <t>Confirm Delete</t>
        </is>
      </c>
      <c r="D36" s="146" t="inlineStr">
        <is>
          <t>បញ្ជាក់ការលុប</t>
        </is>
      </c>
      <c r="E36" s="3" t="n"/>
      <c r="F36" s="217" t="inlineStr">
        <is>
          <t>ok</t>
        </is>
      </c>
      <c r="G36" t="inlineStr">
        <is>
          <t>បញ្ជាក់ លុប</t>
        </is>
      </c>
      <c r="H36" t="inlineStr">
        <is>
          <t>បញ្ជាក់ លុប</t>
        </is>
      </c>
      <c r="J36" s="217" t="inlineStr">
        <is>
          <t>"common.confirmDelete": "Confirm Delete",</t>
        </is>
      </c>
    </row>
    <row r="37" ht="15.75" customHeight="1" s="305">
      <c r="A37" s="146" t="inlineStr">
        <is>
          <t>common.confirmDeleteDescription</t>
        </is>
      </c>
      <c r="B37" s="146" t="inlineStr">
        <is>
          <t>Bạn có chắc chắn muốn xóa? Hành động này không thể hoàn tác.</t>
        </is>
      </c>
      <c r="C37" s="146" t="inlineStr">
        <is>
          <t>Are you sure you want to delete? This action cannot be undone.</t>
        </is>
      </c>
      <c r="D37" s="146" t="inlineStr">
        <is>
          <t>តើអ្នកប្រាកដថាចង់លុប? សកម្មភាពនេះមិនអាចត្រឡប់វិញបានទេ។</t>
        </is>
      </c>
      <c r="E37" s="3" t="n"/>
      <c r="F37" s="217" t="inlineStr">
        <is>
          <t>ok</t>
        </is>
      </c>
      <c r="G37" t="inlineStr">
        <is>
          <t>Bạn có chắc chắn muốn លុប? Hành động này không thể hoàn tác.</t>
        </is>
      </c>
      <c r="H37" t="inlineStr">
        <is>
          <t>Bạn có chắc chắn muốn លុប? Hành động này không thể hoàn tác.</t>
        </is>
      </c>
      <c r="J37" s="217" t="inlineStr">
        <is>
          <t>"common.confirmDeleteDescription": "Are you sure you want to delete? This action cannot be undone.",</t>
        </is>
      </c>
    </row>
    <row r="38" ht="15.75" customHeight="1" s="305">
      <c r="A38" s="146" t="inlineStr">
        <is>
          <t>common.error</t>
        </is>
      </c>
      <c r="B38" s="146" t="inlineStr">
        <is>
          <t>Lỗi</t>
        </is>
      </c>
      <c r="C38" s="146" t="inlineStr">
        <is>
          <t>Error</t>
        </is>
      </c>
      <c r="D38" s="146" t="inlineStr">
        <is>
          <t>កំហុស</t>
        </is>
      </c>
      <c r="E38" s="3" t="n"/>
      <c r="F38" s="217" t="inlineStr">
        <is>
          <t>ok</t>
        </is>
      </c>
      <c r="G38" t="inlineStr">
        <is>
          <t>កំហុស</t>
        </is>
      </c>
      <c r="H38" t="inlineStr">
        <is>
          <t>កំហុស</t>
        </is>
      </c>
      <c r="J38" s="217" t="inlineStr">
        <is>
          <t>"common.error": "Error",</t>
        </is>
      </c>
    </row>
    <row r="39" ht="15.75" customHeight="1" s="305">
      <c r="A39" s="146" t="inlineStr">
        <is>
          <t>common.loading</t>
        </is>
      </c>
      <c r="B39" s="146" t="inlineStr">
        <is>
          <t>Đang tải</t>
        </is>
      </c>
      <c r="C39" s="146" t="inlineStr">
        <is>
          <t>Loading</t>
        </is>
      </c>
      <c r="D39" s="146" t="inlineStr">
        <is>
          <t>កំពុងផ្ទុក</t>
        </is>
      </c>
      <c r="E39" s="3" t="n"/>
      <c r="F39" s="217" t="inlineStr">
        <is>
          <t>ok</t>
        </is>
      </c>
      <c r="G39" t="inlineStr">
        <is>
          <t>Đang tải</t>
        </is>
      </c>
      <c r="H39" t="inlineStr">
        <is>
          <t>Đang tải</t>
        </is>
      </c>
      <c r="J39" s="217" t="inlineStr">
        <is>
          <t>"common.loading": "Loading",</t>
        </is>
      </c>
    </row>
    <row r="40" ht="15.75" customHeight="1" s="305">
      <c r="A40" s="146" t="inlineStr">
        <is>
          <t>common.noData</t>
        </is>
      </c>
      <c r="B40" s="146" t="inlineStr">
        <is>
          <t>Không có dữ liệu</t>
        </is>
      </c>
      <c r="C40" s="146" t="inlineStr">
        <is>
          <t>No data available</t>
        </is>
      </c>
      <c r="D40" s="146" t="inlineStr">
        <is>
          <t>គ្មានទិន្នន័យ</t>
        </is>
      </c>
      <c r="E40" s="3" t="n"/>
      <c r="F40" s="217" t="inlineStr">
        <is>
          <t>ok</t>
        </is>
      </c>
      <c r="G40" t="inlineStr">
        <is>
          <t>មិនមានទិន្នន័យទេ</t>
        </is>
      </c>
      <c r="H40" t="inlineStr">
        <is>
          <t>មិនមានទិន្នន័យទេ</t>
        </is>
      </c>
      <c r="J40" s="217" t="inlineStr">
        <is>
          <t>"common.noData": "No data available",</t>
        </is>
      </c>
    </row>
    <row r="41" ht="15.75" customHeight="1" s="305">
      <c r="A41" s="146" t="inlineStr">
        <is>
          <t>common.refresh</t>
        </is>
      </c>
      <c r="B41" s="146" t="inlineStr">
        <is>
          <t>Làm mới</t>
        </is>
      </c>
      <c r="C41" s="146" t="inlineStr">
        <is>
          <t>Refresh</t>
        </is>
      </c>
      <c r="D41" s="146" t="inlineStr">
        <is>
          <t>ធ្វើបច្ចុប្បន្នភាព</t>
        </is>
      </c>
      <c r="E41" s="3" t="n"/>
      <c r="F41" s="217" t="inlineStr">
        <is>
          <t>ok</t>
        </is>
      </c>
      <c r="G41" t="inlineStr">
        <is>
          <t>ផ្ទុកឡើងវិញ</t>
        </is>
      </c>
      <c r="H41" t="inlineStr">
        <is>
          <t>ផ្ទុកឡើងវិញ</t>
        </is>
      </c>
      <c r="J41" s="217" t="inlineStr">
        <is>
          <t>"common.refresh": "Refresh",</t>
        </is>
      </c>
    </row>
    <row r="42" ht="15.75" customHeight="1" s="305">
      <c r="A42" s="146" t="inlineStr">
        <is>
          <t>common.retry</t>
        </is>
      </c>
      <c r="B42" s="146" t="inlineStr">
        <is>
          <t>Thử lại</t>
        </is>
      </c>
      <c r="C42" s="146" t="inlineStr">
        <is>
          <t>Retry</t>
        </is>
      </c>
      <c r="D42" s="146" t="inlineStr">
        <is>
          <t>ព្យាយាមម្ដងទៀត</t>
        </is>
      </c>
      <c r="E42" s="3" t="n"/>
      <c r="F42" s="217" t="inlineStr">
        <is>
          <t>ok</t>
        </is>
      </c>
      <c r="G42" t="inlineStr">
        <is>
          <t>Thử lại</t>
        </is>
      </c>
      <c r="H42" t="inlineStr">
        <is>
          <t>Thử lại</t>
        </is>
      </c>
      <c r="J42" s="217" t="inlineStr">
        <is>
          <t>"common.retry": "Retry",</t>
        </is>
      </c>
    </row>
    <row r="43" ht="15.75" customHeight="1" s="305">
      <c r="A43" s="146" t="inlineStr">
        <is>
          <t>common.exportSuccess</t>
        </is>
      </c>
      <c r="B43" s="146" t="inlineStr">
        <is>
          <t>Xuất dữ liệu thành công</t>
        </is>
      </c>
      <c r="C43" s="146" t="inlineStr">
        <is>
          <t>Export successful</t>
        </is>
      </c>
      <c r="D43" s="146" t="inlineStr">
        <is>
          <t>នាំចេញទិន្នន័យបានជោគជ័យ</t>
        </is>
      </c>
      <c r="E43" s="3" t="n"/>
      <c r="F43" s="217" t="inlineStr">
        <is>
          <t>ok</t>
        </is>
      </c>
      <c r="G43" t="inlineStr">
        <is>
          <t>Xuất dữ liệu ជោគជ័យ</t>
        </is>
      </c>
      <c r="H43" t="inlineStr">
        <is>
          <t>Xuất dữ liệu ជោគជ័យ</t>
        </is>
      </c>
      <c r="J43" s="217" t="inlineStr">
        <is>
          <t>"common.exportSuccess": "Export successful",</t>
        </is>
      </c>
    </row>
    <row r="44" ht="15.75" customHeight="1" s="305">
      <c r="A44" s="146" t="inlineStr">
        <is>
          <t>common.exportError</t>
        </is>
      </c>
      <c r="B44" s="146" t="inlineStr">
        <is>
          <t>Xuất dữ liệu thất bại!!!</t>
        </is>
      </c>
      <c r="C44" s="146" t="inlineStr">
        <is>
          <t>Export failed!!!</t>
        </is>
      </c>
      <c r="D44" s="146" t="inlineStr">
        <is>
          <t>នាំចេញទិន្នន័យបរាជ័យ!!!</t>
        </is>
      </c>
      <c r="E44" s="3" t="n"/>
      <c r="F44" s="217" t="inlineStr">
        <is>
          <t>ok</t>
        </is>
      </c>
      <c r="G44" t="inlineStr">
        <is>
          <t>Xuất dữ liệu បរាជ័យ!!!</t>
        </is>
      </c>
      <c r="H44" t="inlineStr">
        <is>
          <t>Xuất dữ liệu បរាជ័យ!!!</t>
        </is>
      </c>
      <c r="J44" s="217" t="inlineStr">
        <is>
          <t>"common.exportError": "Export failed!!!",</t>
        </is>
      </c>
    </row>
    <row r="45" ht="15.75" customHeight="1" s="305">
      <c r="A45" s="146" t="inlineStr">
        <is>
          <t>common.actions</t>
        </is>
      </c>
      <c r="B45" s="146" t="inlineStr">
        <is>
          <t>Thao tác</t>
        </is>
      </c>
      <c r="C45" s="146" t="inlineStr">
        <is>
          <t>Actions</t>
        </is>
      </c>
      <c r="D45" s="146" t="inlineStr">
        <is>
          <t>សកម្មភាព</t>
        </is>
      </c>
      <c r="E45" s="3" t="n"/>
      <c r="F45" s="217" t="inlineStr">
        <is>
          <t>ok</t>
        </is>
      </c>
      <c r="G45" t="inlineStr">
        <is>
          <t>ប្រតិបត្តិការ</t>
        </is>
      </c>
      <c r="H45" t="inlineStr">
        <is>
          <t>ប្រតិបត្តិការ</t>
        </is>
      </c>
      <c r="J45" s="217" t="inlineStr">
        <is>
          <t>"common.actions": "Actions",</t>
        </is>
      </c>
    </row>
    <row r="46" ht="15.75" customHeight="1" s="305">
      <c r="A46" s="146" t="inlineStr">
        <is>
          <t>common.download</t>
        </is>
      </c>
      <c r="B46" s="146" t="inlineStr">
        <is>
          <t>Tải xuống</t>
        </is>
      </c>
      <c r="C46" s="146" t="inlineStr">
        <is>
          <t>Download</t>
        </is>
      </c>
      <c r="D46" s="146" t="inlineStr">
        <is>
          <t>ទាញយក</t>
        </is>
      </c>
      <c r="E46" s="3" t="n"/>
      <c r="F46" s="217" t="inlineStr">
        <is>
          <t>ok</t>
        </is>
      </c>
      <c r="G46" t="inlineStr">
        <is>
          <t>ទាញយក</t>
        </is>
      </c>
      <c r="H46" t="inlineStr">
        <is>
          <t>ទាញយក</t>
        </is>
      </c>
      <c r="J46" s="217" t="inlineStr">
        <is>
          <t>"common.download": "Download",</t>
        </is>
      </c>
    </row>
    <row r="47" ht="15.75" customHeight="1" s="305">
      <c r="A47" s="146" t="inlineStr">
        <is>
          <t>common.totalRecords</t>
        </is>
      </c>
      <c r="B47" s="146" t="inlineStr">
        <is>
          <t>Tổng giao dịch</t>
        </is>
      </c>
      <c r="C47" s="146" t="inlineStr">
        <is>
          <t>Total Records</t>
        </is>
      </c>
      <c r="D47" s="146" t="inlineStr">
        <is>
          <t>ចំនួនប្រតិបត្តិការសរុប</t>
        </is>
      </c>
      <c r="E47" s="3" t="n"/>
      <c r="G47" t="inlineStr">
        <is>
          <t>ចំនួនប្រតិបត្តិការសរុប</t>
        </is>
      </c>
      <c r="H47" t="inlineStr">
        <is>
          <t>ចំនួនប្រតិបត្តិការសរុប</t>
        </is>
      </c>
      <c r="J47" s="217" t="inlineStr">
        <is>
          <t>"common.totalRecords": "Total Records",</t>
        </is>
      </c>
    </row>
    <row r="48" ht="15.75" customHeight="1" s="305">
      <c r="A48" s="146" t="inlineStr">
        <is>
          <t>common.totalEmployees</t>
        </is>
      </c>
      <c r="B48" s="146" t="inlineStr">
        <is>
          <t>Tổng nhân viên</t>
        </is>
      </c>
      <c r="C48" s="146" t="inlineStr">
        <is>
          <t>Total Employees</t>
        </is>
      </c>
      <c r="D48" s="146" t="inlineStr">
        <is>
          <t>ចំនួនបុគ្គលិកសរុប</t>
        </is>
      </c>
      <c r="E48" s="3" t="n"/>
      <c r="G48" t="inlineStr">
        <is>
          <t>ចំនួនបុគ្គលិកសរុប</t>
        </is>
      </c>
      <c r="H48" t="inlineStr">
        <is>
          <t>ចំនួនបុគ្គលិកសរុប</t>
        </is>
      </c>
      <c r="J48" s="217" t="inlineStr">
        <is>
          <t>"common.totalEmployees": "Total Employees",</t>
        </is>
      </c>
    </row>
    <row r="49" ht="15.75" customHeight="1" s="305">
      <c r="A49" s="146" t="inlineStr">
        <is>
          <t>common.totalAmount</t>
        </is>
      </c>
      <c r="B49" s="146" t="inlineStr">
        <is>
          <t>Tổng tiền</t>
        </is>
      </c>
      <c r="C49" s="146" t="inlineStr">
        <is>
          <t>Total Amount</t>
        </is>
      </c>
      <c r="D49" s="146" t="inlineStr">
        <is>
          <t>ចំនួនទឹកប្រាក់សរុប</t>
        </is>
      </c>
      <c r="E49" s="3" t="n"/>
      <c r="G49" t="inlineStr">
        <is>
          <t>ចំនួនទឹកប្រាក់សរុប</t>
        </is>
      </c>
      <c r="H49" t="inlineStr">
        <is>
          <t>ចំនួនទឹកប្រាក់សរុប</t>
        </is>
      </c>
      <c r="J49" s="217" t="inlineStr">
        <is>
          <t>"common.totalAmount": "Total Amount",</t>
        </is>
      </c>
    </row>
    <row r="50" ht="15.75" customHeight="1" s="305">
      <c r="A50" s="146" t="inlineStr">
        <is>
          <t>common.approver</t>
        </is>
      </c>
      <c r="B50" s="146" t="inlineStr">
        <is>
          <t>Người duyệt</t>
        </is>
      </c>
      <c r="C50" s="146" t="inlineStr">
        <is>
          <t>Approver</t>
        </is>
      </c>
      <c r="D50" s="146" t="inlineStr">
        <is>
          <t>អ្នកអនុម័ត</t>
        </is>
      </c>
      <c r="E50" s="3" t="n"/>
      <c r="G50" t="inlineStr">
        <is>
          <t>អ្នកអនុម័ត</t>
        </is>
      </c>
      <c r="H50" t="inlineStr">
        <is>
          <t>អ្នកអនុម័ត</t>
        </is>
      </c>
      <c r="J50" s="217" t="inlineStr">
        <is>
          <t>"common.approver": "Approver",</t>
        </is>
      </c>
    </row>
    <row r="51" ht="15.75" customHeight="1" s="305">
      <c r="A51" s="146" t="inlineStr">
        <is>
          <t>common.approvalTime</t>
        </is>
      </c>
      <c r="B51" s="146" t="inlineStr">
        <is>
          <t>Thời gian duyệt</t>
        </is>
      </c>
      <c r="C51" s="146" t="inlineStr">
        <is>
          <t>Approval Time</t>
        </is>
      </c>
      <c r="D51" s="146" t="inlineStr">
        <is>
          <t>ពេលវេលាអនុម័ត</t>
        </is>
      </c>
      <c r="E51" s="3" t="n"/>
      <c r="G51" t="inlineStr">
        <is>
          <t>ពេលវេលាអនុម័ត</t>
        </is>
      </c>
      <c r="H51" t="inlineStr">
        <is>
          <t>ពេលវេលាអនុម័ត</t>
        </is>
      </c>
      <c r="J51" s="217" t="inlineStr">
        <is>
          <t>"common.approvalTime": "Approval Time",</t>
        </is>
      </c>
    </row>
    <row r="52" ht="15.75" customHeight="1" s="305">
      <c r="A52" s="146" t="inlineStr">
        <is>
          <t>common.importFileName</t>
        </is>
      </c>
      <c r="B52" s="146" t="inlineStr">
        <is>
          <t>Tên file nhập</t>
        </is>
      </c>
      <c r="C52" s="146" t="inlineStr">
        <is>
          <t>Import File Name</t>
        </is>
      </c>
      <c r="D52" s="146" t="inlineStr">
        <is>
          <t>ឈ្មោះឯកសារនាំចូល</t>
        </is>
      </c>
      <c r="E52" s="3" t="n"/>
      <c r="G52" t="inlineStr">
        <is>
          <t>ឈ្មោះឯកសារនាំចូល</t>
        </is>
      </c>
      <c r="H52" t="inlineStr">
        <is>
          <t>ឈ្មោះឯកសារនាំចូល</t>
        </is>
      </c>
      <c r="J52" s="217" t="inlineStr">
        <is>
          <t>"common.importFileName": "Import File Name",</t>
        </is>
      </c>
    </row>
    <row r="53" ht="15.75" customHeight="1" s="305">
      <c r="A53" s="146" t="inlineStr">
        <is>
          <t>common.approve</t>
        </is>
      </c>
      <c r="B53" s="146" t="inlineStr">
        <is>
          <t>Phê duyệt</t>
        </is>
      </c>
      <c r="C53" s="146" t="inlineStr">
        <is>
          <t>Approve</t>
        </is>
      </c>
      <c r="D53" s="146" t="inlineStr">
        <is>
          <t>អនុម័ត</t>
        </is>
      </c>
      <c r="E53" s="3" t="n"/>
      <c r="G53" t="inlineStr">
        <is>
          <t>អនុម័ត</t>
        </is>
      </c>
      <c r="H53" t="inlineStr">
        <is>
          <t>អនុម័ត</t>
        </is>
      </c>
      <c r="J53" s="217" t="inlineStr">
        <is>
          <t>"common.approve": "Approve",</t>
        </is>
      </c>
    </row>
    <row r="54" ht="15.75" customHeight="1" s="305">
      <c r="A54" s="146" t="inlineStr">
        <is>
          <t>common.deleteSuccess</t>
        </is>
      </c>
      <c r="B54" s="146" t="inlineStr">
        <is>
          <t>Xóa thành công</t>
        </is>
      </c>
      <c r="C54" s="146" t="inlineStr">
        <is>
          <t>Delete successful</t>
        </is>
      </c>
      <c r="D54" s="146" t="inlineStr">
        <is>
          <t>លុបបានជោគជ័យ</t>
        </is>
      </c>
      <c r="E54" s="159" t="n"/>
      <c r="G54" t="inlineStr">
        <is>
          <t>លុបបានជោគជ័យ</t>
        </is>
      </c>
      <c r="H54" t="inlineStr">
        <is>
          <t>លុបបានជោគជ័យ</t>
        </is>
      </c>
      <c r="J54" s="217" t="inlineStr">
        <is>
          <t>"common.deleteSuccess": "Delete successful",</t>
        </is>
      </c>
    </row>
    <row r="55" ht="15.75" customHeight="1" s="305">
      <c r="A55" s="146" t="inlineStr">
        <is>
          <t>common.deleteFailed</t>
        </is>
      </c>
      <c r="B55" s="146" t="inlineStr">
        <is>
          <t>Xóa thất bại!!!</t>
        </is>
      </c>
      <c r="C55" s="146" t="inlineStr">
        <is>
          <t>Delete failed!</t>
        </is>
      </c>
      <c r="D55" s="146" t="inlineStr">
        <is>
          <t>លុបបរាជ័យ</t>
        </is>
      </c>
      <c r="E55" s="3" t="n"/>
      <c r="G55" t="inlineStr">
        <is>
          <t>លុបបរាជ័យ</t>
        </is>
      </c>
      <c r="H55" t="inlineStr">
        <is>
          <t>លុបបរាជ័យ</t>
        </is>
      </c>
      <c r="J55" s="217" t="inlineStr">
        <is>
          <t>"common.deleteFailed": "Delete failed!",</t>
        </is>
      </c>
    </row>
    <row r="56" ht="15.75" customHeight="1" s="305">
      <c r="A56" s="146" t="inlineStr">
        <is>
          <t>common.approveSuccess</t>
        </is>
      </c>
      <c r="B56" s="146" t="inlineStr">
        <is>
          <t>Phê duyệt thành công</t>
        </is>
      </c>
      <c r="C56" s="146" t="inlineStr">
        <is>
          <t>Approve successful</t>
        </is>
      </c>
      <c r="D56" s="146" t="inlineStr">
        <is>
          <t>អនុម័តបានជោគជ័យ</t>
        </is>
      </c>
      <c r="E56" s="3" t="n"/>
      <c r="G56" t="inlineStr">
        <is>
          <t>អនុម័តបានជោគជ័យ</t>
        </is>
      </c>
      <c r="H56" t="inlineStr">
        <is>
          <t>អនុម័តបានជោគជ័យ</t>
        </is>
      </c>
      <c r="J56" s="217" t="inlineStr">
        <is>
          <t>"common.approveSuccess": "Approve successful",</t>
        </is>
      </c>
    </row>
    <row r="57" ht="15.75" customHeight="1" s="305">
      <c r="A57" s="146" t="inlineStr">
        <is>
          <t>common.approveError</t>
        </is>
      </c>
      <c r="B57" s="146" t="inlineStr">
        <is>
          <t>Phê duyệt thất bại!!!</t>
        </is>
      </c>
      <c r="C57" s="146" t="inlineStr">
        <is>
          <t>Approve failed!!!</t>
        </is>
      </c>
      <c r="D57" s="146" t="inlineStr">
        <is>
          <t>អនុម័តបរាជ័យ!!!</t>
        </is>
      </c>
      <c r="E57" s="3" t="n"/>
      <c r="G57" t="inlineStr">
        <is>
          <t>អនុម័តបរាជ័យ!!!</t>
        </is>
      </c>
      <c r="H57" t="inlineStr">
        <is>
          <t>អនុម័តបរាជ័យ!!!</t>
        </is>
      </c>
      <c r="J57" s="217" t="inlineStr">
        <is>
          <t>"common.approveError": "Approve failed!!!",</t>
        </is>
      </c>
    </row>
    <row r="58" ht="15.75" customHeight="1" s="305">
      <c r="A58" s="146" t="inlineStr">
        <is>
          <t>common.proposeSuccess</t>
        </is>
      </c>
      <c r="B58" s="146" t="inlineStr">
        <is>
          <t>Đề xuất thành công</t>
        </is>
      </c>
      <c r="C58" s="146" t="inlineStr">
        <is>
          <t>Propose successful</t>
        </is>
      </c>
      <c r="D58" s="146" t="inlineStr">
        <is>
          <t>ស្នើសុំបានជោគជ័យ</t>
        </is>
      </c>
      <c r="E58" s="3" t="n"/>
      <c r="G58" t="inlineStr">
        <is>
          <t>ស្នើសុំបានជោគជ័យ</t>
        </is>
      </c>
      <c r="H58" t="inlineStr">
        <is>
          <t>ស្នើសុំបានជោគជ័យ</t>
        </is>
      </c>
      <c r="J58" s="217" t="inlineStr">
        <is>
          <t>"common.proposeSuccess": "Propose successful",</t>
        </is>
      </c>
    </row>
    <row r="59" ht="15.75" customHeight="1" s="305">
      <c r="A59" s="146" t="inlineStr">
        <is>
          <t>common.proposeError</t>
        </is>
      </c>
      <c r="B59" s="146" t="inlineStr">
        <is>
          <t>Đề xuất thất bại!!!</t>
        </is>
      </c>
      <c r="C59" s="146" t="inlineStr">
        <is>
          <t>Propose failed!!!</t>
        </is>
      </c>
      <c r="D59" s="146" t="inlineStr">
        <is>
          <t>ស្នើសុំបរាជ័យ!!!</t>
        </is>
      </c>
      <c r="E59" s="3" t="n"/>
      <c r="G59" t="inlineStr">
        <is>
          <t>ស្នើសុំបរាជ័យ!!!</t>
        </is>
      </c>
      <c r="H59" t="inlineStr">
        <is>
          <t>ស្នើសុំបរាជ័យ!!!</t>
        </is>
      </c>
      <c r="J59" s="217" t="inlineStr">
        <is>
          <t>"common.proposeError": "Propose failed!!!",</t>
        </is>
      </c>
    </row>
    <row r="60" ht="15.75" customHeight="1" s="305">
      <c r="A60" s="146" t="inlineStr">
        <is>
          <t>common.rejectSuccess</t>
        </is>
      </c>
      <c r="B60" s="146" t="inlineStr">
        <is>
          <t>Từ chối thành công</t>
        </is>
      </c>
      <c r="C60" s="146" t="inlineStr">
        <is>
          <t>Reject successful</t>
        </is>
      </c>
      <c r="D60" s="146" t="inlineStr">
        <is>
          <t>បដិសេធបានជោគជ័យ</t>
        </is>
      </c>
      <c r="E60" s="3" t="n"/>
      <c r="G60" t="inlineStr">
        <is>
          <t>បដិសេធបានជោគជ័យ</t>
        </is>
      </c>
      <c r="H60" t="inlineStr">
        <is>
          <t>បដិសេធបានជោគជ័យ</t>
        </is>
      </c>
      <c r="J60" s="217" t="inlineStr">
        <is>
          <t>"common.rejectSuccess": "Reject successful",</t>
        </is>
      </c>
    </row>
    <row r="61" ht="15.75" customHeight="1" s="305">
      <c r="A61" s="146" t="inlineStr">
        <is>
          <t>common.rejectError</t>
        </is>
      </c>
      <c r="B61" s="146" t="inlineStr">
        <is>
          <t>Từ chối thất bại!!!</t>
        </is>
      </c>
      <c r="C61" s="146" t="inlineStr">
        <is>
          <t>Reject failed!!!</t>
        </is>
      </c>
      <c r="D61" s="146" t="inlineStr">
        <is>
          <t>បដិសេធបរាជ័យ!!!</t>
        </is>
      </c>
      <c r="E61" s="3" t="n"/>
      <c r="G61" t="inlineStr">
        <is>
          <t>បដិសេធបរាជ័យ!!!</t>
        </is>
      </c>
      <c r="H61" t="inlineStr">
        <is>
          <t>បដិសេធបរាជ័យ!!!</t>
        </is>
      </c>
      <c r="J61" s="217" t="inlineStr">
        <is>
          <t>"common.rejectError": "Reject failed!!!",</t>
        </is>
      </c>
    </row>
    <row r="62" ht="15.75" customHeight="1" s="305">
      <c r="A62" s="146" t="inlineStr">
        <is>
          <t>common.result</t>
        </is>
      </c>
      <c r="B62" s="146" t="inlineStr">
        <is>
          <t>Kết quả</t>
        </is>
      </c>
      <c r="C62" s="146" t="inlineStr">
        <is>
          <t>Result</t>
        </is>
      </c>
      <c r="D62" s="146" t="inlineStr">
        <is>
          <t>លទ្ធផល</t>
        </is>
      </c>
      <c r="E62" s="3" t="n"/>
      <c r="G62" t="inlineStr">
        <is>
          <t>លទ្ធផល</t>
        </is>
      </c>
      <c r="H62" t="inlineStr">
        <is>
          <t>លទ្ធផល</t>
        </is>
      </c>
      <c r="J62" s="217" t="inlineStr">
        <is>
          <t>"common.result": "Result",</t>
        </is>
      </c>
    </row>
    <row r="63" ht="15.75" customHeight="1" s="305">
      <c r="A63" s="146" t="inlineStr">
        <is>
          <t>common.agree</t>
        </is>
      </c>
      <c r="B63" s="146" t="inlineStr">
        <is>
          <t>Đồng ý</t>
        </is>
      </c>
      <c r="C63" s="146" t="inlineStr">
        <is>
          <t>Agree</t>
        </is>
      </c>
      <c r="D63" s="146" t="inlineStr">
        <is>
          <t>យល់ព្រម</t>
        </is>
      </c>
      <c r="E63" s="3" t="n"/>
      <c r="G63" t="inlineStr">
        <is>
          <t>យល់ព្រម</t>
        </is>
      </c>
      <c r="H63" t="inlineStr">
        <is>
          <t>យល់ព្រម</t>
        </is>
      </c>
      <c r="J63" s="217" t="inlineStr">
        <is>
          <t>"common.agree": "Agree",</t>
        </is>
      </c>
    </row>
    <row r="64" ht="15.75" customHeight="1" s="305">
      <c r="A64" s="146" t="inlineStr">
        <is>
          <t>common.reject</t>
        </is>
      </c>
      <c r="B64" s="146" t="inlineStr">
        <is>
          <t>Từ chối</t>
        </is>
      </c>
      <c r="C64" s="146" t="inlineStr">
        <is>
          <t>Reject</t>
        </is>
      </c>
      <c r="D64" s="146" t="inlineStr">
        <is>
          <t>បដិសេធ</t>
        </is>
      </c>
      <c r="E64" s="3" t="n"/>
      <c r="G64" t="inlineStr">
        <is>
          <t>បដិសេធ</t>
        </is>
      </c>
      <c r="H64" t="inlineStr">
        <is>
          <t>បដិសេធ</t>
        </is>
      </c>
      <c r="J64" s="217" t="inlineStr">
        <is>
          <t>"common.reject": "Reject",</t>
        </is>
      </c>
      <c r="O64" s="3" t="n"/>
    </row>
    <row r="65" ht="15.75" customHeight="1" s="305">
      <c r="A65" s="146" t="inlineStr">
        <is>
          <t>common.downloadSuccess</t>
        </is>
      </c>
      <c r="B65" s="146" t="inlineStr">
        <is>
          <t>Tải xuống thành công</t>
        </is>
      </c>
      <c r="C65" s="146" t="inlineStr">
        <is>
          <t>Download successful</t>
        </is>
      </c>
      <c r="D65" s="146" t="inlineStr">
        <is>
          <t>ទាញយកបានជោគជ័យ</t>
        </is>
      </c>
      <c r="E65" s="3" t="n"/>
      <c r="G65" t="inlineStr">
        <is>
          <t>ទាញយកបានជោគជ័យ</t>
        </is>
      </c>
      <c r="H65" t="inlineStr">
        <is>
          <t>ទាញយកបានជោគជ័យ</t>
        </is>
      </c>
      <c r="J65" s="217" t="inlineStr">
        <is>
          <t>"common.downloadSuccess": "Download successful",</t>
        </is>
      </c>
    </row>
    <row r="66" ht="15.75" customHeight="1" s="305">
      <c r="A66" s="146" t="inlineStr">
        <is>
          <t>common.downloadError</t>
        </is>
      </c>
      <c r="B66" s="146" t="inlineStr">
        <is>
          <t>Tải xuống thất bại!!!</t>
        </is>
      </c>
      <c r="C66" s="146" t="inlineStr">
        <is>
          <t>Download failed!!!</t>
        </is>
      </c>
      <c r="D66" s="146" t="inlineStr">
        <is>
          <t>ទាញយកបរាជ័យ!!!</t>
        </is>
      </c>
      <c r="E66" s="3" t="n"/>
      <c r="G66" t="inlineStr">
        <is>
          <t>ទាញយកបរាជ័យ!!!</t>
        </is>
      </c>
      <c r="H66" t="inlineStr">
        <is>
          <t>ទាញយកបរាជ័យ!!!</t>
        </is>
      </c>
      <c r="J66" s="217" t="inlineStr">
        <is>
          <t>"common.downloadError": "Download failed!!!",</t>
        </is>
      </c>
    </row>
    <row r="67" ht="15.75" customHeight="1" s="305">
      <c r="A67" s="146" t="inlineStr">
        <is>
          <t>common.importSuccess</t>
        </is>
      </c>
      <c r="B67" s="146" t="inlineStr">
        <is>
          <t>Nhập file thành công</t>
        </is>
      </c>
      <c r="C67" s="146" t="inlineStr">
        <is>
          <t>Import file successful</t>
        </is>
      </c>
      <c r="D67" s="146" t="inlineStr">
        <is>
          <t>នាំចូលឯកសារបានជោគជ័យ</t>
        </is>
      </c>
      <c r="E67" s="3" t="n"/>
      <c r="G67" t="inlineStr">
        <is>
          <t>នាំចូលឯកសារបានជោគជ័យ</t>
        </is>
      </c>
      <c r="H67" t="inlineStr">
        <is>
          <t>នាំចូលឯកសារបានជោគជ័យ</t>
        </is>
      </c>
      <c r="J67" s="217" t="inlineStr">
        <is>
          <t>"common.importSuccess": "Import file successful",</t>
        </is>
      </c>
    </row>
    <row r="68" ht="15.75" customHeight="1" s="305">
      <c r="A68" s="146" t="inlineStr">
        <is>
          <t>common.importError</t>
        </is>
      </c>
      <c r="B68" s="146" t="inlineStr">
        <is>
          <t>Nhập file thất bại!!!</t>
        </is>
      </c>
      <c r="C68" s="146" t="inlineStr">
        <is>
          <t>Import file failed!!!</t>
        </is>
      </c>
      <c r="D68" s="146" t="inlineStr">
        <is>
          <t>នាំចូលឯកសារបរាជ័យ!!!</t>
        </is>
      </c>
      <c r="E68" s="3" t="n"/>
      <c r="G68" t="inlineStr">
        <is>
          <t>នាំចូលឯកសារបរាជ័យ!!!</t>
        </is>
      </c>
      <c r="H68" t="inlineStr">
        <is>
          <t>នាំចូលឯកសារបរាជ័យ!!!</t>
        </is>
      </c>
      <c r="J68" s="217" t="inlineStr">
        <is>
          <t>"common.importError": "Import file failed!!!",</t>
        </is>
      </c>
    </row>
    <row r="69" ht="15.75" customHeight="1" s="305">
      <c r="A69" s="146" t="inlineStr">
        <is>
          <t>common.clearDataSuccess</t>
        </is>
      </c>
      <c r="B69" s="146" t="inlineStr">
        <is>
          <t>Xóa dữ liệu thành công</t>
        </is>
      </c>
      <c r="C69" s="146" t="inlineStr">
        <is>
          <t>Clear data successfully</t>
        </is>
      </c>
      <c r="D69" s="146" t="inlineStr">
        <is>
          <t>លុបទិន្នន័យដោយជោគជ័យ</t>
        </is>
      </c>
      <c r="E69" s="3" t="n"/>
      <c r="G69" t="inlineStr">
        <is>
          <t>លុបទិន្នន័យដោយជោគជ័យ</t>
        </is>
      </c>
      <c r="H69" t="inlineStr">
        <is>
          <t>លុបទិន្នន័យដោយជោគជ័យ</t>
        </is>
      </c>
      <c r="J69" s="217" t="inlineStr">
        <is>
          <t>"common.clearDataSuccess": "Clear data successfully",</t>
        </is>
      </c>
    </row>
    <row r="70" ht="15.75" customHeight="1" s="305">
      <c r="A70" s="146" t="inlineStr">
        <is>
          <t>common.clearDataError</t>
        </is>
      </c>
      <c r="B70" s="146" t="inlineStr">
        <is>
          <t>Xóa dữ liệu thất bại!!!</t>
        </is>
      </c>
      <c r="C70" s="146" t="inlineStr">
        <is>
          <t>Clear data failed!!!</t>
        </is>
      </c>
      <c r="D70" s="146" t="inlineStr">
        <is>
          <t>លុបទិន្នន័យបរាជ័យ!!!</t>
        </is>
      </c>
      <c r="E70" s="3" t="n"/>
      <c r="G70" t="inlineStr">
        <is>
          <t>លុបទិន្នន័យបរាជ័យ!!!</t>
        </is>
      </c>
      <c r="H70" t="inlineStr">
        <is>
          <t>លុបទិន្នន័យបរាជ័យ!!!</t>
        </is>
      </c>
      <c r="J70" s="217" t="inlineStr">
        <is>
          <t>"common.clearDataError": "Clear data failed!!!",</t>
        </is>
      </c>
    </row>
    <row r="71" ht="15.75" customHeight="1" s="305">
      <c r="A71" s="146" t="inlineStr">
        <is>
          <t>common.transferDRLError</t>
        </is>
      </c>
      <c r="B71" s="146" t="inlineStr">
        <is>
          <t>Chuyển DRL thất bại</t>
        </is>
      </c>
      <c r="C71" s="146" t="inlineStr">
        <is>
          <t>DRL transfer failed</t>
        </is>
      </c>
      <c r="D71" s="146" t="inlineStr">
        <is>
          <t>ការផ្ទេរ DRL បរាជ័យ</t>
        </is>
      </c>
      <c r="E71" s="3" t="n"/>
      <c r="G71" t="inlineStr">
        <is>
          <t>ការផ្ទេរ DRL បរាជ័យ</t>
        </is>
      </c>
      <c r="H71" t="inlineStr">
        <is>
          <t>ការផ្ទេរ DRL បរាជ័យ</t>
        </is>
      </c>
      <c r="J71" s="217" t="inlineStr">
        <is>
          <t>"common.transferDRLError": "DRL transfer failed",</t>
        </is>
      </c>
    </row>
    <row r="72" ht="15.75" customHeight="1" s="305">
      <c r="A72" s="146" t="inlineStr">
        <is>
          <t>common.saveSuccess</t>
        </is>
      </c>
      <c r="B72" s="146" t="inlineStr">
        <is>
          <t>Lưu thành công</t>
        </is>
      </c>
      <c r="C72" s="146" t="inlineStr">
        <is>
          <t>Saved successfully</t>
        </is>
      </c>
      <c r="D72" s="146" t="inlineStr">
        <is>
          <t>រក្សាទុកបានជោគជ័យ</t>
        </is>
      </c>
      <c r="E72" s="3" t="n"/>
      <c r="G72" t="inlineStr">
        <is>
          <t>រក្សាទុកបានជោគជ័យ</t>
        </is>
      </c>
      <c r="H72" t="inlineStr">
        <is>
          <t>រក្សាទុកបានជោគជ័យ</t>
        </is>
      </c>
      <c r="J72" s="217" t="inlineStr">
        <is>
          <t>"common.saveSuccess": "Saved successfully",</t>
        </is>
      </c>
    </row>
    <row r="73" ht="15.75" customHeight="1" s="305">
      <c r="A73" s="146" t="inlineStr">
        <is>
          <t>common.saveError</t>
        </is>
      </c>
      <c r="B73" s="146" t="inlineStr">
        <is>
          <t>Lưu thất bại!</t>
        </is>
      </c>
      <c r="C73" s="146" t="inlineStr">
        <is>
          <t>Save failed</t>
        </is>
      </c>
      <c r="D73" s="146" t="inlineStr">
        <is>
          <t>រក្សាទុកបរាជ័យ</t>
        </is>
      </c>
      <c r="E73" s="3" t="n"/>
      <c r="G73" t="inlineStr">
        <is>
          <t>រក្សាទុកបរាជ័យ</t>
        </is>
      </c>
      <c r="H73" t="inlineStr">
        <is>
          <t>រក្សាទុកបរាជ័យ</t>
        </is>
      </c>
      <c r="J73" s="217" t="inlineStr">
        <is>
          <t>"common.saveError": "Save failed",</t>
        </is>
      </c>
    </row>
    <row r="74" ht="15.75" customHeight="1" s="305">
      <c r="A74" s="146" t="inlineStr">
        <is>
          <t>common.updateSuccess</t>
        </is>
      </c>
      <c r="B74" s="146" t="inlineStr">
        <is>
          <t>Cập nhật thành công</t>
        </is>
      </c>
      <c r="C74" s="146" t="inlineStr">
        <is>
          <t>Updated successfully</t>
        </is>
      </c>
      <c r="D74" s="146" t="inlineStr">
        <is>
          <t>អាប់ដេតបានជោគជ័យ</t>
        </is>
      </c>
      <c r="E74" s="3" t="n"/>
      <c r="G74" t="inlineStr">
        <is>
          <t>អាប់ដេតបានជោគជ័យ</t>
        </is>
      </c>
      <c r="H74" t="inlineStr">
        <is>
          <t>អាប់ដេតបានជោគជ័យ</t>
        </is>
      </c>
      <c r="J74" s="217" t="inlineStr">
        <is>
          <t>"common.updateSuccess": "Updated successfully",</t>
        </is>
      </c>
    </row>
    <row r="75" ht="15.75" customHeight="1" s="305">
      <c r="A75" s="146" t="inlineStr">
        <is>
          <t>common.updateError</t>
        </is>
      </c>
      <c r="B75" s="146" t="inlineStr">
        <is>
          <t>Cập nhật thất bại!</t>
        </is>
      </c>
      <c r="C75" s="146" t="inlineStr">
        <is>
          <t>Update failed</t>
        </is>
      </c>
      <c r="D75" s="146" t="inlineStr">
        <is>
          <t>អាប់ដេតបរាជ័យ</t>
        </is>
      </c>
      <c r="E75" s="3" t="n"/>
      <c r="G75" t="inlineStr">
        <is>
          <t>ធ្វើបច្ចុប្បន្នភាពបរាជ័យ</t>
        </is>
      </c>
      <c r="H75" t="inlineStr">
        <is>
          <t>ធ្វើបច្ចុប្បន្នភាពបរាជ័យ</t>
        </is>
      </c>
      <c r="J75" s="217" t="inlineStr">
        <is>
          <t>"common.updateError": "Update failed",</t>
        </is>
      </c>
    </row>
    <row r="76" ht="15.75" customHeight="1" s="305">
      <c r="A76" s="146" t="inlineStr">
        <is>
          <t>common.approveFileInput</t>
        </is>
      </c>
      <c r="B76" s="146" t="inlineStr">
        <is>
          <t>Phê duyệt nhập liệu file:</t>
        </is>
      </c>
      <c r="C76" s="146" t="inlineStr">
        <is>
          <t>Approve file data entry:</t>
        </is>
      </c>
      <c r="D76" s="146" t="inlineStr">
        <is>
          <t>អនុម័តការបញ្ចូលទិន្នន័យពីឯកសារ:</t>
        </is>
      </c>
      <c r="E76" s="3" t="n"/>
      <c r="G76" t="inlineStr">
        <is>
          <t>អនុម័តការបញ្ចូលទិន្នន័យពីឯកសារ:</t>
        </is>
      </c>
      <c r="H76" t="inlineStr">
        <is>
          <t>អនុម័តការបញ្ចូលទិន្នន័យពីឯកសារ:</t>
        </is>
      </c>
      <c r="J76" s="217" t="inlineStr">
        <is>
          <t>"common.approveFileInput": "Approve file data entry:",</t>
        </is>
      </c>
    </row>
    <row r="77" ht="15.75" customHeight="1" s="305">
      <c r="A77" s="146" t="inlineStr">
        <is>
          <t>common.totalRecordsTable</t>
        </is>
      </c>
      <c r="B77" s="146" t="inlineStr">
        <is>
          <t>Tổng bản ghi</t>
        </is>
      </c>
      <c r="C77" s="146" t="inlineStr">
        <is>
          <t>Total Records</t>
        </is>
      </c>
      <c r="D77" s="146" t="inlineStr">
        <is>
          <t>កំណត់ត្រាសរុប</t>
        </is>
      </c>
      <c r="E77" s="3" t="n"/>
      <c r="G77" t="inlineStr">
        <is>
          <t>កំណត់ត្រាសរុប</t>
        </is>
      </c>
      <c r="H77" t="inlineStr">
        <is>
          <t>កំណត់ត្រាសរុប</t>
        </is>
      </c>
      <c r="J77" s="217" t="inlineStr">
        <is>
          <t>"common.totalRecordsTable": "Total Records",</t>
        </is>
      </c>
    </row>
    <row r="78" ht="15.75" customHeight="1" s="305">
      <c r="A78" s="146" t="inlineStr">
        <is>
          <t>common.placeholderDate</t>
        </is>
      </c>
      <c r="B78" s="146" t="inlineStr">
        <is>
          <t>Chọn ngày</t>
        </is>
      </c>
      <c r="C78" s="146" t="inlineStr">
        <is>
          <t>Select date</t>
        </is>
      </c>
      <c r="D78" s="146" t="inlineStr">
        <is>
          <t>ជ្រើសថ្ងៃ</t>
        </is>
      </c>
      <c r="E78" s="3" t="n"/>
      <c r="G78" t="inlineStr">
        <is>
          <t>ជ្រើសថ្ងៃ</t>
        </is>
      </c>
      <c r="H78" t="inlineStr">
        <is>
          <t>ជ្រើសថ្ងៃ</t>
        </is>
      </c>
      <c r="J78" s="217" t="inlineStr">
        <is>
          <t>"common.placeholderDate": "Select date",</t>
        </is>
      </c>
    </row>
    <row r="79" ht="15.75" customHeight="1" s="305">
      <c r="A79" s="146" t="inlineStr">
        <is>
          <t>common.saving</t>
        </is>
      </c>
      <c r="B79" s="146" t="inlineStr">
        <is>
          <t>Đang lưu...</t>
        </is>
      </c>
      <c r="C79" s="146" t="inlineStr">
        <is>
          <t>Saving...</t>
        </is>
      </c>
      <c r="D79" s="146" t="inlineStr">
        <is>
          <t>កំពុងរក្សាទុក...</t>
        </is>
      </c>
      <c r="E79" s="3" t="n"/>
      <c r="G79" t="inlineStr">
        <is>
          <t>កំពុងរក្សាទុក...</t>
        </is>
      </c>
      <c r="H79" t="inlineStr">
        <is>
          <t>កំពុងរក្សាទុក...</t>
        </is>
      </c>
      <c r="J79" s="217" t="inlineStr">
        <is>
          <t>"common.saving": "Saving...",</t>
        </is>
      </c>
    </row>
    <row r="80" ht="15.75" customHeight="1" s="305">
      <c r="A80" s="146" t="inlineStr">
        <is>
          <t>common.all</t>
        </is>
      </c>
      <c r="B80" s="146" t="inlineStr">
        <is>
          <t>Tất cả</t>
        </is>
      </c>
      <c r="C80" s="146" t="inlineStr">
        <is>
          <t>All</t>
        </is>
      </c>
      <c r="D80" s="146" t="inlineStr">
        <is>
          <t>ទាំងអស់</t>
        </is>
      </c>
      <c r="E80" s="3" t="n"/>
      <c r="G80" t="inlineStr">
        <is>
          <t>ទាំងអស់</t>
        </is>
      </c>
      <c r="H80" t="inlineStr">
        <is>
          <t>ទាំងអស់</t>
        </is>
      </c>
      <c r="J80" s="217" t="inlineStr">
        <is>
          <t>"common.all": "All",</t>
        </is>
      </c>
    </row>
    <row r="81" ht="15.75" customHeight="1" s="305">
      <c r="A81" s="146" t="inlineStr">
        <is>
          <t>common.downloading</t>
        </is>
      </c>
      <c r="B81" s="146" t="inlineStr">
        <is>
          <t>Đang tải xuống...</t>
        </is>
      </c>
      <c r="C81" s="146" t="inlineStr">
        <is>
          <t>Downloading...</t>
        </is>
      </c>
      <c r="D81" s="146" t="inlineStr">
        <is>
          <t>កំពុងទាញយក...</t>
        </is>
      </c>
      <c r="E81" s="3" t="n"/>
      <c r="G81" t="inlineStr">
        <is>
          <t>កំពុងទាញយក...</t>
        </is>
      </c>
      <c r="H81" t="inlineStr">
        <is>
          <t>កំពុងទាញយក...</t>
        </is>
      </c>
      <c r="J81" s="217" t="inlineStr">
        <is>
          <t>"common.downloading": "Downloading...",</t>
        </is>
      </c>
    </row>
    <row r="82" ht="15.75" customHeight="1" s="305">
      <c r="A82" s="146" t="inlineStr">
        <is>
          <t>common.downloadTemplateFile</t>
        </is>
      </c>
      <c r="B82" s="146" t="inlineStr">
        <is>
          <t>Tải file mẫu</t>
        </is>
      </c>
      <c r="C82" s="146" t="inlineStr">
        <is>
          <t>Download template file</t>
        </is>
      </c>
      <c r="D82" s="146" t="inlineStr">
        <is>
          <t>ទាញយកឯកសារគំរូ</t>
        </is>
      </c>
      <c r="E82" s="3" t="n"/>
      <c r="G82" t="inlineStr">
        <is>
          <t>ទាញយកឯកសារគំរូ</t>
        </is>
      </c>
      <c r="H82" t="inlineStr">
        <is>
          <t>ទាញយកឯកសារគំរូ</t>
        </is>
      </c>
      <c r="J82" s="217" t="inlineStr">
        <is>
          <t>"common.downloadTemplateFile": "Download template file",</t>
        </is>
      </c>
    </row>
    <row r="83" ht="15.75" customHeight="1" s="305">
      <c r="A83" s="146" t="inlineStr">
        <is>
          <t>common.Enter</t>
        </is>
      </c>
      <c r="B83" s="146" t="inlineStr">
        <is>
          <t>Nhập...</t>
        </is>
      </c>
      <c r="C83" s="146" t="inlineStr">
        <is>
          <t>Enter...</t>
        </is>
      </c>
      <c r="D83" s="146" t="inlineStr">
        <is>
          <t>បញ្ចូល...</t>
        </is>
      </c>
      <c r="E83" s="3" t="n"/>
      <c r="G83" t="inlineStr">
        <is>
          <t>បញ្ចូល...</t>
        </is>
      </c>
      <c r="H83" t="inlineStr">
        <is>
          <t>បញ្ចូល...</t>
        </is>
      </c>
      <c r="J83" s="217" t="inlineStr">
        <is>
          <t>"common.Enter": "Enter...",</t>
        </is>
      </c>
    </row>
    <row r="84" ht="15.75" customHeight="1" s="305">
      <c r="A84" s="146" t="inlineStr">
        <is>
          <t>common.columnSettings</t>
        </is>
      </c>
      <c r="B84" s="146" t="inlineStr">
        <is>
          <t>Cài đặt cột hiển thị</t>
        </is>
      </c>
      <c r="C84" s="146" t="inlineStr">
        <is>
          <t>Column settings</t>
        </is>
      </c>
      <c r="D84" s="146" t="inlineStr">
        <is>
          <t>ការកំណត់ជួរ</t>
        </is>
      </c>
      <c r="E84" s="3" t="n"/>
      <c r="G84" t="inlineStr">
        <is>
          <t>ការកំណត់ជួរ</t>
        </is>
      </c>
      <c r="H84" t="inlineStr">
        <is>
          <t>ការកំណត់ជួរ</t>
        </is>
      </c>
      <c r="J84" s="217" t="inlineStr">
        <is>
          <t>"common.columnSettings": "Column settings",</t>
        </is>
      </c>
    </row>
    <row r="85" ht="15.75" customHeight="1" s="305">
      <c r="A85" s="146" t="inlineStr">
        <is>
          <t>common.selectAll</t>
        </is>
      </c>
      <c r="B85" s="146" t="inlineStr">
        <is>
          <t>Chọn tất cả</t>
        </is>
      </c>
      <c r="C85" s="146" t="inlineStr">
        <is>
          <t>Select all</t>
        </is>
      </c>
      <c r="D85" s="146" t="inlineStr">
        <is>
          <t>ជ្រើសរើសទាំងអស់</t>
        </is>
      </c>
      <c r="E85" s="3" t="n"/>
      <c r="G85" t="inlineStr">
        <is>
          <t>ជ្រើសរើសទាំងអស់</t>
        </is>
      </c>
      <c r="H85" t="inlineStr">
        <is>
          <t>ជ្រើសរើសទាំងអស់</t>
        </is>
      </c>
      <c r="J85" s="217" t="inlineStr">
        <is>
          <t>"common.selectAll": "Select all",</t>
        </is>
      </c>
    </row>
    <row r="86" ht="15.75" customHeight="1" s="305">
      <c r="A86" s="146" t="inlineStr">
        <is>
          <t>common.overview</t>
        </is>
      </c>
      <c r="B86" s="146" t="inlineStr">
        <is>
          <t>Tổng quan</t>
        </is>
      </c>
      <c r="C86" s="146" t="inlineStr">
        <is>
          <t>Overview</t>
        </is>
      </c>
      <c r="D86" s="146" t="inlineStr">
        <is>
          <t>ទិដ្ឋភាពទូទៅ</t>
        </is>
      </c>
      <c r="E86" s="3" t="n"/>
      <c r="G86" t="inlineStr">
        <is>
          <t>ទិដ្ឋភាពទូទៅ</t>
        </is>
      </c>
      <c r="H86" t="inlineStr">
        <is>
          <t>ទិដ្ឋភាពទូទៅ</t>
        </is>
      </c>
      <c r="J86" s="217" t="inlineStr">
        <is>
          <t>"common.overview": "Overview",</t>
        </is>
      </c>
    </row>
    <row r="87" ht="15.75" customHeight="1" s="305">
      <c r="A87" s="146" t="inlineStr">
        <is>
          <t>common.clearData</t>
        </is>
      </c>
      <c r="B87" s="146" t="inlineStr">
        <is>
          <t>Xóa dữ liệu</t>
        </is>
      </c>
      <c r="C87" s="146" t="inlineStr">
        <is>
          <t>Clear Data</t>
        </is>
      </c>
      <c r="D87" s="146" t="inlineStr">
        <is>
          <t>លុបទិន្នន័យ</t>
        </is>
      </c>
      <c r="E87" s="3" t="n"/>
      <c r="G87" t="inlineStr">
        <is>
          <t>លុបទិន្នន័យ</t>
        </is>
      </c>
      <c r="H87" t="inlineStr">
        <is>
          <t>លុបទិន្នន័យ</t>
        </is>
      </c>
      <c r="J87" s="217" t="inlineStr">
        <is>
          <t>"common.clearData": "Clear Data",</t>
        </is>
      </c>
    </row>
    <row r="88" ht="15.75" customHeight="1" s="305">
      <c r="A88" s="146" t="inlineStr">
        <is>
          <t>common.searchByNameOrCode</t>
        </is>
      </c>
      <c r="B88" s="146" t="inlineStr">
        <is>
          <t>Tìm kiếm theo tên hoặc mã</t>
        </is>
      </c>
      <c r="C88" s="146" t="inlineStr">
        <is>
          <t>Search by name or code</t>
        </is>
      </c>
      <c r="D88" s="146" t="inlineStr">
        <is>
          <t>ស្វែងរកតាមឈ្មោះ ឬ លេខកូដ</t>
        </is>
      </c>
      <c r="E88" s="3" t="n"/>
      <c r="G88" t="inlineStr">
        <is>
          <t>ស្វែងរកតាមឈ្មោះ ឬ លេខកូដ</t>
        </is>
      </c>
      <c r="H88" t="inlineStr">
        <is>
          <t>ស្វែងរកតាមឈ្មោះ ឬ លេខកូដ</t>
        </is>
      </c>
      <c r="J88" s="217" t="inlineStr">
        <is>
          <t>"common.searchByNameOrCode": "Search by name or code",</t>
        </is>
      </c>
    </row>
    <row r="89" ht="15.75" customHeight="1" s="305">
      <c r="A89" s="146" t="inlineStr">
        <is>
          <t>dataManagement.month</t>
        </is>
      </c>
      <c r="B89" s="146" t="inlineStr">
        <is>
          <t>Tháng</t>
        </is>
      </c>
      <c r="C89" s="146" t="inlineStr">
        <is>
          <t>Month</t>
        </is>
      </c>
      <c r="D89" s="146" t="inlineStr">
        <is>
          <t>ខែ</t>
        </is>
      </c>
      <c r="E89" s="3" t="n"/>
      <c r="G89" t="inlineStr">
        <is>
          <t>ខែ</t>
        </is>
      </c>
      <c r="H89" t="inlineStr">
        <is>
          <t>ខែ</t>
        </is>
      </c>
      <c r="J89" s="217" t="inlineStr">
        <is>
          <t>"dataManagement.month": "Month",</t>
        </is>
      </c>
    </row>
    <row r="90" ht="15.75" customHeight="1" s="305">
      <c r="A90" s="146" t="inlineStr">
        <is>
          <t>dataManagement.keyword</t>
        </is>
      </c>
      <c r="B90" s="146" t="inlineStr">
        <is>
          <t>Từ khóa</t>
        </is>
      </c>
      <c r="C90" s="146" t="inlineStr">
        <is>
          <t>Keyword</t>
        </is>
      </c>
      <c r="D90" s="146" t="inlineStr">
        <is>
          <t>ពាក្យគន្លឹះ</t>
        </is>
      </c>
      <c r="E90" s="3" t="n"/>
      <c r="G90" t="inlineStr">
        <is>
          <t>ពាក្យគន្លឹះ</t>
        </is>
      </c>
      <c r="H90" t="inlineStr">
        <is>
          <t>ពាក្យគន្លឹះ</t>
        </is>
      </c>
      <c r="J90" s="217" t="inlineStr">
        <is>
          <t>"dataManagement.keyword": "Keyword",</t>
        </is>
      </c>
    </row>
    <row r="91" ht="15.75" customHeight="1" s="305">
      <c r="A91" s="146" t="inlineStr">
        <is>
          <t>dataManagement.placeholderKeyword</t>
        </is>
      </c>
      <c r="B91" s="146" t="inlineStr">
        <is>
          <t>Nhập từ khóa...</t>
        </is>
      </c>
      <c r="C91" s="146" t="inlineStr">
        <is>
          <t>Enter keyword...</t>
        </is>
      </c>
      <c r="D91" s="146" t="inlineStr">
        <is>
          <t>បញ្ចូលពាក្យគន្លឹះ...</t>
        </is>
      </c>
      <c r="E91" s="3" t="n"/>
      <c r="G91" t="inlineStr">
        <is>
          <t>បញ្ចូលពាក្យគន្លឹះ...</t>
        </is>
      </c>
      <c r="H91" t="inlineStr">
        <is>
          <t>បញ្ចូលពាក្យគន្លឹះ...</t>
        </is>
      </c>
      <c r="J91" s="217" t="inlineStr">
        <is>
          <t>"dataManagement.placeholderKeyword": "Enter keyword...",</t>
        </is>
      </c>
    </row>
    <row r="92" ht="15.75" customHeight="1" s="305">
      <c r="A92" s="146" t="inlineStr">
        <is>
          <t>dataManagement.code</t>
        </is>
      </c>
      <c r="B92" s="146" t="inlineStr">
        <is>
          <t>Mã</t>
        </is>
      </c>
      <c r="C92" s="146" t="inlineStr">
        <is>
          <t>Code</t>
        </is>
      </c>
      <c r="D92" s="146" t="inlineStr">
        <is>
          <t>លេខកូដ</t>
        </is>
      </c>
      <c r="E92" s="3" t="n"/>
      <c r="G92" t="inlineStr">
        <is>
          <t>លេខកូដ</t>
        </is>
      </c>
      <c r="H92" t="inlineStr">
        <is>
          <t>លេខកូដ</t>
        </is>
      </c>
      <c r="J92" s="217" t="inlineStr">
        <is>
          <t>"dataManagement.code": "Code",</t>
        </is>
      </c>
    </row>
    <row r="93" ht="15.75" customHeight="1" s="305">
      <c r="A93" s="255" t="inlineStr">
        <is>
          <t>dataManagement.name</t>
        </is>
      </c>
      <c r="B93" s="146" t="inlineStr">
        <is>
          <t>Tên</t>
        </is>
      </c>
      <c r="C93" s="146" t="inlineStr">
        <is>
          <t>Name</t>
        </is>
      </c>
      <c r="D93" s="146" t="inlineStr">
        <is>
          <t>ឈ្មោះ</t>
        </is>
      </c>
      <c r="E93" s="3" t="n"/>
      <c r="G93" t="inlineStr">
        <is>
          <t>ឈ្មោះ</t>
        </is>
      </c>
      <c r="H93" t="inlineStr">
        <is>
          <t>ឈ្មោះ</t>
        </is>
      </c>
      <c r="J93" s="217" t="inlineStr">
        <is>
          <t>"dataManagement.name": "Name",</t>
        </is>
      </c>
    </row>
    <row r="94" ht="15.75" customHeight="1" s="305">
      <c r="A94" s="146" t="inlineStr">
        <is>
          <t>dataManagement.status</t>
        </is>
      </c>
      <c r="B94" s="146" t="inlineStr">
        <is>
          <t>Trạng thái</t>
        </is>
      </c>
      <c r="C94" s="146" t="inlineStr">
        <is>
          <t>Status</t>
        </is>
      </c>
      <c r="D94" s="146" t="inlineStr">
        <is>
          <t>ស្ថានភាព</t>
        </is>
      </c>
      <c r="E94" s="3" t="n"/>
      <c r="G94" t="inlineStr">
        <is>
          <t>ស្ថានភាព</t>
        </is>
      </c>
      <c r="H94" t="inlineStr">
        <is>
          <t>ស្ថានភាព</t>
        </is>
      </c>
      <c r="J94" s="217" t="inlineStr">
        <is>
          <t>"dataManagement.status": "Status",</t>
        </is>
      </c>
    </row>
    <row r="95" ht="15.75" customHeight="1" s="305">
      <c r="A95" s="146" t="inlineStr">
        <is>
          <t>dataManagement.createdAt</t>
        </is>
      </c>
      <c r="B95" s="146" t="inlineStr">
        <is>
          <t>Ngày tạo</t>
        </is>
      </c>
      <c r="C95" s="146" t="inlineStr">
        <is>
          <t>Created At</t>
        </is>
      </c>
      <c r="D95" s="146" t="inlineStr">
        <is>
          <t>កាលបរិច្ឆេទបង្កើត</t>
        </is>
      </c>
      <c r="E95" s="3" t="n"/>
      <c r="G95" t="inlineStr">
        <is>
          <t>កាលបរិច្ឆេទបង្កើត</t>
        </is>
      </c>
      <c r="H95" t="inlineStr">
        <is>
          <t>កាលបរិច្ឆេទបង្កើត</t>
        </is>
      </c>
      <c r="J95" s="217" t="inlineStr">
        <is>
          <t>"dataManagement.createdAt": "Created At",</t>
        </is>
      </c>
    </row>
    <row r="96" ht="15.75" customHeight="1" s="305">
      <c r="A96" s="146" t="inlineStr">
        <is>
          <t>dataManagement.updatedAt</t>
        </is>
      </c>
      <c r="B96" s="146" t="inlineStr">
        <is>
          <t>Ngày cập nhật</t>
        </is>
      </c>
      <c r="C96" s="146" t="inlineStr">
        <is>
          <t>Updated At</t>
        </is>
      </c>
      <c r="D96" s="146" t="inlineStr">
        <is>
          <t>កាលបរិច្ឆេទធ្វើបច្ចុប្បន្នភាព</t>
        </is>
      </c>
      <c r="E96" s="3" t="n"/>
      <c r="G96" t="inlineStr">
        <is>
          <t>កាលបរិច្ឆេទធ្វើបច្ចុប្បន្នភាព</t>
        </is>
      </c>
      <c r="H96" t="inlineStr">
        <is>
          <t>កាលបរិច្ឆេទធ្វើបច្ចុប្បន្នភាព</t>
        </is>
      </c>
      <c r="J96" s="217" t="inlineStr">
        <is>
          <t>"dataManagement.updatedAt": "Updated At",</t>
        </is>
      </c>
    </row>
    <row r="97" ht="15.75" customHeight="1" s="305">
      <c r="A97" s="146" t="inlineStr">
        <is>
          <t>dataManagement.category.label</t>
        </is>
      </c>
      <c r="B97" s="146" t="inlineStr">
        <is>
          <t>Phân loại</t>
        </is>
      </c>
      <c r="C97" s="146" t="inlineStr">
        <is>
          <t>Category</t>
        </is>
      </c>
      <c r="D97" s="146" t="inlineStr">
        <is>
          <t>ប្រភេទ</t>
        </is>
      </c>
      <c r="E97" s="3" t="n"/>
      <c r="G97" t="inlineStr">
        <is>
          <t>ប្រភេទ</t>
        </is>
      </c>
      <c r="H97" t="inlineStr">
        <is>
          <t>ប្រភេទ</t>
        </is>
      </c>
      <c r="J97" s="217" t="inlineStr">
        <is>
          <t>"dataManagement.category.label": "Category",</t>
        </is>
      </c>
    </row>
    <row r="98" ht="15.75" customHeight="1" s="305">
      <c r="A98" s="146" t="inlineStr">
        <is>
          <t>dataManagement.category.employee</t>
        </is>
      </c>
      <c r="B98" s="146" t="inlineStr">
        <is>
          <t>Nhân viên</t>
        </is>
      </c>
      <c r="C98" s="146" t="inlineStr">
        <is>
          <t>Employee</t>
        </is>
      </c>
      <c r="D98" s="146" t="inlineStr">
        <is>
          <t>បុគ្គលិក</t>
        </is>
      </c>
      <c r="E98" s="3" t="n"/>
      <c r="G98" t="inlineStr">
        <is>
          <t>បុគ្គលិក</t>
        </is>
      </c>
      <c r="H98" t="inlineStr">
        <is>
          <t>បុគ្គលិក</t>
        </is>
      </c>
      <c r="J98" s="217" t="inlineStr">
        <is>
          <t>"dataManagement.category.employee": "Employee",</t>
        </is>
      </c>
    </row>
    <row r="99" ht="15.75" customHeight="1" s="305">
      <c r="A99" s="146" t="inlineStr">
        <is>
          <t>dataManagement.category.postOffice</t>
        </is>
      </c>
      <c r="B99" s="146" t="inlineStr">
        <is>
          <t>Bưu cục</t>
        </is>
      </c>
      <c r="C99" s="146" t="inlineStr">
        <is>
          <t>Post Office</t>
        </is>
      </c>
      <c r="D99" s="146" t="inlineStr">
        <is>
          <t>ប្រៃសណីយ៍</t>
        </is>
      </c>
      <c r="E99" s="3" t="n"/>
      <c r="G99" t="inlineStr">
        <is>
          <t>ការិយាល័យប្រៃសណីយ៍</t>
        </is>
      </c>
      <c r="H99" t="inlineStr">
        <is>
          <t>ការិយាល័យប្រៃសណីយ៍</t>
        </is>
      </c>
      <c r="J99" s="217" t="inlineStr">
        <is>
          <t>"dataManagement.category.postOffice": "Post Office",</t>
        </is>
      </c>
    </row>
    <row r="100" ht="15.75" customHeight="1" s="305">
      <c r="A100" s="146" t="inlineStr">
        <is>
          <t>dataManagement.dataType.label</t>
        </is>
      </c>
      <c r="B100" s="146" t="inlineStr">
        <is>
          <t>Dữ liệu</t>
        </is>
      </c>
      <c r="C100" s="146" t="inlineStr">
        <is>
          <t>Data</t>
        </is>
      </c>
      <c r="D100" s="146" t="inlineStr">
        <is>
          <t>ទិន្នន័យ</t>
        </is>
      </c>
      <c r="E100" s="3" t="n"/>
      <c r="G100" t="inlineStr">
        <is>
          <t>ទិន្នន័យ</t>
        </is>
      </c>
      <c r="H100" t="inlineStr">
        <is>
          <t>ទិន្នន័យ</t>
        </is>
      </c>
      <c r="J100" s="217" t="inlineStr">
        <is>
          <t>"dataManagement.dataType.label": "Data",</t>
        </is>
      </c>
    </row>
    <row r="101" ht="15.75" customHeight="1" s="305">
      <c r="A101" s="146" t="inlineStr">
        <is>
          <t>dataManagement.dataType.salaryGrade</t>
        </is>
      </c>
      <c r="B101" s="146" t="inlineStr">
        <is>
          <t>Bậc và bước lương</t>
        </is>
      </c>
      <c r="C101" s="146" t="inlineStr">
        <is>
          <t>Salary Grade</t>
        </is>
      </c>
      <c r="D101" s="146" t="inlineStr">
        <is>
          <t>កម្រិតនិងជំហានប្រាក់ខែ</t>
        </is>
      </c>
      <c r="E101" s="3" t="n"/>
      <c r="G101" t="inlineStr">
        <is>
          <t>កម្រិតនិងជំហានប្រាក់ខែ</t>
        </is>
      </c>
      <c r="H101" t="inlineStr">
        <is>
          <t>កម្រិតនិងជំហានប្រាក់ខែ</t>
        </is>
      </c>
      <c r="J101" s="217" t="inlineStr">
        <is>
          <t>"dataManagement.dataType.salaryGrade": "Salary Grade",</t>
        </is>
      </c>
    </row>
    <row r="102" ht="15.75" customHeight="1" s="305">
      <c r="A102" s="146" t="inlineStr">
        <is>
          <t>dataManagement.dataType.kpiCompletion</t>
        </is>
      </c>
      <c r="B102" s="146" t="inlineStr">
        <is>
          <t>Tỷ lệ hoàn thành KPI cá nhân</t>
        </is>
      </c>
      <c r="C102" s="146" t="inlineStr">
        <is>
          <t>Individual KPI Completion Rate</t>
        </is>
      </c>
      <c r="D102" s="146" t="inlineStr">
        <is>
          <t>អត្រាបំពេញ KPI បុគ្គល</t>
        </is>
      </c>
      <c r="E102" s="3" t="n"/>
      <c r="G102" t="inlineStr">
        <is>
          <t>អត្រាបំពេញ KPI បុគ្គល</t>
        </is>
      </c>
      <c r="H102" t="inlineStr">
        <is>
          <t>អត្រាបំពេញ KPI បុគ្គល</t>
        </is>
      </c>
      <c r="J102" s="217" t="inlineStr">
        <is>
          <t>"dataManagement.dataType.kpiCompletion": "Individual KPI Completion Rate",</t>
        </is>
      </c>
    </row>
    <row r="103" ht="15.75" customHeight="1" s="305">
      <c r="A103" s="146" t="inlineStr">
        <is>
          <t>dataManagement.dataType.leaveDays</t>
        </is>
      </c>
      <c r="B103" s="146" t="inlineStr">
        <is>
          <t>Số ngày nghỉ</t>
        </is>
      </c>
      <c r="C103" s="146" t="inlineStr">
        <is>
          <t>Leave Days</t>
        </is>
      </c>
      <c r="D103" s="146" t="inlineStr">
        <is>
          <t>ចំនួនថ្ងៃឈប់សម្រាក</t>
        </is>
      </c>
      <c r="E103" s="3" t="n"/>
      <c r="G103" t="inlineStr">
        <is>
          <t>ចំនួនថ្ងៃឈប់សម្រាក</t>
        </is>
      </c>
      <c r="H103" t="inlineStr">
        <is>
          <t>ចំនួនថ្ងៃឈប់សម្រាក</t>
        </is>
      </c>
      <c r="J103" s="217" t="inlineStr">
        <is>
          <t>"dataManagement.dataType.leaveDays": "Leave Days",</t>
        </is>
      </c>
    </row>
    <row r="104" ht="15.75" customHeight="1" s="305">
      <c r="A104" s="146" t="inlineStr">
        <is>
          <t>dataManagement.dataType.revenuePlan</t>
        </is>
      </c>
      <c r="B104" s="146" t="inlineStr">
        <is>
          <t>Doanh thu kế hoạch</t>
        </is>
      </c>
      <c r="C104" s="146" t="inlineStr">
        <is>
          <t>Revenue Plan</t>
        </is>
      </c>
      <c r="D104" s="146" t="inlineStr">
        <is>
          <t>ផែនការចំណូល</t>
        </is>
      </c>
      <c r="E104" s="159" t="n"/>
      <c r="G104" t="inlineStr">
        <is>
          <t>ផែនការចំណូល</t>
        </is>
      </c>
      <c r="H104" t="inlineStr">
        <is>
          <t>ផែនការចំណូល</t>
        </is>
      </c>
      <c r="J104" s="217" t="inlineStr">
        <is>
          <t>"dataManagement.dataType.revenuePlan": "Revenue Plan",</t>
        </is>
      </c>
    </row>
    <row r="105" ht="15.75" customHeight="1" s="305">
      <c r="A105" s="146" t="inlineStr">
        <is>
          <t>dataManagement.postOfficeCode</t>
        </is>
      </c>
      <c r="B105" s="146" t="inlineStr">
        <is>
          <t>Mã bưu cục</t>
        </is>
      </c>
      <c r="C105" s="146" t="inlineStr">
        <is>
          <t>Post Office Code</t>
        </is>
      </c>
      <c r="D105" s="146" t="inlineStr">
        <is>
          <t>លេខកូដប្រៃសណីយ៍</t>
        </is>
      </c>
      <c r="E105" s="3" t="n"/>
      <c r="G105" t="inlineStr">
        <is>
          <t>លេខកូដប្រៃសណីយ៍</t>
        </is>
      </c>
      <c r="H105" t="inlineStr">
        <is>
          <t>លេខកូដប្រៃសណីយ៍</t>
        </is>
      </c>
      <c r="J105" s="217" t="inlineStr">
        <is>
          <t>"dataManagement.postOfficeCode": "Post Office Code",</t>
        </is>
      </c>
    </row>
    <row r="106" ht="15.75" customHeight="1" s="305">
      <c r="A106" s="146" t="inlineStr">
        <is>
          <t>dataManagement.postOfficeName</t>
        </is>
      </c>
      <c r="B106" s="146" t="inlineStr">
        <is>
          <t>Tên bưu cục</t>
        </is>
      </c>
      <c r="C106" s="146" t="inlineStr">
        <is>
          <t>Post Office Name</t>
        </is>
      </c>
      <c r="D106" s="146" t="inlineStr">
        <is>
          <t>ឈ្មោះប្រៃសណីយ៍</t>
        </is>
      </c>
      <c r="E106" s="3" t="n"/>
      <c r="G106" t="inlineStr">
        <is>
          <t>ឈ្មោះប្រៃសណីយ៍</t>
        </is>
      </c>
      <c r="H106" t="inlineStr">
        <is>
          <t>ឈ្មោះប្រៃសណីយ៍</t>
        </is>
      </c>
      <c r="J106" s="217" t="inlineStr">
        <is>
          <t>"dataManagement.postOfficeName": "Post Office Name",</t>
        </is>
      </c>
    </row>
    <row r="107" ht="15.75" customHeight="1" s="305">
      <c r="A107" s="146" t="inlineStr">
        <is>
          <t>dataManagement.regionCode</t>
        </is>
      </c>
      <c r="B107" s="146" t="inlineStr">
        <is>
          <t>Vùng</t>
        </is>
      </c>
      <c r="C107" s="146" t="inlineStr">
        <is>
          <t>Region</t>
        </is>
      </c>
      <c r="D107" s="146" t="inlineStr">
        <is>
          <t>តំបន់</t>
        </is>
      </c>
      <c r="E107" s="3" t="n"/>
      <c r="G107" t="inlineStr">
        <is>
          <t>តំបន់</t>
        </is>
      </c>
      <c r="H107" t="inlineStr">
        <is>
          <t>តំបន់</t>
        </is>
      </c>
      <c r="J107" s="217" t="inlineStr">
        <is>
          <t>"dataManagement.regionCode": "Region",</t>
        </is>
      </c>
    </row>
    <row r="108" ht="15.75" customHeight="1" s="305">
      <c r="A108" s="146" t="inlineStr">
        <is>
          <t>dataManagement.regionName</t>
        </is>
      </c>
      <c r="B108" s="146" t="inlineStr">
        <is>
          <t>Tên vùng</t>
        </is>
      </c>
      <c r="C108" s="146" t="inlineStr">
        <is>
          <t>Region Name</t>
        </is>
      </c>
      <c r="D108" s="146" t="inlineStr">
        <is>
          <t>នាមតំបន់</t>
        </is>
      </c>
      <c r="E108" s="3" t="n"/>
      <c r="G108" t="inlineStr">
        <is>
          <t>នាមតំបន់</t>
        </is>
      </c>
      <c r="H108" t="inlineStr">
        <is>
          <t>នាមតំបន់</t>
        </is>
      </c>
      <c r="J108" s="217" t="inlineStr">
        <is>
          <t>"dataManagement.regionName": "Region Name",</t>
        </is>
      </c>
    </row>
    <row r="109" ht="15.75" customHeight="1" s="305">
      <c r="A109" s="146" t="inlineStr">
        <is>
          <t>dataManagement.provinceCode</t>
        </is>
      </c>
      <c r="B109" s="146" t="inlineStr">
        <is>
          <t>Tỉnh</t>
        </is>
      </c>
      <c r="C109" s="146" t="inlineStr">
        <is>
          <t>Province</t>
        </is>
      </c>
      <c r="D109" s="146" t="inlineStr">
        <is>
          <t>ខែត្ត</t>
        </is>
      </c>
      <c r="E109" s="3" t="n"/>
      <c r="G109" t="inlineStr">
        <is>
          <t>ខែត្ត</t>
        </is>
      </c>
      <c r="H109" t="inlineStr">
        <is>
          <t>ខែត្ត</t>
        </is>
      </c>
      <c r="J109" s="217" t="inlineStr">
        <is>
          <t>"dataManagement.provinceCode": "Province",</t>
        </is>
      </c>
    </row>
    <row r="110" ht="15.75" customHeight="1" s="305">
      <c r="A110" s="146" t="inlineStr">
        <is>
          <t>dataManagement.provinceName</t>
        </is>
      </c>
      <c r="B110" s="146" t="inlineStr">
        <is>
          <t>Tên tỉnh</t>
        </is>
      </c>
      <c r="C110" s="146" t="inlineStr">
        <is>
          <t>Province Name</t>
        </is>
      </c>
      <c r="D110" s="146" t="inlineStr">
        <is>
          <t>នាមខែត្ត</t>
        </is>
      </c>
      <c r="E110" s="3" t="n"/>
      <c r="G110" t="inlineStr">
        <is>
          <t>នាមខែត្ត</t>
        </is>
      </c>
      <c r="H110" t="inlineStr">
        <is>
          <t>នាមខែត្ត</t>
        </is>
      </c>
      <c r="J110" s="217" t="inlineStr">
        <is>
          <t>"dataManagement.provinceName": "Province Name",</t>
        </is>
      </c>
    </row>
    <row r="111" ht="15.75" customHeight="1" s="305">
      <c r="A111" s="146" t="inlineStr">
        <is>
          <t>dataManagement.beforeVatGroup</t>
        </is>
      </c>
      <c r="B111" s="146" t="inlineStr">
        <is>
          <t>Trước VAT</t>
        </is>
      </c>
      <c r="C111" s="146" t="inlineStr">
        <is>
          <t>Before VAT</t>
        </is>
      </c>
      <c r="D111" s="146" t="inlineStr">
        <is>
          <t>មុនវ៉ាត</t>
        </is>
      </c>
      <c r="E111" s="3" t="n"/>
      <c r="G111" t="inlineStr">
        <is>
          <t>មុនវ៉ាត</t>
        </is>
      </c>
      <c r="H111" t="inlineStr">
        <is>
          <t>មុនវ៉ាត</t>
        </is>
      </c>
      <c r="J111" s="217" t="inlineStr">
        <is>
          <t>"dataManagement.beforeVatGroup": "Before VAT",</t>
        </is>
      </c>
    </row>
    <row r="112" ht="15.75" customHeight="1" s="305">
      <c r="A112" s="146" t="inlineStr">
        <is>
          <t>dataManagement.afterVatGroup</t>
        </is>
      </c>
      <c r="B112" s="146" t="inlineStr">
        <is>
          <t>Sau VAT</t>
        </is>
      </c>
      <c r="C112" s="146" t="inlineStr">
        <is>
          <t>After VAT</t>
        </is>
      </c>
      <c r="D112" s="146" t="inlineStr">
        <is>
          <t>បន្ទាប់ពីវ៉ាត</t>
        </is>
      </c>
      <c r="E112" s="3" t="n"/>
      <c r="G112" t="inlineStr">
        <is>
          <t>បន្ទាប់ពីវ៉ាត</t>
        </is>
      </c>
      <c r="H112" t="inlineStr">
        <is>
          <t>បន្ទាប់ពីវ៉ាត</t>
        </is>
      </c>
      <c r="J112" s="217" t="inlineStr">
        <is>
          <t>"dataManagement.afterVatGroup": "After VAT",</t>
        </is>
      </c>
    </row>
    <row r="113" ht="15.75" customHeight="1" s="305">
      <c r="A113" s="146" t="inlineStr">
        <is>
          <t>dataManagement.actualRevenue</t>
        </is>
      </c>
      <c r="B113" s="146" t="inlineStr">
        <is>
          <t>Thực hiện ({{current}})</t>
        </is>
      </c>
      <c r="C113" s="146" t="inlineStr">
        <is>
          <t>Actual ({{current}})</t>
        </is>
      </c>
      <c r="D113" s="146" t="inlineStr">
        <is>
          <t>ប្រាក់ចំណូលពិត ({{current}})</t>
        </is>
      </c>
      <c r="E113" s="3" t="n"/>
      <c r="G113" t="inlineStr">
        <is>
          <t>ប្រាក់ចំណូលពិត ({{current}})</t>
        </is>
      </c>
      <c r="H113" t="inlineStr">
        <is>
          <t>ប្រាក់ចំណូលពិត ({{current}})</t>
        </is>
      </c>
      <c r="J113" s="217" t="inlineStr">
        <is>
          <t>"dataManagement.actualRevenue": "Actual ({{current}})",</t>
        </is>
      </c>
    </row>
    <row r="114" ht="15.75" customHeight="1" s="305">
      <c r="A114" s="146" t="inlineStr">
        <is>
          <t>dataManagement.planRevenue</t>
        </is>
      </c>
      <c r="B114" s="146" t="inlineStr">
        <is>
          <t>Kế hoạch ({{current}})</t>
        </is>
      </c>
      <c r="C114" s="146" t="inlineStr">
        <is>
          <t>Plan ({{current}})</t>
        </is>
      </c>
      <c r="D114" s="146" t="inlineStr">
        <is>
          <t>ផែនការប្រាក់ចំណូល ({{current}})</t>
        </is>
      </c>
      <c r="E114" s="3" t="n"/>
      <c r="G114" t="inlineStr">
        <is>
          <t>ផែនការប្រាក់ចំណូល ({{current}})</t>
        </is>
      </c>
      <c r="H114" t="inlineStr">
        <is>
          <t>ផែនការប្រាក់ចំណូល ({{current}})</t>
        </is>
      </c>
      <c r="J114" s="217" t="inlineStr">
        <is>
          <t>"dataManagement.planRevenue": "Plan ({{current}})",</t>
        </is>
      </c>
    </row>
    <row r="115" ht="15.75" customHeight="1" s="305">
      <c r="A115" s="146" t="inlineStr">
        <is>
          <t>dataManagement.completionRate</t>
        </is>
      </c>
      <c r="B115" s="146" t="inlineStr">
        <is>
          <t>Tỷ lệ hoàn thành (%)</t>
        </is>
      </c>
      <c r="C115" s="146" t="inlineStr">
        <is>
          <t>Completion Rate (%)</t>
        </is>
      </c>
      <c r="D115" s="146" t="inlineStr">
        <is>
          <t>អត្រាបំពេញ (%)</t>
        </is>
      </c>
      <c r="E115" s="3" t="n"/>
      <c r="G115" t="inlineStr">
        <is>
          <t>អត្រាបំពេញ (%)</t>
        </is>
      </c>
      <c r="H115" t="inlineStr">
        <is>
          <t>អត្រាបំពេញ (%)</t>
        </is>
      </c>
      <c r="J115" s="217" t="inlineStr">
        <is>
          <t>"dataManagement.completionRate": "Completion Rate (%)",</t>
        </is>
      </c>
    </row>
    <row r="116" ht="15.75" customHeight="1" s="305">
      <c r="A116" s="146" t="inlineStr">
        <is>
          <t>dataManagement.employeeCode</t>
        </is>
      </c>
      <c r="B116" s="146" t="inlineStr">
        <is>
          <t>Mã nhân viên</t>
        </is>
      </c>
      <c r="C116" s="146" t="inlineStr">
        <is>
          <t>Employee Code</t>
        </is>
      </c>
      <c r="D116" s="146" t="inlineStr">
        <is>
          <t>លេខកូដបុគ្គលិក</t>
        </is>
      </c>
      <c r="E116" s="3" t="n"/>
      <c r="G116" t="inlineStr">
        <is>
          <t>លេខកូដបុគ្គលិក</t>
        </is>
      </c>
      <c r="H116" t="inlineStr">
        <is>
          <t>លេខកូដបុគ្គលិក</t>
        </is>
      </c>
      <c r="J116" s="217" t="inlineStr">
        <is>
          <t>"dataManagement.employeeCode": "Employee Code",</t>
        </is>
      </c>
    </row>
    <row r="117" ht="15.75" customHeight="1" s="305">
      <c r="A117" s="146" t="inlineStr">
        <is>
          <t>dataManagement.employeeName</t>
        </is>
      </c>
      <c r="B117" s="146" t="inlineStr">
        <is>
          <t>Tên nhân viên</t>
        </is>
      </c>
      <c r="C117" s="146" t="inlineStr">
        <is>
          <t>Employee Name</t>
        </is>
      </c>
      <c r="D117" s="146" t="inlineStr">
        <is>
          <t>ឈ្មោះបុគ្គលិក</t>
        </is>
      </c>
      <c r="E117" s="3" t="n"/>
      <c r="G117" t="inlineStr">
        <is>
          <t>ឈ្មោះបុគ្គលិក</t>
        </is>
      </c>
      <c r="H117" t="inlineStr">
        <is>
          <t>ឈ្មោះបុគ្គលិក</t>
        </is>
      </c>
      <c r="J117" s="217" t="inlineStr">
        <is>
          <t>"dataManagement.employeeName": "Employee Name",</t>
        </is>
      </c>
    </row>
    <row r="118" ht="15.75" customHeight="1" s="305">
      <c r="A118" s="146" t="inlineStr">
        <is>
          <t>dataManagement.revenuePlanBeforeTax</t>
        </is>
      </c>
      <c r="B118" s="146" t="inlineStr">
        <is>
          <t>Doanh thu kế hoạch trước thuế ({{current}})</t>
        </is>
      </c>
      <c r="C118" s="146" t="inlineStr">
        <is>
          <t>Revenue Plan Before Tax ({{current}})</t>
        </is>
      </c>
      <c r="D118" s="146" t="inlineStr">
        <is>
          <t>ផែនការចំណូលមុនពន្ធ ({{current}})</t>
        </is>
      </c>
      <c r="E118" s="3" t="n"/>
      <c r="G118" t="inlineStr">
        <is>
          <t>ផែនការចំណូលមុនពន្ធ ({{current}})</t>
        </is>
      </c>
      <c r="H118" t="inlineStr">
        <is>
          <t>ផែនការចំណូលមុនពន្ធ ({{current}})</t>
        </is>
      </c>
      <c r="J118" s="217" t="inlineStr">
        <is>
          <t>"dataManagement.revenuePlanBeforeTax": "Revenue Plan Before Tax ({{current}})",</t>
        </is>
      </c>
    </row>
    <row r="119" ht="15.75" customHeight="1" s="305">
      <c r="A119" s="146" t="inlineStr">
        <is>
          <t>dataManagement.revenuePlanAfterTax</t>
        </is>
      </c>
      <c r="B119" s="146" t="inlineStr">
        <is>
          <t>Doanh thu kế hoạch sau thuế ({{current}})</t>
        </is>
      </c>
      <c r="C119" s="146" t="inlineStr">
        <is>
          <t>Revenue Plan After Tax ({{current}})</t>
        </is>
      </c>
      <c r="D119" s="146" t="inlineStr">
        <is>
          <t>ផែនការចំណូលក្រោយពន្ធ ({{current}})</t>
        </is>
      </c>
      <c r="E119" s="3" t="n"/>
      <c r="G119" t="inlineStr">
        <is>
          <t>ផែនការចំណូលក្រោយពន្ធ ({{current}})</t>
        </is>
      </c>
      <c r="H119" t="inlineStr">
        <is>
          <t>ផែនការចំណូលក្រោយពន្ធ ({{current}})</t>
        </is>
      </c>
      <c r="J119" s="217" t="inlineStr">
        <is>
          <t>"dataManagement.revenuePlanAfterTax": "Revenue Plan After Tax ({{current}})",</t>
        </is>
      </c>
    </row>
    <row r="120" ht="15.75" customHeight="1" s="305">
      <c r="A120" s="146" t="inlineStr">
        <is>
          <t>dataManagement.amount</t>
        </is>
      </c>
      <c r="B120" s="146" t="inlineStr">
        <is>
          <t>Số tiền</t>
        </is>
      </c>
      <c r="C120" s="146" t="inlineStr">
        <is>
          <t>Amount</t>
        </is>
      </c>
      <c r="D120" s="146" t="inlineStr">
        <is>
          <t>ចំនួនទឹកប្រាក់</t>
        </is>
      </c>
      <c r="E120" s="3" t="n"/>
      <c r="G120" t="inlineStr">
        <is>
          <t>ចំនួនទឹកប្រាក់</t>
        </is>
      </c>
      <c r="H120" t="inlineStr">
        <is>
          <t>ចំនួនទឹកប្រាក់</t>
        </is>
      </c>
      <c r="J120" s="217" t="inlineStr">
        <is>
          <t>"dataManagement.amount": "Amount",</t>
        </is>
      </c>
    </row>
    <row r="121" ht="15.75" customHeight="1" s="305">
      <c r="A121" s="146" t="inlineStr">
        <is>
          <t>dataManagement.hrl</t>
        </is>
      </c>
      <c r="B121" s="146" t="inlineStr">
        <is>
          <t>HRL</t>
        </is>
      </c>
      <c r="C121" s="146" t="inlineStr">
        <is>
          <t>HRL</t>
        </is>
      </c>
      <c r="D121" s="146" t="inlineStr">
        <is>
          <t>HRL</t>
        </is>
      </c>
      <c r="E121" s="3" t="n"/>
      <c r="G121" t="inlineStr">
        <is>
          <t>HRL</t>
        </is>
      </c>
      <c r="H121" t="inlineStr">
        <is>
          <t>HRL</t>
        </is>
      </c>
      <c r="J121" s="217" t="inlineStr">
        <is>
          <t>"dataManagement.hrl": "HRL",</t>
        </is>
      </c>
    </row>
    <row r="122" ht="15.75" customHeight="1" s="305">
      <c r="A122" s="146" t="inlineStr">
        <is>
          <t>dataManagement.step</t>
        </is>
      </c>
      <c r="B122" s="146" t="inlineStr">
        <is>
          <t>Bước</t>
        </is>
      </c>
      <c r="C122" s="146" t="inlineStr">
        <is>
          <t>Step</t>
        </is>
      </c>
      <c r="D122" s="146" t="inlineStr">
        <is>
          <t>ជំហាន</t>
        </is>
      </c>
      <c r="E122" s="3" t="n"/>
      <c r="G122" t="inlineStr">
        <is>
          <t>ជំហាន</t>
        </is>
      </c>
      <c r="H122" t="inlineStr">
        <is>
          <t>ជំហាន</t>
        </is>
      </c>
      <c r="J122" s="217" t="inlineStr">
        <is>
          <t>"dataManagement.step": "Step",</t>
        </is>
      </c>
    </row>
    <row r="123" ht="15.75" customHeight="1" s="305">
      <c r="A123" s="146" t="inlineStr">
        <is>
          <t>dataManagement.kpiCompletionRate</t>
        </is>
      </c>
      <c r="B123" s="146" t="inlineStr">
        <is>
          <t>Tỷ lệ hoàn thành doanh thu</t>
        </is>
      </c>
      <c r="C123" s="146" t="inlineStr">
        <is>
          <t>Revenue Completion Rate</t>
        </is>
      </c>
      <c r="D123" s="146" t="inlineStr">
        <is>
          <t>អត្រាបំពេញចំណូល</t>
        </is>
      </c>
      <c r="E123" s="3" t="n"/>
      <c r="G123" t="inlineStr">
        <is>
          <t>អត្រាបំពេញចំណូល</t>
        </is>
      </c>
      <c r="H123" t="inlineStr">
        <is>
          <t>អត្រាបំពេញចំណូល</t>
        </is>
      </c>
      <c r="J123" s="217" t="inlineStr">
        <is>
          <t>"dataManagement.kpiCompletionRate": "Revenue Completion Rate",</t>
        </is>
      </c>
    </row>
    <row r="124" ht="15.75" customHeight="1" s="305">
      <c r="A124" s="146" t="inlineStr">
        <is>
          <t>dataManagement.leaveDays</t>
        </is>
      </c>
      <c r="B124" s="146" t="inlineStr">
        <is>
          <t>Số ngày nghỉ (Ngày)</t>
        </is>
      </c>
      <c r="C124" s="146" t="inlineStr">
        <is>
          <t>Leave Days (Days)</t>
        </is>
      </c>
      <c r="D124" s="146" t="inlineStr">
        <is>
          <t>ចំនួនថ្ងៃឈប់សំរាក (ថ្ងៃ)</t>
        </is>
      </c>
      <c r="E124" s="3" t="n"/>
      <c r="G124" t="inlineStr">
        <is>
          <t>ចំនួនថ្ងៃឈប់សំរាក (ថ្ងៃ)</t>
        </is>
      </c>
      <c r="H124" t="inlineStr">
        <is>
          <t>ចំនួនថ្ងៃឈប់សំរាក (ថ្ងៃ)</t>
        </is>
      </c>
      <c r="J124" s="217" t="inlineStr">
        <is>
          <t>"dataManagement.leaveDays": "Leave Days (Days)",</t>
        </is>
      </c>
    </row>
    <row r="125" ht="15.75" customHeight="1" s="305">
      <c r="A125" s="146" t="inlineStr">
        <is>
          <t>dataManagement.confirmClearData.prefix</t>
        </is>
      </c>
      <c r="B125" s="146" t="inlineStr">
        <is>
          <t>Bạn có chắc chắn muốn xoá toàn bộ dữ liệu</t>
        </is>
      </c>
      <c r="C125" s="146" t="inlineStr">
        <is>
          <t>Are you sure you want to delete all</t>
        </is>
      </c>
      <c r="D125" s="146" t="inlineStr">
        <is>
          <t>តើអ្នកប្រាកដជាចង់លុបទិន្នន័យ</t>
        </is>
      </c>
      <c r="E125" s="3" t="n"/>
      <c r="G125" t="inlineStr">
        <is>
          <t>តើអ្នកប្រាកដជាចង់លុបទិន្នន័យ</t>
        </is>
      </c>
      <c r="H125" t="inlineStr">
        <is>
          <t>តើអ្នកប្រាកដជាចង់លុបទិន្នន័យ</t>
        </is>
      </c>
      <c r="J125" s="217" t="inlineStr">
        <is>
          <t>"dataManagement.confirmClearData.prefix": "Are you sure you want to delete all",</t>
        </is>
      </c>
    </row>
    <row r="126" ht="15.75" customHeight="1" s="305">
      <c r="A126" s="146" t="inlineStr">
        <is>
          <t>dataManagement.confirmClearData.suffix</t>
        </is>
      </c>
      <c r="B126" s="146" t="inlineStr">
        <is>
          <t>khỏi kỳ</t>
        </is>
      </c>
      <c r="C126" s="146" t="inlineStr">
        <is>
          <t>data for period</t>
        </is>
      </c>
      <c r="D126" s="146" t="inlineStr">
        <is>
          <t>ទាំងអស់ចេញពីដំណាក់</t>
        </is>
      </c>
      <c r="E126" s="3" t="n"/>
      <c r="G126" t="inlineStr">
        <is>
          <t>ទាំងអស់ចេញពីដំណាក់</t>
        </is>
      </c>
      <c r="H126" t="inlineStr">
        <is>
          <t>ទាំងអស់ចេញពីដំណាក់</t>
        </is>
      </c>
      <c r="J126" s="217" t="inlineStr">
        <is>
          <t>"dataManagement.confirmClearData.suffix": "data for period",</t>
        </is>
      </c>
    </row>
    <row r="127" ht="15.75" customHeight="1" s="305">
      <c r="A127" s="146" t="inlineStr">
        <is>
          <t>dataManagement.clearDataValidation</t>
        </is>
      </c>
      <c r="B127" s="146" t="inlineStr">
        <is>
          <t>Vui lòng chọn tháng và loại dữ liệu trước khi xoá</t>
        </is>
      </c>
      <c r="C127" s="146" t="inlineStr">
        <is>
          <t>Please select month and data type before deleting</t>
        </is>
      </c>
      <c r="D127" s="146" t="inlineStr">
        <is>
          <t>សូមជ្រើសរើសខែ និងប្រភេទទិន្នន័យ មុននឹងលុប</t>
        </is>
      </c>
      <c r="E127" s="3" t="n"/>
      <c r="G127" t="inlineStr">
        <is>
          <t>សូមជ្រើសរើសខែ និងប្រភេទទិន្នន័យ មុននឹងលុប</t>
        </is>
      </c>
      <c r="H127" t="inlineStr">
        <is>
          <t>សូមជ្រើសរើសខែ និងប្រភេទទិន្នន័យ មុននឹងលុប</t>
        </is>
      </c>
      <c r="J127" s="217" t="inlineStr">
        <is>
          <t>"dataManagement.clearDataValidation": "Please select month and data type before deleting",</t>
        </is>
      </c>
    </row>
    <row r="128" ht="15.75" customHeight="1" s="305">
      <c r="A128" s="146" t="inlineStr">
        <is>
          <t>dataManagement.reportingPeriod</t>
        </is>
      </c>
      <c r="B128" s="146" t="inlineStr">
        <is>
          <t>Kỳ báo cáo</t>
        </is>
      </c>
      <c r="C128" s="146" t="inlineStr">
        <is>
          <t>Reporting period</t>
        </is>
      </c>
      <c r="D128" s="146" t="inlineStr">
        <is>
          <t>រយៈពេលរបាយការណ៍</t>
        </is>
      </c>
      <c r="E128" s="3" t="n"/>
      <c r="G128" t="inlineStr">
        <is>
          <t>រយៈពេលរបាយការណ៍</t>
        </is>
      </c>
      <c r="H128" t="inlineStr">
        <is>
          <t>រយៈពេលរបាយការណ៍</t>
        </is>
      </c>
      <c r="J128" s="217" t="inlineStr">
        <is>
          <t>"dataManagement.reportingPeriod": "Reporting period",</t>
        </is>
      </c>
    </row>
    <row r="129" ht="15.75" customHeight="1" s="305">
      <c r="A129" s="146" t="inlineStr">
        <is>
          <t>sort.sortByPostCode</t>
        </is>
      </c>
      <c r="B129" s="146" t="inlineStr">
        <is>
          <t>Theo mã bưu cục (A→Z)</t>
        </is>
      </c>
      <c r="C129" s="146" t="inlineStr">
        <is>
          <t>By post code (A→Z)</t>
        </is>
      </c>
      <c r="D129" s="146" t="inlineStr">
        <is>
          <t>តាមលេខកូដប្រៃសណីយ៍ (A→Z)</t>
        </is>
      </c>
      <c r="E129" s="3" t="n"/>
      <c r="G129" t="inlineStr">
        <is>
          <t>តាមលេខកូដប្រៃសណីយ៍ (A→Z)</t>
        </is>
      </c>
      <c r="H129" t="inlineStr">
        <is>
          <t>តាមលេខកូដប្រៃសណីយ៍ (A→Z)</t>
        </is>
      </c>
      <c r="J129" s="217" t="inlineStr">
        <is>
          <t>"sort.sortByPostCode": "By post code (A→Z)",</t>
        </is>
      </c>
    </row>
    <row r="130" ht="15.75" customHeight="1" s="305">
      <c r="A130" s="146" t="inlineStr">
        <is>
          <t>sort.sortByEmployeeName</t>
        </is>
      </c>
      <c r="B130" s="146" t="inlineStr">
        <is>
          <t>Theo tên nhân viên (A→Z)</t>
        </is>
      </c>
      <c r="C130" s="146" t="inlineStr">
        <is>
          <t>By employee name (A→Z)</t>
        </is>
      </c>
      <c r="D130" s="146" t="inlineStr">
        <is>
          <t>តាមឈ្មោះបុគ្គលិក (A→Z)</t>
        </is>
      </c>
      <c r="E130" s="3" t="n"/>
      <c r="G130" s="3" t="inlineStr">
        <is>
          <t>តាមឈ្មោះបុគ្គលិក (A→Z)</t>
        </is>
      </c>
      <c r="H130" t="inlineStr">
        <is>
          <t>តាមឈ្មោះបុគ្គលិក (A→Z)</t>
        </is>
      </c>
      <c r="J130" s="217" t="inlineStr">
        <is>
          <t>"sort.sortByEmployeeName": "By employee name (A→Z)",</t>
        </is>
      </c>
    </row>
    <row r="131" ht="15.75" customHeight="1" s="305">
      <c r="A131" s="146" t="inlineStr">
        <is>
          <t>sort.sortBySalaryDate</t>
        </is>
      </c>
      <c r="B131" s="146" t="inlineStr">
        <is>
          <t>Theo ngày khoán (mới → cũ)</t>
        </is>
      </c>
      <c r="C131" s="146" t="inlineStr">
        <is>
          <t>By salary date (new → old)</t>
        </is>
      </c>
      <c r="D131" s="146" t="inlineStr">
        <is>
          <t>តាមថ្ងៃបែងចែក (ថ្មី → ចាស់)</t>
        </is>
      </c>
      <c r="E131" s="3" t="n"/>
      <c r="G131" s="3" t="inlineStr">
        <is>
          <t>តាមថ្ងៃបែងចែក (ថ្មី → ចាស់)</t>
        </is>
      </c>
      <c r="H131" t="inlineStr">
        <is>
          <t>តាមថ្ងៃបែងចែក (ថ្មី → ចាស់)</t>
        </is>
      </c>
      <c r="J131" s="217" t="inlineStr">
        <is>
          <t>"sort.sortBySalaryDate": "By salary date (new → old)",</t>
        </is>
      </c>
    </row>
    <row r="132" ht="15.75" customHeight="1" s="305">
      <c r="A132" s="146" t="inlineStr">
        <is>
          <t>sort.sortByFileName</t>
        </is>
      </c>
      <c r="B132" s="146" t="inlineStr">
        <is>
          <t>Theo tên file (A→Z)</t>
        </is>
      </c>
      <c r="C132" s="146" t="inlineStr">
        <is>
          <t>By file name (A→Z)</t>
        </is>
      </c>
      <c r="D132" s="146" t="inlineStr">
        <is>
          <t>តាមឈ្មោះឯកសារ (A→Z)</t>
        </is>
      </c>
      <c r="E132" s="3" t="n"/>
      <c r="G132" s="3" t="inlineStr">
        <is>
          <t>តាមឈ្មោះឯកសារ (A→Z)</t>
        </is>
      </c>
      <c r="H132" t="inlineStr">
        <is>
          <t>តាមឈ្មោះឯកសារ (A→Z)</t>
        </is>
      </c>
      <c r="J132" s="217" t="inlineStr">
        <is>
          <t>"sort.sortByFileName": "By file name (A→Z)",</t>
        </is>
      </c>
    </row>
    <row r="133" ht="15.75" customHeight="1" s="305">
      <c r="A133" s="146" t="inlineStr">
        <is>
          <t>sort.sortByUpdateTime</t>
        </is>
      </c>
      <c r="B133" s="146" t="inlineStr">
        <is>
          <t>Theo thời gian cập nhật (mới → cũ)</t>
        </is>
      </c>
      <c r="C133" s="146" t="inlineStr">
        <is>
          <t>By update time (new → old)</t>
        </is>
      </c>
      <c r="D133" s="146" t="inlineStr">
        <is>
          <t>តាមពេលធ្វើបច្ចុប្បន្នភាព (ថ្មី → ចាស់)</t>
        </is>
      </c>
      <c r="E133" s="3" t="n"/>
      <c r="G133" s="3" t="inlineStr">
        <is>
          <t>តាមពេលធ្វើបច្ចុប្បន្នភាព (ថ្មី → ចាស់)</t>
        </is>
      </c>
      <c r="H133" t="inlineStr">
        <is>
          <t>តាមពេលធ្វើបច្ចុប្បន្នភាព (ថ្មី → ចាស់)</t>
        </is>
      </c>
      <c r="J133" s="217" t="inlineStr">
        <is>
          <t>"sort.sortByUpdateTime": "By update time (new → old)",</t>
        </is>
      </c>
    </row>
    <row r="134" ht="15.75" customHeight="1" s="305">
      <c r="A134" s="146" t="inlineStr">
        <is>
          <t>sort.sortDefault</t>
        </is>
      </c>
      <c r="B134" s="146" t="inlineStr">
        <is>
          <t>Sắp theo mặc định</t>
        </is>
      </c>
      <c r="C134" s="146" t="inlineStr">
        <is>
          <t>Default sorting</t>
        </is>
      </c>
      <c r="D134" s="146" t="inlineStr">
        <is>
          <t>តម្រៀបលំនាំដើម</t>
        </is>
      </c>
      <c r="E134" s="3" t="n"/>
      <c r="G134" s="3" t="inlineStr">
        <is>
          <t>តម្រៀបលំនាំដើម</t>
        </is>
      </c>
      <c r="H134" t="inlineStr">
        <is>
          <t>តម្រៀបលំនាំដើម</t>
        </is>
      </c>
      <c r="J134" s="217" t="inlineStr">
        <is>
          <t>"sort.sortDefault": "Default sorting",</t>
        </is>
      </c>
    </row>
    <row r="135" ht="15.75" customHeight="1" s="305">
      <c r="A135" s="255" t="inlineStr">
        <is>
          <t>language.vi</t>
        </is>
      </c>
      <c r="B135" s="146" t="inlineStr">
        <is>
          <t>Tiếng Việt</t>
        </is>
      </c>
      <c r="C135" s="146" t="inlineStr">
        <is>
          <t>Tiếng Việt</t>
        </is>
      </c>
      <c r="D135" s="146" t="inlineStr">
        <is>
          <t>Tiếng Việt</t>
        </is>
      </c>
      <c r="E135" s="3" t="n"/>
      <c r="G135" s="3" t="inlineStr">
        <is>
          <t>ភាសាវៀតណាម</t>
        </is>
      </c>
      <c r="H135" t="inlineStr">
        <is>
          <t>ភាសាវៀតណាម</t>
        </is>
      </c>
      <c r="J135" s="217" t="inlineStr">
        <is>
          <t>"language.vi": "Tiếng Việt",</t>
        </is>
      </c>
    </row>
    <row r="136" ht="15.75" customHeight="1" s="305">
      <c r="A136" s="146" t="inlineStr">
        <is>
          <t>language.en</t>
        </is>
      </c>
      <c r="B136" s="146" t="inlineStr">
        <is>
          <t>English</t>
        </is>
      </c>
      <c r="C136" s="146" t="inlineStr">
        <is>
          <t>English</t>
        </is>
      </c>
      <c r="D136" s="146" t="inlineStr">
        <is>
          <t>English</t>
        </is>
      </c>
      <c r="E136" s="3" t="n"/>
      <c r="G136" s="3" t="inlineStr">
        <is>
          <t>ភាសាអង់គ្លេស</t>
        </is>
      </c>
      <c r="H136" t="inlineStr">
        <is>
          <t>ភាសាអង់គ្លេស</t>
        </is>
      </c>
      <c r="J136" s="217" t="inlineStr">
        <is>
          <t>"language.en": "English",</t>
        </is>
      </c>
    </row>
    <row r="137" ht="15.75" customHeight="1" s="305">
      <c r="A137" s="255" t="inlineStr">
        <is>
          <t>language.km</t>
        </is>
      </c>
      <c r="B137" s="146" t="inlineStr">
        <is>
          <t>ភាសាខ្មែរ</t>
        </is>
      </c>
      <c r="C137" s="146" t="inlineStr">
        <is>
          <t>ភាសាខ្មែរ</t>
        </is>
      </c>
      <c r="D137" s="146" t="inlineStr">
        <is>
          <t>ភាសាខ្មែរ</t>
        </is>
      </c>
      <c r="E137" s="3" t="n"/>
      <c r="G137" s="3" t="inlineStr">
        <is>
          <t>ភាសាខ្មែរ</t>
        </is>
      </c>
      <c r="H137" t="inlineStr">
        <is>
          <t>ភាសាខ្មែរ</t>
        </is>
      </c>
      <c r="J137" s="217" t="inlineStr">
        <is>
          <t>"language.km": "ភាសាខ្មែរ",</t>
        </is>
      </c>
    </row>
    <row r="138" ht="15.75" customHeight="1" s="305">
      <c r="A138" s="146" t="inlineStr">
        <is>
          <t>login.title</t>
        </is>
      </c>
      <c r="B138" s="146" t="inlineStr">
        <is>
          <t>Đăng nhập</t>
        </is>
      </c>
      <c r="C138" s="146" t="inlineStr">
        <is>
          <t>Login</t>
        </is>
      </c>
      <c r="D138" s="146" t="inlineStr">
        <is>
          <t>ចូលប្រើ</t>
        </is>
      </c>
      <c r="E138" s="3" t="n"/>
      <c r="G138" s="3" t="inlineStr">
        <is>
          <t>ចូលប្រើ</t>
        </is>
      </c>
      <c r="H138" t="inlineStr">
        <is>
          <t>ចូលប្រើ</t>
        </is>
      </c>
      <c r="J138" s="217" t="inlineStr">
        <is>
          <t>"login.title": "Login",</t>
        </is>
      </c>
    </row>
    <row r="139" ht="15.75" customHeight="1" s="305">
      <c r="A139" s="146" t="inlineStr">
        <is>
          <t>login.emailPlaceholder</t>
        </is>
      </c>
      <c r="B139" s="146" t="inlineStr">
        <is>
          <t>Nhập email...</t>
        </is>
      </c>
      <c r="C139" s="146" t="inlineStr">
        <is>
          <t>Enter email...</t>
        </is>
      </c>
      <c r="D139" s="146" t="inlineStr">
        <is>
          <t>បញ្ចូលអ៊ីមែល...</t>
        </is>
      </c>
      <c r="E139" s="3" t="n"/>
      <c r="G139" t="inlineStr">
        <is>
          <t>បញ្ចូលអ៊ីមែល...</t>
        </is>
      </c>
      <c r="H139" t="inlineStr">
        <is>
          <t>បញ្ចូលអ៊ីមែល...</t>
        </is>
      </c>
      <c r="J139" s="217" t="inlineStr">
        <is>
          <t>"login.emailPlaceholder": "Enter email...",</t>
        </is>
      </c>
    </row>
    <row r="140" ht="15.75" customHeight="1" s="305">
      <c r="A140" s="146" t="inlineStr">
        <is>
          <t>login.passwordPlaceholder</t>
        </is>
      </c>
      <c r="B140" s="146" t="inlineStr">
        <is>
          <t>Nhập mật khẩu...</t>
        </is>
      </c>
      <c r="C140" s="146" t="inlineStr">
        <is>
          <t>Enter password...</t>
        </is>
      </c>
      <c r="D140" s="146" t="inlineStr">
        <is>
          <t>បញ្ចូលពាក្យសម្ងាត់...</t>
        </is>
      </c>
      <c r="E140" s="3" t="n"/>
      <c r="G140" t="inlineStr">
        <is>
          <t>បញ្ចូលពាក្យសម្ងាត់...</t>
        </is>
      </c>
      <c r="H140" t="inlineStr">
        <is>
          <t>បញ្ចូលពាក្យសម្ងាត់...</t>
        </is>
      </c>
      <c r="J140" s="217" t="inlineStr">
        <is>
          <t>"login.passwordPlaceholder": "Enter password...",</t>
        </is>
      </c>
    </row>
    <row r="141" ht="15.75" customHeight="1" s="305">
      <c r="A141" s="146" t="inlineStr">
        <is>
          <t>login.loggingIn</t>
        </is>
      </c>
      <c r="B141" s="146" t="inlineStr">
        <is>
          <t>Đang đăng nhập...</t>
        </is>
      </c>
      <c r="C141" s="146" t="inlineStr">
        <is>
          <t>Logging in...</t>
        </is>
      </c>
      <c r="D141" s="146" t="inlineStr">
        <is>
          <t>កំពុងចូល...</t>
        </is>
      </c>
      <c r="E141" s="3" t="n"/>
      <c r="G141" t="inlineStr">
        <is>
          <t>កំពុងចូល...</t>
        </is>
      </c>
      <c r="H141" t="inlineStr">
        <is>
          <t>កំពុងចូល...</t>
        </is>
      </c>
      <c r="J141" s="217" t="inlineStr">
        <is>
          <t>"login.loggingIn": "Logging in...",</t>
        </is>
      </c>
    </row>
    <row r="142" ht="15.75" customHeight="1" s="305">
      <c r="A142" s="146" t="inlineStr">
        <is>
          <t>login.loginButton</t>
        </is>
      </c>
      <c r="B142" s="146" t="inlineStr">
        <is>
          <t>Đăng nhập</t>
        </is>
      </c>
      <c r="C142" s="146" t="inlineStr">
        <is>
          <t>Login</t>
        </is>
      </c>
      <c r="D142" s="146" t="inlineStr">
        <is>
          <t>ចូល</t>
        </is>
      </c>
      <c r="E142" s="3" t="n"/>
      <c r="G142" t="inlineStr">
        <is>
          <t>ចូល</t>
        </is>
      </c>
      <c r="H142" t="inlineStr">
        <is>
          <t>ចូល</t>
        </is>
      </c>
      <c r="J142" s="217" t="inlineStr">
        <is>
          <t>"login.loginButton": "Login",</t>
        </is>
      </c>
    </row>
    <row r="143" ht="15.75" customHeight="1" s="305">
      <c r="A143" s="146" t="inlineStr">
        <is>
          <t>login.forgotPassword</t>
        </is>
      </c>
      <c r="B143" s="146" t="inlineStr">
        <is>
          <t>Quên mật khẩu</t>
        </is>
      </c>
      <c r="C143" s="146" t="inlineStr">
        <is>
          <t>Forgot password</t>
        </is>
      </c>
      <c r="D143" s="146" t="inlineStr">
        <is>
          <t>ភ្លេចពាក្យសម្ងាត់</t>
        </is>
      </c>
      <c r="E143" s="3" t="n"/>
      <c r="G143" t="inlineStr">
        <is>
          <t>ភ្លេចពាក្យសម្ងាត់</t>
        </is>
      </c>
      <c r="H143" t="inlineStr">
        <is>
          <t>ភ្លេចពាក្យសម្ងាត់</t>
        </is>
      </c>
      <c r="J143" s="217" t="inlineStr">
        <is>
          <t>"login.forgotPassword": "Forgot password",</t>
        </is>
      </c>
    </row>
    <row r="144" ht="15.75" customHeight="1" s="305">
      <c r="A144" s="146" t="inlineStr">
        <is>
          <t>login.loginSuccess</t>
        </is>
      </c>
      <c r="B144" s="146" t="inlineStr">
        <is>
          <t>Đăng nhập thành công!</t>
        </is>
      </c>
      <c r="C144" s="146" t="inlineStr">
        <is>
          <t>Login successful!</t>
        </is>
      </c>
      <c r="D144" s="146" t="inlineStr">
        <is>
          <t>ចូលប្រើបានជោគជ័យ!</t>
        </is>
      </c>
      <c r="E144" s="3" t="n"/>
      <c r="G144" t="inlineStr">
        <is>
          <t>ចូលប្រើបានជោគជ័យ!</t>
        </is>
      </c>
      <c r="H144" t="inlineStr">
        <is>
          <t>ចូលប្រើបានជោគជ័យ!</t>
        </is>
      </c>
      <c r="J144" s="217" t="inlineStr">
        <is>
          <t>"login.loginSuccess": "Login successful!",</t>
        </is>
      </c>
    </row>
    <row r="145" ht="15.75" customHeight="1" s="305">
      <c r="A145" s="146" t="inlineStr">
        <is>
          <t>login.loginError</t>
        </is>
      </c>
      <c r="B145" s="146" t="inlineStr">
        <is>
          <t>Đăng nhập thất bại. Vui lòng kiểm tra lại thông tin.</t>
        </is>
      </c>
      <c r="C145" s="146" t="inlineStr">
        <is>
          <t>Login failed. Please check your credentials.</t>
        </is>
      </c>
      <c r="D145" s="146" t="inlineStr">
        <is>
          <t>ចូលប្រើបរាជ័យ។ សូមពិនិត្យមើលព័ត៌មានរបស់អ្នកម្តងទៀត។</t>
        </is>
      </c>
      <c r="E145" s="3" t="n"/>
      <c r="G145" t="inlineStr">
        <is>
          <t>ចូលប្រើបរាជ័យ។ សូមពិនិត្យមើលព័ត៌មានរបស់អ្នកម្តងទៀត។</t>
        </is>
      </c>
      <c r="H145" t="inlineStr">
        <is>
          <t>ចូលប្រើបរាជ័យ។ សូមពិនិត្យមើលព័ត៌មានរបស់អ្នកម្តងទៀត។</t>
        </is>
      </c>
      <c r="J145" s="217" t="inlineStr">
        <is>
          <t>"login.loginError": "Login failed. Please check your credentials.",</t>
        </is>
      </c>
    </row>
    <row r="146" ht="15.75" customHeight="1" s="305">
      <c r="A146" s="146" t="inlineStr">
        <is>
          <t>login.enterUsername</t>
        </is>
      </c>
      <c r="B146" s="146" t="inlineStr">
        <is>
          <t>Nhập tên đăng nhập...</t>
        </is>
      </c>
      <c r="C146" s="146" t="inlineStr">
        <is>
          <t>Enter username...</t>
        </is>
      </c>
      <c r="D146" s="146" t="inlineStr">
        <is>
          <t>បញ្ចូលឈ្មោះអ្នកប្រើប្រាស់...</t>
        </is>
      </c>
      <c r="E146" s="3" t="n"/>
      <c r="G146" t="inlineStr">
        <is>
          <t>បញ្ចូលឈ្មោះអ្នកប្រើប្រាស់...</t>
        </is>
      </c>
      <c r="H146" t="inlineStr">
        <is>
          <t>បញ្ចូលឈ្មោះអ្នកប្រើប្រាស់...</t>
        </is>
      </c>
      <c r="J146" s="217" t="inlineStr">
        <is>
          <t>"login.enterUsername": "Enter username...",</t>
        </is>
      </c>
    </row>
    <row r="147" ht="15.75" customHeight="1" s="305">
      <c r="A147" s="146" t="inlineStr">
        <is>
          <t>summaryRemuneration.actions</t>
        </is>
      </c>
      <c r="B147" s="146" t="inlineStr">
        <is>
          <t>Thao tác</t>
        </is>
      </c>
      <c r="C147" s="146" t="inlineStr">
        <is>
          <t>Actions</t>
        </is>
      </c>
      <c r="D147" s="146" t="inlineStr">
        <is>
          <t>សកម្មភាព</t>
        </is>
      </c>
      <c r="E147" s="3" t="n"/>
      <c r="G147" t="inlineStr">
        <is>
          <t>ប្រតិបត្តិការ</t>
        </is>
      </c>
      <c r="H147" t="inlineStr">
        <is>
          <t>ប្រតិបត្តិការ</t>
        </is>
      </c>
      <c r="J147" s="217" t="inlineStr">
        <is>
          <t>"summaryRemuneration.actions": "Actions",</t>
        </is>
      </c>
    </row>
    <row r="148" ht="15.75" customHeight="1" s="305">
      <c r="A148" s="146" t="inlineStr">
        <is>
          <t>summaryRemuneration.branch</t>
        </is>
      </c>
      <c r="B148" s="146" t="inlineStr">
        <is>
          <t>Chi nhánh</t>
        </is>
      </c>
      <c r="C148" s="146" t="inlineStr">
        <is>
          <t>Branch</t>
        </is>
      </c>
      <c r="D148" s="146" t="inlineStr">
        <is>
          <t>សាខា</t>
        </is>
      </c>
      <c r="E148" s="3" t="n"/>
      <c r="G148" t="inlineStr">
        <is>
          <t>សាខា</t>
        </is>
      </c>
      <c r="H148" t="inlineStr">
        <is>
          <t>សាខា</t>
        </is>
      </c>
      <c r="J148" s="217" t="inlineStr">
        <is>
          <t>"summaryRemuneration.branch": "Branch",</t>
        </is>
      </c>
    </row>
    <row r="149" ht="15.75" customHeight="1" s="305">
      <c r="A149" s="146" t="inlineStr">
        <is>
          <t>summaryRemuneration.postOffice</t>
        </is>
      </c>
      <c r="B149" s="146" t="inlineStr">
        <is>
          <t>Bưu cục</t>
        </is>
      </c>
      <c r="C149" s="146" t="inlineStr">
        <is>
          <t>Post Office</t>
        </is>
      </c>
      <c r="D149" s="146" t="inlineStr">
        <is>
          <t>ការិយាល័យប្រៃសណីយ៍</t>
        </is>
      </c>
      <c r="E149" s="3" t="n"/>
      <c r="G149" t="inlineStr">
        <is>
          <t>ការិយាល័យប្រៃសណីយ៍</t>
        </is>
      </c>
      <c r="H149" t="inlineStr">
        <is>
          <t>ការិយាល័យប្រៃសណីយ៍</t>
        </is>
      </c>
      <c r="J149" s="217" t="inlineStr">
        <is>
          <t>"summaryRemuneration.postOffice": "Post Office",</t>
        </is>
      </c>
    </row>
    <row r="150" ht="15.75" customHeight="1" s="305">
      <c r="A150" s="146" t="inlineStr">
        <is>
          <t>summaryRemuneration.fullName</t>
        </is>
      </c>
      <c r="B150" s="146" t="inlineStr">
        <is>
          <t>Họ tên</t>
        </is>
      </c>
      <c r="C150" s="146" t="inlineStr">
        <is>
          <t>Full Name</t>
        </is>
      </c>
      <c r="D150" s="146" t="inlineStr">
        <is>
          <t>ឈ្មោះពេញ</t>
        </is>
      </c>
      <c r="E150" s="3" t="n"/>
      <c r="G150" t="inlineStr">
        <is>
          <t>ឈ្មោះពេញ</t>
        </is>
      </c>
      <c r="H150" t="inlineStr">
        <is>
          <t>ឈ្មោះពេញ</t>
        </is>
      </c>
      <c r="J150" s="217" t="inlineStr">
        <is>
          <t>"summaryRemuneration.fullName": "Full Name",</t>
        </is>
      </c>
    </row>
    <row r="151" ht="15.75" customHeight="1" s="305">
      <c r="A151" s="146" t="inlineStr">
        <is>
          <t>summaryRemuneration.employeeCode</t>
        </is>
      </c>
      <c r="B151" s="146" t="inlineStr">
        <is>
          <t>Mã nhân viên</t>
        </is>
      </c>
      <c r="C151" s="146" t="inlineStr">
        <is>
          <t>Employee Code</t>
        </is>
      </c>
      <c r="D151" s="146" t="inlineStr">
        <is>
          <t>លេខកូដបុគ្គលិក</t>
        </is>
      </c>
      <c r="E151" s="3" t="n"/>
      <c r="G151" t="inlineStr">
        <is>
          <t>លេខកូដបុគ្គលិក</t>
        </is>
      </c>
      <c r="H151" t="inlineStr">
        <is>
          <t>លេខកូដបុគ្គលិក</t>
        </is>
      </c>
      <c r="J151" s="217" t="inlineStr">
        <is>
          <t>"summaryRemuneration.employeeCode": "Employee Code",</t>
        </is>
      </c>
    </row>
    <row r="152" ht="15.75" customHeight="1" s="305">
      <c r="A152" s="146" t="inlineStr">
        <is>
          <t>summaryRemuneration.customerDev</t>
        </is>
      </c>
      <c r="B152" s="146" t="inlineStr">
        <is>
          <t>Phát triển KH</t>
        </is>
      </c>
      <c r="C152" s="146" t="inlineStr">
        <is>
          <t>Customer Development</t>
        </is>
      </c>
      <c r="D152" s="146" t="inlineStr">
        <is>
          <t>អភិវឌ្ឍអតិថិជន</t>
        </is>
      </c>
      <c r="E152" s="3" t="n"/>
      <c r="G152" t="inlineStr">
        <is>
          <t>អភិវឌ្ឍអតិថិជន</t>
        </is>
      </c>
      <c r="H152" t="inlineStr">
        <is>
          <t>អភិវឌ្ឍអតិថិជន</t>
        </is>
      </c>
      <c r="J152" s="217" t="inlineStr">
        <is>
          <t>"summaryRemuneration.customerDev": "Customer Development",</t>
        </is>
      </c>
    </row>
    <row r="153" ht="15.75" customHeight="1" s="305">
      <c r="A153" s="146" t="inlineStr">
        <is>
          <t>summaryRemuneration.receive</t>
        </is>
      </c>
      <c r="B153" s="146" t="inlineStr">
        <is>
          <t>Nhận hàng</t>
        </is>
      </c>
      <c r="C153" s="146" t="inlineStr">
        <is>
          <t>Receiving</t>
        </is>
      </c>
      <c r="D153" s="146" t="inlineStr">
        <is>
          <t>ទទួល</t>
        </is>
      </c>
      <c r="E153" s="3" t="n"/>
      <c r="G153" t="inlineStr">
        <is>
          <t>ទទួល</t>
        </is>
      </c>
      <c r="H153" t="inlineStr">
        <is>
          <t>ទទួល</t>
        </is>
      </c>
      <c r="J153" s="217" t="inlineStr">
        <is>
          <t>"summaryRemuneration.receive": "Receiving",</t>
        </is>
      </c>
    </row>
    <row r="154" ht="15.75" customHeight="1" s="305">
      <c r="A154" s="146" t="inlineStr">
        <is>
          <t>summaryRemuneration.delivery</t>
        </is>
      </c>
      <c r="B154" s="146" t="inlineStr">
        <is>
          <t>Giao hàng</t>
        </is>
      </c>
      <c r="C154" s="146" t="inlineStr">
        <is>
          <t>Delivery</t>
        </is>
      </c>
      <c r="D154" s="146" t="inlineStr">
        <is>
          <t>ដឹកជញ្ជូន</t>
        </is>
      </c>
      <c r="E154" s="3" t="n"/>
      <c r="G154" t="inlineStr">
        <is>
          <t>ដឹកជញ្ជូន</t>
        </is>
      </c>
      <c r="H154" t="inlineStr">
        <is>
          <t>ដឹកជញ្ជូន</t>
        </is>
      </c>
      <c r="J154" s="217" t="inlineStr">
        <is>
          <t>"summaryRemuneration.delivery": "Delivery",</t>
        </is>
      </c>
    </row>
    <row r="155" ht="15.75" customHeight="1" s="305">
      <c r="A155" s="146" t="inlineStr">
        <is>
          <t>summaryRemuneration.exploit</t>
        </is>
      </c>
      <c r="B155" s="146" t="inlineStr">
        <is>
          <t>Khai thác</t>
        </is>
      </c>
      <c r="C155" s="146" t="inlineStr">
        <is>
          <t>Operations</t>
        </is>
      </c>
      <c r="D155" s="146" t="inlineStr">
        <is>
          <t>ប្រើប្រាស់</t>
        </is>
      </c>
      <c r="E155" s="3" t="n"/>
      <c r="G155" t="inlineStr">
        <is>
          <t>ប្រតិបត្តិការចាត់ចែងបញ្ញើ</t>
        </is>
      </c>
      <c r="H155" t="inlineStr">
        <is>
          <t>ប្រតិបត្តិការចាត់ចែងបញ្ញើ</t>
        </is>
      </c>
      <c r="J155" s="217" t="inlineStr">
        <is>
          <t>"summaryRemuneration.exploit": "Operations",</t>
        </is>
      </c>
    </row>
    <row r="156" ht="15.75" customHeight="1" s="305">
      <c r="A156" s="146" t="inlineStr">
        <is>
          <t>summaryRemuneration.agencyService</t>
        </is>
      </c>
      <c r="B156" s="146" t="inlineStr">
        <is>
          <t>Phục vụ đại lý</t>
        </is>
      </c>
      <c r="C156" s="146" t="inlineStr">
        <is>
          <t>Agency Service</t>
        </is>
      </c>
      <c r="D156" s="146" t="inlineStr">
        <is>
          <t>បម្រើអាជ្ញាកណ្តាល</t>
        </is>
      </c>
      <c r="E156" s="3" t="n"/>
      <c r="G156" t="inlineStr">
        <is>
          <t>បម្រើអាជ្ញាកណ្តាល</t>
        </is>
      </c>
      <c r="H156" t="inlineStr">
        <is>
          <t>បម្រើអាជ្ញាកណ្តាល</t>
        </is>
      </c>
      <c r="J156" s="217" t="inlineStr">
        <is>
          <t>"summaryRemuneration.agencyService": "Agency Service",</t>
        </is>
      </c>
    </row>
    <row r="157" ht="15.75" customHeight="1" s="305">
      <c r="A157" s="146" t="inlineStr">
        <is>
          <t>summaryRemuneration.fixedSalary</t>
        </is>
      </c>
      <c r="B157" s="146" t="inlineStr">
        <is>
          <t>Lương cứng</t>
        </is>
      </c>
      <c r="C157" s="146" t="inlineStr">
        <is>
          <t>Fixed Salary</t>
        </is>
      </c>
      <c r="D157" s="146" t="inlineStr">
        <is>
          <t>ប្រាក់ខែថេរ</t>
        </is>
      </c>
      <c r="E157" s="3" t="n"/>
      <c r="G157" t="inlineStr">
        <is>
          <t>ប្រាក់ខែថេរ</t>
        </is>
      </c>
      <c r="H157" t="inlineStr">
        <is>
          <t>ប្រាក់ខែថេរ</t>
        </is>
      </c>
      <c r="J157" s="217" t="inlineStr">
        <is>
          <t>"summaryRemuneration.fixedSalary": "Fixed Salary",</t>
        </is>
      </c>
    </row>
    <row r="158" ht="15.75" customHeight="1" s="305">
      <c r="A158" s="146" t="inlineStr">
        <is>
          <t>summaryRemuneration.agencyManage</t>
        </is>
      </c>
      <c r="B158" s="146" t="inlineStr">
        <is>
          <t>Quản lý đại lý</t>
        </is>
      </c>
      <c r="C158" s="146" t="inlineStr">
        <is>
          <t>Agency Management</t>
        </is>
      </c>
      <c r="D158" s="146" t="inlineStr">
        <is>
          <t>គ្រប់គ្រងអាជ្ញាកណ្តាល</t>
        </is>
      </c>
      <c r="E158" s="3" t="n"/>
      <c r="G158" t="inlineStr">
        <is>
          <t>គ្រប់គ្រងអាជ្ញាកណ្តាល</t>
        </is>
      </c>
      <c r="H158" t="inlineStr">
        <is>
          <t>គ្រប់គ្រងអាជ្ញាកណ្តាល</t>
        </is>
      </c>
      <c r="J158" s="217" t="inlineStr">
        <is>
          <t>"summaryRemuneration.agencyManage": "Agency Management",</t>
        </is>
      </c>
    </row>
    <row r="159" ht="15.75" customHeight="1" s="305">
      <c r="A159" s="146" t="inlineStr">
        <is>
          <t>summaryRemuneration.rewardPenalty</t>
        </is>
      </c>
      <c r="B159" s="146" t="inlineStr">
        <is>
          <t>Thưởng / phạt</t>
        </is>
      </c>
      <c r="C159" s="146" t="inlineStr">
        <is>
          <t>Reward / Penalty</t>
        </is>
      </c>
      <c r="D159" s="146" t="inlineStr">
        <is>
          <t>រង្វាន់ / ពិន័យ</t>
        </is>
      </c>
      <c r="E159" s="3" t="n"/>
      <c r="G159" t="inlineStr">
        <is>
          <t>រង្វាន់ / ពិន័យ</t>
        </is>
      </c>
      <c r="H159" t="inlineStr">
        <is>
          <t>រង្វាន់ / ពិន័យ</t>
        </is>
      </c>
      <c r="J159" s="217" t="inlineStr">
        <is>
          <t>"summaryRemuneration.rewardPenalty": "Reward / Penalty",</t>
        </is>
      </c>
    </row>
    <row r="160" ht="15.75" customHeight="1" s="305">
      <c r="A160" s="146" t="inlineStr">
        <is>
          <t>summaryRemuneration.total</t>
        </is>
      </c>
      <c r="B160" s="146" t="inlineStr">
        <is>
          <t>Tổng</t>
        </is>
      </c>
      <c r="C160" s="146" t="inlineStr">
        <is>
          <t>Total</t>
        </is>
      </c>
      <c r="D160" s="146" t="inlineStr">
        <is>
          <t>សរុប</t>
        </is>
      </c>
      <c r="E160" s="3" t="n"/>
      <c r="G160" t="inlineStr">
        <is>
          <t>សរុប</t>
        </is>
      </c>
      <c r="H160" t="inlineStr">
        <is>
          <t>សរុប</t>
        </is>
      </c>
      <c r="J160" s="217" t="inlineStr">
        <is>
          <t>"summaryRemuneration.total": "Total",</t>
        </is>
      </c>
    </row>
    <row r="161" ht="15.75" customHeight="1" s="305">
      <c r="A161" s="146" t="inlineStr">
        <is>
          <t>summaryRemuneration.search</t>
        </is>
      </c>
      <c r="B161" s="146" t="inlineStr">
        <is>
          <t>Tìm kiếm</t>
        </is>
      </c>
      <c r="C161" s="146" t="inlineStr">
        <is>
          <t>Search</t>
        </is>
      </c>
      <c r="D161" s="146" t="inlineStr">
        <is>
          <t>ស្វែងរក</t>
        </is>
      </c>
      <c r="E161" s="3" t="n"/>
      <c r="G161" t="inlineStr">
        <is>
          <t>ស្វែងរក</t>
        </is>
      </c>
      <c r="H161" t="inlineStr">
        <is>
          <t>ស្វែងរក</t>
        </is>
      </c>
      <c r="J161" s="217" t="inlineStr">
        <is>
          <t>"summaryRemuneration.search": "Search",</t>
        </is>
      </c>
    </row>
    <row r="162" ht="15.75" customHeight="1" s="305">
      <c r="A162" s="146" t="inlineStr">
        <is>
          <t>summaryRemuneration.servingDealer</t>
        </is>
      </c>
      <c r="B162" s="146" t="inlineStr">
        <is>
          <t>Phục vụ đại lý</t>
        </is>
      </c>
      <c r="C162" s="146" t="inlineStr">
        <is>
          <t>Serving Dealer Compensation</t>
        </is>
      </c>
      <c r="D162" s="146" t="inlineStr">
        <is>
          <t>បម្រើអាជ្ញាកណ្តាល</t>
        </is>
      </c>
      <c r="E162" s="3" t="n"/>
      <c r="G162" t="inlineStr">
        <is>
          <t>បម្រើអាជ្ញាកណ្តាល</t>
        </is>
      </c>
      <c r="H162" t="inlineStr">
        <is>
          <t>បម្រើអាជ្ញាកណ្តាល</t>
        </is>
      </c>
      <c r="J162" s="217" t="inlineStr">
        <is>
          <t>"summaryRemuneration.servingDealer": "Serving Dealer Compensation",</t>
        </is>
      </c>
    </row>
    <row r="163" ht="15.75" customHeight="1" s="305">
      <c r="A163" s="146" t="inlineStr">
        <is>
          <t>summaryRemuneration.servingCustomer</t>
        </is>
      </c>
      <c r="B163" s="146" t="inlineStr">
        <is>
          <t>Phục vụ khách hàng</t>
        </is>
      </c>
      <c r="C163" s="146" t="inlineStr">
        <is>
          <t>Serving Customer Compensation</t>
        </is>
      </c>
      <c r="D163" s="146" t="inlineStr">
        <is>
          <t>បម្រើអតិថិជន</t>
        </is>
      </c>
      <c r="E163" s="3" t="n"/>
      <c r="G163" t="inlineStr">
        <is>
          <t>បម្រើអតិថិជន</t>
        </is>
      </c>
      <c r="H163" t="inlineStr">
        <is>
          <t>បម្រើអតិថិជន</t>
        </is>
      </c>
      <c r="J163" s="217" t="inlineStr">
        <is>
          <t>"summaryRemuneration.servingCustomer": "Serving Customer Compensation",</t>
        </is>
      </c>
    </row>
    <row r="164" ht="15.75" customHeight="1" s="305">
      <c r="A164" s="146" t="inlineStr">
        <is>
          <t>summaryRemuneration.placeholderSearch</t>
        </is>
      </c>
      <c r="B164" s="146" t="inlineStr">
        <is>
          <t>Nhập tên, sđt hoặc mã nv...</t>
        </is>
      </c>
      <c r="C164" s="146" t="inlineStr">
        <is>
          <t>Enter name, phone or employee code...</t>
        </is>
      </c>
      <c r="D164" s="146" t="inlineStr">
        <is>
          <t>បញ្ចូលឈ្មោះ លេខទូរស័ព្ទ ឬលេខកូដបុគ្គលិក...</t>
        </is>
      </c>
      <c r="E164" s="3" t="n"/>
      <c r="G164" t="inlineStr">
        <is>
          <t>បញ្ចូលឈ្មោះ លេខទូរស័ព្ទ ឬលេខកូដបុគ្គលិក...</t>
        </is>
      </c>
      <c r="H164" t="inlineStr">
        <is>
          <t>បញ្ចូលឈ្មោះ លេខទូរស័ព្ទ ឬលេខកូដបុគ្គលិក...</t>
        </is>
      </c>
      <c r="J164" s="217" t="inlineStr">
        <is>
          <t>"summaryRemuneration.placeholderSearch": "Enter name, phone or employee code...",</t>
        </is>
      </c>
    </row>
    <row r="165" ht="15.75" customHeight="1" s="305">
      <c r="A165" s="146" t="inlineStr">
        <is>
          <t>summaryRemuneration.placeholderBranch</t>
        </is>
      </c>
      <c r="B165" s="146" t="inlineStr">
        <is>
          <t>Chọn chi nhánh</t>
        </is>
      </c>
      <c r="C165" s="146" t="inlineStr">
        <is>
          <t>Select branch</t>
        </is>
      </c>
      <c r="D165" s="146" t="inlineStr">
        <is>
          <t>ជ្រើសសាខា</t>
        </is>
      </c>
      <c r="E165" s="3" t="n"/>
      <c r="G165" t="inlineStr">
        <is>
          <t>ជ្រើសសាខា</t>
        </is>
      </c>
      <c r="H165" t="inlineStr">
        <is>
          <t>ជ្រើសសាខា</t>
        </is>
      </c>
      <c r="J165" s="217" t="inlineStr">
        <is>
          <t>"summaryRemuneration.placeholderBranch": "Select branch",</t>
        </is>
      </c>
    </row>
    <row r="166" ht="15.75" customHeight="1" s="305">
      <c r="A166" s="146" t="inlineStr">
        <is>
          <t>summaryRemuneration.placeholderPostOffice</t>
        </is>
      </c>
      <c r="B166" s="146" t="inlineStr">
        <is>
          <t>Chọn bưu cục</t>
        </is>
      </c>
      <c r="C166" s="146" t="inlineStr">
        <is>
          <t>Select post office</t>
        </is>
      </c>
      <c r="D166" s="146" t="inlineStr">
        <is>
          <t>ជ្រើសការិយាល័យប្រៃសណីយ៍</t>
        </is>
      </c>
      <c r="E166" s="3" t="n"/>
      <c r="G166" t="inlineStr">
        <is>
          <t>ជ្រើសការិយាល័យប្រៃសណីយ៍</t>
        </is>
      </c>
      <c r="H166" t="inlineStr">
        <is>
          <t>ជ្រើសការិយាល័យប្រៃសណីយ៍</t>
        </is>
      </c>
      <c r="J166" s="217" t="inlineStr">
        <is>
          <t>"summaryRemuneration.placeholderPostOffice": "Select post office",</t>
        </is>
      </c>
    </row>
    <row r="167" ht="15.75" customHeight="1" s="305">
      <c r="A167" s="146" t="inlineStr">
        <is>
          <t>summaryRemuneration.time</t>
        </is>
      </c>
      <c r="B167" s="146" t="inlineStr">
        <is>
          <t>Thời gian</t>
        </is>
      </c>
      <c r="C167" s="146" t="inlineStr">
        <is>
          <t>Time</t>
        </is>
      </c>
      <c r="D167" s="146" t="inlineStr">
        <is>
          <t>ពេលវេលា</t>
        </is>
      </c>
      <c r="E167" s="3" t="n"/>
      <c r="G167" t="inlineStr">
        <is>
          <t>ពេលវេលា</t>
        </is>
      </c>
      <c r="H167" t="inlineStr">
        <is>
          <t>ពេលវេលា</t>
        </is>
      </c>
      <c r="J167" s="217" t="inlineStr">
        <is>
          <t>"summaryRemuneration.time": "Time",</t>
        </is>
      </c>
    </row>
    <row r="168" ht="15.75" customHeight="1" s="305">
      <c r="A168" s="146" t="inlineStr">
        <is>
          <t>summaryRemuneration.placeholderDate</t>
        </is>
      </c>
      <c r="B168" s="146" t="inlineStr">
        <is>
          <t>Chọn thời gian</t>
        </is>
      </c>
      <c r="C168" s="146" t="inlineStr">
        <is>
          <t>Select time</t>
        </is>
      </c>
      <c r="D168" s="146" t="inlineStr">
        <is>
          <t>ជ្រើសពេលវេលា</t>
        </is>
      </c>
      <c r="E168" s="3" t="n"/>
      <c r="G168" t="inlineStr">
        <is>
          <t>ជ្រើសពេលវេលា</t>
        </is>
      </c>
      <c r="H168" t="inlineStr">
        <is>
          <t>ជ្រើសពេលវេលា</t>
        </is>
      </c>
      <c r="J168" s="217" t="inlineStr">
        <is>
          <t>"summaryRemuneration.placeholderDate": "Select time",</t>
        </is>
      </c>
    </row>
    <row r="169" ht="15.75" customHeight="1" s="305">
      <c r="A169" s="146" t="inlineStr">
        <is>
          <t>summaryRemuneration.assignDate</t>
        </is>
      </c>
      <c r="B169" s="146" t="inlineStr">
        <is>
          <t>Ngày khoán</t>
        </is>
      </c>
      <c r="C169" s="146" t="inlineStr">
        <is>
          <t>Assignment Date</t>
        </is>
      </c>
      <c r="D169" s="146" t="inlineStr">
        <is>
          <t>ថ្ងៃបែងចែក</t>
        </is>
      </c>
      <c r="E169" s="3" t="n"/>
      <c r="G169" t="inlineStr">
        <is>
          <t>ថ្ងៃបែងចែក</t>
        </is>
      </c>
      <c r="H169" t="inlineStr">
        <is>
          <t>ថ្ងៃបែងចែក</t>
        </is>
      </c>
      <c r="J169" s="217" t="inlineStr">
        <is>
          <t>"summaryRemuneration.assignDate": "Assignment Date",</t>
        </is>
      </c>
    </row>
    <row r="170" ht="15.75" customHeight="1" s="305">
      <c r="A170" s="146" t="inlineStr">
        <is>
          <t>summaryRemuneration.event</t>
        </is>
      </c>
      <c r="B170" s="146" t="inlineStr">
        <is>
          <t>Sự kiện</t>
        </is>
      </c>
      <c r="C170" s="146" t="inlineStr">
        <is>
          <t>Event</t>
        </is>
      </c>
      <c r="D170" s="146" t="inlineStr">
        <is>
          <t>ព្រឹត្តិការណ៍</t>
        </is>
      </c>
      <c r="E170" s="3" t="n"/>
      <c r="G170" t="inlineStr">
        <is>
          <t>ព្រឹត្តិការណ៍</t>
        </is>
      </c>
      <c r="H170" t="inlineStr">
        <is>
          <t>ព្រឹត្តិការណ៍</t>
        </is>
      </c>
      <c r="J170" s="217" t="inlineStr">
        <is>
          <t>"summaryRemuneration.event": "Event",</t>
        </is>
      </c>
    </row>
    <row r="171" ht="15.75" customHeight="1" s="305">
      <c r="A171" s="146" t="inlineStr">
        <is>
          <t>summaryRemuneration.trackingCode</t>
        </is>
      </c>
      <c r="B171" s="146" t="inlineStr">
        <is>
          <t>Mã phiếu gửi</t>
        </is>
      </c>
      <c r="C171" s="146" t="inlineStr">
        <is>
          <t>Tracking Code</t>
        </is>
      </c>
      <c r="D171" s="146" t="inlineStr">
        <is>
          <t>លេខតាមដាន</t>
        </is>
      </c>
      <c r="E171" s="3" t="n"/>
      <c r="G171" t="inlineStr">
        <is>
          <t>លេខកូដបុងបញ្ញើ</t>
        </is>
      </c>
      <c r="H171" t="inlineStr">
        <is>
          <t>លេខកូដបុងបញ្ញើ</t>
        </is>
      </c>
      <c r="J171" s="217" t="inlineStr">
        <is>
          <t>"summaryRemuneration.trackingCode": "Tracking Code",</t>
        </is>
      </c>
    </row>
    <row r="172" ht="15.75" customHeight="1" s="305">
      <c r="A172" s="146" t="inlineStr">
        <is>
          <t>summaryRemuneration.packageType</t>
        </is>
      </c>
      <c r="B172" s="146" t="inlineStr">
        <is>
          <t>Tải / kiện</t>
        </is>
      </c>
      <c r="C172" s="146" t="inlineStr">
        <is>
          <t>Package Type</t>
        </is>
      </c>
      <c r="D172" s="146" t="inlineStr">
        <is>
          <t>ប្រភេទកញ្ចប់</t>
        </is>
      </c>
      <c r="E172" s="3" t="n"/>
      <c r="G172" t="inlineStr">
        <is>
          <t>ប្រភេទកញ្ចប់</t>
        </is>
      </c>
      <c r="H172" t="inlineStr">
        <is>
          <t>ប្រភេទកញ្ចប់</t>
        </is>
      </c>
      <c r="J172" s="217" t="inlineStr">
        <is>
          <t>"summaryRemuneration.packageType": "Package Type",</t>
        </is>
      </c>
    </row>
    <row r="173" ht="15.75" customHeight="1" s="305">
      <c r="A173" s="146" t="inlineStr">
        <is>
          <t>summaryRemuneration.actionTime</t>
        </is>
      </c>
      <c r="B173" s="146" t="inlineStr">
        <is>
          <t>Thời gian tác động</t>
        </is>
      </c>
      <c r="C173" s="146" t="inlineStr">
        <is>
          <t>Action Time</t>
        </is>
      </c>
      <c r="D173" s="146" t="inlineStr">
        <is>
          <t>ពេលវេលាសកម្មភាព</t>
        </is>
      </c>
      <c r="E173" s="3" t="n"/>
      <c r="G173" t="inlineStr">
        <is>
          <t>ពេលវេលាសកម្មភាព</t>
        </is>
      </c>
      <c r="H173" t="inlineStr">
        <is>
          <t>ពេលវេលាសកម្មភាព</t>
        </is>
      </c>
      <c r="J173" s="217" t="inlineStr">
        <is>
          <t>"summaryRemuneration.actionTime": "Action Time",</t>
        </is>
      </c>
    </row>
    <row r="174" ht="15.75" customHeight="1" s="305">
      <c r="A174" s="146" t="inlineStr">
        <is>
          <t>summaryRemuneration.originPostOffice</t>
        </is>
      </c>
      <c r="B174" s="146" t="inlineStr">
        <is>
          <t>Bưu cục gốc</t>
        </is>
      </c>
      <c r="C174" s="146" t="inlineStr">
        <is>
          <t>Origin Post Office</t>
        </is>
      </c>
      <c r="D174" s="146" t="inlineStr">
        <is>
          <t>ការិយាល័យដើម</t>
        </is>
      </c>
      <c r="E174" s="3" t="n"/>
      <c r="G174" t="inlineStr">
        <is>
          <t>ការិយាល័យប្រៃសណីយ៍ដើម</t>
        </is>
      </c>
      <c r="H174" t="inlineStr">
        <is>
          <t>ការិយាល័យប្រៃសណីយ៍ដើម</t>
        </is>
      </c>
      <c r="J174" s="217" t="inlineStr">
        <is>
          <t>"summaryRemuneration.originPostOffice": "Origin Post Office",</t>
        </is>
      </c>
    </row>
    <row r="175" ht="15.75" customHeight="1" s="305">
      <c r="A175" s="146" t="inlineStr">
        <is>
          <t>summaryRemuneration.destinationPostOffice</t>
        </is>
      </c>
      <c r="B175" s="146" t="inlineStr">
        <is>
          <t>Bưu cục phát</t>
        </is>
      </c>
      <c r="C175" s="146" t="inlineStr">
        <is>
          <t>Destination Post Office</t>
        </is>
      </c>
      <c r="D175" s="146" t="inlineStr">
        <is>
          <t>ការិយាល័យគោលដៅ</t>
        </is>
      </c>
      <c r="E175" s="3" t="n"/>
      <c r="G175" t="inlineStr">
        <is>
          <t>ការិយាល័យប្រៃសណីយ៍ដឹកចែក</t>
        </is>
      </c>
      <c r="H175" t="inlineStr">
        <is>
          <t>ការិយាល័យប្រៃសណីយ៍ដឹកចែក</t>
        </is>
      </c>
      <c r="J175" s="217" t="inlineStr">
        <is>
          <t>"summaryRemuneration.destinationPostOffice": "Destination Post Office",</t>
        </is>
      </c>
    </row>
    <row r="176" ht="15.75" customHeight="1" s="305">
      <c r="A176" s="146" t="inlineStr">
        <is>
          <t>summaryRemuneration.mainService</t>
        </is>
      </c>
      <c r="B176" s="146" t="inlineStr">
        <is>
          <t>Dịch vụ chính</t>
        </is>
      </c>
      <c r="C176" s="146" t="inlineStr">
        <is>
          <t>Main Service</t>
        </is>
      </c>
      <c r="D176" s="146" t="inlineStr">
        <is>
          <t>សេវាកម្មសំខាន់</t>
        </is>
      </c>
      <c r="E176" s="3" t="n"/>
      <c r="G176" t="inlineStr">
        <is>
          <t>សេវាកម្មសំខាន់</t>
        </is>
      </c>
      <c r="H176" t="inlineStr">
        <is>
          <t>សេវាកម្មសំខាន់</t>
        </is>
      </c>
      <c r="J176" s="217" t="inlineStr">
        <is>
          <t>"summaryRemuneration.mainService": "Main Service",</t>
        </is>
      </c>
    </row>
    <row r="177" ht="15.75" customHeight="1" s="305">
      <c r="A177" s="146" t="inlineStr">
        <is>
          <t>summaryRemuneration.extraService</t>
        </is>
      </c>
      <c r="B177" s="146" t="inlineStr">
        <is>
          <t>Dịch vụ khác</t>
        </is>
      </c>
      <c r="C177" s="146" t="inlineStr">
        <is>
          <t>Extra Service</t>
        </is>
      </c>
      <c r="D177" s="146" t="inlineStr">
        <is>
          <t>សេវាកម្មបន្ថែម</t>
        </is>
      </c>
      <c r="E177" s="3" t="n"/>
      <c r="G177" t="inlineStr">
        <is>
          <t>សេវាកម្មបន្ថែម</t>
        </is>
      </c>
      <c r="H177" t="inlineStr">
        <is>
          <t>សេវាកម្មបន្ថែម</t>
        </is>
      </c>
      <c r="J177" s="217" t="inlineStr">
        <is>
          <t>"summaryRemuneration.extraService": "Extra Service",</t>
        </is>
      </c>
    </row>
    <row r="178" ht="15.75" customHeight="1" s="305">
      <c r="A178" s="146" t="inlineStr">
        <is>
          <t>summaryRemuneration.productType</t>
        </is>
      </c>
      <c r="B178" s="146" t="inlineStr">
        <is>
          <t>Loại hàng hóa</t>
        </is>
      </c>
      <c r="C178" s="146" t="inlineStr">
        <is>
          <t>Product Type</t>
        </is>
      </c>
      <c r="D178" s="146" t="inlineStr">
        <is>
          <t>ប្រភេទទំនិញ</t>
        </is>
      </c>
      <c r="E178" s="3" t="n"/>
      <c r="G178" t="inlineStr">
        <is>
          <t>ប្រភេទមុខទំនិញ</t>
        </is>
      </c>
      <c r="H178" t="inlineStr">
        <is>
          <t>ប្រភេទមុខទំនិញ</t>
        </is>
      </c>
      <c r="J178" s="217" t="inlineStr">
        <is>
          <t>"summaryRemuneration.productType": "Product Type",</t>
        </is>
      </c>
    </row>
    <row r="179" ht="15.75" customHeight="1" s="305">
      <c r="A179" s="146" t="inlineStr">
        <is>
          <t>summaryRemuneration.weight</t>
        </is>
      </c>
      <c r="B179" s="146" t="inlineStr">
        <is>
          <t>Trọng lượng ({{weight}})</t>
        </is>
      </c>
      <c r="C179" s="146" t="inlineStr">
        <is>
          <t>Weight ({{weight}})</t>
        </is>
      </c>
      <c r="D179" s="146" t="inlineStr">
        <is>
          <t>ទំងន់ ({{weight}})</t>
        </is>
      </c>
      <c r="E179" s="3" t="n"/>
      <c r="G179" t="inlineStr">
        <is>
          <t>ទម្ងន់ ({{weight}})</t>
        </is>
      </c>
      <c r="H179" t="inlineStr">
        <is>
          <t>ទម្ងន់ ({{weight}})</t>
        </is>
      </c>
      <c r="J179" s="217" t="inlineStr">
        <is>
          <t>"summaryRemuneration.weight": "Weight ({{weight}})",</t>
        </is>
      </c>
    </row>
    <row r="180" ht="15.75" customHeight="1" s="305">
      <c r="A180" s="146" t="inlineStr">
        <is>
          <t>summaryRemuneration.feeBeforeTax</t>
        </is>
      </c>
      <c r="B180" s="146" t="inlineStr">
        <is>
          <t>Cước trước thuế ({{current}})</t>
        </is>
      </c>
      <c r="C180" s="146" t="inlineStr">
        <is>
          <t>Fee Before Tax ({{current}})</t>
        </is>
      </c>
      <c r="D180" s="146" t="inlineStr">
        <is>
          <t>ថ្លៃមុនពន្ធ ({{current}})</t>
        </is>
      </c>
      <c r="E180" s="3" t="n"/>
      <c r="G180" t="inlineStr">
        <is>
          <t>ថ្លៃមុនពន្ធ ({{current}})</t>
        </is>
      </c>
      <c r="H180" t="inlineStr">
        <is>
          <t>ថ្លៃមុនពន្ធ ({{current}})</t>
        </is>
      </c>
      <c r="J180" s="217" t="inlineStr">
        <is>
          <t>"summaryRemuneration.feeBeforeTax": "Fee Before Tax ({{current}})",</t>
        </is>
      </c>
    </row>
    <row r="181" ht="15.75" customHeight="1" s="305">
      <c r="A181" s="146" t="inlineStr">
        <is>
          <t>summaryRemuneration.feeAfterTax</t>
        </is>
      </c>
      <c r="B181" s="146" t="inlineStr">
        <is>
          <t>Cước sau thuế ({{current}})</t>
        </is>
      </c>
      <c r="C181" s="146" t="inlineStr">
        <is>
          <t>Fee After Tax ({{current}})</t>
        </is>
      </c>
      <c r="D181" s="146" t="inlineStr">
        <is>
          <t>ថ្លៃបន្ទាប់ពន្ធ ({{current}})</t>
        </is>
      </c>
      <c r="E181" s="3" t="n"/>
      <c r="G181" t="inlineStr">
        <is>
          <t>ថ្លៃបន្ទាប់ពន្ធ ({{current}})</t>
        </is>
      </c>
      <c r="H181" t="inlineStr">
        <is>
          <t>ថ្លៃបន្ទាប់ពន្ធ ({{current}})</t>
        </is>
      </c>
      <c r="J181" s="217" t="inlineStr">
        <is>
          <t>"summaryRemuneration.feeAfterTax": "Fee After Tax ({{current}})",</t>
        </is>
      </c>
    </row>
    <row r="182" ht="15.75" customHeight="1" s="305">
      <c r="A182" s="146" t="inlineStr">
        <is>
          <t>summaryRemuneration.updatedAt</t>
        </is>
      </c>
      <c r="B182" s="146" t="inlineStr">
        <is>
          <t>Thời gian cập nhật</t>
        </is>
      </c>
      <c r="C182" s="146" t="inlineStr">
        <is>
          <t>Last Updated Time</t>
        </is>
      </c>
      <c r="D182" s="146" t="inlineStr">
        <is>
          <t>ពេលធ្វើបច្ចុប្បន្នភាព</t>
        </is>
      </c>
      <c r="E182" s="3" t="n"/>
      <c r="G182" t="inlineStr">
        <is>
          <t>ពេលធ្វើបច្ចុប្បន្នភាព</t>
        </is>
      </c>
      <c r="H182" t="inlineStr">
        <is>
          <t>ពេលធ្វើបច្ចុប្បន្នភាព</t>
        </is>
      </c>
      <c r="J182" s="217" t="inlineStr">
        <is>
          <t>"summaryRemuneration.updatedAt": "Last Updated Time",</t>
        </is>
      </c>
    </row>
    <row r="183" ht="15.75" customHeight="1" s="305">
      <c r="A183" s="146" t="inlineStr">
        <is>
          <t>summaryRemuneration.amount</t>
        </is>
      </c>
      <c r="B183" s="146" t="inlineStr">
        <is>
          <t>Thành tiền ({{current}})</t>
        </is>
      </c>
      <c r="C183" s="146" t="inlineStr">
        <is>
          <t>Total Amount ({{current}})</t>
        </is>
      </c>
      <c r="D183" s="146" t="inlineStr">
        <is>
          <t>ចំនួនទឹកប្រាក់ ({{current}})</t>
        </is>
      </c>
      <c r="E183" s="3" t="n"/>
      <c r="G183" t="inlineStr">
        <is>
          <t>ចំនួនទឹកប្រាក់ ({{current}})</t>
        </is>
      </c>
      <c r="H183" t="inlineStr">
        <is>
          <t>ចំនួនទឹកប្រាក់ ({{current}})</t>
        </is>
      </c>
      <c r="J183" s="217" t="inlineStr">
        <is>
          <t>"summaryRemuneration.amount": "Total Amount ({{current}})",</t>
        </is>
      </c>
    </row>
    <row r="184" ht="15.75" customHeight="1" s="305">
      <c r="A184" s="146" t="inlineStr">
        <is>
          <t>summaryRemuneration.amountTitle</t>
        </is>
      </c>
      <c r="B184" s="146" t="inlineStr">
        <is>
          <t>Thành tiền</t>
        </is>
      </c>
      <c r="C184" s="146" t="inlineStr">
        <is>
          <t>Total Amount</t>
        </is>
      </c>
      <c r="D184" s="146" t="inlineStr">
        <is>
          <t>ចំនួនទឹកប្រាក់</t>
        </is>
      </c>
      <c r="E184" s="3" t="n"/>
      <c r="G184" t="inlineStr">
        <is>
          <t>ទឹកប្រាក់សរុប</t>
        </is>
      </c>
      <c r="H184" t="inlineStr">
        <is>
          <t>ទឹកប្រាក់សរុប</t>
        </is>
      </c>
      <c r="J184" s="217" t="inlineStr">
        <is>
          <t>"summaryRemuneration.amountTitle": "Total Amount",</t>
        </is>
      </c>
    </row>
    <row r="185" ht="15.75" customHeight="1" s="305">
      <c r="A185" s="146" t="inlineStr">
        <is>
          <t>summaryRemuneration.dailyConnectionRemuneration</t>
        </is>
      </c>
      <c r="B185" s="146" t="inlineStr">
        <is>
          <t>Thù lao kết nối theo lượt trong ngày ({{current}})</t>
        </is>
      </c>
      <c r="C185" s="146" t="inlineStr">
        <is>
          <t>Daily Connection Remuneration ({{current}})</t>
        </is>
      </c>
      <c r="D185" s="146" t="inlineStr">
        <is>
          <t>ប្រាក់ឧបត្ថម្ភភ្ជាប់ប្រចាំថ្ងៃ ({{current}})</t>
        </is>
      </c>
      <c r="E185" s="3" t="n"/>
      <c r="G185" t="inlineStr">
        <is>
          <t>ប្រាក់ឧបត្ថម្ភភ្ជាប់ប្រចាំថ្ងៃ ({{current}})</t>
        </is>
      </c>
      <c r="H185" t="inlineStr">
        <is>
          <t>ប្រាក់ឧបត្ថម្ភភ្ជាប់ប្រចាំថ្ងៃ ({{current}})</t>
        </is>
      </c>
      <c r="J185" s="217" t="inlineStr">
        <is>
          <t>"summaryRemuneration.dailyConnectionRemuneration": "Daily Connection Remuneration ({{current}})",</t>
        </is>
      </c>
    </row>
    <row r="186" ht="15.75" customHeight="1" s="305">
      <c r="A186" s="146" t="inlineStr">
        <is>
          <t>summaryRemuneration.placeholderStaff</t>
        </is>
      </c>
      <c r="B186" s="146" t="inlineStr">
        <is>
          <t>Chọn nhân viên</t>
        </is>
      </c>
      <c r="C186" s="146" t="inlineStr">
        <is>
          <t>Select staff</t>
        </is>
      </c>
      <c r="D186" s="146" t="inlineStr">
        <is>
          <t>ជ្រើសបុគ្គលិក</t>
        </is>
      </c>
      <c r="E186" s="3" t="n"/>
      <c r="G186" t="inlineStr">
        <is>
          <t>ជ្រើសបុគ្គលិក</t>
        </is>
      </c>
      <c r="H186" t="inlineStr">
        <is>
          <t>ជ្រើសបុគ្គលិក</t>
        </is>
      </c>
      <c r="J186" s="217" t="inlineStr">
        <is>
          <t>"summaryRemuneration.placeholderStaff": "Select staff",</t>
        </is>
      </c>
    </row>
    <row r="187" ht="15.75" customHeight="1" s="305">
      <c r="A187" s="146" t="inlineStr">
        <is>
          <t>summaryRemuneration.placeholderSalaryElement</t>
        </is>
      </c>
      <c r="B187" s="146" t="inlineStr">
        <is>
          <t>Chọn phần tử lương</t>
        </is>
      </c>
      <c r="C187" s="146" t="inlineStr">
        <is>
          <t>Select salary element</t>
        </is>
      </c>
      <c r="D187" s="146" t="inlineStr">
        <is>
          <t>ជ្រើសធាតុប្រាក់ខែ</t>
        </is>
      </c>
      <c r="E187" s="3" t="n"/>
      <c r="G187" t="inlineStr">
        <is>
          <t>ជ្រើសធាតុប្រាក់ខែ</t>
        </is>
      </c>
      <c r="H187" t="inlineStr">
        <is>
          <t>ជ្រើសធាតុប្រាក់ខែ</t>
        </is>
      </c>
      <c r="J187" s="217" t="inlineStr">
        <is>
          <t>"summaryRemuneration.placeholderSalaryElement": "Select salary element",</t>
        </is>
      </c>
    </row>
    <row r="188" ht="15.75" customHeight="1" s="305">
      <c r="A188" s="146" t="inlineStr">
        <is>
          <t>summaryRemuneration.salaryElement</t>
        </is>
      </c>
      <c r="B188" s="146" t="inlineStr">
        <is>
          <t>Phần tử lương</t>
        </is>
      </c>
      <c r="C188" s="146" t="inlineStr">
        <is>
          <t>Salary Element</t>
        </is>
      </c>
      <c r="D188" s="146" t="inlineStr">
        <is>
          <t>ធាតុប្រាក់ខែ</t>
        </is>
      </c>
      <c r="E188" s="3" t="n"/>
      <c r="G188" t="inlineStr">
        <is>
          <t>ធាតុប្រាក់ខែ</t>
        </is>
      </c>
      <c r="H188" t="inlineStr">
        <is>
          <t>ធាតុប្រាក់ខែ</t>
        </is>
      </c>
      <c r="J188" s="217" t="inlineStr">
        <is>
          <t>"summaryRemuneration.salaryElement": "Salary Element",</t>
        </is>
      </c>
    </row>
    <row r="189" ht="15.75" customHeight="1" s="305">
      <c r="A189" s="146" t="inlineStr">
        <is>
          <t>summaryRemuneration.staff</t>
        </is>
      </c>
      <c r="B189" s="146" t="inlineStr">
        <is>
          <t>Nhân viên</t>
        </is>
      </c>
      <c r="C189" s="146" t="inlineStr">
        <is>
          <t>Staff</t>
        </is>
      </c>
      <c r="D189" s="146" t="inlineStr">
        <is>
          <t>បុគ្គលិក</t>
        </is>
      </c>
      <c r="E189" s="3" t="n"/>
      <c r="G189" t="inlineStr">
        <is>
          <t>បុគ្គលិក</t>
        </is>
      </c>
      <c r="H189" t="inlineStr">
        <is>
          <t>បុគ្គលិក</t>
        </is>
      </c>
      <c r="J189" s="217" t="inlineStr">
        <is>
          <t>"summaryRemuneration.staff": "Staff",</t>
        </is>
      </c>
    </row>
    <row r="190" ht="15.75" customHeight="1" s="305">
      <c r="A190" s="146" t="inlineStr">
        <is>
          <t>summaryRemuneration.placeholderEvent</t>
        </is>
      </c>
      <c r="B190" s="146" t="inlineStr">
        <is>
          <t>Chọn sự kiện</t>
        </is>
      </c>
      <c r="C190" s="146" t="inlineStr">
        <is>
          <t>Select event</t>
        </is>
      </c>
      <c r="D190" s="146" t="inlineStr">
        <is>
          <t>ជ្រើសព្រឹត្តិការណ៍</t>
        </is>
      </c>
      <c r="E190" s="3" t="n"/>
      <c r="G190" t="inlineStr">
        <is>
          <t>ជ្រើសព្រឹត្តិការណ៍</t>
        </is>
      </c>
      <c r="H190" t="inlineStr">
        <is>
          <t>ជ្រើសព្រឹត្តិការណ៍</t>
        </is>
      </c>
      <c r="J190" s="217" t="inlineStr">
        <is>
          <t>"summaryRemuneration.placeholderEvent": "Select event",</t>
        </is>
      </c>
    </row>
    <row r="191" ht="15.75" customHeight="1" s="305">
      <c r="A191" s="146" t="inlineStr">
        <is>
          <t>summaryRemuneration.placeholderClassify</t>
        </is>
      </c>
      <c r="B191" s="146" t="inlineStr">
        <is>
          <t>Chọn phân loại</t>
        </is>
      </c>
      <c r="C191" s="146" t="inlineStr">
        <is>
          <t>Select type</t>
        </is>
      </c>
      <c r="D191" s="146" t="inlineStr">
        <is>
          <t>ជ្រើសប្រភេទ</t>
        </is>
      </c>
      <c r="E191" s="3" t="n"/>
      <c r="G191" t="inlineStr">
        <is>
          <t>ជ្រើសប្រភេទ</t>
        </is>
      </c>
      <c r="H191" t="inlineStr">
        <is>
          <t>ជ្រើសប្រភេទ</t>
        </is>
      </c>
      <c r="J191" s="217" t="inlineStr">
        <is>
          <t>"summaryRemuneration.placeholderClassify": "Select type",</t>
        </is>
      </c>
    </row>
    <row r="192" ht="15.75" customHeight="1" s="305">
      <c r="A192" s="146" t="inlineStr">
        <is>
          <t>summaryRemuneration.classify</t>
        </is>
      </c>
      <c r="B192" s="146" t="inlineStr">
        <is>
          <t>Phân loại</t>
        </is>
      </c>
      <c r="C192" s="146" t="inlineStr">
        <is>
          <t>Type</t>
        </is>
      </c>
      <c r="D192" s="146" t="inlineStr">
        <is>
          <t>ចំណាត់ថ្នាក់</t>
        </is>
      </c>
      <c r="E192" s="3" t="n"/>
      <c r="G192" t="inlineStr">
        <is>
          <t>ចំណាត់ថ្នាក់</t>
        </is>
      </c>
      <c r="H192" t="inlineStr">
        <is>
          <t>ចំណាត់ថ្នាក់</t>
        </is>
      </c>
      <c r="J192" s="217" t="inlineStr">
        <is>
          <t>"summaryRemuneration.classify": "Type",</t>
        </is>
      </c>
    </row>
    <row r="193" ht="15.75" customHeight="1" s="305">
      <c r="A193" s="146" t="inlineStr">
        <is>
          <t>summaryRemuneration.cashCollectionLak</t>
        </is>
      </c>
      <c r="B193" s="146" t="inlineStr">
        <is>
          <t>Thu hộ ({{current}})</t>
        </is>
      </c>
      <c r="C193" s="146" t="inlineStr">
        <is>
          <t>Cash Collection ({{current}})</t>
        </is>
      </c>
      <c r="D193" s="146" t="inlineStr">
        <is>
          <t>ប្រមូលប្រាក់ ({{current}})</t>
        </is>
      </c>
      <c r="E193" s="3" t="n"/>
      <c r="G193" t="inlineStr">
        <is>
          <t>ប្រមូលប្រាក់ ({{current}})</t>
        </is>
      </c>
      <c r="H193" t="inlineStr">
        <is>
          <t>ប្រមូលប្រាក់ ({{current}})</t>
        </is>
      </c>
      <c r="J193" s="217" t="inlineStr">
        <is>
          <t>"summaryRemuneration.cashCollectionLak": "Cash Collection ({{current}})",</t>
        </is>
      </c>
    </row>
    <row r="194" ht="15.75" customHeight="1" s="305">
      <c r="A194" s="146" t="inlineStr">
        <is>
          <t>summaryRemuneration.referrer</t>
        </is>
      </c>
      <c r="B194" s="146" t="inlineStr">
        <is>
          <t>Người giới thiệu</t>
        </is>
      </c>
      <c r="C194" s="146" t="inlineStr">
        <is>
          <t>Referrer</t>
        </is>
      </c>
      <c r="D194" s="146" t="inlineStr">
        <is>
          <t>អ្នកណែនាំ</t>
        </is>
      </c>
      <c r="E194" s="3" t="n"/>
      <c r="G194" t="inlineStr">
        <is>
          <t>អ្នកណែនាំ</t>
        </is>
      </c>
      <c r="H194" t="inlineStr">
        <is>
          <t>អ្នកណែនាំ</t>
        </is>
      </c>
      <c r="J194" s="217" t="inlineStr">
        <is>
          <t>"summaryRemuneration.referrer": "Referrer",</t>
        </is>
      </c>
    </row>
    <row r="195" ht="15.75" customHeight="1" s="305">
      <c r="A195" s="146" t="inlineStr">
        <is>
          <t>summaryRemuneration.viewAutomaticItemDetails</t>
        </is>
      </c>
      <c r="B195" s="146" t="inlineStr">
        <is>
          <t>Xem chi tiết phần tử tự động</t>
        </is>
      </c>
      <c r="C195" s="146" t="inlineStr">
        <is>
          <t>View automatic item details</t>
        </is>
      </c>
      <c r="D195" s="146" t="inlineStr">
        <is>
          <t>មើលលម្អិតធាតុស្វ័យប្រវត្តិ</t>
        </is>
      </c>
      <c r="E195" s="3" t="n"/>
      <c r="G195" t="inlineStr">
        <is>
          <t>មើលលម្អិតធាតុស្វ័យប្រវត្តិ</t>
        </is>
      </c>
      <c r="H195" t="inlineStr">
        <is>
          <t>មើលលម្អិតធាតុស្វ័យប្រវត្តិ</t>
        </is>
      </c>
      <c r="J195" s="217" t="inlineStr">
        <is>
          <t>"summaryRemuneration.viewAutomaticItemDetails": "View automatic item details",</t>
        </is>
      </c>
    </row>
    <row r="196" ht="15.75" customHeight="1" s="305">
      <c r="A196" s="146" t="inlineStr">
        <is>
          <t>summaryRemuneration.viewManualItemDetails</t>
        </is>
      </c>
      <c r="B196" s="146" t="inlineStr">
        <is>
          <t>Xem chi tiết phần tử thủ công</t>
        </is>
      </c>
      <c r="C196" s="146" t="inlineStr">
        <is>
          <t>View manual item details</t>
        </is>
      </c>
      <c r="D196" s="146" t="inlineStr">
        <is>
          <t>មើលលម្អិតធាតុដោយដៃ</t>
        </is>
      </c>
      <c r="E196" s="3" t="n"/>
      <c r="G196" t="inlineStr">
        <is>
          <t>មើលលម្អិតធាតុដោយដៃ</t>
        </is>
      </c>
      <c r="H196" t="inlineStr">
        <is>
          <t>មើលលម្អិតធាតុដោយដៃ</t>
        </is>
      </c>
      <c r="J196" s="217" t="inlineStr">
        <is>
          <t>"summaryRemuneration.viewManualItemDetails": "View manual item details",</t>
        </is>
      </c>
    </row>
    <row r="197" ht="15.75" customHeight="1" s="305">
      <c r="A197" s="146" t="inlineStr">
        <is>
          <t>summaryRemuneration.development</t>
        </is>
      </c>
      <c r="B197" s="146" t="inlineStr">
        <is>
          <t>Phát triển</t>
        </is>
      </c>
      <c r="C197" s="146" t="inlineStr">
        <is>
          <t>Development</t>
        </is>
      </c>
      <c r="D197" s="146" t="inlineStr">
        <is>
          <t>អភិវឌ្ឍ</t>
        </is>
      </c>
      <c r="E197" s="3" t="n"/>
      <c r="G197" t="inlineStr">
        <is>
          <t>អភិវឌ្ឍ</t>
        </is>
      </c>
      <c r="H197" t="inlineStr">
        <is>
          <t>អភិវឌ្ឍ</t>
        </is>
      </c>
      <c r="J197" s="217" t="inlineStr">
        <is>
          <t>"summaryRemuneration.development": "Development",</t>
        </is>
      </c>
    </row>
    <row r="198" ht="15.75" customHeight="1" s="305">
      <c r="A198" s="146" t="inlineStr">
        <is>
          <t>summaryRemuneration.deliveryOption</t>
        </is>
      </c>
      <c r="B198" s="146" t="inlineStr">
        <is>
          <t>Giao</t>
        </is>
      </c>
      <c r="C198" s="146" t="inlineStr">
        <is>
          <t>Delivery</t>
        </is>
      </c>
      <c r="D198" s="146" t="inlineStr">
        <is>
          <t>ដឹក</t>
        </is>
      </c>
      <c r="E198" s="3" t="n"/>
      <c r="G198" t="inlineStr">
        <is>
          <t>ដឹក</t>
        </is>
      </c>
      <c r="H198" t="inlineStr">
        <is>
          <t>ដឹក</t>
        </is>
      </c>
      <c r="J198" s="217" t="inlineStr">
        <is>
          <t>"summaryRemuneration.deliveryOption": "Delivery",</t>
        </is>
      </c>
    </row>
    <row r="199" ht="15.75" customHeight="1" s="305">
      <c r="A199" s="146" t="inlineStr">
        <is>
          <t>summaryRemuneration.receiveOption</t>
        </is>
      </c>
      <c r="B199" s="146" t="inlineStr">
        <is>
          <t>Nhận</t>
        </is>
      </c>
      <c r="C199" s="146" t="inlineStr">
        <is>
          <t>Receive</t>
        </is>
      </c>
      <c r="D199" s="146" t="inlineStr">
        <is>
          <t>ទទួល</t>
        </is>
      </c>
      <c r="E199" s="3" t="n"/>
      <c r="G199" t="inlineStr">
        <is>
          <t>ទទួល</t>
        </is>
      </c>
      <c r="H199" t="inlineStr">
        <is>
          <t>ទទួល</t>
        </is>
      </c>
      <c r="J199" s="217" t="inlineStr">
        <is>
          <t>"summaryRemuneration.receiveOption": "Receive",</t>
        </is>
      </c>
    </row>
    <row r="200" ht="15.75" customHeight="1" s="305">
      <c r="A200" s="146" t="inlineStr">
        <is>
          <t>summaryRemuneration.connection</t>
        </is>
      </c>
      <c r="B200" s="146" t="inlineStr">
        <is>
          <t>Kết nối</t>
        </is>
      </c>
      <c r="C200" s="146" t="inlineStr">
        <is>
          <t>Connection</t>
        </is>
      </c>
      <c r="D200" s="146" t="inlineStr">
        <is>
          <t>ភ្ជាប់</t>
        </is>
      </c>
      <c r="E200" s="3" t="n"/>
      <c r="G200" t="inlineStr">
        <is>
          <t>ភ្ជាប់</t>
        </is>
      </c>
      <c r="H200" t="inlineStr">
        <is>
          <t>ភ្ជាប់</t>
        </is>
      </c>
      <c r="J200" s="217" t="inlineStr">
        <is>
          <t>"summaryRemuneration.connection": "Connection",</t>
        </is>
      </c>
    </row>
    <row r="201" ht="15.75" customHeight="1" s="305">
      <c r="A201" s="146" t="inlineStr">
        <is>
          <t>summaryRemuneration.management</t>
        </is>
      </c>
      <c r="B201" s="146" t="inlineStr">
        <is>
          <t>Quản lý</t>
        </is>
      </c>
      <c r="C201" s="146" t="inlineStr">
        <is>
          <t>Management</t>
        </is>
      </c>
      <c r="D201" s="146" t="inlineStr">
        <is>
          <t>គ្រប់គ្រង</t>
        </is>
      </c>
      <c r="E201" s="3" t="n"/>
      <c r="G201" t="inlineStr">
        <is>
          <t>ការគ្រប់គ្រង</t>
        </is>
      </c>
      <c r="H201" t="inlineStr">
        <is>
          <t>ការគ្រប់គ្រង</t>
        </is>
      </c>
      <c r="J201" s="217" t="inlineStr">
        <is>
          <t>"summaryRemuneration.management": "Management",</t>
        </is>
      </c>
    </row>
    <row r="202" ht="15.75" customHeight="1" s="305">
      <c r="A202" s="146" t="inlineStr">
        <is>
          <t>summaryRemuneration.month</t>
        </is>
      </c>
      <c r="B202" s="146" t="inlineStr">
        <is>
          <t>Tháng</t>
        </is>
      </c>
      <c r="C202" s="146" t="inlineStr">
        <is>
          <t>Month</t>
        </is>
      </c>
      <c r="D202" s="146" t="inlineStr">
        <is>
          <t>ខែ</t>
        </is>
      </c>
      <c r="E202" s="3" t="n"/>
      <c r="G202" t="inlineStr">
        <is>
          <t>ខែ</t>
        </is>
      </c>
      <c r="H202" t="inlineStr">
        <is>
          <t>ខែ</t>
        </is>
      </c>
      <c r="J202" s="217" t="inlineStr">
        <is>
          <t>"summaryRemuneration.month": "Month",</t>
        </is>
      </c>
    </row>
    <row r="203" ht="15.75" customHeight="1" s="305">
      <c r="A203" s="146" t="inlineStr">
        <is>
          <t>summaryRemuneration.day</t>
        </is>
      </c>
      <c r="B203" s="146" t="inlineStr">
        <is>
          <t>Ngày</t>
        </is>
      </c>
      <c r="C203" s="146" t="inlineStr">
        <is>
          <t>Day</t>
        </is>
      </c>
      <c r="D203" s="146" t="inlineStr">
        <is>
          <t>ថ្ងៃ</t>
        </is>
      </c>
      <c r="E203" s="3" t="n"/>
      <c r="G203" t="inlineStr">
        <is>
          <t>ថ្ងៃ</t>
        </is>
      </c>
      <c r="H203" t="inlineStr">
        <is>
          <t>ថ្ងៃ</t>
        </is>
      </c>
      <c r="J203" s="217" t="inlineStr">
        <is>
          <t>"summaryRemuneration.day": "Day",</t>
        </is>
      </c>
    </row>
    <row r="204" ht="15.75" customHeight="1" s="305">
      <c r="A204" s="146" t="inlineStr">
        <is>
          <t>summaryRemuneration.KPI</t>
        </is>
      </c>
      <c r="B204" s="146" t="inlineStr">
        <is>
          <t>Thưởng/phạt</t>
        </is>
      </c>
      <c r="C204" s="146" t="inlineStr">
        <is>
          <t>Reward/Penalty</t>
        </is>
      </c>
      <c r="D204" s="146" t="inlineStr">
        <is>
          <t>រង្វាន់/ពិន័យ</t>
        </is>
      </c>
      <c r="E204" s="3" t="n"/>
      <c r="G204" t="inlineStr">
        <is>
          <t>រង្វាន់/ពិន័យ</t>
        </is>
      </c>
      <c r="H204" t="inlineStr">
        <is>
          <t>រង្វាន់/ពិន័យ</t>
        </is>
      </c>
      <c r="J204" s="217" t="inlineStr">
        <is>
          <t>"summaryRemuneration.KPI": "Reward/Penalty",</t>
        </is>
      </c>
    </row>
    <row r="205" ht="15.75" customHeight="1" s="305">
      <c r="A205" s="146" t="inlineStr">
        <is>
          <t>summaryRemuneration.other</t>
        </is>
      </c>
      <c r="B205" s="146" t="inlineStr">
        <is>
          <t>Khác</t>
        </is>
      </c>
      <c r="C205" s="146" t="inlineStr">
        <is>
          <t>Other</t>
        </is>
      </c>
      <c r="D205" s="146" t="inlineStr">
        <is>
          <t>ផ្សេងៗ</t>
        </is>
      </c>
      <c r="E205" s="3" t="n"/>
      <c r="G205" t="inlineStr">
        <is>
          <t>ផ្សេងៗ</t>
        </is>
      </c>
      <c r="H205" t="inlineStr">
        <is>
          <t>ផ្សេងៗ</t>
        </is>
      </c>
      <c r="J205" s="217" t="inlineStr">
        <is>
          <t>"summaryRemuneration.other": "Other",</t>
        </is>
      </c>
    </row>
    <row r="206" ht="15.75" customHeight="1" s="305">
      <c r="A206" s="146" t="inlineStr">
        <is>
          <t>summaryRemuneration.endDay</t>
        </is>
      </c>
      <c r="B206" s="146" t="inlineStr">
        <is>
          <t>Chốt thù lao kết nối cuối ngày</t>
        </is>
      </c>
      <c r="C206" s="146" t="inlineStr">
        <is>
          <t>Finalize the connection fee at the end of the day.</t>
        </is>
      </c>
      <c r="D206" s="146" t="inlineStr">
        <is>
          <t>បិទប្រាក់ឧបត្ថម្ភភ្ជាប់ចុងថ្ងៃ</t>
        </is>
      </c>
      <c r="E206" s="3" t="n"/>
      <c r="G206" t="inlineStr">
        <is>
          <t>បិទប្រាក់ឧបត្ថម្ភភ្ជាប់ចុងថ្ងៃ</t>
        </is>
      </c>
      <c r="H206" t="inlineStr">
        <is>
          <t>បិទប្រាក់ឧបត្ថម្ភភ្ជាប់ចុងថ្ងៃ</t>
        </is>
      </c>
      <c r="J206" s="217" t="inlineStr">
        <is>
          <t>"summaryRemuneration.endDay": "Finalize the connection fee at the end of the day.",</t>
        </is>
      </c>
    </row>
    <row r="207" ht="15.75" customHeight="1" s="305">
      <c r="A207" s="146" t="inlineStr">
        <is>
          <t>summaryRemuneration.employeeDetail</t>
        </is>
      </c>
      <c r="B207" s="146" t="inlineStr">
        <is>
          <t>Chi tiết nhân viên:</t>
        </is>
      </c>
      <c r="C207" s="146" t="inlineStr">
        <is>
          <t>Employee Detail:</t>
        </is>
      </c>
      <c r="D207" s="146" t="inlineStr">
        <is>
          <t>លម្អិតបុគ្គលិក:</t>
        </is>
      </c>
      <c r="E207" s="3" t="n"/>
      <c r="G207" t="inlineStr">
        <is>
          <t>លម្អិតបុគ្គលិក:</t>
        </is>
      </c>
      <c r="H207" t="inlineStr">
        <is>
          <t>លម្អិតបុគ្គលិក:</t>
        </is>
      </c>
      <c r="J207" s="217" t="inlineStr">
        <is>
          <t>"summaryRemuneration.employeeDetail": "Employee Detail:",</t>
        </is>
      </c>
    </row>
    <row r="208" ht="15.75" customHeight="1" s="305">
      <c r="A208" s="146" t="inlineStr">
        <is>
          <t>summaryRemuneration.importFile</t>
        </is>
      </c>
      <c r="B208" s="146" t="inlineStr">
        <is>
          <t>File nhập</t>
        </is>
      </c>
      <c r="C208" s="146" t="inlineStr">
        <is>
          <t>Import file</t>
        </is>
      </c>
      <c r="D208" s="146" t="inlineStr">
        <is>
          <t>ឯកសារនាំចូល</t>
        </is>
      </c>
      <c r="E208" s="3" t="n"/>
      <c r="G208" t="inlineStr">
        <is>
          <t>ឯកសារនាំចូល</t>
        </is>
      </c>
      <c r="H208" t="inlineStr">
        <is>
          <t>ឯកសារនាំចូល</t>
        </is>
      </c>
      <c r="J208" s="217" t="inlineStr">
        <is>
          <t>"summaryRemuneration.importFile": "Import file",</t>
        </is>
      </c>
    </row>
    <row r="209" ht="15.75" customHeight="1" s="305">
      <c r="A209" s="146" t="inlineStr">
        <is>
          <t>summaryRemuneration.approver</t>
        </is>
      </c>
      <c r="B209" s="146" t="inlineStr">
        <is>
          <t>Người duyệt</t>
        </is>
      </c>
      <c r="C209" s="146" t="inlineStr">
        <is>
          <t>Approver</t>
        </is>
      </c>
      <c r="D209" s="146" t="inlineStr">
        <is>
          <t>អ្នកអនុម័ត</t>
        </is>
      </c>
      <c r="E209" s="3" t="n"/>
      <c r="G209" t="inlineStr">
        <is>
          <t>អ្នកអនុម័ត</t>
        </is>
      </c>
      <c r="H209" t="inlineStr">
        <is>
          <t>អ្នកអនុម័ត</t>
        </is>
      </c>
      <c r="J209" s="217" t="inlineStr">
        <is>
          <t>"summaryRemuneration.approver": "Approver",</t>
        </is>
      </c>
    </row>
    <row r="210" ht="15.75" customHeight="1" s="305">
      <c r="A210" s="146" t="inlineStr">
        <is>
          <t>summaryRemuneration.approvalTime</t>
        </is>
      </c>
      <c r="B210" s="146" t="inlineStr">
        <is>
          <t>Thời gian duyệt</t>
        </is>
      </c>
      <c r="C210" s="146" t="inlineStr">
        <is>
          <t>Approval time</t>
        </is>
      </c>
      <c r="D210" s="146" t="inlineStr">
        <is>
          <t>ពេលវេលាអនុម័ត</t>
        </is>
      </c>
      <c r="E210" s="3" t="n"/>
      <c r="G210" t="inlineStr">
        <is>
          <t>ពេលវេលាអនុម័ត</t>
        </is>
      </c>
      <c r="H210" t="inlineStr">
        <is>
          <t>ពេលវេលាអនុម័ត</t>
        </is>
      </c>
      <c r="J210" s="217" t="inlineStr">
        <is>
          <t>"summaryRemuneration.approvalTime": "Approval time",</t>
        </is>
      </c>
    </row>
    <row r="211" ht="15.75" customHeight="1" s="305">
      <c r="A211" s="146" t="inlineStr">
        <is>
          <t>summaryRemuneration.totalReceiveRevenueDevelopment</t>
        </is>
      </c>
      <c r="B211" s="146" t="inlineStr">
        <is>
          <t>Tổng doanh thu nhận tự phát triển</t>
        </is>
      </c>
      <c r="C211" s="146" t="inlineStr">
        <is>
          <t>Total revenue received from self-development</t>
        </is>
      </c>
      <c r="D211" s="146" t="inlineStr">
        <is>
          <t>សរុបចំណូលទទួលពីអភិវឌ្ឍ</t>
        </is>
      </c>
      <c r="E211" s="3" t="n"/>
      <c r="G211" t="inlineStr">
        <is>
          <t>សរុបចំណូលទទួលពីអភិវឌ្ឍ</t>
        </is>
      </c>
      <c r="H211" t="inlineStr">
        <is>
          <t>សរុបចំណូលទទួលពីអភិវឌ្ឍ</t>
        </is>
      </c>
      <c r="J211" s="217" t="inlineStr">
        <is>
          <t>"summaryRemuneration.totalReceiveRevenueDevelopment": "Total revenue received from self-development",</t>
        </is>
      </c>
    </row>
    <row r="212" ht="15.75" customHeight="1" s="305">
      <c r="A212" s="146" t="inlineStr">
        <is>
          <t>summaryRemuneration.totalReceiveRevenueNonDevelopment</t>
        </is>
      </c>
      <c r="B212" s="146" t="inlineStr">
        <is>
          <t>Tổng doanh thu nhận không tự phát triển</t>
        </is>
      </c>
      <c r="C212" s="146" t="inlineStr">
        <is>
          <t>Total revenue received not from self-development</t>
        </is>
      </c>
      <c r="D212" s="146" t="inlineStr">
        <is>
          <t>សរុបចំណូលទទួលមិនមែនអភិវឌ្ឍ</t>
        </is>
      </c>
      <c r="E212" s="3" t="n"/>
      <c r="G212" t="inlineStr">
        <is>
          <t>សរុបចំណូលទទួលមិនមែនអភិវឌ្ឍ</t>
        </is>
      </c>
      <c r="H212" t="inlineStr">
        <is>
          <t>សរុបចំណូលទទួលមិនមែនអភិវឌ្ឍ</t>
        </is>
      </c>
      <c r="J212" s="217" t="inlineStr">
        <is>
          <t>"summaryRemuneration.totalReceiveRevenueNonDevelopment": "Total revenue received not from self-development",</t>
        </is>
      </c>
    </row>
    <row r="213" ht="15.75" customHeight="1" s="305">
      <c r="A213" s="146" t="inlineStr">
        <is>
          <t>summaryRemuneration.totalDeliveryRevenue</t>
        </is>
      </c>
      <c r="B213" s="146" t="inlineStr">
        <is>
          <t>Tổng doanh thu giao tháng</t>
        </is>
      </c>
      <c r="C213" s="146" t="inlineStr">
        <is>
          <t>Total monthly delivery revenue</t>
        </is>
      </c>
      <c r="D213" s="146" t="inlineStr">
        <is>
          <t>សរុបចំណូលដឹកជញ្ជូនប្រចាំខែ</t>
        </is>
      </c>
      <c r="E213" s="3" t="n"/>
      <c r="G213" t="inlineStr">
        <is>
          <t>សរុបចំណូលដឹកជញ្ជូនប្រចាំខែ</t>
        </is>
      </c>
      <c r="H213" t="inlineStr">
        <is>
          <t>សរុបចំណូលដឹកជញ្ជូនប្រចាំខែ</t>
        </is>
      </c>
      <c r="J213" s="217" t="inlineStr">
        <is>
          <t>"summaryRemuneration.totalDeliveryRevenue": "Total monthly delivery revenue",</t>
        </is>
      </c>
    </row>
    <row r="214" ht="15.75" customHeight="1" s="305">
      <c r="A214" s="146" t="inlineStr">
        <is>
          <t>summaryRemuneration.targetObject</t>
        </is>
      </c>
      <c r="B214" s="146" t="inlineStr">
        <is>
          <t>Đối tượng</t>
        </is>
      </c>
      <c r="C214" s="146" t="inlineStr">
        <is>
          <t>Target object</t>
        </is>
      </c>
      <c r="D214" s="146" t="inlineStr">
        <is>
          <t>វត្ថុគោលដៅ</t>
        </is>
      </c>
      <c r="E214" s="3" t="n"/>
      <c r="G214" t="inlineStr">
        <is>
          <t>វត្ថុគោលដៅ</t>
        </is>
      </c>
      <c r="H214" t="inlineStr">
        <is>
          <t>វត្ថុគោលដៅ</t>
        </is>
      </c>
      <c r="J214" s="217" t="inlineStr">
        <is>
          <t>"summaryRemuneration.targetObject": "Target object",</t>
        </is>
      </c>
    </row>
    <row r="215" ht="15.75" customHeight="1" s="305">
      <c r="A215" s="146" t="inlineStr">
        <is>
          <t>summaryRemuneration.jobTitle</t>
        </is>
      </c>
      <c r="B215" s="146" t="inlineStr">
        <is>
          <t>Chức danh</t>
        </is>
      </c>
      <c r="C215" s="146" t="inlineStr">
        <is>
          <t>Job title</t>
        </is>
      </c>
      <c r="D215" s="146" t="inlineStr">
        <is>
          <t>មុខតំណែង</t>
        </is>
      </c>
      <c r="E215" s="3" t="n"/>
      <c r="G215" t="inlineStr">
        <is>
          <t>មុខតំណែង</t>
        </is>
      </c>
      <c r="H215" t="inlineStr">
        <is>
          <t>មុខតំណែង</t>
        </is>
      </c>
      <c r="J215" s="217" t="inlineStr">
        <is>
          <t>"summaryRemuneration.jobTitle": "Job title",</t>
        </is>
      </c>
    </row>
    <row r="216" ht="15.75" customHeight="1" s="305">
      <c r="A216" s="146" t="inlineStr">
        <is>
          <t>summaryRemuneration.volumeGroup</t>
        </is>
      </c>
      <c r="B216" s="146" t="inlineStr">
        <is>
          <t>Sản lượng</t>
        </is>
      </c>
      <c r="C216" s="146" t="inlineStr">
        <is>
          <t>Volume</t>
        </is>
      </c>
      <c r="D216" s="146" t="inlineStr">
        <is>
          <t>បរិមាណ</t>
        </is>
      </c>
      <c r="E216" s="3" t="n"/>
      <c r="G216" t="inlineStr">
        <is>
          <t>បរិមាណ</t>
        </is>
      </c>
      <c r="H216" t="inlineStr">
        <is>
          <t>បរិមាណ</t>
        </is>
      </c>
      <c r="J216" s="217" t="inlineStr">
        <is>
          <t>"summaryRemuneration.volumeGroup": "Volume",</t>
        </is>
      </c>
    </row>
    <row r="217" ht="15.75" customHeight="1" s="305">
      <c r="A217" s="146" t="inlineStr">
        <is>
          <t>summaryRemuneration.deliveryVolume</t>
        </is>
      </c>
      <c r="B217" s="146" t="inlineStr">
        <is>
          <t>Giao hàng</t>
        </is>
      </c>
      <c r="C217" s="146" t="inlineStr">
        <is>
          <t>Delivery</t>
        </is>
      </c>
      <c r="D217" s="146" t="inlineStr">
        <is>
          <t>ដឹកជញ្ជូន</t>
        </is>
      </c>
      <c r="E217" s="3" t="n"/>
      <c r="G217" t="inlineStr">
        <is>
          <t>ដឹកជញ្ជូន</t>
        </is>
      </c>
      <c r="H217" t="inlineStr">
        <is>
          <t>ដឹកជញ្ជូន</t>
        </is>
      </c>
      <c r="J217" s="217" t="inlineStr">
        <is>
          <t>"summaryRemuneration.deliveryVolume": "Delivery",</t>
        </is>
      </c>
    </row>
    <row r="218" ht="15.75" customHeight="1" s="305">
      <c r="A218" s="146" t="inlineStr">
        <is>
          <t>summaryRemuneration.receiveVolume</t>
        </is>
      </c>
      <c r="B218" s="146" t="inlineStr">
        <is>
          <t>Nhận hàng</t>
        </is>
      </c>
      <c r="C218" s="146" t="inlineStr">
        <is>
          <t>Receiving</t>
        </is>
      </c>
      <c r="D218" s="146" t="inlineStr">
        <is>
          <t>ទទួល</t>
        </is>
      </c>
      <c r="E218" s="3" t="n"/>
      <c r="G218" t="inlineStr">
        <is>
          <t>ទទួល</t>
        </is>
      </c>
      <c r="H218" t="inlineStr">
        <is>
          <t>ទទួល</t>
        </is>
      </c>
      <c r="J218" s="217" t="inlineStr">
        <is>
          <t>"summaryRemuneration.receiveVolume": "Receiving",</t>
        </is>
      </c>
    </row>
    <row r="219" ht="15.75" customHeight="1" s="305">
      <c r="A219" s="146" t="inlineStr">
        <is>
          <t>summaryRemuneration.tripVolume</t>
        </is>
      </c>
      <c r="B219" s="146" t="inlineStr">
        <is>
          <t>Chuyến xe</t>
        </is>
      </c>
      <c r="C219" s="146" t="inlineStr">
        <is>
          <t>Trip</t>
        </is>
      </c>
      <c r="D219" s="146" t="inlineStr">
        <is>
          <t>ដំណើរ</t>
        </is>
      </c>
      <c r="E219" s="3" t="n"/>
      <c r="G219" t="inlineStr">
        <is>
          <t>ដំណើរ</t>
        </is>
      </c>
      <c r="H219" t="inlineStr">
        <is>
          <t>ដំណើរ</t>
        </is>
      </c>
      <c r="J219" s="217" t="inlineStr">
        <is>
          <t>"summaryRemuneration.tripVolume": "Trip",</t>
        </is>
      </c>
    </row>
    <row r="220" ht="15.75" customHeight="1" s="305">
      <c r="A220" s="146" t="inlineStr">
        <is>
          <t>summaryRemuneration.salaryGroup</t>
        </is>
      </c>
      <c r="B220" s="146" t="inlineStr">
        <is>
          <t>Lương khoán</t>
        </is>
      </c>
      <c r="C220" s="146" t="inlineStr">
        <is>
          <t>Fixed salary</t>
        </is>
      </c>
      <c r="D220" s="146" t="inlineStr">
        <is>
          <t>ប្រាក់ខែថេរ</t>
        </is>
      </c>
      <c r="E220" s="3" t="n"/>
      <c r="G220" t="inlineStr">
        <is>
          <t>ប្រាក់ខែថេរ</t>
        </is>
      </c>
      <c r="H220" t="inlineStr">
        <is>
          <t>ប្រាក់ខែថេរ</t>
        </is>
      </c>
      <c r="J220" s="217" t="inlineStr">
        <is>
          <t>"summaryRemuneration.salaryGroup": "Fixed salary",</t>
        </is>
      </c>
    </row>
    <row r="221" ht="15.75" customHeight="1" s="305">
      <c r="A221" s="146" t="inlineStr">
        <is>
          <t>summaryRemuneration.kpiElement</t>
        </is>
      </c>
      <c r="B221" s="146" t="inlineStr">
        <is>
          <t>Hoàn thành KPI</t>
        </is>
      </c>
      <c r="C221" s="146" t="inlineStr">
        <is>
          <t>KPI Completion</t>
        </is>
      </c>
      <c r="D221" s="146" t="inlineStr">
        <is>
          <t>បំពេញ KPI</t>
        </is>
      </c>
      <c r="E221" s="3" t="n"/>
      <c r="G221" t="inlineStr">
        <is>
          <t>បំពេញ KPI</t>
        </is>
      </c>
      <c r="H221" t="inlineStr">
        <is>
          <t>បំពេញ KPI</t>
        </is>
      </c>
      <c r="J221" s="217" t="inlineStr">
        <is>
          <t>"summaryRemuneration.kpiElement": "KPI Completion",</t>
        </is>
      </c>
    </row>
    <row r="222" ht="15.75" customHeight="1" s="305">
      <c r="A222" s="146" t="inlineStr">
        <is>
          <t>summaryRemuneration.giaoElement</t>
        </is>
      </c>
      <c r="B222" s="146" t="inlineStr">
        <is>
          <t>Giao</t>
        </is>
      </c>
      <c r="C222" s="146" t="inlineStr">
        <is>
          <t>Delivery</t>
        </is>
      </c>
      <c r="D222" s="146" t="inlineStr">
        <is>
          <t>ដឹក</t>
        </is>
      </c>
      <c r="E222" s="159" t="n"/>
      <c r="G222" t="inlineStr">
        <is>
          <t>ដឹក</t>
        </is>
      </c>
      <c r="H222" t="inlineStr">
        <is>
          <t>ដឹក</t>
        </is>
      </c>
      <c r="J222" s="217" t="inlineStr">
        <is>
          <t>"summaryRemuneration.giaoElement": "Delivery",</t>
        </is>
      </c>
    </row>
    <row r="223" ht="15.75" customHeight="1" s="305">
      <c r="A223" s="146" t="inlineStr">
        <is>
          <t>summaryRemuneration.nhanElement</t>
        </is>
      </c>
      <c r="B223" s="146" t="inlineStr">
        <is>
          <t>Nhận</t>
        </is>
      </c>
      <c r="C223" s="146" t="inlineStr">
        <is>
          <t>Receiving</t>
        </is>
      </c>
      <c r="D223" s="146" t="inlineStr">
        <is>
          <t>ទទួល</t>
        </is>
      </c>
      <c r="E223" s="3" t="n"/>
      <c r="G223" t="inlineStr">
        <is>
          <t>ទទួល</t>
        </is>
      </c>
      <c r="H223" t="inlineStr">
        <is>
          <t>ទទួល</t>
        </is>
      </c>
      <c r="J223" s="217" t="inlineStr">
        <is>
          <t>"summaryRemuneration.nhanElement": "Receiving",</t>
        </is>
      </c>
    </row>
    <row r="224" ht="15.75" customHeight="1" s="305">
      <c r="A224" s="146" t="inlineStr">
        <is>
          <t>summaryRemuneration.khaithacElement</t>
        </is>
      </c>
      <c r="B224" s="146" t="inlineStr">
        <is>
          <t>Khai thác</t>
        </is>
      </c>
      <c r="C224" s="146" t="inlineStr">
        <is>
          <t>Operations</t>
        </is>
      </c>
      <c r="D224" s="146" t="inlineStr">
        <is>
          <t>ប្រើប្រាស់</t>
        </is>
      </c>
      <c r="E224" s="3" t="n"/>
      <c r="G224" t="inlineStr">
        <is>
          <t>ប្រតិបត្តិការចាត់ចែងបញ្ញើ</t>
        </is>
      </c>
      <c r="H224" t="inlineStr">
        <is>
          <t>ប្រតិបត្តិការចាត់ចែងបញ្ញើ</t>
        </is>
      </c>
      <c r="J224" s="217" t="inlineStr">
        <is>
          <t>"summaryRemuneration.khaithacElement": "Operations",</t>
        </is>
      </c>
    </row>
    <row r="225" ht="15.75" customHeight="1" s="305">
      <c r="A225" s="146" t="inlineStr">
        <is>
          <t>summaryRemuneration.ketnoiElement</t>
        </is>
      </c>
      <c r="B225" s="146" t="inlineStr">
        <is>
          <t>Kết nối</t>
        </is>
      </c>
      <c r="C225" s="146" t="inlineStr">
        <is>
          <t>Connection</t>
        </is>
      </c>
      <c r="D225" s="146" t="inlineStr">
        <is>
          <t>ភ្ជាប់</t>
        </is>
      </c>
      <c r="E225" s="3" t="n"/>
      <c r="G225" t="inlineStr">
        <is>
          <t>ភ្ជាប់</t>
        </is>
      </c>
      <c r="H225" t="inlineStr">
        <is>
          <t>ភ្ជាប់</t>
        </is>
      </c>
      <c r="J225" s="217" t="inlineStr">
        <is>
          <t>"summaryRemuneration.ketnoiElement": "Connection",</t>
        </is>
      </c>
    </row>
    <row r="226" ht="15.75" customHeight="1" s="305">
      <c r="A226" s="146" t="inlineStr">
        <is>
          <t>summaryRemuneration.thuLaoKPI</t>
        </is>
      </c>
      <c r="B226" s="146" t="inlineStr">
        <is>
          <t>Thù lao hoàn thành KPI</t>
        </is>
      </c>
      <c r="C226" s="146" t="inlineStr">
        <is>
          <t>KPI Completion Allowance</t>
        </is>
      </c>
      <c r="D226" s="146" t="inlineStr">
        <is>
          <t>ប្រាក់បំណាច់ KPI</t>
        </is>
      </c>
      <c r="E226" s="3" t="n"/>
      <c r="G226" t="inlineStr">
        <is>
          <t>ប្រាក់បំណាច់ KPI</t>
        </is>
      </c>
      <c r="H226" t="inlineStr">
        <is>
          <t>ប្រាក់បំណាច់ KPI</t>
        </is>
      </c>
      <c r="J226" s="217" t="inlineStr">
        <is>
          <t>"summaryRemuneration.thuLaoKPI": "KPI Completion Allowance",</t>
        </is>
      </c>
    </row>
    <row r="227" ht="15.75" customHeight="1" s="305">
      <c r="A227" s="146" t="inlineStr">
        <is>
          <t>summaryRemuneration.thuLaoGiao</t>
        </is>
      </c>
      <c r="B227" s="146" t="inlineStr">
        <is>
          <t>Thù lao giao</t>
        </is>
      </c>
      <c r="C227" s="146" t="inlineStr">
        <is>
          <t>Delivery Allowance</t>
        </is>
      </c>
      <c r="D227" s="146" t="inlineStr">
        <is>
          <t>ប្រាក់បំណាច់ចែកចាយ</t>
        </is>
      </c>
      <c r="E227" s="3" t="n"/>
      <c r="G227" t="inlineStr">
        <is>
          <t>ប្រាក់បំណាច់ចែកចាយ</t>
        </is>
      </c>
      <c r="H227" t="inlineStr">
        <is>
          <t>ប្រាក់បំណាច់ចែកចាយ</t>
        </is>
      </c>
      <c r="J227" s="217" t="inlineStr">
        <is>
          <t>"summaryRemuneration.thuLaoGiao": "Delivery Allowance",</t>
        </is>
      </c>
    </row>
    <row r="228" ht="15.75" customHeight="1" s="305">
      <c r="A228" s="146" t="inlineStr">
        <is>
          <t>summaryRemuneration.thuLaoNhan</t>
        </is>
      </c>
      <c r="B228" s="146" t="inlineStr">
        <is>
          <t>Thù lao nhận</t>
        </is>
      </c>
      <c r="C228" s="146" t="inlineStr">
        <is>
          <t>Receive Allowance</t>
        </is>
      </c>
      <c r="D228" s="146" t="inlineStr">
        <is>
          <t>ប្រាក់បំណាច់ទទួល</t>
        </is>
      </c>
      <c r="E228" s="3" t="n"/>
      <c r="G228" t="inlineStr">
        <is>
          <t>ប្រាក់បំណាច់ទទួល</t>
        </is>
      </c>
      <c r="H228" t="inlineStr">
        <is>
          <t>ប្រាក់បំណាច់ទទួល</t>
        </is>
      </c>
      <c r="J228" s="217" t="inlineStr">
        <is>
          <t>"summaryRemuneration.thuLaoNhan": "Receive Allowance",</t>
        </is>
      </c>
    </row>
    <row r="229" ht="15.75" customHeight="1" s="305">
      <c r="A229" s="146" t="inlineStr">
        <is>
          <t>summaryRemuneration.thuLaoKhaithac</t>
        </is>
      </c>
      <c r="B229" s="146" t="inlineStr">
        <is>
          <t>Thù lao khai thác</t>
        </is>
      </c>
      <c r="C229" s="146" t="inlineStr">
        <is>
          <t>Exploitation Allowance</t>
        </is>
      </c>
      <c r="D229" s="146" t="inlineStr">
        <is>
          <t>ប្រាក់បំណាច់ប្រតិបត្តិការ</t>
        </is>
      </c>
      <c r="E229" s="3" t="n"/>
      <c r="G229" t="inlineStr">
        <is>
          <t>ប្រាក់បំណាច់ប្រតិបត្តិការ</t>
        </is>
      </c>
      <c r="H229" t="inlineStr">
        <is>
          <t>ប្រាក់បំណាច់ប្រតិបត្តិការ</t>
        </is>
      </c>
      <c r="J229" s="217" t="inlineStr">
        <is>
          <t>"summaryRemuneration.thuLaoKhaithac": "Exploitation Allowance",</t>
        </is>
      </c>
    </row>
    <row r="230" ht="15.75" customHeight="1" s="305">
      <c r="A230" s="146" t="inlineStr">
        <is>
          <t>summaryRemuneration.thuLaoKetnoi</t>
        </is>
      </c>
      <c r="B230" s="146" t="inlineStr">
        <is>
          <t>Thù lao kết nối</t>
        </is>
      </c>
      <c r="C230" s="146" t="inlineStr">
        <is>
          <t>Connection Allowance</t>
        </is>
      </c>
      <c r="D230" s="146" t="inlineStr">
        <is>
          <t>ប្រាក់បំណាច់ភ្ជាប់</t>
        </is>
      </c>
      <c r="E230" s="3" t="n"/>
      <c r="G230" t="inlineStr">
        <is>
          <t>ប្រាក់បំណាច់ភ្ជាប់</t>
        </is>
      </c>
      <c r="H230" t="inlineStr">
        <is>
          <t>ប្រាក់បំណាច់ភ្ជាប់</t>
        </is>
      </c>
      <c r="J230" s="217" t="inlineStr">
        <is>
          <t>"summaryRemuneration.thuLaoKetnoi": "Connection Allowance",</t>
        </is>
      </c>
    </row>
    <row r="231" ht="15.75" customHeight="1" s="305">
      <c r="A231" s="146" t="inlineStr">
        <is>
          <t>summaryRemuneration.thuLaoKhac</t>
        </is>
      </c>
      <c r="B231" s="146" t="inlineStr">
        <is>
          <t>Thù lao khác</t>
        </is>
      </c>
      <c r="C231" s="146" t="inlineStr">
        <is>
          <t>Other Allowance</t>
        </is>
      </c>
      <c r="D231" s="146" t="inlineStr">
        <is>
          <t>ប្រាក់បំណាច់ត្រឹមតែព្រើន</t>
        </is>
      </c>
      <c r="E231" s="3" t="n"/>
      <c r="G231" t="inlineStr">
        <is>
          <t>ប្រាក់បំណាច់ត្រឹមតែព្រើន</t>
        </is>
      </c>
      <c r="H231" t="inlineStr">
        <is>
          <t>ប្រាក់បំណាច់ត្រឹមតែព្រើន</t>
        </is>
      </c>
      <c r="J231" s="217" t="inlineStr">
        <is>
          <t>"summaryRemuneration.thuLaoKhac": "Other Allowance",</t>
        </is>
      </c>
    </row>
    <row r="232" ht="15.75" customHeight="1" s="305">
      <c r="A232" s="146" t="inlineStr">
        <is>
          <t>summaryRemuneration.newCustomer</t>
        </is>
      </c>
      <c r="B232" s="146" t="inlineStr">
        <is>
          <t>Khách hàng mới</t>
        </is>
      </c>
      <c r="C232" s="146" t="inlineStr">
        <is>
          <t>New customer</t>
        </is>
      </c>
      <c r="D232" s="146" t="inlineStr">
        <is>
          <t>អតិថិជនថ្មី</t>
        </is>
      </c>
      <c r="E232" s="3" t="n"/>
      <c r="G232" t="inlineStr">
        <is>
          <t>អតិថិជនថ្មី</t>
        </is>
      </c>
      <c r="H232" t="inlineStr">
        <is>
          <t>អតិថិជនថ្មី</t>
        </is>
      </c>
      <c r="J232" s="217" t="inlineStr">
        <is>
          <t>"summaryRemuneration.newCustomer": "New customer",</t>
        </is>
      </c>
    </row>
    <row r="233" ht="15.75" customHeight="1" s="305">
      <c r="A233" s="146" t="inlineStr">
        <is>
          <t>summaryRemuneration.customerId</t>
        </is>
      </c>
      <c r="B233" s="146" t="inlineStr">
        <is>
          <t>ID khách hàng</t>
        </is>
      </c>
      <c r="C233" s="146" t="inlineStr">
        <is>
          <t>Customer ID</t>
        </is>
      </c>
      <c r="D233" s="146" t="inlineStr">
        <is>
          <t>ID អតិថិជន</t>
        </is>
      </c>
      <c r="E233" s="3" t="n"/>
      <c r="G233" t="inlineStr">
        <is>
          <t>ID អតិថិជន</t>
        </is>
      </c>
      <c r="H233" t="inlineStr">
        <is>
          <t>ID អតិថិជន</t>
        </is>
      </c>
      <c r="J233" s="217" t="inlineStr">
        <is>
          <t>"summaryRemuneration.customerId": "Customer ID",</t>
        </is>
      </c>
    </row>
    <row r="234" ht="15.75" customHeight="1" s="305">
      <c r="A234" s="146" t="inlineStr">
        <is>
          <t>summaryRemuneration.contractMonth</t>
        </is>
      </c>
      <c r="B234" s="146" t="inlineStr">
        <is>
          <t>Tháng khoán</t>
        </is>
      </c>
      <c r="C234" s="146" t="inlineStr">
        <is>
          <t>Contract Month</t>
        </is>
      </c>
      <c r="D234" s="146" t="inlineStr">
        <is>
          <t>ខែកិច្ចសន្យា</t>
        </is>
      </c>
      <c r="E234" s="3" t="n"/>
      <c r="G234" t="inlineStr">
        <is>
          <t>ខែកិច្ចសន្យា</t>
        </is>
      </c>
      <c r="H234" t="inlineStr">
        <is>
          <t>ខែកិច្ចសន្យា</t>
        </is>
      </c>
      <c r="J234" s="217" t="inlineStr">
        <is>
          <t>"summaryRemuneration.contractMonth": "Contract Month",</t>
        </is>
      </c>
    </row>
    <row r="235" ht="15.75" customHeight="1" s="305">
      <c r="A235" s="146" t="inlineStr">
        <is>
          <t>summaryRemuneration.customerName</t>
        </is>
      </c>
      <c r="B235" s="146" t="inlineStr">
        <is>
          <t>Tên khách hàng</t>
        </is>
      </c>
      <c r="C235" s="146" t="inlineStr">
        <is>
          <t>Customer Name</t>
        </is>
      </c>
      <c r="D235" s="146" t="inlineStr">
        <is>
          <t>នាមអតិថិជន</t>
        </is>
      </c>
      <c r="E235" s="3" t="n"/>
      <c r="G235" t="inlineStr">
        <is>
          <t>នាមអតិថិជន</t>
        </is>
      </c>
      <c r="H235" t="inlineStr">
        <is>
          <t>នាមអតិថិជន</t>
        </is>
      </c>
      <c r="J235" s="217" t="inlineStr">
        <is>
          <t>"summaryRemuneration.customerName": "Customer Name",</t>
        </is>
      </c>
    </row>
    <row r="236" ht="15.75" customHeight="1" s="305">
      <c r="A236" s="146" t="inlineStr">
        <is>
          <t>summaryRemuneration.occurrenceDate</t>
        </is>
      </c>
      <c r="B236" s="146" t="inlineStr">
        <is>
          <t>Ngày phát sinh</t>
        </is>
      </c>
      <c r="C236" s="146" t="inlineStr">
        <is>
          <t>Occurrence Date</t>
        </is>
      </c>
      <c r="D236" s="146" t="inlineStr">
        <is>
          <t>ថ្ងៃកើតឡើង</t>
        </is>
      </c>
      <c r="E236" s="3" t="n"/>
      <c r="G236" t="inlineStr">
        <is>
          <t>ថ្ងៃកើតឡើង</t>
        </is>
      </c>
      <c r="H236" t="inlineStr">
        <is>
          <t>ថ្ងៃកើតឡើង</t>
        </is>
      </c>
      <c r="J236" s="217" t="inlineStr">
        <is>
          <t>"summaryRemuneration.occurrenceDate": "Occurrence Date",</t>
        </is>
      </c>
    </row>
    <row r="237" ht="15.75" customHeight="1" s="305">
      <c r="A237" s="146" t="inlineStr">
        <is>
          <t>summaryRemuneration.revenueMonthCount</t>
        </is>
      </c>
      <c r="B237" s="146" t="inlineStr">
        <is>
          <t>Số tháng doanh thu (tháng)</t>
        </is>
      </c>
      <c r="C237" s="146" t="inlineStr">
        <is>
          <t>Revenue Months (months)</t>
        </is>
      </c>
      <c r="D237" s="146" t="inlineStr">
        <is>
          <t>ចំនួនខែប្រាក់ចំណូល (ខែ)</t>
        </is>
      </c>
      <c r="E237" s="3" t="n"/>
      <c r="G237" t="inlineStr">
        <is>
          <t>ចំនួនខែប្រាក់ចំណូល (ខែ)</t>
        </is>
      </c>
      <c r="H237" t="inlineStr">
        <is>
          <t>ចំនួនខែប្រាក់ចំណូល (ខែ)</t>
        </is>
      </c>
      <c r="J237" s="217" t="inlineStr">
        <is>
          <t>"summaryRemuneration.revenueMonthCount": "Revenue Months (months)",</t>
        </is>
      </c>
    </row>
    <row r="238" ht="15.75" customHeight="1" s="305">
      <c r="A238" s="146" t="inlineStr">
        <is>
          <t>summaryRemuneration.revenueOccurrenceMonth</t>
        </is>
      </c>
      <c r="B238" s="146" t="inlineStr">
        <is>
          <t>Doanh thu tháng phát sinh ({{current}})</t>
        </is>
      </c>
      <c r="C238" s="146" t="inlineStr">
        <is>
          <t>Revenue of Occurrence Month ({{current}})</t>
        </is>
      </c>
      <c r="D238" s="146" t="inlineStr">
        <is>
          <t>ប្រាក់ចំណូលខែកើត ({{current}})</t>
        </is>
      </c>
      <c r="E238" s="3" t="n"/>
      <c r="G238" t="inlineStr">
        <is>
          <t>ប្រាក់ចំណូលខែកើត ({{current}})</t>
        </is>
      </c>
      <c r="H238" t="inlineStr">
        <is>
          <t>ប្រាក់ចំណូលខែកើត ({{current}})</t>
        </is>
      </c>
      <c r="J238" s="217" t="inlineStr">
        <is>
          <t>"summaryRemuneration.revenueOccurrenceMonth": "Revenue of Occurrence Month ({{current}})",</t>
        </is>
      </c>
    </row>
    <row r="239" ht="15.75" customHeight="1" s="305">
      <c r="A239" s="146" t="inlineStr">
        <is>
          <t>summaryRemuneration.revenueCurrentMonth</t>
        </is>
      </c>
      <c r="B239" s="146" t="inlineStr">
        <is>
          <t>Doanh thu tháng hiện tại ({{current}})</t>
        </is>
      </c>
      <c r="C239" s="146" t="inlineStr">
        <is>
          <t>Revenue of Current Month ({{current}})</t>
        </is>
      </c>
      <c r="D239" s="146" t="inlineStr">
        <is>
          <t>ប្រាក់ចំណូលខែបច្ចុប្បន្ន ({{current}})</t>
        </is>
      </c>
      <c r="E239" s="3" t="n"/>
      <c r="G239" t="inlineStr">
        <is>
          <t>ប្រាក់ចំណូលខែបច្ចុប្បន្ន ({{current}})</t>
        </is>
      </c>
      <c r="H239" t="inlineStr">
        <is>
          <t>ប្រាក់ចំណូលខែបច្ចុប្បន្ន ({{current}})</t>
        </is>
      </c>
      <c r="J239" s="217" t="inlineStr">
        <is>
          <t>"summaryRemuneration.revenueCurrentMonth": "Revenue of Current Month ({{current}})",</t>
        </is>
      </c>
    </row>
    <row r="240" ht="15.75" customHeight="1" s="305">
      <c r="A240" s="146" t="inlineStr">
        <is>
          <t>summaryRemuneration.discountCurrentMonth</t>
        </is>
      </c>
      <c r="B240" s="146" t="inlineStr">
        <is>
          <t>Giảm giá tháng hiện tại ({{current}})</t>
        </is>
      </c>
      <c r="C240" s="146" t="inlineStr">
        <is>
          <t>Discount Current Month ({{current}})</t>
        </is>
      </c>
      <c r="D240" s="146" t="inlineStr">
        <is>
          <t>បញ្ចុះតម្លៃខែបច្ចុប្បន្ន ({{current}})</t>
        </is>
      </c>
      <c r="E240" s="3" t="n"/>
      <c r="G240" t="inlineStr">
        <is>
          <t>បញ្ចុះតម្លៃខែបច្ចុប្បន្ន ({{current}})</t>
        </is>
      </c>
      <c r="H240" t="inlineStr">
        <is>
          <t>បញ្ចុះតម្លៃខែបច្ចុប្បន្ន ({{current}})</t>
        </is>
      </c>
      <c r="J240" s="217" t="inlineStr">
        <is>
          <t>"summaryRemuneration.discountCurrentMonth": "Discount Current Month ({{current}})",</t>
        </is>
      </c>
    </row>
    <row r="241" ht="15.75" customHeight="1" s="305">
      <c r="A241" s="146" t="inlineStr">
        <is>
          <t>summaryRemuneration.bonusRate</t>
        </is>
      </c>
      <c r="B241" s="146" t="inlineStr">
        <is>
          <t>Tỷ lệ thưởng (%)</t>
        </is>
      </c>
      <c r="C241" s="146" t="inlineStr">
        <is>
          <t>Bonus Rate (%)</t>
        </is>
      </c>
      <c r="D241" s="146" t="inlineStr">
        <is>
          <t>អត្រាប្រាក់រង្វាន់ (%)</t>
        </is>
      </c>
      <c r="E241" s="3" t="n"/>
      <c r="G241" t="inlineStr">
        <is>
          <t>អត្រាប្រាក់រង្វាន់ (%)</t>
        </is>
      </c>
      <c r="H241" t="inlineStr">
        <is>
          <t>អត្រាប្រាក់រង្វាន់ (%)</t>
        </is>
      </c>
      <c r="J241" s="217" t="inlineStr">
        <is>
          <t>"summaryRemuneration.bonusRate": "Bonus Rate (%)",</t>
        </is>
      </c>
    </row>
    <row r="242" ht="15.75" customHeight="1" s="305">
      <c r="A242" s="146" t="inlineStr">
        <is>
          <t>summaryRemuneration.employeeReferrer</t>
        </is>
      </c>
      <c r="B242" s="146" t="inlineStr">
        <is>
          <t>Nhân viên giới thiệu</t>
        </is>
      </c>
      <c r="C242" s="146" t="inlineStr">
        <is>
          <t>Employee Referrer</t>
        </is>
      </c>
      <c r="D242" s="146" t="inlineStr">
        <is>
          <t>បុគ្គលិកណែនាំ</t>
        </is>
      </c>
      <c r="E242" s="3" t="n"/>
      <c r="G242" t="inlineStr">
        <is>
          <t>បុគ្គលិកណែនាំ</t>
        </is>
      </c>
      <c r="H242" t="inlineStr">
        <is>
          <t>បុគ្គលិកណែនាំ</t>
        </is>
      </c>
      <c r="J242" s="217" t="inlineStr">
        <is>
          <t>"summaryRemuneration.employeeReferrer": "Employee Referrer",</t>
        </is>
      </c>
    </row>
    <row r="243" ht="15.75" customHeight="1" s="305">
      <c r="A243" s="146" t="inlineStr">
        <is>
          <t>summaryRemuneration.leaveDays</t>
        </is>
      </c>
      <c r="B243" s="146" t="inlineStr">
        <is>
          <t>Số ngày nghỉ</t>
        </is>
      </c>
      <c r="C243" s="146" t="inlineStr">
        <is>
          <t>Leave Days</t>
        </is>
      </c>
      <c r="D243" s="146" t="inlineStr">
        <is>
          <t>ចំនួនថ្ងៃឈប់សម្រាក</t>
        </is>
      </c>
      <c r="E243" s="3" t="n"/>
      <c r="G243" t="inlineStr">
        <is>
          <t>ចំនួនថ្ងៃឈប់សម្រាក</t>
        </is>
      </c>
      <c r="H243" t="inlineStr">
        <is>
          <t>ចំនួនថ្ងៃឈប់សម្រាក</t>
        </is>
      </c>
      <c r="J243" s="217" t="inlineStr">
        <is>
          <t>"summaryRemuneration.leaveDays": "Leave Days",</t>
        </is>
      </c>
    </row>
    <row r="244" ht="15.75" customHeight="1" s="305">
      <c r="A244" s="146" t="inlineStr">
        <is>
          <t>summaryRemuneration.personalKpiRate</t>
        </is>
      </c>
      <c r="B244" s="146" t="inlineStr">
        <is>
          <t>Tỷ lệ hoàn thành KPI cá nhân (%)</t>
        </is>
      </c>
      <c r="C244" s="146" t="inlineStr">
        <is>
          <t>Personal KPI Completion Rate (%)</t>
        </is>
      </c>
      <c r="D244" s="146" t="inlineStr">
        <is>
          <t>អត្រាបំពេញ KPI ផ្ទាល់ខ្លួន (%)</t>
        </is>
      </c>
      <c r="E244" s="3" t="n"/>
      <c r="G244" t="inlineStr">
        <is>
          <t>អត្រាបំពេញ KPI ផ្ទាល់ខ្លួន (%)</t>
        </is>
      </c>
      <c r="H244" t="inlineStr">
        <is>
          <t>អត្រាបំពេញ KPI ផ្ទាល់ខ្លួន (%)</t>
        </is>
      </c>
      <c r="J244" s="217" t="inlineStr">
        <is>
          <t>"summaryRemuneration.personalKpiRate": "Personal KPI Completion Rate (%)",</t>
        </is>
      </c>
    </row>
    <row r="245" ht="15.75" customHeight="1" s="305">
      <c r="A245" s="146" t="inlineStr">
        <is>
          <t>summaryRemuneration.haySalary</t>
        </is>
      </c>
      <c r="B245" s="146" t="inlineStr">
        <is>
          <t>Lương HAY ({{current}})</t>
        </is>
      </c>
      <c r="C245" s="146" t="inlineStr">
        <is>
          <t>HAY Salary ({{current}})</t>
        </is>
      </c>
      <c r="D245" s="146" t="inlineStr">
        <is>
          <t>ប្រាក់ខែ HAY ({{current}})</t>
        </is>
      </c>
      <c r="E245" s="3" t="n"/>
      <c r="G245" t="inlineStr">
        <is>
          <t>ប្រាក់ខែ HAY ({{current}})</t>
        </is>
      </c>
      <c r="H245" t="inlineStr">
        <is>
          <t>ប្រាក់ខែ HAY ({{current}})</t>
        </is>
      </c>
      <c r="J245" s="217" t="inlineStr">
        <is>
          <t>"summaryRemuneration.haySalary": "HAY Salary ({{current}})",</t>
        </is>
      </c>
    </row>
    <row r="246" ht="15.75" customHeight="1" s="305">
      <c r="A246" s="146" t="inlineStr">
        <is>
          <t>summaryRemuneration.postOfficeRevenueCompletionGroup</t>
        </is>
      </c>
      <c r="B246" s="146" t="inlineStr">
        <is>
          <t>Tỷ lệ hoàn thành doanh thu bưu cục</t>
        </is>
      </c>
      <c r="C246" s="146" t="inlineStr">
        <is>
          <t>Post Office Revenue Completion Rate</t>
        </is>
      </c>
      <c r="D246" s="146" t="inlineStr">
        <is>
          <t>អត្រាបំពេញប្រាក់ចំណូលប្រៃសណីយ៍</t>
        </is>
      </c>
      <c r="E246" s="3" t="n"/>
      <c r="G246" t="inlineStr">
        <is>
          <t>អត្រាបំពេញប្រាក់ចំណូលប្រៃសណីយ៍</t>
        </is>
      </c>
      <c r="H246" t="inlineStr">
        <is>
          <t>អត្រាបំពេញប្រាក់ចំណូលប្រៃសណីយ៍</t>
        </is>
      </c>
      <c r="J246" s="217" t="inlineStr">
        <is>
          <t>"summaryRemuneration.postOfficeRevenueCompletionGroup": "Post Office Revenue Completion Rate",</t>
        </is>
      </c>
    </row>
    <row r="247" ht="15.75" customHeight="1" s="305">
      <c r="A247" s="146" t="inlineStr">
        <is>
          <t>summaryRemuneration.regionRevenueCompletionGroup</t>
        </is>
      </c>
      <c r="B247" s="146" t="inlineStr">
        <is>
          <t>Tỷ lệ hoàn thành doanh thu vùng</t>
        </is>
      </c>
      <c r="C247" s="146" t="inlineStr">
        <is>
          <t>Region Revenue Completion Rate</t>
        </is>
      </c>
      <c r="D247" s="146" t="inlineStr">
        <is>
          <t>អត្រាបំពេញប្រាក់ចំណូលតំបន់</t>
        </is>
      </c>
      <c r="E247" s="3" t="n"/>
      <c r="G247" t="inlineStr">
        <is>
          <t>អត្រាបំពេញប្រាក់ចំណូលតំបន់</t>
        </is>
      </c>
      <c r="H247" t="inlineStr">
        <is>
          <t>អត្រាបំពេញប្រាក់ចំណូលតំបន់</t>
        </is>
      </c>
      <c r="J247" s="217" t="inlineStr">
        <is>
          <t>"summaryRemuneration.regionRevenueCompletionGroup": "Region Revenue Completion Rate",</t>
        </is>
      </c>
    </row>
    <row r="248" ht="15.75" customHeight="1" s="305">
      <c r="A248" s="146" t="inlineStr">
        <is>
          <t>summaryRemuneration.provincialRevenueCompletionRate</t>
        </is>
      </c>
      <c r="B248" s="146" t="inlineStr">
        <is>
          <t>Tỷ lệ hoàn thành doanh thu tỉnh</t>
        </is>
      </c>
      <c r="C248" s="146" t="inlineStr">
        <is>
          <t>Provincial revenue completion rate</t>
        </is>
      </c>
      <c r="D248" s="146" t="inlineStr">
        <is>
          <t>អត្រាបំពេញប្រាក់ចំណូលខេត្ត</t>
        </is>
      </c>
      <c r="E248" s="3" t="n"/>
      <c r="G248" s="3" t="inlineStr">
        <is>
          <t>អត្រាបំពេញប្រាក់ចំណូលខេត្ត</t>
        </is>
      </c>
      <c r="H248" t="inlineStr">
        <is>
          <t>អត្រាបំពេញប្រាក់ចំណូលខេត្ត</t>
        </is>
      </c>
      <c r="J248" s="217" t="inlineStr">
        <is>
          <t>"summaryRemuneration.provincialRevenueCompletionRate": "Provincial revenue completion rate",</t>
        </is>
      </c>
    </row>
    <row r="249" ht="15.75" customHeight="1" s="305">
      <c r="A249" s="146" t="inlineStr">
        <is>
          <t>summaryRemuneration.totalRevenueCompletionGroup</t>
        </is>
      </c>
      <c r="B249" s="146" t="inlineStr">
        <is>
          <t>Tỷ lệ hoàn thành doanh thu tổng</t>
        </is>
      </c>
      <c r="C249" s="146" t="inlineStr">
        <is>
          <t>Total Revenue Completion Rate</t>
        </is>
      </c>
      <c r="D249" s="146" t="inlineStr">
        <is>
          <t>អត្រាបំពេញប្រាក់ចំណូលសរុប</t>
        </is>
      </c>
      <c r="E249" s="3" t="n"/>
      <c r="G249" t="inlineStr">
        <is>
          <t>អត្រាបំពេញប្រាក់ចំណូលសរុប</t>
        </is>
      </c>
      <c r="H249" t="inlineStr">
        <is>
          <t>អត្រាបំពេញប្រាក់ចំណូលសរុប</t>
        </is>
      </c>
      <c r="J249" s="217" t="inlineStr">
        <is>
          <t>"summaryRemuneration.totalRevenueCompletionGroup": "Total Revenue Completion Rate",</t>
        </is>
      </c>
    </row>
    <row r="250" ht="15.75" customHeight="1" s="305">
      <c r="A250" s="146" t="inlineStr">
        <is>
          <t>summaryRemuneration.revenueCompletionBeforeTax</t>
        </is>
      </c>
      <c r="B250" s="146" t="inlineStr">
        <is>
          <t>Trước thuế (%)</t>
        </is>
      </c>
      <c r="C250" s="146" t="inlineStr">
        <is>
          <t>Before Tax (%)</t>
        </is>
      </c>
      <c r="D250" s="146" t="inlineStr">
        <is>
          <t>មុនពន្ធ (%)</t>
        </is>
      </c>
      <c r="E250" s="3" t="n"/>
      <c r="G250" t="inlineStr">
        <is>
          <t>មុនពន្ធ (%)</t>
        </is>
      </c>
      <c r="H250" t="inlineStr">
        <is>
          <t>មុនពន្ធ (%)</t>
        </is>
      </c>
      <c r="J250" s="217" t="inlineStr">
        <is>
          <t>"summaryRemuneration.revenueCompletionBeforeTax": "Before Tax (%)",</t>
        </is>
      </c>
    </row>
    <row r="251" ht="15.75" customHeight="1" s="305">
      <c r="A251" s="146" t="inlineStr">
        <is>
          <t>summaryRemuneration.revenueCompletionAfterTax</t>
        </is>
      </c>
      <c r="B251" s="146" t="inlineStr">
        <is>
          <t>Sau thuế (%)</t>
        </is>
      </c>
      <c r="C251" s="146" t="inlineStr">
        <is>
          <t>After Tax (%)</t>
        </is>
      </c>
      <c r="D251" s="146" t="inlineStr">
        <is>
          <t>បន្ទាប់ពីពន្ធ (%)</t>
        </is>
      </c>
      <c r="E251" s="3" t="n"/>
      <c r="G251" t="inlineStr">
        <is>
          <t>បន្ទាប់ពីពន្ធ (%)</t>
        </is>
      </c>
      <c r="H251" t="inlineStr">
        <is>
          <t>បន្ទាប់ពីពន្ធ (%)</t>
        </is>
      </c>
      <c r="J251" s="217" t="inlineStr">
        <is>
          <t>"summaryRemuneration.revenueCompletionAfterTax": "After Tax (%)",</t>
        </is>
      </c>
    </row>
    <row r="252" ht="15.75" customHeight="1" s="305">
      <c r="A252" s="146" t="inlineStr">
        <is>
          <t>summaryRemuneration.salaryItemLabel</t>
        </is>
      </c>
      <c r="B252" s="146" t="inlineStr">
        <is>
          <t>Khoản lương</t>
        </is>
      </c>
      <c r="C252" s="146" t="inlineStr">
        <is>
          <t>Salary Item</t>
        </is>
      </c>
      <c r="D252" s="146" t="inlineStr">
        <is>
          <t>កត់ប្រាក់ខែ</t>
        </is>
      </c>
      <c r="E252" s="3" t="n"/>
      <c r="G252" t="inlineStr">
        <is>
          <t>កត់ប្រាក់ខែ</t>
        </is>
      </c>
      <c r="H252" t="inlineStr">
        <is>
          <t>កត់ប្រាក់ខែ</t>
        </is>
      </c>
      <c r="J252" s="217" t="inlineStr">
        <is>
          <t>"summaryRemuneration.salaryItemLabel": "Salary Item",</t>
        </is>
      </c>
    </row>
    <row r="253" ht="15.75" customHeight="1" s="305">
      <c r="A253" s="146" t="inlineStr">
        <is>
          <t>summaryRemuneration.transactionCount</t>
        </is>
      </c>
      <c r="B253" s="146" t="inlineStr">
        <is>
          <t>Số giao dịch</t>
        </is>
      </c>
      <c r="C253" s="146" t="inlineStr">
        <is>
          <t>Transaction Count</t>
        </is>
      </c>
      <c r="D253" s="146" t="inlineStr">
        <is>
          <t>ចំនផ្តឲកំរម្រាស</t>
        </is>
      </c>
      <c r="E253" s="3" t="n"/>
      <c r="G253" t="inlineStr">
        <is>
          <t>ចំនផ្តឲកំរម្រាស</t>
        </is>
      </c>
      <c r="H253" t="inlineStr">
        <is>
          <t>ចំនផ្តឲកំរម្រាស</t>
        </is>
      </c>
      <c r="J253" s="217" t="inlineStr">
        <is>
          <t>"summaryRemuneration.transactionCount": "Transaction Count",</t>
        </is>
      </c>
    </row>
    <row r="254" ht="15.75" customHeight="1" s="305">
      <c r="A254" s="146" t="inlineStr">
        <is>
          <t>summaryRemuneration.orders</t>
        </is>
      </c>
      <c r="B254" s="146" t="inlineStr">
        <is>
          <t>đơn</t>
        </is>
      </c>
      <c r="C254" s="146" t="inlineStr">
        <is>
          <t>orders</t>
        </is>
      </c>
      <c r="D254" s="146" t="inlineStr">
        <is>
          <t>បញ្ជាទិញ</t>
        </is>
      </c>
      <c r="E254" s="3" t="n"/>
      <c r="G254" t="inlineStr">
        <is>
          <t>បញ្ជាទិញ</t>
        </is>
      </c>
      <c r="H254" t="inlineStr">
        <is>
          <t>បញ្ជាទិញ</t>
        </is>
      </c>
      <c r="J254" s="217" t="inlineStr">
        <is>
          <t>"summaryRemuneration.orders": "orders",</t>
        </is>
      </c>
    </row>
    <row r="255" ht="15.75" customHeight="1" s="305">
      <c r="A255" s="146" t="inlineStr">
        <is>
          <t>summaryRemuneration.allowance</t>
        </is>
      </c>
      <c r="B255" s="146" t="inlineStr">
        <is>
          <t>Phụ cấp</t>
        </is>
      </c>
      <c r="C255" s="146" t="inlineStr">
        <is>
          <t>Allowance</t>
        </is>
      </c>
      <c r="D255" s="146" t="inlineStr">
        <is>
          <t>ប្រាក់បន្ថែម</t>
        </is>
      </c>
      <c r="E255" s="3" t="n"/>
      <c r="G255" t="inlineStr">
        <is>
          <t>ប្រាក់បន្ថែម</t>
        </is>
      </c>
      <c r="H255" t="inlineStr">
        <is>
          <t>ប្រាក់បន្ថែម</t>
        </is>
      </c>
      <c r="J255" s="217" t="inlineStr">
        <is>
          <t>"summaryRemuneration.allowance": "Allowance",</t>
        </is>
      </c>
    </row>
    <row r="256" ht="15.75" customHeight="1" s="305">
      <c r="A256" s="146" t="inlineStr">
        <is>
          <t>summaryRemuneration.transportUnit</t>
        </is>
      </c>
      <c r="B256" s="146" t="inlineStr">
        <is>
          <t>Đơn vị vận chuyển</t>
        </is>
      </c>
      <c r="C256" s="146" t="inlineStr">
        <is>
          <t>Transport Unit</t>
        </is>
      </c>
      <c r="D256" s="146" t="inlineStr">
        <is>
          <t>អង្គភាពដឹកជញ្ជូន</t>
        </is>
      </c>
      <c r="E256" s="3" t="n"/>
      <c r="G256" t="inlineStr">
        <is>
          <t>អង្គភាពដឹកជញ្ជូន</t>
        </is>
      </c>
      <c r="H256" t="inlineStr">
        <is>
          <t>អង្គភាពដឹកជញ្ជូន</t>
        </is>
      </c>
      <c r="J256" s="217" t="inlineStr">
        <is>
          <t>"summaryRemuneration.transportUnit": "Transport Unit",</t>
        </is>
      </c>
    </row>
    <row r="257" ht="15.75" customHeight="1" s="305">
      <c r="A257" s="146" t="inlineStr">
        <is>
          <t>summaryRemuneration.tripVehicleCode</t>
        </is>
      </c>
      <c r="B257" s="146" t="inlineStr">
        <is>
          <t>Mã chuyến xe</t>
        </is>
      </c>
      <c r="C257" s="146" t="inlineStr">
        <is>
          <t>Vehicle Trip Code</t>
        </is>
      </c>
      <c r="D257" s="146" t="inlineStr">
        <is>
          <t>លេខសម្គាល់ការធ្វើដំណើររថយន្ត</t>
        </is>
      </c>
      <c r="E257" s="3" t="n"/>
      <c r="G257" t="inlineStr">
        <is>
          <t>លេខសម្គាល់ការធ្វើដំណើររថយន្ត</t>
        </is>
      </c>
      <c r="H257" t="inlineStr">
        <is>
          <t>លេខសម្គាល់ការធ្វើដំណើររថយន្ត</t>
        </is>
      </c>
      <c r="J257" s="217" t="inlineStr">
        <is>
          <t>"summaryRemuneration.tripVehicleCode": "Vehicle Trip Code",</t>
        </is>
      </c>
    </row>
    <row r="258" ht="15.75" customHeight="1" s="305">
      <c r="A258" s="146" t="inlineStr">
        <is>
          <t>summaryRemuneration.tripCode</t>
        </is>
      </c>
      <c r="B258" s="146" t="inlineStr">
        <is>
          <t>Mã hành trình</t>
        </is>
      </c>
      <c r="C258" s="146" t="inlineStr">
        <is>
          <t>Trip Code</t>
        </is>
      </c>
      <c r="D258" s="146" t="inlineStr">
        <is>
          <t>កូដដំណើរ</t>
        </is>
      </c>
      <c r="E258" s="3" t="n"/>
      <c r="G258" t="inlineStr">
        <is>
          <t>កូដដំណើរ</t>
        </is>
      </c>
      <c r="H258" t="inlineStr">
        <is>
          <t>កូដដំណើរ</t>
        </is>
      </c>
      <c r="J258" s="217" t="inlineStr">
        <is>
          <t>"summaryRemuneration.tripCode": "Trip Code",</t>
        </is>
      </c>
    </row>
    <row r="259" ht="15.75" customHeight="1" s="305">
      <c r="A259" s="146" t="inlineStr">
        <is>
          <t>summaryRemuneration.tripType</t>
        </is>
      </c>
      <c r="B259" s="146" t="inlineStr">
        <is>
          <t>Loại hành trình</t>
        </is>
      </c>
      <c r="C259" s="146" t="inlineStr">
        <is>
          <t>Trip Type</t>
        </is>
      </c>
      <c r="D259" s="146" t="inlineStr">
        <is>
          <t>ប្រភេទដំណើរ</t>
        </is>
      </c>
      <c r="E259" s="3" t="n"/>
      <c r="G259" t="inlineStr">
        <is>
          <t>ប្រភេទដំណើរ</t>
        </is>
      </c>
      <c r="H259" t="inlineStr">
        <is>
          <t>ប្រភេទដំណើរ</t>
        </is>
      </c>
      <c r="J259" s="217" t="inlineStr">
        <is>
          <t>"summaryRemuneration.tripType": "Trip Type",</t>
        </is>
      </c>
    </row>
    <row r="260" ht="15.75" customHeight="1" s="305">
      <c r="A260" s="146" t="inlineStr">
        <is>
          <t>summaryRemuneration.direction</t>
        </is>
      </c>
      <c r="B260" s="146" t="inlineStr">
        <is>
          <t>Chiều</t>
        </is>
      </c>
      <c r="C260" s="146" t="inlineStr">
        <is>
          <t>Direction</t>
        </is>
      </c>
      <c r="D260" s="146" t="inlineStr">
        <is>
          <t>ទិសដៅ</t>
        </is>
      </c>
      <c r="E260" s="3" t="n"/>
      <c r="G260" t="inlineStr">
        <is>
          <t>ទិសដៅ</t>
        </is>
      </c>
      <c r="H260" t="inlineStr">
        <is>
          <t>ទិសដៅ</t>
        </is>
      </c>
      <c r="J260" s="217" t="inlineStr">
        <is>
          <t>"summaryRemuneration.direction": "Direction",</t>
        </is>
      </c>
    </row>
    <row r="261" ht="15.75" customHeight="1" s="305">
      <c r="A261" s="146" t="inlineStr">
        <is>
          <t>summaryRemuneration.directionGo</t>
        </is>
      </c>
      <c r="B261" s="146" t="inlineStr">
        <is>
          <t>Chiều đi</t>
        </is>
      </c>
      <c r="C261" s="146" t="inlineStr">
        <is>
          <t>Outbound</t>
        </is>
      </c>
      <c r="D261" s="146" t="inlineStr">
        <is>
          <t>ចេញដំណើរ</t>
        </is>
      </c>
      <c r="E261" s="3" t="n"/>
      <c r="G261" t="inlineStr">
        <is>
          <t>ចេញដំណើរ</t>
        </is>
      </c>
      <c r="H261" t="inlineStr">
        <is>
          <t>ចេញដំណើរ</t>
        </is>
      </c>
      <c r="J261" s="217" t="inlineStr">
        <is>
          <t>"summaryRemuneration.directionGo": "Outbound",</t>
        </is>
      </c>
    </row>
    <row r="262" ht="15.75" customHeight="1" s="305">
      <c r="A262" s="146" t="inlineStr">
        <is>
          <t>summaryRemuneration.directionReturn</t>
        </is>
      </c>
      <c r="B262" s="146" t="inlineStr">
        <is>
          <t>Chiều về</t>
        </is>
      </c>
      <c r="C262" s="146" t="inlineStr">
        <is>
          <t>Inbound</t>
        </is>
      </c>
      <c r="D262" s="146" t="inlineStr">
        <is>
          <t>ត្រឡប់</t>
        </is>
      </c>
      <c r="E262" s="3" t="n"/>
      <c r="G262" t="inlineStr">
        <is>
          <t>ត្រឡប់</t>
        </is>
      </c>
      <c r="H262" t="inlineStr">
        <is>
          <t>ត្រឡប់</t>
        </is>
      </c>
      <c r="J262" s="217" t="inlineStr">
        <is>
          <t>"summaryRemuneration.directionReturn": "Inbound",</t>
        </is>
      </c>
    </row>
    <row r="263" ht="15.75" customHeight="1" s="305">
      <c r="A263" s="146" t="inlineStr">
        <is>
          <t>summaryRemuneration.routeName</t>
        </is>
      </c>
      <c r="B263" s="146" t="inlineStr">
        <is>
          <t>Tên tuyến</t>
        </is>
      </c>
      <c r="C263" s="146" t="inlineStr">
        <is>
          <t>Route Name</t>
        </is>
      </c>
      <c r="D263" s="146" t="inlineStr">
        <is>
          <t>ឈ្មោះផ្លូវ</t>
        </is>
      </c>
      <c r="E263" s="3" t="n"/>
      <c r="G263" t="inlineStr">
        <is>
          <t>ឈ្មោះផ្លូវ</t>
        </is>
      </c>
      <c r="H263" t="inlineStr">
        <is>
          <t>ឈ្មោះផ្លូវ</t>
        </is>
      </c>
      <c r="J263" s="217" t="inlineStr">
        <is>
          <t>"summaryRemuneration.routeName": "Route Name",</t>
        </is>
      </c>
    </row>
    <row r="264" ht="15.75" customHeight="1" s="305">
      <c r="A264" s="146" t="inlineStr">
        <is>
          <t>summaryRemuneration.licensePlate</t>
        </is>
      </c>
      <c r="B264" s="146" t="inlineStr">
        <is>
          <t>Biển số xe</t>
        </is>
      </c>
      <c r="C264" s="146" t="inlineStr">
        <is>
          <t>License Plate</t>
        </is>
      </c>
      <c r="D264" s="146" t="inlineStr">
        <is>
          <t>ស្លាកលេខ</t>
        </is>
      </c>
      <c r="E264" s="3" t="n"/>
      <c r="G264" t="inlineStr">
        <is>
          <t>ស្លាកលេខរថយន្ត</t>
        </is>
      </c>
      <c r="H264" t="inlineStr">
        <is>
          <t>ស្លាកលេខរថយន្ត</t>
        </is>
      </c>
      <c r="J264" s="217" t="inlineStr">
        <is>
          <t>"summaryRemuneration.licensePlate": "License Plate",</t>
        </is>
      </c>
    </row>
    <row r="265" ht="15.75" customHeight="1" s="305">
      <c r="A265" s="146" t="inlineStr">
        <is>
          <t>summaryRemuneration.ownershipType</t>
        </is>
      </c>
      <c r="B265" s="146" t="inlineStr">
        <is>
          <t>Loại sở hữu</t>
        </is>
      </c>
      <c r="C265" s="146" t="inlineStr">
        <is>
          <t>Ownership Type</t>
        </is>
      </c>
      <c r="D265" s="146" t="inlineStr">
        <is>
          <t>ប្រភេទកម្មសិទ្ធិ</t>
        </is>
      </c>
      <c r="E265" s="3" t="n"/>
      <c r="G265" t="inlineStr">
        <is>
          <t>ប្រភេទកម្មសិទ្ធិ</t>
        </is>
      </c>
      <c r="H265" t="inlineStr">
        <is>
          <t>ប្រភេទកម្មសិទ្ធិ</t>
        </is>
      </c>
      <c r="J265" s="217" t="inlineStr">
        <is>
          <t>"summaryRemuneration.ownershipType": "Ownership Type",</t>
        </is>
      </c>
    </row>
    <row r="266" ht="15.75" customHeight="1" s="305">
      <c r="A266" s="146" t="inlineStr">
        <is>
          <t>summaryRemuneration.vehicleType</t>
        </is>
      </c>
      <c r="B266" s="146" t="inlineStr">
        <is>
          <t>Loại phương tiện</t>
        </is>
      </c>
      <c r="C266" s="146" t="inlineStr">
        <is>
          <t>Vehicle Type</t>
        </is>
      </c>
      <c r="D266" s="146" t="inlineStr">
        <is>
          <t>ប្រភេទយានយន្ត</t>
        </is>
      </c>
      <c r="E266" s="3" t="n"/>
      <c r="G266" t="inlineStr">
        <is>
          <t>ប្រភេទយានយន្ត</t>
        </is>
      </c>
      <c r="H266" t="inlineStr">
        <is>
          <t>ប្រភេទយានយន្ត</t>
        </is>
      </c>
      <c r="J266" s="217" t="inlineStr">
        <is>
          <t>"summaryRemuneration.vehicleType": "Vehicle Type",</t>
        </is>
      </c>
    </row>
    <row r="267" ht="15.75" customHeight="1" s="305">
      <c r="A267" s="146" t="inlineStr">
        <is>
          <t>summaryRemuneration.partner</t>
        </is>
      </c>
      <c r="B267" s="146" t="inlineStr">
        <is>
          <t>Đối tác</t>
        </is>
      </c>
      <c r="C267" s="146" t="inlineStr">
        <is>
          <t>Partner</t>
        </is>
      </c>
      <c r="D267" s="146" t="inlineStr">
        <is>
          <t>ដៃគូ</t>
        </is>
      </c>
      <c r="E267" s="3" t="n"/>
      <c r="G267" t="inlineStr">
        <is>
          <t>ដៃគូ</t>
        </is>
      </c>
      <c r="H267" t="inlineStr">
        <is>
          <t>ដៃគូ</t>
        </is>
      </c>
      <c r="J267" s="217" t="inlineStr">
        <is>
          <t>"summaryRemuneration.partner": "Partner",</t>
        </is>
      </c>
    </row>
    <row r="268" ht="15.75" customHeight="1" s="305">
      <c r="A268" s="146" t="inlineStr">
        <is>
          <t>summaryRemuneration.loadCapacity</t>
        </is>
      </c>
      <c r="B268" s="146" t="inlineStr">
        <is>
          <t>Trọng tải (KG)</t>
        </is>
      </c>
      <c r="C268" s="146" t="inlineStr">
        <is>
          <t>Load Capacity (KG)</t>
        </is>
      </c>
      <c r="D268" s="146" t="inlineStr">
        <is>
          <t>សមត្ថភាពផ្ទុក (គីឡូក្រាម)</t>
        </is>
      </c>
      <c r="E268" s="3" t="n"/>
      <c r="G268" t="inlineStr">
        <is>
          <t>សមត្ថភាពផ្ទុក (គីឡូក្រាម)</t>
        </is>
      </c>
      <c r="H268" t="inlineStr">
        <is>
          <t>សមត្ថភាពផ្ទុក (គីឡូក្រាម)</t>
        </is>
      </c>
      <c r="J268" s="217" t="inlineStr">
        <is>
          <t>"summaryRemuneration.loadCapacity": "Load Capacity (KG)",</t>
        </is>
      </c>
    </row>
    <row r="269" ht="15.75" customHeight="1" s="305">
      <c r="A269" s="146" t="inlineStr">
        <is>
          <t>summaryRemuneration.colLoad</t>
        </is>
      </c>
      <c r="B269" s="146" t="inlineStr">
        <is>
          <t>Tải</t>
        </is>
      </c>
      <c r="C269" s="146" t="inlineStr">
        <is>
          <t>Load</t>
        </is>
      </c>
      <c r="D269" s="146" t="inlineStr">
        <is>
          <t>ទម្ងន់ផ្ទុក</t>
        </is>
      </c>
      <c r="E269" s="3" t="n"/>
      <c r="G269" t="inlineStr">
        <is>
          <t>បាវបញ្ញើ</t>
        </is>
      </c>
      <c r="H269" t="inlineStr">
        <is>
          <t>បាវបញ្ញើ</t>
        </is>
      </c>
      <c r="J269" s="217" t="inlineStr">
        <is>
          <t>"summaryRemuneration.colLoad": "Load",</t>
        </is>
      </c>
    </row>
    <row r="270" ht="15.75" customHeight="1" s="305">
      <c r="A270" s="146" t="inlineStr">
        <is>
          <t>summaryRemuneration.colPackage</t>
        </is>
      </c>
      <c r="B270" s="146" t="inlineStr">
        <is>
          <t>Kiện</t>
        </is>
      </c>
      <c r="C270" s="146" t="inlineStr">
        <is>
          <t>Package</t>
        </is>
      </c>
      <c r="D270" s="146" t="inlineStr">
        <is>
          <t>កញ្ចប់</t>
        </is>
      </c>
      <c r="E270" s="3" t="n"/>
      <c r="G270" t="inlineStr">
        <is>
          <t>កញ្ចប់ទំនិញ</t>
        </is>
      </c>
      <c r="H270" t="inlineStr">
        <is>
          <t>កញ្ចប់ទំនិញ</t>
        </is>
      </c>
      <c r="J270" s="217" t="inlineStr">
        <is>
          <t>"summaryRemuneration.colPackage": "Package",</t>
        </is>
      </c>
    </row>
    <row r="271" ht="15.75" customHeight="1" s="305">
      <c r="A271" s="146" t="inlineStr">
        <is>
          <t>summaryRemuneration.weightGroup</t>
        </is>
      </c>
      <c r="B271" s="146" t="inlineStr">
        <is>
          <t>Trọng lượng (KG)</t>
        </is>
      </c>
      <c r="C271" s="146" t="inlineStr">
        <is>
          <t>Weight (KG)</t>
        </is>
      </c>
      <c r="D271" s="146" t="inlineStr">
        <is>
          <t>ទម្ងន់ (គីឡូក្រាម)</t>
        </is>
      </c>
      <c r="E271" s="3" t="n"/>
      <c r="G271" t="inlineStr">
        <is>
          <t>ទម្ងន់ (គីឡូក្រាម)</t>
        </is>
      </c>
      <c r="H271" t="inlineStr">
        <is>
          <t>ទម្ងន់ (គីឡូក្រាម)</t>
        </is>
      </c>
      <c r="J271" s="217" t="inlineStr">
        <is>
          <t>"summaryRemuneration.weightGroup": "Weight (KG)",</t>
        </is>
      </c>
    </row>
    <row r="272" ht="15.75" customHeight="1" s="305">
      <c r="A272" s="146" t="inlineStr">
        <is>
          <t>summaryRemuneration.travelDistance</t>
        </is>
      </c>
      <c r="B272" s="146" t="inlineStr">
        <is>
          <t>Khoảng cách di chuyển</t>
        </is>
      </c>
      <c r="C272" s="146" t="inlineStr">
        <is>
          <t>Travel Distance</t>
        </is>
      </c>
      <c r="D272" s="146" t="inlineStr">
        <is>
          <t>ចម្ងាយធ្វើដំណើរ</t>
        </is>
      </c>
      <c r="E272" s="3" t="n"/>
      <c r="G272" t="inlineStr">
        <is>
          <t>ចម្ងាយធ្វើដំណើរ</t>
        </is>
      </c>
      <c r="H272" t="inlineStr">
        <is>
          <t>ចម្ងាយធ្វើដំណើរ</t>
        </is>
      </c>
      <c r="J272" s="217" t="inlineStr">
        <is>
          <t>"summaryRemuneration.travelDistance": "Travel Distance",</t>
        </is>
      </c>
    </row>
    <row r="273" ht="15.75" customHeight="1" s="305">
      <c r="A273" s="146" t="inlineStr">
        <is>
          <t>summaryRemuneration.distanceTrip</t>
        </is>
      </c>
      <c r="B273" s="146" t="inlineStr">
        <is>
          <t>Hành trình</t>
        </is>
      </c>
      <c r="C273" s="146" t="inlineStr">
        <is>
          <t>Route</t>
        </is>
      </c>
      <c r="D273" s="146" t="inlineStr">
        <is>
          <t>ផ្លូវ</t>
        </is>
      </c>
      <c r="E273" s="3" t="n"/>
      <c r="G273" t="inlineStr">
        <is>
          <t>ដំណើរឆ្លងកាត់បញ្ញើ</t>
        </is>
      </c>
      <c r="H273" t="inlineStr">
        <is>
          <t>ដំណើរឆ្លងកាត់បញ្ញើ</t>
        </is>
      </c>
      <c r="J273" s="217" t="inlineStr">
        <is>
          <t>"summaryRemuneration.distanceTrip": "Route",</t>
        </is>
      </c>
    </row>
    <row r="274" ht="15.75" customHeight="1" s="305">
      <c r="A274" s="146" t="inlineStr">
        <is>
          <t>summaryRemuneration.distanceDriverInput</t>
        </is>
      </c>
      <c r="B274" s="146" t="inlineStr">
        <is>
          <t>Tài xế nhập</t>
        </is>
      </c>
      <c r="C274" s="146" t="inlineStr">
        <is>
          <t>Driver Input</t>
        </is>
      </c>
      <c r="D274" s="146" t="inlineStr">
        <is>
          <t>បញ្ចូលដោយអ្នកបើកបរ</t>
        </is>
      </c>
      <c r="E274" s="3" t="n"/>
      <c r="G274" t="inlineStr">
        <is>
          <t>បញ្ចូលដោយអ្នកបើកបរ</t>
        </is>
      </c>
      <c r="H274" t="inlineStr">
        <is>
          <t>បញ្ចូលដោយអ្នកបើកបរ</t>
        </is>
      </c>
      <c r="J274" s="217" t="inlineStr">
        <is>
          <t>"summaryRemuneration.distanceDriverInput": "Driver Input",</t>
        </is>
      </c>
    </row>
    <row r="275" ht="15.75" customHeight="1" s="305">
      <c r="A275" s="146" t="inlineStr">
        <is>
          <t>summaryRemuneration.distanceGPS</t>
        </is>
      </c>
      <c r="B275" s="146" t="inlineStr">
        <is>
          <t>GPS</t>
        </is>
      </c>
      <c r="C275" s="146" t="inlineStr">
        <is>
          <t>GPS</t>
        </is>
      </c>
      <c r="D275" s="146" t="inlineStr">
        <is>
          <t>GPS</t>
        </is>
      </c>
      <c r="E275" s="3" t="n"/>
      <c r="G275" t="inlineStr">
        <is>
          <t>GPS</t>
        </is>
      </c>
      <c r="H275" t="inlineStr">
        <is>
          <t>GPS</t>
        </is>
      </c>
      <c r="J275" s="217" t="inlineStr">
        <is>
          <t>"summaryRemuneration.distanceGPS": "GPS",</t>
        </is>
      </c>
    </row>
    <row r="276" ht="15.75" customHeight="1" s="305">
      <c r="A276" s="146" t="inlineStr">
        <is>
          <t>summaryRemuneration.distanceApproved</t>
        </is>
      </c>
      <c r="B276" s="146" t="inlineStr">
        <is>
          <t>Phê duyệt</t>
        </is>
      </c>
      <c r="C276" s="146" t="inlineStr">
        <is>
          <t>Approved</t>
        </is>
      </c>
      <c r="D276" s="146" t="inlineStr">
        <is>
          <t>បានអនុម័ត</t>
        </is>
      </c>
      <c r="E276" s="3" t="n"/>
      <c r="G276" t="inlineStr">
        <is>
          <t>បានអនុម័ត</t>
        </is>
      </c>
      <c r="H276" t="inlineStr">
        <is>
          <t>បានអនុម័ត</t>
        </is>
      </c>
      <c r="J276" s="217" t="inlineStr">
        <is>
          <t>"summaryRemuneration.distanceApproved": "Approved",</t>
        </is>
      </c>
    </row>
    <row r="277" ht="15.75" customHeight="1" s="305">
      <c r="A277" s="146" t="inlineStr">
        <is>
          <t>summaryRemuneration.efficiency</t>
        </is>
      </c>
      <c r="B277" s="146" t="inlineStr">
        <is>
          <t>Hiệu quả (%)</t>
        </is>
      </c>
      <c r="C277" s="146" t="inlineStr">
        <is>
          <t>Efficiency (%)</t>
        </is>
      </c>
      <c r="D277" s="146" t="inlineStr">
        <is>
          <t>ប្រសិទ្ធភាព (%)</t>
        </is>
      </c>
      <c r="E277" s="3" t="n"/>
      <c r="G277" t="inlineStr">
        <is>
          <t>ប្រសិទ្ធភាព (%)</t>
        </is>
      </c>
      <c r="H277" t="inlineStr">
        <is>
          <t>ប្រសិទ្ធភាព (%)</t>
        </is>
      </c>
      <c r="J277" s="217" t="inlineStr">
        <is>
          <t>"summaryRemuneration.efficiency": "Efficiency (%)",</t>
        </is>
      </c>
    </row>
    <row r="278" ht="15.75" customHeight="1" s="305">
      <c r="A278" s="146" t="inlineStr">
        <is>
          <t>summaryRemuneration.driverList</t>
        </is>
      </c>
      <c r="B278" s="146" t="inlineStr">
        <is>
          <t>Danh sách tài xế</t>
        </is>
      </c>
      <c r="C278" s="146" t="inlineStr">
        <is>
          <t>Driver List</t>
        </is>
      </c>
      <c r="D278" s="146" t="inlineStr">
        <is>
          <t>បញ្ជីអ្នកបើកបរ</t>
        </is>
      </c>
      <c r="E278" s="3" t="n"/>
      <c r="G278" t="inlineStr">
        <is>
          <t>បញ្ជីអ្នកបើកបរ</t>
        </is>
      </c>
      <c r="H278" t="inlineStr">
        <is>
          <t>បញ្ជីអ្នកបើកបរ</t>
        </is>
      </c>
      <c r="J278" s="217" t="inlineStr">
        <is>
          <t>"summaryRemuneration.driverList": "Driver List",</t>
        </is>
      </c>
    </row>
    <row r="279" ht="15.75" customHeight="1" s="305">
      <c r="A279" s="146" t="inlineStr">
        <is>
          <t>summaryRemuneration.driver</t>
        </is>
      </c>
      <c r="B279" s="146" t="inlineStr">
        <is>
          <t>Tài xế {{index}}</t>
        </is>
      </c>
      <c r="C279" s="146" t="inlineStr">
        <is>
          <t>Driver {{index}}</t>
        </is>
      </c>
      <c r="D279" s="146" t="inlineStr">
        <is>
          <t>អ្នកបើកបរ {{index}}</t>
        </is>
      </c>
      <c r="E279" s="3" t="n"/>
      <c r="G279" t="inlineStr">
        <is>
          <t>អ្នកបើកបរ {{index}}</t>
        </is>
      </c>
      <c r="H279" t="inlineStr">
        <is>
          <t>អ្នកបើកបរ {{index}}</t>
        </is>
      </c>
      <c r="J279" s="217" t="inlineStr">
        <is>
          <t>"summaryRemuneration.driver": "Driver {{index}}",</t>
        </is>
      </c>
    </row>
    <row r="280" ht="15.75" customHeight="1" s="305">
      <c r="A280" s="146" t="inlineStr">
        <is>
          <t>summaryRemuneration.tripTime</t>
        </is>
      </c>
      <c r="B280" s="146" t="inlineStr">
        <is>
          <t>Thời gian</t>
        </is>
      </c>
      <c r="C280" s="146" t="inlineStr">
        <is>
          <t>Time</t>
        </is>
      </c>
      <c r="D280" s="146" t="inlineStr">
        <is>
          <t>ពេលវេលា</t>
        </is>
      </c>
      <c r="E280" s="3" t="n"/>
      <c r="G280" t="inlineStr">
        <is>
          <t>ពេលវេលា</t>
        </is>
      </c>
      <c r="H280" t="inlineStr">
        <is>
          <t>ពេលវេលា</t>
        </is>
      </c>
      <c r="J280" s="217" t="inlineStr">
        <is>
          <t>"summaryRemuneration.tripTime": "Time",</t>
        </is>
      </c>
    </row>
    <row r="281" ht="15.75" customHeight="1" s="305">
      <c r="A281" s="146" t="inlineStr">
        <is>
          <t>summaryRemuneration.deliveryTripCount</t>
        </is>
      </c>
      <c r="B281" s="146" t="inlineStr">
        <is>
          <t>Số lượt giao hàng</t>
        </is>
      </c>
      <c r="C281" s="146" t="inlineStr">
        <is>
          <t>Delivery trips</t>
        </is>
      </c>
      <c r="D281" s="146" t="inlineStr">
        <is>
          <t>ចំនួនដងដឹកជញ្ជូន</t>
        </is>
      </c>
      <c r="E281" s="3" t="n"/>
      <c r="G281" t="inlineStr">
        <is>
          <t>ចំនួនដងដឹកជញ្ជូន</t>
        </is>
      </c>
      <c r="H281" t="inlineStr">
        <is>
          <t>ចំនួនដងដឹកជញ្ជូន</t>
        </is>
      </c>
      <c r="J281" s="217" t="inlineStr">
        <is>
          <t>"summaryRemuneration.deliveryTripCount": "Delivery trips",</t>
        </is>
      </c>
    </row>
    <row r="282" ht="15.75" customHeight="1" s="305">
      <c r="A282" s="146" t="inlineStr">
        <is>
          <t>summaryRemuneration.receiveTripCount</t>
        </is>
      </c>
      <c r="B282" s="146" t="inlineStr">
        <is>
          <t>Số lượt nhận hàng</t>
        </is>
      </c>
      <c r="C282" s="146" t="inlineStr">
        <is>
          <t>Receiving trips</t>
        </is>
      </c>
      <c r="D282" s="146" t="inlineStr">
        <is>
          <t>ចំនួនដងទទួលទំនិញ</t>
        </is>
      </c>
      <c r="E282" s="3" t="n"/>
      <c r="G282" t="inlineStr">
        <is>
          <t>ចំនួនដងទទួលទំនិញ</t>
        </is>
      </c>
      <c r="H282" t="inlineStr">
        <is>
          <t>ចំនួនដងទទួលទំនិញ</t>
        </is>
      </c>
      <c r="J282" s="217" t="inlineStr">
        <is>
          <t>"summaryRemuneration.receiveTripCount": "Receiving trips",</t>
        </is>
      </c>
    </row>
    <row r="283" ht="15.75" customHeight="1" s="305">
      <c r="A283" s="146" t="inlineStr">
        <is>
          <t>summaryRemuneration.completedTripCount</t>
        </is>
      </c>
      <c r="B283" s="146" t="inlineStr">
        <is>
          <t>Số chuyến xe hoàn thành</t>
        </is>
      </c>
      <c r="C283" s="146" t="inlineStr">
        <is>
          <t>Completed trips</t>
        </is>
      </c>
      <c r="D283" s="146" t="inlineStr">
        <is>
          <t>ចំនួនដំណើរដែលបានបញ្ចប់</t>
        </is>
      </c>
      <c r="E283" s="3" t="n"/>
      <c r="G283" s="3" t="inlineStr">
        <is>
          <t>ចំនួនដំណើរដែលបានបញ្ចប់</t>
        </is>
      </c>
      <c r="H283" t="inlineStr">
        <is>
          <t>ចំនួនដំណើរដែលបានបញ្ចប់</t>
        </is>
      </c>
      <c r="J283" s="217" t="inlineStr">
        <is>
          <t>"summaryRemuneration.completedTripCount": "Completed trips",</t>
        </is>
      </c>
    </row>
    <row r="284" ht="15.75" customHeight="1" s="305">
      <c r="A284" s="146" t="inlineStr">
        <is>
          <t>summaryRemuneration.tripCompleted</t>
        </is>
      </c>
      <c r="B284" s="146" t="inlineStr">
        <is>
          <t>Hoàn thành chuyến xe</t>
        </is>
      </c>
      <c r="C284" s="146" t="inlineStr">
        <is>
          <t>Trip completed</t>
        </is>
      </c>
      <c r="D284" s="146" t="inlineStr">
        <is>
          <t>បញ្ចប់ដំណើរ</t>
        </is>
      </c>
      <c r="E284" s="3" t="n"/>
      <c r="G284" t="inlineStr">
        <is>
          <t>បញ្ចប់ដំណើរ</t>
        </is>
      </c>
      <c r="H284" t="inlineStr">
        <is>
          <t>បញ្ចប់ដំណើរ</t>
        </is>
      </c>
      <c r="J284" s="217" t="inlineStr">
        <is>
          <t>"summaryRemuneration.tripCompleted": "Trip completed",</t>
        </is>
      </c>
    </row>
    <row r="285" ht="15.75" customHeight="1" s="305">
      <c r="A285" s="146" t="inlineStr">
        <is>
          <t>summaryRemuneration.dateRequired</t>
        </is>
      </c>
      <c r="B285" s="146" t="inlineStr">
        <is>
          <t>Vui lòng lựa chọn thời gian tìm kiếm</t>
        </is>
      </c>
      <c r="C285" s="146" t="inlineStr">
        <is>
          <t>Please select a search time period</t>
        </is>
      </c>
      <c r="D285" s="146" t="inlineStr">
        <is>
          <t>សូមជ្រើសរើសកំណត់ពេលវេលាស្វែងរក</t>
        </is>
      </c>
      <c r="E285" s="3" t="n"/>
      <c r="G285" t="inlineStr">
        <is>
          <t>សូមជ្រើសរើសកំណត់ពេលវេលាស្វែងរក</t>
        </is>
      </c>
      <c r="H285" t="inlineStr">
        <is>
          <t>សូមជ្រើសរើសកំណត់ពេលវេលាស្វែងរក</t>
        </is>
      </c>
      <c r="J285" s="217" t="inlineStr">
        <is>
          <t>"summaryRemuneration.dateRequired": "Please select a search time period",</t>
        </is>
      </c>
    </row>
    <row r="286" ht="15.75" customHeight="1" s="305">
      <c r="A286" s="146" t="inlineStr">
        <is>
          <t>summaryRemuneration.dateRangeExceeded</t>
        </is>
      </c>
      <c r="B286" s="146" t="inlineStr">
        <is>
          <t>Khoảng thời gian không vượt quá 31 ngày</t>
        </is>
      </c>
      <c r="C286" s="146" t="inlineStr">
        <is>
          <t>The time range must not exceed 31 days</t>
        </is>
      </c>
      <c r="D286" s="146" t="inlineStr">
        <is>
          <t>រ្យែពេលវេលាមិនអាចលើសតីបី 31 ថ្ងៃ</t>
        </is>
      </c>
      <c r="E286" s="3" t="n"/>
      <c r="G286" t="inlineStr">
        <is>
          <t>រ្យែពេលវេលាមិនអាចលើសតីបី 31 ថ្ងៃ</t>
        </is>
      </c>
      <c r="H286" t="inlineStr">
        <is>
          <t>រ្យែពេលវេលាមិនអាចលើសតីបី 31 ថ្ងៃ</t>
        </is>
      </c>
      <c r="J286" s="217" t="inlineStr">
        <is>
          <t>"summaryRemuneration.dateRangeExceeded": "The time range must not exceed 31 days",</t>
        </is>
      </c>
    </row>
    <row r="287" ht="15.75" customHeight="1" s="305">
      <c r="A287" s="146" t="inlineStr">
        <is>
          <t>summaryRemuneration.kpiCompletion</t>
        </is>
      </c>
      <c r="B287" s="146" t="inlineStr">
        <is>
          <t>Hoàn thành KPI</t>
        </is>
      </c>
      <c r="C287" s="146" t="inlineStr">
        <is>
          <t>KPI Completion</t>
        </is>
      </c>
      <c r="D287" s="146" t="inlineStr">
        <is>
          <t>បំពេញ KPI</t>
        </is>
      </c>
      <c r="E287" s="3" t="n"/>
      <c r="G287" t="inlineStr">
        <is>
          <t>បំពេញ KPI</t>
        </is>
      </c>
      <c r="H287" t="inlineStr">
        <is>
          <t>បំពេញ KPI</t>
        </is>
      </c>
      <c r="J287" s="217" t="inlineStr">
        <is>
          <t>"summaryRemuneration.kpiCompletion": "KPI Completion",</t>
        </is>
      </c>
    </row>
    <row r="288" ht="15.75" customHeight="1" s="305">
      <c r="A288" s="146" t="inlineStr">
        <is>
          <t>agencyCommission.actions</t>
        </is>
      </c>
      <c r="B288" s="146" t="inlineStr">
        <is>
          <t>Thao tác</t>
        </is>
      </c>
      <c r="C288" s="146" t="inlineStr">
        <is>
          <t>Actions</t>
        </is>
      </c>
      <c r="D288" s="146" t="inlineStr">
        <is>
          <t>សកម្មភាព</t>
        </is>
      </c>
      <c r="E288" s="3" t="n"/>
      <c r="G288" t="inlineStr">
        <is>
          <t>ប្រតិបត្តិការ</t>
        </is>
      </c>
      <c r="H288" t="inlineStr">
        <is>
          <t>ប្រតិបត្តិការ</t>
        </is>
      </c>
      <c r="J288" s="217" t="inlineStr">
        <is>
          <t>"agencyCommission.actions": "Actions",</t>
        </is>
      </c>
    </row>
    <row r="289" ht="15.75" customHeight="1" s="305">
      <c r="A289" s="146" t="inlineStr">
        <is>
          <t>agencyCommission.branch</t>
        </is>
      </c>
      <c r="B289" s="146" t="inlineStr">
        <is>
          <t>Chi nhánh</t>
        </is>
      </c>
      <c r="C289" s="146" t="inlineStr">
        <is>
          <t>Branch</t>
        </is>
      </c>
      <c r="D289" s="146" t="inlineStr">
        <is>
          <t>សាខា</t>
        </is>
      </c>
      <c r="E289" s="3" t="n"/>
      <c r="G289" t="inlineStr">
        <is>
          <t>សាខា</t>
        </is>
      </c>
      <c r="H289" t="inlineStr">
        <is>
          <t>សាខា</t>
        </is>
      </c>
      <c r="J289" s="217" t="inlineStr">
        <is>
          <t>"agencyCommission.branch": "Branch",</t>
        </is>
      </c>
    </row>
    <row r="290" ht="15.75" customHeight="1" s="305">
      <c r="A290" s="146" t="inlineStr">
        <is>
          <t>agencyCommission.agencyName</t>
        </is>
      </c>
      <c r="B290" s="146" t="inlineStr">
        <is>
          <t>Tên đại lý</t>
        </is>
      </c>
      <c r="C290" s="146" t="inlineStr">
        <is>
          <t>Agency Name</t>
        </is>
      </c>
      <c r="D290" s="146" t="inlineStr">
        <is>
          <t>ឈ្មោះអាជ្ញាកណ្តាល</t>
        </is>
      </c>
      <c r="E290" s="3" t="n"/>
      <c r="G290" t="inlineStr">
        <is>
          <t>ឈ្មោះអាជ្ញាកណ្តាល</t>
        </is>
      </c>
      <c r="H290" t="inlineStr">
        <is>
          <t>ឈ្មោះអាជ្ញាកណ្តាល</t>
        </is>
      </c>
      <c r="I290" s="74" t="n"/>
      <c r="J290" s="217" t="inlineStr">
        <is>
          <t>"agencyCommission.agencyName": "Agency Name",</t>
        </is>
      </c>
    </row>
    <row r="291" ht="15.75" customHeight="1" s="305">
      <c r="A291" s="146" t="inlineStr">
        <is>
          <t>agencyCommission.agencyCode</t>
        </is>
      </c>
      <c r="B291" s="146" t="inlineStr">
        <is>
          <t>Mã đại lý</t>
        </is>
      </c>
      <c r="C291" s="146" t="inlineStr">
        <is>
          <t>Agency Code</t>
        </is>
      </c>
      <c r="D291" s="146" t="inlineStr">
        <is>
          <t>លេខកូដអាជ្ញាកណ្តាល</t>
        </is>
      </c>
      <c r="E291" s="3" t="n"/>
      <c r="G291" t="inlineStr">
        <is>
          <t>លេខកូដអាជ្ញាកណ្តាល</t>
        </is>
      </c>
      <c r="H291" t="inlineStr">
        <is>
          <t>លេខកូដអាជ្ញាកណ្តាល</t>
        </is>
      </c>
      <c r="I291" s="74" t="n"/>
      <c r="J291" s="217" t="inlineStr">
        <is>
          <t>"agencyCommission.agencyCode": "Agency Code",</t>
        </is>
      </c>
    </row>
    <row r="292" ht="15.75" customHeight="1" s="305">
      <c r="A292" s="146" t="inlineStr">
        <is>
          <t>agencyCommission.receive</t>
        </is>
      </c>
      <c r="B292" s="146" t="inlineStr">
        <is>
          <t>Nhận hàng</t>
        </is>
      </c>
      <c r="C292" s="146" t="inlineStr">
        <is>
          <t>Receiving</t>
        </is>
      </c>
      <c r="D292" s="146" t="inlineStr">
        <is>
          <t>ទទួល</t>
        </is>
      </c>
      <c r="E292" s="3" t="n"/>
      <c r="G292" t="inlineStr">
        <is>
          <t>ទទួល</t>
        </is>
      </c>
      <c r="H292" t="inlineStr">
        <is>
          <t>ទទួល</t>
        </is>
      </c>
      <c r="I292" s="74" t="n"/>
      <c r="J292" s="217" t="inlineStr">
        <is>
          <t>"agencyCommission.receive": "Receiving",</t>
        </is>
      </c>
    </row>
    <row r="293" ht="15.75" customHeight="1" s="305">
      <c r="A293" s="146" t="inlineStr">
        <is>
          <t>agencyCommission.delivery</t>
        </is>
      </c>
      <c r="B293" s="146" t="inlineStr">
        <is>
          <t>Giao hàng</t>
        </is>
      </c>
      <c r="C293" s="146" t="inlineStr">
        <is>
          <t>Delivery</t>
        </is>
      </c>
      <c r="D293" s="146" t="inlineStr">
        <is>
          <t>ដឹកជញ្ជូន</t>
        </is>
      </c>
      <c r="E293" s="3" t="n"/>
      <c r="G293" t="inlineStr">
        <is>
          <t>ដឹកជញ្ជូន</t>
        </is>
      </c>
      <c r="H293" t="inlineStr">
        <is>
          <t>ដឹកជញ្ជូន</t>
        </is>
      </c>
      <c r="I293" s="74" t="n"/>
      <c r="J293" s="217" t="inlineStr">
        <is>
          <t>"agencyCommission.delivery": "Delivery",</t>
        </is>
      </c>
    </row>
    <row r="294" ht="15.75" customHeight="1" s="305">
      <c r="A294" s="146" t="inlineStr">
        <is>
          <t>agencyCommission.volumeGroup</t>
        </is>
      </c>
      <c r="B294" s="146" t="inlineStr">
        <is>
          <t>Sản lượng</t>
        </is>
      </c>
      <c r="C294" s="146" t="inlineStr">
        <is>
          <t>Volume</t>
        </is>
      </c>
      <c r="D294" s="146" t="inlineStr">
        <is>
          <t>បរ޴មាណ</t>
        </is>
      </c>
      <c r="E294" s="3" t="n"/>
      <c r="G294" t="inlineStr">
        <is>
          <t>បរ޴មាណ</t>
        </is>
      </c>
      <c r="H294" t="inlineStr">
        <is>
          <t>បរ޴មាណ</t>
        </is>
      </c>
      <c r="I294" s="74" t="n"/>
      <c r="J294" s="217" t="inlineStr">
        <is>
          <t>"agencyCommission.volumeGroup": "Volume",</t>
        </is>
      </c>
    </row>
    <row r="295" ht="15.75" customHeight="1" s="305">
      <c r="A295" s="146" t="inlineStr">
        <is>
          <t>agencyCommission.other</t>
        </is>
      </c>
      <c r="B295" s="146" t="inlineStr">
        <is>
          <t>Khác</t>
        </is>
      </c>
      <c r="C295" s="146" t="inlineStr">
        <is>
          <t>Other</t>
        </is>
      </c>
      <c r="D295" s="146" t="inlineStr">
        <is>
          <t>ភ្រើនតែព្រើន</t>
        </is>
      </c>
      <c r="E295" s="3" t="n"/>
      <c r="G295" t="inlineStr">
        <is>
          <t>ផ្សេងៗ</t>
        </is>
      </c>
      <c r="H295" t="inlineStr">
        <is>
          <t>ផ្សេងៗ</t>
        </is>
      </c>
      <c r="I295" s="74" t="n"/>
      <c r="J295" s="217" t="inlineStr">
        <is>
          <t>"agencyCommission.other": "Other",</t>
        </is>
      </c>
    </row>
    <row r="296" ht="15.75" customHeight="1" s="305">
      <c r="A296" s="146" t="inlineStr">
        <is>
          <t>agencyCommission.customerService</t>
        </is>
      </c>
      <c r="B296" s="146" t="inlineStr">
        <is>
          <t>Phục vụ khách hàng</t>
        </is>
      </c>
      <c r="C296" s="146" t="inlineStr">
        <is>
          <t>Customer Service</t>
        </is>
      </c>
      <c r="D296" s="146" t="inlineStr">
        <is>
          <t>បម្រើអតិថិជន</t>
        </is>
      </c>
      <c r="E296" s="3" t="n"/>
      <c r="G296" t="inlineStr">
        <is>
          <t>បម្រើអតិថិជន</t>
        </is>
      </c>
      <c r="H296" t="inlineStr">
        <is>
          <t>បម្រើអតិថិជន</t>
        </is>
      </c>
      <c r="I296" s="74" t="n"/>
      <c r="J296" s="217" t="inlineStr">
        <is>
          <t>"agencyCommission.customerService": "Customer Service",</t>
        </is>
      </c>
    </row>
    <row r="297" ht="15.75" customHeight="1" s="305">
      <c r="A297" s="146" t="inlineStr">
        <is>
          <t>agencyCommission.rewardPenalty</t>
        </is>
      </c>
      <c r="B297" s="146" t="inlineStr">
        <is>
          <t>Thưởng/phạt</t>
        </is>
      </c>
      <c r="C297" s="146" t="inlineStr">
        <is>
          <t>Reward/Penalty</t>
        </is>
      </c>
      <c r="D297" s="146" t="inlineStr">
        <is>
          <t>រង្វាន់/ពិន័យ</t>
        </is>
      </c>
      <c r="E297" s="3" t="n"/>
      <c r="G297" t="inlineStr">
        <is>
          <t>រង្វាន់/ពិន័យ</t>
        </is>
      </c>
      <c r="H297" t="inlineStr">
        <is>
          <t>រង្វាន់/ពិន័យ</t>
        </is>
      </c>
      <c r="I297" s="74" t="n"/>
      <c r="J297" s="217" t="inlineStr">
        <is>
          <t>"agencyCommission.rewardPenalty": "Reward/Penalty",</t>
        </is>
      </c>
    </row>
    <row r="298" ht="15.75" customHeight="1" s="305">
      <c r="A298" s="146" t="inlineStr">
        <is>
          <t>agencyCommission.reward</t>
        </is>
      </c>
      <c r="B298" s="146" t="inlineStr">
        <is>
          <t>Thưởng</t>
        </is>
      </c>
      <c r="C298" s="146" t="inlineStr">
        <is>
          <t>Reward</t>
        </is>
      </c>
      <c r="D298" s="146" t="inlineStr">
        <is>
          <t>រង្វាន់</t>
        </is>
      </c>
      <c r="E298" s="3" t="n"/>
      <c r="G298" t="inlineStr">
        <is>
          <t>រង្វាន់</t>
        </is>
      </c>
      <c r="H298" t="inlineStr">
        <is>
          <t>រង្វាន់</t>
        </is>
      </c>
      <c r="I298" s="74" t="n"/>
      <c r="J298" s="217" t="inlineStr">
        <is>
          <t>"agencyCommission.reward": "Reward",</t>
        </is>
      </c>
    </row>
    <row r="299" ht="15.75" customHeight="1" s="305">
      <c r="A299" s="146" t="inlineStr">
        <is>
          <t>agencyCommission.total</t>
        </is>
      </c>
      <c r="B299" s="146" t="inlineStr">
        <is>
          <t>Tổng</t>
        </is>
      </c>
      <c r="C299" s="146" t="inlineStr">
        <is>
          <t>Total</t>
        </is>
      </c>
      <c r="D299" s="146" t="inlineStr">
        <is>
          <t>សរុប</t>
        </is>
      </c>
      <c r="E299" s="3" t="n"/>
      <c r="G299" t="inlineStr">
        <is>
          <t>សរុប</t>
        </is>
      </c>
      <c r="H299" t="inlineStr">
        <is>
          <t>សរុប</t>
        </is>
      </c>
      <c r="I299" s="74" t="n"/>
      <c r="J299" s="217" t="inlineStr">
        <is>
          <t>"agencyCommission.total": "Total",</t>
        </is>
      </c>
    </row>
    <row r="300" ht="15.75" customHeight="1" s="305">
      <c r="A300" s="146" t="inlineStr">
        <is>
          <t>agencyCommission.search</t>
        </is>
      </c>
      <c r="B300" s="146" t="inlineStr">
        <is>
          <t>Tìm kiếm</t>
        </is>
      </c>
      <c r="C300" s="146" t="inlineStr">
        <is>
          <t>Search</t>
        </is>
      </c>
      <c r="D300" s="146" t="inlineStr">
        <is>
          <t>ស្វែងរក</t>
        </is>
      </c>
      <c r="E300" s="3" t="n"/>
      <c r="G300" t="inlineStr">
        <is>
          <t>ស្វែងរក</t>
        </is>
      </c>
      <c r="H300" t="inlineStr">
        <is>
          <t>ស្វែងរក</t>
        </is>
      </c>
      <c r="I300" s="74" t="n"/>
      <c r="J300" s="217" t="inlineStr">
        <is>
          <t>"agencyCommission.search": "Search",</t>
        </is>
      </c>
    </row>
    <row r="301" ht="15.75" customHeight="1" s="305">
      <c r="A301" s="146" t="inlineStr">
        <is>
          <t>agencyCommission.placeholderSearch</t>
        </is>
      </c>
      <c r="B301" s="146" t="inlineStr">
        <is>
          <t>Nhập tên hoặc mã đại lý...</t>
        </is>
      </c>
      <c r="C301" s="146" t="inlineStr">
        <is>
          <t>Enter name or agency code...</t>
        </is>
      </c>
      <c r="D301" s="146" t="inlineStr">
        <is>
          <t>បញ្ចូលឈ្មោះ ឬលេខកូដរបស់ភ្នាក់ងារ...</t>
        </is>
      </c>
      <c r="E301" s="3" t="n"/>
      <c r="G301" t="inlineStr">
        <is>
          <t>បញ្ចូលឈ្មោះ ឬលេខកូដរបស់ភ្នាក់ងារ...</t>
        </is>
      </c>
      <c r="H301" t="inlineStr">
        <is>
          <t>បញ្ចូលឈ្មោះ ឬលេខកូដរបស់ភ្នាក់ងារ...</t>
        </is>
      </c>
      <c r="I301" s="74" t="n"/>
      <c r="J301" s="217" t="inlineStr">
        <is>
          <t>"agencyCommission.placeholderSearch": "Enter name or agency code...",</t>
        </is>
      </c>
    </row>
    <row r="302" ht="15.75" customHeight="1" s="305">
      <c r="A302" s="146" t="inlineStr">
        <is>
          <t>agencyCommission.time</t>
        </is>
      </c>
      <c r="B302" s="146" t="inlineStr">
        <is>
          <t>Thời gian</t>
        </is>
      </c>
      <c r="C302" s="146" t="inlineStr">
        <is>
          <t>Time</t>
        </is>
      </c>
      <c r="D302" s="146" t="inlineStr">
        <is>
          <t>ពេលវេលា</t>
        </is>
      </c>
      <c r="E302" s="3" t="n"/>
      <c r="G302" t="inlineStr">
        <is>
          <t>ពេលវេលា</t>
        </is>
      </c>
      <c r="H302" t="inlineStr">
        <is>
          <t>ពេលវេលា</t>
        </is>
      </c>
      <c r="I302" s="74" t="n"/>
      <c r="J302" s="217" t="inlineStr">
        <is>
          <t>"agencyCommission.time": "Time",</t>
        </is>
      </c>
    </row>
    <row r="303" ht="15.75" customHeight="1" s="305">
      <c r="A303" s="146" t="inlineStr">
        <is>
          <t>agencyCommission.placeholderDate</t>
        </is>
      </c>
      <c r="B303" s="146" t="inlineStr">
        <is>
          <t>Chọn thời gian</t>
        </is>
      </c>
      <c r="C303" s="146" t="inlineStr">
        <is>
          <t>Select time</t>
        </is>
      </c>
      <c r="D303" s="146" t="inlineStr">
        <is>
          <t>ជ្រើសពេលវេលា</t>
        </is>
      </c>
      <c r="E303" s="67" t="n"/>
      <c r="G303" t="inlineStr">
        <is>
          <t>ជ្រើសពេលវេលា</t>
        </is>
      </c>
      <c r="H303" t="inlineStr">
        <is>
          <t>ជ្រើសពេលវេលា</t>
        </is>
      </c>
      <c r="I303" s="74" t="n"/>
      <c r="J303" s="217" t="inlineStr">
        <is>
          <t>"agencyCommission.placeholderDate": "Select time",</t>
        </is>
      </c>
    </row>
    <row r="304" ht="15.75" customHeight="1" s="305">
      <c r="A304" s="146" t="inlineStr">
        <is>
          <t>agencyCommission.placeholderBranch</t>
        </is>
      </c>
      <c r="B304" s="146" t="inlineStr">
        <is>
          <t>Chọn chi nhánh</t>
        </is>
      </c>
      <c r="C304" s="146" t="inlineStr">
        <is>
          <t>Select branch</t>
        </is>
      </c>
      <c r="D304" s="146" t="inlineStr">
        <is>
          <t>ជ្រើសសាខា</t>
        </is>
      </c>
      <c r="E304" s="3" t="n"/>
      <c r="G304" t="inlineStr">
        <is>
          <t>ជ្រើសសាខា</t>
        </is>
      </c>
      <c r="H304" t="inlineStr">
        <is>
          <t>ជ្រើសសាខា</t>
        </is>
      </c>
      <c r="I304" s="74" t="n"/>
      <c r="J304" s="217" t="inlineStr">
        <is>
          <t>"agencyCommission.placeholderBranch": "Select branch",</t>
        </is>
      </c>
    </row>
    <row r="305" ht="15.75" customHeight="1" s="305">
      <c r="A305" s="146" t="inlineStr">
        <is>
          <t>agencyCommission.deliveryFee</t>
        </is>
      </c>
      <c r="B305" s="146" t="inlineStr">
        <is>
          <t>Thù lao giao hàng</t>
        </is>
      </c>
      <c r="C305" s="146" t="inlineStr">
        <is>
          <t>Delivery compensation</t>
        </is>
      </c>
      <c r="D305" s="146" t="inlineStr">
        <is>
          <t>ប្រាក់ឧបត្ថម្ភដឹកជញ្ជូន</t>
        </is>
      </c>
      <c r="E305" s="3" t="n"/>
      <c r="G305" t="inlineStr">
        <is>
          <t>ប្រាក់ឧបត្ថម្ភដឹកជញ្ជូន</t>
        </is>
      </c>
      <c r="H305" t="inlineStr">
        <is>
          <t>ប្រាក់ឧបត្ថម្ភដឹកជញ្ជូន</t>
        </is>
      </c>
      <c r="I305" s="74" t="n"/>
      <c r="J305" s="217" t="inlineStr">
        <is>
          <t>"agencyCommission.deliveryFee": "Delivery compensation",</t>
        </is>
      </c>
    </row>
    <row r="306" ht="15.75" customHeight="1" s="305">
      <c r="A306" s="146" t="inlineStr">
        <is>
          <t>agencyCommission.receiveFee</t>
        </is>
      </c>
      <c r="B306" s="146" t="inlineStr">
        <is>
          <t>Thù lao nhận hàng</t>
        </is>
      </c>
      <c r="C306" s="146" t="inlineStr">
        <is>
          <t>Receiving compensation</t>
        </is>
      </c>
      <c r="D306" s="146" t="inlineStr">
        <is>
          <t>ប្រាក់ឧបត្ថម្ភទទួល</t>
        </is>
      </c>
      <c r="E306" s="3" t="n"/>
      <c r="G306" t="inlineStr">
        <is>
          <t>ប្រាក់ឧបត្ថម្ភទទួល</t>
        </is>
      </c>
      <c r="H306" t="inlineStr">
        <is>
          <t>ប្រាក់ឧបត្ថម្ភទទួល</t>
        </is>
      </c>
      <c r="I306" s="74" t="n"/>
      <c r="J306" s="217" t="inlineStr">
        <is>
          <t>"agencyCommission.receiveFee": "Receiving compensation",</t>
        </is>
      </c>
    </row>
    <row r="307" ht="15.75" customHeight="1" s="305">
      <c r="A307" s="146" t="inlineStr">
        <is>
          <t>agencyCommission.fixedSalary</t>
        </is>
      </c>
      <c r="B307" s="146" t="inlineStr">
        <is>
          <t>Lương cứng</t>
        </is>
      </c>
      <c r="C307" s="146" t="inlineStr">
        <is>
          <t>Fixed salary</t>
        </is>
      </c>
      <c r="D307" s="146" t="inlineStr">
        <is>
          <t>ប្រាក់ខែថេរ</t>
        </is>
      </c>
      <c r="E307" s="3" t="n"/>
      <c r="G307" t="inlineStr">
        <is>
          <t>ប្រាក់ខែថេរ</t>
        </is>
      </c>
      <c r="H307" t="inlineStr">
        <is>
          <t>ប្រាក់ខែថេរ</t>
        </is>
      </c>
      <c r="I307" s="74" t="n"/>
      <c r="J307" s="217" t="inlineStr">
        <is>
          <t>"agencyCommission.fixedSalary": "Fixed salary",</t>
        </is>
      </c>
    </row>
    <row r="308" ht="15.75" customHeight="1" s="305">
      <c r="A308" s="146" t="inlineStr">
        <is>
          <t>agencyCommission.servingDealer</t>
        </is>
      </c>
      <c r="B308" s="146" t="inlineStr">
        <is>
          <t>Thù lao phục vụ đại lý</t>
        </is>
      </c>
      <c r="C308" s="146" t="inlineStr">
        <is>
          <t>Serving Dealer Compensation</t>
        </is>
      </c>
      <c r="D308" s="146" t="inlineStr">
        <is>
          <t>ប្រាក់ឧបត្ថម្ភបម្រើអាជ្ញាកណ្តាល</t>
        </is>
      </c>
      <c r="E308" s="3" t="n"/>
      <c r="G308" t="inlineStr">
        <is>
          <t>ប្រាក់ឧបត្ថម្ភបម្រើអាជ្ញាកណ្តាល</t>
        </is>
      </c>
      <c r="H308" t="inlineStr">
        <is>
          <t>ប្រាក់ឧបត្ថម្ភបម្រើអាជ្ញាកណ្តាល</t>
        </is>
      </c>
      <c r="I308" s="74" t="n"/>
      <c r="J308" s="217" t="inlineStr">
        <is>
          <t>"agencyCommission.servingDealer": "Serving Dealer Compensation",</t>
        </is>
      </c>
    </row>
    <row r="309" ht="15.75" customHeight="1" s="305">
      <c r="A309" s="146" t="inlineStr">
        <is>
          <t>agencyCommission.developmentFee</t>
        </is>
      </c>
      <c r="B309" s="146" t="inlineStr">
        <is>
          <t>Thù lao phát triển doanh thu</t>
        </is>
      </c>
      <c r="C309" s="146" t="inlineStr">
        <is>
          <t>Revenue development compensation</t>
        </is>
      </c>
      <c r="D309" s="146" t="inlineStr">
        <is>
          <t>ប្រាក់ឧបត្ថម្ភអភិវឌ្ឍចំណូល</t>
        </is>
      </c>
      <c r="E309" s="3" t="n"/>
      <c r="G309" t="inlineStr">
        <is>
          <t>ប្រាក់ឧបត្ថម្ភអភិវឌ្ឍចំណូល</t>
        </is>
      </c>
      <c r="H309" t="inlineStr">
        <is>
          <t>ប្រាក់ឧបត្ថម្ភអភិវឌ្ឍចំណូល</t>
        </is>
      </c>
      <c r="I309" s="74" t="n"/>
      <c r="J309" s="217" t="inlineStr">
        <is>
          <t>"agencyCommission.developmentFee": "Revenue development compensation",</t>
        </is>
      </c>
    </row>
    <row r="310" ht="15.75" customHeight="1" s="305">
      <c r="A310" s="146" t="inlineStr">
        <is>
          <t>agencyCommission.connectionFee</t>
        </is>
      </c>
      <c r="B310" s="146" t="inlineStr">
        <is>
          <t>Thù lao kết nối</t>
        </is>
      </c>
      <c r="C310" s="146" t="inlineStr">
        <is>
          <t>Connection compensation</t>
        </is>
      </c>
      <c r="D310" s="146" t="inlineStr">
        <is>
          <t>ប្រាក់ឧបត្ថម្ភភ្ជាប់</t>
        </is>
      </c>
      <c r="E310" s="3" t="n"/>
      <c r="G310" t="inlineStr">
        <is>
          <t>ប្រាក់ឧបត្ថម្ភភ្ជាប់</t>
        </is>
      </c>
      <c r="H310" t="inlineStr">
        <is>
          <t>ប្រាក់ឧបត្ថម្ភភ្ជាប់</t>
        </is>
      </c>
      <c r="I310" s="74" t="n"/>
      <c r="J310" s="217" t="inlineStr">
        <is>
          <t>"agencyCommission.connectionFee": "Connection compensation",</t>
        </is>
      </c>
    </row>
    <row r="311" ht="15.75" customHeight="1" s="305">
      <c r="A311" s="146" t="inlineStr">
        <is>
          <t>agencyCommission.additionalConnectionFee</t>
        </is>
      </c>
      <c r="B311" s="146" t="inlineStr">
        <is>
          <t>Bổ sung thù lao kết nối</t>
        </is>
      </c>
      <c r="C311" s="146" t="inlineStr">
        <is>
          <t>Additional connection compensation</t>
        </is>
      </c>
      <c r="D311" s="146" t="inlineStr">
        <is>
          <t>បន្ថែមប្រាក់ឧបត្ថម្ភភ្ជាប់</t>
        </is>
      </c>
      <c r="E311" s="3" t="n"/>
      <c r="G311" t="inlineStr">
        <is>
          <t>បន្ថែមប្រាក់ឧបត្ថម្ភភ្ជាប់</t>
        </is>
      </c>
      <c r="H311" t="inlineStr">
        <is>
          <t>បន្ថែមប្រាក់ឧបត្ថម្ភភ្ជាប់</t>
        </is>
      </c>
      <c r="I311" s="74" t="n"/>
      <c r="J311" s="217" t="inlineStr">
        <is>
          <t>"agencyCommission.additionalConnectionFee": "Additional connection compensation",</t>
        </is>
      </c>
    </row>
    <row r="312" ht="15.75" customHeight="1" s="305">
      <c r="A312" s="146" t="inlineStr">
        <is>
          <t>agencyCommission.managementFee</t>
        </is>
      </c>
      <c r="B312" s="146" t="inlineStr">
        <is>
          <t>Thù lao quản lý</t>
        </is>
      </c>
      <c r="C312" s="146" t="inlineStr">
        <is>
          <t>Management compensation</t>
        </is>
      </c>
      <c r="D312" s="146" t="inlineStr">
        <is>
          <t>ប្រាក់ឧបត្ថម្ភគ្រប់គ្រង</t>
        </is>
      </c>
      <c r="E312" s="3" t="n"/>
      <c r="G312" t="inlineStr">
        <is>
          <t>ប្រាក់ឧបត្ថម្ភគ្រប់គ្រង</t>
        </is>
      </c>
      <c r="H312" t="inlineStr">
        <is>
          <t>ប្រាក់ឧបត្ថម្ភគ្រប់គ្រង</t>
        </is>
      </c>
      <c r="I312" s="74" t="n"/>
      <c r="J312" s="217" t="inlineStr">
        <is>
          <t>"agencyCommission.managementFee": "Management compensation",</t>
        </is>
      </c>
    </row>
    <row r="313" ht="15.75" customHeight="1" s="305">
      <c r="A313" s="146" t="inlineStr">
        <is>
          <t>agencyCommission.deliveryCommission</t>
        </is>
      </c>
      <c r="B313" s="146" t="inlineStr">
        <is>
          <t>Hoa hồng sản lượng giao</t>
        </is>
      </c>
      <c r="C313" s="146" t="inlineStr">
        <is>
          <t>Delivery volume commission</t>
        </is>
      </c>
      <c r="D313" s="146" t="inlineStr">
        <is>
          <t>កម្រៃដឹកជញ្ជូន</t>
        </is>
      </c>
      <c r="E313" s="3" t="n"/>
      <c r="G313" t="inlineStr">
        <is>
          <t>កម្រៃដឹកជញ្ជូន</t>
        </is>
      </c>
      <c r="H313" t="inlineStr">
        <is>
          <t>កម្រៃដឹកជញ្ជូន</t>
        </is>
      </c>
      <c r="I313" s="74" t="n"/>
      <c r="J313" s="217" t="inlineStr">
        <is>
          <t>"agencyCommission.deliveryCommission": "Delivery volume commission",</t>
        </is>
      </c>
    </row>
    <row r="314" ht="15.75" customHeight="1" s="305">
      <c r="A314" s="146" t="inlineStr">
        <is>
          <t>agencyCommission.receiveCommission</t>
        </is>
      </c>
      <c r="B314" s="146" t="inlineStr">
        <is>
          <t>Hoa hồng sản lượng nhận</t>
        </is>
      </c>
      <c r="C314" s="146" t="inlineStr">
        <is>
          <t>Receiving volume commission</t>
        </is>
      </c>
      <c r="D314" s="146" t="inlineStr">
        <is>
          <t>កម្រៃទទួល</t>
        </is>
      </c>
      <c r="E314" s="3" t="n"/>
      <c r="G314" t="inlineStr">
        <is>
          <t>កម្រៃទទួល</t>
        </is>
      </c>
      <c r="H314" t="inlineStr">
        <is>
          <t>កម្រៃទទួល</t>
        </is>
      </c>
      <c r="I314" s="74" t="n"/>
      <c r="J314" s="217" t="inlineStr">
        <is>
          <t>"agencyCommission.receiveCommission": "Receiving volume commission",</t>
        </is>
      </c>
    </row>
    <row r="315" ht="15.75" customHeight="1" s="305">
      <c r="A315" s="146" t="inlineStr">
        <is>
          <t>agencyCommission.agtDeliveryFee</t>
        </is>
      </c>
      <c r="B315" s="146" t="inlineStr">
        <is>
          <t>Hoa hồng giao</t>
        </is>
      </c>
      <c r="C315" s="146" t="inlineStr">
        <is>
          <t>Delivery Commission</t>
        </is>
      </c>
      <c r="D315" s="146" t="inlineStr">
        <is>
          <t>កម្រៃអាជ្ញាកណ្តាលដឹក</t>
        </is>
      </c>
      <c r="E315" s="3" t="n"/>
      <c r="G315" t="inlineStr">
        <is>
          <t>កម្រៃអាជ្ញាកណ្តាលដឹក</t>
        </is>
      </c>
      <c r="H315" t="inlineStr">
        <is>
          <t>កម្រៃអាជ្ញាកណ្តាលដឹក</t>
        </is>
      </c>
      <c r="I315" s="74" t="n"/>
      <c r="J315" s="217" t="inlineStr">
        <is>
          <t>"agencyCommission.agtDeliveryFee": "Delivery Commission",</t>
        </is>
      </c>
    </row>
    <row r="316" ht="15.75" customHeight="1" s="305">
      <c r="A316" s="146" t="inlineStr">
        <is>
          <t>agencyCommission.agtPickupFee</t>
        </is>
      </c>
      <c r="B316" s="146" t="inlineStr">
        <is>
          <t>Hoa hồng nhận</t>
        </is>
      </c>
      <c r="C316" s="146" t="inlineStr">
        <is>
          <t>Pickup Commission</t>
        </is>
      </c>
      <c r="D316" s="146" t="inlineStr">
        <is>
          <t>កម្រៃអាជ្ញាកណ្តាលទទួល</t>
        </is>
      </c>
      <c r="E316" s="3" t="n"/>
      <c r="G316" t="inlineStr">
        <is>
          <t>កម្រៃអាជ្ញាកណ្តាលទទួល</t>
        </is>
      </c>
      <c r="H316" t="inlineStr">
        <is>
          <t>កម្រៃអាជ្ញាកណ្តាលទទួល</t>
        </is>
      </c>
      <c r="I316" s="74" t="n"/>
      <c r="J316" s="217" t="inlineStr">
        <is>
          <t>"agencyCommission.agtPickupFee": "Pickup Commission",</t>
        </is>
      </c>
    </row>
    <row r="317" ht="15.75" customHeight="1" s="305">
      <c r="A317" s="146" t="inlineStr">
        <is>
          <t>agencyCommission.empBaseDeliveryFee</t>
        </is>
      </c>
      <c r="B317" s="146" t="inlineStr">
        <is>
          <t>Thù lao sản lượng giao</t>
        </is>
      </c>
      <c r="C317" s="146" t="inlineStr">
        <is>
          <t>Employee Base Delivery Fee</t>
        </is>
      </c>
      <c r="D317" s="146" t="inlineStr">
        <is>
          <t>ប្រាក់ឧបត្ថម្ភដឹក</t>
        </is>
      </c>
      <c r="E317" s="3" t="n"/>
      <c r="G317" t="inlineStr">
        <is>
          <t>ប្រាក់ឧបត្ថម្ភដឹក</t>
        </is>
      </c>
      <c r="H317" t="inlineStr">
        <is>
          <t>ប្រាក់ឧបត្ថម្ភដឹក</t>
        </is>
      </c>
      <c r="I317" s="74" t="n"/>
      <c r="J317" s="217" t="inlineStr">
        <is>
          <t>"agencyCommission.empBaseDeliveryFee": "Employee Base Delivery Fee",</t>
        </is>
      </c>
    </row>
    <row r="318" ht="15.75" customHeight="1" s="305">
      <c r="A318" s="146" t="inlineStr">
        <is>
          <t>agencyCommission.empBasePickupFee</t>
        </is>
      </c>
      <c r="B318" s="146" t="inlineStr">
        <is>
          <t>Thù lao sản lượng nhận</t>
        </is>
      </c>
      <c r="C318" s="146" t="inlineStr">
        <is>
          <t>Employee Base Pickup Fee</t>
        </is>
      </c>
      <c r="D318" s="146" t="inlineStr">
        <is>
          <t>ប្រាក់ឧបត្ថម្ភទទួល</t>
        </is>
      </c>
      <c r="E318" s="3" t="n"/>
      <c r="G318" t="inlineStr">
        <is>
          <t>ប្រាក់ឧបត្ថម្ភទទួល</t>
        </is>
      </c>
      <c r="H318" t="inlineStr">
        <is>
          <t>ប្រាក់ឧបត្ថម្ភទទួល</t>
        </is>
      </c>
      <c r="I318" s="74" t="n"/>
      <c r="J318" s="217" t="inlineStr">
        <is>
          <t>"agencyCommission.empBasePickupFee": "Employee Base Pickup Fee",</t>
        </is>
      </c>
    </row>
    <row r="319" ht="15.75" customHeight="1" s="305">
      <c r="A319" s="146" t="inlineStr">
        <is>
          <t>agencyCommission.empWeightDeliveryFee</t>
        </is>
      </c>
      <c r="B319" s="146" t="inlineStr">
        <is>
          <t>Thù lao trọng lượng vượt giao</t>
        </is>
      </c>
      <c r="C319" s="146" t="inlineStr">
        <is>
          <t>Employee Excess Weight Delivery Fee</t>
        </is>
      </c>
      <c r="D319" s="146" t="inlineStr">
        <is>
          <t>ប្រាក់ទម្ងន់លើសដឹក</t>
        </is>
      </c>
      <c r="E319" s="3" t="n"/>
      <c r="G319" t="inlineStr">
        <is>
          <t>ប្រាក់ទម្ងន់លើសដឹក</t>
        </is>
      </c>
      <c r="H319" t="inlineStr">
        <is>
          <t>ប្រាក់ទម្ងន់លើសដឹក</t>
        </is>
      </c>
      <c r="I319" s="74" t="n"/>
      <c r="J319" s="217" t="inlineStr">
        <is>
          <t>"agencyCommission.empWeightDeliveryFee": "Employee Excess Weight Delivery Fee",</t>
        </is>
      </c>
    </row>
    <row r="320" ht="15.75" customHeight="1" s="305">
      <c r="A320" s="146" t="inlineStr">
        <is>
          <t>agencyCommission.empWeightPickupFee</t>
        </is>
      </c>
      <c r="B320" s="146" t="inlineStr">
        <is>
          <t>Thù lao trọng lượng vượt nhận</t>
        </is>
      </c>
      <c r="C320" s="146" t="inlineStr">
        <is>
          <t>Employee Excess Weight Pickup Fee</t>
        </is>
      </c>
      <c r="D320" s="146" t="inlineStr">
        <is>
          <t>ប្រាក់ទម្ងន់លើសទទួល</t>
        </is>
      </c>
      <c r="E320" s="3" t="n"/>
      <c r="G320" t="inlineStr">
        <is>
          <t>ប្រាក់ទម្ងន់លើសទទួល</t>
        </is>
      </c>
      <c r="H320" t="inlineStr">
        <is>
          <t>ប្រាក់ទម្ងន់លើសទទួល</t>
        </is>
      </c>
      <c r="I320" s="74" t="n"/>
      <c r="J320" s="217" t="inlineStr">
        <is>
          <t>"agencyCommission.empWeightPickupFee": "Employee Excess Weight Pickup Fee",</t>
        </is>
      </c>
    </row>
    <row r="321" ht="15.75" customHeight="1" s="305">
      <c r="A321" s="146" t="inlineStr">
        <is>
          <t>agencyCommission.penalty</t>
        </is>
      </c>
      <c r="B321" s="146" t="inlineStr">
        <is>
          <t>Phạt</t>
        </is>
      </c>
      <c r="C321" s="146" t="inlineStr">
        <is>
          <t>Penalty</t>
        </is>
      </c>
      <c r="D321" s="146" t="inlineStr">
        <is>
          <t>ពិន័យ</t>
        </is>
      </c>
      <c r="E321" s="3" t="n"/>
      <c r="G321" t="inlineStr">
        <is>
          <t>ពិន័យ</t>
        </is>
      </c>
      <c r="H321" t="inlineStr">
        <is>
          <t>ពិន័យ</t>
        </is>
      </c>
      <c r="I321" s="74" t="n"/>
      <c r="J321" s="217" t="inlineStr">
        <is>
          <t>"agencyCommission.penalty": "Penalty",</t>
        </is>
      </c>
    </row>
    <row r="322" ht="15.75" customHeight="1" s="305">
      <c r="A322" s="146" t="inlineStr">
        <is>
          <t>agencyCommission.postOffice</t>
        </is>
      </c>
      <c r="B322" s="146" t="inlineStr">
        <is>
          <t>Bưu cục</t>
        </is>
      </c>
      <c r="C322" s="146" t="inlineStr">
        <is>
          <t>Post Office</t>
        </is>
      </c>
      <c r="D322" s="146" t="inlineStr">
        <is>
          <t>ការិយាល័យប្រៃសណីយ៍</t>
        </is>
      </c>
      <c r="E322" s="3" t="n"/>
      <c r="G322" t="inlineStr">
        <is>
          <t>ការិយាល័យប្រៃសណីយ៍</t>
        </is>
      </c>
      <c r="H322" t="inlineStr">
        <is>
          <t>ការិយាល័យប្រៃសណីយ៍</t>
        </is>
      </c>
      <c r="I322" s="74" t="n"/>
      <c r="J322" s="217" t="inlineStr">
        <is>
          <t>"agencyCommission.postOffice": "Post Office",</t>
        </is>
      </c>
    </row>
    <row r="323" ht="15.75" customHeight="1" s="305">
      <c r="A323" s="146" t="inlineStr">
        <is>
          <t>agencyCommission.placeholderPostOffice</t>
        </is>
      </c>
      <c r="B323" s="146" t="inlineStr">
        <is>
          <t>Chọn bưu cục</t>
        </is>
      </c>
      <c r="C323" s="146" t="inlineStr">
        <is>
          <t>Select post office</t>
        </is>
      </c>
      <c r="D323" s="146" t="inlineStr">
        <is>
          <t>ជ្រើសការិយាល័យប្រៃសណីយ៍</t>
        </is>
      </c>
      <c r="E323" s="3" t="n"/>
      <c r="G323" t="inlineStr">
        <is>
          <t>ជ្រើសការិយាល័យប្រៃសណីយ៍</t>
        </is>
      </c>
      <c r="H323" t="inlineStr">
        <is>
          <t>ជ្រើសការិយាល័យប្រៃសណីយ៍</t>
        </is>
      </c>
      <c r="I323" s="74" t="n"/>
      <c r="J323" s="217" t="inlineStr">
        <is>
          <t>"agencyCommission.placeholderPostOffice": "Select post office",</t>
        </is>
      </c>
    </row>
    <row r="324" ht="15.75" customHeight="1" s="305">
      <c r="A324" s="146" t="inlineStr">
        <is>
          <t>agencyCommission.classify</t>
        </is>
      </c>
      <c r="B324" s="146" t="inlineStr">
        <is>
          <t>Phân loại</t>
        </is>
      </c>
      <c r="C324" s="146" t="inlineStr">
        <is>
          <t>Type</t>
        </is>
      </c>
      <c r="D324" s="146" t="inlineStr">
        <is>
          <t>ចំណាត់ថ្នាក់</t>
        </is>
      </c>
      <c r="E324" s="3" t="n"/>
      <c r="G324" t="inlineStr">
        <is>
          <t>ចំណាត់ថ្នាក់</t>
        </is>
      </c>
      <c r="H324" t="inlineStr">
        <is>
          <t>ចំណាត់ថ្នាក់</t>
        </is>
      </c>
      <c r="I324" s="74" t="n"/>
      <c r="J324" s="217" t="inlineStr">
        <is>
          <t>"agencyCommission.classify": "Type",</t>
        </is>
      </c>
    </row>
    <row r="325" ht="15.75" customHeight="1" s="305">
      <c r="A325" s="146" t="inlineStr">
        <is>
          <t>agencyCommission.placeholderClassify</t>
        </is>
      </c>
      <c r="B325" s="146" t="inlineStr">
        <is>
          <t>Chọn phân loại</t>
        </is>
      </c>
      <c r="C325" s="146" t="inlineStr">
        <is>
          <t>Select type</t>
        </is>
      </c>
      <c r="D325" s="146" t="inlineStr">
        <is>
          <t>ជ្រើសចំណាត់ថ្នាក់</t>
        </is>
      </c>
      <c r="E325" s="3" t="n"/>
      <c r="G325" t="inlineStr">
        <is>
          <t>ជ្រើសចំណាត់ថ្នាក់</t>
        </is>
      </c>
      <c r="H325" t="inlineStr">
        <is>
          <t>ជ្រើសចំណាត់ថ្នាក់</t>
        </is>
      </c>
      <c r="I325" s="74" t="n"/>
      <c r="J325" s="217" t="inlineStr">
        <is>
          <t>"agencyCommission.placeholderClassify": "Select type",</t>
        </is>
      </c>
    </row>
    <row r="326" ht="15.75" customHeight="1" s="305">
      <c r="A326" s="146" t="inlineStr">
        <is>
          <t>agencyCommission.salaryElement</t>
        </is>
      </c>
      <c r="B326" s="146" t="inlineStr">
        <is>
          <t>Phần tử lương</t>
        </is>
      </c>
      <c r="C326" s="146" t="inlineStr">
        <is>
          <t>Salary Element</t>
        </is>
      </c>
      <c r="D326" s="146" t="inlineStr">
        <is>
          <t>ធាតុប្រាក់ខែ</t>
        </is>
      </c>
      <c r="E326" s="3" t="n"/>
      <c r="G326" t="inlineStr">
        <is>
          <t>ធាតុប្រាក់ខែ</t>
        </is>
      </c>
      <c r="H326" t="inlineStr">
        <is>
          <t>ធាតុប្រាក់ខែ</t>
        </is>
      </c>
      <c r="I326" s="74" t="n"/>
      <c r="J326" s="217" t="inlineStr">
        <is>
          <t>"agencyCommission.salaryElement": "Salary Element",</t>
        </is>
      </c>
    </row>
    <row r="327" ht="15.75" customHeight="1" s="305">
      <c r="A327" s="146" t="inlineStr">
        <is>
          <t>agencyCommission.placeholderSalaryElement</t>
        </is>
      </c>
      <c r="B327" s="146" t="inlineStr">
        <is>
          <t>Chọn phần tử lương</t>
        </is>
      </c>
      <c r="C327" s="146" t="inlineStr">
        <is>
          <t>Select salary element</t>
        </is>
      </c>
      <c r="D327" s="146" t="inlineStr">
        <is>
          <t>ជ្រើសធាតុប្រាក់ខែ</t>
        </is>
      </c>
      <c r="E327" s="3" t="n"/>
      <c r="G327" t="inlineStr">
        <is>
          <t>ជ្រើសធាតុប្រាក់ខែ</t>
        </is>
      </c>
      <c r="H327" t="inlineStr">
        <is>
          <t>ជ្រើសធាតុប្រាក់ខែ</t>
        </is>
      </c>
      <c r="I327" s="74" t="n"/>
      <c r="J327" s="217" t="inlineStr">
        <is>
          <t>"agencyCommission.placeholderSalaryElement": "Select salary element",</t>
        </is>
      </c>
    </row>
    <row r="328" ht="15.75" customHeight="1" s="305">
      <c r="A328" s="146" t="inlineStr">
        <is>
          <t>agencyCommission.assignDate</t>
        </is>
      </c>
      <c r="B328" s="146" t="inlineStr">
        <is>
          <t>Ngày khoán</t>
        </is>
      </c>
      <c r="C328" s="146" t="inlineStr">
        <is>
          <t>Assignment Date</t>
        </is>
      </c>
      <c r="D328" s="146" t="inlineStr">
        <is>
          <t>ថ្ងៃបែងចែក</t>
        </is>
      </c>
      <c r="E328" s="3" t="n"/>
      <c r="G328" t="inlineStr">
        <is>
          <t>ថ្ងៃបែងចែក</t>
        </is>
      </c>
      <c r="H328" t="inlineStr">
        <is>
          <t>ថ្ងៃបែងចែក</t>
        </is>
      </c>
      <c r="I328" s="74" t="n"/>
      <c r="J328" s="217" t="inlineStr">
        <is>
          <t>"agencyCommission.assignDate": "Assignment Date",</t>
        </is>
      </c>
    </row>
    <row r="329" ht="15.75" customHeight="1" s="305">
      <c r="A329" s="146" t="inlineStr">
        <is>
          <t>agencyCommission.event</t>
        </is>
      </c>
      <c r="B329" s="146" t="inlineStr">
        <is>
          <t>Sự kiện</t>
        </is>
      </c>
      <c r="C329" s="146" t="inlineStr">
        <is>
          <t>Event</t>
        </is>
      </c>
      <c r="D329" s="146" t="inlineStr">
        <is>
          <t>ព្រឹត្តិការណ៍</t>
        </is>
      </c>
      <c r="E329" s="3" t="n"/>
      <c r="G329" t="inlineStr">
        <is>
          <t>ព្រឹត្តិការណ៍</t>
        </is>
      </c>
      <c r="H329" t="inlineStr">
        <is>
          <t>ព្រឹត្តិការណ៍</t>
        </is>
      </c>
      <c r="I329" s="74" t="n"/>
      <c r="J329" s="217" t="inlineStr">
        <is>
          <t>"agencyCommission.event": "Event",</t>
        </is>
      </c>
    </row>
    <row r="330" ht="15.75" customHeight="1" s="305">
      <c r="A330" s="146" t="inlineStr">
        <is>
          <t>agencyCommission.monthlyReceiveRevenue</t>
        </is>
      </c>
      <c r="B330" s="146" t="inlineStr">
        <is>
          <t>Tổng doanh thu nhận trong tháng ({{current}})</t>
        </is>
      </c>
      <c r="C330" s="146" t="inlineStr">
        <is>
          <t>Total Monthly Receiving Revenue ({{current}})</t>
        </is>
      </c>
      <c r="D330" s="146" t="inlineStr">
        <is>
          <t>សរុបចំណូលទទួលប្រចាំខែ ({{current}})</t>
        </is>
      </c>
      <c r="E330" s="3" t="n"/>
      <c r="G330" t="inlineStr">
        <is>
          <t>សរុបចំណូលទទួលប្រចាំខែ ({{current}})</t>
        </is>
      </c>
      <c r="H330" t="inlineStr">
        <is>
          <t>សរុបចំណូលទទួលប្រចាំខែ ({{current}})</t>
        </is>
      </c>
      <c r="I330" s="74" t="n"/>
      <c r="J330" s="217" t="inlineStr">
        <is>
          <t>"agencyCommission.monthlyReceiveRevenue": "Total Monthly Receiving Revenue ({{current}})",</t>
        </is>
      </c>
    </row>
    <row r="331" ht="15.75" customHeight="1" s="305">
      <c r="A331" s="146" t="inlineStr">
        <is>
          <t>agencyCommission.monthlyReceiveEvent</t>
        </is>
      </c>
      <c r="B331" s="146" t="inlineStr">
        <is>
          <t>Chốt doanh thu nhận tháng</t>
        </is>
      </c>
      <c r="C331" s="146" t="inlineStr">
        <is>
          <t>Finalize Monthly Receiving Revenue</t>
        </is>
      </c>
      <c r="D331" s="146" t="inlineStr">
        <is>
          <t>បិទចំណូលទទួលប្រចាំខែ</t>
        </is>
      </c>
      <c r="E331" s="3" t="n"/>
      <c r="G331" t="inlineStr">
        <is>
          <t>បិទចំណូលទទួលប្រចាំខែ</t>
        </is>
      </c>
      <c r="H331" t="inlineStr">
        <is>
          <t>បិទចំណូលទទួលប្រចាំខែ</t>
        </is>
      </c>
      <c r="I331" s="74" t="n"/>
      <c r="J331" s="217" t="inlineStr">
        <is>
          <t>"agencyCommission.monthlyReceiveEvent": "Finalize Monthly Receiving Revenue",</t>
        </is>
      </c>
    </row>
    <row r="332" ht="15.75" customHeight="1" s="305">
      <c r="A332" s="146" t="inlineStr">
        <is>
          <t>agencyCommission.monthlyDeliveryRevenue</t>
        </is>
      </c>
      <c r="B332" s="146" t="inlineStr">
        <is>
          <t>Tổng doanh thu giao trong tháng ({{current}})</t>
        </is>
      </c>
      <c r="C332" s="146" t="inlineStr">
        <is>
          <t>Total Monthly Delivery Revenue ({{current}})</t>
        </is>
      </c>
      <c r="D332" s="146" t="inlineStr">
        <is>
          <t>សរុបចំណូលដឹកប្រចាំខែ ({{current}})</t>
        </is>
      </c>
      <c r="E332" s="3" t="n"/>
      <c r="G332" t="inlineStr">
        <is>
          <t>សរុបចំណូលដឹកប្រចាំខែ ({{current}})</t>
        </is>
      </c>
      <c r="H332" t="inlineStr">
        <is>
          <t>សរុបចំណូលដឹកប្រចាំខែ ({{current}})</t>
        </is>
      </c>
      <c r="I332" s="74" t="n"/>
      <c r="J332" s="217" t="inlineStr">
        <is>
          <t>"agencyCommission.monthlyDeliveryRevenue": "Total Monthly Delivery Revenue ({{current}})",</t>
        </is>
      </c>
    </row>
    <row r="333" ht="15.75" customHeight="1" s="305">
      <c r="A333" s="146" t="inlineStr">
        <is>
          <t>agencyCommission.monthlyDeliveryEvent</t>
        </is>
      </c>
      <c r="B333" s="146" t="inlineStr">
        <is>
          <t>Chốt doanh thu giao tháng</t>
        </is>
      </c>
      <c r="C333" s="146" t="inlineStr">
        <is>
          <t>Finalize Monthly Delivery Revenue</t>
        </is>
      </c>
      <c r="D333" s="146" t="inlineStr">
        <is>
          <t>បិទចំណូលដឹកប្រចាំខែ</t>
        </is>
      </c>
      <c r="E333" s="3" t="n"/>
      <c r="G333" t="inlineStr">
        <is>
          <t>បិទចំណូលដឹកប្រចាំខែ</t>
        </is>
      </c>
      <c r="H333" t="inlineStr">
        <is>
          <t>បិទចំណូលដឹកប្រចាំខែ</t>
        </is>
      </c>
      <c r="I333" s="74" t="n"/>
      <c r="J333" s="217" t="inlineStr">
        <is>
          <t>"agencyCommission.monthlyDeliveryEvent": "Finalize Monthly Delivery Revenue",</t>
        </is>
      </c>
    </row>
    <row r="334" ht="15.75" customHeight="1" s="305">
      <c r="A334" s="146" t="inlineStr">
        <is>
          <t>agencyCommission.updatedAt</t>
        </is>
      </c>
      <c r="B334" s="146" t="inlineStr">
        <is>
          <t>Thời gian cập nhật</t>
        </is>
      </c>
      <c r="C334" s="146" t="inlineStr">
        <is>
          <t>Last Updated Time</t>
        </is>
      </c>
      <c r="D334" s="146" t="inlineStr">
        <is>
          <t>ពេលធ្វើបច្ចុប្បន្នភាព</t>
        </is>
      </c>
      <c r="E334" s="3" t="n"/>
      <c r="G334" t="inlineStr">
        <is>
          <t>ពេលធ្វើបច្ចុប្បន្នភាព</t>
        </is>
      </c>
      <c r="H334" t="inlineStr">
        <is>
          <t>ពេលធ្វើបច្ចុប្បន្នភាព</t>
        </is>
      </c>
      <c r="I334" s="74" t="n"/>
      <c r="J334" s="217" t="inlineStr">
        <is>
          <t>"agencyCommission.updatedAt": "Last Updated Time",</t>
        </is>
      </c>
    </row>
    <row r="335" ht="15.75" customHeight="1" s="305">
      <c r="A335" s="146" t="inlineStr">
        <is>
          <t>agencyCommission.amount</t>
        </is>
      </c>
      <c r="B335" s="146" t="inlineStr">
        <is>
          <t>Thành tiền ({{current}})</t>
        </is>
      </c>
      <c r="C335" s="146" t="inlineStr">
        <is>
          <t>Total Amount ({{current}})</t>
        </is>
      </c>
      <c r="D335" s="146" t="inlineStr">
        <is>
          <t>ចំនួនទឹកប្រាក់ ({{current}})</t>
        </is>
      </c>
      <c r="E335" s="3" t="n"/>
      <c r="G335" t="inlineStr">
        <is>
          <t>ចំនួនទឹកប្រាក់ ({{current}})</t>
        </is>
      </c>
      <c r="H335" t="inlineStr">
        <is>
          <t>ចំនួនទឹកប្រាក់ ({{current}})</t>
        </is>
      </c>
      <c r="I335" s="74" t="n"/>
      <c r="J335" s="217" t="inlineStr">
        <is>
          <t>"agencyCommission.amount": "Total Amount ({{current}})",</t>
        </is>
      </c>
    </row>
    <row r="336" ht="15.75" customHeight="1" s="305">
      <c r="A336" s="146" t="inlineStr">
        <is>
          <t>agencyCommission.compensationDetails</t>
        </is>
      </c>
      <c r="B336" s="146" t="inlineStr">
        <is>
          <t>Chi tiết thù lao:</t>
        </is>
      </c>
      <c r="C336" s="146" t="inlineStr">
        <is>
          <t>Compensation details:</t>
        </is>
      </c>
      <c r="D336" s="146" t="inlineStr">
        <is>
          <t>លម្អិតប្រាក់ឧបត្ថម្ភ:</t>
        </is>
      </c>
      <c r="E336" s="3" t="n"/>
      <c r="G336" t="inlineStr">
        <is>
          <t>លម្អិតប្រាក់ឧបត្ថម្ភ:</t>
        </is>
      </c>
      <c r="H336" t="inlineStr">
        <is>
          <t>លម្អិតប្រាក់ឧបត្ថម្ភ:</t>
        </is>
      </c>
      <c r="I336" s="74" t="n"/>
      <c r="J336" s="217" t="inlineStr">
        <is>
          <t>"agencyCommission.compensationDetails": "Compensation details:",</t>
        </is>
      </c>
    </row>
    <row r="337" ht="15.75" customHeight="1" s="305">
      <c r="A337" s="146" t="inlineStr">
        <is>
          <t>agencyCommission.monthlyCompensationFinalization</t>
        </is>
      </c>
      <c r="B337" s="146" t="inlineStr">
        <is>
          <t>Chốt thù lao tháng</t>
        </is>
      </c>
      <c r="C337" s="146" t="inlineStr">
        <is>
          <t>Monthly compensation finalization</t>
        </is>
      </c>
      <c r="D337" s="146" t="inlineStr">
        <is>
          <t>បិទបញ្ចប់ប្រាក់ឧបត្ថម្ភប្រចាំខែ</t>
        </is>
      </c>
      <c r="E337" s="67" t="n"/>
      <c r="G337" t="inlineStr">
        <is>
          <t>បិទបញ្ចប់ប្រាក់ឧបត្ថម្ភប្រចាំខែ</t>
        </is>
      </c>
      <c r="H337" t="inlineStr">
        <is>
          <t>បិទបញ្ចប់ប្រាក់ឧបត្ថម្ភប្រចាំខែ</t>
        </is>
      </c>
      <c r="I337" s="74" t="n"/>
      <c r="J337" s="217" t="inlineStr">
        <is>
          <t>"agencyCommission.monthlyCompensationFinalization": "Monthly compensation finalization",</t>
        </is>
      </c>
    </row>
    <row r="338" ht="15.75" customHeight="1" s="305">
      <c r="A338" s="146" t="inlineStr">
        <is>
          <t>professional.search</t>
        </is>
      </c>
      <c r="B338" s="146" t="inlineStr">
        <is>
          <t>Tìm kiếm</t>
        </is>
      </c>
      <c r="C338" s="146" t="inlineStr">
        <is>
          <t>Search</t>
        </is>
      </c>
      <c r="D338" s="146" t="inlineStr">
        <is>
          <t>ស្វែងរក</t>
        </is>
      </c>
      <c r="E338" s="3" t="n"/>
      <c r="G338" t="inlineStr">
        <is>
          <t>ស្វែងរក</t>
        </is>
      </c>
      <c r="H338" t="inlineStr">
        <is>
          <t>ស្វែងរក</t>
        </is>
      </c>
      <c r="I338" s="74" t="n"/>
      <c r="J338" s="217" t="inlineStr">
        <is>
          <t>"professional.search": "Search",</t>
        </is>
      </c>
    </row>
    <row r="339" ht="15.75" customHeight="1" s="305">
      <c r="A339" s="146" t="inlineStr">
        <is>
          <t>professional.actions</t>
        </is>
      </c>
      <c r="B339" s="146" t="inlineStr">
        <is>
          <t>Thao tác</t>
        </is>
      </c>
      <c r="C339" s="146" t="inlineStr">
        <is>
          <t>Actions</t>
        </is>
      </c>
      <c r="D339" s="146" t="inlineStr">
        <is>
          <t>សកម្មភាព</t>
        </is>
      </c>
      <c r="E339" s="3" t="n"/>
      <c r="G339" t="inlineStr">
        <is>
          <t>ប្រតិបត្តិការ</t>
        </is>
      </c>
      <c r="H339" t="inlineStr">
        <is>
          <t>ប្រតិបត្តិការ</t>
        </is>
      </c>
      <c r="I339" s="74" t="n"/>
      <c r="J339" s="217" t="inlineStr">
        <is>
          <t>"professional.actions": "Actions",</t>
        </is>
      </c>
    </row>
    <row r="340" ht="15.75" customHeight="1" s="305">
      <c r="A340" s="146" t="inlineStr">
        <is>
          <t>professional.placeholderSearch</t>
        </is>
      </c>
      <c r="B340" s="146" t="inlineStr">
        <is>
          <t>Nhập tên phần tử...</t>
        </is>
      </c>
      <c r="C340" s="146" t="inlineStr">
        <is>
          <t>Enter element name</t>
        </is>
      </c>
      <c r="D340" s="146" t="inlineStr">
        <is>
          <t>បញ្ចូលឈ្មោះធាតុ</t>
        </is>
      </c>
      <c r="E340" s="3" t="n"/>
      <c r="G340" t="inlineStr">
        <is>
          <t>បញ្ចូលឈ្មោះធាតុ</t>
        </is>
      </c>
      <c r="H340" t="inlineStr">
        <is>
          <t>បញ្ចូលឈ្មោះធាតុ</t>
        </is>
      </c>
      <c r="I340" s="74" t="n"/>
      <c r="J340" s="217" t="inlineStr">
        <is>
          <t>"professional.placeholderSearch": "Enter element name",</t>
        </is>
      </c>
    </row>
    <row r="341" ht="15.75" customHeight="1" s="305">
      <c r="A341" s="146" t="inlineStr">
        <is>
          <t>professional.all</t>
        </is>
      </c>
      <c r="B341" s="146" t="inlineStr">
        <is>
          <t>Tất cả</t>
        </is>
      </c>
      <c r="C341" s="146" t="inlineStr">
        <is>
          <t>All</t>
        </is>
      </c>
      <c r="D341" s="146" t="inlineStr">
        <is>
          <t>ទាំងអស់</t>
        </is>
      </c>
      <c r="E341" s="3" t="n"/>
      <c r="G341" t="inlineStr">
        <is>
          <t>ទាំងអស់</t>
        </is>
      </c>
      <c r="H341" t="inlineStr">
        <is>
          <t>ទាំងអស់</t>
        </is>
      </c>
      <c r="I341" s="74" t="n"/>
      <c r="J341" s="217" t="inlineStr">
        <is>
          <t>"professional.all": "All",</t>
        </is>
      </c>
    </row>
    <row r="342" ht="15.75" customHeight="1" s="305">
      <c r="A342" s="146" t="inlineStr">
        <is>
          <t>professional.sortBy</t>
        </is>
      </c>
      <c r="B342" s="146" t="inlineStr">
        <is>
          <t>Sắp xếp</t>
        </is>
      </c>
      <c r="C342" s="146" t="inlineStr">
        <is>
          <t>Sort by</t>
        </is>
      </c>
      <c r="D342" s="146" t="inlineStr">
        <is>
          <t>តម្រៀបតាម</t>
        </is>
      </c>
      <c r="E342" s="3" t="n"/>
      <c r="G342" t="inlineStr">
        <is>
          <t>តម្រៀបតាម</t>
        </is>
      </c>
      <c r="H342" t="inlineStr">
        <is>
          <t>តម្រៀបតាម</t>
        </is>
      </c>
      <c r="I342" s="74" t="n"/>
      <c r="J342" s="217" t="inlineStr">
        <is>
          <t>"professional.sortBy": "Sort by",</t>
        </is>
      </c>
    </row>
    <row r="343" ht="15.75" customHeight="1" s="305">
      <c r="A343" s="146" t="inlineStr">
        <is>
          <t>professional.sortDefault</t>
        </is>
      </c>
      <c r="B343" s="146" t="inlineStr">
        <is>
          <t>Sắp theo mặc định</t>
        </is>
      </c>
      <c r="C343" s="146" t="inlineStr">
        <is>
          <t>Default sorting</t>
        </is>
      </c>
      <c r="D343" s="146" t="inlineStr">
        <is>
          <t>លំនាំដើម</t>
        </is>
      </c>
      <c r="E343" s="3" t="n"/>
      <c r="G343" t="inlineStr">
        <is>
          <t>លំនាំដើម</t>
        </is>
      </c>
      <c r="H343" t="inlineStr">
        <is>
          <t>លំនាំដើម</t>
        </is>
      </c>
      <c r="I343" s="74" t="n"/>
      <c r="J343" s="217" t="inlineStr">
        <is>
          <t>"professional.sortDefault": "Default sorting",</t>
        </is>
      </c>
    </row>
    <row r="344" ht="15.75" customHeight="1" s="305">
      <c r="A344" s="146" t="inlineStr">
        <is>
          <t>professional.sortByElementName</t>
        </is>
      </c>
      <c r="B344" s="146" t="inlineStr">
        <is>
          <t>Theo tên phần tử (A→Z)</t>
        </is>
      </c>
      <c r="C344" s="146" t="inlineStr">
        <is>
          <t>By element name (A→Z)</t>
        </is>
      </c>
      <c r="D344" s="146" t="inlineStr">
        <is>
          <t>តាមឈ្មោះធាតុ (A→Z)</t>
        </is>
      </c>
      <c r="E344" s="3" t="n"/>
      <c r="G344" t="inlineStr">
        <is>
          <t>តាមឈ្មោះធាតុ (A→Z)</t>
        </is>
      </c>
      <c r="H344" t="inlineStr">
        <is>
          <t>តាមឈ្មោះធាតុ (A→Z)</t>
        </is>
      </c>
      <c r="I344" s="74" t="n"/>
      <c r="J344" s="217" t="inlineStr">
        <is>
          <t>"professional.sortByElementName": "By element name (A→Z)",</t>
        </is>
      </c>
    </row>
    <row r="345" ht="15.75" customHeight="1" s="305">
      <c r="A345" s="146" t="inlineStr">
        <is>
          <t>professional.sortByElementCode</t>
        </is>
      </c>
      <c r="B345" s="146" t="inlineStr">
        <is>
          <t>Theo mã phần tử (A→Z)</t>
        </is>
      </c>
      <c r="C345" s="146" t="inlineStr">
        <is>
          <t>By element code (A→Z)</t>
        </is>
      </c>
      <c r="D345" s="146" t="inlineStr">
        <is>
          <t>តាមលេខកូដធាតុ (A→Z)</t>
        </is>
      </c>
      <c r="E345" s="3" t="n"/>
      <c r="G345" t="inlineStr">
        <is>
          <t>តាមលេខកូដធាតុ (A→Z)</t>
        </is>
      </c>
      <c r="H345" t="inlineStr">
        <is>
          <t>តាមលេខកូដធាតុ (A→Z)</t>
        </is>
      </c>
      <c r="I345" s="74" t="n"/>
      <c r="J345" s="217" t="inlineStr">
        <is>
          <t>"professional.sortByElementCode": "By element code (A→Z)",</t>
        </is>
      </c>
    </row>
    <row r="346" ht="15.75" customHeight="1" s="305">
      <c r="A346" s="146" t="inlineStr">
        <is>
          <t>professional.sortByUpdateTime</t>
        </is>
      </c>
      <c r="B346" s="146" t="inlineStr">
        <is>
          <t>Theo thời gian cập nhật (mới → cũ)</t>
        </is>
      </c>
      <c r="C346" s="146" t="inlineStr">
        <is>
          <t>By update time (newest → oldest)</t>
        </is>
      </c>
      <c r="D346" s="146" t="inlineStr">
        <is>
          <t>តាមពេលធ្វើបច្ចុប្បន្នភាព (ថ្មី → ចាស់)</t>
        </is>
      </c>
      <c r="E346" s="3" t="n"/>
      <c r="G346" t="inlineStr">
        <is>
          <t>តាមពេលធ្វើបច្ចុប្បន្នភាព (ថ្មី → ចាស់)</t>
        </is>
      </c>
      <c r="H346" t="inlineStr">
        <is>
          <t>តាមពេលធ្វើបច្ចុប្បន្នភាព (ថ្មី → ចាស់)</t>
        </is>
      </c>
      <c r="I346" s="74" t="n"/>
      <c r="J346" s="217" t="inlineStr">
        <is>
          <t>"professional.sortByUpdateTime": "By update time (newest → oldest)",</t>
        </is>
      </c>
    </row>
    <row r="347" ht="15.75" customHeight="1" s="305">
      <c r="A347" s="146" t="inlineStr">
        <is>
          <t>professional.object</t>
        </is>
      </c>
      <c r="B347" s="146" t="inlineStr">
        <is>
          <t>Đối tượng</t>
        </is>
      </c>
      <c r="C347" s="146" t="inlineStr">
        <is>
          <t>Object</t>
        </is>
      </c>
      <c r="D347" s="146" t="inlineStr">
        <is>
          <t>វត្ថុ</t>
        </is>
      </c>
      <c r="E347" s="3" t="n"/>
      <c r="G347" t="inlineStr">
        <is>
          <t>វត្ថុ</t>
        </is>
      </c>
      <c r="H347" t="inlineStr">
        <is>
          <t>វត្ថុ</t>
        </is>
      </c>
      <c r="I347" s="74" t="n"/>
      <c r="J347" s="217" t="inlineStr">
        <is>
          <t>"professional.object": "Object",</t>
        </is>
      </c>
    </row>
    <row r="348" ht="15.75" customHeight="1" s="305">
      <c r="A348" s="146" t="inlineStr">
        <is>
          <t>professional.placeholderObject</t>
        </is>
      </c>
      <c r="B348" s="146" t="inlineStr">
        <is>
          <t>Chọn đối tượng</t>
        </is>
      </c>
      <c r="C348" s="146" t="inlineStr">
        <is>
          <t>Select object</t>
        </is>
      </c>
      <c r="D348" s="146" t="inlineStr">
        <is>
          <t>ជ្រើសវត្ថុ</t>
        </is>
      </c>
      <c r="E348" s="3" t="n"/>
      <c r="G348" t="inlineStr">
        <is>
          <t>ជ្រើសវត្ថុ</t>
        </is>
      </c>
      <c r="H348" t="inlineStr">
        <is>
          <t>ជ្រើសវត្ថុ</t>
        </is>
      </c>
      <c r="I348" s="74" t="n"/>
      <c r="J348" s="217" t="inlineStr">
        <is>
          <t>"professional.placeholderObject": "Select object",</t>
        </is>
      </c>
    </row>
    <row r="349" ht="15.75" customHeight="1" s="305">
      <c r="A349" s="146" t="inlineStr">
        <is>
          <t>professional.employee</t>
        </is>
      </c>
      <c r="B349" s="146" t="inlineStr">
        <is>
          <t>Nhân viên</t>
        </is>
      </c>
      <c r="C349" s="146" t="inlineStr">
        <is>
          <t>Employee</t>
        </is>
      </c>
      <c r="D349" s="146" t="inlineStr">
        <is>
          <t>បុគ្គលិក</t>
        </is>
      </c>
      <c r="E349" s="3" t="n"/>
      <c r="G349" t="inlineStr">
        <is>
          <t>បុគ្គលិក</t>
        </is>
      </c>
      <c r="H349" t="inlineStr">
        <is>
          <t>បុគ្គលិក</t>
        </is>
      </c>
      <c r="I349" s="74" t="n"/>
      <c r="J349" s="217" t="inlineStr">
        <is>
          <t>"professional.employee": "Employee",</t>
        </is>
      </c>
    </row>
    <row r="350" ht="15.75" customHeight="1" s="305">
      <c r="A350" s="146" t="inlineStr">
        <is>
          <t>professional.agency</t>
        </is>
      </c>
      <c r="B350" s="146" t="inlineStr">
        <is>
          <t>Đại lý</t>
        </is>
      </c>
      <c r="C350" s="146" t="inlineStr">
        <is>
          <t>Agency</t>
        </is>
      </c>
      <c r="D350" s="146" t="inlineStr">
        <is>
          <t>អាជ្ញាកណ្តាល</t>
        </is>
      </c>
      <c r="E350" s="3" t="n"/>
      <c r="G350" t="inlineStr">
        <is>
          <t>អាជ្ញាកណ្តាល</t>
        </is>
      </c>
      <c r="H350" t="inlineStr">
        <is>
          <t>អាជ្ញាកណ្តាល</t>
        </is>
      </c>
      <c r="I350" s="74" t="n"/>
      <c r="J350" s="217" t="inlineStr">
        <is>
          <t>"professional.agency": "Agency",</t>
        </is>
      </c>
    </row>
    <row r="351" ht="15.75" customHeight="1" s="305">
      <c r="A351" s="146" t="inlineStr">
        <is>
          <t>professional.salaryType</t>
        </is>
      </c>
      <c r="B351" s="146" t="inlineStr">
        <is>
          <t>Loại lương</t>
        </is>
      </c>
      <c r="C351" s="146" t="inlineStr">
        <is>
          <t>Salary Type</t>
        </is>
      </c>
      <c r="D351" s="146" t="inlineStr">
        <is>
          <t>ប្រភេទប្រាក់ខែ</t>
        </is>
      </c>
      <c r="E351" s="3" t="n"/>
      <c r="G351" t="inlineStr">
        <is>
          <t>ប្រភេទប្រាក់ខែ</t>
        </is>
      </c>
      <c r="H351" t="inlineStr">
        <is>
          <t>ប្រភេទប្រាក់ខែ</t>
        </is>
      </c>
      <c r="I351" s="74" t="n"/>
      <c r="J351" s="217" t="inlineStr">
        <is>
          <t>"professional.salaryType": "Salary Type",</t>
        </is>
      </c>
    </row>
    <row r="352" ht="15.75" customHeight="1" s="305">
      <c r="A352" s="146" t="inlineStr">
        <is>
          <t>professional.placeholderSalaryType</t>
        </is>
      </c>
      <c r="B352" s="146" t="inlineStr">
        <is>
          <t>Chọn loại lương</t>
        </is>
      </c>
      <c r="C352" s="146" t="inlineStr">
        <is>
          <t>Select salary type</t>
        </is>
      </c>
      <c r="D352" s="146" t="inlineStr">
        <is>
          <t>ជ្រើសប្រភេទប្រាក់ខែ</t>
        </is>
      </c>
      <c r="E352" s="3" t="n"/>
      <c r="G352" t="inlineStr">
        <is>
          <t>ជ្រើសប្រភេទប្រាក់ខែ</t>
        </is>
      </c>
      <c r="H352" t="inlineStr">
        <is>
          <t>ជ្រើសប្រភេទប្រាក់ខែ</t>
        </is>
      </c>
      <c r="I352" s="74" t="n"/>
      <c r="J352" s="217" t="inlineStr">
        <is>
          <t>"professional.placeholderSalaryType": "Select salary type",</t>
        </is>
      </c>
    </row>
    <row r="353" ht="15.75" customHeight="1" s="305">
      <c r="A353" s="146" t="inlineStr">
        <is>
          <t>professional.development</t>
        </is>
      </c>
      <c r="B353" s="146" t="inlineStr">
        <is>
          <t>Phát triển</t>
        </is>
      </c>
      <c r="C353" s="146" t="inlineStr">
        <is>
          <t>Development</t>
        </is>
      </c>
      <c r="D353" s="146" t="inlineStr">
        <is>
          <t>អភិវឌ្ឍ</t>
        </is>
      </c>
      <c r="E353" s="3" t="n"/>
      <c r="G353" t="inlineStr">
        <is>
          <t>អភិវឌ្ឍ</t>
        </is>
      </c>
      <c r="H353" t="inlineStr">
        <is>
          <t>អភិវឌ្ឍ</t>
        </is>
      </c>
      <c r="I353" s="74" t="n"/>
      <c r="J353" s="217" t="inlineStr">
        <is>
          <t>"professional.development": "Development",</t>
        </is>
      </c>
    </row>
    <row r="354" ht="15.75" customHeight="1" s="305">
      <c r="A354" s="146" t="inlineStr">
        <is>
          <t>professional.exploit</t>
        </is>
      </c>
      <c r="B354" s="146" t="inlineStr">
        <is>
          <t>Khai thác</t>
        </is>
      </c>
      <c r="C354" s="146" t="inlineStr">
        <is>
          <t>Exploit</t>
        </is>
      </c>
      <c r="D354" s="146" t="inlineStr">
        <is>
          <t>ប្រើប្រាស់</t>
        </is>
      </c>
      <c r="E354" s="3" t="n"/>
      <c r="G354" t="inlineStr">
        <is>
          <t>ប្រតិបត្តិការចាត់ចែងបញ្ញើ</t>
        </is>
      </c>
      <c r="H354" t="inlineStr">
        <is>
          <t>ប្រតិបត្តិការចាត់ចែងបញ្ញើ</t>
        </is>
      </c>
      <c r="I354" s="74" t="n"/>
      <c r="J354" s="217" t="inlineStr">
        <is>
          <t>"professional.exploit": "Exploit",</t>
        </is>
      </c>
    </row>
    <row r="355" ht="15.75" customHeight="1" s="305">
      <c r="A355" s="146" t="inlineStr">
        <is>
          <t>professional.receive</t>
        </is>
      </c>
      <c r="B355" s="146" t="inlineStr">
        <is>
          <t>Nhận</t>
        </is>
      </c>
      <c r="C355" s="146" t="inlineStr">
        <is>
          <t>Receive</t>
        </is>
      </c>
      <c r="D355" s="146" t="inlineStr">
        <is>
          <t>ទទួល</t>
        </is>
      </c>
      <c r="E355" s="3" t="n"/>
      <c r="G355" t="inlineStr">
        <is>
          <t>ទទួល</t>
        </is>
      </c>
      <c r="H355" t="inlineStr">
        <is>
          <t>ទទួល</t>
        </is>
      </c>
      <c r="I355" s="74" t="n"/>
      <c r="J355" s="217" t="inlineStr">
        <is>
          <t>"professional.receive": "Receive",</t>
        </is>
      </c>
    </row>
    <row r="356" ht="15.75" customHeight="1" s="305">
      <c r="A356" s="146" t="inlineStr">
        <is>
          <t>professional.delivery</t>
        </is>
      </c>
      <c r="B356" s="146" t="inlineStr">
        <is>
          <t>Giao</t>
        </is>
      </c>
      <c r="C356" s="146" t="inlineStr">
        <is>
          <t>Delivery</t>
        </is>
      </c>
      <c r="D356" s="146" t="inlineStr">
        <is>
          <t>ដឹក</t>
        </is>
      </c>
      <c r="E356" s="3" t="n"/>
      <c r="G356" t="inlineStr">
        <is>
          <t>ដឹក</t>
        </is>
      </c>
      <c r="H356" t="inlineStr">
        <is>
          <t>ដឹក</t>
        </is>
      </c>
      <c r="I356" s="74" t="n"/>
      <c r="J356" s="217" t="inlineStr">
        <is>
          <t>"professional.delivery": "Delivery",</t>
        </is>
      </c>
    </row>
    <row r="357" ht="15.75" customHeight="1" s="305">
      <c r="A357" s="146" t="inlineStr">
        <is>
          <t>professional.kpi</t>
        </is>
      </c>
      <c r="B357" s="146" t="inlineStr">
        <is>
          <t>KPI</t>
        </is>
      </c>
      <c r="C357" s="146" t="inlineStr">
        <is>
          <t>KPI</t>
        </is>
      </c>
      <c r="D357" s="146" t="inlineStr">
        <is>
          <t>KPI</t>
        </is>
      </c>
      <c r="E357" s="3" t="n"/>
      <c r="G357" t="inlineStr">
        <is>
          <t>KPI</t>
        </is>
      </c>
      <c r="H357" t="inlineStr">
        <is>
          <t>KPI</t>
        </is>
      </c>
      <c r="I357" s="74" t="n"/>
      <c r="J357" s="217" t="inlineStr">
        <is>
          <t>"professional.kpi": "KPI",</t>
        </is>
      </c>
    </row>
    <row r="358" ht="15.75" customHeight="1" s="305">
      <c r="A358" s="146" t="inlineStr">
        <is>
          <t>professional.event</t>
        </is>
      </c>
      <c r="B358" s="146" t="inlineStr">
        <is>
          <t>Sự kiện</t>
        </is>
      </c>
      <c r="C358" s="146" t="inlineStr">
        <is>
          <t>Event</t>
        </is>
      </c>
      <c r="D358" s="146" t="inlineStr">
        <is>
          <t>ព្រឹត្តិការណ៍</t>
        </is>
      </c>
      <c r="E358" s="3" t="n"/>
      <c r="G358" t="inlineStr">
        <is>
          <t>ព្រឹត្តិការណ៍</t>
        </is>
      </c>
      <c r="H358" t="inlineStr">
        <is>
          <t>ព្រឹត្តិការណ៍</t>
        </is>
      </c>
      <c r="I358" s="68" t="n"/>
      <c r="J358" s="217" t="inlineStr">
        <is>
          <t>"professional.event": "Event",</t>
        </is>
      </c>
    </row>
    <row r="359" ht="15.75" customHeight="1" s="305">
      <c r="A359" s="146" t="inlineStr">
        <is>
          <t>professional.placeholderEvent</t>
        </is>
      </c>
      <c r="B359" s="146" t="inlineStr">
        <is>
          <t>Chọn sự kiện</t>
        </is>
      </c>
      <c r="C359" s="146" t="inlineStr">
        <is>
          <t>Select event</t>
        </is>
      </c>
      <c r="D359" s="146" t="inlineStr">
        <is>
          <t>ជ្រើសព្រឹត្តិការណ៍</t>
        </is>
      </c>
      <c r="E359" s="3" t="n"/>
      <c r="G359" t="inlineStr">
        <is>
          <t>ជ្រើសព្រឹត្តិការណ៍</t>
        </is>
      </c>
      <c r="H359" t="inlineStr">
        <is>
          <t>ជ្រើសព្រឹត្តិការណ៍</t>
        </is>
      </c>
      <c r="I359" s="68" t="n"/>
      <c r="J359" s="217" t="inlineStr">
        <is>
          <t>"professional.placeholderEvent": "Select event",</t>
        </is>
      </c>
    </row>
    <row r="360" ht="15.75" customHeight="1" s="305">
      <c r="A360" s="146" t="inlineStr">
        <is>
          <t>professional.receiveGoods</t>
        </is>
      </c>
      <c r="B360" s="146" t="inlineStr">
        <is>
          <t>Nhận hàng</t>
        </is>
      </c>
      <c r="C360" s="146" t="inlineStr">
        <is>
          <t>Receive Goods</t>
        </is>
      </c>
      <c r="D360" s="146" t="inlineStr">
        <is>
          <t>ទទួលទំនិញ</t>
        </is>
      </c>
      <c r="E360" s="3" t="n"/>
      <c r="G360" t="inlineStr">
        <is>
          <t>ទទួលទំនិញ</t>
        </is>
      </c>
      <c r="H360" t="inlineStr">
        <is>
          <t>ទទួលទំនិញ</t>
        </is>
      </c>
      <c r="I360" s="74" t="n"/>
      <c r="J360" s="217" t="inlineStr">
        <is>
          <t>"professional.receiveGoods": "Receive Goods",</t>
        </is>
      </c>
    </row>
    <row r="361" ht="15.75" customHeight="1" s="305">
      <c r="A361" s="146" t="inlineStr">
        <is>
          <t>professional.deliveryGoods</t>
        </is>
      </c>
      <c r="B361" s="146" t="inlineStr">
        <is>
          <t>Giao hàng</t>
        </is>
      </c>
      <c r="C361" s="146" t="inlineStr">
        <is>
          <t>Delivery Goods</t>
        </is>
      </c>
      <c r="D361" s="146" t="inlineStr">
        <is>
          <t>ដឹកទំនិញ</t>
        </is>
      </c>
      <c r="E361" s="3" t="n"/>
      <c r="G361" t="inlineStr">
        <is>
          <t>ដឹកទំនិញ</t>
        </is>
      </c>
      <c r="H361" t="inlineStr">
        <is>
          <t>ដឹកទំនិញ</t>
        </is>
      </c>
      <c r="I361" s="69" t="n"/>
      <c r="J361" s="217" t="inlineStr">
        <is>
          <t>"professional.deliveryGoods": "Delivery Goods",</t>
        </is>
      </c>
    </row>
    <row r="362" ht="15.75" customHeight="1" s="305">
      <c r="A362" s="146" t="inlineStr">
        <is>
          <t>professional.connect</t>
        </is>
      </c>
      <c r="B362" s="146" t="inlineStr">
        <is>
          <t>Kết nối</t>
        </is>
      </c>
      <c r="C362" s="146" t="inlineStr">
        <is>
          <t>Connect</t>
        </is>
      </c>
      <c r="D362" s="146" t="inlineStr">
        <is>
          <t>ភ្ជាប់</t>
        </is>
      </c>
      <c r="E362" s="3" t="n"/>
      <c r="G362" t="inlineStr">
        <is>
          <t>ភ្ជាប់</t>
        </is>
      </c>
      <c r="H362" t="inlineStr">
        <is>
          <t>ភ្ជាប់</t>
        </is>
      </c>
      <c r="I362" s="74" t="n"/>
      <c r="J362" s="217" t="inlineStr">
        <is>
          <t>"professional.connect": "Connect",</t>
        </is>
      </c>
    </row>
    <row r="363" ht="15.75" customHeight="1" s="305">
      <c r="A363" s="146" t="inlineStr">
        <is>
          <t>professional.monthlyReceiveRevenue</t>
        </is>
      </c>
      <c r="B363" s="146" t="inlineStr">
        <is>
          <t>Chốt doanh thu nhận tháng</t>
        </is>
      </c>
      <c r="C363" s="146" t="inlineStr">
        <is>
          <t>Monthly Receive Revenue</t>
        </is>
      </c>
      <c r="D363" s="146" t="inlineStr">
        <is>
          <t>បិទចំណូលទទួលប្រចាំខែ</t>
        </is>
      </c>
      <c r="E363" s="3" t="n"/>
      <c r="G363" t="inlineStr">
        <is>
          <t>បិទចំណូលទទួលប្រចាំខែ</t>
        </is>
      </c>
      <c r="H363" t="inlineStr">
        <is>
          <t>បិទចំណូលទទួលប្រចាំខែ</t>
        </is>
      </c>
      <c r="I363" s="74" t="n"/>
      <c r="J363" s="217" t="inlineStr">
        <is>
          <t>"professional.monthlyReceiveRevenue": "Monthly Receive Revenue",</t>
        </is>
      </c>
    </row>
    <row r="364" ht="15.75" customHeight="1" s="305">
      <c r="A364" s="146" t="inlineStr">
        <is>
          <t>professional.calculationMethod</t>
        </is>
      </c>
      <c r="B364" s="146" t="inlineStr">
        <is>
          <t>Hình thức tính toán</t>
        </is>
      </c>
      <c r="C364" s="146" t="inlineStr">
        <is>
          <t>Calculation Method</t>
        </is>
      </c>
      <c r="D364" s="146" t="inlineStr">
        <is>
          <t>វិធីគណនា</t>
        </is>
      </c>
      <c r="E364" s="3" t="n"/>
      <c r="G364" t="inlineStr">
        <is>
          <t>វិធីគណនា</t>
        </is>
      </c>
      <c r="H364" t="inlineStr">
        <is>
          <t>វិធីគណនា</t>
        </is>
      </c>
      <c r="I364" s="74" t="n"/>
      <c r="J364" s="217" t="inlineStr">
        <is>
          <t>"professional.calculationMethod": "Calculation Method",</t>
        </is>
      </c>
    </row>
    <row r="365" ht="15.75" customHeight="1" s="305">
      <c r="A365" s="146" t="inlineStr">
        <is>
          <t>professional.placeholderCalculationMethod</t>
        </is>
      </c>
      <c r="B365" s="146" t="inlineStr">
        <is>
          <t>Chọn hình thức tính toán</t>
        </is>
      </c>
      <c r="C365" s="146" t="inlineStr">
        <is>
          <t>Select calculation method</t>
        </is>
      </c>
      <c r="D365" s="146" t="inlineStr">
        <is>
          <t>ជ្រើសវិធីគណនា</t>
        </is>
      </c>
      <c r="E365" s="3" t="n"/>
      <c r="G365" t="inlineStr">
        <is>
          <t>ជ្រើសវិធីគណនា</t>
        </is>
      </c>
      <c r="H365" t="inlineStr">
        <is>
          <t>ជ្រើសវិធីគណនា</t>
        </is>
      </c>
      <c r="I365" s="74" t="n"/>
      <c r="J365" s="217" t="inlineStr">
        <is>
          <t>"professional.placeholderCalculationMethod": "Select calculation method",</t>
        </is>
      </c>
    </row>
    <row r="366" ht="15.75" customHeight="1" s="305">
      <c r="A366" s="146" t="inlineStr">
        <is>
          <t>professional.automatic</t>
        </is>
      </c>
      <c r="B366" s="146" t="inlineStr">
        <is>
          <t>Tự động</t>
        </is>
      </c>
      <c r="C366" s="146" t="inlineStr">
        <is>
          <t>Automatic</t>
        </is>
      </c>
      <c r="D366" s="146" t="inlineStr">
        <is>
          <t>ស្វ័យប្រវត្តិ</t>
        </is>
      </c>
      <c r="E366" s="67" t="n"/>
      <c r="G366" t="inlineStr">
        <is>
          <t>ស្វ័យប្រវត្តិ</t>
        </is>
      </c>
      <c r="H366" t="inlineStr">
        <is>
          <t>ស្វ័យប្រវត្តិ</t>
        </is>
      </c>
      <c r="I366" s="74" t="n"/>
      <c r="J366" s="217" t="inlineStr">
        <is>
          <t>"professional.automatic": "Automatic",</t>
        </is>
      </c>
    </row>
    <row r="367" ht="15.75" customHeight="1" s="305">
      <c r="A367" s="146" t="inlineStr">
        <is>
          <t>professional.manual</t>
        </is>
      </c>
      <c r="B367" s="146" t="inlineStr">
        <is>
          <t>Thủ công</t>
        </is>
      </c>
      <c r="C367" s="146" t="inlineStr">
        <is>
          <t>Manual</t>
        </is>
      </c>
      <c r="D367" s="146" t="inlineStr">
        <is>
          <t>ដោយដៃ</t>
        </is>
      </c>
      <c r="E367" s="3" t="n"/>
      <c r="G367" t="inlineStr">
        <is>
          <t>ដោយដៃ</t>
        </is>
      </c>
      <c r="H367" t="inlineStr">
        <is>
          <t>ដោយដៃ</t>
        </is>
      </c>
      <c r="I367" s="74" t="n"/>
      <c r="J367" s="217" t="inlineStr">
        <is>
          <t>"professional.manual": "Manual",</t>
        </is>
      </c>
    </row>
    <row r="368" ht="15.75" customHeight="1" s="305">
      <c r="A368" s="146" t="inlineStr">
        <is>
          <t>professional.paymentMethod</t>
        </is>
      </c>
      <c r="B368" s="146" t="inlineStr">
        <is>
          <t>Hình thức thanh toán</t>
        </is>
      </c>
      <c r="C368" s="146" t="inlineStr">
        <is>
          <t>Payment Method</t>
        </is>
      </c>
      <c r="D368" s="146" t="inlineStr">
        <is>
          <t>វិធីបង់ប្រាក់</t>
        </is>
      </c>
      <c r="E368" s="3" t="n"/>
      <c r="G368" t="inlineStr">
        <is>
          <t>វិធីបង់ប្រាក់</t>
        </is>
      </c>
      <c r="H368" t="inlineStr">
        <is>
          <t>វិធីបង់ប្រាក់</t>
        </is>
      </c>
      <c r="I368" s="74" t="n"/>
      <c r="J368" s="217" t="inlineStr">
        <is>
          <t>"professional.paymentMethod": "Payment Method",</t>
        </is>
      </c>
    </row>
    <row r="369" ht="15.75" customHeight="1" s="305">
      <c r="A369" s="146" t="inlineStr">
        <is>
          <t>professional.placeholderPaymentMethod</t>
        </is>
      </c>
      <c r="B369" s="146" t="inlineStr">
        <is>
          <t>Tất cả</t>
        </is>
      </c>
      <c r="C369" s="146" t="inlineStr">
        <is>
          <t>All</t>
        </is>
      </c>
      <c r="D369" s="146" t="inlineStr">
        <is>
          <t>ទាំងអស់</t>
        </is>
      </c>
      <c r="E369" s="3" t="n"/>
      <c r="G369" t="inlineStr">
        <is>
          <t>ទាំងអស់</t>
        </is>
      </c>
      <c r="H369" t="inlineStr">
        <is>
          <t>ទាំងអស់</t>
        </is>
      </c>
      <c r="I369" s="74" t="n"/>
      <c r="J369" s="217" t="inlineStr">
        <is>
          <t>"professional.placeholderPaymentMethod": "All",</t>
        </is>
      </c>
    </row>
    <row r="370" ht="15.75" customHeight="1" s="305">
      <c r="A370" s="146" t="inlineStr">
        <is>
          <t>professional.elementName</t>
        </is>
      </c>
      <c r="B370" s="146" t="inlineStr">
        <is>
          <t>Tên phần tử</t>
        </is>
      </c>
      <c r="C370" s="146" t="inlineStr">
        <is>
          <t>Element Name</t>
        </is>
      </c>
      <c r="D370" s="146" t="inlineStr">
        <is>
          <t>ឈ្មោះធាតុ</t>
        </is>
      </c>
      <c r="E370" s="3" t="n"/>
      <c r="G370" t="inlineStr">
        <is>
          <t>ឈ្មោះធាតុ</t>
        </is>
      </c>
      <c r="H370" t="inlineStr">
        <is>
          <t>ឈ្មោះធាតុ</t>
        </is>
      </c>
      <c r="I370" s="74" t="n"/>
      <c r="J370" s="217" t="inlineStr">
        <is>
          <t>"professional.elementName": "Element Name",</t>
        </is>
      </c>
    </row>
    <row r="371" ht="15.75" customHeight="1" s="305">
      <c r="A371" s="146" t="inlineStr">
        <is>
          <t>professional.elementCode</t>
        </is>
      </c>
      <c r="B371" s="146" t="inlineStr">
        <is>
          <t>Mã phần tử</t>
        </is>
      </c>
      <c r="C371" s="146" t="inlineStr">
        <is>
          <t>Element Code</t>
        </is>
      </c>
      <c r="D371" s="146" t="inlineStr">
        <is>
          <t>លេខកូដធាតុ</t>
        </is>
      </c>
      <c r="E371" s="3" t="n"/>
      <c r="G371" t="inlineStr">
        <is>
          <t>លេខកូដធាតុ</t>
        </is>
      </c>
      <c r="H371" t="inlineStr">
        <is>
          <t>លេខកូដធាតុ</t>
        </is>
      </c>
      <c r="I371" s="74" t="n"/>
      <c r="J371" s="217" t="inlineStr">
        <is>
          <t>"professional.elementCode": "Element Code",</t>
        </is>
      </c>
    </row>
    <row r="372" ht="15.75" customHeight="1" s="305">
      <c r="A372" s="146" t="inlineStr">
        <is>
          <t>professional.objectType</t>
        </is>
      </c>
      <c r="B372" s="146" t="inlineStr">
        <is>
          <t>Đối tượng</t>
        </is>
      </c>
      <c r="C372" s="146" t="inlineStr">
        <is>
          <t>Target</t>
        </is>
      </c>
      <c r="D372" s="146" t="inlineStr">
        <is>
          <t>ប្រភេទវត្ថុ</t>
        </is>
      </c>
      <c r="E372" s="3" t="n"/>
      <c r="G372" t="inlineStr">
        <is>
          <t>ប្រភេទវត្ថុ</t>
        </is>
      </c>
      <c r="H372" t="inlineStr">
        <is>
          <t>ប្រភេទវត្ថុ</t>
        </is>
      </c>
      <c r="I372" s="74" t="n"/>
      <c r="J372" s="217" t="inlineStr">
        <is>
          <t>"professional.objectType": "Target",</t>
        </is>
      </c>
    </row>
    <row r="373" ht="15.75" customHeight="1" s="305">
      <c r="A373" s="146" t="inlineStr">
        <is>
          <t>professional.method</t>
        </is>
      </c>
      <c r="B373" s="146" t="inlineStr">
        <is>
          <t>Hình thức</t>
        </is>
      </c>
      <c r="C373" s="146" t="inlineStr">
        <is>
          <t>Method</t>
        </is>
      </c>
      <c r="D373" s="146" t="inlineStr">
        <is>
          <t>វិធី</t>
        </is>
      </c>
      <c r="E373" s="3" t="n"/>
      <c r="G373" t="inlineStr">
        <is>
          <t>វិធី</t>
        </is>
      </c>
      <c r="H373" t="inlineStr">
        <is>
          <t>វិធី</t>
        </is>
      </c>
      <c r="I373" s="74" t="n"/>
      <c r="J373" s="217" t="inlineStr">
        <is>
          <t>"professional.method": "Method",</t>
        </is>
      </c>
    </row>
    <row r="374" ht="15.75" customHeight="1" s="305">
      <c r="A374" s="146" t="inlineStr">
        <is>
          <t>professional.ruleFile</t>
        </is>
      </c>
      <c r="B374" s="146" t="inlineStr">
        <is>
          <t>File quy tắc</t>
        </is>
      </c>
      <c r="C374" s="146" t="inlineStr">
        <is>
          <t>Rule File</t>
        </is>
      </c>
      <c r="D374" s="146" t="inlineStr">
        <is>
          <t>ឯកសារច្បាប់</t>
        </is>
      </c>
      <c r="E374" s="3" t="n"/>
      <c r="G374" t="inlineStr">
        <is>
          <t>ឯកសារច្បាប់</t>
        </is>
      </c>
      <c r="H374" t="inlineStr">
        <is>
          <t>ឯកសារច្បាប់</t>
        </is>
      </c>
      <c r="I374" s="74" t="n"/>
      <c r="J374" s="217" t="inlineStr">
        <is>
          <t>"professional.ruleFile": "Rule File",</t>
        </is>
      </c>
    </row>
    <row r="375" ht="15.75" customHeight="1" s="305">
      <c r="A375" s="146" t="inlineStr">
        <is>
          <t>professional.version</t>
        </is>
      </c>
      <c r="B375" s="146" t="inlineStr">
        <is>
          <t>Phiên bản</t>
        </is>
      </c>
      <c r="C375" s="146" t="inlineStr">
        <is>
          <t>Version</t>
        </is>
      </c>
      <c r="D375" s="146" t="inlineStr">
        <is>
          <t>កំណែ</t>
        </is>
      </c>
      <c r="E375" s="3" t="n"/>
      <c r="G375" t="inlineStr">
        <is>
          <t>កំណែ</t>
        </is>
      </c>
      <c r="H375" t="inlineStr">
        <is>
          <t>កំណែ</t>
        </is>
      </c>
      <c r="I375" s="74" t="n"/>
      <c r="J375" s="217" t="inlineStr">
        <is>
          <t>"professional.version": "Version",</t>
        </is>
      </c>
    </row>
    <row r="376" ht="15.75" customHeight="1" s="305">
      <c r="A376" s="146" t="inlineStr">
        <is>
          <t>professional.placeholderSearchDetail</t>
        </is>
      </c>
      <c r="B376" s="146" t="inlineStr">
        <is>
          <t>Nhập tên file</t>
        </is>
      </c>
      <c r="C376" s="146" t="inlineStr">
        <is>
          <t>Enter file name</t>
        </is>
      </c>
      <c r="D376" s="146" t="inlineStr">
        <is>
          <t>បញ្ចូលឈ្មោះឯកសារ</t>
        </is>
      </c>
      <c r="E376" s="3" t="n"/>
      <c r="G376" t="inlineStr">
        <is>
          <t>បញ្ចូលឈ្មោះឯកសារ</t>
        </is>
      </c>
      <c r="H376" t="inlineStr">
        <is>
          <t>បញ្ចូលឈ្មោះឯកសារ</t>
        </is>
      </c>
      <c r="I376" s="74" t="n"/>
      <c r="J376" s="217" t="inlineStr">
        <is>
          <t>"professional.placeholderSearchDetail": "Enter file name",</t>
        </is>
      </c>
    </row>
    <row r="377" ht="15.75" customHeight="1" s="305">
      <c r="A377" s="146" t="inlineStr">
        <is>
          <t>professional.time</t>
        </is>
      </c>
      <c r="B377" s="146" t="inlineStr">
        <is>
          <t>Thời gian</t>
        </is>
      </c>
      <c r="C377" s="146" t="inlineStr">
        <is>
          <t>Time</t>
        </is>
      </c>
      <c r="D377" s="146" t="inlineStr">
        <is>
          <t>ពេលវេលា</t>
        </is>
      </c>
      <c r="E377" s="3" t="n"/>
      <c r="G377" t="inlineStr">
        <is>
          <t>ពេលវេលា</t>
        </is>
      </c>
      <c r="H377" t="inlineStr">
        <is>
          <t>ពេលវេលា</t>
        </is>
      </c>
      <c r="I377" s="74" t="n"/>
      <c r="J377" s="217" t="inlineStr">
        <is>
          <t>"professional.time": "Time",</t>
        </is>
      </c>
    </row>
    <row r="378" ht="15.75" customHeight="1" s="305">
      <c r="A378" s="146" t="inlineStr">
        <is>
          <t>professional.placeholderTime</t>
        </is>
      </c>
      <c r="B378" s="146" t="inlineStr">
        <is>
          <t>Chọn thời gian</t>
        </is>
      </c>
      <c r="C378" s="146" t="inlineStr">
        <is>
          <t>Select time</t>
        </is>
      </c>
      <c r="D378" s="146" t="inlineStr">
        <is>
          <t>ជ្រើសពេលវេលា</t>
        </is>
      </c>
      <c r="E378" s="3" t="n"/>
      <c r="G378" t="inlineStr">
        <is>
          <t>ជ្រើសពេលវេលា</t>
        </is>
      </c>
      <c r="H378" t="inlineStr">
        <is>
          <t>ជ្រើសពេលវេលា</t>
        </is>
      </c>
      <c r="I378" s="74" t="n"/>
      <c r="J378" s="217" t="inlineStr">
        <is>
          <t>"professional.placeholderTime": "Select time",</t>
        </is>
      </c>
    </row>
    <row r="379" ht="15.75" customHeight="1" s="305">
      <c r="A379" s="146" t="inlineStr">
        <is>
          <t>professional.element</t>
        </is>
      </c>
      <c r="B379" s="146" t="inlineStr">
        <is>
          <t>Phần tử</t>
        </is>
      </c>
      <c r="C379" s="146" t="inlineStr">
        <is>
          <t>Element</t>
        </is>
      </c>
      <c r="D379" s="146" t="inlineStr">
        <is>
          <t>ធាតុ</t>
        </is>
      </c>
      <c r="E379" s="3" t="n"/>
      <c r="G379" t="inlineStr">
        <is>
          <t>ធាតុ</t>
        </is>
      </c>
      <c r="H379" t="inlineStr">
        <is>
          <t>ធាតុ</t>
        </is>
      </c>
      <c r="I379" s="74" t="n"/>
      <c r="J379" s="217" t="inlineStr">
        <is>
          <t>"professional.element": "Element",</t>
        </is>
      </c>
    </row>
    <row r="380" ht="15.75" customHeight="1" s="305">
      <c r="A380" s="146" t="inlineStr">
        <is>
          <t>professional.placeholderElement</t>
        </is>
      </c>
      <c r="B380" s="146" t="inlineStr">
        <is>
          <t>Tất cả</t>
        </is>
      </c>
      <c r="C380" s="146" t="inlineStr">
        <is>
          <t>All</t>
        </is>
      </c>
      <c r="D380" s="146" t="inlineStr">
        <is>
          <t>ទាំងអស់</t>
        </is>
      </c>
      <c r="E380" s="159" t="n"/>
      <c r="G380" t="inlineStr">
        <is>
          <t>ទាំងអស់</t>
        </is>
      </c>
      <c r="H380" t="inlineStr">
        <is>
          <t>ទាំងអស់</t>
        </is>
      </c>
      <c r="I380" s="74" t="n"/>
      <c r="J380" s="217" t="inlineStr">
        <is>
          <t>"professional.placeholderElement": "All",</t>
        </is>
      </c>
    </row>
    <row r="381" ht="15.75" customHeight="1" s="305">
      <c r="A381" s="146" t="inlineStr">
        <is>
          <t>professional.status</t>
        </is>
      </c>
      <c r="B381" s="146" t="inlineStr">
        <is>
          <t>Trạng thái</t>
        </is>
      </c>
      <c r="C381" s="146" t="inlineStr">
        <is>
          <t>Status</t>
        </is>
      </c>
      <c r="D381" s="146" t="inlineStr">
        <is>
          <t>ស្ថានភាព</t>
        </is>
      </c>
      <c r="E381" s="3" t="n"/>
      <c r="G381" t="inlineStr">
        <is>
          <t>ស្ថានភាព</t>
        </is>
      </c>
      <c r="H381" t="inlineStr">
        <is>
          <t>ស្ថានភាព</t>
        </is>
      </c>
      <c r="I381" s="74" t="n"/>
      <c r="J381" s="217" t="inlineStr">
        <is>
          <t>"professional.status": "Status",</t>
        </is>
      </c>
    </row>
    <row r="382" ht="15.75" customHeight="1" s="305">
      <c r="A382" s="146" t="inlineStr">
        <is>
          <t>professional.startTime</t>
        </is>
      </c>
      <c r="B382" s="146" t="inlineStr">
        <is>
          <t>Thời gian bắt đầu</t>
        </is>
      </c>
      <c r="C382" s="146" t="inlineStr">
        <is>
          <t>Start Time</t>
        </is>
      </c>
      <c r="D382" s="146" t="inlineStr">
        <is>
          <t>ពេលចាប់ផ្តើម</t>
        </is>
      </c>
      <c r="E382" s="3" t="n"/>
      <c r="G382" t="inlineStr">
        <is>
          <t>ពេលចាប់ផ្តើម</t>
        </is>
      </c>
      <c r="H382" t="inlineStr">
        <is>
          <t>ពេលចាប់ផ្តើម</t>
        </is>
      </c>
      <c r="I382" s="74" t="n"/>
      <c r="J382" s="217" t="inlineStr">
        <is>
          <t>"professional.startTime": "Start Time",</t>
        </is>
      </c>
    </row>
    <row r="383" ht="15.75" customHeight="1" s="305">
      <c r="A383" s="146" t="inlineStr">
        <is>
          <t>professional.endTime</t>
        </is>
      </c>
      <c r="B383" s="146" t="inlineStr">
        <is>
          <t>Thời gian kết thúc</t>
        </is>
      </c>
      <c r="C383" s="146" t="inlineStr">
        <is>
          <t>End Time</t>
        </is>
      </c>
      <c r="D383" s="146" t="inlineStr">
        <is>
          <t>ពេលបញ្ចប់</t>
        </is>
      </c>
      <c r="E383" s="3" t="n"/>
      <c r="G383" t="inlineStr">
        <is>
          <t>ពេលបញ្ចប់</t>
        </is>
      </c>
      <c r="H383" t="inlineStr">
        <is>
          <t>ពេលបញ្ចប់</t>
        </is>
      </c>
      <c r="I383" s="74" t="n"/>
      <c r="J383" s="217" t="inlineStr">
        <is>
          <t>"professional.endTime": "End Time",</t>
        </is>
      </c>
    </row>
    <row r="384" ht="15.75" customHeight="1" s="305">
      <c r="A384" s="146" t="inlineStr">
        <is>
          <t>professional.updatedAt</t>
        </is>
      </c>
      <c r="B384" s="146" t="inlineStr">
        <is>
          <t>Thời gian cập nhật</t>
        </is>
      </c>
      <c r="C384" s="146" t="inlineStr">
        <is>
          <t>Updated At</t>
        </is>
      </c>
      <c r="D384" s="146" t="inlineStr">
        <is>
          <t>ពេលធ្វើបច្ចុប្បន្នភាព</t>
        </is>
      </c>
      <c r="E384" s="3" t="n"/>
      <c r="G384" t="inlineStr">
        <is>
          <t>ពេលធ្វើបច្ចុប្បន្នភាព</t>
        </is>
      </c>
      <c r="H384" t="inlineStr">
        <is>
          <t>ពេលធ្វើបច្ចុប្បន្នភាព</t>
        </is>
      </c>
      <c r="I384" s="74" t="n"/>
      <c r="J384" s="217" t="inlineStr">
        <is>
          <t>"professional.updatedAt": "Updated At",</t>
        </is>
      </c>
    </row>
    <row r="385" ht="15.75" customHeight="1" s="305">
      <c r="A385" s="146" t="inlineStr">
        <is>
          <t>professional.updatedBy</t>
        </is>
      </c>
      <c r="B385" s="146" t="inlineStr">
        <is>
          <t>Người cập nhật</t>
        </is>
      </c>
      <c r="C385" s="146" t="inlineStr">
        <is>
          <t>Updated By</t>
        </is>
      </c>
      <c r="D385" s="146" t="inlineStr">
        <is>
          <t>អ្នកធ្វើបច្ចុប្បន្នភាព</t>
        </is>
      </c>
      <c r="E385" s="3" t="n"/>
      <c r="G385" t="inlineStr">
        <is>
          <t>អ្នកធ្វើបច្ចុប្បន្នភាព</t>
        </is>
      </c>
      <c r="H385" t="inlineStr">
        <is>
          <t>អ្នកធ្វើបច្ចុប្បន្នភាព</t>
        </is>
      </c>
      <c r="I385" s="74" t="n"/>
      <c r="J385" s="217" t="inlineStr">
        <is>
          <t>"professional.updatedBy": "Updated By",</t>
        </is>
      </c>
    </row>
    <row r="386" ht="15.75" customHeight="1" s="305">
      <c r="A386" s="146" t="inlineStr">
        <is>
          <t>professional.note</t>
        </is>
      </c>
      <c r="B386" s="146" t="inlineStr">
        <is>
          <t>Ghi chú</t>
        </is>
      </c>
      <c r="C386" s="146" t="inlineStr">
        <is>
          <t>Note</t>
        </is>
      </c>
      <c r="D386" s="146" t="inlineStr">
        <is>
          <t>ចំណាំ</t>
        </is>
      </c>
      <c r="E386" s="3" t="n"/>
      <c r="G386" t="inlineStr">
        <is>
          <t>ចំណាំ</t>
        </is>
      </c>
      <c r="H386" t="inlineStr">
        <is>
          <t>ចំណាំ</t>
        </is>
      </c>
      <c r="I386" s="74" t="n"/>
      <c r="J386" s="217" t="inlineStr">
        <is>
          <t>"professional.note": "Note",</t>
        </is>
      </c>
    </row>
    <row r="387" ht="15.75" customHeight="1" s="305">
      <c r="A387" s="146" t="inlineStr">
        <is>
          <t>professional.userUpdate</t>
        </is>
      </c>
      <c r="B387" s="146" t="inlineStr">
        <is>
          <t>Người cập nhật</t>
        </is>
      </c>
      <c r="C387" s="146" t="inlineStr">
        <is>
          <t>Updated By</t>
        </is>
      </c>
      <c r="D387" s="146" t="inlineStr">
        <is>
          <t>អ្នកធ្វើបច្ចុប្បន្នភាព</t>
        </is>
      </c>
      <c r="E387" s="3" t="n"/>
      <c r="G387" t="inlineStr">
        <is>
          <t>អ្នកធ្វើបច្ចុប្បន្នភាព</t>
        </is>
      </c>
      <c r="H387" t="inlineStr">
        <is>
          <t>អ្នកធ្វើបច្ចុប្បន្នភាព</t>
        </is>
      </c>
      <c r="I387" s="74" t="n"/>
      <c r="J387" s="217" t="inlineStr">
        <is>
          <t>"professional.userUpdate": "Updated By",</t>
        </is>
      </c>
    </row>
    <row r="388" ht="15.75" customHeight="1" s="305">
      <c r="A388" s="146" t="inlineStr">
        <is>
          <t>professional.updateTime</t>
        </is>
      </c>
      <c r="B388" s="146" t="inlineStr">
        <is>
          <t>Thời gian cập nhật</t>
        </is>
      </c>
      <c r="C388" s="146" t="inlineStr">
        <is>
          <t>Update Time</t>
        </is>
      </c>
      <c r="D388" s="146" t="inlineStr">
        <is>
          <t>ពេលធ្វើបច្ចុប្បន្នភាព</t>
        </is>
      </c>
      <c r="E388" s="3" t="n"/>
      <c r="G388" t="inlineStr">
        <is>
          <t>ពេលធ្វើបច្ចុប្បន្នភាព</t>
        </is>
      </c>
      <c r="H388" t="inlineStr">
        <is>
          <t>ពេលធ្វើបច្ចុប្បន្នភាព</t>
        </is>
      </c>
      <c r="I388" s="74" t="n"/>
      <c r="J388" s="217" t="inlineStr">
        <is>
          <t>"professional.updateTime": "Update Time",</t>
        </is>
      </c>
    </row>
    <row r="389" ht="15.75" customHeight="1" s="305">
      <c r="A389" s="146" t="inlineStr">
        <is>
          <t>professional.validateTime</t>
        </is>
      </c>
      <c r="B389" s="146" t="inlineStr">
        <is>
          <t>Thời gian áp dụng</t>
        </is>
      </c>
      <c r="C389" s="146" t="inlineStr">
        <is>
          <t>Validate time</t>
        </is>
      </c>
      <c r="D389" s="146" t="inlineStr">
        <is>
          <t>ពេលអនុវត្ត</t>
        </is>
      </c>
      <c r="E389" s="3" t="n"/>
      <c r="G389" t="inlineStr">
        <is>
          <t>ពេលអនុវត្ត</t>
        </is>
      </c>
      <c r="H389" t="inlineStr">
        <is>
          <t>ពេលអនុវត្ត</t>
        </is>
      </c>
      <c r="I389" s="74" t="n"/>
      <c r="J389" s="217" t="inlineStr">
        <is>
          <t>"professional.validateTime": "Validate time",</t>
        </is>
      </c>
    </row>
    <row r="390" ht="15.75" customHeight="1" s="305">
      <c r="A390" s="146" t="inlineStr">
        <is>
          <t>professional.versionCode</t>
        </is>
      </c>
      <c r="B390" s="146" t="inlineStr">
        <is>
          <t>Mã phiên bản</t>
        </is>
      </c>
      <c r="C390" s="146" t="inlineStr">
        <is>
          <t>Version code</t>
        </is>
      </c>
      <c r="D390" s="146" t="inlineStr">
        <is>
          <t>លេខកូដកំណែ</t>
        </is>
      </c>
      <c r="E390" s="159" t="n"/>
      <c r="G390" t="inlineStr">
        <is>
          <t>លេខកូដកំណែ</t>
        </is>
      </c>
      <c r="H390" t="inlineStr">
        <is>
          <t>លេខកូដកំណែ</t>
        </is>
      </c>
      <c r="I390" s="74" t="n"/>
      <c r="J390" s="217" t="inlineStr">
        <is>
          <t>"professional.versionCode": "Version code",</t>
        </is>
      </c>
    </row>
    <row r="391" ht="15.75" customHeight="1" s="305">
      <c r="A391" s="146" t="inlineStr">
        <is>
          <t>professional.edit</t>
        </is>
      </c>
      <c r="B391" s="146" t="inlineStr">
        <is>
          <t>Sửa</t>
        </is>
      </c>
      <c r="C391" s="146" t="inlineStr">
        <is>
          <t>Edit</t>
        </is>
      </c>
      <c r="D391" s="146" t="inlineStr">
        <is>
          <t>កែសម្រួល</t>
        </is>
      </c>
      <c r="E391" s="3" t="n"/>
      <c r="G391" t="inlineStr">
        <is>
          <t>កែសម្រួល</t>
        </is>
      </c>
      <c r="H391" t="inlineStr">
        <is>
          <t>កែសម្រួល</t>
        </is>
      </c>
      <c r="I391" s="74" t="n"/>
      <c r="J391" s="217" t="inlineStr">
        <is>
          <t>"professional.edit": "Edit",</t>
        </is>
      </c>
    </row>
    <row r="392" ht="15.75" customHeight="1" s="305">
      <c r="A392" s="146" t="inlineStr">
        <is>
          <t>professional.delete</t>
        </is>
      </c>
      <c r="B392" s="146" t="inlineStr">
        <is>
          <t>Xóa</t>
        </is>
      </c>
      <c r="C392" s="146" t="inlineStr">
        <is>
          <t>Delete</t>
        </is>
      </c>
      <c r="D392" s="146" t="inlineStr">
        <is>
          <t>លុប</t>
        </is>
      </c>
      <c r="E392" s="196" t="n"/>
      <c r="G392" t="inlineStr">
        <is>
          <t>លុប</t>
        </is>
      </c>
      <c r="H392" t="inlineStr">
        <is>
          <t>លុប</t>
        </is>
      </c>
      <c r="I392" s="74" t="n"/>
      <c r="J392" s="217" t="inlineStr">
        <is>
          <t>"professional.delete": "Delete",</t>
        </is>
      </c>
    </row>
    <row r="393" ht="15.75" customHeight="1" s="305">
      <c r="A393" s="146" t="inlineStr">
        <is>
          <t>professional.test</t>
        </is>
      </c>
      <c r="B393" s="146" t="inlineStr">
        <is>
          <t>Tính thử</t>
        </is>
      </c>
      <c r="C393" s="146" t="inlineStr">
        <is>
          <t>Test</t>
        </is>
      </c>
      <c r="D393" s="146" t="inlineStr">
        <is>
          <t>សាកល្បង</t>
        </is>
      </c>
      <c r="E393" s="3" t="n"/>
      <c r="G393" t="inlineStr">
        <is>
          <t>សាកល្បង</t>
        </is>
      </c>
      <c r="H393" t="inlineStr">
        <is>
          <t>សាកល្បង</t>
        </is>
      </c>
      <c r="I393" s="74" t="n"/>
      <c r="J393" s="217" t="inlineStr">
        <is>
          <t>"professional.test": "Test",</t>
        </is>
      </c>
    </row>
    <row r="394" ht="15.75" customHeight="1" s="305">
      <c r="A394" s="146" t="inlineStr">
        <is>
          <t>professional.schedule</t>
        </is>
      </c>
      <c r="B394" s="146" t="inlineStr">
        <is>
          <t>Lên lịch</t>
        </is>
      </c>
      <c r="C394" s="146" t="inlineStr">
        <is>
          <t>Schedule</t>
        </is>
      </c>
      <c r="D394" s="146" t="inlineStr">
        <is>
          <t>កំណត់ពេល</t>
        </is>
      </c>
      <c r="E394" s="3" t="n"/>
      <c r="G394" t="inlineStr">
        <is>
          <t>កំណត់ពេល</t>
        </is>
      </c>
      <c r="H394" t="inlineStr">
        <is>
          <t>កំណត់ពេល</t>
        </is>
      </c>
      <c r="I394" s="74" t="n"/>
      <c r="J394" s="217" t="inlineStr">
        <is>
          <t>"professional.schedule": "Schedule",</t>
        </is>
      </c>
    </row>
    <row r="395" ht="15.75" customHeight="1" s="305">
      <c r="A395" s="146" t="inlineStr">
        <is>
          <t>professional.approve</t>
        </is>
      </c>
      <c r="B395" s="146" t="inlineStr">
        <is>
          <t>Phê duyệt</t>
        </is>
      </c>
      <c r="C395" s="146" t="inlineStr">
        <is>
          <t>Approve</t>
        </is>
      </c>
      <c r="D395" s="146" t="inlineStr">
        <is>
          <t>អនុម័ត</t>
        </is>
      </c>
      <c r="E395" s="3" t="n"/>
      <c r="G395" t="inlineStr">
        <is>
          <t>អនុម័ត</t>
        </is>
      </c>
      <c r="H395" t="inlineStr">
        <is>
          <t>អនុម័ត</t>
        </is>
      </c>
      <c r="I395" s="74" t="n"/>
      <c r="J395" s="217" t="inlineStr">
        <is>
          <t>"professional.approve": "Approve",</t>
        </is>
      </c>
    </row>
    <row r="396" ht="15.75" customHeight="1" s="305">
      <c r="A396" s="146" t="inlineStr">
        <is>
          <t>professional.placeholderVersionCode</t>
        </is>
      </c>
      <c r="B396" s="146" t="inlineStr">
        <is>
          <t>Nhập mã phiên bản</t>
        </is>
      </c>
      <c r="C396" s="146" t="inlineStr">
        <is>
          <t>Please enter the version code</t>
        </is>
      </c>
      <c r="D396" s="146" t="inlineStr">
        <is>
          <t>បញ្ចូលលេខកូដកំណែ</t>
        </is>
      </c>
      <c r="E396" s="159" t="n"/>
      <c r="G396" t="inlineStr">
        <is>
          <t>បញ្ចូលលេខកូដកំណែ</t>
        </is>
      </c>
      <c r="H396" t="inlineStr">
        <is>
          <t>បញ្ចូលលេខកូដកំណែ</t>
        </is>
      </c>
      <c r="I396" s="74" t="n"/>
      <c r="J396" s="217" t="inlineStr">
        <is>
          <t>"professional.placeholderVersionCode": "Please enter the version code",</t>
        </is>
      </c>
    </row>
    <row r="397" ht="15.75" customHeight="1" s="305">
      <c r="A397" s="146" t="inlineStr">
        <is>
          <t>professional.placeholderStatus</t>
        </is>
      </c>
      <c r="B397" s="146" t="inlineStr">
        <is>
          <t>Nhập trạng thái</t>
        </is>
      </c>
      <c r="C397" s="146" t="inlineStr">
        <is>
          <t>Please enter status</t>
        </is>
      </c>
      <c r="D397" s="146" t="inlineStr">
        <is>
          <t>បញ្ចូលស្ថានភាព</t>
        </is>
      </c>
      <c r="E397" s="3" t="n"/>
      <c r="G397" t="inlineStr">
        <is>
          <t>បញ្ចូលស្ថានភាព</t>
        </is>
      </c>
      <c r="H397" t="inlineStr">
        <is>
          <t>បញ្ចូលស្ថានភាព</t>
        </is>
      </c>
      <c r="I397" s="74" t="n"/>
      <c r="J397" s="217" t="inlineStr">
        <is>
          <t>"professional.placeholderStatus": "Please enter status",</t>
        </is>
      </c>
    </row>
    <row r="398" ht="15.75" customHeight="1" s="305">
      <c r="A398" s="146" t="inlineStr">
        <is>
          <t>professional.placeholderDate</t>
        </is>
      </c>
      <c r="B398" s="146" t="inlineStr">
        <is>
          <t>Nhập ngày</t>
        </is>
      </c>
      <c r="C398" s="146" t="inlineStr">
        <is>
          <t>Please enter date</t>
        </is>
      </c>
      <c r="D398" s="146" t="inlineStr">
        <is>
          <t>បញ្ចូលកាលបរិច្ឆេទ</t>
        </is>
      </c>
      <c r="E398" s="3" t="n"/>
      <c r="G398" t="inlineStr">
        <is>
          <t>បញ្ចូលកាលបរិច្ឆេទ</t>
        </is>
      </c>
      <c r="H398" t="inlineStr">
        <is>
          <t>បញ្ចូលកាលបរិច្ឆេទ</t>
        </is>
      </c>
      <c r="I398" s="74" t="n"/>
      <c r="J398" s="217" t="inlineStr">
        <is>
          <t>"professional.placeholderDate": "Please enter date",</t>
        </is>
      </c>
    </row>
    <row r="399" ht="15.75" customHeight="1" s="305">
      <c r="A399" s="146" t="inlineStr">
        <is>
          <t>professional.placeholderNote</t>
        </is>
      </c>
      <c r="B399" s="146" t="inlineStr">
        <is>
          <t>Nội dung</t>
        </is>
      </c>
      <c r="C399" s="146" t="inlineStr">
        <is>
          <t>Notes</t>
        </is>
      </c>
      <c r="D399" s="146" t="inlineStr">
        <is>
          <t>មាតិកា</t>
        </is>
      </c>
      <c r="E399" s="3" t="n"/>
      <c r="G399" t="inlineStr">
        <is>
          <t>មាតិកា</t>
        </is>
      </c>
      <c r="H399" t="inlineStr">
        <is>
          <t>មាតិកា</t>
        </is>
      </c>
      <c r="I399" s="74" t="n"/>
      <c r="J399" s="217" t="inlineStr">
        <is>
          <t>"professional.placeholderNote": "Notes",</t>
        </is>
      </c>
    </row>
    <row r="400" ht="15.75" customHeight="1" s="305">
      <c r="A400" s="146" t="inlineStr">
        <is>
          <t>professional.suggested</t>
        </is>
      </c>
      <c r="B400" s="146" t="inlineStr">
        <is>
          <t>Đề xuất</t>
        </is>
      </c>
      <c r="C400" s="146" t="inlineStr">
        <is>
          <t>Suggested</t>
        </is>
      </c>
      <c r="D400" s="146" t="inlineStr">
        <is>
          <t>ស្នើ</t>
        </is>
      </c>
      <c r="E400" s="3" t="n"/>
      <c r="G400" t="inlineStr">
        <is>
          <t>ស្នើ</t>
        </is>
      </c>
      <c r="H400" t="inlineStr">
        <is>
          <t>ស្នើ</t>
        </is>
      </c>
      <c r="I400" s="74" t="n"/>
      <c r="J400" s="217" t="inlineStr">
        <is>
          <t>"professional.suggested": "Suggested",</t>
        </is>
      </c>
    </row>
    <row r="401" ht="15.75" customHeight="1" s="305">
      <c r="A401" s="146" t="inlineStr">
        <is>
          <t>professional.testCalculation</t>
        </is>
      </c>
      <c r="B401" s="146" t="inlineStr">
        <is>
          <t>Tính thử</t>
        </is>
      </c>
      <c r="C401" s="146" t="inlineStr">
        <is>
          <t>Test Calculation</t>
        </is>
      </c>
      <c r="D401" s="146" t="inlineStr">
        <is>
          <t>គណនាសាកល្បង</t>
        </is>
      </c>
      <c r="E401" s="3" t="n"/>
      <c r="G401" t="inlineStr">
        <is>
          <t>គណនាសាកល្បង</t>
        </is>
      </c>
      <c r="H401" t="inlineStr">
        <is>
          <t>គណនាសាកល្បង</t>
        </is>
      </c>
      <c r="I401" s="74" t="n"/>
      <c r="J401" s="217" t="inlineStr">
        <is>
          <t>"professional.testCalculation": "Test Calculation",</t>
        </is>
      </c>
    </row>
    <row r="402" ht="15.75" customHeight="1" s="305">
      <c r="A402" s="146" t="inlineStr">
        <is>
          <t>professional.calculationScenario</t>
        </is>
      </c>
      <c r="B402" s="146" t="inlineStr">
        <is>
          <t>Kịch bản tính thử</t>
        </is>
      </c>
      <c r="C402" s="146" t="inlineStr">
        <is>
          <t>Calculation Scenario</t>
        </is>
      </c>
      <c r="D402" s="146" t="inlineStr">
        <is>
          <t>សេណារីយ៉ូគណនា</t>
        </is>
      </c>
      <c r="E402" s="3" t="n"/>
      <c r="G402" t="inlineStr">
        <is>
          <t>សេណារីយ៉ូគណនា</t>
        </is>
      </c>
      <c r="H402" t="inlineStr">
        <is>
          <t>សេណារីយ៉ូគណនា</t>
        </is>
      </c>
      <c r="I402" s="74" t="n"/>
      <c r="J402" s="217" t="inlineStr">
        <is>
          <t>"professional.calculationScenario": "Calculation Scenario",</t>
        </is>
      </c>
    </row>
    <row r="403" ht="15.75" customHeight="1" s="305">
      <c r="A403" s="146" t="inlineStr">
        <is>
          <t>professional.assignmentDate</t>
        </is>
      </c>
      <c r="B403" s="146" t="inlineStr">
        <is>
          <t>Ngày khoán</t>
        </is>
      </c>
      <c r="C403" s="146" t="inlineStr">
        <is>
          <t>Assignment Date</t>
        </is>
      </c>
      <c r="D403" s="146" t="inlineStr">
        <is>
          <t>ថ្ងៃបែងចែក</t>
        </is>
      </c>
      <c r="E403" s="3" t="n"/>
      <c r="G403" t="inlineStr">
        <is>
          <t>ថ្ងៃបែងចែក</t>
        </is>
      </c>
      <c r="H403" t="inlineStr">
        <is>
          <t>ថ្ងៃបែងចែក</t>
        </is>
      </c>
      <c r="I403" s="74" t="n"/>
      <c r="J403" s="217" t="inlineStr">
        <is>
          <t>"professional.assignmentDate": "Assignment Date",</t>
        </is>
      </c>
    </row>
    <row r="404" ht="15.75" customHeight="1" s="305">
      <c r="A404" s="146" t="inlineStr">
        <is>
          <t>professional.deliveryPoint</t>
        </is>
      </c>
      <c r="B404" s="146" t="inlineStr">
        <is>
          <t>Điểm nhận</t>
        </is>
      </c>
      <c r="C404" s="146" t="inlineStr">
        <is>
          <t>Receiving point</t>
        </is>
      </c>
      <c r="D404" s="146" t="inlineStr">
        <is>
          <t>ចំណុចទទួល</t>
        </is>
      </c>
      <c r="E404" s="3" t="n"/>
      <c r="G404" t="inlineStr">
        <is>
          <t>ចំណុចទទួល</t>
        </is>
      </c>
      <c r="H404" t="inlineStr">
        <is>
          <t>ចំណុចទទួល</t>
        </is>
      </c>
      <c r="I404" s="74" t="n"/>
      <c r="J404" s="217" t="inlineStr">
        <is>
          <t>"professional.deliveryPoint": "Receiving point",</t>
        </is>
      </c>
    </row>
    <row r="405" ht="15.75" customHeight="1" s="305">
      <c r="A405" s="146" t="inlineStr">
        <is>
          <t>professional.productType</t>
        </is>
      </c>
      <c r="B405" s="146" t="inlineStr">
        <is>
          <t>Loại hàng hóa</t>
        </is>
      </c>
      <c r="C405" s="146" t="inlineStr">
        <is>
          <t>Product Type</t>
        </is>
      </c>
      <c r="D405" s="146" t="inlineStr">
        <is>
          <t>ប្រភេទទំនិញ</t>
        </is>
      </c>
      <c r="E405" s="3" t="n"/>
      <c r="G405" t="inlineStr">
        <is>
          <t>ប្រភេទមុខទំនិញ</t>
        </is>
      </c>
      <c r="H405" t="inlineStr">
        <is>
          <t>ប្រភេទមុខទំនិញ</t>
        </is>
      </c>
      <c r="I405" s="74" t="n"/>
      <c r="J405" s="217" t="inlineStr">
        <is>
          <t>"professional.productType": "Product Type",</t>
        </is>
      </c>
    </row>
    <row r="406" ht="15.75" customHeight="1" s="305">
      <c r="A406" s="146" t="inlineStr">
        <is>
          <t>professional.postOfficeType</t>
        </is>
      </c>
      <c r="B406" s="146" t="inlineStr">
        <is>
          <t>Loại bưu cục</t>
        </is>
      </c>
      <c r="C406" s="146" t="inlineStr">
        <is>
          <t>Post Office Type</t>
        </is>
      </c>
      <c r="D406" s="146" t="inlineStr">
        <is>
          <t>ប្រភេទការិយាល័យប្រៃសណីយ៍</t>
        </is>
      </c>
      <c r="E406" s="3" t="n"/>
      <c r="G406" t="inlineStr">
        <is>
          <t>ប្រភេទការិយាល័យប្រៃសណីយ៍</t>
        </is>
      </c>
      <c r="H406" t="inlineStr">
        <is>
          <t>ប្រភេទការិយាល័យប្រៃសណីយ៍</t>
        </is>
      </c>
      <c r="I406" s="74" t="n"/>
      <c r="J406" s="217" t="inlineStr">
        <is>
          <t>"professional.postOfficeType": "Post Office Type",</t>
        </is>
      </c>
    </row>
    <row r="407" ht="15.75" customHeight="1" s="305">
      <c r="A407" s="146" t="inlineStr">
        <is>
          <t>professional.dailyConnectionRemuneration</t>
        </is>
      </c>
      <c r="B407" s="146" t="inlineStr">
        <is>
          <t>Tổng thù lao kết nối trong ngày ({{current}})</t>
        </is>
      </c>
      <c r="C407" s="146" t="inlineStr">
        <is>
          <t>Total Daily Connection Remuneration ({{current}})</t>
        </is>
      </c>
      <c r="D407" s="146" t="inlineStr">
        <is>
          <t>សរុបប្រាក់ឧបត្ថម្ភភ្ជាប់ប្រចាំថ្ងៃ ({{current}})</t>
        </is>
      </c>
      <c r="E407" s="3" t="n"/>
      <c r="G407" t="inlineStr">
        <is>
          <t>សរុបប្រាក់ឧបត្ថម្ភភ្ជាប់ប្រចាំថ្ងៃ ({{current}})</t>
        </is>
      </c>
      <c r="H407" t="inlineStr">
        <is>
          <t>សរុបប្រាក់ឧបត្ថម្ភភ្ជាប់ប្រចាំថ្ងៃ ({{current}})</t>
        </is>
      </c>
      <c r="I407" s="74" t="n"/>
      <c r="J407" s="217" t="inlineStr">
        <is>
          <t>"professional.dailyConnectionRemuneration": "Total Daily Connection Remuneration ({{current}})",</t>
        </is>
      </c>
    </row>
    <row r="408" ht="15.75" customHeight="1" s="305">
      <c r="A408" s="146" t="inlineStr">
        <is>
          <t>professional.totalFee</t>
        </is>
      </c>
      <c r="B408" s="146" t="inlineStr">
        <is>
          <t>Tổng cước ({{current}})</t>
        </is>
      </c>
      <c r="C408" s="146" t="inlineStr">
        <is>
          <t>Total Fee ({{current}})</t>
        </is>
      </c>
      <c r="D408" s="146" t="inlineStr">
        <is>
          <t>សរុបថ្លៃ ({{current}})</t>
        </is>
      </c>
      <c r="E408" s="3" t="n"/>
      <c r="G408" t="inlineStr">
        <is>
          <t>សរុបថ្លៃ ({{current}})</t>
        </is>
      </c>
      <c r="H408" t="inlineStr">
        <is>
          <t>សរុបថ្លៃ ({{current}})</t>
        </is>
      </c>
      <c r="I408" s="74" t="n"/>
      <c r="J408" s="217" t="inlineStr">
        <is>
          <t>"professional.totalFee": "Total Fee ({{current}})",</t>
        </is>
      </c>
    </row>
    <row r="409" ht="15.75" customHeight="1" s="305">
      <c r="A409" s="146" t="inlineStr">
        <is>
          <t>professional.monthlyDevelopmentRevenue</t>
        </is>
      </c>
      <c r="B409" s="146" t="inlineStr">
        <is>
          <t>DT nhận tự phát triển của ĐL trong tháng ({{current}})</t>
        </is>
      </c>
      <c r="C409" s="146" t="inlineStr">
        <is>
          <t>Total self-developed revenue of the agent in the month ({{current}})</t>
        </is>
      </c>
      <c r="D409" s="146" t="inlineStr">
        <is>
          <t>ប្រាក់ចំណូលសរុបដែលអភិវឌ្ឍដោយខ្លួនឯងរបស់ភ្នាក់ងារនៅក្នុងខែ ({{current}})</t>
        </is>
      </c>
      <c r="E409" s="3" t="n"/>
      <c r="G409" t="inlineStr">
        <is>
          <t>ប្រាក់ចំណូលសរុបដែលអភិវឌ្ឍដោយខ្លួនឯងរបស់ភ្នាក់ងារនៅក្នុងខែ ({{current}})</t>
        </is>
      </c>
      <c r="H409" t="inlineStr">
        <is>
          <t>ប្រាក់ចំណូលសរុបដែលអភិវឌ្ឍដោយខ្លួនឯងរបស់ភ្នាក់ងារនៅក្នុងខែ ({{current}})</t>
        </is>
      </c>
      <c r="I409" s="74" t="n"/>
      <c r="J409" s="217" t="inlineStr">
        <is>
          <t>"professional.monthlyDevelopmentRevenue": "Total self-developed revenue of the agent in the month ({{current}})",</t>
        </is>
      </c>
    </row>
    <row r="410" ht="15.75" customHeight="1" s="305">
      <c r="A410" s="146" t="inlineStr">
        <is>
          <t>professional.monthlyNonDevelopmentRevenue</t>
        </is>
      </c>
      <c r="B410" s="146" t="inlineStr">
        <is>
          <t>DT nhận KHÔNG tự phát triển của ĐL trong tháng ({{current}})</t>
        </is>
      </c>
      <c r="C410" s="146" t="inlineStr">
        <is>
          <t>Total NON self-developed revenue of the agent in the month ({{current}})</t>
        </is>
      </c>
      <c r="D410" s="146" t="inlineStr">
        <is>
          <t>ប្រាក់ចំណូលសរុបដែលមិនបានអភិវឌ្ឍដោយខ្លួនឯងរបស់ភ្នាក់ងារនៅក្នុងខែ ({{current}})</t>
        </is>
      </c>
      <c r="E410" s="3" t="n"/>
      <c r="G410" t="inlineStr">
        <is>
          <t>ប្រាក់ចំណូលសរុបដែលមិនបានអភិវឌ្ឍដោយខ្លួនឯងរបស់ភ្នាក់ងារនៅក្នុងខែ ({{current}})</t>
        </is>
      </c>
      <c r="H410" t="inlineStr">
        <is>
          <t>ប្រាក់ចំណូលសរុបដែលមិនបានអភិវឌ្ឍដោយខ្លួនឯងរបស់ភ្នាក់ងារនៅក្នុងខែ ({{current}})</t>
        </is>
      </c>
      <c r="I410" s="74" t="n"/>
      <c r="J410" s="217" t="inlineStr">
        <is>
          <t>"professional.monthlyNonDevelopmentRevenue": "Total NON self-developed revenue of the agent in the month ({{current}})",</t>
        </is>
      </c>
    </row>
    <row r="411" ht="15.75" customHeight="1" s="305">
      <c r="A411" s="146" t="inlineStr">
        <is>
          <t>professional.monthlyDeliveryRevenue</t>
        </is>
      </c>
      <c r="B411" s="146" t="inlineStr">
        <is>
          <t>DT giao của ĐL trong tháng ({{current}})</t>
        </is>
      </c>
      <c r="C411" s="146" t="inlineStr">
        <is>
          <t>Total delivery revenue of the agent in the month ({{current}})</t>
        </is>
      </c>
      <c r="D411" s="146" t="inlineStr">
        <is>
          <t>ប្រាក់ចំណូលសរុបពីការចែកចាយរបស់ភ្នាក់ងារនៅក្នុងខែ ({{current}})</t>
        </is>
      </c>
      <c r="E411" s="3" t="n"/>
      <c r="G411" t="inlineStr">
        <is>
          <t>ប្រាក់ចំណូលសរុបពីការចែកចាយរបស់ភ្នាក់ងារនៅក្នុងខែ ({{current}})</t>
        </is>
      </c>
      <c r="H411" t="inlineStr">
        <is>
          <t>ប្រាក់ចំណូលសរុបពីការចែកចាយរបស់ភ្នាក់ងារនៅក្នុងខែ ({{current}})</t>
        </is>
      </c>
      <c r="I411" s="74" t="n"/>
      <c r="J411" s="217" t="inlineStr">
        <is>
          <t>"professional.monthlyDeliveryRevenue": "Total delivery revenue of the agent in the month ({{current}})",</t>
        </is>
      </c>
    </row>
    <row r="412" ht="15.75" customHeight="1" s="305">
      <c r="A412" s="146" t="inlineStr">
        <is>
          <t>professional.monthlyAgentReceivedRevenue</t>
        </is>
      </c>
      <c r="B412" s="146" t="inlineStr">
        <is>
          <t>DT nhận của ĐL trong tháng ({{current}})</t>
        </is>
      </c>
      <c r="C412" s="146" t="inlineStr">
        <is>
          <t>Total revenue received by the agent in the month ({{current}})</t>
        </is>
      </c>
      <c r="D412" s="146" t="inlineStr">
        <is>
          <t>ប្រាក់ចំណូលសរុបដែលភ្នាក់ងារទទួលបានក្នុងខែ ({{current}})</t>
        </is>
      </c>
      <c r="E412" s="3" t="n"/>
      <c r="G412" t="inlineStr">
        <is>
          <t>ប្រាក់ចំណូលសរុបដែលភ្នាក់ងារទទួលបានក្នុងខែ ({{current}})</t>
        </is>
      </c>
      <c r="H412" t="inlineStr">
        <is>
          <t>ប្រាក់ចំណូលសរុបដែលភ្នាក់ងារទទួលបានក្នុងខែ ({{current}})</t>
        </is>
      </c>
      <c r="I412" s="74" t="n"/>
      <c r="J412" s="217" t="inlineStr">
        <is>
          <t>"professional.monthlyAgentReceivedRevenue": "Total revenue received by the agent in the month ({{current}})",</t>
        </is>
      </c>
    </row>
    <row r="413" ht="15.75" customHeight="1" s="305">
      <c r="A413" s="146" t="inlineStr">
        <is>
          <t>professional.revenueMonths</t>
        </is>
      </c>
      <c r="B413" s="146" t="inlineStr">
        <is>
          <t>Số tháng phát sinh doanh thu</t>
        </is>
      </c>
      <c r="C413" s="146" t="inlineStr">
        <is>
          <t>Number of months with revenue</t>
        </is>
      </c>
      <c r="D413" s="146" t="inlineStr">
        <is>
          <t>ចំនួនខែដែលមានប្រាក់ចំណូល</t>
        </is>
      </c>
      <c r="E413" s="3" t="n"/>
      <c r="G413" t="inlineStr">
        <is>
          <t>ចំនួនខែដែលមានប្រាក់ចំណូល</t>
        </is>
      </c>
      <c r="H413" t="inlineStr">
        <is>
          <t>ចំនួនខែដែលមានប្រាក់ចំណូល</t>
        </is>
      </c>
      <c r="I413" s="74" t="n"/>
      <c r="J413" s="217" t="inlineStr">
        <is>
          <t>"professional.revenueMonths": "Number of months with revenue",</t>
        </is>
      </c>
    </row>
    <row r="414" ht="15.75" customHeight="1" s="305">
      <c r="A414" s="146" t="inlineStr">
        <is>
          <t>professional.calculationResult</t>
        </is>
      </c>
      <c r="B414" s="146" t="inlineStr">
        <is>
          <t>Kết quả tính thử</t>
        </is>
      </c>
      <c r="C414" s="146" t="inlineStr">
        <is>
          <t>Calculation Result</t>
        </is>
      </c>
      <c r="D414" s="146" t="inlineStr">
        <is>
          <t>លទ្ធផលគណនា</t>
        </is>
      </c>
      <c r="E414" s="3" t="n"/>
      <c r="G414" t="inlineStr">
        <is>
          <t>លទ្ធផលគណនា</t>
        </is>
      </c>
      <c r="H414" t="inlineStr">
        <is>
          <t>លទ្ធផលគណនា</t>
        </is>
      </c>
      <c r="I414" s="74" t="n"/>
      <c r="J414" s="217" t="inlineStr">
        <is>
          <t>"professional.calculationResult": "Calculation Result",</t>
        </is>
      </c>
    </row>
    <row r="415" ht="15.75" customHeight="1" s="305">
      <c r="A415" s="146" t="inlineStr">
        <is>
          <t>professional.rule</t>
        </is>
      </c>
      <c r="B415" s="146" t="inlineStr">
        <is>
          <t>Quy tắc</t>
        </is>
      </c>
      <c r="C415" s="146" t="inlineStr">
        <is>
          <t>Rule</t>
        </is>
      </c>
      <c r="D415" s="146" t="inlineStr">
        <is>
          <t>ច្បាប់</t>
        </is>
      </c>
      <c r="E415" s="3" t="n"/>
      <c r="G415" t="inlineStr">
        <is>
          <t>ច្បាប់</t>
        </is>
      </c>
      <c r="H415" t="inlineStr">
        <is>
          <t>ច្បាប់</t>
        </is>
      </c>
      <c r="I415" s="74" t="n"/>
      <c r="J415" s="217" t="inlineStr">
        <is>
          <t>"professional.rule": "Rule",</t>
        </is>
      </c>
    </row>
    <row r="416" ht="15.75" customHeight="1" s="305">
      <c r="A416" s="146" t="inlineStr">
        <is>
          <t>professional.result</t>
        </is>
      </c>
      <c r="B416" s="146" t="inlineStr">
        <is>
          <t>Kết quả</t>
        </is>
      </c>
      <c r="C416" s="146" t="inlineStr">
        <is>
          <t>Result</t>
        </is>
      </c>
      <c r="D416" s="146" t="inlineStr">
        <is>
          <t>លទ្ធផល</t>
        </is>
      </c>
      <c r="E416" s="3" t="n"/>
      <c r="G416" t="inlineStr">
        <is>
          <t>លទ្ធផល</t>
        </is>
      </c>
      <c r="H416" t="inlineStr">
        <is>
          <t>លទ្ធផល</t>
        </is>
      </c>
      <c r="I416" s="74" t="n"/>
      <c r="J416" s="217" t="inlineStr">
        <is>
          <t>"professional.result": "Result",</t>
        </is>
      </c>
    </row>
    <row r="417" ht="15.75" customHeight="1" s="305">
      <c r="A417" s="146" t="inlineStr">
        <is>
          <t>professional.reset</t>
        </is>
      </c>
      <c r="B417" s="146" t="inlineStr">
        <is>
          <t>Đặt lại</t>
        </is>
      </c>
      <c r="C417" s="146" t="inlineStr">
        <is>
          <t>Reset</t>
        </is>
      </c>
      <c r="D417" s="146" t="inlineStr">
        <is>
          <t>កំណត់ឡើងវិញ</t>
        </is>
      </c>
      <c r="E417" s="3" t="n"/>
      <c r="G417" t="inlineStr">
        <is>
          <t>កំណត់ឡើងវិញ</t>
        </is>
      </c>
      <c r="H417" t="inlineStr">
        <is>
          <t>កំណត់ឡើងវិញ</t>
        </is>
      </c>
      <c r="I417" s="74" t="n"/>
      <c r="J417" s="217" t="inlineStr">
        <is>
          <t>"professional.reset": "Reset",</t>
        </is>
      </c>
    </row>
    <row r="418" ht="15.75" customHeight="1" s="305">
      <c r="A418" s="146" t="inlineStr">
        <is>
          <t>professional.selectFromList</t>
        </is>
      </c>
      <c r="B418" s="146" t="inlineStr">
        <is>
          <t>Chọn 1 trong danh sách</t>
        </is>
      </c>
      <c r="C418" s="146" t="inlineStr">
        <is>
          <t>Select from list</t>
        </is>
      </c>
      <c r="D418" s="146" t="inlineStr">
        <is>
          <t>ជ្រើសពីបញ្ជី</t>
        </is>
      </c>
      <c r="E418" s="3" t="n"/>
      <c r="G418" t="inlineStr">
        <is>
          <t>ជ្រើសពីបញ្ជី</t>
        </is>
      </c>
      <c r="H418" t="inlineStr">
        <is>
          <t>ជ្រើសពីបញ្ជី</t>
        </is>
      </c>
      <c r="I418" s="74" t="n"/>
      <c r="J418" s="217" t="inlineStr">
        <is>
          <t>"professional.selectFromList": "Select from list",</t>
        </is>
      </c>
    </row>
    <row r="419" ht="15.75" customHeight="1" s="305">
      <c r="A419" s="146" t="inlineStr">
        <is>
          <t>professional.enterNumber</t>
        </is>
      </c>
      <c r="B419" s="146" t="inlineStr">
        <is>
          <t>Nhập số</t>
        </is>
      </c>
      <c r="C419" s="146" t="inlineStr">
        <is>
          <t>Enter number</t>
        </is>
      </c>
      <c r="D419" s="146" t="inlineStr">
        <is>
          <t>បញ្ចូលលេខ</t>
        </is>
      </c>
      <c r="E419" s="3" t="n"/>
      <c r="G419" t="inlineStr">
        <is>
          <t>បញ្ចូលលេខ</t>
        </is>
      </c>
      <c r="H419" t="inlineStr">
        <is>
          <t>បញ្ចូលលេខ</t>
        </is>
      </c>
      <c r="I419" s="74" t="n"/>
      <c r="J419" s="217" t="inlineStr">
        <is>
          <t>"professional.enterNumber": "Enter number",</t>
        </is>
      </c>
    </row>
    <row r="420" ht="15.75" customHeight="1" s="305">
      <c r="A420" s="146" t="inlineStr">
        <is>
          <t>professional.versionSuggested</t>
        </is>
      </c>
      <c r="B420" s="146" t="inlineStr">
        <is>
          <t>Đề xuất phiên bản</t>
        </is>
      </c>
      <c r="C420" s="276" t="n"/>
      <c r="D420" s="146" t="inlineStr">
        <is>
          <t>ស្នើកំណែ</t>
        </is>
      </c>
      <c r="E420" s="3" t="n"/>
      <c r="G420" t="inlineStr">
        <is>
          <t>ស្នើកំណែ</t>
        </is>
      </c>
      <c r="H420" t="inlineStr">
        <is>
          <t>ស្នើកំណែ</t>
        </is>
      </c>
      <c r="I420" s="74" t="n"/>
      <c r="J420" s="217" t="inlineStr">
        <is>
          <t>"professional.versionSuggested": "",</t>
        </is>
      </c>
    </row>
    <row r="421" ht="15.75" customHeight="1" s="305">
      <c r="A421" s="146" t="inlineStr">
        <is>
          <t>professional.salaryElement</t>
        </is>
      </c>
      <c r="B421" s="146" t="inlineStr">
        <is>
          <t>Phần tử lương</t>
        </is>
      </c>
      <c r="C421" s="276" t="n"/>
      <c r="D421" s="146" t="inlineStr">
        <is>
          <t>ធាតុប្រាក់ខែ</t>
        </is>
      </c>
      <c r="E421" s="3" t="n"/>
      <c r="G421" t="inlineStr">
        <is>
          <t>ធាតុប្រាក់ខែ</t>
        </is>
      </c>
      <c r="H421" t="inlineStr">
        <is>
          <t>ធាតុប្រាក់ខែ</t>
        </is>
      </c>
      <c r="I421" s="74" t="n"/>
      <c r="J421" s="217" t="inlineStr">
        <is>
          <t>"professional.salaryElement": "",</t>
        </is>
      </c>
    </row>
    <row r="422" ht="15.75" customHeight="1" s="305">
      <c r="A422" s="146" t="inlineStr">
        <is>
          <t>professional.noData</t>
        </is>
      </c>
      <c r="B422" s="146" t="inlineStr">
        <is>
          <t>Không có dữ liệu phần tử lương nào</t>
        </is>
      </c>
      <c r="C422" s="276" t="n"/>
      <c r="D422" s="146" t="inlineStr">
        <is>
          <t>គ្មានទិន្នន័យធាតុប្រាក់ខែ</t>
        </is>
      </c>
      <c r="E422" s="3" t="n"/>
      <c r="G422" t="inlineStr">
        <is>
          <t>គ្មានទិន្នន័យធាតុប្រាក់ខែ</t>
        </is>
      </c>
      <c r="H422" t="inlineStr">
        <is>
          <t>គ្មានទិន្នន័យធាតុប្រាក់ខែ</t>
        </is>
      </c>
      <c r="I422" s="74" t="n"/>
      <c r="J422" s="217" t="inlineStr">
        <is>
          <t>"professional.noData": "",</t>
        </is>
      </c>
    </row>
    <row r="423" ht="15.75" customHeight="1" s="305">
      <c r="A423" s="146" t="inlineStr">
        <is>
          <t>professional.fileName</t>
        </is>
      </c>
      <c r="B423" s="146" t="inlineStr">
        <is>
          <t>Tên file</t>
        </is>
      </c>
      <c r="C423" s="146" t="inlineStr">
        <is>
          <t>File Name</t>
        </is>
      </c>
      <c r="D423" s="146" t="inlineStr">
        <is>
          <t>ឈ្មោះឯកសារ</t>
        </is>
      </c>
      <c r="E423" s="3" t="n"/>
      <c r="G423" t="inlineStr">
        <is>
          <t>ឈ្មោះឯកសារ</t>
        </is>
      </c>
      <c r="H423" t="inlineStr">
        <is>
          <t>ឈ្មោះឯកសារ</t>
        </is>
      </c>
      <c r="I423" s="74" t="n"/>
      <c r="J423" s="217" t="inlineStr">
        <is>
          <t>"professional.fileName": "File Name",</t>
        </is>
      </c>
    </row>
    <row r="424" ht="15.75" customHeight="1" s="305">
      <c r="A424" s="146" t="inlineStr">
        <is>
          <t>professional.recordCount</t>
        </is>
      </c>
      <c r="B424" s="146" t="inlineStr">
        <is>
          <t>Số bản ghi</t>
        </is>
      </c>
      <c r="C424" s="146" t="inlineStr">
        <is>
          <t>Record Count</t>
        </is>
      </c>
      <c r="D424" s="146" t="inlineStr">
        <is>
          <t>ចំនួនកំណត់ត្រា</t>
        </is>
      </c>
      <c r="E424" s="3" t="n"/>
      <c r="G424" t="inlineStr">
        <is>
          <t>ចំនួនកំណត់ត្រា</t>
        </is>
      </c>
      <c r="H424" t="inlineStr">
        <is>
          <t>ចំនួនកំណត់ត្រា</t>
        </is>
      </c>
      <c r="I424" s="74" t="n"/>
      <c r="J424" s="217" t="inlineStr">
        <is>
          <t>"professional.recordCount": "Record Count",</t>
        </is>
      </c>
    </row>
    <row r="425" ht="15.75" customHeight="1" s="305">
      <c r="A425" s="146" t="inlineStr">
        <is>
          <t>professional.success</t>
        </is>
      </c>
      <c r="B425" s="146" t="inlineStr">
        <is>
          <t>Thành công</t>
        </is>
      </c>
      <c r="C425" s="146" t="inlineStr">
        <is>
          <t>Success</t>
        </is>
      </c>
      <c r="D425" s="146" t="inlineStr">
        <is>
          <t>ជោគជ័យ</t>
        </is>
      </c>
      <c r="E425" s="3" t="n"/>
      <c r="G425" t="inlineStr">
        <is>
          <t>ជោគជ័យ</t>
        </is>
      </c>
      <c r="H425" t="inlineStr">
        <is>
          <t>ជោគជ័យ</t>
        </is>
      </c>
      <c r="I425" s="74" t="n"/>
      <c r="J425" s="217" t="inlineStr">
        <is>
          <t>"professional.success": "Success",</t>
        </is>
      </c>
    </row>
    <row r="426" ht="15.75" customHeight="1" s="305">
      <c r="A426" s="146" t="inlineStr">
        <is>
          <t>professional.error</t>
        </is>
      </c>
      <c r="B426" s="146" t="inlineStr">
        <is>
          <t>Lỗi</t>
        </is>
      </c>
      <c r="C426" s="146" t="inlineStr">
        <is>
          <t>Error</t>
        </is>
      </c>
      <c r="D426" s="146" t="inlineStr">
        <is>
          <t>កំហុស</t>
        </is>
      </c>
      <c r="E426" s="3" t="n"/>
      <c r="G426" t="inlineStr">
        <is>
          <t>កំហុស</t>
        </is>
      </c>
      <c r="H426" t="inlineStr">
        <is>
          <t>កំហុស</t>
        </is>
      </c>
      <c r="I426" s="74" t="n"/>
      <c r="J426" s="217" t="inlineStr">
        <is>
          <t>"professional.error": "Error",</t>
        </is>
      </c>
    </row>
    <row r="427" ht="15.75" customHeight="1" s="305">
      <c r="A427" s="146" t="inlineStr">
        <is>
          <t>professional.suggestedDescription</t>
        </is>
      </c>
      <c r="B427" s="146" t="inlineStr">
        <is>
          <t>Đề xuất nhập liệu file:</t>
        </is>
      </c>
      <c r="C427" s="146" t="inlineStr">
        <is>
          <t>Suggested file input:</t>
        </is>
      </c>
      <c r="D427" s="146" t="inlineStr">
        <is>
          <t>ស្នើការនាំចូលឯកសារ:</t>
        </is>
      </c>
      <c r="E427" s="3" t="n"/>
      <c r="G427" t="inlineStr">
        <is>
          <t>ស្នើការនាំចូលឯកសារ:</t>
        </is>
      </c>
      <c r="H427" t="inlineStr">
        <is>
          <t>ស្នើការនាំចូលឯកសារ:</t>
        </is>
      </c>
      <c r="I427" s="74" t="n"/>
      <c r="J427" s="217" t="inlineStr">
        <is>
          <t>"professional.suggestedDescription": "Suggested file input:",</t>
        </is>
      </c>
    </row>
    <row r="428" ht="15.75" customHeight="1" s="305">
      <c r="A428" s="146" t="inlineStr">
        <is>
          <t>professional.inputSuccess</t>
        </is>
      </c>
      <c r="B428" s="146" t="inlineStr">
        <is>
          <t>Nhập liệu thành công</t>
        </is>
      </c>
      <c r="C428" s="146" t="inlineStr">
        <is>
          <t>Input successful</t>
        </is>
      </c>
      <c r="D428" s="146" t="inlineStr">
        <is>
          <t>បញ្ចូលទិន្នន័យដោយជោគជ័យ</t>
        </is>
      </c>
      <c r="E428" s="3" t="n"/>
      <c r="G428" t="inlineStr">
        <is>
          <t>បញ្ចូលទិន្នន័យដោយជោគជ័យ</t>
        </is>
      </c>
      <c r="H428" t="inlineStr">
        <is>
          <t>បញ្ចូលទិន្នន័យដោយជោគជ័យ</t>
        </is>
      </c>
      <c r="I428" s="74" t="n"/>
      <c r="J428" s="217" t="inlineStr">
        <is>
          <t>"professional.inputSuccess": "Input successful",</t>
        </is>
      </c>
    </row>
    <row r="429" ht="15.75" customHeight="1" s="305">
      <c r="A429" s="146" t="inlineStr">
        <is>
          <t>professional.inputError</t>
        </is>
      </c>
      <c r="B429" s="146" t="inlineStr">
        <is>
          <t>Nhập liệu thất bại!!!</t>
        </is>
      </c>
      <c r="C429" s="146" t="inlineStr">
        <is>
          <t>Input failed!!!</t>
        </is>
      </c>
      <c r="D429" s="146" t="inlineStr">
        <is>
          <t>បញ្ចូលទិន្នន័យបរាជ័យ!!!</t>
        </is>
      </c>
      <c r="E429" s="3" t="n"/>
      <c r="G429" t="inlineStr">
        <is>
          <t>បញ្ចូលទិន្នន័យបរាជ័យ!!!</t>
        </is>
      </c>
      <c r="H429" t="inlineStr">
        <is>
          <t>បញ្ចូលទិន្នន័យបរាជ័យ!!!</t>
        </is>
      </c>
      <c r="I429" s="74" t="n"/>
      <c r="J429" s="217" t="inlineStr">
        <is>
          <t>"professional.inputError": "Input failed!!!",</t>
        </is>
      </c>
    </row>
    <row r="430" ht="15.75" customHeight="1" s="305">
      <c r="A430" s="146" t="inlineStr">
        <is>
          <t>professional.calculationSuccess</t>
        </is>
      </c>
      <c r="B430" s="146" t="inlineStr">
        <is>
          <t>Tính thử thành công</t>
        </is>
      </c>
      <c r="C430" s="146" t="inlineStr">
        <is>
          <t>Calculation successful</t>
        </is>
      </c>
      <c r="D430" s="146" t="inlineStr">
        <is>
          <t>ការគណនាសាកល្បងបានជោគជ័យ</t>
        </is>
      </c>
      <c r="E430" s="3" t="n"/>
      <c r="G430" t="inlineStr">
        <is>
          <t>ការគណនាសាកល្បងបានជោគជ័យ</t>
        </is>
      </c>
      <c r="H430" t="inlineStr">
        <is>
          <t>ការគណនាសាកល្បងបានជោគជ័យ</t>
        </is>
      </c>
      <c r="I430" s="74" t="n"/>
      <c r="J430" s="217" t="inlineStr">
        <is>
          <t>"professional.calculationSuccess": "Calculation successful",</t>
        </is>
      </c>
    </row>
    <row r="431" ht="15.75" customHeight="1" s="305">
      <c r="A431" s="146" t="inlineStr">
        <is>
          <t>professional.calculationError</t>
        </is>
      </c>
      <c r="B431" s="146" t="inlineStr">
        <is>
          <t>Tính thử thất bại</t>
        </is>
      </c>
      <c r="C431" s="146" t="inlineStr">
        <is>
          <t>Calculation failed</t>
        </is>
      </c>
      <c r="D431" s="146" t="inlineStr">
        <is>
          <t>ការគណនាសាកល្បងបរាជ័យ</t>
        </is>
      </c>
      <c r="E431" s="3" t="n"/>
      <c r="G431" t="inlineStr">
        <is>
          <t>ការគណនាសាកល្បងបរាជ័យ</t>
        </is>
      </c>
      <c r="H431" t="inlineStr">
        <is>
          <t>ការគណនាសាកល្បងបរាជ័យ</t>
        </is>
      </c>
      <c r="I431" s="74" t="n"/>
      <c r="J431" s="217" t="inlineStr">
        <is>
          <t>"professional.calculationError": "Calculation failed",</t>
        </is>
      </c>
    </row>
    <row r="432" ht="15.75" customHeight="1" s="305">
      <c r="A432" s="146" t="inlineStr">
        <is>
          <t>professional.referralEmployeeCode</t>
        </is>
      </c>
      <c r="B432" s="146" t="inlineStr">
        <is>
          <t>MNV giới thiệu</t>
        </is>
      </c>
      <c r="C432" s="146" t="inlineStr">
        <is>
          <t>Referral employee code</t>
        </is>
      </c>
      <c r="D432" s="146" t="inlineStr">
        <is>
          <t>លេខកូដបុគ្គលិកណែនាំ</t>
        </is>
      </c>
      <c r="E432" s="3" t="n"/>
      <c r="G432" t="inlineStr">
        <is>
          <t>លេខកូដបុគ្គលិកណែនាំ</t>
        </is>
      </c>
      <c r="H432" t="inlineStr">
        <is>
          <t>លេខកូដបុគ្គលិកណែនាំ</t>
        </is>
      </c>
      <c r="I432" s="74" t="n"/>
      <c r="J432" s="217" t="inlineStr">
        <is>
          <t>"professional.referralEmployeeCode": "Referral employee code",</t>
        </is>
      </c>
    </row>
    <row r="433" ht="15.75" customHeight="1" s="305">
      <c r="A433" s="146" t="inlineStr">
        <is>
          <t>professional.revenueInputEmployeeCode</t>
        </is>
      </c>
      <c r="B433" s="146" t="inlineStr">
        <is>
          <t>MNV nhập doanh thu</t>
        </is>
      </c>
      <c r="C433" s="146" t="inlineStr">
        <is>
          <t>Revenue input employee code</t>
        </is>
      </c>
      <c r="D433" s="146" t="inlineStr">
        <is>
          <t>លេខកូដបុគ្គលិកបញ្ចូលប្រាក់ចំណូល</t>
        </is>
      </c>
      <c r="E433" s="3" t="n"/>
      <c r="G433" t="inlineStr">
        <is>
          <t>លេខកូដបុគ្គលិកបញ្ចូលប្រាក់ចំណូល</t>
        </is>
      </c>
      <c r="H433" t="inlineStr">
        <is>
          <t>លេខកូដបុគ្គលិកបញ្ចូលប្រាក់ចំណូល</t>
        </is>
      </c>
      <c r="I433" s="74" t="n"/>
      <c r="J433" s="217" t="inlineStr">
        <is>
          <t>"professional.revenueInputEmployeeCode": "Revenue input employee code",</t>
        </is>
      </c>
    </row>
    <row r="434" ht="15.75" customHeight="1" s="305">
      <c r="A434" s="146" t="inlineStr">
        <is>
          <t>professional.placeholderVersionName</t>
        </is>
      </c>
      <c r="B434" s="146" t="inlineStr">
        <is>
          <t>Nhập tên phiên bản</t>
        </is>
      </c>
      <c r="C434" s="146" t="inlineStr">
        <is>
          <t>Enter version name</t>
        </is>
      </c>
      <c r="D434" s="146" t="inlineStr">
        <is>
          <t>បញ្ចូលឈ្មោះកំណែ</t>
        </is>
      </c>
      <c r="E434" s="3" t="n"/>
      <c r="G434" t="inlineStr">
        <is>
          <t>បញ្ចូលឈ្មោះកំណែ</t>
        </is>
      </c>
      <c r="H434" t="inlineStr">
        <is>
          <t>បញ្ចូលឈ្មោះកំណែ</t>
        </is>
      </c>
      <c r="I434" s="74" t="n"/>
      <c r="J434" s="217" t="inlineStr">
        <is>
          <t>"professional.placeholderVersionName": "Enter version name",</t>
        </is>
      </c>
    </row>
    <row r="435" ht="15.75" customHeight="1" s="305">
      <c r="A435" s="146" t="inlineStr">
        <is>
          <t>professional.plannedDistance</t>
        </is>
      </c>
      <c r="B435" s="146" t="inlineStr">
        <is>
          <t>Kilomet hành trình</t>
        </is>
      </c>
      <c r="C435" s="146" t="inlineStr">
        <is>
          <t>Trip kilometers</t>
        </is>
      </c>
      <c r="D435" s="146" t="inlineStr">
        <is>
          <t>ចម្ងាយគីឡូម៉ែត្រនៃដំណើរ</t>
        </is>
      </c>
      <c r="E435" s="3" t="n"/>
      <c r="G435" t="inlineStr">
        <is>
          <t>ចម្ងាយគីឡូម៉ែត្រនៃដំណើរ</t>
        </is>
      </c>
      <c r="H435" t="inlineStr">
        <is>
          <t>ចម្ងាយគីឡូម៉ែត្រនៃដំណើរ</t>
        </is>
      </c>
      <c r="I435" s="74" t="n"/>
      <c r="J435" s="217" t="inlineStr">
        <is>
          <t>"professional.plannedDistance": "Trip kilometers",</t>
        </is>
      </c>
    </row>
    <row r="436" ht="15.75" customHeight="1" s="305">
      <c r="A436" s="146" t="inlineStr">
        <is>
          <t>professional.capacity</t>
        </is>
      </c>
      <c r="B436" s="146" t="inlineStr">
        <is>
          <t>Trọng tải của xe</t>
        </is>
      </c>
      <c r="C436" s="146" t="inlineStr">
        <is>
          <t>Vehicle load capacity</t>
        </is>
      </c>
      <c r="D436" s="146" t="inlineStr">
        <is>
          <t>ទម្ងន់ផ្ទុករបស់យានយន្ត</t>
        </is>
      </c>
      <c r="E436" s="3" t="n"/>
      <c r="G436" t="inlineStr">
        <is>
          <t>ទម្ងន់ផ្ទុករបស់យានយន្ត</t>
        </is>
      </c>
      <c r="H436" t="inlineStr">
        <is>
          <t>ទម្ងន់ផ្ទុករបស់យានយន្ត</t>
        </is>
      </c>
      <c r="I436" s="74" t="n"/>
      <c r="J436" s="217" t="inlineStr">
        <is>
          <t>"professional.capacity": "Vehicle load capacity",</t>
        </is>
      </c>
    </row>
    <row r="437" ht="15.75" customHeight="1" s="305">
      <c r="A437" s="146" t="inlineStr">
        <is>
          <t>professional.otherServiceCode</t>
        </is>
      </c>
      <c r="B437" s="146" t="inlineStr">
        <is>
          <t>Danh sách dịch vụ cộng thêm</t>
        </is>
      </c>
      <c r="C437" s="146" t="inlineStr">
        <is>
          <t>Additional service code</t>
        </is>
      </c>
      <c r="D437" s="146" t="inlineStr">
        <is>
          <t>កូដសេវាកម្មបន្ថែម</t>
        </is>
      </c>
      <c r="E437" s="3" t="n"/>
      <c r="G437" t="inlineStr">
        <is>
          <t>កូដសេវាកម្មបន្ថែម</t>
        </is>
      </c>
      <c r="H437" t="inlineStr">
        <is>
          <t>កូដសេវាកម្មបន្ថែម</t>
        </is>
      </c>
      <c r="I437" s="74" t="n"/>
      <c r="J437" s="217" t="inlineStr">
        <is>
          <t>"professional.otherServiceCode": "Additional service code",</t>
        </is>
      </c>
    </row>
    <row r="438" ht="15.75" customHeight="1" s="305">
      <c r="A438" s="146" t="inlineStr">
        <is>
          <t>professional.jobTitle</t>
        </is>
      </c>
      <c r="B438" s="146" t="inlineStr">
        <is>
          <t>Mã chức danh</t>
        </is>
      </c>
      <c r="C438" s="146" t="inlineStr">
        <is>
          <t>Job title code</t>
        </is>
      </c>
      <c r="D438" s="146" t="inlineStr">
        <is>
          <t>លេខកូដតំណែង</t>
        </is>
      </c>
      <c r="E438" s="3" t="n"/>
      <c r="G438" t="inlineStr">
        <is>
          <t>លេខកូដតំណែង</t>
        </is>
      </c>
      <c r="H438" t="inlineStr">
        <is>
          <t>លេខកូដតំណែង</t>
        </is>
      </c>
      <c r="I438" s="74" t="n"/>
      <c r="J438" s="217" t="inlineStr">
        <is>
          <t>"professional.jobTitle": "Job title code",</t>
        </is>
      </c>
    </row>
    <row r="439" ht="15.75" customHeight="1" s="305">
      <c r="A439" s="146" t="inlineStr">
        <is>
          <t>professional.dayOff</t>
        </is>
      </c>
      <c r="B439" s="146" t="inlineStr">
        <is>
          <t>Số ngày nghỉ</t>
        </is>
      </c>
      <c r="C439" s="146" t="inlineStr">
        <is>
          <t>Number of days off</t>
        </is>
      </c>
      <c r="D439" s="146" t="inlineStr">
        <is>
          <t>ចំនួនថ្ងៃឈប់សម្រាក</t>
        </is>
      </c>
      <c r="E439" s="3" t="n"/>
      <c r="G439" t="inlineStr">
        <is>
          <t>ចំនួនថ្ងៃឈប់សម្រាក</t>
        </is>
      </c>
      <c r="H439" t="inlineStr">
        <is>
          <t>ចំនួនថ្ងៃឈប់សម្រាក</t>
        </is>
      </c>
      <c r="I439" s="74" t="n"/>
      <c r="J439" s="217" t="inlineStr">
        <is>
          <t>"professional.dayOff": "Number of days off",</t>
        </is>
      </c>
    </row>
    <row r="440" ht="15.75" customHeight="1" s="305">
      <c r="A440" s="146" t="inlineStr">
        <is>
          <t>professional.hay</t>
        </is>
      </c>
      <c r="B440" s="146" t="inlineStr">
        <is>
          <t>HAY</t>
        </is>
      </c>
      <c r="C440" s="146" t="inlineStr">
        <is>
          <t>HAY</t>
        </is>
      </c>
      <c r="D440" s="146" t="inlineStr">
        <is>
          <t>HAY</t>
        </is>
      </c>
      <c r="E440" s="3" t="n"/>
      <c r="G440" t="inlineStr">
        <is>
          <t>HAY</t>
        </is>
      </c>
      <c r="H440" t="inlineStr">
        <is>
          <t>HAY</t>
        </is>
      </c>
      <c r="I440" s="74" t="n"/>
      <c r="J440" s="217" t="inlineStr">
        <is>
          <t>"professional.hay": "HAY",</t>
        </is>
      </c>
    </row>
    <row r="441" ht="15.75" customHeight="1" s="305">
      <c r="A441" s="146" t="inlineStr">
        <is>
          <t>professional.empRcr</t>
        </is>
      </c>
      <c r="B441" s="146" t="inlineStr">
        <is>
          <t>Tỷ lệ hoàn thành doanh thu cá nhân</t>
        </is>
      </c>
      <c r="C441" s="146" t="inlineStr">
        <is>
          <t>Individual revenue completion rate</t>
        </is>
      </c>
      <c r="D441" s="146" t="inlineStr">
        <is>
          <t>អត្រាបំពេញប្រាក់ចំណូលបុគ្គល</t>
        </is>
      </c>
      <c r="E441" s="3" t="n"/>
      <c r="G441" t="inlineStr">
        <is>
          <t>អត្រាបំពេញប្រាក់ចំណូលបុគ្គល</t>
        </is>
      </c>
      <c r="H441" t="inlineStr">
        <is>
          <t>អត្រាបំពេញប្រាក់ចំណូលបុគ្គល</t>
        </is>
      </c>
      <c r="I441" s="74" t="n"/>
      <c r="J441" s="217" t="inlineStr">
        <is>
          <t>"professional.empRcr": "Individual revenue completion rate",</t>
        </is>
      </c>
    </row>
    <row r="442" ht="15.75" customHeight="1" s="305">
      <c r="A442" s="146" t="inlineStr">
        <is>
          <t>professional.firstMonthRev</t>
        </is>
      </c>
      <c r="B442" s="146" t="inlineStr">
        <is>
          <t>Doanh thu tháng phát sinh</t>
        </is>
      </c>
      <c r="C442" s="146" t="inlineStr">
        <is>
          <t>First month revenue</t>
        </is>
      </c>
      <c r="D442" s="146" t="inlineStr">
        <is>
          <t>ប្រាក់ចំណូលខែដំបូង</t>
        </is>
      </c>
      <c r="E442" s="3" t="n"/>
      <c r="G442" t="inlineStr">
        <is>
          <t>ប្រាក់ចំណូលខែដំបូង</t>
        </is>
      </c>
      <c r="H442" t="inlineStr">
        <is>
          <t>ប្រាក់ចំណូលខែដំបូង</t>
        </is>
      </c>
      <c r="I442" s="74" t="n"/>
      <c r="J442" s="217" t="inlineStr">
        <is>
          <t>"professional.firstMonthRev": "First month revenue",</t>
        </is>
      </c>
    </row>
    <row r="443" ht="15.75" customHeight="1" s="305">
      <c r="A443" s="146" t="inlineStr">
        <is>
          <t>professional.monthRev</t>
        </is>
      </c>
      <c r="B443" s="146" t="inlineStr">
        <is>
          <t>Doanh thu tháng hiện tại</t>
        </is>
      </c>
      <c r="C443" s="146" t="inlineStr">
        <is>
          <t>Current month revenue</t>
        </is>
      </c>
      <c r="D443" s="146" t="inlineStr">
        <is>
          <t>ប្រាក់ចំណូលខែបច្ចុប្បន្ន</t>
        </is>
      </c>
      <c r="E443" s="3" t="n"/>
      <c r="G443" t="inlineStr">
        <is>
          <t>ប្រាក់ចំណូលខែបច្ចុប្បន្ន</t>
        </is>
      </c>
      <c r="H443" t="inlineStr">
        <is>
          <t>ប្រាក់ចំណូលខែបច្ចុប្បន្ន</t>
        </is>
      </c>
      <c r="I443" s="74" t="n"/>
      <c r="J443" s="217" t="inlineStr">
        <is>
          <t>"professional.monthRev": "Current month revenue",</t>
        </is>
      </c>
    </row>
    <row r="444" ht="15.75" customHeight="1" s="305">
      <c r="A444" s="146" t="inlineStr">
        <is>
          <t>professional.monthDisc</t>
        </is>
      </c>
      <c r="B444" s="146" t="inlineStr">
        <is>
          <t>Giảm giá tháng hiện tại</t>
        </is>
      </c>
      <c r="C444" s="146" t="inlineStr">
        <is>
          <t>Current month discount</t>
        </is>
      </c>
      <c r="D444" s="146" t="inlineStr">
        <is>
          <t>ការបញ្ចុះតម្លៃខែបច្ចុប្បន្ន</t>
        </is>
      </c>
      <c r="E444" s="3" t="n"/>
      <c r="G444" t="inlineStr">
        <is>
          <t>ការបញ្ចុះតម្លៃខែបច្ចុប្បន្ន</t>
        </is>
      </c>
      <c r="H444" t="inlineStr">
        <is>
          <t>ការបញ្ចុះតម្លៃខែបច្ចុប្បន្ន</t>
        </is>
      </c>
      <c r="I444" s="74" t="n"/>
      <c r="J444" s="217" t="inlineStr">
        <is>
          <t>"professional.monthDisc": "Current month discount",</t>
        </is>
      </c>
    </row>
    <row r="445" ht="15.75" customHeight="1" s="305">
      <c r="A445" s="146" t="inlineStr">
        <is>
          <t>professional.rcr</t>
        </is>
      </c>
      <c r="B445" s="146" t="inlineStr">
        <is>
          <t>Tỷ lệ hoàn thành doanh thu tổng trước thuế</t>
        </is>
      </c>
      <c r="C445" s="146" t="inlineStr">
        <is>
          <t>Total pre-tax revenue completion rate</t>
        </is>
      </c>
      <c r="D445" s="146" t="inlineStr">
        <is>
          <t>អត្រាបំពេញប្រាក់ចំណូលសរុបមុនពន្ធ</t>
        </is>
      </c>
      <c r="E445" s="3" t="n"/>
      <c r="G445" t="inlineStr">
        <is>
          <t>អត្រាបំពេញប្រាក់ចំណូលសរុបមុនពន្ធ</t>
        </is>
      </c>
      <c r="H445" t="inlineStr">
        <is>
          <t>អត្រាបំពេញប្រាក់ចំណូលសរុបមុនពន្ធ</t>
        </is>
      </c>
      <c r="I445" s="74" t="n"/>
      <c r="J445" s="217" t="inlineStr">
        <is>
          <t>"professional.rcr": "Total pre-tax revenue completion rate",</t>
        </is>
      </c>
    </row>
    <row r="446" ht="15.75" customHeight="1" s="305">
      <c r="A446" s="146" t="inlineStr">
        <is>
          <t>professional.zoneRcr</t>
        </is>
      </c>
      <c r="B446" s="146" t="inlineStr">
        <is>
          <t>Tỷ lệ hoàn thành doanh thu trước thuế của vùng</t>
        </is>
      </c>
      <c r="C446" s="146" t="inlineStr">
        <is>
          <t>Zone pre-tax revenue completion rate</t>
        </is>
      </c>
      <c r="D446" s="146" t="inlineStr">
        <is>
          <t>អត្រាបំពេញប្រាក់ចំណូលមុនពន្ធរបស់តំបន់</t>
        </is>
      </c>
      <c r="E446" s="3" t="n"/>
      <c r="G446" t="inlineStr">
        <is>
          <t>អត្រាបំពេញប្រាក់ចំណូលមុនពន្ធរបស់តំបន់</t>
        </is>
      </c>
      <c r="H446" t="inlineStr">
        <is>
          <t>អត្រាបំពេញប្រាក់ចំណូលមុនពន្ធរបស់តំបន់</t>
        </is>
      </c>
      <c r="I446" s="74" t="n"/>
      <c r="J446" s="217" t="inlineStr">
        <is>
          <t>"professional.zoneRcr": "Zone pre-tax revenue completion rate",</t>
        </is>
      </c>
    </row>
    <row r="447" ht="15.75" customHeight="1" s="305">
      <c r="A447" s="146" t="inlineStr">
        <is>
          <t>professional.hubRcr</t>
        </is>
      </c>
      <c r="B447" s="146" t="inlineStr">
        <is>
          <t>Tỷ lệ hoàn thành doanh thu trước thuế của bưu cục</t>
        </is>
      </c>
      <c r="C447" s="146" t="inlineStr">
        <is>
          <t>Post office pre-tax revenue completion rate</t>
        </is>
      </c>
      <c r="D447" s="146" t="inlineStr">
        <is>
          <t>អត្រាបំពេញប្រាក់ចំណូលមុនពន្ធរបស់ការិយាល័យប្រៃសណីយ៍</t>
        </is>
      </c>
      <c r="E447" s="3" t="n"/>
      <c r="G447" t="inlineStr">
        <is>
          <t>អត្រាបំពេញប្រាក់ចំណូលមុនពន្ធរបស់ការិយាល័យប្រៃសណីយ៍</t>
        </is>
      </c>
      <c r="H447" t="inlineStr">
        <is>
          <t>អត្រាបំពេញប្រាក់ចំណូលមុនពន្ធរបស់ការិយាល័យប្រៃសណីយ៍</t>
        </is>
      </c>
      <c r="I447" s="74" t="n"/>
      <c r="J447" s="217" t="inlineStr">
        <is>
          <t>"professional.hubRcr": "Post office pre-tax revenue completion rate",</t>
        </is>
      </c>
    </row>
    <row r="448" ht="15.75" customHeight="1" s="305">
      <c r="A448" s="146" t="inlineStr">
        <is>
          <t>validation.required</t>
        </is>
      </c>
      <c r="B448" s="146" t="inlineStr">
        <is>
          <t>Trường này là bắt buộc</t>
        </is>
      </c>
      <c r="C448" s="146" t="inlineStr">
        <is>
          <t>This field is required</t>
        </is>
      </c>
      <c r="D448" s="146" t="inlineStr">
        <is>
          <t>វាលនេះគឺត្រូវការ</t>
        </is>
      </c>
      <c r="E448" s="3" t="n"/>
      <c r="G448" t="inlineStr">
        <is>
          <t>វាលនេះគឺត្រូវការ</t>
        </is>
      </c>
      <c r="H448" t="inlineStr">
        <is>
          <t>វាលនេះគឺត្រូវការ</t>
        </is>
      </c>
      <c r="I448" s="74" t="n"/>
      <c r="J448" s="217" t="inlineStr">
        <is>
          <t>"validation.required": "This field is required",</t>
        </is>
      </c>
    </row>
    <row r="449" ht="15.75" customHeight="1" s="305">
      <c r="A449" s="146" t="inlineStr">
        <is>
          <t>validation.missingVersionData</t>
        </is>
      </c>
      <c r="B449" s="146" t="inlineStr">
        <is>
          <t>Thiếu thông tin phiên bản hoặc quy tắc</t>
        </is>
      </c>
      <c r="C449" s="146" t="inlineStr">
        <is>
          <t>Missing version information or rule</t>
        </is>
      </c>
      <c r="D449" s="146" t="inlineStr">
        <is>
          <t>ខ្វះព័ត៌មានកំណែ ឬ ច្បាប់</t>
        </is>
      </c>
      <c r="E449" s="3" t="n"/>
      <c r="G449" t="inlineStr">
        <is>
          <t>ខ្វះព័ត៌មានកំណែ ឬ ច្បាប់</t>
        </is>
      </c>
      <c r="H449" t="inlineStr">
        <is>
          <t>ខ្វះព័ត៌មានកំណែ ឬ ច្បាប់</t>
        </is>
      </c>
      <c r="I449" s="74" t="n"/>
      <c r="J449" s="217" t="inlineStr">
        <is>
          <t>"validation.missingVersionData": "Missing version information or rule",</t>
        </is>
      </c>
    </row>
    <row r="450" ht="15.75" customHeight="1" s="305">
      <c r="A450" s="146" t="inlineStr">
        <is>
          <t>validation.versionCodeRequired</t>
        </is>
      </c>
      <c r="B450" s="146" t="inlineStr">
        <is>
          <t>Mã phiên bản là bắt buộc</t>
        </is>
      </c>
      <c r="C450" s="146" t="inlineStr">
        <is>
          <t>Version code is required</t>
        </is>
      </c>
      <c r="D450" s="146" t="inlineStr">
        <is>
          <t>លេខកូដកំណែគឺត្រូវការ</t>
        </is>
      </c>
      <c r="E450" s="3" t="n"/>
      <c r="G450" t="inlineStr">
        <is>
          <t>លេខកូដកំណែគឺត្រូវការ</t>
        </is>
      </c>
      <c r="H450" t="inlineStr">
        <is>
          <t>លេខកូដកំណែគឺត្រូវការ</t>
        </is>
      </c>
      <c r="I450" s="74" t="n"/>
      <c r="J450" s="217" t="inlineStr">
        <is>
          <t>"validation.versionCodeRequired": "Version code is required",</t>
        </is>
      </c>
    </row>
    <row r="451" ht="15.75" customHeight="1" s="305">
      <c r="A451" s="146" t="inlineStr">
        <is>
          <t>validation.versionCodeInvalidFormat</t>
        </is>
      </c>
      <c r="B451" s="146" t="inlineStr">
        <is>
          <t>Mã phiên bản chỉ được chứa chữ in hoa, số và ký tự gạch dưới (_)</t>
        </is>
      </c>
      <c r="C451" s="146" t="inlineStr">
        <is>
          <t>Version code can only contain uppercase letters, numbers, and underscores (_)</t>
        </is>
      </c>
      <c r="D451" s="146" t="inlineStr">
        <is>
          <t>លេខកូដកំណែអាចមានតែអក្សរធំ លេខ និងសញ្ញាគូសក្រោម (_)</t>
        </is>
      </c>
      <c r="E451" s="3" t="n"/>
      <c r="G451" t="inlineStr">
        <is>
          <t>លេខកូដកំណែអាចមានតែអក្សរធំ លេខ និងសញ្ញាគូសក្រោម (_)</t>
        </is>
      </c>
      <c r="H451" t="inlineStr">
        <is>
          <t>លេខកូដកំណែអាចមានតែអក្សរធំ លេខ និងសញ្ញាគូសក្រោម (_)</t>
        </is>
      </c>
      <c r="I451" s="74" t="n"/>
      <c r="J451" s="217" t="inlineStr">
        <is>
          <t>"validation.versionCodeInvalidFormat": "Version code can only contain uppercase letters, numbers, and underscores (_)",</t>
        </is>
      </c>
    </row>
    <row r="452" ht="15.75" customHeight="1" s="305">
      <c r="A452" s="146" t="inlineStr">
        <is>
          <t>validation.startDateRequired</t>
        </is>
      </c>
      <c r="B452" s="146" t="inlineStr">
        <is>
          <t>Ngày bắt đầu là bắt buộc</t>
        </is>
      </c>
      <c r="C452" s="146" t="inlineStr">
        <is>
          <t>Start date is required</t>
        </is>
      </c>
      <c r="D452" s="146" t="inlineStr">
        <is>
          <t>ថ្ងៃចាប់ផ្តើមគឺត្រូវការ</t>
        </is>
      </c>
      <c r="E452" s="3" t="n"/>
      <c r="G452" t="inlineStr">
        <is>
          <t>ថ្ងៃចាប់ផ្តើមគឺត្រូវការ</t>
        </is>
      </c>
      <c r="H452" t="inlineStr">
        <is>
          <t>ថ្ងៃចាប់ផ្តើមគឺត្រូវការ</t>
        </is>
      </c>
      <c r="I452" s="74" t="n"/>
      <c r="J452" s="217" t="inlineStr">
        <is>
          <t>"validation.startDateRequired": "Start date is required",</t>
        </is>
      </c>
    </row>
    <row r="453" ht="15.75" customHeight="1" s="305">
      <c r="A453" s="146" t="inlineStr">
        <is>
          <t>validation.endDateRequired</t>
        </is>
      </c>
      <c r="B453" s="146" t="inlineStr">
        <is>
          <t>Ngày kết thúc là bắt buộc</t>
        </is>
      </c>
      <c r="C453" s="146" t="inlineStr">
        <is>
          <t>End date is required</t>
        </is>
      </c>
      <c r="D453" s="146" t="inlineStr">
        <is>
          <t>ថ្ងៃបញ្ចប់គឺត្រូវការ</t>
        </is>
      </c>
      <c r="E453" s="3" t="n"/>
      <c r="G453" t="inlineStr">
        <is>
          <t>ថ្ងៃបញ្ចប់គឺត្រូវការ</t>
        </is>
      </c>
      <c r="H453" t="inlineStr">
        <is>
          <t>ថ្ងៃបញ្ចប់គឺត្រូវការ</t>
        </is>
      </c>
      <c r="I453" s="74" t="n"/>
      <c r="J453" s="217" t="inlineStr">
        <is>
          <t>"validation.endDateRequired": "End date is required",</t>
        </is>
      </c>
    </row>
    <row r="454" ht="15.75" customHeight="1" s="305">
      <c r="A454" s="146" t="inlineStr">
        <is>
          <t>validation.ruleContentRequired</t>
        </is>
      </c>
      <c r="B454" s="146" t="inlineStr">
        <is>
          <t>Nội dung quy tắc là bắt buộc</t>
        </is>
      </c>
      <c r="C454" s="146" t="inlineStr">
        <is>
          <t>Rule content is required</t>
        </is>
      </c>
      <c r="D454" s="146" t="inlineStr">
        <is>
          <t>មាតិកាច្បាប់គឺត្រូវការ</t>
        </is>
      </c>
      <c r="E454" s="3" t="n"/>
      <c r="G454" t="inlineStr">
        <is>
          <t>មាតិកាច្បាប់គឺត្រូវការ</t>
        </is>
      </c>
      <c r="H454" t="inlineStr">
        <is>
          <t>មាតិកាច្បាប់គឺត្រូវការ</t>
        </is>
      </c>
      <c r="I454" s="74" t="n"/>
      <c r="J454" s="217" t="inlineStr">
        <is>
          <t>"validation.ruleContentRequired": "Rule content is required",</t>
        </is>
      </c>
    </row>
    <row r="455" ht="15.75" customHeight="1" s="305">
      <c r="A455" s="146" t="inlineStr">
        <is>
          <t>validation.fileRequired</t>
        </is>
      </c>
      <c r="B455" s="146" t="inlineStr">
        <is>
          <t>File là bắt buộc</t>
        </is>
      </c>
      <c r="C455" s="146" t="inlineStr">
        <is>
          <t>File is required</t>
        </is>
      </c>
      <c r="D455" s="146" t="inlineStr">
        <is>
          <t>ឯកសារគឺត្រូវការ</t>
        </is>
      </c>
      <c r="E455" s="159" t="n"/>
      <c r="G455" t="inlineStr">
        <is>
          <t>ឯកសារគឺត្រូវការ</t>
        </is>
      </c>
      <c r="H455" t="inlineStr">
        <is>
          <t>ឯកសារគឺត្រូវការ</t>
        </is>
      </c>
      <c r="I455" s="74" t="n"/>
      <c r="J455" s="217" t="inlineStr">
        <is>
          <t>"validation.fileRequired": "File is required",</t>
        </is>
      </c>
    </row>
    <row r="456" ht="15.75" customHeight="1" s="305">
      <c r="A456" s="146" t="inlineStr">
        <is>
          <t>validation.fileSizeExceeded</t>
        </is>
      </c>
      <c r="B456" s="146" t="inlineStr">
        <is>
          <t>Kích thước file không được vượt quá 10 MB</t>
        </is>
      </c>
      <c r="C456" s="146" t="inlineStr">
        <is>
          <t>File size must not exceed 10 MB</t>
        </is>
      </c>
      <c r="D456" s="146" t="inlineStr">
        <is>
          <t>ទំហំឯកសារមិនត្រូវលើសពី 10 MB</t>
        </is>
      </c>
      <c r="E456" s="3" t="n"/>
      <c r="G456" t="inlineStr">
        <is>
          <t>ទំហំឯកសារមិនត្រូវលើសពី 10 MB</t>
        </is>
      </c>
      <c r="H456" t="inlineStr">
        <is>
          <t>ទំហំឯកសារមិនត្រូវលើសពី 10 MB</t>
        </is>
      </c>
      <c r="I456" s="74" t="n"/>
      <c r="J456" s="217" t="inlineStr">
        <is>
          <t>"validation.fileSizeExceeded": "File size must not exceed 10 MB",</t>
        </is>
      </c>
    </row>
    <row r="457" ht="15.75" customHeight="1" s="305">
      <c r="A457" s="146" t="inlineStr">
        <is>
          <t>validation.fileInvalidFormat</t>
        </is>
      </c>
      <c r="B457" s="146" t="inlineStr">
        <is>
          <t>Chỉ chấp nhận file .xls hoặc .xlsx</t>
        </is>
      </c>
      <c r="C457" s="146" t="inlineStr">
        <is>
          <t>Only .xls or .xlsx files are accepted</t>
        </is>
      </c>
      <c r="D457" s="146" t="inlineStr">
        <is>
          <t>ទទួលយកតែឯកសារ .xls ឬ .xlsx</t>
        </is>
      </c>
      <c r="E457" s="3" t="n"/>
      <c r="G457" t="inlineStr">
        <is>
          <t>ទទួលយកតែឯកសារ .xls ឬ .xlsx</t>
        </is>
      </c>
      <c r="H457" t="inlineStr">
        <is>
          <t>ទទួលយកតែឯកសារ .xls ឬ .xlsx</t>
        </is>
      </c>
      <c r="I457" s="74" t="n"/>
      <c r="J457" s="217" t="inlineStr">
        <is>
          <t>"validation.fileInvalidFormat": "Only .xls or .xlsx files are accepted",</t>
        </is>
      </c>
    </row>
    <row r="458" ht="15.75" customHeight="1" s="305">
      <c r="A458" s="146" t="inlineStr">
        <is>
          <t>validation.passwordMinLength</t>
        </is>
      </c>
      <c r="B458" s="146" t="inlineStr">
        <is>
          <t>Mật khẩu phải có ít nhất 6 ký tự</t>
        </is>
      </c>
      <c r="C458" s="146" t="inlineStr">
        <is>
          <t>Password must be at least 6 characters</t>
        </is>
      </c>
      <c r="D458" s="146" t="inlineStr">
        <is>
          <t>ពាក្យសម្ងាត់ត្រូវមានយ៉ាងតិច 6 តួអក្សរ</t>
        </is>
      </c>
      <c r="E458" s="3" t="n"/>
      <c r="G458" t="inlineStr">
        <is>
          <t>ពាក្យសម្ងាត់ត្រូវមានយ៉ាងតិច 6 តួអក្សរ</t>
        </is>
      </c>
      <c r="H458" t="inlineStr">
        <is>
          <t>ពាក្យសម្ងាត់ត្រូវមានយ៉ាងតិច 6 តួអក្សរ</t>
        </is>
      </c>
      <c r="I458" s="74" t="n"/>
      <c r="J458" s="217" t="inlineStr">
        <is>
          <t>"validation.passwordMinLength": "Password must be at least 6 characters",</t>
        </is>
      </c>
    </row>
    <row r="459" ht="15.75" customHeight="1" s="305">
      <c r="A459" s="146" t="inlineStr">
        <is>
          <t>validation.dateRequired</t>
        </is>
      </c>
      <c r="B459" s="146" t="inlineStr">
        <is>
          <t>Thời gian áp dụng là bắt buộc</t>
        </is>
      </c>
      <c r="C459" s="146" t="inlineStr">
        <is>
          <t>Application time is required</t>
        </is>
      </c>
      <c r="D459" s="146" t="inlineStr">
        <is>
          <t>ថ្ងៃមានប្រសិទ្ធភាពគឺត្រូវការ</t>
        </is>
      </c>
      <c r="E459" s="3" t="n"/>
      <c r="G459" t="inlineStr">
        <is>
          <t>ថ្ងៃមានប្រសិទ្ធភាពគឺត្រូវការ</t>
        </is>
      </c>
      <c r="H459" t="inlineStr">
        <is>
          <t>ថ្ងៃមានប្រសិទ្ធភាពគឺត្រូវការ</t>
        </is>
      </c>
      <c r="I459" s="74" t="n"/>
      <c r="J459" s="217" t="inlineStr">
        <is>
          <t>"validation.dateRequired": "Application time is required",</t>
        </is>
      </c>
    </row>
    <row r="460" ht="15.75" customHeight="1" s="305">
      <c r="A460" s="146" t="inlineStr">
        <is>
          <t>validation.startDateMustBeInFuture</t>
        </is>
      </c>
      <c r="B460" s="146" t="inlineStr">
        <is>
          <t>Thời gian bắt đầu phải lớn hơn thời gian hiện tại</t>
        </is>
      </c>
      <c r="C460" s="146" t="inlineStr">
        <is>
          <t>Start time must be greater than current time</t>
        </is>
      </c>
      <c r="D460" s="146" t="inlineStr">
        <is>
          <t>ពេលវេលាចាប់ផ្តើមត្រូវតែធំជាងពេលវេលាបច្ចុប្បន្ន</t>
        </is>
      </c>
      <c r="E460" s="3" t="n"/>
      <c r="G460" t="inlineStr">
        <is>
          <t>ពេលវេលាចាប់ផ្តើមត្រូវតែធំជាងពេលវេលាបច្ចុប្បន្ន</t>
        </is>
      </c>
      <c r="H460" t="inlineStr">
        <is>
          <t>ពេលវេលាចាប់ផ្តើមត្រូវតែធំជាងពេលវេលាបច្ចុប្បន្ន</t>
        </is>
      </c>
      <c r="I460" s="74" t="n"/>
      <c r="J460" s="217" t="inlineStr">
        <is>
          <t>"validation.startDateMustBeInFuture": "Start time must be greater than current time",</t>
        </is>
      </c>
    </row>
    <row r="461" ht="15.75" customHeight="1" s="305">
      <c r="A461" s="146" t="inlineStr">
        <is>
          <t>validation.endDateMustBeGreaterThanStartDate</t>
        </is>
      </c>
      <c r="B461" s="146" t="inlineStr">
        <is>
          <t>Thời gian kết thúc phải lớn hơn thời gian bắt đầu</t>
        </is>
      </c>
      <c r="C461" s="146" t="inlineStr">
        <is>
          <t>End time must be greater than start time</t>
        </is>
      </c>
      <c r="D461" s="146" t="inlineStr">
        <is>
          <t>ពេលវេលាបញ្ចប់ត្រូវតែធំជាងពេលវេលាចាប់ផ្តើម</t>
        </is>
      </c>
      <c r="E461" s="3" t="n"/>
      <c r="G461" t="inlineStr">
        <is>
          <t>ពេលវេលាបញ្ចប់ត្រូវតែធំជាងពេលវេលាចាប់ផ្តើម</t>
        </is>
      </c>
      <c r="H461" t="inlineStr">
        <is>
          <t>ពេលវេលាបញ្ចប់ត្រូវតែធំជាងពេលវេលាចាប់ផ្តើម</t>
        </is>
      </c>
      <c r="I461" s="74" t="n"/>
      <c r="J461" s="217" t="inlineStr">
        <is>
          <t>"validation.endDateMustBeGreaterThanStartDate": "End time must be greater than start time",</t>
        </is>
      </c>
    </row>
    <row r="462" ht="15.75" customHeight="1" s="305">
      <c r="A462" s="146" t="inlineStr">
        <is>
          <t>validation.endDateMustBeInFuture</t>
        </is>
      </c>
      <c r="B462" s="146" t="inlineStr">
        <is>
          <t>Thời gian kết thúc phải lớn hơn thời gian hiện tại</t>
        </is>
      </c>
      <c r="C462" s="146" t="inlineStr">
        <is>
          <t>End time must be greater than current time</t>
        </is>
      </c>
      <c r="D462" s="146" t="inlineStr">
        <is>
          <t>ពេលវេលាបញ្ចប់ត្រូវតែធំជាងពេលវេលាបច្ចុប្បន្ន</t>
        </is>
      </c>
      <c r="E462" s="3" t="n"/>
      <c r="G462" t="inlineStr">
        <is>
          <t>ពេលវេលាបញ្ចប់ត្រូវតែធំជាងពេលវេលាបច្ចុប្បន្ន</t>
        </is>
      </c>
      <c r="H462" t="inlineStr">
        <is>
          <t>ពេលវេលាបញ្ចប់ត្រូវតែធំជាងពេលវេលាបច្ចុប្បន្ន</t>
        </is>
      </c>
      <c r="I462" s="74" t="n"/>
      <c r="J462" s="217" t="inlineStr">
        <is>
          <t>"validation.endDateMustBeInFuture": "End time must be greater than current time",</t>
        </is>
      </c>
    </row>
    <row r="463" ht="15.75" customHeight="1" s="305">
      <c r="A463" s="146" t="inlineStr">
        <is>
          <t>status.draft</t>
        </is>
      </c>
      <c r="B463" s="146" t="inlineStr">
        <is>
          <t>Soạn thảo</t>
        </is>
      </c>
      <c r="C463" s="146" t="inlineStr">
        <is>
          <t>Draft</t>
        </is>
      </c>
      <c r="D463" s="146" t="inlineStr">
        <is>
          <t>ព្រាង</t>
        </is>
      </c>
      <c r="E463" s="3" t="n"/>
      <c r="G463" t="inlineStr">
        <is>
          <t>ព្រាង</t>
        </is>
      </c>
      <c r="H463" t="inlineStr">
        <is>
          <t>ព្រាង</t>
        </is>
      </c>
      <c r="I463" s="74" t="n"/>
      <c r="J463" s="217" t="inlineStr">
        <is>
          <t>"status.draft": "Draft",</t>
        </is>
      </c>
    </row>
    <row r="464" ht="15.75" customHeight="1" s="305">
      <c r="A464" s="146" t="inlineStr">
        <is>
          <t>status.pendingApproval</t>
        </is>
      </c>
      <c r="B464" s="146" t="inlineStr">
        <is>
          <t>Chờ duyệt</t>
        </is>
      </c>
      <c r="C464" s="146" t="inlineStr">
        <is>
          <t>Pending Approval</t>
        </is>
      </c>
      <c r="D464" s="146" t="inlineStr">
        <is>
          <t>រង់ចាំអនុម័ត</t>
        </is>
      </c>
      <c r="E464" s="3" t="n"/>
      <c r="G464" t="inlineStr">
        <is>
          <t>រង់ចាំអនុម័ត</t>
        </is>
      </c>
      <c r="H464" t="inlineStr">
        <is>
          <t>រង់ចាំអនុម័ត</t>
        </is>
      </c>
      <c r="I464" s="74" t="n"/>
      <c r="J464" s="217" t="inlineStr">
        <is>
          <t>"status.pendingApproval": "Pending Approval",</t>
        </is>
      </c>
    </row>
    <row r="465" ht="15.75" customHeight="1" s="305">
      <c r="A465" s="146" t="inlineStr">
        <is>
          <t>status.rejected</t>
        </is>
      </c>
      <c r="B465" s="146" t="inlineStr">
        <is>
          <t>Đã từ chối</t>
        </is>
      </c>
      <c r="C465" s="146" t="inlineStr">
        <is>
          <t>Rejected</t>
        </is>
      </c>
      <c r="D465" s="146" t="inlineStr">
        <is>
          <t>បដិសេធ</t>
        </is>
      </c>
      <c r="E465" s="3" t="n"/>
      <c r="G465" t="inlineStr">
        <is>
          <t>បដិសេធ</t>
        </is>
      </c>
      <c r="H465" t="inlineStr">
        <is>
          <t>បដិសេធ</t>
        </is>
      </c>
      <c r="I465" s="74" t="n"/>
      <c r="J465" s="217" t="inlineStr">
        <is>
          <t>"status.rejected": "Rejected",</t>
        </is>
      </c>
    </row>
    <row r="466" ht="15.75" customHeight="1" s="305">
      <c r="A466" s="146" t="inlineStr">
        <is>
          <t>status.scheduled</t>
        </is>
      </c>
      <c r="B466" s="146" t="inlineStr">
        <is>
          <t>Đã lên lịch</t>
        </is>
      </c>
      <c r="C466" s="146" t="inlineStr">
        <is>
          <t>Scheduled</t>
        </is>
      </c>
      <c r="D466" s="146" t="inlineStr">
        <is>
          <t>បានកំណត់ពេល</t>
        </is>
      </c>
      <c r="E466" s="3" t="n"/>
      <c r="G466" t="inlineStr">
        <is>
          <t>បានកំណត់ពេល</t>
        </is>
      </c>
      <c r="H466" t="inlineStr">
        <is>
          <t>បានកំណត់ពេល</t>
        </is>
      </c>
      <c r="I466" s="74" t="n"/>
      <c r="J466" s="217" t="inlineStr">
        <is>
          <t>"status.scheduled": "Scheduled",</t>
        </is>
      </c>
    </row>
    <row r="467" ht="15.75" customHeight="1" s="305">
      <c r="A467" s="146" t="inlineStr">
        <is>
          <t>status.active</t>
        </is>
      </c>
      <c r="B467" s="146" t="inlineStr">
        <is>
          <t>Hiện hành</t>
        </is>
      </c>
      <c r="C467" s="146" t="inlineStr">
        <is>
          <t>Active</t>
        </is>
      </c>
      <c r="D467" s="146" t="inlineStr">
        <is>
          <t>កំពុងប្រើ</t>
        </is>
      </c>
      <c r="E467" s="3" t="n"/>
      <c r="G467" t="inlineStr">
        <is>
          <t>កំពុងប្រើ</t>
        </is>
      </c>
      <c r="H467" t="inlineStr">
        <is>
          <t>កំពុងប្រើ</t>
        </is>
      </c>
      <c r="I467" s="74" t="n"/>
      <c r="J467" s="217" t="inlineStr">
        <is>
          <t>"status.active": "Active",</t>
        </is>
      </c>
    </row>
    <row r="468" ht="15.75" customHeight="1" s="305">
      <c r="A468" s="146" t="inlineStr">
        <is>
          <t>status.stopped</t>
        </is>
      </c>
      <c r="B468" s="146" t="inlineStr">
        <is>
          <t>Đã dừng</t>
        </is>
      </c>
      <c r="C468" s="146" t="inlineStr">
        <is>
          <t>Stopped</t>
        </is>
      </c>
      <c r="D468" s="146" t="inlineStr">
        <is>
          <t>បានបញ្ឈប់</t>
        </is>
      </c>
      <c r="E468" s="3" t="n"/>
      <c r="G468" t="inlineStr">
        <is>
          <t>បានបញ្ឈប់</t>
        </is>
      </c>
      <c r="H468" t="inlineStr">
        <is>
          <t>បានបញ្ឈប់</t>
        </is>
      </c>
      <c r="I468" s="74" t="n"/>
      <c r="J468" s="217" t="inlineStr">
        <is>
          <t>"status.stopped": "Stopped",</t>
        </is>
      </c>
    </row>
    <row r="469" ht="15.75" customHeight="1" s="305">
      <c r="A469" s="67" t="n"/>
      <c r="B469" s="67" t="n"/>
      <c r="C469" s="67" t="n"/>
      <c r="D469" s="3" t="n"/>
      <c r="E469" s="3" t="n"/>
      <c r="G469" t="inlineStr"/>
      <c r="H469" t="inlineStr"/>
      <c r="I469" s="74" t="n"/>
      <c r="J469" s="217" t="inlineStr"/>
    </row>
    <row r="470" ht="15.75" customHeight="1" s="305">
      <c r="A470" s="67" t="n"/>
      <c r="B470" s="67" t="n"/>
      <c r="C470" s="67" t="n"/>
      <c r="D470" s="3" t="n"/>
      <c r="E470" s="3" t="n"/>
      <c r="G470" t="inlineStr"/>
      <c r="H470" t="inlineStr"/>
      <c r="I470" s="74" t="n"/>
      <c r="J470" s="217" t="inlineStr"/>
    </row>
    <row r="471" ht="15.75" customHeight="1" s="305">
      <c r="A471" s="67" t="n"/>
      <c r="B471" s="67" t="n"/>
      <c r="C471" s="67" t="n"/>
      <c r="D471" s="3" t="n"/>
      <c r="E471" s="3" t="n"/>
      <c r="G471" t="inlineStr"/>
      <c r="H471" t="inlineStr"/>
      <c r="I471" s="74" t="n"/>
      <c r="J471" s="217" t="inlineStr"/>
    </row>
    <row r="472" ht="15.75" customHeight="1" s="305">
      <c r="A472" s="67" t="n"/>
      <c r="B472" s="67" t="n"/>
      <c r="C472" s="67" t="n"/>
      <c r="D472" s="3" t="n"/>
      <c r="E472" s="3" t="n"/>
      <c r="G472" t="inlineStr"/>
      <c r="H472" t="inlineStr"/>
      <c r="I472" s="74" t="n"/>
      <c r="J472" s="217" t="inlineStr"/>
    </row>
    <row r="473" ht="15.75" customHeight="1" s="305">
      <c r="A473" s="67" t="n"/>
      <c r="B473" s="67" t="n"/>
      <c r="C473" s="67" t="n"/>
      <c r="D473" s="3" t="n"/>
      <c r="E473" s="3" t="n"/>
      <c r="G473" t="inlineStr"/>
      <c r="H473" t="inlineStr"/>
      <c r="I473" s="74" t="n"/>
      <c r="J473" s="217" t="inlineStr"/>
    </row>
    <row r="474" ht="15.75" customHeight="1" s="305">
      <c r="A474" s="67" t="n"/>
      <c r="B474" s="67" t="n"/>
      <c r="C474" s="67" t="n"/>
      <c r="D474" s="3" t="n"/>
      <c r="E474" s="3" t="n"/>
      <c r="G474" t="inlineStr"/>
      <c r="H474" t="inlineStr"/>
      <c r="I474" s="74" t="n"/>
      <c r="J474" s="217" t="inlineStr"/>
    </row>
    <row r="475" ht="15.75" customHeight="1" s="305">
      <c r="A475" s="67" t="n"/>
      <c r="B475" s="67" t="n"/>
      <c r="C475" s="67" t="n"/>
      <c r="D475" s="3" t="n"/>
      <c r="E475" s="3" t="n"/>
      <c r="G475" t="inlineStr"/>
      <c r="H475" t="inlineStr"/>
      <c r="I475" s="74" t="n"/>
      <c r="J475" s="217" t="inlineStr"/>
    </row>
    <row r="476" ht="15.75" customHeight="1" s="305">
      <c r="A476" s="67" t="n"/>
      <c r="B476" s="67" t="n"/>
      <c r="C476" s="67" t="n"/>
      <c r="D476" s="3" t="n"/>
      <c r="E476" s="3" t="n"/>
      <c r="G476" t="inlineStr"/>
      <c r="H476" t="inlineStr"/>
      <c r="I476" s="74" t="n"/>
      <c r="J476" s="217" t="inlineStr"/>
    </row>
    <row r="477" ht="15.75" customHeight="1" s="305">
      <c r="A477" s="67" t="n"/>
      <c r="B477" s="67" t="n"/>
      <c r="C477" s="67" t="n"/>
      <c r="D477" s="3" t="n"/>
      <c r="E477" s="3" t="n"/>
      <c r="G477" t="inlineStr"/>
      <c r="H477" t="inlineStr"/>
      <c r="I477" s="74" t="n"/>
      <c r="J477" s="217" t="inlineStr"/>
    </row>
    <row r="478" ht="15.75" customHeight="1" s="305">
      <c r="A478" s="67" t="n"/>
      <c r="B478" s="67" t="n"/>
      <c r="C478" s="67" t="n"/>
      <c r="D478" s="3" t="n"/>
      <c r="E478" s="3" t="n"/>
      <c r="G478" t="inlineStr"/>
      <c r="H478" t="inlineStr"/>
      <c r="I478" s="74" t="n"/>
      <c r="J478" s="217" t="inlineStr"/>
    </row>
    <row r="479" ht="15.75" customHeight="1" s="305">
      <c r="A479" s="67" t="n"/>
      <c r="B479" s="67" t="n"/>
      <c r="C479" s="67" t="n"/>
      <c r="D479" s="3" t="n"/>
      <c r="E479" s="3" t="n"/>
      <c r="G479" t="inlineStr"/>
      <c r="H479" t="inlineStr"/>
      <c r="I479" s="74" t="n"/>
      <c r="J479" s="217" t="inlineStr"/>
    </row>
    <row r="480" ht="15.75" customHeight="1" s="305">
      <c r="A480" s="67" t="n"/>
      <c r="B480" s="67" t="n"/>
      <c r="C480" s="67" t="n"/>
      <c r="D480" s="3" t="n"/>
      <c r="E480" s="3" t="n"/>
      <c r="G480" t="inlineStr"/>
      <c r="H480" t="inlineStr"/>
      <c r="I480" s="74" t="n"/>
      <c r="J480" s="217" t="inlineStr"/>
    </row>
    <row r="481" ht="15.75" customHeight="1" s="305">
      <c r="A481" s="67" t="n"/>
      <c r="B481" s="67" t="n"/>
      <c r="C481" s="67" t="n"/>
      <c r="D481" s="3" t="n"/>
      <c r="E481" s="3" t="n"/>
      <c r="G481" t="inlineStr"/>
      <c r="H481" t="inlineStr"/>
      <c r="I481" s="74" t="n"/>
      <c r="J481" s="217" t="inlineStr"/>
    </row>
    <row r="482" ht="15.75" customHeight="1" s="305">
      <c r="A482" s="67" t="n"/>
      <c r="B482" s="67" t="n"/>
      <c r="C482" s="67" t="n"/>
      <c r="D482" s="3" t="n"/>
      <c r="E482" s="3" t="n"/>
      <c r="G482" t="inlineStr"/>
      <c r="H482" t="inlineStr"/>
      <c r="I482" s="74" t="n"/>
      <c r="J482" s="217" t="inlineStr"/>
    </row>
    <row r="483" ht="15.75" customHeight="1" s="305">
      <c r="A483" s="67" t="n"/>
      <c r="B483" s="67" t="n"/>
      <c r="C483" s="67" t="n"/>
      <c r="D483" s="3" t="n"/>
      <c r="E483" s="3" t="n"/>
      <c r="G483" t="inlineStr"/>
      <c r="H483" t="inlineStr"/>
      <c r="I483" s="74" t="n"/>
      <c r="J483" s="217" t="inlineStr"/>
    </row>
    <row r="484" ht="15.75" customHeight="1" s="305">
      <c r="A484" s="67" t="n"/>
      <c r="B484" s="67" t="n"/>
      <c r="C484" s="67" t="n"/>
      <c r="D484" s="3" t="n"/>
      <c r="E484" s="3" t="n"/>
      <c r="G484" t="inlineStr"/>
      <c r="H484" t="inlineStr"/>
      <c r="I484" s="74" t="n"/>
      <c r="J484" s="217" t="inlineStr"/>
    </row>
    <row r="485" ht="15.75" customHeight="1" s="305">
      <c r="A485" s="67" t="n"/>
      <c r="B485" s="67" t="n"/>
      <c r="C485" s="67" t="n"/>
      <c r="D485" s="3" t="n"/>
      <c r="E485" s="3" t="n"/>
      <c r="G485" t="inlineStr"/>
      <c r="H485" t="inlineStr"/>
      <c r="I485" s="74" t="n"/>
      <c r="J485" s="217" t="inlineStr"/>
    </row>
    <row r="486" ht="15.75" customHeight="1" s="305">
      <c r="A486" s="67" t="n"/>
      <c r="B486" s="67" t="n"/>
      <c r="C486" s="67" t="n"/>
      <c r="D486" s="3" t="n"/>
      <c r="E486" s="3" t="n"/>
      <c r="G486" t="inlineStr"/>
      <c r="H486" t="inlineStr"/>
      <c r="I486" s="74" t="n"/>
      <c r="J486" s="217" t="inlineStr"/>
    </row>
    <row r="487" ht="15.75" customHeight="1" s="305">
      <c r="A487" s="67" t="n"/>
      <c r="B487" s="67" t="n"/>
      <c r="C487" s="67" t="n"/>
      <c r="D487" s="3" t="n"/>
      <c r="E487" s="3" t="n"/>
      <c r="G487" t="inlineStr"/>
      <c r="H487" t="inlineStr"/>
      <c r="I487" s="74" t="n"/>
      <c r="J487" s="217" t="inlineStr"/>
    </row>
    <row r="488" ht="15.75" customHeight="1" s="305">
      <c r="A488" s="67" t="n"/>
      <c r="B488" s="67" t="n"/>
      <c r="C488" s="67" t="n"/>
      <c r="D488" s="3" t="n"/>
      <c r="E488" s="3" t="n"/>
      <c r="G488" t="inlineStr"/>
      <c r="H488" t="inlineStr"/>
      <c r="I488" s="74" t="n"/>
      <c r="J488" s="217" t="inlineStr"/>
    </row>
    <row r="489" ht="15.75" customHeight="1" s="305">
      <c r="A489" s="67" t="n"/>
      <c r="B489" s="67" t="n"/>
      <c r="C489" s="67" t="n"/>
      <c r="D489" s="3" t="n"/>
      <c r="E489" s="3" t="n"/>
      <c r="G489" t="inlineStr"/>
      <c r="H489" t="inlineStr"/>
      <c r="I489" s="74" t="n"/>
      <c r="J489" s="217" t="inlineStr"/>
    </row>
    <row r="490" ht="15.75" customHeight="1" s="305">
      <c r="A490" s="67" t="n"/>
      <c r="B490" s="67" t="n"/>
      <c r="C490" s="67" t="n"/>
      <c r="D490" s="3" t="n"/>
      <c r="E490" s="3" t="n"/>
      <c r="G490" t="inlineStr"/>
      <c r="H490" t="inlineStr"/>
      <c r="I490" s="74" t="n"/>
      <c r="J490" s="217" t="inlineStr"/>
    </row>
    <row r="491" ht="15.75" customHeight="1" s="305">
      <c r="A491" s="67" t="n"/>
      <c r="B491" s="67" t="n"/>
      <c r="C491" s="67" t="n"/>
      <c r="D491" s="3" t="n"/>
      <c r="E491" s="3" t="n"/>
      <c r="G491" t="inlineStr"/>
      <c r="H491" t="inlineStr"/>
      <c r="I491" s="74" t="n"/>
      <c r="J491" s="217" t="inlineStr"/>
    </row>
    <row r="492" ht="15.75" customHeight="1" s="305">
      <c r="A492" s="67" t="n"/>
      <c r="B492" s="67" t="n"/>
      <c r="C492" s="67" t="n"/>
      <c r="D492" s="3" t="n"/>
      <c r="E492" s="3" t="n"/>
      <c r="G492" t="inlineStr"/>
      <c r="H492" t="inlineStr"/>
      <c r="I492" s="74" t="n"/>
      <c r="J492" s="217" t="inlineStr"/>
    </row>
    <row r="493" ht="15.75" customHeight="1" s="305">
      <c r="A493" s="67" t="n"/>
      <c r="B493" s="67" t="n"/>
      <c r="C493" s="67" t="n"/>
      <c r="D493" s="3" t="n"/>
      <c r="E493" s="3" t="n"/>
      <c r="G493" t="inlineStr"/>
      <c r="H493" t="inlineStr"/>
      <c r="I493" s="74" t="n"/>
      <c r="J493" s="217" t="inlineStr"/>
    </row>
    <row r="494" ht="15.75" customHeight="1" s="305">
      <c r="A494" s="67" t="n"/>
      <c r="B494" s="67" t="n"/>
      <c r="C494" s="67" t="n"/>
      <c r="D494" s="3" t="n"/>
      <c r="E494" s="3" t="n"/>
      <c r="G494" t="inlineStr"/>
      <c r="H494" t="inlineStr"/>
      <c r="I494" s="74" t="n"/>
      <c r="J494" s="217" t="inlineStr"/>
    </row>
    <row r="495" ht="15.75" customHeight="1" s="305">
      <c r="A495" s="67" t="n"/>
      <c r="B495" s="67" t="n"/>
      <c r="C495" s="67" t="n"/>
      <c r="D495" s="3" t="n"/>
      <c r="E495" s="3" t="n"/>
      <c r="G495" t="inlineStr"/>
      <c r="H495" t="inlineStr"/>
      <c r="I495" s="74" t="n"/>
      <c r="J495" s="217" t="inlineStr"/>
    </row>
    <row r="496" ht="15.75" customHeight="1" s="305">
      <c r="A496" s="67" t="n"/>
      <c r="B496" s="67" t="n"/>
      <c r="C496" s="67" t="n"/>
      <c r="D496" s="3" t="n"/>
      <c r="E496" s="3" t="n"/>
      <c r="G496" t="inlineStr"/>
      <c r="H496" t="inlineStr"/>
      <c r="I496" s="74" t="n"/>
      <c r="J496" s="217" t="inlineStr"/>
    </row>
    <row r="497" ht="15.75" customHeight="1" s="305">
      <c r="A497" s="67" t="n"/>
      <c r="B497" s="67" t="n"/>
      <c r="C497" s="67" t="n"/>
      <c r="D497" s="3" t="n"/>
      <c r="E497" s="3" t="n"/>
      <c r="G497" t="inlineStr"/>
      <c r="H497" t="inlineStr"/>
      <c r="I497" s="74" t="n"/>
      <c r="J497" s="217" t="inlineStr"/>
    </row>
    <row r="498" ht="15.75" customHeight="1" s="305">
      <c r="A498" s="67" t="n"/>
      <c r="B498" s="67" t="n"/>
      <c r="C498" s="67" t="n"/>
      <c r="D498" s="3" t="n"/>
      <c r="E498" s="3" t="n"/>
      <c r="G498" t="inlineStr"/>
      <c r="H498" t="inlineStr"/>
      <c r="I498" s="74" t="n"/>
      <c r="J498" s="217" t="inlineStr"/>
    </row>
    <row r="499" ht="15.75" customHeight="1" s="305">
      <c r="A499" s="67" t="n"/>
      <c r="B499" s="67" t="n"/>
      <c r="C499" s="67" t="n"/>
      <c r="D499" s="3" t="n"/>
      <c r="E499" s="3" t="n"/>
      <c r="G499" t="inlineStr"/>
      <c r="H499" t="inlineStr"/>
      <c r="I499" s="74" t="n"/>
      <c r="J499" s="217" t="inlineStr"/>
    </row>
    <row r="500" ht="15.75" customHeight="1" s="305">
      <c r="A500" s="67" t="n"/>
      <c r="B500" s="67" t="n"/>
      <c r="C500" s="67" t="n"/>
      <c r="D500" s="3" t="n"/>
      <c r="E500" s="3" t="n"/>
      <c r="G500" t="inlineStr"/>
      <c r="H500" t="inlineStr"/>
      <c r="I500" s="74" t="n"/>
      <c r="J500" s="217" t="inlineStr"/>
    </row>
    <row r="501" ht="15.75" customHeight="1" s="305">
      <c r="A501" s="67" t="n"/>
      <c r="B501" s="67" t="n"/>
      <c r="C501" s="67" t="n"/>
      <c r="D501" s="3" t="n"/>
      <c r="E501" s="3" t="n"/>
      <c r="G501" t="inlineStr"/>
      <c r="H501" t="inlineStr"/>
      <c r="I501" s="74" t="n"/>
      <c r="J501" s="217" t="inlineStr"/>
    </row>
    <row r="502" ht="15.75" customHeight="1" s="305">
      <c r="A502" s="67" t="n"/>
      <c r="B502" s="67" t="n"/>
      <c r="C502" s="67" t="n"/>
      <c r="D502" s="3" t="n"/>
      <c r="E502" s="3" t="n"/>
      <c r="G502" t="inlineStr"/>
      <c r="H502" t="inlineStr"/>
      <c r="I502" s="74" t="n"/>
      <c r="J502" s="217" t="inlineStr"/>
    </row>
    <row r="503" ht="15.75" customHeight="1" s="305">
      <c r="A503" s="67" t="n"/>
      <c r="B503" s="67" t="n"/>
      <c r="C503" s="67" t="n"/>
      <c r="D503" s="3" t="n"/>
      <c r="E503" s="3" t="n"/>
      <c r="G503" t="inlineStr"/>
      <c r="H503" t="inlineStr"/>
      <c r="I503" s="74" t="n"/>
      <c r="J503" s="217" t="inlineStr"/>
    </row>
    <row r="504" ht="15.75" customHeight="1" s="305">
      <c r="A504" s="67" t="n"/>
      <c r="B504" s="67" t="n"/>
      <c r="C504" s="67" t="n"/>
      <c r="D504" s="3" t="n"/>
      <c r="E504" s="3" t="n"/>
      <c r="G504" t="inlineStr"/>
      <c r="H504" t="inlineStr"/>
      <c r="I504" s="74" t="n"/>
      <c r="J504" s="217" t="inlineStr"/>
    </row>
    <row r="505" ht="15.75" customHeight="1" s="305">
      <c r="A505" s="67" t="n"/>
      <c r="B505" s="67" t="n"/>
      <c r="C505" s="67" t="n"/>
      <c r="D505" s="3" t="n"/>
      <c r="E505" s="3" t="n"/>
      <c r="G505" t="inlineStr"/>
      <c r="H505" t="inlineStr"/>
      <c r="I505" s="74" t="n"/>
      <c r="J505" s="217" t="inlineStr"/>
    </row>
    <row r="506" ht="15.75" customHeight="1" s="305">
      <c r="A506" s="67" t="n"/>
      <c r="B506" s="67" t="n"/>
      <c r="C506" s="67" t="n"/>
      <c r="D506" s="3" t="n"/>
      <c r="E506" s="3" t="n"/>
      <c r="G506" t="inlineStr"/>
      <c r="H506" t="inlineStr"/>
      <c r="I506" s="74" t="n"/>
      <c r="J506" s="217" t="inlineStr"/>
    </row>
    <row r="507" ht="15.75" customHeight="1" s="305">
      <c r="A507" s="67" t="n"/>
      <c r="B507" s="67" t="n"/>
      <c r="C507" s="67" t="n"/>
      <c r="D507" s="3" t="n"/>
      <c r="E507" s="3" t="n"/>
      <c r="G507" t="inlineStr"/>
      <c r="H507" t="inlineStr"/>
      <c r="I507" s="74" t="n"/>
      <c r="J507" s="217" t="inlineStr"/>
    </row>
    <row r="508" ht="15.75" customHeight="1" s="305">
      <c r="A508" s="67" t="n"/>
      <c r="B508" s="67" t="n"/>
      <c r="C508" s="67" t="n"/>
      <c r="D508" s="3" t="n"/>
      <c r="E508" s="3" t="n"/>
      <c r="G508" t="inlineStr"/>
      <c r="H508" t="inlineStr"/>
      <c r="I508" s="74" t="n"/>
      <c r="J508" s="217" t="inlineStr"/>
    </row>
    <row r="509" ht="15.75" customHeight="1" s="305">
      <c r="A509" s="67" t="n"/>
      <c r="B509" s="67" t="n"/>
      <c r="C509" s="67" t="n"/>
      <c r="D509" s="3" t="n"/>
      <c r="E509" s="3" t="n"/>
      <c r="G509" t="inlineStr"/>
      <c r="H509" t="inlineStr"/>
      <c r="I509" s="74" t="n"/>
      <c r="J509" s="217" t="inlineStr"/>
    </row>
    <row r="510" ht="15.75" customHeight="1" s="305">
      <c r="A510" s="67" t="n"/>
      <c r="B510" s="67" t="n"/>
      <c r="C510" s="67" t="n"/>
      <c r="D510" s="3" t="n"/>
      <c r="G510" t="inlineStr"/>
      <c r="H510" t="inlineStr"/>
      <c r="I510" s="74" t="n"/>
      <c r="J510" s="217" t="inlineStr"/>
    </row>
    <row r="511" ht="15.75" customHeight="1" s="305">
      <c r="A511" s="67" t="n"/>
      <c r="B511" s="67" t="n"/>
      <c r="C511" s="67" t="n"/>
      <c r="D511" s="3" t="n"/>
      <c r="E511" s="3" t="n"/>
      <c r="G511" t="inlineStr"/>
      <c r="H511" t="inlineStr"/>
      <c r="I511" s="74" t="n"/>
      <c r="J511" s="217" t="inlineStr"/>
    </row>
    <row r="512" ht="15.75" customHeight="1" s="305">
      <c r="A512" s="67" t="n"/>
      <c r="B512" s="67" t="n"/>
      <c r="C512" s="67" t="n"/>
      <c r="D512" s="3" t="n"/>
      <c r="E512" s="3" t="n"/>
      <c r="G512" t="inlineStr"/>
      <c r="H512" t="inlineStr"/>
      <c r="I512" s="74" t="n"/>
      <c r="J512" s="217" t="inlineStr"/>
    </row>
    <row r="513" ht="15.75" customHeight="1" s="305">
      <c r="A513" s="67" t="n"/>
      <c r="B513" s="67" t="n"/>
      <c r="C513" s="67" t="n"/>
      <c r="D513" s="3" t="n"/>
      <c r="E513" s="3" t="n"/>
      <c r="G513" t="inlineStr"/>
      <c r="H513" t="inlineStr"/>
      <c r="I513" s="74" t="n"/>
      <c r="J513" s="217" t="inlineStr"/>
    </row>
    <row r="514" ht="15.75" customHeight="1" s="305">
      <c r="A514" s="67" t="n"/>
      <c r="B514" s="67" t="n"/>
      <c r="C514" s="67" t="n"/>
      <c r="D514" s="3" t="n"/>
      <c r="E514" s="3" t="n"/>
      <c r="G514" t="inlineStr"/>
      <c r="H514" t="inlineStr"/>
      <c r="I514" s="74" t="n"/>
      <c r="J514" s="217" t="inlineStr"/>
    </row>
    <row r="515" ht="15.75" customHeight="1" s="305">
      <c r="A515" s="67" t="n"/>
      <c r="B515" s="67" t="n"/>
      <c r="C515" s="67" t="n"/>
      <c r="D515" s="3" t="n"/>
      <c r="E515" s="3" t="n"/>
      <c r="G515" t="inlineStr"/>
      <c r="H515" t="inlineStr"/>
      <c r="I515" s="74" t="n"/>
      <c r="J515" s="217" t="inlineStr"/>
    </row>
    <row r="516" ht="15.75" customHeight="1" s="305">
      <c r="A516" s="67" t="n"/>
      <c r="B516" s="67" t="n"/>
      <c r="C516" s="67" t="n"/>
      <c r="D516" s="3" t="n"/>
      <c r="E516" s="3" t="n"/>
      <c r="G516" t="inlineStr"/>
      <c r="H516" t="inlineStr"/>
      <c r="I516" s="74" t="n"/>
      <c r="J516" s="217" t="inlineStr"/>
    </row>
    <row r="517" ht="15.75" customHeight="1" s="305">
      <c r="A517" s="67" t="n"/>
      <c r="B517" s="67" t="n"/>
      <c r="C517" s="67" t="n"/>
      <c r="D517" s="3" t="n"/>
      <c r="E517" s="3" t="n"/>
      <c r="G517" t="inlineStr"/>
      <c r="H517" t="inlineStr"/>
      <c r="I517" s="74" t="n"/>
      <c r="J517" s="217" t="inlineStr"/>
    </row>
    <row r="518" ht="15.75" customHeight="1" s="305">
      <c r="A518" s="67" t="n"/>
      <c r="B518" s="67" t="n"/>
      <c r="C518" s="67" t="n"/>
      <c r="D518" s="3" t="n"/>
      <c r="E518" s="3" t="n"/>
      <c r="G518" t="inlineStr"/>
      <c r="H518" t="inlineStr"/>
      <c r="I518" s="74" t="n"/>
      <c r="J518" s="217" t="inlineStr"/>
    </row>
    <row r="519" ht="15.75" customHeight="1" s="305">
      <c r="A519" s="67" t="n"/>
      <c r="B519" s="67" t="n"/>
      <c r="C519" s="67" t="n"/>
      <c r="D519" s="3" t="n"/>
      <c r="E519" s="3" t="n"/>
      <c r="G519" t="inlineStr"/>
      <c r="H519" t="inlineStr"/>
      <c r="I519" s="74" t="n"/>
      <c r="J519" s="217" t="inlineStr"/>
    </row>
    <row r="520" ht="15.75" customHeight="1" s="305">
      <c r="A520" s="67" t="n"/>
      <c r="B520" s="67" t="n"/>
      <c r="C520" s="67" t="n"/>
      <c r="D520" s="3" t="n"/>
      <c r="E520" s="3" t="n"/>
      <c r="G520" t="inlineStr"/>
      <c r="H520" t="inlineStr"/>
      <c r="I520" s="74" t="n"/>
      <c r="J520" s="217" t="inlineStr"/>
    </row>
    <row r="521" ht="15.75" customHeight="1" s="305">
      <c r="A521" s="67" t="n"/>
      <c r="B521" s="67" t="n"/>
      <c r="C521" s="67" t="n"/>
      <c r="D521" s="3" t="n"/>
      <c r="E521" s="3" t="n"/>
      <c r="G521" t="inlineStr"/>
      <c r="H521" t="inlineStr"/>
      <c r="I521" s="74" t="n"/>
      <c r="J521" s="217" t="inlineStr"/>
    </row>
    <row r="522" ht="15.75" customHeight="1" s="305">
      <c r="A522" s="67" t="n"/>
      <c r="B522" s="67" t="n"/>
      <c r="C522" s="67" t="n"/>
      <c r="D522" s="3" t="n"/>
      <c r="E522" s="3" t="n"/>
      <c r="G522" t="inlineStr"/>
      <c r="H522" t="inlineStr"/>
      <c r="I522" s="74" t="n"/>
      <c r="J522" s="217" t="inlineStr"/>
    </row>
    <row r="523" ht="15.75" customHeight="1" s="305">
      <c r="A523" s="67" t="n"/>
      <c r="B523" s="67" t="n"/>
      <c r="C523" s="67" t="n"/>
      <c r="D523" s="3" t="n"/>
      <c r="E523" s="3" t="n"/>
      <c r="G523" t="inlineStr"/>
      <c r="H523" t="inlineStr"/>
      <c r="I523" s="74" t="n"/>
      <c r="J523" s="217" t="inlineStr"/>
    </row>
    <row r="524" ht="15.75" customHeight="1" s="305">
      <c r="A524" s="67" t="n"/>
      <c r="B524" s="67" t="n"/>
      <c r="C524" s="67" t="n"/>
      <c r="D524" s="3" t="n"/>
      <c r="E524" s="3" t="n"/>
      <c r="G524" t="inlineStr"/>
      <c r="H524" t="inlineStr"/>
      <c r="I524" s="74" t="n"/>
      <c r="J524" s="217" t="inlineStr"/>
    </row>
    <row r="525" ht="15.75" customHeight="1" s="305">
      <c r="A525" s="67" t="n"/>
      <c r="B525" s="67" t="n"/>
      <c r="C525" s="67" t="n"/>
      <c r="D525" s="3" t="n"/>
      <c r="E525" s="3" t="n"/>
      <c r="G525" t="inlineStr"/>
      <c r="H525" t="inlineStr"/>
      <c r="I525" s="74" t="n"/>
      <c r="J525" s="217" t="inlineStr"/>
    </row>
    <row r="526" ht="15.75" customHeight="1" s="305">
      <c r="A526" s="67" t="n"/>
      <c r="B526" s="67" t="n"/>
      <c r="C526" s="67" t="n"/>
      <c r="D526" s="3" t="n"/>
      <c r="E526" s="3" t="n"/>
      <c r="G526" t="inlineStr"/>
      <c r="H526" t="inlineStr"/>
      <c r="I526" s="74" t="n"/>
      <c r="J526" s="217" t="inlineStr"/>
    </row>
    <row r="527" ht="15.75" customHeight="1" s="305">
      <c r="A527" s="67" t="n"/>
      <c r="B527" s="67" t="n"/>
      <c r="C527" s="67" t="n"/>
      <c r="D527" s="3" t="n"/>
      <c r="E527" s="3" t="n"/>
      <c r="G527" t="inlineStr"/>
      <c r="H527" t="inlineStr"/>
      <c r="I527" s="74" t="n"/>
      <c r="J527" s="217" t="inlineStr"/>
    </row>
    <row r="528" ht="15.75" customHeight="1" s="305">
      <c r="A528" s="67" t="n"/>
      <c r="B528" s="67" t="n"/>
      <c r="C528" s="67" t="n"/>
      <c r="D528" s="3" t="n"/>
      <c r="E528" s="3" t="n"/>
      <c r="G528" t="inlineStr"/>
      <c r="H528" t="inlineStr"/>
      <c r="I528" s="74" t="n"/>
      <c r="J528" s="217" t="inlineStr"/>
    </row>
    <row r="529" ht="15.75" customHeight="1" s="305">
      <c r="A529" s="67" t="n"/>
      <c r="B529" s="67" t="n"/>
      <c r="C529" s="67" t="n"/>
      <c r="D529" s="3" t="n"/>
      <c r="E529" s="3" t="n"/>
      <c r="G529" t="inlineStr"/>
      <c r="H529" t="inlineStr"/>
      <c r="I529" s="74" t="n"/>
      <c r="J529" s="217" t="inlineStr"/>
    </row>
    <row r="530" ht="15.75" customHeight="1" s="305">
      <c r="A530" s="67" t="n"/>
      <c r="B530" s="67" t="n"/>
      <c r="C530" s="67" t="n"/>
      <c r="D530" s="3" t="n"/>
      <c r="E530" s="3" t="n"/>
      <c r="G530" t="inlineStr"/>
      <c r="H530" t="inlineStr"/>
      <c r="I530" s="74" t="n"/>
      <c r="J530" s="217" t="inlineStr"/>
    </row>
    <row r="531" ht="15.75" customHeight="1" s="305">
      <c r="A531" s="67" t="n"/>
      <c r="B531" s="67" t="n"/>
      <c r="C531" s="67" t="n"/>
      <c r="D531" s="3" t="n"/>
      <c r="E531" s="3" t="n"/>
      <c r="G531" t="inlineStr"/>
      <c r="H531" t="inlineStr"/>
      <c r="I531" s="74" t="n"/>
      <c r="J531" s="217" t="inlineStr"/>
    </row>
    <row r="532" ht="15.75" customHeight="1" s="305">
      <c r="A532" s="67" t="n"/>
      <c r="B532" s="67" t="n"/>
      <c r="C532" s="67" t="n"/>
      <c r="D532" s="3" t="n"/>
      <c r="E532" s="3" t="n"/>
      <c r="G532" t="inlineStr"/>
      <c r="H532" t="inlineStr"/>
      <c r="I532" s="74" t="n"/>
      <c r="J532" s="217" t="inlineStr"/>
    </row>
    <row r="533" ht="15.75" customHeight="1" s="305">
      <c r="A533" s="67" t="n"/>
      <c r="B533" s="67" t="n"/>
      <c r="C533" s="67" t="n"/>
      <c r="D533" s="3" t="n"/>
      <c r="E533" s="3" t="n"/>
      <c r="G533" t="inlineStr"/>
      <c r="H533" t="inlineStr"/>
      <c r="I533" s="74" t="n"/>
      <c r="J533" s="217" t="inlineStr"/>
    </row>
    <row r="534" ht="15.75" customHeight="1" s="305">
      <c r="A534" s="67" t="n"/>
      <c r="B534" s="67" t="n"/>
      <c r="C534" s="67" t="n"/>
      <c r="D534" s="3" t="n"/>
      <c r="E534" s="3" t="n"/>
      <c r="G534" t="inlineStr"/>
      <c r="H534" t="inlineStr"/>
      <c r="I534" s="74" t="n"/>
      <c r="J534" s="217" t="inlineStr"/>
    </row>
    <row r="535" ht="15.75" customHeight="1" s="305">
      <c r="A535" s="67" t="n"/>
      <c r="B535" s="67" t="n"/>
      <c r="C535" s="67" t="n"/>
      <c r="D535" s="3" t="n"/>
      <c r="E535" s="3" t="n"/>
      <c r="G535" t="inlineStr"/>
      <c r="H535" t="inlineStr"/>
      <c r="I535" s="74" t="n"/>
      <c r="J535" s="217" t="inlineStr"/>
    </row>
    <row r="536" ht="15.75" customHeight="1" s="305">
      <c r="A536" s="67" t="n"/>
      <c r="B536" s="67" t="n"/>
      <c r="C536" s="67" t="n"/>
      <c r="D536" s="3" t="n"/>
      <c r="E536" s="3" t="n"/>
      <c r="G536" t="inlineStr"/>
      <c r="H536" t="inlineStr"/>
      <c r="I536" s="74" t="n"/>
      <c r="J536" s="217" t="inlineStr"/>
    </row>
    <row r="537" ht="15.75" customHeight="1" s="305">
      <c r="A537" s="67" t="n"/>
      <c r="B537" s="67" t="n"/>
      <c r="C537" s="67" t="n"/>
      <c r="D537" s="3" t="n"/>
      <c r="E537" s="3" t="n"/>
      <c r="G537" t="inlineStr"/>
      <c r="H537" t="inlineStr"/>
      <c r="I537" s="74" t="n"/>
      <c r="J537" s="217" t="inlineStr"/>
    </row>
    <row r="538" ht="15.75" customHeight="1" s="305">
      <c r="A538" s="67" t="n"/>
      <c r="B538" s="67" t="n"/>
      <c r="C538" s="67" t="n"/>
      <c r="D538" s="3" t="n"/>
      <c r="E538" s="3" t="n"/>
      <c r="G538" t="inlineStr"/>
      <c r="H538" t="inlineStr"/>
      <c r="I538" s="74" t="n"/>
      <c r="J538" s="217" t="inlineStr"/>
    </row>
    <row r="539" ht="15.75" customHeight="1" s="305">
      <c r="A539" s="67" t="n"/>
      <c r="B539" s="67" t="n"/>
      <c r="C539" s="67" t="n"/>
      <c r="D539" s="3" t="n"/>
      <c r="E539" s="3" t="n"/>
      <c r="G539" t="inlineStr"/>
      <c r="H539" t="inlineStr"/>
      <c r="I539" s="74" t="n"/>
      <c r="J539" s="217" t="inlineStr"/>
    </row>
    <row r="540" ht="15.75" customHeight="1" s="305">
      <c r="A540" s="67" t="n"/>
      <c r="B540" s="67" t="n"/>
      <c r="C540" s="67" t="n"/>
      <c r="D540" s="3" t="n"/>
      <c r="E540" s="3" t="n"/>
      <c r="G540" t="inlineStr"/>
      <c r="H540" t="inlineStr"/>
      <c r="I540" s="74" t="n"/>
      <c r="J540" s="217" t="inlineStr"/>
    </row>
    <row r="541" ht="15.75" customHeight="1" s="305">
      <c r="A541" s="67" t="n"/>
      <c r="B541" s="67" t="n"/>
      <c r="C541" s="67" t="n"/>
      <c r="D541" s="3" t="n"/>
      <c r="E541" s="3" t="n"/>
      <c r="G541" t="inlineStr"/>
      <c r="H541" t="inlineStr"/>
      <c r="I541" s="74" t="n"/>
      <c r="J541" s="217" t="inlineStr"/>
    </row>
    <row r="542" ht="15.75" customHeight="1" s="305">
      <c r="A542" s="67" t="n"/>
      <c r="B542" s="67" t="n"/>
      <c r="C542" s="67" t="n"/>
      <c r="D542" s="3" t="n"/>
      <c r="E542" s="3" t="n"/>
      <c r="G542" t="inlineStr"/>
      <c r="H542" t="inlineStr"/>
      <c r="I542" s="74" t="n"/>
      <c r="J542" s="217" t="inlineStr"/>
    </row>
    <row r="543" ht="15.75" customHeight="1" s="305">
      <c r="A543" s="67" t="n"/>
      <c r="B543" s="67" t="n"/>
      <c r="C543" s="67" t="n"/>
      <c r="D543" s="3" t="n"/>
      <c r="E543" s="3" t="n"/>
      <c r="G543" t="inlineStr"/>
      <c r="H543" t="inlineStr"/>
      <c r="I543" s="74" t="n"/>
      <c r="J543" s="217" t="inlineStr"/>
    </row>
    <row r="544" ht="15.75" customHeight="1" s="305">
      <c r="A544" s="67" t="n"/>
      <c r="B544" s="67" t="n"/>
      <c r="C544" s="67" t="n"/>
      <c r="D544" s="3" t="n"/>
      <c r="E544" s="3" t="n"/>
      <c r="G544" t="inlineStr"/>
      <c r="H544" t="inlineStr"/>
      <c r="I544" s="74" t="n"/>
      <c r="J544" s="217" t="inlineStr"/>
    </row>
    <row r="545" ht="15.75" customHeight="1" s="305">
      <c r="A545" s="67" t="n"/>
      <c r="B545" s="67" t="n"/>
      <c r="C545" s="67" t="n"/>
      <c r="D545" s="3" t="n"/>
      <c r="E545" s="3" t="n"/>
      <c r="G545" t="inlineStr"/>
      <c r="H545" t="inlineStr"/>
      <c r="I545" s="74" t="n"/>
      <c r="J545" s="217" t="inlineStr"/>
    </row>
    <row r="546" ht="15.75" customHeight="1" s="305">
      <c r="A546" s="67" t="n"/>
      <c r="B546" s="67" t="n"/>
      <c r="C546" s="67" t="n"/>
      <c r="D546" s="3" t="n"/>
      <c r="E546" s="3" t="n"/>
      <c r="G546" t="inlineStr"/>
      <c r="H546" t="inlineStr"/>
      <c r="I546" s="74" t="n"/>
      <c r="J546" s="217" t="inlineStr"/>
    </row>
    <row r="547" ht="15.75" customHeight="1" s="305">
      <c r="A547" s="67" t="n"/>
      <c r="B547" s="67" t="n"/>
      <c r="C547" s="67" t="n"/>
      <c r="D547" s="3" t="n"/>
      <c r="E547" s="3" t="n"/>
      <c r="G547" t="inlineStr"/>
      <c r="H547" t="inlineStr"/>
      <c r="I547" s="74" t="n"/>
      <c r="J547" s="217" t="inlineStr"/>
    </row>
    <row r="548" ht="15.75" customHeight="1" s="305">
      <c r="A548" s="67" t="n"/>
      <c r="B548" s="67" t="n"/>
      <c r="C548" s="67" t="n"/>
      <c r="D548" s="3" t="n"/>
      <c r="E548" s="3" t="n"/>
      <c r="G548" t="inlineStr"/>
      <c r="H548" t="inlineStr"/>
      <c r="I548" s="74" t="n"/>
      <c r="J548" s="217" t="inlineStr"/>
    </row>
    <row r="549" ht="15.75" customHeight="1" s="305">
      <c r="A549" s="67" t="n"/>
      <c r="B549" s="67" t="n"/>
      <c r="C549" s="67" t="n"/>
      <c r="D549" s="3" t="n"/>
      <c r="E549" s="3" t="n"/>
      <c r="G549" t="inlineStr"/>
      <c r="H549" t="inlineStr"/>
      <c r="I549" s="74" t="n"/>
      <c r="J549" s="217" t="inlineStr"/>
    </row>
    <row r="550" ht="15.75" customHeight="1" s="305">
      <c r="A550" s="67" t="n"/>
      <c r="B550" s="67" t="n"/>
      <c r="C550" s="67" t="n"/>
      <c r="D550" s="3" t="n"/>
      <c r="E550" s="3" t="n"/>
      <c r="G550" t="inlineStr"/>
      <c r="H550" t="inlineStr"/>
      <c r="I550" s="74" t="n"/>
      <c r="J550" s="217" t="inlineStr"/>
    </row>
    <row r="551" ht="15.75" customHeight="1" s="305">
      <c r="A551" s="67" t="n"/>
      <c r="B551" s="67" t="n"/>
      <c r="C551" s="67" t="n"/>
      <c r="D551" s="3" t="n"/>
      <c r="E551" s="3" t="n"/>
      <c r="G551" t="inlineStr"/>
      <c r="H551" t="inlineStr"/>
      <c r="I551" s="74" t="n"/>
      <c r="J551" s="217" t="inlineStr"/>
    </row>
    <row r="552" ht="15.75" customHeight="1" s="305">
      <c r="A552" s="67" t="n"/>
      <c r="B552" s="67" t="n"/>
      <c r="C552" s="67" t="n"/>
      <c r="D552" s="3" t="n"/>
      <c r="E552" s="3" t="n"/>
      <c r="G552" t="inlineStr"/>
      <c r="H552" t="inlineStr"/>
      <c r="I552" s="74" t="n"/>
      <c r="J552" s="217" t="inlineStr"/>
    </row>
    <row r="553" ht="15.75" customHeight="1" s="305">
      <c r="A553" s="67" t="n"/>
      <c r="B553" s="67" t="n"/>
      <c r="C553" s="67" t="n"/>
      <c r="D553" s="3" t="n"/>
      <c r="E553" s="3" t="n"/>
      <c r="G553" t="inlineStr"/>
      <c r="H553" t="inlineStr"/>
      <c r="I553" s="74" t="n"/>
      <c r="J553" s="217" t="inlineStr"/>
    </row>
    <row r="554" ht="15.75" customHeight="1" s="305">
      <c r="A554" s="67" t="n"/>
      <c r="B554" s="67" t="n"/>
      <c r="C554" s="67" t="n"/>
      <c r="D554" s="3" t="n"/>
      <c r="E554" s="3" t="n"/>
      <c r="G554" t="inlineStr"/>
      <c r="H554" t="inlineStr"/>
      <c r="I554" s="74" t="n"/>
      <c r="J554" s="217" t="inlineStr"/>
    </row>
    <row r="555" ht="15.75" customHeight="1" s="305">
      <c r="A555" s="67" t="n"/>
      <c r="B555" s="67" t="n"/>
      <c r="C555" s="67" t="n"/>
      <c r="D555" s="3" t="n"/>
      <c r="E555" s="3" t="n"/>
      <c r="G555" t="inlineStr"/>
      <c r="H555" t="inlineStr"/>
      <c r="I555" s="74" t="n"/>
      <c r="J555" s="217" t="inlineStr"/>
    </row>
    <row r="556" ht="15.75" customHeight="1" s="305">
      <c r="A556" s="67" t="n"/>
      <c r="B556" s="67" t="n"/>
      <c r="C556" s="67" t="n"/>
      <c r="D556" s="3" t="n"/>
      <c r="E556" s="3" t="n"/>
      <c r="G556" t="inlineStr"/>
      <c r="H556" t="inlineStr"/>
      <c r="I556" s="74" t="n"/>
      <c r="J556" s="217" t="inlineStr"/>
    </row>
    <row r="557" ht="15.75" customHeight="1" s="305">
      <c r="A557" s="67" t="n"/>
      <c r="B557" s="67" t="n"/>
      <c r="C557" s="67" t="n"/>
      <c r="D557" s="3" t="n"/>
      <c r="E557" s="3" t="n"/>
      <c r="G557" t="inlineStr"/>
      <c r="H557" t="inlineStr"/>
      <c r="I557" s="74" t="n"/>
      <c r="J557" s="217" t="inlineStr"/>
    </row>
    <row r="558" ht="15.75" customHeight="1" s="305">
      <c r="A558" s="67" t="n"/>
      <c r="B558" s="67" t="n"/>
      <c r="C558" s="67" t="n"/>
      <c r="D558" s="3" t="n"/>
      <c r="E558" s="3" t="n"/>
      <c r="G558" t="inlineStr"/>
      <c r="H558" t="inlineStr"/>
      <c r="I558" s="74" t="n"/>
      <c r="J558" s="217" t="inlineStr"/>
    </row>
    <row r="559" ht="15.75" customHeight="1" s="305">
      <c r="A559" s="67" t="n"/>
      <c r="B559" s="67" t="n"/>
      <c r="C559" s="67" t="n"/>
      <c r="D559" s="3" t="n"/>
      <c r="E559" s="3" t="n"/>
      <c r="G559" t="inlineStr"/>
      <c r="H559" t="inlineStr"/>
      <c r="I559" s="74" t="n"/>
      <c r="J559" s="217" t="inlineStr"/>
    </row>
    <row r="560" ht="15.75" customHeight="1" s="305">
      <c r="A560" s="67" t="n"/>
      <c r="B560" s="67" t="n"/>
      <c r="C560" s="67" t="n"/>
      <c r="D560" s="3" t="n"/>
      <c r="E560" s="3" t="n"/>
      <c r="G560" t="inlineStr"/>
      <c r="H560" t="inlineStr"/>
      <c r="I560" s="74" t="n"/>
      <c r="J560" s="217" t="inlineStr"/>
    </row>
    <row r="561" ht="15.75" customHeight="1" s="305">
      <c r="A561" s="67" t="n"/>
      <c r="B561" s="67" t="n"/>
      <c r="C561" s="67" t="n"/>
      <c r="D561" s="3" t="n"/>
      <c r="E561" s="3" t="n"/>
      <c r="G561" t="inlineStr"/>
      <c r="H561" t="inlineStr"/>
      <c r="I561" s="74" t="n"/>
      <c r="J561" s="217" t="inlineStr"/>
    </row>
    <row r="562" ht="15.75" customHeight="1" s="305">
      <c r="A562" s="67" t="n"/>
      <c r="B562" s="67" t="n"/>
      <c r="C562" s="67" t="n"/>
      <c r="D562" s="3" t="n"/>
      <c r="E562" s="3" t="n"/>
      <c r="G562" t="inlineStr"/>
      <c r="H562" t="inlineStr"/>
      <c r="I562" s="74" t="n"/>
      <c r="J562" s="217" t="inlineStr"/>
    </row>
    <row r="563" ht="15.75" customHeight="1" s="305">
      <c r="A563" s="67" t="n"/>
      <c r="B563" s="67" t="n"/>
      <c r="C563" s="67" t="n"/>
      <c r="D563" s="3" t="n"/>
      <c r="E563" s="3" t="n"/>
      <c r="G563" t="inlineStr"/>
      <c r="H563" t="inlineStr"/>
      <c r="I563" s="74" t="n"/>
      <c r="J563" s="217" t="inlineStr"/>
    </row>
    <row r="564" ht="15.75" customHeight="1" s="305">
      <c r="A564" s="67" t="n"/>
      <c r="B564" s="67" t="n"/>
      <c r="C564" s="67" t="n"/>
      <c r="D564" s="3" t="n"/>
      <c r="E564" s="3" t="n"/>
      <c r="G564" t="inlineStr"/>
      <c r="H564" t="inlineStr"/>
      <c r="I564" s="74" t="n"/>
      <c r="J564" s="217" t="inlineStr"/>
    </row>
    <row r="565" ht="15.75" customHeight="1" s="305">
      <c r="A565" s="67" t="n"/>
      <c r="B565" s="67" t="n"/>
      <c r="C565" s="67" t="n"/>
      <c r="D565" s="3" t="n"/>
      <c r="E565" s="3" t="n"/>
      <c r="G565" t="inlineStr"/>
      <c r="H565" t="inlineStr"/>
      <c r="I565" s="74" t="n"/>
      <c r="J565" s="217" t="inlineStr"/>
    </row>
    <row r="566" ht="15.75" customHeight="1" s="305">
      <c r="A566" s="67" t="n"/>
      <c r="B566" s="67" t="n"/>
      <c r="C566" s="67" t="n"/>
      <c r="D566" s="3" t="n"/>
      <c r="E566" s="3" t="n"/>
      <c r="G566" t="inlineStr"/>
      <c r="H566" t="inlineStr"/>
      <c r="I566" s="74" t="n"/>
      <c r="J566" s="217" t="inlineStr"/>
    </row>
    <row r="567" ht="15.75" customHeight="1" s="305">
      <c r="A567" s="67" t="n"/>
      <c r="B567" s="67" t="n"/>
      <c r="C567" s="67" t="n"/>
      <c r="D567" s="3" t="n"/>
      <c r="E567" s="3" t="n"/>
      <c r="G567" t="inlineStr"/>
      <c r="H567" t="inlineStr"/>
      <c r="I567" s="74" t="n"/>
      <c r="J567" s="217" t="inlineStr"/>
    </row>
    <row r="568" ht="15.75" customHeight="1" s="305">
      <c r="A568" s="67" t="n"/>
      <c r="B568" s="67" t="n"/>
      <c r="C568" s="67" t="n"/>
      <c r="D568" s="3" t="n"/>
      <c r="E568" s="3" t="n"/>
      <c r="G568" t="inlineStr"/>
      <c r="H568" t="inlineStr"/>
      <c r="I568" s="74" t="n"/>
      <c r="J568" s="217" t="inlineStr"/>
    </row>
    <row r="569" ht="15.75" customHeight="1" s="305">
      <c r="A569" s="67" t="n"/>
      <c r="B569" s="67" t="n"/>
      <c r="C569" s="67" t="n"/>
      <c r="D569" s="3" t="n"/>
      <c r="E569" s="3" t="n"/>
      <c r="G569" t="inlineStr"/>
      <c r="H569" t="inlineStr"/>
      <c r="I569" s="74" t="n"/>
      <c r="J569" s="217" t="inlineStr"/>
    </row>
    <row r="570" ht="15.75" customHeight="1" s="305">
      <c r="A570" s="67" t="n"/>
      <c r="B570" s="67" t="n"/>
      <c r="C570" s="67" t="n"/>
      <c r="D570" s="3" t="n"/>
      <c r="E570" s="3" t="n"/>
      <c r="G570" t="inlineStr"/>
      <c r="H570" t="inlineStr"/>
      <c r="I570" s="74" t="n"/>
      <c r="J570" s="217" t="inlineStr"/>
    </row>
    <row r="571" ht="15.75" customHeight="1" s="305">
      <c r="A571" s="67" t="n"/>
      <c r="B571" s="67" t="n"/>
      <c r="C571" s="67" t="n"/>
      <c r="D571" s="3" t="n"/>
      <c r="E571" s="3" t="n"/>
      <c r="G571" t="inlineStr"/>
      <c r="H571" t="inlineStr"/>
      <c r="I571" s="74" t="n"/>
      <c r="J571" s="217" t="inlineStr"/>
    </row>
    <row r="572" ht="15.75" customHeight="1" s="305">
      <c r="A572" s="67" t="n"/>
      <c r="B572" s="67" t="n"/>
      <c r="C572" s="67" t="n"/>
      <c r="D572" s="3" t="n"/>
      <c r="E572" s="3" t="n"/>
      <c r="G572" t="inlineStr"/>
      <c r="H572" t="inlineStr"/>
      <c r="I572" s="74" t="n"/>
      <c r="J572" s="217" t="inlineStr"/>
    </row>
    <row r="573" ht="15.75" customHeight="1" s="305">
      <c r="A573" s="67" t="n"/>
      <c r="B573" s="67" t="n"/>
      <c r="C573" s="67" t="n"/>
      <c r="D573" s="3" t="n"/>
      <c r="E573" s="3" t="n"/>
      <c r="G573" t="inlineStr"/>
      <c r="H573" t="inlineStr"/>
      <c r="I573" s="74" t="n"/>
      <c r="J573" s="217" t="inlineStr"/>
    </row>
    <row r="574" ht="15.75" customHeight="1" s="305">
      <c r="A574" s="67" t="n"/>
      <c r="B574" s="67" t="n"/>
      <c r="C574" s="67" t="n"/>
      <c r="D574" s="3" t="n"/>
      <c r="E574" s="3" t="n"/>
      <c r="G574" t="inlineStr"/>
      <c r="H574" t="inlineStr"/>
      <c r="I574" s="74" t="n"/>
      <c r="J574" s="217" t="inlineStr"/>
    </row>
    <row r="575" ht="15.75" customHeight="1" s="305">
      <c r="A575" s="67" t="n"/>
      <c r="B575" s="67" t="n"/>
      <c r="C575" s="67" t="n"/>
      <c r="D575" s="3" t="n"/>
      <c r="E575" s="3" t="n"/>
      <c r="G575" t="inlineStr"/>
      <c r="H575" t="inlineStr"/>
      <c r="I575" s="74" t="n"/>
      <c r="J575" s="217" t="inlineStr"/>
    </row>
    <row r="576" ht="15.75" customHeight="1" s="305">
      <c r="A576" s="67" t="n"/>
      <c r="B576" s="67" t="n"/>
      <c r="C576" s="67" t="n"/>
      <c r="D576" s="3" t="n"/>
      <c r="E576" s="3" t="n"/>
      <c r="G576" t="inlineStr"/>
      <c r="H576" t="inlineStr"/>
      <c r="I576" s="74" t="n"/>
      <c r="J576" s="217" t="inlineStr"/>
    </row>
    <row r="577" ht="15.75" customHeight="1" s="305">
      <c r="A577" s="67" t="n"/>
      <c r="B577" s="67" t="n"/>
      <c r="C577" s="67" t="n"/>
      <c r="D577" s="3" t="n"/>
      <c r="E577" s="3" t="n"/>
      <c r="G577" t="inlineStr"/>
      <c r="H577" t="inlineStr"/>
      <c r="I577" s="74" t="n"/>
      <c r="J577" s="217" t="inlineStr"/>
    </row>
    <row r="578" ht="15.75" customHeight="1" s="305">
      <c r="A578" s="67" t="n"/>
      <c r="B578" s="67" t="n"/>
      <c r="C578" s="67" t="n"/>
      <c r="D578" s="3" t="n"/>
      <c r="E578" s="3" t="n"/>
      <c r="G578" t="inlineStr"/>
      <c r="H578" t="inlineStr"/>
      <c r="I578" s="74" t="n"/>
      <c r="J578" s="217" t="inlineStr"/>
    </row>
    <row r="579" ht="15.75" customHeight="1" s="305">
      <c r="A579" s="67" t="n"/>
      <c r="B579" s="67" t="n"/>
      <c r="C579" s="67" t="n"/>
      <c r="D579" s="3" t="n"/>
      <c r="E579" s="3" t="n"/>
      <c r="G579" t="inlineStr"/>
      <c r="H579" t="inlineStr"/>
      <c r="I579" s="74" t="n"/>
      <c r="J579" s="217" t="inlineStr"/>
    </row>
    <row r="580" ht="15.75" customHeight="1" s="305">
      <c r="A580" s="67" t="n"/>
      <c r="B580" s="67" t="n"/>
      <c r="C580" s="67" t="n"/>
      <c r="D580" s="3" t="n"/>
      <c r="E580" s="3" t="n"/>
      <c r="G580" t="inlineStr"/>
      <c r="H580" t="inlineStr"/>
      <c r="I580" s="74" t="n"/>
      <c r="J580" s="217" t="inlineStr"/>
    </row>
    <row r="581" ht="15.75" customHeight="1" s="305">
      <c r="A581" s="67" t="n"/>
      <c r="B581" s="67" t="n"/>
      <c r="C581" s="67" t="n"/>
      <c r="D581" s="3" t="n"/>
      <c r="E581" s="3" t="n"/>
      <c r="G581" t="inlineStr"/>
      <c r="H581" t="inlineStr"/>
      <c r="I581" s="74" t="n"/>
      <c r="J581" s="217" t="inlineStr"/>
    </row>
    <row r="582" ht="15.75" customHeight="1" s="305">
      <c r="A582" s="67" t="n"/>
      <c r="B582" s="67" t="n"/>
      <c r="C582" s="67" t="n"/>
      <c r="D582" s="3" t="n"/>
      <c r="E582" s="3" t="n"/>
      <c r="G582" t="inlineStr"/>
      <c r="H582" t="inlineStr"/>
      <c r="I582" s="74" t="n"/>
      <c r="J582" s="217" t="inlineStr"/>
    </row>
    <row r="583" ht="15.75" customHeight="1" s="305">
      <c r="A583" s="67" t="n"/>
      <c r="B583" s="67" t="n"/>
      <c r="C583" s="67" t="n"/>
      <c r="D583" s="3" t="n"/>
      <c r="E583" s="3" t="n"/>
      <c r="G583" t="inlineStr"/>
      <c r="H583" t="inlineStr"/>
      <c r="I583" s="74" t="n"/>
      <c r="J583" s="217" t="inlineStr"/>
    </row>
    <row r="584" ht="15.75" customHeight="1" s="305">
      <c r="A584" s="67" t="n"/>
      <c r="B584" s="67" t="n"/>
      <c r="C584" s="67" t="n"/>
      <c r="D584" s="3" t="n"/>
      <c r="E584" s="3" t="n"/>
      <c r="G584" t="inlineStr"/>
      <c r="H584" t="inlineStr"/>
      <c r="I584" s="74" t="n"/>
      <c r="J584" s="217" t="inlineStr"/>
    </row>
    <row r="585" ht="15.75" customHeight="1" s="305">
      <c r="A585" s="67" t="n"/>
      <c r="B585" s="67" t="n"/>
      <c r="C585" s="67" t="n"/>
      <c r="D585" s="3" t="n"/>
      <c r="E585" s="3" t="n"/>
      <c r="G585" t="inlineStr"/>
      <c r="H585" t="inlineStr"/>
      <c r="I585" s="74" t="n"/>
      <c r="J585" s="217" t="inlineStr"/>
    </row>
    <row r="586" ht="15.75" customHeight="1" s="305">
      <c r="A586" s="67" t="n"/>
      <c r="B586" s="67" t="n"/>
      <c r="C586" s="67" t="n"/>
      <c r="D586" s="3" t="n"/>
      <c r="E586" s="3" t="n"/>
      <c r="G586" t="inlineStr"/>
      <c r="H586" t="inlineStr"/>
      <c r="I586" s="74" t="n"/>
      <c r="J586" s="217" t="inlineStr"/>
    </row>
    <row r="587" ht="15.75" customHeight="1" s="305">
      <c r="A587" s="67" t="n"/>
      <c r="B587" s="67" t="n"/>
      <c r="C587" s="67" t="n"/>
      <c r="D587" s="3" t="n"/>
      <c r="E587" s="3" t="n"/>
      <c r="G587" t="inlineStr"/>
      <c r="H587" t="inlineStr"/>
      <c r="I587" s="74" t="n"/>
      <c r="J587" s="217" t="inlineStr"/>
    </row>
    <row r="588" ht="15.75" customHeight="1" s="305">
      <c r="A588" s="67" t="n"/>
      <c r="B588" s="67" t="n"/>
      <c r="C588" s="67" t="n"/>
      <c r="D588" s="3" t="n"/>
      <c r="E588" s="3" t="n"/>
      <c r="G588" t="inlineStr"/>
      <c r="H588" t="inlineStr"/>
      <c r="I588" s="74" t="n"/>
      <c r="J588" s="217" t="inlineStr"/>
    </row>
    <row r="589" ht="15.75" customHeight="1" s="305">
      <c r="A589" s="67" t="n"/>
      <c r="B589" s="67" t="n"/>
      <c r="C589" s="67" t="n"/>
      <c r="D589" s="3" t="n"/>
      <c r="E589" s="3" t="n"/>
      <c r="G589" t="inlineStr"/>
      <c r="H589" t="inlineStr"/>
      <c r="I589" s="74" t="n"/>
      <c r="J589" s="217" t="inlineStr"/>
    </row>
    <row r="590" ht="15.75" customHeight="1" s="305">
      <c r="A590" s="67" t="n"/>
      <c r="B590" s="67" t="n"/>
      <c r="C590" s="67" t="n"/>
      <c r="D590" s="3" t="n"/>
      <c r="E590" s="3" t="n"/>
      <c r="G590" t="inlineStr"/>
      <c r="H590" t="inlineStr"/>
      <c r="I590" s="74" t="n"/>
      <c r="J590" s="217" t="inlineStr"/>
    </row>
    <row r="591" ht="15.75" customHeight="1" s="305">
      <c r="A591" s="67" t="n"/>
      <c r="B591" s="67" t="n"/>
      <c r="C591" s="67" t="n"/>
      <c r="D591" s="3" t="n"/>
      <c r="E591" s="3" t="n"/>
      <c r="G591" t="inlineStr"/>
      <c r="H591" t="inlineStr"/>
      <c r="I591" s="74" t="n"/>
      <c r="J591" s="217" t="inlineStr"/>
    </row>
    <row r="592" ht="15.75" customHeight="1" s="305">
      <c r="A592" s="67" t="n"/>
      <c r="B592" s="67" t="n"/>
      <c r="C592" s="67" t="n"/>
      <c r="D592" s="3" t="n"/>
      <c r="E592" s="3" t="n"/>
      <c r="G592" t="inlineStr"/>
      <c r="H592" t="inlineStr"/>
      <c r="I592" s="74" t="n"/>
      <c r="J592" s="217" t="inlineStr"/>
    </row>
    <row r="593" ht="15.75" customHeight="1" s="305">
      <c r="A593" s="67" t="n"/>
      <c r="B593" s="67" t="n"/>
      <c r="C593" s="67" t="n"/>
      <c r="D593" s="3" t="n"/>
      <c r="E593" s="3" t="n"/>
      <c r="G593" t="inlineStr"/>
      <c r="H593" t="inlineStr"/>
      <c r="I593" s="74" t="n"/>
      <c r="J593" s="217" t="inlineStr"/>
    </row>
    <row r="594" ht="15.75" customHeight="1" s="305">
      <c r="A594" s="67" t="n"/>
      <c r="B594" s="67" t="n"/>
      <c r="C594" s="67" t="n"/>
      <c r="D594" s="3" t="n"/>
      <c r="E594" s="3" t="n"/>
      <c r="G594" t="inlineStr"/>
      <c r="H594" t="inlineStr"/>
      <c r="I594" s="74" t="n"/>
      <c r="J594" s="217" t="inlineStr"/>
    </row>
    <row r="595" ht="15.75" customHeight="1" s="305">
      <c r="A595" s="67" t="n"/>
      <c r="B595" s="67" t="n"/>
      <c r="C595" s="67" t="n"/>
      <c r="D595" s="3" t="n"/>
      <c r="E595" s="3" t="n"/>
      <c r="G595" t="inlineStr"/>
      <c r="H595" t="inlineStr"/>
      <c r="I595" s="74" t="n"/>
      <c r="J595" s="217" t="inlineStr"/>
    </row>
    <row r="596" ht="15.75" customHeight="1" s="305">
      <c r="A596" s="67" t="n"/>
      <c r="B596" s="67" t="n"/>
      <c r="C596" s="67" t="n"/>
      <c r="D596" s="3" t="n"/>
      <c r="E596" s="3" t="n"/>
      <c r="G596" t="inlineStr"/>
      <c r="H596" t="inlineStr"/>
      <c r="I596" s="74" t="n"/>
      <c r="J596" s="217" t="inlineStr"/>
    </row>
    <row r="597" ht="15.75" customHeight="1" s="305">
      <c r="A597" s="67" t="n"/>
      <c r="B597" s="67" t="n"/>
      <c r="C597" s="67" t="n"/>
      <c r="D597" s="3" t="n"/>
      <c r="E597" s="3" t="n"/>
      <c r="G597" t="inlineStr"/>
      <c r="H597" t="inlineStr"/>
      <c r="I597" s="74" t="n"/>
      <c r="J597" s="217" t="inlineStr"/>
    </row>
    <row r="598" ht="15.75" customHeight="1" s="305">
      <c r="A598" s="67" t="n"/>
      <c r="B598" s="67" t="n"/>
      <c r="C598" s="67" t="n"/>
      <c r="D598" s="3" t="n"/>
      <c r="E598" s="3" t="n"/>
      <c r="G598" t="inlineStr"/>
      <c r="H598" t="inlineStr"/>
      <c r="I598" s="74" t="n"/>
      <c r="J598" s="217" t="inlineStr"/>
    </row>
    <row r="599" ht="15.75" customHeight="1" s="305">
      <c r="A599" s="67" t="n"/>
      <c r="B599" s="67" t="n"/>
      <c r="C599" s="67" t="n"/>
      <c r="D599" s="3" t="n"/>
      <c r="E599" s="3" t="n"/>
      <c r="G599" t="inlineStr"/>
      <c r="H599" t="inlineStr"/>
      <c r="I599" s="74" t="n"/>
      <c r="J599" s="217" t="inlineStr"/>
    </row>
    <row r="600" ht="15.75" customHeight="1" s="305">
      <c r="A600" s="67" t="n"/>
      <c r="B600" s="67" t="n"/>
      <c r="C600" s="67" t="n"/>
      <c r="D600" s="3" t="n"/>
      <c r="E600" s="67" t="n"/>
      <c r="G600" t="inlineStr"/>
      <c r="H600" t="inlineStr"/>
      <c r="I600" s="74" t="n"/>
      <c r="J600" s="217" t="inlineStr"/>
    </row>
    <row r="601" ht="15.75" customHeight="1" s="305">
      <c r="A601" s="67" t="n"/>
      <c r="B601" s="67" t="n"/>
      <c r="C601" s="67" t="n"/>
      <c r="D601" s="3" t="n"/>
      <c r="E601" s="3" t="n"/>
      <c r="G601" t="inlineStr"/>
      <c r="H601" t="inlineStr"/>
      <c r="I601" s="74" t="n"/>
      <c r="J601" s="217" t="inlineStr"/>
    </row>
    <row r="602" ht="15.75" customHeight="1" s="305">
      <c r="A602" s="67" t="n"/>
      <c r="B602" s="67" t="n"/>
      <c r="C602" s="67" t="n"/>
      <c r="D602" s="3" t="n"/>
      <c r="E602" s="3" t="n"/>
      <c r="G602" t="inlineStr"/>
      <c r="H602" t="inlineStr"/>
      <c r="I602" s="74" t="n"/>
      <c r="J602" s="217" t="inlineStr"/>
    </row>
    <row r="603" ht="15.75" customHeight="1" s="305">
      <c r="A603" s="67" t="n"/>
      <c r="B603" s="67" t="n"/>
      <c r="C603" s="67" t="n"/>
      <c r="D603" s="3" t="n"/>
      <c r="E603" s="3" t="n"/>
      <c r="G603" t="inlineStr"/>
      <c r="H603" t="inlineStr"/>
      <c r="I603" s="74" t="n"/>
      <c r="J603" s="217" t="inlineStr"/>
    </row>
    <row r="604" ht="15.75" customHeight="1" s="305">
      <c r="A604" s="67" t="n"/>
      <c r="B604" s="67" t="n"/>
      <c r="C604" s="67" t="n"/>
      <c r="D604" s="3" t="n"/>
      <c r="E604" s="3" t="n"/>
      <c r="G604" t="inlineStr"/>
      <c r="H604" t="inlineStr"/>
      <c r="I604" s="74" t="n"/>
      <c r="J604" s="217" t="inlineStr"/>
    </row>
    <row r="605" ht="15.75" customHeight="1" s="305">
      <c r="A605" s="67" t="n"/>
      <c r="B605" s="67" t="n"/>
      <c r="C605" s="67" t="n"/>
      <c r="D605" s="3" t="n"/>
      <c r="E605" s="3" t="n"/>
      <c r="G605" t="inlineStr"/>
      <c r="H605" t="inlineStr"/>
      <c r="I605" s="74" t="n"/>
      <c r="J605" s="217" t="inlineStr"/>
    </row>
    <row r="606" ht="15.75" customHeight="1" s="305">
      <c r="A606" s="67" t="n"/>
      <c r="B606" s="67" t="n"/>
      <c r="C606" s="67" t="n"/>
      <c r="D606" s="3" t="n"/>
      <c r="E606" s="3" t="n"/>
      <c r="G606" t="inlineStr"/>
      <c r="H606" t="inlineStr"/>
      <c r="I606" s="74" t="n"/>
      <c r="J606" s="217" t="inlineStr"/>
    </row>
    <row r="607" ht="15.75" customHeight="1" s="305">
      <c r="A607" s="67" t="n"/>
      <c r="B607" s="67" t="n"/>
      <c r="C607" s="67" t="n"/>
      <c r="D607" s="3" t="n"/>
      <c r="E607" s="3" t="n"/>
      <c r="G607" t="inlineStr"/>
      <c r="H607" t="inlineStr"/>
      <c r="I607" s="74" t="n"/>
      <c r="J607" s="217" t="inlineStr"/>
    </row>
    <row r="608" ht="15.75" customHeight="1" s="305">
      <c r="A608" s="67" t="n"/>
      <c r="B608" s="67" t="n"/>
      <c r="C608" s="67" t="n"/>
      <c r="D608" s="3" t="n"/>
      <c r="E608" s="3" t="n"/>
      <c r="G608" t="inlineStr"/>
      <c r="H608" t="inlineStr"/>
      <c r="I608" s="74" t="n"/>
      <c r="J608" s="217" t="inlineStr"/>
    </row>
    <row r="609" ht="15.75" customHeight="1" s="305">
      <c r="A609" s="67" t="n"/>
      <c r="B609" s="67" t="n"/>
      <c r="C609" s="67" t="n"/>
      <c r="D609" s="3" t="n"/>
      <c r="E609" s="3" t="n"/>
      <c r="G609" t="inlineStr"/>
      <c r="H609" t="inlineStr"/>
      <c r="I609" s="74" t="n"/>
      <c r="J609" s="217" t="inlineStr"/>
    </row>
    <row r="610" ht="15.75" customHeight="1" s="305">
      <c r="A610" s="67" t="n"/>
      <c r="B610" s="67" t="n"/>
      <c r="C610" s="67" t="n"/>
      <c r="D610" s="3" t="n"/>
      <c r="E610" s="3" t="n"/>
      <c r="G610" t="inlineStr"/>
      <c r="H610" t="inlineStr"/>
      <c r="I610" s="74" t="n"/>
      <c r="J610" s="217" t="inlineStr"/>
    </row>
    <row r="611" ht="15.75" customHeight="1" s="305">
      <c r="A611" s="67" t="n"/>
      <c r="B611" s="67" t="n"/>
      <c r="C611" s="67" t="n"/>
      <c r="D611" s="3" t="n"/>
      <c r="E611" s="3" t="n"/>
      <c r="G611" t="inlineStr"/>
      <c r="H611" t="inlineStr"/>
      <c r="I611" s="74" t="n"/>
      <c r="J611" s="217" t="inlineStr"/>
    </row>
    <row r="612" ht="15.75" customHeight="1" s="305">
      <c r="A612" s="67" t="n"/>
      <c r="B612" s="67" t="n"/>
      <c r="C612" s="67" t="n"/>
      <c r="D612" s="3" t="n"/>
      <c r="E612" s="3" t="n"/>
      <c r="G612" t="inlineStr"/>
      <c r="H612" t="inlineStr"/>
      <c r="I612" s="74" t="n"/>
      <c r="J612" s="217" t="inlineStr"/>
    </row>
    <row r="613" ht="15.75" customHeight="1" s="305">
      <c r="A613" s="67" t="n"/>
      <c r="B613" s="67" t="n"/>
      <c r="C613" s="67" t="n"/>
      <c r="D613" s="3" t="n"/>
      <c r="E613" s="3" t="n"/>
      <c r="G613" t="inlineStr"/>
      <c r="H613" t="inlineStr"/>
      <c r="I613" s="74" t="n"/>
      <c r="J613" s="217" t="inlineStr"/>
    </row>
    <row r="614" ht="15.75" customHeight="1" s="305">
      <c r="A614" s="67" t="n"/>
      <c r="B614" s="67" t="n"/>
      <c r="C614" s="67" t="n"/>
      <c r="D614" s="3" t="n"/>
      <c r="E614" s="3" t="n"/>
      <c r="G614" t="inlineStr"/>
      <c r="H614" t="inlineStr"/>
      <c r="I614" s="74" t="n"/>
      <c r="J614" s="217" t="inlineStr"/>
    </row>
    <row r="615" ht="15.75" customHeight="1" s="305">
      <c r="A615" s="67" t="n"/>
      <c r="B615" s="67" t="n"/>
      <c r="C615" s="67" t="n"/>
      <c r="D615" s="3" t="n"/>
      <c r="E615" s="3" t="n"/>
      <c r="G615" t="inlineStr"/>
      <c r="H615" t="inlineStr"/>
      <c r="I615" s="74" t="n"/>
      <c r="J615" s="217" t="inlineStr"/>
    </row>
    <row r="616" ht="15.75" customHeight="1" s="305">
      <c r="A616" s="67" t="n"/>
      <c r="B616" s="67" t="n"/>
      <c r="C616" s="67" t="n"/>
      <c r="D616" s="3" t="n"/>
      <c r="E616" s="3" t="n"/>
      <c r="G616" t="inlineStr"/>
      <c r="H616" t="inlineStr"/>
      <c r="I616" s="74" t="n"/>
      <c r="J616" s="217" t="inlineStr"/>
    </row>
    <row r="617" ht="15.75" customHeight="1" s="305">
      <c r="A617" s="67" t="n"/>
      <c r="B617" s="67" t="n"/>
      <c r="C617" s="67" t="n"/>
      <c r="D617" s="3" t="n"/>
      <c r="E617" s="3" t="n"/>
      <c r="G617" t="inlineStr"/>
      <c r="H617" t="inlineStr"/>
      <c r="I617" s="74" t="n"/>
      <c r="J617" s="217" t="inlineStr"/>
    </row>
    <row r="618" ht="15.75" customHeight="1" s="305">
      <c r="A618" s="67" t="n"/>
      <c r="B618" s="67" t="n"/>
      <c r="C618" s="67" t="n"/>
      <c r="D618" s="3" t="n"/>
      <c r="E618" s="3" t="n"/>
      <c r="G618" t="inlineStr"/>
      <c r="H618" t="inlineStr"/>
      <c r="I618" s="74" t="n"/>
      <c r="J618" s="217" t="inlineStr"/>
    </row>
    <row r="619" ht="15.75" customHeight="1" s="305">
      <c r="A619" s="67" t="n"/>
      <c r="B619" s="67" t="n"/>
      <c r="C619" s="67" t="n"/>
      <c r="D619" s="3" t="n"/>
      <c r="E619" s="3" t="n"/>
      <c r="G619" t="inlineStr"/>
      <c r="H619" t="inlineStr"/>
      <c r="I619" s="74" t="n"/>
      <c r="J619" s="217" t="inlineStr"/>
    </row>
    <row r="620" ht="15.75" customHeight="1" s="305">
      <c r="A620" s="67" t="n"/>
      <c r="B620" s="67" t="n"/>
      <c r="C620" s="67" t="n"/>
      <c r="D620" s="3" t="n"/>
      <c r="E620" s="3" t="n"/>
      <c r="G620" t="inlineStr"/>
      <c r="H620" t="inlineStr"/>
      <c r="I620" s="74" t="n"/>
      <c r="J620" s="217" t="inlineStr"/>
    </row>
    <row r="621" ht="15.75" customHeight="1" s="305">
      <c r="A621" s="67" t="n"/>
      <c r="B621" s="67" t="n"/>
      <c r="C621" s="67" t="n"/>
      <c r="D621" s="3" t="n"/>
      <c r="E621" s="3" t="n"/>
      <c r="G621" t="inlineStr"/>
      <c r="H621" t="inlineStr"/>
      <c r="I621" s="74" t="n"/>
      <c r="J621" s="217" t="inlineStr"/>
    </row>
    <row r="622" ht="15.75" customHeight="1" s="305">
      <c r="A622" s="67" t="n"/>
      <c r="B622" s="67" t="n"/>
      <c r="C622" s="67" t="n"/>
      <c r="D622" s="3" t="n"/>
      <c r="E622" s="3" t="n"/>
      <c r="G622" t="inlineStr"/>
      <c r="H622" t="inlineStr"/>
      <c r="I622" s="74" t="n"/>
      <c r="J622" s="217" t="inlineStr"/>
    </row>
    <row r="623" ht="15.75" customHeight="1" s="305">
      <c r="A623" s="67" t="n"/>
      <c r="B623" s="67" t="n"/>
      <c r="C623" s="67" t="n"/>
      <c r="D623" s="3" t="n"/>
      <c r="E623" s="3" t="n"/>
      <c r="G623" t="inlineStr"/>
      <c r="H623" t="inlineStr"/>
      <c r="I623" s="74" t="n"/>
      <c r="J623" s="217" t="inlineStr"/>
    </row>
    <row r="624" ht="15.75" customHeight="1" s="305">
      <c r="A624" s="67" t="n"/>
      <c r="B624" s="67" t="n"/>
      <c r="C624" s="67" t="n"/>
      <c r="D624" s="3" t="n"/>
      <c r="E624" s="3" t="n"/>
      <c r="G624" t="inlineStr"/>
      <c r="H624" t="inlineStr"/>
      <c r="I624" s="74" t="n"/>
      <c r="J624" s="217" t="inlineStr"/>
    </row>
    <row r="625" ht="15.75" customHeight="1" s="305">
      <c r="A625" s="67" t="n"/>
      <c r="B625" s="67" t="n"/>
      <c r="C625" s="67" t="n"/>
      <c r="D625" s="3" t="n"/>
      <c r="E625" s="67" t="n"/>
      <c r="G625" t="inlineStr"/>
      <c r="H625" t="inlineStr"/>
      <c r="I625" s="74" t="n"/>
      <c r="J625" s="217" t="inlineStr"/>
    </row>
    <row r="626" ht="15.75" customHeight="1" s="305">
      <c r="A626" s="67" t="n"/>
      <c r="B626" s="67" t="n"/>
      <c r="C626" s="67" t="n"/>
      <c r="D626" s="3" t="n"/>
      <c r="E626" s="67" t="n"/>
      <c r="G626" t="inlineStr"/>
      <c r="H626" t="inlineStr"/>
      <c r="I626" s="74" t="n"/>
      <c r="J626" s="217" t="inlineStr"/>
    </row>
    <row r="627" ht="15.75" customHeight="1" s="305">
      <c r="A627" s="67" t="n"/>
      <c r="B627" s="67" t="n"/>
      <c r="C627" s="67" t="n"/>
      <c r="D627" s="3" t="n"/>
      <c r="E627" s="3" t="n"/>
      <c r="G627" t="inlineStr"/>
      <c r="H627" t="inlineStr"/>
      <c r="I627" s="74" t="n"/>
      <c r="J627" s="217" t="inlineStr"/>
    </row>
    <row r="628" ht="15.75" customHeight="1" s="305">
      <c r="A628" s="67" t="n"/>
      <c r="B628" s="67" t="n"/>
      <c r="C628" s="67" t="n"/>
      <c r="D628" s="3" t="n"/>
      <c r="E628" s="3" t="n"/>
      <c r="G628" t="inlineStr"/>
      <c r="H628" t="inlineStr"/>
      <c r="I628" s="74" t="n"/>
      <c r="J628" s="217" t="inlineStr"/>
    </row>
    <row r="629" ht="15.75" customHeight="1" s="305">
      <c r="A629" s="67" t="n"/>
      <c r="B629" s="67" t="n"/>
      <c r="C629" s="67" t="n"/>
      <c r="D629" s="3" t="n"/>
      <c r="E629" s="3" t="n"/>
      <c r="G629" t="inlineStr"/>
      <c r="H629" t="inlineStr"/>
      <c r="I629" s="74" t="n"/>
      <c r="J629" s="217" t="inlineStr"/>
    </row>
    <row r="630" ht="15.75" customHeight="1" s="305">
      <c r="A630" s="67" t="n"/>
      <c r="B630" s="67" t="n"/>
      <c r="C630" s="67" t="n"/>
      <c r="D630" s="3" t="n"/>
      <c r="E630" s="3" t="n"/>
      <c r="G630" t="inlineStr"/>
      <c r="H630" t="inlineStr"/>
      <c r="I630" s="74" t="n"/>
      <c r="J630" s="217" t="inlineStr"/>
    </row>
    <row r="631" ht="15.75" customHeight="1" s="305">
      <c r="A631" s="67" t="n"/>
      <c r="B631" s="67" t="n"/>
      <c r="C631" s="67" t="n"/>
      <c r="D631" s="3" t="n"/>
      <c r="E631" s="3" t="n"/>
      <c r="G631" t="inlineStr"/>
      <c r="H631" t="inlineStr"/>
      <c r="I631" s="74" t="n"/>
      <c r="J631" s="217" t="inlineStr"/>
    </row>
    <row r="632" ht="15.75" customHeight="1" s="305">
      <c r="A632" s="67" t="n"/>
      <c r="B632" s="67" t="n"/>
      <c r="C632" s="67" t="n"/>
      <c r="D632" s="3" t="n"/>
      <c r="E632" s="3" t="n"/>
      <c r="G632" t="inlineStr"/>
      <c r="H632" t="inlineStr"/>
      <c r="I632" s="74" t="n"/>
      <c r="J632" s="217" t="inlineStr"/>
    </row>
    <row r="633" ht="15.75" customHeight="1" s="305">
      <c r="A633" s="67" t="n"/>
      <c r="B633" s="67" t="n"/>
      <c r="C633" s="67" t="n"/>
      <c r="D633" s="3" t="n"/>
      <c r="E633" s="3" t="n"/>
      <c r="G633" t="inlineStr"/>
      <c r="H633" t="inlineStr"/>
      <c r="I633" s="74" t="n"/>
      <c r="J633" s="217" t="inlineStr"/>
    </row>
    <row r="634" ht="15.75" customHeight="1" s="305">
      <c r="A634" s="67" t="n"/>
      <c r="B634" s="67" t="n"/>
      <c r="C634" s="67" t="n"/>
      <c r="D634" s="3" t="n"/>
      <c r="E634" s="3" t="n"/>
      <c r="G634" t="inlineStr"/>
      <c r="H634" t="inlineStr"/>
      <c r="I634" s="74" t="n"/>
      <c r="J634" s="217" t="inlineStr"/>
    </row>
    <row r="635" ht="15.75" customHeight="1" s="305">
      <c r="A635" s="67" t="n"/>
      <c r="B635" s="67" t="n"/>
      <c r="C635" s="67" t="n"/>
      <c r="D635" s="3" t="n"/>
      <c r="E635" s="3" t="n"/>
      <c r="G635" t="inlineStr"/>
      <c r="H635" t="inlineStr"/>
      <c r="I635" s="74" t="n"/>
      <c r="J635" s="217" t="inlineStr"/>
    </row>
    <row r="636" ht="15.75" customHeight="1" s="305">
      <c r="A636" s="67" t="n"/>
      <c r="B636" s="67" t="n"/>
      <c r="C636" s="67" t="n"/>
      <c r="D636" s="3" t="n"/>
      <c r="E636" s="3" t="n"/>
      <c r="G636" t="inlineStr"/>
      <c r="H636" t="inlineStr"/>
      <c r="I636" s="74" t="n"/>
      <c r="J636" s="217" t="inlineStr"/>
    </row>
    <row r="637" ht="15.75" customHeight="1" s="305">
      <c r="A637" s="67" t="n"/>
      <c r="B637" s="67" t="n"/>
      <c r="C637" s="67" t="n"/>
      <c r="D637" s="3" t="n"/>
      <c r="E637" s="3" t="n"/>
      <c r="G637" t="inlineStr"/>
      <c r="H637" t="inlineStr"/>
      <c r="I637" s="74" t="n"/>
      <c r="J637" s="217" t="inlineStr"/>
    </row>
    <row r="638" ht="15.75" customHeight="1" s="305">
      <c r="A638" s="67" t="n"/>
      <c r="B638" s="67" t="n"/>
      <c r="C638" s="67" t="n"/>
      <c r="D638" s="3" t="n"/>
      <c r="E638" s="3" t="n"/>
      <c r="G638" t="inlineStr"/>
      <c r="H638" t="inlineStr"/>
      <c r="I638" s="74" t="n"/>
      <c r="J638" s="217" t="inlineStr"/>
    </row>
    <row r="639" ht="15.75" customHeight="1" s="305">
      <c r="A639" s="67" t="n"/>
      <c r="B639" s="67" t="n"/>
      <c r="C639" s="67" t="n"/>
      <c r="D639" s="3" t="n"/>
      <c r="E639" s="3" t="n"/>
      <c r="G639" t="inlineStr"/>
      <c r="H639" t="inlineStr"/>
      <c r="I639" s="74" t="n"/>
      <c r="J639" s="217" t="inlineStr"/>
    </row>
    <row r="640" ht="15.75" customHeight="1" s="305">
      <c r="A640" s="67" t="n"/>
      <c r="B640" s="67" t="n"/>
      <c r="C640" s="67" t="n"/>
      <c r="D640" s="3" t="n"/>
      <c r="E640" s="3" t="n"/>
      <c r="G640" t="inlineStr"/>
      <c r="H640" t="inlineStr"/>
      <c r="I640" s="74" t="n"/>
      <c r="J640" s="217" t="inlineStr"/>
    </row>
    <row r="641" ht="15.75" customHeight="1" s="305">
      <c r="A641" s="67" t="n"/>
      <c r="B641" s="67" t="n"/>
      <c r="C641" s="67" t="n"/>
      <c r="D641" s="3" t="n"/>
      <c r="E641" s="3" t="n"/>
      <c r="G641" t="inlineStr"/>
      <c r="H641" t="inlineStr"/>
      <c r="I641" s="74" t="n"/>
      <c r="J641" s="217" t="inlineStr"/>
    </row>
    <row r="642" ht="15.75" customHeight="1" s="305">
      <c r="A642" s="67" t="n"/>
      <c r="B642" s="67" t="n"/>
      <c r="C642" s="67" t="n"/>
      <c r="D642" s="3" t="n"/>
      <c r="E642" s="3" t="n"/>
      <c r="G642" t="inlineStr"/>
      <c r="H642" t="inlineStr"/>
      <c r="I642" s="74" t="n"/>
      <c r="J642" s="217" t="inlineStr"/>
    </row>
    <row r="643" ht="15.75" customHeight="1" s="305">
      <c r="A643" s="67" t="n"/>
      <c r="B643" s="67" t="n"/>
      <c r="C643" s="67" t="n"/>
      <c r="D643" s="3" t="n"/>
      <c r="E643" s="3" t="n"/>
      <c r="G643" t="inlineStr"/>
      <c r="H643" t="inlineStr"/>
      <c r="I643" s="74" t="n"/>
      <c r="J643" s="217" t="inlineStr"/>
    </row>
    <row r="644" ht="15.75" customHeight="1" s="305">
      <c r="A644" s="67" t="n"/>
      <c r="B644" s="67" t="n"/>
      <c r="C644" s="67" t="n"/>
      <c r="D644" s="3" t="n"/>
      <c r="E644" s="3" t="n"/>
      <c r="G644" t="inlineStr"/>
      <c r="H644" t="inlineStr"/>
      <c r="I644" s="74" t="n"/>
      <c r="J644" s="217" t="inlineStr"/>
    </row>
    <row r="645" ht="15.75" customHeight="1" s="305">
      <c r="A645" s="67" t="n"/>
      <c r="B645" s="67" t="n"/>
      <c r="C645" s="67" t="n"/>
      <c r="D645" s="3" t="n"/>
      <c r="E645" s="3" t="n"/>
      <c r="G645" t="inlineStr"/>
      <c r="H645" t="inlineStr"/>
      <c r="I645" s="74" t="n"/>
      <c r="J645" s="217" t="inlineStr"/>
    </row>
    <row r="646" ht="15.75" customHeight="1" s="305">
      <c r="A646" s="67" t="n"/>
      <c r="B646" s="67" t="n"/>
      <c r="C646" s="67" t="n"/>
      <c r="D646" s="3" t="n"/>
      <c r="E646" s="3" t="n"/>
      <c r="G646" t="inlineStr"/>
      <c r="H646" t="inlineStr"/>
      <c r="I646" s="74" t="n"/>
      <c r="J646" s="217" t="inlineStr"/>
    </row>
    <row r="647" ht="15.75" customHeight="1" s="305">
      <c r="A647" s="67" t="n"/>
      <c r="B647" s="67" t="n"/>
      <c r="C647" s="67" t="n"/>
      <c r="D647" s="3" t="n"/>
      <c r="E647" s="3" t="n"/>
      <c r="G647" t="inlineStr"/>
      <c r="H647" t="inlineStr"/>
      <c r="I647" s="74" t="n"/>
      <c r="J647" s="217" t="inlineStr"/>
    </row>
    <row r="648" ht="15.75" customHeight="1" s="305">
      <c r="A648" s="67" t="n"/>
      <c r="B648" s="67" t="n"/>
      <c r="C648" s="67" t="n"/>
      <c r="D648" s="3" t="n"/>
      <c r="E648" s="3" t="n"/>
      <c r="G648" t="inlineStr"/>
      <c r="H648" t="inlineStr"/>
      <c r="I648" s="74" t="n"/>
      <c r="J648" s="217" t="inlineStr"/>
    </row>
    <row r="649" ht="15.75" customHeight="1" s="305">
      <c r="A649" s="67" t="n"/>
      <c r="B649" s="67" t="n"/>
      <c r="C649" s="67" t="n"/>
      <c r="D649" s="3" t="n"/>
      <c r="E649" s="3" t="n"/>
      <c r="G649" t="inlineStr"/>
      <c r="H649" t="inlineStr"/>
      <c r="I649" s="74" t="n"/>
      <c r="J649" s="217" t="inlineStr"/>
    </row>
    <row r="650" ht="15.75" customHeight="1" s="305">
      <c r="A650" s="67" t="n"/>
      <c r="B650" s="67" t="n"/>
      <c r="C650" s="67" t="n"/>
      <c r="D650" s="3" t="n"/>
      <c r="E650" s="3" t="n"/>
      <c r="G650" t="inlineStr"/>
      <c r="H650" t="inlineStr"/>
      <c r="I650" s="74" t="n"/>
      <c r="J650" s="217" t="inlineStr"/>
    </row>
    <row r="651" ht="15.75" customHeight="1" s="305">
      <c r="A651" s="67" t="n"/>
      <c r="B651" s="67" t="n"/>
      <c r="C651" s="67" t="n"/>
      <c r="D651" s="3" t="n"/>
      <c r="E651" s="3" t="n"/>
      <c r="G651" t="inlineStr"/>
      <c r="H651" t="inlineStr"/>
      <c r="I651" s="74" t="n"/>
      <c r="J651" s="217" t="inlineStr"/>
    </row>
    <row r="652" ht="15.75" customHeight="1" s="305">
      <c r="A652" s="67" t="n"/>
      <c r="B652" s="67" t="n"/>
      <c r="C652" s="67" t="n"/>
      <c r="D652" s="3" t="n"/>
      <c r="E652" s="3" t="n"/>
      <c r="G652" t="inlineStr"/>
      <c r="H652" t="inlineStr"/>
      <c r="I652" s="74" t="n"/>
      <c r="J652" s="217" t="inlineStr"/>
    </row>
    <row r="653" ht="15.75" customHeight="1" s="305">
      <c r="A653" s="67" t="n"/>
      <c r="B653" s="67" t="n"/>
      <c r="C653" s="67" t="n"/>
      <c r="D653" s="3" t="n"/>
      <c r="E653" s="3" t="n"/>
      <c r="G653" t="inlineStr"/>
      <c r="H653" t="inlineStr"/>
      <c r="I653" s="74" t="n"/>
      <c r="J653" s="217" t="inlineStr"/>
    </row>
    <row r="654" ht="15.75" customHeight="1" s="305">
      <c r="A654" s="67" t="n"/>
      <c r="B654" s="67" t="n"/>
      <c r="C654" s="67" t="n"/>
      <c r="D654" s="3" t="n"/>
      <c r="E654" s="3" t="n"/>
      <c r="G654" t="inlineStr"/>
      <c r="H654" t="inlineStr"/>
      <c r="I654" s="74" t="n"/>
      <c r="J654" s="217" t="inlineStr"/>
    </row>
    <row r="655" ht="15.75" customHeight="1" s="305">
      <c r="A655" s="67" t="n"/>
      <c r="B655" s="67" t="n"/>
      <c r="C655" s="67" t="n"/>
      <c r="D655" s="3" t="n"/>
      <c r="E655" s="3" t="n"/>
      <c r="G655" t="inlineStr"/>
      <c r="H655" t="inlineStr"/>
      <c r="I655" s="74" t="n"/>
      <c r="J655" s="217" t="inlineStr"/>
    </row>
    <row r="656" ht="15.75" customHeight="1" s="305">
      <c r="A656" s="67" t="n"/>
      <c r="B656" s="67" t="n"/>
      <c r="C656" s="67" t="n"/>
      <c r="D656" s="3" t="n"/>
      <c r="E656" s="3" t="n"/>
      <c r="G656" t="inlineStr"/>
      <c r="H656" t="inlineStr"/>
      <c r="I656" s="84" t="n"/>
      <c r="J656" s="217" t="inlineStr"/>
    </row>
    <row r="657" ht="15.75" customHeight="1" s="305">
      <c r="A657" s="67" t="n"/>
      <c r="B657" s="67" t="n"/>
      <c r="C657" s="67" t="n"/>
      <c r="D657" s="3" t="n"/>
      <c r="E657" s="3" t="n"/>
      <c r="G657" t="inlineStr"/>
      <c r="H657" t="inlineStr"/>
      <c r="I657" s="74" t="n"/>
      <c r="J657" s="217" t="inlineStr"/>
    </row>
    <row r="658" ht="15.75" customHeight="1" s="305">
      <c r="A658" s="67" t="n"/>
      <c r="B658" s="67" t="n"/>
      <c r="C658" s="67" t="n"/>
      <c r="D658" s="3" t="n"/>
      <c r="E658" s="67" t="n"/>
      <c r="G658" t="inlineStr"/>
      <c r="H658" t="inlineStr"/>
      <c r="I658" s="74" t="n"/>
      <c r="J658" s="217" t="inlineStr"/>
    </row>
    <row r="659" ht="15.75" customHeight="1" s="305">
      <c r="A659" s="67" t="n"/>
      <c r="B659" s="67" t="n"/>
      <c r="C659" s="67" t="n"/>
      <c r="D659" s="3" t="n"/>
      <c r="E659" s="3" t="n"/>
      <c r="G659" t="inlineStr"/>
      <c r="H659" t="inlineStr"/>
      <c r="I659" s="74" t="n"/>
      <c r="J659" s="217" t="inlineStr"/>
    </row>
    <row r="660" ht="15.75" customHeight="1" s="305">
      <c r="A660" s="67" t="n"/>
      <c r="B660" s="67" t="n"/>
      <c r="C660" s="67" t="n"/>
      <c r="D660" s="3" t="n"/>
      <c r="E660" s="3" t="n"/>
      <c r="G660" t="inlineStr"/>
      <c r="H660" t="inlineStr"/>
      <c r="I660" s="74" t="n"/>
      <c r="J660" s="217" t="inlineStr"/>
    </row>
    <row r="661" ht="15.75" customHeight="1" s="305">
      <c r="A661" s="67" t="n"/>
      <c r="B661" s="67" t="n"/>
      <c r="C661" s="67" t="n"/>
      <c r="D661" s="3" t="n"/>
      <c r="E661" s="3" t="n"/>
      <c r="G661" t="inlineStr"/>
      <c r="H661" t="inlineStr"/>
      <c r="I661" s="74" t="n"/>
      <c r="J661" s="217" t="inlineStr"/>
    </row>
    <row r="662" ht="15.75" customHeight="1" s="305">
      <c r="A662" s="67" t="n"/>
      <c r="B662" s="67" t="n"/>
      <c r="C662" s="67" t="n"/>
      <c r="D662" s="3" t="n"/>
      <c r="E662" s="3" t="n"/>
      <c r="G662" t="inlineStr"/>
      <c r="H662" t="inlineStr"/>
      <c r="I662" s="74" t="n"/>
      <c r="J662" s="217" t="inlineStr"/>
    </row>
    <row r="663" ht="15.75" customHeight="1" s="305">
      <c r="A663" s="67" t="n"/>
      <c r="B663" s="67" t="n"/>
      <c r="C663" s="67" t="n"/>
      <c r="D663" s="3" t="n"/>
      <c r="E663" s="3" t="n"/>
      <c r="G663" t="inlineStr"/>
      <c r="H663" t="inlineStr"/>
      <c r="I663" s="74" t="n"/>
      <c r="J663" s="217" t="inlineStr"/>
    </row>
    <row r="664" ht="15.75" customHeight="1" s="305">
      <c r="A664" s="67" t="n"/>
      <c r="B664" s="67" t="n"/>
      <c r="C664" s="67" t="n"/>
      <c r="D664" s="3" t="n"/>
      <c r="E664" s="3" t="n"/>
      <c r="G664" t="inlineStr"/>
      <c r="H664" t="inlineStr"/>
      <c r="I664" s="74" t="n"/>
      <c r="J664" s="217" t="inlineStr"/>
    </row>
    <row r="665" ht="15.75" customHeight="1" s="305">
      <c r="A665" s="67" t="n"/>
      <c r="B665" s="67" t="n"/>
      <c r="C665" s="67" t="n"/>
      <c r="D665" s="3" t="n"/>
      <c r="E665" s="3" t="n"/>
      <c r="G665" t="inlineStr"/>
      <c r="H665" t="inlineStr"/>
      <c r="I665" s="74" t="n"/>
      <c r="J665" s="217" t="inlineStr"/>
    </row>
    <row r="666" ht="15.75" customHeight="1" s="305">
      <c r="A666" s="67" t="n"/>
      <c r="B666" s="67" t="n"/>
      <c r="C666" s="67" t="n"/>
      <c r="D666" s="3" t="n"/>
      <c r="E666" s="3" t="n"/>
      <c r="G666" t="inlineStr"/>
      <c r="H666" t="inlineStr"/>
      <c r="I666" s="74" t="n"/>
      <c r="J666" s="217" t="inlineStr"/>
    </row>
    <row r="667" ht="15.75" customHeight="1" s="305">
      <c r="A667" s="67" t="n"/>
      <c r="B667" s="67" t="n"/>
      <c r="C667" s="67" t="n"/>
      <c r="D667" s="3" t="n"/>
      <c r="E667" s="3" t="n"/>
      <c r="G667" t="inlineStr"/>
      <c r="H667" t="inlineStr"/>
      <c r="I667" s="74" t="n"/>
      <c r="J667" s="217" t="inlineStr"/>
    </row>
    <row r="668" ht="15.75" customHeight="1" s="305">
      <c r="A668" s="67" t="n"/>
      <c r="B668" s="67" t="n"/>
      <c r="C668" s="67" t="n"/>
      <c r="D668" s="3" t="n"/>
      <c r="E668" s="3" t="n"/>
      <c r="G668" t="inlineStr"/>
      <c r="H668" t="inlineStr"/>
      <c r="I668" s="74" t="n"/>
      <c r="J668" s="217" t="inlineStr"/>
    </row>
    <row r="669" ht="15.75" customHeight="1" s="305">
      <c r="A669" s="67" t="n"/>
      <c r="B669" s="67" t="n"/>
      <c r="C669" s="67" t="n"/>
      <c r="D669" s="3" t="n"/>
      <c r="E669" s="3" t="n"/>
      <c r="G669" t="inlineStr"/>
      <c r="H669" t="inlineStr"/>
      <c r="I669" s="74" t="n"/>
      <c r="J669" s="217" t="inlineStr"/>
    </row>
    <row r="670" ht="15.75" customHeight="1" s="305">
      <c r="A670" s="67" t="n"/>
      <c r="B670" s="67" t="n"/>
      <c r="C670" s="67" t="n"/>
      <c r="D670" s="3" t="n"/>
      <c r="E670" s="3" t="n"/>
      <c r="G670" t="inlineStr"/>
      <c r="H670" t="inlineStr"/>
      <c r="I670" s="74" t="n"/>
      <c r="J670" s="217" t="inlineStr"/>
    </row>
    <row r="671" ht="15.75" customHeight="1" s="305">
      <c r="A671" s="67" t="n"/>
      <c r="B671" s="67" t="n"/>
      <c r="C671" s="67" t="n"/>
      <c r="D671" s="3" t="n"/>
      <c r="E671" s="3" t="n"/>
      <c r="G671" t="inlineStr"/>
      <c r="H671" t="inlineStr"/>
      <c r="I671" s="74" t="n"/>
      <c r="J671" s="217" t="inlineStr"/>
    </row>
    <row r="672" ht="15.75" customHeight="1" s="305">
      <c r="A672" s="67" t="n"/>
      <c r="B672" s="67" t="n"/>
      <c r="C672" s="67" t="n"/>
      <c r="D672" s="3" t="n"/>
      <c r="E672" s="3" t="n"/>
      <c r="G672" t="inlineStr"/>
      <c r="H672" t="inlineStr"/>
      <c r="I672" s="74" t="n"/>
      <c r="J672" s="217" t="inlineStr"/>
    </row>
    <row r="673" ht="15.75" customHeight="1" s="305">
      <c r="A673" s="67" t="n"/>
      <c r="B673" s="67" t="n"/>
      <c r="C673" s="67" t="n"/>
      <c r="D673" s="3" t="n"/>
      <c r="E673" s="3" t="n"/>
      <c r="G673" t="inlineStr"/>
      <c r="H673" t="inlineStr"/>
      <c r="I673" s="74" t="n"/>
      <c r="J673" s="217" t="inlineStr"/>
    </row>
    <row r="674" ht="15.75" customHeight="1" s="305">
      <c r="A674" s="67" t="n"/>
      <c r="B674" s="67" t="n"/>
      <c r="C674" s="67" t="n"/>
      <c r="D674" s="3" t="n"/>
      <c r="E674" s="3" t="n"/>
      <c r="G674" t="inlineStr"/>
      <c r="H674" t="inlineStr"/>
      <c r="I674" s="74" t="n"/>
      <c r="J674" s="217" t="inlineStr"/>
    </row>
    <row r="675" ht="15.75" customHeight="1" s="305">
      <c r="A675" s="67" t="n"/>
      <c r="B675" s="67" t="n"/>
      <c r="C675" s="67" t="n"/>
      <c r="D675" s="3" t="n"/>
      <c r="E675" s="3" t="n"/>
      <c r="G675" t="inlineStr"/>
      <c r="H675" t="inlineStr"/>
      <c r="I675" s="74" t="n"/>
      <c r="J675" s="217" t="inlineStr"/>
    </row>
    <row r="676" ht="15.75" customHeight="1" s="305">
      <c r="A676" s="67" t="n"/>
      <c r="B676" s="67" t="n"/>
      <c r="C676" s="67" t="n"/>
      <c r="D676" s="3" t="n"/>
      <c r="E676" s="3" t="n"/>
      <c r="G676" t="inlineStr"/>
      <c r="H676" t="inlineStr"/>
      <c r="I676" s="74" t="n"/>
      <c r="J676" s="217" t="inlineStr"/>
    </row>
    <row r="677" ht="15.75" customHeight="1" s="305">
      <c r="A677" s="67" t="n"/>
      <c r="B677" s="67" t="n"/>
      <c r="C677" s="67" t="n"/>
      <c r="D677" s="3" t="n"/>
      <c r="E677" s="3" t="n"/>
      <c r="G677" t="inlineStr"/>
      <c r="H677" t="inlineStr"/>
      <c r="I677" s="74" t="n"/>
      <c r="J677" s="217" t="inlineStr"/>
    </row>
    <row r="678" ht="15.75" customHeight="1" s="305">
      <c r="A678" s="67" t="n"/>
      <c r="B678" s="67" t="n"/>
      <c r="C678" s="67" t="n"/>
      <c r="D678" s="3" t="n"/>
      <c r="E678" s="3" t="n"/>
      <c r="G678" t="inlineStr"/>
      <c r="H678" t="inlineStr"/>
      <c r="I678" s="74" t="n"/>
      <c r="J678" s="217" t="inlineStr"/>
    </row>
    <row r="679" ht="15.75" customHeight="1" s="305">
      <c r="A679" s="67" t="n"/>
      <c r="B679" s="67" t="n"/>
      <c r="C679" s="67" t="n"/>
      <c r="D679" s="3" t="n"/>
      <c r="E679" s="3" t="n"/>
      <c r="G679" t="inlineStr"/>
      <c r="H679" t="inlineStr"/>
      <c r="I679" s="74" t="n"/>
      <c r="J679" s="217" t="inlineStr"/>
    </row>
    <row r="680" ht="15.75" customHeight="1" s="305">
      <c r="A680" s="67" t="n"/>
      <c r="B680" s="67" t="n"/>
      <c r="C680" s="67" t="n"/>
      <c r="D680" s="3" t="n"/>
      <c r="E680" s="3" t="n"/>
      <c r="G680" t="inlineStr"/>
      <c r="H680" t="inlineStr"/>
      <c r="I680" s="74" t="n"/>
      <c r="J680" s="217" t="inlineStr"/>
    </row>
    <row r="681" ht="15.75" customHeight="1" s="305">
      <c r="A681" s="67" t="n"/>
      <c r="B681" s="67" t="n"/>
      <c r="C681" s="67" t="n"/>
      <c r="D681" s="3" t="n"/>
      <c r="E681" s="3" t="n"/>
      <c r="G681" t="inlineStr"/>
      <c r="H681" t="inlineStr"/>
      <c r="I681" s="74" t="n"/>
      <c r="J681" s="217" t="inlineStr"/>
    </row>
    <row r="682" ht="15.75" customHeight="1" s="305">
      <c r="A682" s="67" t="n"/>
      <c r="B682" s="67" t="n"/>
      <c r="C682" s="67" t="n"/>
      <c r="D682" s="3" t="n"/>
      <c r="E682" s="3" t="n"/>
      <c r="G682" t="inlineStr"/>
      <c r="H682" t="inlineStr"/>
      <c r="I682" s="74" t="n"/>
      <c r="J682" s="217" t="inlineStr"/>
    </row>
    <row r="683" ht="15.75" customHeight="1" s="305">
      <c r="A683" s="67" t="n"/>
      <c r="B683" s="67" t="n"/>
      <c r="C683" s="67" t="n"/>
      <c r="D683" s="3" t="n"/>
      <c r="E683" s="3" t="n"/>
      <c r="G683" t="inlineStr"/>
      <c r="H683" t="inlineStr"/>
      <c r="I683" s="74" t="n"/>
      <c r="J683" s="217" t="inlineStr"/>
    </row>
    <row r="684" ht="15.75" customHeight="1" s="305">
      <c r="A684" s="67" t="n"/>
      <c r="B684" s="67" t="n"/>
      <c r="C684" s="67" t="n"/>
      <c r="D684" s="3" t="n"/>
      <c r="E684" s="3" t="n"/>
      <c r="G684" t="inlineStr"/>
      <c r="H684" t="inlineStr"/>
      <c r="I684" s="74" t="n"/>
      <c r="J684" s="217" t="inlineStr"/>
    </row>
    <row r="685" ht="15.75" customHeight="1" s="305">
      <c r="A685" s="67" t="n"/>
      <c r="B685" s="67" t="n"/>
      <c r="C685" s="67" t="n"/>
      <c r="D685" s="3" t="n"/>
      <c r="E685" s="3" t="n"/>
      <c r="G685" t="inlineStr"/>
      <c r="H685" t="inlineStr"/>
      <c r="I685" s="74" t="n"/>
      <c r="J685" s="217" t="inlineStr"/>
    </row>
    <row r="686" ht="15.75" customHeight="1" s="305">
      <c r="A686" s="67" t="n"/>
      <c r="B686" s="67" t="n"/>
      <c r="C686" s="67" t="n"/>
      <c r="D686" s="3" t="n"/>
      <c r="E686" s="3" t="n"/>
      <c r="G686" t="inlineStr"/>
      <c r="H686" t="inlineStr"/>
      <c r="I686" s="74" t="n"/>
      <c r="J686" s="217" t="inlineStr"/>
    </row>
    <row r="687" ht="15.75" customHeight="1" s="305">
      <c r="A687" s="67" t="n"/>
      <c r="B687" s="67" t="n"/>
      <c r="C687" s="67" t="n"/>
      <c r="D687" s="3" t="n"/>
      <c r="E687" s="3" t="n"/>
      <c r="G687" t="inlineStr"/>
      <c r="H687" t="inlineStr"/>
      <c r="I687" s="74" t="n"/>
      <c r="J687" s="217" t="inlineStr"/>
    </row>
    <row r="688" ht="15.75" customHeight="1" s="305">
      <c r="A688" s="67" t="n"/>
      <c r="B688" s="67" t="n"/>
      <c r="C688" s="67" t="n"/>
      <c r="D688" s="3" t="n"/>
      <c r="E688" s="3" t="n"/>
      <c r="G688" t="inlineStr"/>
      <c r="H688" t="inlineStr"/>
      <c r="I688" s="74" t="n"/>
      <c r="J688" s="217" t="inlineStr"/>
    </row>
    <row r="689" ht="15.75" customHeight="1" s="305">
      <c r="A689" s="67" t="n"/>
      <c r="B689" s="67" t="n"/>
      <c r="C689" s="67" t="n"/>
      <c r="D689" s="3" t="n"/>
      <c r="E689" s="3" t="n"/>
      <c r="G689" t="inlineStr"/>
      <c r="H689" t="inlineStr"/>
      <c r="I689" s="74" t="n"/>
      <c r="J689" s="217" t="inlineStr"/>
    </row>
    <row r="690" ht="15.75" customHeight="1" s="305">
      <c r="A690" s="67" t="n"/>
      <c r="B690" s="67" t="n"/>
      <c r="C690" s="67" t="n"/>
      <c r="D690" s="3" t="n"/>
      <c r="E690" s="3" t="n"/>
      <c r="G690" t="inlineStr"/>
      <c r="H690" t="inlineStr"/>
      <c r="I690" s="74" t="n"/>
      <c r="J690" s="217" t="inlineStr"/>
    </row>
    <row r="691" ht="15.75" customHeight="1" s="305">
      <c r="A691" s="67" t="n"/>
      <c r="B691" s="67" t="n"/>
      <c r="C691" s="67" t="n"/>
      <c r="D691" s="3" t="n"/>
      <c r="E691" s="3" t="n"/>
      <c r="G691" t="inlineStr"/>
      <c r="H691" t="inlineStr"/>
      <c r="I691" s="74" t="n"/>
      <c r="J691" s="217" t="inlineStr"/>
    </row>
    <row r="692" ht="15.75" customHeight="1" s="305">
      <c r="A692" s="67" t="n"/>
      <c r="B692" s="67" t="n"/>
      <c r="C692" s="67" t="n"/>
      <c r="D692" s="3" t="n"/>
      <c r="E692" s="3" t="n"/>
      <c r="G692" t="inlineStr"/>
      <c r="H692" t="inlineStr"/>
      <c r="I692" s="74" t="n"/>
      <c r="J692" s="217" t="inlineStr"/>
    </row>
    <row r="693" ht="15.75" customHeight="1" s="305">
      <c r="A693" s="67" t="n"/>
      <c r="B693" s="67" t="n"/>
      <c r="C693" s="67" t="n"/>
      <c r="D693" s="3" t="n"/>
      <c r="E693" s="3" t="n"/>
      <c r="G693" t="inlineStr"/>
      <c r="H693" t="inlineStr"/>
      <c r="I693" s="74" t="n"/>
      <c r="J693" s="217" t="inlineStr"/>
    </row>
    <row r="694" ht="15.75" customHeight="1" s="305">
      <c r="A694" s="67" t="n"/>
      <c r="B694" s="67" t="n"/>
      <c r="C694" s="67" t="n"/>
      <c r="D694" s="3" t="n"/>
      <c r="E694" s="3" t="n"/>
      <c r="G694" t="inlineStr"/>
      <c r="H694" t="inlineStr"/>
      <c r="I694" s="74" t="n"/>
      <c r="J694" s="217" t="inlineStr"/>
    </row>
    <row r="695" ht="15.75" customHeight="1" s="305">
      <c r="A695" s="67" t="n"/>
      <c r="B695" s="67" t="n"/>
      <c r="C695" s="67" t="n"/>
      <c r="D695" s="3" t="n"/>
      <c r="E695" s="3" t="n"/>
      <c r="G695" t="inlineStr"/>
      <c r="H695" t="inlineStr"/>
      <c r="I695" s="74" t="n"/>
      <c r="J695" s="217" t="inlineStr"/>
    </row>
    <row r="696" ht="15.75" customHeight="1" s="305">
      <c r="A696" s="67" t="n"/>
      <c r="B696" s="67" t="n"/>
      <c r="C696" s="67" t="n"/>
      <c r="D696" s="3" t="n"/>
      <c r="E696" s="3" t="n"/>
      <c r="G696" t="inlineStr"/>
      <c r="H696" t="inlineStr"/>
      <c r="I696" s="74" t="n"/>
      <c r="J696" s="217" t="inlineStr"/>
    </row>
    <row r="697" ht="15.75" customHeight="1" s="305">
      <c r="A697" s="67" t="n"/>
      <c r="B697" s="67" t="n"/>
      <c r="C697" s="67" t="n"/>
      <c r="D697" s="3" t="n"/>
      <c r="E697" s="3" t="n"/>
      <c r="G697" t="inlineStr"/>
      <c r="H697" t="inlineStr"/>
      <c r="I697" s="74" t="n"/>
      <c r="J697" s="217" t="inlineStr"/>
    </row>
    <row r="698" ht="15.75" customHeight="1" s="305">
      <c r="A698" s="67" t="n"/>
      <c r="B698" s="67" t="n"/>
      <c r="C698" s="67" t="n"/>
      <c r="D698" s="3" t="n"/>
      <c r="E698" s="67" t="n"/>
      <c r="G698" t="inlineStr"/>
      <c r="H698" t="inlineStr"/>
      <c r="I698" s="74" t="n"/>
      <c r="J698" s="217" t="inlineStr"/>
    </row>
    <row r="699" ht="15.75" customHeight="1" s="305">
      <c r="A699" s="67" t="n"/>
      <c r="B699" s="67" t="n"/>
      <c r="C699" s="67" t="n"/>
      <c r="D699" s="3" t="n"/>
      <c r="E699" s="3" t="n"/>
      <c r="G699" t="inlineStr"/>
      <c r="H699" t="inlineStr"/>
      <c r="I699" s="74" t="n"/>
      <c r="J699" s="217" t="inlineStr"/>
    </row>
    <row r="700" ht="15.75" customHeight="1" s="305">
      <c r="A700" s="67" t="n"/>
      <c r="B700" s="67" t="n"/>
      <c r="C700" s="67" t="n"/>
      <c r="D700" s="3" t="n"/>
      <c r="E700" s="159" t="n"/>
      <c r="G700" t="inlineStr"/>
      <c r="H700" t="inlineStr"/>
      <c r="I700" s="74" t="n"/>
      <c r="J700" s="217" t="inlineStr"/>
    </row>
    <row r="701" ht="15.75" customHeight="1" s="305">
      <c r="A701" s="67" t="n"/>
      <c r="B701" s="67" t="n"/>
      <c r="C701" s="67" t="n"/>
      <c r="D701" s="3" t="n"/>
      <c r="E701" s="3" t="n"/>
      <c r="G701" t="inlineStr"/>
      <c r="H701" t="inlineStr"/>
      <c r="I701" s="74" t="n"/>
      <c r="J701" s="217" t="inlineStr"/>
    </row>
    <row r="702" ht="15.75" customHeight="1" s="305">
      <c r="A702" s="67" t="n"/>
      <c r="B702" s="67" t="n"/>
      <c r="C702" s="67" t="n"/>
      <c r="D702" s="3" t="n"/>
      <c r="E702" s="3" t="n"/>
      <c r="G702" t="inlineStr"/>
      <c r="H702" t="inlineStr"/>
      <c r="I702" s="74" t="n"/>
      <c r="J702" s="217" t="inlineStr"/>
    </row>
    <row r="703" ht="15.75" customHeight="1" s="305">
      <c r="A703" s="67" t="n"/>
      <c r="B703" s="67" t="n"/>
      <c r="C703" s="67" t="n"/>
      <c r="D703" s="3" t="n"/>
      <c r="E703" s="3" t="n"/>
      <c r="G703" t="inlineStr"/>
      <c r="H703" t="inlineStr"/>
      <c r="I703" s="74" t="n"/>
      <c r="J703" s="217" t="inlineStr"/>
    </row>
    <row r="704" ht="15.75" customHeight="1" s="305">
      <c r="A704" s="67" t="n"/>
      <c r="B704" s="67" t="n"/>
      <c r="C704" s="67" t="n"/>
      <c r="D704" s="3" t="n"/>
      <c r="E704" s="3" t="n"/>
      <c r="G704" t="inlineStr"/>
      <c r="H704" t="inlineStr"/>
      <c r="I704" s="74" t="n"/>
      <c r="J704" s="217" t="inlineStr"/>
    </row>
    <row r="705" ht="15.75" customHeight="1" s="305">
      <c r="A705" s="67" t="n"/>
      <c r="B705" s="67" t="n"/>
      <c r="C705" s="67" t="n"/>
      <c r="D705" s="3" t="n"/>
      <c r="E705" s="3" t="n"/>
      <c r="G705" t="inlineStr"/>
      <c r="H705" t="inlineStr"/>
      <c r="I705" s="74" t="n"/>
      <c r="J705" s="217" t="inlineStr"/>
    </row>
    <row r="706" ht="15.75" customHeight="1" s="305">
      <c r="A706" s="67" t="n"/>
      <c r="B706" s="67" t="n"/>
      <c r="C706" s="67" t="n"/>
      <c r="D706" s="3" t="n"/>
      <c r="E706" s="3" t="n"/>
      <c r="G706" t="inlineStr"/>
      <c r="H706" t="inlineStr"/>
      <c r="I706" s="74" t="n"/>
      <c r="J706" s="217" t="inlineStr"/>
    </row>
    <row r="707" ht="15.75" customHeight="1" s="305">
      <c r="A707" s="67" t="n"/>
      <c r="B707" s="67" t="n"/>
      <c r="C707" s="67" t="n"/>
      <c r="D707" s="3" t="n"/>
      <c r="E707" s="3" t="n"/>
      <c r="G707" t="inlineStr"/>
      <c r="H707" t="inlineStr"/>
      <c r="I707" s="74" t="n"/>
      <c r="J707" s="217" t="inlineStr"/>
    </row>
    <row r="708" ht="15.75" customHeight="1" s="305">
      <c r="A708" s="67" t="n"/>
      <c r="B708" s="67" t="n"/>
      <c r="C708" s="67" t="n"/>
      <c r="D708" s="3" t="n"/>
      <c r="E708" s="3" t="n"/>
      <c r="G708" t="inlineStr"/>
      <c r="H708" t="inlineStr"/>
      <c r="I708" s="74" t="n"/>
      <c r="J708" s="217" t="inlineStr"/>
    </row>
    <row r="709" ht="15.75" customHeight="1" s="305">
      <c r="A709" s="67" t="n"/>
      <c r="B709" s="67" t="n"/>
      <c r="C709" s="67" t="n"/>
      <c r="D709" s="3" t="n"/>
      <c r="E709" s="3" t="n"/>
      <c r="G709" t="inlineStr"/>
      <c r="H709" t="inlineStr"/>
      <c r="I709" s="74" t="n"/>
      <c r="J709" s="217" t="inlineStr"/>
    </row>
    <row r="710" ht="15.75" customHeight="1" s="305">
      <c r="A710" s="67" t="n"/>
      <c r="B710" s="67" t="n"/>
      <c r="C710" s="67" t="n"/>
      <c r="D710" s="3" t="n"/>
      <c r="E710" s="3" t="n"/>
      <c r="G710" t="inlineStr"/>
      <c r="H710" t="inlineStr"/>
      <c r="I710" s="74" t="n"/>
      <c r="J710" s="217" t="inlineStr"/>
    </row>
    <row r="711" ht="15.75" customHeight="1" s="305">
      <c r="A711" s="67" t="n"/>
      <c r="B711" s="67" t="n"/>
      <c r="C711" s="67" t="n"/>
      <c r="D711" s="3" t="n"/>
      <c r="E711" s="3" t="n"/>
      <c r="G711" t="inlineStr"/>
      <c r="H711" t="inlineStr"/>
      <c r="I711" s="74" t="n"/>
      <c r="J711" s="217" t="inlineStr"/>
    </row>
    <row r="712" ht="15.75" customHeight="1" s="305">
      <c r="A712" s="67" t="n"/>
      <c r="B712" s="67" t="n"/>
      <c r="C712" s="67" t="n"/>
      <c r="D712" s="3" t="n"/>
      <c r="E712" s="3" t="n"/>
      <c r="G712" t="inlineStr"/>
      <c r="H712" t="inlineStr"/>
      <c r="I712" s="74" t="n"/>
      <c r="J712" s="217" t="inlineStr"/>
    </row>
    <row r="713" ht="15.75" customHeight="1" s="305">
      <c r="A713" s="67" t="n"/>
      <c r="B713" s="67" t="n"/>
      <c r="C713" s="67" t="n"/>
      <c r="D713" s="3" t="n"/>
      <c r="E713" s="3" t="n"/>
      <c r="G713" t="inlineStr"/>
      <c r="H713" t="inlineStr"/>
      <c r="I713" s="74" t="n"/>
      <c r="J713" s="217" t="inlineStr"/>
    </row>
    <row r="714" ht="15.75" customHeight="1" s="305">
      <c r="A714" s="67" t="n"/>
      <c r="B714" s="67" t="n"/>
      <c r="C714" s="67" t="n"/>
      <c r="D714" s="3" t="n"/>
      <c r="E714" s="3" t="n"/>
      <c r="G714" t="inlineStr"/>
      <c r="H714" t="inlineStr"/>
      <c r="I714" s="74" t="n"/>
      <c r="J714" s="217" t="inlineStr"/>
    </row>
    <row r="715" ht="15.75" customHeight="1" s="305">
      <c r="A715" s="67" t="n"/>
      <c r="B715" s="67" t="n"/>
      <c r="C715" s="67" t="n"/>
      <c r="D715" s="3" t="n"/>
      <c r="E715" s="3" t="n"/>
      <c r="G715" t="inlineStr"/>
      <c r="H715" t="inlineStr"/>
      <c r="I715" s="74" t="n"/>
      <c r="J715" s="217" t="inlineStr"/>
    </row>
    <row r="716" ht="15.75" customHeight="1" s="305">
      <c r="A716" s="67" t="n"/>
      <c r="B716" s="67" t="n"/>
      <c r="C716" s="67" t="n"/>
      <c r="D716" s="3" t="n"/>
      <c r="E716" s="3" t="n"/>
      <c r="G716" t="inlineStr"/>
      <c r="H716" t="inlineStr"/>
      <c r="I716" s="74" t="n"/>
      <c r="J716" s="217" t="inlineStr"/>
    </row>
    <row r="717" ht="15.75" customHeight="1" s="305">
      <c r="A717" s="67" t="n"/>
      <c r="B717" s="67" t="n"/>
      <c r="C717" s="67" t="n"/>
      <c r="D717" s="3" t="n"/>
      <c r="E717" s="3" t="n"/>
      <c r="G717" t="inlineStr"/>
      <c r="H717" t="inlineStr"/>
      <c r="I717" s="74" t="n"/>
      <c r="J717" s="217" t="inlineStr"/>
    </row>
    <row r="718" ht="15.75" customHeight="1" s="305">
      <c r="A718" s="67" t="n"/>
      <c r="B718" s="67" t="n"/>
      <c r="C718" s="67" t="n"/>
      <c r="D718" s="3" t="n"/>
      <c r="E718" s="3" t="n"/>
      <c r="G718" t="inlineStr"/>
      <c r="H718" t="inlineStr"/>
      <c r="I718" s="74" t="n"/>
      <c r="J718" s="217" t="inlineStr"/>
    </row>
    <row r="719" ht="15.75" customHeight="1" s="305">
      <c r="A719" s="67" t="n"/>
      <c r="B719" s="67" t="n"/>
      <c r="C719" s="67" t="n"/>
      <c r="D719" s="3" t="n"/>
      <c r="E719" s="3" t="n"/>
      <c r="G719" t="inlineStr"/>
      <c r="H719" t="inlineStr"/>
      <c r="I719" s="74" t="n"/>
      <c r="J719" s="217" t="inlineStr"/>
    </row>
    <row r="720" ht="15.75" customHeight="1" s="305">
      <c r="A720" s="67" t="n"/>
      <c r="B720" s="67" t="n"/>
      <c r="C720" s="67" t="n"/>
      <c r="D720" s="3" t="n"/>
      <c r="E720" s="3" t="n"/>
      <c r="G720" t="inlineStr"/>
      <c r="H720" t="inlineStr"/>
      <c r="I720" s="74" t="n"/>
      <c r="J720" s="217" t="inlineStr"/>
    </row>
    <row r="721" ht="15.75" customHeight="1" s="305">
      <c r="A721" s="67" t="n"/>
      <c r="B721" s="67" t="n"/>
      <c r="C721" s="67" t="n"/>
      <c r="D721" s="3" t="n"/>
      <c r="E721" s="3" t="n"/>
      <c r="G721" t="inlineStr"/>
      <c r="H721" t="inlineStr"/>
      <c r="I721" s="74" t="n"/>
      <c r="J721" s="217" t="inlineStr"/>
    </row>
    <row r="722" ht="15.75" customHeight="1" s="305">
      <c r="A722" s="67" t="n"/>
      <c r="B722" s="67" t="n"/>
      <c r="C722" s="67" t="n"/>
      <c r="D722" s="3" t="n"/>
      <c r="E722" s="3" t="n"/>
      <c r="G722" t="inlineStr"/>
      <c r="H722" t="inlineStr"/>
      <c r="I722" s="74" t="n"/>
      <c r="J722" s="217" t="inlineStr"/>
    </row>
    <row r="723" ht="15.75" customHeight="1" s="305">
      <c r="A723" s="67" t="n"/>
      <c r="B723" s="67" t="n"/>
      <c r="C723" s="67" t="n"/>
      <c r="D723" s="3" t="n"/>
      <c r="E723" s="3" t="n"/>
      <c r="G723" t="inlineStr"/>
      <c r="H723" t="inlineStr"/>
      <c r="I723" s="74" t="n"/>
      <c r="J723" s="217" t="inlineStr"/>
    </row>
    <row r="724" ht="15.75" customHeight="1" s="305">
      <c r="A724" s="67" t="n"/>
      <c r="B724" s="67" t="n"/>
      <c r="C724" s="67" t="n"/>
      <c r="D724" s="3" t="n"/>
      <c r="E724" s="3" t="n"/>
      <c r="G724" t="inlineStr"/>
      <c r="H724" t="inlineStr"/>
      <c r="I724" s="74" t="n"/>
      <c r="J724" s="217" t="inlineStr"/>
    </row>
    <row r="725" ht="15.75" customHeight="1" s="305">
      <c r="A725" s="67" t="n"/>
      <c r="B725" s="67" t="n"/>
      <c r="C725" s="67" t="n"/>
      <c r="D725" s="3" t="n"/>
      <c r="E725" s="3" t="n"/>
      <c r="G725" t="inlineStr"/>
      <c r="H725" t="inlineStr"/>
      <c r="I725" s="74" t="n"/>
      <c r="J725" s="217" t="inlineStr"/>
    </row>
    <row r="726" ht="15.75" customHeight="1" s="305">
      <c r="A726" s="67" t="n"/>
      <c r="B726" s="67" t="n"/>
      <c r="C726" s="67" t="n"/>
      <c r="D726" s="3" t="n"/>
      <c r="E726" s="3" t="n"/>
      <c r="G726" t="inlineStr"/>
      <c r="H726" t="inlineStr"/>
      <c r="I726" s="74" t="n"/>
      <c r="J726" s="217" t="inlineStr"/>
    </row>
    <row r="727" ht="15.75" customHeight="1" s="305">
      <c r="A727" s="67" t="n"/>
      <c r="B727" s="67" t="n"/>
      <c r="C727" s="67" t="n"/>
      <c r="D727" s="3" t="n"/>
      <c r="E727" s="3" t="n"/>
      <c r="G727" t="inlineStr"/>
      <c r="H727" t="inlineStr"/>
      <c r="I727" s="74" t="n"/>
      <c r="J727" s="217" t="inlineStr"/>
    </row>
    <row r="728" ht="15.75" customHeight="1" s="305">
      <c r="A728" s="67" t="n"/>
      <c r="B728" s="67" t="n"/>
      <c r="C728" s="67" t="n"/>
      <c r="D728" s="3" t="n"/>
      <c r="E728" s="3" t="n"/>
      <c r="G728" t="inlineStr"/>
      <c r="H728" t="inlineStr"/>
      <c r="I728" s="74" t="n"/>
      <c r="J728" s="217" t="inlineStr"/>
    </row>
    <row r="729" ht="15.75" customHeight="1" s="305">
      <c r="A729" s="67" t="n"/>
      <c r="B729" s="67" t="n"/>
      <c r="C729" s="67" t="n"/>
      <c r="D729" s="3" t="n"/>
      <c r="E729" s="3" t="n"/>
      <c r="G729" t="inlineStr"/>
      <c r="H729" t="inlineStr"/>
      <c r="I729" s="74" t="n"/>
      <c r="J729" s="217" t="inlineStr"/>
    </row>
    <row r="730" ht="15.75" customHeight="1" s="305">
      <c r="A730" s="67" t="n"/>
      <c r="B730" s="67" t="n"/>
      <c r="C730" s="67" t="n"/>
      <c r="D730" s="3" t="n"/>
      <c r="E730" s="3" t="n"/>
      <c r="G730" t="inlineStr"/>
      <c r="H730" t="inlineStr"/>
      <c r="I730" s="74" t="n"/>
      <c r="J730" s="217" t="inlineStr"/>
    </row>
    <row r="731" ht="15.75" customHeight="1" s="305">
      <c r="A731" s="67" t="n"/>
      <c r="B731" s="67" t="n"/>
      <c r="C731" s="67" t="n"/>
      <c r="D731" s="3" t="n"/>
      <c r="E731" s="3" t="n"/>
      <c r="G731" t="inlineStr"/>
      <c r="H731" t="inlineStr"/>
      <c r="I731" s="74" t="n"/>
      <c r="J731" s="217" t="inlineStr"/>
    </row>
    <row r="732" ht="15.75" customHeight="1" s="305">
      <c r="A732" s="67" t="n"/>
      <c r="B732" s="67" t="n"/>
      <c r="C732" s="67" t="n"/>
      <c r="D732" s="3" t="n"/>
      <c r="E732" s="3" t="n"/>
      <c r="G732" t="inlineStr"/>
      <c r="H732" t="inlineStr"/>
      <c r="I732" s="74" t="n"/>
      <c r="J732" s="217" t="inlineStr"/>
    </row>
    <row r="733" ht="15.75" customHeight="1" s="305">
      <c r="A733" s="67" t="n"/>
      <c r="B733" s="67" t="n"/>
      <c r="C733" s="67" t="n"/>
      <c r="D733" s="3" t="n"/>
      <c r="E733" s="3" t="n"/>
      <c r="G733" t="inlineStr"/>
      <c r="H733" t="inlineStr"/>
      <c r="I733" s="74" t="n"/>
      <c r="J733" s="217" t="inlineStr"/>
    </row>
    <row r="734" ht="15.75" customHeight="1" s="305">
      <c r="A734" s="67" t="n"/>
      <c r="B734" s="67" t="n"/>
      <c r="C734" s="67" t="n"/>
      <c r="D734" s="3" t="n"/>
      <c r="E734" s="3" t="n"/>
      <c r="G734" t="inlineStr"/>
      <c r="H734" t="inlineStr"/>
      <c r="I734" s="74" t="n"/>
      <c r="J734" s="217" t="inlineStr"/>
    </row>
    <row r="735" ht="15.75" customHeight="1" s="305">
      <c r="A735" s="67" t="n"/>
      <c r="B735" s="67" t="n"/>
      <c r="C735" s="67" t="n"/>
      <c r="D735" s="3" t="n"/>
      <c r="E735" s="3" t="n"/>
      <c r="G735" t="inlineStr"/>
      <c r="H735" t="inlineStr"/>
      <c r="I735" s="74" t="n"/>
      <c r="J735" s="217" t="inlineStr"/>
    </row>
    <row r="736" ht="15.75" customHeight="1" s="305">
      <c r="A736" s="67" t="n"/>
      <c r="B736" s="67" t="n"/>
      <c r="C736" s="67" t="n"/>
      <c r="D736" s="3" t="n"/>
      <c r="E736" s="3" t="n"/>
      <c r="G736" t="inlineStr"/>
      <c r="H736" t="inlineStr"/>
      <c r="I736" s="74" t="n"/>
      <c r="J736" s="217" t="inlineStr"/>
    </row>
    <row r="737" ht="15.75" customHeight="1" s="305">
      <c r="A737" s="67" t="n"/>
      <c r="B737" s="67" t="n"/>
      <c r="C737" s="67" t="n"/>
      <c r="D737" s="3" t="n"/>
      <c r="E737" s="3" t="n"/>
      <c r="G737" t="inlineStr"/>
      <c r="H737" t="inlineStr"/>
      <c r="I737" s="74" t="n"/>
      <c r="J737" s="217" t="inlineStr"/>
    </row>
    <row r="738" ht="15.75" customHeight="1" s="305">
      <c r="A738" s="67" t="n"/>
      <c r="B738" s="67" t="n"/>
      <c r="C738" s="67" t="n"/>
      <c r="D738" s="3" t="n"/>
      <c r="E738" s="3" t="n"/>
      <c r="G738" t="inlineStr"/>
      <c r="H738" t="inlineStr"/>
      <c r="I738" s="74" t="n"/>
      <c r="J738" s="217" t="inlineStr"/>
    </row>
    <row r="739" ht="15.75" customHeight="1" s="305">
      <c r="A739" s="67" t="n"/>
      <c r="B739" s="67" t="n"/>
      <c r="C739" s="67" t="n"/>
      <c r="D739" s="3" t="n"/>
      <c r="E739" s="3" t="n"/>
      <c r="G739" t="inlineStr"/>
      <c r="H739" t="inlineStr"/>
      <c r="I739" s="74" t="n"/>
      <c r="J739" s="217" t="inlineStr"/>
    </row>
    <row r="740" ht="15.75" customHeight="1" s="305">
      <c r="A740" s="67" t="n"/>
      <c r="B740" s="67" t="n"/>
      <c r="C740" s="67" t="n"/>
      <c r="D740" s="3" t="n"/>
      <c r="E740" s="3" t="n"/>
      <c r="G740" t="inlineStr"/>
      <c r="H740" t="inlineStr"/>
      <c r="I740" s="74" t="n"/>
      <c r="J740" s="217" t="inlineStr"/>
    </row>
    <row r="741" ht="15.75" customHeight="1" s="305">
      <c r="A741" s="67" t="n"/>
      <c r="B741" s="67" t="n"/>
      <c r="C741" s="67" t="n"/>
      <c r="D741" s="3" t="n"/>
      <c r="E741" s="3" t="n"/>
      <c r="G741" t="inlineStr"/>
      <c r="H741" t="inlineStr"/>
      <c r="I741" s="74" t="n"/>
      <c r="J741" s="217" t="inlineStr"/>
    </row>
    <row r="742" ht="15.75" customHeight="1" s="305">
      <c r="A742" s="67" t="n"/>
      <c r="B742" s="67" t="n"/>
      <c r="C742" s="67" t="n"/>
      <c r="D742" s="3" t="n"/>
      <c r="E742" s="3" t="n"/>
      <c r="G742" t="inlineStr"/>
      <c r="H742" t="inlineStr"/>
      <c r="I742" s="74" t="n"/>
      <c r="J742" s="217" t="inlineStr"/>
    </row>
    <row r="743" ht="15.75" customHeight="1" s="305">
      <c r="A743" s="67" t="n"/>
      <c r="B743" s="67" t="n"/>
      <c r="C743" s="67" t="n"/>
      <c r="D743" s="3" t="n"/>
      <c r="E743" s="3" t="n"/>
      <c r="G743" t="inlineStr"/>
      <c r="H743" t="inlineStr"/>
      <c r="I743" s="74" t="n"/>
      <c r="J743" s="217" t="inlineStr"/>
    </row>
    <row r="744" ht="15.75" customHeight="1" s="305">
      <c r="A744" s="67" t="n"/>
      <c r="B744" s="67" t="n"/>
      <c r="C744" s="67" t="n"/>
      <c r="D744" s="3" t="n"/>
      <c r="E744" s="3" t="n"/>
      <c r="G744" t="inlineStr"/>
      <c r="H744" t="inlineStr"/>
      <c r="I744" s="74" t="n"/>
      <c r="J744" s="217" t="inlineStr"/>
    </row>
    <row r="745" ht="15.75" customHeight="1" s="305">
      <c r="A745" s="67" t="n"/>
      <c r="B745" s="67" t="n"/>
      <c r="C745" s="67" t="n"/>
      <c r="D745" s="3" t="n"/>
      <c r="E745" s="3" t="n"/>
      <c r="G745" t="inlineStr"/>
      <c r="H745" t="inlineStr"/>
      <c r="I745" s="74" t="n"/>
      <c r="J745" s="217" t="inlineStr"/>
    </row>
    <row r="746" ht="15.75" customHeight="1" s="305">
      <c r="A746" s="67" t="n"/>
      <c r="B746" s="67" t="n"/>
      <c r="C746" s="67" t="n"/>
      <c r="D746" s="3" t="n"/>
      <c r="E746" s="3" t="n"/>
      <c r="G746" t="inlineStr"/>
      <c r="H746" t="inlineStr"/>
      <c r="I746" s="74" t="n"/>
      <c r="J746" s="217" t="inlineStr"/>
    </row>
    <row r="747" ht="15.75" customHeight="1" s="305">
      <c r="A747" s="67" t="n"/>
      <c r="B747" s="67" t="n"/>
      <c r="C747" s="67" t="n"/>
      <c r="D747" s="3" t="n"/>
      <c r="E747" s="3" t="n"/>
      <c r="G747" t="inlineStr"/>
      <c r="H747" t="inlineStr"/>
      <c r="I747" s="74" t="n"/>
      <c r="J747" s="217" t="inlineStr"/>
    </row>
    <row r="748" ht="15.75" customHeight="1" s="305">
      <c r="A748" s="67" t="n"/>
      <c r="B748" s="67" t="n"/>
      <c r="C748" s="67" t="n"/>
      <c r="D748" s="3" t="n"/>
      <c r="E748" s="3" t="n"/>
      <c r="G748" t="inlineStr"/>
      <c r="H748" t="inlineStr"/>
      <c r="I748" s="74" t="n"/>
      <c r="J748" s="217" t="inlineStr"/>
    </row>
    <row r="749" ht="15.75" customHeight="1" s="305">
      <c r="A749" s="67" t="n"/>
      <c r="B749" s="67" t="n"/>
      <c r="C749" s="67" t="n"/>
      <c r="D749" s="3" t="n"/>
      <c r="E749" s="3" t="n"/>
      <c r="G749" t="inlineStr"/>
      <c r="H749" t="inlineStr"/>
      <c r="I749" s="74" t="n"/>
      <c r="J749" s="217" t="inlineStr"/>
    </row>
    <row r="750" ht="15.75" customHeight="1" s="305">
      <c r="A750" s="67" t="n"/>
      <c r="B750" s="67" t="n"/>
      <c r="C750" s="67" t="n"/>
      <c r="D750" s="3" t="n"/>
      <c r="E750" s="3" t="n"/>
      <c r="G750" t="inlineStr"/>
      <c r="H750" t="inlineStr"/>
      <c r="I750" s="74" t="n"/>
      <c r="J750" s="217" t="inlineStr"/>
    </row>
    <row r="751" ht="15.75" customHeight="1" s="305">
      <c r="A751" s="67" t="n"/>
      <c r="B751" s="67" t="n"/>
      <c r="C751" s="67" t="n"/>
      <c r="D751" s="3" t="n"/>
      <c r="E751" s="3" t="n"/>
      <c r="G751" t="inlineStr"/>
      <c r="H751" t="inlineStr"/>
      <c r="I751" s="74" t="n"/>
      <c r="J751" s="217" t="inlineStr"/>
    </row>
    <row r="752" ht="15.75" customHeight="1" s="305">
      <c r="A752" s="67" t="n"/>
      <c r="B752" s="67" t="n"/>
      <c r="C752" s="67" t="n"/>
      <c r="D752" s="3" t="n"/>
      <c r="E752" s="3" t="n"/>
      <c r="G752" t="inlineStr"/>
      <c r="H752" t="inlineStr"/>
      <c r="I752" s="74" t="n"/>
      <c r="J752" s="217" t="inlineStr"/>
    </row>
    <row r="753" ht="15.75" customHeight="1" s="305">
      <c r="A753" s="67" t="n"/>
      <c r="B753" s="67" t="n"/>
      <c r="C753" s="67" t="n"/>
      <c r="D753" s="3" t="n"/>
      <c r="E753" s="3" t="n"/>
      <c r="G753" t="inlineStr"/>
      <c r="H753" t="inlineStr"/>
      <c r="I753" s="74" t="n"/>
      <c r="J753" s="217" t="inlineStr"/>
    </row>
    <row r="754" ht="15.75" customHeight="1" s="305">
      <c r="A754" s="67" t="n"/>
      <c r="B754" s="67" t="n"/>
      <c r="C754" s="67" t="n"/>
      <c r="D754" s="3" t="n"/>
      <c r="E754" s="3" t="n"/>
      <c r="G754" t="inlineStr"/>
      <c r="H754" t="inlineStr"/>
      <c r="I754" s="74" t="n"/>
      <c r="J754" s="217" t="inlineStr"/>
    </row>
    <row r="755" ht="15.75" customHeight="1" s="305">
      <c r="A755" s="67" t="n"/>
      <c r="B755" s="67" t="n"/>
      <c r="C755" s="67" t="n"/>
      <c r="D755" s="3" t="n"/>
      <c r="E755" s="3" t="n"/>
      <c r="G755" t="inlineStr"/>
      <c r="H755" t="inlineStr"/>
      <c r="I755" s="74" t="n"/>
      <c r="J755" s="217" t="inlineStr"/>
    </row>
    <row r="756" ht="15.75" customHeight="1" s="305">
      <c r="A756" s="67" t="n"/>
      <c r="B756" s="67" t="n"/>
      <c r="C756" s="67" t="n"/>
      <c r="D756" s="3" t="n"/>
      <c r="E756" s="3" t="n"/>
      <c r="G756" t="inlineStr"/>
      <c r="H756" t="inlineStr"/>
      <c r="I756" s="74" t="n"/>
      <c r="J756" s="217" t="inlineStr"/>
    </row>
    <row r="757" ht="15.75" customHeight="1" s="305">
      <c r="A757" s="67" t="n"/>
      <c r="B757" s="67" t="n"/>
      <c r="C757" s="67" t="n"/>
      <c r="D757" s="3" t="n"/>
      <c r="E757" s="3" t="n"/>
      <c r="G757" t="inlineStr"/>
      <c r="H757" t="inlineStr"/>
      <c r="I757" s="74" t="n"/>
      <c r="J757" s="217" t="inlineStr"/>
    </row>
    <row r="758" ht="15.75" customHeight="1" s="305">
      <c r="A758" s="67" t="n"/>
      <c r="B758" s="67" t="n"/>
      <c r="C758" s="67" t="n"/>
      <c r="D758" s="3" t="n"/>
      <c r="E758" s="3" t="n"/>
      <c r="G758" t="inlineStr"/>
      <c r="H758" t="inlineStr"/>
      <c r="I758" s="74" t="n"/>
      <c r="J758" s="217" t="inlineStr"/>
    </row>
    <row r="759" ht="15.75" customHeight="1" s="305">
      <c r="A759" s="67" t="n"/>
      <c r="B759" s="67" t="n"/>
      <c r="C759" s="67" t="n"/>
      <c r="D759" s="3" t="n"/>
      <c r="E759" s="3" t="n"/>
      <c r="G759" t="inlineStr"/>
      <c r="H759" t="inlineStr"/>
      <c r="I759" s="74" t="n"/>
      <c r="J759" s="217" t="inlineStr"/>
    </row>
    <row r="760" ht="15.75" customHeight="1" s="305">
      <c r="A760" s="67" t="n"/>
      <c r="B760" s="67" t="n"/>
      <c r="C760" s="67" t="n"/>
      <c r="D760" s="3" t="n"/>
      <c r="E760" s="3" t="n"/>
      <c r="G760" t="inlineStr"/>
      <c r="H760" t="inlineStr"/>
      <c r="I760" s="74" t="n"/>
      <c r="J760" s="217" t="inlineStr"/>
    </row>
    <row r="761" ht="15.75" customHeight="1" s="305">
      <c r="A761" s="67" t="n"/>
      <c r="B761" s="67" t="n"/>
      <c r="C761" s="67" t="n"/>
      <c r="D761" s="3" t="n"/>
      <c r="E761" s="3" t="n"/>
      <c r="G761" t="inlineStr"/>
      <c r="H761" t="inlineStr"/>
      <c r="I761" s="74" t="n"/>
      <c r="J761" s="217" t="inlineStr"/>
    </row>
    <row r="762" ht="15.75" customHeight="1" s="305">
      <c r="A762" s="67" t="n"/>
      <c r="B762" s="67" t="n"/>
      <c r="C762" s="67" t="n"/>
      <c r="D762" s="3" t="n"/>
      <c r="E762" s="3" t="n"/>
      <c r="G762" t="inlineStr"/>
      <c r="H762" t="inlineStr"/>
      <c r="I762" s="74" t="n"/>
      <c r="J762" s="217" t="inlineStr"/>
    </row>
    <row r="763" ht="15.75" customHeight="1" s="305">
      <c r="A763" s="67" t="n"/>
      <c r="B763" s="67" t="n"/>
      <c r="C763" s="67" t="n"/>
      <c r="D763" s="3" t="n"/>
      <c r="E763" s="3" t="n"/>
      <c r="G763" t="inlineStr"/>
      <c r="H763" t="inlineStr"/>
      <c r="I763" s="74" t="n"/>
      <c r="J763" s="217" t="inlineStr"/>
    </row>
    <row r="764" ht="15.75" customHeight="1" s="305">
      <c r="A764" s="67" t="n"/>
      <c r="B764" s="67" t="n"/>
      <c r="C764" s="67" t="n"/>
      <c r="D764" s="3" t="n"/>
      <c r="E764" s="3" t="n"/>
      <c r="G764" t="inlineStr"/>
      <c r="H764" t="inlineStr"/>
      <c r="I764" s="74" t="n"/>
      <c r="J764" s="217" t="inlineStr"/>
    </row>
    <row r="765" ht="15.75" customHeight="1" s="305">
      <c r="A765" s="67" t="n"/>
      <c r="B765" s="67" t="n"/>
      <c r="C765" s="67" t="n"/>
      <c r="D765" s="3" t="n"/>
      <c r="E765" s="3" t="n"/>
      <c r="G765" t="inlineStr"/>
      <c r="H765" t="inlineStr"/>
      <c r="I765" s="74" t="n"/>
      <c r="J765" s="217" t="inlineStr"/>
    </row>
    <row r="766" ht="15.75" customHeight="1" s="305">
      <c r="A766" s="67" t="n"/>
      <c r="B766" s="67" t="n"/>
      <c r="C766" s="67" t="n"/>
      <c r="D766" s="3" t="n"/>
      <c r="E766" s="3" t="n"/>
      <c r="G766" t="inlineStr"/>
      <c r="H766" t="inlineStr"/>
      <c r="I766" s="74" t="n"/>
      <c r="J766" s="217" t="inlineStr"/>
    </row>
    <row r="767" ht="15.75" customHeight="1" s="305">
      <c r="A767" s="67" t="n"/>
      <c r="B767" s="67" t="n"/>
      <c r="C767" s="67" t="n"/>
      <c r="D767" s="3" t="n"/>
      <c r="E767" s="3" t="n"/>
      <c r="G767" t="inlineStr"/>
      <c r="H767" t="inlineStr"/>
      <c r="I767" s="74" t="n"/>
      <c r="J767" s="217" t="inlineStr"/>
    </row>
    <row r="768" ht="15.75" customHeight="1" s="305">
      <c r="A768" s="67" t="n"/>
      <c r="B768" s="67" t="n"/>
      <c r="C768" s="67" t="n"/>
      <c r="D768" s="3" t="n"/>
      <c r="E768" s="3" t="n"/>
      <c r="G768" t="inlineStr"/>
      <c r="H768" t="inlineStr"/>
      <c r="I768" s="74" t="n"/>
      <c r="J768" s="217" t="inlineStr"/>
    </row>
    <row r="769" ht="15.75" customHeight="1" s="305">
      <c r="A769" s="67" t="n"/>
      <c r="B769" s="67" t="n"/>
      <c r="C769" s="67" t="n"/>
      <c r="D769" s="3" t="n"/>
      <c r="E769" s="3" t="n"/>
      <c r="G769" t="inlineStr"/>
      <c r="H769" t="inlineStr"/>
      <c r="I769" s="74" t="n"/>
      <c r="J769" s="217" t="inlineStr"/>
    </row>
    <row r="770" ht="15.75" customHeight="1" s="305">
      <c r="A770" s="67" t="n"/>
      <c r="B770" s="67" t="n"/>
      <c r="C770" s="67" t="n"/>
      <c r="D770" s="3" t="n"/>
      <c r="E770" s="3" t="n"/>
      <c r="G770" t="inlineStr"/>
      <c r="H770" t="inlineStr"/>
      <c r="I770" s="74" t="n"/>
      <c r="J770" s="217" t="inlineStr"/>
    </row>
    <row r="771" ht="15.75" customHeight="1" s="305">
      <c r="A771" s="67" t="n"/>
      <c r="B771" s="67" t="n"/>
      <c r="C771" s="67" t="n"/>
      <c r="D771" s="3" t="n"/>
      <c r="E771" s="3" t="n"/>
      <c r="G771" t="inlineStr"/>
      <c r="H771" t="inlineStr"/>
      <c r="I771" s="74" t="n"/>
      <c r="J771" s="217" t="inlineStr"/>
    </row>
    <row r="772" ht="15.75" customHeight="1" s="305">
      <c r="A772" s="67" t="n"/>
      <c r="B772" s="67" t="n"/>
      <c r="C772" s="67" t="n"/>
      <c r="D772" s="3" t="n"/>
      <c r="E772" s="3" t="n"/>
      <c r="G772" t="inlineStr"/>
      <c r="H772" t="inlineStr"/>
      <c r="I772" s="74" t="n"/>
      <c r="J772" s="217" t="inlineStr"/>
    </row>
    <row r="773" ht="15.75" customHeight="1" s="305">
      <c r="A773" s="67" t="n"/>
      <c r="B773" s="67" t="n"/>
      <c r="C773" s="67" t="n"/>
      <c r="D773" s="3" t="n"/>
      <c r="E773" s="3" t="n"/>
      <c r="G773" t="inlineStr"/>
      <c r="H773" t="inlineStr"/>
      <c r="I773" s="74" t="n"/>
      <c r="J773" s="217" t="inlineStr"/>
    </row>
    <row r="774" ht="15.75" customHeight="1" s="305">
      <c r="A774" s="67" t="n"/>
      <c r="B774" s="67" t="n"/>
      <c r="C774" s="67" t="n"/>
      <c r="D774" s="3" t="n"/>
      <c r="E774" s="3" t="n"/>
      <c r="G774" t="inlineStr"/>
      <c r="H774" t="inlineStr"/>
      <c r="I774" s="74" t="n"/>
      <c r="J774" s="217" t="inlineStr"/>
    </row>
    <row r="775" ht="15.75" customHeight="1" s="305">
      <c r="A775" s="67" t="n"/>
      <c r="B775" s="67" t="n"/>
      <c r="C775" s="67" t="n"/>
      <c r="D775" s="3" t="n"/>
      <c r="E775" s="3" t="n"/>
      <c r="G775" t="inlineStr"/>
      <c r="H775" t="inlineStr"/>
      <c r="I775" s="74" t="n"/>
      <c r="J775" s="217" t="inlineStr"/>
    </row>
    <row r="776" ht="15.75" customHeight="1" s="305">
      <c r="A776" s="67" t="n"/>
      <c r="B776" s="67" t="n"/>
      <c r="C776" s="67" t="n"/>
      <c r="D776" s="3" t="n"/>
      <c r="E776" s="3" t="n"/>
      <c r="G776" t="inlineStr"/>
      <c r="H776" t="inlineStr"/>
      <c r="I776" s="74" t="n"/>
      <c r="J776" s="217" t="inlineStr"/>
    </row>
    <row r="777" ht="15.75" customHeight="1" s="305">
      <c r="A777" s="67" t="n"/>
      <c r="B777" s="67" t="n"/>
      <c r="C777" s="67" t="n"/>
      <c r="D777" s="3" t="n"/>
      <c r="E777" s="3" t="n"/>
      <c r="G777" t="inlineStr"/>
      <c r="H777" t="inlineStr"/>
      <c r="I777" s="74" t="n"/>
      <c r="J777" s="217" t="inlineStr"/>
    </row>
    <row r="778" ht="15.75" customHeight="1" s="305">
      <c r="A778" s="67" t="n"/>
      <c r="B778" s="67" t="n"/>
      <c r="C778" s="67" t="n"/>
      <c r="D778" s="3" t="n"/>
      <c r="E778" s="3" t="n"/>
      <c r="G778" t="inlineStr"/>
      <c r="H778" t="inlineStr"/>
      <c r="I778" s="74" t="n"/>
      <c r="J778" s="217" t="inlineStr"/>
    </row>
    <row r="779" ht="15.75" customHeight="1" s="305">
      <c r="A779" s="67" t="n"/>
      <c r="B779" s="67" t="n"/>
      <c r="C779" s="67" t="n"/>
      <c r="D779" s="3" t="n"/>
      <c r="E779" s="3" t="n"/>
      <c r="G779" t="inlineStr"/>
      <c r="H779" t="inlineStr"/>
      <c r="I779" s="74" t="n"/>
      <c r="J779" s="217" t="inlineStr"/>
    </row>
    <row r="780" ht="15.75" customHeight="1" s="305">
      <c r="A780" s="67" t="n"/>
      <c r="B780" s="67" t="n"/>
      <c r="C780" s="67" t="n"/>
      <c r="D780" s="3" t="n"/>
      <c r="E780" s="3" t="n"/>
      <c r="G780" t="inlineStr"/>
      <c r="H780" t="inlineStr"/>
      <c r="I780" s="74" t="n"/>
      <c r="J780" s="217" t="inlineStr"/>
    </row>
    <row r="781" ht="15.75" customHeight="1" s="305">
      <c r="A781" s="67" t="n"/>
      <c r="B781" s="67" t="n"/>
      <c r="C781" s="67" t="n"/>
      <c r="D781" s="3" t="n"/>
      <c r="E781" s="3" t="n"/>
      <c r="G781" t="inlineStr"/>
      <c r="H781" t="inlineStr"/>
      <c r="I781" s="74" t="n"/>
      <c r="J781" s="217" t="inlineStr"/>
    </row>
    <row r="782" ht="15.75" customHeight="1" s="305">
      <c r="A782" s="67" t="n"/>
      <c r="B782" s="67" t="n"/>
      <c r="C782" s="67" t="n"/>
      <c r="D782" s="3" t="n"/>
      <c r="E782" s="3" t="n"/>
      <c r="G782" t="inlineStr"/>
      <c r="H782" t="inlineStr"/>
      <c r="I782" s="74" t="n"/>
      <c r="J782" s="217" t="inlineStr"/>
    </row>
    <row r="783" ht="15.75" customHeight="1" s="305">
      <c r="A783" s="67" t="n"/>
      <c r="B783" s="67" t="n"/>
      <c r="C783" s="67" t="n"/>
      <c r="D783" s="3" t="n"/>
      <c r="E783" s="3" t="n"/>
      <c r="G783" t="inlineStr"/>
      <c r="H783" t="inlineStr"/>
      <c r="I783" s="74" t="n"/>
      <c r="J783" s="217" t="inlineStr"/>
    </row>
    <row r="784" ht="15.75" customHeight="1" s="305">
      <c r="A784" s="67" t="n"/>
      <c r="B784" s="67" t="n"/>
      <c r="C784" s="67" t="n"/>
      <c r="D784" s="3" t="n"/>
      <c r="E784" s="3" t="n"/>
      <c r="G784" t="inlineStr"/>
      <c r="H784" t="inlineStr"/>
      <c r="I784" s="74" t="n"/>
      <c r="J784" s="217" t="inlineStr"/>
    </row>
    <row r="785" ht="15.75" customHeight="1" s="305">
      <c r="A785" s="67" t="n"/>
      <c r="B785" s="67" t="n"/>
      <c r="C785" s="67" t="n"/>
      <c r="D785" s="3" t="n"/>
      <c r="E785" s="3" t="n"/>
      <c r="G785" t="inlineStr"/>
      <c r="H785" t="inlineStr"/>
      <c r="I785" s="74" t="n"/>
      <c r="J785" s="217" t="inlineStr"/>
    </row>
    <row r="786" ht="15.75" customHeight="1" s="305">
      <c r="A786" s="67" t="n"/>
      <c r="B786" s="67" t="n"/>
      <c r="C786" s="67" t="n"/>
      <c r="D786" s="3" t="n"/>
      <c r="E786" s="3" t="n"/>
      <c r="G786" t="inlineStr"/>
      <c r="H786" t="inlineStr"/>
      <c r="I786" s="74" t="n"/>
      <c r="J786" s="217" t="inlineStr"/>
    </row>
    <row r="787" ht="15.75" customHeight="1" s="305">
      <c r="A787" s="67" t="n"/>
      <c r="B787" s="67" t="n"/>
      <c r="C787" s="67" t="n"/>
      <c r="D787" s="3" t="n"/>
      <c r="E787" s="3" t="n"/>
      <c r="G787" t="inlineStr"/>
      <c r="H787" t="inlineStr"/>
      <c r="I787" s="74" t="n"/>
      <c r="J787" s="217" t="inlineStr"/>
    </row>
    <row r="788" ht="15.75" customHeight="1" s="305">
      <c r="A788" s="67" t="n"/>
      <c r="B788" s="67" t="n"/>
      <c r="C788" s="67" t="n"/>
      <c r="D788" s="3" t="n"/>
      <c r="E788" s="3" t="n"/>
      <c r="G788" t="inlineStr"/>
      <c r="H788" t="inlineStr"/>
      <c r="I788" s="74" t="n"/>
      <c r="J788" s="217" t="inlineStr"/>
    </row>
    <row r="789" ht="15.75" customHeight="1" s="305">
      <c r="A789" s="67" t="n"/>
      <c r="B789" s="67" t="n"/>
      <c r="C789" s="67" t="n"/>
      <c r="D789" s="3" t="n"/>
      <c r="E789" s="3" t="n"/>
      <c r="G789" t="inlineStr"/>
      <c r="H789" t="inlineStr"/>
      <c r="I789" s="74" t="n"/>
      <c r="J789" s="217" t="inlineStr"/>
    </row>
    <row r="790" ht="15.75" customHeight="1" s="305">
      <c r="A790" s="67" t="n"/>
      <c r="B790" s="67" t="n"/>
      <c r="C790" s="67" t="n"/>
      <c r="D790" s="3" t="n"/>
      <c r="E790" s="3" t="n"/>
      <c r="G790" t="inlineStr"/>
      <c r="H790" t="inlineStr"/>
      <c r="I790" s="74" t="n"/>
      <c r="J790" s="217" t="inlineStr"/>
    </row>
    <row r="791" ht="15.75" customHeight="1" s="305">
      <c r="A791" s="67" t="n"/>
      <c r="B791" s="67" t="n"/>
      <c r="C791" s="67" t="n"/>
      <c r="D791" s="3" t="n"/>
      <c r="E791" s="3" t="n"/>
      <c r="G791" t="inlineStr"/>
      <c r="H791" t="inlineStr"/>
      <c r="I791" s="74" t="n"/>
      <c r="J791" s="217" t="inlineStr"/>
    </row>
    <row r="792" ht="15.75" customHeight="1" s="305">
      <c r="A792" s="67" t="n"/>
      <c r="B792" s="67" t="n"/>
      <c r="C792" s="67" t="n"/>
      <c r="D792" s="3" t="n"/>
      <c r="E792" s="3" t="n"/>
      <c r="G792" t="inlineStr"/>
      <c r="H792" t="inlineStr"/>
      <c r="I792" s="74" t="n"/>
      <c r="J792" s="217" t="inlineStr"/>
    </row>
    <row r="793" ht="15.75" customHeight="1" s="305">
      <c r="A793" s="67" t="n"/>
      <c r="B793" s="67" t="n"/>
      <c r="C793" s="67" t="n"/>
      <c r="D793" s="3" t="n"/>
      <c r="E793" s="3" t="n"/>
      <c r="G793" t="inlineStr"/>
      <c r="H793" t="inlineStr"/>
      <c r="I793" s="74" t="n"/>
      <c r="J793" s="217" t="inlineStr"/>
    </row>
    <row r="794" ht="15.75" customHeight="1" s="305">
      <c r="A794" s="67" t="n"/>
      <c r="B794" s="67" t="n"/>
      <c r="C794" s="67" t="n"/>
      <c r="D794" s="3" t="n"/>
      <c r="E794" s="3" t="n"/>
      <c r="G794" t="inlineStr"/>
      <c r="H794" t="inlineStr"/>
      <c r="I794" s="74" t="n"/>
      <c r="J794" s="217" t="inlineStr"/>
    </row>
    <row r="795" ht="15.75" customHeight="1" s="305">
      <c r="A795" s="67" t="n"/>
      <c r="B795" s="67" t="n"/>
      <c r="C795" s="67" t="n"/>
      <c r="D795" s="3" t="n"/>
      <c r="E795" s="3" t="n"/>
      <c r="G795" t="inlineStr"/>
      <c r="H795" t="inlineStr"/>
      <c r="I795" s="74" t="n"/>
      <c r="J795" s="217" t="inlineStr"/>
    </row>
    <row r="796" ht="15.75" customHeight="1" s="305">
      <c r="A796" s="67" t="n"/>
      <c r="B796" s="67" t="n"/>
      <c r="C796" s="67" t="n"/>
      <c r="D796" s="3" t="n"/>
      <c r="E796" s="3" t="n"/>
      <c r="G796" t="inlineStr"/>
      <c r="H796" t="inlineStr"/>
      <c r="I796" s="74" t="n"/>
      <c r="J796" s="217" t="inlineStr"/>
    </row>
    <row r="797" ht="15.75" customHeight="1" s="305">
      <c r="A797" s="67" t="n"/>
      <c r="B797" s="67" t="n"/>
      <c r="C797" s="67" t="n"/>
      <c r="D797" s="3" t="n"/>
      <c r="E797" s="3" t="n"/>
      <c r="G797" t="inlineStr"/>
      <c r="H797" t="inlineStr"/>
      <c r="I797" s="74" t="n"/>
      <c r="J797" s="217" t="inlineStr"/>
    </row>
    <row r="798" ht="15.75" customHeight="1" s="305">
      <c r="A798" s="67" t="n"/>
      <c r="B798" s="67" t="n"/>
      <c r="C798" s="67" t="n"/>
      <c r="D798" s="3" t="n"/>
      <c r="E798" s="3" t="n"/>
      <c r="G798" t="inlineStr"/>
      <c r="H798" t="inlineStr"/>
      <c r="I798" s="74" t="n"/>
      <c r="J798" s="217" t="inlineStr"/>
    </row>
    <row r="799" ht="15.75" customHeight="1" s="305">
      <c r="A799" s="67" t="n"/>
      <c r="B799" s="67" t="n"/>
      <c r="C799" s="67" t="n"/>
      <c r="D799" s="3" t="n"/>
      <c r="E799" s="3" t="n"/>
      <c r="G799" t="inlineStr"/>
      <c r="H799" t="inlineStr"/>
      <c r="I799" s="74" t="n"/>
      <c r="J799" s="217" t="inlineStr"/>
    </row>
    <row r="800" ht="15.75" customHeight="1" s="305">
      <c r="A800" s="67" t="n"/>
      <c r="B800" s="67" t="n"/>
      <c r="C800" s="67" t="n"/>
      <c r="D800" s="3" t="n"/>
      <c r="E800" s="3" t="n"/>
      <c r="G800" t="inlineStr"/>
      <c r="H800" t="inlineStr"/>
      <c r="I800" s="74" t="n"/>
      <c r="J800" s="217" t="inlineStr"/>
    </row>
    <row r="801" ht="15.75" customHeight="1" s="305">
      <c r="A801" s="67" t="n"/>
      <c r="B801" s="67" t="n"/>
      <c r="C801" s="67" t="n"/>
      <c r="D801" s="3" t="n"/>
      <c r="E801" s="3" t="n"/>
      <c r="G801" t="inlineStr"/>
      <c r="H801" t="inlineStr"/>
      <c r="I801" s="74" t="n"/>
      <c r="J801" s="217" t="inlineStr"/>
    </row>
    <row r="802" ht="15.75" customHeight="1" s="305">
      <c r="A802" s="67" t="n"/>
      <c r="B802" s="67" t="n"/>
      <c r="C802" s="67" t="n"/>
      <c r="D802" s="3" t="n"/>
      <c r="E802" s="3" t="n"/>
      <c r="G802" t="inlineStr"/>
      <c r="H802" t="inlineStr"/>
      <c r="I802" s="74" t="n"/>
      <c r="J802" s="217" t="inlineStr"/>
    </row>
    <row r="803" ht="15.75" customHeight="1" s="305">
      <c r="A803" s="67" t="n"/>
      <c r="B803" s="67" t="n"/>
      <c r="C803" s="67" t="n"/>
      <c r="D803" s="3" t="n"/>
      <c r="E803" s="3" t="n"/>
      <c r="G803" t="inlineStr"/>
      <c r="H803" t="inlineStr"/>
      <c r="I803" s="74" t="n"/>
      <c r="J803" s="217" t="inlineStr"/>
    </row>
    <row r="804" ht="15.75" customHeight="1" s="305">
      <c r="A804" s="67" t="n"/>
      <c r="B804" s="67" t="n"/>
      <c r="C804" s="67" t="n"/>
      <c r="D804" s="3" t="n"/>
      <c r="E804" s="3" t="n"/>
      <c r="G804" t="inlineStr"/>
      <c r="H804" t="inlineStr"/>
      <c r="I804" s="74" t="n"/>
      <c r="J804" s="217" t="inlineStr"/>
    </row>
    <row r="805" ht="15.75" customHeight="1" s="305">
      <c r="A805" s="67" t="n"/>
      <c r="B805" s="67" t="n"/>
      <c r="C805" s="67" t="n"/>
      <c r="D805" s="3" t="n"/>
      <c r="E805" s="3" t="n"/>
      <c r="G805" t="inlineStr"/>
      <c r="H805" t="inlineStr"/>
      <c r="I805" s="74" t="n"/>
      <c r="J805" s="217" t="inlineStr"/>
    </row>
    <row r="806" ht="15.75" customHeight="1" s="305">
      <c r="A806" s="67" t="n"/>
      <c r="B806" s="67" t="n"/>
      <c r="C806" s="67" t="n"/>
      <c r="D806" s="3" t="n"/>
      <c r="E806" s="3" t="n"/>
      <c r="G806" t="inlineStr"/>
      <c r="H806" t="inlineStr"/>
      <c r="I806" s="74" t="n"/>
      <c r="J806" s="217" t="inlineStr"/>
    </row>
    <row r="807" ht="15.75" customHeight="1" s="305">
      <c r="A807" s="67" t="n"/>
      <c r="B807" s="67" t="n"/>
      <c r="C807" s="67" t="n"/>
      <c r="D807" s="3" t="n"/>
      <c r="E807" s="3" t="n"/>
      <c r="G807" t="inlineStr"/>
      <c r="H807" t="inlineStr"/>
      <c r="I807" s="74" t="n"/>
      <c r="J807" s="217" t="inlineStr"/>
    </row>
    <row r="808" ht="15.75" customHeight="1" s="305">
      <c r="A808" s="67" t="n"/>
      <c r="B808" s="67" t="n"/>
      <c r="C808" s="67" t="n"/>
      <c r="D808" s="3" t="n"/>
      <c r="E808" s="3" t="n"/>
      <c r="G808" t="inlineStr"/>
      <c r="H808" t="inlineStr"/>
      <c r="I808" s="74" t="n"/>
      <c r="J808" s="217" t="inlineStr"/>
    </row>
    <row r="809" ht="15.75" customHeight="1" s="305">
      <c r="A809" s="67" t="n"/>
      <c r="B809" s="67" t="n"/>
      <c r="C809" s="67" t="n"/>
      <c r="D809" s="3" t="n"/>
      <c r="E809" s="3" t="n"/>
      <c r="G809" t="inlineStr"/>
      <c r="H809" t="inlineStr"/>
      <c r="I809" s="74" t="n"/>
      <c r="J809" s="217" t="inlineStr"/>
    </row>
    <row r="810" ht="15.75" customHeight="1" s="305">
      <c r="A810" s="67" t="n"/>
      <c r="B810" s="67" t="n"/>
      <c r="C810" s="67" t="n"/>
      <c r="D810" s="3" t="n"/>
      <c r="E810" s="3" t="n"/>
      <c r="G810" t="inlineStr"/>
      <c r="H810" t="inlineStr"/>
      <c r="I810" s="74" t="n"/>
      <c r="J810" s="217" t="inlineStr"/>
    </row>
    <row r="811" ht="15.75" customHeight="1" s="305">
      <c r="A811" s="67" t="n"/>
      <c r="B811" s="67" t="n"/>
      <c r="C811" s="67" t="n"/>
      <c r="D811" s="3" t="n"/>
      <c r="E811" s="3" t="n"/>
      <c r="G811" t="inlineStr"/>
      <c r="H811" t="inlineStr"/>
      <c r="I811" s="74" t="n"/>
      <c r="J811" s="217" t="inlineStr"/>
    </row>
    <row r="812" ht="15.75" customHeight="1" s="305">
      <c r="A812" s="67" t="n"/>
      <c r="B812" s="67" t="n"/>
      <c r="C812" s="67" t="n"/>
      <c r="D812" s="3" t="n"/>
      <c r="E812" s="3" t="n"/>
      <c r="G812" t="inlineStr"/>
      <c r="H812" t="inlineStr"/>
      <c r="I812" s="74" t="n"/>
      <c r="J812" s="217" t="inlineStr"/>
    </row>
    <row r="813" ht="15.75" customHeight="1" s="305">
      <c r="A813" s="67" t="n"/>
      <c r="B813" s="67" t="n"/>
      <c r="C813" s="67" t="n"/>
      <c r="D813" s="3" t="n"/>
      <c r="E813" s="3" t="n"/>
      <c r="G813" t="inlineStr"/>
      <c r="H813" t="inlineStr"/>
      <c r="I813" s="74" t="n"/>
      <c r="J813" s="217" t="inlineStr"/>
    </row>
    <row r="814" ht="15.75" customHeight="1" s="305">
      <c r="A814" s="67" t="n"/>
      <c r="B814" s="67" t="n"/>
      <c r="C814" s="67" t="n"/>
      <c r="D814" s="3" t="n"/>
      <c r="E814" s="3" t="n"/>
      <c r="G814" t="inlineStr"/>
      <c r="H814" t="inlineStr"/>
      <c r="I814" s="74" t="n"/>
      <c r="J814" s="217" t="inlineStr"/>
    </row>
    <row r="815" ht="15.75" customHeight="1" s="305">
      <c r="A815" s="67" t="n"/>
      <c r="B815" s="67" t="n"/>
      <c r="C815" s="67" t="n"/>
      <c r="D815" s="3" t="n"/>
      <c r="E815" s="3" t="n"/>
      <c r="G815" t="inlineStr"/>
      <c r="H815" t="inlineStr"/>
      <c r="I815" s="74" t="n"/>
      <c r="J815" s="217" t="inlineStr"/>
    </row>
    <row r="816" ht="15.75" customHeight="1" s="305">
      <c r="A816" s="67" t="n"/>
      <c r="B816" s="67" t="n"/>
      <c r="C816" s="67" t="n"/>
      <c r="D816" s="3" t="n"/>
      <c r="E816" s="3" t="n"/>
      <c r="G816" t="inlineStr"/>
      <c r="H816" t="inlineStr"/>
      <c r="I816" s="74" t="n"/>
      <c r="J816" s="217" t="inlineStr"/>
    </row>
    <row r="817" ht="15.75" customHeight="1" s="305">
      <c r="A817" s="67" t="n"/>
      <c r="B817" s="67" t="n"/>
      <c r="C817" s="67" t="n"/>
      <c r="D817" s="3" t="n"/>
      <c r="E817" s="3" t="n"/>
      <c r="G817" t="inlineStr"/>
      <c r="H817" t="inlineStr"/>
      <c r="I817" s="74" t="n"/>
      <c r="J817" s="217" t="inlineStr"/>
    </row>
    <row r="818" ht="15.75" customHeight="1" s="305">
      <c r="A818" s="67" t="n"/>
      <c r="B818" s="67" t="n"/>
      <c r="C818" s="67" t="n"/>
      <c r="D818" s="3" t="n"/>
      <c r="E818" s="3" t="n"/>
      <c r="G818" t="inlineStr"/>
      <c r="H818" t="inlineStr"/>
      <c r="I818" s="74" t="n"/>
      <c r="J818" s="217" t="inlineStr"/>
    </row>
    <row r="819" ht="15.75" customHeight="1" s="305">
      <c r="A819" s="67" t="n"/>
      <c r="B819" s="67" t="n"/>
      <c r="C819" s="67" t="n"/>
      <c r="D819" s="3" t="n"/>
      <c r="E819" s="67" t="n"/>
      <c r="G819" t="inlineStr"/>
      <c r="H819" t="inlineStr"/>
      <c r="I819" s="74" t="n"/>
      <c r="J819" s="217" t="inlineStr"/>
    </row>
    <row r="820" ht="15.75" customHeight="1" s="305">
      <c r="A820" s="67" t="n"/>
      <c r="B820" s="67" t="n"/>
      <c r="C820" s="67" t="n"/>
      <c r="D820" s="3" t="n"/>
      <c r="E820" s="3" t="n"/>
      <c r="G820" t="inlineStr"/>
      <c r="H820" t="inlineStr"/>
      <c r="I820" s="74" t="n"/>
      <c r="J820" s="217" t="inlineStr"/>
    </row>
    <row r="821" ht="15.75" customHeight="1" s="305">
      <c r="A821" s="67" t="n"/>
      <c r="B821" s="67" t="n"/>
      <c r="C821" s="67" t="n"/>
      <c r="D821" s="3" t="n"/>
      <c r="E821" s="3" t="n"/>
      <c r="G821" t="inlineStr"/>
      <c r="H821" t="inlineStr"/>
      <c r="I821" s="74" t="n"/>
      <c r="J821" s="217" t="inlineStr"/>
    </row>
    <row r="822" ht="15.75" customHeight="1" s="305">
      <c r="A822" s="67" t="n"/>
      <c r="B822" s="67" t="n"/>
      <c r="C822" s="67" t="n"/>
      <c r="D822" s="3" t="n"/>
      <c r="E822" s="3" t="n"/>
      <c r="G822" t="inlineStr"/>
      <c r="H822" t="inlineStr"/>
      <c r="I822" s="74" t="n"/>
      <c r="J822" s="217" t="inlineStr"/>
    </row>
    <row r="823" ht="15.75" customHeight="1" s="305">
      <c r="A823" s="67" t="n"/>
      <c r="B823" s="67" t="n"/>
      <c r="C823" s="67" t="n"/>
      <c r="D823" s="3" t="n"/>
      <c r="E823" s="3" t="n"/>
      <c r="G823" t="inlineStr"/>
      <c r="H823" t="inlineStr"/>
      <c r="I823" s="74" t="n"/>
      <c r="J823" s="217" t="inlineStr"/>
    </row>
    <row r="824" ht="15.75" customHeight="1" s="305">
      <c r="A824" s="67" t="n"/>
      <c r="B824" s="67" t="n"/>
      <c r="C824" s="67" t="n"/>
      <c r="D824" s="3" t="n"/>
      <c r="E824" s="3" t="n"/>
      <c r="G824" t="inlineStr"/>
      <c r="H824" t="inlineStr"/>
      <c r="I824" s="74" t="n"/>
      <c r="J824" s="217" t="inlineStr"/>
    </row>
    <row r="825" ht="15.75" customHeight="1" s="305">
      <c r="A825" s="67" t="n"/>
      <c r="B825" s="67" t="n"/>
      <c r="C825" s="67" t="n"/>
      <c r="D825" s="3" t="n"/>
      <c r="E825" s="3" t="n"/>
      <c r="G825" t="inlineStr"/>
      <c r="H825" t="inlineStr"/>
      <c r="I825" s="74" t="n"/>
      <c r="J825" s="217" t="inlineStr"/>
    </row>
    <row r="826" ht="15.75" customHeight="1" s="305">
      <c r="A826" s="67" t="n"/>
      <c r="B826" s="67" t="n"/>
      <c r="C826" s="67" t="n"/>
      <c r="D826" s="3" t="n"/>
      <c r="E826" s="3" t="n"/>
      <c r="G826" t="inlineStr"/>
      <c r="H826" t="inlineStr"/>
      <c r="I826" s="74" t="n"/>
      <c r="J826" s="217" t="inlineStr"/>
    </row>
    <row r="827" ht="15.75" customHeight="1" s="305">
      <c r="A827" s="67" t="n"/>
      <c r="B827" s="67" t="n"/>
      <c r="C827" s="67" t="n"/>
      <c r="D827" s="3" t="n"/>
      <c r="E827" s="3" t="n"/>
      <c r="G827" t="inlineStr"/>
      <c r="H827" t="inlineStr"/>
      <c r="I827" s="74" t="n"/>
      <c r="J827" s="217" t="inlineStr"/>
    </row>
    <row r="828" ht="15.75" customHeight="1" s="305">
      <c r="A828" s="67" t="n"/>
      <c r="B828" s="67" t="n"/>
      <c r="C828" s="67" t="n"/>
      <c r="D828" s="3" t="n"/>
      <c r="E828" s="3" t="n"/>
      <c r="G828" t="inlineStr"/>
      <c r="H828" t="inlineStr"/>
      <c r="I828" s="74" t="n"/>
      <c r="J828" s="217" t="inlineStr"/>
    </row>
    <row r="829" ht="15.75" customHeight="1" s="305">
      <c r="A829" s="67" t="n"/>
      <c r="B829" s="67" t="n"/>
      <c r="C829" s="67" t="n"/>
      <c r="D829" s="3" t="n"/>
      <c r="E829" s="3" t="n"/>
      <c r="G829" t="inlineStr"/>
      <c r="H829" t="inlineStr"/>
      <c r="I829" s="74" t="n"/>
      <c r="J829" s="217" t="inlineStr"/>
    </row>
    <row r="830" ht="15.75" customHeight="1" s="305">
      <c r="A830" s="67" t="n"/>
      <c r="B830" s="67" t="n"/>
      <c r="C830" s="67" t="n"/>
      <c r="D830" s="3" t="n"/>
      <c r="E830" s="3" t="n"/>
      <c r="G830" t="inlineStr"/>
      <c r="H830" t="inlineStr"/>
      <c r="I830" s="74" t="n"/>
      <c r="J830" s="217" t="inlineStr"/>
    </row>
    <row r="831" ht="15.75" customHeight="1" s="305">
      <c r="A831" s="67" t="n"/>
      <c r="B831" s="67" t="n"/>
      <c r="C831" s="67" t="n"/>
      <c r="D831" s="3" t="n"/>
      <c r="E831" s="3" t="n"/>
      <c r="G831" t="inlineStr"/>
      <c r="H831" t="inlineStr"/>
      <c r="I831" s="74" t="n"/>
      <c r="J831" s="217" t="inlineStr"/>
    </row>
    <row r="832" ht="15.75" customHeight="1" s="305">
      <c r="A832" s="67" t="n"/>
      <c r="B832" s="67" t="n"/>
      <c r="C832" s="67" t="n"/>
      <c r="D832" s="3" t="n"/>
      <c r="E832" s="3" t="n"/>
      <c r="G832" t="inlineStr"/>
      <c r="H832" t="inlineStr"/>
      <c r="I832" s="74" t="n"/>
      <c r="J832" s="217" t="inlineStr"/>
    </row>
    <row r="833" ht="15.75" customHeight="1" s="305">
      <c r="A833" s="67" t="n"/>
      <c r="B833" s="67" t="n"/>
      <c r="C833" s="67" t="n"/>
      <c r="D833" s="3" t="n"/>
      <c r="E833" s="3" t="n"/>
      <c r="G833" t="inlineStr"/>
      <c r="H833" t="inlineStr"/>
      <c r="I833" s="74" t="n"/>
      <c r="J833" s="217" t="inlineStr"/>
    </row>
    <row r="834" ht="15.75" customHeight="1" s="305">
      <c r="A834" s="67" t="n"/>
      <c r="B834" s="67" t="n"/>
      <c r="C834" s="67" t="n"/>
      <c r="D834" s="3" t="n"/>
      <c r="E834" s="3" t="n"/>
      <c r="G834" t="inlineStr"/>
      <c r="H834" t="inlineStr"/>
      <c r="I834" s="74" t="n"/>
      <c r="J834" s="217" t="inlineStr"/>
    </row>
    <row r="835" ht="15.75" customHeight="1" s="305">
      <c r="A835" s="67" t="n"/>
      <c r="B835" s="67" t="n"/>
      <c r="C835" s="67" t="n"/>
      <c r="D835" s="3" t="n"/>
      <c r="E835" s="3" t="n"/>
      <c r="G835" t="inlineStr"/>
      <c r="H835" t="inlineStr"/>
      <c r="I835" s="74" t="n"/>
      <c r="J835" s="217" t="inlineStr"/>
    </row>
    <row r="836" ht="15.75" customHeight="1" s="305">
      <c r="A836" s="67" t="n"/>
      <c r="B836" s="67" t="n"/>
      <c r="C836" s="67" t="n"/>
      <c r="D836" s="3" t="n"/>
      <c r="E836" s="3" t="n"/>
      <c r="G836" t="inlineStr"/>
      <c r="H836" t="inlineStr"/>
      <c r="I836" s="74" t="n"/>
      <c r="J836" s="217" t="inlineStr"/>
    </row>
    <row r="837" ht="15.75" customHeight="1" s="305">
      <c r="A837" s="67" t="n"/>
      <c r="B837" s="67" t="n"/>
      <c r="C837" s="67" t="n"/>
      <c r="D837" s="3" t="n"/>
      <c r="E837" s="3" t="n"/>
      <c r="G837" t="inlineStr"/>
      <c r="H837" t="inlineStr"/>
      <c r="I837" s="74" t="n"/>
      <c r="J837" s="217" t="inlineStr"/>
    </row>
    <row r="838" ht="15.75" customHeight="1" s="305">
      <c r="A838" s="67" t="n"/>
      <c r="B838" s="67" t="n"/>
      <c r="C838" s="67" t="n"/>
      <c r="D838" s="3" t="n"/>
      <c r="E838" s="159" t="n"/>
      <c r="G838" t="inlineStr"/>
      <c r="H838" t="inlineStr"/>
      <c r="I838" s="74" t="n"/>
      <c r="J838" s="217" t="inlineStr"/>
    </row>
    <row r="839" ht="15.75" customHeight="1" s="305">
      <c r="A839" s="67" t="n"/>
      <c r="B839" s="67" t="n"/>
      <c r="C839" s="67" t="n"/>
      <c r="D839" s="3" t="n"/>
      <c r="E839" s="3" t="n"/>
      <c r="G839" t="inlineStr"/>
      <c r="H839" t="inlineStr"/>
      <c r="I839" s="74" t="n"/>
      <c r="J839" s="217" t="inlineStr"/>
    </row>
    <row r="840" ht="15.75" customHeight="1" s="305">
      <c r="A840" s="67" t="n"/>
      <c r="B840" s="67" t="n"/>
      <c r="C840" s="67" t="n"/>
      <c r="D840" s="3" t="n"/>
      <c r="E840" s="3" t="n"/>
      <c r="G840" t="inlineStr"/>
      <c r="H840" t="inlineStr"/>
      <c r="I840" s="74" t="n"/>
      <c r="J840" s="217" t="inlineStr"/>
    </row>
    <row r="841" ht="15.75" customHeight="1" s="305">
      <c r="A841" s="67" t="n"/>
      <c r="B841" s="67" t="n"/>
      <c r="C841" s="67" t="n"/>
      <c r="D841" s="3" t="n"/>
      <c r="E841" s="3" t="n"/>
      <c r="G841" t="inlineStr"/>
      <c r="H841" t="inlineStr"/>
      <c r="I841" s="74" t="n"/>
      <c r="J841" s="217" t="inlineStr"/>
    </row>
    <row r="842" ht="15.75" customHeight="1" s="305">
      <c r="A842" s="67" t="n"/>
      <c r="B842" s="67" t="n"/>
      <c r="C842" s="67" t="n"/>
      <c r="D842" s="3" t="n"/>
      <c r="E842" s="3" t="n"/>
      <c r="G842" t="inlineStr"/>
      <c r="H842" t="inlineStr"/>
      <c r="I842" s="74" t="n"/>
      <c r="J842" s="217" t="inlineStr"/>
    </row>
    <row r="843" ht="15.75" customHeight="1" s="305">
      <c r="A843" s="67" t="n"/>
      <c r="B843" s="67" t="n"/>
      <c r="C843" s="67" t="n"/>
      <c r="D843" s="3" t="n"/>
      <c r="E843" s="3" t="n"/>
      <c r="G843" t="inlineStr"/>
      <c r="H843" t="inlineStr"/>
      <c r="I843" s="74" t="n"/>
      <c r="J843" s="217" t="inlineStr"/>
    </row>
    <row r="844" ht="15.75" customHeight="1" s="305">
      <c r="A844" s="67" t="n"/>
      <c r="B844" s="67" t="n"/>
      <c r="C844" s="67" t="n"/>
      <c r="D844" s="3" t="n"/>
      <c r="E844" s="3" t="n"/>
      <c r="G844" t="inlineStr"/>
      <c r="H844" t="inlineStr"/>
      <c r="I844" s="74" t="n"/>
      <c r="J844" s="217" t="inlineStr"/>
    </row>
    <row r="845" ht="15.75" customHeight="1" s="305">
      <c r="A845" s="67" t="n"/>
      <c r="B845" s="67" t="n"/>
      <c r="C845" s="67" t="n"/>
      <c r="D845" s="3" t="n"/>
      <c r="E845" s="3" t="n"/>
      <c r="G845" t="inlineStr"/>
      <c r="H845" t="inlineStr"/>
      <c r="I845" s="74" t="n"/>
      <c r="J845" s="217" t="inlineStr"/>
    </row>
    <row r="846" ht="15.75" customHeight="1" s="305">
      <c r="A846" s="67" t="n"/>
      <c r="B846" s="67" t="n"/>
      <c r="C846" s="67" t="n"/>
      <c r="D846" s="3" t="n"/>
      <c r="E846" s="3" t="n"/>
      <c r="G846" t="inlineStr"/>
      <c r="H846" t="inlineStr"/>
      <c r="I846" s="74" t="n"/>
      <c r="J846" s="217" t="inlineStr"/>
    </row>
    <row r="847" ht="15.75" customHeight="1" s="305">
      <c r="A847" s="67" t="n"/>
      <c r="B847" s="67" t="n"/>
      <c r="C847" s="67" t="n"/>
      <c r="D847" s="3" t="n"/>
      <c r="E847" s="3" t="n"/>
      <c r="G847" t="inlineStr"/>
      <c r="H847" t="inlineStr"/>
      <c r="I847" s="74" t="n"/>
      <c r="J847" s="217" t="inlineStr"/>
    </row>
    <row r="848" ht="15.75" customHeight="1" s="305">
      <c r="A848" s="67" t="n"/>
      <c r="B848" s="67" t="n"/>
      <c r="C848" s="67" t="n"/>
      <c r="D848" s="3" t="n"/>
      <c r="E848" s="3" t="n"/>
      <c r="G848" t="inlineStr"/>
      <c r="H848" t="inlineStr"/>
      <c r="I848" s="74" t="n"/>
      <c r="J848" s="217" t="inlineStr"/>
    </row>
    <row r="849" ht="15.75" customHeight="1" s="305">
      <c r="A849" s="67" t="n"/>
      <c r="B849" s="67" t="n"/>
      <c r="C849" s="67" t="n"/>
      <c r="D849" s="3" t="n"/>
      <c r="E849" s="3" t="n"/>
      <c r="G849" t="inlineStr"/>
      <c r="H849" t="inlineStr"/>
      <c r="I849" s="74" t="n"/>
      <c r="J849" s="217" t="inlineStr"/>
    </row>
    <row r="850" ht="15.75" customHeight="1" s="305">
      <c r="A850" s="67" t="n"/>
      <c r="B850" s="67" t="n"/>
      <c r="C850" s="67" t="n"/>
      <c r="D850" s="3" t="n"/>
      <c r="E850" s="3" t="n"/>
      <c r="G850" t="inlineStr"/>
      <c r="H850" t="inlineStr"/>
      <c r="I850" s="74" t="n"/>
      <c r="J850" s="217" t="inlineStr"/>
    </row>
    <row r="851" ht="15.75" customHeight="1" s="305">
      <c r="A851" s="67" t="n"/>
      <c r="B851" s="67" t="n"/>
      <c r="C851" s="67" t="n"/>
      <c r="D851" s="3" t="n"/>
      <c r="E851" s="3" t="n"/>
      <c r="G851" t="inlineStr"/>
      <c r="H851" t="inlineStr"/>
      <c r="I851" s="74" t="n"/>
      <c r="J851" s="217" t="inlineStr"/>
    </row>
    <row r="852" ht="15.75" customHeight="1" s="305">
      <c r="A852" s="67" t="n"/>
      <c r="B852" s="67" t="n"/>
      <c r="C852" s="67" t="n"/>
      <c r="D852" s="3" t="n"/>
      <c r="E852" s="3" t="n"/>
      <c r="G852" t="inlineStr"/>
      <c r="H852" t="inlineStr"/>
      <c r="I852" s="74" t="n"/>
      <c r="J852" s="217" t="inlineStr"/>
    </row>
    <row r="853" ht="15.75" customHeight="1" s="305">
      <c r="A853" s="67" t="n"/>
      <c r="B853" s="67" t="n"/>
      <c r="C853" s="67" t="n"/>
      <c r="D853" s="3" t="n"/>
      <c r="E853" s="3" t="n"/>
      <c r="G853" t="inlineStr"/>
      <c r="H853" t="inlineStr"/>
      <c r="I853" s="74" t="n"/>
      <c r="J853" s="217" t="inlineStr"/>
    </row>
    <row r="854" ht="15.75" customHeight="1" s="305">
      <c r="A854" s="67" t="n"/>
      <c r="B854" s="67" t="n"/>
      <c r="C854" s="67" t="n"/>
      <c r="D854" s="3" t="n"/>
      <c r="E854" s="3" t="n"/>
      <c r="G854" t="inlineStr"/>
      <c r="H854" t="inlineStr"/>
      <c r="I854" s="74" t="n"/>
      <c r="J854" s="217" t="inlineStr"/>
    </row>
    <row r="855" ht="15.75" customHeight="1" s="305">
      <c r="A855" s="67" t="n"/>
      <c r="B855" s="67" t="n"/>
      <c r="C855" s="67" t="n"/>
      <c r="D855" s="3" t="n"/>
      <c r="E855" s="3" t="n"/>
      <c r="G855" t="inlineStr"/>
      <c r="H855" t="inlineStr"/>
      <c r="I855" s="74" t="n"/>
      <c r="J855" s="217" t="inlineStr"/>
    </row>
    <row r="856" ht="15.75" customHeight="1" s="305">
      <c r="A856" s="67" t="n"/>
      <c r="B856" s="67" t="n"/>
      <c r="C856" s="67" t="n"/>
      <c r="D856" s="3" t="n"/>
      <c r="E856" s="3" t="n"/>
      <c r="G856" t="inlineStr"/>
      <c r="H856" t="inlineStr"/>
      <c r="I856" s="74" t="n"/>
      <c r="J856" s="217" t="inlineStr"/>
    </row>
    <row r="857" ht="15.75" customHeight="1" s="305">
      <c r="A857" s="67" t="n"/>
      <c r="B857" s="67" t="n"/>
      <c r="C857" s="67" t="n"/>
      <c r="D857" s="3" t="n"/>
      <c r="E857" s="3" t="n"/>
      <c r="G857" t="inlineStr"/>
      <c r="H857" t="inlineStr"/>
      <c r="I857" s="74" t="n"/>
      <c r="J857" s="217" t="inlineStr"/>
    </row>
    <row r="858" ht="15.75" customHeight="1" s="305">
      <c r="A858" s="67" t="n"/>
      <c r="B858" s="67" t="n"/>
      <c r="C858" s="67" t="n"/>
      <c r="D858" s="3" t="n"/>
      <c r="E858" s="3" t="n"/>
      <c r="G858" t="inlineStr"/>
      <c r="H858" t="inlineStr"/>
      <c r="I858" s="74" t="n"/>
      <c r="J858" s="217" t="inlineStr"/>
    </row>
    <row r="859" ht="15.75" customHeight="1" s="305">
      <c r="A859" s="67" t="n"/>
      <c r="B859" s="67" t="n"/>
      <c r="C859" s="67" t="n"/>
      <c r="D859" s="3" t="n"/>
      <c r="E859" s="3" t="n"/>
      <c r="G859" t="inlineStr"/>
      <c r="H859" t="inlineStr"/>
      <c r="I859" s="74" t="n"/>
      <c r="J859" s="217" t="inlineStr"/>
    </row>
    <row r="860" ht="15.75" customHeight="1" s="305">
      <c r="A860" s="67" t="n"/>
      <c r="B860" s="67" t="n"/>
      <c r="C860" s="67" t="n"/>
      <c r="D860" s="3" t="n"/>
      <c r="E860" s="3" t="n"/>
      <c r="G860" t="inlineStr"/>
      <c r="H860" t="inlineStr"/>
      <c r="I860" s="92" t="n"/>
      <c r="J860" s="217" t="inlineStr"/>
    </row>
    <row r="861" ht="15.75" customHeight="1" s="305">
      <c r="A861" s="67" t="n"/>
      <c r="B861" s="67" t="n"/>
      <c r="C861" s="67" t="n"/>
      <c r="D861" s="3" t="n"/>
      <c r="E861" s="3" t="n"/>
      <c r="G861" t="inlineStr"/>
      <c r="H861" t="inlineStr"/>
      <c r="I861" s="92" t="n"/>
      <c r="J861" s="217" t="inlineStr"/>
    </row>
    <row r="862" ht="15.75" customHeight="1" s="305">
      <c r="A862" s="67" t="n"/>
      <c r="B862" s="67" t="n"/>
      <c r="C862" s="67" t="n"/>
      <c r="D862" s="3" t="n"/>
      <c r="E862" s="3" t="n"/>
      <c r="G862" t="inlineStr"/>
      <c r="H862" t="inlineStr"/>
      <c r="I862" s="92" t="n"/>
      <c r="J862" s="217" t="inlineStr"/>
    </row>
    <row r="863" ht="15.75" customHeight="1" s="305">
      <c r="A863" s="67" t="n"/>
      <c r="B863" s="67" t="n"/>
      <c r="C863" s="67" t="n"/>
      <c r="D863" s="3" t="n"/>
      <c r="E863" s="3" t="n"/>
      <c r="G863" t="inlineStr"/>
      <c r="H863" t="inlineStr"/>
      <c r="I863" s="74" t="n"/>
      <c r="J863" s="217" t="inlineStr"/>
    </row>
    <row r="864" ht="15.75" customHeight="1" s="305">
      <c r="A864" s="67" t="n"/>
      <c r="B864" s="67" t="n"/>
      <c r="C864" s="67" t="n"/>
      <c r="D864" s="3" t="n"/>
      <c r="E864" s="3" t="n"/>
      <c r="G864" t="inlineStr"/>
      <c r="H864" t="inlineStr"/>
      <c r="I864" s="74" t="n"/>
      <c r="J864" s="217" t="inlineStr"/>
    </row>
    <row r="865" ht="15.75" customHeight="1" s="305">
      <c r="A865" s="67" t="n"/>
      <c r="B865" s="67" t="n"/>
      <c r="C865" s="67" t="n"/>
      <c r="D865" s="3" t="n"/>
      <c r="E865" s="3" t="n"/>
      <c r="G865" t="inlineStr"/>
      <c r="H865" t="inlineStr"/>
      <c r="I865" s="74" t="n"/>
      <c r="J865" s="217" t="inlineStr"/>
    </row>
    <row r="866" ht="15.75" customHeight="1" s="305">
      <c r="A866" s="67" t="n"/>
      <c r="B866" s="67" t="n"/>
      <c r="C866" s="67" t="n"/>
      <c r="D866" s="3" t="n"/>
      <c r="E866" s="3" t="n"/>
      <c r="G866" t="inlineStr"/>
      <c r="H866" t="inlineStr"/>
      <c r="I866" s="74" t="n"/>
      <c r="J866" s="217" t="inlineStr"/>
    </row>
    <row r="867" ht="15.75" customHeight="1" s="305">
      <c r="A867" s="67" t="n"/>
      <c r="B867" s="67" t="n"/>
      <c r="C867" s="67" t="n"/>
      <c r="D867" s="3" t="n"/>
      <c r="E867" s="3" t="n"/>
      <c r="G867" t="inlineStr"/>
      <c r="H867" t="inlineStr"/>
      <c r="I867" s="74" t="n"/>
      <c r="J867" s="217" t="inlineStr"/>
    </row>
    <row r="868" ht="15.75" customHeight="1" s="305">
      <c r="A868" s="67" t="n"/>
      <c r="B868" s="67" t="n"/>
      <c r="C868" s="67" t="n"/>
      <c r="D868" s="3" t="n"/>
      <c r="E868" s="3" t="n"/>
      <c r="G868" t="inlineStr"/>
      <c r="H868" t="inlineStr"/>
      <c r="I868" s="74" t="n"/>
      <c r="J868" s="217" t="inlineStr"/>
    </row>
    <row r="869" ht="15.75" customHeight="1" s="305">
      <c r="A869" s="67" t="n"/>
      <c r="B869" s="67" t="n"/>
      <c r="C869" s="67" t="n"/>
      <c r="D869" s="3" t="n"/>
      <c r="E869" s="3" t="n"/>
      <c r="G869" t="inlineStr"/>
      <c r="H869" t="inlineStr"/>
      <c r="I869" s="74" t="n"/>
      <c r="J869" s="217" t="inlineStr"/>
    </row>
    <row r="870" ht="15.75" customHeight="1" s="305">
      <c r="A870" s="67" t="n"/>
      <c r="B870" s="67" t="n"/>
      <c r="C870" s="67" t="n"/>
      <c r="D870" s="3" t="n"/>
      <c r="E870" s="3" t="n"/>
      <c r="G870" t="inlineStr"/>
      <c r="H870" t="inlineStr"/>
      <c r="I870" s="74" t="n"/>
      <c r="J870" s="217" t="inlineStr"/>
    </row>
    <row r="871" ht="15.75" customHeight="1" s="305">
      <c r="A871" s="67" t="n"/>
      <c r="B871" s="67" t="n"/>
      <c r="C871" s="67" t="n"/>
      <c r="D871" s="3" t="n"/>
      <c r="E871" s="3" t="n"/>
      <c r="G871" t="inlineStr"/>
      <c r="H871" t="inlineStr"/>
      <c r="I871" s="74" t="n"/>
      <c r="J871" s="217" t="inlineStr"/>
    </row>
    <row r="872" ht="15.75" customHeight="1" s="305">
      <c r="A872" s="67" t="n"/>
      <c r="B872" s="67" t="n"/>
      <c r="C872" s="67" t="n"/>
      <c r="D872" s="3" t="n"/>
      <c r="E872" s="3" t="n"/>
      <c r="G872" t="inlineStr"/>
      <c r="H872" t="inlineStr"/>
      <c r="I872" s="74" t="n"/>
      <c r="J872" s="217" t="inlineStr"/>
    </row>
    <row r="873" ht="15.75" customHeight="1" s="305">
      <c r="A873" s="67" t="n"/>
      <c r="B873" s="67" t="n"/>
      <c r="C873" s="67" t="n"/>
      <c r="D873" s="3" t="n"/>
      <c r="E873" s="3" t="n"/>
      <c r="G873" t="inlineStr"/>
      <c r="H873" t="inlineStr"/>
      <c r="I873" s="74" t="n"/>
      <c r="J873" s="217" t="inlineStr"/>
    </row>
    <row r="874" ht="15.75" customHeight="1" s="305">
      <c r="A874" s="67" t="n"/>
      <c r="B874" s="67" t="n"/>
      <c r="C874" s="67" t="n"/>
      <c r="D874" s="3" t="n"/>
      <c r="E874" s="3" t="n"/>
      <c r="G874" t="inlineStr"/>
      <c r="H874" t="inlineStr"/>
      <c r="I874" s="74" t="n"/>
      <c r="J874" s="217" t="inlineStr"/>
    </row>
    <row r="875" ht="15.75" customHeight="1" s="305">
      <c r="A875" s="67" t="n"/>
      <c r="B875" s="67" t="n"/>
      <c r="C875" s="67" t="n"/>
      <c r="D875" s="3" t="n"/>
      <c r="E875" s="3" t="n"/>
      <c r="G875" t="inlineStr"/>
      <c r="H875" t="inlineStr"/>
      <c r="I875" s="74" t="n"/>
      <c r="J875" s="217" t="inlineStr"/>
    </row>
    <row r="876" ht="15.75" customHeight="1" s="305">
      <c r="A876" s="67" t="n"/>
      <c r="B876" s="67" t="n"/>
      <c r="C876" s="67" t="n"/>
      <c r="D876" s="3" t="n"/>
      <c r="E876" s="3" t="n"/>
      <c r="G876" t="inlineStr"/>
      <c r="H876" t="inlineStr"/>
      <c r="I876" s="74" t="n"/>
      <c r="J876" s="217" t="inlineStr"/>
    </row>
    <row r="877" ht="15.75" customHeight="1" s="305">
      <c r="A877" s="67" t="n"/>
      <c r="B877" s="67" t="n"/>
      <c r="C877" s="67" t="n"/>
      <c r="D877" s="3" t="n"/>
      <c r="E877" s="3" t="n"/>
      <c r="G877" t="inlineStr"/>
      <c r="H877" t="inlineStr"/>
      <c r="I877" s="69" t="n"/>
      <c r="J877" s="217" t="inlineStr"/>
    </row>
    <row r="878" ht="15.75" customHeight="1" s="305">
      <c r="A878" s="67" t="n"/>
      <c r="B878" s="67" t="n"/>
      <c r="C878" s="67" t="n"/>
      <c r="D878" s="3" t="n"/>
      <c r="E878" s="3" t="n"/>
      <c r="G878" t="inlineStr"/>
      <c r="H878" t="inlineStr"/>
      <c r="I878" s="69" t="n"/>
      <c r="J878" s="217" t="inlineStr"/>
    </row>
    <row r="879" ht="15.75" customHeight="1" s="305">
      <c r="A879" s="67" t="n"/>
      <c r="B879" s="67" t="n"/>
      <c r="C879" s="67" t="n"/>
      <c r="D879" s="3" t="n"/>
      <c r="E879" s="3" t="n"/>
      <c r="G879" t="inlineStr"/>
      <c r="H879" t="inlineStr"/>
      <c r="I879" s="69" t="n"/>
      <c r="J879" s="217" t="inlineStr"/>
    </row>
    <row r="880" ht="15.75" customHeight="1" s="305">
      <c r="A880" s="67" t="n"/>
      <c r="B880" s="67" t="n"/>
      <c r="C880" s="67" t="n"/>
      <c r="D880" s="3" t="n"/>
      <c r="E880" s="3" t="n"/>
      <c r="G880" t="inlineStr"/>
      <c r="H880" t="inlineStr"/>
      <c r="I880" s="69" t="n"/>
      <c r="J880" s="217" t="inlineStr"/>
    </row>
    <row r="881" ht="15.75" customHeight="1" s="305">
      <c r="A881" s="67" t="n"/>
      <c r="B881" s="67" t="n"/>
      <c r="C881" s="67" t="n"/>
      <c r="D881" s="3" t="n"/>
      <c r="E881" s="3" t="n"/>
      <c r="G881" t="inlineStr"/>
      <c r="H881" t="inlineStr"/>
      <c r="I881" s="94" t="n"/>
      <c r="J881" s="217" t="inlineStr"/>
    </row>
    <row r="882" ht="15.75" customHeight="1" s="305">
      <c r="A882" s="67" t="n"/>
      <c r="B882" s="67" t="n"/>
      <c r="C882" s="67" t="n"/>
      <c r="D882" s="3" t="n"/>
      <c r="E882" s="3" t="n"/>
      <c r="G882" t="inlineStr"/>
      <c r="H882" t="inlineStr"/>
      <c r="I882" s="94" t="n"/>
      <c r="J882" s="217" t="inlineStr"/>
    </row>
    <row r="883" ht="15.75" customHeight="1" s="305">
      <c r="A883" s="67" t="n"/>
      <c r="B883" s="67" t="n"/>
      <c r="C883" s="67" t="n"/>
      <c r="D883" s="3" t="n"/>
      <c r="E883" s="3" t="n"/>
      <c r="G883" t="inlineStr"/>
      <c r="H883" t="inlineStr"/>
      <c r="I883" s="74" t="n"/>
      <c r="J883" s="217" t="inlineStr"/>
    </row>
    <row r="884" ht="15.75" customHeight="1" s="305">
      <c r="A884" s="67" t="n"/>
      <c r="B884" s="67" t="n"/>
      <c r="C884" s="67" t="n"/>
      <c r="D884" s="3" t="n"/>
      <c r="E884" s="3" t="n"/>
      <c r="G884" t="inlineStr"/>
      <c r="H884" t="inlineStr"/>
      <c r="I884" s="74" t="n"/>
      <c r="J884" s="217" t="inlineStr"/>
    </row>
    <row r="885" ht="15.75" customHeight="1" s="305">
      <c r="A885" s="67" t="n"/>
      <c r="B885" s="67" t="n"/>
      <c r="C885" s="67" t="n"/>
      <c r="D885" s="3" t="n"/>
      <c r="E885" s="3" t="n"/>
      <c r="G885" t="inlineStr"/>
      <c r="H885" t="inlineStr"/>
      <c r="I885" s="74" t="n"/>
      <c r="J885" s="217" t="inlineStr"/>
    </row>
    <row r="886" ht="15.75" customHeight="1" s="305">
      <c r="A886" s="67" t="n"/>
      <c r="B886" s="67" t="n"/>
      <c r="C886" s="67" t="n"/>
      <c r="D886" s="3" t="n"/>
      <c r="E886" s="3" t="n"/>
      <c r="G886" t="inlineStr"/>
      <c r="H886" t="inlineStr"/>
      <c r="I886" s="74" t="n"/>
      <c r="J886" s="217" t="inlineStr"/>
    </row>
    <row r="887" ht="15.75" customHeight="1" s="305">
      <c r="A887" s="67" t="n"/>
      <c r="B887" s="67" t="n"/>
      <c r="C887" s="67" t="n"/>
      <c r="D887" s="3" t="n"/>
      <c r="E887" s="3" t="n"/>
      <c r="G887" t="inlineStr"/>
      <c r="H887" t="inlineStr"/>
      <c r="I887" s="74" t="n"/>
      <c r="J887" s="217" t="inlineStr"/>
    </row>
    <row r="888" ht="15.75" customHeight="1" s="305">
      <c r="A888" s="67" t="n"/>
      <c r="B888" s="67" t="n"/>
      <c r="C888" s="67" t="n"/>
      <c r="D888" s="3" t="n"/>
      <c r="E888" s="3" t="n"/>
      <c r="G888" t="inlineStr"/>
      <c r="H888" t="inlineStr"/>
      <c r="I888" s="74" t="n"/>
      <c r="J888" s="217" t="inlineStr"/>
    </row>
    <row r="889" ht="15.75" customHeight="1" s="305">
      <c r="A889" s="67" t="n"/>
      <c r="B889" s="67" t="n"/>
      <c r="C889" s="67" t="n"/>
      <c r="D889" s="3" t="n"/>
      <c r="E889" s="3" t="n"/>
      <c r="G889" t="inlineStr"/>
      <c r="H889" t="inlineStr"/>
      <c r="I889" s="74" t="n"/>
      <c r="J889" s="217" t="inlineStr"/>
    </row>
    <row r="890" ht="15.75" customHeight="1" s="305">
      <c r="A890" s="67" t="n"/>
      <c r="B890" s="67" t="n"/>
      <c r="C890" s="67" t="n"/>
      <c r="D890" s="3" t="n"/>
      <c r="E890" s="3" t="n"/>
      <c r="G890" t="inlineStr"/>
      <c r="H890" t="inlineStr"/>
      <c r="I890" s="74" t="n"/>
      <c r="J890" s="217" t="inlineStr"/>
    </row>
    <row r="891" ht="15.75" customHeight="1" s="305">
      <c r="A891" s="67" t="n"/>
      <c r="B891" s="67" t="n"/>
      <c r="C891" s="67" t="n"/>
      <c r="D891" s="3" t="n"/>
      <c r="E891" s="3" t="n"/>
      <c r="G891" t="inlineStr"/>
      <c r="H891" t="inlineStr"/>
      <c r="I891" s="74" t="n"/>
      <c r="J891" s="217" t="inlineStr"/>
    </row>
    <row r="892" ht="15.75" customHeight="1" s="305">
      <c r="A892" s="67" t="n"/>
      <c r="B892" s="67" t="n"/>
      <c r="C892" s="67" t="n"/>
      <c r="D892" s="3" t="n"/>
      <c r="E892" s="3" t="n"/>
      <c r="G892" t="inlineStr"/>
      <c r="H892" t="inlineStr"/>
      <c r="I892" s="74" t="n"/>
      <c r="J892" s="217" t="inlineStr"/>
    </row>
    <row r="893" ht="15.75" customHeight="1" s="305">
      <c r="A893" s="67" t="n"/>
      <c r="B893" s="67" t="n"/>
      <c r="C893" s="67" t="n"/>
      <c r="D893" s="3" t="n"/>
      <c r="E893" s="3" t="n"/>
      <c r="G893" t="inlineStr"/>
      <c r="H893" t="inlineStr"/>
      <c r="I893" s="74" t="n"/>
      <c r="J893" s="217" t="inlineStr"/>
    </row>
    <row r="894" ht="15.75" customHeight="1" s="305">
      <c r="A894" s="67" t="n"/>
      <c r="B894" s="67" t="n"/>
      <c r="C894" s="67" t="n"/>
      <c r="D894" s="3" t="n"/>
      <c r="E894" s="3" t="n"/>
      <c r="G894" t="inlineStr"/>
      <c r="H894" t="inlineStr"/>
      <c r="I894" s="74" t="n"/>
      <c r="J894" s="217" t="inlineStr"/>
    </row>
    <row r="895" ht="15.75" customHeight="1" s="305">
      <c r="A895" s="67" t="n"/>
      <c r="B895" s="67" t="n"/>
      <c r="C895" s="67" t="n"/>
      <c r="D895" s="3" t="n"/>
      <c r="E895" s="3" t="n"/>
      <c r="G895" t="inlineStr"/>
      <c r="H895" t="inlineStr"/>
      <c r="I895" s="74" t="n"/>
      <c r="J895" s="217" t="inlineStr"/>
    </row>
    <row r="896" ht="15.75" customHeight="1" s="305">
      <c r="A896" s="67" t="n"/>
      <c r="B896" s="67" t="n"/>
      <c r="C896" s="67" t="n"/>
      <c r="D896" s="3" t="n"/>
      <c r="E896" s="3" t="n"/>
      <c r="G896" t="inlineStr"/>
      <c r="H896" t="inlineStr"/>
      <c r="I896" s="74" t="n"/>
      <c r="J896" s="217" t="inlineStr"/>
    </row>
    <row r="897" ht="15.75" customHeight="1" s="305">
      <c r="A897" s="67" t="n"/>
      <c r="B897" s="67" t="n"/>
      <c r="C897" s="67" t="n"/>
      <c r="D897" s="3" t="n"/>
      <c r="E897" s="3" t="n"/>
      <c r="G897" t="inlineStr"/>
      <c r="H897" t="inlineStr"/>
      <c r="I897" s="74" t="n"/>
      <c r="J897" s="217" t="inlineStr"/>
    </row>
    <row r="898" ht="15.75" customHeight="1" s="305">
      <c r="A898" s="67" t="n"/>
      <c r="B898" s="67" t="n"/>
      <c r="C898" s="67" t="n"/>
      <c r="D898" s="3" t="n"/>
      <c r="E898" s="67" t="n"/>
      <c r="G898" t="inlineStr"/>
      <c r="H898" t="inlineStr"/>
      <c r="I898" s="74" t="n"/>
      <c r="J898" s="217" t="inlineStr"/>
    </row>
    <row r="899" ht="15.75" customHeight="1" s="305">
      <c r="A899" s="67" t="n"/>
      <c r="B899" s="67" t="n"/>
      <c r="C899" s="67" t="n"/>
      <c r="D899" s="3" t="n"/>
      <c r="E899" s="3" t="n"/>
      <c r="G899" t="inlineStr"/>
      <c r="H899" t="inlineStr"/>
      <c r="I899" s="74" t="n"/>
      <c r="J899" s="217" t="inlineStr"/>
    </row>
    <row r="900" ht="15.75" customHeight="1" s="305">
      <c r="A900" s="67" t="n"/>
      <c r="B900" s="67" t="n"/>
      <c r="C900" s="67" t="n"/>
      <c r="D900" s="3" t="n"/>
      <c r="E900" s="3" t="n"/>
      <c r="G900" t="inlineStr"/>
      <c r="H900" t="inlineStr"/>
      <c r="I900" s="74" t="n"/>
      <c r="J900" s="217" t="inlineStr"/>
    </row>
    <row r="901" ht="15.75" customHeight="1" s="305">
      <c r="A901" s="67" t="n"/>
      <c r="B901" s="67" t="n"/>
      <c r="C901" s="67" t="n"/>
      <c r="D901" s="3" t="n"/>
      <c r="E901" s="3" t="n"/>
      <c r="G901" t="inlineStr"/>
      <c r="H901" t="inlineStr"/>
      <c r="I901" s="74" t="n"/>
      <c r="J901" s="217" t="inlineStr"/>
    </row>
    <row r="902" ht="15.75" customHeight="1" s="305">
      <c r="A902" s="67" t="n"/>
      <c r="B902" s="67" t="n"/>
      <c r="C902" s="67" t="n"/>
      <c r="D902" s="3" t="n"/>
      <c r="E902" s="3" t="n"/>
      <c r="G902" t="inlineStr"/>
      <c r="H902" t="inlineStr"/>
      <c r="I902" s="74" t="n"/>
      <c r="J902" s="217" t="inlineStr"/>
    </row>
    <row r="903" ht="15.75" customHeight="1" s="305">
      <c r="A903" s="67" t="n"/>
      <c r="B903" s="67" t="n"/>
      <c r="C903" s="67" t="n"/>
      <c r="D903" s="3" t="n"/>
      <c r="E903" s="3" t="n"/>
      <c r="G903" t="inlineStr"/>
      <c r="H903" t="inlineStr"/>
      <c r="I903" s="74" t="n"/>
      <c r="J903" s="217" t="inlineStr"/>
    </row>
    <row r="904" ht="15.75" customHeight="1" s="305">
      <c r="A904" s="67" t="n"/>
      <c r="B904" s="67" t="n"/>
      <c r="C904" s="67" t="n"/>
      <c r="D904" s="3" t="n"/>
      <c r="E904" s="3" t="n"/>
      <c r="G904" t="inlineStr"/>
      <c r="H904" t="inlineStr"/>
      <c r="I904" s="74" t="n"/>
      <c r="J904" s="217" t="inlineStr"/>
    </row>
    <row r="905" ht="15.75" customHeight="1" s="305">
      <c r="A905" s="67" t="n"/>
      <c r="B905" s="67" t="n"/>
      <c r="C905" s="67" t="n"/>
      <c r="D905" s="3" t="n"/>
      <c r="E905" s="3" t="n"/>
      <c r="G905" t="inlineStr"/>
      <c r="H905" t="inlineStr"/>
      <c r="I905" s="74" t="n"/>
      <c r="J905" s="217" t="inlineStr"/>
    </row>
    <row r="906" ht="15.75" customHeight="1" s="305">
      <c r="A906" s="67" t="n"/>
      <c r="B906" s="67" t="n"/>
      <c r="C906" s="67" t="n"/>
      <c r="D906" s="3" t="n"/>
      <c r="E906" s="3" t="n"/>
      <c r="G906" t="inlineStr"/>
      <c r="H906" t="inlineStr"/>
      <c r="I906" s="74" t="n"/>
      <c r="J906" s="217" t="inlineStr"/>
    </row>
    <row r="907" ht="15.75" customHeight="1" s="305">
      <c r="A907" s="67" t="n"/>
      <c r="B907" s="67" t="n"/>
      <c r="C907" s="67" t="n"/>
      <c r="D907" s="3" t="n"/>
      <c r="E907" s="3" t="n"/>
      <c r="G907" t="inlineStr"/>
      <c r="H907" t="inlineStr"/>
      <c r="I907" s="74" t="n"/>
      <c r="J907" s="217" t="inlineStr"/>
    </row>
    <row r="908" ht="15.75" customHeight="1" s="305">
      <c r="A908" s="67" t="n"/>
      <c r="B908" s="67" t="n"/>
      <c r="C908" s="67" t="n"/>
      <c r="D908" s="3" t="n"/>
      <c r="E908" s="3" t="n"/>
      <c r="G908" t="inlineStr"/>
      <c r="H908" t="inlineStr"/>
      <c r="I908" s="74" t="n"/>
      <c r="J908" s="217" t="inlineStr"/>
    </row>
    <row r="909" ht="15.75" customHeight="1" s="305">
      <c r="A909" s="67" t="n"/>
      <c r="B909" s="67" t="n"/>
      <c r="C909" s="67" t="n"/>
      <c r="D909" s="3" t="n"/>
      <c r="E909" s="3" t="n"/>
      <c r="G909" t="inlineStr"/>
      <c r="H909" t="inlineStr"/>
      <c r="I909" s="74" t="n"/>
      <c r="J909" s="217" t="inlineStr"/>
    </row>
    <row r="910" ht="15.75" customHeight="1" s="305">
      <c r="A910" s="67" t="n"/>
      <c r="B910" s="67" t="n"/>
      <c r="C910" s="67" t="n"/>
      <c r="D910" s="3" t="n"/>
      <c r="E910" s="3" t="n"/>
      <c r="G910" t="inlineStr"/>
      <c r="H910" t="inlineStr"/>
      <c r="I910" s="74" t="n"/>
      <c r="J910" s="217" t="inlineStr"/>
    </row>
    <row r="911" ht="15.75" customHeight="1" s="305">
      <c r="A911" s="67" t="n"/>
      <c r="B911" s="67" t="n"/>
      <c r="C911" s="67" t="n"/>
      <c r="D911" s="3" t="n"/>
      <c r="E911" s="3" t="n"/>
      <c r="G911" t="inlineStr"/>
      <c r="H911" t="inlineStr"/>
      <c r="I911" s="74" t="n"/>
      <c r="J911" s="217" t="inlineStr"/>
    </row>
    <row r="912" ht="15.75" customHeight="1" s="305">
      <c r="A912" s="67" t="n"/>
      <c r="B912" s="67" t="n"/>
      <c r="C912" s="67" t="n"/>
      <c r="D912" s="3" t="n"/>
      <c r="E912" s="3" t="n"/>
      <c r="G912" t="inlineStr"/>
      <c r="H912" t="inlineStr"/>
      <c r="I912" s="74" t="n"/>
      <c r="J912" s="217" t="inlineStr"/>
    </row>
    <row r="913" ht="15.75" customHeight="1" s="305">
      <c r="A913" s="67" t="n"/>
      <c r="B913" s="67" t="n"/>
      <c r="C913" s="67" t="n"/>
      <c r="D913" s="3" t="n"/>
      <c r="E913" s="3" t="n"/>
      <c r="G913" t="inlineStr"/>
      <c r="H913" t="inlineStr"/>
      <c r="I913" s="74" t="n"/>
      <c r="J913" s="217" t="inlineStr"/>
    </row>
    <row r="914" ht="15.75" customHeight="1" s="305">
      <c r="A914" s="67" t="n"/>
      <c r="B914" s="67" t="n"/>
      <c r="C914" s="67" t="n"/>
      <c r="D914" s="3" t="n"/>
      <c r="E914" s="3" t="n"/>
      <c r="G914" t="inlineStr"/>
      <c r="H914" t="inlineStr"/>
      <c r="I914" s="74" t="n"/>
      <c r="J914" s="217" t="inlineStr"/>
    </row>
    <row r="915" ht="15.75" customHeight="1" s="305">
      <c r="A915" s="67" t="n"/>
      <c r="B915" s="67" t="n"/>
      <c r="C915" s="67" t="n"/>
      <c r="D915" s="3" t="n"/>
      <c r="E915" s="3" t="n"/>
      <c r="G915" t="inlineStr"/>
      <c r="H915" t="inlineStr"/>
      <c r="I915" s="74" t="n"/>
      <c r="J915" s="217" t="inlineStr"/>
    </row>
    <row r="916" ht="15.75" customHeight="1" s="305">
      <c r="A916" s="67" t="n"/>
      <c r="B916" s="67" t="n"/>
      <c r="C916" s="67" t="n"/>
      <c r="D916" s="3" t="n"/>
      <c r="E916" s="3" t="n"/>
      <c r="G916" t="inlineStr"/>
      <c r="H916" t="inlineStr"/>
      <c r="I916" s="74" t="n"/>
      <c r="J916" s="217" t="inlineStr"/>
    </row>
    <row r="917" ht="15.75" customHeight="1" s="305">
      <c r="A917" s="67" t="n"/>
      <c r="B917" s="67" t="n"/>
      <c r="C917" s="67" t="n"/>
      <c r="D917" s="3" t="n"/>
      <c r="E917" s="3" t="n"/>
      <c r="G917" t="inlineStr"/>
      <c r="H917" t="inlineStr"/>
      <c r="I917" s="74" t="n"/>
      <c r="J917" s="217" t="inlineStr"/>
    </row>
    <row r="918" ht="15.75" customHeight="1" s="305">
      <c r="A918" s="67" t="n"/>
      <c r="B918" s="67" t="n"/>
      <c r="C918" s="67" t="n"/>
      <c r="D918" s="3" t="n"/>
      <c r="E918" s="3" t="n"/>
      <c r="G918" t="inlineStr"/>
      <c r="H918" t="inlineStr"/>
      <c r="I918" s="74" t="n"/>
      <c r="J918" s="217" t="inlineStr"/>
    </row>
    <row r="919" ht="15.75" customHeight="1" s="305">
      <c r="A919" s="67" t="n"/>
      <c r="B919" s="67" t="n"/>
      <c r="C919" s="67" t="n"/>
      <c r="D919" s="3" t="n"/>
      <c r="E919" s="3" t="n"/>
      <c r="G919" t="inlineStr"/>
      <c r="H919" t="inlineStr"/>
      <c r="I919" s="74" t="n"/>
      <c r="J919" s="217" t="inlineStr"/>
    </row>
    <row r="920" ht="15.75" customHeight="1" s="305">
      <c r="A920" s="67" t="n"/>
      <c r="B920" s="67" t="n"/>
      <c r="C920" s="67" t="n"/>
      <c r="D920" s="3" t="n"/>
      <c r="E920" s="3" t="n"/>
      <c r="G920" t="inlineStr"/>
      <c r="H920" t="inlineStr"/>
      <c r="I920" s="74" t="n"/>
      <c r="J920" s="217" t="inlineStr"/>
    </row>
    <row r="921" ht="15.75" customHeight="1" s="305">
      <c r="A921" s="67" t="n"/>
      <c r="B921" s="67" t="n"/>
      <c r="C921" s="67" t="n"/>
      <c r="D921" s="3" t="n"/>
      <c r="E921" s="3" t="n"/>
      <c r="G921" t="inlineStr"/>
      <c r="H921" t="inlineStr"/>
      <c r="I921" s="74" t="n"/>
      <c r="J921" s="217" t="inlineStr"/>
    </row>
    <row r="922" ht="15.75" customHeight="1" s="305">
      <c r="A922" s="67" t="n"/>
      <c r="B922" s="67" t="n"/>
      <c r="C922" s="67" t="n"/>
      <c r="D922" s="3" t="n"/>
      <c r="E922" s="3" t="n"/>
      <c r="G922" t="inlineStr"/>
      <c r="H922" t="inlineStr"/>
      <c r="I922" s="74" t="n"/>
      <c r="J922" s="217" t="inlineStr"/>
    </row>
    <row r="923" ht="15.75" customHeight="1" s="305">
      <c r="A923" s="67" t="n"/>
      <c r="B923" s="67" t="n"/>
      <c r="C923" s="67" t="n"/>
      <c r="D923" s="3" t="n"/>
      <c r="E923" s="3" t="n"/>
      <c r="G923" t="inlineStr"/>
      <c r="H923" t="inlineStr"/>
      <c r="I923" s="74" t="n"/>
      <c r="J923" s="217" t="inlineStr"/>
    </row>
    <row r="924" ht="15.75" customHeight="1" s="305">
      <c r="A924" s="67" t="n"/>
      <c r="B924" s="67" t="n"/>
      <c r="C924" s="67" t="n"/>
      <c r="D924" s="3" t="n"/>
      <c r="E924" s="3" t="n"/>
      <c r="G924" t="inlineStr"/>
      <c r="H924" t="inlineStr"/>
      <c r="I924" s="74" t="n"/>
      <c r="J924" s="217" t="inlineStr"/>
    </row>
    <row r="925" ht="15.75" customHeight="1" s="305">
      <c r="A925" s="67" t="n"/>
      <c r="B925" s="67" t="n"/>
      <c r="C925" s="67" t="n"/>
      <c r="D925" s="3" t="n"/>
      <c r="E925" s="3" t="n"/>
      <c r="G925" t="inlineStr"/>
      <c r="H925" t="inlineStr"/>
      <c r="I925" s="74" t="n"/>
      <c r="J925" s="217" t="inlineStr"/>
    </row>
    <row r="926" ht="15.75" customHeight="1" s="305">
      <c r="A926" s="67" t="n"/>
      <c r="B926" s="67" t="n"/>
      <c r="C926" s="67" t="n"/>
      <c r="D926" s="3" t="n"/>
      <c r="E926" s="3" t="n"/>
      <c r="G926" t="inlineStr"/>
      <c r="H926" t="inlineStr"/>
      <c r="I926" s="74" t="n"/>
      <c r="J926" s="217" t="inlineStr"/>
    </row>
    <row r="927" ht="15.75" customHeight="1" s="305">
      <c r="A927" s="67" t="n"/>
      <c r="B927" s="67" t="n"/>
      <c r="C927" s="67" t="n"/>
      <c r="D927" s="3" t="n"/>
      <c r="E927" s="3" t="n"/>
      <c r="G927" t="inlineStr"/>
      <c r="H927" t="inlineStr"/>
      <c r="I927" s="74" t="n"/>
      <c r="J927" s="217" t="inlineStr"/>
    </row>
    <row r="928" ht="15.75" customHeight="1" s="305">
      <c r="A928" s="67" t="n"/>
      <c r="B928" s="67" t="n"/>
      <c r="C928" s="67" t="n"/>
      <c r="D928" s="3" t="n"/>
      <c r="E928" s="3" t="n"/>
      <c r="G928" t="inlineStr"/>
      <c r="H928" t="inlineStr"/>
      <c r="I928" s="74" t="n"/>
      <c r="J928" s="217" t="inlineStr"/>
    </row>
    <row r="929" ht="15.75" customHeight="1" s="305">
      <c r="A929" s="67" t="n"/>
      <c r="B929" s="67" t="n"/>
      <c r="C929" s="67" t="n"/>
      <c r="D929" s="3" t="n"/>
      <c r="E929" s="3" t="n"/>
      <c r="G929" t="inlineStr"/>
      <c r="H929" t="inlineStr"/>
      <c r="I929" s="74" t="n"/>
      <c r="J929" s="217" t="inlineStr"/>
    </row>
    <row r="930" ht="15.75" customHeight="1" s="305">
      <c r="A930" s="67" t="n"/>
      <c r="B930" s="67" t="n"/>
      <c r="C930" s="67" t="n"/>
      <c r="D930" s="3" t="n"/>
      <c r="E930" s="3" t="n"/>
      <c r="G930" t="inlineStr"/>
      <c r="H930" t="inlineStr"/>
      <c r="I930" s="74" t="n"/>
      <c r="J930" s="217" t="inlineStr"/>
    </row>
    <row r="931" ht="15.75" customHeight="1" s="305">
      <c r="A931" s="67" t="n"/>
      <c r="B931" s="67" t="n"/>
      <c r="C931" s="67" t="n"/>
      <c r="D931" s="3" t="n"/>
      <c r="E931" s="3" t="n"/>
      <c r="G931" t="inlineStr"/>
      <c r="H931" t="inlineStr"/>
      <c r="I931" s="74" t="n"/>
      <c r="J931" s="217" t="inlineStr"/>
    </row>
    <row r="932" ht="15.75" customHeight="1" s="305">
      <c r="A932" s="67" t="n"/>
      <c r="B932" s="67" t="n"/>
      <c r="C932" s="67" t="n"/>
      <c r="D932" s="3" t="n"/>
      <c r="E932" s="3" t="n"/>
      <c r="G932" t="inlineStr"/>
      <c r="H932" t="inlineStr"/>
      <c r="I932" s="74" t="n"/>
      <c r="J932" s="217" t="inlineStr"/>
    </row>
    <row r="933" ht="15.75" customHeight="1" s="305">
      <c r="A933" s="67" t="n"/>
      <c r="B933" s="67" t="n"/>
      <c r="C933" s="67" t="n"/>
      <c r="D933" s="3" t="n"/>
      <c r="E933" s="3" t="n"/>
      <c r="G933" t="inlineStr"/>
      <c r="H933" t="inlineStr"/>
      <c r="I933" s="74" t="n"/>
      <c r="J933" s="217" t="inlineStr"/>
    </row>
    <row r="934" ht="15.75" customHeight="1" s="305">
      <c r="A934" s="67" t="n"/>
      <c r="B934" s="67" t="n"/>
      <c r="C934" s="67" t="n"/>
      <c r="D934" s="3" t="n"/>
      <c r="E934" s="3" t="n"/>
      <c r="G934" t="inlineStr"/>
      <c r="H934" t="inlineStr"/>
      <c r="I934" s="74" t="n"/>
      <c r="J934" s="217" t="inlineStr"/>
    </row>
    <row r="935" ht="15.75" customHeight="1" s="305">
      <c r="A935" s="67" t="n"/>
      <c r="B935" s="67" t="n"/>
      <c r="C935" s="67" t="n"/>
      <c r="D935" s="3" t="n"/>
      <c r="E935" s="3" t="n"/>
      <c r="G935" t="inlineStr"/>
      <c r="H935" t="inlineStr"/>
      <c r="I935" s="74" t="n"/>
      <c r="J935" s="217" t="inlineStr"/>
    </row>
    <row r="936" ht="15.75" customHeight="1" s="305">
      <c r="A936" s="67" t="n"/>
      <c r="B936" s="67" t="n"/>
      <c r="C936" s="67" t="n"/>
      <c r="D936" s="3" t="n"/>
      <c r="E936" s="3" t="n"/>
      <c r="G936" t="inlineStr"/>
      <c r="H936" t="inlineStr"/>
      <c r="I936" s="74" t="n"/>
      <c r="J936" s="217" t="inlineStr"/>
    </row>
    <row r="937" ht="15.75" customHeight="1" s="305">
      <c r="A937" s="67" t="n"/>
      <c r="B937" s="67" t="n"/>
      <c r="C937" s="67" t="n"/>
      <c r="D937" s="3" t="n"/>
      <c r="E937" s="3" t="n"/>
      <c r="G937" t="inlineStr"/>
      <c r="H937" t="inlineStr"/>
      <c r="I937" s="74" t="n"/>
      <c r="J937" s="217" t="inlineStr"/>
    </row>
    <row r="938" ht="15.75" customHeight="1" s="305">
      <c r="A938" s="67" t="n"/>
      <c r="B938" s="67" t="n"/>
      <c r="C938" s="67" t="n"/>
      <c r="D938" s="3" t="n"/>
      <c r="E938" s="3" t="n"/>
      <c r="G938" t="inlineStr"/>
      <c r="H938" t="inlineStr"/>
      <c r="I938" s="74" t="n"/>
      <c r="J938" s="217" t="inlineStr"/>
    </row>
    <row r="939" ht="15.75" customHeight="1" s="305">
      <c r="A939" s="67" t="n"/>
      <c r="B939" s="67" t="n"/>
      <c r="C939" s="67" t="n"/>
      <c r="D939" s="3" t="n"/>
      <c r="E939" s="3" t="n"/>
      <c r="G939" t="inlineStr"/>
      <c r="H939" t="inlineStr"/>
      <c r="I939" s="74" t="n"/>
      <c r="J939" s="217" t="inlineStr"/>
    </row>
    <row r="940" ht="15.75" customHeight="1" s="305">
      <c r="A940" s="67" t="n"/>
      <c r="B940" s="67" t="n"/>
      <c r="C940" s="67" t="n"/>
      <c r="D940" s="3" t="n"/>
      <c r="E940" s="3" t="n"/>
      <c r="G940" t="inlineStr"/>
      <c r="H940" t="inlineStr"/>
      <c r="I940" s="74" t="n"/>
      <c r="J940" s="217" t="inlineStr"/>
    </row>
    <row r="941" ht="15.75" customHeight="1" s="305">
      <c r="A941" s="96" t="n"/>
      <c r="B941" s="96" t="n"/>
      <c r="C941" s="96" t="n"/>
      <c r="D941" s="3" t="n"/>
      <c r="E941" s="3" t="n"/>
      <c r="G941" t="inlineStr"/>
      <c r="H941" t="inlineStr"/>
      <c r="I941" s="74" t="n"/>
      <c r="J941" s="217" t="inlineStr"/>
    </row>
    <row r="942" ht="15.75" customHeight="1" s="305">
      <c r="A942" s="96" t="n"/>
      <c r="B942" s="96" t="n"/>
      <c r="C942" s="96" t="n"/>
      <c r="D942" s="3" t="n"/>
      <c r="E942" s="3" t="n"/>
      <c r="G942" t="inlineStr"/>
      <c r="H942" t="inlineStr"/>
      <c r="I942" s="74" t="n"/>
      <c r="J942" s="217" t="inlineStr"/>
    </row>
    <row r="943" ht="15.75" customHeight="1" s="305">
      <c r="A943" s="67" t="n"/>
      <c r="B943" s="67" t="n"/>
      <c r="C943" s="67" t="n"/>
      <c r="D943" s="3" t="n"/>
      <c r="E943" s="3" t="n"/>
      <c r="G943" t="inlineStr"/>
      <c r="H943" t="inlineStr"/>
      <c r="I943" s="74" t="n"/>
      <c r="J943" s="217" t="inlineStr"/>
    </row>
    <row r="944" ht="15.75" customHeight="1" s="305">
      <c r="A944" s="67" t="n"/>
      <c r="B944" s="67" t="n"/>
      <c r="C944" s="67" t="n"/>
      <c r="D944" s="3" t="n"/>
      <c r="E944" s="3" t="n"/>
      <c r="G944" t="inlineStr"/>
      <c r="H944" t="inlineStr"/>
      <c r="I944" s="74" t="n"/>
      <c r="J944" s="217" t="inlineStr"/>
    </row>
    <row r="945" ht="15.75" customHeight="1" s="305">
      <c r="A945" s="67" t="n"/>
      <c r="B945" s="67" t="n"/>
      <c r="C945" s="67" t="n"/>
      <c r="D945" s="3" t="n"/>
      <c r="E945" s="3" t="n"/>
      <c r="G945" t="inlineStr"/>
      <c r="H945" t="inlineStr"/>
      <c r="I945" s="74" t="n"/>
      <c r="J945" s="217" t="inlineStr"/>
    </row>
    <row r="946" ht="15.75" customHeight="1" s="305">
      <c r="A946" s="67" t="n"/>
      <c r="B946" s="67" t="n"/>
      <c r="C946" s="67" t="n"/>
      <c r="D946" s="3" t="n"/>
      <c r="E946" s="3" t="n"/>
      <c r="G946" t="inlineStr"/>
      <c r="H946" t="inlineStr"/>
      <c r="I946" s="74" t="n"/>
      <c r="J946" s="217" t="inlineStr"/>
    </row>
    <row r="947" ht="15.75" customHeight="1" s="305">
      <c r="A947" s="67" t="n"/>
      <c r="B947" s="67" t="n"/>
      <c r="C947" s="67" t="n"/>
      <c r="D947" s="3" t="n"/>
      <c r="E947" s="3" t="n"/>
      <c r="G947" t="inlineStr"/>
      <c r="H947" t="inlineStr"/>
      <c r="I947" s="74" t="n"/>
      <c r="J947" s="217" t="inlineStr"/>
    </row>
    <row r="948" ht="15.75" customHeight="1" s="305">
      <c r="A948" s="67" t="n"/>
      <c r="B948" s="67" t="n"/>
      <c r="C948" s="67" t="n"/>
      <c r="D948" s="3" t="n"/>
      <c r="E948" s="3" t="n"/>
      <c r="G948" t="inlineStr"/>
      <c r="H948" t="inlineStr"/>
      <c r="I948" s="84" t="n"/>
      <c r="J948" s="217" t="inlineStr"/>
    </row>
    <row r="949" ht="15.75" customHeight="1" s="305">
      <c r="A949" s="67" t="n"/>
      <c r="B949" s="67" t="n"/>
      <c r="C949" s="67" t="n"/>
      <c r="D949" s="3" t="n"/>
      <c r="E949" s="3" t="n"/>
      <c r="G949" t="inlineStr"/>
      <c r="H949" t="inlineStr"/>
      <c r="I949" s="74" t="n"/>
      <c r="J949" s="217" t="inlineStr"/>
    </row>
    <row r="950" ht="15.75" customHeight="1" s="305">
      <c r="A950" s="67" t="n"/>
      <c r="B950" s="67" t="n"/>
      <c r="C950" s="67" t="n"/>
      <c r="D950" s="3" t="n"/>
      <c r="E950" s="3" t="n"/>
      <c r="G950" t="inlineStr"/>
      <c r="H950" t="inlineStr"/>
      <c r="I950" s="74" t="n"/>
      <c r="J950" s="217" t="inlineStr"/>
    </row>
    <row r="951" ht="15.75" customHeight="1" s="305">
      <c r="A951" s="67" t="n"/>
      <c r="B951" s="67" t="n"/>
      <c r="C951" s="67" t="n"/>
      <c r="D951" s="3" t="n"/>
      <c r="E951" s="3" t="n"/>
      <c r="G951" t="inlineStr"/>
      <c r="H951" t="inlineStr"/>
      <c r="I951" s="74" t="n"/>
      <c r="J951" s="217" t="inlineStr"/>
    </row>
    <row r="952" ht="15.75" customHeight="1" s="305">
      <c r="A952" s="67" t="n"/>
      <c r="B952" s="67" t="n"/>
      <c r="C952" s="67" t="n"/>
      <c r="D952" s="3" t="n"/>
      <c r="E952" s="3" t="n"/>
      <c r="G952" t="inlineStr"/>
      <c r="H952" t="inlineStr"/>
      <c r="I952" s="74" t="n"/>
      <c r="J952" s="217" t="inlineStr"/>
    </row>
    <row r="953" ht="15.75" customHeight="1" s="305">
      <c r="A953" s="67" t="n"/>
      <c r="B953" s="67" t="n"/>
      <c r="C953" s="67" t="n"/>
      <c r="D953" s="3" t="n"/>
      <c r="E953" s="3" t="n"/>
      <c r="G953" t="inlineStr"/>
      <c r="H953" t="inlineStr"/>
      <c r="I953" s="74" t="n"/>
      <c r="J953" s="217" t="inlineStr"/>
    </row>
    <row r="954" ht="15.75" customHeight="1" s="305">
      <c r="A954" s="67" t="n"/>
      <c r="B954" s="67" t="n"/>
      <c r="C954" s="67" t="n"/>
      <c r="D954" s="3" t="n"/>
      <c r="E954" s="3" t="n"/>
      <c r="G954" t="inlineStr"/>
      <c r="H954" t="inlineStr"/>
      <c r="I954" s="74" t="n"/>
      <c r="J954" s="217" t="inlineStr"/>
    </row>
    <row r="955" ht="15.75" customHeight="1" s="305">
      <c r="A955" s="67" t="n"/>
      <c r="B955" s="67" t="n"/>
      <c r="C955" s="67" t="n"/>
      <c r="D955" s="3" t="n"/>
      <c r="E955" s="3" t="n"/>
      <c r="G955" t="inlineStr"/>
      <c r="H955" t="inlineStr"/>
      <c r="I955" s="74" t="n"/>
      <c r="J955" s="217" t="inlineStr"/>
    </row>
    <row r="956" ht="15.75" customHeight="1" s="305">
      <c r="A956" s="67" t="n"/>
      <c r="B956" s="67" t="n"/>
      <c r="C956" s="67" t="n"/>
      <c r="D956" s="3" t="n"/>
      <c r="E956" s="3" t="n"/>
      <c r="G956" t="inlineStr"/>
      <c r="H956" t="inlineStr"/>
      <c r="I956" s="74" t="n"/>
      <c r="J956" s="217" t="inlineStr"/>
    </row>
    <row r="957" ht="15.75" customHeight="1" s="305">
      <c r="A957" s="67" t="n"/>
      <c r="B957" s="67" t="n"/>
      <c r="C957" s="67" t="n"/>
      <c r="D957" s="3" t="n"/>
      <c r="E957" s="3" t="n"/>
      <c r="G957" t="inlineStr"/>
      <c r="H957" t="inlineStr"/>
      <c r="I957" s="74" t="n"/>
      <c r="J957" s="217" t="inlineStr"/>
    </row>
    <row r="958" ht="15.75" customHeight="1" s="305">
      <c r="A958" s="67" t="n"/>
      <c r="B958" s="67" t="n"/>
      <c r="C958" s="67" t="n"/>
      <c r="D958" s="3" t="n"/>
      <c r="E958" s="3" t="n"/>
      <c r="G958" t="inlineStr"/>
      <c r="H958" t="inlineStr"/>
      <c r="I958" s="74" t="n"/>
      <c r="J958" s="217" t="inlineStr"/>
    </row>
    <row r="959" ht="15.75" customHeight="1" s="305">
      <c r="A959" s="67" t="n"/>
      <c r="B959" s="67" t="n"/>
      <c r="C959" s="67" t="n"/>
      <c r="D959" s="3" t="n"/>
      <c r="E959" s="3" t="n"/>
      <c r="G959" t="inlineStr"/>
      <c r="H959" t="inlineStr"/>
      <c r="I959" s="74" t="n"/>
      <c r="J959" s="217" t="inlineStr"/>
    </row>
    <row r="960" ht="15.75" customHeight="1" s="305">
      <c r="A960" s="67" t="n"/>
      <c r="B960" s="67" t="n"/>
      <c r="C960" s="67" t="n"/>
      <c r="D960" s="3" t="n"/>
      <c r="E960" s="3" t="n"/>
      <c r="G960" t="inlineStr"/>
      <c r="H960" t="inlineStr"/>
      <c r="I960" s="74" t="n"/>
      <c r="J960" s="217" t="inlineStr"/>
    </row>
    <row r="961" ht="15.75" customHeight="1" s="305">
      <c r="A961" s="67" t="n"/>
      <c r="B961" s="67" t="n"/>
      <c r="C961" s="67" t="n"/>
      <c r="D961" s="3" t="n"/>
      <c r="E961" s="3" t="n"/>
      <c r="G961" t="inlineStr"/>
      <c r="H961" t="inlineStr"/>
      <c r="I961" s="74" t="n"/>
      <c r="J961" s="217" t="inlineStr"/>
    </row>
    <row r="962" ht="15.75" customHeight="1" s="305">
      <c r="A962" s="67" t="n"/>
      <c r="B962" s="67" t="n"/>
      <c r="C962" s="67" t="n"/>
      <c r="D962" s="3" t="n"/>
      <c r="E962" s="3" t="n"/>
      <c r="G962" t="inlineStr"/>
      <c r="H962" t="inlineStr"/>
      <c r="I962" s="74" t="n"/>
      <c r="J962" s="217" t="inlineStr"/>
    </row>
    <row r="963" ht="15.75" customHeight="1" s="305">
      <c r="A963" s="67" t="n"/>
      <c r="B963" s="67" t="n"/>
      <c r="C963" s="67" t="n"/>
      <c r="D963" s="3" t="n"/>
      <c r="E963" s="3" t="n"/>
      <c r="G963" t="inlineStr"/>
      <c r="H963" t="inlineStr"/>
      <c r="I963" s="74" t="n"/>
      <c r="J963" s="217" t="inlineStr"/>
    </row>
    <row r="964" ht="15.75" customHeight="1" s="305">
      <c r="A964" s="67" t="n"/>
      <c r="B964" s="67" t="n"/>
      <c r="C964" s="67" t="n"/>
      <c r="D964" s="3" t="n"/>
      <c r="E964" s="3" t="n"/>
      <c r="G964" t="inlineStr"/>
      <c r="H964" t="inlineStr"/>
      <c r="I964" s="74" t="n"/>
      <c r="J964" s="217" t="inlineStr"/>
    </row>
    <row r="965" ht="15.75" customHeight="1" s="305">
      <c r="A965" s="67" t="n"/>
      <c r="B965" s="67" t="n"/>
      <c r="C965" s="67" t="n"/>
      <c r="D965" s="3" t="n"/>
      <c r="E965" s="3" t="n"/>
      <c r="G965" t="inlineStr"/>
      <c r="H965" t="inlineStr"/>
      <c r="I965" s="74" t="n"/>
      <c r="J965" s="217" t="inlineStr"/>
    </row>
    <row r="966" ht="15.75" customHeight="1" s="305">
      <c r="A966" s="67" t="n"/>
      <c r="B966" s="67" t="n"/>
      <c r="C966" s="67" t="n"/>
      <c r="D966" s="3" t="n"/>
      <c r="E966" s="3" t="n"/>
      <c r="G966" t="inlineStr"/>
      <c r="H966" t="inlineStr"/>
      <c r="I966" s="74" t="n"/>
      <c r="J966" s="217" t="inlineStr"/>
    </row>
    <row r="967" ht="15.75" customHeight="1" s="305">
      <c r="A967" s="67" t="n"/>
      <c r="B967" s="67" t="n"/>
      <c r="C967" s="67" t="n"/>
      <c r="D967" s="3" t="n"/>
      <c r="E967" s="3" t="n"/>
      <c r="G967" t="inlineStr"/>
      <c r="H967" t="inlineStr"/>
      <c r="I967" s="74" t="n"/>
      <c r="J967" s="217" t="inlineStr"/>
    </row>
    <row r="968" ht="15.75" customHeight="1" s="305">
      <c r="A968" s="67" t="n"/>
      <c r="B968" s="67" t="n"/>
      <c r="C968" s="67" t="n"/>
      <c r="D968" s="3" t="n"/>
      <c r="E968" s="3" t="n"/>
      <c r="G968" t="inlineStr"/>
      <c r="H968" t="inlineStr"/>
      <c r="I968" s="74" t="n"/>
      <c r="J968" s="217" t="inlineStr"/>
    </row>
    <row r="969" ht="15.75" customHeight="1" s="305">
      <c r="A969" s="67" t="n"/>
      <c r="B969" s="67" t="n"/>
      <c r="C969" s="67" t="n"/>
      <c r="D969" s="3" t="n"/>
      <c r="E969" s="3" t="n"/>
      <c r="G969" t="inlineStr"/>
      <c r="H969" t="inlineStr"/>
      <c r="I969" s="74" t="n"/>
      <c r="J969" s="217" t="inlineStr"/>
    </row>
    <row r="970" ht="15.75" customHeight="1" s="305">
      <c r="A970" s="67" t="n"/>
      <c r="B970" s="67" t="n"/>
      <c r="C970" s="67" t="n"/>
      <c r="D970" s="3" t="n"/>
      <c r="E970" s="3" t="n"/>
      <c r="G970" t="inlineStr"/>
      <c r="H970" t="inlineStr"/>
      <c r="I970" s="74" t="n"/>
      <c r="J970" s="217" t="inlineStr"/>
    </row>
    <row r="971" ht="15.75" customHeight="1" s="305">
      <c r="A971" s="67" t="n"/>
      <c r="B971" s="67" t="n"/>
      <c r="C971" s="67" t="n"/>
      <c r="D971" s="3" t="n"/>
      <c r="E971" s="3" t="n"/>
      <c r="G971" t="inlineStr"/>
      <c r="H971" t="inlineStr"/>
      <c r="I971" s="74" t="n"/>
      <c r="J971" s="217" t="inlineStr"/>
    </row>
    <row r="972" ht="15.75" customHeight="1" s="305">
      <c r="A972" s="67" t="n"/>
      <c r="B972" s="67" t="n"/>
      <c r="C972" s="67" t="n"/>
      <c r="D972" s="3" t="n"/>
      <c r="E972" s="3" t="n"/>
      <c r="G972" t="inlineStr"/>
      <c r="H972" t="inlineStr"/>
      <c r="I972" s="74" t="n"/>
      <c r="J972" s="217" t="inlineStr"/>
    </row>
    <row r="973" ht="15.75" customHeight="1" s="305">
      <c r="A973" s="67" t="n"/>
      <c r="B973" s="67" t="n"/>
      <c r="C973" s="67" t="n"/>
      <c r="D973" s="3" t="n"/>
      <c r="E973" s="3" t="n"/>
      <c r="G973" t="inlineStr"/>
      <c r="H973" t="inlineStr"/>
      <c r="I973" s="74" t="n"/>
      <c r="J973" s="217" t="inlineStr"/>
    </row>
    <row r="974" ht="15.75" customHeight="1" s="305">
      <c r="A974" s="67" t="n"/>
      <c r="B974" s="67" t="n"/>
      <c r="C974" s="67" t="n"/>
      <c r="D974" s="3" t="n"/>
      <c r="E974" s="3" t="n"/>
      <c r="G974" t="inlineStr"/>
      <c r="H974" t="inlineStr"/>
      <c r="I974" s="74" t="n"/>
      <c r="J974" s="217" t="inlineStr"/>
    </row>
    <row r="975" ht="15.75" customHeight="1" s="305">
      <c r="A975" s="67" t="n"/>
      <c r="B975" s="67" t="n"/>
      <c r="C975" s="67" t="n"/>
      <c r="D975" s="3" t="n"/>
      <c r="E975" s="3" t="n"/>
      <c r="G975" t="inlineStr"/>
      <c r="H975" t="inlineStr"/>
      <c r="I975" s="74" t="n"/>
      <c r="J975" s="217" t="inlineStr"/>
    </row>
    <row r="976" ht="15.75" customHeight="1" s="305">
      <c r="A976" s="67" t="n"/>
      <c r="B976" s="67" t="n"/>
      <c r="C976" s="67" t="n"/>
      <c r="D976" s="3" t="n"/>
      <c r="E976" s="3" t="n"/>
      <c r="G976" t="inlineStr"/>
      <c r="H976" t="inlineStr"/>
      <c r="I976" s="74" t="n"/>
      <c r="J976" s="217" t="inlineStr"/>
    </row>
    <row r="977" ht="15.75" customHeight="1" s="305">
      <c r="A977" s="67" t="n"/>
      <c r="B977" s="67" t="n"/>
      <c r="C977" s="67" t="n"/>
      <c r="D977" s="3" t="n"/>
      <c r="E977" s="3" t="n"/>
      <c r="G977" t="inlineStr"/>
      <c r="H977" t="inlineStr"/>
      <c r="I977" s="74" t="n"/>
      <c r="J977" s="217" t="inlineStr"/>
    </row>
    <row r="978" ht="15.75" customHeight="1" s="305">
      <c r="A978" s="67" t="n"/>
      <c r="B978" s="67" t="n"/>
      <c r="C978" s="67" t="n"/>
      <c r="D978" s="3" t="n"/>
      <c r="E978" s="3" t="n"/>
      <c r="G978" t="inlineStr"/>
      <c r="H978" t="inlineStr"/>
      <c r="I978" s="74" t="n"/>
      <c r="J978" s="217" t="inlineStr"/>
    </row>
    <row r="979" ht="15.75" customHeight="1" s="305">
      <c r="A979" s="67" t="n"/>
      <c r="B979" s="67" t="n"/>
      <c r="C979" s="67" t="n"/>
      <c r="D979" s="3" t="n"/>
      <c r="E979" s="3" t="n"/>
      <c r="G979" t="inlineStr"/>
      <c r="H979" t="inlineStr"/>
      <c r="I979" s="74" t="n"/>
      <c r="J979" s="217" t="inlineStr"/>
    </row>
    <row r="980" ht="15.75" customHeight="1" s="305">
      <c r="A980" s="67" t="n"/>
      <c r="B980" s="67" t="n"/>
      <c r="C980" s="67" t="n"/>
      <c r="D980" s="3" t="n"/>
      <c r="E980" s="3" t="n"/>
      <c r="G980" t="inlineStr"/>
      <c r="H980" t="inlineStr"/>
      <c r="I980" s="74" t="n"/>
      <c r="J980" s="217" t="inlineStr"/>
    </row>
    <row r="981" ht="15.75" customHeight="1" s="305">
      <c r="A981" s="67" t="n"/>
      <c r="B981" s="67" t="n"/>
      <c r="C981" s="67" t="n"/>
      <c r="D981" s="3" t="n"/>
      <c r="E981" s="3" t="n"/>
      <c r="G981" t="inlineStr"/>
      <c r="H981" t="inlineStr"/>
      <c r="I981" s="74" t="n"/>
      <c r="J981" s="217" t="inlineStr"/>
    </row>
    <row r="982" ht="15.75" customHeight="1" s="305">
      <c r="A982" s="67" t="n"/>
      <c r="B982" s="67" t="n"/>
      <c r="C982" s="67" t="n"/>
      <c r="D982" s="3" t="n"/>
      <c r="E982" s="3" t="n"/>
      <c r="G982" t="inlineStr"/>
      <c r="H982" t="inlineStr"/>
      <c r="I982" s="74" t="n"/>
      <c r="J982" s="217" t="inlineStr"/>
    </row>
    <row r="983" ht="15.75" customHeight="1" s="305">
      <c r="A983" s="67" t="n"/>
      <c r="B983" s="67" t="n"/>
      <c r="C983" s="67" t="n"/>
      <c r="D983" s="3" t="n"/>
      <c r="E983" s="3" t="n"/>
      <c r="G983" t="inlineStr"/>
      <c r="H983" t="inlineStr"/>
      <c r="I983" s="74" t="n"/>
      <c r="J983" s="217" t="inlineStr"/>
    </row>
    <row r="984" ht="15.75" customHeight="1" s="305">
      <c r="A984" s="67" t="n"/>
      <c r="B984" s="67" t="n"/>
      <c r="C984" s="67" t="n"/>
      <c r="D984" s="3" t="n"/>
      <c r="E984" s="3" t="n"/>
      <c r="G984" t="inlineStr"/>
      <c r="H984" t="inlineStr"/>
      <c r="I984" s="74" t="n"/>
      <c r="J984" s="217" t="inlineStr"/>
    </row>
    <row r="985" ht="15.75" customHeight="1" s="305">
      <c r="A985" s="67" t="n"/>
      <c r="B985" s="67" t="n"/>
      <c r="C985" s="67" t="n"/>
      <c r="D985" s="3" t="n"/>
      <c r="E985" s="3" t="n"/>
      <c r="G985" t="inlineStr"/>
      <c r="H985" t="inlineStr"/>
      <c r="I985" s="74" t="n"/>
      <c r="J985" s="217" t="inlineStr"/>
    </row>
    <row r="986" ht="15.75" customHeight="1" s="305">
      <c r="A986" s="67" t="n"/>
      <c r="B986" s="67" t="n"/>
      <c r="C986" s="67" t="n"/>
      <c r="D986" s="3" t="n"/>
      <c r="E986" s="3" t="n"/>
      <c r="G986" t="inlineStr"/>
      <c r="H986" t="inlineStr"/>
      <c r="I986" s="74" t="n"/>
      <c r="J986" s="217" t="inlineStr"/>
    </row>
    <row r="987" ht="15.75" customHeight="1" s="305">
      <c r="A987" s="67" t="n"/>
      <c r="B987" s="67" t="n"/>
      <c r="C987" s="67" t="n"/>
      <c r="D987" s="3" t="n"/>
      <c r="E987" s="3" t="n"/>
      <c r="G987" t="inlineStr"/>
      <c r="H987" t="inlineStr"/>
      <c r="I987" s="74" t="n"/>
      <c r="J987" s="217" t="inlineStr"/>
    </row>
    <row r="988" ht="15.75" customHeight="1" s="305">
      <c r="A988" s="67" t="n"/>
      <c r="B988" s="67" t="n"/>
      <c r="C988" s="67" t="n"/>
      <c r="D988" s="3" t="n"/>
      <c r="E988" s="3" t="n"/>
      <c r="G988" t="inlineStr"/>
      <c r="H988" t="inlineStr"/>
      <c r="I988" s="74" t="n"/>
      <c r="J988" s="217" t="inlineStr"/>
    </row>
    <row r="989" ht="15.75" customHeight="1" s="305">
      <c r="A989" s="67" t="n"/>
      <c r="B989" s="67" t="n"/>
      <c r="C989" s="67" t="n"/>
      <c r="D989" s="3" t="n"/>
      <c r="E989" s="3" t="n"/>
      <c r="G989" t="inlineStr"/>
      <c r="H989" t="inlineStr"/>
      <c r="I989" s="74" t="n"/>
      <c r="J989" s="217" t="inlineStr"/>
    </row>
    <row r="990" ht="15.75" customHeight="1" s="305">
      <c r="A990" s="67" t="n"/>
      <c r="B990" s="67" t="n"/>
      <c r="C990" s="67" t="n"/>
      <c r="D990" s="3" t="n"/>
      <c r="E990" s="3" t="n"/>
      <c r="G990" t="inlineStr"/>
      <c r="H990" t="inlineStr"/>
      <c r="I990" s="74" t="n"/>
      <c r="J990" s="217" t="inlineStr"/>
    </row>
    <row r="991" ht="15.75" customHeight="1" s="305">
      <c r="A991" s="67" t="n"/>
      <c r="B991" s="67" t="n"/>
      <c r="C991" s="67" t="n"/>
      <c r="D991" s="3" t="n"/>
      <c r="E991" s="3" t="n"/>
      <c r="G991" t="inlineStr"/>
      <c r="H991" t="inlineStr"/>
      <c r="I991" s="74" t="n"/>
      <c r="J991" s="217" t="inlineStr"/>
    </row>
    <row r="992" ht="15.75" customHeight="1" s="305">
      <c r="A992" s="67" t="n"/>
      <c r="B992" s="67" t="n"/>
      <c r="C992" s="67" t="n"/>
      <c r="D992" s="3" t="n"/>
      <c r="E992" s="3" t="n"/>
      <c r="G992" t="inlineStr"/>
      <c r="H992" t="inlineStr"/>
      <c r="I992" s="74" t="n"/>
      <c r="J992" s="217" t="inlineStr"/>
    </row>
    <row r="993" ht="15.75" customHeight="1" s="305">
      <c r="A993" s="67" t="n"/>
      <c r="B993" s="67" t="n"/>
      <c r="C993" s="67" t="n"/>
      <c r="D993" s="3" t="n"/>
      <c r="E993" s="3" t="n"/>
      <c r="G993" t="inlineStr"/>
      <c r="H993" t="inlineStr"/>
      <c r="I993" s="74" t="n"/>
      <c r="J993" s="217" t="inlineStr"/>
    </row>
    <row r="994" ht="15.75" customHeight="1" s="305">
      <c r="A994" s="67" t="n"/>
      <c r="B994" s="67" t="n"/>
      <c r="C994" s="67" t="n"/>
      <c r="D994" s="3" t="n"/>
      <c r="E994" s="3" t="n"/>
      <c r="G994" t="inlineStr"/>
      <c r="H994" t="inlineStr"/>
      <c r="I994" s="74" t="n"/>
      <c r="J994" s="217" t="inlineStr"/>
    </row>
    <row r="995" ht="15.75" customHeight="1" s="305">
      <c r="A995" s="67" t="n"/>
      <c r="B995" s="67" t="n"/>
      <c r="C995" s="67" t="n"/>
      <c r="D995" s="3" t="n"/>
      <c r="E995" s="3" t="n"/>
      <c r="G995" t="inlineStr"/>
      <c r="H995" t="inlineStr"/>
      <c r="I995" s="74" t="n"/>
      <c r="J995" s="217" t="inlineStr"/>
    </row>
    <row r="996" ht="15.75" customHeight="1" s="305">
      <c r="A996" s="67" t="n"/>
      <c r="B996" s="67" t="n"/>
      <c r="C996" s="67" t="n"/>
      <c r="D996" s="3" t="n"/>
      <c r="E996" s="3" t="n"/>
      <c r="G996" t="inlineStr"/>
      <c r="H996" t="inlineStr"/>
      <c r="I996" s="74" t="n"/>
      <c r="J996" s="217" t="inlineStr"/>
    </row>
    <row r="997" ht="15.75" customHeight="1" s="305">
      <c r="A997" s="67" t="n"/>
      <c r="B997" s="67" t="n"/>
      <c r="C997" s="67" t="n"/>
      <c r="D997" s="3" t="n"/>
      <c r="E997" s="3" t="n"/>
      <c r="G997" t="inlineStr"/>
      <c r="H997" t="inlineStr"/>
      <c r="I997" s="74" t="n"/>
      <c r="J997" s="217" t="inlineStr"/>
    </row>
    <row r="998" ht="15.75" customHeight="1" s="305">
      <c r="A998" s="67" t="n"/>
      <c r="B998" s="67" t="n"/>
      <c r="C998" s="67" t="n"/>
      <c r="D998" s="3" t="n"/>
      <c r="E998" s="3" t="n"/>
      <c r="G998" t="inlineStr"/>
      <c r="H998" t="inlineStr"/>
      <c r="I998" s="74" t="n"/>
      <c r="J998" s="217" t="inlineStr"/>
    </row>
    <row r="999" ht="15.75" customHeight="1" s="305">
      <c r="A999" s="67" t="n"/>
      <c r="B999" s="67" t="n"/>
      <c r="C999" s="67" t="n"/>
      <c r="D999" s="3" t="n"/>
      <c r="E999" s="3" t="n"/>
      <c r="G999" t="inlineStr"/>
      <c r="H999" t="inlineStr"/>
      <c r="I999" s="74" t="n"/>
      <c r="J999" s="217" t="inlineStr"/>
    </row>
    <row r="1000" ht="15.75" customHeight="1" s="305">
      <c r="A1000" s="67" t="n"/>
      <c r="B1000" s="67" t="n"/>
      <c r="C1000" s="67" t="n"/>
      <c r="D1000" s="3" t="n"/>
      <c r="E1000" s="3" t="n"/>
      <c r="G1000" t="inlineStr"/>
      <c r="H1000" t="inlineStr"/>
      <c r="I1000" s="74" t="n"/>
      <c r="J1000" s="217" t="inlineStr"/>
    </row>
    <row r="1001" ht="15.75" customHeight="1" s="305">
      <c r="A1001" s="67" t="n"/>
      <c r="B1001" s="67" t="n"/>
      <c r="C1001" s="67" t="n"/>
      <c r="D1001" s="3" t="n"/>
      <c r="E1001" s="3" t="n"/>
      <c r="G1001" t="inlineStr"/>
      <c r="H1001" t="inlineStr"/>
      <c r="I1001" s="74" t="n"/>
      <c r="J1001" s="217" t="inlineStr"/>
    </row>
    <row r="1002" ht="15.75" customHeight="1" s="305">
      <c r="A1002" s="67" t="n"/>
      <c r="B1002" s="67" t="n"/>
      <c r="C1002" s="67" t="n"/>
      <c r="D1002" s="3" t="n"/>
      <c r="E1002" s="3" t="n"/>
      <c r="G1002" t="inlineStr"/>
      <c r="H1002" t="inlineStr"/>
      <c r="I1002" s="74" t="n"/>
      <c r="J1002" s="217" t="inlineStr"/>
    </row>
    <row r="1003" ht="15.75" customHeight="1" s="305">
      <c r="A1003" s="67" t="n"/>
      <c r="B1003" s="67" t="n"/>
      <c r="C1003" s="67" t="n"/>
      <c r="D1003" s="3" t="n"/>
      <c r="E1003" s="3" t="n"/>
      <c r="G1003" t="inlineStr"/>
      <c r="H1003" t="inlineStr"/>
      <c r="I1003" s="74" t="n"/>
      <c r="J1003" s="217" t="inlineStr"/>
    </row>
    <row r="1004" ht="15.75" customHeight="1" s="305">
      <c r="A1004" s="67" t="n"/>
      <c r="B1004" s="67" t="n"/>
      <c r="C1004" s="67" t="n"/>
      <c r="D1004" s="3" t="n"/>
      <c r="E1004" s="3" t="n"/>
      <c r="G1004" t="inlineStr"/>
      <c r="H1004" t="inlineStr"/>
      <c r="I1004" s="74" t="n"/>
      <c r="J1004" s="217" t="inlineStr"/>
    </row>
    <row r="1005" ht="15.75" customHeight="1" s="305">
      <c r="A1005" s="67" t="n"/>
      <c r="B1005" s="67" t="n"/>
      <c r="C1005" s="67" t="n"/>
      <c r="D1005" s="3" t="n"/>
      <c r="E1005" s="3" t="n"/>
      <c r="G1005" t="inlineStr"/>
      <c r="H1005" t="inlineStr"/>
      <c r="I1005" s="74" t="n"/>
      <c r="J1005" s="217" t="inlineStr"/>
    </row>
    <row r="1006" ht="15.75" customHeight="1" s="305">
      <c r="A1006" s="67" t="n"/>
      <c r="B1006" s="67" t="n"/>
      <c r="C1006" s="67" t="n"/>
      <c r="D1006" s="3" t="n"/>
      <c r="E1006" s="3" t="n"/>
      <c r="G1006" t="inlineStr"/>
      <c r="H1006" t="inlineStr"/>
      <c r="I1006" s="74" t="n"/>
      <c r="J1006" s="217" t="inlineStr"/>
    </row>
    <row r="1007" ht="15.75" customHeight="1" s="305">
      <c r="A1007" s="67" t="n"/>
      <c r="B1007" s="67" t="n"/>
      <c r="C1007" s="67" t="n"/>
      <c r="D1007" s="3" t="n"/>
      <c r="E1007" s="3" t="n"/>
      <c r="G1007" t="inlineStr"/>
      <c r="H1007" t="inlineStr"/>
      <c r="I1007" s="74" t="n"/>
      <c r="J1007" s="217" t="inlineStr"/>
    </row>
    <row r="1008" ht="15.75" customHeight="1" s="305">
      <c r="A1008" s="67" t="n"/>
      <c r="B1008" s="67" t="n"/>
      <c r="C1008" s="67" t="n"/>
      <c r="D1008" s="3" t="n"/>
      <c r="E1008" s="3" t="n"/>
      <c r="G1008" t="inlineStr"/>
      <c r="H1008" t="inlineStr"/>
      <c r="I1008" s="74" t="n"/>
      <c r="J1008" s="217" t="inlineStr"/>
    </row>
    <row r="1009" ht="15.75" customHeight="1" s="305">
      <c r="A1009" s="67" t="n"/>
      <c r="B1009" s="67" t="n"/>
      <c r="C1009" s="67" t="n"/>
      <c r="D1009" s="3" t="n"/>
      <c r="E1009" s="3" t="n"/>
      <c r="G1009" t="inlineStr"/>
      <c r="H1009" t="inlineStr"/>
      <c r="I1009" s="74" t="n"/>
      <c r="J1009" s="217" t="inlineStr"/>
    </row>
    <row r="1010" ht="15.75" customHeight="1" s="305">
      <c r="A1010" s="67" t="n"/>
      <c r="B1010" s="67" t="n"/>
      <c r="C1010" s="67" t="n"/>
      <c r="D1010" s="3" t="n"/>
      <c r="E1010" s="3" t="n"/>
      <c r="G1010" t="inlineStr"/>
      <c r="H1010" t="inlineStr"/>
      <c r="I1010" s="74" t="n"/>
      <c r="J1010" s="217" t="inlineStr"/>
    </row>
    <row r="1011" ht="15.75" customHeight="1" s="305">
      <c r="A1011" s="67" t="n"/>
      <c r="B1011" s="67" t="n"/>
      <c r="C1011" s="67" t="n"/>
      <c r="D1011" s="3" t="n"/>
      <c r="E1011" s="3" t="n"/>
      <c r="G1011" t="inlineStr"/>
      <c r="H1011" t="inlineStr"/>
      <c r="I1011" s="74" t="n"/>
      <c r="J1011" s="217" t="inlineStr"/>
    </row>
    <row r="1012" ht="15.75" customHeight="1" s="305">
      <c r="A1012" s="67" t="n"/>
      <c r="B1012" s="67" t="n"/>
      <c r="C1012" s="67" t="n"/>
      <c r="D1012" s="3" t="n"/>
      <c r="E1012" s="3" t="n"/>
      <c r="G1012" t="inlineStr"/>
      <c r="H1012" t="inlineStr"/>
      <c r="I1012" s="74" t="n"/>
      <c r="J1012" s="217" t="inlineStr"/>
    </row>
    <row r="1013" ht="15.75" customHeight="1" s="305">
      <c r="A1013" s="67" t="n"/>
      <c r="B1013" s="67" t="n"/>
      <c r="C1013" s="67" t="n"/>
      <c r="D1013" s="3" t="n"/>
      <c r="E1013" s="3" t="n"/>
      <c r="G1013" t="inlineStr"/>
      <c r="H1013" t="inlineStr"/>
      <c r="I1013" s="74" t="n"/>
      <c r="J1013" s="217" t="inlineStr"/>
    </row>
    <row r="1014" ht="15.75" customHeight="1" s="305">
      <c r="A1014" s="67" t="n"/>
      <c r="B1014" s="67" t="n"/>
      <c r="C1014" s="67" t="n"/>
      <c r="D1014" s="3" t="n"/>
      <c r="E1014" s="3" t="n"/>
      <c r="G1014" t="inlineStr"/>
      <c r="H1014" t="inlineStr"/>
      <c r="I1014" s="74" t="n"/>
      <c r="J1014" s="217" t="inlineStr"/>
    </row>
    <row r="1015" ht="15.75" customHeight="1" s="305">
      <c r="A1015" s="67" t="n"/>
      <c r="B1015" s="67" t="n"/>
      <c r="C1015" s="67" t="n"/>
      <c r="D1015" s="3" t="n"/>
      <c r="E1015" s="3" t="n"/>
      <c r="G1015" t="inlineStr"/>
      <c r="H1015" t="inlineStr"/>
      <c r="I1015" s="74" t="n"/>
      <c r="J1015" s="217" t="inlineStr"/>
    </row>
    <row r="1016" ht="15.75" customHeight="1" s="305">
      <c r="A1016" s="67" t="n"/>
      <c r="B1016" s="67" t="n"/>
      <c r="C1016" s="67" t="n"/>
      <c r="D1016" s="3" t="n"/>
      <c r="E1016" s="3" t="n"/>
      <c r="G1016" t="inlineStr"/>
      <c r="H1016" t="inlineStr"/>
      <c r="I1016" s="74" t="n"/>
      <c r="J1016" s="217" t="inlineStr"/>
    </row>
    <row r="1017" ht="15.75" customHeight="1" s="305">
      <c r="A1017" s="67" t="n"/>
      <c r="B1017" s="67" t="n"/>
      <c r="C1017" s="67" t="n"/>
      <c r="D1017" s="3" t="n"/>
      <c r="E1017" s="3" t="n"/>
      <c r="G1017" t="inlineStr"/>
      <c r="H1017" t="inlineStr"/>
      <c r="I1017" s="74" t="n"/>
      <c r="J1017" s="217" t="inlineStr"/>
    </row>
    <row r="1018" ht="15.75" customHeight="1" s="305">
      <c r="A1018" s="67" t="n"/>
      <c r="B1018" s="67" t="n"/>
      <c r="C1018" s="67" t="n"/>
      <c r="D1018" s="3" t="n"/>
      <c r="E1018" s="3" t="n"/>
      <c r="G1018" t="inlineStr"/>
      <c r="H1018" t="inlineStr"/>
      <c r="I1018" s="74" t="n"/>
      <c r="J1018" s="217" t="inlineStr"/>
    </row>
    <row r="1019" ht="15.75" customHeight="1" s="305">
      <c r="A1019" s="67" t="n"/>
      <c r="B1019" s="67" t="n"/>
      <c r="C1019" s="67" t="n"/>
      <c r="D1019" s="3" t="n"/>
      <c r="E1019" s="3" t="n"/>
      <c r="G1019" t="inlineStr"/>
      <c r="H1019" t="inlineStr"/>
      <c r="I1019" s="74" t="n"/>
      <c r="J1019" s="217" t="inlineStr"/>
    </row>
    <row r="1020" ht="15.75" customHeight="1" s="305">
      <c r="A1020" s="67" t="n"/>
      <c r="B1020" s="67" t="n"/>
      <c r="C1020" s="67" t="n"/>
      <c r="D1020" s="3" t="n"/>
      <c r="E1020" s="3" t="n"/>
      <c r="G1020" t="inlineStr"/>
      <c r="H1020" t="inlineStr"/>
      <c r="I1020" s="74" t="n"/>
      <c r="J1020" s="217" t="inlineStr"/>
    </row>
    <row r="1021" ht="15.75" customHeight="1" s="305">
      <c r="A1021" s="67" t="n"/>
      <c r="B1021" s="67" t="n"/>
      <c r="C1021" s="67" t="n"/>
      <c r="D1021" s="3" t="n"/>
      <c r="E1021" s="3" t="n"/>
      <c r="G1021" t="inlineStr"/>
      <c r="H1021" t="inlineStr"/>
      <c r="I1021" s="74" t="n"/>
      <c r="J1021" s="217" t="inlineStr"/>
    </row>
    <row r="1022" ht="15.75" customHeight="1" s="305">
      <c r="A1022" s="67" t="n"/>
      <c r="B1022" s="67" t="n"/>
      <c r="C1022" s="67" t="n"/>
      <c r="D1022" s="3" t="n"/>
      <c r="E1022" s="3" t="n"/>
      <c r="G1022" t="inlineStr"/>
      <c r="H1022" t="inlineStr"/>
      <c r="I1022" s="74" t="n"/>
      <c r="J1022" s="217" t="inlineStr"/>
    </row>
    <row r="1023" ht="15.75" customHeight="1" s="305">
      <c r="A1023" s="67" t="n"/>
      <c r="B1023" s="67" t="n"/>
      <c r="C1023" s="67" t="n"/>
      <c r="D1023" s="3" t="n"/>
      <c r="E1023" s="3" t="n"/>
      <c r="G1023" t="inlineStr"/>
      <c r="H1023" t="inlineStr"/>
      <c r="I1023" s="74" t="n"/>
      <c r="J1023" s="217" t="inlineStr"/>
    </row>
    <row r="1024" ht="15.75" customHeight="1" s="305">
      <c r="A1024" s="67" t="n"/>
      <c r="B1024" s="67" t="n"/>
      <c r="C1024" s="67" t="n"/>
      <c r="D1024" s="3" t="n"/>
      <c r="E1024" s="3" t="n"/>
      <c r="G1024" t="inlineStr"/>
      <c r="H1024" t="inlineStr"/>
      <c r="I1024" s="74" t="n"/>
      <c r="J1024" s="217" t="inlineStr"/>
    </row>
    <row r="1025" ht="15.75" customHeight="1" s="305">
      <c r="A1025" s="67" t="n"/>
      <c r="B1025" s="67" t="n"/>
      <c r="C1025" s="67" t="n"/>
      <c r="D1025" s="3" t="n"/>
      <c r="E1025" s="3" t="n"/>
      <c r="G1025" t="inlineStr"/>
      <c r="H1025" t="inlineStr"/>
      <c r="I1025" s="74" t="n"/>
      <c r="J1025" s="217" t="inlineStr"/>
    </row>
    <row r="1026" ht="15.75" customHeight="1" s="305">
      <c r="A1026" s="67" t="n"/>
      <c r="B1026" s="67" t="n"/>
      <c r="C1026" s="67" t="n"/>
      <c r="D1026" s="3" t="n"/>
      <c r="E1026" s="3" t="n"/>
      <c r="G1026" t="inlineStr"/>
      <c r="H1026" t="inlineStr"/>
      <c r="I1026" s="74" t="n"/>
      <c r="J1026" s="217" t="inlineStr"/>
    </row>
    <row r="1027" ht="15.75" customHeight="1" s="305">
      <c r="A1027" s="67" t="n"/>
      <c r="B1027" s="67" t="n"/>
      <c r="C1027" s="67" t="n"/>
      <c r="D1027" s="3" t="n"/>
      <c r="E1027" s="3" t="n"/>
      <c r="G1027" t="inlineStr"/>
      <c r="H1027" t="inlineStr"/>
      <c r="I1027" s="84" t="n"/>
      <c r="J1027" s="217" t="inlineStr"/>
    </row>
    <row r="1028" ht="15.75" customHeight="1" s="305">
      <c r="A1028" s="67" t="n"/>
      <c r="B1028" s="67" t="n"/>
      <c r="C1028" s="67" t="n"/>
      <c r="D1028" s="3" t="n"/>
      <c r="E1028" s="3" t="n"/>
      <c r="G1028" t="inlineStr"/>
      <c r="H1028" t="inlineStr"/>
      <c r="I1028" s="74" t="n"/>
      <c r="J1028" s="217" t="inlineStr"/>
    </row>
    <row r="1029" ht="15.75" customHeight="1" s="305">
      <c r="A1029" s="67" t="n"/>
      <c r="B1029" s="67" t="n"/>
      <c r="C1029" s="67" t="n"/>
      <c r="D1029" s="3" t="n"/>
      <c r="E1029" s="3" t="n"/>
      <c r="G1029" t="inlineStr"/>
      <c r="H1029" t="inlineStr"/>
      <c r="I1029" s="74" t="n"/>
      <c r="J1029" s="217" t="inlineStr"/>
    </row>
    <row r="1030" ht="15.75" customHeight="1" s="305">
      <c r="A1030" s="67" t="n"/>
      <c r="B1030" s="67" t="n"/>
      <c r="C1030" s="67" t="n"/>
      <c r="D1030" s="3" t="n"/>
      <c r="E1030" s="3" t="n"/>
      <c r="G1030" t="inlineStr"/>
      <c r="H1030" t="inlineStr"/>
      <c r="I1030" s="74" t="n"/>
      <c r="J1030" s="217" t="inlineStr"/>
    </row>
    <row r="1031" ht="15.75" customHeight="1" s="305">
      <c r="A1031" s="67" t="n"/>
      <c r="B1031" s="67" t="n"/>
      <c r="C1031" s="67" t="n"/>
      <c r="D1031" s="3" t="n"/>
      <c r="E1031" s="3" t="n"/>
      <c r="G1031" t="inlineStr"/>
      <c r="H1031" t="inlineStr"/>
      <c r="I1031" s="74" t="n"/>
      <c r="J1031" s="217" t="inlineStr"/>
    </row>
    <row r="1032" ht="15.75" customHeight="1" s="305">
      <c r="A1032" s="67" t="n"/>
      <c r="B1032" s="67" t="n"/>
      <c r="C1032" s="67" t="n"/>
      <c r="D1032" s="3" t="n"/>
      <c r="E1032" s="3" t="n"/>
      <c r="G1032" t="inlineStr"/>
      <c r="H1032" t="inlineStr"/>
      <c r="I1032" s="74" t="n"/>
      <c r="J1032" s="217" t="inlineStr"/>
    </row>
    <row r="1033" ht="15.75" customHeight="1" s="305">
      <c r="A1033" s="67" t="n"/>
      <c r="B1033" s="67" t="n"/>
      <c r="C1033" s="67" t="n"/>
      <c r="D1033" s="3" t="n"/>
      <c r="E1033" s="3" t="n"/>
      <c r="G1033" t="inlineStr"/>
      <c r="H1033" t="inlineStr"/>
      <c r="I1033" s="74" t="n"/>
      <c r="J1033" s="217" t="inlineStr"/>
    </row>
    <row r="1034" ht="15.75" customHeight="1" s="305">
      <c r="A1034" s="67" t="n"/>
      <c r="B1034" s="67" t="n"/>
      <c r="C1034" s="67" t="n"/>
      <c r="D1034" s="3" t="n"/>
      <c r="E1034" s="3" t="n"/>
      <c r="G1034" t="inlineStr"/>
      <c r="H1034" t="inlineStr"/>
      <c r="I1034" s="74" t="n"/>
      <c r="J1034" s="217" t="inlineStr"/>
    </row>
    <row r="1035" ht="15.75" customHeight="1" s="305">
      <c r="A1035" s="67" t="n"/>
      <c r="B1035" s="67" t="n"/>
      <c r="C1035" s="67" t="n"/>
      <c r="D1035" s="3" t="n"/>
      <c r="E1035" s="3" t="n"/>
      <c r="G1035" t="inlineStr"/>
      <c r="H1035" t="inlineStr"/>
      <c r="I1035" s="74" t="n"/>
      <c r="J1035" s="217" t="inlineStr"/>
    </row>
    <row r="1036" ht="15.75" customHeight="1" s="305">
      <c r="A1036" s="67" t="n"/>
      <c r="B1036" s="67" t="n"/>
      <c r="C1036" s="67" t="n"/>
      <c r="D1036" s="3" t="n"/>
      <c r="E1036" s="3" t="n"/>
      <c r="G1036" t="inlineStr"/>
      <c r="H1036" t="inlineStr"/>
      <c r="I1036" s="74" t="n"/>
      <c r="J1036" s="217" t="inlineStr"/>
    </row>
    <row r="1037" ht="15.75" customHeight="1" s="305">
      <c r="A1037" s="67" t="n"/>
      <c r="B1037" s="67" t="n"/>
      <c r="C1037" s="67" t="n"/>
      <c r="D1037" s="3" t="n"/>
      <c r="E1037" s="3" t="n"/>
      <c r="G1037" t="inlineStr"/>
      <c r="H1037" t="inlineStr"/>
      <c r="I1037" s="74" t="n"/>
      <c r="J1037" s="217" t="inlineStr"/>
    </row>
    <row r="1038" ht="15.75" customHeight="1" s="305">
      <c r="A1038" s="67" t="n"/>
      <c r="B1038" s="67" t="n"/>
      <c r="C1038" s="67" t="n"/>
      <c r="D1038" s="3" t="n"/>
      <c r="E1038" s="3" t="n"/>
      <c r="G1038" t="inlineStr"/>
      <c r="H1038" t="inlineStr"/>
      <c r="I1038" s="74" t="n"/>
      <c r="J1038" s="217" t="inlineStr"/>
    </row>
    <row r="1039" ht="15.75" customHeight="1" s="305">
      <c r="A1039" s="67" t="n"/>
      <c r="B1039" s="67" t="n"/>
      <c r="C1039" s="67" t="n"/>
      <c r="D1039" s="3" t="n"/>
      <c r="E1039" s="3" t="n"/>
      <c r="G1039" t="inlineStr"/>
      <c r="H1039" t="inlineStr"/>
      <c r="I1039" s="74" t="n"/>
      <c r="J1039" s="217" t="inlineStr"/>
    </row>
    <row r="1040" ht="15.75" customHeight="1" s="305">
      <c r="A1040" s="67" t="n"/>
      <c r="B1040" s="67" t="n"/>
      <c r="C1040" s="67" t="n"/>
      <c r="D1040" s="3" t="n"/>
      <c r="E1040" s="3" t="n"/>
      <c r="G1040" t="inlineStr"/>
      <c r="H1040" t="inlineStr"/>
      <c r="I1040" s="74" t="n"/>
      <c r="J1040" s="217" t="inlineStr"/>
    </row>
    <row r="1041" ht="15.75" customHeight="1" s="305">
      <c r="A1041" s="67" t="n"/>
      <c r="B1041" s="67" t="n"/>
      <c r="C1041" s="67" t="n"/>
      <c r="D1041" s="3" t="n"/>
      <c r="E1041" s="3" t="n"/>
      <c r="G1041" t="inlineStr"/>
      <c r="H1041" t="inlineStr"/>
      <c r="I1041" s="74" t="n"/>
      <c r="J1041" s="217" t="inlineStr"/>
    </row>
    <row r="1042" ht="15.75" customHeight="1" s="305">
      <c r="A1042" s="67" t="n"/>
      <c r="B1042" s="67" t="n"/>
      <c r="C1042" s="67" t="n"/>
      <c r="D1042" s="3" t="n"/>
      <c r="E1042" s="3" t="n"/>
      <c r="G1042" t="inlineStr"/>
      <c r="H1042" t="inlineStr"/>
      <c r="I1042" s="74" t="n"/>
      <c r="J1042" s="217" t="inlineStr"/>
    </row>
    <row r="1043" ht="15.75" customHeight="1" s="305">
      <c r="A1043" s="67" t="n"/>
      <c r="B1043" s="67" t="n"/>
      <c r="C1043" s="67" t="n"/>
      <c r="D1043" s="3" t="n"/>
      <c r="E1043" s="3" t="n"/>
      <c r="G1043" t="inlineStr"/>
      <c r="H1043" t="inlineStr"/>
      <c r="I1043" s="74" t="n"/>
      <c r="J1043" s="217" t="inlineStr"/>
    </row>
    <row r="1044" ht="15.75" customHeight="1" s="305">
      <c r="A1044" s="67" t="n"/>
      <c r="B1044" s="67" t="n"/>
      <c r="C1044" s="67" t="n"/>
      <c r="D1044" s="3" t="n"/>
      <c r="E1044" s="3" t="n"/>
      <c r="G1044" t="inlineStr"/>
      <c r="H1044" t="inlineStr"/>
      <c r="I1044" s="74" t="n"/>
      <c r="J1044" s="217" t="inlineStr"/>
    </row>
    <row r="1045" ht="15.75" customHeight="1" s="305">
      <c r="A1045" s="67" t="n"/>
      <c r="B1045" s="67" t="n"/>
      <c r="C1045" s="67" t="n"/>
      <c r="D1045" s="3" t="n"/>
      <c r="E1045" s="3" t="n"/>
      <c r="G1045" t="inlineStr"/>
      <c r="H1045" t="inlineStr"/>
      <c r="I1045" s="74" t="n"/>
      <c r="J1045" s="217" t="inlineStr"/>
    </row>
    <row r="1046" ht="15.75" customHeight="1" s="305">
      <c r="A1046" s="67" t="n"/>
      <c r="B1046" s="67" t="n"/>
      <c r="C1046" s="67" t="n"/>
      <c r="D1046" s="3" t="n"/>
      <c r="E1046" s="3" t="n"/>
      <c r="G1046" t="inlineStr"/>
      <c r="H1046" t="inlineStr"/>
      <c r="I1046" s="74" t="n"/>
      <c r="J1046" s="217" t="inlineStr"/>
    </row>
    <row r="1047" ht="15.75" customHeight="1" s="305">
      <c r="A1047" s="67" t="n"/>
      <c r="B1047" s="67" t="n"/>
      <c r="C1047" s="67" t="n"/>
      <c r="D1047" s="3" t="n"/>
      <c r="E1047" s="3" t="n"/>
      <c r="G1047" t="inlineStr"/>
      <c r="H1047" t="inlineStr"/>
      <c r="I1047" s="74" t="n"/>
      <c r="J1047" s="217" t="inlineStr"/>
    </row>
    <row r="1048" ht="15.75" customHeight="1" s="305">
      <c r="A1048" s="67" t="n"/>
      <c r="B1048" s="67" t="n"/>
      <c r="C1048" s="67" t="n"/>
      <c r="D1048" s="3" t="n"/>
      <c r="E1048" s="3" t="n"/>
      <c r="G1048" t="inlineStr"/>
      <c r="H1048" t="inlineStr"/>
      <c r="I1048" s="74" t="n"/>
      <c r="J1048" s="217" t="inlineStr"/>
    </row>
    <row r="1049" ht="15.75" customHeight="1" s="305">
      <c r="A1049" s="67" t="n"/>
      <c r="B1049" s="67" t="n"/>
      <c r="C1049" s="67" t="n"/>
      <c r="D1049" s="3" t="n"/>
      <c r="E1049" s="3" t="n"/>
      <c r="G1049" t="inlineStr"/>
      <c r="H1049" t="inlineStr"/>
      <c r="I1049" s="74" t="n"/>
      <c r="J1049" s="217" t="inlineStr"/>
    </row>
    <row r="1050" ht="15.75" customHeight="1" s="305">
      <c r="A1050" s="67" t="n"/>
      <c r="B1050" s="67" t="n"/>
      <c r="C1050" s="67" t="n"/>
      <c r="D1050" s="3" t="n"/>
      <c r="E1050" s="3" t="n"/>
      <c r="G1050" t="inlineStr"/>
      <c r="H1050" t="inlineStr"/>
      <c r="I1050" s="74" t="n"/>
      <c r="J1050" s="217" t="inlineStr"/>
    </row>
    <row r="1051" ht="15.75" customHeight="1" s="305">
      <c r="A1051" s="67" t="n"/>
      <c r="B1051" s="67" t="n"/>
      <c r="C1051" s="67" t="n"/>
      <c r="D1051" s="3" t="n"/>
      <c r="E1051" s="3" t="n"/>
      <c r="G1051" t="inlineStr"/>
      <c r="H1051" t="inlineStr"/>
      <c r="I1051" s="74" t="n"/>
      <c r="J1051" s="217" t="inlineStr"/>
    </row>
    <row r="1052" ht="15.75" customHeight="1" s="305">
      <c r="A1052" s="67" t="n"/>
      <c r="B1052" s="67" t="n"/>
      <c r="C1052" s="67" t="n"/>
      <c r="D1052" s="3" t="n"/>
      <c r="E1052" s="3" t="n"/>
      <c r="G1052" t="inlineStr"/>
      <c r="H1052" t="inlineStr"/>
      <c r="I1052" s="74" t="n"/>
      <c r="J1052" s="217" t="inlineStr"/>
    </row>
    <row r="1053" ht="15.75" customHeight="1" s="305">
      <c r="A1053" s="67" t="n"/>
      <c r="B1053" s="67" t="n"/>
      <c r="C1053" s="67" t="n"/>
      <c r="D1053" s="3" t="n"/>
      <c r="E1053" s="3" t="n"/>
      <c r="G1053" t="inlineStr"/>
      <c r="H1053" t="inlineStr"/>
      <c r="I1053" s="74" t="n"/>
      <c r="J1053" s="217" t="inlineStr"/>
    </row>
    <row r="1054" ht="15.75" customHeight="1" s="305">
      <c r="A1054" s="67" t="n"/>
      <c r="B1054" s="67" t="n"/>
      <c r="C1054" s="67" t="n"/>
      <c r="D1054" s="3" t="n"/>
      <c r="E1054" s="3" t="n"/>
      <c r="G1054" t="inlineStr"/>
      <c r="H1054" t="inlineStr"/>
      <c r="I1054" s="74" t="n"/>
      <c r="J1054" s="217" t="inlineStr"/>
    </row>
    <row r="1055" ht="15.75" customHeight="1" s="305">
      <c r="A1055" s="67" t="n"/>
      <c r="B1055" s="67" t="n"/>
      <c r="C1055" s="67" t="n"/>
      <c r="D1055" s="3" t="n"/>
      <c r="E1055" s="3" t="n"/>
      <c r="G1055" t="inlineStr"/>
      <c r="H1055" t="inlineStr"/>
      <c r="I1055" s="74" t="n"/>
      <c r="J1055" s="217" t="inlineStr"/>
    </row>
    <row r="1056" ht="15.75" customHeight="1" s="305">
      <c r="A1056" s="67" t="n"/>
      <c r="B1056" s="67" t="n"/>
      <c r="C1056" s="67" t="n"/>
      <c r="D1056" s="3" t="n"/>
      <c r="E1056" s="67" t="n"/>
      <c r="G1056" t="inlineStr"/>
      <c r="H1056" t="inlineStr"/>
      <c r="I1056" s="74" t="n"/>
      <c r="J1056" s="217" t="inlineStr"/>
    </row>
    <row r="1057" ht="15.75" customHeight="1" s="305">
      <c r="A1057" s="67" t="n"/>
      <c r="B1057" s="67" t="n"/>
      <c r="C1057" s="67" t="n"/>
      <c r="D1057" s="3" t="n"/>
      <c r="E1057" s="3" t="n"/>
      <c r="G1057" t="inlineStr"/>
      <c r="H1057" t="inlineStr"/>
      <c r="I1057" s="74" t="n"/>
      <c r="J1057" s="217" t="inlineStr"/>
    </row>
    <row r="1058" ht="15.75" customHeight="1" s="305">
      <c r="A1058" s="67" t="n"/>
      <c r="B1058" s="67" t="n"/>
      <c r="C1058" s="67" t="n"/>
      <c r="D1058" s="3" t="n"/>
      <c r="E1058" s="67" t="n"/>
      <c r="G1058" t="inlineStr"/>
      <c r="H1058" t="inlineStr"/>
      <c r="I1058" s="74" t="n"/>
      <c r="J1058" s="217" t="inlineStr"/>
    </row>
    <row r="1059" ht="15.75" customHeight="1" s="305">
      <c r="A1059" s="67" t="n"/>
      <c r="B1059" s="67" t="n"/>
      <c r="C1059" s="67" t="n"/>
      <c r="D1059" s="3" t="n"/>
      <c r="E1059" s="3" t="n"/>
      <c r="G1059" t="inlineStr"/>
      <c r="H1059" t="inlineStr"/>
      <c r="I1059" s="74" t="n"/>
      <c r="J1059" s="217" t="inlineStr"/>
    </row>
    <row r="1060" ht="15.75" customHeight="1" s="305">
      <c r="A1060" s="67" t="n"/>
      <c r="B1060" s="67" t="n"/>
      <c r="C1060" s="67" t="n"/>
      <c r="D1060" s="3" t="n"/>
      <c r="E1060" s="3" t="n"/>
      <c r="G1060" t="inlineStr"/>
      <c r="H1060" t="inlineStr"/>
      <c r="I1060" s="74" t="n"/>
      <c r="J1060" s="217" t="inlineStr"/>
    </row>
    <row r="1061" ht="15.75" customHeight="1" s="305">
      <c r="A1061" s="67" t="n"/>
      <c r="B1061" s="67" t="n"/>
      <c r="C1061" s="67" t="n"/>
      <c r="D1061" s="3" t="n"/>
      <c r="E1061" s="3" t="n"/>
      <c r="G1061" t="inlineStr"/>
      <c r="H1061" t="inlineStr"/>
      <c r="I1061" s="74" t="n"/>
      <c r="J1061" s="217" t="inlineStr"/>
    </row>
    <row r="1062" ht="15.75" customHeight="1" s="305">
      <c r="A1062" s="67" t="n"/>
      <c r="B1062" s="67" t="n"/>
      <c r="C1062" s="67" t="n"/>
      <c r="D1062" s="3" t="n"/>
      <c r="E1062" s="3" t="n"/>
      <c r="G1062" t="inlineStr"/>
      <c r="H1062" t="inlineStr"/>
      <c r="I1062" s="74" t="n"/>
      <c r="J1062" s="217" t="inlineStr"/>
    </row>
    <row r="1063" ht="15.75" customHeight="1" s="305">
      <c r="A1063" s="67" t="n"/>
      <c r="B1063" s="67" t="n"/>
      <c r="C1063" s="67" t="n"/>
      <c r="D1063" s="3" t="n"/>
      <c r="E1063" s="3" t="n"/>
      <c r="G1063" t="inlineStr"/>
      <c r="H1063" t="inlineStr"/>
      <c r="I1063" s="74" t="n"/>
      <c r="J1063" s="217" t="inlineStr"/>
    </row>
    <row r="1064" ht="15.75" customHeight="1" s="305">
      <c r="A1064" s="67" t="n"/>
      <c r="B1064" s="67" t="n"/>
      <c r="C1064" s="67" t="n"/>
      <c r="D1064" s="3" t="n"/>
      <c r="E1064" s="3" t="n"/>
      <c r="G1064" t="inlineStr"/>
      <c r="H1064" t="inlineStr"/>
      <c r="I1064" s="74" t="n"/>
      <c r="J1064" s="217" t="inlineStr"/>
    </row>
    <row r="1065" ht="15.75" customHeight="1" s="305">
      <c r="A1065" s="67" t="n"/>
      <c r="B1065" s="67" t="n"/>
      <c r="C1065" s="67" t="n"/>
      <c r="D1065" s="3" t="n"/>
      <c r="E1065" s="3" t="n"/>
      <c r="G1065" t="inlineStr"/>
      <c r="H1065" t="inlineStr"/>
      <c r="I1065" s="74" t="n"/>
      <c r="J1065" s="217" t="inlineStr"/>
    </row>
    <row r="1066" ht="15.75" customHeight="1" s="305">
      <c r="A1066" s="67" t="n"/>
      <c r="B1066" s="67" t="n"/>
      <c r="C1066" s="67" t="n"/>
      <c r="D1066" s="3" t="n"/>
      <c r="E1066" s="3" t="n"/>
      <c r="G1066" t="inlineStr"/>
      <c r="H1066" t="inlineStr"/>
      <c r="I1066" s="74" t="n"/>
      <c r="J1066" s="217" t="inlineStr"/>
    </row>
    <row r="1067" ht="15.75" customHeight="1" s="305">
      <c r="A1067" s="67" t="n"/>
      <c r="B1067" s="67" t="n"/>
      <c r="C1067" s="67" t="n"/>
      <c r="D1067" s="3" t="n"/>
      <c r="E1067" s="3" t="n"/>
      <c r="G1067" t="inlineStr"/>
      <c r="H1067" t="inlineStr"/>
      <c r="I1067" s="74" t="n"/>
      <c r="J1067" s="217" t="inlineStr"/>
    </row>
    <row r="1068" ht="15.75" customHeight="1" s="305">
      <c r="A1068" s="67" t="n"/>
      <c r="B1068" s="67" t="n"/>
      <c r="C1068" s="67" t="n"/>
      <c r="D1068" s="3" t="n"/>
      <c r="E1068" s="3" t="n"/>
      <c r="G1068" t="inlineStr"/>
      <c r="H1068" t="inlineStr"/>
      <c r="I1068" s="74" t="n"/>
      <c r="J1068" s="217" t="inlineStr"/>
    </row>
    <row r="1069" ht="15.75" customHeight="1" s="305">
      <c r="A1069" s="67" t="n"/>
      <c r="B1069" s="67" t="n"/>
      <c r="C1069" s="67" t="n"/>
      <c r="D1069" s="3" t="n"/>
      <c r="E1069" s="3" t="n"/>
      <c r="G1069" t="inlineStr"/>
      <c r="H1069" t="inlineStr"/>
      <c r="I1069" s="74" t="n"/>
      <c r="J1069" s="217" t="inlineStr"/>
    </row>
    <row r="1070" ht="15.75" customHeight="1" s="305">
      <c r="A1070" s="67" t="n"/>
      <c r="B1070" s="67" t="n"/>
      <c r="C1070" s="67" t="n"/>
      <c r="D1070" s="3" t="n"/>
      <c r="E1070" s="3" t="n"/>
      <c r="G1070" t="inlineStr"/>
      <c r="H1070" t="inlineStr"/>
      <c r="I1070" s="74" t="n"/>
      <c r="J1070" s="217" t="inlineStr"/>
    </row>
    <row r="1071" ht="15.75" customHeight="1" s="305">
      <c r="A1071" s="67" t="n"/>
      <c r="B1071" s="67" t="n"/>
      <c r="C1071" s="67" t="n"/>
      <c r="D1071" s="3" t="n"/>
      <c r="E1071" s="3" t="n"/>
      <c r="G1071" t="inlineStr"/>
      <c r="H1071" t="inlineStr"/>
      <c r="I1071" s="74" t="n"/>
      <c r="J1071" s="217" t="inlineStr"/>
    </row>
    <row r="1072" ht="15.75" customHeight="1" s="305">
      <c r="A1072" s="67" t="n"/>
      <c r="B1072" s="67" t="n"/>
      <c r="C1072" s="67" t="n"/>
      <c r="D1072" s="3" t="n"/>
      <c r="E1072" s="3" t="n"/>
      <c r="G1072" t="inlineStr"/>
      <c r="H1072" t="inlineStr"/>
      <c r="I1072" s="74" t="n"/>
      <c r="J1072" s="217" t="inlineStr"/>
    </row>
    <row r="1073" ht="15.75" customHeight="1" s="305">
      <c r="A1073" s="67" t="n"/>
      <c r="B1073" s="67" t="n"/>
      <c r="C1073" s="67" t="n"/>
      <c r="D1073" s="3" t="n"/>
      <c r="E1073" s="3" t="n"/>
      <c r="G1073" t="inlineStr"/>
      <c r="H1073" t="inlineStr"/>
      <c r="I1073" s="74" t="n"/>
      <c r="J1073" s="217" t="inlineStr"/>
    </row>
    <row r="1074" ht="15.75" customHeight="1" s="305">
      <c r="A1074" s="67" t="n"/>
      <c r="B1074" s="67" t="n"/>
      <c r="C1074" s="67" t="n"/>
      <c r="D1074" s="3" t="n"/>
      <c r="E1074" s="3" t="n"/>
      <c r="G1074" t="inlineStr"/>
      <c r="H1074" t="inlineStr"/>
      <c r="I1074" s="74" t="n"/>
      <c r="J1074" s="217" t="inlineStr"/>
    </row>
    <row r="1075" ht="15.75" customHeight="1" s="305">
      <c r="A1075" s="67" t="n"/>
      <c r="B1075" s="67" t="n"/>
      <c r="C1075" s="67" t="n"/>
      <c r="D1075" s="3" t="n"/>
      <c r="E1075" s="3" t="n"/>
      <c r="G1075" t="inlineStr"/>
      <c r="H1075" t="inlineStr"/>
      <c r="I1075" s="74" t="n"/>
      <c r="J1075" s="217" t="inlineStr"/>
    </row>
    <row r="1076" ht="15.75" customHeight="1" s="305">
      <c r="A1076" s="67" t="n"/>
      <c r="B1076" s="67" t="n"/>
      <c r="C1076" s="67" t="n"/>
      <c r="D1076" s="3" t="n"/>
      <c r="E1076" s="3" t="n"/>
      <c r="G1076" t="inlineStr"/>
      <c r="H1076" t="inlineStr"/>
      <c r="I1076" s="74" t="n"/>
      <c r="J1076" s="217" t="inlineStr"/>
    </row>
    <row r="1077" ht="15.75" customHeight="1" s="305">
      <c r="A1077" s="67" t="n"/>
      <c r="B1077" s="67" t="n"/>
      <c r="C1077" s="67" t="n"/>
      <c r="D1077" s="3" t="n"/>
      <c r="E1077" s="3" t="n"/>
      <c r="G1077" t="inlineStr"/>
      <c r="H1077" t="inlineStr"/>
      <c r="I1077" s="74" t="n"/>
      <c r="J1077" s="217" t="inlineStr"/>
    </row>
    <row r="1078" ht="15.75" customHeight="1" s="305">
      <c r="A1078" s="67" t="n"/>
      <c r="B1078" s="67" t="n"/>
      <c r="C1078" s="67" t="n"/>
      <c r="D1078" s="3" t="n"/>
      <c r="E1078" s="3" t="n"/>
      <c r="G1078" t="inlineStr"/>
      <c r="H1078" t="inlineStr"/>
      <c r="I1078" s="74" t="n"/>
      <c r="J1078" s="217" t="inlineStr"/>
    </row>
    <row r="1079" ht="15.75" customHeight="1" s="305">
      <c r="A1079" s="67" t="n"/>
      <c r="B1079" s="67" t="n"/>
      <c r="C1079" s="67" t="n"/>
      <c r="D1079" s="3" t="n"/>
      <c r="E1079" s="3" t="n"/>
      <c r="G1079" t="inlineStr"/>
      <c r="H1079" t="inlineStr"/>
      <c r="I1079" s="74" t="n"/>
      <c r="J1079" s="217" t="inlineStr"/>
    </row>
    <row r="1080" ht="15.75" customHeight="1" s="305">
      <c r="A1080" s="67" t="n"/>
      <c r="B1080" s="67" t="n"/>
      <c r="C1080" s="67" t="n"/>
      <c r="D1080" s="3" t="n"/>
      <c r="E1080" s="3" t="n"/>
      <c r="G1080" t="inlineStr"/>
      <c r="H1080" t="inlineStr"/>
      <c r="I1080" s="74" t="n"/>
      <c r="J1080" s="217" t="inlineStr"/>
    </row>
    <row r="1081" ht="15.75" customHeight="1" s="305">
      <c r="A1081" s="67" t="n"/>
      <c r="B1081" s="67" t="n"/>
      <c r="C1081" s="67" t="n"/>
      <c r="D1081" s="3" t="n"/>
      <c r="E1081" s="3" t="n"/>
      <c r="G1081" t="inlineStr"/>
      <c r="H1081" t="inlineStr"/>
      <c r="I1081" s="74" t="n"/>
      <c r="J1081" s="217" t="inlineStr"/>
    </row>
    <row r="1082" ht="15.75" customHeight="1" s="305">
      <c r="A1082" s="67" t="n"/>
      <c r="B1082" s="67" t="n"/>
      <c r="C1082" s="67" t="n"/>
      <c r="D1082" s="3" t="n"/>
      <c r="E1082" s="3" t="n"/>
      <c r="G1082" t="inlineStr"/>
      <c r="H1082" t="inlineStr"/>
      <c r="I1082" s="74" t="n"/>
      <c r="J1082" s="217" t="inlineStr"/>
    </row>
    <row r="1083" ht="15.75" customHeight="1" s="305">
      <c r="A1083" s="67" t="n"/>
      <c r="B1083" s="67" t="n"/>
      <c r="C1083" s="67" t="n"/>
      <c r="D1083" s="3" t="n"/>
      <c r="E1083" s="3" t="n"/>
      <c r="G1083" t="inlineStr"/>
      <c r="H1083" t="inlineStr"/>
      <c r="I1083" s="74" t="n"/>
      <c r="J1083" s="217" t="inlineStr"/>
    </row>
    <row r="1084" ht="15.75" customHeight="1" s="305">
      <c r="A1084" s="67" t="n"/>
      <c r="B1084" s="67" t="n"/>
      <c r="C1084" s="67" t="n"/>
      <c r="D1084" s="3" t="n"/>
      <c r="E1084" s="3" t="n"/>
      <c r="G1084" t="inlineStr"/>
      <c r="H1084" t="inlineStr"/>
      <c r="I1084" s="74" t="n"/>
      <c r="J1084" s="217" t="inlineStr"/>
    </row>
    <row r="1085" ht="15.75" customHeight="1" s="305">
      <c r="A1085" s="67" t="n"/>
      <c r="B1085" s="67" t="n"/>
      <c r="C1085" s="67" t="n"/>
      <c r="D1085" s="3" t="n"/>
      <c r="E1085" s="67" t="n"/>
      <c r="G1085" t="inlineStr"/>
      <c r="H1085" t="inlineStr"/>
      <c r="I1085" s="74" t="n"/>
      <c r="J1085" s="217" t="inlineStr"/>
    </row>
    <row r="1086" ht="15.75" customHeight="1" s="305">
      <c r="A1086" s="67" t="n"/>
      <c r="B1086" s="67" t="n"/>
      <c r="C1086" s="67" t="n"/>
      <c r="D1086" s="3" t="n"/>
      <c r="E1086" s="67" t="n"/>
      <c r="G1086" t="inlineStr"/>
      <c r="H1086" t="inlineStr"/>
      <c r="I1086" s="74" t="n"/>
      <c r="J1086" s="217" t="inlineStr"/>
    </row>
    <row r="1087" ht="15.75" customHeight="1" s="305">
      <c r="A1087" s="67" t="n"/>
      <c r="B1087" s="67" t="n"/>
      <c r="C1087" s="67" t="n"/>
      <c r="D1087" s="3" t="n"/>
      <c r="E1087" s="67" t="n"/>
      <c r="G1087" t="inlineStr"/>
      <c r="H1087" t="inlineStr"/>
      <c r="I1087" s="74" t="n"/>
      <c r="J1087" s="217" t="inlineStr"/>
    </row>
    <row r="1088" ht="15.75" customHeight="1" s="305">
      <c r="A1088" s="67" t="n"/>
      <c r="B1088" s="67" t="n"/>
      <c r="C1088" s="67" t="n"/>
      <c r="D1088" s="3" t="n"/>
      <c r="E1088" s="3" t="n"/>
      <c r="G1088" t="inlineStr"/>
      <c r="H1088" t="inlineStr"/>
      <c r="I1088" s="84" t="n"/>
      <c r="J1088" s="217" t="inlineStr"/>
    </row>
    <row r="1089" ht="15.75" customHeight="1" s="305">
      <c r="A1089" s="67" t="n"/>
      <c r="B1089" s="67" t="n"/>
      <c r="C1089" s="67" t="n"/>
      <c r="D1089" s="3" t="n"/>
      <c r="E1089" s="3" t="n"/>
      <c r="G1089" t="inlineStr"/>
      <c r="H1089" t="inlineStr"/>
      <c r="I1089" s="84" t="n"/>
      <c r="J1089" s="217" t="inlineStr"/>
    </row>
    <row r="1090" ht="15.75" customHeight="1" s="305">
      <c r="A1090" s="67" t="n"/>
      <c r="B1090" s="67" t="n"/>
      <c r="C1090" s="67" t="n"/>
      <c r="D1090" s="3" t="n"/>
      <c r="E1090" s="3" t="n"/>
      <c r="G1090" t="inlineStr"/>
      <c r="H1090" t="inlineStr"/>
      <c r="I1090" s="84" t="n"/>
      <c r="J1090" s="217" t="inlineStr"/>
    </row>
    <row r="1091" ht="15.75" customHeight="1" s="305">
      <c r="A1091" s="67" t="n"/>
      <c r="B1091" s="67" t="n"/>
      <c r="C1091" s="67" t="n"/>
      <c r="D1091" s="3" t="n"/>
      <c r="E1091" s="3" t="n"/>
      <c r="G1091" t="inlineStr"/>
      <c r="H1091" t="inlineStr"/>
      <c r="I1091" s="84" t="n"/>
      <c r="J1091" s="217" t="inlineStr"/>
    </row>
    <row r="1092" ht="15.75" customHeight="1" s="305">
      <c r="A1092" s="67" t="n"/>
      <c r="B1092" s="67" t="n"/>
      <c r="C1092" s="67" t="n"/>
      <c r="D1092" s="3" t="n"/>
      <c r="E1092" s="3" t="n"/>
      <c r="G1092" t="inlineStr"/>
      <c r="H1092" t="inlineStr"/>
      <c r="I1092" s="74" t="n"/>
      <c r="J1092" s="217" t="inlineStr"/>
    </row>
    <row r="1093" ht="15.75" customHeight="1" s="305">
      <c r="A1093" s="67" t="n"/>
      <c r="B1093" s="67" t="n"/>
      <c r="C1093" s="67" t="n"/>
      <c r="D1093" s="3" t="n"/>
      <c r="E1093" s="3" t="n"/>
      <c r="G1093" t="inlineStr"/>
      <c r="H1093" t="inlineStr"/>
      <c r="I1093" s="84" t="n"/>
      <c r="J1093" s="217" t="inlineStr"/>
    </row>
    <row r="1094" ht="15.75" customHeight="1" s="305">
      <c r="A1094" s="67" t="n"/>
      <c r="B1094" s="67" t="n"/>
      <c r="C1094" s="67" t="n"/>
      <c r="D1094" s="3" t="n"/>
      <c r="E1094" s="3" t="n"/>
      <c r="G1094" t="inlineStr"/>
      <c r="H1094" t="inlineStr"/>
      <c r="I1094" s="84" t="n"/>
      <c r="J1094" s="217" t="inlineStr"/>
    </row>
    <row r="1095" ht="15.75" customHeight="1" s="305">
      <c r="A1095" s="67" t="n"/>
      <c r="B1095" s="67" t="n"/>
      <c r="C1095" s="67" t="n"/>
      <c r="D1095" s="3" t="n"/>
      <c r="E1095" s="3" t="n"/>
      <c r="G1095" t="inlineStr"/>
      <c r="H1095" t="inlineStr"/>
      <c r="I1095" s="74" t="n"/>
      <c r="J1095" s="217" t="inlineStr"/>
    </row>
    <row r="1096" ht="15.75" customHeight="1" s="305">
      <c r="A1096" s="67" t="n"/>
      <c r="B1096" s="67" t="n"/>
      <c r="C1096" s="67" t="n"/>
      <c r="D1096" s="3" t="n"/>
      <c r="E1096" s="3" t="n"/>
      <c r="G1096" t="inlineStr"/>
      <c r="H1096" t="inlineStr"/>
      <c r="I1096" s="74" t="n"/>
      <c r="J1096" s="217" t="inlineStr"/>
    </row>
    <row r="1097" ht="15.75" customHeight="1" s="305">
      <c r="A1097" s="67" t="n"/>
      <c r="B1097" s="67" t="n"/>
      <c r="C1097" s="67" t="n"/>
      <c r="D1097" s="3" t="n"/>
      <c r="E1097" s="3" t="n"/>
      <c r="G1097" t="inlineStr"/>
      <c r="H1097" t="inlineStr"/>
      <c r="I1097" s="74" t="n"/>
      <c r="J1097" s="217" t="inlineStr"/>
    </row>
    <row r="1098" ht="15.75" customHeight="1" s="305">
      <c r="A1098" s="67" t="n"/>
      <c r="B1098" s="67" t="n"/>
      <c r="C1098" s="67" t="n"/>
      <c r="D1098" s="3" t="n"/>
      <c r="E1098" s="3" t="n"/>
      <c r="G1098" t="inlineStr"/>
      <c r="H1098" t="inlineStr"/>
      <c r="I1098" s="74" t="n"/>
      <c r="J1098" s="217" t="inlineStr"/>
    </row>
    <row r="1099" ht="15.75" customHeight="1" s="305">
      <c r="A1099" s="67" t="n"/>
      <c r="B1099" s="67" t="n"/>
      <c r="C1099" s="67" t="n"/>
      <c r="D1099" s="3" t="n"/>
      <c r="E1099" s="3" t="n"/>
      <c r="G1099" t="inlineStr"/>
      <c r="H1099" t="inlineStr"/>
      <c r="I1099" s="74" t="n"/>
      <c r="J1099" s="217" t="inlineStr"/>
    </row>
    <row r="1100" ht="15.75" customHeight="1" s="305">
      <c r="A1100" s="67" t="n"/>
      <c r="B1100" s="67" t="n"/>
      <c r="C1100" s="67" t="n"/>
      <c r="D1100" s="3" t="n"/>
      <c r="E1100" s="3" t="n"/>
      <c r="G1100" t="inlineStr"/>
      <c r="H1100" t="inlineStr"/>
      <c r="I1100" s="74" t="n"/>
      <c r="J1100" s="217" t="inlineStr"/>
    </row>
    <row r="1101" ht="15.75" customHeight="1" s="305">
      <c r="A1101" s="67" t="n"/>
      <c r="B1101" s="67" t="n"/>
      <c r="C1101" s="67" t="n"/>
      <c r="D1101" s="3" t="n"/>
      <c r="E1101" s="3" t="n"/>
      <c r="G1101" t="inlineStr"/>
      <c r="H1101" t="inlineStr"/>
      <c r="I1101" s="74" t="n"/>
      <c r="J1101" s="217" t="inlineStr"/>
    </row>
    <row r="1102" ht="15.75" customHeight="1" s="305">
      <c r="A1102" s="67" t="n"/>
      <c r="B1102" s="67" t="n"/>
      <c r="C1102" s="67" t="n"/>
      <c r="D1102" s="3" t="n"/>
      <c r="E1102" s="3" t="n"/>
      <c r="G1102" t="inlineStr"/>
      <c r="H1102" t="inlineStr"/>
      <c r="I1102" s="74" t="n"/>
      <c r="J1102" s="217" t="inlineStr"/>
    </row>
    <row r="1103" ht="15.75" customHeight="1" s="305">
      <c r="A1103" s="67" t="n"/>
      <c r="B1103" s="67" t="n"/>
      <c r="C1103" s="67" t="n"/>
      <c r="D1103" s="3" t="n"/>
      <c r="E1103" s="3" t="n"/>
      <c r="G1103" t="inlineStr"/>
      <c r="H1103" t="inlineStr"/>
      <c r="I1103" s="74" t="n"/>
      <c r="J1103" s="217" t="inlineStr"/>
    </row>
    <row r="1104" ht="15.75" customHeight="1" s="305">
      <c r="A1104" s="67" t="n"/>
      <c r="B1104" s="67" t="n"/>
      <c r="C1104" s="67" t="n"/>
      <c r="D1104" s="3" t="n"/>
      <c r="E1104" s="3" t="n"/>
      <c r="G1104" t="inlineStr"/>
      <c r="H1104" t="inlineStr"/>
      <c r="I1104" s="74" t="n"/>
      <c r="J1104" s="217" t="inlineStr"/>
    </row>
    <row r="1105" ht="15.75" customHeight="1" s="305">
      <c r="A1105" s="67" t="n"/>
      <c r="B1105" s="67" t="n"/>
      <c r="C1105" s="67" t="n"/>
      <c r="D1105" s="3" t="n"/>
      <c r="E1105" s="3" t="n"/>
      <c r="G1105" t="inlineStr"/>
      <c r="H1105" t="inlineStr"/>
      <c r="I1105" s="74" t="n"/>
      <c r="J1105" s="217" t="inlineStr"/>
    </row>
    <row r="1106" ht="15.75" customHeight="1" s="305">
      <c r="A1106" s="67" t="n"/>
      <c r="B1106" s="67" t="n"/>
      <c r="C1106" s="67" t="n"/>
      <c r="D1106" s="3" t="n"/>
      <c r="E1106" s="3" t="n"/>
      <c r="G1106" t="inlineStr"/>
      <c r="H1106" t="inlineStr"/>
      <c r="I1106" s="74" t="n"/>
      <c r="J1106" s="217" t="inlineStr"/>
    </row>
    <row r="1107" ht="15.75" customHeight="1" s="305">
      <c r="A1107" s="67" t="n"/>
      <c r="B1107" s="67" t="n"/>
      <c r="C1107" s="67" t="n"/>
      <c r="D1107" s="3" t="n"/>
      <c r="E1107" s="3" t="n"/>
      <c r="G1107" t="inlineStr"/>
      <c r="H1107" t="inlineStr"/>
      <c r="I1107" s="74" t="n"/>
      <c r="J1107" s="217" t="inlineStr"/>
    </row>
    <row r="1108" ht="15.75" customHeight="1" s="305">
      <c r="A1108" s="67" t="n"/>
      <c r="B1108" s="67" t="n"/>
      <c r="C1108" s="67" t="n"/>
      <c r="D1108" s="3" t="n"/>
      <c r="E1108" s="3" t="n"/>
      <c r="G1108" t="inlineStr"/>
      <c r="H1108" t="inlineStr"/>
      <c r="I1108" s="74" t="n"/>
      <c r="J1108" s="217" t="inlineStr"/>
    </row>
    <row r="1109" ht="15.75" customHeight="1" s="305">
      <c r="A1109" s="67" t="n"/>
      <c r="B1109" s="67" t="n"/>
      <c r="C1109" s="67" t="n"/>
      <c r="D1109" s="3" t="n"/>
      <c r="E1109" s="159" t="n"/>
      <c r="G1109" t="inlineStr"/>
      <c r="H1109" t="inlineStr"/>
      <c r="I1109" s="74" t="n"/>
      <c r="J1109" s="217" t="inlineStr"/>
    </row>
    <row r="1110" ht="15.75" customHeight="1" s="305">
      <c r="A1110" s="67" t="n"/>
      <c r="B1110" s="67" t="n"/>
      <c r="C1110" s="67" t="n"/>
      <c r="D1110" s="3" t="n"/>
      <c r="E1110" s="3" t="n"/>
      <c r="G1110" t="inlineStr"/>
      <c r="H1110" t="inlineStr"/>
      <c r="I1110" s="84" t="n"/>
      <c r="J1110" s="217" t="inlineStr"/>
    </row>
    <row r="1111" ht="15.75" customHeight="1" s="305">
      <c r="A1111" s="67" t="n"/>
      <c r="B1111" s="67" t="n"/>
      <c r="C1111" s="67" t="n"/>
      <c r="D1111" s="3" t="n"/>
      <c r="E1111" s="3" t="n"/>
      <c r="G1111" t="inlineStr"/>
      <c r="H1111" t="inlineStr"/>
      <c r="I1111" s="74" t="n"/>
      <c r="J1111" s="217" t="inlineStr"/>
    </row>
    <row r="1112" ht="15.75" customHeight="1" s="305">
      <c r="A1112" s="67" t="n"/>
      <c r="B1112" s="67" t="n"/>
      <c r="C1112" s="67" t="n"/>
      <c r="D1112" s="3" t="n"/>
      <c r="E1112" s="3" t="n"/>
      <c r="G1112" t="inlineStr"/>
      <c r="H1112" t="inlineStr"/>
      <c r="I1112" s="74" t="n"/>
      <c r="J1112" s="217" t="inlineStr"/>
    </row>
    <row r="1113" ht="15.75" customHeight="1" s="305">
      <c r="A1113" s="67" t="n"/>
      <c r="B1113" s="67" t="n"/>
      <c r="C1113" s="67" t="n"/>
      <c r="D1113" s="3" t="n"/>
      <c r="E1113" s="3" t="n"/>
      <c r="G1113" t="inlineStr"/>
      <c r="H1113" t="inlineStr"/>
      <c r="I1113" s="74" t="n"/>
      <c r="J1113" s="217" t="inlineStr"/>
    </row>
    <row r="1114" ht="15.75" customHeight="1" s="305">
      <c r="A1114" s="67" t="n"/>
      <c r="B1114" s="67" t="n"/>
      <c r="C1114" s="67" t="n"/>
      <c r="D1114" s="3" t="n"/>
      <c r="E1114" s="3" t="n"/>
      <c r="G1114" t="inlineStr"/>
      <c r="H1114" t="inlineStr"/>
      <c r="I1114" s="74" t="n"/>
      <c r="J1114" s="217" t="inlineStr"/>
    </row>
    <row r="1115" ht="15.75" customHeight="1" s="305">
      <c r="A1115" s="67" t="n"/>
      <c r="B1115" s="67" t="n"/>
      <c r="C1115" s="67" t="n"/>
      <c r="D1115" s="3" t="n"/>
      <c r="E1115" s="3" t="n"/>
      <c r="G1115" t="inlineStr"/>
      <c r="H1115" t="inlineStr"/>
      <c r="I1115" s="74" t="n"/>
      <c r="J1115" s="217" t="inlineStr"/>
    </row>
    <row r="1116" ht="15.75" customHeight="1" s="305">
      <c r="A1116" s="67" t="n"/>
      <c r="B1116" s="67" t="n"/>
      <c r="C1116" s="67" t="n"/>
      <c r="D1116" s="3" t="n"/>
      <c r="E1116" s="3" t="n"/>
      <c r="G1116" t="inlineStr"/>
      <c r="H1116" t="inlineStr"/>
      <c r="I1116" s="74" t="n"/>
      <c r="J1116" s="217" t="inlineStr"/>
    </row>
    <row r="1117" ht="15.75" customHeight="1" s="305">
      <c r="A1117" s="67" t="n"/>
      <c r="B1117" s="67" t="n"/>
      <c r="C1117" s="67" t="n"/>
      <c r="D1117" s="3" t="n"/>
      <c r="E1117" s="3" t="n"/>
      <c r="G1117" t="inlineStr"/>
      <c r="H1117" t="inlineStr"/>
      <c r="I1117" s="74" t="n"/>
      <c r="J1117" s="217" t="inlineStr"/>
    </row>
    <row r="1118" ht="15.75" customHeight="1" s="305">
      <c r="A1118" s="67" t="n"/>
      <c r="B1118" s="67" t="n"/>
      <c r="C1118" s="67" t="n"/>
      <c r="D1118" s="3" t="n"/>
      <c r="E1118" s="3" t="n"/>
      <c r="G1118" t="inlineStr"/>
      <c r="H1118" t="inlineStr"/>
      <c r="I1118" s="74" t="n"/>
      <c r="J1118" s="217" t="inlineStr"/>
    </row>
    <row r="1119" ht="15.75" customHeight="1" s="305">
      <c r="A1119" s="67" t="n"/>
      <c r="B1119" s="67" t="n"/>
      <c r="C1119" s="67" t="n"/>
      <c r="D1119" s="3" t="n"/>
      <c r="E1119" s="3" t="n"/>
      <c r="G1119" t="inlineStr"/>
      <c r="H1119" t="inlineStr"/>
      <c r="I1119" s="74" t="n"/>
      <c r="J1119" s="217" t="inlineStr"/>
    </row>
    <row r="1120" ht="15.75" customHeight="1" s="305">
      <c r="A1120" s="67" t="n"/>
      <c r="B1120" s="67" t="n"/>
      <c r="C1120" s="67" t="n"/>
      <c r="D1120" s="3" t="n"/>
      <c r="E1120" s="3" t="n"/>
      <c r="G1120" t="inlineStr"/>
      <c r="H1120" t="inlineStr"/>
      <c r="I1120" s="84" t="n"/>
      <c r="J1120" s="217" t="inlineStr"/>
    </row>
    <row r="1121" ht="15.75" customHeight="1" s="305">
      <c r="A1121" s="67" t="n"/>
      <c r="B1121" s="67" t="n"/>
      <c r="C1121" s="67" t="n"/>
      <c r="D1121" s="3" t="n"/>
      <c r="E1121" s="3" t="n"/>
      <c r="G1121" t="inlineStr"/>
      <c r="H1121" t="inlineStr"/>
      <c r="I1121" s="74" t="n"/>
      <c r="J1121" s="217" t="inlineStr"/>
    </row>
    <row r="1122" ht="15.75" customHeight="1" s="305">
      <c r="A1122" s="67" t="n"/>
      <c r="B1122" s="67" t="n"/>
      <c r="C1122" s="67" t="n"/>
      <c r="D1122" s="3" t="n"/>
      <c r="E1122" s="3" t="n"/>
      <c r="G1122" t="inlineStr"/>
      <c r="H1122" t="inlineStr"/>
      <c r="I1122" s="84" t="n"/>
      <c r="J1122" s="217" t="inlineStr"/>
    </row>
    <row r="1123" ht="15.75" customHeight="1" s="305">
      <c r="A1123" s="67" t="n"/>
      <c r="B1123" s="67" t="n"/>
      <c r="C1123" s="67" t="n"/>
      <c r="D1123" s="3" t="n"/>
      <c r="E1123" s="3" t="n"/>
      <c r="G1123" t="inlineStr"/>
      <c r="H1123" t="inlineStr"/>
      <c r="I1123" s="84" t="n"/>
      <c r="J1123" s="217" t="inlineStr"/>
    </row>
    <row r="1124" ht="15.75" customHeight="1" s="305">
      <c r="A1124" s="67" t="n"/>
      <c r="B1124" s="67" t="n"/>
      <c r="C1124" s="67" t="n"/>
      <c r="D1124" s="3" t="n"/>
      <c r="E1124" s="3" t="n"/>
      <c r="G1124" t="inlineStr"/>
      <c r="H1124" t="inlineStr"/>
      <c r="I1124" s="74" t="n"/>
      <c r="J1124" s="217" t="inlineStr"/>
    </row>
    <row r="1125" ht="15.75" customHeight="1" s="305">
      <c r="A1125" s="67" t="n"/>
      <c r="B1125" s="67" t="n"/>
      <c r="C1125" s="67" t="n"/>
      <c r="D1125" s="3" t="n"/>
      <c r="E1125" s="3" t="n"/>
      <c r="G1125" t="inlineStr"/>
      <c r="H1125" t="inlineStr"/>
      <c r="I1125" s="74" t="n"/>
      <c r="J1125" s="217" t="inlineStr"/>
    </row>
    <row r="1126" ht="15.75" customHeight="1" s="305">
      <c r="A1126" s="67" t="n"/>
      <c r="B1126" s="67" t="n"/>
      <c r="C1126" s="67" t="n"/>
      <c r="D1126" s="3" t="n"/>
      <c r="E1126" s="3" t="n"/>
      <c r="G1126" t="inlineStr"/>
      <c r="H1126" t="inlineStr"/>
      <c r="I1126" s="74" t="n"/>
      <c r="J1126" s="217" t="inlineStr"/>
    </row>
    <row r="1127" ht="15.75" customHeight="1" s="305">
      <c r="A1127" s="67" t="n"/>
      <c r="B1127" s="67" t="n"/>
      <c r="C1127" s="67" t="n"/>
      <c r="D1127" s="3" t="n"/>
      <c r="E1127" s="3" t="n"/>
      <c r="G1127" t="inlineStr"/>
      <c r="H1127" t="inlineStr"/>
      <c r="I1127" s="74" t="n"/>
      <c r="J1127" s="217" t="inlineStr"/>
    </row>
    <row r="1128" ht="15.75" customHeight="1" s="305">
      <c r="A1128" s="67" t="n"/>
      <c r="B1128" s="67" t="n"/>
      <c r="C1128" s="67" t="n"/>
      <c r="D1128" s="3" t="n"/>
      <c r="E1128" s="3" t="n"/>
      <c r="G1128" t="inlineStr"/>
      <c r="H1128" t="inlineStr"/>
      <c r="I1128" s="74" t="n"/>
      <c r="J1128" s="217" t="inlineStr"/>
    </row>
    <row r="1129" ht="15.75" customHeight="1" s="305">
      <c r="A1129" s="67" t="n"/>
      <c r="B1129" s="67" t="n"/>
      <c r="C1129" s="67" t="n"/>
      <c r="D1129" s="3" t="n"/>
      <c r="E1129" s="3" t="n"/>
      <c r="G1129" t="inlineStr"/>
      <c r="H1129" t="inlineStr"/>
      <c r="I1129" s="74" t="n"/>
      <c r="J1129" s="217" t="inlineStr"/>
    </row>
    <row r="1130" ht="15.75" customHeight="1" s="305">
      <c r="A1130" s="67" t="n"/>
      <c r="B1130" s="67" t="n"/>
      <c r="C1130" s="67" t="n"/>
      <c r="D1130" s="3" t="n"/>
      <c r="E1130" s="3" t="n"/>
      <c r="G1130" t="inlineStr"/>
      <c r="H1130" t="inlineStr"/>
      <c r="I1130" s="74" t="n"/>
      <c r="J1130" s="217" t="inlineStr"/>
    </row>
    <row r="1131" ht="15.75" customHeight="1" s="305">
      <c r="A1131" s="67" t="n"/>
      <c r="B1131" s="67" t="n"/>
      <c r="C1131" s="67" t="n"/>
      <c r="D1131" s="3" t="n"/>
      <c r="E1131" s="3" t="n"/>
      <c r="G1131" t="inlineStr"/>
      <c r="H1131" t="inlineStr"/>
      <c r="I1131" s="74" t="n"/>
      <c r="J1131" s="217" t="inlineStr"/>
    </row>
    <row r="1132" ht="15.75" customHeight="1" s="305">
      <c r="A1132" s="67" t="n"/>
      <c r="B1132" s="67" t="n"/>
      <c r="C1132" s="67" t="n"/>
      <c r="D1132" s="3" t="n"/>
      <c r="E1132" s="3" t="n"/>
      <c r="G1132" t="inlineStr"/>
      <c r="H1132" t="inlineStr"/>
      <c r="I1132" s="74" t="n"/>
      <c r="J1132" s="217" t="inlineStr"/>
    </row>
    <row r="1133" ht="15.75" customHeight="1" s="305">
      <c r="A1133" s="67" t="n"/>
      <c r="B1133" s="67" t="n"/>
      <c r="C1133" s="67" t="n"/>
      <c r="D1133" s="3" t="n"/>
      <c r="E1133" s="3" t="n"/>
      <c r="G1133" t="inlineStr"/>
      <c r="H1133" t="inlineStr"/>
      <c r="I1133" s="74" t="n"/>
      <c r="J1133" s="217" t="inlineStr"/>
    </row>
    <row r="1134" ht="15.75" customHeight="1" s="305">
      <c r="A1134" s="67" t="n"/>
      <c r="B1134" s="67" t="n"/>
      <c r="C1134" s="67" t="n"/>
      <c r="D1134" s="3" t="n"/>
      <c r="E1134" s="3" t="n"/>
      <c r="G1134" t="inlineStr"/>
      <c r="H1134" t="inlineStr"/>
      <c r="I1134" s="74" t="n"/>
      <c r="J1134" s="217" t="inlineStr"/>
    </row>
    <row r="1135" ht="15.75" customHeight="1" s="305">
      <c r="A1135" s="67" t="n"/>
      <c r="B1135" s="67" t="n"/>
      <c r="C1135" s="67" t="n"/>
      <c r="D1135" s="3" t="n"/>
      <c r="E1135" s="3" t="n"/>
      <c r="G1135" t="inlineStr"/>
      <c r="H1135" t="inlineStr"/>
      <c r="I1135" s="74" t="n"/>
      <c r="J1135" s="217" t="inlineStr"/>
    </row>
    <row r="1136" ht="15.75" customHeight="1" s="305">
      <c r="A1136" s="67" t="n"/>
      <c r="B1136" s="67" t="n"/>
      <c r="C1136" s="67" t="n"/>
      <c r="D1136" s="3" t="n"/>
      <c r="E1136" s="67" t="n"/>
      <c r="G1136" t="inlineStr"/>
      <c r="H1136" t="inlineStr"/>
      <c r="I1136" s="74" t="n"/>
      <c r="J1136" s="217" t="inlineStr"/>
    </row>
    <row r="1137" ht="15.75" customHeight="1" s="305">
      <c r="A1137" s="67" t="n"/>
      <c r="B1137" s="67" t="n"/>
      <c r="C1137" s="67" t="n"/>
      <c r="D1137" s="3" t="n"/>
      <c r="E1137" s="67" t="n"/>
      <c r="G1137" t="inlineStr"/>
      <c r="H1137" t="inlineStr"/>
      <c r="I1137" s="74" t="n"/>
      <c r="J1137" s="217" t="inlineStr"/>
    </row>
    <row r="1138" ht="15.75" customHeight="1" s="305">
      <c r="A1138" s="67" t="n"/>
      <c r="B1138" s="67" t="n"/>
      <c r="C1138" s="67" t="n"/>
      <c r="D1138" s="3" t="n"/>
      <c r="E1138" s="67" t="n"/>
      <c r="G1138" t="inlineStr"/>
      <c r="H1138" t="inlineStr"/>
      <c r="I1138" s="74" t="n"/>
      <c r="J1138" s="217" t="inlineStr"/>
    </row>
    <row r="1139" ht="15.75" customHeight="1" s="305">
      <c r="A1139" s="67" t="n"/>
      <c r="B1139" s="67" t="n"/>
      <c r="C1139" s="67" t="n"/>
      <c r="D1139" s="3" t="n"/>
      <c r="E1139" s="3" t="n"/>
      <c r="G1139" t="inlineStr"/>
      <c r="H1139" t="inlineStr"/>
      <c r="I1139" s="74" t="n"/>
      <c r="J1139" s="217" t="inlineStr"/>
    </row>
    <row r="1140" ht="15.75" customHeight="1" s="305">
      <c r="A1140" s="67" t="n"/>
      <c r="B1140" s="67" t="n"/>
      <c r="C1140" s="67" t="n"/>
      <c r="D1140" s="3" t="n"/>
      <c r="E1140" s="3" t="n"/>
      <c r="G1140" t="inlineStr"/>
      <c r="H1140" t="inlineStr"/>
      <c r="I1140" s="74" t="n"/>
      <c r="J1140" s="217" t="inlineStr"/>
    </row>
    <row r="1141" ht="15.75" customHeight="1" s="305">
      <c r="A1141" s="67" t="n"/>
      <c r="B1141" s="67" t="n"/>
      <c r="C1141" s="67" t="n"/>
      <c r="D1141" s="3" t="n"/>
      <c r="E1141" s="3" t="n"/>
      <c r="G1141" t="inlineStr"/>
      <c r="H1141" t="inlineStr"/>
      <c r="I1141" s="74" t="n"/>
      <c r="J1141" s="217" t="inlineStr"/>
    </row>
    <row r="1142" ht="15.75" customHeight="1" s="305">
      <c r="A1142" s="67" t="n"/>
      <c r="B1142" s="67" t="n"/>
      <c r="C1142" s="67" t="n"/>
      <c r="D1142" s="3" t="n"/>
      <c r="E1142" s="3" t="n"/>
      <c r="G1142" t="inlineStr"/>
      <c r="H1142" t="inlineStr"/>
      <c r="I1142" s="74" t="n"/>
      <c r="J1142" s="217" t="inlineStr"/>
    </row>
    <row r="1143" ht="15.75" customHeight="1" s="305">
      <c r="A1143" s="67" t="n"/>
      <c r="B1143" s="67" t="n"/>
      <c r="C1143" s="67" t="n"/>
      <c r="D1143" s="3" t="n"/>
      <c r="E1143" s="3" t="n"/>
      <c r="G1143" t="inlineStr"/>
      <c r="H1143" t="inlineStr"/>
      <c r="I1143" s="74" t="n"/>
      <c r="J1143" s="217" t="inlineStr"/>
    </row>
    <row r="1144" ht="15.75" customHeight="1" s="305">
      <c r="A1144" s="67" t="n"/>
      <c r="B1144" s="67" t="n"/>
      <c r="C1144" s="67" t="n"/>
      <c r="D1144" s="3" t="n"/>
      <c r="E1144" s="3" t="n"/>
      <c r="G1144" t="inlineStr"/>
      <c r="H1144" t="inlineStr"/>
      <c r="I1144" s="74" t="n"/>
      <c r="J1144" s="217" t="inlineStr"/>
    </row>
    <row r="1145" ht="15.75" customHeight="1" s="305">
      <c r="A1145" s="67" t="n"/>
      <c r="B1145" s="67" t="n"/>
      <c r="C1145" s="67" t="n"/>
      <c r="D1145" s="3" t="n"/>
      <c r="E1145" s="3" t="n"/>
      <c r="G1145" t="inlineStr"/>
      <c r="H1145" t="inlineStr"/>
      <c r="I1145" s="74" t="n"/>
      <c r="J1145" s="217" t="inlineStr"/>
    </row>
    <row r="1146" ht="15.75" customHeight="1" s="305">
      <c r="A1146" s="67" t="n"/>
      <c r="B1146" s="67" t="n"/>
      <c r="C1146" s="67" t="n"/>
      <c r="D1146" s="3" t="n"/>
      <c r="E1146" s="3" t="n"/>
      <c r="G1146" t="inlineStr"/>
      <c r="H1146" t="inlineStr"/>
      <c r="I1146" s="84" t="n"/>
      <c r="J1146" s="217" t="inlineStr"/>
    </row>
    <row r="1147" ht="15.75" customHeight="1" s="305">
      <c r="A1147" s="67" t="n"/>
      <c r="B1147" s="67" t="n"/>
      <c r="C1147" s="67" t="n"/>
      <c r="D1147" s="3" t="n"/>
      <c r="E1147" s="3" t="n"/>
      <c r="G1147" t="inlineStr"/>
      <c r="H1147" t="inlineStr"/>
      <c r="I1147" s="84" t="n"/>
      <c r="J1147" s="217" t="inlineStr"/>
    </row>
    <row r="1148" ht="15.75" customHeight="1" s="305">
      <c r="A1148" s="67" t="n"/>
      <c r="B1148" s="67" t="n"/>
      <c r="C1148" s="67" t="n"/>
      <c r="D1148" s="3" t="n"/>
      <c r="E1148" s="67" t="n"/>
      <c r="G1148" t="inlineStr"/>
      <c r="H1148" t="inlineStr"/>
      <c r="I1148" s="74" t="n"/>
      <c r="J1148" s="217" t="inlineStr"/>
    </row>
    <row r="1149" ht="15.75" customHeight="1" s="305">
      <c r="A1149" s="67" t="n"/>
      <c r="B1149" s="67" t="n"/>
      <c r="C1149" s="67" t="n"/>
      <c r="D1149" s="3" t="n"/>
      <c r="E1149" s="67" t="n"/>
      <c r="G1149" t="inlineStr"/>
      <c r="H1149" t="inlineStr"/>
      <c r="I1149" s="74" t="n"/>
      <c r="J1149" s="217" t="inlineStr"/>
    </row>
    <row r="1150" ht="15.75" customHeight="1" s="305">
      <c r="A1150" s="67" t="n"/>
      <c r="B1150" s="67" t="n"/>
      <c r="C1150" s="67" t="n"/>
      <c r="D1150" s="3" t="n"/>
      <c r="E1150" s="3" t="n"/>
      <c r="G1150" t="inlineStr"/>
      <c r="H1150" t="inlineStr"/>
      <c r="I1150" s="74" t="n"/>
      <c r="J1150" s="217" t="inlineStr"/>
    </row>
    <row r="1151" ht="15.75" customHeight="1" s="305">
      <c r="A1151" s="67" t="n"/>
      <c r="B1151" s="67" t="n"/>
      <c r="C1151" s="67" t="n"/>
      <c r="D1151" s="3" t="n"/>
      <c r="E1151" s="3" t="n"/>
      <c r="G1151" t="inlineStr"/>
      <c r="H1151" t="inlineStr"/>
      <c r="I1151" s="74" t="n"/>
      <c r="J1151" s="217" t="inlineStr"/>
    </row>
    <row r="1152" ht="15.75" customHeight="1" s="305">
      <c r="A1152" s="67" t="n"/>
      <c r="B1152" s="67" t="n"/>
      <c r="C1152" s="67" t="n"/>
      <c r="D1152" s="3" t="n"/>
      <c r="E1152" s="3" t="n"/>
      <c r="G1152" t="inlineStr"/>
      <c r="H1152" t="inlineStr"/>
      <c r="I1152" s="74" t="n"/>
      <c r="J1152" s="217" t="inlineStr"/>
    </row>
    <row r="1153" ht="15.75" customHeight="1" s="305">
      <c r="A1153" s="67" t="n"/>
      <c r="B1153" s="67" t="n"/>
      <c r="C1153" s="67" t="n"/>
      <c r="D1153" s="3" t="n"/>
      <c r="E1153" s="3" t="n"/>
      <c r="G1153" t="inlineStr"/>
      <c r="H1153" t="inlineStr"/>
      <c r="I1153" s="74" t="n"/>
      <c r="J1153" s="217" t="inlineStr"/>
    </row>
    <row r="1154" ht="15.75" customHeight="1" s="305">
      <c r="A1154" s="67" t="n"/>
      <c r="B1154" s="67" t="n"/>
      <c r="C1154" s="67" t="n"/>
      <c r="D1154" s="3" t="n"/>
      <c r="E1154" s="3" t="n"/>
      <c r="G1154" t="inlineStr"/>
      <c r="H1154" t="inlineStr"/>
      <c r="I1154" s="84" t="n"/>
      <c r="J1154" s="217" t="inlineStr"/>
    </row>
    <row r="1155" ht="15.75" customHeight="1" s="305">
      <c r="A1155" s="67" t="n"/>
      <c r="B1155" s="67" t="n"/>
      <c r="C1155" s="67" t="n"/>
      <c r="D1155" s="3" t="n"/>
      <c r="E1155" s="3" t="n"/>
      <c r="G1155" t="inlineStr"/>
      <c r="H1155" t="inlineStr"/>
      <c r="I1155" s="74" t="n"/>
      <c r="J1155" s="217" t="inlineStr"/>
    </row>
    <row r="1156" ht="15.75" customHeight="1" s="305">
      <c r="A1156" s="67" t="n"/>
      <c r="B1156" s="67" t="n"/>
      <c r="C1156" s="67" t="n"/>
      <c r="D1156" s="3" t="n"/>
      <c r="E1156" s="3" t="n"/>
      <c r="G1156" t="inlineStr"/>
      <c r="H1156" t="inlineStr"/>
      <c r="I1156" s="84" t="n"/>
      <c r="J1156" s="217" t="inlineStr"/>
    </row>
    <row r="1157" ht="15.75" customHeight="1" s="305">
      <c r="A1157" s="67" t="n"/>
      <c r="B1157" s="67" t="n"/>
      <c r="C1157" s="67" t="n"/>
      <c r="D1157" s="3" t="n"/>
      <c r="E1157" s="67" t="n"/>
      <c r="G1157" t="inlineStr"/>
      <c r="H1157" t="inlineStr"/>
      <c r="I1157" s="74" t="n"/>
      <c r="J1157" s="217" t="inlineStr"/>
    </row>
    <row r="1158" ht="15.75" customHeight="1" s="305">
      <c r="A1158" s="67" t="n"/>
      <c r="B1158" s="67" t="n"/>
      <c r="C1158" s="67" t="n"/>
      <c r="D1158" s="3" t="n"/>
      <c r="E1158" s="3" t="n"/>
      <c r="G1158" t="inlineStr"/>
      <c r="H1158" t="inlineStr"/>
      <c r="I1158" s="74" t="n"/>
      <c r="J1158" s="217" t="inlineStr"/>
    </row>
    <row r="1159" ht="15.75" customHeight="1" s="305">
      <c r="A1159" s="67" t="n"/>
      <c r="B1159" s="67" t="n"/>
      <c r="C1159" s="67" t="n"/>
      <c r="D1159" s="3" t="n"/>
      <c r="E1159" s="3" t="n"/>
      <c r="G1159" t="inlineStr"/>
      <c r="H1159" t="inlineStr"/>
      <c r="I1159" s="84" t="n"/>
      <c r="J1159" s="217" t="inlineStr"/>
    </row>
    <row r="1160" ht="15.75" customHeight="1" s="305">
      <c r="A1160" s="67" t="n"/>
      <c r="B1160" s="67" t="n"/>
      <c r="C1160" s="67" t="n"/>
      <c r="D1160" s="3" t="n"/>
      <c r="E1160" s="3" t="n"/>
      <c r="G1160" t="inlineStr"/>
      <c r="H1160" t="inlineStr"/>
      <c r="I1160" s="74" t="n"/>
      <c r="J1160" s="217" t="inlineStr"/>
    </row>
    <row r="1161" ht="15.75" customHeight="1" s="305">
      <c r="A1161" s="67" t="n"/>
      <c r="B1161" s="67" t="n"/>
      <c r="C1161" s="67" t="n"/>
      <c r="D1161" s="3" t="n"/>
      <c r="E1161" s="3" t="n"/>
      <c r="G1161" t="inlineStr"/>
      <c r="H1161" t="inlineStr"/>
      <c r="I1161" s="84" t="n"/>
      <c r="J1161" s="217" t="inlineStr"/>
    </row>
    <row r="1162" ht="15.75" customHeight="1" s="305">
      <c r="A1162" s="67" t="n"/>
      <c r="B1162" s="67" t="n"/>
      <c r="C1162" s="67" t="n"/>
      <c r="D1162" s="3" t="n"/>
      <c r="E1162" s="3" t="n"/>
      <c r="G1162" t="inlineStr"/>
      <c r="H1162" t="inlineStr"/>
      <c r="I1162" s="74" t="n"/>
      <c r="J1162" s="217" t="inlineStr"/>
    </row>
    <row r="1163" ht="15.75" customHeight="1" s="305">
      <c r="A1163" s="67" t="n"/>
      <c r="B1163" s="67" t="n"/>
      <c r="C1163" s="67" t="n"/>
      <c r="D1163" s="3" t="n"/>
      <c r="E1163" s="3" t="n"/>
      <c r="G1163" t="inlineStr"/>
      <c r="H1163" t="inlineStr"/>
      <c r="I1163" s="74" t="n"/>
      <c r="J1163" s="217" t="inlineStr"/>
    </row>
    <row r="1164" ht="15.75" customHeight="1" s="305">
      <c r="A1164" s="67" t="n"/>
      <c r="B1164" s="67" t="n"/>
      <c r="C1164" s="67" t="n"/>
      <c r="D1164" s="3" t="n"/>
      <c r="E1164" s="3" t="n"/>
      <c r="G1164" t="inlineStr"/>
      <c r="H1164" t="inlineStr"/>
      <c r="I1164" s="74" t="n"/>
      <c r="J1164" s="217" t="inlineStr"/>
    </row>
    <row r="1165" ht="15.75" customHeight="1" s="305">
      <c r="A1165" s="67" t="n"/>
      <c r="B1165" s="67" t="n"/>
      <c r="C1165" s="67" t="n"/>
      <c r="D1165" s="3" t="n"/>
      <c r="E1165" s="3" t="n"/>
      <c r="G1165" t="inlineStr"/>
      <c r="H1165" t="inlineStr"/>
      <c r="I1165" s="84" t="n"/>
      <c r="J1165" s="217" t="inlineStr"/>
    </row>
    <row r="1166" ht="15.75" customHeight="1" s="305">
      <c r="A1166" s="67" t="n"/>
      <c r="B1166" s="67" t="n"/>
      <c r="C1166" s="67" t="n"/>
      <c r="D1166" s="3" t="n"/>
      <c r="E1166" s="3" t="n"/>
      <c r="G1166" t="inlineStr"/>
      <c r="H1166" t="inlineStr"/>
      <c r="I1166" s="103" t="n"/>
      <c r="J1166" s="217" t="inlineStr"/>
    </row>
    <row r="1167" ht="15.75" customHeight="1" s="305">
      <c r="A1167" s="67" t="n"/>
      <c r="B1167" s="67" t="n"/>
      <c r="C1167" s="67" t="n"/>
      <c r="D1167" s="3" t="n"/>
      <c r="E1167" s="3" t="n"/>
      <c r="G1167" t="inlineStr"/>
      <c r="H1167" t="inlineStr"/>
      <c r="I1167" s="74" t="n"/>
      <c r="J1167" s="217" t="inlineStr"/>
    </row>
    <row r="1168" ht="15.75" customHeight="1" s="305">
      <c r="A1168" s="67" t="n"/>
      <c r="B1168" s="67" t="n"/>
      <c r="C1168" s="67" t="n"/>
      <c r="D1168" s="3" t="n"/>
      <c r="E1168" s="3" t="n"/>
      <c r="G1168" t="inlineStr"/>
      <c r="H1168" t="inlineStr"/>
      <c r="I1168" s="74" t="n"/>
      <c r="J1168" s="217" t="inlineStr"/>
    </row>
    <row r="1169" ht="15.75" customHeight="1" s="305">
      <c r="A1169" s="67" t="n"/>
      <c r="B1169" s="67" t="n"/>
      <c r="C1169" s="67" t="n"/>
      <c r="D1169" s="3" t="n"/>
      <c r="E1169" s="3" t="n"/>
      <c r="G1169" t="inlineStr"/>
      <c r="H1169" t="inlineStr"/>
      <c r="I1169" s="74" t="n"/>
      <c r="J1169" s="217" t="inlineStr"/>
    </row>
    <row r="1170" ht="15.75" customHeight="1" s="305">
      <c r="A1170" s="67" t="n"/>
      <c r="B1170" s="67" t="n"/>
      <c r="C1170" s="67" t="n"/>
      <c r="D1170" s="3" t="n"/>
      <c r="E1170" s="3" t="n"/>
      <c r="G1170" t="inlineStr"/>
      <c r="H1170" t="inlineStr"/>
      <c r="I1170" s="74" t="n"/>
      <c r="J1170" s="217" t="inlineStr"/>
    </row>
    <row r="1171" ht="15.75" customHeight="1" s="305">
      <c r="A1171" s="67" t="n"/>
      <c r="B1171" s="67" t="n"/>
      <c r="C1171" s="67" t="n"/>
      <c r="D1171" s="3" t="n"/>
      <c r="E1171" s="3" t="n"/>
      <c r="G1171" t="inlineStr"/>
      <c r="H1171" t="inlineStr"/>
      <c r="I1171" s="74" t="n"/>
      <c r="J1171" s="217" t="inlineStr"/>
    </row>
    <row r="1172" ht="15.75" customHeight="1" s="305">
      <c r="A1172" s="67" t="n"/>
      <c r="B1172" s="67" t="n"/>
      <c r="C1172" s="67" t="n"/>
      <c r="D1172" s="3" t="n"/>
      <c r="E1172" s="3" t="n"/>
      <c r="G1172" t="inlineStr"/>
      <c r="H1172" t="inlineStr"/>
      <c r="I1172" s="74" t="n"/>
      <c r="J1172" s="217" t="inlineStr"/>
    </row>
    <row r="1173" ht="15.75" customHeight="1" s="305">
      <c r="A1173" s="67" t="n"/>
      <c r="B1173" s="67" t="n"/>
      <c r="C1173" s="67" t="n"/>
      <c r="D1173" s="3" t="n"/>
      <c r="E1173" s="3" t="n"/>
      <c r="G1173" t="inlineStr"/>
      <c r="H1173" t="inlineStr"/>
      <c r="I1173" s="74" t="n"/>
      <c r="J1173" s="217" t="inlineStr"/>
    </row>
    <row r="1174" ht="15.75" customHeight="1" s="305">
      <c r="A1174" s="67" t="n"/>
      <c r="B1174" s="67" t="n"/>
      <c r="C1174" s="67" t="n"/>
      <c r="D1174" s="3" t="n"/>
      <c r="E1174" s="3" t="n"/>
      <c r="G1174" t="inlineStr"/>
      <c r="H1174" t="inlineStr"/>
      <c r="I1174" s="74" t="n"/>
      <c r="J1174" s="217" t="inlineStr"/>
    </row>
    <row r="1175" ht="15.75" customHeight="1" s="305">
      <c r="A1175" s="67" t="n"/>
      <c r="B1175" s="67" t="n"/>
      <c r="C1175" s="67" t="n"/>
      <c r="D1175" s="3" t="n"/>
      <c r="E1175" s="3" t="n"/>
      <c r="G1175" t="inlineStr"/>
      <c r="H1175" t="inlineStr"/>
      <c r="I1175" s="74" t="n"/>
      <c r="J1175" s="217" t="inlineStr"/>
    </row>
    <row r="1176" ht="15.75" customHeight="1" s="305">
      <c r="A1176" s="67" t="n"/>
      <c r="B1176" s="67" t="n"/>
      <c r="C1176" s="67" t="n"/>
      <c r="D1176" s="3" t="n"/>
      <c r="E1176" s="3" t="n"/>
      <c r="G1176" t="inlineStr"/>
      <c r="H1176" t="inlineStr"/>
      <c r="I1176" s="74" t="n"/>
      <c r="J1176" s="217" t="inlineStr"/>
    </row>
    <row r="1177" ht="15.75" customHeight="1" s="305">
      <c r="A1177" s="67" t="n"/>
      <c r="B1177" s="67" t="n"/>
      <c r="C1177" s="67" t="n"/>
      <c r="D1177" s="3" t="n"/>
      <c r="E1177" s="3" t="n"/>
      <c r="G1177" t="inlineStr"/>
      <c r="H1177" t="inlineStr"/>
      <c r="I1177" s="74" t="n"/>
      <c r="J1177" s="217" t="inlineStr"/>
    </row>
    <row r="1178" ht="15.75" customHeight="1" s="305">
      <c r="A1178" s="67" t="n"/>
      <c r="B1178" s="67" t="n"/>
      <c r="C1178" s="67" t="n"/>
      <c r="D1178" s="3" t="n"/>
      <c r="G1178" t="inlineStr"/>
      <c r="H1178" t="inlineStr"/>
      <c r="I1178" s="74" t="n"/>
      <c r="J1178" s="217" t="inlineStr"/>
    </row>
    <row r="1179" ht="15.75" customHeight="1" s="305">
      <c r="A1179" s="67" t="n"/>
      <c r="B1179" s="67" t="n"/>
      <c r="C1179" s="67" t="n"/>
      <c r="D1179" s="3" t="n"/>
      <c r="E1179" s="3" t="n"/>
      <c r="G1179" t="inlineStr"/>
      <c r="H1179" t="inlineStr"/>
      <c r="I1179" s="74" t="n"/>
      <c r="J1179" s="217" t="inlineStr"/>
    </row>
    <row r="1180" ht="15.75" customHeight="1" s="305">
      <c r="A1180" s="67" t="n"/>
      <c r="B1180" s="67" t="n"/>
      <c r="C1180" s="67" t="n"/>
      <c r="D1180" s="3" t="n"/>
      <c r="E1180" s="3" t="n"/>
      <c r="G1180" t="inlineStr"/>
      <c r="H1180" t="inlineStr"/>
      <c r="I1180" s="74" t="n"/>
      <c r="J1180" s="217" t="inlineStr"/>
    </row>
    <row r="1181" ht="15.75" customHeight="1" s="305">
      <c r="A1181" s="67" t="n"/>
      <c r="B1181" s="67" t="n"/>
      <c r="C1181" s="67" t="n"/>
      <c r="D1181" s="3" t="n"/>
      <c r="E1181" s="3" t="n"/>
      <c r="G1181" t="inlineStr"/>
      <c r="H1181" t="inlineStr"/>
      <c r="I1181" s="74" t="n"/>
      <c r="J1181" s="217" t="inlineStr"/>
    </row>
    <row r="1182" ht="15.75" customHeight="1" s="305">
      <c r="A1182" s="67" t="n"/>
      <c r="B1182" s="67" t="n"/>
      <c r="C1182" s="67" t="n"/>
      <c r="D1182" s="3" t="n"/>
      <c r="E1182" s="3" t="n"/>
      <c r="G1182" t="inlineStr"/>
      <c r="H1182" t="inlineStr"/>
      <c r="I1182" s="74" t="n"/>
      <c r="J1182" s="217" t="inlineStr"/>
    </row>
    <row r="1183" ht="15.75" customHeight="1" s="305">
      <c r="A1183" s="67" t="n"/>
      <c r="B1183" s="67" t="n"/>
      <c r="C1183" s="67" t="n"/>
      <c r="D1183" s="3" t="n"/>
      <c r="E1183" s="3" t="n"/>
      <c r="G1183" t="inlineStr"/>
      <c r="H1183" t="inlineStr"/>
      <c r="I1183" s="74" t="n"/>
      <c r="J1183" s="217" t="inlineStr"/>
    </row>
    <row r="1184" ht="15.75" customHeight="1" s="305">
      <c r="A1184" s="67" t="n"/>
      <c r="B1184" s="67" t="n"/>
      <c r="C1184" s="67" t="n"/>
      <c r="D1184" s="3" t="n"/>
      <c r="E1184" s="3" t="n"/>
      <c r="G1184" t="inlineStr"/>
      <c r="H1184" t="inlineStr"/>
      <c r="I1184" s="74" t="n"/>
      <c r="J1184" s="217" t="inlineStr"/>
    </row>
    <row r="1185" ht="15.75" customHeight="1" s="305">
      <c r="A1185" s="67" t="n"/>
      <c r="B1185" s="67" t="n"/>
      <c r="C1185" s="67" t="n"/>
      <c r="D1185" s="3" t="n"/>
      <c r="E1185" s="3" t="n"/>
      <c r="G1185" t="inlineStr"/>
      <c r="H1185" t="inlineStr"/>
      <c r="I1185" s="74" t="n"/>
      <c r="J1185" s="217" t="inlineStr"/>
    </row>
    <row r="1186" ht="15.75" customHeight="1" s="305">
      <c r="A1186" s="67" t="n"/>
      <c r="B1186" s="67" t="n"/>
      <c r="C1186" s="67" t="n"/>
      <c r="D1186" s="3" t="n"/>
      <c r="E1186" s="3" t="n"/>
      <c r="G1186" t="inlineStr"/>
      <c r="H1186" t="inlineStr"/>
      <c r="I1186" s="74" t="n"/>
      <c r="J1186" s="217" t="inlineStr"/>
    </row>
    <row r="1187" ht="15.75" customHeight="1" s="305">
      <c r="A1187" s="67" t="n"/>
      <c r="B1187" s="67" t="n"/>
      <c r="C1187" s="67" t="n"/>
      <c r="D1187" s="3" t="n"/>
      <c r="E1187" s="3" t="n"/>
      <c r="G1187" t="inlineStr"/>
      <c r="H1187" t="inlineStr"/>
      <c r="I1187" s="74" t="n"/>
      <c r="J1187" s="217" t="inlineStr"/>
    </row>
    <row r="1188" ht="15.75" customHeight="1" s="305">
      <c r="A1188" s="67" t="n"/>
      <c r="B1188" s="67" t="n"/>
      <c r="C1188" s="67" t="n"/>
      <c r="D1188" s="3" t="n"/>
      <c r="E1188" s="3" t="n"/>
      <c r="G1188" t="inlineStr"/>
      <c r="H1188" t="inlineStr"/>
      <c r="I1188" s="74" t="n"/>
      <c r="J1188" s="217" t="inlineStr"/>
    </row>
    <row r="1189" ht="15.75" customHeight="1" s="305">
      <c r="A1189" s="67" t="n"/>
      <c r="B1189" s="67" t="n"/>
      <c r="C1189" s="67" t="n"/>
      <c r="D1189" s="3" t="n"/>
      <c r="E1189" s="3" t="n"/>
      <c r="G1189" t="inlineStr"/>
      <c r="H1189" t="inlineStr"/>
      <c r="I1189" s="74" t="n"/>
      <c r="J1189" s="217" t="inlineStr"/>
    </row>
    <row r="1190" ht="15.75" customHeight="1" s="305">
      <c r="A1190" s="67" t="n"/>
      <c r="B1190" s="67" t="n"/>
      <c r="C1190" s="67" t="n"/>
      <c r="D1190" s="3" t="n"/>
      <c r="E1190" s="3" t="n"/>
      <c r="G1190" t="inlineStr"/>
      <c r="H1190" t="inlineStr"/>
      <c r="I1190" s="84" t="n"/>
      <c r="J1190" s="217" t="inlineStr"/>
    </row>
    <row r="1191" ht="15.75" customHeight="1" s="305">
      <c r="A1191" s="67" t="n"/>
      <c r="B1191" s="67" t="n"/>
      <c r="C1191" s="67" t="n"/>
      <c r="D1191" s="3" t="n"/>
      <c r="E1191" s="3" t="n"/>
      <c r="G1191" t="inlineStr"/>
      <c r="H1191" t="inlineStr"/>
      <c r="I1191" s="74" t="n"/>
      <c r="J1191" s="217" t="inlineStr"/>
    </row>
    <row r="1192" ht="15.75" customHeight="1" s="305">
      <c r="A1192" s="67" t="n"/>
      <c r="B1192" s="67" t="n"/>
      <c r="C1192" s="67" t="n"/>
      <c r="D1192" s="3" t="n"/>
      <c r="E1192" s="3" t="n"/>
      <c r="G1192" t="inlineStr"/>
      <c r="H1192" t="inlineStr"/>
      <c r="I1192" s="74" t="n"/>
      <c r="J1192" s="217" t="inlineStr"/>
    </row>
    <row r="1193" ht="15.75" customHeight="1" s="305">
      <c r="A1193" s="67" t="n"/>
      <c r="B1193" s="67" t="n"/>
      <c r="C1193" s="67" t="n"/>
      <c r="D1193" s="3" t="n"/>
      <c r="E1193" s="3" t="n"/>
      <c r="G1193" t="inlineStr"/>
      <c r="H1193" t="inlineStr"/>
      <c r="I1193" s="74" t="n"/>
      <c r="J1193" s="217" t="inlineStr"/>
    </row>
    <row r="1194" ht="15.75" customHeight="1" s="305">
      <c r="A1194" s="67" t="n"/>
      <c r="B1194" s="67" t="n"/>
      <c r="C1194" s="67" t="n"/>
      <c r="D1194" s="3" t="n"/>
      <c r="E1194" s="3" t="n"/>
      <c r="G1194" t="inlineStr"/>
      <c r="H1194" t="inlineStr"/>
      <c r="I1194" s="74" t="n"/>
      <c r="J1194" s="217" t="inlineStr"/>
    </row>
    <row r="1195" ht="15.75" customHeight="1" s="305">
      <c r="A1195" s="67" t="n"/>
      <c r="B1195" s="67" t="n"/>
      <c r="C1195" s="67" t="n"/>
      <c r="D1195" s="3" t="n"/>
      <c r="E1195" s="3" t="n"/>
      <c r="G1195" t="inlineStr"/>
      <c r="H1195" t="inlineStr"/>
      <c r="I1195" s="74" t="n"/>
      <c r="J1195" s="217" t="inlineStr"/>
    </row>
    <row r="1196" ht="15.75" customHeight="1" s="305">
      <c r="A1196" s="67" t="n"/>
      <c r="B1196" s="67" t="n"/>
      <c r="C1196" s="67" t="n"/>
      <c r="D1196" s="3" t="n"/>
      <c r="E1196" s="3" t="n"/>
      <c r="G1196" t="inlineStr"/>
      <c r="H1196" t="inlineStr"/>
      <c r="I1196" s="74" t="n"/>
      <c r="J1196" s="217" t="inlineStr"/>
    </row>
    <row r="1197" ht="15.75" customHeight="1" s="305">
      <c r="A1197" s="67" t="n"/>
      <c r="B1197" s="67" t="n"/>
      <c r="C1197" s="67" t="n"/>
      <c r="D1197" s="3" t="n"/>
      <c r="E1197" s="3" t="n"/>
      <c r="G1197" t="inlineStr"/>
      <c r="H1197" t="inlineStr"/>
      <c r="I1197" s="74" t="n"/>
      <c r="J1197" s="217" t="inlineStr"/>
    </row>
    <row r="1198" ht="15.75" customHeight="1" s="305">
      <c r="A1198" s="67" t="n"/>
      <c r="B1198" s="67" t="n"/>
      <c r="C1198" s="67" t="n"/>
      <c r="D1198" s="3" t="n"/>
      <c r="E1198" s="3" t="n"/>
      <c r="G1198" t="inlineStr"/>
      <c r="H1198" t="inlineStr"/>
      <c r="I1198" s="74" t="n"/>
      <c r="J1198" s="217" t="inlineStr"/>
    </row>
    <row r="1199" ht="15.75" customHeight="1" s="305">
      <c r="A1199" s="67" t="n"/>
      <c r="B1199" s="67" t="n"/>
      <c r="C1199" s="67" t="n"/>
      <c r="D1199" s="3" t="n"/>
      <c r="E1199" s="3" t="n"/>
      <c r="G1199" t="inlineStr"/>
      <c r="H1199" t="inlineStr"/>
      <c r="I1199" s="74" t="n"/>
      <c r="J1199" s="217" t="inlineStr"/>
    </row>
    <row r="1200" ht="15.75" customHeight="1" s="305">
      <c r="A1200" s="67" t="n"/>
      <c r="B1200" s="67" t="n"/>
      <c r="C1200" s="67" t="n"/>
      <c r="D1200" s="3" t="n"/>
      <c r="E1200" s="3" t="n"/>
      <c r="G1200" t="inlineStr"/>
      <c r="H1200" t="inlineStr"/>
      <c r="I1200" s="74" t="n"/>
      <c r="J1200" s="217" t="inlineStr"/>
    </row>
    <row r="1201" ht="15.75" customHeight="1" s="305">
      <c r="A1201" s="67" t="n"/>
      <c r="B1201" s="67" t="n"/>
      <c r="C1201" s="67" t="n"/>
      <c r="D1201" s="3" t="n"/>
      <c r="E1201" s="3" t="n"/>
      <c r="G1201" t="inlineStr"/>
      <c r="H1201" t="inlineStr"/>
      <c r="I1201" s="74" t="n"/>
      <c r="J1201" s="217" t="inlineStr"/>
    </row>
    <row r="1202" ht="15.75" customHeight="1" s="305">
      <c r="A1202" s="67" t="n"/>
      <c r="B1202" s="67" t="n"/>
      <c r="C1202" s="67" t="n"/>
      <c r="D1202" s="3" t="n"/>
      <c r="E1202" s="3" t="n"/>
      <c r="G1202" t="inlineStr"/>
      <c r="H1202" t="inlineStr"/>
      <c r="I1202" s="74" t="n"/>
      <c r="J1202" s="217" t="inlineStr"/>
    </row>
    <row r="1203" ht="15.75" customHeight="1" s="305">
      <c r="A1203" s="67" t="n"/>
      <c r="B1203" s="67" t="n"/>
      <c r="C1203" s="67" t="n"/>
      <c r="D1203" s="3" t="n"/>
      <c r="E1203" s="3" t="n"/>
      <c r="G1203" t="inlineStr"/>
      <c r="H1203" t="inlineStr"/>
      <c r="I1203" s="74" t="n"/>
      <c r="J1203" s="217" t="inlineStr"/>
    </row>
    <row r="1204" ht="15.75" customHeight="1" s="305">
      <c r="A1204" s="67" t="n"/>
      <c r="B1204" s="67" t="n"/>
      <c r="C1204" s="67" t="n"/>
      <c r="D1204" s="3" t="n"/>
      <c r="E1204" s="3" t="n"/>
      <c r="G1204" t="inlineStr"/>
      <c r="H1204" t="inlineStr"/>
      <c r="I1204" s="74" t="n"/>
      <c r="J1204" s="217" t="inlineStr"/>
    </row>
    <row r="1205" ht="15.75" customHeight="1" s="305">
      <c r="A1205" s="67" t="n"/>
      <c r="B1205" s="67" t="n"/>
      <c r="C1205" s="67" t="n"/>
      <c r="D1205" s="3" t="n"/>
      <c r="E1205" s="3" t="n"/>
      <c r="G1205" t="inlineStr"/>
      <c r="H1205" t="inlineStr"/>
      <c r="I1205" s="74" t="n"/>
      <c r="J1205" s="217" t="inlineStr"/>
    </row>
    <row r="1206" ht="15.75" customHeight="1" s="305">
      <c r="A1206" s="67" t="n"/>
      <c r="B1206" s="67" t="n"/>
      <c r="C1206" s="67" t="n"/>
      <c r="D1206" s="3" t="n"/>
      <c r="E1206" s="3" t="n"/>
      <c r="G1206" t="inlineStr"/>
      <c r="H1206" t="inlineStr"/>
      <c r="I1206" s="74" t="n"/>
      <c r="J1206" s="217" t="inlineStr"/>
    </row>
    <row r="1207" ht="15.75" customHeight="1" s="305">
      <c r="A1207" s="67" t="n"/>
      <c r="B1207" s="67" t="n"/>
      <c r="C1207" s="67" t="n"/>
      <c r="D1207" s="3" t="n"/>
      <c r="E1207" s="3" t="n"/>
      <c r="G1207" t="inlineStr"/>
      <c r="H1207" t="inlineStr"/>
      <c r="I1207" s="74" t="n"/>
      <c r="J1207" s="217" t="inlineStr"/>
    </row>
    <row r="1208" ht="15.75" customHeight="1" s="305">
      <c r="A1208" s="67" t="n"/>
      <c r="B1208" s="67" t="n"/>
      <c r="C1208" s="67" t="n"/>
      <c r="D1208" s="3" t="n"/>
      <c r="E1208" s="3" t="n"/>
      <c r="G1208" t="inlineStr"/>
      <c r="H1208" t="inlineStr"/>
      <c r="I1208" s="74" t="n"/>
      <c r="J1208" s="217" t="inlineStr"/>
    </row>
    <row r="1209" ht="15.75" customHeight="1" s="305">
      <c r="A1209" s="67" t="n"/>
      <c r="B1209" s="67" t="n"/>
      <c r="C1209" s="67" t="n"/>
      <c r="D1209" s="3" t="n"/>
      <c r="E1209" s="3" t="n"/>
      <c r="G1209" t="inlineStr"/>
      <c r="H1209" t="inlineStr"/>
      <c r="I1209" s="74" t="n"/>
      <c r="J1209" s="217" t="inlineStr"/>
    </row>
    <row r="1210" ht="15.75" customHeight="1" s="305">
      <c r="A1210" s="67" t="n"/>
      <c r="B1210" s="67" t="n"/>
      <c r="C1210" s="67" t="n"/>
      <c r="D1210" s="3" t="n"/>
      <c r="E1210" s="3" t="n"/>
      <c r="G1210" t="inlineStr"/>
      <c r="H1210" t="inlineStr"/>
      <c r="I1210" s="74" t="n"/>
      <c r="J1210" s="217" t="inlineStr"/>
    </row>
    <row r="1211" ht="15.75" customHeight="1" s="305">
      <c r="A1211" s="67" t="n"/>
      <c r="B1211" s="67" t="n"/>
      <c r="C1211" s="67" t="n"/>
      <c r="D1211" s="3" t="n"/>
      <c r="E1211" s="3" t="n"/>
      <c r="G1211" t="inlineStr"/>
      <c r="H1211" t="inlineStr"/>
      <c r="I1211" s="74" t="n"/>
      <c r="J1211" s="217" t="inlineStr"/>
    </row>
    <row r="1212" ht="15.75" customHeight="1" s="305">
      <c r="A1212" s="67" t="n"/>
      <c r="B1212" s="67" t="n"/>
      <c r="C1212" s="67" t="n"/>
      <c r="D1212" s="3" t="n"/>
      <c r="E1212" s="3" t="n"/>
      <c r="G1212" t="inlineStr"/>
      <c r="H1212" t="inlineStr"/>
      <c r="I1212" s="74" t="n"/>
      <c r="J1212" s="217" t="inlineStr"/>
    </row>
    <row r="1213" ht="15.75" customHeight="1" s="305">
      <c r="A1213" s="67" t="n"/>
      <c r="B1213" s="67" t="n"/>
      <c r="C1213" s="67" t="n"/>
      <c r="D1213" s="3" t="n"/>
      <c r="E1213" s="3" t="n"/>
      <c r="G1213" t="inlineStr"/>
      <c r="H1213" t="inlineStr"/>
      <c r="I1213" s="74" t="n"/>
      <c r="J1213" s="217" t="inlineStr"/>
    </row>
    <row r="1214" ht="15.75" customHeight="1" s="305">
      <c r="A1214" s="67" t="n"/>
      <c r="B1214" s="67" t="n"/>
      <c r="C1214" s="67" t="n"/>
      <c r="D1214" s="3" t="n"/>
      <c r="E1214" s="3" t="n"/>
      <c r="G1214" t="inlineStr"/>
      <c r="H1214" t="inlineStr"/>
      <c r="I1214" s="74" t="n"/>
      <c r="J1214" s="217" t="inlineStr"/>
    </row>
    <row r="1215" ht="15.75" customHeight="1" s="305">
      <c r="A1215" s="67" t="n"/>
      <c r="B1215" s="67" t="n"/>
      <c r="C1215" s="67" t="n"/>
      <c r="D1215" s="3" t="n"/>
      <c r="E1215" s="3" t="n"/>
      <c r="G1215" t="inlineStr"/>
      <c r="H1215" t="inlineStr"/>
      <c r="I1215" s="74" t="n"/>
      <c r="J1215" s="217" t="inlineStr"/>
    </row>
    <row r="1216" ht="15.75" customHeight="1" s="305">
      <c r="A1216" s="67" t="n"/>
      <c r="B1216" s="67" t="n"/>
      <c r="C1216" s="67" t="n"/>
      <c r="D1216" s="3" t="n"/>
      <c r="E1216" s="3" t="n"/>
      <c r="G1216" t="inlineStr"/>
      <c r="H1216" t="inlineStr"/>
      <c r="I1216" s="74" t="n"/>
      <c r="J1216" s="217" t="inlineStr"/>
    </row>
    <row r="1217" ht="15.75" customHeight="1" s="305">
      <c r="A1217" s="67" t="n"/>
      <c r="B1217" s="67" t="n"/>
      <c r="C1217" s="67" t="n"/>
      <c r="D1217" s="3" t="n"/>
      <c r="E1217" s="3" t="n"/>
      <c r="G1217" t="inlineStr"/>
      <c r="H1217" t="inlineStr"/>
      <c r="I1217" s="74" t="n"/>
      <c r="J1217" s="217" t="inlineStr"/>
    </row>
    <row r="1218" ht="15.75" customHeight="1" s="305">
      <c r="A1218" s="67" t="n"/>
      <c r="B1218" s="67" t="n"/>
      <c r="C1218" s="67" t="n"/>
      <c r="D1218" s="3" t="n"/>
      <c r="E1218" s="3" t="n"/>
      <c r="G1218" t="inlineStr"/>
      <c r="H1218" t="inlineStr"/>
      <c r="I1218" s="74" t="n"/>
      <c r="J1218" s="217" t="inlineStr"/>
    </row>
    <row r="1219" ht="15.75" customHeight="1" s="305">
      <c r="A1219" s="67" t="n"/>
      <c r="B1219" s="67" t="n"/>
      <c r="C1219" s="67" t="n"/>
      <c r="D1219" s="3" t="n"/>
      <c r="E1219" s="3" t="n"/>
      <c r="G1219" t="inlineStr"/>
      <c r="H1219" t="inlineStr"/>
      <c r="I1219" s="74" t="n"/>
      <c r="J1219" s="217" t="inlineStr"/>
    </row>
    <row r="1220" ht="15.75" customHeight="1" s="305">
      <c r="A1220" s="67" t="n"/>
      <c r="B1220" s="67" t="n"/>
      <c r="C1220" s="67" t="n"/>
      <c r="D1220" s="3" t="n"/>
      <c r="E1220" s="3" t="n"/>
      <c r="G1220" t="inlineStr"/>
      <c r="H1220" t="inlineStr"/>
      <c r="I1220" s="74" t="n"/>
      <c r="J1220" s="217" t="inlineStr"/>
    </row>
    <row r="1221" ht="15.75" customHeight="1" s="305">
      <c r="A1221" s="67" t="n"/>
      <c r="B1221" s="67" t="n"/>
      <c r="C1221" s="67" t="n"/>
      <c r="D1221" s="3" t="n"/>
      <c r="E1221" s="3" t="n"/>
      <c r="G1221" t="inlineStr"/>
      <c r="H1221" t="inlineStr"/>
      <c r="I1221" s="74" t="n"/>
      <c r="J1221" s="217" t="inlineStr"/>
    </row>
    <row r="1222" ht="15.75" customHeight="1" s="305">
      <c r="A1222" s="67" t="n"/>
      <c r="B1222" s="67" t="n"/>
      <c r="C1222" s="67" t="n"/>
      <c r="D1222" s="3" t="n"/>
      <c r="E1222" s="3" t="n"/>
      <c r="G1222" t="inlineStr"/>
      <c r="H1222" t="inlineStr"/>
      <c r="I1222" s="74" t="n"/>
      <c r="J1222" s="217" t="inlineStr"/>
    </row>
    <row r="1223" ht="15.75" customHeight="1" s="305">
      <c r="A1223" s="67" t="n"/>
      <c r="B1223" s="67" t="n"/>
      <c r="C1223" s="67" t="n"/>
      <c r="D1223" s="3" t="n"/>
      <c r="E1223" s="3" t="n"/>
      <c r="G1223" t="inlineStr"/>
      <c r="H1223" t="inlineStr"/>
      <c r="I1223" s="74" t="n"/>
      <c r="J1223" s="217" t="inlineStr"/>
    </row>
    <row r="1224" ht="15.75" customHeight="1" s="305">
      <c r="A1224" s="67" t="n"/>
      <c r="B1224" s="67" t="n"/>
      <c r="C1224" s="67" t="n"/>
      <c r="D1224" s="3" t="n"/>
      <c r="E1224" s="3" t="n"/>
      <c r="G1224" t="inlineStr"/>
      <c r="H1224" t="inlineStr"/>
      <c r="I1224" s="74" t="n"/>
      <c r="J1224" s="217" t="inlineStr"/>
    </row>
    <row r="1225" ht="15.75" customHeight="1" s="305">
      <c r="A1225" s="67" t="n"/>
      <c r="B1225" s="67" t="n"/>
      <c r="C1225" s="67" t="n"/>
      <c r="D1225" s="3" t="n"/>
      <c r="E1225" s="3" t="n"/>
      <c r="G1225" t="inlineStr"/>
      <c r="H1225" t="inlineStr"/>
      <c r="I1225" s="74" t="n"/>
      <c r="J1225" s="217" t="inlineStr"/>
    </row>
    <row r="1226" ht="15.75" customHeight="1" s="305">
      <c r="A1226" s="67" t="n"/>
      <c r="B1226" s="67" t="n"/>
      <c r="C1226" s="67" t="n"/>
      <c r="D1226" s="3" t="n"/>
      <c r="E1226" s="3" t="n"/>
      <c r="G1226" t="inlineStr"/>
      <c r="H1226" t="inlineStr"/>
      <c r="I1226" s="74" t="n"/>
      <c r="J1226" s="217" t="inlineStr"/>
    </row>
    <row r="1227" ht="15.75" customHeight="1" s="305">
      <c r="A1227" s="67" t="n"/>
      <c r="B1227" s="67" t="n"/>
      <c r="C1227" s="67" t="n"/>
      <c r="D1227" s="3" t="n"/>
      <c r="E1227" s="3" t="n"/>
      <c r="G1227" t="inlineStr"/>
      <c r="H1227" t="inlineStr"/>
      <c r="I1227" s="74" t="n"/>
      <c r="J1227" s="217" t="inlineStr"/>
    </row>
    <row r="1228" ht="15.75" customHeight="1" s="305">
      <c r="A1228" s="67" t="n"/>
      <c r="B1228" s="67" t="n"/>
      <c r="C1228" s="67" t="n"/>
      <c r="D1228" s="3" t="n"/>
      <c r="E1228" s="3" t="n"/>
      <c r="G1228" t="inlineStr"/>
      <c r="H1228" t="inlineStr"/>
      <c r="I1228" s="74" t="n"/>
      <c r="J1228" s="217" t="inlineStr"/>
    </row>
    <row r="1229" ht="15.75" customHeight="1" s="305">
      <c r="A1229" s="67" t="n"/>
      <c r="B1229" s="67" t="n"/>
      <c r="C1229" s="67" t="n"/>
      <c r="D1229" s="3" t="n"/>
      <c r="E1229" s="3" t="n"/>
      <c r="G1229" t="inlineStr"/>
      <c r="H1229" t="inlineStr"/>
      <c r="I1229" s="74" t="n"/>
      <c r="J1229" s="217" t="inlineStr"/>
    </row>
    <row r="1230" ht="15.75" customHeight="1" s="305">
      <c r="A1230" s="67" t="n"/>
      <c r="B1230" s="67" t="n"/>
      <c r="C1230" s="67" t="n"/>
      <c r="D1230" s="3" t="n"/>
      <c r="E1230" s="3" t="n"/>
      <c r="G1230" t="inlineStr"/>
      <c r="H1230" t="inlineStr"/>
      <c r="I1230" s="74" t="n"/>
      <c r="J1230" s="217" t="inlineStr"/>
    </row>
    <row r="1231" ht="15.75" customHeight="1" s="305">
      <c r="A1231" s="67" t="n"/>
      <c r="B1231" s="67" t="n"/>
      <c r="C1231" s="67" t="n"/>
      <c r="D1231" s="3" t="n"/>
      <c r="E1231" s="3" t="n"/>
      <c r="G1231" t="inlineStr"/>
      <c r="H1231" t="inlineStr"/>
      <c r="I1231" s="74" t="n"/>
      <c r="J1231" s="217" t="inlineStr"/>
    </row>
    <row r="1232" ht="15.75" customHeight="1" s="305">
      <c r="A1232" s="67" t="n"/>
      <c r="B1232" s="67" t="n"/>
      <c r="C1232" s="67" t="n"/>
      <c r="D1232" s="3" t="n"/>
      <c r="E1232" s="3" t="n"/>
      <c r="G1232" t="inlineStr"/>
      <c r="H1232" t="inlineStr"/>
      <c r="I1232" s="74" t="n"/>
      <c r="J1232" s="217" t="inlineStr"/>
    </row>
    <row r="1233" ht="15.75" customHeight="1" s="305">
      <c r="A1233" s="67" t="n"/>
      <c r="B1233" s="67" t="n"/>
      <c r="C1233" s="67" t="n"/>
      <c r="D1233" s="3" t="n"/>
      <c r="E1233" s="3" t="n"/>
      <c r="G1233" t="inlineStr"/>
      <c r="H1233" t="inlineStr"/>
      <c r="I1233" s="74" t="n"/>
      <c r="J1233" s="217" t="inlineStr"/>
    </row>
    <row r="1234" ht="15.75" customHeight="1" s="305">
      <c r="A1234" s="67" t="n"/>
      <c r="B1234" s="67" t="n"/>
      <c r="C1234" s="67" t="n"/>
      <c r="D1234" s="3" t="n"/>
      <c r="E1234" s="3" t="n"/>
      <c r="G1234" t="inlineStr"/>
      <c r="H1234" t="inlineStr"/>
      <c r="I1234" s="74" t="n"/>
      <c r="J1234" s="217" t="inlineStr"/>
    </row>
    <row r="1235" ht="15.75" customHeight="1" s="305">
      <c r="A1235" s="67" t="n"/>
      <c r="B1235" s="67" t="n"/>
      <c r="C1235" s="67" t="n"/>
      <c r="D1235" s="3" t="n"/>
      <c r="E1235" s="3" t="n"/>
      <c r="G1235" t="inlineStr"/>
      <c r="H1235" t="inlineStr"/>
      <c r="I1235" s="74" t="n"/>
      <c r="J1235" s="217" t="inlineStr"/>
    </row>
    <row r="1236" ht="15.75" customHeight="1" s="305">
      <c r="A1236" s="67" t="n"/>
      <c r="B1236" s="67" t="n"/>
      <c r="C1236" s="67" t="n"/>
      <c r="D1236" s="3" t="n"/>
      <c r="E1236" s="3" t="n"/>
      <c r="G1236" t="inlineStr"/>
      <c r="H1236" t="inlineStr"/>
      <c r="I1236" s="74" t="n"/>
      <c r="J1236" s="217" t="inlineStr"/>
    </row>
    <row r="1237" ht="15.75" customHeight="1" s="305">
      <c r="A1237" s="67" t="n"/>
      <c r="B1237" s="67" t="n"/>
      <c r="C1237" s="67" t="n"/>
      <c r="D1237" s="3" t="n"/>
      <c r="E1237" s="3" t="n"/>
      <c r="G1237" t="inlineStr"/>
      <c r="H1237" t="inlineStr"/>
      <c r="I1237" s="74" t="n"/>
      <c r="J1237" s="217" t="inlineStr"/>
    </row>
    <row r="1238" ht="15.75" customHeight="1" s="305">
      <c r="A1238" s="67" t="n"/>
      <c r="B1238" s="67" t="n"/>
      <c r="C1238" s="67" t="n"/>
      <c r="D1238" s="3" t="n"/>
      <c r="E1238" s="3" t="n"/>
      <c r="G1238" t="inlineStr"/>
      <c r="H1238" t="inlineStr"/>
      <c r="I1238" s="74" t="n"/>
      <c r="J1238" s="217" t="inlineStr"/>
    </row>
    <row r="1239" ht="15.75" customHeight="1" s="305">
      <c r="A1239" s="67" t="n"/>
      <c r="B1239" s="67" t="n"/>
      <c r="C1239" s="67" t="n"/>
      <c r="D1239" s="3" t="n"/>
      <c r="E1239" s="3" t="n"/>
      <c r="G1239" t="inlineStr"/>
      <c r="H1239" t="inlineStr"/>
      <c r="I1239" s="74" t="n"/>
      <c r="J1239" s="217" t="inlineStr"/>
    </row>
    <row r="1240" ht="15.75" customHeight="1" s="305">
      <c r="A1240" s="67" t="n"/>
      <c r="B1240" s="67" t="n"/>
      <c r="C1240" s="67" t="n"/>
      <c r="D1240" s="3" t="n"/>
      <c r="E1240" s="3" t="n"/>
      <c r="G1240" t="inlineStr"/>
      <c r="H1240" t="inlineStr"/>
      <c r="I1240" s="74" t="n"/>
      <c r="J1240" s="217" t="inlineStr"/>
    </row>
    <row r="1241" ht="15.75" customHeight="1" s="305">
      <c r="A1241" s="67" t="n"/>
      <c r="B1241" s="67" t="n"/>
      <c r="C1241" s="67" t="n"/>
      <c r="D1241" s="3" t="n"/>
      <c r="E1241" s="3" t="n"/>
      <c r="G1241" t="inlineStr"/>
      <c r="H1241" t="inlineStr"/>
      <c r="I1241" s="74" t="n"/>
      <c r="J1241" s="217" t="inlineStr"/>
    </row>
    <row r="1242" ht="15.75" customHeight="1" s="305">
      <c r="A1242" s="67" t="n"/>
      <c r="B1242" s="67" t="n"/>
      <c r="C1242" s="67" t="n"/>
      <c r="D1242" s="3" t="n"/>
      <c r="E1242" s="3" t="n"/>
      <c r="G1242" t="inlineStr"/>
      <c r="H1242" t="inlineStr"/>
      <c r="I1242" s="74" t="n"/>
      <c r="J1242" s="217" t="inlineStr"/>
    </row>
    <row r="1243" ht="15.75" customHeight="1" s="305">
      <c r="A1243" s="67" t="n"/>
      <c r="B1243" s="67" t="n"/>
      <c r="C1243" s="67" t="n"/>
      <c r="D1243" s="3" t="n"/>
      <c r="E1243" s="3" t="n"/>
      <c r="G1243" t="inlineStr"/>
      <c r="H1243" t="inlineStr"/>
      <c r="I1243" s="74" t="n"/>
      <c r="J1243" s="217" t="inlineStr"/>
    </row>
    <row r="1244" ht="15.75" customHeight="1" s="305">
      <c r="A1244" s="67" t="n"/>
      <c r="B1244" s="67" t="n"/>
      <c r="C1244" s="67" t="n"/>
      <c r="D1244" s="3" t="n"/>
      <c r="E1244" s="3" t="n"/>
      <c r="G1244" t="inlineStr"/>
      <c r="H1244" t="inlineStr"/>
      <c r="I1244" s="74" t="n"/>
      <c r="J1244" s="217" t="inlineStr"/>
    </row>
    <row r="1245" ht="15.75" customHeight="1" s="305">
      <c r="A1245" s="67" t="n"/>
      <c r="B1245" s="67" t="n"/>
      <c r="C1245" s="67" t="n"/>
      <c r="D1245" s="3" t="n"/>
      <c r="E1245" s="3" t="n"/>
      <c r="G1245" t="inlineStr"/>
      <c r="H1245" t="inlineStr"/>
      <c r="I1245" s="74" t="n"/>
      <c r="J1245" s="217" t="inlineStr"/>
    </row>
    <row r="1246" ht="15.75" customHeight="1" s="305">
      <c r="A1246" s="67" t="n"/>
      <c r="B1246" s="67" t="n"/>
      <c r="C1246" s="67" t="n"/>
      <c r="D1246" s="3" t="n"/>
      <c r="E1246" s="3" t="n"/>
      <c r="G1246" t="inlineStr"/>
      <c r="H1246" t="inlineStr"/>
      <c r="I1246" s="74" t="n"/>
      <c r="J1246" s="217" t="inlineStr"/>
    </row>
    <row r="1247" ht="15.75" customHeight="1" s="305">
      <c r="A1247" s="67" t="n"/>
      <c r="B1247" s="67" t="n"/>
      <c r="C1247" s="67" t="n"/>
      <c r="D1247" s="3" t="n"/>
      <c r="E1247" s="3" t="n"/>
      <c r="G1247" t="inlineStr"/>
      <c r="H1247" t="inlineStr"/>
      <c r="I1247" s="74" t="n"/>
      <c r="J1247" s="217" t="inlineStr"/>
    </row>
    <row r="1248" ht="15.75" customHeight="1" s="305">
      <c r="A1248" s="67" t="n"/>
      <c r="B1248" s="67" t="n"/>
      <c r="C1248" s="67" t="n"/>
      <c r="D1248" s="3" t="n"/>
      <c r="E1248" s="3" t="n"/>
      <c r="G1248" t="inlineStr"/>
      <c r="H1248" t="inlineStr"/>
      <c r="I1248" s="74" t="n"/>
      <c r="J1248" s="217" t="inlineStr"/>
    </row>
    <row r="1249" ht="15.75" customHeight="1" s="305">
      <c r="A1249" s="67" t="n"/>
      <c r="B1249" s="67" t="n"/>
      <c r="C1249" s="67" t="n"/>
      <c r="D1249" s="3" t="n"/>
      <c r="E1249" s="3" t="n"/>
      <c r="G1249" t="inlineStr"/>
      <c r="H1249" t="inlineStr"/>
      <c r="I1249" s="74" t="n"/>
      <c r="J1249" s="217" t="inlineStr"/>
    </row>
    <row r="1250" ht="15.75" customHeight="1" s="305">
      <c r="A1250" s="67" t="n"/>
      <c r="B1250" s="67" t="n"/>
      <c r="C1250" s="67" t="n"/>
      <c r="D1250" s="3" t="n"/>
      <c r="E1250" s="3" t="n"/>
      <c r="G1250" t="inlineStr"/>
      <c r="H1250" t="inlineStr"/>
      <c r="I1250" s="74" t="n"/>
      <c r="J1250" s="217" t="inlineStr"/>
    </row>
    <row r="1251" ht="15.75" customHeight="1" s="305">
      <c r="A1251" s="67" t="n"/>
      <c r="B1251" s="67" t="n"/>
      <c r="C1251" s="67" t="n"/>
      <c r="D1251" s="3" t="n"/>
      <c r="E1251" s="3" t="n"/>
      <c r="G1251" t="inlineStr"/>
      <c r="H1251" t="inlineStr"/>
      <c r="I1251" s="74" t="n"/>
      <c r="J1251" s="217" t="inlineStr"/>
    </row>
    <row r="1252" ht="15.75" customHeight="1" s="305">
      <c r="A1252" s="67" t="n"/>
      <c r="B1252" s="67" t="n"/>
      <c r="C1252" s="67" t="n"/>
      <c r="D1252" s="3" t="n"/>
      <c r="E1252" s="3" t="n"/>
      <c r="G1252" t="inlineStr"/>
      <c r="H1252" t="inlineStr"/>
      <c r="I1252" s="74" t="n"/>
      <c r="J1252" s="217" t="inlineStr"/>
    </row>
    <row r="1253" ht="15.75" customHeight="1" s="305">
      <c r="A1253" s="67" t="n"/>
      <c r="B1253" s="67" t="n"/>
      <c r="C1253" s="67" t="n"/>
      <c r="D1253" s="3" t="n"/>
      <c r="E1253" s="3" t="n"/>
      <c r="G1253" t="inlineStr"/>
      <c r="H1253" t="inlineStr"/>
      <c r="I1253" s="74" t="n"/>
      <c r="J1253" s="217" t="inlineStr"/>
    </row>
    <row r="1254" ht="15.75" customHeight="1" s="305">
      <c r="A1254" s="67" t="n"/>
      <c r="B1254" s="67" t="n"/>
      <c r="C1254" s="67" t="n"/>
      <c r="D1254" s="3" t="n"/>
      <c r="E1254" s="3" t="n"/>
      <c r="G1254" t="inlineStr"/>
      <c r="H1254" t="inlineStr"/>
      <c r="I1254" s="74" t="n"/>
      <c r="J1254" s="217" t="inlineStr"/>
    </row>
    <row r="1255" ht="15.75" customHeight="1" s="305">
      <c r="A1255" s="67" t="n"/>
      <c r="B1255" s="67" t="n"/>
      <c r="C1255" s="67" t="n"/>
      <c r="D1255" s="3" t="n"/>
      <c r="E1255" s="3" t="n"/>
      <c r="G1255" t="inlineStr"/>
      <c r="H1255" t="inlineStr"/>
      <c r="I1255" s="74" t="n"/>
      <c r="J1255" s="217" t="inlineStr"/>
    </row>
    <row r="1256" ht="15.75" customHeight="1" s="305">
      <c r="A1256" s="67" t="n"/>
      <c r="B1256" s="67" t="n"/>
      <c r="C1256" s="67" t="n"/>
      <c r="D1256" s="3" t="n"/>
      <c r="E1256" s="3" t="n"/>
      <c r="G1256" t="inlineStr"/>
      <c r="H1256" t="inlineStr"/>
      <c r="I1256" s="74" t="n"/>
      <c r="J1256" s="217" t="inlineStr"/>
    </row>
    <row r="1257" ht="15.75" customHeight="1" s="305">
      <c r="A1257" s="67" t="n"/>
      <c r="B1257" s="67" t="n"/>
      <c r="C1257" s="67" t="n"/>
      <c r="D1257" s="3" t="n"/>
      <c r="E1257" s="3" t="n"/>
      <c r="G1257" t="inlineStr"/>
      <c r="H1257" t="inlineStr"/>
      <c r="I1257" s="74" t="n"/>
      <c r="J1257" s="217" t="inlineStr"/>
    </row>
    <row r="1258" ht="15.75" customHeight="1" s="305">
      <c r="A1258" s="67" t="n"/>
      <c r="B1258" s="67" t="n"/>
      <c r="C1258" s="67" t="n"/>
      <c r="D1258" s="3" t="n"/>
      <c r="E1258" s="3" t="n"/>
      <c r="G1258" t="inlineStr"/>
      <c r="H1258" t="inlineStr"/>
      <c r="I1258" s="74" t="n"/>
      <c r="J1258" s="217" t="inlineStr"/>
    </row>
    <row r="1259" ht="15.75" customHeight="1" s="305">
      <c r="A1259" s="67" t="n"/>
      <c r="B1259" s="67" t="n"/>
      <c r="C1259" s="67" t="n"/>
      <c r="D1259" s="3" t="n"/>
      <c r="E1259" s="3" t="n"/>
      <c r="G1259" t="inlineStr"/>
      <c r="H1259" t="inlineStr"/>
      <c r="I1259" s="74" t="n"/>
      <c r="J1259" s="217" t="inlineStr"/>
    </row>
    <row r="1260" ht="15.75" customHeight="1" s="305">
      <c r="A1260" s="67" t="n"/>
      <c r="B1260" s="67" t="n"/>
      <c r="C1260" s="67" t="n"/>
      <c r="D1260" s="3" t="n"/>
      <c r="E1260" s="3" t="n"/>
      <c r="G1260" t="inlineStr"/>
      <c r="H1260" t="inlineStr"/>
      <c r="I1260" s="74" t="n"/>
      <c r="J1260" s="217" t="inlineStr"/>
    </row>
    <row r="1261" ht="15.75" customHeight="1" s="305">
      <c r="A1261" s="67" t="n"/>
      <c r="B1261" s="67" t="n"/>
      <c r="C1261" s="67" t="n"/>
      <c r="D1261" s="3" t="n"/>
      <c r="E1261" s="3" t="n"/>
      <c r="G1261" t="inlineStr"/>
      <c r="H1261" t="inlineStr"/>
      <c r="I1261" s="74" t="n"/>
      <c r="J1261" s="217" t="inlineStr"/>
    </row>
    <row r="1262" ht="15.75" customHeight="1" s="305">
      <c r="A1262" s="67" t="n"/>
      <c r="B1262" s="67" t="n"/>
      <c r="C1262" s="67" t="n"/>
      <c r="D1262" s="3" t="n"/>
      <c r="E1262" s="3" t="n"/>
      <c r="G1262" t="inlineStr"/>
      <c r="H1262" t="inlineStr"/>
      <c r="I1262" s="74" t="n"/>
      <c r="J1262" s="217" t="inlineStr"/>
    </row>
    <row r="1263" ht="15.75" customHeight="1" s="305">
      <c r="A1263" s="67" t="n"/>
      <c r="B1263" s="67" t="n"/>
      <c r="C1263" s="67" t="n"/>
      <c r="D1263" s="3" t="n"/>
      <c r="E1263" s="3" t="n"/>
      <c r="G1263" t="inlineStr"/>
      <c r="H1263" t="inlineStr"/>
      <c r="I1263" s="74" t="n"/>
      <c r="J1263" s="217" t="inlineStr"/>
    </row>
    <row r="1264" ht="15.75" customHeight="1" s="305">
      <c r="A1264" s="67" t="n"/>
      <c r="B1264" s="67" t="n"/>
      <c r="C1264" s="67" t="n"/>
      <c r="D1264" s="3" t="n"/>
      <c r="E1264" s="3" t="n"/>
      <c r="G1264" t="inlineStr"/>
      <c r="H1264" t="inlineStr"/>
      <c r="I1264" s="74" t="n"/>
      <c r="J1264" s="217" t="inlineStr"/>
    </row>
    <row r="1265" ht="15.75" customHeight="1" s="305">
      <c r="A1265" s="67" t="n"/>
      <c r="B1265" s="67" t="n"/>
      <c r="C1265" s="67" t="n"/>
      <c r="D1265" s="3" t="n"/>
      <c r="E1265" s="3" t="n"/>
      <c r="G1265" t="inlineStr"/>
      <c r="H1265" t="inlineStr"/>
      <c r="I1265" s="74" t="n"/>
      <c r="J1265" s="217" t="inlineStr"/>
    </row>
    <row r="1266" ht="15.75" customHeight="1" s="305">
      <c r="A1266" s="67" t="n"/>
      <c r="B1266" s="67" t="n"/>
      <c r="C1266" s="67" t="n"/>
      <c r="D1266" s="3" t="n"/>
      <c r="E1266" s="3" t="n"/>
      <c r="G1266" t="inlineStr"/>
      <c r="H1266" t="inlineStr"/>
      <c r="I1266" s="74" t="n"/>
      <c r="J1266" s="217" t="inlineStr"/>
    </row>
    <row r="1267" ht="15.75" customHeight="1" s="305">
      <c r="A1267" s="67" t="n"/>
      <c r="B1267" s="67" t="n"/>
      <c r="C1267" s="67" t="n"/>
      <c r="D1267" s="3" t="n"/>
      <c r="E1267" s="3" t="n"/>
      <c r="G1267" t="inlineStr"/>
      <c r="H1267" t="inlineStr"/>
      <c r="I1267" s="74" t="n"/>
      <c r="J1267" s="217" t="inlineStr"/>
    </row>
    <row r="1268" ht="15.75" customHeight="1" s="305">
      <c r="A1268" s="67" t="n"/>
      <c r="B1268" s="67" t="n"/>
      <c r="C1268" s="67" t="n"/>
      <c r="D1268" s="3" t="n"/>
      <c r="E1268" s="3" t="n"/>
      <c r="G1268" t="inlineStr"/>
      <c r="H1268" t="inlineStr"/>
      <c r="I1268" s="74" t="n"/>
      <c r="J1268" s="217" t="inlineStr"/>
    </row>
    <row r="1269" ht="15.75" customHeight="1" s="305">
      <c r="A1269" s="67" t="n"/>
      <c r="B1269" s="67" t="n"/>
      <c r="C1269" s="67" t="n"/>
      <c r="D1269" s="3" t="n"/>
      <c r="E1269" s="3" t="n"/>
      <c r="G1269" t="inlineStr"/>
      <c r="H1269" t="inlineStr"/>
      <c r="I1269" s="74" t="n"/>
      <c r="J1269" s="217" t="inlineStr"/>
    </row>
    <row r="1270" ht="15.75" customHeight="1" s="305">
      <c r="A1270" s="67" t="n"/>
      <c r="B1270" s="67" t="n"/>
      <c r="C1270" s="67" t="n"/>
      <c r="D1270" s="3" t="n"/>
      <c r="E1270" s="3" t="n"/>
      <c r="G1270" t="inlineStr"/>
      <c r="H1270" t="inlineStr"/>
      <c r="I1270" s="74" t="n"/>
      <c r="J1270" s="217" t="inlineStr"/>
    </row>
    <row r="1271" ht="15.75" customHeight="1" s="305">
      <c r="A1271" s="67" t="n"/>
      <c r="B1271" s="67" t="n"/>
      <c r="C1271" s="67" t="n"/>
      <c r="D1271" s="3" t="n"/>
      <c r="E1271" s="3" t="n"/>
      <c r="G1271" t="inlineStr"/>
      <c r="H1271" t="inlineStr"/>
      <c r="I1271" s="74" t="n"/>
      <c r="J1271" s="217" t="inlineStr"/>
    </row>
    <row r="1272" ht="15.75" customHeight="1" s="305">
      <c r="A1272" s="67" t="n"/>
      <c r="B1272" s="67" t="n"/>
      <c r="C1272" s="67" t="n"/>
      <c r="D1272" s="3" t="n"/>
      <c r="E1272" s="3" t="n"/>
      <c r="G1272" t="inlineStr"/>
      <c r="H1272" t="inlineStr"/>
      <c r="I1272" s="74" t="n"/>
      <c r="J1272" s="217" t="inlineStr"/>
    </row>
    <row r="1273" ht="15.75" customHeight="1" s="305">
      <c r="A1273" s="67" t="n"/>
      <c r="B1273" s="67" t="n"/>
      <c r="C1273" s="67" t="n"/>
      <c r="D1273" s="3" t="n"/>
      <c r="E1273" s="3" t="n"/>
      <c r="G1273" t="inlineStr"/>
      <c r="H1273" t="inlineStr"/>
      <c r="I1273" s="74" t="n"/>
      <c r="J1273" s="217" t="inlineStr"/>
    </row>
    <row r="1274" ht="15.75" customHeight="1" s="305">
      <c r="A1274" s="67" t="n"/>
      <c r="B1274" s="67" t="n"/>
      <c r="C1274" s="67" t="n"/>
      <c r="D1274" s="3" t="n"/>
      <c r="E1274" s="3" t="n"/>
      <c r="G1274" t="inlineStr"/>
      <c r="H1274" t="inlineStr"/>
      <c r="I1274" s="74" t="n"/>
      <c r="J1274" s="217" t="inlineStr"/>
    </row>
    <row r="1275" ht="15.75" customHeight="1" s="305">
      <c r="A1275" s="67" t="n"/>
      <c r="B1275" s="67" t="n"/>
      <c r="C1275" s="67" t="n"/>
      <c r="D1275" s="3" t="n"/>
      <c r="E1275" s="3" t="n"/>
      <c r="G1275" t="inlineStr"/>
      <c r="H1275" t="inlineStr"/>
      <c r="I1275" s="74" t="n"/>
      <c r="J1275" s="217" t="inlineStr"/>
    </row>
    <row r="1276" ht="15.75" customHeight="1" s="305">
      <c r="A1276" s="67" t="n"/>
      <c r="B1276" s="67" t="n"/>
      <c r="C1276" s="67" t="n"/>
      <c r="D1276" s="3" t="n"/>
      <c r="E1276" s="3" t="n"/>
      <c r="G1276" t="inlineStr"/>
      <c r="H1276" t="inlineStr"/>
      <c r="I1276" s="74" t="n"/>
      <c r="J1276" s="217" t="inlineStr"/>
    </row>
    <row r="1277" ht="15.75" customHeight="1" s="305">
      <c r="A1277" s="67" t="n"/>
      <c r="B1277" s="67" t="n"/>
      <c r="C1277" s="67" t="n"/>
      <c r="D1277" s="3" t="n"/>
      <c r="E1277" s="3" t="n"/>
      <c r="G1277" t="inlineStr"/>
      <c r="H1277" t="inlineStr"/>
      <c r="I1277" s="74" t="n"/>
      <c r="J1277" s="217" t="inlineStr"/>
    </row>
    <row r="1278" ht="15.75" customHeight="1" s="305">
      <c r="A1278" s="67" t="n"/>
      <c r="B1278" s="67" t="n"/>
      <c r="C1278" s="67" t="n"/>
      <c r="D1278" s="3" t="n"/>
      <c r="E1278" s="3" t="n"/>
      <c r="G1278" t="inlineStr"/>
      <c r="H1278" t="inlineStr"/>
      <c r="I1278" s="74" t="n"/>
      <c r="J1278" s="217" t="inlineStr"/>
    </row>
    <row r="1279" ht="15.75" customHeight="1" s="305">
      <c r="A1279" s="67" t="n"/>
      <c r="B1279" s="67" t="n"/>
      <c r="C1279" s="67" t="n"/>
      <c r="D1279" s="3" t="n"/>
      <c r="E1279" s="3" t="n"/>
      <c r="G1279" t="inlineStr"/>
      <c r="H1279" t="inlineStr"/>
      <c r="I1279" s="74" t="n"/>
      <c r="J1279" s="217" t="inlineStr"/>
    </row>
    <row r="1280" ht="15.75" customHeight="1" s="305">
      <c r="A1280" s="67" t="n"/>
      <c r="B1280" s="67" t="n"/>
      <c r="C1280" s="67" t="n"/>
      <c r="D1280" s="3" t="n"/>
      <c r="E1280" s="3" t="n"/>
      <c r="G1280" t="inlineStr"/>
      <c r="H1280" t="inlineStr"/>
      <c r="I1280" s="74" t="n"/>
      <c r="J1280" s="217" t="inlineStr"/>
    </row>
    <row r="1281" ht="15.75" customHeight="1" s="305">
      <c r="A1281" s="67" t="n"/>
      <c r="B1281" s="67" t="n"/>
      <c r="C1281" s="67" t="n"/>
      <c r="D1281" s="3" t="n"/>
      <c r="E1281" s="3" t="n"/>
      <c r="G1281" t="inlineStr"/>
      <c r="H1281" t="inlineStr"/>
      <c r="I1281" s="74" t="n"/>
      <c r="J1281" s="217" t="inlineStr"/>
    </row>
    <row r="1282" ht="15.75" customHeight="1" s="305">
      <c r="A1282" s="67" t="n"/>
      <c r="B1282" s="67" t="n"/>
      <c r="C1282" s="67" t="n"/>
      <c r="D1282" s="3" t="n"/>
      <c r="E1282" s="3" t="n"/>
      <c r="G1282" t="inlineStr"/>
      <c r="H1282" t="inlineStr"/>
      <c r="I1282" s="74" t="n"/>
      <c r="J1282" s="217" t="inlineStr"/>
    </row>
    <row r="1283" ht="15.75" customHeight="1" s="305">
      <c r="A1283" s="67" t="n"/>
      <c r="B1283" s="67" t="n"/>
      <c r="C1283" s="67" t="n"/>
      <c r="D1283" s="3" t="n"/>
      <c r="E1283" s="3" t="n"/>
      <c r="G1283" t="inlineStr"/>
      <c r="H1283" t="inlineStr"/>
      <c r="I1283" s="74" t="n"/>
      <c r="J1283" s="217" t="inlineStr"/>
    </row>
    <row r="1284" ht="15.75" customHeight="1" s="305">
      <c r="A1284" s="67" t="n"/>
      <c r="B1284" s="67" t="n"/>
      <c r="C1284" s="67" t="n"/>
      <c r="D1284" s="3" t="n"/>
      <c r="E1284" s="3" t="n"/>
      <c r="G1284" t="inlineStr"/>
      <c r="H1284" t="inlineStr"/>
      <c r="I1284" s="74" t="n"/>
      <c r="J1284" s="217" t="inlineStr"/>
    </row>
    <row r="1285" ht="15.75" customHeight="1" s="305">
      <c r="A1285" s="67" t="n"/>
      <c r="B1285" s="67" t="n"/>
      <c r="C1285" s="67" t="n"/>
      <c r="D1285" s="3" t="n"/>
      <c r="E1285" s="67" t="n"/>
      <c r="G1285" t="inlineStr"/>
      <c r="H1285" t="inlineStr"/>
      <c r="I1285" s="74" t="n"/>
      <c r="J1285" s="217" t="inlineStr"/>
    </row>
    <row r="1286" ht="15.75" customHeight="1" s="305">
      <c r="A1286" s="67" t="n"/>
      <c r="B1286" s="67" t="n"/>
      <c r="C1286" s="67" t="n"/>
      <c r="D1286" s="3" t="n"/>
      <c r="E1286" s="3" t="n"/>
      <c r="G1286" t="inlineStr"/>
      <c r="H1286" t="inlineStr"/>
      <c r="I1286" s="74" t="n"/>
      <c r="J1286" s="217" t="inlineStr"/>
    </row>
    <row r="1287" ht="15.75" customHeight="1" s="305">
      <c r="A1287" s="67" t="n"/>
      <c r="B1287" s="67" t="n"/>
      <c r="C1287" s="67" t="n"/>
      <c r="D1287" s="3" t="n"/>
      <c r="E1287" s="3" t="n"/>
      <c r="G1287" t="inlineStr"/>
      <c r="H1287" t="inlineStr"/>
      <c r="I1287" s="74" t="n"/>
      <c r="J1287" s="217" t="inlineStr"/>
    </row>
    <row r="1288" ht="15.75" customHeight="1" s="305">
      <c r="A1288" s="67" t="n"/>
      <c r="B1288" s="67" t="n"/>
      <c r="C1288" s="67" t="n"/>
      <c r="D1288" s="3" t="n"/>
      <c r="E1288" s="3" t="n"/>
      <c r="G1288" t="inlineStr"/>
      <c r="H1288" t="inlineStr"/>
      <c r="I1288" s="74" t="n"/>
      <c r="J1288" s="217" t="inlineStr"/>
    </row>
    <row r="1289" ht="15.75" customHeight="1" s="305">
      <c r="A1289" s="67" t="n"/>
      <c r="B1289" s="67" t="n"/>
      <c r="C1289" s="67" t="n"/>
      <c r="D1289" s="3" t="n"/>
      <c r="E1289" s="3" t="n"/>
      <c r="G1289" t="inlineStr"/>
      <c r="H1289" t="inlineStr"/>
      <c r="I1289" s="74" t="n"/>
      <c r="J1289" s="217" t="inlineStr"/>
    </row>
    <row r="1290" ht="15.75" customHeight="1" s="305">
      <c r="A1290" s="67" t="n"/>
      <c r="B1290" s="67" t="n"/>
      <c r="C1290" s="67" t="n"/>
      <c r="D1290" s="3" t="n"/>
      <c r="E1290" s="3" t="n"/>
      <c r="G1290" t="inlineStr"/>
      <c r="H1290" t="inlineStr"/>
      <c r="I1290" s="74" t="n"/>
      <c r="J1290" s="217" t="inlineStr"/>
    </row>
    <row r="1291" ht="15.75" customHeight="1" s="305">
      <c r="A1291" s="67" t="n"/>
      <c r="B1291" s="67" t="n"/>
      <c r="C1291" s="67" t="n"/>
      <c r="D1291" s="3" t="n"/>
      <c r="E1291" s="3" t="n"/>
      <c r="G1291" t="inlineStr"/>
      <c r="H1291" t="inlineStr"/>
      <c r="I1291" s="74" t="n"/>
      <c r="J1291" s="217" t="inlineStr"/>
    </row>
    <row r="1292" ht="15.75" customHeight="1" s="305">
      <c r="A1292" s="67" t="n"/>
      <c r="B1292" s="67" t="n"/>
      <c r="C1292" s="67" t="n"/>
      <c r="D1292" s="3" t="n"/>
      <c r="E1292" s="3" t="n"/>
      <c r="G1292" t="inlineStr"/>
      <c r="H1292" t="inlineStr"/>
      <c r="I1292" s="74" t="n"/>
      <c r="J1292" s="217" t="inlineStr"/>
    </row>
    <row r="1293" ht="15.75" customHeight="1" s="305">
      <c r="A1293" s="67" t="n"/>
      <c r="B1293" s="67" t="n"/>
      <c r="C1293" s="67" t="n"/>
      <c r="D1293" s="3" t="n"/>
      <c r="E1293" s="3" t="n"/>
      <c r="G1293" t="inlineStr"/>
      <c r="H1293" t="inlineStr"/>
      <c r="I1293" s="74" t="n"/>
      <c r="J1293" s="217" t="inlineStr"/>
    </row>
    <row r="1294" ht="15.75" customHeight="1" s="305">
      <c r="A1294" s="67" t="n"/>
      <c r="B1294" s="67" t="n"/>
      <c r="C1294" s="67" t="n"/>
      <c r="D1294" s="3" t="n"/>
      <c r="E1294" s="3" t="n"/>
      <c r="G1294" t="inlineStr"/>
      <c r="H1294" t="inlineStr"/>
      <c r="I1294" s="74" t="n"/>
      <c r="J1294" s="217" t="inlineStr"/>
    </row>
    <row r="1295" ht="15.75" customHeight="1" s="305">
      <c r="A1295" s="67" t="n"/>
      <c r="B1295" s="67" t="n"/>
      <c r="C1295" s="67" t="n"/>
      <c r="D1295" s="3" t="n"/>
      <c r="E1295" s="3" t="n"/>
      <c r="G1295" t="inlineStr"/>
      <c r="H1295" t="inlineStr"/>
      <c r="I1295" s="74" t="n"/>
      <c r="J1295" s="217" t="inlineStr"/>
    </row>
    <row r="1296" ht="15.75" customHeight="1" s="305">
      <c r="A1296" s="67" t="n"/>
      <c r="B1296" s="67" t="n"/>
      <c r="C1296" s="67" t="n"/>
      <c r="D1296" s="3" t="n"/>
      <c r="E1296" s="3" t="n"/>
      <c r="G1296" t="inlineStr"/>
      <c r="H1296" t="inlineStr"/>
      <c r="I1296" s="74" t="n"/>
      <c r="J1296" s="217" t="inlineStr"/>
    </row>
    <row r="1297" ht="15.75" customHeight="1" s="305">
      <c r="A1297" s="67" t="n"/>
      <c r="B1297" s="67" t="n"/>
      <c r="C1297" s="67" t="n"/>
      <c r="D1297" s="3" t="n"/>
      <c r="E1297" s="3" t="n"/>
      <c r="G1297" t="inlineStr"/>
      <c r="H1297" t="inlineStr"/>
      <c r="I1297" s="74" t="n"/>
      <c r="J1297" s="217" t="inlineStr"/>
    </row>
    <row r="1298" ht="15.75" customHeight="1" s="305">
      <c r="A1298" s="67" t="n"/>
      <c r="B1298" s="67" t="n"/>
      <c r="C1298" s="67" t="n"/>
      <c r="D1298" s="3" t="n"/>
      <c r="E1298" s="3" t="n"/>
      <c r="G1298" t="inlineStr"/>
      <c r="H1298" t="inlineStr"/>
      <c r="I1298" s="74" t="n"/>
      <c r="J1298" s="217" t="inlineStr"/>
    </row>
    <row r="1299" ht="15.75" customHeight="1" s="305">
      <c r="A1299" s="67" t="n"/>
      <c r="B1299" s="67" t="n"/>
      <c r="C1299" s="67" t="n"/>
      <c r="D1299" s="3" t="n"/>
      <c r="E1299" s="3" t="n"/>
      <c r="G1299" t="inlineStr"/>
      <c r="H1299" t="inlineStr"/>
      <c r="I1299" s="74" t="n"/>
      <c r="J1299" s="217" t="inlineStr"/>
    </row>
    <row r="1300" ht="15.75" customHeight="1" s="305">
      <c r="A1300" s="67" t="n"/>
      <c r="B1300" s="67" t="n"/>
      <c r="C1300" s="67" t="n"/>
      <c r="D1300" s="3" t="n"/>
      <c r="E1300" s="3" t="n"/>
      <c r="G1300" t="inlineStr"/>
      <c r="H1300" t="inlineStr"/>
      <c r="I1300" s="74" t="n"/>
      <c r="J1300" s="217" t="inlineStr"/>
    </row>
    <row r="1301" ht="15.75" customHeight="1" s="305">
      <c r="A1301" s="67" t="n"/>
      <c r="B1301" s="67" t="n"/>
      <c r="C1301" s="67" t="n"/>
      <c r="D1301" s="3" t="n"/>
      <c r="E1301" s="3" t="n"/>
      <c r="G1301" t="inlineStr"/>
      <c r="H1301" t="inlineStr"/>
      <c r="I1301" s="74" t="n"/>
      <c r="J1301" s="217" t="inlineStr"/>
    </row>
    <row r="1302" ht="15.75" customHeight="1" s="305">
      <c r="A1302" s="67" t="n"/>
      <c r="B1302" s="67" t="n"/>
      <c r="C1302" s="67" t="n"/>
      <c r="D1302" s="3" t="n"/>
      <c r="E1302" s="3" t="n"/>
      <c r="G1302" t="inlineStr"/>
      <c r="H1302" t="inlineStr"/>
      <c r="I1302" s="74" t="n"/>
      <c r="J1302" s="217" t="inlineStr"/>
    </row>
    <row r="1303" ht="15.75" customHeight="1" s="305">
      <c r="A1303" s="67" t="n"/>
      <c r="B1303" s="67" t="n"/>
      <c r="C1303" s="67" t="n"/>
      <c r="D1303" s="3" t="n"/>
      <c r="E1303" s="3" t="n"/>
      <c r="G1303" t="inlineStr"/>
      <c r="H1303" t="inlineStr"/>
      <c r="I1303" s="74" t="n"/>
      <c r="J1303" s="217" t="inlineStr"/>
    </row>
    <row r="1304" ht="15.75" customHeight="1" s="305">
      <c r="A1304" s="67" t="n"/>
      <c r="B1304" s="67" t="n"/>
      <c r="C1304" s="67" t="n"/>
      <c r="D1304" s="3" t="n"/>
      <c r="E1304" s="3" t="n"/>
      <c r="G1304" t="inlineStr"/>
      <c r="H1304" t="inlineStr"/>
      <c r="I1304" s="74" t="n"/>
      <c r="J1304" s="217" t="inlineStr"/>
    </row>
    <row r="1305" ht="15.75" customHeight="1" s="305">
      <c r="A1305" s="67" t="n"/>
      <c r="B1305" s="67" t="n"/>
      <c r="C1305" s="67" t="n"/>
      <c r="D1305" s="3" t="n"/>
      <c r="E1305" s="3" t="n"/>
      <c r="G1305" t="inlineStr"/>
      <c r="H1305" t="inlineStr"/>
      <c r="I1305" s="74" t="n"/>
      <c r="J1305" s="217" t="inlineStr"/>
    </row>
    <row r="1306" ht="15.75" customHeight="1" s="305">
      <c r="A1306" s="67" t="n"/>
      <c r="B1306" s="67" t="n"/>
      <c r="C1306" s="67" t="n"/>
      <c r="D1306" s="3" t="n"/>
      <c r="E1306" s="3" t="n"/>
      <c r="G1306" t="inlineStr"/>
      <c r="H1306" t="inlineStr"/>
      <c r="I1306" s="74" t="n"/>
      <c r="J1306" s="217" t="inlineStr"/>
    </row>
    <row r="1307" ht="15.75" customHeight="1" s="305">
      <c r="A1307" s="67" t="n"/>
      <c r="B1307" s="67" t="n"/>
      <c r="C1307" s="67" t="n"/>
      <c r="D1307" s="3" t="n"/>
      <c r="E1307" s="3" t="n"/>
      <c r="G1307" t="inlineStr"/>
      <c r="H1307" t="inlineStr"/>
      <c r="I1307" s="74" t="n"/>
      <c r="J1307" s="217" t="inlineStr"/>
    </row>
    <row r="1308" ht="15.75" customHeight="1" s="305">
      <c r="A1308" s="67" t="n"/>
      <c r="B1308" s="67" t="n"/>
      <c r="C1308" s="67" t="n"/>
      <c r="D1308" s="3" t="n"/>
      <c r="E1308" s="3" t="n"/>
      <c r="G1308" t="inlineStr"/>
      <c r="H1308" t="inlineStr"/>
      <c r="I1308" s="74" t="n"/>
      <c r="J1308" s="217" t="inlineStr"/>
    </row>
    <row r="1309" ht="15.75" customHeight="1" s="305">
      <c r="A1309" s="67" t="n"/>
      <c r="B1309" s="67" t="n"/>
      <c r="C1309" s="67" t="n"/>
      <c r="D1309" s="3" t="n"/>
      <c r="E1309" s="3" t="n"/>
      <c r="G1309" t="inlineStr"/>
      <c r="H1309" t="inlineStr"/>
      <c r="I1309" s="74" t="n"/>
      <c r="J1309" s="217" t="inlineStr"/>
    </row>
    <row r="1310" ht="15.75" customHeight="1" s="305">
      <c r="A1310" s="67" t="n"/>
      <c r="B1310" s="67" t="n"/>
      <c r="C1310" s="67" t="n"/>
      <c r="D1310" s="3" t="n"/>
      <c r="E1310" s="3" t="n"/>
      <c r="G1310" t="inlineStr"/>
      <c r="H1310" t="inlineStr"/>
      <c r="I1310" s="74" t="n"/>
      <c r="J1310" s="217" t="inlineStr"/>
    </row>
    <row r="1311" ht="15.75" customHeight="1" s="305">
      <c r="A1311" s="67" t="n"/>
      <c r="B1311" s="67" t="n"/>
      <c r="C1311" s="67" t="n"/>
      <c r="D1311" s="3" t="n"/>
      <c r="E1311" s="3" t="n"/>
      <c r="G1311" t="inlineStr"/>
      <c r="H1311" t="inlineStr"/>
      <c r="I1311" s="74" t="n"/>
      <c r="J1311" s="217" t="inlineStr"/>
    </row>
    <row r="1312" ht="15.75" customHeight="1" s="305">
      <c r="A1312" s="67" t="n"/>
      <c r="B1312" s="67" t="n"/>
      <c r="C1312" s="67" t="n"/>
      <c r="D1312" s="3" t="n"/>
      <c r="E1312" s="3" t="n"/>
      <c r="G1312" t="inlineStr"/>
      <c r="H1312" t="inlineStr"/>
      <c r="I1312" s="74" t="n"/>
      <c r="J1312" s="217" t="inlineStr"/>
    </row>
    <row r="1313" ht="15.75" customHeight="1" s="305">
      <c r="A1313" s="67" t="n"/>
      <c r="B1313" s="67" t="n"/>
      <c r="C1313" s="67" t="n"/>
      <c r="D1313" s="3" t="n"/>
      <c r="E1313" s="3" t="n"/>
      <c r="G1313" t="inlineStr"/>
      <c r="H1313" t="inlineStr"/>
      <c r="I1313" s="74" t="n"/>
      <c r="J1313" s="217" t="inlineStr"/>
    </row>
    <row r="1314" ht="15.75" customHeight="1" s="305">
      <c r="A1314" s="67" t="n"/>
      <c r="B1314" s="67" t="n"/>
      <c r="C1314" s="67" t="n"/>
      <c r="D1314" s="3" t="n"/>
      <c r="E1314" s="3" t="n"/>
      <c r="G1314" t="inlineStr"/>
      <c r="H1314" t="inlineStr"/>
      <c r="I1314" s="74" t="n"/>
      <c r="J1314" s="217" t="inlineStr"/>
    </row>
    <row r="1315" ht="15.75" customHeight="1" s="305">
      <c r="A1315" s="67" t="n"/>
      <c r="B1315" s="67" t="n"/>
      <c r="C1315" s="67" t="n"/>
      <c r="D1315" s="3" t="n"/>
      <c r="E1315" s="3" t="n"/>
      <c r="G1315" t="inlineStr"/>
      <c r="H1315" t="inlineStr"/>
      <c r="I1315" s="74" t="n"/>
      <c r="J1315" s="217" t="inlineStr"/>
    </row>
    <row r="1316" ht="15.75" customHeight="1" s="305">
      <c r="A1316" s="67" t="n"/>
      <c r="B1316" s="67" t="n"/>
      <c r="C1316" s="67" t="n"/>
      <c r="D1316" s="3" t="n"/>
      <c r="E1316" s="3" t="n"/>
      <c r="G1316" t="inlineStr"/>
      <c r="H1316" t="inlineStr"/>
      <c r="I1316" s="74" t="n"/>
      <c r="J1316" s="217" t="inlineStr"/>
    </row>
    <row r="1317" ht="15.75" customHeight="1" s="305">
      <c r="A1317" s="67" t="n"/>
      <c r="B1317" s="67" t="n"/>
      <c r="C1317" s="67" t="n"/>
      <c r="D1317" s="3" t="n"/>
      <c r="E1317" s="3" t="n"/>
      <c r="G1317" t="inlineStr"/>
      <c r="H1317" t="inlineStr"/>
      <c r="I1317" s="74" t="n"/>
      <c r="J1317" s="217" t="inlineStr"/>
    </row>
    <row r="1318" ht="15.75" customHeight="1" s="305">
      <c r="A1318" s="67" t="n"/>
      <c r="B1318" s="67" t="n"/>
      <c r="C1318" s="67" t="n"/>
      <c r="D1318" s="3" t="n"/>
      <c r="E1318" s="3" t="n"/>
      <c r="G1318" t="inlineStr"/>
      <c r="H1318" t="inlineStr"/>
      <c r="I1318" s="74" t="n"/>
      <c r="J1318" s="217" t="inlineStr"/>
    </row>
    <row r="1319" ht="15.75" customHeight="1" s="305">
      <c r="A1319" s="67" t="n"/>
      <c r="B1319" s="67" t="n"/>
      <c r="C1319" s="67" t="n"/>
      <c r="D1319" s="3" t="n"/>
      <c r="E1319" s="3" t="n"/>
      <c r="G1319" t="inlineStr"/>
      <c r="H1319" t="inlineStr"/>
      <c r="I1319" s="74" t="n"/>
      <c r="J1319" s="217" t="inlineStr"/>
    </row>
    <row r="1320" ht="15.75" customHeight="1" s="305">
      <c r="A1320" s="67" t="n"/>
      <c r="B1320" s="67" t="n"/>
      <c r="C1320" s="67" t="n"/>
      <c r="D1320" s="3" t="n"/>
      <c r="E1320" s="67" t="n"/>
      <c r="G1320" t="inlineStr"/>
      <c r="H1320" t="inlineStr"/>
      <c r="I1320" s="74" t="n"/>
      <c r="J1320" s="217" t="inlineStr"/>
    </row>
    <row r="1321" ht="15.75" customHeight="1" s="305">
      <c r="A1321" s="67" t="n"/>
      <c r="B1321" s="67" t="n"/>
      <c r="C1321" s="67" t="n"/>
      <c r="D1321" s="3" t="n"/>
      <c r="E1321" s="3" t="n"/>
      <c r="G1321" t="inlineStr"/>
      <c r="H1321" t="inlineStr"/>
      <c r="I1321" s="74" t="n"/>
      <c r="J1321" s="217" t="inlineStr"/>
    </row>
    <row r="1322" ht="15.75" customHeight="1" s="305">
      <c r="A1322" s="67" t="n"/>
      <c r="B1322" s="67" t="n"/>
      <c r="C1322" s="67" t="n"/>
      <c r="D1322" s="3" t="n"/>
      <c r="E1322" s="3" t="n"/>
      <c r="G1322" t="inlineStr"/>
      <c r="H1322" t="inlineStr"/>
      <c r="I1322" s="74" t="n"/>
      <c r="J1322" s="217" t="inlineStr"/>
    </row>
    <row r="1323" ht="15.75" customHeight="1" s="305">
      <c r="A1323" s="67" t="n"/>
      <c r="B1323" s="67" t="n"/>
      <c r="C1323" s="67" t="n"/>
      <c r="D1323" s="3" t="n"/>
      <c r="E1323" s="3" t="n"/>
      <c r="G1323" t="inlineStr"/>
      <c r="H1323" t="inlineStr"/>
      <c r="I1323" s="74" t="n"/>
      <c r="J1323" s="217" t="inlineStr"/>
    </row>
    <row r="1324" ht="15.75" customHeight="1" s="305">
      <c r="A1324" s="67" t="n"/>
      <c r="B1324" s="67" t="n"/>
      <c r="C1324" s="67" t="n"/>
      <c r="D1324" s="3" t="n"/>
      <c r="E1324" s="3" t="n"/>
      <c r="G1324" t="inlineStr"/>
      <c r="H1324" t="inlineStr"/>
      <c r="I1324" s="74" t="n"/>
      <c r="J1324" s="217" t="inlineStr"/>
    </row>
    <row r="1325" ht="15.75" customHeight="1" s="305">
      <c r="A1325" s="67" t="n"/>
      <c r="B1325" s="67" t="n"/>
      <c r="C1325" s="67" t="n"/>
      <c r="D1325" s="3" t="n"/>
      <c r="E1325" s="3" t="n"/>
      <c r="G1325" t="inlineStr"/>
      <c r="H1325" t="inlineStr"/>
      <c r="I1325" s="74" t="n"/>
      <c r="J1325" s="217" t="inlineStr"/>
    </row>
    <row r="1326" ht="15.75" customHeight="1" s="305">
      <c r="A1326" s="67" t="n"/>
      <c r="B1326" s="67" t="n"/>
      <c r="C1326" s="67" t="n"/>
      <c r="D1326" s="3" t="n"/>
      <c r="E1326" s="3" t="n"/>
      <c r="G1326" t="inlineStr"/>
      <c r="H1326" t="inlineStr"/>
      <c r="I1326" s="74" t="n"/>
      <c r="J1326" s="217" t="inlineStr"/>
    </row>
    <row r="1327" ht="15.75" customHeight="1" s="305">
      <c r="A1327" s="67" t="n"/>
      <c r="B1327" s="67" t="n"/>
      <c r="C1327" s="67" t="n"/>
      <c r="D1327" s="3" t="n"/>
      <c r="E1327" s="3" t="n"/>
      <c r="G1327" t="inlineStr"/>
      <c r="H1327" t="inlineStr"/>
      <c r="I1327" s="74" t="n"/>
      <c r="J1327" s="217" t="inlineStr"/>
    </row>
    <row r="1328" ht="15.75" customHeight="1" s="305">
      <c r="A1328" s="67" t="n"/>
      <c r="B1328" s="67" t="n"/>
      <c r="C1328" s="67" t="n"/>
      <c r="D1328" s="3" t="n"/>
      <c r="E1328" s="3" t="n"/>
      <c r="G1328" t="inlineStr"/>
      <c r="H1328" t="inlineStr"/>
      <c r="I1328" s="74" t="n"/>
      <c r="J1328" s="217" t="inlineStr"/>
    </row>
    <row r="1329" ht="15.75" customHeight="1" s="305">
      <c r="A1329" s="67" t="n"/>
      <c r="B1329" s="67" t="n"/>
      <c r="C1329" s="67" t="n"/>
      <c r="D1329" s="3" t="n"/>
      <c r="E1329" s="3" t="n"/>
      <c r="G1329" t="inlineStr"/>
      <c r="H1329" t="inlineStr"/>
      <c r="I1329" s="74" t="n"/>
      <c r="J1329" s="217" t="inlineStr"/>
    </row>
    <row r="1330" ht="15.75" customHeight="1" s="305">
      <c r="A1330" s="67" t="n"/>
      <c r="B1330" s="67" t="n"/>
      <c r="C1330" s="67" t="n"/>
      <c r="D1330" s="3" t="n"/>
      <c r="E1330" s="3" t="n"/>
      <c r="G1330" t="inlineStr"/>
      <c r="H1330" t="inlineStr"/>
      <c r="I1330" s="74" t="n"/>
      <c r="J1330" s="217" t="inlineStr"/>
    </row>
    <row r="1331" ht="15.75" customHeight="1" s="305">
      <c r="A1331" s="67" t="n"/>
      <c r="B1331" s="67" t="n"/>
      <c r="C1331" s="67" t="n"/>
      <c r="D1331" s="3" t="n"/>
      <c r="E1331" s="3" t="n"/>
      <c r="G1331" t="inlineStr"/>
      <c r="H1331" t="inlineStr"/>
      <c r="I1331" s="74" t="n"/>
      <c r="J1331" s="217" t="inlineStr"/>
    </row>
    <row r="1332" ht="15.75" customHeight="1" s="305">
      <c r="A1332" s="67" t="n"/>
      <c r="B1332" s="67" t="n"/>
      <c r="C1332" s="67" t="n"/>
      <c r="D1332" s="3" t="n"/>
      <c r="E1332" s="3" t="n"/>
      <c r="G1332" t="inlineStr"/>
      <c r="H1332" t="inlineStr"/>
      <c r="I1332" s="74" t="n"/>
      <c r="J1332" s="217" t="inlineStr"/>
    </row>
    <row r="1333" ht="15.75" customHeight="1" s="305">
      <c r="A1333" s="67" t="n"/>
      <c r="B1333" s="67" t="n"/>
      <c r="C1333" s="67" t="n"/>
      <c r="D1333" s="3" t="n"/>
      <c r="E1333" s="3" t="n"/>
      <c r="G1333" t="inlineStr"/>
      <c r="H1333" t="inlineStr"/>
      <c r="I1333" s="74" t="n"/>
      <c r="J1333" s="217" t="inlineStr"/>
    </row>
    <row r="1334" ht="15.75" customHeight="1" s="305">
      <c r="A1334" s="67" t="n"/>
      <c r="B1334" s="67" t="n"/>
      <c r="C1334" s="67" t="n"/>
      <c r="D1334" s="3" t="n"/>
      <c r="E1334" s="3" t="n"/>
      <c r="G1334" t="inlineStr"/>
      <c r="H1334" t="inlineStr"/>
      <c r="I1334" s="74" t="n"/>
      <c r="J1334" s="217" t="inlineStr"/>
    </row>
    <row r="1335" ht="15.75" customHeight="1" s="305">
      <c r="A1335" s="67" t="n"/>
      <c r="B1335" s="67" t="n"/>
      <c r="C1335" s="67" t="n"/>
      <c r="D1335" s="3" t="n"/>
      <c r="E1335" s="3" t="n"/>
      <c r="G1335" t="inlineStr"/>
      <c r="H1335" t="inlineStr"/>
      <c r="I1335" s="74" t="n"/>
      <c r="J1335" s="217" t="inlineStr"/>
    </row>
    <row r="1336" ht="15.75" customHeight="1" s="305">
      <c r="A1336" s="67" t="n"/>
      <c r="B1336" s="67" t="n"/>
      <c r="C1336" s="67" t="n"/>
      <c r="D1336" s="3" t="n"/>
      <c r="E1336" s="67" t="n"/>
      <c r="G1336" t="inlineStr"/>
      <c r="H1336" t="inlineStr"/>
      <c r="I1336" s="84" t="n"/>
      <c r="J1336" s="217" t="inlineStr"/>
    </row>
    <row r="1337" ht="15.75" customHeight="1" s="305">
      <c r="A1337" s="67" t="n"/>
      <c r="B1337" s="67" t="n"/>
      <c r="C1337" s="67" t="n"/>
      <c r="D1337" s="3" t="n"/>
      <c r="E1337" s="67" t="n"/>
      <c r="G1337" t="inlineStr"/>
      <c r="H1337" t="inlineStr"/>
      <c r="I1337" s="84" t="n"/>
      <c r="J1337" s="217" t="inlineStr"/>
    </row>
    <row r="1338" ht="15.75" customHeight="1" s="305">
      <c r="A1338" s="67" t="n"/>
      <c r="B1338" s="67" t="n"/>
      <c r="C1338" s="67" t="n"/>
      <c r="D1338" s="3" t="n"/>
      <c r="E1338" s="67" t="n"/>
      <c r="G1338" t="inlineStr"/>
      <c r="H1338" t="inlineStr"/>
      <c r="I1338" s="74" t="n"/>
      <c r="J1338" s="217" t="inlineStr"/>
    </row>
    <row r="1339" ht="15.75" customHeight="1" s="305">
      <c r="A1339" s="67" t="n"/>
      <c r="B1339" s="67" t="n"/>
      <c r="C1339" s="67" t="n"/>
      <c r="D1339" s="3" t="n"/>
      <c r="E1339" s="3" t="n"/>
      <c r="G1339" t="inlineStr"/>
      <c r="H1339" t="inlineStr"/>
      <c r="I1339" s="84" t="n"/>
      <c r="J1339" s="217" t="inlineStr"/>
    </row>
    <row r="1340" ht="15.75" customHeight="1" s="305">
      <c r="A1340" s="67" t="n"/>
      <c r="B1340" s="67" t="n"/>
      <c r="C1340" s="67" t="n"/>
      <c r="D1340" s="3" t="n"/>
      <c r="E1340" s="3" t="n"/>
      <c r="G1340" t="inlineStr"/>
      <c r="H1340" t="inlineStr"/>
      <c r="I1340" s="74" t="n"/>
      <c r="J1340" s="217" t="inlineStr"/>
    </row>
    <row r="1341" ht="15.75" customHeight="1" s="305">
      <c r="A1341" s="67" t="n"/>
      <c r="B1341" s="67" t="n"/>
      <c r="C1341" s="67" t="n"/>
      <c r="D1341" s="3" t="n"/>
      <c r="E1341" s="3" t="n"/>
      <c r="G1341" t="inlineStr"/>
      <c r="H1341" t="inlineStr"/>
      <c r="I1341" s="84" t="n"/>
      <c r="J1341" s="217" t="inlineStr"/>
    </row>
    <row r="1342" ht="15.75" customHeight="1" s="305">
      <c r="A1342" s="67" t="n"/>
      <c r="B1342" s="67" t="n"/>
      <c r="C1342" s="67" t="n"/>
      <c r="D1342" s="3" t="n"/>
      <c r="E1342" s="3" t="n"/>
      <c r="G1342" t="inlineStr"/>
      <c r="H1342" t="inlineStr"/>
      <c r="I1342" s="74" t="n"/>
      <c r="J1342" s="217" t="inlineStr"/>
    </row>
    <row r="1343" ht="15.75" customHeight="1" s="305">
      <c r="A1343" s="67" t="n"/>
      <c r="B1343" s="67" t="n"/>
      <c r="C1343" s="67" t="n"/>
      <c r="D1343" s="3" t="n"/>
      <c r="E1343" s="3" t="n"/>
      <c r="G1343" t="inlineStr"/>
      <c r="H1343" t="inlineStr"/>
      <c r="I1343" s="74" t="n"/>
      <c r="J1343" s="217" t="inlineStr"/>
    </row>
    <row r="1344" ht="15.75" customHeight="1" s="305">
      <c r="A1344" s="67" t="n"/>
      <c r="B1344" s="67" t="n"/>
      <c r="C1344" s="67" t="n"/>
      <c r="D1344" s="3" t="n"/>
      <c r="E1344" s="3" t="n"/>
      <c r="G1344" t="inlineStr"/>
      <c r="H1344" t="inlineStr"/>
      <c r="I1344" s="74" t="n"/>
      <c r="J1344" s="217" t="inlineStr"/>
    </row>
    <row r="1345" ht="15.75" customHeight="1" s="305">
      <c r="A1345" s="67" t="n"/>
      <c r="B1345" s="67" t="n"/>
      <c r="C1345" s="67" t="n"/>
      <c r="D1345" s="3" t="n"/>
      <c r="E1345" s="67" t="n"/>
      <c r="G1345" t="inlineStr"/>
      <c r="H1345" t="inlineStr"/>
      <c r="I1345" s="74" t="n"/>
      <c r="J1345" s="217" t="inlineStr"/>
    </row>
    <row r="1346" ht="15.75" customHeight="1" s="305">
      <c r="A1346" s="67" t="n"/>
      <c r="B1346" s="67" t="n"/>
      <c r="C1346" s="67" t="n"/>
      <c r="D1346" s="3" t="n"/>
      <c r="E1346" s="67" t="n"/>
      <c r="G1346" t="inlineStr"/>
      <c r="H1346" t="inlineStr"/>
      <c r="I1346" s="107" t="n"/>
      <c r="J1346" s="217" t="inlineStr"/>
    </row>
    <row r="1347" ht="15.75" customHeight="1" s="305">
      <c r="A1347" s="67" t="n"/>
      <c r="B1347" s="67" t="n"/>
      <c r="C1347" s="67" t="n"/>
      <c r="D1347" s="3" t="n"/>
      <c r="E1347" s="3" t="n"/>
      <c r="G1347" t="inlineStr"/>
      <c r="H1347" t="inlineStr"/>
      <c r="I1347" s="74" t="n"/>
      <c r="J1347" s="217" t="inlineStr"/>
    </row>
    <row r="1348" ht="15.75" customHeight="1" s="305">
      <c r="A1348" s="67" t="n"/>
      <c r="B1348" s="67" t="n"/>
      <c r="C1348" s="67" t="n"/>
      <c r="D1348" s="3" t="n"/>
      <c r="E1348" s="3" t="n"/>
      <c r="G1348" t="inlineStr"/>
      <c r="H1348" t="inlineStr"/>
      <c r="I1348" s="74" t="n"/>
      <c r="J1348" s="217" t="inlineStr"/>
    </row>
    <row r="1349" ht="15.75" customHeight="1" s="305">
      <c r="A1349" s="67" t="n"/>
      <c r="B1349" s="67" t="n"/>
      <c r="C1349" s="67" t="n"/>
      <c r="D1349" s="3" t="n"/>
      <c r="E1349" s="3" t="n"/>
      <c r="G1349" t="inlineStr"/>
      <c r="H1349" t="inlineStr"/>
      <c r="I1349" s="74" t="n"/>
      <c r="J1349" s="217" t="inlineStr"/>
    </row>
    <row r="1350" ht="15.75" customHeight="1" s="305">
      <c r="A1350" s="67" t="n"/>
      <c r="B1350" s="67" t="n"/>
      <c r="C1350" s="67" t="n"/>
      <c r="D1350" s="3" t="n"/>
      <c r="E1350" s="3" t="n"/>
      <c r="G1350" t="inlineStr"/>
      <c r="H1350" t="inlineStr"/>
      <c r="I1350" s="74" t="n"/>
      <c r="J1350" s="217" t="inlineStr"/>
    </row>
    <row r="1351" ht="15.75" customHeight="1" s="305">
      <c r="A1351" s="67" t="n"/>
      <c r="B1351" s="67" t="n"/>
      <c r="C1351" s="67" t="n"/>
      <c r="D1351" s="3" t="n"/>
      <c r="E1351" s="3" t="n"/>
      <c r="G1351" t="inlineStr"/>
      <c r="H1351" t="inlineStr"/>
      <c r="I1351" s="74" t="n"/>
      <c r="J1351" s="217" t="inlineStr"/>
    </row>
    <row r="1352" ht="15.75" customHeight="1" s="305">
      <c r="A1352" s="67" t="n"/>
      <c r="B1352" s="67" t="n"/>
      <c r="C1352" s="67" t="n"/>
      <c r="D1352" s="3" t="n"/>
      <c r="E1352" s="3" t="n"/>
      <c r="G1352" t="inlineStr"/>
      <c r="H1352" t="inlineStr"/>
      <c r="I1352" s="74" t="n"/>
      <c r="J1352" s="217" t="inlineStr"/>
    </row>
    <row r="1353" ht="15.75" customHeight="1" s="305">
      <c r="A1353" s="67" t="n"/>
      <c r="B1353" s="67" t="n"/>
      <c r="C1353" s="67" t="n"/>
      <c r="D1353" s="3" t="n"/>
      <c r="E1353" s="3" t="n"/>
      <c r="G1353" t="inlineStr"/>
      <c r="H1353" t="inlineStr"/>
      <c r="I1353" s="74" t="n"/>
      <c r="J1353" s="217" t="inlineStr"/>
    </row>
    <row r="1354" ht="15.75" customHeight="1" s="305">
      <c r="A1354" s="67" t="n"/>
      <c r="B1354" s="67" t="n"/>
      <c r="C1354" s="67" t="n"/>
      <c r="D1354" s="3" t="n"/>
      <c r="E1354" s="3" t="n"/>
      <c r="G1354" t="inlineStr"/>
      <c r="H1354" t="inlineStr"/>
      <c r="I1354" s="74" t="n"/>
      <c r="J1354" s="217" t="inlineStr"/>
    </row>
    <row r="1355" ht="15.75" customHeight="1" s="305">
      <c r="A1355" s="67" t="n"/>
      <c r="B1355" s="67" t="n"/>
      <c r="C1355" s="67" t="n"/>
      <c r="D1355" s="3" t="n"/>
      <c r="E1355" s="3" t="n"/>
      <c r="G1355" t="inlineStr"/>
      <c r="H1355" t="inlineStr"/>
      <c r="I1355" s="74" t="n"/>
      <c r="J1355" s="217" t="inlineStr"/>
    </row>
    <row r="1356" ht="15.75" customHeight="1" s="305">
      <c r="A1356" s="67" t="n"/>
      <c r="B1356" s="67" t="n"/>
      <c r="C1356" s="67" t="n"/>
      <c r="D1356" s="3" t="n"/>
      <c r="E1356" s="3" t="n"/>
      <c r="G1356" t="inlineStr"/>
      <c r="H1356" t="inlineStr"/>
      <c r="I1356" s="74" t="n"/>
      <c r="J1356" s="217" t="inlineStr"/>
    </row>
    <row r="1357" ht="15.75" customHeight="1" s="305">
      <c r="A1357" s="67" t="n"/>
      <c r="B1357" s="67" t="n"/>
      <c r="C1357" s="67" t="n"/>
      <c r="D1357" s="3" t="n"/>
      <c r="E1357" s="3" t="n"/>
      <c r="G1357" t="inlineStr"/>
      <c r="H1357" t="inlineStr"/>
      <c r="I1357" s="74" t="n"/>
      <c r="J1357" s="217" t="inlineStr"/>
    </row>
    <row r="1358" ht="15.75" customHeight="1" s="305">
      <c r="A1358" s="67" t="n"/>
      <c r="B1358" s="67" t="n"/>
      <c r="C1358" s="67" t="n"/>
      <c r="D1358" s="3" t="n"/>
      <c r="E1358" s="3" t="n"/>
      <c r="G1358" t="inlineStr"/>
      <c r="H1358" t="inlineStr"/>
      <c r="I1358" s="74" t="n"/>
      <c r="J1358" s="217" t="inlineStr"/>
    </row>
    <row r="1359" ht="15.75" customHeight="1" s="305">
      <c r="A1359" s="67" t="n"/>
      <c r="B1359" s="67" t="n"/>
      <c r="C1359" s="67" t="n"/>
      <c r="D1359" s="3" t="n"/>
      <c r="E1359" s="3" t="n"/>
      <c r="G1359" t="inlineStr"/>
      <c r="H1359" t="inlineStr"/>
      <c r="I1359" s="74" t="n"/>
      <c r="J1359" s="217" t="inlineStr"/>
    </row>
    <row r="1360" ht="15.75" customHeight="1" s="305">
      <c r="A1360" s="67" t="n"/>
      <c r="B1360" s="67" t="n"/>
      <c r="C1360" s="67" t="n"/>
      <c r="D1360" s="3" t="n"/>
      <c r="E1360" s="3" t="n"/>
      <c r="G1360" t="inlineStr"/>
      <c r="H1360" t="inlineStr"/>
      <c r="I1360" s="74" t="n"/>
      <c r="J1360" s="217" t="inlineStr"/>
    </row>
    <row r="1361" ht="15.75" customHeight="1" s="305">
      <c r="A1361" s="67" t="n"/>
      <c r="B1361" s="67" t="n"/>
      <c r="C1361" s="67" t="n"/>
      <c r="D1361" s="3" t="n"/>
      <c r="E1361" s="3" t="n"/>
      <c r="G1361" t="inlineStr"/>
      <c r="H1361" t="inlineStr"/>
      <c r="I1361" s="74" t="n"/>
      <c r="J1361" s="217" t="inlineStr"/>
    </row>
    <row r="1362" ht="15.75" customHeight="1" s="305">
      <c r="A1362" s="67" t="n"/>
      <c r="B1362" s="67" t="n"/>
      <c r="C1362" s="67" t="n"/>
      <c r="D1362" s="3" t="n"/>
      <c r="E1362" s="3" t="n"/>
      <c r="G1362" t="inlineStr"/>
      <c r="H1362" t="inlineStr"/>
      <c r="I1362" s="74" t="n"/>
      <c r="J1362" s="217" t="inlineStr"/>
    </row>
    <row r="1363" ht="15.75" customHeight="1" s="305">
      <c r="A1363" s="67" t="n"/>
      <c r="B1363" s="67" t="n"/>
      <c r="C1363" s="67" t="n"/>
      <c r="D1363" s="3" t="n"/>
      <c r="E1363" s="3" t="n"/>
      <c r="G1363" t="inlineStr"/>
      <c r="H1363" t="inlineStr"/>
      <c r="I1363" s="74" t="n"/>
      <c r="J1363" s="217" t="inlineStr"/>
    </row>
    <row r="1364" ht="15.75" customHeight="1" s="305">
      <c r="A1364" s="67" t="n"/>
      <c r="B1364" s="67" t="n"/>
      <c r="C1364" s="67" t="n"/>
      <c r="D1364" s="3" t="n"/>
      <c r="E1364" s="3" t="n"/>
      <c r="G1364" t="inlineStr"/>
      <c r="H1364" t="inlineStr"/>
      <c r="I1364" s="74" t="n"/>
      <c r="J1364" s="217" t="inlineStr"/>
    </row>
    <row r="1365" ht="15.75" customHeight="1" s="305">
      <c r="A1365" s="67" t="n"/>
      <c r="B1365" s="67" t="n"/>
      <c r="C1365" s="67" t="n"/>
      <c r="D1365" s="3" t="n"/>
      <c r="E1365" s="3" t="n"/>
      <c r="G1365" t="inlineStr"/>
      <c r="H1365" t="inlineStr"/>
      <c r="I1365" s="74" t="n"/>
      <c r="J1365" s="217" t="inlineStr"/>
    </row>
    <row r="1366" ht="15.75" customHeight="1" s="305">
      <c r="A1366" s="67" t="n"/>
      <c r="B1366" s="67" t="n"/>
      <c r="C1366" s="67" t="n"/>
      <c r="D1366" s="3" t="n"/>
      <c r="E1366" s="3" t="n"/>
      <c r="G1366" t="inlineStr"/>
      <c r="H1366" t="inlineStr"/>
      <c r="I1366" s="74" t="n"/>
      <c r="J1366" s="217" t="inlineStr"/>
    </row>
    <row r="1367" ht="15.75" customHeight="1" s="305">
      <c r="A1367" s="67" t="n"/>
      <c r="B1367" s="67" t="n"/>
      <c r="C1367" s="67" t="n"/>
      <c r="D1367" s="3" t="n"/>
      <c r="E1367" s="3" t="n"/>
      <c r="G1367" t="inlineStr"/>
      <c r="H1367" t="inlineStr"/>
      <c r="I1367" s="74" t="n"/>
      <c r="J1367" s="217" t="inlineStr"/>
    </row>
    <row r="1368" ht="15.75" customHeight="1" s="305">
      <c r="A1368" s="67" t="n"/>
      <c r="B1368" s="67" t="n"/>
      <c r="C1368" s="67" t="n"/>
      <c r="D1368" s="3" t="n"/>
      <c r="E1368" s="3" t="n"/>
      <c r="G1368" t="inlineStr"/>
      <c r="H1368" t="inlineStr"/>
      <c r="I1368" s="74" t="n"/>
      <c r="J1368" s="217" t="inlineStr"/>
    </row>
    <row r="1369" ht="15.75" customHeight="1" s="305">
      <c r="A1369" s="67" t="n"/>
      <c r="B1369" s="67" t="n"/>
      <c r="C1369" s="67" t="n"/>
      <c r="D1369" s="3" t="n"/>
      <c r="E1369" s="3" t="n"/>
      <c r="G1369" t="inlineStr"/>
      <c r="H1369" t="inlineStr"/>
      <c r="I1369" s="74" t="n"/>
      <c r="J1369" s="217" t="inlineStr"/>
    </row>
    <row r="1370" ht="15.75" customHeight="1" s="305">
      <c r="A1370" s="67" t="n"/>
      <c r="B1370" s="67" t="n"/>
      <c r="C1370" s="67" t="n"/>
      <c r="D1370" s="3" t="n"/>
      <c r="E1370" s="3" t="n"/>
      <c r="G1370" t="inlineStr"/>
      <c r="H1370" t="inlineStr"/>
      <c r="I1370" s="74" t="n"/>
      <c r="J1370" s="217" t="inlineStr"/>
    </row>
    <row r="1371" ht="15.75" customHeight="1" s="305">
      <c r="A1371" s="67" t="n"/>
      <c r="B1371" s="67" t="n"/>
      <c r="C1371" s="67" t="n"/>
      <c r="D1371" s="3" t="n"/>
      <c r="E1371" s="3" t="n"/>
      <c r="G1371" t="inlineStr"/>
      <c r="H1371" t="inlineStr"/>
      <c r="I1371" s="74" t="n"/>
      <c r="J1371" s="217" t="inlineStr"/>
    </row>
    <row r="1372" ht="15.75" customHeight="1" s="305">
      <c r="A1372" s="67" t="n"/>
      <c r="B1372" s="67" t="n"/>
      <c r="C1372" s="67" t="n"/>
      <c r="D1372" s="3" t="n"/>
      <c r="E1372" s="3" t="n"/>
      <c r="G1372" t="inlineStr"/>
      <c r="H1372" t="inlineStr"/>
      <c r="I1372" s="74" t="n"/>
      <c r="J1372" s="217" t="inlineStr"/>
    </row>
    <row r="1373" ht="15.75" customHeight="1" s="305">
      <c r="A1373" s="67" t="n"/>
      <c r="B1373" s="67" t="n"/>
      <c r="C1373" s="67" t="n"/>
      <c r="D1373" s="3" t="n"/>
      <c r="E1373" s="3" t="n"/>
      <c r="G1373" t="inlineStr"/>
      <c r="H1373" t="inlineStr"/>
      <c r="I1373" s="74" t="n"/>
      <c r="J1373" s="217" t="inlineStr"/>
    </row>
    <row r="1374" ht="15.75" customHeight="1" s="305">
      <c r="A1374" s="67" t="n"/>
      <c r="B1374" s="67" t="n"/>
      <c r="C1374" s="67" t="n"/>
      <c r="D1374" s="3" t="n"/>
      <c r="E1374" s="3" t="n"/>
      <c r="G1374" t="inlineStr"/>
      <c r="H1374" t="inlineStr"/>
      <c r="I1374" s="74" t="n"/>
      <c r="J1374" s="217" t="inlineStr"/>
    </row>
    <row r="1375" ht="15.75" customHeight="1" s="305">
      <c r="A1375" s="67" t="n"/>
      <c r="B1375" s="67" t="n"/>
      <c r="C1375" s="67" t="n"/>
      <c r="D1375" s="3" t="n"/>
      <c r="E1375" s="3" t="n"/>
      <c r="G1375" t="inlineStr"/>
      <c r="H1375" t="inlineStr"/>
      <c r="I1375" s="74" t="n"/>
      <c r="J1375" s="217" t="inlineStr"/>
    </row>
    <row r="1376" ht="15.75" customHeight="1" s="305">
      <c r="A1376" s="67" t="n"/>
      <c r="B1376" s="67" t="n"/>
      <c r="C1376" s="67" t="n"/>
      <c r="D1376" s="3" t="n"/>
      <c r="E1376" s="3" t="n"/>
      <c r="G1376" t="inlineStr"/>
      <c r="H1376" t="inlineStr"/>
      <c r="I1376" s="74" t="n"/>
      <c r="J1376" s="217" t="inlineStr"/>
    </row>
    <row r="1377" ht="15.75" customHeight="1" s="305">
      <c r="A1377" s="67" t="n"/>
      <c r="B1377" s="67" t="n"/>
      <c r="C1377" s="67" t="n"/>
      <c r="D1377" s="3" t="n"/>
      <c r="E1377" s="3" t="n"/>
      <c r="G1377" t="inlineStr"/>
      <c r="H1377" t="inlineStr"/>
      <c r="I1377" s="74" t="n"/>
      <c r="J1377" s="217" t="inlineStr"/>
    </row>
    <row r="1378" ht="15.75" customHeight="1" s="305">
      <c r="A1378" s="67" t="n"/>
      <c r="B1378" s="67" t="n"/>
      <c r="C1378" s="67" t="n"/>
      <c r="D1378" s="3" t="n"/>
      <c r="E1378" s="3" t="n"/>
      <c r="G1378" t="inlineStr"/>
      <c r="H1378" t="inlineStr"/>
      <c r="I1378" s="74" t="n"/>
      <c r="J1378" s="217" t="inlineStr"/>
    </row>
    <row r="1379" ht="15.75" customHeight="1" s="305">
      <c r="A1379" s="67" t="n"/>
      <c r="B1379" s="67" t="n"/>
      <c r="C1379" s="67" t="n"/>
      <c r="D1379" s="3" t="n"/>
      <c r="E1379" s="3" t="n"/>
      <c r="G1379" t="inlineStr"/>
      <c r="H1379" t="inlineStr"/>
      <c r="I1379" s="74" t="n"/>
      <c r="J1379" s="217" t="inlineStr"/>
    </row>
    <row r="1380" ht="15.75" customHeight="1" s="305">
      <c r="A1380" s="67" t="n"/>
      <c r="B1380" s="67" t="n"/>
      <c r="C1380" s="67" t="n"/>
      <c r="D1380" s="3" t="n"/>
      <c r="E1380" s="3" t="n"/>
      <c r="G1380" t="inlineStr"/>
      <c r="H1380" t="inlineStr"/>
      <c r="I1380" s="74" t="n"/>
      <c r="J1380" s="217" t="inlineStr"/>
    </row>
    <row r="1381" ht="15.75" customHeight="1" s="305">
      <c r="A1381" s="67" t="n"/>
      <c r="B1381" s="67" t="n"/>
      <c r="C1381" s="67" t="n"/>
      <c r="D1381" s="3" t="n"/>
      <c r="E1381" s="3" t="n"/>
      <c r="G1381" t="inlineStr"/>
      <c r="H1381" t="inlineStr"/>
      <c r="I1381" s="74" t="n"/>
      <c r="J1381" s="217" t="inlineStr"/>
    </row>
    <row r="1382" ht="15.75" customHeight="1" s="305">
      <c r="A1382" s="67" t="n"/>
      <c r="B1382" s="67" t="n"/>
      <c r="C1382" s="67" t="n"/>
      <c r="D1382" s="3" t="n"/>
      <c r="E1382" s="3" t="n"/>
      <c r="G1382" t="inlineStr"/>
      <c r="H1382" t="inlineStr"/>
      <c r="I1382" s="74" t="n"/>
      <c r="J1382" s="217" t="inlineStr"/>
    </row>
    <row r="1383" ht="15.75" customHeight="1" s="305">
      <c r="A1383" s="67" t="n"/>
      <c r="B1383" s="67" t="n"/>
      <c r="C1383" s="67" t="n"/>
      <c r="D1383" s="3" t="n"/>
      <c r="E1383" s="3" t="n"/>
      <c r="G1383" t="inlineStr"/>
      <c r="H1383" t="inlineStr"/>
      <c r="I1383" s="74" t="n"/>
      <c r="J1383" s="217" t="inlineStr"/>
    </row>
    <row r="1384" ht="15.75" customHeight="1" s="305">
      <c r="A1384" s="67" t="n"/>
      <c r="B1384" s="67" t="n"/>
      <c r="C1384" s="67" t="n"/>
      <c r="D1384" s="3" t="n"/>
      <c r="E1384" s="3" t="n"/>
      <c r="G1384" t="inlineStr"/>
      <c r="H1384" t="inlineStr"/>
      <c r="I1384" s="74" t="n"/>
      <c r="J1384" s="217" t="inlineStr"/>
    </row>
    <row r="1385" ht="15.75" customHeight="1" s="305">
      <c r="A1385" s="67" t="n"/>
      <c r="B1385" s="67" t="n"/>
      <c r="C1385" s="67" t="n"/>
      <c r="D1385" s="3" t="n"/>
      <c r="E1385" s="3" t="n"/>
      <c r="G1385" t="inlineStr"/>
      <c r="H1385" t="inlineStr"/>
      <c r="I1385" s="74" t="n"/>
      <c r="J1385" s="217" t="inlineStr"/>
    </row>
    <row r="1386" ht="15.75" customHeight="1" s="305">
      <c r="A1386" s="67" t="n"/>
      <c r="B1386" s="67" t="n"/>
      <c r="C1386" s="67" t="n"/>
      <c r="D1386" s="3" t="n"/>
      <c r="E1386" s="3" t="n"/>
      <c r="G1386" t="inlineStr"/>
      <c r="H1386" t="inlineStr"/>
      <c r="I1386" s="74" t="n"/>
      <c r="J1386" s="217" t="inlineStr"/>
    </row>
    <row r="1387" ht="15.75" customHeight="1" s="305">
      <c r="A1387" s="67" t="n"/>
      <c r="B1387" s="67" t="n"/>
      <c r="C1387" s="67" t="n"/>
      <c r="D1387" s="3" t="n"/>
      <c r="E1387" s="3" t="n"/>
      <c r="G1387" t="inlineStr"/>
      <c r="H1387" t="inlineStr"/>
      <c r="I1387" s="74" t="n"/>
      <c r="J1387" s="217" t="inlineStr"/>
    </row>
    <row r="1388" ht="15.75" customHeight="1" s="305">
      <c r="A1388" s="67" t="n"/>
      <c r="B1388" s="67" t="n"/>
      <c r="C1388" s="67" t="n"/>
      <c r="D1388" s="3" t="n"/>
      <c r="E1388" s="3" t="n"/>
      <c r="G1388" t="inlineStr"/>
      <c r="H1388" t="inlineStr"/>
      <c r="I1388" s="74" t="n"/>
      <c r="J1388" s="217" t="inlineStr"/>
    </row>
    <row r="1389" ht="15.75" customHeight="1" s="305">
      <c r="A1389" s="67" t="n"/>
      <c r="B1389" s="67" t="n"/>
      <c r="C1389" s="67" t="n"/>
      <c r="D1389" s="3" t="n"/>
      <c r="E1389" s="3" t="n"/>
      <c r="G1389" t="inlineStr"/>
      <c r="H1389" t="inlineStr"/>
      <c r="I1389" s="74" t="n"/>
      <c r="J1389" s="217" t="inlineStr"/>
    </row>
    <row r="1390" ht="15.75" customHeight="1" s="305">
      <c r="A1390" s="67" t="n"/>
      <c r="B1390" s="67" t="n"/>
      <c r="C1390" s="67" t="n"/>
      <c r="D1390" s="3" t="n"/>
      <c r="E1390" s="3" t="n"/>
      <c r="G1390" t="inlineStr"/>
      <c r="H1390" t="inlineStr"/>
      <c r="I1390" s="74" t="n"/>
      <c r="J1390" s="217" t="inlineStr"/>
    </row>
    <row r="1391" ht="15.75" customHeight="1" s="305">
      <c r="A1391" s="67" t="n"/>
      <c r="B1391" s="67" t="n"/>
      <c r="C1391" s="67" t="n"/>
      <c r="D1391" s="3" t="n"/>
      <c r="E1391" s="3" t="n"/>
      <c r="G1391" t="inlineStr"/>
      <c r="H1391" t="inlineStr"/>
      <c r="I1391" s="74" t="n"/>
      <c r="J1391" s="217" t="inlineStr"/>
    </row>
    <row r="1392" ht="15.75" customHeight="1" s="305">
      <c r="A1392" s="67" t="n"/>
      <c r="B1392" s="67" t="n"/>
      <c r="C1392" s="67" t="n"/>
      <c r="D1392" s="3" t="n"/>
      <c r="E1392" s="3" t="n"/>
      <c r="G1392" t="inlineStr"/>
      <c r="H1392" t="inlineStr"/>
      <c r="I1392" s="74" t="n"/>
      <c r="J1392" s="217" t="inlineStr"/>
    </row>
    <row r="1393" ht="15.75" customHeight="1" s="305">
      <c r="A1393" s="67" t="n"/>
      <c r="B1393" s="67" t="n"/>
      <c r="C1393" s="67" t="n"/>
      <c r="D1393" s="3" t="n"/>
      <c r="E1393" s="3" t="n"/>
      <c r="G1393" t="inlineStr"/>
      <c r="H1393" t="inlineStr"/>
      <c r="I1393" s="74" t="n"/>
      <c r="J1393" s="217" t="inlineStr"/>
    </row>
    <row r="1394" ht="15.75" customHeight="1" s="305">
      <c r="A1394" s="67" t="n"/>
      <c r="B1394" s="67" t="n"/>
      <c r="C1394" s="67" t="n"/>
      <c r="D1394" s="3" t="n"/>
      <c r="E1394" s="3" t="n"/>
      <c r="G1394" t="inlineStr"/>
      <c r="H1394" t="inlineStr"/>
      <c r="I1394" s="74" t="n"/>
      <c r="J1394" s="217" t="inlineStr"/>
    </row>
    <row r="1395" ht="15.75" customHeight="1" s="305">
      <c r="A1395" s="67" t="n"/>
      <c r="B1395" s="67" t="n"/>
      <c r="C1395" s="67" t="n"/>
      <c r="D1395" s="3" t="n"/>
      <c r="E1395" s="3" t="n"/>
      <c r="G1395" t="inlineStr"/>
      <c r="H1395" t="inlineStr"/>
      <c r="I1395" s="74" t="n"/>
      <c r="J1395" s="217" t="inlineStr"/>
    </row>
    <row r="1396" ht="15.75" customHeight="1" s="305">
      <c r="A1396" s="67" t="n"/>
      <c r="B1396" s="67" t="n"/>
      <c r="C1396" s="67" t="n"/>
      <c r="D1396" s="3" t="n"/>
      <c r="E1396" s="3" t="n"/>
      <c r="G1396" t="inlineStr"/>
      <c r="H1396" t="inlineStr"/>
      <c r="I1396" s="74" t="n"/>
      <c r="J1396" s="217" t="inlineStr"/>
    </row>
    <row r="1397" ht="15.75" customHeight="1" s="305">
      <c r="A1397" s="67" t="n"/>
      <c r="B1397" s="67" t="n"/>
      <c r="C1397" s="67" t="n"/>
      <c r="D1397" s="3" t="n"/>
      <c r="E1397" s="3" t="n"/>
      <c r="G1397" t="inlineStr"/>
      <c r="H1397" t="inlineStr"/>
      <c r="I1397" s="74" t="n"/>
      <c r="J1397" s="217" t="inlineStr"/>
    </row>
    <row r="1398" ht="15.75" customHeight="1" s="305">
      <c r="A1398" s="67" t="n"/>
      <c r="B1398" s="67" t="n"/>
      <c r="C1398" s="67" t="n"/>
      <c r="D1398" s="3" t="n"/>
      <c r="E1398" s="3" t="n"/>
      <c r="G1398" t="inlineStr"/>
      <c r="H1398" t="inlineStr"/>
      <c r="I1398" s="74" t="n"/>
      <c r="J1398" s="217" t="inlineStr"/>
    </row>
    <row r="1399" ht="15.75" customHeight="1" s="305">
      <c r="A1399" s="67" t="n"/>
      <c r="B1399" s="67" t="n"/>
      <c r="C1399" s="67" t="n"/>
      <c r="D1399" s="3" t="n"/>
      <c r="E1399" s="3" t="n"/>
      <c r="G1399" t="inlineStr"/>
      <c r="H1399" t="inlineStr"/>
      <c r="I1399" s="74" t="n"/>
      <c r="J1399" s="217" t="inlineStr"/>
    </row>
    <row r="1400" ht="15.75" customHeight="1" s="305">
      <c r="A1400" s="67" t="n"/>
      <c r="B1400" s="67" t="n"/>
      <c r="C1400" s="67" t="n"/>
      <c r="D1400" s="3" t="n"/>
      <c r="E1400" s="3" t="n"/>
      <c r="G1400" t="inlineStr"/>
      <c r="H1400" t="inlineStr"/>
      <c r="I1400" s="74" t="n"/>
      <c r="J1400" s="217" t="inlineStr"/>
    </row>
    <row r="1401" ht="15.75" customHeight="1" s="305">
      <c r="A1401" s="67" t="n"/>
      <c r="B1401" s="67" t="n"/>
      <c r="C1401" s="67" t="n"/>
      <c r="D1401" s="3" t="n"/>
      <c r="E1401" s="3" t="n"/>
      <c r="G1401" t="inlineStr"/>
      <c r="H1401" t="inlineStr"/>
      <c r="I1401" s="74" t="n"/>
      <c r="J1401" s="217" t="inlineStr"/>
    </row>
    <row r="1402" ht="15.75" customHeight="1" s="305">
      <c r="A1402" s="67" t="n"/>
      <c r="B1402" s="67" t="n"/>
      <c r="C1402" s="67" t="n"/>
      <c r="D1402" s="3" t="n"/>
      <c r="E1402" s="3" t="n"/>
      <c r="G1402" t="inlineStr"/>
      <c r="H1402" t="inlineStr"/>
      <c r="I1402" s="74" t="n"/>
      <c r="J1402" s="217" t="inlineStr"/>
    </row>
    <row r="1403" ht="15.75" customHeight="1" s="305">
      <c r="A1403" s="67" t="n"/>
      <c r="B1403" s="67" t="n"/>
      <c r="C1403" s="67" t="n"/>
      <c r="D1403" s="3" t="n"/>
      <c r="E1403" s="3" t="n"/>
      <c r="G1403" t="inlineStr"/>
      <c r="H1403" t="inlineStr"/>
      <c r="I1403" s="74" t="n"/>
      <c r="J1403" s="217" t="inlineStr"/>
    </row>
    <row r="1404" ht="15.75" customHeight="1" s="305">
      <c r="A1404" s="67" t="n"/>
      <c r="B1404" s="67" t="n"/>
      <c r="C1404" s="67" t="n"/>
      <c r="D1404" s="3" t="n"/>
      <c r="E1404" s="3" t="n"/>
      <c r="G1404" t="inlineStr"/>
      <c r="H1404" t="inlineStr"/>
      <c r="I1404" s="74" t="n"/>
      <c r="J1404" s="217" t="inlineStr"/>
    </row>
    <row r="1405" ht="15.75" customHeight="1" s="305">
      <c r="A1405" s="67" t="n"/>
      <c r="B1405" s="67" t="n"/>
      <c r="C1405" s="67" t="n"/>
      <c r="D1405" s="3" t="n"/>
      <c r="E1405" s="3" t="n"/>
      <c r="G1405" t="inlineStr"/>
      <c r="H1405" t="inlineStr"/>
      <c r="I1405" s="74" t="n"/>
      <c r="J1405" s="217" t="inlineStr"/>
    </row>
    <row r="1406" ht="15.75" customHeight="1" s="305">
      <c r="A1406" s="67" t="n"/>
      <c r="B1406" s="67" t="n"/>
      <c r="C1406" s="67" t="n"/>
      <c r="D1406" s="3" t="n"/>
      <c r="E1406" s="3" t="n"/>
      <c r="G1406" t="inlineStr"/>
      <c r="H1406" t="inlineStr"/>
      <c r="I1406" s="74" t="n"/>
      <c r="J1406" s="217" t="inlineStr"/>
    </row>
    <row r="1407" ht="15.75" customHeight="1" s="305">
      <c r="A1407" s="67" t="n"/>
      <c r="B1407" s="67" t="n"/>
      <c r="C1407" s="67" t="n"/>
      <c r="D1407" s="3" t="n"/>
      <c r="E1407" s="3" t="n"/>
      <c r="G1407" t="inlineStr"/>
      <c r="H1407" t="inlineStr"/>
      <c r="I1407" s="74" t="n"/>
      <c r="J1407" s="217" t="inlineStr"/>
    </row>
    <row r="1408" ht="15.75" customHeight="1" s="305">
      <c r="A1408" s="67" t="n"/>
      <c r="B1408" s="67" t="n"/>
      <c r="C1408" s="67" t="n"/>
      <c r="D1408" s="3" t="n"/>
      <c r="E1408" s="3" t="n"/>
      <c r="G1408" t="inlineStr"/>
      <c r="H1408" t="inlineStr"/>
      <c r="I1408" s="74" t="n"/>
      <c r="J1408" s="217" t="inlineStr"/>
    </row>
    <row r="1409" ht="15.75" customHeight="1" s="305">
      <c r="A1409" s="67" t="n"/>
      <c r="B1409" s="67" t="n"/>
      <c r="C1409" s="67" t="n"/>
      <c r="D1409" s="3" t="n"/>
      <c r="E1409" s="3" t="n"/>
      <c r="G1409" t="inlineStr"/>
      <c r="H1409" t="inlineStr"/>
      <c r="I1409" s="74" t="n"/>
      <c r="J1409" s="217" t="inlineStr"/>
    </row>
    <row r="1410" ht="15.75" customHeight="1" s="305">
      <c r="A1410" s="67" t="n"/>
      <c r="B1410" s="67" t="n"/>
      <c r="C1410" s="67" t="n"/>
      <c r="D1410" s="3" t="n"/>
      <c r="E1410" s="3" t="n"/>
      <c r="G1410" t="inlineStr"/>
      <c r="H1410" t="inlineStr"/>
      <c r="I1410" s="74" t="n"/>
      <c r="J1410" s="217" t="inlineStr"/>
    </row>
    <row r="1411" ht="15.75" customHeight="1" s="305">
      <c r="A1411" s="67" t="n"/>
      <c r="B1411" s="67" t="n"/>
      <c r="C1411" s="67" t="n"/>
      <c r="D1411" s="3" t="n"/>
      <c r="E1411" s="3" t="n"/>
      <c r="G1411" t="inlineStr"/>
      <c r="H1411" t="inlineStr"/>
      <c r="I1411" s="74" t="n"/>
      <c r="J1411" s="217" t="inlineStr"/>
    </row>
    <row r="1412" ht="15.75" customHeight="1" s="305">
      <c r="A1412" s="67" t="n"/>
      <c r="B1412" s="67" t="n"/>
      <c r="C1412" s="67" t="n"/>
      <c r="D1412" s="3" t="n"/>
      <c r="E1412" s="3" t="n"/>
      <c r="G1412" t="inlineStr"/>
      <c r="H1412" t="inlineStr"/>
      <c r="I1412" s="74" t="n"/>
      <c r="J1412" s="217" t="inlineStr"/>
    </row>
    <row r="1413" ht="15.75" customHeight="1" s="305">
      <c r="A1413" s="67" t="n"/>
      <c r="B1413" s="67" t="n"/>
      <c r="C1413" s="67" t="n"/>
      <c r="D1413" s="3" t="n"/>
      <c r="E1413" s="3" t="n"/>
      <c r="G1413" t="inlineStr"/>
      <c r="H1413" t="inlineStr"/>
      <c r="I1413" s="74" t="n"/>
      <c r="J1413" s="217" t="inlineStr"/>
    </row>
    <row r="1414" ht="15.75" customHeight="1" s="305">
      <c r="A1414" s="67" t="n"/>
      <c r="B1414" s="67" t="n"/>
      <c r="C1414" s="67" t="n"/>
      <c r="D1414" s="3" t="n"/>
      <c r="E1414" s="3" t="n"/>
      <c r="G1414" t="inlineStr"/>
      <c r="H1414" t="inlineStr"/>
      <c r="I1414" s="74" t="n"/>
      <c r="J1414" s="217" t="inlineStr"/>
    </row>
    <row r="1415" ht="15.75" customHeight="1" s="305">
      <c r="A1415" s="67" t="n"/>
      <c r="B1415" s="67" t="n"/>
      <c r="C1415" s="67" t="n"/>
      <c r="D1415" s="3" t="n"/>
      <c r="E1415" s="3" t="n"/>
      <c r="G1415" t="inlineStr"/>
      <c r="H1415" t="inlineStr"/>
      <c r="I1415" s="74" t="n"/>
      <c r="J1415" s="217" t="inlineStr"/>
    </row>
    <row r="1416" ht="15.75" customHeight="1" s="305">
      <c r="A1416" s="67" t="n"/>
      <c r="B1416" s="67" t="n"/>
      <c r="C1416" s="67" t="n"/>
      <c r="D1416" s="3" t="n"/>
      <c r="E1416" s="3" t="n"/>
      <c r="G1416" t="inlineStr"/>
      <c r="H1416" t="inlineStr"/>
      <c r="I1416" s="74" t="n"/>
      <c r="J1416" s="217" t="inlineStr"/>
    </row>
    <row r="1417" ht="15.75" customHeight="1" s="305">
      <c r="A1417" s="67" t="n"/>
      <c r="B1417" s="67" t="n"/>
      <c r="C1417" s="67" t="n"/>
      <c r="D1417" s="3" t="n"/>
      <c r="E1417" s="3" t="n"/>
      <c r="G1417" t="inlineStr"/>
      <c r="H1417" t="inlineStr"/>
      <c r="I1417" s="74" t="n"/>
      <c r="J1417" s="217" t="inlineStr"/>
    </row>
    <row r="1418" ht="15.75" customHeight="1" s="305">
      <c r="A1418" s="67" t="n"/>
      <c r="B1418" s="67" t="n"/>
      <c r="C1418" s="67" t="n"/>
      <c r="D1418" s="3" t="n"/>
      <c r="E1418" s="3" t="n"/>
      <c r="G1418" t="inlineStr"/>
      <c r="H1418" t="inlineStr"/>
      <c r="I1418" s="74" t="n"/>
      <c r="J1418" s="217" t="inlineStr"/>
    </row>
    <row r="1419" ht="15.75" customHeight="1" s="305">
      <c r="A1419" s="67" t="n"/>
      <c r="B1419" s="67" t="n"/>
      <c r="C1419" s="67" t="n"/>
      <c r="D1419" s="3" t="n"/>
      <c r="E1419" s="3" t="n"/>
      <c r="G1419" t="inlineStr"/>
      <c r="H1419" t="inlineStr"/>
      <c r="I1419" s="74" t="n"/>
      <c r="J1419" s="217" t="inlineStr"/>
    </row>
    <row r="1420" ht="15.75" customHeight="1" s="305">
      <c r="A1420" s="67" t="n"/>
      <c r="B1420" s="67" t="n"/>
      <c r="C1420" s="67" t="n"/>
      <c r="D1420" s="3" t="n"/>
      <c r="E1420" s="3" t="n"/>
      <c r="G1420" t="inlineStr"/>
      <c r="H1420" t="inlineStr"/>
      <c r="I1420" s="74" t="n"/>
      <c r="J1420" s="217" t="inlineStr"/>
    </row>
    <row r="1421" ht="15.75" customHeight="1" s="305">
      <c r="A1421" s="67" t="n"/>
      <c r="B1421" s="67" t="n"/>
      <c r="C1421" s="67" t="n"/>
      <c r="D1421" s="3" t="n"/>
      <c r="E1421" s="3" t="n"/>
      <c r="G1421" t="inlineStr"/>
      <c r="H1421" t="inlineStr"/>
      <c r="I1421" s="74" t="n"/>
      <c r="J1421" s="217" t="inlineStr"/>
    </row>
    <row r="1422" ht="15.75" customHeight="1" s="305">
      <c r="A1422" s="67" t="n"/>
      <c r="B1422" s="67" t="n"/>
      <c r="C1422" s="67" t="n"/>
      <c r="D1422" s="3" t="n"/>
      <c r="E1422" s="3" t="n"/>
      <c r="G1422" t="inlineStr"/>
      <c r="H1422" t="inlineStr"/>
      <c r="I1422" s="74" t="n"/>
      <c r="J1422" s="217" t="inlineStr"/>
    </row>
    <row r="1423" ht="15.75" customHeight="1" s="305">
      <c r="A1423" s="67" t="n"/>
      <c r="B1423" s="67" t="n"/>
      <c r="C1423" s="67" t="n"/>
      <c r="D1423" s="3" t="n"/>
      <c r="E1423" s="3" t="n"/>
      <c r="G1423" t="inlineStr"/>
      <c r="H1423" t="inlineStr"/>
      <c r="I1423" s="74" t="n"/>
      <c r="J1423" s="217" t="inlineStr"/>
    </row>
    <row r="1424" ht="15.75" customHeight="1" s="305">
      <c r="A1424" s="67" t="n"/>
      <c r="B1424" s="67" t="n"/>
      <c r="C1424" s="67" t="n"/>
      <c r="D1424" s="3" t="n"/>
      <c r="E1424" s="3" t="n"/>
      <c r="G1424" t="inlineStr"/>
      <c r="H1424" t="inlineStr"/>
      <c r="I1424" s="74" t="n"/>
      <c r="J1424" s="217" t="inlineStr"/>
    </row>
    <row r="1425" ht="15.75" customHeight="1" s="305">
      <c r="A1425" s="67" t="n"/>
      <c r="B1425" s="67" t="n"/>
      <c r="C1425" s="67" t="n"/>
      <c r="D1425" s="3" t="n"/>
      <c r="E1425" s="3" t="n"/>
      <c r="G1425" t="inlineStr"/>
      <c r="H1425" t="inlineStr"/>
      <c r="I1425" s="74" t="n"/>
      <c r="J1425" s="217" t="inlineStr"/>
    </row>
    <row r="1426" ht="15.75" customHeight="1" s="305">
      <c r="A1426" s="67" t="n"/>
      <c r="B1426" s="67" t="n"/>
      <c r="C1426" s="67" t="n"/>
      <c r="D1426" s="3" t="n"/>
      <c r="E1426" s="3" t="n"/>
      <c r="G1426" t="inlineStr"/>
      <c r="H1426" t="inlineStr"/>
      <c r="I1426" s="74" t="n"/>
      <c r="J1426" s="217" t="inlineStr"/>
    </row>
    <row r="1427" ht="15.75" customHeight="1" s="305">
      <c r="A1427" s="67" t="n"/>
      <c r="B1427" s="67" t="n"/>
      <c r="C1427" s="67" t="n"/>
      <c r="D1427" s="3" t="n"/>
      <c r="E1427" s="3" t="n"/>
      <c r="G1427" t="inlineStr"/>
      <c r="H1427" t="inlineStr"/>
      <c r="I1427" s="74" t="n"/>
      <c r="J1427" s="217" t="inlineStr"/>
    </row>
    <row r="1428" ht="15.75" customHeight="1" s="305">
      <c r="A1428" s="67" t="n"/>
      <c r="B1428" s="67" t="n"/>
      <c r="C1428" s="67" t="n"/>
      <c r="D1428" s="3" t="n"/>
      <c r="E1428" s="3" t="n"/>
      <c r="G1428" t="inlineStr"/>
      <c r="H1428" t="inlineStr"/>
      <c r="I1428" s="74" t="n"/>
      <c r="J1428" s="217" t="inlineStr"/>
    </row>
    <row r="1429" ht="15.75" customHeight="1" s="305">
      <c r="A1429" s="67" t="n"/>
      <c r="B1429" s="67" t="n"/>
      <c r="C1429" s="67" t="n"/>
      <c r="D1429" s="3" t="n"/>
      <c r="E1429" s="3" t="n"/>
      <c r="G1429" t="inlineStr"/>
      <c r="H1429" t="inlineStr"/>
      <c r="I1429" s="74" t="n"/>
      <c r="J1429" s="217" t="inlineStr"/>
    </row>
    <row r="1430" ht="15.75" customHeight="1" s="305">
      <c r="A1430" s="67" t="n"/>
      <c r="B1430" s="67" t="n"/>
      <c r="C1430" s="67" t="n"/>
      <c r="D1430" s="3" t="n"/>
      <c r="E1430" s="3" t="n"/>
      <c r="G1430" t="inlineStr"/>
      <c r="H1430" t="inlineStr"/>
      <c r="I1430" s="74" t="n"/>
      <c r="J1430" s="217" t="inlineStr"/>
    </row>
    <row r="1431" ht="15.75" customHeight="1" s="305">
      <c r="A1431" s="67" t="n"/>
      <c r="B1431" s="67" t="n"/>
      <c r="C1431" s="67" t="n"/>
      <c r="D1431" s="3" t="n"/>
      <c r="E1431" s="3" t="n"/>
      <c r="G1431" t="inlineStr"/>
      <c r="H1431" t="inlineStr"/>
      <c r="I1431" s="74" t="n"/>
      <c r="J1431" s="217" t="inlineStr"/>
    </row>
    <row r="1432" ht="15.75" customHeight="1" s="305">
      <c r="A1432" s="67" t="n"/>
      <c r="B1432" s="67" t="n"/>
      <c r="C1432" s="67" t="n"/>
      <c r="D1432" s="3" t="n"/>
      <c r="E1432" s="3" t="n"/>
      <c r="G1432" t="inlineStr"/>
      <c r="H1432" t="inlineStr"/>
      <c r="I1432" s="74" t="n"/>
      <c r="J1432" s="217" t="inlineStr"/>
    </row>
    <row r="1433" ht="15.75" customHeight="1" s="305">
      <c r="A1433" s="67" t="n"/>
      <c r="B1433" s="67" t="n"/>
      <c r="C1433" s="67" t="n"/>
      <c r="D1433" s="3" t="n"/>
      <c r="E1433" s="3" t="n"/>
      <c r="G1433" t="inlineStr"/>
      <c r="H1433" t="inlineStr"/>
      <c r="I1433" s="74" t="n"/>
      <c r="J1433" s="217" t="inlineStr"/>
    </row>
    <row r="1434" ht="15.75" customHeight="1" s="305">
      <c r="A1434" s="67" t="n"/>
      <c r="B1434" s="67" t="n"/>
      <c r="C1434" s="67" t="n"/>
      <c r="D1434" s="3" t="n"/>
      <c r="E1434" s="3" t="n"/>
      <c r="G1434" t="inlineStr"/>
      <c r="H1434" t="inlineStr"/>
      <c r="I1434" s="74" t="n"/>
      <c r="J1434" s="217" t="inlineStr"/>
    </row>
    <row r="1435" ht="15.75" customHeight="1" s="305">
      <c r="A1435" s="67" t="n"/>
      <c r="B1435" s="67" t="n"/>
      <c r="C1435" s="67" t="n"/>
      <c r="D1435" s="3" t="n"/>
      <c r="E1435" s="3" t="n"/>
      <c r="G1435" t="inlineStr"/>
      <c r="H1435" t="inlineStr"/>
      <c r="I1435" s="74" t="n"/>
      <c r="J1435" s="217" t="inlineStr"/>
    </row>
    <row r="1436" ht="15.75" customHeight="1" s="305">
      <c r="A1436" s="67" t="n"/>
      <c r="B1436" s="67" t="n"/>
      <c r="C1436" s="67" t="n"/>
      <c r="D1436" s="3" t="n"/>
      <c r="E1436" s="3" t="n"/>
      <c r="G1436" t="inlineStr"/>
      <c r="H1436" t="inlineStr"/>
      <c r="I1436" s="74" t="n"/>
      <c r="J1436" s="217" t="inlineStr"/>
    </row>
    <row r="1437" ht="15.75" customHeight="1" s="305">
      <c r="A1437" s="67" t="n"/>
      <c r="B1437" s="67" t="n"/>
      <c r="C1437" s="67" t="n"/>
      <c r="D1437" s="3" t="n"/>
      <c r="E1437" s="3" t="n"/>
      <c r="G1437" t="inlineStr"/>
      <c r="H1437" t="inlineStr"/>
      <c r="I1437" s="74" t="n"/>
      <c r="J1437" s="217" t="inlineStr"/>
    </row>
    <row r="1438" ht="15.75" customHeight="1" s="305">
      <c r="A1438" s="67" t="n"/>
      <c r="B1438" s="67" t="n"/>
      <c r="C1438" s="67" t="n"/>
      <c r="D1438" s="3" t="n"/>
      <c r="E1438" s="3" t="n"/>
      <c r="G1438" t="inlineStr"/>
      <c r="H1438" t="inlineStr"/>
      <c r="I1438" s="74" t="n"/>
      <c r="J1438" s="217" t="inlineStr"/>
    </row>
    <row r="1439" ht="15.75" customHeight="1" s="305">
      <c r="A1439" s="67" t="n"/>
      <c r="B1439" s="67" t="n"/>
      <c r="C1439" s="67" t="n"/>
      <c r="D1439" s="3" t="n"/>
      <c r="E1439" s="3" t="n"/>
      <c r="G1439" t="inlineStr"/>
      <c r="H1439" t="inlineStr"/>
      <c r="I1439" s="74" t="n"/>
      <c r="J1439" s="217" t="inlineStr"/>
    </row>
    <row r="1440" ht="15.75" customHeight="1" s="305">
      <c r="A1440" s="67" t="n"/>
      <c r="B1440" s="67" t="n"/>
      <c r="C1440" s="67" t="n"/>
      <c r="D1440" s="3" t="n"/>
      <c r="E1440" s="3" t="n"/>
      <c r="G1440" t="inlineStr"/>
      <c r="H1440" t="inlineStr"/>
      <c r="I1440" s="74" t="n"/>
      <c r="J1440" s="217" t="inlineStr"/>
    </row>
    <row r="1441" ht="15.75" customHeight="1" s="305">
      <c r="A1441" s="67" t="n"/>
      <c r="B1441" s="67" t="n"/>
      <c r="C1441" s="67" t="n"/>
      <c r="D1441" s="3" t="n"/>
      <c r="E1441" s="3" t="n"/>
      <c r="G1441" t="inlineStr"/>
      <c r="H1441" t="inlineStr"/>
      <c r="I1441" s="74" t="n"/>
      <c r="J1441" s="217" t="inlineStr"/>
    </row>
    <row r="1442" ht="15.75" customHeight="1" s="305">
      <c r="A1442" s="67" t="n"/>
      <c r="B1442" s="67" t="n"/>
      <c r="C1442" s="67" t="n"/>
      <c r="D1442" s="3" t="n"/>
      <c r="E1442" s="3" t="n"/>
      <c r="G1442" t="inlineStr"/>
      <c r="H1442" t="inlineStr"/>
      <c r="I1442" s="74" t="n"/>
      <c r="J1442" s="217" t="inlineStr"/>
    </row>
    <row r="1443" ht="15.75" customHeight="1" s="305">
      <c r="A1443" s="67" t="n"/>
      <c r="B1443" s="67" t="n"/>
      <c r="C1443" s="67" t="n"/>
      <c r="D1443" s="3" t="n"/>
      <c r="E1443" s="3" t="n"/>
      <c r="G1443" t="inlineStr"/>
      <c r="H1443" t="inlineStr"/>
      <c r="I1443" s="74" t="n"/>
      <c r="J1443" s="217" t="inlineStr"/>
    </row>
    <row r="1444" ht="15.75" customHeight="1" s="305">
      <c r="A1444" s="67" t="n"/>
      <c r="B1444" s="67" t="n"/>
      <c r="C1444" s="67" t="n"/>
      <c r="D1444" s="3" t="n"/>
      <c r="E1444" s="3" t="n"/>
      <c r="G1444" t="inlineStr"/>
      <c r="H1444" t="inlineStr"/>
      <c r="I1444" s="74" t="n"/>
      <c r="J1444" s="217" t="inlineStr"/>
    </row>
    <row r="1445" ht="15.75" customHeight="1" s="305">
      <c r="A1445" s="67" t="n"/>
      <c r="B1445" s="67" t="n"/>
      <c r="C1445" s="67" t="n"/>
      <c r="D1445" s="3" t="n"/>
      <c r="E1445" s="3" t="n"/>
      <c r="G1445" t="inlineStr"/>
      <c r="H1445" t="inlineStr"/>
      <c r="I1445" s="74" t="n"/>
      <c r="J1445" s="217" t="inlineStr"/>
    </row>
    <row r="1446" ht="15.75" customHeight="1" s="305">
      <c r="A1446" s="67" t="n"/>
      <c r="B1446" s="67" t="n"/>
      <c r="C1446" s="67" t="n"/>
      <c r="D1446" s="3" t="n"/>
      <c r="E1446" s="3" t="n"/>
      <c r="G1446" t="inlineStr"/>
      <c r="H1446" t="inlineStr"/>
      <c r="I1446" s="74" t="n"/>
      <c r="J1446" s="217" t="inlineStr"/>
    </row>
    <row r="1447" ht="15.75" customHeight="1" s="305">
      <c r="A1447" s="67" t="n"/>
      <c r="B1447" s="67" t="n"/>
      <c r="C1447" s="67" t="n"/>
      <c r="D1447" s="3" t="n"/>
      <c r="E1447" s="3" t="n"/>
      <c r="G1447" t="inlineStr"/>
      <c r="H1447" t="inlineStr"/>
      <c r="I1447" s="74" t="n"/>
      <c r="J1447" s="217" t="inlineStr"/>
    </row>
    <row r="1448" ht="15.75" customHeight="1" s="305">
      <c r="A1448" s="67" t="n"/>
      <c r="B1448" s="67" t="n"/>
      <c r="C1448" s="67" t="n"/>
      <c r="D1448" s="3" t="n"/>
      <c r="E1448" s="3" t="n"/>
      <c r="G1448" t="inlineStr"/>
      <c r="H1448" t="inlineStr"/>
      <c r="I1448" s="74" t="n"/>
      <c r="J1448" s="217" t="inlineStr"/>
    </row>
    <row r="1449" ht="15.75" customHeight="1" s="305">
      <c r="A1449" s="67" t="n"/>
      <c r="B1449" s="67" t="n"/>
      <c r="C1449" s="67" t="n"/>
      <c r="D1449" s="3" t="n"/>
      <c r="E1449" s="3" t="n"/>
      <c r="G1449" t="inlineStr"/>
      <c r="H1449" t="inlineStr"/>
      <c r="I1449" s="74" t="n"/>
      <c r="J1449" s="217" t="inlineStr"/>
    </row>
    <row r="1450" ht="15.75" customHeight="1" s="305">
      <c r="A1450" s="67" t="n"/>
      <c r="B1450" s="67" t="n"/>
      <c r="C1450" s="67" t="n"/>
      <c r="D1450" s="3" t="n"/>
      <c r="E1450" s="3" t="n"/>
      <c r="G1450" t="inlineStr"/>
      <c r="H1450" t="inlineStr"/>
      <c r="I1450" s="74" t="n"/>
      <c r="J1450" s="217" t="inlineStr"/>
    </row>
    <row r="1451" ht="15.75" customHeight="1" s="305">
      <c r="A1451" s="67" t="n"/>
      <c r="B1451" s="67" t="n"/>
      <c r="C1451" s="67" t="n"/>
      <c r="D1451" s="3" t="n"/>
      <c r="E1451" s="3" t="n"/>
      <c r="G1451" t="inlineStr"/>
      <c r="H1451" t="inlineStr"/>
      <c r="I1451" s="74" t="n"/>
      <c r="J1451" s="217" t="inlineStr"/>
    </row>
    <row r="1452" ht="15.75" customHeight="1" s="305">
      <c r="A1452" s="67" t="n"/>
      <c r="B1452" s="67" t="n"/>
      <c r="C1452" s="67" t="n"/>
      <c r="D1452" s="3" t="n"/>
      <c r="E1452" s="3" t="n"/>
      <c r="G1452" t="inlineStr"/>
      <c r="H1452" t="inlineStr"/>
      <c r="I1452" s="74" t="n"/>
      <c r="J1452" s="217" t="inlineStr"/>
    </row>
    <row r="1453" ht="15.75" customHeight="1" s="305">
      <c r="A1453" s="67" t="n"/>
      <c r="B1453" s="67" t="n"/>
      <c r="C1453" s="67" t="n"/>
      <c r="D1453" s="3" t="n"/>
      <c r="E1453" s="3" t="n"/>
      <c r="G1453" t="inlineStr"/>
      <c r="H1453" t="inlineStr"/>
      <c r="I1453" s="74" t="n"/>
      <c r="J1453" s="217" t="inlineStr"/>
    </row>
    <row r="1454" ht="15.75" customHeight="1" s="305">
      <c r="A1454" s="67" t="n"/>
      <c r="B1454" s="67" t="n"/>
      <c r="C1454" s="67" t="n"/>
      <c r="D1454" s="3" t="n"/>
      <c r="E1454" s="3" t="n"/>
      <c r="G1454" t="inlineStr"/>
      <c r="H1454" t="inlineStr"/>
      <c r="I1454" s="74" t="n"/>
      <c r="J1454" s="217" t="inlineStr"/>
    </row>
    <row r="1455" ht="15.75" customHeight="1" s="305">
      <c r="A1455" s="67" t="n"/>
      <c r="B1455" s="67" t="n"/>
      <c r="C1455" s="67" t="n"/>
      <c r="D1455" s="3" t="n"/>
      <c r="E1455" s="3" t="n"/>
      <c r="G1455" t="inlineStr"/>
      <c r="H1455" t="inlineStr"/>
      <c r="I1455" s="74" t="n"/>
      <c r="J1455" s="217" t="inlineStr"/>
    </row>
    <row r="1456" ht="15.75" customHeight="1" s="305">
      <c r="A1456" s="67" t="n"/>
      <c r="B1456" s="67" t="n"/>
      <c r="C1456" s="67" t="n"/>
      <c r="D1456" s="3" t="n"/>
      <c r="E1456" s="3" t="n"/>
      <c r="G1456" t="inlineStr"/>
      <c r="H1456" t="inlineStr"/>
      <c r="I1456" s="74" t="n"/>
      <c r="J1456" s="217" t="inlineStr"/>
    </row>
    <row r="1457" ht="15.75" customHeight="1" s="305">
      <c r="A1457" s="67" t="n"/>
      <c r="B1457" s="67" t="n"/>
      <c r="C1457" s="67" t="n"/>
      <c r="D1457" s="3" t="n"/>
      <c r="E1457" s="3" t="n"/>
      <c r="G1457" t="inlineStr"/>
      <c r="H1457" t="inlineStr"/>
      <c r="I1457" s="74" t="n"/>
      <c r="J1457" s="217" t="inlineStr"/>
    </row>
    <row r="1458" ht="15.75" customHeight="1" s="305">
      <c r="A1458" s="67" t="n"/>
      <c r="B1458" s="67" t="n"/>
      <c r="C1458" s="67" t="n"/>
      <c r="D1458" s="3" t="n"/>
      <c r="E1458" s="3" t="n"/>
      <c r="G1458" t="inlineStr"/>
      <c r="H1458" t="inlineStr"/>
      <c r="I1458" s="74" t="n"/>
      <c r="J1458" s="217" t="inlineStr"/>
    </row>
    <row r="1459" ht="15.75" customHeight="1" s="305">
      <c r="A1459" s="67" t="n"/>
      <c r="B1459" s="67" t="n"/>
      <c r="C1459" s="67" t="n"/>
      <c r="D1459" s="3" t="n"/>
      <c r="E1459" s="3" t="n"/>
      <c r="G1459" t="inlineStr"/>
      <c r="H1459" t="inlineStr"/>
      <c r="I1459" s="74" t="n"/>
      <c r="J1459" s="217" t="inlineStr"/>
    </row>
    <row r="1460" ht="15.75" customHeight="1" s="305">
      <c r="A1460" s="67" t="n"/>
      <c r="B1460" s="67" t="n"/>
      <c r="C1460" s="67" t="n"/>
      <c r="D1460" s="3" t="n"/>
      <c r="E1460" s="3" t="n"/>
      <c r="G1460" t="inlineStr"/>
      <c r="H1460" t="inlineStr"/>
      <c r="I1460" s="74" t="n"/>
      <c r="J1460" s="217" t="inlineStr"/>
    </row>
    <row r="1461" ht="15.75" customHeight="1" s="305">
      <c r="A1461" s="67" t="n"/>
      <c r="B1461" s="67" t="n"/>
      <c r="C1461" s="67" t="n"/>
      <c r="D1461" s="3" t="n"/>
      <c r="E1461" s="3" t="n"/>
      <c r="G1461" t="inlineStr"/>
      <c r="H1461" t="inlineStr"/>
      <c r="I1461" s="74" t="n"/>
      <c r="J1461" s="217" t="inlineStr"/>
    </row>
    <row r="1462" ht="15.75" customHeight="1" s="305">
      <c r="A1462" s="67" t="n"/>
      <c r="B1462" s="67" t="n"/>
      <c r="C1462" s="67" t="n"/>
      <c r="D1462" s="3" t="n"/>
      <c r="E1462" s="3" t="n"/>
      <c r="G1462" t="inlineStr"/>
      <c r="H1462" t="inlineStr"/>
      <c r="I1462" s="74" t="n"/>
      <c r="J1462" s="217" t="inlineStr"/>
    </row>
    <row r="1463" ht="15.75" customHeight="1" s="305">
      <c r="A1463" s="67" t="n"/>
      <c r="B1463" s="67" t="n"/>
      <c r="C1463" s="67" t="n"/>
      <c r="D1463" s="3" t="n"/>
      <c r="E1463" s="3" t="n"/>
      <c r="G1463" t="inlineStr"/>
      <c r="H1463" t="inlineStr"/>
      <c r="I1463" s="74" t="n"/>
      <c r="J1463" s="217" t="inlineStr"/>
    </row>
    <row r="1464" ht="15.75" customHeight="1" s="305">
      <c r="A1464" s="67" t="n"/>
      <c r="B1464" s="67" t="n"/>
      <c r="C1464" s="67" t="n"/>
      <c r="D1464" s="3" t="n"/>
      <c r="E1464" s="3" t="n"/>
      <c r="G1464" t="inlineStr"/>
      <c r="H1464" t="inlineStr"/>
      <c r="I1464" s="74" t="n"/>
      <c r="J1464" s="217" t="inlineStr"/>
    </row>
    <row r="1465" ht="15.75" customHeight="1" s="305">
      <c r="A1465" s="67" t="n"/>
      <c r="B1465" s="67" t="n"/>
      <c r="C1465" s="67" t="n"/>
      <c r="D1465" s="3" t="n"/>
      <c r="E1465" s="3" t="n"/>
      <c r="G1465" t="inlineStr"/>
      <c r="H1465" t="inlineStr"/>
      <c r="I1465" s="74" t="n"/>
      <c r="J1465" s="217" t="inlineStr"/>
    </row>
    <row r="1466" ht="15.75" customHeight="1" s="305">
      <c r="A1466" s="67" t="n"/>
      <c r="B1466" s="67" t="n"/>
      <c r="C1466" s="67" t="n"/>
      <c r="D1466" s="3" t="n"/>
      <c r="E1466" s="3" t="n"/>
      <c r="G1466" t="inlineStr"/>
      <c r="H1466" t="inlineStr"/>
      <c r="I1466" s="74" t="n"/>
      <c r="J1466" s="217" t="inlineStr"/>
    </row>
    <row r="1467" ht="15.75" customHeight="1" s="305">
      <c r="A1467" s="67" t="n"/>
      <c r="B1467" s="67" t="n"/>
      <c r="C1467" s="67" t="n"/>
      <c r="D1467" s="3" t="n"/>
      <c r="E1467" s="3" t="n"/>
      <c r="G1467" t="inlineStr"/>
      <c r="H1467" t="inlineStr"/>
      <c r="I1467" s="74" t="n"/>
      <c r="J1467" s="217" t="inlineStr"/>
    </row>
    <row r="1468" ht="15.75" customHeight="1" s="305">
      <c r="A1468" s="67" t="n"/>
      <c r="B1468" s="67" t="n"/>
      <c r="C1468" s="67" t="n"/>
      <c r="D1468" s="3" t="n"/>
      <c r="E1468" s="3" t="n"/>
      <c r="G1468" t="inlineStr"/>
      <c r="H1468" t="inlineStr"/>
      <c r="I1468" s="74" t="n"/>
      <c r="J1468" s="217" t="inlineStr"/>
    </row>
    <row r="1469" ht="15.75" customHeight="1" s="305">
      <c r="A1469" s="67" t="n"/>
      <c r="B1469" s="67" t="n"/>
      <c r="C1469" s="67" t="n"/>
      <c r="D1469" s="3" t="n"/>
      <c r="E1469" s="3" t="n"/>
      <c r="G1469" t="inlineStr"/>
      <c r="H1469" t="inlineStr"/>
      <c r="I1469" s="74" t="n"/>
      <c r="J1469" s="217" t="inlineStr"/>
    </row>
    <row r="1470" ht="15.75" customHeight="1" s="305">
      <c r="A1470" s="67" t="n"/>
      <c r="B1470" s="67" t="n"/>
      <c r="C1470" s="67" t="n"/>
      <c r="D1470" s="3" t="n"/>
      <c r="E1470" s="3" t="n"/>
      <c r="G1470" t="inlineStr"/>
      <c r="H1470" t="inlineStr"/>
      <c r="I1470" s="74" t="n"/>
      <c r="J1470" s="217" t="inlineStr"/>
    </row>
    <row r="1471" ht="15.75" customHeight="1" s="305">
      <c r="A1471" s="67" t="n"/>
      <c r="B1471" s="67" t="n"/>
      <c r="C1471" s="67" t="n"/>
      <c r="D1471" s="3" t="n"/>
      <c r="E1471" s="3" t="n"/>
      <c r="G1471" t="inlineStr"/>
      <c r="H1471" t="inlineStr"/>
      <c r="I1471" s="74" t="n"/>
      <c r="J1471" s="217" t="inlineStr"/>
    </row>
    <row r="1472" ht="15.75" customHeight="1" s="305">
      <c r="A1472" s="67" t="n"/>
      <c r="B1472" s="67" t="n"/>
      <c r="C1472" s="67" t="n"/>
      <c r="D1472" s="3" t="n"/>
      <c r="E1472" s="3" t="n"/>
      <c r="G1472" t="inlineStr"/>
      <c r="H1472" t="inlineStr"/>
      <c r="I1472" s="74" t="n"/>
      <c r="J1472" s="217" t="inlineStr"/>
    </row>
    <row r="1473" ht="15.75" customHeight="1" s="305">
      <c r="A1473" s="67" t="n"/>
      <c r="B1473" s="67" t="n"/>
      <c r="C1473" s="67" t="n"/>
      <c r="D1473" s="3" t="n"/>
      <c r="E1473" s="3" t="n"/>
      <c r="G1473" t="inlineStr"/>
      <c r="H1473" t="inlineStr"/>
      <c r="I1473" s="74" t="n"/>
      <c r="J1473" s="217" t="inlineStr"/>
    </row>
    <row r="1474" ht="15.75" customHeight="1" s="305">
      <c r="A1474" s="67" t="n"/>
      <c r="B1474" s="67" t="n"/>
      <c r="C1474" s="67" t="n"/>
      <c r="D1474" s="3" t="n"/>
      <c r="E1474" s="3" t="n"/>
      <c r="G1474" t="inlineStr"/>
      <c r="H1474" t="inlineStr"/>
      <c r="I1474" s="74" t="n"/>
      <c r="J1474" s="217" t="inlineStr"/>
    </row>
    <row r="1475" ht="15.75" customHeight="1" s="305">
      <c r="A1475" s="67" t="n"/>
      <c r="B1475" s="67" t="n"/>
      <c r="C1475" s="67" t="n"/>
      <c r="D1475" s="3" t="n"/>
      <c r="E1475" s="3" t="n"/>
      <c r="G1475" t="inlineStr"/>
      <c r="H1475" t="inlineStr"/>
      <c r="I1475" s="74" t="n"/>
      <c r="J1475" s="217" t="inlineStr"/>
    </row>
    <row r="1476" ht="15.75" customHeight="1" s="305">
      <c r="A1476" s="67" t="n"/>
      <c r="B1476" s="67" t="n"/>
      <c r="C1476" s="67" t="n"/>
      <c r="D1476" s="3" t="n"/>
      <c r="E1476" s="3" t="n"/>
      <c r="G1476" t="inlineStr"/>
      <c r="H1476" t="inlineStr"/>
      <c r="I1476" s="74" t="n"/>
      <c r="J1476" s="217" t="inlineStr"/>
    </row>
    <row r="1477" ht="15.75" customHeight="1" s="305">
      <c r="A1477" s="67" t="n"/>
      <c r="B1477" s="67" t="n"/>
      <c r="C1477" s="67" t="n"/>
      <c r="D1477" s="3" t="n"/>
      <c r="E1477" s="3" t="n"/>
      <c r="G1477" t="inlineStr"/>
      <c r="H1477" t="inlineStr"/>
      <c r="I1477" s="74" t="n"/>
      <c r="J1477" s="217" t="inlineStr"/>
    </row>
    <row r="1478" ht="15.75" customHeight="1" s="305">
      <c r="A1478" s="67" t="n"/>
      <c r="B1478" s="67" t="n"/>
      <c r="C1478" s="67" t="n"/>
      <c r="D1478" s="3" t="n"/>
      <c r="E1478" s="3" t="n"/>
      <c r="G1478" t="inlineStr"/>
      <c r="H1478" t="inlineStr"/>
      <c r="I1478" s="74" t="n"/>
      <c r="J1478" s="217" t="inlineStr"/>
    </row>
    <row r="1479" ht="15.75" customHeight="1" s="305">
      <c r="A1479" s="67" t="n"/>
      <c r="B1479" s="67" t="n"/>
      <c r="C1479" s="67" t="n"/>
      <c r="D1479" s="3" t="n"/>
      <c r="E1479" s="3" t="n"/>
      <c r="G1479" s="3" t="inlineStr"/>
      <c r="H1479" t="inlineStr"/>
      <c r="I1479" s="74" t="n"/>
      <c r="J1479" s="217" t="inlineStr"/>
    </row>
    <row r="1480" ht="15.75" customHeight="1" s="305">
      <c r="A1480" s="67" t="n"/>
      <c r="B1480" s="67" t="n"/>
      <c r="C1480" s="67" t="n"/>
      <c r="D1480" s="3" t="n"/>
      <c r="E1480" s="3" t="n"/>
      <c r="G1480" t="inlineStr"/>
      <c r="H1480" t="inlineStr"/>
      <c r="I1480" s="74" t="n"/>
      <c r="J1480" s="217" t="inlineStr"/>
    </row>
    <row r="1481" ht="15.75" customHeight="1" s="305">
      <c r="A1481" s="67" t="n"/>
      <c r="B1481" s="67" t="n"/>
      <c r="C1481" s="67" t="n"/>
      <c r="D1481" s="3" t="n"/>
      <c r="E1481" s="3" t="n"/>
      <c r="G1481" t="inlineStr"/>
      <c r="H1481" t="inlineStr"/>
      <c r="I1481" s="74" t="n"/>
      <c r="J1481" s="217" t="inlineStr"/>
    </row>
    <row r="1482" ht="15.75" customHeight="1" s="305">
      <c r="A1482" s="67" t="n"/>
      <c r="B1482" s="67" t="n"/>
      <c r="C1482" s="67" t="n"/>
      <c r="D1482" s="3" t="n"/>
      <c r="E1482" s="3" t="n"/>
      <c r="G1482" t="inlineStr"/>
      <c r="H1482" t="inlineStr"/>
      <c r="I1482" s="74" t="n"/>
      <c r="J1482" s="217" t="inlineStr"/>
    </row>
    <row r="1483" ht="15.75" customHeight="1" s="305">
      <c r="A1483" s="67" t="n"/>
      <c r="B1483" s="67" t="n"/>
      <c r="C1483" s="67" t="n"/>
      <c r="D1483" s="3" t="n"/>
      <c r="E1483" s="3" t="n"/>
      <c r="G1483" t="inlineStr"/>
      <c r="H1483" t="inlineStr"/>
      <c r="I1483" s="74" t="n"/>
      <c r="J1483" s="217" t="inlineStr"/>
    </row>
    <row r="1484" ht="15.75" customHeight="1" s="305">
      <c r="A1484" s="67" t="n"/>
      <c r="B1484" s="67" t="n"/>
      <c r="C1484" s="67" t="n"/>
      <c r="D1484" s="3" t="n"/>
      <c r="E1484" s="3" t="n"/>
      <c r="G1484" t="inlineStr"/>
      <c r="H1484" t="inlineStr"/>
      <c r="I1484" s="74" t="n"/>
      <c r="J1484" s="217" t="inlineStr"/>
    </row>
    <row r="1485" ht="15.75" customHeight="1" s="305">
      <c r="A1485" s="67" t="n"/>
      <c r="B1485" s="67" t="n"/>
      <c r="C1485" s="67" t="n"/>
      <c r="D1485" s="3" t="n"/>
      <c r="E1485" s="3" t="n"/>
      <c r="G1485" t="inlineStr"/>
      <c r="H1485" t="inlineStr"/>
      <c r="I1485" s="74" t="n"/>
      <c r="J1485" s="217" t="inlineStr"/>
    </row>
    <row r="1486" ht="15.75" customHeight="1" s="305">
      <c r="A1486" s="67" t="n"/>
      <c r="B1486" s="67" t="n"/>
      <c r="C1486" s="67" t="n"/>
      <c r="D1486" s="3" t="n"/>
      <c r="E1486" s="3" t="n"/>
      <c r="G1486" t="inlineStr"/>
      <c r="H1486" t="inlineStr"/>
      <c r="I1486" s="74" t="n"/>
      <c r="J1486" s="217" t="inlineStr"/>
    </row>
    <row r="1487" ht="15.75" customHeight="1" s="305">
      <c r="A1487" s="67" t="n"/>
      <c r="B1487" s="67" t="n"/>
      <c r="C1487" s="67" t="n"/>
      <c r="D1487" s="3" t="n"/>
      <c r="E1487" s="3" t="n"/>
      <c r="G1487" t="inlineStr"/>
      <c r="H1487" t="inlineStr"/>
      <c r="I1487" s="74" t="n"/>
      <c r="J1487" s="217" t="inlineStr"/>
    </row>
    <row r="1488" ht="15.75" customHeight="1" s="305">
      <c r="A1488" s="67" t="n"/>
      <c r="B1488" s="67" t="n"/>
      <c r="C1488" s="67" t="n"/>
      <c r="D1488" s="3" t="n"/>
      <c r="E1488" s="3" t="n"/>
      <c r="G1488" t="inlineStr"/>
      <c r="H1488" t="inlineStr"/>
      <c r="I1488" s="74" t="n"/>
      <c r="J1488" s="217" t="inlineStr"/>
    </row>
    <row r="1489" ht="15.75" customHeight="1" s="305">
      <c r="A1489" s="67" t="n"/>
      <c r="B1489" s="67" t="n"/>
      <c r="C1489" s="67" t="n"/>
      <c r="D1489" s="3" t="n"/>
      <c r="E1489" s="3" t="n"/>
      <c r="G1489" t="inlineStr"/>
      <c r="H1489" t="inlineStr"/>
      <c r="I1489" s="74" t="n"/>
      <c r="J1489" s="217" t="inlineStr"/>
    </row>
    <row r="1490" ht="15.75" customHeight="1" s="305">
      <c r="A1490" s="67" t="n"/>
      <c r="B1490" s="67" t="n"/>
      <c r="C1490" s="67" t="n"/>
      <c r="D1490" s="3" t="n"/>
      <c r="E1490" s="3" t="n"/>
      <c r="G1490" t="inlineStr"/>
      <c r="H1490" t="inlineStr"/>
      <c r="I1490" s="74" t="n"/>
      <c r="J1490" s="217" t="inlineStr"/>
    </row>
    <row r="1491" ht="15.75" customHeight="1" s="305">
      <c r="A1491" s="67" t="n"/>
      <c r="B1491" s="67" t="n"/>
      <c r="C1491" s="67" t="n"/>
      <c r="D1491" s="3" t="n"/>
      <c r="E1491" s="3" t="n"/>
      <c r="G1491" t="inlineStr"/>
      <c r="H1491" t="inlineStr"/>
      <c r="I1491" s="74" t="n"/>
      <c r="J1491" s="217" t="inlineStr"/>
    </row>
    <row r="1492" ht="15.75" customHeight="1" s="305">
      <c r="A1492" s="67" t="n"/>
      <c r="B1492" s="67" t="n"/>
      <c r="C1492" s="67" t="n"/>
      <c r="D1492" s="3" t="n"/>
      <c r="E1492" s="3" t="n"/>
      <c r="G1492" t="inlineStr"/>
      <c r="H1492" t="inlineStr"/>
      <c r="I1492" s="74" t="n"/>
      <c r="J1492" s="217" t="inlineStr"/>
    </row>
    <row r="1493" ht="15.75" customHeight="1" s="305">
      <c r="A1493" s="67" t="n"/>
      <c r="B1493" s="67" t="n"/>
      <c r="C1493" s="67" t="n"/>
      <c r="D1493" s="3" t="n"/>
      <c r="E1493" s="3" t="n"/>
      <c r="G1493" t="inlineStr"/>
      <c r="H1493" t="inlineStr"/>
      <c r="I1493" s="74" t="n"/>
      <c r="J1493" s="217" t="inlineStr"/>
    </row>
    <row r="1494" ht="15.75" customHeight="1" s="305">
      <c r="A1494" s="67" t="n"/>
      <c r="B1494" s="67" t="n"/>
      <c r="C1494" s="67" t="n"/>
      <c r="D1494" s="3" t="n"/>
      <c r="E1494" s="3" t="n"/>
      <c r="G1494" t="inlineStr"/>
      <c r="H1494" t="inlineStr"/>
      <c r="I1494" s="74" t="n"/>
      <c r="J1494" s="217" t="inlineStr"/>
    </row>
    <row r="1495" ht="15.75" customHeight="1" s="305">
      <c r="A1495" s="67" t="n"/>
      <c r="B1495" s="67" t="n"/>
      <c r="C1495" s="67" t="n"/>
      <c r="D1495" s="3" t="n"/>
      <c r="E1495" s="3" t="n"/>
      <c r="G1495" t="inlineStr"/>
      <c r="H1495" t="inlineStr"/>
      <c r="I1495" s="74" t="n"/>
      <c r="J1495" s="217" t="inlineStr"/>
    </row>
    <row r="1496" ht="15.75" customHeight="1" s="305">
      <c r="A1496" s="67" t="n"/>
      <c r="B1496" s="67" t="n"/>
      <c r="C1496" s="67" t="n"/>
      <c r="D1496" s="3" t="n"/>
      <c r="E1496" s="3" t="n"/>
      <c r="G1496" t="inlineStr"/>
      <c r="H1496" t="inlineStr"/>
      <c r="I1496" s="74" t="n"/>
      <c r="J1496" s="217" t="inlineStr"/>
    </row>
    <row r="1497" ht="15.75" customHeight="1" s="305">
      <c r="A1497" s="67" t="n"/>
      <c r="B1497" s="67" t="n"/>
      <c r="C1497" s="67" t="n"/>
      <c r="D1497" s="3" t="n"/>
      <c r="E1497" s="3" t="n"/>
      <c r="G1497" t="inlineStr"/>
      <c r="H1497" t="inlineStr"/>
      <c r="I1497" s="74" t="n"/>
      <c r="J1497" s="217" t="inlineStr"/>
    </row>
    <row r="1498" ht="15.75" customHeight="1" s="305">
      <c r="A1498" s="67" t="n"/>
      <c r="B1498" s="67" t="n"/>
      <c r="C1498" s="67" t="n"/>
      <c r="D1498" s="3" t="n"/>
      <c r="E1498" s="3" t="n"/>
      <c r="G1498" t="inlineStr"/>
      <c r="H1498" t="inlineStr"/>
      <c r="I1498" s="74" t="n"/>
      <c r="J1498" s="217" t="inlineStr"/>
    </row>
    <row r="1499" ht="15.75" customHeight="1" s="305">
      <c r="A1499" s="67" t="n"/>
      <c r="B1499" s="67" t="n"/>
      <c r="C1499" s="67" t="n"/>
      <c r="D1499" s="3" t="n"/>
      <c r="E1499" s="3" t="n"/>
      <c r="G1499" t="inlineStr"/>
      <c r="H1499" t="inlineStr"/>
      <c r="I1499" s="74" t="n"/>
      <c r="J1499" s="217" t="inlineStr"/>
    </row>
    <row r="1500" ht="15.75" customHeight="1" s="305">
      <c r="A1500" s="67" t="n"/>
      <c r="B1500" s="67" t="n"/>
      <c r="C1500" s="67" t="n"/>
      <c r="D1500" s="3" t="n"/>
      <c r="E1500" s="3" t="n"/>
      <c r="G1500" t="inlineStr"/>
      <c r="H1500" t="inlineStr"/>
      <c r="I1500" s="74" t="n"/>
      <c r="J1500" s="217" t="inlineStr"/>
    </row>
    <row r="1501" ht="15.75" customHeight="1" s="305">
      <c r="A1501" s="67" t="n"/>
      <c r="B1501" s="67" t="n"/>
      <c r="C1501" s="67" t="n"/>
      <c r="D1501" s="3" t="n"/>
      <c r="E1501" s="3" t="n"/>
      <c r="G1501" t="inlineStr"/>
      <c r="H1501" t="inlineStr"/>
      <c r="I1501" s="74" t="n"/>
      <c r="J1501" s="217" t="inlineStr"/>
    </row>
    <row r="1502" ht="15.75" customHeight="1" s="305">
      <c r="A1502" s="67" t="n"/>
      <c r="B1502" s="67" t="n"/>
      <c r="C1502" s="67" t="n"/>
      <c r="D1502" s="3" t="n"/>
      <c r="E1502" s="3" t="n"/>
      <c r="G1502" t="inlineStr"/>
      <c r="H1502" t="inlineStr"/>
      <c r="I1502" s="74" t="n"/>
      <c r="J1502" s="217" t="inlineStr"/>
    </row>
    <row r="1503" ht="15.75" customHeight="1" s="305">
      <c r="A1503" s="67" t="n"/>
      <c r="B1503" s="67" t="n"/>
      <c r="C1503" s="67" t="n"/>
      <c r="D1503" s="3" t="n"/>
      <c r="E1503" s="3" t="n"/>
      <c r="G1503" t="inlineStr"/>
      <c r="H1503" t="inlineStr"/>
      <c r="I1503" s="74" t="n"/>
      <c r="J1503" s="217" t="inlineStr"/>
    </row>
    <row r="1504" ht="15.75" customHeight="1" s="305">
      <c r="A1504" s="67" t="n"/>
      <c r="B1504" s="67" t="n"/>
      <c r="C1504" s="67" t="n"/>
      <c r="D1504" s="3" t="n"/>
      <c r="E1504" s="3" t="n"/>
      <c r="G1504" t="inlineStr"/>
      <c r="H1504" t="inlineStr"/>
      <c r="I1504" s="74" t="n"/>
      <c r="J1504" s="217" t="inlineStr"/>
    </row>
    <row r="1505" ht="15.75" customHeight="1" s="305">
      <c r="A1505" s="67" t="n"/>
      <c r="B1505" s="67" t="n"/>
      <c r="C1505" s="67" t="n"/>
      <c r="D1505" s="3" t="n"/>
      <c r="E1505" s="3" t="n"/>
      <c r="G1505" t="inlineStr"/>
      <c r="H1505" t="inlineStr"/>
      <c r="I1505" s="74" t="n"/>
      <c r="J1505" s="217" t="inlineStr"/>
    </row>
    <row r="1506" ht="15.75" customHeight="1" s="305">
      <c r="A1506" s="67" t="n"/>
      <c r="B1506" s="67" t="n"/>
      <c r="C1506" s="67" t="n"/>
      <c r="D1506" s="3" t="n"/>
      <c r="E1506" s="3" t="n"/>
      <c r="G1506" t="inlineStr"/>
      <c r="H1506" t="inlineStr"/>
      <c r="I1506" s="74" t="n"/>
      <c r="J1506" s="217" t="inlineStr"/>
    </row>
    <row r="1507" ht="15.75" customHeight="1" s="305">
      <c r="A1507" s="67" t="n"/>
      <c r="B1507" s="67" t="n"/>
      <c r="C1507" s="67" t="n"/>
      <c r="D1507" s="3" t="n"/>
      <c r="E1507" s="3" t="n"/>
      <c r="G1507" t="inlineStr"/>
      <c r="H1507" t="inlineStr"/>
      <c r="I1507" s="74" t="n"/>
      <c r="J1507" s="217" t="inlineStr"/>
    </row>
    <row r="1508" ht="15.75" customHeight="1" s="305">
      <c r="A1508" s="67" t="n"/>
      <c r="B1508" s="67" t="n"/>
      <c r="C1508" s="67" t="n"/>
      <c r="D1508" s="3" t="n"/>
      <c r="E1508" s="3" t="n"/>
      <c r="G1508" t="inlineStr"/>
      <c r="H1508" t="inlineStr"/>
      <c r="I1508" s="74" t="n"/>
      <c r="J1508" s="217" t="inlineStr"/>
    </row>
    <row r="1509" ht="15.75" customHeight="1" s="305">
      <c r="A1509" s="67" t="n"/>
      <c r="B1509" s="67" t="n"/>
      <c r="C1509" s="67" t="n"/>
      <c r="D1509" s="3" t="n"/>
      <c r="E1509" s="3" t="n"/>
      <c r="G1509" t="inlineStr"/>
      <c r="H1509" t="inlineStr"/>
      <c r="I1509" s="74" t="n"/>
      <c r="J1509" s="217" t="inlineStr"/>
    </row>
    <row r="1510" ht="15.75" customHeight="1" s="305">
      <c r="A1510" s="67" t="n"/>
      <c r="B1510" s="67" t="n"/>
      <c r="C1510" s="67" t="n"/>
      <c r="D1510" s="3" t="n"/>
      <c r="E1510" s="3" t="n"/>
      <c r="G1510" t="inlineStr"/>
      <c r="H1510" t="inlineStr"/>
      <c r="I1510" s="111" t="n"/>
      <c r="J1510" s="217" t="inlineStr"/>
    </row>
    <row r="1511" ht="15.75" customHeight="1" s="305">
      <c r="A1511" s="67" t="n"/>
      <c r="B1511" s="67" t="n"/>
      <c r="C1511" s="67" t="n"/>
      <c r="D1511" s="3" t="n"/>
      <c r="E1511" s="3" t="n"/>
      <c r="G1511" t="inlineStr"/>
      <c r="H1511" t="inlineStr"/>
      <c r="I1511" s="111" t="n"/>
      <c r="J1511" s="217" t="inlineStr"/>
    </row>
    <row r="1512" ht="15.75" customHeight="1" s="305">
      <c r="A1512" s="67" t="n"/>
      <c r="B1512" s="67" t="n"/>
      <c r="C1512" s="67" t="n"/>
      <c r="D1512" s="3" t="n"/>
      <c r="E1512" s="3" t="n"/>
      <c r="G1512" t="inlineStr"/>
      <c r="H1512" t="inlineStr"/>
      <c r="I1512" s="111" t="n"/>
      <c r="J1512" s="217" t="inlineStr"/>
    </row>
    <row r="1513" ht="15.75" customHeight="1" s="305">
      <c r="A1513" s="67" t="n"/>
      <c r="B1513" s="67" t="n"/>
      <c r="C1513" s="67" t="n"/>
      <c r="D1513" s="3" t="n"/>
      <c r="E1513" s="3" t="n"/>
      <c r="G1513" t="inlineStr"/>
      <c r="H1513" t="inlineStr"/>
      <c r="I1513" s="111" t="n"/>
      <c r="J1513" s="217" t="inlineStr"/>
    </row>
    <row r="1514" ht="15.75" customHeight="1" s="305">
      <c r="A1514" s="67" t="n"/>
      <c r="B1514" s="67" t="n"/>
      <c r="C1514" s="67" t="n"/>
      <c r="D1514" s="3" t="n"/>
      <c r="E1514" s="3" t="n"/>
      <c r="G1514" t="inlineStr"/>
      <c r="H1514" t="inlineStr"/>
      <c r="I1514" s="111" t="n"/>
      <c r="J1514" s="217" t="inlineStr"/>
    </row>
    <row r="1515" ht="15.75" customHeight="1" s="305">
      <c r="A1515" s="67" t="n"/>
      <c r="B1515" s="67" t="n"/>
      <c r="C1515" s="67" t="n"/>
      <c r="D1515" s="3" t="n"/>
      <c r="E1515" s="3" t="n"/>
      <c r="G1515" t="inlineStr"/>
      <c r="H1515" t="inlineStr"/>
      <c r="I1515" s="111" t="n"/>
      <c r="J1515" s="217" t="inlineStr"/>
    </row>
    <row r="1516" ht="15.75" customHeight="1" s="305">
      <c r="A1516" s="67" t="n"/>
      <c r="B1516" s="67" t="n"/>
      <c r="C1516" s="67" t="n"/>
      <c r="D1516" s="3" t="n"/>
      <c r="E1516" s="3" t="n"/>
      <c r="G1516" t="inlineStr"/>
      <c r="H1516" t="inlineStr"/>
      <c r="I1516" s="111" t="n"/>
      <c r="J1516" s="217" t="inlineStr"/>
    </row>
    <row r="1517" ht="15.75" customHeight="1" s="305">
      <c r="A1517" s="67" t="n"/>
      <c r="B1517" s="67" t="n"/>
      <c r="C1517" s="67" t="n"/>
      <c r="D1517" s="3" t="n"/>
      <c r="E1517" s="3" t="n"/>
      <c r="G1517" t="inlineStr"/>
      <c r="H1517" t="inlineStr"/>
      <c r="I1517" s="111" t="n"/>
      <c r="J1517" s="217" t="inlineStr"/>
    </row>
    <row r="1518" ht="15.75" customHeight="1" s="305">
      <c r="A1518" s="67" t="n"/>
      <c r="B1518" s="67" t="n"/>
      <c r="C1518" s="67" t="n"/>
      <c r="D1518" s="3" t="n"/>
      <c r="E1518" s="3" t="n"/>
      <c r="G1518" t="inlineStr"/>
      <c r="H1518" t="inlineStr"/>
      <c r="I1518" s="111" t="n"/>
      <c r="J1518" s="217" t="inlineStr"/>
    </row>
    <row r="1519" ht="15.75" customHeight="1" s="305">
      <c r="A1519" s="67" t="n"/>
      <c r="B1519" s="67" t="n"/>
      <c r="C1519" s="67" t="n"/>
      <c r="D1519" s="3" t="n"/>
      <c r="E1519" s="3" t="n"/>
      <c r="G1519" t="inlineStr"/>
      <c r="H1519" t="inlineStr"/>
      <c r="I1519" s="111" t="n"/>
      <c r="J1519" s="217" t="inlineStr"/>
    </row>
    <row r="1520" ht="15.75" customHeight="1" s="305">
      <c r="A1520" s="67" t="n"/>
      <c r="B1520" s="67" t="n"/>
      <c r="C1520" s="67" t="n"/>
      <c r="D1520" s="3" t="n"/>
      <c r="E1520" s="3" t="n"/>
      <c r="G1520" t="inlineStr"/>
      <c r="H1520" t="inlineStr"/>
      <c r="I1520" s="111" t="n"/>
      <c r="J1520" s="217" t="inlineStr"/>
    </row>
    <row r="1521" ht="15.75" customHeight="1" s="305">
      <c r="A1521" s="67" t="n"/>
      <c r="B1521" s="67" t="n"/>
      <c r="C1521" s="67" t="n"/>
      <c r="D1521" s="3" t="n"/>
      <c r="E1521" s="3" t="n"/>
      <c r="G1521" t="inlineStr"/>
      <c r="H1521" t="inlineStr"/>
      <c r="I1521" s="111" t="n"/>
      <c r="J1521" s="217" t="inlineStr"/>
    </row>
    <row r="1522" ht="15.75" customHeight="1" s="305">
      <c r="A1522" s="67" t="n"/>
      <c r="B1522" s="67" t="n"/>
      <c r="C1522" s="67" t="n"/>
      <c r="D1522" s="3" t="n"/>
      <c r="E1522" s="3" t="n"/>
      <c r="G1522" t="inlineStr"/>
      <c r="H1522" t="inlineStr"/>
      <c r="I1522" s="111" t="n"/>
      <c r="J1522" s="217" t="inlineStr"/>
    </row>
    <row r="1523" ht="15.75" customHeight="1" s="305">
      <c r="A1523" s="67" t="n"/>
      <c r="B1523" s="67" t="n"/>
      <c r="C1523" s="67" t="n"/>
      <c r="D1523" s="3" t="n"/>
      <c r="E1523" s="3" t="n"/>
      <c r="G1523" t="inlineStr"/>
      <c r="H1523" t="inlineStr"/>
      <c r="I1523" s="111" t="n"/>
      <c r="J1523" s="217" t="inlineStr"/>
    </row>
    <row r="1524" ht="15.75" customHeight="1" s="305">
      <c r="A1524" s="67" t="n"/>
      <c r="B1524" s="67" t="n"/>
      <c r="C1524" s="67" t="n"/>
      <c r="D1524" s="3" t="n"/>
      <c r="E1524" s="3" t="n"/>
      <c r="G1524" t="inlineStr"/>
      <c r="H1524" t="inlineStr"/>
      <c r="I1524" s="111" t="n"/>
      <c r="J1524" s="217" t="inlineStr"/>
    </row>
    <row r="1525" ht="15.75" customHeight="1" s="305">
      <c r="A1525" s="67" t="n"/>
      <c r="B1525" s="112" t="n"/>
      <c r="C1525" s="113" t="n"/>
      <c r="D1525" s="112" t="n"/>
      <c r="E1525" s="3" t="n"/>
      <c r="G1525" t="inlineStr"/>
      <c r="H1525" t="inlineStr"/>
      <c r="I1525" s="111" t="n"/>
      <c r="J1525" s="217" t="inlineStr"/>
    </row>
    <row r="1526" ht="15.75" customHeight="1" s="305">
      <c r="A1526" s="67" t="n"/>
      <c r="B1526" s="112" t="n"/>
      <c r="C1526" s="113" t="n"/>
      <c r="D1526" s="112" t="n"/>
      <c r="E1526" s="3" t="n"/>
      <c r="G1526" t="inlineStr"/>
      <c r="H1526" t="inlineStr"/>
      <c r="I1526" s="111" t="n"/>
      <c r="J1526" s="217" t="inlineStr"/>
    </row>
    <row r="1527" ht="15.75" customHeight="1" s="305">
      <c r="A1527" s="67" t="n"/>
      <c r="B1527" s="112" t="n"/>
      <c r="C1527" s="113" t="n"/>
      <c r="D1527" s="112" t="n"/>
      <c r="E1527" s="3" t="n"/>
      <c r="G1527" t="inlineStr"/>
      <c r="H1527" t="inlineStr"/>
      <c r="I1527" s="111" t="n"/>
      <c r="J1527" s="217" t="inlineStr"/>
    </row>
    <row r="1528" ht="15.75" customHeight="1" s="305">
      <c r="A1528" s="67" t="n"/>
      <c r="B1528" s="112" t="n"/>
      <c r="C1528" s="113" t="n"/>
      <c r="D1528" s="112" t="n"/>
      <c r="E1528" s="3" t="n"/>
      <c r="G1528" t="inlineStr"/>
      <c r="H1528" t="inlineStr"/>
      <c r="I1528" s="111" t="n"/>
      <c r="J1528" s="217" t="inlineStr"/>
    </row>
    <row r="1529" ht="15.75" customHeight="1" s="305">
      <c r="A1529" s="67" t="n"/>
      <c r="B1529" s="112" t="n"/>
      <c r="C1529" s="113" t="n"/>
      <c r="D1529" s="112" t="n"/>
      <c r="E1529" s="3" t="n"/>
      <c r="G1529" t="inlineStr"/>
      <c r="H1529" t="inlineStr"/>
      <c r="I1529" s="111" t="n"/>
      <c r="J1529" s="217" t="inlineStr"/>
    </row>
    <row r="1530" ht="15.75" customHeight="1" s="305">
      <c r="A1530" s="67" t="n"/>
      <c r="B1530" s="112" t="n"/>
      <c r="C1530" s="113" t="n"/>
      <c r="D1530" s="112" t="n"/>
      <c r="E1530" s="3" t="n"/>
      <c r="G1530" t="inlineStr"/>
      <c r="H1530" t="inlineStr"/>
      <c r="I1530" s="111" t="n"/>
      <c r="J1530" s="217" t="inlineStr"/>
    </row>
    <row r="1531" ht="15.75" customHeight="1" s="305">
      <c r="A1531" s="67" t="n"/>
      <c r="B1531" s="112" t="n"/>
      <c r="C1531" s="113" t="n"/>
      <c r="D1531" s="112" t="n"/>
      <c r="E1531" s="3" t="n"/>
      <c r="G1531" t="inlineStr"/>
      <c r="H1531" t="inlineStr"/>
      <c r="I1531" s="111" t="n"/>
      <c r="J1531" s="217" t="inlineStr"/>
    </row>
    <row r="1532" ht="15.75" customHeight="1" s="305">
      <c r="A1532" s="67" t="n"/>
      <c r="B1532" s="112" t="n"/>
      <c r="C1532" s="113" t="n"/>
      <c r="D1532" s="112" t="n"/>
      <c r="E1532" s="3" t="n"/>
      <c r="G1532" t="inlineStr"/>
      <c r="H1532" t="inlineStr"/>
      <c r="I1532" s="111" t="n"/>
      <c r="J1532" s="217" t="inlineStr"/>
    </row>
    <row r="1533" ht="15.75" customHeight="1" s="305">
      <c r="A1533" s="67" t="n"/>
      <c r="B1533" s="112" t="n"/>
      <c r="C1533" s="113" t="n"/>
      <c r="D1533" s="112" t="n"/>
      <c r="E1533" s="3" t="n"/>
      <c r="G1533" t="inlineStr"/>
      <c r="H1533" t="inlineStr"/>
      <c r="I1533" s="111" t="n"/>
      <c r="J1533" s="217" t="inlineStr"/>
    </row>
    <row r="1534" ht="15.75" customHeight="1" s="305">
      <c r="A1534" s="67" t="n"/>
      <c r="B1534" s="112" t="n"/>
      <c r="C1534" s="113" t="n"/>
      <c r="D1534" s="112" t="n"/>
      <c r="E1534" s="3" t="n"/>
      <c r="G1534" t="inlineStr"/>
      <c r="H1534" t="inlineStr"/>
      <c r="I1534" s="111" t="n"/>
      <c r="J1534" s="217" t="inlineStr"/>
    </row>
    <row r="1535" ht="15.75" customHeight="1" s="305">
      <c r="A1535" s="67" t="n"/>
      <c r="B1535" s="112" t="n"/>
      <c r="C1535" s="113" t="n"/>
      <c r="D1535" s="112" t="n"/>
      <c r="E1535" s="3" t="n"/>
      <c r="G1535" t="inlineStr"/>
      <c r="H1535" t="inlineStr"/>
      <c r="I1535" s="111" t="n"/>
      <c r="J1535" s="217" t="inlineStr"/>
    </row>
    <row r="1536" ht="15.75" customHeight="1" s="305">
      <c r="A1536" s="67" t="n"/>
      <c r="B1536" s="112" t="n"/>
      <c r="C1536" s="113" t="n"/>
      <c r="D1536" s="112" t="n"/>
      <c r="E1536" s="3" t="n"/>
      <c r="G1536" t="inlineStr"/>
      <c r="H1536" t="inlineStr"/>
      <c r="I1536" s="111" t="n"/>
      <c r="J1536" s="217" t="inlineStr"/>
    </row>
    <row r="1537" ht="15.75" customHeight="1" s="305">
      <c r="A1537" s="67" t="n"/>
      <c r="B1537" s="112" t="n"/>
      <c r="C1537" s="113" t="n"/>
      <c r="D1537" s="112" t="n"/>
      <c r="E1537" s="3" t="n"/>
      <c r="G1537" t="inlineStr"/>
      <c r="H1537" t="inlineStr"/>
      <c r="I1537" s="111" t="n"/>
      <c r="J1537" s="217" t="inlineStr"/>
    </row>
    <row r="1538" ht="15.75" customHeight="1" s="305">
      <c r="A1538" s="67" t="n"/>
      <c r="B1538" s="112" t="n"/>
      <c r="C1538" s="113" t="n"/>
      <c r="D1538" s="112" t="n"/>
      <c r="E1538" s="3" t="n"/>
      <c r="G1538" t="inlineStr"/>
      <c r="H1538" t="inlineStr"/>
      <c r="I1538" s="111" t="n"/>
      <c r="J1538" s="217" t="inlineStr"/>
    </row>
    <row r="1539" ht="15.75" customHeight="1" s="305">
      <c r="A1539" s="67" t="n"/>
      <c r="B1539" s="112" t="n"/>
      <c r="C1539" s="113" t="n"/>
      <c r="D1539" s="112" t="n"/>
      <c r="E1539" s="3" t="n"/>
      <c r="G1539" t="inlineStr"/>
      <c r="H1539" t="inlineStr"/>
      <c r="I1539" s="111" t="n"/>
      <c r="J1539" s="217" t="inlineStr"/>
    </row>
    <row r="1540" ht="15.75" customHeight="1" s="305">
      <c r="A1540" s="67" t="n"/>
      <c r="B1540" s="112" t="n"/>
      <c r="C1540" s="113" t="n"/>
      <c r="D1540" s="112" t="n"/>
      <c r="E1540" s="3" t="n"/>
      <c r="G1540" t="inlineStr"/>
      <c r="H1540" t="inlineStr"/>
      <c r="I1540" s="111" t="n"/>
      <c r="J1540" s="217" t="inlineStr"/>
    </row>
    <row r="1541" ht="15.75" customHeight="1" s="305">
      <c r="A1541" s="67" t="n"/>
      <c r="B1541" s="112" t="n"/>
      <c r="C1541" s="113" t="n"/>
      <c r="D1541" s="112" t="n"/>
      <c r="E1541" s="3" t="n"/>
      <c r="G1541" t="inlineStr"/>
      <c r="H1541" t="inlineStr"/>
      <c r="I1541" s="111" t="n"/>
      <c r="J1541" s="217" t="inlineStr"/>
    </row>
    <row r="1542" ht="15.75" customHeight="1" s="305">
      <c r="A1542" s="67" t="n"/>
      <c r="B1542" s="112" t="n"/>
      <c r="C1542" s="113" t="n"/>
      <c r="D1542" s="112" t="n"/>
      <c r="E1542" s="3" t="n"/>
      <c r="G1542" t="inlineStr"/>
      <c r="H1542" t="inlineStr"/>
      <c r="I1542" s="111" t="n"/>
      <c r="J1542" s="217" t="inlineStr"/>
    </row>
    <row r="1543" ht="15.75" customHeight="1" s="305">
      <c r="A1543" s="67" t="n"/>
      <c r="B1543" s="112" t="n"/>
      <c r="C1543" s="113" t="n"/>
      <c r="D1543" s="112" t="n"/>
      <c r="E1543" s="3" t="n"/>
      <c r="G1543" t="inlineStr"/>
      <c r="H1543" t="inlineStr"/>
      <c r="I1543" s="111" t="n"/>
      <c r="J1543" s="217" t="inlineStr"/>
    </row>
    <row r="1544" ht="15.75" customHeight="1" s="305">
      <c r="A1544" s="67" t="n"/>
      <c r="B1544" s="112" t="n"/>
      <c r="C1544" s="113" t="n"/>
      <c r="D1544" s="112" t="n"/>
      <c r="E1544" s="3" t="n"/>
      <c r="G1544" t="inlineStr"/>
      <c r="H1544" t="inlineStr"/>
      <c r="I1544" s="111" t="n"/>
      <c r="J1544" s="217" t="inlineStr"/>
    </row>
    <row r="1545" ht="15.75" customHeight="1" s="305">
      <c r="A1545" s="67" t="n"/>
      <c r="B1545" s="112" t="n"/>
      <c r="C1545" s="113" t="n"/>
      <c r="D1545" s="112" t="n"/>
      <c r="E1545" s="3" t="n"/>
      <c r="G1545" t="inlineStr"/>
      <c r="H1545" t="inlineStr"/>
      <c r="I1545" s="111" t="n"/>
      <c r="J1545" s="217" t="inlineStr"/>
    </row>
    <row r="1546" ht="15.75" customHeight="1" s="305">
      <c r="A1546" s="67" t="n"/>
      <c r="B1546" s="112" t="n"/>
      <c r="C1546" s="113" t="n"/>
      <c r="D1546" s="112" t="n"/>
      <c r="E1546" s="3" t="n"/>
      <c r="G1546" t="inlineStr"/>
      <c r="H1546" t="inlineStr"/>
      <c r="I1546" s="111" t="n"/>
      <c r="J1546" s="217" t="inlineStr"/>
    </row>
    <row r="1547" ht="15.75" customHeight="1" s="305">
      <c r="A1547" s="67" t="n"/>
      <c r="B1547" s="67" t="n"/>
      <c r="D1547" s="3" t="n"/>
      <c r="E1547" s="3" t="n"/>
      <c r="G1547" t="inlineStr"/>
      <c r="H1547" t="inlineStr"/>
      <c r="I1547" s="111" t="n"/>
      <c r="J1547" s="217" t="inlineStr"/>
    </row>
    <row r="1548" ht="15.75" customHeight="1" s="305">
      <c r="A1548" s="215" t="n"/>
      <c r="B1548" s="215" t="n"/>
      <c r="D1548" s="3" t="n"/>
      <c r="E1548" s="3" t="n"/>
      <c r="G1548" t="inlineStr"/>
      <c r="H1548" t="inlineStr"/>
      <c r="I1548" s="111" t="n"/>
      <c r="J1548" s="217" t="inlineStr"/>
    </row>
    <row r="1549" ht="15.75" customHeight="1" s="305">
      <c r="A1549" s="215" t="n"/>
      <c r="B1549" s="215" t="n"/>
      <c r="D1549" s="3" t="n"/>
      <c r="E1549" s="3" t="n"/>
      <c r="G1549" t="inlineStr"/>
      <c r="H1549" t="inlineStr"/>
      <c r="I1549" s="111" t="n"/>
      <c r="J1549" s="217" t="inlineStr"/>
    </row>
    <row r="1550" ht="15.75" customHeight="1" s="305">
      <c r="A1550" s="215" t="n"/>
      <c r="B1550" s="215" t="n"/>
      <c r="D1550" s="3" t="n"/>
      <c r="E1550" s="3" t="n"/>
      <c r="G1550" t="inlineStr"/>
      <c r="H1550" t="inlineStr"/>
      <c r="I1550" s="111" t="n"/>
      <c r="J1550" s="217" t="inlineStr"/>
    </row>
    <row r="1551" ht="15.75" customHeight="1" s="305">
      <c r="A1551" s="215" t="n"/>
      <c r="B1551" s="215" t="n"/>
      <c r="D1551" s="3" t="n"/>
      <c r="E1551" s="3" t="n"/>
      <c r="G1551" t="inlineStr"/>
      <c r="H1551" t="inlineStr"/>
      <c r="I1551" s="111" t="n"/>
      <c r="J1551" s="217" t="inlineStr"/>
    </row>
    <row r="1552" ht="15.75" customHeight="1" s="305">
      <c r="A1552" s="215" t="n"/>
      <c r="B1552" s="215" t="n"/>
      <c r="D1552" s="3" t="n"/>
      <c r="E1552" s="3" t="n"/>
      <c r="G1552" t="inlineStr"/>
      <c r="H1552" t="inlineStr"/>
      <c r="I1552" s="111" t="n"/>
      <c r="J1552" s="217" t="inlineStr"/>
    </row>
    <row r="1553" ht="15.75" customHeight="1" s="305">
      <c r="A1553" s="215" t="n"/>
      <c r="B1553" s="215" t="n"/>
      <c r="D1553" s="3" t="n"/>
      <c r="E1553" s="3" t="n"/>
      <c r="G1553" t="inlineStr"/>
      <c r="H1553" t="inlineStr"/>
      <c r="I1553" s="111" t="n"/>
      <c r="J1553" s="217" t="inlineStr"/>
    </row>
    <row r="1554" ht="15.75" customHeight="1" s="305">
      <c r="A1554" s="215" t="n"/>
      <c r="B1554" s="215" t="n"/>
      <c r="D1554" s="3" t="n"/>
      <c r="E1554" s="3" t="n"/>
      <c r="G1554" t="inlineStr"/>
      <c r="H1554" t="inlineStr"/>
      <c r="I1554" s="111" t="n"/>
      <c r="J1554" s="217" t="inlineStr"/>
    </row>
    <row r="1555" ht="15.75" customHeight="1" s="305">
      <c r="A1555" s="215" t="n"/>
      <c r="B1555" s="215" t="n"/>
      <c r="D1555" s="3" t="n"/>
      <c r="E1555" s="3" t="n"/>
      <c r="G1555" t="inlineStr"/>
      <c r="H1555" t="inlineStr"/>
      <c r="I1555" s="111" t="n"/>
      <c r="J1555" s="217" t="inlineStr"/>
    </row>
    <row r="1556" ht="15.75" customHeight="1" s="305">
      <c r="A1556" s="215" t="n"/>
      <c r="B1556" s="215" t="n"/>
      <c r="D1556" s="3" t="n"/>
      <c r="E1556" s="3" t="n"/>
      <c r="G1556" t="inlineStr"/>
      <c r="H1556" t="inlineStr"/>
      <c r="I1556" s="111" t="n"/>
      <c r="J1556" s="217" t="inlineStr"/>
    </row>
    <row r="1557" ht="15.75" customHeight="1" s="305">
      <c r="A1557" s="215" t="n"/>
      <c r="B1557" s="215" t="n"/>
      <c r="D1557" s="3" t="n"/>
      <c r="E1557" s="3" t="n"/>
      <c r="G1557" t="inlineStr"/>
      <c r="H1557" t="inlineStr"/>
      <c r="I1557" s="111" t="n"/>
      <c r="J1557" s="217" t="inlineStr"/>
    </row>
    <row r="1558" ht="15.75" customHeight="1" s="305">
      <c r="A1558" s="215" t="n"/>
      <c r="B1558" s="215" t="n"/>
      <c r="D1558" s="3" t="n"/>
      <c r="E1558" s="3" t="n"/>
      <c r="G1558" t="inlineStr"/>
      <c r="H1558" t="inlineStr"/>
      <c r="I1558" s="111" t="n"/>
      <c r="J1558" s="217" t="inlineStr"/>
    </row>
    <row r="1559" ht="15.75" customHeight="1" s="305">
      <c r="A1559" s="215" t="n"/>
      <c r="B1559" s="215" t="n"/>
      <c r="D1559" s="3" t="n"/>
      <c r="E1559" s="3" t="n"/>
      <c r="G1559" t="inlineStr"/>
      <c r="H1559" t="inlineStr"/>
      <c r="I1559" s="111" t="n"/>
      <c r="J1559" s="217" t="inlineStr"/>
    </row>
    <row r="1560" ht="15.75" customHeight="1" s="305">
      <c r="A1560" s="215" t="n"/>
      <c r="B1560" s="215" t="n"/>
      <c r="D1560" s="3" t="n"/>
      <c r="E1560" s="3" t="n"/>
      <c r="G1560" t="inlineStr"/>
      <c r="H1560" t="inlineStr"/>
      <c r="I1560" s="111" t="n"/>
      <c r="J1560" s="217" t="inlineStr"/>
    </row>
    <row r="1561" ht="15.75" customHeight="1" s="305">
      <c r="A1561" s="215" t="n"/>
      <c r="B1561" s="215" t="n"/>
      <c r="D1561" s="3" t="n"/>
      <c r="E1561" s="3" t="n"/>
      <c r="G1561" t="inlineStr"/>
      <c r="H1561" t="inlineStr"/>
      <c r="I1561" s="111" t="n"/>
      <c r="J1561" s="217" t="inlineStr"/>
    </row>
    <row r="1562" ht="15.75" customHeight="1" s="305">
      <c r="A1562" s="215" t="n"/>
      <c r="B1562" s="215" t="n"/>
      <c r="D1562" s="3" t="n"/>
      <c r="E1562" s="3" t="n"/>
      <c r="G1562" t="inlineStr"/>
      <c r="H1562" t="inlineStr"/>
      <c r="I1562" s="111" t="n"/>
      <c r="J1562" s="217" t="inlineStr"/>
    </row>
    <row r="1563" ht="15.75" customHeight="1" s="305">
      <c r="A1563" s="215" t="n"/>
      <c r="B1563" s="215" t="n"/>
      <c r="D1563" s="3" t="n"/>
      <c r="E1563" s="3" t="n"/>
      <c r="G1563" t="inlineStr"/>
      <c r="H1563" t="inlineStr"/>
      <c r="I1563" s="111" t="n"/>
      <c r="J1563" s="217" t="inlineStr"/>
    </row>
    <row r="1564" ht="15.75" customHeight="1" s="305">
      <c r="A1564" s="215" t="n"/>
      <c r="B1564" s="215" t="n"/>
      <c r="D1564" s="3" t="n"/>
      <c r="E1564" s="3" t="n"/>
      <c r="G1564" t="inlineStr"/>
      <c r="H1564" t="inlineStr"/>
      <c r="I1564" s="111" t="n"/>
      <c r="J1564" s="217" t="inlineStr"/>
    </row>
    <row r="1565" ht="15.75" customHeight="1" s="305">
      <c r="A1565" s="215" t="n"/>
      <c r="B1565" s="215" t="n"/>
      <c r="D1565" s="3" t="n"/>
      <c r="E1565" s="3" t="n"/>
      <c r="G1565" t="inlineStr"/>
      <c r="H1565" t="inlineStr"/>
      <c r="I1565" s="111" t="n"/>
      <c r="J1565" s="217" t="inlineStr"/>
    </row>
    <row r="1566" ht="15.75" customHeight="1" s="305">
      <c r="A1566" s="215" t="n"/>
      <c r="B1566" s="215" t="n"/>
      <c r="D1566" s="3" t="n"/>
      <c r="E1566" s="3" t="n"/>
      <c r="G1566" t="inlineStr"/>
      <c r="H1566" t="inlineStr"/>
      <c r="I1566" s="111" t="n"/>
      <c r="J1566" s="217" t="inlineStr"/>
    </row>
    <row r="1567" ht="15.75" customHeight="1" s="305">
      <c r="A1567" s="215" t="n"/>
      <c r="B1567" s="215" t="n"/>
      <c r="D1567" s="3" t="n"/>
      <c r="E1567" s="3" t="n"/>
      <c r="G1567" t="inlineStr"/>
      <c r="H1567" t="inlineStr"/>
      <c r="I1567" s="111" t="n"/>
      <c r="J1567" s="217" t="inlineStr"/>
    </row>
    <row r="1568" ht="15.75" customHeight="1" s="305">
      <c r="A1568" s="215" t="n"/>
      <c r="B1568" s="215" t="n"/>
      <c r="D1568" s="3" t="n"/>
      <c r="E1568" s="3" t="n"/>
      <c r="G1568" t="inlineStr"/>
      <c r="H1568" t="inlineStr"/>
      <c r="I1568" s="111" t="n"/>
      <c r="J1568" s="217" t="inlineStr"/>
    </row>
    <row r="1569" ht="15.75" customHeight="1" s="305">
      <c r="A1569" s="215" t="n"/>
      <c r="B1569" s="215" t="n"/>
      <c r="D1569" s="3" t="n"/>
      <c r="E1569" s="3" t="n"/>
      <c r="G1569" t="inlineStr"/>
      <c r="H1569" t="inlineStr"/>
      <c r="I1569" s="111" t="n"/>
      <c r="J1569" s="217" t="inlineStr"/>
    </row>
    <row r="1570" ht="15.75" customHeight="1" s="305">
      <c r="A1570" s="215" t="n"/>
      <c r="B1570" s="215" t="n"/>
      <c r="D1570" s="3" t="n"/>
      <c r="E1570" s="3" t="n"/>
      <c r="G1570" t="inlineStr"/>
      <c r="H1570" t="inlineStr"/>
      <c r="I1570" s="111" t="n"/>
      <c r="J1570" s="217" t="inlineStr"/>
    </row>
    <row r="1571" ht="15.75" customHeight="1" s="305">
      <c r="A1571" s="215" t="n"/>
      <c r="B1571" s="215" t="n"/>
      <c r="D1571" s="3" t="n"/>
      <c r="E1571" s="3" t="n"/>
      <c r="G1571" t="inlineStr"/>
      <c r="H1571" t="inlineStr"/>
      <c r="I1571" s="111" t="n"/>
      <c r="J1571" s="217" t="inlineStr"/>
    </row>
    <row r="1572" ht="15.75" customHeight="1" s="305">
      <c r="A1572" s="215" t="n"/>
      <c r="B1572" s="215" t="n"/>
      <c r="D1572" s="3" t="n"/>
      <c r="E1572" s="3" t="n"/>
      <c r="G1572" t="inlineStr"/>
      <c r="H1572" t="inlineStr"/>
      <c r="I1572" s="111" t="n"/>
      <c r="J1572" s="217" t="inlineStr"/>
    </row>
    <row r="1573" ht="15.75" customHeight="1" s="305">
      <c r="A1573" s="215" t="n"/>
      <c r="B1573" s="215" t="n"/>
      <c r="D1573" s="3" t="n"/>
      <c r="E1573" s="3" t="n"/>
      <c r="G1573" t="inlineStr"/>
      <c r="H1573" t="inlineStr"/>
      <c r="I1573" s="111" t="n"/>
      <c r="J1573" s="217" t="inlineStr"/>
    </row>
    <row r="1574" ht="15.75" customHeight="1" s="305">
      <c r="A1574" s="215" t="n"/>
      <c r="B1574" s="215" t="n"/>
      <c r="D1574" s="3" t="n"/>
      <c r="E1574" s="3" t="n"/>
      <c r="G1574" t="inlineStr"/>
      <c r="H1574" t="inlineStr"/>
      <c r="I1574" s="111" t="n"/>
      <c r="J1574" s="217" t="inlineStr"/>
    </row>
    <row r="1575" ht="15.75" customHeight="1" s="305">
      <c r="A1575" s="215" t="n"/>
      <c r="B1575" s="215" t="n"/>
      <c r="D1575" s="3" t="n"/>
      <c r="E1575" s="3" t="n"/>
      <c r="G1575" t="inlineStr"/>
      <c r="H1575" t="inlineStr"/>
      <c r="I1575" s="111" t="n"/>
      <c r="J1575" s="217" t="inlineStr"/>
    </row>
    <row r="1576" ht="15.75" customHeight="1" s="305">
      <c r="A1576" s="215" t="n"/>
      <c r="B1576" s="215" t="n"/>
      <c r="D1576" s="3" t="n"/>
      <c r="E1576" s="3" t="n"/>
      <c r="G1576" t="inlineStr"/>
      <c r="H1576" t="inlineStr"/>
      <c r="I1576" s="111" t="n"/>
      <c r="J1576" s="217" t="inlineStr"/>
    </row>
    <row r="1577" ht="15.75" customHeight="1" s="305">
      <c r="A1577" s="215" t="n"/>
      <c r="B1577" s="215" t="n"/>
      <c r="D1577" s="3" t="n"/>
      <c r="E1577" s="3" t="n"/>
      <c r="G1577" t="inlineStr"/>
      <c r="H1577" t="inlineStr"/>
      <c r="I1577" s="111" t="n"/>
      <c r="J1577" s="217" t="inlineStr"/>
    </row>
    <row r="1578" ht="15.75" customHeight="1" s="305">
      <c r="A1578" s="215" t="n"/>
      <c r="B1578" s="215" t="n"/>
      <c r="D1578" s="3" t="n"/>
      <c r="E1578" s="3" t="n"/>
      <c r="G1578" t="inlineStr"/>
      <c r="H1578" t="inlineStr"/>
      <c r="I1578" s="111" t="n"/>
      <c r="J1578" s="217" t="inlineStr"/>
    </row>
    <row r="1579" ht="15.75" customHeight="1" s="305">
      <c r="A1579" s="215" t="n"/>
      <c r="B1579" s="215" t="n"/>
      <c r="D1579" s="3" t="n"/>
      <c r="E1579" s="3" t="n"/>
      <c r="G1579" t="inlineStr"/>
      <c r="H1579" t="inlineStr"/>
      <c r="I1579" s="111" t="n"/>
      <c r="J1579" s="217" t="inlineStr"/>
    </row>
    <row r="1580" ht="15.75" customHeight="1" s="305">
      <c r="A1580" s="215" t="n"/>
      <c r="B1580" s="215" t="n"/>
      <c r="D1580" s="3" t="n"/>
      <c r="E1580" s="3" t="n"/>
      <c r="G1580" t="inlineStr"/>
      <c r="H1580" t="inlineStr"/>
      <c r="I1580" s="111" t="n"/>
      <c r="J1580" s="217" t="inlineStr"/>
    </row>
    <row r="1581" ht="15.75" customHeight="1" s="305">
      <c r="A1581" s="215" t="n"/>
      <c r="B1581" s="215" t="n"/>
      <c r="D1581" s="3" t="n"/>
      <c r="E1581" s="3" t="n"/>
      <c r="G1581" t="inlineStr"/>
      <c r="H1581" t="inlineStr"/>
      <c r="I1581" s="111" t="n"/>
      <c r="J1581" s="217" t="inlineStr"/>
    </row>
    <row r="1582" ht="15.75" customHeight="1" s="305">
      <c r="A1582" s="215" t="n"/>
      <c r="B1582" s="215" t="n"/>
      <c r="D1582" s="3" t="n"/>
      <c r="E1582" s="3" t="n"/>
      <c r="G1582" t="inlineStr"/>
      <c r="H1582" t="inlineStr"/>
      <c r="I1582" s="111" t="n"/>
      <c r="J1582" s="217" t="inlineStr"/>
    </row>
    <row r="1583" ht="15.75" customHeight="1" s="305">
      <c r="A1583" s="215" t="n"/>
      <c r="B1583" s="215" t="n"/>
      <c r="D1583" s="3" t="n"/>
      <c r="E1583" s="3" t="n"/>
      <c r="G1583" t="inlineStr"/>
      <c r="H1583" t="inlineStr"/>
      <c r="I1583" s="111" t="n"/>
      <c r="J1583" s="217" t="inlineStr"/>
    </row>
    <row r="1584" ht="15.75" customHeight="1" s="305">
      <c r="A1584" s="215" t="n"/>
      <c r="B1584" s="215" t="n"/>
      <c r="D1584" s="3" t="n"/>
      <c r="E1584" s="3" t="n"/>
      <c r="G1584" t="inlineStr"/>
      <c r="H1584" t="inlineStr"/>
      <c r="I1584" s="111" t="n"/>
      <c r="J1584" s="217" t="inlineStr"/>
    </row>
    <row r="1585" ht="15.75" customHeight="1" s="305">
      <c r="A1585" s="215" t="n"/>
      <c r="B1585" s="215" t="n"/>
      <c r="D1585" s="3" t="n"/>
      <c r="E1585" s="3" t="n"/>
      <c r="G1585" t="inlineStr"/>
      <c r="H1585" t="inlineStr"/>
      <c r="I1585" s="111" t="n"/>
      <c r="J1585" s="217" t="inlineStr"/>
    </row>
    <row r="1586" ht="15.75" customHeight="1" s="305">
      <c r="A1586" s="215" t="n"/>
      <c r="B1586" s="215" t="n"/>
      <c r="D1586" s="3" t="n"/>
      <c r="E1586" s="3" t="n"/>
      <c r="G1586" t="inlineStr"/>
      <c r="H1586" t="inlineStr"/>
      <c r="I1586" s="111" t="n"/>
      <c r="J1586" s="217" t="inlineStr"/>
    </row>
    <row r="1587" ht="15.75" customHeight="1" s="305">
      <c r="A1587" s="215" t="n"/>
      <c r="B1587" s="215" t="n"/>
      <c r="D1587" s="3" t="n"/>
      <c r="E1587" s="3" t="n"/>
      <c r="G1587" t="inlineStr"/>
      <c r="H1587" t="inlineStr"/>
      <c r="I1587" s="111" t="n"/>
      <c r="J1587" s="217" t="inlineStr"/>
    </row>
    <row r="1588" ht="15.75" customHeight="1" s="305">
      <c r="A1588" s="215" t="n"/>
      <c r="B1588" s="215" t="n"/>
      <c r="D1588" s="3" t="n"/>
      <c r="E1588" s="3" t="n"/>
      <c r="G1588" t="inlineStr"/>
      <c r="H1588" t="inlineStr"/>
      <c r="I1588" s="111" t="n"/>
      <c r="J1588" s="217" t="inlineStr"/>
    </row>
    <row r="1589" ht="15.75" customHeight="1" s="305">
      <c r="A1589" s="215" t="n"/>
      <c r="B1589" s="215" t="n"/>
      <c r="D1589" s="3" t="n"/>
      <c r="E1589" s="3" t="n"/>
      <c r="G1589" t="inlineStr"/>
      <c r="H1589" t="inlineStr"/>
      <c r="I1589" s="111" t="n"/>
      <c r="J1589" s="217" t="inlineStr"/>
    </row>
    <row r="1590" ht="15.75" customHeight="1" s="305">
      <c r="A1590" s="215" t="n"/>
      <c r="B1590" s="215" t="n"/>
      <c r="D1590" s="3" t="n"/>
      <c r="E1590" s="3" t="n"/>
      <c r="G1590" t="inlineStr"/>
      <c r="H1590" t="inlineStr"/>
      <c r="I1590" s="111" t="n"/>
      <c r="J1590" s="217" t="inlineStr"/>
    </row>
    <row r="1591" ht="15.75" customHeight="1" s="305">
      <c r="A1591" s="215" t="n"/>
      <c r="B1591" s="215" t="n"/>
      <c r="D1591" s="3" t="n"/>
      <c r="E1591" s="3" t="n"/>
      <c r="G1591" t="inlineStr"/>
      <c r="H1591" t="inlineStr"/>
      <c r="I1591" s="111" t="n"/>
      <c r="J1591" s="217" t="inlineStr"/>
    </row>
    <row r="1592" ht="15.75" customHeight="1" s="305">
      <c r="A1592" s="215" t="n"/>
      <c r="B1592" s="215" t="n"/>
      <c r="D1592" s="3" t="n"/>
      <c r="E1592" s="3" t="n"/>
      <c r="G1592" t="inlineStr"/>
      <c r="H1592" t="inlineStr"/>
      <c r="I1592" s="111" t="n"/>
      <c r="J1592" s="217" t="inlineStr"/>
    </row>
    <row r="1593" ht="15.75" customHeight="1" s="305">
      <c r="A1593" s="215" t="n"/>
      <c r="B1593" s="215" t="n"/>
      <c r="D1593" s="3" t="n"/>
      <c r="E1593" s="3" t="n"/>
      <c r="G1593" t="inlineStr"/>
      <c r="H1593" t="inlineStr"/>
      <c r="I1593" s="111" t="n"/>
      <c r="J1593" s="217" t="inlineStr"/>
    </row>
    <row r="1594" ht="15.75" customHeight="1" s="305">
      <c r="A1594" s="215" t="n"/>
      <c r="B1594" s="215" t="n"/>
      <c r="D1594" s="3" t="n"/>
      <c r="E1594" s="3" t="n"/>
      <c r="G1594" t="inlineStr"/>
      <c r="H1594" t="inlineStr"/>
      <c r="I1594" s="111" t="n"/>
      <c r="J1594" s="217" t="inlineStr"/>
    </row>
    <row r="1595" ht="15.75" customHeight="1" s="305">
      <c r="A1595" s="215" t="n"/>
      <c r="B1595" s="115" t="n"/>
      <c r="D1595" s="3" t="n"/>
      <c r="E1595" s="3" t="n"/>
      <c r="G1595" t="inlineStr"/>
      <c r="H1595" t="inlineStr"/>
      <c r="I1595" s="111" t="n"/>
      <c r="J1595" s="217" t="inlineStr"/>
    </row>
    <row r="1596" ht="15.75" customHeight="1" s="305">
      <c r="A1596" s="215" t="n"/>
      <c r="B1596" s="115" t="n"/>
      <c r="D1596" s="3" t="n"/>
      <c r="E1596" s="3" t="n"/>
      <c r="G1596" t="inlineStr"/>
      <c r="H1596" t="inlineStr"/>
      <c r="I1596" s="111" t="n"/>
      <c r="J1596" s="217" t="inlineStr"/>
    </row>
    <row r="1597" ht="15.75" customHeight="1" s="305">
      <c r="A1597" s="215" t="n"/>
      <c r="B1597" s="115" t="n"/>
      <c r="D1597" s="3" t="n"/>
      <c r="E1597" s="3" t="n"/>
      <c r="G1597" t="inlineStr"/>
      <c r="H1597" t="inlineStr"/>
      <c r="I1597" s="111" t="n"/>
      <c r="J1597" s="217" t="inlineStr"/>
    </row>
    <row r="1598" ht="15.75" customHeight="1" s="305">
      <c r="A1598" s="215" t="n"/>
      <c r="B1598" s="115" t="n"/>
      <c r="D1598" s="3" t="n"/>
      <c r="E1598" s="3" t="n"/>
      <c r="G1598" t="inlineStr"/>
      <c r="H1598" t="inlineStr"/>
      <c r="I1598" s="111" t="n"/>
      <c r="J1598" s="217" t="inlineStr"/>
    </row>
    <row r="1599" ht="15.75" customHeight="1" s="305">
      <c r="A1599" s="215" t="n"/>
      <c r="B1599" s="115" t="n"/>
      <c r="D1599" s="3" t="n"/>
      <c r="E1599" s="3" t="n"/>
      <c r="G1599" t="inlineStr"/>
      <c r="H1599" t="inlineStr"/>
      <c r="I1599" s="111" t="n"/>
      <c r="J1599" s="217" t="inlineStr"/>
    </row>
    <row r="1600" ht="15.75" customHeight="1" s="305">
      <c r="A1600" s="215" t="n"/>
      <c r="B1600" s="115" t="n"/>
      <c r="D1600" s="3" t="n"/>
      <c r="E1600" s="3" t="n"/>
      <c r="G1600" t="inlineStr"/>
      <c r="H1600" t="inlineStr"/>
      <c r="I1600" s="111" t="n"/>
      <c r="J1600" s="217" t="inlineStr"/>
    </row>
    <row r="1601" ht="15.75" customHeight="1" s="305">
      <c r="A1601" s="215" t="n"/>
      <c r="B1601" s="115" t="n"/>
      <c r="D1601" s="3" t="n"/>
      <c r="E1601" s="3" t="n"/>
      <c r="G1601" t="inlineStr"/>
      <c r="H1601" t="inlineStr"/>
      <c r="I1601" s="111" t="n"/>
      <c r="J1601" s="217" t="inlineStr"/>
    </row>
    <row r="1602" ht="15.75" customHeight="1" s="305">
      <c r="A1602" s="215" t="n"/>
      <c r="B1602" s="115" t="n"/>
      <c r="D1602" s="3" t="n"/>
      <c r="E1602" s="3" t="n"/>
      <c r="G1602" t="inlineStr"/>
      <c r="H1602" t="inlineStr"/>
      <c r="I1602" s="111" t="n"/>
      <c r="J1602" s="217" t="inlineStr"/>
    </row>
    <row r="1603" ht="15.75" customHeight="1" s="305">
      <c r="A1603" s="215" t="n"/>
      <c r="B1603" s="115" t="n"/>
      <c r="D1603" s="3" t="n"/>
      <c r="E1603" s="3" t="n"/>
      <c r="G1603" t="inlineStr"/>
      <c r="H1603" t="inlineStr"/>
      <c r="I1603" s="111" t="n"/>
      <c r="J1603" s="217" t="inlineStr"/>
    </row>
    <row r="1604" ht="15.75" customHeight="1" s="305">
      <c r="A1604" s="215" t="n"/>
      <c r="B1604" s="115" t="n"/>
      <c r="D1604" s="3" t="n"/>
      <c r="E1604" s="3" t="n"/>
      <c r="G1604" t="inlineStr"/>
      <c r="H1604" t="inlineStr"/>
      <c r="I1604" s="111" t="n"/>
      <c r="J1604" s="217" t="inlineStr"/>
    </row>
    <row r="1605" ht="15.75" customHeight="1" s="305">
      <c r="A1605" s="215" t="n"/>
      <c r="B1605" s="115" t="n"/>
      <c r="D1605" s="3" t="n"/>
      <c r="E1605" s="3" t="n"/>
      <c r="G1605" t="inlineStr"/>
      <c r="H1605" t="inlineStr"/>
      <c r="I1605" s="111" t="n"/>
      <c r="J1605" s="217" t="inlineStr"/>
    </row>
    <row r="1606" ht="15.75" customHeight="1" s="305">
      <c r="A1606" s="215" t="n"/>
      <c r="B1606" s="115" t="n"/>
      <c r="D1606" s="3" t="n"/>
      <c r="E1606" s="3" t="n"/>
      <c r="G1606" t="inlineStr"/>
      <c r="H1606" t="inlineStr"/>
      <c r="I1606" s="111" t="n"/>
      <c r="J1606" s="217" t="inlineStr"/>
    </row>
    <row r="1607" ht="15.75" customHeight="1" s="305">
      <c r="A1607" s="215" t="n"/>
      <c r="B1607" s="115" t="n"/>
      <c r="D1607" s="3" t="n"/>
      <c r="E1607" s="3" t="n"/>
      <c r="G1607" t="inlineStr"/>
      <c r="H1607" t="inlineStr"/>
      <c r="I1607" s="111" t="n"/>
      <c r="J1607" s="217" t="inlineStr"/>
    </row>
    <row r="1608" ht="15.75" customHeight="1" s="305">
      <c r="A1608" s="215" t="n"/>
      <c r="B1608" s="115" t="n"/>
      <c r="D1608" s="3" t="n"/>
      <c r="E1608" s="3" t="n"/>
      <c r="G1608" t="inlineStr"/>
      <c r="H1608" t="inlineStr"/>
      <c r="I1608" s="111" t="n"/>
      <c r="J1608" s="217" t="inlineStr"/>
    </row>
    <row r="1609" ht="15.75" customHeight="1" s="305">
      <c r="A1609" s="215" t="n"/>
      <c r="B1609" s="215" t="n"/>
      <c r="D1609" s="3" t="n"/>
      <c r="E1609" s="3" t="n"/>
      <c r="G1609" t="inlineStr"/>
      <c r="H1609" t="inlineStr"/>
      <c r="I1609" s="111" t="n"/>
      <c r="J1609" s="217" t="inlineStr"/>
    </row>
    <row r="1610" ht="15.75" customHeight="1" s="305">
      <c r="A1610" s="215" t="n"/>
      <c r="B1610" s="215" t="n"/>
      <c r="D1610" s="3" t="n"/>
      <c r="E1610" s="3" t="n"/>
      <c r="G1610" t="inlineStr"/>
      <c r="H1610" t="inlineStr"/>
      <c r="I1610" s="111" t="n"/>
      <c r="J1610" s="217" t="inlineStr"/>
    </row>
    <row r="1611" ht="15.75" customHeight="1" s="305">
      <c r="A1611" s="215" t="n"/>
      <c r="B1611" s="215" t="n"/>
      <c r="D1611" s="3" t="n"/>
      <c r="E1611" s="3" t="n"/>
      <c r="G1611" t="inlineStr"/>
      <c r="H1611" t="inlineStr"/>
      <c r="I1611" s="111" t="n"/>
      <c r="J1611" s="217" t="inlineStr"/>
    </row>
    <row r="1612" ht="15.75" customHeight="1" s="305">
      <c r="A1612" s="215" t="n"/>
      <c r="B1612" s="215" t="n"/>
      <c r="D1612" s="3" t="n"/>
      <c r="E1612" s="3" t="n"/>
      <c r="G1612" t="inlineStr"/>
      <c r="H1612" t="inlineStr"/>
      <c r="I1612" s="111" t="n"/>
      <c r="J1612" s="217" t="inlineStr"/>
    </row>
    <row r="1613" ht="15.75" customHeight="1" s="305">
      <c r="A1613" s="215" t="n"/>
      <c r="B1613" s="215" t="n"/>
      <c r="D1613" s="3" t="n"/>
      <c r="E1613" s="3" t="n"/>
      <c r="G1613" t="inlineStr"/>
      <c r="H1613" t="inlineStr"/>
      <c r="I1613" s="111" t="n"/>
      <c r="J1613" s="217" t="inlineStr"/>
    </row>
    <row r="1614" ht="15.75" customHeight="1" s="305">
      <c r="A1614" s="215" t="n"/>
      <c r="B1614" s="215" t="n"/>
      <c r="D1614" s="3" t="n"/>
      <c r="E1614" s="3" t="n"/>
      <c r="G1614" t="inlineStr"/>
      <c r="H1614" t="inlineStr"/>
      <c r="I1614" s="111" t="n"/>
      <c r="J1614" s="217" t="inlineStr"/>
    </row>
    <row r="1615" ht="15.75" customHeight="1" s="305">
      <c r="A1615" s="215" t="n"/>
      <c r="B1615" s="215" t="n"/>
      <c r="D1615" s="3" t="n"/>
      <c r="E1615" s="3" t="n"/>
      <c r="G1615" t="inlineStr"/>
      <c r="H1615" t="inlineStr"/>
      <c r="I1615" s="111" t="n"/>
      <c r="J1615" s="217" t="inlineStr"/>
    </row>
    <row r="1616" ht="15.75" customHeight="1" s="305">
      <c r="A1616" s="215" t="n"/>
      <c r="B1616" s="215" t="n"/>
      <c r="D1616" s="3" t="n"/>
      <c r="E1616" s="3" t="n"/>
      <c r="G1616" t="inlineStr"/>
      <c r="H1616" t="inlineStr"/>
      <c r="I1616" s="111" t="n"/>
      <c r="J1616" s="217" t="inlineStr"/>
    </row>
    <row r="1617" ht="15.75" customHeight="1" s="305">
      <c r="A1617" s="215" t="n"/>
      <c r="B1617" s="215" t="n"/>
      <c r="D1617" s="3" t="n"/>
      <c r="E1617" s="3" t="n"/>
      <c r="G1617" t="inlineStr"/>
      <c r="H1617" t="inlineStr"/>
      <c r="I1617" s="111" t="n"/>
      <c r="J1617" s="217" t="inlineStr"/>
    </row>
    <row r="1618" ht="15.75" customHeight="1" s="305">
      <c r="A1618" s="215" t="n"/>
      <c r="B1618" s="215" t="n"/>
      <c r="D1618" s="3" t="n"/>
      <c r="E1618" s="3" t="n"/>
      <c r="G1618" t="inlineStr"/>
      <c r="H1618" t="inlineStr"/>
      <c r="I1618" s="111" t="n"/>
      <c r="J1618" s="217" t="inlineStr"/>
    </row>
    <row r="1619" ht="15.75" customHeight="1" s="305">
      <c r="A1619" s="215" t="n"/>
      <c r="B1619" s="215" t="n"/>
      <c r="D1619" s="3" t="n"/>
      <c r="E1619" s="3" t="n"/>
      <c r="G1619" t="inlineStr"/>
      <c r="H1619" t="inlineStr"/>
      <c r="I1619" s="111" t="n"/>
      <c r="J1619" s="217" t="inlineStr"/>
    </row>
    <row r="1620" ht="15.75" customHeight="1" s="305">
      <c r="A1620" s="215" t="n"/>
      <c r="B1620" s="215" t="n"/>
      <c r="D1620" s="3" t="n"/>
      <c r="E1620" s="3" t="n"/>
      <c r="G1620" t="inlineStr"/>
      <c r="H1620" t="inlineStr"/>
      <c r="I1620" s="111" t="n"/>
      <c r="J1620" s="217" t="inlineStr"/>
    </row>
    <row r="1621" ht="15.75" customHeight="1" s="305">
      <c r="A1621" s="215" t="n"/>
      <c r="B1621" s="215" t="n"/>
      <c r="D1621" s="3" t="n"/>
      <c r="E1621" s="3" t="n"/>
      <c r="G1621" t="inlineStr"/>
      <c r="H1621" t="inlineStr"/>
      <c r="I1621" s="111" t="n"/>
      <c r="J1621" s="217" t="inlineStr"/>
    </row>
    <row r="1622" ht="15.75" customHeight="1" s="305">
      <c r="A1622" s="215" t="n"/>
      <c r="B1622" s="215" t="n"/>
      <c r="D1622" s="3" t="n"/>
      <c r="E1622" s="3" t="n"/>
      <c r="G1622" t="inlineStr"/>
      <c r="H1622" t="inlineStr"/>
      <c r="I1622" s="111" t="n"/>
      <c r="J1622" s="217" t="inlineStr"/>
    </row>
    <row r="1623" ht="15.75" customHeight="1" s="305">
      <c r="A1623" s="215" t="n"/>
      <c r="B1623" s="215" t="n"/>
      <c r="D1623" s="3" t="n"/>
      <c r="E1623" s="3" t="n"/>
      <c r="G1623" t="inlineStr"/>
      <c r="H1623" t="inlineStr"/>
      <c r="I1623" s="111" t="n"/>
      <c r="J1623" s="217" t="inlineStr"/>
    </row>
    <row r="1624" ht="15.75" customHeight="1" s="305">
      <c r="A1624" s="215" t="n"/>
      <c r="B1624" s="215" t="n"/>
      <c r="D1624" s="3" t="n"/>
      <c r="E1624" s="3" t="n"/>
      <c r="G1624" t="inlineStr"/>
      <c r="H1624" t="inlineStr"/>
      <c r="I1624" s="111" t="n"/>
      <c r="J1624" s="217" t="inlineStr"/>
    </row>
    <row r="1625" ht="15.75" customHeight="1" s="305">
      <c r="A1625" s="215" t="n"/>
      <c r="B1625" s="215" t="n"/>
      <c r="D1625" s="3" t="n"/>
      <c r="E1625" s="3" t="n"/>
      <c r="G1625" t="inlineStr"/>
      <c r="H1625" t="inlineStr"/>
      <c r="I1625" s="111" t="n"/>
      <c r="J1625" s="217" t="inlineStr"/>
    </row>
    <row r="1626" ht="15.75" customHeight="1" s="305">
      <c r="A1626" s="215" t="n"/>
      <c r="B1626" s="215" t="n"/>
      <c r="D1626" s="3" t="n"/>
      <c r="E1626" s="3" t="n"/>
      <c r="G1626" t="inlineStr"/>
      <c r="H1626" t="inlineStr"/>
      <c r="I1626" s="111" t="n"/>
      <c r="J1626" s="217" t="inlineStr"/>
    </row>
    <row r="1627" ht="15.75" customHeight="1" s="305">
      <c r="A1627" s="215" t="n"/>
      <c r="B1627" s="215" t="n"/>
      <c r="D1627" s="3" t="n"/>
      <c r="E1627" s="3" t="n"/>
      <c r="G1627" t="inlineStr"/>
      <c r="H1627" t="inlineStr"/>
      <c r="I1627" s="111" t="n"/>
      <c r="J1627" s="217" t="inlineStr"/>
    </row>
    <row r="1628" ht="15.75" customHeight="1" s="305">
      <c r="A1628" s="215" t="n"/>
      <c r="B1628" s="215" t="n"/>
      <c r="D1628" s="3" t="n"/>
      <c r="E1628" s="3" t="n"/>
      <c r="G1628" t="inlineStr"/>
      <c r="H1628" t="inlineStr"/>
      <c r="I1628" s="111" t="n"/>
      <c r="J1628" s="217" t="inlineStr"/>
    </row>
    <row r="1629" ht="15.75" customHeight="1" s="305">
      <c r="A1629" s="215" t="n"/>
      <c r="B1629" s="215" t="n"/>
      <c r="D1629" s="3" t="n"/>
      <c r="E1629" s="3" t="n"/>
      <c r="G1629" t="inlineStr"/>
      <c r="H1629" t="inlineStr"/>
      <c r="I1629" s="111" t="n"/>
      <c r="J1629" s="217" t="inlineStr"/>
    </row>
    <row r="1630" ht="15.75" customHeight="1" s="305">
      <c r="A1630" s="215" t="n"/>
      <c r="B1630" s="215" t="n"/>
      <c r="D1630" s="3" t="n"/>
      <c r="E1630" s="3" t="n"/>
      <c r="G1630" t="inlineStr"/>
      <c r="H1630" t="inlineStr"/>
      <c r="I1630" s="111" t="n"/>
      <c r="J1630" s="217" t="inlineStr"/>
    </row>
    <row r="1631" ht="15.75" customHeight="1" s="305">
      <c r="A1631" s="215" t="n"/>
      <c r="B1631" s="215" t="n"/>
      <c r="D1631" s="3" t="n"/>
      <c r="E1631" s="3" t="n"/>
      <c r="G1631" t="inlineStr"/>
      <c r="H1631" t="inlineStr"/>
      <c r="I1631" s="111" t="n"/>
      <c r="J1631" s="217" t="inlineStr"/>
    </row>
    <row r="1632" ht="15.75" customHeight="1" s="305">
      <c r="A1632" s="215" t="n"/>
      <c r="B1632" s="215" t="n"/>
      <c r="D1632" s="3" t="n"/>
      <c r="E1632" s="3" t="n"/>
      <c r="G1632" t="inlineStr"/>
      <c r="H1632" t="inlineStr"/>
      <c r="I1632" s="111" t="n"/>
      <c r="J1632" s="217" t="inlineStr"/>
    </row>
    <row r="1633" ht="15.75" customHeight="1" s="305">
      <c r="A1633" s="215" t="n"/>
      <c r="B1633" s="215" t="n"/>
      <c r="D1633" s="3" t="n"/>
      <c r="E1633" s="3" t="n"/>
      <c r="G1633" t="inlineStr"/>
      <c r="H1633" t="inlineStr"/>
      <c r="I1633" s="111" t="n"/>
      <c r="J1633" s="217" t="inlineStr"/>
    </row>
    <row r="1634" ht="15.75" customHeight="1" s="305">
      <c r="A1634" s="215" t="n"/>
      <c r="B1634" s="215" t="n"/>
      <c r="D1634" s="3" t="n"/>
      <c r="E1634" s="3" t="n"/>
      <c r="G1634" t="inlineStr"/>
      <c r="H1634" t="inlineStr"/>
      <c r="I1634" s="111" t="n"/>
      <c r="J1634" s="217" t="inlineStr"/>
    </row>
    <row r="1635" ht="15.75" customHeight="1" s="305">
      <c r="A1635" s="215" t="n"/>
      <c r="B1635" s="215" t="n"/>
      <c r="D1635" s="3" t="n"/>
      <c r="E1635" s="3" t="n"/>
      <c r="G1635" t="inlineStr"/>
      <c r="H1635" t="inlineStr"/>
      <c r="I1635" s="111" t="n"/>
      <c r="J1635" s="217" t="inlineStr"/>
    </row>
    <row r="1636" ht="15.75" customHeight="1" s="305">
      <c r="A1636" s="215" t="n"/>
      <c r="B1636" s="215" t="n"/>
      <c r="D1636" s="3" t="n"/>
      <c r="E1636" s="3" t="n"/>
      <c r="G1636" t="inlineStr"/>
      <c r="H1636" t="inlineStr"/>
      <c r="I1636" s="111" t="n"/>
      <c r="J1636" s="217" t="inlineStr"/>
    </row>
    <row r="1637" ht="15.75" customHeight="1" s="305">
      <c r="A1637" s="215" t="n"/>
      <c r="B1637" s="215" t="n"/>
      <c r="D1637" s="3" t="n"/>
      <c r="E1637" s="3" t="n"/>
      <c r="G1637" t="inlineStr"/>
      <c r="H1637" t="inlineStr"/>
      <c r="I1637" s="111" t="n"/>
      <c r="J1637" s="217" t="inlineStr"/>
    </row>
    <row r="1638" ht="15.75" customHeight="1" s="305">
      <c r="A1638" s="215" t="n"/>
      <c r="B1638" s="215" t="n"/>
      <c r="D1638" s="3" t="n"/>
      <c r="E1638" s="3" t="n"/>
      <c r="G1638" t="inlineStr"/>
      <c r="H1638" t="inlineStr"/>
      <c r="I1638" s="111" t="n"/>
      <c r="J1638" s="217" t="inlineStr"/>
    </row>
    <row r="1639" ht="15.75" customHeight="1" s="305">
      <c r="A1639" s="215" t="n"/>
      <c r="B1639" s="215" t="n"/>
      <c r="D1639" s="3" t="n"/>
      <c r="E1639" s="3" t="n"/>
      <c r="G1639" t="inlineStr"/>
      <c r="H1639" t="inlineStr"/>
      <c r="I1639" s="111" t="n"/>
      <c r="J1639" s="217" t="inlineStr"/>
    </row>
    <row r="1640" ht="15.75" customHeight="1" s="305">
      <c r="A1640" s="215" t="n"/>
      <c r="B1640" s="215" t="n"/>
      <c r="D1640" s="3" t="n"/>
      <c r="E1640" s="3" t="n"/>
      <c r="G1640" t="inlineStr"/>
      <c r="H1640" t="inlineStr"/>
      <c r="I1640" s="111" t="n"/>
      <c r="J1640" s="217" t="inlineStr"/>
    </row>
    <row r="1641" ht="15.75" customHeight="1" s="305">
      <c r="A1641" s="215" t="n"/>
      <c r="B1641" s="215" t="n"/>
      <c r="D1641" s="3" t="n"/>
      <c r="E1641" s="3" t="n"/>
      <c r="G1641" t="inlineStr"/>
      <c r="H1641" t="inlineStr"/>
      <c r="I1641" s="111" t="n"/>
      <c r="J1641" s="217" t="inlineStr"/>
    </row>
    <row r="1642" ht="15.75" customHeight="1" s="305">
      <c r="A1642" s="215" t="n"/>
      <c r="B1642" s="215" t="n"/>
      <c r="D1642" s="3" t="n"/>
      <c r="E1642" s="3" t="n"/>
      <c r="G1642" t="inlineStr"/>
      <c r="H1642" t="inlineStr"/>
      <c r="I1642" s="111" t="n"/>
      <c r="J1642" s="217" t="inlineStr"/>
    </row>
    <row r="1643" ht="15.75" customHeight="1" s="305">
      <c r="A1643" s="215" t="n"/>
      <c r="B1643" s="215" t="n"/>
      <c r="D1643" s="3" t="n"/>
      <c r="E1643" s="3" t="n"/>
      <c r="G1643" t="inlineStr"/>
      <c r="H1643" t="inlineStr"/>
      <c r="I1643" s="111" t="n"/>
      <c r="J1643" s="217" t="inlineStr"/>
    </row>
    <row r="1644" ht="15.75" customHeight="1" s="305">
      <c r="A1644" s="215" t="n"/>
      <c r="B1644" s="215" t="n"/>
      <c r="D1644" s="3" t="n"/>
      <c r="E1644" s="3" t="n"/>
      <c r="G1644" t="inlineStr"/>
      <c r="H1644" t="inlineStr"/>
      <c r="I1644" s="111" t="n"/>
      <c r="J1644" s="217" t="inlineStr"/>
    </row>
    <row r="1645" ht="15.75" customHeight="1" s="305">
      <c r="A1645" s="215" t="n"/>
      <c r="B1645" s="215" t="n"/>
      <c r="D1645" s="3" t="n"/>
      <c r="E1645" s="3" t="n"/>
      <c r="G1645" t="inlineStr"/>
      <c r="H1645" t="inlineStr"/>
      <c r="I1645" s="111" t="n"/>
      <c r="J1645" s="217" t="inlineStr"/>
    </row>
    <row r="1646" ht="15.75" customHeight="1" s="305">
      <c r="A1646" s="215" t="n"/>
      <c r="B1646" s="215" t="n"/>
      <c r="D1646" s="3" t="n"/>
      <c r="E1646" s="3" t="n"/>
      <c r="G1646" t="inlineStr"/>
      <c r="H1646" t="inlineStr"/>
      <c r="I1646" s="111" t="n"/>
      <c r="J1646" s="217" t="inlineStr"/>
    </row>
    <row r="1647" ht="15.75" customHeight="1" s="305">
      <c r="A1647" s="215" t="n"/>
      <c r="B1647" s="215" t="n"/>
      <c r="D1647" s="3" t="n"/>
      <c r="E1647" s="3" t="n"/>
      <c r="G1647" t="inlineStr"/>
      <c r="H1647" t="inlineStr"/>
      <c r="I1647" s="111" t="n"/>
      <c r="J1647" s="217" t="inlineStr"/>
    </row>
    <row r="1648" ht="15.75" customHeight="1" s="305">
      <c r="A1648" s="215" t="n"/>
      <c r="B1648" s="215" t="n"/>
      <c r="D1648" s="3" t="n"/>
      <c r="E1648" s="3" t="n"/>
      <c r="G1648" t="inlineStr"/>
      <c r="H1648" t="inlineStr"/>
      <c r="I1648" s="111" t="n"/>
      <c r="J1648" s="217" t="inlineStr"/>
    </row>
    <row r="1649" ht="15.75" customHeight="1" s="305">
      <c r="A1649" s="215" t="n"/>
      <c r="B1649" s="215" t="n"/>
      <c r="D1649" s="3" t="n"/>
      <c r="E1649" s="3" t="n"/>
      <c r="G1649" t="inlineStr"/>
      <c r="H1649" t="inlineStr"/>
      <c r="I1649" s="111" t="n"/>
      <c r="J1649" s="217" t="inlineStr"/>
    </row>
    <row r="1650" ht="15.75" customHeight="1" s="305">
      <c r="A1650" s="215" t="n"/>
      <c r="B1650" s="116" t="n"/>
      <c r="D1650" s="3" t="n"/>
      <c r="E1650" s="3" t="n"/>
      <c r="G1650" t="inlineStr"/>
      <c r="H1650" t="inlineStr"/>
      <c r="I1650" s="111" t="n"/>
      <c r="J1650" s="217" t="inlineStr"/>
    </row>
    <row r="1651" ht="15.75" customHeight="1" s="305">
      <c r="A1651" s="215" t="n"/>
      <c r="B1651" s="219" t="n"/>
      <c r="D1651" s="3" t="n"/>
      <c r="E1651" s="3" t="n"/>
      <c r="G1651" t="inlineStr"/>
      <c r="H1651" t="inlineStr"/>
      <c r="I1651" s="111" t="n"/>
      <c r="J1651" s="217" t="inlineStr"/>
    </row>
    <row r="1652" ht="15.75" customHeight="1" s="305">
      <c r="A1652" s="215" t="n"/>
      <c r="B1652" s="219" t="n"/>
      <c r="D1652" s="3" t="n"/>
      <c r="E1652" s="3" t="n"/>
      <c r="G1652" t="inlineStr"/>
      <c r="H1652" t="inlineStr"/>
      <c r="I1652" s="111" t="n"/>
      <c r="J1652" s="217" t="inlineStr"/>
    </row>
    <row r="1653" ht="15.75" customHeight="1" s="305">
      <c r="A1653" s="215" t="n"/>
      <c r="B1653" s="219" t="n"/>
      <c r="D1653" s="3" t="n"/>
      <c r="E1653" s="3" t="n"/>
      <c r="G1653" t="inlineStr"/>
      <c r="H1653" t="inlineStr"/>
      <c r="I1653" s="111" t="n"/>
      <c r="J1653" s="217" t="inlineStr"/>
    </row>
    <row r="1654" ht="15.75" customHeight="1" s="305">
      <c r="A1654" s="215" t="n"/>
      <c r="B1654" s="219" t="n"/>
      <c r="D1654" s="3" t="n"/>
      <c r="E1654" s="3" t="n"/>
      <c r="G1654" t="inlineStr"/>
      <c r="H1654" t="inlineStr"/>
      <c r="I1654" s="111" t="n"/>
      <c r="J1654" s="217" t="inlineStr"/>
    </row>
    <row r="1655" ht="15.75" customHeight="1" s="305">
      <c r="A1655" s="215" t="n"/>
      <c r="B1655" s="219" t="n"/>
      <c r="D1655" s="3" t="n"/>
      <c r="E1655" s="3" t="n"/>
      <c r="G1655" t="inlineStr"/>
      <c r="H1655" t="inlineStr"/>
      <c r="I1655" s="111" t="n"/>
      <c r="J1655" s="217" t="inlineStr"/>
    </row>
    <row r="1656" ht="15.75" customHeight="1" s="305">
      <c r="A1656" s="215" t="n"/>
      <c r="B1656" s="219" t="n"/>
      <c r="D1656" s="3" t="n"/>
      <c r="E1656" s="3" t="n"/>
      <c r="G1656" t="inlineStr"/>
      <c r="H1656" t="inlineStr"/>
      <c r="I1656" s="111" t="n"/>
      <c r="J1656" s="217" t="inlineStr"/>
    </row>
    <row r="1657" ht="15.75" customHeight="1" s="305">
      <c r="A1657" s="215" t="n"/>
      <c r="B1657" s="219" t="n"/>
      <c r="D1657" s="3" t="n"/>
      <c r="E1657" s="3" t="n"/>
      <c r="G1657" t="inlineStr"/>
      <c r="H1657" t="inlineStr"/>
      <c r="I1657" s="111" t="n"/>
      <c r="J1657" s="217" t="inlineStr"/>
    </row>
    <row r="1658" ht="15.75" customHeight="1" s="305">
      <c r="A1658" s="215" t="n"/>
      <c r="B1658" s="219" t="n"/>
      <c r="D1658" s="3" t="n"/>
      <c r="E1658" s="3" t="n"/>
      <c r="G1658" t="inlineStr"/>
      <c r="H1658" t="inlineStr"/>
      <c r="I1658" s="111" t="n"/>
      <c r="J1658" s="217" t="inlineStr"/>
    </row>
    <row r="1659" ht="15.75" customHeight="1" s="305">
      <c r="A1659" s="215" t="n"/>
      <c r="B1659" s="219" t="n"/>
      <c r="D1659" s="3" t="n"/>
      <c r="E1659" s="3" t="n"/>
      <c r="G1659" t="inlineStr"/>
      <c r="H1659" t="inlineStr"/>
      <c r="I1659" s="111" t="n"/>
      <c r="J1659" s="217" t="inlineStr"/>
    </row>
    <row r="1660" ht="15.75" customHeight="1" s="305">
      <c r="A1660" s="215" t="n"/>
      <c r="B1660" s="219" t="n"/>
      <c r="D1660" s="3" t="n"/>
      <c r="E1660" s="3" t="n"/>
      <c r="G1660" t="inlineStr"/>
      <c r="H1660" t="inlineStr"/>
      <c r="I1660" s="111" t="n"/>
      <c r="J1660" s="217" t="inlineStr"/>
    </row>
    <row r="1661" ht="15.75" customHeight="1" s="305">
      <c r="A1661" s="215" t="n"/>
      <c r="B1661" s="219" t="n"/>
      <c r="D1661" s="3" t="n"/>
      <c r="E1661" s="3" t="n"/>
      <c r="G1661" t="inlineStr"/>
      <c r="H1661" t="inlineStr"/>
      <c r="I1661" s="111" t="n"/>
      <c r="J1661" s="217" t="inlineStr"/>
    </row>
    <row r="1662" ht="15.75" customHeight="1" s="305">
      <c r="A1662" s="215" t="n"/>
      <c r="B1662" s="219" t="n"/>
      <c r="D1662" s="3" t="n"/>
      <c r="E1662" s="3" t="n"/>
      <c r="G1662" t="inlineStr"/>
      <c r="H1662" t="inlineStr"/>
      <c r="I1662" s="111" t="n"/>
      <c r="J1662" s="217" t="inlineStr"/>
    </row>
    <row r="1663" ht="15.75" customHeight="1" s="305">
      <c r="A1663" s="215" t="n"/>
      <c r="B1663" s="219" t="n"/>
      <c r="D1663" s="3" t="n"/>
      <c r="E1663" s="3" t="n"/>
      <c r="G1663" t="inlineStr"/>
      <c r="H1663" t="inlineStr"/>
      <c r="I1663" s="111" t="n"/>
      <c r="J1663" s="217" t="inlineStr"/>
    </row>
    <row r="1664" ht="15.75" customHeight="1" s="305">
      <c r="A1664" s="215" t="n"/>
      <c r="B1664" s="219" t="n"/>
      <c r="D1664" s="3" t="n"/>
      <c r="E1664" s="3" t="n"/>
      <c r="G1664" t="inlineStr"/>
      <c r="H1664" t="inlineStr"/>
      <c r="I1664" s="111" t="n"/>
      <c r="J1664" s="217" t="inlineStr"/>
    </row>
    <row r="1665" ht="15.75" customHeight="1" s="305">
      <c r="A1665" s="215" t="n"/>
      <c r="B1665" s="219" t="n"/>
      <c r="D1665" s="3" t="n"/>
      <c r="E1665" s="3" t="n"/>
      <c r="G1665" t="inlineStr"/>
      <c r="H1665" t="inlineStr"/>
      <c r="I1665" s="111" t="n"/>
      <c r="J1665" s="217" t="inlineStr"/>
    </row>
    <row r="1666" ht="15.75" customHeight="1" s="305">
      <c r="A1666" s="215" t="n"/>
      <c r="B1666" s="219" t="n"/>
      <c r="D1666" s="3" t="n"/>
      <c r="E1666" s="3" t="n"/>
      <c r="G1666" t="inlineStr"/>
      <c r="H1666" t="inlineStr"/>
      <c r="I1666" s="111" t="n"/>
      <c r="J1666" s="217" t="inlineStr"/>
    </row>
    <row r="1667" ht="15.75" customHeight="1" s="305">
      <c r="A1667" s="215" t="n"/>
      <c r="B1667" s="219" t="n"/>
      <c r="D1667" s="3" t="n"/>
      <c r="E1667" s="3" t="n"/>
      <c r="G1667" t="inlineStr"/>
      <c r="H1667" t="inlineStr"/>
      <c r="I1667" s="111" t="n"/>
      <c r="J1667" s="217" t="inlineStr"/>
    </row>
    <row r="1668" ht="15.75" customHeight="1" s="305">
      <c r="A1668" s="215" t="n"/>
      <c r="B1668" s="219" t="n"/>
      <c r="D1668" s="3" t="n"/>
      <c r="E1668" s="3" t="n"/>
      <c r="G1668" t="inlineStr"/>
      <c r="H1668" t="inlineStr"/>
      <c r="I1668" s="111" t="n"/>
      <c r="J1668" s="217" t="inlineStr"/>
    </row>
    <row r="1669" ht="15.75" customHeight="1" s="305">
      <c r="A1669" s="215" t="n"/>
      <c r="B1669" s="219" t="n"/>
      <c r="D1669" s="3" t="n"/>
      <c r="E1669" s="3" t="n"/>
      <c r="G1669" t="inlineStr"/>
      <c r="H1669" t="inlineStr"/>
      <c r="I1669" s="111" t="n"/>
      <c r="J1669" s="217" t="inlineStr"/>
    </row>
    <row r="1670" ht="15.75" customHeight="1" s="305">
      <c r="A1670" s="215" t="n"/>
      <c r="B1670" s="219" t="n"/>
      <c r="D1670" s="3" t="n"/>
      <c r="E1670" s="3" t="n"/>
      <c r="G1670" t="inlineStr"/>
      <c r="H1670" t="inlineStr"/>
      <c r="I1670" s="111" t="n"/>
      <c r="J1670" s="217" t="inlineStr"/>
    </row>
    <row r="1671" ht="15.75" customHeight="1" s="305">
      <c r="A1671" s="118" t="n"/>
      <c r="B1671" s="219" t="n"/>
      <c r="D1671" s="3" t="n"/>
      <c r="E1671" s="3" t="n"/>
      <c r="G1671" t="inlineStr"/>
      <c r="H1671" t="inlineStr"/>
      <c r="I1671" s="111" t="n"/>
      <c r="J1671" s="217" t="inlineStr"/>
    </row>
    <row r="1672" ht="15.75" customHeight="1" s="305">
      <c r="A1672" s="215" t="n"/>
      <c r="B1672" s="219" t="n"/>
      <c r="D1672" s="3" t="n"/>
      <c r="E1672" s="3" t="n"/>
      <c r="G1672" t="inlineStr"/>
      <c r="H1672" t="inlineStr"/>
      <c r="I1672" s="111" t="n"/>
      <c r="J1672" s="217" t="inlineStr"/>
    </row>
    <row r="1673" ht="15.75" customHeight="1" s="305">
      <c r="A1673" s="215" t="n"/>
      <c r="B1673" s="219" t="n"/>
      <c r="D1673" s="3" t="n"/>
      <c r="E1673" s="3" t="n"/>
      <c r="G1673" t="inlineStr"/>
      <c r="H1673" t="inlineStr"/>
      <c r="I1673" s="111" t="n"/>
      <c r="J1673" s="217" t="inlineStr"/>
    </row>
    <row r="1674" ht="15.75" customHeight="1" s="305">
      <c r="A1674" s="215" t="n"/>
      <c r="B1674" s="219" t="n"/>
      <c r="D1674" s="3" t="n"/>
      <c r="E1674" s="3" t="n"/>
      <c r="G1674" t="inlineStr"/>
      <c r="H1674" t="inlineStr"/>
      <c r="I1674" s="111" t="n"/>
      <c r="J1674" s="217" t="inlineStr"/>
    </row>
    <row r="1675" ht="15.75" customHeight="1" s="305">
      <c r="A1675" s="215" t="n"/>
      <c r="B1675" s="219" t="n"/>
      <c r="D1675" s="3" t="n"/>
      <c r="E1675" s="3" t="n"/>
      <c r="G1675" t="inlineStr"/>
      <c r="H1675" t="inlineStr"/>
      <c r="I1675" s="111" t="n"/>
      <c r="J1675" s="217" t="inlineStr"/>
    </row>
    <row r="1676" ht="15.75" customHeight="1" s="305">
      <c r="A1676" s="215" t="n"/>
      <c r="B1676" s="219" t="n"/>
      <c r="D1676" s="3" t="n"/>
      <c r="E1676" s="3" t="n"/>
      <c r="G1676" t="inlineStr"/>
      <c r="H1676" t="inlineStr"/>
      <c r="I1676" s="111" t="n"/>
      <c r="J1676" s="217" t="inlineStr"/>
    </row>
    <row r="1677" ht="15.75" customHeight="1" s="305">
      <c r="A1677" s="215" t="n"/>
      <c r="B1677" s="219" t="n"/>
      <c r="D1677" s="3" t="n"/>
      <c r="E1677" s="3" t="n"/>
      <c r="G1677" t="inlineStr"/>
      <c r="H1677" t="inlineStr"/>
      <c r="I1677" s="111" t="n"/>
      <c r="J1677" s="217" t="inlineStr"/>
    </row>
    <row r="1678" ht="15.75" customHeight="1" s="305">
      <c r="A1678" s="215" t="n"/>
      <c r="B1678" s="219" t="n"/>
      <c r="D1678" s="3" t="n"/>
      <c r="E1678" s="3" t="n"/>
      <c r="G1678" t="inlineStr"/>
      <c r="H1678" t="inlineStr"/>
      <c r="I1678" s="111" t="n"/>
      <c r="J1678" s="217" t="inlineStr"/>
    </row>
    <row r="1679" ht="15.75" customHeight="1" s="305">
      <c r="A1679" s="215" t="n"/>
      <c r="B1679" s="219" t="n"/>
      <c r="D1679" s="3" t="n"/>
      <c r="E1679" s="3" t="n"/>
      <c r="G1679" t="inlineStr"/>
      <c r="H1679" t="inlineStr"/>
      <c r="I1679" s="111" t="n"/>
      <c r="J1679" s="217" t="inlineStr"/>
    </row>
    <row r="1680" ht="15.75" customHeight="1" s="305">
      <c r="A1680" s="215" t="n"/>
      <c r="B1680" s="219" t="n"/>
      <c r="D1680" s="3" t="n"/>
      <c r="E1680" s="3" t="n"/>
      <c r="G1680" t="inlineStr"/>
      <c r="H1680" t="inlineStr"/>
      <c r="I1680" s="111" t="n"/>
      <c r="J1680" s="217" t="inlineStr"/>
    </row>
    <row r="1681" ht="15.75" customHeight="1" s="305">
      <c r="A1681" s="215" t="n"/>
      <c r="B1681" s="219" t="n"/>
      <c r="D1681" s="3" t="n"/>
      <c r="E1681" s="3" t="n"/>
      <c r="G1681" t="inlineStr"/>
      <c r="H1681" t="inlineStr"/>
      <c r="I1681" s="111" t="n"/>
      <c r="J1681" s="217" t="inlineStr"/>
    </row>
    <row r="1682" ht="15.75" customHeight="1" s="305">
      <c r="A1682" s="215" t="n"/>
      <c r="B1682" s="219" t="n"/>
      <c r="D1682" s="3" t="n"/>
      <c r="E1682" s="3" t="n"/>
      <c r="G1682" t="inlineStr"/>
      <c r="H1682" t="inlineStr"/>
      <c r="I1682" s="111" t="n"/>
      <c r="J1682" s="217" t="inlineStr"/>
    </row>
    <row r="1683" ht="15.75" customHeight="1" s="305">
      <c r="A1683" s="215" t="n"/>
      <c r="B1683" s="219" t="n"/>
      <c r="D1683" s="3" t="n"/>
      <c r="E1683" s="3" t="n"/>
      <c r="G1683" t="inlineStr"/>
      <c r="H1683" t="inlineStr"/>
      <c r="I1683" s="111" t="n"/>
      <c r="J1683" s="217" t="inlineStr"/>
    </row>
    <row r="1684" ht="15.75" customHeight="1" s="305">
      <c r="A1684" s="215" t="n"/>
      <c r="B1684" s="219" t="n"/>
      <c r="D1684" s="3" t="n"/>
      <c r="E1684" s="3" t="n"/>
      <c r="G1684" t="inlineStr"/>
      <c r="H1684" t="inlineStr"/>
      <c r="I1684" s="111" t="n"/>
      <c r="J1684" s="217" t="inlineStr"/>
    </row>
    <row r="1685" ht="15.75" customHeight="1" s="305">
      <c r="A1685" s="215" t="n"/>
      <c r="B1685" s="219" t="n"/>
      <c r="D1685" s="3" t="n"/>
      <c r="E1685" s="3" t="n"/>
      <c r="G1685" t="inlineStr"/>
      <c r="H1685" t="inlineStr"/>
      <c r="I1685" s="111" t="n"/>
      <c r="J1685" s="217" t="inlineStr"/>
    </row>
    <row r="1686" ht="15.75" customHeight="1" s="305">
      <c r="A1686" s="215" t="n"/>
      <c r="B1686" s="219" t="n"/>
      <c r="D1686" s="3" t="n"/>
      <c r="E1686" s="3" t="n"/>
      <c r="G1686" t="inlineStr"/>
      <c r="H1686" t="inlineStr"/>
      <c r="I1686" s="111" t="n"/>
      <c r="J1686" s="217" t="inlineStr"/>
    </row>
    <row r="1687" ht="15.75" customHeight="1" s="305">
      <c r="A1687" s="215" t="n"/>
      <c r="B1687" s="219" t="n"/>
      <c r="D1687" s="3" t="n"/>
      <c r="E1687" s="3" t="n"/>
      <c r="G1687" t="inlineStr"/>
      <c r="H1687" t="inlineStr"/>
      <c r="I1687" s="111" t="n"/>
      <c r="J1687" s="217" t="inlineStr"/>
    </row>
    <row r="1688" ht="15.75" customHeight="1" s="305">
      <c r="A1688" s="215" t="n"/>
      <c r="B1688" s="219" t="n"/>
      <c r="D1688" s="3" t="n"/>
      <c r="E1688" s="3" t="n"/>
      <c r="G1688" t="inlineStr"/>
      <c r="H1688" t="inlineStr"/>
      <c r="I1688" s="111" t="n"/>
      <c r="J1688" s="217" t="inlineStr"/>
    </row>
    <row r="1689" ht="15.75" customHeight="1" s="305">
      <c r="A1689" s="215" t="n"/>
      <c r="B1689" s="219" t="n"/>
      <c r="D1689" s="3" t="n"/>
      <c r="E1689" s="3" t="n"/>
      <c r="G1689" t="inlineStr"/>
      <c r="H1689" t="inlineStr"/>
      <c r="I1689" s="111" t="n"/>
      <c r="J1689" s="217" t="inlineStr"/>
    </row>
    <row r="1690" ht="15.75" customHeight="1" s="305">
      <c r="A1690" s="215" t="n"/>
      <c r="B1690" s="219" t="n"/>
      <c r="D1690" s="3" t="n"/>
      <c r="E1690" s="3" t="n"/>
      <c r="G1690" t="inlineStr"/>
      <c r="H1690" t="inlineStr"/>
      <c r="I1690" s="111" t="n"/>
      <c r="J1690" s="217" t="inlineStr"/>
    </row>
    <row r="1691" ht="15.75" customHeight="1" s="305">
      <c r="A1691" s="215" t="n"/>
      <c r="B1691" s="219" t="n"/>
      <c r="D1691" s="3" t="n"/>
      <c r="E1691" s="3" t="n"/>
      <c r="G1691" t="inlineStr"/>
      <c r="H1691" t="inlineStr"/>
      <c r="I1691" s="111" t="n"/>
      <c r="J1691" s="217" t="inlineStr"/>
    </row>
    <row r="1692" ht="15.75" customHeight="1" s="305">
      <c r="A1692" s="215" t="n"/>
      <c r="B1692" s="219" t="n"/>
      <c r="D1692" s="3" t="n"/>
      <c r="E1692" s="3" t="n"/>
      <c r="G1692" t="inlineStr"/>
      <c r="H1692" t="inlineStr"/>
      <c r="I1692" s="111" t="n"/>
      <c r="J1692" s="217" t="inlineStr"/>
    </row>
    <row r="1693" ht="15.75" customHeight="1" s="305">
      <c r="A1693" s="215" t="n"/>
      <c r="B1693" s="219" t="n"/>
      <c r="D1693" s="3" t="n"/>
      <c r="E1693" s="3" t="n"/>
      <c r="G1693" t="inlineStr"/>
      <c r="H1693" t="inlineStr"/>
      <c r="I1693" s="111" t="n"/>
      <c r="J1693" s="217" t="inlineStr"/>
    </row>
    <row r="1694" ht="15.75" customHeight="1" s="305">
      <c r="A1694" s="215" t="n"/>
      <c r="B1694" s="219" t="n"/>
      <c r="D1694" s="3" t="n"/>
      <c r="E1694" s="3" t="n"/>
      <c r="G1694" t="inlineStr"/>
      <c r="H1694" t="inlineStr"/>
      <c r="I1694" s="111" t="n"/>
      <c r="J1694" s="217" t="inlineStr"/>
    </row>
    <row r="1695" ht="15.75" customHeight="1" s="305">
      <c r="A1695" s="215" t="n"/>
      <c r="B1695" s="219" t="n"/>
      <c r="D1695" s="3" t="n"/>
      <c r="E1695" s="3" t="n"/>
      <c r="G1695" t="inlineStr"/>
      <c r="H1695" t="inlineStr"/>
      <c r="I1695" s="111" t="n"/>
      <c r="J1695" s="217" t="inlineStr"/>
    </row>
    <row r="1696" ht="15.75" customHeight="1" s="305">
      <c r="A1696" s="215" t="n"/>
      <c r="B1696" s="219" t="n"/>
      <c r="D1696" s="3" t="n"/>
      <c r="E1696" s="3" t="n"/>
      <c r="G1696" t="inlineStr"/>
      <c r="H1696" t="inlineStr"/>
      <c r="I1696" s="111" t="n"/>
      <c r="J1696" s="217" t="inlineStr"/>
    </row>
    <row r="1697" ht="15.75" customHeight="1" s="305">
      <c r="A1697" s="215" t="n"/>
      <c r="B1697" s="219" t="n"/>
      <c r="D1697" s="3" t="n"/>
      <c r="E1697" s="3" t="n"/>
      <c r="G1697" t="inlineStr"/>
      <c r="H1697" t="inlineStr"/>
      <c r="I1697" s="111" t="n"/>
      <c r="J1697" s="217" t="inlineStr"/>
    </row>
    <row r="1698" ht="15.75" customHeight="1" s="305">
      <c r="A1698" s="215" t="n"/>
      <c r="B1698" s="219" t="n"/>
      <c r="D1698" s="3" t="n"/>
      <c r="E1698" s="3" t="n"/>
      <c r="G1698" t="inlineStr"/>
      <c r="H1698" t="inlineStr"/>
      <c r="I1698" s="111" t="n"/>
      <c r="J1698" s="217" t="inlineStr"/>
    </row>
    <row r="1699" ht="15.75" customHeight="1" s="305">
      <c r="A1699" s="215" t="n"/>
      <c r="B1699" s="219" t="n"/>
      <c r="D1699" s="3" t="n"/>
      <c r="E1699" s="3" t="n"/>
      <c r="G1699" t="inlineStr"/>
      <c r="H1699" t="inlineStr"/>
      <c r="I1699" s="111" t="n"/>
      <c r="J1699" s="217" t="inlineStr"/>
    </row>
    <row r="1700" ht="15.75" customHeight="1" s="305">
      <c r="A1700" s="215" t="n"/>
      <c r="B1700" s="219" t="n"/>
      <c r="D1700" s="3" t="n"/>
      <c r="E1700" s="3" t="n"/>
      <c r="G1700" t="inlineStr"/>
      <c r="H1700" t="inlineStr"/>
      <c r="I1700" s="111" t="n"/>
      <c r="J1700" s="217" t="inlineStr"/>
    </row>
    <row r="1701" ht="15.75" customHeight="1" s="305">
      <c r="A1701" s="215" t="n"/>
      <c r="B1701" s="219" t="n"/>
      <c r="D1701" s="3" t="n"/>
      <c r="E1701" s="3" t="n"/>
      <c r="G1701" t="inlineStr"/>
      <c r="H1701" t="inlineStr"/>
      <c r="I1701" s="111" t="n"/>
      <c r="J1701" s="217" t="inlineStr"/>
    </row>
    <row r="1702" ht="15.75" customHeight="1" s="305">
      <c r="A1702" s="215" t="n"/>
      <c r="B1702" s="219" t="n"/>
      <c r="D1702" s="3" t="n"/>
      <c r="E1702" s="3" t="n"/>
      <c r="G1702" t="inlineStr"/>
      <c r="H1702" t="inlineStr"/>
      <c r="I1702" s="111" t="n"/>
      <c r="J1702" s="217" t="inlineStr"/>
    </row>
    <row r="1703" ht="15.75" customHeight="1" s="305">
      <c r="A1703" s="215" t="n"/>
      <c r="B1703" s="219" t="n"/>
      <c r="D1703" s="3" t="n"/>
      <c r="E1703" s="3" t="n"/>
      <c r="G1703" t="inlineStr"/>
      <c r="H1703" t="inlineStr"/>
      <c r="I1703" s="111" t="n"/>
      <c r="J1703" s="217" t="inlineStr"/>
    </row>
    <row r="1704" ht="15.75" customHeight="1" s="305">
      <c r="A1704" s="215" t="n"/>
      <c r="B1704" s="219" t="n"/>
      <c r="D1704" s="3" t="n"/>
      <c r="E1704" s="3" t="n"/>
      <c r="G1704" t="inlineStr"/>
      <c r="H1704" t="inlineStr"/>
      <c r="I1704" s="111" t="n"/>
      <c r="J1704" s="217" t="inlineStr"/>
    </row>
    <row r="1705" ht="15.75" customHeight="1" s="305">
      <c r="A1705" s="215" t="n"/>
      <c r="B1705" s="219" t="n"/>
      <c r="D1705" s="3" t="n"/>
      <c r="E1705" s="3" t="n"/>
      <c r="G1705" t="inlineStr"/>
      <c r="H1705" t="inlineStr"/>
      <c r="I1705" s="111" t="n"/>
      <c r="J1705" s="217" t="inlineStr"/>
    </row>
    <row r="1706" ht="15.75" customHeight="1" s="305">
      <c r="A1706" s="215" t="n"/>
      <c r="B1706" s="219" t="n"/>
      <c r="D1706" s="3" t="n"/>
      <c r="E1706" s="3" t="n"/>
      <c r="G1706" t="inlineStr"/>
      <c r="H1706" t="inlineStr"/>
      <c r="I1706" s="111" t="n"/>
      <c r="J1706" s="217" t="inlineStr"/>
    </row>
    <row r="1707" ht="15.75" customHeight="1" s="305">
      <c r="A1707" s="215" t="n"/>
      <c r="B1707" s="219" t="n"/>
      <c r="D1707" s="3" t="n"/>
      <c r="E1707" s="3" t="n"/>
      <c r="G1707" t="inlineStr"/>
      <c r="H1707" t="inlineStr"/>
      <c r="I1707" s="111" t="n"/>
      <c r="J1707" s="217" t="inlineStr"/>
    </row>
    <row r="1708" ht="15.75" customHeight="1" s="305">
      <c r="A1708" s="215" t="n"/>
      <c r="B1708" s="219" t="n"/>
      <c r="D1708" s="3" t="n"/>
      <c r="E1708" s="3" t="n"/>
      <c r="G1708" t="inlineStr"/>
      <c r="H1708" t="inlineStr"/>
      <c r="I1708" s="111" t="n"/>
      <c r="J1708" s="217" t="inlineStr"/>
    </row>
    <row r="1709" ht="15.75" customHeight="1" s="305">
      <c r="A1709" s="276" t="n"/>
      <c r="B1709" s="276" t="n"/>
      <c r="C1709" s="123" t="n"/>
      <c r="D1709" s="3" t="n"/>
      <c r="E1709" s="3" t="n"/>
      <c r="G1709" t="inlineStr"/>
      <c r="H1709" t="inlineStr"/>
      <c r="I1709" s="111" t="n"/>
      <c r="J1709" s="217" t="inlineStr"/>
    </row>
    <row r="1710" ht="15.75" customHeight="1" s="305">
      <c r="A1710" s="276" t="n"/>
      <c r="B1710" s="276" t="n"/>
      <c r="C1710" s="123" t="n"/>
      <c r="D1710" s="3" t="n"/>
      <c r="E1710" s="3" t="n"/>
      <c r="G1710" t="inlineStr"/>
      <c r="H1710" t="inlineStr"/>
      <c r="I1710" s="111" t="n"/>
      <c r="J1710" s="217" t="inlineStr"/>
    </row>
    <row r="1711" ht="15.75" customHeight="1" s="305">
      <c r="A1711" s="276" t="n"/>
      <c r="B1711" s="276" t="n"/>
      <c r="C1711" s="123" t="n"/>
      <c r="D1711" s="3" t="n"/>
      <c r="E1711" s="3" t="n"/>
      <c r="G1711" t="inlineStr"/>
      <c r="H1711" t="inlineStr"/>
      <c r="I1711" s="111" t="n"/>
      <c r="J1711" s="217" t="inlineStr"/>
    </row>
    <row r="1712" ht="15.75" customHeight="1" s="305">
      <c r="A1712" s="276" t="n"/>
      <c r="B1712" s="276" t="n"/>
      <c r="C1712" s="123" t="n"/>
      <c r="D1712" s="3" t="n"/>
      <c r="E1712" s="3" t="n"/>
      <c r="G1712" t="inlineStr"/>
      <c r="H1712" t="inlineStr"/>
      <c r="I1712" s="111" t="n"/>
      <c r="J1712" s="217" t="inlineStr"/>
    </row>
    <row r="1713" ht="15.75" customHeight="1" s="305">
      <c r="A1713" s="276" t="n"/>
      <c r="B1713" s="276" t="n"/>
      <c r="C1713" s="123" t="n"/>
      <c r="D1713" s="3" t="n"/>
      <c r="E1713" s="3" t="n"/>
      <c r="G1713" t="inlineStr"/>
      <c r="H1713" t="inlineStr"/>
      <c r="I1713" s="111" t="n"/>
      <c r="J1713" s="217" t="inlineStr"/>
    </row>
    <row r="1714" ht="15.75" customHeight="1" s="305">
      <c r="A1714" s="276" t="n"/>
      <c r="B1714" s="276" t="n"/>
      <c r="C1714" s="123" t="n"/>
      <c r="D1714" s="3" t="n"/>
      <c r="E1714" s="3" t="n"/>
      <c r="G1714" t="inlineStr"/>
      <c r="H1714" t="inlineStr"/>
      <c r="I1714" s="111" t="n"/>
      <c r="J1714" s="217" t="inlineStr"/>
    </row>
    <row r="1715" ht="15.75" customHeight="1" s="305">
      <c r="A1715" s="276" t="n"/>
      <c r="B1715" s="276" t="n"/>
      <c r="C1715" s="123" t="n"/>
      <c r="D1715" s="3" t="n"/>
      <c r="E1715" s="3" t="n"/>
      <c r="G1715" t="inlineStr"/>
      <c r="H1715" t="inlineStr"/>
      <c r="I1715" s="111" t="n"/>
      <c r="J1715" s="217" t="inlineStr"/>
    </row>
    <row r="1716" ht="15.75" customHeight="1" s="305">
      <c r="A1716" s="276" t="n"/>
      <c r="B1716" s="276" t="n"/>
      <c r="C1716" s="123" t="n"/>
      <c r="D1716" s="3" t="n"/>
      <c r="E1716" s="3" t="n"/>
      <c r="G1716" t="inlineStr"/>
      <c r="H1716" t="inlineStr"/>
      <c r="I1716" s="111" t="n"/>
      <c r="J1716" s="217" t="inlineStr"/>
    </row>
    <row r="1717" ht="15.75" customHeight="1" s="305">
      <c r="A1717" s="276" t="n"/>
      <c r="B1717" s="276" t="n"/>
      <c r="C1717" s="123" t="n"/>
      <c r="D1717" s="3" t="n"/>
      <c r="E1717" s="3" t="n"/>
      <c r="G1717" t="inlineStr"/>
      <c r="H1717" t="inlineStr"/>
      <c r="I1717" s="111" t="n"/>
      <c r="J1717" s="217" t="inlineStr"/>
    </row>
    <row r="1718" ht="15.75" customHeight="1" s="305">
      <c r="A1718" s="276" t="n"/>
      <c r="B1718" s="276" t="n"/>
      <c r="C1718" s="123" t="n"/>
      <c r="D1718" s="3" t="n"/>
      <c r="E1718" s="3" t="n"/>
      <c r="G1718" t="inlineStr"/>
      <c r="H1718" t="inlineStr"/>
      <c r="I1718" s="111" t="n"/>
      <c r="J1718" s="217" t="inlineStr"/>
    </row>
    <row r="1719" ht="15.75" customHeight="1" s="305">
      <c r="A1719" s="276" t="n"/>
      <c r="B1719" s="276" t="n"/>
      <c r="C1719" s="123" t="n"/>
      <c r="D1719" s="3" t="n"/>
      <c r="E1719" s="3" t="n"/>
      <c r="G1719" t="inlineStr"/>
      <c r="H1719" t="inlineStr"/>
      <c r="I1719" s="111" t="n"/>
      <c r="J1719" s="217" t="inlineStr"/>
    </row>
    <row r="1720" ht="15.75" customHeight="1" s="305">
      <c r="A1720" s="276" t="n"/>
      <c r="B1720" s="276" t="n"/>
      <c r="C1720" s="123" t="n"/>
      <c r="D1720" s="3" t="n"/>
      <c r="E1720" s="3" t="n"/>
      <c r="G1720" t="inlineStr"/>
      <c r="H1720" t="inlineStr"/>
      <c r="I1720" s="111" t="n"/>
      <c r="J1720" s="217" t="inlineStr"/>
    </row>
    <row r="1721" ht="15.75" customHeight="1" s="305">
      <c r="A1721" s="276" t="n"/>
      <c r="B1721" s="276" t="n"/>
      <c r="C1721" s="123" t="n"/>
      <c r="D1721" s="3" t="n"/>
      <c r="E1721" s="3" t="n"/>
      <c r="G1721" t="inlineStr"/>
      <c r="H1721" t="inlineStr"/>
      <c r="I1721" s="111" t="n"/>
      <c r="J1721" s="217" t="inlineStr"/>
    </row>
    <row r="1722" ht="15.75" customHeight="1" s="305">
      <c r="A1722" s="276" t="n"/>
      <c r="B1722" s="276" t="n"/>
      <c r="C1722" s="123" t="n"/>
      <c r="D1722" s="3" t="n"/>
      <c r="E1722" s="3" t="n"/>
      <c r="G1722" t="inlineStr"/>
      <c r="H1722" t="inlineStr"/>
      <c r="I1722" s="111" t="n"/>
      <c r="J1722" s="217" t="inlineStr"/>
    </row>
    <row r="1723" ht="15.75" customHeight="1" s="305">
      <c r="A1723" s="276" t="n"/>
      <c r="B1723" s="276" t="n"/>
      <c r="C1723" s="123" t="n"/>
      <c r="D1723" s="3" t="n"/>
      <c r="E1723" s="3" t="n"/>
      <c r="G1723" t="inlineStr"/>
      <c r="H1723" t="inlineStr"/>
      <c r="I1723" s="111" t="n"/>
      <c r="J1723" s="217" t="inlineStr"/>
    </row>
    <row r="1724" ht="15.75" customHeight="1" s="305">
      <c r="A1724" s="276" t="n"/>
      <c r="B1724" s="276" t="n"/>
      <c r="C1724" s="123" t="n"/>
      <c r="D1724" s="3" t="n"/>
      <c r="E1724" s="3" t="n"/>
      <c r="G1724" t="inlineStr"/>
      <c r="H1724" t="inlineStr"/>
      <c r="I1724" s="111" t="n"/>
      <c r="J1724" s="217" t="inlineStr"/>
    </row>
    <row r="1725" ht="15.75" customHeight="1" s="305">
      <c r="A1725" s="276" t="n"/>
      <c r="B1725" s="276" t="n"/>
      <c r="C1725" s="123" t="n"/>
      <c r="D1725" s="3" t="n"/>
      <c r="E1725" s="3" t="n"/>
      <c r="G1725" t="inlineStr"/>
      <c r="H1725" t="inlineStr"/>
      <c r="I1725" s="111" t="n"/>
      <c r="J1725" s="217" t="inlineStr"/>
    </row>
    <row r="1726" ht="15.75" customHeight="1" s="305">
      <c r="A1726" s="276" t="n"/>
      <c r="B1726" s="276" t="n"/>
      <c r="C1726" s="123" t="n"/>
      <c r="D1726" s="3" t="n"/>
      <c r="E1726" s="3" t="n"/>
      <c r="G1726" t="inlineStr"/>
      <c r="H1726" t="inlineStr"/>
      <c r="I1726" s="111" t="n"/>
      <c r="J1726" s="217" t="inlineStr"/>
    </row>
    <row r="1727" ht="15.75" customHeight="1" s="305">
      <c r="A1727" s="276" t="n"/>
      <c r="B1727" s="276" t="n"/>
      <c r="C1727" s="123" t="n"/>
      <c r="D1727" s="3" t="n"/>
      <c r="E1727" s="3" t="n"/>
      <c r="G1727" t="inlineStr"/>
      <c r="H1727" t="inlineStr"/>
      <c r="I1727" s="111" t="n"/>
      <c r="J1727" s="217" t="inlineStr"/>
    </row>
    <row r="1728" ht="15.75" customHeight="1" s="305">
      <c r="A1728" s="276" t="n"/>
      <c r="B1728" s="276" t="n"/>
      <c r="C1728" s="123" t="n"/>
      <c r="D1728" s="3" t="n"/>
      <c r="E1728" s="3" t="n"/>
      <c r="G1728" t="inlineStr"/>
      <c r="H1728" t="inlineStr"/>
      <c r="I1728" s="111" t="n"/>
      <c r="J1728" s="217" t="inlineStr"/>
    </row>
    <row r="1729" ht="15.75" customHeight="1" s="305">
      <c r="A1729" s="276" t="n"/>
      <c r="B1729" s="276" t="n"/>
      <c r="C1729" s="123" t="n"/>
      <c r="D1729" s="3" t="n"/>
      <c r="E1729" s="3" t="n"/>
      <c r="G1729" t="inlineStr"/>
      <c r="H1729" t="inlineStr"/>
      <c r="I1729" s="111" t="n"/>
      <c r="J1729" s="217" t="inlineStr"/>
    </row>
    <row r="1730" ht="15.75" customHeight="1" s="305">
      <c r="A1730" s="276" t="n"/>
      <c r="B1730" s="276" t="n"/>
      <c r="C1730" s="123" t="n"/>
      <c r="D1730" s="3" t="n"/>
      <c r="E1730" s="3" t="n"/>
      <c r="G1730" t="inlineStr"/>
      <c r="H1730" t="inlineStr"/>
      <c r="I1730" s="111" t="n"/>
      <c r="J1730" s="217" t="inlineStr"/>
    </row>
    <row r="1731" ht="15.75" customHeight="1" s="305">
      <c r="A1731" s="276" t="n"/>
      <c r="B1731" s="276" t="n"/>
      <c r="C1731" s="123" t="n"/>
      <c r="D1731" s="3" t="n"/>
      <c r="E1731" s="3" t="n"/>
      <c r="G1731" t="inlineStr"/>
      <c r="H1731" t="inlineStr"/>
      <c r="I1731" s="111" t="n"/>
      <c r="J1731" s="217" t="inlineStr"/>
    </row>
    <row r="1732" ht="15.75" customHeight="1" s="305">
      <c r="A1732" s="276" t="n"/>
      <c r="B1732" s="276" t="n"/>
      <c r="C1732" s="123" t="n"/>
      <c r="D1732" s="3" t="n"/>
      <c r="E1732" s="3" t="n"/>
      <c r="G1732" t="inlineStr"/>
      <c r="H1732" t="inlineStr"/>
      <c r="I1732" s="111" t="n"/>
      <c r="J1732" s="217" t="inlineStr"/>
    </row>
    <row r="1733" ht="15.75" customHeight="1" s="305">
      <c r="A1733" s="276" t="n"/>
      <c r="B1733" s="276" t="n"/>
      <c r="C1733" s="123" t="n"/>
      <c r="D1733" s="3" t="n"/>
      <c r="E1733" s="3" t="n"/>
      <c r="G1733" t="inlineStr"/>
      <c r="H1733" t="inlineStr"/>
      <c r="I1733" s="111" t="n"/>
      <c r="J1733" s="217" t="inlineStr"/>
    </row>
    <row r="1734" ht="15.75" customHeight="1" s="305">
      <c r="A1734" s="276" t="n"/>
      <c r="B1734" s="276" t="n"/>
      <c r="C1734" s="123" t="n"/>
      <c r="D1734" s="3" t="n"/>
      <c r="E1734" s="3" t="n"/>
      <c r="G1734" t="inlineStr"/>
      <c r="H1734" t="inlineStr"/>
      <c r="I1734" s="111" t="n"/>
      <c r="J1734" s="217" t="inlineStr"/>
    </row>
    <row r="1735" ht="15.75" customHeight="1" s="305">
      <c r="A1735" s="276" t="n"/>
      <c r="B1735" s="276" t="n"/>
      <c r="C1735" s="123" t="n"/>
      <c r="D1735" s="3" t="n"/>
      <c r="E1735" s="3" t="n"/>
      <c r="G1735" t="inlineStr"/>
      <c r="H1735" t="inlineStr"/>
      <c r="I1735" s="111" t="n"/>
      <c r="J1735" s="217" t="inlineStr"/>
    </row>
    <row r="1736" ht="15.75" customHeight="1" s="305">
      <c r="A1736" s="276" t="n"/>
      <c r="B1736" s="276" t="n"/>
      <c r="C1736" s="123" t="n"/>
      <c r="D1736" s="3" t="n"/>
      <c r="E1736" s="3" t="n"/>
      <c r="G1736" t="inlineStr"/>
      <c r="H1736" t="inlineStr"/>
      <c r="I1736" s="111" t="n"/>
      <c r="J1736" s="217" t="inlineStr"/>
    </row>
    <row r="1737" ht="15.75" customHeight="1" s="305">
      <c r="A1737" s="276" t="n"/>
      <c r="B1737" s="276" t="n"/>
      <c r="C1737" s="123" t="n"/>
      <c r="D1737" s="3" t="n"/>
      <c r="E1737" s="3" t="n"/>
      <c r="G1737" t="inlineStr"/>
      <c r="H1737" t="inlineStr"/>
      <c r="I1737" s="111" t="n"/>
      <c r="J1737" s="217" t="inlineStr"/>
    </row>
    <row r="1738" ht="15.75" customHeight="1" s="305">
      <c r="A1738" s="276" t="n"/>
      <c r="B1738" s="276" t="n"/>
      <c r="C1738" s="123" t="n"/>
      <c r="D1738" s="3" t="n"/>
      <c r="E1738" s="3" t="n"/>
      <c r="G1738" t="inlineStr"/>
      <c r="H1738" t="inlineStr"/>
      <c r="I1738" s="111" t="n"/>
      <c r="J1738" s="217" t="inlineStr"/>
    </row>
    <row r="1739" ht="15.75" customHeight="1" s="305">
      <c r="A1739" s="276" t="n"/>
      <c r="B1739" s="276" t="n"/>
      <c r="C1739" s="123" t="n"/>
      <c r="D1739" s="3" t="n"/>
      <c r="E1739" s="3" t="n"/>
      <c r="G1739" t="inlineStr"/>
      <c r="H1739" t="inlineStr"/>
      <c r="I1739" s="111" t="n"/>
      <c r="J1739" s="217" t="inlineStr"/>
    </row>
    <row r="1740" ht="15.75" customHeight="1" s="305">
      <c r="A1740" s="276" t="n"/>
      <c r="B1740" s="276" t="n"/>
      <c r="C1740" s="123" t="n"/>
      <c r="D1740" s="3" t="n"/>
      <c r="E1740" s="3" t="n"/>
      <c r="G1740" t="inlineStr"/>
      <c r="H1740" t="inlineStr"/>
      <c r="I1740" s="111" t="n"/>
      <c r="J1740" s="217" t="inlineStr"/>
    </row>
    <row r="1741" ht="15.75" customHeight="1" s="305">
      <c r="A1741" s="276" t="n"/>
      <c r="B1741" s="276" t="n"/>
      <c r="C1741" s="123" t="n"/>
      <c r="D1741" s="3" t="n"/>
      <c r="E1741" s="3" t="n"/>
      <c r="G1741" t="inlineStr"/>
      <c r="H1741" t="inlineStr"/>
      <c r="I1741" s="111" t="n"/>
      <c r="J1741" s="217" t="inlineStr"/>
    </row>
    <row r="1742" ht="15.75" customHeight="1" s="305">
      <c r="A1742" s="276" t="n"/>
      <c r="B1742" s="276" t="n"/>
      <c r="C1742" s="123" t="n"/>
      <c r="D1742" s="3" t="n"/>
      <c r="E1742" s="3" t="n"/>
      <c r="G1742" t="inlineStr"/>
      <c r="H1742" t="inlineStr"/>
      <c r="I1742" s="111" t="n"/>
      <c r="J1742" s="217" t="inlineStr"/>
    </row>
    <row r="1743" ht="15.75" customHeight="1" s="305">
      <c r="A1743" s="276" t="n"/>
      <c r="B1743" s="276" t="n"/>
      <c r="C1743" s="123" t="n"/>
      <c r="D1743" s="3" t="n"/>
      <c r="E1743" s="3" t="n"/>
      <c r="G1743" t="inlineStr"/>
      <c r="H1743" t="inlineStr"/>
      <c r="I1743" s="111" t="n"/>
      <c r="J1743" s="217" t="inlineStr"/>
    </row>
    <row r="1744" ht="15.75" customHeight="1" s="305">
      <c r="A1744" s="276" t="n"/>
      <c r="B1744" s="276" t="n"/>
      <c r="C1744" s="123" t="n"/>
      <c r="D1744" s="3" t="n"/>
      <c r="E1744" s="3" t="n"/>
      <c r="G1744" t="inlineStr"/>
      <c r="H1744" t="inlineStr"/>
      <c r="I1744" s="111" t="n"/>
      <c r="J1744" s="217" t="inlineStr"/>
    </row>
    <row r="1745" ht="15.75" customHeight="1" s="305">
      <c r="A1745" s="276" t="n"/>
      <c r="B1745" s="276" t="n"/>
      <c r="C1745" s="123" t="n"/>
      <c r="D1745" s="3" t="n"/>
      <c r="E1745" s="3" t="n"/>
      <c r="G1745" t="inlineStr"/>
      <c r="H1745" t="inlineStr"/>
      <c r="I1745" s="111" t="n"/>
      <c r="J1745" s="217" t="inlineStr"/>
    </row>
    <row r="1746" ht="15.75" customHeight="1" s="305">
      <c r="A1746" s="276" t="n"/>
      <c r="B1746" s="276" t="n"/>
      <c r="C1746" s="123" t="n"/>
      <c r="D1746" s="3" t="n"/>
      <c r="E1746" s="3" t="n"/>
      <c r="G1746" t="inlineStr"/>
      <c r="H1746" t="inlineStr"/>
      <c r="I1746" s="111" t="n"/>
      <c r="J1746" s="217" t="inlineStr"/>
    </row>
    <row r="1747" ht="15.75" customHeight="1" s="305">
      <c r="A1747" s="276" t="n"/>
      <c r="B1747" s="276" t="n"/>
      <c r="C1747" s="123" t="n"/>
      <c r="D1747" s="3" t="n"/>
      <c r="E1747" s="3" t="n"/>
      <c r="G1747" t="inlineStr"/>
      <c r="H1747" t="inlineStr"/>
      <c r="I1747" s="111" t="n"/>
      <c r="J1747" s="217" t="inlineStr"/>
    </row>
    <row r="1748" ht="15.75" customHeight="1" s="305">
      <c r="A1748" s="276" t="n"/>
      <c r="B1748" s="276" t="n"/>
      <c r="C1748" s="123" t="n"/>
      <c r="D1748" s="3" t="n"/>
      <c r="E1748" s="3" t="n"/>
      <c r="G1748" t="inlineStr"/>
      <c r="H1748" t="inlineStr"/>
      <c r="I1748" s="111" t="n"/>
      <c r="J1748" s="217" t="inlineStr"/>
    </row>
    <row r="1749" ht="15.75" customHeight="1" s="305">
      <c r="A1749" s="276" t="n"/>
      <c r="B1749" s="276" t="n"/>
      <c r="C1749" s="123" t="n"/>
      <c r="D1749" s="3" t="n"/>
      <c r="E1749" s="3" t="n"/>
      <c r="G1749" t="inlineStr"/>
      <c r="H1749" t="inlineStr"/>
      <c r="I1749" s="111" t="n"/>
      <c r="J1749" s="217" t="inlineStr"/>
    </row>
    <row r="1750" ht="15.75" customHeight="1" s="305">
      <c r="A1750" s="276" t="n"/>
      <c r="B1750" s="276" t="n"/>
      <c r="C1750" s="123" t="n"/>
      <c r="D1750" s="3" t="n"/>
      <c r="E1750" s="3" t="n"/>
      <c r="G1750" t="inlineStr"/>
      <c r="H1750" t="inlineStr"/>
      <c r="I1750" s="111" t="n"/>
      <c r="J1750" s="217" t="inlineStr"/>
    </row>
    <row r="1751" ht="15.75" customHeight="1" s="305">
      <c r="A1751" s="276" t="n"/>
      <c r="B1751" s="276" t="n"/>
      <c r="C1751" s="123" t="n"/>
      <c r="D1751" s="3" t="n"/>
      <c r="E1751" s="3" t="n"/>
      <c r="G1751" t="inlineStr"/>
      <c r="H1751" t="inlineStr"/>
      <c r="I1751" s="111" t="n"/>
      <c r="J1751" s="217" t="inlineStr"/>
    </row>
    <row r="1752" ht="15.75" customHeight="1" s="305">
      <c r="A1752" s="276" t="n"/>
      <c r="B1752" s="276" t="n"/>
      <c r="C1752" s="123" t="n"/>
      <c r="D1752" s="3" t="n"/>
      <c r="E1752" s="3" t="n"/>
      <c r="G1752" t="inlineStr"/>
      <c r="H1752" t="inlineStr"/>
      <c r="I1752" s="111" t="n"/>
      <c r="J1752" s="217" t="inlineStr"/>
    </row>
    <row r="1753" ht="15.75" customHeight="1" s="305">
      <c r="A1753" s="276" t="n"/>
      <c r="B1753" s="276" t="n"/>
      <c r="C1753" s="123" t="n"/>
      <c r="D1753" s="3" t="n"/>
      <c r="E1753" s="3" t="n"/>
      <c r="G1753" t="inlineStr"/>
      <c r="H1753" t="inlineStr"/>
      <c r="I1753" s="111" t="n"/>
      <c r="J1753" s="217" t="inlineStr"/>
    </row>
    <row r="1754" ht="15.75" customHeight="1" s="305">
      <c r="A1754" s="276" t="n"/>
      <c r="B1754" s="276" t="n"/>
      <c r="C1754" s="123" t="n"/>
      <c r="D1754" s="3" t="n"/>
      <c r="E1754" s="3" t="n"/>
      <c r="G1754" t="inlineStr"/>
      <c r="H1754" t="inlineStr"/>
      <c r="I1754" s="111" t="n"/>
      <c r="J1754" s="217" t="inlineStr"/>
    </row>
    <row r="1755" ht="15.75" customHeight="1" s="305">
      <c r="A1755" s="276" t="n"/>
      <c r="B1755" s="276" t="n"/>
      <c r="C1755" s="123" t="n"/>
      <c r="D1755" s="3" t="n"/>
      <c r="E1755" s="3" t="n"/>
      <c r="G1755" t="inlineStr"/>
      <c r="H1755" t="inlineStr"/>
      <c r="I1755" s="111" t="n"/>
      <c r="J1755" s="217" t="inlineStr"/>
    </row>
    <row r="1756" ht="15.75" customHeight="1" s="305">
      <c r="A1756" s="276" t="n"/>
      <c r="B1756" s="276" t="n"/>
      <c r="C1756" s="123" t="n"/>
      <c r="D1756" s="3" t="n"/>
      <c r="E1756" s="3" t="n"/>
      <c r="G1756" t="inlineStr"/>
      <c r="H1756" t="inlineStr"/>
      <c r="I1756" s="111" t="n"/>
      <c r="J1756" s="217" t="inlineStr"/>
    </row>
    <row r="1757" ht="15.75" customHeight="1" s="305">
      <c r="A1757" s="276" t="n"/>
      <c r="B1757" s="276" t="n"/>
      <c r="C1757" s="123" t="n"/>
      <c r="D1757" s="3" t="n"/>
      <c r="E1757" s="3" t="n"/>
      <c r="G1757" t="inlineStr"/>
      <c r="H1757" t="inlineStr"/>
      <c r="I1757" s="111" t="n"/>
      <c r="J1757" s="217" t="inlineStr"/>
    </row>
    <row r="1758" ht="15.75" customHeight="1" s="305">
      <c r="A1758" s="276" t="n"/>
      <c r="B1758" s="276" t="n"/>
      <c r="C1758" s="123" t="n"/>
      <c r="D1758" s="3" t="n"/>
      <c r="E1758" s="3" t="n"/>
      <c r="G1758" t="inlineStr"/>
      <c r="H1758" t="inlineStr"/>
      <c r="I1758" s="111" t="n"/>
      <c r="J1758" s="217" t="inlineStr"/>
    </row>
    <row r="1759" ht="15.75" customHeight="1" s="305">
      <c r="A1759" s="276" t="n"/>
      <c r="B1759" s="276" t="n"/>
      <c r="C1759" s="123" t="n"/>
      <c r="D1759" s="3" t="n"/>
      <c r="E1759" s="3" t="n"/>
      <c r="G1759" t="inlineStr"/>
      <c r="H1759" t="inlineStr"/>
      <c r="I1759" s="111" t="n"/>
      <c r="J1759" s="217" t="inlineStr"/>
    </row>
    <row r="1760" ht="15.75" customHeight="1" s="305">
      <c r="A1760" s="276" t="n"/>
      <c r="B1760" s="276" t="n"/>
      <c r="C1760" s="123" t="n"/>
      <c r="D1760" s="3" t="n"/>
      <c r="E1760" s="3" t="n"/>
      <c r="G1760" t="inlineStr"/>
      <c r="H1760" t="inlineStr"/>
      <c r="I1760" s="111" t="n"/>
      <c r="J1760" s="217" t="inlineStr"/>
    </row>
    <row r="1761" ht="15.75" customHeight="1" s="305">
      <c r="A1761" s="276" t="n"/>
      <c r="B1761" s="276" t="n"/>
      <c r="C1761" s="123" t="n"/>
      <c r="D1761" s="3" t="n"/>
      <c r="E1761" s="3" t="n"/>
      <c r="G1761" t="inlineStr"/>
      <c r="H1761" t="inlineStr"/>
      <c r="I1761" s="111" t="n"/>
      <c r="J1761" s="217" t="inlineStr"/>
    </row>
    <row r="1762" ht="15.75" customHeight="1" s="305">
      <c r="A1762" s="276" t="n"/>
      <c r="B1762" s="276" t="n"/>
      <c r="C1762" s="123" t="n"/>
      <c r="D1762" s="3" t="n"/>
      <c r="E1762" s="3" t="n"/>
      <c r="G1762" t="inlineStr"/>
      <c r="H1762" t="inlineStr"/>
      <c r="I1762" s="111" t="n"/>
      <c r="J1762" s="217" t="inlineStr"/>
    </row>
    <row r="1763" ht="15.75" customHeight="1" s="305">
      <c r="A1763" s="276" t="n"/>
      <c r="B1763" s="276" t="n"/>
      <c r="C1763" s="123" t="n"/>
      <c r="D1763" s="3" t="n"/>
      <c r="E1763" s="3" t="n"/>
      <c r="G1763" t="inlineStr"/>
      <c r="H1763" t="inlineStr"/>
      <c r="I1763" s="111" t="n"/>
      <c r="J1763" s="217" t="inlineStr"/>
    </row>
    <row r="1764" ht="15.75" customHeight="1" s="305">
      <c r="A1764" s="276" t="n"/>
      <c r="B1764" s="276" t="n"/>
      <c r="C1764" s="123" t="n"/>
      <c r="D1764" s="3" t="n"/>
      <c r="E1764" s="3" t="n"/>
      <c r="G1764" t="inlineStr"/>
      <c r="H1764" t="inlineStr"/>
      <c r="I1764" s="111" t="n"/>
      <c r="J1764" s="217" t="inlineStr"/>
    </row>
    <row r="1765" ht="15.75" customHeight="1" s="305">
      <c r="A1765" s="276" t="n"/>
      <c r="B1765" s="276" t="n"/>
      <c r="C1765" s="123" t="n"/>
      <c r="D1765" s="3" t="n"/>
      <c r="E1765" s="3" t="n"/>
      <c r="G1765" t="inlineStr"/>
      <c r="H1765" t="inlineStr"/>
      <c r="I1765" s="111" t="n"/>
      <c r="J1765" s="217" t="inlineStr"/>
    </row>
    <row r="1766" ht="15.75" customHeight="1" s="305">
      <c r="A1766" s="276" t="n"/>
      <c r="B1766" s="276" t="n"/>
      <c r="C1766" s="123" t="n"/>
      <c r="D1766" s="3" t="n"/>
      <c r="E1766" s="3" t="n"/>
      <c r="G1766" t="inlineStr"/>
      <c r="H1766" t="inlineStr"/>
      <c r="I1766" s="111" t="n"/>
      <c r="J1766" s="217" t="inlineStr"/>
    </row>
    <row r="1767" ht="15.75" customHeight="1" s="305">
      <c r="A1767" s="276" t="n"/>
      <c r="B1767" s="276" t="n"/>
      <c r="C1767" s="123" t="n"/>
      <c r="D1767" s="3" t="n"/>
      <c r="E1767" s="3" t="n"/>
      <c r="G1767" t="inlineStr"/>
      <c r="H1767" t="inlineStr"/>
      <c r="I1767" s="111" t="n"/>
      <c r="J1767" s="217" t="inlineStr"/>
    </row>
    <row r="1768" ht="15.75" customHeight="1" s="305">
      <c r="A1768" s="276" t="n"/>
      <c r="B1768" s="276" t="n"/>
      <c r="C1768" s="123" t="n"/>
      <c r="D1768" s="3" t="n"/>
      <c r="E1768" s="3" t="n"/>
      <c r="G1768" t="inlineStr"/>
      <c r="H1768" t="inlineStr"/>
      <c r="I1768" s="111" t="n"/>
      <c r="J1768" s="217" t="inlineStr"/>
    </row>
    <row r="1769" ht="15.75" customHeight="1" s="305">
      <c r="A1769" s="276" t="n"/>
      <c r="B1769" s="276" t="n"/>
      <c r="C1769" s="123" t="n"/>
      <c r="D1769" s="3" t="n"/>
      <c r="E1769" s="3" t="n"/>
      <c r="G1769" t="inlineStr"/>
      <c r="H1769" t="inlineStr"/>
      <c r="I1769" s="111" t="n"/>
      <c r="J1769" s="217" t="inlineStr"/>
    </row>
    <row r="1770" ht="15.75" customHeight="1" s="305">
      <c r="A1770" s="276" t="n"/>
      <c r="B1770" s="276" t="n"/>
      <c r="C1770" s="123" t="n"/>
      <c r="D1770" s="3" t="n"/>
      <c r="E1770" s="3" t="n"/>
      <c r="G1770" t="inlineStr"/>
      <c r="H1770" t="inlineStr"/>
      <c r="I1770" s="111" t="n"/>
      <c r="J1770" s="217" t="inlineStr"/>
    </row>
    <row r="1771" ht="15.75" customHeight="1" s="305">
      <c r="A1771" s="276" t="n"/>
      <c r="B1771" s="276" t="n"/>
      <c r="C1771" s="123" t="n"/>
      <c r="D1771" s="3" t="n"/>
      <c r="E1771" s="3" t="n"/>
      <c r="G1771" t="inlineStr"/>
      <c r="H1771" t="inlineStr"/>
      <c r="I1771" s="111" t="n"/>
      <c r="J1771" s="217" t="inlineStr"/>
    </row>
    <row r="1772" ht="15.75" customHeight="1" s="305">
      <c r="A1772" s="276" t="n"/>
      <c r="B1772" s="276" t="n"/>
      <c r="C1772" s="123" t="n"/>
      <c r="D1772" s="3" t="n"/>
      <c r="E1772" s="3" t="n"/>
      <c r="G1772" t="inlineStr"/>
      <c r="H1772" t="inlineStr"/>
      <c r="I1772" s="111" t="n"/>
      <c r="J1772" s="217" t="inlineStr"/>
    </row>
    <row r="1773" ht="15.75" customHeight="1" s="305">
      <c r="A1773" s="276" t="n"/>
      <c r="B1773" s="276" t="n"/>
      <c r="C1773" s="123" t="n"/>
      <c r="D1773" s="3" t="n"/>
      <c r="E1773" s="3" t="n"/>
      <c r="G1773" t="inlineStr"/>
      <c r="H1773" t="inlineStr"/>
      <c r="I1773" s="111" t="n"/>
      <c r="J1773" s="217" t="inlineStr"/>
    </row>
    <row r="1774" ht="15.75" customHeight="1" s="305">
      <c r="A1774" s="276" t="n"/>
      <c r="B1774" s="276" t="n"/>
      <c r="C1774" s="123" t="n"/>
      <c r="D1774" s="3" t="n"/>
      <c r="E1774" s="3" t="n"/>
      <c r="G1774" t="inlineStr"/>
      <c r="H1774" t="inlineStr"/>
      <c r="I1774" s="111" t="n"/>
      <c r="J1774" s="217" t="inlineStr"/>
    </row>
    <row r="1775" ht="15.75" customHeight="1" s="305">
      <c r="A1775" s="276" t="n"/>
      <c r="B1775" s="276" t="n"/>
      <c r="C1775" s="123" t="n"/>
      <c r="D1775" s="3" t="n"/>
      <c r="E1775" s="3" t="n"/>
      <c r="G1775" t="inlineStr"/>
      <c r="H1775" t="inlineStr"/>
      <c r="I1775" s="111" t="n"/>
      <c r="J1775" s="217" t="inlineStr"/>
    </row>
    <row r="1776" ht="15.75" customHeight="1" s="305">
      <c r="A1776" s="276" t="n"/>
      <c r="B1776" s="276" t="n"/>
      <c r="C1776" s="123" t="n"/>
      <c r="D1776" s="3" t="n"/>
      <c r="E1776" s="3" t="n"/>
      <c r="G1776" t="inlineStr"/>
      <c r="H1776" t="inlineStr"/>
      <c r="I1776" s="111" t="n"/>
      <c r="J1776" s="217" t="inlineStr"/>
    </row>
    <row r="1777" ht="15.75" customHeight="1" s="305">
      <c r="A1777" s="276" t="n"/>
      <c r="B1777" s="276" t="n"/>
      <c r="C1777" s="123" t="n"/>
      <c r="D1777" s="3" t="n"/>
      <c r="E1777" s="3" t="n"/>
      <c r="G1777" t="inlineStr"/>
      <c r="H1777" t="inlineStr"/>
      <c r="I1777" s="111" t="n"/>
      <c r="J1777" s="217" t="inlineStr"/>
    </row>
    <row r="1778" ht="15.75" customHeight="1" s="305">
      <c r="A1778" s="215" t="n"/>
      <c r="B1778" s="115" t="n"/>
      <c r="C1778" s="67" t="n"/>
      <c r="D1778" s="3" t="n"/>
      <c r="E1778" s="3" t="n"/>
      <c r="G1778" t="inlineStr"/>
      <c r="H1778" t="inlineStr"/>
      <c r="I1778" s="111" t="n"/>
      <c r="J1778" s="217" t="inlineStr"/>
    </row>
    <row r="1779" ht="15.75" customHeight="1" s="305">
      <c r="A1779" s="129" t="n"/>
      <c r="B1779" s="130" t="n"/>
      <c r="C1779" s="67" t="n"/>
      <c r="D1779" s="3" t="n"/>
      <c r="E1779" s="3" t="n"/>
      <c r="G1779" t="inlineStr"/>
      <c r="H1779" t="inlineStr"/>
      <c r="I1779" s="111" t="n"/>
      <c r="J1779" s="217" t="inlineStr"/>
    </row>
    <row r="1780" ht="15.75" customHeight="1" s="305">
      <c r="A1780" s="129" t="n"/>
      <c r="B1780" s="130" t="n"/>
      <c r="C1780" s="67" t="n"/>
      <c r="D1780" s="3" t="n"/>
      <c r="E1780" s="3" t="n"/>
      <c r="G1780" t="inlineStr"/>
      <c r="H1780" t="inlineStr"/>
      <c r="I1780" s="111" t="n"/>
      <c r="J1780" s="217" t="inlineStr"/>
    </row>
    <row r="1781" ht="15.75" customHeight="1" s="305">
      <c r="A1781" s="129" t="n"/>
      <c r="B1781" s="131" t="n"/>
      <c r="C1781" s="67" t="n"/>
      <c r="D1781" s="3" t="n"/>
      <c r="E1781" s="3" t="n"/>
      <c r="G1781" t="inlineStr"/>
      <c r="H1781" t="inlineStr"/>
      <c r="I1781" s="111" t="n"/>
      <c r="J1781" s="217" t="inlineStr"/>
    </row>
    <row r="1782" ht="15.75" customHeight="1" s="305">
      <c r="A1782" s="129" t="n"/>
      <c r="B1782" s="131" t="n"/>
      <c r="C1782" s="67" t="n"/>
      <c r="D1782" s="3" t="n"/>
      <c r="E1782" s="3" t="n"/>
      <c r="G1782" t="inlineStr"/>
      <c r="H1782" t="inlineStr"/>
      <c r="I1782" s="111" t="n"/>
      <c r="J1782" s="217" t="inlineStr"/>
    </row>
    <row r="1783" ht="15.75" customHeight="1" s="305">
      <c r="A1783" s="129" t="n"/>
      <c r="B1783" s="131" t="n"/>
      <c r="C1783" s="67" t="n"/>
      <c r="D1783" s="3" t="n"/>
      <c r="E1783" s="3" t="n"/>
      <c r="G1783" t="inlineStr"/>
      <c r="H1783" t="inlineStr"/>
      <c r="I1783" s="111" t="n"/>
      <c r="J1783" s="217" t="inlineStr"/>
    </row>
    <row r="1784" ht="15.75" customHeight="1" s="305">
      <c r="A1784" s="129" t="n"/>
      <c r="B1784" s="131" t="n"/>
      <c r="C1784" s="67" t="n"/>
      <c r="D1784" s="3" t="n"/>
      <c r="E1784" s="3" t="n"/>
      <c r="G1784" t="inlineStr"/>
      <c r="H1784" t="inlineStr"/>
      <c r="I1784" s="111" t="n"/>
      <c r="J1784" s="217" t="inlineStr"/>
    </row>
    <row r="1785" ht="15.75" customHeight="1" s="305">
      <c r="A1785" s="129" t="n"/>
      <c r="B1785" s="131" t="n"/>
      <c r="C1785" s="67" t="n"/>
      <c r="D1785" s="3" t="n"/>
      <c r="E1785" s="3" t="n"/>
      <c r="G1785" t="inlineStr"/>
      <c r="H1785" t="inlineStr"/>
      <c r="I1785" s="111" t="n"/>
      <c r="J1785" s="217" t="inlineStr"/>
    </row>
    <row r="1786" ht="15.75" customHeight="1" s="305">
      <c r="A1786" s="129" t="n"/>
      <c r="B1786" s="131" t="n"/>
      <c r="C1786" s="67" t="n"/>
      <c r="D1786" s="3" t="n"/>
      <c r="E1786" s="3" t="n"/>
      <c r="G1786" t="inlineStr"/>
      <c r="H1786" t="inlineStr"/>
      <c r="I1786" s="111" t="n"/>
      <c r="J1786" s="217" t="inlineStr"/>
    </row>
    <row r="1787" ht="15.75" customHeight="1" s="305">
      <c r="A1787" s="129" t="n"/>
      <c r="B1787" s="131" t="n"/>
      <c r="C1787" s="67" t="n"/>
      <c r="D1787" s="3" t="n"/>
      <c r="E1787" s="3" t="n"/>
      <c r="G1787" t="inlineStr"/>
      <c r="H1787" t="inlineStr"/>
      <c r="I1787" s="111" t="n"/>
      <c r="J1787" s="217" t="inlineStr"/>
    </row>
    <row r="1788" ht="15.75" customHeight="1" s="305">
      <c r="A1788" s="129" t="n"/>
      <c r="B1788" s="131" t="n"/>
      <c r="C1788" s="67" t="n"/>
      <c r="D1788" s="3" t="n"/>
      <c r="E1788" s="3" t="n"/>
      <c r="G1788" t="inlineStr"/>
      <c r="H1788" t="inlineStr"/>
      <c r="I1788" s="111" t="n"/>
      <c r="J1788" s="217" t="inlineStr"/>
    </row>
    <row r="1789" ht="15.75" customHeight="1" s="305">
      <c r="A1789" s="129" t="n"/>
      <c r="B1789" s="131" t="n"/>
      <c r="C1789" s="67" t="n"/>
      <c r="D1789" s="3" t="n"/>
      <c r="E1789" s="3" t="n"/>
      <c r="G1789" t="inlineStr"/>
      <c r="H1789" t="inlineStr"/>
      <c r="I1789" s="111" t="n"/>
      <c r="J1789" s="217" t="inlineStr"/>
    </row>
    <row r="1790" ht="15.75" customHeight="1" s="305">
      <c r="A1790" s="129" t="n"/>
      <c r="B1790" s="131" t="n"/>
      <c r="C1790" s="67" t="n"/>
      <c r="D1790" s="3" t="n"/>
      <c r="E1790" s="3" t="n"/>
      <c r="G1790" t="inlineStr"/>
      <c r="H1790" t="inlineStr"/>
      <c r="I1790" s="111" t="n"/>
      <c r="J1790" s="217" t="inlineStr"/>
    </row>
    <row r="1791" ht="15.75" customHeight="1" s="305">
      <c r="A1791" s="129" t="n"/>
      <c r="B1791" s="131" t="n"/>
      <c r="C1791" s="67" t="n"/>
      <c r="D1791" s="3" t="n"/>
      <c r="E1791" s="3" t="n"/>
      <c r="G1791" t="inlineStr"/>
      <c r="H1791" t="inlineStr"/>
      <c r="I1791" s="111" t="n"/>
      <c r="J1791" s="217" t="inlineStr"/>
    </row>
    <row r="1792" ht="15.75" customHeight="1" s="305">
      <c r="A1792" s="129" t="n"/>
      <c r="B1792" s="131" t="n"/>
      <c r="C1792" s="67" t="n"/>
      <c r="D1792" s="3" t="n"/>
      <c r="E1792" s="3" t="n"/>
      <c r="G1792" t="inlineStr"/>
      <c r="H1792" t="inlineStr"/>
      <c r="I1792" s="111" t="n"/>
      <c r="J1792" s="217" t="inlineStr"/>
    </row>
    <row r="1793" ht="15.75" customHeight="1" s="305">
      <c r="A1793" s="129" t="n"/>
      <c r="B1793" s="131" t="n"/>
      <c r="C1793" s="67" t="n"/>
      <c r="D1793" s="3" t="n"/>
      <c r="E1793" s="3" t="n"/>
      <c r="G1793" t="inlineStr"/>
      <c r="H1793" t="inlineStr"/>
      <c r="I1793" s="111" t="n"/>
      <c r="J1793" s="217" t="inlineStr"/>
    </row>
    <row r="1794" ht="15.75" customHeight="1" s="305">
      <c r="A1794" s="129" t="n"/>
      <c r="B1794" s="131" t="n"/>
      <c r="C1794" s="67" t="n"/>
      <c r="D1794" s="3" t="n"/>
      <c r="E1794" s="3" t="n"/>
      <c r="G1794" t="inlineStr"/>
      <c r="H1794" t="inlineStr"/>
      <c r="I1794" s="111" t="n"/>
      <c r="J1794" s="217" t="inlineStr"/>
    </row>
    <row r="1795" ht="15.75" customHeight="1" s="305">
      <c r="A1795" s="129" t="n"/>
      <c r="B1795" s="131" t="n"/>
      <c r="C1795" s="67" t="n"/>
      <c r="D1795" s="3" t="n"/>
      <c r="E1795" s="3" t="n"/>
      <c r="G1795" t="inlineStr"/>
      <c r="H1795" t="inlineStr"/>
      <c r="I1795" s="111" t="n"/>
      <c r="J1795" s="217" t="inlineStr"/>
    </row>
    <row r="1796" ht="15.75" customHeight="1" s="305">
      <c r="A1796" s="129" t="n"/>
      <c r="B1796" s="131" t="n"/>
      <c r="C1796" s="67" t="n"/>
      <c r="D1796" s="3" t="n"/>
      <c r="E1796" s="3" t="n"/>
      <c r="G1796" t="inlineStr"/>
      <c r="H1796" t="inlineStr"/>
      <c r="I1796" s="111" t="n"/>
      <c r="J1796" s="217" t="inlineStr"/>
    </row>
    <row r="1797" ht="15.75" customHeight="1" s="305">
      <c r="A1797" s="129" t="n"/>
      <c r="B1797" s="131" t="n"/>
      <c r="C1797" s="67" t="n"/>
      <c r="D1797" s="3" t="n"/>
      <c r="E1797" s="3" t="n"/>
      <c r="G1797" t="inlineStr"/>
      <c r="H1797" t="inlineStr"/>
      <c r="I1797" s="111" t="n"/>
      <c r="J1797" s="217" t="inlineStr"/>
    </row>
    <row r="1798" ht="15.75" customHeight="1" s="305">
      <c r="A1798" s="129" t="n"/>
      <c r="B1798" s="131" t="n"/>
      <c r="C1798" s="67" t="n"/>
      <c r="D1798" s="3" t="n"/>
      <c r="E1798" s="3" t="n"/>
      <c r="G1798" t="inlineStr"/>
      <c r="H1798" t="inlineStr"/>
      <c r="I1798" s="111" t="n"/>
      <c r="J1798" s="217" t="inlineStr"/>
    </row>
    <row r="1799" ht="15.75" customHeight="1" s="305">
      <c r="A1799" s="129" t="n"/>
      <c r="B1799" s="131" t="n"/>
      <c r="C1799" s="67" t="n"/>
      <c r="D1799" s="3" t="n"/>
      <c r="E1799" s="3" t="n"/>
      <c r="G1799" t="inlineStr"/>
      <c r="H1799" t="inlineStr"/>
      <c r="I1799" s="111" t="n"/>
      <c r="J1799" s="217" t="inlineStr"/>
    </row>
    <row r="1800" ht="15.75" customHeight="1" s="305">
      <c r="A1800" s="129" t="n"/>
      <c r="B1800" s="131" t="n"/>
      <c r="C1800" s="67" t="n"/>
      <c r="D1800" s="3" t="n"/>
      <c r="E1800" s="3" t="n"/>
      <c r="G1800" t="inlineStr"/>
      <c r="H1800" t="inlineStr"/>
      <c r="I1800" s="111" t="n"/>
      <c r="J1800" s="217" t="inlineStr"/>
    </row>
    <row r="1801" ht="15.75" customHeight="1" s="305">
      <c r="A1801" s="129" t="n"/>
      <c r="B1801" s="131" t="n"/>
      <c r="C1801" s="67" t="n"/>
      <c r="D1801" s="3" t="n"/>
      <c r="E1801" s="3" t="n"/>
      <c r="G1801" t="inlineStr"/>
      <c r="H1801" t="inlineStr"/>
      <c r="I1801" s="111" t="n"/>
      <c r="J1801" s="217" t="inlineStr"/>
    </row>
    <row r="1802" ht="15.75" customHeight="1" s="305">
      <c r="A1802" s="129" t="n"/>
      <c r="B1802" s="131" t="n"/>
      <c r="C1802" s="67" t="n"/>
      <c r="D1802" s="3" t="n"/>
      <c r="E1802" s="3" t="n"/>
      <c r="G1802" t="inlineStr"/>
      <c r="H1802" t="inlineStr"/>
      <c r="I1802" s="111" t="n"/>
      <c r="J1802" s="217" t="inlineStr"/>
    </row>
    <row r="1803" ht="15.75" customHeight="1" s="305">
      <c r="A1803" s="129" t="n"/>
      <c r="B1803" s="131" t="n"/>
      <c r="C1803" s="67" t="n"/>
      <c r="D1803" s="3" t="n"/>
      <c r="E1803" s="3" t="n"/>
      <c r="G1803" t="inlineStr"/>
      <c r="H1803" t="inlineStr"/>
      <c r="I1803" s="111" t="n"/>
      <c r="J1803" s="217" t="inlineStr"/>
    </row>
    <row r="1804" ht="15.75" customHeight="1" s="305">
      <c r="A1804" s="129" t="n"/>
      <c r="B1804" s="131" t="n"/>
      <c r="C1804" s="67" t="n"/>
      <c r="D1804" s="3" t="n"/>
      <c r="E1804" s="3" t="n"/>
      <c r="G1804" t="inlineStr"/>
      <c r="H1804" t="inlineStr"/>
      <c r="I1804" s="111" t="n"/>
      <c r="J1804" s="217" t="inlineStr"/>
    </row>
    <row r="1805" ht="15.75" customHeight="1" s="305">
      <c r="A1805" s="129" t="n"/>
      <c r="B1805" s="131" t="n"/>
      <c r="C1805" s="67" t="n"/>
      <c r="D1805" s="3" t="n"/>
      <c r="E1805" s="3" t="n"/>
      <c r="G1805" t="inlineStr"/>
      <c r="H1805" t="inlineStr"/>
      <c r="I1805" s="111" t="n"/>
      <c r="J1805" s="217" t="inlineStr"/>
    </row>
    <row r="1806" ht="15.75" customHeight="1" s="305">
      <c r="A1806" s="129" t="n"/>
      <c r="B1806" s="131" t="n"/>
      <c r="C1806" s="67" t="n"/>
      <c r="D1806" s="3" t="n"/>
      <c r="E1806" s="3" t="n"/>
      <c r="G1806" t="inlineStr"/>
      <c r="H1806" t="inlineStr"/>
      <c r="I1806" s="111" t="n"/>
      <c r="J1806" s="217" t="inlineStr"/>
    </row>
    <row r="1807" ht="15.75" customHeight="1" s="305">
      <c r="A1807" s="129" t="n"/>
      <c r="B1807" s="131" t="n"/>
      <c r="C1807" s="67" t="n"/>
      <c r="D1807" s="3" t="n"/>
      <c r="E1807" s="3" t="n"/>
      <c r="G1807" t="inlineStr"/>
      <c r="H1807" t="inlineStr"/>
      <c r="I1807" s="111" t="n"/>
      <c r="J1807" s="217" t="inlineStr"/>
    </row>
    <row r="1808" ht="15.75" customHeight="1" s="305">
      <c r="A1808" s="129" t="n"/>
      <c r="B1808" s="131" t="n"/>
      <c r="C1808" s="67" t="n"/>
      <c r="D1808" s="3" t="n"/>
      <c r="E1808" s="3" t="n"/>
      <c r="G1808" t="inlineStr"/>
      <c r="H1808" t="inlineStr"/>
      <c r="I1808" s="111" t="n"/>
      <c r="J1808" s="217" t="inlineStr"/>
    </row>
    <row r="1809" ht="15.75" customHeight="1" s="305">
      <c r="A1809" s="129" t="n"/>
      <c r="B1809" s="131" t="n"/>
      <c r="C1809" s="67" t="n"/>
      <c r="D1809" s="3" t="n"/>
      <c r="E1809" s="3" t="n"/>
      <c r="G1809" t="inlineStr"/>
      <c r="H1809" t="inlineStr"/>
      <c r="I1809" s="111" t="n"/>
      <c r="J1809" s="217" t="inlineStr"/>
    </row>
    <row r="1810" ht="15.75" customHeight="1" s="305">
      <c r="A1810" s="129" t="n"/>
      <c r="B1810" s="131" t="n"/>
      <c r="C1810" s="67" t="n"/>
      <c r="D1810" s="3" t="n"/>
      <c r="E1810" s="3" t="n"/>
      <c r="G1810" t="inlineStr"/>
      <c r="H1810" t="inlineStr"/>
      <c r="I1810" s="111" t="n"/>
      <c r="J1810" s="217" t="inlineStr"/>
    </row>
    <row r="1811" ht="15.75" customHeight="1" s="305">
      <c r="A1811" s="129" t="n"/>
      <c r="B1811" s="131" t="n"/>
      <c r="C1811" s="67" t="n"/>
      <c r="D1811" s="3" t="n"/>
      <c r="E1811" s="3" t="n"/>
      <c r="G1811" t="inlineStr"/>
      <c r="H1811" t="inlineStr"/>
      <c r="I1811" s="111" t="n"/>
      <c r="J1811" s="217" t="inlineStr"/>
    </row>
    <row r="1812" ht="15.75" customHeight="1" s="305">
      <c r="A1812" s="129" t="n"/>
      <c r="B1812" s="131" t="n"/>
      <c r="C1812" s="67" t="n"/>
      <c r="D1812" s="3" t="n"/>
      <c r="E1812" s="3" t="n"/>
      <c r="G1812" t="inlineStr"/>
      <c r="H1812" t="inlineStr"/>
      <c r="I1812" s="111" t="n"/>
      <c r="J1812" s="217" t="inlineStr"/>
    </row>
    <row r="1813" ht="15.75" customHeight="1" s="305">
      <c r="A1813" s="129" t="n"/>
      <c r="B1813" s="131" t="n"/>
      <c r="C1813" s="67" t="n"/>
      <c r="D1813" s="3" t="n"/>
      <c r="E1813" s="3" t="n"/>
      <c r="G1813" t="inlineStr"/>
      <c r="H1813" t="inlineStr"/>
      <c r="I1813" s="111" t="n"/>
      <c r="J1813" s="217" t="inlineStr"/>
    </row>
    <row r="1814" ht="15.75" customHeight="1" s="305">
      <c r="A1814" s="129" t="n"/>
      <c r="B1814" s="131" t="n"/>
      <c r="C1814" s="67" t="n"/>
      <c r="D1814" s="3" t="n"/>
      <c r="E1814" s="3" t="n"/>
      <c r="G1814" t="inlineStr"/>
      <c r="H1814" t="inlineStr"/>
      <c r="I1814" s="111" t="n"/>
      <c r="J1814" s="217" t="inlineStr"/>
    </row>
    <row r="1815" ht="15.75" customHeight="1" s="305">
      <c r="A1815" s="129" t="n"/>
      <c r="B1815" s="131" t="n"/>
      <c r="C1815" s="67" t="n"/>
      <c r="D1815" s="3" t="n"/>
      <c r="E1815" s="3" t="n"/>
      <c r="G1815" t="inlineStr"/>
      <c r="H1815" t="inlineStr"/>
      <c r="I1815" s="111" t="n"/>
      <c r="J1815" s="217" t="inlineStr"/>
    </row>
    <row r="1816" ht="15.75" customHeight="1" s="305">
      <c r="A1816" s="129" t="n"/>
      <c r="B1816" s="130" t="n"/>
      <c r="C1816" s="67" t="n"/>
      <c r="D1816" s="3" t="n"/>
      <c r="E1816" s="3" t="n"/>
      <c r="G1816" t="inlineStr"/>
      <c r="H1816" t="inlineStr"/>
      <c r="I1816" s="111" t="n"/>
      <c r="J1816" s="217" t="inlineStr"/>
    </row>
    <row r="1817" ht="15.75" customHeight="1" s="305">
      <c r="A1817" s="129" t="n"/>
      <c r="B1817" s="130" t="n"/>
      <c r="C1817" s="67" t="n"/>
      <c r="D1817" s="3" t="n"/>
      <c r="E1817" s="3" t="n"/>
      <c r="G1817" t="inlineStr"/>
      <c r="H1817" t="inlineStr"/>
      <c r="I1817" s="111" t="n"/>
      <c r="J1817" s="217" t="inlineStr"/>
    </row>
    <row r="1818" ht="15.75" customHeight="1" s="305">
      <c r="A1818" s="219" t="n"/>
      <c r="B1818" s="133" t="n"/>
      <c r="C1818" s="67" t="n"/>
      <c r="D1818" s="3" t="n"/>
      <c r="E1818" s="3" t="n"/>
      <c r="G1818" t="inlineStr"/>
      <c r="H1818" t="inlineStr"/>
      <c r="I1818" s="111" t="n"/>
      <c r="J1818" s="217" t="inlineStr"/>
    </row>
    <row r="1819" ht="15.75" customHeight="1" s="305">
      <c r="A1819" s="219" t="n"/>
      <c r="B1819" s="133" t="n"/>
      <c r="C1819" s="67" t="n"/>
      <c r="D1819" s="3" t="n"/>
      <c r="E1819" s="3" t="n"/>
      <c r="G1819" t="inlineStr"/>
      <c r="H1819" t="inlineStr"/>
      <c r="I1819" s="111" t="n"/>
      <c r="J1819" s="217" t="inlineStr"/>
    </row>
    <row r="1820" ht="15.75" customHeight="1" s="305">
      <c r="A1820" s="219" t="n"/>
      <c r="B1820" s="133" t="n"/>
      <c r="C1820" s="67" t="n"/>
      <c r="D1820" s="3" t="n"/>
      <c r="E1820" s="3" t="n"/>
      <c r="G1820" t="inlineStr"/>
      <c r="H1820" t="inlineStr"/>
      <c r="I1820" s="111" t="n"/>
      <c r="J1820" s="217" t="inlineStr"/>
    </row>
    <row r="1821" ht="15.75" customHeight="1" s="305">
      <c r="A1821" s="219" t="n"/>
      <c r="B1821" s="133" t="n"/>
      <c r="C1821" s="67" t="n"/>
      <c r="D1821" s="3" t="n"/>
      <c r="E1821" s="3" t="n"/>
      <c r="G1821" t="inlineStr"/>
      <c r="H1821" t="inlineStr"/>
      <c r="I1821" s="111" t="n"/>
      <c r="J1821" s="217" t="inlineStr"/>
    </row>
    <row r="1822" ht="15.75" customHeight="1" s="305">
      <c r="A1822" s="219" t="n"/>
      <c r="B1822" s="133" t="n"/>
      <c r="C1822" s="67" t="n"/>
      <c r="D1822" s="3" t="n"/>
      <c r="E1822" s="3" t="n"/>
      <c r="G1822" t="inlineStr"/>
      <c r="H1822" t="inlineStr"/>
      <c r="I1822" s="111" t="n"/>
      <c r="J1822" s="217" t="inlineStr"/>
    </row>
    <row r="1823" ht="15.75" customHeight="1" s="305">
      <c r="A1823" s="215" t="n"/>
      <c r="B1823" s="115" t="n"/>
      <c r="C1823" s="67" t="n"/>
      <c r="D1823" s="3" t="n"/>
      <c r="E1823" s="3" t="n"/>
      <c r="G1823" t="inlineStr"/>
      <c r="H1823" t="inlineStr"/>
      <c r="I1823" s="111" t="n"/>
      <c r="J1823" s="217" t="inlineStr"/>
    </row>
    <row r="1824" ht="15.75" customHeight="1" s="305">
      <c r="A1824" s="215" t="n"/>
      <c r="B1824" s="115" t="n"/>
      <c r="C1824" s="67" t="n"/>
      <c r="D1824" s="3" t="n"/>
      <c r="E1824" s="3" t="n"/>
      <c r="G1824" t="inlineStr"/>
      <c r="H1824" t="inlineStr"/>
      <c r="I1824" s="111" t="n"/>
      <c r="J1824" s="217" t="inlineStr"/>
    </row>
    <row r="1825" ht="15.75" customHeight="1" s="305">
      <c r="A1825" s="215" t="n"/>
      <c r="B1825" s="115" t="n"/>
      <c r="C1825" s="67" t="n"/>
      <c r="D1825" s="3" t="n"/>
      <c r="E1825" s="3" t="n"/>
      <c r="G1825" t="inlineStr"/>
      <c r="H1825" t="inlineStr"/>
      <c r="I1825" s="111" t="n"/>
      <c r="J1825" s="217" t="inlineStr"/>
    </row>
    <row r="1826" ht="15.75" customHeight="1" s="305">
      <c r="A1826" s="215" t="n"/>
      <c r="B1826" s="115" t="n"/>
      <c r="C1826" s="67" t="n"/>
      <c r="D1826" s="3" t="n"/>
      <c r="E1826" s="3" t="n"/>
      <c r="G1826" t="inlineStr"/>
      <c r="H1826" t="inlineStr"/>
      <c r="I1826" s="111" t="n"/>
      <c r="J1826" s="217" t="inlineStr"/>
    </row>
    <row r="1827" ht="15.75" customHeight="1" s="305">
      <c r="A1827" s="215" t="n"/>
      <c r="B1827" s="115" t="n"/>
      <c r="C1827" s="67" t="n"/>
      <c r="D1827" s="3" t="n"/>
      <c r="E1827" s="3" t="n"/>
      <c r="G1827" t="inlineStr"/>
      <c r="H1827" t="inlineStr"/>
      <c r="I1827" s="111" t="n"/>
      <c r="J1827" s="217" t="inlineStr"/>
    </row>
    <row r="1828" ht="15.75" customHeight="1" s="305">
      <c r="A1828" s="215" t="n"/>
      <c r="B1828" s="115" t="n"/>
      <c r="C1828" s="67" t="n"/>
      <c r="D1828" s="3" t="n"/>
      <c r="E1828" s="3" t="n"/>
      <c r="G1828" t="inlineStr"/>
      <c r="H1828" t="inlineStr"/>
      <c r="I1828" s="111" t="n"/>
      <c r="J1828" s="217" t="inlineStr"/>
    </row>
    <row r="1829" ht="15.75" customHeight="1" s="305">
      <c r="A1829" s="215" t="n"/>
      <c r="B1829" s="115" t="n"/>
      <c r="C1829" s="67" t="n"/>
      <c r="D1829" s="3" t="n"/>
      <c r="E1829" s="3" t="n"/>
      <c r="G1829" t="inlineStr"/>
      <c r="H1829" t="inlineStr"/>
      <c r="I1829" s="111" t="n"/>
      <c r="J1829" s="217" t="inlineStr"/>
    </row>
    <row r="1830" ht="15.75" customHeight="1" s="305">
      <c r="A1830" s="215" t="n"/>
      <c r="B1830" s="115" t="n"/>
      <c r="C1830" s="67" t="n"/>
      <c r="D1830" s="3" t="n"/>
      <c r="E1830" s="3" t="n"/>
      <c r="G1830" t="inlineStr"/>
      <c r="H1830" t="inlineStr"/>
      <c r="I1830" s="111" t="n"/>
      <c r="J1830" s="217" t="inlineStr"/>
    </row>
    <row r="1831" ht="15.75" customHeight="1" s="305">
      <c r="A1831" s="215" t="n"/>
      <c r="B1831" s="115" t="n"/>
      <c r="C1831" s="67" t="n"/>
      <c r="D1831" s="3" t="n"/>
      <c r="E1831" s="3" t="n"/>
      <c r="G1831" t="inlineStr"/>
      <c r="H1831" t="inlineStr"/>
      <c r="I1831" s="111" t="n"/>
      <c r="J1831" s="217" t="inlineStr"/>
    </row>
    <row r="1832" ht="15.75" customHeight="1" s="305">
      <c r="A1832" s="215" t="n"/>
      <c r="B1832" s="115" t="n"/>
      <c r="C1832" s="67" t="n"/>
      <c r="D1832" s="3" t="n"/>
      <c r="E1832" s="3" t="n"/>
      <c r="G1832" t="inlineStr"/>
      <c r="H1832" t="inlineStr"/>
      <c r="I1832" s="111" t="n"/>
      <c r="J1832" s="217" t="inlineStr"/>
    </row>
    <row r="1833" ht="15.75" customHeight="1" s="305">
      <c r="A1833" s="215" t="n"/>
      <c r="B1833" s="115" t="n"/>
      <c r="C1833" s="67" t="n"/>
      <c r="D1833" s="3" t="n"/>
      <c r="E1833" s="3" t="n"/>
      <c r="G1833" t="inlineStr"/>
      <c r="H1833" t="inlineStr"/>
      <c r="I1833" s="111" t="n"/>
      <c r="J1833" s="217" t="inlineStr"/>
    </row>
    <row r="1834" ht="15.75" customHeight="1" s="305">
      <c r="A1834" s="215" t="n"/>
      <c r="B1834" s="115" t="n"/>
      <c r="C1834" s="67" t="n"/>
      <c r="D1834" s="3" t="n"/>
      <c r="E1834" s="3" t="n"/>
      <c r="G1834" t="inlineStr"/>
      <c r="H1834" t="inlineStr"/>
      <c r="I1834" s="111" t="n"/>
      <c r="J1834" s="217" t="inlineStr"/>
    </row>
    <row r="1835" ht="15.75" customHeight="1" s="305">
      <c r="A1835" s="215" t="n"/>
      <c r="B1835" s="115" t="n"/>
      <c r="C1835" s="67" t="n"/>
      <c r="D1835" s="3" t="n"/>
      <c r="E1835" s="3" t="n"/>
      <c r="G1835" t="inlineStr"/>
      <c r="H1835" t="inlineStr"/>
      <c r="I1835" s="111" t="n"/>
      <c r="J1835" s="217" t="inlineStr"/>
    </row>
    <row r="1836" ht="15.75" customHeight="1" s="305">
      <c r="A1836" s="215" t="n"/>
      <c r="B1836" s="115" t="n"/>
      <c r="C1836" s="67" t="n"/>
      <c r="D1836" s="3" t="n"/>
      <c r="E1836" s="3" t="n"/>
      <c r="G1836" t="inlineStr"/>
      <c r="H1836" t="inlineStr"/>
      <c r="I1836" s="111" t="n"/>
      <c r="J1836" s="217" t="inlineStr"/>
    </row>
    <row r="1837" ht="15.75" customHeight="1" s="305">
      <c r="A1837" s="215" t="n"/>
      <c r="B1837" s="115" t="n"/>
      <c r="C1837" s="67" t="n"/>
      <c r="D1837" s="3" t="n"/>
      <c r="E1837" s="3" t="n"/>
      <c r="G1837" t="inlineStr"/>
      <c r="H1837" t="inlineStr"/>
      <c r="I1837" s="111" t="n"/>
      <c r="J1837" s="217" t="inlineStr"/>
    </row>
    <row r="1838" ht="15.75" customHeight="1" s="305">
      <c r="A1838" s="215" t="n"/>
      <c r="B1838" s="115" t="n"/>
      <c r="C1838" s="67" t="n"/>
      <c r="D1838" s="3" t="n"/>
      <c r="E1838" s="3" t="n"/>
      <c r="G1838" t="inlineStr"/>
      <c r="H1838" t="inlineStr"/>
      <c r="I1838" s="111" t="n"/>
      <c r="J1838" s="217" t="inlineStr"/>
    </row>
    <row r="1839" ht="15.75" customHeight="1" s="305">
      <c r="A1839" s="215" t="n"/>
      <c r="B1839" s="115" t="n"/>
      <c r="C1839" s="67" t="n"/>
      <c r="D1839" s="3" t="n"/>
      <c r="E1839" s="3" t="n"/>
      <c r="G1839" t="inlineStr"/>
      <c r="H1839" t="inlineStr"/>
      <c r="I1839" s="111" t="n"/>
      <c r="J1839" s="217" t="inlineStr"/>
    </row>
    <row r="1840" ht="15.75" customHeight="1" s="305">
      <c r="A1840" s="215" t="n"/>
      <c r="B1840" s="115" t="n"/>
      <c r="C1840" s="67" t="n"/>
      <c r="D1840" s="3" t="n"/>
      <c r="E1840" s="3" t="n"/>
      <c r="G1840" t="inlineStr"/>
      <c r="H1840" t="inlineStr"/>
      <c r="I1840" s="111" t="n"/>
      <c r="J1840" s="217" t="inlineStr"/>
    </row>
    <row r="1841" ht="15.75" customHeight="1" s="305">
      <c r="A1841" s="215" t="n"/>
      <c r="B1841" s="115" t="n"/>
      <c r="C1841" s="67" t="n"/>
      <c r="D1841" s="3" t="n"/>
      <c r="E1841" s="3" t="n"/>
      <c r="G1841" t="inlineStr"/>
      <c r="H1841" t="inlineStr"/>
      <c r="I1841" s="111" t="n"/>
      <c r="J1841" s="217" t="inlineStr"/>
    </row>
    <row r="1842" ht="15.75" customHeight="1" s="305">
      <c r="A1842" s="215" t="n"/>
      <c r="B1842" s="115" t="n"/>
      <c r="C1842" s="67" t="n"/>
      <c r="D1842" s="3" t="n"/>
      <c r="E1842" s="3" t="n"/>
      <c r="G1842" t="inlineStr"/>
      <c r="H1842" t="inlineStr"/>
      <c r="I1842" s="111" t="n"/>
      <c r="J1842" s="217" t="inlineStr"/>
    </row>
    <row r="1843" ht="15.75" customHeight="1" s="305">
      <c r="A1843" s="215" t="n"/>
      <c r="B1843" s="115" t="n"/>
      <c r="C1843" s="67" t="n"/>
      <c r="D1843" s="3" t="n"/>
      <c r="E1843" s="3" t="n"/>
      <c r="G1843" t="inlineStr"/>
      <c r="H1843" t="inlineStr"/>
      <c r="I1843" s="111" t="n"/>
      <c r="J1843" s="217" t="inlineStr"/>
    </row>
    <row r="1844" ht="15.75" customHeight="1" s="305">
      <c r="A1844" s="215" t="n"/>
      <c r="B1844" s="115" t="n"/>
      <c r="C1844" s="67" t="n"/>
      <c r="D1844" s="3" t="n"/>
      <c r="E1844" s="3" t="n"/>
      <c r="G1844" t="inlineStr"/>
      <c r="H1844" t="inlineStr"/>
      <c r="I1844" s="111" t="n"/>
      <c r="J1844" s="217" t="inlineStr"/>
    </row>
    <row r="1845" ht="15.75" customHeight="1" s="305">
      <c r="A1845" s="215" t="n"/>
      <c r="B1845" s="115" t="n"/>
      <c r="C1845" s="67" t="n"/>
      <c r="D1845" s="3" t="n"/>
      <c r="E1845" s="3" t="n"/>
      <c r="G1845" t="inlineStr"/>
      <c r="H1845" t="inlineStr"/>
      <c r="I1845" s="111" t="n"/>
      <c r="J1845" s="217" t="inlineStr"/>
    </row>
    <row r="1846" ht="15.75" customHeight="1" s="305">
      <c r="A1846" s="215" t="n"/>
      <c r="B1846" s="115" t="n"/>
      <c r="C1846" s="67" t="n"/>
      <c r="D1846" s="3" t="n"/>
      <c r="E1846" s="3" t="n"/>
      <c r="G1846" t="inlineStr"/>
      <c r="H1846" t="inlineStr"/>
      <c r="I1846" s="111" t="n"/>
      <c r="J1846" s="217" t="inlineStr"/>
    </row>
    <row r="1847" ht="15.75" customHeight="1" s="305">
      <c r="A1847" s="215" t="n"/>
      <c r="B1847" s="115" t="n"/>
      <c r="C1847" s="67" t="n"/>
      <c r="D1847" s="3" t="n"/>
      <c r="E1847" s="3" t="n"/>
      <c r="G1847" t="inlineStr"/>
      <c r="H1847" t="inlineStr"/>
      <c r="I1847" s="111" t="n"/>
      <c r="J1847" s="217" t="inlineStr"/>
    </row>
    <row r="1848" ht="15.75" customHeight="1" s="305">
      <c r="A1848" s="215" t="n"/>
      <c r="B1848" s="115" t="n"/>
      <c r="C1848" s="67" t="n"/>
      <c r="D1848" s="3" t="n"/>
      <c r="E1848" s="3" t="n"/>
      <c r="G1848" t="inlineStr"/>
      <c r="H1848" t="inlineStr"/>
      <c r="I1848" s="111" t="n"/>
      <c r="J1848" s="217" t="inlineStr"/>
    </row>
    <row r="1849" ht="15.75" customHeight="1" s="305">
      <c r="A1849" s="215" t="n"/>
      <c r="B1849" s="115" t="n"/>
      <c r="C1849" s="67" t="n"/>
      <c r="D1849" s="3" t="n"/>
      <c r="E1849" s="3" t="n"/>
      <c r="G1849" t="inlineStr"/>
      <c r="H1849" t="inlineStr"/>
      <c r="I1849" s="111" t="n"/>
      <c r="J1849" s="217" t="inlineStr"/>
    </row>
    <row r="1850" ht="15.75" customHeight="1" s="305">
      <c r="A1850" s="215" t="n"/>
      <c r="B1850" s="115" t="n"/>
      <c r="C1850" s="67" t="n"/>
      <c r="D1850" s="3" t="n"/>
      <c r="E1850" s="3" t="n"/>
      <c r="G1850" t="inlineStr"/>
      <c r="H1850" t="inlineStr"/>
      <c r="I1850" s="111" t="n"/>
      <c r="J1850" s="217" t="inlineStr"/>
    </row>
    <row r="1851" ht="15.75" customHeight="1" s="305">
      <c r="A1851" s="215" t="n"/>
      <c r="B1851" s="115" t="n"/>
      <c r="C1851" s="67" t="n"/>
      <c r="D1851" s="3" t="n"/>
      <c r="E1851" s="3" t="n"/>
      <c r="G1851" t="inlineStr"/>
      <c r="H1851" t="inlineStr"/>
      <c r="I1851" s="111" t="n"/>
      <c r="J1851" s="217" t="inlineStr"/>
    </row>
    <row r="1852" ht="15.75" customHeight="1" s="305">
      <c r="A1852" s="215" t="n"/>
      <c r="B1852" s="115" t="n"/>
      <c r="C1852" s="67" t="n"/>
      <c r="D1852" s="3" t="n"/>
      <c r="E1852" s="3" t="n"/>
      <c r="G1852" t="inlineStr"/>
      <c r="H1852" t="inlineStr"/>
      <c r="I1852" s="111" t="n"/>
      <c r="J1852" s="217" t="inlineStr"/>
    </row>
    <row r="1853" ht="15.75" customHeight="1" s="305">
      <c r="A1853" s="215" t="n"/>
      <c r="B1853" s="115" t="n"/>
      <c r="C1853" s="67" t="n"/>
      <c r="D1853" s="3" t="n"/>
      <c r="E1853" s="3" t="n"/>
      <c r="G1853" t="inlineStr"/>
      <c r="H1853" t="inlineStr"/>
      <c r="I1853" s="111" t="n"/>
      <c r="J1853" s="217" t="inlineStr"/>
    </row>
    <row r="1854" ht="15.75" customHeight="1" s="305">
      <c r="A1854" s="215" t="n"/>
      <c r="B1854" s="115" t="n"/>
      <c r="C1854" s="67" t="n"/>
      <c r="D1854" s="3" t="n"/>
      <c r="E1854" s="3" t="n"/>
      <c r="G1854" t="inlineStr"/>
      <c r="H1854" t="inlineStr"/>
      <c r="I1854" s="111" t="n"/>
      <c r="J1854" s="217" t="inlineStr"/>
    </row>
    <row r="1855" ht="15.75" customHeight="1" s="305">
      <c r="A1855" s="215" t="n"/>
      <c r="B1855" s="115" t="n"/>
      <c r="C1855" s="67" t="n"/>
      <c r="D1855" s="3" t="n"/>
      <c r="E1855" s="3" t="n"/>
      <c r="G1855" t="inlineStr"/>
      <c r="H1855" t="inlineStr"/>
      <c r="I1855" s="111" t="n"/>
      <c r="J1855" s="217" t="inlineStr"/>
    </row>
    <row r="1856" ht="15.75" customHeight="1" s="305">
      <c r="A1856" s="215" t="n"/>
      <c r="B1856" s="115" t="n"/>
      <c r="C1856" s="67" t="n"/>
      <c r="D1856" s="3" t="n"/>
      <c r="E1856" s="3" t="n"/>
      <c r="G1856" t="inlineStr"/>
      <c r="H1856" t="inlineStr"/>
      <c r="I1856" s="111" t="n"/>
      <c r="J1856" s="217" t="inlineStr"/>
    </row>
    <row r="1857" ht="15.75" customHeight="1" s="305">
      <c r="A1857" s="215" t="n"/>
      <c r="B1857" s="115" t="n"/>
      <c r="C1857" s="67" t="n"/>
      <c r="D1857" s="3" t="n"/>
      <c r="E1857" s="3" t="n"/>
      <c r="G1857" t="inlineStr"/>
      <c r="H1857" t="inlineStr"/>
      <c r="I1857" s="111" t="n"/>
      <c r="J1857" s="217" t="inlineStr"/>
    </row>
    <row r="1858" ht="15.75" customHeight="1" s="305">
      <c r="A1858" s="215" t="n"/>
      <c r="B1858" s="115" t="n"/>
      <c r="C1858" s="67" t="n"/>
      <c r="D1858" s="3" t="n"/>
      <c r="E1858" s="3" t="n"/>
      <c r="G1858" t="inlineStr"/>
      <c r="H1858" t="inlineStr"/>
      <c r="I1858" s="111" t="n"/>
      <c r="J1858" s="217" t="inlineStr"/>
    </row>
    <row r="1859" ht="15.75" customHeight="1" s="305">
      <c r="A1859" s="215" t="n"/>
      <c r="B1859" s="115" t="n"/>
      <c r="C1859" s="67" t="n"/>
      <c r="D1859" s="3" t="n"/>
      <c r="E1859" s="3" t="n"/>
      <c r="G1859" t="inlineStr"/>
      <c r="H1859" t="inlineStr"/>
      <c r="I1859" s="111" t="n"/>
      <c r="J1859" s="217" t="inlineStr"/>
    </row>
    <row r="1860" ht="15.75" customHeight="1" s="305">
      <c r="A1860" s="215" t="n"/>
      <c r="B1860" s="115" t="n"/>
      <c r="C1860" s="67" t="n"/>
      <c r="D1860" s="3" t="n"/>
      <c r="E1860" s="3" t="n"/>
      <c r="G1860" t="inlineStr"/>
      <c r="H1860" t="inlineStr"/>
      <c r="I1860" s="111" t="n"/>
      <c r="J1860" s="217" t="inlineStr"/>
    </row>
    <row r="1861" ht="15.75" customHeight="1" s="305">
      <c r="A1861" s="215" t="n"/>
      <c r="B1861" s="115" t="n"/>
      <c r="C1861" s="67" t="n"/>
      <c r="D1861" s="3" t="n"/>
      <c r="E1861" s="3" t="n"/>
      <c r="G1861" t="inlineStr"/>
      <c r="H1861" t="inlineStr"/>
      <c r="I1861" s="111" t="n"/>
      <c r="J1861" s="217" t="inlineStr"/>
    </row>
    <row r="1862" ht="15.75" customHeight="1" s="305">
      <c r="A1862" s="215" t="n"/>
      <c r="B1862" s="115" t="n"/>
      <c r="C1862" s="67" t="n"/>
      <c r="D1862" s="3" t="n"/>
      <c r="E1862" s="3" t="n"/>
      <c r="G1862" t="inlineStr"/>
      <c r="H1862" t="inlineStr"/>
      <c r="I1862" s="111" t="n"/>
      <c r="J1862" s="217" t="inlineStr"/>
    </row>
    <row r="1863" ht="15.75" customHeight="1" s="305">
      <c r="A1863" s="215" t="n"/>
      <c r="B1863" s="115" t="n"/>
      <c r="C1863" s="67" t="n"/>
      <c r="D1863" s="3" t="n"/>
      <c r="E1863" s="3" t="n"/>
      <c r="G1863" t="inlineStr"/>
      <c r="H1863" t="inlineStr"/>
      <c r="I1863" s="111" t="n"/>
      <c r="J1863" s="217" t="inlineStr"/>
    </row>
    <row r="1864" ht="15.75" customHeight="1" s="305">
      <c r="A1864" s="215" t="n"/>
      <c r="B1864" s="115" t="n"/>
      <c r="C1864" s="67" t="n"/>
      <c r="D1864" s="3" t="n"/>
      <c r="E1864" s="3" t="n"/>
      <c r="G1864" t="inlineStr"/>
      <c r="H1864" t="inlineStr"/>
      <c r="I1864" s="111" t="n"/>
      <c r="J1864" s="217" t="inlineStr"/>
    </row>
    <row r="1865" ht="15.75" customHeight="1" s="305">
      <c r="A1865" s="215" t="n"/>
      <c r="B1865" s="115" t="n"/>
      <c r="C1865" s="67" t="n"/>
      <c r="D1865" s="3" t="n"/>
      <c r="E1865" s="3" t="n"/>
      <c r="G1865" t="inlineStr"/>
      <c r="H1865" t="inlineStr"/>
      <c r="I1865" s="111" t="n"/>
      <c r="J1865" s="217" t="inlineStr"/>
    </row>
    <row r="1866" ht="15.75" customHeight="1" s="305">
      <c r="A1866" s="215" t="n"/>
      <c r="B1866" s="115" t="n"/>
      <c r="C1866" s="67" t="n"/>
      <c r="D1866" s="3" t="n"/>
      <c r="E1866" s="3" t="n"/>
      <c r="G1866" t="inlineStr"/>
      <c r="H1866" t="inlineStr"/>
      <c r="I1866" s="111" t="n"/>
      <c r="J1866" s="217" t="inlineStr"/>
    </row>
    <row r="1867" ht="15.75" customHeight="1" s="305">
      <c r="A1867" s="215" t="n"/>
      <c r="B1867" s="115" t="n"/>
      <c r="C1867" s="67" t="n"/>
      <c r="D1867" s="3" t="n"/>
      <c r="E1867" s="3" t="n"/>
      <c r="G1867" t="inlineStr"/>
      <c r="H1867" t="inlineStr"/>
      <c r="I1867" s="111" t="n"/>
      <c r="J1867" s="217" t="inlineStr"/>
    </row>
    <row r="1868" ht="15.75" customHeight="1" s="305">
      <c r="A1868" s="215" t="n"/>
      <c r="B1868" s="115" t="n"/>
      <c r="C1868" s="67" t="n"/>
      <c r="D1868" s="3" t="n"/>
      <c r="E1868" s="3" t="n"/>
      <c r="G1868" t="inlineStr"/>
      <c r="H1868" t="inlineStr"/>
      <c r="I1868" s="111" t="n"/>
      <c r="J1868" s="217" t="inlineStr"/>
    </row>
    <row r="1869" ht="15.75" customHeight="1" s="305">
      <c r="A1869" s="215" t="n"/>
      <c r="B1869" s="115" t="n"/>
      <c r="C1869" s="67" t="n"/>
      <c r="D1869" s="3" t="n"/>
      <c r="E1869" s="3" t="n"/>
      <c r="G1869" t="inlineStr"/>
      <c r="H1869" t="inlineStr"/>
      <c r="I1869" s="111" t="n"/>
      <c r="J1869" s="217" t="inlineStr"/>
    </row>
    <row r="1870" ht="15.75" customHeight="1" s="305">
      <c r="A1870" s="215" t="n"/>
      <c r="B1870" s="115" t="n"/>
      <c r="C1870" s="67" t="n"/>
      <c r="D1870" s="3" t="n"/>
      <c r="E1870" s="3" t="n"/>
      <c r="G1870" t="inlineStr"/>
      <c r="H1870" t="inlineStr"/>
      <c r="I1870" s="111" t="n"/>
      <c r="J1870" s="217" t="inlineStr"/>
    </row>
    <row r="1871" ht="15.75" customHeight="1" s="305">
      <c r="A1871" s="215" t="n"/>
      <c r="B1871" s="115" t="n"/>
      <c r="C1871" s="67" t="n"/>
      <c r="D1871" s="3" t="n"/>
      <c r="E1871" s="3" t="n"/>
      <c r="G1871" t="inlineStr"/>
      <c r="H1871" t="inlineStr"/>
      <c r="I1871" s="111" t="n"/>
      <c r="J1871" s="217" t="inlineStr"/>
    </row>
    <row r="1872" ht="15.75" customHeight="1" s="305">
      <c r="A1872" s="215" t="n"/>
      <c r="B1872" s="115" t="n"/>
      <c r="C1872" s="67" t="n"/>
      <c r="D1872" s="3" t="n"/>
      <c r="E1872" s="3" t="n"/>
      <c r="G1872" t="inlineStr"/>
      <c r="H1872" t="inlineStr"/>
      <c r="I1872" s="111" t="n"/>
      <c r="J1872" s="217" t="inlineStr"/>
    </row>
    <row r="1873" ht="15.75" customHeight="1" s="305">
      <c r="A1873" s="215" t="n"/>
      <c r="B1873" s="115" t="n"/>
      <c r="C1873" s="67" t="n"/>
      <c r="D1873" s="3" t="n"/>
      <c r="E1873" s="3" t="n"/>
      <c r="G1873" t="inlineStr"/>
      <c r="H1873" t="inlineStr"/>
      <c r="I1873" s="111" t="n"/>
      <c r="J1873" s="217" t="inlineStr"/>
    </row>
    <row r="1874" ht="15.75" customHeight="1" s="305">
      <c r="A1874" s="215" t="n"/>
      <c r="B1874" s="115" t="n"/>
      <c r="C1874" s="67" t="n"/>
      <c r="D1874" s="3" t="n"/>
      <c r="E1874" s="3" t="n"/>
      <c r="G1874" t="inlineStr"/>
      <c r="H1874" t="inlineStr"/>
      <c r="I1874" s="111" t="n"/>
      <c r="J1874" s="217" t="inlineStr"/>
    </row>
    <row r="1875" ht="15.75" customHeight="1" s="305">
      <c r="A1875" s="215" t="n"/>
      <c r="B1875" s="115" t="n"/>
      <c r="C1875" s="67" t="n"/>
      <c r="D1875" s="3" t="n"/>
      <c r="E1875" s="3" t="n"/>
      <c r="G1875" t="inlineStr"/>
      <c r="H1875" t="inlineStr"/>
      <c r="I1875" s="111" t="n"/>
      <c r="J1875" s="217" t="inlineStr"/>
    </row>
    <row r="1876" ht="15.75" customHeight="1" s="305">
      <c r="A1876" s="215" t="n"/>
      <c r="B1876" s="115" t="n"/>
      <c r="C1876" s="67" t="n"/>
      <c r="D1876" s="3" t="n"/>
      <c r="E1876" s="3" t="n"/>
      <c r="G1876" t="inlineStr"/>
      <c r="H1876" t="inlineStr"/>
      <c r="I1876" s="111" t="n"/>
      <c r="J1876" s="217" t="inlineStr"/>
    </row>
    <row r="1877" ht="15.75" customHeight="1" s="305">
      <c r="A1877" s="215" t="n"/>
      <c r="B1877" s="115" t="n"/>
      <c r="C1877" s="67" t="n"/>
      <c r="D1877" s="3" t="n"/>
      <c r="E1877" s="3" t="n"/>
      <c r="G1877" t="inlineStr"/>
      <c r="H1877" t="inlineStr"/>
      <c r="I1877" s="111" t="n"/>
      <c r="J1877" s="217" t="inlineStr"/>
    </row>
    <row r="1878" ht="15.75" customHeight="1" s="305">
      <c r="A1878" s="215" t="n"/>
      <c r="B1878" s="115" t="n"/>
      <c r="C1878" s="67" t="n"/>
      <c r="D1878" s="3" t="n"/>
      <c r="E1878" s="3" t="n"/>
      <c r="G1878" t="inlineStr"/>
      <c r="H1878" t="inlineStr"/>
      <c r="I1878" s="111" t="n"/>
      <c r="J1878" s="217" t="inlineStr"/>
    </row>
    <row r="1879" ht="15.75" customHeight="1" s="305">
      <c r="A1879" s="215" t="n"/>
      <c r="B1879" s="115" t="n"/>
      <c r="C1879" s="67" t="n"/>
      <c r="D1879" s="3" t="n"/>
      <c r="E1879" s="3" t="n"/>
      <c r="G1879" t="inlineStr"/>
      <c r="H1879" t="inlineStr"/>
      <c r="I1879" s="111" t="n"/>
      <c r="J1879" s="217" t="inlineStr"/>
    </row>
    <row r="1880" ht="15.75" customHeight="1" s="305">
      <c r="A1880" s="215" t="n"/>
      <c r="B1880" s="115" t="n"/>
      <c r="C1880" s="67" t="n"/>
      <c r="D1880" s="3" t="n"/>
      <c r="E1880" s="3" t="n"/>
      <c r="G1880" t="inlineStr"/>
      <c r="H1880" t="inlineStr"/>
      <c r="I1880" s="111" t="n"/>
      <c r="J1880" s="217" t="inlineStr"/>
    </row>
    <row r="1881" ht="15.75" customHeight="1" s="305">
      <c r="A1881" s="215" t="n"/>
      <c r="B1881" s="115" t="n"/>
      <c r="C1881" s="67" t="n"/>
      <c r="D1881" s="3" t="n"/>
      <c r="E1881" s="3" t="n"/>
      <c r="G1881" t="inlineStr"/>
      <c r="H1881" t="inlineStr"/>
      <c r="I1881" s="111" t="n"/>
      <c r="J1881" s="217" t="inlineStr"/>
    </row>
    <row r="1882" ht="15.75" customHeight="1" s="305">
      <c r="A1882" s="215" t="n"/>
      <c r="B1882" s="115" t="n"/>
      <c r="C1882" s="67" t="n"/>
      <c r="D1882" s="3" t="n"/>
      <c r="E1882" s="3" t="n"/>
      <c r="G1882" t="inlineStr"/>
      <c r="H1882" t="inlineStr"/>
      <c r="I1882" s="111" t="n"/>
      <c r="J1882" s="217" t="inlineStr"/>
    </row>
    <row r="1883" ht="15.75" customHeight="1" s="305">
      <c r="A1883" s="215" t="n"/>
      <c r="B1883" s="115" t="n"/>
      <c r="C1883" s="67" t="n"/>
      <c r="D1883" s="3" t="n"/>
      <c r="E1883" s="3" t="n"/>
      <c r="G1883" t="inlineStr"/>
      <c r="H1883" t="inlineStr"/>
      <c r="I1883" s="111" t="n"/>
      <c r="J1883" s="217" t="inlineStr"/>
    </row>
    <row r="1884" ht="15.75" customHeight="1" s="305">
      <c r="A1884" s="215" t="n"/>
      <c r="B1884" s="115" t="n"/>
      <c r="C1884" s="67" t="n"/>
      <c r="D1884" s="3" t="n"/>
      <c r="E1884" s="3" t="n"/>
      <c r="G1884" t="inlineStr"/>
      <c r="H1884" t="inlineStr"/>
      <c r="I1884" s="111" t="n"/>
      <c r="J1884" s="217" t="inlineStr"/>
    </row>
    <row r="1885" ht="15.75" customHeight="1" s="305">
      <c r="A1885" s="215" t="n"/>
      <c r="B1885" s="115" t="n"/>
      <c r="C1885" s="67" t="n"/>
      <c r="D1885" s="3" t="n"/>
      <c r="E1885" s="3" t="n"/>
      <c r="G1885" t="inlineStr"/>
      <c r="H1885" t="inlineStr"/>
      <c r="I1885" s="111" t="n"/>
      <c r="J1885" s="217" t="inlineStr"/>
    </row>
    <row r="1886" ht="15.75" customHeight="1" s="305">
      <c r="A1886" s="215" t="n"/>
      <c r="B1886" s="115" t="n"/>
      <c r="C1886" s="67" t="n"/>
      <c r="D1886" s="3" t="n"/>
      <c r="E1886" s="3" t="n"/>
      <c r="G1886" t="inlineStr"/>
      <c r="H1886" t="inlineStr"/>
      <c r="I1886" s="111" t="n"/>
      <c r="J1886" s="217" t="inlineStr"/>
    </row>
    <row r="1887" ht="15.75" customHeight="1" s="305">
      <c r="A1887" s="215" t="n"/>
      <c r="B1887" s="115" t="n"/>
      <c r="C1887" s="67" t="n"/>
      <c r="D1887" s="3" t="n"/>
      <c r="E1887" s="3" t="n"/>
      <c r="G1887" t="inlineStr"/>
      <c r="H1887" t="inlineStr"/>
      <c r="I1887" s="111" t="n"/>
      <c r="J1887" s="217" t="inlineStr"/>
    </row>
    <row r="1888" ht="15.75" customHeight="1" s="305">
      <c r="A1888" s="215" t="n"/>
      <c r="B1888" s="115" t="n"/>
      <c r="C1888" s="67" t="n"/>
      <c r="D1888" s="3" t="n"/>
      <c r="E1888" s="3" t="n"/>
      <c r="G1888" t="inlineStr"/>
      <c r="H1888" t="inlineStr"/>
      <c r="I1888" s="111" t="n"/>
      <c r="J1888" s="217" t="inlineStr"/>
    </row>
    <row r="1889" ht="15.75" customHeight="1" s="305">
      <c r="A1889" s="215" t="n"/>
      <c r="B1889" s="115" t="n"/>
      <c r="C1889" s="67" t="n"/>
      <c r="D1889" s="3" t="n"/>
      <c r="E1889" s="3" t="n"/>
      <c r="G1889" t="inlineStr"/>
      <c r="H1889" t="inlineStr"/>
      <c r="I1889" s="111" t="n"/>
      <c r="J1889" s="217" t="inlineStr"/>
    </row>
    <row r="1890" ht="15.75" customHeight="1" s="305">
      <c r="A1890" s="215" t="n"/>
      <c r="B1890" s="115" t="n"/>
      <c r="C1890" s="67" t="n"/>
      <c r="D1890" s="3" t="n"/>
      <c r="E1890" s="3" t="n"/>
      <c r="G1890" t="inlineStr"/>
      <c r="H1890" t="inlineStr"/>
      <c r="I1890" s="111" t="n"/>
      <c r="J1890" s="217" t="inlineStr"/>
    </row>
    <row r="1891" ht="15.75" customHeight="1" s="305">
      <c r="A1891" s="215" t="n"/>
      <c r="B1891" s="115" t="n"/>
      <c r="C1891" s="67" t="n"/>
      <c r="D1891" s="3" t="n"/>
      <c r="E1891" s="3" t="n"/>
      <c r="G1891" t="inlineStr"/>
      <c r="H1891" t="inlineStr"/>
      <c r="I1891" s="111" t="n"/>
      <c r="J1891" s="217" t="inlineStr"/>
    </row>
    <row r="1892" ht="15.75" customHeight="1" s="305">
      <c r="A1892" s="215" t="n"/>
      <c r="B1892" s="115" t="n"/>
      <c r="C1892" s="67" t="n"/>
      <c r="D1892" s="3" t="n"/>
      <c r="E1892" s="3" t="n"/>
      <c r="G1892" t="inlineStr"/>
      <c r="H1892" t="inlineStr"/>
      <c r="I1892" s="111" t="n"/>
      <c r="J1892" s="217" t="inlineStr"/>
    </row>
    <row r="1893" ht="15.75" customHeight="1" s="305">
      <c r="A1893" s="215" t="n"/>
      <c r="B1893" s="115" t="n"/>
      <c r="C1893" s="67" t="n"/>
      <c r="D1893" s="3" t="n"/>
      <c r="E1893" s="3" t="n"/>
      <c r="G1893" t="inlineStr"/>
      <c r="H1893" t="inlineStr"/>
      <c r="I1893" s="111" t="n"/>
      <c r="J1893" s="217" t="inlineStr"/>
    </row>
    <row r="1894" ht="15.75" customHeight="1" s="305">
      <c r="A1894" s="215" t="n"/>
      <c r="B1894" s="115" t="n"/>
      <c r="C1894" s="67" t="n"/>
      <c r="D1894" s="3" t="n"/>
      <c r="E1894" s="3" t="n"/>
      <c r="G1894" t="inlineStr"/>
      <c r="H1894" t="inlineStr"/>
      <c r="I1894" s="111" t="n"/>
      <c r="J1894" s="217" t="inlineStr"/>
    </row>
    <row r="1895" ht="15.75" customHeight="1" s="305">
      <c r="A1895" s="215" t="n"/>
      <c r="B1895" s="115" t="n"/>
      <c r="C1895" s="67" t="n"/>
      <c r="D1895" s="3" t="n"/>
      <c r="E1895" s="3" t="n"/>
      <c r="G1895" t="inlineStr"/>
      <c r="H1895" t="inlineStr"/>
      <c r="I1895" s="111" t="n"/>
      <c r="J1895" s="217" t="inlineStr"/>
    </row>
    <row r="1896" ht="15.75" customHeight="1" s="305">
      <c r="A1896" s="215" t="n"/>
      <c r="B1896" s="115" t="n"/>
      <c r="C1896" s="67" t="n"/>
      <c r="D1896" s="3" t="n"/>
      <c r="E1896" s="3" t="n"/>
      <c r="G1896" t="inlineStr"/>
      <c r="H1896" t="inlineStr"/>
      <c r="I1896" s="111" t="n"/>
      <c r="J1896" s="217" t="inlineStr"/>
    </row>
    <row r="1897" ht="15.75" customHeight="1" s="305">
      <c r="A1897" s="215" t="n"/>
      <c r="B1897" s="115" t="n"/>
      <c r="C1897" s="67" t="n"/>
      <c r="D1897" s="3" t="n"/>
      <c r="E1897" s="3" t="n"/>
      <c r="G1897" t="inlineStr"/>
      <c r="H1897" t="inlineStr"/>
      <c r="I1897" s="111" t="n"/>
      <c r="J1897" s="217" t="inlineStr"/>
    </row>
    <row r="1898" ht="15.75" customHeight="1" s="305">
      <c r="A1898" s="215" t="n"/>
      <c r="B1898" s="115" t="n"/>
      <c r="C1898" s="67" t="n"/>
      <c r="D1898" s="3" t="n"/>
      <c r="E1898" s="3" t="n"/>
      <c r="G1898" t="inlineStr"/>
      <c r="H1898" t="inlineStr"/>
      <c r="I1898" s="111" t="n"/>
      <c r="J1898" s="217" t="inlineStr"/>
    </row>
    <row r="1899" ht="15.75" customHeight="1" s="305">
      <c r="A1899" s="215" t="n"/>
      <c r="B1899" s="115" t="n"/>
      <c r="C1899" s="67" t="n"/>
      <c r="D1899" s="3" t="n"/>
      <c r="E1899" s="3" t="n"/>
      <c r="G1899" t="inlineStr"/>
      <c r="H1899" t="inlineStr"/>
      <c r="I1899" s="111" t="n"/>
      <c r="J1899" s="217" t="inlineStr"/>
    </row>
    <row r="1900" ht="15.75" customHeight="1" s="305">
      <c r="A1900" s="215" t="n"/>
      <c r="B1900" s="115" t="n"/>
      <c r="C1900" s="67" t="n"/>
      <c r="D1900" s="3" t="n"/>
      <c r="E1900" s="3" t="n"/>
      <c r="G1900" t="inlineStr"/>
      <c r="H1900" t="inlineStr"/>
      <c r="I1900" s="111" t="n"/>
      <c r="J1900" s="217" t="inlineStr"/>
    </row>
    <row r="1901" ht="15.75" customHeight="1" s="305">
      <c r="A1901" s="215" t="n"/>
      <c r="B1901" s="115" t="n"/>
      <c r="C1901" s="67" t="n"/>
      <c r="D1901" s="3" t="n"/>
      <c r="E1901" s="3" t="n"/>
      <c r="G1901" t="inlineStr"/>
      <c r="H1901" t="inlineStr"/>
      <c r="I1901" s="111" t="n"/>
      <c r="J1901" s="217" t="inlineStr"/>
    </row>
    <row r="1902" ht="15.75" customHeight="1" s="305">
      <c r="A1902" s="215" t="n"/>
      <c r="B1902" s="115" t="n"/>
      <c r="C1902" s="67" t="n"/>
      <c r="D1902" s="3" t="n"/>
      <c r="E1902" s="3" t="n"/>
      <c r="G1902" t="inlineStr"/>
      <c r="H1902" t="inlineStr"/>
      <c r="I1902" s="111" t="n"/>
      <c r="J1902" s="217" t="inlineStr"/>
    </row>
    <row r="1903" ht="15.75" customHeight="1" s="305">
      <c r="A1903" s="215" t="n"/>
      <c r="B1903" s="115" t="n"/>
      <c r="C1903" s="67" t="n"/>
      <c r="D1903" s="3" t="n"/>
      <c r="E1903" s="3" t="n"/>
      <c r="G1903" t="inlineStr"/>
      <c r="H1903" t="inlineStr"/>
      <c r="I1903" s="111" t="n"/>
      <c r="J1903" s="217" t="inlineStr"/>
    </row>
    <row r="1904" ht="15.75" customHeight="1" s="305">
      <c r="A1904" s="215" t="n"/>
      <c r="B1904" s="115" t="n"/>
      <c r="C1904" s="67" t="n"/>
      <c r="D1904" s="3" t="n"/>
      <c r="E1904" s="3" t="n"/>
      <c r="G1904" t="inlineStr"/>
      <c r="H1904" t="inlineStr"/>
      <c r="I1904" s="111" t="n"/>
      <c r="J1904" s="217" t="inlineStr"/>
    </row>
    <row r="1905" ht="15.75" customHeight="1" s="305">
      <c r="A1905" s="215" t="n"/>
      <c r="B1905" s="115" t="n"/>
      <c r="C1905" s="67" t="n"/>
      <c r="D1905" s="3" t="n"/>
      <c r="E1905" s="3" t="n"/>
      <c r="G1905" t="inlineStr"/>
      <c r="H1905" t="inlineStr"/>
      <c r="I1905" s="111" t="n"/>
      <c r="J1905" s="217" t="inlineStr"/>
    </row>
    <row r="1906" ht="15.75" customHeight="1" s="305">
      <c r="A1906" s="215" t="n"/>
      <c r="B1906" s="115" t="n"/>
      <c r="C1906" s="67" t="n"/>
      <c r="D1906" s="3" t="n"/>
      <c r="E1906" s="3" t="n"/>
      <c r="G1906" t="inlineStr"/>
      <c r="H1906" t="inlineStr"/>
      <c r="I1906" s="111" t="n"/>
      <c r="J1906" s="217" t="inlineStr"/>
    </row>
    <row r="1907" ht="15.75" customHeight="1" s="305">
      <c r="A1907" s="215" t="n"/>
      <c r="B1907" s="115" t="n"/>
      <c r="C1907" s="67" t="n"/>
      <c r="D1907" s="3" t="n"/>
      <c r="E1907" s="3" t="n"/>
      <c r="G1907" t="inlineStr"/>
      <c r="H1907" t="inlineStr"/>
      <c r="I1907" s="111" t="n"/>
      <c r="J1907" s="217" t="inlineStr"/>
    </row>
    <row r="1908" ht="15.75" customHeight="1" s="305">
      <c r="A1908" s="215" t="n"/>
      <c r="B1908" s="115" t="n"/>
      <c r="C1908" s="67" t="n"/>
      <c r="D1908" s="3" t="n"/>
      <c r="E1908" s="3" t="n"/>
      <c r="G1908" t="inlineStr"/>
      <c r="H1908" t="inlineStr"/>
      <c r="I1908" s="111" t="n"/>
      <c r="J1908" s="217" t="inlineStr"/>
    </row>
    <row r="1909" ht="15.75" customHeight="1" s="305">
      <c r="A1909" s="215" t="n"/>
      <c r="B1909" s="115" t="n"/>
      <c r="C1909" s="67" t="n"/>
      <c r="D1909" s="3" t="n"/>
      <c r="E1909" s="3" t="n"/>
      <c r="G1909" t="inlineStr"/>
      <c r="H1909" t="inlineStr"/>
      <c r="I1909" s="111" t="n"/>
      <c r="J1909" s="217" t="inlineStr"/>
    </row>
    <row r="1910" ht="15.75" customHeight="1" s="305">
      <c r="A1910" s="215" t="n"/>
      <c r="B1910" s="115" t="n"/>
      <c r="C1910" s="67" t="n"/>
      <c r="D1910" s="3" t="n"/>
      <c r="E1910" s="3" t="n"/>
      <c r="G1910" t="inlineStr"/>
      <c r="H1910" t="inlineStr"/>
      <c r="I1910" s="111" t="n"/>
      <c r="J1910" s="217" t="inlineStr"/>
    </row>
    <row r="1911" ht="15.75" customHeight="1" s="305">
      <c r="A1911" s="215" t="n"/>
      <c r="B1911" s="115" t="n"/>
      <c r="C1911" s="67" t="n"/>
      <c r="D1911" s="3" t="n"/>
      <c r="E1911" s="3" t="n"/>
      <c r="G1911" t="inlineStr"/>
      <c r="H1911" t="inlineStr"/>
      <c r="I1911" s="111" t="n"/>
      <c r="J1911" s="217" t="inlineStr"/>
    </row>
    <row r="1912" ht="15.75" customHeight="1" s="305">
      <c r="A1912" s="215" t="n"/>
      <c r="B1912" s="115" t="n"/>
      <c r="C1912" s="67" t="n"/>
      <c r="D1912" s="3" t="n"/>
      <c r="E1912" s="3" t="n"/>
      <c r="G1912" t="inlineStr"/>
      <c r="H1912" t="inlineStr"/>
      <c r="I1912" s="111" t="n"/>
      <c r="J1912" s="217" t="inlineStr"/>
    </row>
    <row r="1913" ht="15.75" customHeight="1" s="305">
      <c r="A1913" s="215" t="n"/>
      <c r="B1913" s="115" t="n"/>
      <c r="C1913" s="67" t="n"/>
      <c r="D1913" s="3" t="n"/>
      <c r="E1913" s="3" t="n"/>
      <c r="G1913" t="inlineStr"/>
      <c r="H1913" t="inlineStr"/>
      <c r="I1913" s="111" t="n"/>
      <c r="J1913" s="217" t="inlineStr"/>
    </row>
    <row r="1914" ht="15.75" customHeight="1" s="305">
      <c r="A1914" s="215" t="n"/>
      <c r="B1914" s="115" t="n"/>
      <c r="C1914" s="67" t="n"/>
      <c r="D1914" s="3" t="n"/>
      <c r="E1914" s="3" t="n"/>
      <c r="G1914" t="inlineStr"/>
      <c r="H1914" t="inlineStr"/>
      <c r="I1914" s="111" t="n"/>
      <c r="J1914" s="217" t="inlineStr"/>
    </row>
    <row r="1915" ht="15.75" customHeight="1" s="305">
      <c r="A1915" s="215" t="n"/>
      <c r="B1915" s="115" t="n"/>
      <c r="C1915" s="67" t="n"/>
      <c r="D1915" s="3" t="n"/>
      <c r="E1915" s="3" t="n"/>
      <c r="G1915" t="inlineStr"/>
      <c r="H1915" t="inlineStr"/>
      <c r="I1915" s="111" t="n"/>
      <c r="J1915" s="217" t="inlineStr"/>
    </row>
    <row r="1916" ht="15.75" customHeight="1" s="305">
      <c r="A1916" s="215" t="n"/>
      <c r="B1916" s="115" t="n"/>
      <c r="C1916" s="67" t="n"/>
      <c r="D1916" s="3" t="n"/>
      <c r="E1916" s="3" t="n"/>
      <c r="G1916" t="inlineStr"/>
      <c r="H1916" t="inlineStr"/>
      <c r="I1916" s="111" t="n"/>
      <c r="J1916" s="217" t="inlineStr"/>
    </row>
    <row r="1917" ht="15.75" customHeight="1" s="305">
      <c r="A1917" s="215" t="n"/>
      <c r="B1917" s="115" t="n"/>
      <c r="C1917" s="67" t="n"/>
      <c r="D1917" s="3" t="n"/>
      <c r="E1917" s="3" t="n"/>
      <c r="G1917" t="inlineStr"/>
      <c r="H1917" t="inlineStr"/>
      <c r="I1917" s="111" t="n"/>
      <c r="J1917" s="217" t="inlineStr"/>
    </row>
    <row r="1918" ht="15.75" customHeight="1" s="305">
      <c r="A1918" s="215" t="n"/>
      <c r="B1918" s="115" t="n"/>
      <c r="C1918" s="67" t="n"/>
      <c r="D1918" s="3" t="n"/>
      <c r="E1918" s="3" t="n"/>
      <c r="G1918" t="inlineStr"/>
      <c r="H1918" t="inlineStr"/>
      <c r="I1918" s="111" t="n"/>
      <c r="J1918" s="217" t="inlineStr"/>
    </row>
    <row r="1919" ht="15.75" customHeight="1" s="305">
      <c r="A1919" s="215" t="n"/>
      <c r="B1919" s="115" t="n"/>
      <c r="C1919" s="67" t="n"/>
      <c r="D1919" s="3" t="n"/>
      <c r="E1919" s="3" t="n"/>
      <c r="G1919" t="inlineStr"/>
      <c r="H1919" t="inlineStr"/>
      <c r="I1919" s="111" t="n"/>
      <c r="J1919" s="217" t="inlineStr"/>
    </row>
    <row r="1920" ht="15.75" customHeight="1" s="305">
      <c r="A1920" s="215" t="n"/>
      <c r="B1920" s="115" t="n"/>
      <c r="C1920" s="67" t="n"/>
      <c r="D1920" s="3" t="n"/>
      <c r="E1920" s="3" t="n"/>
      <c r="G1920" t="inlineStr"/>
      <c r="H1920" t="inlineStr"/>
      <c r="I1920" s="111" t="n"/>
      <c r="J1920" s="217" t="inlineStr"/>
    </row>
    <row r="1921" ht="15.75" customHeight="1" s="305">
      <c r="A1921" s="215" t="n"/>
      <c r="B1921" s="115" t="n"/>
      <c r="C1921" s="67" t="n"/>
      <c r="D1921" s="3" t="n"/>
      <c r="E1921" s="3" t="n"/>
      <c r="G1921" t="inlineStr"/>
      <c r="H1921" t="inlineStr"/>
      <c r="I1921" s="111" t="n"/>
      <c r="J1921" s="217" t="inlineStr"/>
    </row>
    <row r="1922" ht="15.75" customHeight="1" s="305">
      <c r="A1922" s="215" t="n"/>
      <c r="B1922" s="115" t="n"/>
      <c r="C1922" s="67" t="n"/>
      <c r="D1922" s="3" t="n"/>
      <c r="E1922" s="3" t="n"/>
      <c r="G1922" t="inlineStr"/>
      <c r="H1922" t="inlineStr"/>
      <c r="I1922" s="111" t="n"/>
      <c r="J1922" s="217" t="inlineStr"/>
    </row>
    <row r="1923" ht="15.75" customHeight="1" s="305">
      <c r="A1923" s="215" t="n"/>
      <c r="B1923" s="115" t="n"/>
      <c r="C1923" s="67" t="n"/>
      <c r="D1923" s="3" t="n"/>
      <c r="E1923" s="3" t="n"/>
      <c r="G1923" t="inlineStr"/>
      <c r="H1923" t="inlineStr"/>
      <c r="I1923" s="111" t="n"/>
      <c r="J1923" s="217" t="inlineStr"/>
    </row>
    <row r="1924" ht="15.75" customHeight="1" s="305">
      <c r="A1924" s="215" t="n"/>
      <c r="B1924" s="115" t="n"/>
      <c r="C1924" s="67" t="n"/>
      <c r="D1924" s="3" t="n"/>
      <c r="E1924" s="3" t="n"/>
      <c r="G1924" t="inlineStr"/>
      <c r="H1924" t="inlineStr"/>
      <c r="I1924" s="111" t="n"/>
      <c r="J1924" s="217" t="inlineStr"/>
    </row>
    <row r="1925" ht="15.75" customHeight="1" s="305">
      <c r="A1925" s="215" t="n"/>
      <c r="B1925" s="115" t="n"/>
      <c r="C1925" s="67" t="n"/>
      <c r="D1925" s="3" t="n"/>
      <c r="E1925" s="3" t="n"/>
      <c r="G1925" t="inlineStr"/>
      <c r="H1925" t="inlineStr"/>
      <c r="I1925" s="111" t="n"/>
      <c r="J1925" s="217" t="inlineStr"/>
    </row>
    <row r="1926" ht="15.75" customHeight="1" s="305">
      <c r="A1926" s="215" t="n"/>
      <c r="B1926" s="115" t="n"/>
      <c r="C1926" s="67" t="n"/>
      <c r="D1926" s="3" t="n"/>
      <c r="E1926" s="3" t="n"/>
      <c r="G1926" t="inlineStr"/>
      <c r="H1926" t="inlineStr"/>
      <c r="I1926" s="111" t="n"/>
      <c r="J1926" s="217" t="inlineStr"/>
    </row>
    <row r="1927" ht="15.75" customHeight="1" s="305">
      <c r="A1927" s="215" t="n"/>
      <c r="B1927" s="115" t="n"/>
      <c r="C1927" s="67" t="n"/>
      <c r="D1927" s="3" t="n"/>
      <c r="E1927" s="3" t="n"/>
      <c r="G1927" t="inlineStr"/>
      <c r="H1927" t="inlineStr"/>
      <c r="I1927" s="111" t="n"/>
      <c r="J1927" s="217" t="inlineStr"/>
    </row>
    <row r="1928" ht="15.75" customHeight="1" s="305">
      <c r="A1928" s="215" t="n"/>
      <c r="B1928" s="115" t="n"/>
      <c r="C1928" s="67" t="n"/>
      <c r="D1928" s="3" t="n"/>
      <c r="E1928" s="3" t="n"/>
      <c r="G1928" t="inlineStr"/>
      <c r="H1928" t="inlineStr"/>
      <c r="I1928" s="111" t="n"/>
      <c r="J1928" s="217" t="inlineStr"/>
    </row>
    <row r="1929" ht="15.75" customHeight="1" s="305">
      <c r="A1929" s="215" t="n"/>
      <c r="B1929" s="115" t="n"/>
      <c r="C1929" s="67" t="n"/>
      <c r="D1929" s="3" t="n"/>
      <c r="E1929" s="3" t="n"/>
      <c r="G1929" t="inlineStr"/>
      <c r="H1929" t="inlineStr"/>
      <c r="I1929" s="111" t="n"/>
      <c r="J1929" s="217" t="inlineStr"/>
    </row>
    <row r="1930" ht="15.75" customHeight="1" s="305">
      <c r="A1930" s="215" t="n"/>
      <c r="B1930" s="115" t="n"/>
      <c r="C1930" s="67" t="n"/>
      <c r="D1930" s="3" t="n"/>
      <c r="E1930" s="3" t="n"/>
      <c r="G1930" t="inlineStr"/>
      <c r="H1930" t="inlineStr"/>
      <c r="I1930" s="111" t="n"/>
      <c r="J1930" s="217" t="inlineStr"/>
    </row>
    <row r="1931" ht="15.75" customHeight="1" s="305">
      <c r="A1931" s="215" t="n"/>
      <c r="B1931" s="115" t="n"/>
      <c r="C1931" s="67" t="n"/>
      <c r="D1931" s="3" t="n"/>
      <c r="E1931" s="3" t="n"/>
      <c r="G1931" t="inlineStr"/>
      <c r="H1931" t="inlineStr"/>
      <c r="I1931" s="111" t="n"/>
      <c r="J1931" s="217" t="inlineStr"/>
    </row>
    <row r="1932" ht="15.75" customHeight="1" s="305">
      <c r="A1932" s="215" t="n"/>
      <c r="B1932" s="115" t="n"/>
      <c r="C1932" s="67" t="n"/>
      <c r="D1932" s="3" t="n"/>
      <c r="E1932" s="3" t="n"/>
      <c r="G1932" t="inlineStr"/>
      <c r="H1932" t="inlineStr"/>
      <c r="I1932" s="111" t="n"/>
      <c r="J1932" s="217" t="inlineStr"/>
    </row>
    <row r="1933" ht="15.75" customHeight="1" s="305">
      <c r="A1933" s="215" t="n"/>
      <c r="B1933" s="115" t="n"/>
      <c r="C1933" s="67" t="n"/>
      <c r="D1933" s="3" t="n"/>
      <c r="E1933" s="3" t="n"/>
      <c r="G1933" t="inlineStr"/>
      <c r="H1933" t="inlineStr"/>
      <c r="I1933" s="111" t="n"/>
      <c r="J1933" s="217" t="inlineStr"/>
    </row>
    <row r="1934" ht="15.75" customHeight="1" s="305">
      <c r="A1934" s="215" t="n"/>
      <c r="B1934" s="115" t="n"/>
      <c r="C1934" s="67" t="n"/>
      <c r="D1934" s="3" t="n"/>
      <c r="E1934" s="3" t="n"/>
      <c r="G1934" t="inlineStr"/>
      <c r="H1934" t="inlineStr"/>
      <c r="I1934" s="111" t="n"/>
      <c r="J1934" s="217" t="inlineStr"/>
    </row>
    <row r="1935" ht="15.75" customHeight="1" s="305">
      <c r="A1935" s="215" t="n"/>
      <c r="B1935" s="115" t="n"/>
      <c r="C1935" s="67" t="n"/>
      <c r="D1935" s="3" t="n"/>
      <c r="E1935" s="3" t="n"/>
      <c r="G1935" t="inlineStr"/>
      <c r="H1935" t="inlineStr"/>
      <c r="I1935" s="111" t="n"/>
      <c r="J1935" s="217" t="inlineStr"/>
    </row>
    <row r="1936" ht="15.75" customHeight="1" s="305">
      <c r="A1936" s="215" t="n"/>
      <c r="B1936" s="115" t="n"/>
      <c r="C1936" s="67" t="n"/>
      <c r="D1936" s="3" t="n"/>
      <c r="E1936" s="3" t="n"/>
      <c r="G1936" t="inlineStr"/>
      <c r="H1936" t="inlineStr"/>
      <c r="I1936" s="111" t="n"/>
      <c r="J1936" s="217" t="inlineStr"/>
    </row>
    <row r="1937" ht="15.75" customHeight="1" s="305">
      <c r="A1937" s="215" t="n"/>
      <c r="B1937" s="115" t="n"/>
      <c r="C1937" s="67" t="n"/>
      <c r="D1937" s="3" t="n"/>
      <c r="E1937" s="3" t="n"/>
      <c r="G1937" t="inlineStr"/>
      <c r="H1937" t="inlineStr"/>
      <c r="I1937" s="111" t="n"/>
      <c r="J1937" s="217" t="inlineStr"/>
    </row>
    <row r="1938" ht="15.75" customHeight="1" s="305">
      <c r="A1938" s="215" t="n"/>
      <c r="B1938" s="115" t="n"/>
      <c r="C1938" s="67" t="n"/>
      <c r="D1938" s="3" t="n"/>
      <c r="E1938" s="3" t="n"/>
      <c r="G1938" t="inlineStr"/>
      <c r="H1938" t="inlineStr"/>
      <c r="I1938" s="111" t="n"/>
      <c r="J1938" s="217" t="inlineStr"/>
    </row>
    <row r="1939" ht="15.75" customHeight="1" s="305">
      <c r="A1939" s="215" t="n"/>
      <c r="B1939" s="115" t="n"/>
      <c r="C1939" s="67" t="n"/>
      <c r="D1939" s="3" t="n"/>
      <c r="E1939" s="3" t="n"/>
      <c r="G1939" t="inlineStr"/>
      <c r="H1939" t="inlineStr"/>
      <c r="I1939" s="111" t="n"/>
      <c r="J1939" s="217" t="inlineStr"/>
    </row>
    <row r="1940" ht="15.75" customHeight="1" s="305">
      <c r="A1940" s="215" t="n"/>
      <c r="B1940" s="115" t="n"/>
      <c r="C1940" s="67" t="n"/>
      <c r="D1940" s="3" t="n"/>
      <c r="E1940" s="3" t="n"/>
      <c r="G1940" t="inlineStr"/>
      <c r="H1940" t="inlineStr"/>
      <c r="I1940" s="111" t="n"/>
      <c r="J1940" s="217" t="inlineStr"/>
    </row>
    <row r="1941" ht="15.75" customHeight="1" s="305">
      <c r="A1941" s="215" t="n"/>
      <c r="B1941" s="115" t="n"/>
      <c r="C1941" s="67" t="n"/>
      <c r="D1941" s="3" t="n"/>
      <c r="E1941" s="3" t="n"/>
      <c r="G1941" t="inlineStr"/>
      <c r="H1941" t="inlineStr"/>
      <c r="I1941" s="111" t="n"/>
      <c r="J1941" s="217" t="inlineStr"/>
    </row>
    <row r="1942" ht="15.75" customHeight="1" s="305">
      <c r="A1942" s="215" t="n"/>
      <c r="B1942" s="115" t="n"/>
      <c r="C1942" s="67" t="n"/>
      <c r="D1942" s="3" t="n"/>
      <c r="E1942" s="3" t="n"/>
      <c r="G1942" t="inlineStr"/>
      <c r="H1942" t="inlineStr"/>
      <c r="I1942" s="111" t="n"/>
      <c r="J1942" s="217" t="inlineStr"/>
    </row>
    <row r="1943" ht="15.75" customHeight="1" s="305">
      <c r="A1943" s="215" t="n"/>
      <c r="B1943" s="115" t="n"/>
      <c r="C1943" s="67" t="n"/>
      <c r="D1943" s="3" t="n"/>
      <c r="E1943" s="3" t="n"/>
      <c r="G1943" t="inlineStr"/>
      <c r="H1943" t="inlineStr"/>
      <c r="I1943" s="111" t="n"/>
      <c r="J1943" s="217" t="inlineStr"/>
    </row>
    <row r="1944" ht="15.75" customHeight="1" s="305">
      <c r="A1944" s="215" t="n"/>
      <c r="B1944" s="115" t="n"/>
      <c r="C1944" s="67" t="n"/>
      <c r="D1944" s="3" t="n"/>
      <c r="E1944" s="3" t="n"/>
      <c r="G1944" t="inlineStr"/>
      <c r="H1944" t="inlineStr"/>
      <c r="I1944" s="111" t="n"/>
      <c r="J1944" s="217" t="inlineStr"/>
    </row>
    <row r="1945" ht="15.75" customHeight="1" s="305">
      <c r="A1945" s="215" t="n"/>
      <c r="B1945" s="115" t="n"/>
      <c r="C1945" s="67" t="n"/>
      <c r="D1945" s="3" t="n"/>
      <c r="E1945" s="3" t="n"/>
      <c r="G1945" t="inlineStr"/>
      <c r="H1945" t="inlineStr"/>
      <c r="I1945" s="111" t="n"/>
      <c r="J1945" s="217" t="inlineStr"/>
    </row>
    <row r="1946" ht="15.75" customHeight="1" s="305">
      <c r="A1946" s="215" t="n"/>
      <c r="B1946" s="115" t="n"/>
      <c r="C1946" s="67" t="n"/>
      <c r="D1946" s="3" t="n"/>
      <c r="E1946" s="3" t="n"/>
      <c r="G1946" t="inlineStr"/>
      <c r="H1946" t="inlineStr"/>
      <c r="I1946" s="111" t="n"/>
      <c r="J1946" s="217" t="inlineStr"/>
    </row>
    <row r="1947" ht="15.75" customHeight="1" s="305">
      <c r="A1947" s="215" t="n"/>
      <c r="B1947" s="115" t="n"/>
      <c r="C1947" s="67" t="n"/>
      <c r="D1947" s="3" t="n"/>
      <c r="E1947" s="3" t="n"/>
      <c r="G1947" t="inlineStr"/>
      <c r="H1947" t="inlineStr"/>
      <c r="I1947" s="111" t="n"/>
      <c r="J1947" s="217" t="inlineStr"/>
    </row>
    <row r="1948" ht="15.75" customHeight="1" s="305">
      <c r="A1948" s="215" t="n"/>
      <c r="B1948" s="115" t="n"/>
      <c r="C1948" s="67" t="n"/>
      <c r="D1948" s="3" t="n"/>
      <c r="E1948" s="3" t="n"/>
      <c r="G1948" t="inlineStr"/>
      <c r="H1948" t="inlineStr"/>
      <c r="I1948" s="111" t="n"/>
      <c r="J1948" s="217" t="inlineStr"/>
    </row>
    <row r="1949" ht="15.75" customHeight="1" s="305">
      <c r="A1949" s="215" t="n"/>
      <c r="B1949" s="115" t="n"/>
      <c r="C1949" s="67" t="n"/>
      <c r="D1949" s="3" t="n"/>
      <c r="E1949" s="3" t="n"/>
      <c r="G1949" t="inlineStr"/>
      <c r="H1949" t="inlineStr"/>
      <c r="I1949" s="111" t="n"/>
      <c r="J1949" s="217" t="inlineStr"/>
    </row>
    <row r="1950" ht="15.75" customHeight="1" s="305">
      <c r="A1950" s="215" t="n"/>
      <c r="B1950" s="115" t="n"/>
      <c r="C1950" s="67" t="n"/>
      <c r="D1950" s="3" t="n"/>
      <c r="E1950" s="3" t="n"/>
      <c r="G1950" t="inlineStr"/>
      <c r="H1950" t="inlineStr"/>
      <c r="I1950" s="111" t="n"/>
      <c r="J1950" s="217" t="inlineStr"/>
    </row>
    <row r="1951" ht="15.75" customHeight="1" s="305">
      <c r="A1951" s="215" t="n"/>
      <c r="B1951" s="115" t="n"/>
      <c r="C1951" s="67" t="n"/>
      <c r="D1951" s="3" t="n"/>
      <c r="E1951" s="3" t="n"/>
      <c r="G1951" t="inlineStr"/>
      <c r="H1951" t="inlineStr"/>
      <c r="I1951" s="111" t="n"/>
      <c r="J1951" s="217" t="inlineStr"/>
    </row>
    <row r="1952" ht="15.75" customHeight="1" s="305">
      <c r="A1952" s="215" t="n"/>
      <c r="B1952" s="115" t="n"/>
      <c r="C1952" s="67" t="n"/>
      <c r="D1952" s="3" t="n"/>
      <c r="E1952" s="3" t="n"/>
      <c r="G1952" t="inlineStr"/>
      <c r="H1952" t="inlineStr"/>
      <c r="I1952" s="111" t="n"/>
      <c r="J1952" s="217" t="inlineStr"/>
    </row>
    <row r="1953" ht="15.75" customHeight="1" s="305">
      <c r="A1953" s="215" t="n"/>
      <c r="B1953" s="115" t="n"/>
      <c r="C1953" s="67" t="n"/>
      <c r="D1953" s="3" t="n"/>
      <c r="E1953" s="3" t="n"/>
      <c r="G1953" t="inlineStr"/>
      <c r="H1953" t="inlineStr"/>
      <c r="I1953" s="111" t="n"/>
      <c r="J1953" s="217" t="inlineStr"/>
    </row>
    <row r="1954" ht="15.75" customHeight="1" s="305">
      <c r="A1954" s="215" t="n"/>
      <c r="B1954" s="115" t="n"/>
      <c r="C1954" s="67" t="n"/>
      <c r="D1954" s="3" t="n"/>
      <c r="E1954" s="3" t="n"/>
      <c r="G1954" t="inlineStr"/>
      <c r="H1954" t="inlineStr"/>
      <c r="I1954" s="111" t="n"/>
      <c r="J1954" s="217" t="inlineStr"/>
    </row>
    <row r="1955" ht="15.75" customHeight="1" s="305">
      <c r="A1955" s="215" t="n"/>
      <c r="B1955" s="115" t="n"/>
      <c r="C1955" s="67" t="n"/>
      <c r="D1955" s="3" t="n"/>
      <c r="E1955" s="3" t="n"/>
      <c r="G1955" t="inlineStr"/>
      <c r="H1955" t="inlineStr"/>
      <c r="I1955" s="111" t="n"/>
      <c r="J1955" s="217" t="inlineStr"/>
    </row>
    <row r="1956" ht="15.75" customHeight="1" s="305">
      <c r="A1956" s="215" t="n"/>
      <c r="B1956" s="115" t="n"/>
      <c r="C1956" s="67" t="n"/>
      <c r="D1956" s="3" t="n"/>
      <c r="E1956" s="3" t="n"/>
      <c r="G1956" t="inlineStr"/>
      <c r="H1956" t="inlineStr"/>
      <c r="I1956" s="111" t="n"/>
      <c r="J1956" s="217" t="inlineStr"/>
    </row>
    <row r="1957" ht="15.75" customHeight="1" s="305">
      <c r="A1957" s="215" t="n"/>
      <c r="B1957" s="115" t="n"/>
      <c r="C1957" s="67" t="n"/>
      <c r="D1957" s="3" t="n"/>
      <c r="E1957" s="3" t="n"/>
      <c r="G1957" t="inlineStr"/>
      <c r="H1957" t="inlineStr"/>
      <c r="I1957" s="111" t="n"/>
      <c r="J1957" s="217" t="inlineStr"/>
    </row>
    <row r="1958" ht="15.75" customHeight="1" s="305">
      <c r="A1958" s="215" t="n"/>
      <c r="B1958" s="115" t="n"/>
      <c r="C1958" s="67" t="n"/>
      <c r="D1958" s="3" t="n"/>
      <c r="E1958" s="3" t="n"/>
      <c r="G1958" t="inlineStr"/>
      <c r="H1958" t="inlineStr"/>
      <c r="I1958" s="111" t="n"/>
      <c r="J1958" s="217" t="inlineStr"/>
    </row>
    <row r="1959" ht="15.75" customHeight="1" s="305">
      <c r="A1959" s="215" t="n"/>
      <c r="B1959" s="115" t="n"/>
      <c r="C1959" s="67" t="n"/>
      <c r="D1959" s="3" t="n"/>
      <c r="E1959" s="3" t="n"/>
      <c r="G1959" t="inlineStr"/>
      <c r="H1959" t="inlineStr"/>
      <c r="I1959" s="111" t="n"/>
      <c r="J1959" s="217" t="inlineStr"/>
    </row>
    <row r="1960" ht="15.75" customHeight="1" s="305">
      <c r="A1960" s="215" t="n"/>
      <c r="B1960" s="115" t="n"/>
      <c r="C1960" s="67" t="n"/>
      <c r="D1960" s="3" t="n"/>
      <c r="E1960" s="3" t="n"/>
      <c r="G1960" t="inlineStr"/>
      <c r="H1960" t="inlineStr"/>
      <c r="I1960" s="111" t="n"/>
      <c r="J1960" s="217" t="inlineStr"/>
    </row>
    <row r="1961" ht="15.75" customHeight="1" s="305">
      <c r="A1961" s="215" t="n"/>
      <c r="B1961" s="115" t="n"/>
      <c r="C1961" s="67" t="n"/>
      <c r="D1961" s="3" t="n"/>
      <c r="E1961" s="3" t="n"/>
      <c r="G1961" t="inlineStr"/>
      <c r="H1961" t="inlineStr"/>
      <c r="I1961" s="111" t="n"/>
      <c r="J1961" s="217" t="inlineStr"/>
    </row>
    <row r="1962" ht="15.75" customHeight="1" s="305">
      <c r="A1962" s="215" t="n"/>
      <c r="B1962" s="115" t="n"/>
      <c r="C1962" s="67" t="n"/>
      <c r="D1962" s="3" t="n"/>
      <c r="E1962" s="3" t="n"/>
      <c r="G1962" t="inlineStr"/>
      <c r="H1962" t="inlineStr"/>
      <c r="I1962" s="111" t="n"/>
      <c r="J1962" s="217" t="inlineStr"/>
    </row>
    <row r="1963" ht="15.75" customHeight="1" s="305">
      <c r="A1963" s="215" t="n"/>
      <c r="B1963" s="115" t="n"/>
      <c r="C1963" s="67" t="n"/>
      <c r="D1963" s="3" t="n"/>
      <c r="E1963" s="3" t="n"/>
      <c r="G1963" t="inlineStr"/>
      <c r="H1963" t="inlineStr"/>
      <c r="I1963" s="111" t="n"/>
      <c r="J1963" s="217" t="inlineStr"/>
    </row>
    <row r="1964" ht="15.75" customHeight="1" s="305">
      <c r="A1964" s="215" t="n"/>
      <c r="B1964" s="115" t="n"/>
      <c r="C1964" s="67" t="n"/>
      <c r="D1964" s="3" t="n"/>
      <c r="E1964" s="3" t="n"/>
      <c r="G1964" t="inlineStr"/>
      <c r="H1964" t="inlineStr"/>
      <c r="I1964" s="111" t="n"/>
      <c r="J1964" s="217" t="inlineStr"/>
    </row>
    <row r="1965" ht="15.75" customHeight="1" s="305">
      <c r="A1965" s="215" t="n"/>
      <c r="B1965" s="115" t="n"/>
      <c r="C1965" s="67" t="n"/>
      <c r="D1965" s="3" t="n"/>
      <c r="E1965" s="3" t="n"/>
      <c r="G1965" t="inlineStr"/>
      <c r="H1965" t="inlineStr"/>
      <c r="I1965" s="111" t="n"/>
      <c r="J1965" s="217" t="inlineStr"/>
    </row>
    <row r="1966" ht="15.75" customHeight="1" s="305">
      <c r="A1966" s="215" t="n"/>
      <c r="B1966" s="115" t="n"/>
      <c r="C1966" s="67" t="n"/>
      <c r="D1966" s="3" t="n"/>
      <c r="E1966" s="3" t="n"/>
      <c r="G1966" t="inlineStr"/>
      <c r="H1966" t="inlineStr"/>
      <c r="I1966" s="111" t="n"/>
      <c r="J1966" s="217" t="inlineStr"/>
    </row>
    <row r="1967" ht="15.75" customHeight="1" s="305">
      <c r="A1967" s="215" t="n"/>
      <c r="B1967" s="115" t="n"/>
      <c r="C1967" s="67" t="n"/>
      <c r="D1967" s="3" t="n"/>
      <c r="E1967" s="3" t="n"/>
      <c r="G1967" t="inlineStr"/>
      <c r="H1967" t="inlineStr"/>
      <c r="I1967" s="111" t="n"/>
      <c r="J1967" s="217" t="inlineStr"/>
    </row>
    <row r="1968" ht="15.75" customHeight="1" s="305">
      <c r="A1968" s="215" t="n"/>
      <c r="B1968" s="115" t="n"/>
      <c r="C1968" s="67" t="n"/>
      <c r="D1968" s="3" t="n"/>
      <c r="E1968" s="3" t="n"/>
      <c r="G1968" t="inlineStr"/>
      <c r="H1968" t="inlineStr"/>
      <c r="I1968" s="111" t="n"/>
      <c r="J1968" s="217" t="inlineStr"/>
    </row>
    <row r="1969" ht="15.75" customHeight="1" s="305">
      <c r="A1969" s="215" t="n"/>
      <c r="B1969" s="115" t="n"/>
      <c r="C1969" s="67" t="n"/>
      <c r="D1969" s="3" t="n"/>
      <c r="E1969" s="3" t="n"/>
      <c r="G1969" t="inlineStr"/>
      <c r="H1969" t="inlineStr"/>
      <c r="I1969" s="111" t="n"/>
      <c r="J1969" s="217" t="inlineStr"/>
    </row>
    <row r="1970" ht="15.75" customHeight="1" s="305">
      <c r="A1970" s="215" t="n"/>
      <c r="B1970" s="115" t="n"/>
      <c r="C1970" s="67" t="n"/>
      <c r="D1970" s="3" t="n"/>
      <c r="E1970" s="3" t="n"/>
      <c r="G1970" t="inlineStr"/>
      <c r="H1970" t="inlineStr"/>
      <c r="I1970" s="111" t="n"/>
      <c r="J1970" s="217" t="inlineStr"/>
    </row>
    <row r="1971" ht="15.75" customHeight="1" s="305">
      <c r="A1971" s="215" t="n"/>
      <c r="B1971" s="115" t="n"/>
      <c r="C1971" s="67" t="n"/>
      <c r="D1971" s="3" t="n"/>
      <c r="E1971" s="3" t="n"/>
      <c r="G1971" t="inlineStr"/>
      <c r="H1971" t="inlineStr"/>
      <c r="I1971" s="111" t="n"/>
      <c r="J1971" s="217" t="inlineStr"/>
    </row>
    <row r="1972" ht="15.75" customHeight="1" s="305">
      <c r="A1972" s="215" t="n"/>
      <c r="B1972" s="115" t="n"/>
      <c r="C1972" s="67" t="n"/>
      <c r="D1972" s="3" t="n"/>
      <c r="E1972" s="3" t="n"/>
      <c r="G1972" t="inlineStr"/>
      <c r="H1972" t="inlineStr"/>
      <c r="I1972" s="111" t="n"/>
      <c r="J1972" s="217" t="inlineStr"/>
    </row>
    <row r="1973" ht="15.75" customHeight="1" s="305">
      <c r="A1973" s="215" t="n"/>
      <c r="B1973" s="115" t="n"/>
      <c r="C1973" s="67" t="n"/>
      <c r="D1973" s="3" t="n"/>
      <c r="E1973" s="3" t="n"/>
      <c r="G1973" t="inlineStr"/>
      <c r="H1973" t="inlineStr"/>
      <c r="I1973" s="111" t="n"/>
      <c r="J1973" s="217" t="inlineStr"/>
    </row>
    <row r="1974" ht="15.75" customHeight="1" s="305">
      <c r="A1974" s="215" t="n"/>
      <c r="B1974" s="115" t="n"/>
      <c r="C1974" s="67" t="n"/>
      <c r="D1974" s="3" t="n"/>
      <c r="E1974" s="3" t="n"/>
      <c r="G1974" t="inlineStr"/>
      <c r="H1974" t="inlineStr"/>
      <c r="I1974" s="111" t="n"/>
      <c r="J1974" s="217" t="inlineStr"/>
    </row>
    <row r="1975" ht="15.75" customHeight="1" s="305">
      <c r="A1975" s="215" t="n"/>
      <c r="B1975" s="115" t="n"/>
      <c r="C1975" s="67" t="n"/>
      <c r="D1975" s="3" t="n"/>
      <c r="E1975" s="3" t="n"/>
      <c r="G1975" t="inlineStr"/>
      <c r="H1975" t="inlineStr"/>
      <c r="I1975" s="111" t="n"/>
      <c r="J1975" s="217" t="inlineStr"/>
    </row>
    <row r="1976" ht="15.75" customHeight="1" s="305">
      <c r="A1976" s="215" t="n"/>
      <c r="B1976" s="115" t="n"/>
      <c r="C1976" s="67" t="n"/>
      <c r="D1976" s="3" t="n"/>
      <c r="E1976" s="3" t="n"/>
      <c r="G1976" t="inlineStr"/>
      <c r="H1976" t="inlineStr"/>
      <c r="I1976" s="111" t="n"/>
      <c r="J1976" s="217" t="inlineStr"/>
    </row>
    <row r="1977" ht="15.75" customHeight="1" s="305">
      <c r="A1977" s="215" t="n"/>
      <c r="B1977" s="115" t="n"/>
      <c r="C1977" s="67" t="n"/>
      <c r="D1977" s="3" t="n"/>
      <c r="E1977" s="3" t="n"/>
      <c r="G1977" t="inlineStr"/>
      <c r="H1977" t="inlineStr"/>
      <c r="I1977" s="111" t="n"/>
      <c r="J1977" s="217" t="inlineStr"/>
    </row>
    <row r="1978" ht="15.75" customHeight="1" s="305">
      <c r="A1978" s="215" t="n"/>
      <c r="B1978" s="115" t="n"/>
      <c r="C1978" s="67" t="n"/>
      <c r="D1978" s="3" t="n"/>
      <c r="E1978" s="3" t="n"/>
      <c r="G1978" t="inlineStr"/>
      <c r="H1978" t="inlineStr"/>
      <c r="I1978" s="111" t="n"/>
      <c r="J1978" s="217" t="inlineStr"/>
    </row>
    <row r="1979" ht="15.75" customHeight="1" s="305">
      <c r="A1979" s="215" t="n"/>
      <c r="B1979" s="115" t="n"/>
      <c r="C1979" s="67" t="n"/>
      <c r="D1979" s="3" t="n"/>
      <c r="E1979" s="3" t="n"/>
      <c r="G1979" t="inlineStr"/>
      <c r="H1979" t="inlineStr"/>
      <c r="I1979" s="111" t="n"/>
      <c r="J1979" s="217" t="inlineStr"/>
    </row>
    <row r="1980" ht="15.75" customHeight="1" s="305">
      <c r="A1980" s="215" t="n"/>
      <c r="B1980" s="115" t="n"/>
      <c r="C1980" s="67" t="n"/>
      <c r="D1980" s="3" t="n"/>
      <c r="E1980" s="3" t="n"/>
      <c r="G1980" t="inlineStr"/>
      <c r="H1980" t="inlineStr"/>
      <c r="I1980" s="111" t="n"/>
      <c r="J1980" s="217" t="inlineStr"/>
    </row>
    <row r="1981" ht="15.75" customHeight="1" s="305">
      <c r="A1981" s="215" t="n"/>
      <c r="B1981" s="115" t="n"/>
      <c r="C1981" s="67" t="n"/>
      <c r="D1981" s="3" t="n"/>
      <c r="E1981" s="3" t="n"/>
      <c r="G1981" t="inlineStr"/>
      <c r="H1981" t="inlineStr"/>
      <c r="I1981" s="111" t="n"/>
      <c r="J1981" s="217" t="inlineStr"/>
    </row>
    <row r="1982" ht="15.75" customHeight="1" s="305">
      <c r="A1982" s="215" t="n"/>
      <c r="B1982" s="115" t="n"/>
      <c r="C1982" s="67" t="n"/>
      <c r="D1982" s="3" t="n"/>
      <c r="E1982" s="3" t="n"/>
      <c r="G1982" t="inlineStr"/>
      <c r="H1982" t="inlineStr"/>
      <c r="I1982" s="111" t="n"/>
      <c r="J1982" s="217" t="inlineStr"/>
    </row>
    <row r="1983" ht="15.75" customHeight="1" s="305">
      <c r="A1983" s="215" t="n"/>
      <c r="B1983" s="115" t="n"/>
      <c r="C1983" s="67" t="n"/>
      <c r="D1983" s="3" t="n"/>
      <c r="E1983" s="3" t="n"/>
      <c r="G1983" t="inlineStr"/>
      <c r="H1983" t="inlineStr"/>
      <c r="I1983" s="111" t="n"/>
      <c r="J1983" s="217" t="inlineStr"/>
    </row>
    <row r="1984" ht="15.75" customHeight="1" s="305">
      <c r="A1984" s="215" t="n"/>
      <c r="B1984" s="115" t="n"/>
      <c r="C1984" s="67" t="n"/>
      <c r="D1984" s="3" t="n"/>
      <c r="E1984" s="3" t="n"/>
      <c r="G1984" t="inlineStr"/>
      <c r="H1984" t="inlineStr"/>
      <c r="I1984" s="111" t="n"/>
      <c r="J1984" s="217" t="inlineStr"/>
    </row>
    <row r="1985" ht="15.75" customHeight="1" s="305">
      <c r="A1985" s="215" t="n"/>
      <c r="B1985" s="115" t="n"/>
      <c r="C1985" s="67" t="n"/>
      <c r="D1985" s="3" t="n"/>
      <c r="E1985" s="3" t="n"/>
      <c r="G1985" t="inlineStr"/>
      <c r="H1985" t="inlineStr"/>
      <c r="I1985" s="111" t="n"/>
      <c r="J1985" s="217" t="inlineStr"/>
    </row>
    <row r="1986" ht="15.75" customHeight="1" s="305">
      <c r="A1986" s="215" t="n"/>
      <c r="B1986" s="115" t="n"/>
      <c r="C1986" s="67" t="n"/>
      <c r="D1986" s="3" t="n"/>
      <c r="E1986" s="3" t="n"/>
      <c r="G1986" t="inlineStr"/>
      <c r="H1986" t="inlineStr"/>
      <c r="I1986" s="111" t="n"/>
      <c r="J1986" s="217" t="inlineStr"/>
    </row>
    <row r="1987" ht="15.75" customHeight="1" s="305">
      <c r="A1987" s="215" t="n"/>
      <c r="B1987" s="115" t="n"/>
      <c r="C1987" s="67" t="n"/>
      <c r="D1987" s="3" t="n"/>
      <c r="E1987" s="3" t="n"/>
      <c r="G1987" t="inlineStr"/>
      <c r="H1987" t="inlineStr"/>
      <c r="I1987" s="111" t="n"/>
      <c r="J1987" s="217" t="inlineStr"/>
    </row>
    <row r="1988" ht="15.75" customHeight="1" s="305">
      <c r="A1988" s="215" t="n"/>
      <c r="B1988" s="115" t="n"/>
      <c r="C1988" s="67" t="n"/>
      <c r="D1988" s="3" t="n"/>
      <c r="E1988" s="3" t="n"/>
      <c r="G1988" t="inlineStr"/>
      <c r="H1988" t="inlineStr"/>
      <c r="I1988" s="111" t="n"/>
      <c r="J1988" s="217" t="inlineStr"/>
    </row>
    <row r="1989" ht="15.75" customHeight="1" s="305">
      <c r="A1989" s="215" t="n"/>
      <c r="B1989" s="115" t="n"/>
      <c r="C1989" s="67" t="n"/>
      <c r="D1989" s="3" t="n"/>
      <c r="E1989" s="3" t="n"/>
      <c r="G1989" t="inlineStr"/>
      <c r="H1989" t="inlineStr"/>
      <c r="I1989" s="111" t="n"/>
      <c r="J1989" s="217" t="inlineStr"/>
    </row>
    <row r="1990" ht="15.75" customHeight="1" s="305">
      <c r="A1990" s="215" t="n"/>
      <c r="B1990" s="115" t="n"/>
      <c r="C1990" s="67" t="n"/>
      <c r="D1990" s="3" t="n"/>
      <c r="E1990" s="3" t="n"/>
      <c r="G1990" t="inlineStr"/>
      <c r="H1990" t="inlineStr"/>
      <c r="I1990" s="111" t="n"/>
      <c r="J1990" s="217" t="inlineStr"/>
    </row>
    <row r="1991" ht="15.75" customHeight="1" s="305">
      <c r="A1991" s="215" t="n"/>
      <c r="B1991" s="115" t="n"/>
      <c r="C1991" s="67" t="n"/>
      <c r="D1991" s="3" t="n"/>
      <c r="E1991" s="3" t="n"/>
      <c r="G1991" t="inlineStr"/>
      <c r="H1991" t="inlineStr"/>
      <c r="I1991" s="111" t="n"/>
      <c r="J1991" s="217" t="inlineStr"/>
    </row>
    <row r="1992" ht="15.75" customHeight="1" s="305">
      <c r="A1992" s="215" t="n"/>
      <c r="B1992" s="115" t="n"/>
      <c r="C1992" s="67" t="n"/>
      <c r="D1992" s="3" t="n"/>
      <c r="E1992" s="3" t="n"/>
      <c r="G1992" t="inlineStr"/>
      <c r="H1992" t="inlineStr"/>
      <c r="I1992" s="111" t="n"/>
      <c r="J1992" s="217" t="inlineStr"/>
    </row>
    <row r="1993" ht="15.75" customHeight="1" s="305">
      <c r="A1993" s="215" t="n"/>
      <c r="B1993" s="115" t="n"/>
      <c r="C1993" s="67" t="n"/>
      <c r="D1993" s="3" t="n"/>
      <c r="E1993" s="3" t="n"/>
      <c r="G1993" t="inlineStr"/>
      <c r="H1993" t="inlineStr"/>
      <c r="I1993" s="111" t="n"/>
      <c r="J1993" s="217" t="inlineStr"/>
    </row>
    <row r="1994" ht="15.75" customHeight="1" s="305">
      <c r="A1994" s="215" t="n"/>
      <c r="B1994" s="115" t="n"/>
      <c r="C1994" s="67" t="n"/>
      <c r="D1994" s="3" t="n"/>
      <c r="E1994" s="3" t="n"/>
      <c r="G1994" t="inlineStr"/>
      <c r="H1994" t="inlineStr"/>
      <c r="I1994" s="111" t="n"/>
      <c r="J1994" s="217" t="inlineStr"/>
    </row>
    <row r="1995" ht="15.75" customHeight="1" s="305">
      <c r="A1995" s="215" t="n"/>
      <c r="B1995" s="115" t="n"/>
      <c r="C1995" s="67" t="n"/>
      <c r="D1995" s="3" t="n"/>
      <c r="E1995" s="3" t="n"/>
      <c r="G1995" t="inlineStr"/>
      <c r="H1995" t="inlineStr"/>
      <c r="I1995" s="111" t="n"/>
      <c r="J1995" s="217" t="inlineStr"/>
    </row>
    <row r="1996" ht="15.75" customHeight="1" s="305">
      <c r="A1996" s="215" t="n"/>
      <c r="B1996" s="115" t="n"/>
      <c r="C1996" s="67" t="n"/>
      <c r="D1996" s="3" t="n"/>
      <c r="E1996" s="3" t="n"/>
      <c r="G1996" t="inlineStr"/>
      <c r="H1996" t="inlineStr"/>
      <c r="I1996" s="111" t="n"/>
      <c r="J1996" s="217" t="inlineStr"/>
    </row>
    <row r="1997" ht="15.75" customHeight="1" s="305">
      <c r="A1997" s="215" t="n"/>
      <c r="B1997" s="115" t="n"/>
      <c r="C1997" s="67" t="n"/>
      <c r="D1997" s="3" t="n"/>
      <c r="E1997" s="3" t="n"/>
      <c r="G1997" t="inlineStr"/>
      <c r="H1997" t="inlineStr"/>
      <c r="I1997" s="111" t="n"/>
      <c r="J1997" s="217" t="inlineStr"/>
    </row>
    <row r="1998" ht="15.75" customHeight="1" s="305">
      <c r="A1998" s="215" t="n"/>
      <c r="B1998" s="115" t="n"/>
      <c r="C1998" s="67" t="n"/>
      <c r="D1998" s="3" t="n"/>
      <c r="E1998" s="3" t="n"/>
      <c r="G1998" t="inlineStr"/>
      <c r="H1998" t="inlineStr"/>
      <c r="I1998" s="111" t="n"/>
      <c r="J1998" s="217" t="inlineStr"/>
    </row>
    <row r="1999" ht="15.75" customHeight="1" s="305">
      <c r="A1999" s="215" t="n"/>
      <c r="B1999" s="115" t="n"/>
      <c r="C1999" s="67" t="n"/>
      <c r="D1999" s="3" t="n"/>
      <c r="E1999" s="3" t="n"/>
      <c r="G1999" t="inlineStr"/>
      <c r="H1999" t="inlineStr"/>
      <c r="I1999" s="111" t="n"/>
      <c r="J1999" s="217" t="inlineStr"/>
    </row>
    <row r="2000" ht="15.75" customHeight="1" s="305">
      <c r="A2000" s="215" t="n"/>
      <c r="B2000" s="115" t="n"/>
      <c r="C2000" s="67" t="n"/>
      <c r="D2000" s="3" t="n"/>
      <c r="E2000" s="3" t="n"/>
      <c r="G2000" t="inlineStr"/>
      <c r="H2000" t="inlineStr"/>
      <c r="I2000" s="111" t="n"/>
      <c r="J2000" s="217" t="inlineStr"/>
    </row>
    <row r="2001" ht="15.75" customHeight="1" s="305">
      <c r="A2001" s="215" t="n"/>
      <c r="B2001" s="115" t="n"/>
      <c r="C2001" s="67" t="n"/>
      <c r="D2001" s="3" t="n"/>
      <c r="E2001" s="3" t="n"/>
      <c r="G2001" t="inlineStr"/>
      <c r="H2001" t="inlineStr"/>
      <c r="I2001" s="111" t="n"/>
      <c r="J2001" s="217" t="inlineStr"/>
    </row>
    <row r="2002" ht="15.75" customHeight="1" s="305">
      <c r="A2002" s="215" t="n"/>
      <c r="B2002" s="115" t="n"/>
      <c r="C2002" s="67" t="n"/>
      <c r="D2002" s="3" t="n"/>
      <c r="E2002" s="3" t="n"/>
      <c r="G2002" t="inlineStr"/>
      <c r="H2002" t="inlineStr"/>
      <c r="I2002" s="111" t="n"/>
      <c r="J2002" s="217" t="inlineStr"/>
    </row>
    <row r="2003" ht="15.75" customHeight="1" s="305">
      <c r="A2003" s="215" t="n"/>
      <c r="B2003" s="115" t="n"/>
      <c r="C2003" s="67" t="n"/>
      <c r="D2003" s="3" t="n"/>
      <c r="E2003" s="3" t="n"/>
      <c r="G2003" t="inlineStr"/>
      <c r="H2003" t="inlineStr"/>
      <c r="I2003" s="111" t="n"/>
      <c r="J2003" s="217" t="inlineStr"/>
    </row>
    <row r="2004" ht="15.75" customHeight="1" s="305">
      <c r="A2004" s="215" t="n"/>
      <c r="B2004" s="115" t="n"/>
      <c r="C2004" s="67" t="n"/>
      <c r="D2004" s="3" t="n"/>
      <c r="E2004" s="3" t="n"/>
      <c r="G2004" t="inlineStr"/>
      <c r="H2004" t="inlineStr"/>
      <c r="I2004" s="111" t="n"/>
      <c r="J2004" s="217" t="inlineStr"/>
    </row>
    <row r="2005" ht="15.75" customHeight="1" s="305">
      <c r="A2005" s="215" t="n"/>
      <c r="B2005" s="115" t="n"/>
      <c r="C2005" s="67" t="n"/>
      <c r="D2005" s="3" t="n"/>
      <c r="E2005" s="3" t="n"/>
      <c r="G2005" t="inlineStr"/>
      <c r="H2005" t="inlineStr"/>
      <c r="I2005" s="111" t="n"/>
      <c r="J2005" s="217" t="inlineStr"/>
    </row>
    <row r="2006" ht="15.75" customHeight="1" s="305">
      <c r="A2006" s="215" t="n"/>
      <c r="B2006" s="115" t="n"/>
      <c r="C2006" s="67" t="n"/>
      <c r="D2006" s="3" t="n"/>
      <c r="E2006" s="3" t="n"/>
      <c r="G2006" t="inlineStr"/>
      <c r="H2006" t="inlineStr"/>
      <c r="I2006" s="111" t="n"/>
      <c r="J2006" s="217" t="inlineStr"/>
    </row>
    <row r="2007" ht="15.75" customHeight="1" s="305">
      <c r="A2007" s="215" t="n"/>
      <c r="B2007" s="115" t="n"/>
      <c r="C2007" s="67" t="n"/>
      <c r="D2007" s="3" t="n"/>
      <c r="E2007" s="3" t="n"/>
      <c r="G2007" t="inlineStr"/>
      <c r="H2007" t="inlineStr"/>
      <c r="I2007" s="111" t="n"/>
      <c r="J2007" s="217" t="inlineStr"/>
    </row>
    <row r="2008" ht="15.75" customHeight="1" s="305">
      <c r="A2008" s="215" t="n"/>
      <c r="B2008" s="115" t="n"/>
      <c r="C2008" s="67" t="n"/>
      <c r="D2008" s="3" t="n"/>
      <c r="E2008" s="3" t="n"/>
      <c r="G2008" t="inlineStr"/>
      <c r="H2008" t="inlineStr"/>
      <c r="I2008" s="111" t="n"/>
      <c r="J2008" s="217" t="inlineStr"/>
    </row>
    <row r="2009" ht="15.75" customHeight="1" s="305">
      <c r="A2009" s="215" t="n"/>
      <c r="B2009" s="115" t="n"/>
      <c r="C2009" s="67" t="n"/>
      <c r="D2009" s="3" t="n"/>
      <c r="E2009" s="3" t="n"/>
      <c r="G2009" t="inlineStr"/>
      <c r="H2009" t="inlineStr"/>
      <c r="I2009" s="111" t="n"/>
      <c r="J2009" s="217" t="inlineStr"/>
    </row>
    <row r="2010" ht="15.75" customHeight="1" s="305">
      <c r="A2010" s="215" t="n"/>
      <c r="B2010" s="115" t="n"/>
      <c r="C2010" s="67" t="n"/>
      <c r="D2010" s="3" t="n"/>
      <c r="E2010" s="3" t="n"/>
      <c r="G2010" t="inlineStr"/>
      <c r="H2010" t="inlineStr"/>
      <c r="I2010" s="111" t="n"/>
      <c r="J2010" s="217" t="inlineStr"/>
    </row>
    <row r="2011" ht="15.75" customHeight="1" s="305">
      <c r="A2011" s="215" t="n"/>
      <c r="B2011" s="115" t="n"/>
      <c r="C2011" s="67" t="n"/>
      <c r="D2011" s="3" t="n"/>
      <c r="E2011" s="3" t="n"/>
      <c r="G2011" t="inlineStr"/>
      <c r="H2011" t="inlineStr"/>
      <c r="I2011" s="111" t="n"/>
      <c r="J2011" s="217" t="inlineStr"/>
    </row>
    <row r="2012" ht="15.75" customHeight="1" s="305">
      <c r="A2012" s="215" t="n"/>
      <c r="B2012" s="115" t="n"/>
      <c r="C2012" s="67" t="n"/>
      <c r="D2012" s="3" t="n"/>
      <c r="E2012" s="3" t="n"/>
      <c r="G2012" t="inlineStr"/>
      <c r="H2012" t="inlineStr"/>
      <c r="I2012" s="111" t="n"/>
      <c r="J2012" s="217" t="inlineStr"/>
    </row>
    <row r="2013" ht="15.75" customHeight="1" s="305">
      <c r="A2013" s="215" t="n"/>
      <c r="B2013" s="115" t="n"/>
      <c r="C2013" s="67" t="n"/>
      <c r="D2013" s="3" t="n"/>
      <c r="E2013" s="3" t="n"/>
      <c r="G2013" t="inlineStr"/>
      <c r="H2013" t="inlineStr"/>
      <c r="I2013" s="111" t="n"/>
      <c r="J2013" s="217" t="inlineStr"/>
    </row>
    <row r="2014" ht="15.75" customHeight="1" s="305">
      <c r="A2014" s="215" t="n"/>
      <c r="B2014" s="115" t="n"/>
      <c r="C2014" s="67" t="n"/>
      <c r="D2014" s="3" t="n"/>
      <c r="E2014" s="3" t="n"/>
      <c r="G2014" t="inlineStr"/>
      <c r="H2014" t="inlineStr"/>
      <c r="I2014" s="111" t="n"/>
      <c r="J2014" s="217" t="inlineStr"/>
    </row>
    <row r="2015" ht="15.75" customHeight="1" s="305">
      <c r="A2015" s="215" t="n"/>
      <c r="B2015" s="115" t="n"/>
      <c r="C2015" s="67" t="n"/>
      <c r="D2015" s="3" t="n"/>
      <c r="E2015" s="3" t="n"/>
      <c r="G2015" t="inlineStr"/>
      <c r="H2015" t="inlineStr"/>
      <c r="I2015" s="111" t="n"/>
      <c r="J2015" s="217" t="inlineStr"/>
    </row>
    <row r="2016" ht="15.75" customHeight="1" s="305">
      <c r="A2016" s="215" t="n"/>
      <c r="B2016" s="115" t="n"/>
      <c r="C2016" s="67" t="n"/>
      <c r="D2016" s="3" t="n"/>
      <c r="E2016" s="3" t="n"/>
      <c r="G2016" t="inlineStr"/>
      <c r="H2016" t="inlineStr"/>
      <c r="I2016" s="111" t="n"/>
      <c r="J2016" s="217" t="inlineStr"/>
    </row>
    <row r="2017" ht="15.75" customHeight="1" s="305">
      <c r="A2017" s="215" t="n"/>
      <c r="B2017" s="115" t="n"/>
      <c r="C2017" s="67" t="n"/>
      <c r="D2017" s="3" t="n"/>
      <c r="E2017" s="3" t="n"/>
      <c r="G2017" t="inlineStr"/>
      <c r="H2017" t="inlineStr"/>
      <c r="I2017" s="111" t="n"/>
      <c r="J2017" s="217" t="inlineStr"/>
    </row>
    <row r="2018" ht="15.75" customHeight="1" s="305">
      <c r="A2018" s="215" t="n"/>
      <c r="B2018" s="115" t="n"/>
      <c r="C2018" s="67" t="n"/>
      <c r="D2018" s="3" t="n"/>
      <c r="E2018" s="3" t="n"/>
      <c r="G2018" t="inlineStr"/>
      <c r="H2018" t="inlineStr"/>
      <c r="I2018" s="111" t="n"/>
      <c r="J2018" s="217" t="inlineStr"/>
    </row>
    <row r="2019" ht="15.75" customHeight="1" s="305">
      <c r="A2019" s="215" t="n"/>
      <c r="B2019" s="115" t="n"/>
      <c r="C2019" s="67" t="n"/>
      <c r="D2019" s="3" t="n"/>
      <c r="E2019" s="3" t="n"/>
      <c r="G2019" t="inlineStr"/>
      <c r="H2019" t="inlineStr"/>
      <c r="I2019" s="111" t="n"/>
      <c r="J2019" s="217" t="inlineStr"/>
    </row>
    <row r="2020" ht="15.75" customHeight="1" s="305">
      <c r="A2020" s="215" t="n"/>
      <c r="B2020" s="115" t="n"/>
      <c r="C2020" s="67" t="n"/>
      <c r="D2020" s="3" t="n"/>
      <c r="E2020" s="3" t="n"/>
      <c r="G2020" t="inlineStr"/>
      <c r="H2020" t="inlineStr"/>
      <c r="I2020" s="111" t="n"/>
      <c r="J2020" s="217" t="inlineStr"/>
    </row>
    <row r="2021" ht="15.75" customHeight="1" s="305">
      <c r="A2021" s="215" t="n"/>
      <c r="B2021" s="115" t="n"/>
      <c r="C2021" s="67" t="n"/>
      <c r="D2021" s="3" t="n"/>
      <c r="E2021" s="3" t="n"/>
      <c r="G2021" t="inlineStr"/>
      <c r="H2021" t="inlineStr"/>
      <c r="I2021" s="111" t="n"/>
      <c r="J2021" s="217" t="inlineStr"/>
    </row>
    <row r="2022" ht="15.75" customHeight="1" s="305">
      <c r="A2022" s="215" t="n"/>
      <c r="B2022" s="115" t="n"/>
      <c r="C2022" s="67" t="n"/>
      <c r="D2022" s="3" t="n"/>
      <c r="E2022" s="3" t="n"/>
      <c r="G2022" t="inlineStr"/>
      <c r="H2022" t="inlineStr"/>
      <c r="I2022" s="111" t="n"/>
      <c r="J2022" s="217" t="inlineStr"/>
    </row>
    <row r="2023" ht="15.75" customHeight="1" s="305">
      <c r="A2023" s="215" t="n"/>
      <c r="B2023" s="115" t="n"/>
      <c r="C2023" s="67" t="n"/>
      <c r="D2023" s="3" t="n"/>
      <c r="E2023" s="3" t="n"/>
      <c r="G2023" t="inlineStr"/>
      <c r="H2023" t="inlineStr"/>
      <c r="I2023" s="111" t="n"/>
      <c r="J2023" s="217" t="inlineStr"/>
    </row>
    <row r="2024" ht="15.75" customHeight="1" s="305">
      <c r="A2024" s="215" t="n"/>
      <c r="B2024" s="115" t="n"/>
      <c r="C2024" s="67" t="n"/>
      <c r="D2024" s="3" t="n"/>
      <c r="E2024" s="3" t="n"/>
      <c r="G2024" t="inlineStr"/>
      <c r="H2024" t="inlineStr"/>
      <c r="I2024" s="111" t="n"/>
      <c r="J2024" s="217" t="inlineStr"/>
    </row>
    <row r="2025" ht="15.75" customHeight="1" s="305">
      <c r="A2025" s="215" t="n"/>
      <c r="B2025" s="115" t="n"/>
      <c r="C2025" s="67" t="n"/>
      <c r="D2025" s="3" t="n"/>
      <c r="E2025" s="3" t="n"/>
      <c r="G2025" t="inlineStr"/>
      <c r="H2025" t="inlineStr"/>
      <c r="I2025" s="111" t="n"/>
      <c r="J2025" s="217" t="inlineStr"/>
    </row>
    <row r="2026" ht="15.75" customHeight="1" s="305">
      <c r="A2026" s="215" t="n"/>
      <c r="B2026" s="115" t="n"/>
      <c r="C2026" s="67" t="n"/>
      <c r="D2026" s="3" t="n"/>
      <c r="E2026" s="3" t="n"/>
      <c r="G2026" t="inlineStr"/>
      <c r="H2026" t="inlineStr"/>
      <c r="I2026" s="111" t="n"/>
      <c r="J2026" s="217" t="inlineStr"/>
    </row>
    <row r="2027" ht="15.75" customHeight="1" s="305">
      <c r="A2027" s="215" t="n"/>
      <c r="B2027" s="115" t="n"/>
      <c r="C2027" s="67" t="n"/>
      <c r="D2027" s="3" t="n"/>
      <c r="E2027" s="3" t="n"/>
      <c r="G2027" t="inlineStr"/>
      <c r="H2027" t="inlineStr"/>
      <c r="I2027" s="111" t="n"/>
      <c r="J2027" s="217" t="inlineStr"/>
    </row>
    <row r="2028" ht="15.75" customHeight="1" s="305">
      <c r="A2028" s="215" t="n"/>
      <c r="B2028" s="115" t="n"/>
      <c r="C2028" s="67" t="n"/>
      <c r="D2028" s="3" t="n"/>
      <c r="E2028" s="3" t="n"/>
      <c r="G2028" t="inlineStr"/>
      <c r="H2028" t="inlineStr"/>
      <c r="I2028" s="111" t="n"/>
      <c r="J2028" s="217" t="inlineStr"/>
    </row>
    <row r="2029" ht="15.75" customHeight="1" s="305">
      <c r="A2029" s="215" t="n"/>
      <c r="B2029" s="115" t="n"/>
      <c r="C2029" s="67" t="n"/>
      <c r="D2029" s="3" t="n"/>
      <c r="E2029" s="3" t="n"/>
      <c r="G2029" t="inlineStr"/>
      <c r="H2029" t="inlineStr"/>
      <c r="I2029" s="111" t="n"/>
      <c r="J2029" s="217" t="inlineStr"/>
    </row>
    <row r="2030" ht="15.75" customHeight="1" s="305">
      <c r="A2030" s="215" t="n"/>
      <c r="B2030" s="115" t="n"/>
      <c r="C2030" s="67" t="n"/>
      <c r="D2030" s="3" t="n"/>
      <c r="E2030" s="3" t="n"/>
      <c r="G2030" t="inlineStr"/>
      <c r="H2030" t="inlineStr"/>
      <c r="I2030" s="111" t="n"/>
      <c r="J2030" s="217" t="inlineStr"/>
    </row>
    <row r="2031" ht="15.75" customHeight="1" s="305">
      <c r="A2031" s="215" t="n"/>
      <c r="B2031" s="115" t="n"/>
      <c r="C2031" s="67" t="n"/>
      <c r="D2031" s="3" t="n"/>
      <c r="E2031" s="3" t="n"/>
      <c r="G2031" t="inlineStr"/>
      <c r="H2031" t="inlineStr"/>
      <c r="I2031" s="111" t="n"/>
      <c r="J2031" s="217" t="inlineStr"/>
    </row>
    <row r="2032" ht="15.75" customHeight="1" s="305">
      <c r="A2032" s="215" t="n"/>
      <c r="B2032" s="115" t="n"/>
      <c r="C2032" s="67" t="n"/>
      <c r="D2032" s="3" t="n"/>
      <c r="E2032" s="3" t="n"/>
      <c r="G2032" t="inlineStr"/>
      <c r="H2032" t="inlineStr"/>
      <c r="I2032" s="111" t="n"/>
      <c r="J2032" s="217" t="inlineStr"/>
    </row>
    <row r="2033" ht="15.75" customHeight="1" s="305">
      <c r="A2033" s="215" t="n"/>
      <c r="B2033" s="115" t="n"/>
      <c r="C2033" s="67" t="n"/>
      <c r="D2033" s="3" t="n"/>
      <c r="E2033" s="3" t="n"/>
      <c r="G2033" t="inlineStr"/>
      <c r="H2033" t="inlineStr"/>
      <c r="I2033" s="111" t="n"/>
      <c r="J2033" s="217" t="inlineStr"/>
    </row>
    <row r="2034" ht="15.75" customHeight="1" s="305">
      <c r="A2034" s="215" t="n"/>
      <c r="B2034" s="115" t="n"/>
      <c r="C2034" s="67" t="n"/>
      <c r="D2034" s="3" t="n"/>
      <c r="E2034" s="3" t="n"/>
      <c r="G2034" t="inlineStr"/>
      <c r="H2034" t="inlineStr"/>
      <c r="I2034" s="111" t="n"/>
      <c r="J2034" s="217" t="inlineStr"/>
    </row>
    <row r="2035" ht="15.75" customHeight="1" s="305">
      <c r="A2035" s="215" t="n"/>
      <c r="B2035" s="115" t="n"/>
      <c r="C2035" s="67" t="n"/>
      <c r="D2035" s="3" t="n"/>
      <c r="E2035" s="3" t="n"/>
      <c r="G2035" t="inlineStr"/>
      <c r="H2035" t="inlineStr"/>
      <c r="I2035" s="111" t="n"/>
      <c r="J2035" s="217" t="inlineStr"/>
    </row>
    <row r="2036" ht="15.75" customHeight="1" s="305">
      <c r="A2036" s="215" t="n"/>
      <c r="B2036" s="115" t="n"/>
      <c r="C2036" s="67" t="n"/>
      <c r="D2036" s="3" t="n"/>
      <c r="E2036" s="3" t="n"/>
      <c r="G2036" t="inlineStr"/>
      <c r="H2036" t="inlineStr"/>
      <c r="I2036" s="111" t="n"/>
      <c r="J2036" s="217" t="inlineStr"/>
    </row>
    <row r="2037" ht="15.75" customHeight="1" s="305">
      <c r="A2037" s="215" t="n"/>
      <c r="B2037" s="115" t="n"/>
      <c r="C2037" s="67" t="n"/>
      <c r="D2037" s="3" t="n"/>
      <c r="E2037" s="3" t="n"/>
      <c r="G2037" t="inlineStr"/>
      <c r="H2037" t="inlineStr"/>
      <c r="I2037" s="111" t="n"/>
      <c r="J2037" s="217" t="inlineStr"/>
    </row>
    <row r="2038" ht="15.75" customHeight="1" s="305">
      <c r="A2038" s="215" t="n"/>
      <c r="B2038" s="115" t="n"/>
      <c r="C2038" s="67" t="n"/>
      <c r="D2038" s="3" t="n"/>
      <c r="E2038" s="3" t="n"/>
      <c r="G2038" t="inlineStr"/>
      <c r="H2038" t="inlineStr"/>
      <c r="I2038" s="111" t="n"/>
      <c r="J2038" s="217" t="inlineStr"/>
    </row>
    <row r="2039" ht="15.75" customHeight="1" s="305">
      <c r="A2039" s="215" t="n"/>
      <c r="B2039" s="115" t="n"/>
      <c r="C2039" s="67" t="n"/>
      <c r="D2039" s="3" t="n"/>
      <c r="E2039" s="3" t="n"/>
      <c r="G2039" t="inlineStr"/>
      <c r="H2039" t="inlineStr"/>
      <c r="I2039" s="111" t="n"/>
      <c r="J2039" s="217" t="inlineStr"/>
    </row>
    <row r="2040" ht="15.75" customHeight="1" s="305">
      <c r="A2040" s="215" t="n"/>
      <c r="B2040" s="115" t="n"/>
      <c r="C2040" s="67" t="n"/>
      <c r="D2040" s="3" t="n"/>
      <c r="E2040" s="3" t="n"/>
      <c r="G2040" t="inlineStr"/>
      <c r="H2040" t="inlineStr"/>
      <c r="I2040" s="111" t="n"/>
      <c r="J2040" s="217" t="inlineStr"/>
    </row>
    <row r="2041" ht="15.75" customHeight="1" s="305">
      <c r="A2041" s="215" t="n"/>
      <c r="B2041" s="115" t="n"/>
      <c r="C2041" s="67" t="n"/>
      <c r="D2041" s="3" t="n"/>
      <c r="E2041" s="3" t="n"/>
      <c r="G2041" t="inlineStr"/>
      <c r="H2041" t="inlineStr"/>
      <c r="I2041" s="111" t="n"/>
      <c r="J2041" s="217" t="inlineStr"/>
    </row>
    <row r="2042" ht="15.75" customHeight="1" s="305">
      <c r="A2042" s="215" t="n"/>
      <c r="B2042" s="115" t="n"/>
      <c r="C2042" s="67" t="n"/>
      <c r="D2042" s="3" t="n"/>
      <c r="E2042" s="3" t="n"/>
      <c r="G2042" t="inlineStr"/>
      <c r="H2042" t="inlineStr"/>
      <c r="I2042" s="111" t="n"/>
      <c r="J2042" s="217" t="inlineStr"/>
    </row>
    <row r="2043" ht="15.75" customHeight="1" s="305">
      <c r="A2043" s="215" t="n"/>
      <c r="B2043" s="115" t="n"/>
      <c r="C2043" s="67" t="n"/>
      <c r="D2043" s="3" t="n"/>
      <c r="E2043" s="3" t="n"/>
      <c r="G2043" t="inlineStr"/>
      <c r="H2043" t="inlineStr"/>
      <c r="I2043" s="111" t="n"/>
      <c r="J2043" s="217" t="inlineStr"/>
    </row>
    <row r="2044" ht="15.75" customHeight="1" s="305">
      <c r="A2044" s="215" t="n"/>
      <c r="B2044" s="115" t="n"/>
      <c r="C2044" s="67" t="n"/>
      <c r="D2044" s="3" t="n"/>
      <c r="E2044" s="3" t="n"/>
      <c r="G2044" t="inlineStr"/>
      <c r="H2044" t="inlineStr"/>
      <c r="I2044" s="111" t="n"/>
      <c r="J2044" s="217" t="inlineStr"/>
    </row>
    <row r="2045" ht="15.75" customHeight="1" s="305">
      <c r="A2045" s="215" t="n"/>
      <c r="B2045" s="115" t="n"/>
      <c r="C2045" s="67" t="n"/>
      <c r="D2045" s="3" t="n"/>
      <c r="E2045" s="3" t="n"/>
      <c r="G2045" t="inlineStr"/>
      <c r="H2045" t="inlineStr"/>
      <c r="I2045" s="111" t="n"/>
      <c r="J2045" s="217" t="inlineStr"/>
    </row>
    <row r="2046" ht="15.75" customHeight="1" s="305">
      <c r="A2046" s="215" t="n"/>
      <c r="B2046" s="115" t="n"/>
      <c r="C2046" s="67" t="n"/>
      <c r="D2046" s="3" t="n"/>
      <c r="E2046" s="3" t="n"/>
      <c r="G2046" t="inlineStr"/>
      <c r="H2046" t="inlineStr"/>
      <c r="I2046" s="111" t="n"/>
      <c r="J2046" s="217" t="inlineStr"/>
    </row>
    <row r="2047" ht="15.75" customHeight="1" s="305">
      <c r="A2047" s="215" t="n"/>
      <c r="B2047" s="115" t="n"/>
      <c r="C2047" s="67" t="n"/>
      <c r="D2047" s="3" t="n"/>
      <c r="E2047" s="3" t="n"/>
      <c r="G2047" t="inlineStr"/>
      <c r="H2047" t="inlineStr"/>
      <c r="I2047" s="111" t="n"/>
      <c r="J2047" s="217" t="inlineStr"/>
    </row>
    <row r="2048" ht="15.75" customHeight="1" s="305">
      <c r="A2048" s="215" t="n"/>
      <c r="B2048" s="115" t="n"/>
      <c r="C2048" s="67" t="n"/>
      <c r="D2048" s="3" t="n"/>
      <c r="E2048" s="3" t="n"/>
      <c r="G2048" t="inlineStr"/>
      <c r="H2048" t="inlineStr"/>
      <c r="I2048" s="111" t="n"/>
      <c r="J2048" s="217" t="inlineStr"/>
    </row>
    <row r="2049" ht="15.75" customHeight="1" s="305">
      <c r="A2049" s="215" t="n"/>
      <c r="B2049" s="115" t="n"/>
      <c r="C2049" s="67" t="n"/>
      <c r="D2049" s="3" t="n"/>
      <c r="E2049" s="3" t="n"/>
      <c r="G2049" t="inlineStr"/>
      <c r="H2049" t="inlineStr"/>
      <c r="I2049" s="111" t="n"/>
      <c r="J2049" s="217" t="inlineStr"/>
    </row>
    <row r="2050" ht="15.75" customHeight="1" s="305">
      <c r="A2050" s="215" t="n"/>
      <c r="B2050" s="115" t="n"/>
      <c r="C2050" s="67" t="n"/>
      <c r="D2050" s="3" t="n"/>
      <c r="E2050" s="3" t="n"/>
      <c r="G2050" t="inlineStr"/>
      <c r="H2050" t="inlineStr"/>
      <c r="I2050" s="111" t="n"/>
      <c r="J2050" s="217" t="inlineStr"/>
    </row>
    <row r="2051" ht="15.75" customHeight="1" s="305">
      <c r="A2051" s="215" t="n"/>
      <c r="B2051" s="115" t="n"/>
      <c r="C2051" s="67" t="n"/>
      <c r="D2051" s="3" t="n"/>
      <c r="E2051" s="3" t="n"/>
      <c r="G2051" t="inlineStr"/>
      <c r="H2051" t="inlineStr"/>
      <c r="I2051" s="111" t="n"/>
      <c r="J2051" s="217" t="inlineStr"/>
    </row>
    <row r="2052" ht="15.75" customHeight="1" s="305">
      <c r="A2052" s="215" t="n"/>
      <c r="B2052" s="115" t="n"/>
      <c r="C2052" s="67" t="n"/>
      <c r="D2052" s="3" t="n"/>
      <c r="E2052" s="3" t="n"/>
      <c r="G2052" t="inlineStr"/>
      <c r="H2052" t="inlineStr"/>
      <c r="I2052" s="111" t="n"/>
      <c r="J2052" s="217" t="inlineStr"/>
    </row>
    <row r="2053" ht="15.75" customHeight="1" s="305">
      <c r="A2053" s="215" t="n"/>
      <c r="B2053" s="115" t="n"/>
      <c r="C2053" s="67" t="n"/>
      <c r="D2053" s="3" t="n"/>
      <c r="E2053" s="3" t="n"/>
      <c r="G2053" t="inlineStr"/>
      <c r="H2053" t="inlineStr"/>
      <c r="I2053" s="111" t="n"/>
      <c r="J2053" s="217" t="inlineStr"/>
    </row>
    <row r="2054" ht="15.75" customHeight="1" s="305">
      <c r="A2054" s="215" t="n"/>
      <c r="B2054" s="115" t="n"/>
      <c r="C2054" s="67" t="n"/>
      <c r="D2054" s="3" t="n"/>
      <c r="E2054" s="3" t="n"/>
      <c r="G2054" t="inlineStr"/>
      <c r="H2054" t="inlineStr"/>
      <c r="I2054" s="111" t="n"/>
      <c r="J2054" s="217" t="inlineStr"/>
    </row>
    <row r="2055" ht="15.75" customHeight="1" s="305">
      <c r="A2055" s="215" t="n"/>
      <c r="B2055" s="115" t="n"/>
      <c r="C2055" s="67" t="n"/>
      <c r="D2055" s="3" t="n"/>
      <c r="E2055" s="3" t="n"/>
      <c r="G2055" t="inlineStr"/>
      <c r="H2055" t="inlineStr"/>
      <c r="I2055" s="111" t="n"/>
      <c r="J2055" s="217" t="inlineStr"/>
    </row>
    <row r="2056" ht="15.75" customHeight="1" s="305">
      <c r="A2056" s="215" t="n"/>
      <c r="B2056" s="115" t="n"/>
      <c r="C2056" s="67" t="n"/>
      <c r="D2056" s="3" t="n"/>
      <c r="E2056" s="3" t="n"/>
      <c r="G2056" t="inlineStr"/>
      <c r="H2056" t="inlineStr"/>
      <c r="I2056" s="111" t="n"/>
      <c r="J2056" s="217" t="inlineStr"/>
    </row>
    <row r="2057" ht="15.75" customHeight="1" s="305">
      <c r="A2057" s="215" t="n"/>
      <c r="B2057" s="115" t="n"/>
      <c r="C2057" s="67" t="n"/>
      <c r="D2057" s="3" t="n"/>
      <c r="E2057" s="3" t="n"/>
      <c r="G2057" t="inlineStr"/>
      <c r="H2057" t="inlineStr"/>
      <c r="I2057" s="111" t="n"/>
      <c r="J2057" s="217" t="inlineStr"/>
    </row>
    <row r="2058" ht="15.75" customHeight="1" s="305">
      <c r="A2058" s="215" t="n"/>
      <c r="B2058" s="115" t="n"/>
      <c r="C2058" s="67" t="n"/>
      <c r="D2058" s="3" t="n"/>
      <c r="E2058" s="3" t="n"/>
      <c r="G2058" t="inlineStr"/>
      <c r="H2058" t="inlineStr"/>
      <c r="I2058" s="111" t="n"/>
      <c r="J2058" s="217" t="inlineStr"/>
    </row>
    <row r="2059" ht="15.75" customHeight="1" s="305">
      <c r="A2059" s="215" t="n"/>
      <c r="B2059" s="115" t="n"/>
      <c r="C2059" s="67" t="n"/>
      <c r="D2059" s="3" t="n"/>
      <c r="E2059" s="3" t="n"/>
      <c r="G2059" t="inlineStr"/>
      <c r="H2059" t="inlineStr"/>
      <c r="I2059" s="111" t="n"/>
      <c r="J2059" s="217" t="inlineStr"/>
    </row>
    <row r="2060" ht="15.75" customHeight="1" s="305">
      <c r="A2060" s="215" t="n"/>
      <c r="B2060" s="115" t="n"/>
      <c r="C2060" s="67" t="n"/>
      <c r="D2060" s="3" t="n"/>
      <c r="E2060" s="3" t="n"/>
      <c r="G2060" t="inlineStr"/>
      <c r="H2060" t="inlineStr"/>
      <c r="I2060" s="111" t="n"/>
      <c r="J2060" s="217" t="inlineStr"/>
    </row>
    <row r="2061" ht="15.75" customHeight="1" s="305">
      <c r="A2061" s="215" t="n"/>
      <c r="B2061" s="115" t="n"/>
      <c r="C2061" s="67" t="n"/>
      <c r="D2061" s="3" t="n"/>
      <c r="E2061" s="3" t="n"/>
      <c r="G2061" t="inlineStr"/>
      <c r="H2061" t="inlineStr"/>
      <c r="I2061" s="111" t="n"/>
      <c r="J2061" s="217" t="inlineStr"/>
    </row>
    <row r="2062" ht="15.75" customHeight="1" s="305">
      <c r="A2062" s="215" t="n"/>
      <c r="B2062" s="115" t="n"/>
      <c r="C2062" s="67" t="n"/>
      <c r="D2062" s="3" t="n"/>
      <c r="E2062" s="3" t="n"/>
      <c r="G2062" t="inlineStr"/>
      <c r="H2062" t="inlineStr"/>
      <c r="I2062" s="111" t="n"/>
      <c r="J2062" s="217" t="inlineStr"/>
    </row>
    <row r="2063" ht="15.75" customHeight="1" s="305">
      <c r="A2063" s="215" t="n"/>
      <c r="B2063" s="115" t="n"/>
      <c r="C2063" s="67" t="n"/>
      <c r="D2063" s="3" t="n"/>
      <c r="E2063" s="3" t="n"/>
      <c r="G2063" t="inlineStr"/>
      <c r="H2063" t="inlineStr"/>
      <c r="I2063" s="111" t="n"/>
      <c r="J2063" s="217" t="inlineStr"/>
    </row>
    <row r="2064" ht="15.75" customHeight="1" s="305">
      <c r="A2064" s="215" t="n"/>
      <c r="B2064" s="115" t="n"/>
      <c r="C2064" s="67" t="n"/>
      <c r="D2064" s="3" t="n"/>
      <c r="E2064" s="3" t="n"/>
      <c r="G2064" t="inlineStr"/>
      <c r="H2064" t="inlineStr"/>
      <c r="I2064" s="111" t="n"/>
      <c r="J2064" s="217" t="inlineStr"/>
    </row>
    <row r="2065" ht="15.75" customHeight="1" s="305">
      <c r="A2065" s="215" t="n"/>
      <c r="B2065" s="115" t="n"/>
      <c r="C2065" s="67" t="n"/>
      <c r="D2065" s="3" t="n"/>
      <c r="E2065" s="3" t="n"/>
      <c r="G2065" t="inlineStr"/>
      <c r="H2065" t="inlineStr"/>
      <c r="I2065" s="111" t="n"/>
      <c r="J2065" s="217" t="inlineStr"/>
    </row>
    <row r="2066" ht="15.75" customHeight="1" s="305">
      <c r="A2066" s="215" t="n"/>
      <c r="B2066" s="115" t="n"/>
      <c r="C2066" s="67" t="n"/>
      <c r="D2066" s="3" t="n"/>
      <c r="E2066" s="3" t="n"/>
      <c r="G2066" t="inlineStr"/>
      <c r="H2066" t="inlineStr"/>
      <c r="I2066" s="111" t="n"/>
      <c r="J2066" s="217" t="inlineStr"/>
    </row>
    <row r="2067" ht="15.75" customHeight="1" s="305">
      <c r="A2067" s="215" t="n"/>
      <c r="B2067" s="115" t="n"/>
      <c r="C2067" s="67" t="n"/>
      <c r="D2067" s="3" t="n"/>
      <c r="E2067" s="3" t="n"/>
      <c r="G2067" t="inlineStr"/>
      <c r="H2067" t="inlineStr"/>
      <c r="I2067" s="111" t="n"/>
      <c r="J2067" s="217" t="inlineStr"/>
    </row>
    <row r="2068" ht="15.75" customHeight="1" s="305">
      <c r="A2068" s="215" t="n"/>
      <c r="B2068" s="115" t="n"/>
      <c r="C2068" s="67" t="n"/>
      <c r="D2068" s="3" t="n"/>
      <c r="E2068" s="3" t="n"/>
      <c r="G2068" t="inlineStr"/>
      <c r="H2068" t="inlineStr"/>
      <c r="I2068" s="111" t="n"/>
      <c r="J2068" s="217" t="inlineStr"/>
    </row>
    <row r="2069" ht="15.75" customHeight="1" s="305">
      <c r="A2069" s="215" t="n"/>
      <c r="B2069" s="115" t="n"/>
      <c r="C2069" s="67" t="n"/>
      <c r="D2069" s="3" t="n"/>
      <c r="E2069" s="3" t="n"/>
      <c r="G2069" t="inlineStr"/>
      <c r="H2069" t="inlineStr"/>
      <c r="I2069" s="111" t="n"/>
      <c r="J2069" s="217" t="inlineStr"/>
    </row>
    <row r="2070" ht="15.75" customHeight="1" s="305">
      <c r="A2070" s="215" t="n"/>
      <c r="B2070" s="115" t="n"/>
      <c r="C2070" s="67" t="n"/>
      <c r="D2070" s="3" t="n"/>
      <c r="E2070" s="3" t="n"/>
      <c r="G2070" t="inlineStr"/>
      <c r="H2070" t="inlineStr"/>
      <c r="I2070" s="111" t="n"/>
      <c r="J2070" s="217" t="inlineStr"/>
    </row>
    <row r="2071" ht="15.75" customHeight="1" s="305">
      <c r="A2071" s="215" t="n"/>
      <c r="B2071" s="115" t="n"/>
      <c r="C2071" s="67" t="n"/>
      <c r="D2071" s="3" t="n"/>
      <c r="E2071" s="3" t="n"/>
      <c r="G2071" t="inlineStr"/>
      <c r="H2071" t="inlineStr"/>
      <c r="I2071" s="111" t="n"/>
      <c r="J2071" s="217" t="inlineStr"/>
    </row>
    <row r="2072" ht="15.75" customHeight="1" s="305">
      <c r="A2072" s="215" t="n"/>
      <c r="B2072" s="115" t="n"/>
      <c r="C2072" s="67" t="n"/>
      <c r="D2072" s="3" t="n"/>
      <c r="E2072" s="3" t="n"/>
      <c r="G2072" t="inlineStr"/>
      <c r="H2072" t="inlineStr"/>
      <c r="I2072" s="111" t="n"/>
      <c r="J2072" s="217" t="inlineStr"/>
    </row>
    <row r="2073" ht="15.75" customHeight="1" s="305">
      <c r="A2073" s="215" t="n"/>
      <c r="B2073" s="115" t="n"/>
      <c r="C2073" s="67" t="n"/>
      <c r="D2073" s="3" t="n"/>
      <c r="E2073" s="3" t="n"/>
      <c r="G2073" t="inlineStr"/>
      <c r="H2073" t="inlineStr"/>
      <c r="I2073" s="111" t="n"/>
      <c r="J2073" s="217" t="inlineStr"/>
    </row>
    <row r="2074" ht="15.75" customHeight="1" s="305">
      <c r="A2074" s="215" t="n"/>
      <c r="B2074" s="115" t="n"/>
      <c r="C2074" s="67" t="n"/>
      <c r="D2074" s="3" t="n"/>
      <c r="E2074" s="3" t="n"/>
      <c r="G2074" t="inlineStr"/>
      <c r="H2074" t="inlineStr"/>
      <c r="I2074" s="111" t="n"/>
      <c r="J2074" s="217" t="inlineStr"/>
    </row>
    <row r="2075" ht="15.75" customHeight="1" s="305">
      <c r="A2075" s="215" t="n"/>
      <c r="B2075" s="115" t="n"/>
      <c r="C2075" s="67" t="n"/>
      <c r="D2075" s="3" t="n"/>
      <c r="E2075" s="3" t="n"/>
      <c r="G2075" t="inlineStr"/>
      <c r="H2075" t="inlineStr"/>
      <c r="I2075" s="111" t="n"/>
      <c r="J2075" s="217" t="inlineStr"/>
    </row>
    <row r="2076" ht="15.75" customHeight="1" s="305">
      <c r="A2076" s="215" t="n"/>
      <c r="B2076" s="115" t="n"/>
      <c r="C2076" s="67" t="n"/>
      <c r="D2076" s="3" t="n"/>
      <c r="E2076" s="3" t="n"/>
      <c r="G2076" t="inlineStr"/>
      <c r="H2076" t="inlineStr"/>
      <c r="I2076" s="111" t="n"/>
      <c r="J2076" s="217" t="inlineStr"/>
    </row>
    <row r="2077" ht="15.75" customHeight="1" s="305">
      <c r="A2077" s="215" t="n"/>
      <c r="B2077" s="115" t="n"/>
      <c r="C2077" s="67" t="n"/>
      <c r="D2077" s="3" t="n"/>
      <c r="E2077" s="3" t="n"/>
      <c r="G2077" t="inlineStr"/>
      <c r="H2077" t="inlineStr"/>
      <c r="I2077" s="111" t="n"/>
      <c r="J2077" s="217" t="inlineStr"/>
    </row>
    <row r="2078" ht="15.75" customHeight="1" s="305">
      <c r="A2078" s="215" t="n"/>
      <c r="B2078" s="115" t="n"/>
      <c r="C2078" s="67" t="n"/>
      <c r="D2078" s="3" t="n"/>
      <c r="E2078" s="3" t="n"/>
      <c r="G2078" t="inlineStr"/>
      <c r="H2078" t="inlineStr"/>
      <c r="I2078" s="111" t="n"/>
      <c r="J2078" s="217" t="inlineStr"/>
    </row>
    <row r="2079" ht="15.75" customHeight="1" s="305">
      <c r="A2079" s="215" t="n"/>
      <c r="B2079" s="115" t="n"/>
      <c r="C2079" s="67" t="n"/>
      <c r="D2079" s="3" t="n"/>
      <c r="E2079" s="3" t="n"/>
      <c r="G2079" t="inlineStr"/>
      <c r="H2079" t="inlineStr"/>
      <c r="I2079" s="111" t="n"/>
      <c r="J2079" s="217" t="inlineStr"/>
    </row>
    <row r="2080" ht="15.75" customHeight="1" s="305">
      <c r="A2080" s="215" t="n"/>
      <c r="B2080" s="115" t="n"/>
      <c r="C2080" s="67" t="n"/>
      <c r="D2080" s="3" t="n"/>
      <c r="E2080" s="3" t="n"/>
      <c r="G2080" t="inlineStr"/>
      <c r="H2080" t="inlineStr"/>
      <c r="I2080" s="111" t="n"/>
      <c r="J2080" s="217" t="inlineStr"/>
    </row>
    <row r="2081" ht="15.75" customHeight="1" s="305">
      <c r="A2081" s="215" t="n"/>
      <c r="B2081" s="115" t="n"/>
      <c r="C2081" s="67" t="n"/>
      <c r="D2081" s="3" t="n"/>
      <c r="E2081" s="3" t="n"/>
      <c r="G2081" t="inlineStr"/>
      <c r="H2081" t="inlineStr"/>
      <c r="I2081" s="111" t="n"/>
      <c r="J2081" s="217" t="inlineStr"/>
    </row>
    <row r="2082" ht="15.75" customHeight="1" s="305">
      <c r="A2082" s="215" t="n"/>
      <c r="B2082" s="115" t="n"/>
      <c r="C2082" s="67" t="n"/>
      <c r="D2082" s="3" t="n"/>
      <c r="E2082" s="3" t="n"/>
      <c r="G2082" t="inlineStr"/>
      <c r="H2082" t="inlineStr"/>
      <c r="I2082" s="111" t="n"/>
      <c r="J2082" s="217" t="inlineStr"/>
    </row>
    <row r="2083" ht="15.75" customHeight="1" s="305">
      <c r="A2083" s="215" t="n"/>
      <c r="B2083" s="115" t="n"/>
      <c r="C2083" s="67" t="n"/>
      <c r="D2083" s="3" t="n"/>
      <c r="E2083" s="3" t="n"/>
      <c r="G2083" t="inlineStr"/>
      <c r="H2083" t="inlineStr"/>
      <c r="I2083" s="111" t="n"/>
      <c r="J2083" s="217" t="inlineStr"/>
    </row>
    <row r="2084" ht="15.75" customHeight="1" s="305">
      <c r="A2084" s="215" t="n"/>
      <c r="B2084" s="115" t="n"/>
      <c r="C2084" s="67" t="n"/>
      <c r="D2084" s="3" t="n"/>
      <c r="E2084" s="3" t="n"/>
      <c r="G2084" t="inlineStr"/>
      <c r="H2084" t="inlineStr"/>
      <c r="I2084" s="111" t="n"/>
      <c r="J2084" s="217" t="inlineStr"/>
    </row>
    <row r="2085" ht="15.75" customHeight="1" s="305">
      <c r="A2085" s="215" t="n"/>
      <c r="B2085" s="115" t="n"/>
      <c r="C2085" s="67" t="n"/>
      <c r="D2085" s="3" t="n"/>
      <c r="E2085" s="3" t="n"/>
      <c r="G2085" t="inlineStr"/>
      <c r="H2085" t="inlineStr"/>
      <c r="I2085" s="111" t="n"/>
      <c r="J2085" s="217" t="inlineStr"/>
    </row>
    <row r="2086" ht="15.75" customHeight="1" s="305">
      <c r="A2086" s="215" t="n"/>
      <c r="B2086" s="115" t="n"/>
      <c r="C2086" s="67" t="n"/>
      <c r="D2086" s="3" t="n"/>
      <c r="E2086" s="3" t="n"/>
      <c r="G2086" t="inlineStr"/>
      <c r="H2086" t="inlineStr"/>
      <c r="I2086" s="111" t="n"/>
      <c r="J2086" s="217" t="inlineStr"/>
    </row>
    <row r="2087" ht="15.75" customHeight="1" s="305">
      <c r="A2087" s="215" t="n"/>
      <c r="B2087" s="115" t="n"/>
      <c r="C2087" s="67" t="n"/>
      <c r="D2087" s="3" t="n"/>
      <c r="E2087" s="3" t="n"/>
      <c r="G2087" t="inlineStr"/>
      <c r="H2087" t="inlineStr"/>
      <c r="I2087" s="111" t="n"/>
      <c r="J2087" s="217" t="inlineStr"/>
    </row>
    <row r="2088" ht="15.75" customHeight="1" s="305">
      <c r="A2088" s="215" t="n"/>
      <c r="B2088" s="115" t="n"/>
      <c r="C2088" s="67" t="n"/>
      <c r="D2088" s="3" t="n"/>
      <c r="E2088" s="3" t="n"/>
      <c r="G2088" t="inlineStr"/>
      <c r="H2088" t="inlineStr"/>
      <c r="I2088" s="111" t="n"/>
      <c r="J2088" s="217" t="inlineStr"/>
    </row>
    <row r="2089" ht="15.75" customHeight="1" s="305">
      <c r="A2089" s="215" t="n"/>
      <c r="B2089" s="115" t="n"/>
      <c r="C2089" s="67" t="n"/>
      <c r="D2089" s="3" t="n"/>
      <c r="E2089" s="3" t="n"/>
      <c r="G2089" t="inlineStr"/>
      <c r="H2089" t="inlineStr"/>
      <c r="I2089" s="111" t="n"/>
      <c r="J2089" s="217" t="inlineStr"/>
    </row>
    <row r="2090" ht="15.75" customHeight="1" s="305">
      <c r="A2090" s="215" t="n"/>
      <c r="B2090" s="115" t="n"/>
      <c r="C2090" s="67" t="n"/>
      <c r="D2090" s="3" t="n"/>
      <c r="E2090" s="3" t="n"/>
      <c r="G2090" t="inlineStr"/>
      <c r="H2090" t="inlineStr"/>
      <c r="I2090" s="111" t="n"/>
      <c r="J2090" s="217" t="inlineStr"/>
    </row>
    <row r="2091" ht="15.75" customHeight="1" s="305">
      <c r="A2091" s="215" t="n"/>
      <c r="B2091" s="115" t="n"/>
      <c r="C2091" s="67" t="n"/>
      <c r="D2091" s="3" t="n"/>
      <c r="E2091" s="3" t="n"/>
      <c r="G2091" t="inlineStr"/>
      <c r="H2091" t="inlineStr"/>
      <c r="I2091" s="111" t="n"/>
      <c r="J2091" s="217" t="inlineStr"/>
    </row>
    <row r="2092" ht="15.75" customHeight="1" s="305">
      <c r="A2092" s="215" t="n"/>
      <c r="B2092" s="115" t="n"/>
      <c r="C2092" s="67" t="n"/>
      <c r="D2092" s="3" t="n"/>
      <c r="E2092" s="3" t="n"/>
      <c r="G2092" t="inlineStr"/>
      <c r="H2092" t="inlineStr"/>
      <c r="I2092" s="111" t="n"/>
      <c r="J2092" s="217" t="inlineStr"/>
    </row>
    <row r="2093" ht="15.75" customHeight="1" s="305">
      <c r="A2093" s="215" t="n"/>
      <c r="B2093" s="115" t="n"/>
      <c r="C2093" s="67" t="n"/>
      <c r="D2093" s="3" t="n"/>
      <c r="E2093" s="3" t="n"/>
      <c r="G2093" t="inlineStr"/>
      <c r="H2093" t="inlineStr"/>
      <c r="I2093" s="111" t="n"/>
      <c r="J2093" s="217" t="inlineStr"/>
    </row>
    <row r="2094" ht="15.75" customHeight="1" s="305">
      <c r="A2094" s="215" t="n"/>
      <c r="B2094" s="115" t="n"/>
      <c r="C2094" s="67" t="n"/>
      <c r="D2094" s="3" t="n"/>
      <c r="E2094" s="3" t="n"/>
      <c r="G2094" t="inlineStr"/>
      <c r="H2094" t="inlineStr"/>
      <c r="I2094" s="111" t="n"/>
      <c r="J2094" s="217" t="inlineStr"/>
    </row>
    <row r="2095" ht="15.75" customHeight="1" s="305">
      <c r="A2095" s="215" t="n"/>
      <c r="B2095" s="115" t="n"/>
      <c r="C2095" s="67" t="n"/>
      <c r="D2095" s="3" t="n"/>
      <c r="E2095" s="3" t="n"/>
      <c r="G2095" t="inlineStr"/>
      <c r="H2095" t="inlineStr"/>
      <c r="I2095" s="111" t="n"/>
      <c r="J2095" s="217" t="inlineStr"/>
    </row>
    <row r="2096" ht="15.75" customHeight="1" s="305">
      <c r="A2096" s="215" t="n"/>
      <c r="B2096" s="115" t="n"/>
      <c r="C2096" s="67" t="n"/>
      <c r="D2096" s="3" t="n"/>
      <c r="E2096" s="3" t="n"/>
      <c r="G2096" t="inlineStr"/>
      <c r="H2096" t="inlineStr"/>
      <c r="I2096" s="111" t="n"/>
      <c r="J2096" s="217" t="inlineStr"/>
    </row>
    <row r="2097" ht="15.75" customHeight="1" s="305">
      <c r="A2097" s="215" t="n"/>
      <c r="B2097" s="115" t="n"/>
      <c r="C2097" s="67" t="n"/>
      <c r="D2097" s="3" t="n"/>
      <c r="E2097" s="3" t="n"/>
      <c r="G2097" t="inlineStr"/>
      <c r="H2097" t="inlineStr"/>
      <c r="I2097" s="111" t="n"/>
      <c r="J2097" s="217" t="inlineStr"/>
    </row>
    <row r="2098" ht="15.75" customHeight="1" s="305">
      <c r="A2098" s="215" t="n"/>
      <c r="B2098" s="115" t="n"/>
      <c r="C2098" s="67" t="n"/>
      <c r="D2098" s="3" t="n"/>
      <c r="E2098" s="3" t="n"/>
      <c r="G2098" t="inlineStr"/>
      <c r="H2098" t="inlineStr"/>
      <c r="I2098" s="111" t="n"/>
      <c r="J2098" s="217" t="inlineStr"/>
    </row>
    <row r="2099" ht="15.75" customHeight="1" s="305">
      <c r="A2099" s="215" t="n"/>
      <c r="B2099" s="115" t="n"/>
      <c r="C2099" s="67" t="n"/>
      <c r="D2099" s="3" t="n"/>
      <c r="E2099" s="3" t="n"/>
      <c r="G2099" t="inlineStr"/>
      <c r="H2099" t="inlineStr"/>
      <c r="I2099" s="111" t="n"/>
      <c r="J2099" s="217" t="inlineStr"/>
    </row>
    <row r="2100" ht="15.75" customHeight="1" s="305">
      <c r="A2100" s="215" t="n"/>
      <c r="B2100" s="115" t="n"/>
      <c r="C2100" s="67" t="n"/>
      <c r="D2100" s="3" t="n"/>
      <c r="E2100" s="3" t="n"/>
      <c r="G2100" t="inlineStr"/>
      <c r="H2100" t="inlineStr"/>
      <c r="I2100" s="111" t="n"/>
      <c r="J2100" s="217" t="inlineStr"/>
    </row>
    <row r="2101" ht="15.75" customHeight="1" s="305">
      <c r="A2101" s="215" t="n"/>
      <c r="B2101" s="115" t="n"/>
      <c r="C2101" s="67" t="n"/>
      <c r="D2101" s="3" t="n"/>
      <c r="E2101" s="3" t="n"/>
      <c r="G2101" t="inlineStr"/>
      <c r="H2101" t="inlineStr"/>
      <c r="I2101" s="111" t="n"/>
      <c r="J2101" s="217" t="inlineStr"/>
    </row>
    <row r="2102" ht="15.75" customHeight="1" s="305">
      <c r="A2102" s="215" t="n"/>
      <c r="B2102" s="115" t="n"/>
      <c r="C2102" s="67" t="n"/>
      <c r="D2102" s="3" t="n"/>
      <c r="E2102" s="3" t="n"/>
      <c r="G2102" t="inlineStr"/>
      <c r="H2102" t="inlineStr"/>
      <c r="I2102" s="111" t="n"/>
      <c r="J2102" s="217" t="inlineStr"/>
    </row>
    <row r="2103" ht="15.75" customHeight="1" s="305">
      <c r="A2103" s="215" t="n"/>
      <c r="B2103" s="115" t="n"/>
      <c r="C2103" s="67" t="n"/>
      <c r="D2103" s="3" t="n"/>
      <c r="E2103" s="3" t="n"/>
      <c r="G2103" t="inlineStr"/>
      <c r="H2103" t="inlineStr"/>
      <c r="I2103" s="111" t="n"/>
      <c r="J2103" s="217" t="inlineStr"/>
    </row>
    <row r="2104" ht="15.75" customHeight="1" s="305">
      <c r="A2104" s="215" t="n"/>
      <c r="B2104" s="115" t="n"/>
      <c r="C2104" s="67" t="n"/>
      <c r="D2104" s="3" t="n"/>
      <c r="E2104" s="3" t="n"/>
      <c r="G2104" t="inlineStr"/>
      <c r="H2104" t="inlineStr"/>
      <c r="I2104" s="111" t="n"/>
      <c r="J2104" s="217" t="inlineStr"/>
    </row>
    <row r="2105" ht="15.75" customHeight="1" s="305">
      <c r="A2105" s="215" t="n"/>
      <c r="B2105" s="115" t="n"/>
      <c r="C2105" s="67" t="n"/>
      <c r="D2105" s="3" t="n"/>
      <c r="E2105" s="3" t="n"/>
      <c r="G2105" t="inlineStr"/>
      <c r="H2105" t="inlineStr"/>
      <c r="I2105" s="111" t="n"/>
      <c r="J2105" s="217" t="inlineStr"/>
    </row>
    <row r="2106" ht="15.75" customHeight="1" s="305">
      <c r="A2106" s="215" t="n"/>
      <c r="B2106" s="115" t="n"/>
      <c r="C2106" s="67" t="n"/>
      <c r="D2106" s="3" t="n"/>
      <c r="E2106" s="3" t="n"/>
      <c r="G2106" t="inlineStr"/>
      <c r="H2106" t="inlineStr"/>
      <c r="I2106" s="111" t="n"/>
      <c r="J2106" s="217" t="inlineStr"/>
    </row>
    <row r="2107" ht="15.75" customHeight="1" s="305">
      <c r="A2107" s="215" t="n"/>
      <c r="B2107" s="115" t="n"/>
      <c r="C2107" s="67" t="n"/>
      <c r="D2107" s="3" t="n"/>
      <c r="E2107" s="3" t="n"/>
      <c r="G2107" t="inlineStr"/>
      <c r="H2107" t="inlineStr"/>
      <c r="I2107" s="111" t="n"/>
      <c r="J2107" s="217" t="inlineStr"/>
    </row>
    <row r="2108" ht="15.75" customHeight="1" s="305">
      <c r="A2108" s="215" t="n"/>
      <c r="B2108" s="115" t="n"/>
      <c r="C2108" s="67" t="n"/>
      <c r="D2108" s="3" t="n"/>
      <c r="E2108" s="3" t="n"/>
      <c r="G2108" t="inlineStr"/>
      <c r="H2108" t="inlineStr"/>
      <c r="I2108" s="111" t="n"/>
      <c r="J2108" s="217" t="inlineStr"/>
    </row>
    <row r="2109" ht="15.75" customHeight="1" s="305">
      <c r="A2109" s="215" t="n"/>
      <c r="B2109" s="115" t="n"/>
      <c r="C2109" s="67" t="n"/>
      <c r="D2109" s="3" t="n"/>
      <c r="E2109" s="3" t="n"/>
      <c r="G2109" t="inlineStr"/>
      <c r="H2109" t="inlineStr"/>
      <c r="I2109" s="111" t="n"/>
      <c r="J2109" s="217" t="inlineStr"/>
    </row>
    <row r="2110" ht="15.75" customHeight="1" s="305">
      <c r="A2110" s="215" t="n"/>
      <c r="B2110" s="115" t="n"/>
      <c r="C2110" s="67" t="n"/>
      <c r="D2110" s="3" t="n"/>
      <c r="E2110" s="3" t="n"/>
      <c r="G2110" t="inlineStr"/>
      <c r="H2110" t="inlineStr"/>
      <c r="I2110" s="111" t="n"/>
      <c r="J2110" s="217" t="inlineStr"/>
    </row>
    <row r="2111" ht="15.75" customHeight="1" s="305">
      <c r="A2111" s="215" t="n"/>
      <c r="B2111" s="115" t="n"/>
      <c r="C2111" s="67" t="n"/>
      <c r="D2111" s="3" t="n"/>
      <c r="E2111" s="3" t="n"/>
      <c r="G2111" t="inlineStr"/>
      <c r="H2111" t="inlineStr"/>
      <c r="I2111" s="111" t="n"/>
      <c r="J2111" s="217" t="inlineStr"/>
    </row>
    <row r="2112" ht="15.75" customHeight="1" s="305">
      <c r="A2112" s="215" t="n"/>
      <c r="B2112" s="115" t="n"/>
      <c r="C2112" s="67" t="n"/>
      <c r="D2112" s="3" t="n"/>
      <c r="E2112" s="3" t="n"/>
      <c r="G2112" t="inlineStr"/>
      <c r="H2112" t="inlineStr"/>
      <c r="I2112" s="111" t="n"/>
      <c r="J2112" s="217" t="inlineStr"/>
    </row>
    <row r="2113" ht="15.75" customHeight="1" s="305">
      <c r="A2113" s="215" t="n"/>
      <c r="B2113" s="115" t="n"/>
      <c r="C2113" s="67" t="n"/>
      <c r="D2113" s="3" t="n"/>
      <c r="E2113" s="3" t="n"/>
      <c r="G2113" t="inlineStr"/>
      <c r="H2113" t="inlineStr"/>
      <c r="I2113" s="111" t="n"/>
      <c r="J2113" s="217" t="inlineStr"/>
    </row>
    <row r="2114" ht="15.75" customHeight="1" s="305">
      <c r="A2114" s="215" t="n"/>
      <c r="B2114" s="115" t="n"/>
      <c r="C2114" s="67" t="n"/>
      <c r="D2114" s="3" t="n"/>
      <c r="E2114" s="3" t="n"/>
      <c r="G2114" t="inlineStr"/>
      <c r="H2114" t="inlineStr"/>
      <c r="I2114" s="111" t="n"/>
      <c r="J2114" s="217" t="inlineStr"/>
    </row>
    <row r="2115" ht="15.75" customHeight="1" s="305">
      <c r="A2115" s="215" t="n"/>
      <c r="B2115" s="115" t="n"/>
      <c r="C2115" s="67" t="n"/>
      <c r="D2115" s="3" t="n"/>
      <c r="E2115" s="3" t="n"/>
      <c r="G2115" t="inlineStr"/>
      <c r="H2115" t="inlineStr"/>
      <c r="I2115" s="111" t="n"/>
      <c r="J2115" s="217" t="inlineStr"/>
    </row>
    <row r="2116" ht="15.75" customHeight="1" s="305">
      <c r="A2116" s="215" t="n"/>
      <c r="B2116" s="115" t="n"/>
      <c r="C2116" s="67" t="n"/>
      <c r="D2116" s="3" t="n"/>
      <c r="E2116" s="3" t="n"/>
      <c r="G2116" t="inlineStr"/>
      <c r="H2116" t="inlineStr"/>
      <c r="I2116" s="111" t="n"/>
      <c r="J2116" s="217" t="inlineStr"/>
    </row>
    <row r="2117" ht="15.75" customHeight="1" s="305">
      <c r="A2117" s="215" t="n"/>
      <c r="B2117" s="115" t="n"/>
      <c r="C2117" s="67" t="n"/>
      <c r="D2117" s="3" t="n"/>
      <c r="E2117" s="3" t="n"/>
      <c r="G2117" t="inlineStr"/>
      <c r="H2117" t="inlineStr"/>
      <c r="I2117" s="111" t="n"/>
      <c r="J2117" s="217" t="inlineStr"/>
    </row>
    <row r="2118" ht="15.75" customHeight="1" s="305">
      <c r="A2118" s="215" t="n"/>
      <c r="B2118" s="115" t="n"/>
      <c r="C2118" s="67" t="n"/>
      <c r="D2118" s="3" t="n"/>
      <c r="E2118" s="3" t="n"/>
      <c r="G2118" t="inlineStr"/>
      <c r="H2118" t="inlineStr"/>
      <c r="I2118" s="111" t="n"/>
      <c r="J2118" s="217" t="inlineStr"/>
    </row>
    <row r="2119" ht="15.75" customHeight="1" s="305">
      <c r="A2119" s="215" t="n"/>
      <c r="B2119" s="115" t="n"/>
      <c r="C2119" s="67" t="n"/>
      <c r="D2119" s="3" t="n"/>
      <c r="E2119" s="3" t="n"/>
      <c r="G2119" t="inlineStr"/>
      <c r="H2119" t="inlineStr"/>
      <c r="I2119" s="111" t="n"/>
      <c r="J2119" s="217" t="inlineStr"/>
    </row>
    <row r="2120" ht="15.75" customHeight="1" s="305">
      <c r="A2120" s="215" t="n"/>
      <c r="B2120" s="115" t="n"/>
      <c r="C2120" s="67" t="n"/>
      <c r="D2120" s="3" t="n"/>
      <c r="E2120" s="3" t="n"/>
      <c r="G2120" t="inlineStr"/>
      <c r="H2120" t="inlineStr"/>
      <c r="I2120" s="111" t="n"/>
      <c r="J2120" s="217" t="inlineStr"/>
    </row>
    <row r="2121" ht="15.75" customHeight="1" s="305">
      <c r="A2121" s="215" t="n"/>
      <c r="B2121" s="115" t="n"/>
      <c r="C2121" s="67" t="n"/>
      <c r="D2121" s="3" t="n"/>
      <c r="E2121" s="3" t="n"/>
      <c r="G2121" t="inlineStr"/>
      <c r="H2121" t="inlineStr"/>
      <c r="I2121" s="111" t="n"/>
      <c r="J2121" s="217" t="inlineStr"/>
    </row>
    <row r="2122" ht="15.75" customHeight="1" s="305">
      <c r="A2122" s="215" t="n"/>
      <c r="B2122" s="115" t="n"/>
      <c r="C2122" s="67" t="n"/>
      <c r="D2122" s="3" t="n"/>
      <c r="E2122" s="3" t="n"/>
      <c r="G2122" t="inlineStr"/>
      <c r="H2122" t="inlineStr"/>
      <c r="I2122" s="111" t="n"/>
      <c r="J2122" s="217" t="inlineStr"/>
    </row>
    <row r="2123" ht="15.75" customHeight="1" s="305">
      <c r="A2123" s="215" t="n"/>
      <c r="B2123" s="115" t="n"/>
      <c r="C2123" s="67" t="n"/>
      <c r="D2123" s="3" t="n"/>
      <c r="E2123" s="3" t="n"/>
      <c r="G2123" t="inlineStr"/>
      <c r="H2123" t="inlineStr"/>
      <c r="I2123" s="111" t="n"/>
      <c r="J2123" s="217" t="inlineStr"/>
    </row>
    <row r="2124" ht="15.75" customHeight="1" s="305">
      <c r="A2124" s="215" t="n"/>
      <c r="B2124" s="115" t="n"/>
      <c r="C2124" s="67" t="n"/>
      <c r="D2124" s="3" t="n"/>
      <c r="E2124" s="3" t="n"/>
      <c r="G2124" t="inlineStr"/>
      <c r="H2124" t="inlineStr"/>
      <c r="I2124" s="111" t="n"/>
      <c r="J2124" s="217" t="inlineStr"/>
    </row>
    <row r="2125" ht="15.75" customHeight="1" s="305">
      <c r="A2125" s="215" t="n"/>
      <c r="B2125" s="115" t="n"/>
      <c r="C2125" s="67" t="n"/>
      <c r="D2125" s="3" t="n"/>
      <c r="E2125" s="3" t="n"/>
      <c r="G2125" t="inlineStr"/>
      <c r="H2125" t="inlineStr"/>
      <c r="I2125" s="111" t="n"/>
      <c r="J2125" s="217" t="inlineStr"/>
    </row>
    <row r="2126" ht="15.75" customHeight="1" s="305">
      <c r="A2126" s="215" t="n"/>
      <c r="B2126" s="115" t="n"/>
      <c r="C2126" s="67" t="n"/>
      <c r="D2126" s="3" t="n"/>
      <c r="E2126" s="3" t="n"/>
      <c r="G2126" t="inlineStr"/>
      <c r="H2126" t="inlineStr"/>
      <c r="I2126" s="111" t="n"/>
      <c r="J2126" s="217" t="inlineStr"/>
    </row>
    <row r="2127" ht="15.75" customHeight="1" s="305">
      <c r="A2127" s="215" t="n"/>
      <c r="B2127" s="115" t="n"/>
      <c r="C2127" s="67" t="n"/>
      <c r="D2127" s="3" t="n"/>
      <c r="E2127" s="3" t="n"/>
      <c r="G2127" t="inlineStr"/>
      <c r="H2127" t="inlineStr"/>
      <c r="I2127" s="111" t="n"/>
      <c r="J2127" s="217" t="inlineStr"/>
    </row>
    <row r="2128" ht="15.75" customHeight="1" s="305">
      <c r="A2128" s="215" t="n"/>
      <c r="B2128" s="115" t="n"/>
      <c r="C2128" s="67" t="n"/>
      <c r="D2128" s="3" t="n"/>
      <c r="E2128" s="3" t="n"/>
      <c r="G2128" t="inlineStr"/>
      <c r="H2128" t="inlineStr"/>
      <c r="I2128" s="111" t="n"/>
      <c r="J2128" s="217" t="inlineStr"/>
    </row>
    <row r="2129" ht="15.75" customHeight="1" s="305">
      <c r="A2129" s="215" t="n"/>
      <c r="B2129" s="115" t="n"/>
      <c r="C2129" s="67" t="n"/>
      <c r="D2129" s="3" t="n"/>
      <c r="E2129" s="3" t="n"/>
      <c r="G2129" t="inlineStr"/>
      <c r="H2129" t="inlineStr"/>
      <c r="I2129" s="111" t="n"/>
      <c r="J2129" s="217" t="inlineStr"/>
    </row>
    <row r="2130" ht="15.75" customHeight="1" s="305">
      <c r="A2130" s="215" t="n"/>
      <c r="B2130" s="115" t="n"/>
      <c r="C2130" s="67" t="n"/>
      <c r="D2130" s="3" t="n"/>
      <c r="E2130" s="3" t="n"/>
      <c r="G2130" t="inlineStr"/>
      <c r="H2130" t="inlineStr"/>
      <c r="I2130" s="111" t="n"/>
      <c r="J2130" s="217" t="inlineStr"/>
    </row>
    <row r="2131" ht="15.75" customHeight="1" s="305">
      <c r="A2131" s="215" t="n"/>
      <c r="B2131" s="115" t="n"/>
      <c r="C2131" s="67" t="n"/>
      <c r="D2131" s="3" t="n"/>
      <c r="E2131" s="3" t="n"/>
      <c r="G2131" t="inlineStr"/>
      <c r="H2131" t="inlineStr"/>
      <c r="I2131" s="111" t="n"/>
      <c r="J2131" s="217" t="inlineStr"/>
    </row>
    <row r="2132" ht="15.75" customHeight="1" s="305">
      <c r="A2132" s="215" t="n"/>
      <c r="B2132" s="115" t="n"/>
      <c r="C2132" s="67" t="n"/>
      <c r="D2132" s="3" t="n"/>
      <c r="E2132" s="3" t="n"/>
      <c r="G2132" t="inlineStr"/>
      <c r="H2132" t="inlineStr"/>
      <c r="I2132" s="111" t="n"/>
      <c r="J2132" s="217" t="inlineStr"/>
    </row>
    <row r="2133" ht="15.75" customHeight="1" s="305">
      <c r="A2133" s="215" t="n"/>
      <c r="B2133" s="115" t="n"/>
      <c r="C2133" s="67" t="n"/>
      <c r="D2133" s="3" t="n"/>
      <c r="E2133" s="3" t="n"/>
      <c r="G2133" t="inlineStr"/>
      <c r="H2133" t="inlineStr"/>
      <c r="I2133" s="111" t="n"/>
      <c r="J2133" s="217" t="inlineStr"/>
    </row>
    <row r="2134" ht="15.75" customHeight="1" s="305">
      <c r="A2134" s="215" t="n"/>
      <c r="B2134" s="115" t="n"/>
      <c r="C2134" s="67" t="n"/>
      <c r="D2134" s="3" t="n"/>
      <c r="E2134" s="3" t="n"/>
      <c r="G2134" t="inlineStr"/>
      <c r="H2134" t="inlineStr"/>
      <c r="I2134" s="111" t="n"/>
      <c r="J2134" s="217" t="inlineStr"/>
    </row>
    <row r="2135" ht="15.75" customHeight="1" s="305">
      <c r="A2135" s="215" t="n"/>
      <c r="B2135" s="115" t="n"/>
      <c r="C2135" s="67" t="n"/>
      <c r="D2135" s="3" t="n"/>
      <c r="E2135" s="3" t="n"/>
      <c r="G2135" t="inlineStr"/>
      <c r="H2135" t="inlineStr"/>
      <c r="I2135" s="111" t="n"/>
      <c r="J2135" s="217" t="inlineStr"/>
    </row>
    <row r="2136" ht="15.75" customHeight="1" s="305">
      <c r="A2136" s="215" t="n"/>
      <c r="B2136" s="115" t="n"/>
      <c r="C2136" s="67" t="n"/>
      <c r="D2136" s="3" t="n"/>
      <c r="E2136" s="3" t="n"/>
      <c r="G2136" t="inlineStr"/>
      <c r="H2136" t="inlineStr"/>
      <c r="I2136" s="111" t="n"/>
      <c r="J2136" s="217" t="inlineStr"/>
    </row>
    <row r="2137" ht="15.75" customHeight="1" s="305">
      <c r="A2137" s="215" t="n"/>
      <c r="B2137" s="115" t="n"/>
      <c r="C2137" s="67" t="n"/>
      <c r="D2137" s="3" t="n"/>
      <c r="E2137" s="3" t="n"/>
      <c r="G2137" t="inlineStr"/>
      <c r="H2137" t="inlineStr"/>
      <c r="I2137" s="111" t="n"/>
      <c r="J2137" s="217" t="inlineStr"/>
    </row>
    <row r="2138" ht="15.75" customHeight="1" s="305">
      <c r="A2138" s="215" t="n"/>
      <c r="B2138" s="115" t="n"/>
      <c r="C2138" s="67" t="n"/>
      <c r="D2138" s="3" t="n"/>
      <c r="E2138" s="3" t="n"/>
      <c r="G2138" t="inlineStr"/>
      <c r="H2138" t="inlineStr"/>
      <c r="I2138" s="111" t="n"/>
      <c r="J2138" s="217" t="inlineStr"/>
    </row>
    <row r="2139" ht="15.75" customHeight="1" s="305">
      <c r="A2139" s="215" t="n"/>
      <c r="B2139" s="115" t="n"/>
      <c r="C2139" s="67" t="n"/>
      <c r="D2139" s="3" t="n"/>
      <c r="E2139" s="3" t="n"/>
      <c r="G2139" t="inlineStr"/>
      <c r="H2139" t="inlineStr"/>
      <c r="I2139" s="111" t="n"/>
      <c r="J2139" s="217" t="inlineStr"/>
    </row>
    <row r="2140" ht="15.75" customHeight="1" s="305">
      <c r="A2140" s="215" t="n"/>
      <c r="B2140" s="115" t="n"/>
      <c r="C2140" s="67" t="n"/>
      <c r="D2140" s="3" t="n"/>
      <c r="E2140" s="3" t="n"/>
      <c r="G2140" t="inlineStr"/>
      <c r="H2140" t="inlineStr"/>
      <c r="I2140" s="111" t="n"/>
      <c r="J2140" s="217" t="inlineStr"/>
    </row>
    <row r="2141" ht="15.75" customHeight="1" s="305">
      <c r="A2141" s="215" t="n"/>
      <c r="B2141" s="115" t="n"/>
      <c r="C2141" s="67" t="n"/>
      <c r="D2141" s="3" t="n"/>
      <c r="E2141" s="3" t="n"/>
      <c r="G2141" t="inlineStr"/>
      <c r="H2141" t="inlineStr"/>
      <c r="I2141" s="111" t="n"/>
      <c r="J2141" s="217" t="inlineStr"/>
    </row>
    <row r="2142" ht="15.75" customHeight="1" s="305">
      <c r="A2142" s="215" t="n"/>
      <c r="B2142" s="115" t="n"/>
      <c r="C2142" s="67" t="n"/>
      <c r="D2142" s="3" t="n"/>
      <c r="E2142" s="3" t="n"/>
      <c r="G2142" t="inlineStr"/>
      <c r="H2142" t="inlineStr"/>
      <c r="I2142" s="111" t="n"/>
      <c r="J2142" s="217" t="inlineStr"/>
    </row>
    <row r="2143" ht="15.75" customHeight="1" s="305">
      <c r="A2143" s="215" t="n"/>
      <c r="B2143" s="115" t="n"/>
      <c r="C2143" s="67" t="n"/>
      <c r="D2143" s="3" t="n"/>
      <c r="E2143" s="3" t="n"/>
      <c r="G2143" t="inlineStr"/>
      <c r="H2143" t="inlineStr"/>
      <c r="I2143" s="111" t="n"/>
      <c r="J2143" s="217" t="inlineStr"/>
    </row>
    <row r="2144" ht="15.75" customHeight="1" s="305">
      <c r="A2144" s="215" t="n"/>
      <c r="B2144" s="115" t="n"/>
      <c r="C2144" s="67" t="n"/>
      <c r="D2144" s="3" t="n"/>
      <c r="E2144" s="3" t="n"/>
      <c r="G2144" t="inlineStr"/>
      <c r="H2144" t="inlineStr"/>
      <c r="I2144" s="111" t="n"/>
      <c r="J2144" s="217" t="inlineStr"/>
    </row>
    <row r="2145" ht="15.75" customHeight="1" s="305">
      <c r="A2145" s="215" t="n"/>
      <c r="B2145" s="115" t="n"/>
      <c r="C2145" s="67" t="n"/>
      <c r="D2145" s="3" t="n"/>
      <c r="E2145" s="3" t="n"/>
      <c r="G2145" t="inlineStr"/>
      <c r="H2145" t="inlineStr"/>
      <c r="I2145" s="111" t="n"/>
      <c r="J2145" s="217" t="inlineStr"/>
    </row>
    <row r="2146" ht="15.75" customHeight="1" s="305">
      <c r="A2146" s="215" t="n"/>
      <c r="B2146" s="115" t="n"/>
      <c r="C2146" s="67" t="n"/>
      <c r="D2146" s="3" t="n"/>
      <c r="E2146" s="3" t="n"/>
      <c r="G2146" t="inlineStr"/>
      <c r="H2146" t="inlineStr"/>
      <c r="I2146" s="111" t="n"/>
      <c r="J2146" s="217" t="inlineStr"/>
    </row>
    <row r="2147" ht="15.75" customHeight="1" s="305">
      <c r="A2147" s="215" t="n"/>
      <c r="B2147" s="115" t="n"/>
      <c r="C2147" s="67" t="n"/>
      <c r="D2147" s="3" t="n"/>
      <c r="E2147" s="3" t="n"/>
      <c r="G2147" t="inlineStr"/>
      <c r="H2147" t="inlineStr"/>
      <c r="I2147" s="111" t="n"/>
      <c r="J2147" s="217" t="inlineStr"/>
    </row>
    <row r="2148" ht="15.75" customHeight="1" s="305">
      <c r="A2148" s="215" t="n"/>
      <c r="B2148" s="115" t="n"/>
      <c r="C2148" s="67" t="n"/>
      <c r="D2148" s="3" t="n"/>
      <c r="E2148" s="3" t="n"/>
      <c r="G2148" t="inlineStr"/>
      <c r="H2148" t="inlineStr"/>
      <c r="I2148" s="111" t="n"/>
      <c r="J2148" s="217" t="inlineStr"/>
    </row>
    <row r="2149" ht="15.75" customHeight="1" s="305">
      <c r="A2149" s="215" t="n"/>
      <c r="B2149" s="115" t="n"/>
      <c r="C2149" s="67" t="n"/>
      <c r="D2149" s="3" t="n"/>
      <c r="E2149" s="3" t="n"/>
      <c r="G2149" t="inlineStr"/>
      <c r="H2149" t="inlineStr"/>
      <c r="I2149" s="111" t="n"/>
      <c r="J2149" s="217" t="inlineStr"/>
    </row>
    <row r="2150" ht="15.75" customHeight="1" s="305">
      <c r="A2150" s="215" t="n"/>
      <c r="B2150" s="115" t="n"/>
      <c r="C2150" s="67" t="n"/>
      <c r="D2150" s="3" t="n"/>
      <c r="E2150" s="3" t="n"/>
      <c r="G2150" t="inlineStr"/>
      <c r="H2150" t="inlineStr"/>
      <c r="I2150" s="111" t="n"/>
      <c r="J2150" s="217" t="inlineStr"/>
    </row>
    <row r="2151" ht="15.75" customHeight="1" s="305">
      <c r="A2151" s="215" t="n"/>
      <c r="B2151" s="115" t="n"/>
      <c r="C2151" s="67" t="n"/>
      <c r="D2151" s="3" t="n"/>
      <c r="E2151" s="3" t="n"/>
      <c r="G2151" t="inlineStr"/>
      <c r="H2151" t="inlineStr"/>
      <c r="I2151" s="111" t="n"/>
      <c r="J2151" s="217" t="inlineStr"/>
    </row>
    <row r="2152" ht="15.75" customHeight="1" s="305">
      <c r="A2152" s="215" t="n"/>
      <c r="B2152" s="115" t="n"/>
      <c r="C2152" s="67" t="n"/>
      <c r="D2152" s="3" t="n"/>
      <c r="E2152" s="3" t="n"/>
      <c r="G2152" t="inlineStr"/>
      <c r="H2152" t="inlineStr"/>
      <c r="I2152" s="111" t="n"/>
      <c r="J2152" s="217" t="inlineStr"/>
    </row>
    <row r="2153" ht="15.75" customHeight="1" s="305">
      <c r="A2153" s="215" t="n"/>
      <c r="B2153" s="115" t="n"/>
      <c r="C2153" s="67" t="n"/>
      <c r="D2153" s="3" t="n"/>
      <c r="E2153" s="3" t="n"/>
      <c r="G2153" t="inlineStr"/>
      <c r="H2153" t="inlineStr"/>
      <c r="I2153" s="111" t="n"/>
      <c r="J2153" s="217" t="inlineStr"/>
    </row>
    <row r="2154" ht="15.75" customHeight="1" s="305">
      <c r="A2154" s="215" t="n"/>
      <c r="B2154" s="115" t="n"/>
      <c r="C2154" s="67" t="n"/>
      <c r="D2154" s="3" t="n"/>
      <c r="E2154" s="3" t="n"/>
      <c r="G2154" t="inlineStr"/>
      <c r="H2154" t="inlineStr"/>
      <c r="I2154" s="111" t="n"/>
      <c r="J2154" s="217" t="inlineStr"/>
    </row>
    <row r="2155" ht="15.75" customHeight="1" s="305">
      <c r="A2155" s="215" t="n"/>
      <c r="B2155" s="115" t="n"/>
      <c r="C2155" s="67" t="n"/>
      <c r="D2155" s="3" t="n"/>
      <c r="E2155" s="3" t="n"/>
      <c r="G2155" t="inlineStr"/>
      <c r="H2155" t="inlineStr"/>
      <c r="I2155" s="111" t="n"/>
      <c r="J2155" s="217" t="inlineStr"/>
    </row>
    <row r="2156" ht="15.75" customHeight="1" s="305">
      <c r="A2156" s="215" t="n"/>
      <c r="B2156" s="115" t="n"/>
      <c r="C2156" s="67" t="n"/>
      <c r="D2156" s="3" t="n"/>
      <c r="E2156" s="3" t="n"/>
      <c r="G2156" t="inlineStr"/>
      <c r="H2156" t="inlineStr"/>
      <c r="I2156" s="111" t="n"/>
      <c r="J2156" s="217" t="inlineStr"/>
    </row>
    <row r="2157" ht="15.75" customHeight="1" s="305">
      <c r="A2157" s="215" t="n"/>
      <c r="B2157" s="115" t="n"/>
      <c r="C2157" s="67" t="n"/>
      <c r="D2157" s="3" t="n"/>
      <c r="E2157" s="3" t="n"/>
      <c r="G2157" t="inlineStr"/>
      <c r="H2157" t="inlineStr"/>
      <c r="I2157" s="111" t="n"/>
      <c r="J2157" s="217" t="inlineStr"/>
    </row>
    <row r="2158" ht="15.75" customHeight="1" s="305">
      <c r="A2158" s="215" t="n"/>
      <c r="B2158" s="115" t="n"/>
      <c r="C2158" s="67" t="n"/>
      <c r="D2158" s="3" t="n"/>
      <c r="E2158" s="3" t="n"/>
      <c r="G2158" t="inlineStr"/>
      <c r="H2158" t="inlineStr"/>
      <c r="I2158" s="111" t="n"/>
      <c r="J2158" s="217" t="inlineStr"/>
    </row>
    <row r="2159" ht="15.75" customHeight="1" s="305">
      <c r="A2159" s="215" t="n"/>
      <c r="B2159" s="115" t="n"/>
      <c r="C2159" s="67" t="n"/>
      <c r="D2159" s="3" t="n"/>
      <c r="E2159" s="3" t="n"/>
      <c r="G2159" t="inlineStr"/>
      <c r="H2159" t="inlineStr"/>
      <c r="I2159" s="111" t="n"/>
      <c r="J2159" s="217" t="inlineStr"/>
    </row>
    <row r="2160" ht="15.75" customHeight="1" s="305">
      <c r="A2160" s="215" t="n"/>
      <c r="B2160" s="115" t="n"/>
      <c r="C2160" s="67" t="n"/>
      <c r="D2160" s="3" t="n"/>
      <c r="E2160" s="3" t="n"/>
      <c r="G2160" t="inlineStr"/>
      <c r="H2160" t="inlineStr"/>
      <c r="I2160" s="111" t="n"/>
      <c r="J2160" s="217" t="inlineStr"/>
    </row>
    <row r="2161" ht="15.75" customHeight="1" s="305">
      <c r="A2161" s="215" t="n"/>
      <c r="B2161" s="115" t="n"/>
      <c r="C2161" s="67" t="n"/>
      <c r="D2161" s="3" t="n"/>
      <c r="E2161" s="3" t="n"/>
      <c r="G2161" t="inlineStr"/>
      <c r="H2161" t="inlineStr"/>
      <c r="I2161" s="111" t="n"/>
      <c r="J2161" s="217" t="inlineStr"/>
    </row>
    <row r="2162" ht="15.75" customHeight="1" s="305">
      <c r="A2162" s="215" t="n"/>
      <c r="B2162" s="115" t="n"/>
      <c r="C2162" s="67" t="n"/>
      <c r="D2162" s="3" t="n"/>
      <c r="E2162" s="3" t="n"/>
      <c r="G2162" t="inlineStr"/>
      <c r="H2162" t="inlineStr"/>
      <c r="I2162" s="111" t="n"/>
      <c r="J2162" s="217" t="inlineStr"/>
    </row>
    <row r="2163" ht="15.75" customHeight="1" s="305">
      <c r="A2163" s="215" t="n"/>
      <c r="B2163" s="115" t="n"/>
      <c r="C2163" s="67" t="n"/>
      <c r="D2163" s="3" t="n"/>
      <c r="E2163" s="3" t="n"/>
      <c r="G2163" t="inlineStr"/>
      <c r="H2163" t="inlineStr"/>
      <c r="I2163" s="111" t="n"/>
      <c r="J2163" s="217" t="inlineStr"/>
    </row>
    <row r="2164" ht="15.75" customHeight="1" s="305">
      <c r="A2164" s="215" t="n"/>
      <c r="B2164" s="115" t="n"/>
      <c r="C2164" s="67" t="n"/>
      <c r="D2164" s="3" t="n"/>
      <c r="E2164" s="3" t="n"/>
      <c r="G2164" t="inlineStr"/>
      <c r="H2164" t="inlineStr"/>
      <c r="I2164" s="111" t="n"/>
      <c r="J2164" s="217" t="inlineStr"/>
    </row>
    <row r="2165" ht="15.75" customHeight="1" s="305">
      <c r="A2165" s="215" t="n"/>
      <c r="B2165" s="115" t="n"/>
      <c r="C2165" s="67" t="n"/>
      <c r="D2165" s="3" t="n"/>
      <c r="E2165" s="3" t="n"/>
      <c r="G2165" t="inlineStr"/>
      <c r="H2165" t="inlineStr"/>
      <c r="I2165" s="111" t="n"/>
      <c r="J2165" s="217" t="inlineStr"/>
    </row>
    <row r="2166" ht="15.75" customHeight="1" s="305">
      <c r="A2166" s="215" t="n"/>
      <c r="B2166" s="115" t="n"/>
      <c r="C2166" s="67" t="n"/>
      <c r="D2166" s="3" t="n"/>
      <c r="E2166" s="3" t="n"/>
      <c r="G2166" t="inlineStr"/>
      <c r="H2166" t="inlineStr"/>
      <c r="I2166" s="111" t="n"/>
      <c r="J2166" s="217" t="inlineStr"/>
    </row>
    <row r="2167" ht="15.75" customHeight="1" s="305">
      <c r="A2167" s="215" t="n"/>
      <c r="B2167" s="115" t="n"/>
      <c r="C2167" s="67" t="n"/>
      <c r="D2167" s="3" t="n"/>
      <c r="E2167" s="3" t="n"/>
      <c r="G2167" t="inlineStr"/>
      <c r="H2167" t="inlineStr"/>
      <c r="I2167" s="111" t="n"/>
      <c r="J2167" s="217" t="inlineStr"/>
    </row>
    <row r="2168" ht="15.75" customHeight="1" s="305">
      <c r="A2168" s="215" t="n"/>
      <c r="B2168" s="115" t="n"/>
      <c r="C2168" s="67" t="n"/>
      <c r="D2168" s="3" t="n"/>
      <c r="E2168" s="3" t="n"/>
      <c r="G2168" t="inlineStr"/>
      <c r="H2168" t="inlineStr"/>
      <c r="I2168" s="111" t="n"/>
      <c r="J2168" s="217" t="inlineStr"/>
    </row>
    <row r="2169" ht="15.75" customHeight="1" s="305">
      <c r="A2169" s="215" t="n"/>
      <c r="B2169" s="115" t="n"/>
      <c r="C2169" s="67" t="n"/>
      <c r="D2169" s="3" t="n"/>
      <c r="E2169" s="3" t="n"/>
      <c r="G2169" t="inlineStr"/>
      <c r="H2169" t="inlineStr"/>
      <c r="I2169" s="111" t="n"/>
      <c r="J2169" s="217" t="inlineStr"/>
    </row>
    <row r="2170" ht="15.75" customHeight="1" s="305">
      <c r="A2170" s="215" t="n"/>
      <c r="B2170" s="115" t="n"/>
      <c r="C2170" s="67" t="n"/>
      <c r="D2170" s="3" t="n"/>
      <c r="E2170" s="3" t="n"/>
      <c r="G2170" t="inlineStr"/>
      <c r="H2170" t="inlineStr"/>
      <c r="I2170" s="111" t="n"/>
      <c r="J2170" s="217" t="inlineStr"/>
    </row>
    <row r="2171" ht="15.75" customHeight="1" s="305">
      <c r="A2171" s="215" t="n"/>
      <c r="B2171" s="115" t="n"/>
      <c r="C2171" s="67" t="n"/>
      <c r="D2171" s="3" t="n"/>
      <c r="E2171" s="3" t="n"/>
      <c r="G2171" t="inlineStr"/>
      <c r="H2171" t="inlineStr"/>
      <c r="I2171" s="111" t="n"/>
      <c r="J2171" s="217" t="inlineStr"/>
    </row>
    <row r="2172" ht="15.75" customHeight="1" s="305">
      <c r="A2172" s="215" t="n"/>
      <c r="B2172" s="115" t="n"/>
      <c r="C2172" s="67" t="n"/>
      <c r="D2172" s="3" t="n"/>
      <c r="E2172" s="3" t="n"/>
      <c r="G2172" t="inlineStr"/>
      <c r="H2172" t="inlineStr"/>
      <c r="I2172" s="111" t="n"/>
      <c r="J2172" s="217" t="inlineStr"/>
    </row>
    <row r="2173" ht="15.75" customHeight="1" s="305">
      <c r="A2173" s="215" t="n"/>
      <c r="B2173" s="115" t="n"/>
      <c r="C2173" s="67" t="n"/>
      <c r="D2173" s="3" t="n"/>
      <c r="E2173" s="3" t="n"/>
      <c r="G2173" t="inlineStr"/>
      <c r="H2173" t="inlineStr"/>
      <c r="I2173" s="111" t="n"/>
      <c r="J2173" s="217" t="inlineStr"/>
    </row>
    <row r="2174" ht="15.75" customHeight="1" s="305">
      <c r="A2174" s="215" t="n"/>
      <c r="B2174" s="115" t="n"/>
      <c r="C2174" s="67" t="n"/>
      <c r="D2174" s="3" t="n"/>
      <c r="E2174" s="3" t="n"/>
      <c r="G2174" t="inlineStr"/>
      <c r="H2174" t="inlineStr"/>
      <c r="I2174" s="111" t="n"/>
      <c r="J2174" s="217" t="inlineStr"/>
    </row>
    <row r="2175" ht="15.75" customHeight="1" s="305">
      <c r="A2175" s="215" t="n"/>
      <c r="B2175" s="115" t="n"/>
      <c r="C2175" s="67" t="n"/>
      <c r="D2175" s="3" t="n"/>
      <c r="E2175" s="3" t="n"/>
      <c r="G2175" t="inlineStr"/>
      <c r="H2175" t="inlineStr"/>
      <c r="I2175" s="111" t="n"/>
      <c r="J2175" s="217" t="inlineStr"/>
    </row>
    <row r="2176" ht="15.75" customHeight="1" s="305">
      <c r="A2176" s="215" t="n"/>
      <c r="B2176" s="115" t="n"/>
      <c r="C2176" s="67" t="n"/>
      <c r="D2176" s="3" t="n"/>
      <c r="E2176" s="3" t="n"/>
      <c r="G2176" t="inlineStr"/>
      <c r="H2176" t="inlineStr"/>
      <c r="I2176" s="111" t="n"/>
      <c r="J2176" s="217" t="inlineStr"/>
    </row>
    <row r="2177" ht="15.75" customHeight="1" s="305">
      <c r="A2177" s="215" t="n"/>
      <c r="B2177" s="115" t="n"/>
      <c r="C2177" s="67" t="n"/>
      <c r="D2177" s="3" t="n"/>
      <c r="E2177" s="3" t="n"/>
      <c r="G2177" t="inlineStr"/>
      <c r="H2177" t="inlineStr"/>
      <c r="I2177" s="111" t="n"/>
      <c r="J2177" s="217" t="inlineStr"/>
    </row>
    <row r="2178" ht="15.75" customHeight="1" s="305">
      <c r="A2178" s="215" t="n"/>
      <c r="B2178" s="115" t="n"/>
      <c r="C2178" s="67" t="n"/>
      <c r="D2178" s="3" t="n"/>
      <c r="E2178" s="3" t="n"/>
      <c r="G2178" t="inlineStr"/>
      <c r="H2178" t="inlineStr"/>
      <c r="I2178" s="111" t="n"/>
      <c r="J2178" s="217" t="inlineStr"/>
    </row>
    <row r="2179" ht="15.75" customHeight="1" s="305">
      <c r="A2179" s="215" t="n"/>
      <c r="B2179" s="115" t="n"/>
      <c r="C2179" s="67" t="n"/>
      <c r="D2179" s="3" t="n"/>
      <c r="E2179" s="3" t="n"/>
      <c r="G2179" t="inlineStr"/>
      <c r="H2179" t="inlineStr"/>
      <c r="I2179" s="111" t="n"/>
      <c r="J2179" s="217" t="inlineStr"/>
    </row>
    <row r="2180" ht="15.75" customHeight="1" s="305">
      <c r="A2180" s="215" t="n"/>
      <c r="B2180" s="115" t="n"/>
      <c r="C2180" s="67" t="n"/>
      <c r="D2180" s="3" t="n"/>
      <c r="E2180" s="3" t="n"/>
      <c r="G2180" t="inlineStr"/>
      <c r="H2180" t="inlineStr"/>
      <c r="I2180" s="111" t="n"/>
      <c r="J2180" s="217" t="inlineStr"/>
    </row>
    <row r="2181" ht="15.75" customHeight="1" s="305">
      <c r="A2181" s="215" t="n"/>
      <c r="B2181" s="115" t="n"/>
      <c r="C2181" s="67" t="n"/>
      <c r="D2181" s="3" t="n"/>
      <c r="E2181" s="3" t="n"/>
      <c r="G2181" t="inlineStr"/>
      <c r="H2181" t="inlineStr"/>
      <c r="I2181" s="111" t="n"/>
      <c r="J2181" s="217" t="inlineStr"/>
    </row>
    <row r="2182" ht="15.75" customHeight="1" s="305">
      <c r="A2182" s="215" t="n"/>
      <c r="B2182" s="115" t="n"/>
      <c r="C2182" s="67" t="n"/>
      <c r="D2182" s="3" t="n"/>
      <c r="E2182" s="3" t="n"/>
      <c r="G2182" t="inlineStr"/>
      <c r="H2182" t="inlineStr"/>
      <c r="I2182" s="111" t="n"/>
      <c r="J2182" s="217" t="inlineStr"/>
    </row>
    <row r="2183" ht="15.75" customHeight="1" s="305">
      <c r="A2183" s="215" t="n"/>
      <c r="B2183" s="115" t="n"/>
      <c r="C2183" s="67" t="n"/>
      <c r="D2183" s="3" t="n"/>
      <c r="E2183" s="3" t="n"/>
      <c r="G2183" t="inlineStr"/>
      <c r="H2183" t="inlineStr"/>
      <c r="I2183" s="111" t="n"/>
      <c r="J2183" s="217" t="inlineStr"/>
    </row>
    <row r="2184" ht="15.75" customHeight="1" s="305">
      <c r="A2184" s="215" t="n"/>
      <c r="B2184" s="115" t="n"/>
      <c r="C2184" s="67" t="n"/>
      <c r="D2184" s="3" t="n"/>
      <c r="E2184" s="3" t="n"/>
      <c r="G2184" t="inlineStr"/>
      <c r="H2184" t="inlineStr"/>
      <c r="I2184" s="111" t="n"/>
      <c r="J2184" s="217" t="inlineStr"/>
    </row>
    <row r="2185" ht="15.75" customHeight="1" s="305">
      <c r="A2185" s="215" t="n"/>
      <c r="B2185" s="115" t="n"/>
      <c r="C2185" s="67" t="n"/>
      <c r="D2185" s="3" t="n"/>
      <c r="E2185" s="3" t="n"/>
      <c r="G2185" t="inlineStr"/>
      <c r="H2185" t="inlineStr"/>
      <c r="I2185" s="111" t="n"/>
      <c r="J2185" s="217" t="inlineStr"/>
    </row>
    <row r="2186" ht="15.75" customHeight="1" s="305">
      <c r="A2186" s="215" t="n"/>
      <c r="B2186" s="115" t="n"/>
      <c r="C2186" s="67" t="n"/>
      <c r="D2186" s="3" t="n"/>
      <c r="E2186" s="3" t="n"/>
      <c r="G2186" t="inlineStr"/>
      <c r="H2186" t="inlineStr"/>
      <c r="I2186" s="111" t="n"/>
      <c r="J2186" s="217" t="inlineStr"/>
    </row>
    <row r="2187" ht="15.75" customHeight="1" s="305">
      <c r="A2187" s="215" t="n"/>
      <c r="B2187" s="115" t="n"/>
      <c r="C2187" s="67" t="n"/>
      <c r="D2187" s="3" t="n"/>
      <c r="E2187" s="3" t="n"/>
      <c r="G2187" t="inlineStr"/>
      <c r="H2187" t="inlineStr"/>
      <c r="I2187" s="111" t="n"/>
      <c r="J2187" s="217" t="inlineStr"/>
    </row>
    <row r="2188" ht="15.75" customHeight="1" s="305">
      <c r="A2188" s="215" t="n"/>
      <c r="B2188" s="115" t="n"/>
      <c r="C2188" s="67" t="n"/>
      <c r="D2188" s="3" t="n"/>
      <c r="E2188" s="3" t="n"/>
      <c r="G2188" t="inlineStr"/>
      <c r="H2188" t="inlineStr"/>
      <c r="I2188" s="111" t="n"/>
      <c r="J2188" s="217" t="inlineStr"/>
    </row>
    <row r="2189" ht="15.75" customHeight="1" s="305">
      <c r="A2189" s="215" t="n"/>
      <c r="B2189" s="115" t="n"/>
      <c r="C2189" s="67" t="n"/>
      <c r="D2189" s="3" t="n"/>
      <c r="E2189" s="3" t="n"/>
      <c r="G2189" t="inlineStr"/>
      <c r="H2189" t="inlineStr"/>
      <c r="I2189" s="111" t="n"/>
      <c r="J2189" s="217" t="inlineStr"/>
    </row>
    <row r="2190" ht="15.75" customHeight="1" s="305">
      <c r="A2190" s="215" t="n"/>
      <c r="B2190" s="115" t="n"/>
      <c r="C2190" s="67" t="n"/>
      <c r="D2190" s="3" t="n"/>
      <c r="E2190" s="3" t="n"/>
      <c r="G2190" t="inlineStr"/>
      <c r="H2190" t="inlineStr"/>
      <c r="I2190" s="111" t="n"/>
      <c r="J2190" s="217" t="inlineStr"/>
    </row>
    <row r="2191" ht="15.75" customHeight="1" s="305">
      <c r="A2191" s="215" t="n"/>
      <c r="B2191" s="115" t="n"/>
      <c r="C2191" s="67" t="n"/>
      <c r="D2191" s="3" t="n"/>
      <c r="E2191" s="3" t="n"/>
      <c r="G2191" t="inlineStr"/>
      <c r="H2191" t="inlineStr"/>
      <c r="I2191" s="111" t="n"/>
      <c r="J2191" s="217" t="inlineStr"/>
    </row>
    <row r="2192" ht="15.75" customHeight="1" s="305">
      <c r="A2192" s="215" t="n"/>
      <c r="B2192" s="115" t="n"/>
      <c r="C2192" s="67" t="n"/>
      <c r="D2192" s="3" t="n"/>
      <c r="E2192" s="3" t="n"/>
      <c r="G2192" t="inlineStr"/>
      <c r="H2192" t="inlineStr"/>
      <c r="I2192" s="111" t="n"/>
      <c r="J2192" s="217" t="inlineStr"/>
    </row>
    <row r="2193" ht="15.75" customHeight="1" s="305">
      <c r="A2193" s="215" t="n"/>
      <c r="B2193" s="115" t="n"/>
      <c r="C2193" s="67" t="n"/>
      <c r="D2193" s="3" t="n"/>
      <c r="E2193" s="3" t="n"/>
      <c r="G2193" t="inlineStr"/>
      <c r="H2193" t="inlineStr"/>
      <c r="I2193" s="111" t="n"/>
      <c r="J2193" s="217" t="inlineStr"/>
    </row>
    <row r="2194" ht="15.75" customHeight="1" s="305">
      <c r="A2194" s="215" t="n"/>
      <c r="B2194" s="115" t="n"/>
      <c r="C2194" s="67" t="n"/>
      <c r="D2194" s="3" t="n"/>
      <c r="E2194" s="3" t="n"/>
      <c r="G2194" t="inlineStr"/>
      <c r="H2194" t="inlineStr"/>
      <c r="I2194" s="111" t="n"/>
      <c r="J2194" s="217" t="inlineStr"/>
    </row>
    <row r="2195" ht="15.75" customHeight="1" s="305">
      <c r="A2195" s="215" t="n"/>
      <c r="B2195" s="115" t="n"/>
      <c r="C2195" s="67" t="n"/>
      <c r="D2195" s="3" t="n"/>
      <c r="E2195" s="3" t="n"/>
      <c r="G2195" t="inlineStr"/>
      <c r="H2195" t="inlineStr"/>
      <c r="I2195" s="111" t="n"/>
      <c r="J2195" s="217" t="inlineStr"/>
    </row>
    <row r="2196" ht="15.75" customHeight="1" s="305">
      <c r="A2196" s="215" t="n"/>
      <c r="B2196" s="115" t="n"/>
      <c r="C2196" s="67" t="n"/>
      <c r="D2196" s="3" t="n"/>
      <c r="E2196" s="3" t="n"/>
      <c r="G2196" t="inlineStr"/>
      <c r="H2196" t="inlineStr"/>
      <c r="I2196" s="111" t="n"/>
      <c r="J2196" s="217" t="inlineStr"/>
    </row>
    <row r="2197" ht="15.75" customHeight="1" s="305">
      <c r="A2197" s="215" t="n"/>
      <c r="B2197" s="115" t="n"/>
      <c r="C2197" s="67" t="n"/>
      <c r="D2197" s="3" t="n"/>
      <c r="E2197" s="3" t="n"/>
      <c r="G2197" t="inlineStr"/>
      <c r="H2197" t="inlineStr"/>
      <c r="I2197" s="111" t="n"/>
      <c r="J2197" s="217" t="inlineStr"/>
    </row>
    <row r="2198" ht="15.75" customHeight="1" s="305">
      <c r="A2198" s="215" t="n"/>
      <c r="B2198" s="115" t="n"/>
      <c r="C2198" s="67" t="n"/>
      <c r="D2198" s="3" t="n"/>
      <c r="E2198" s="3" t="n"/>
      <c r="G2198" t="inlineStr"/>
      <c r="H2198" t="inlineStr"/>
      <c r="I2198" s="111" t="n"/>
      <c r="J2198" s="217" t="inlineStr"/>
    </row>
    <row r="2199" ht="15.75" customHeight="1" s="305">
      <c r="A2199" s="215" t="n"/>
      <c r="B2199" s="115" t="n"/>
      <c r="C2199" s="67" t="n"/>
      <c r="D2199" s="3" t="n"/>
      <c r="E2199" s="3" t="n"/>
      <c r="G2199" t="inlineStr"/>
      <c r="H2199" t="inlineStr"/>
      <c r="I2199" s="111" t="n"/>
      <c r="J2199" s="217" t="inlineStr"/>
    </row>
    <row r="2200" ht="15.75" customHeight="1" s="305">
      <c r="A2200" s="215" t="n"/>
      <c r="B2200" s="115" t="n"/>
      <c r="C2200" s="67" t="n"/>
      <c r="D2200" s="3" t="n"/>
      <c r="E2200" s="3" t="n"/>
      <c r="G2200" t="inlineStr"/>
      <c r="H2200" t="inlineStr"/>
      <c r="I2200" s="111" t="n"/>
      <c r="J2200" s="217" t="inlineStr"/>
    </row>
    <row r="2201" ht="15.75" customHeight="1" s="305">
      <c r="A2201" s="215" t="n"/>
      <c r="B2201" s="115" t="n"/>
      <c r="C2201" s="67" t="n"/>
      <c r="D2201" s="3" t="n"/>
      <c r="E2201" s="3" t="n"/>
      <c r="G2201" t="inlineStr"/>
      <c r="H2201" t="inlineStr"/>
      <c r="I2201" s="111" t="n"/>
      <c r="J2201" s="217" t="inlineStr"/>
    </row>
    <row r="2202" ht="15.75" customHeight="1" s="305">
      <c r="A2202" s="215" t="n"/>
      <c r="B2202" s="115" t="n"/>
      <c r="C2202" s="67" t="n"/>
      <c r="D2202" s="3" t="n"/>
      <c r="E2202" s="3" t="n"/>
      <c r="G2202" t="inlineStr"/>
      <c r="H2202" t="inlineStr"/>
      <c r="I2202" s="111" t="n"/>
      <c r="J2202" s="217" t="inlineStr"/>
    </row>
    <row r="2203" ht="15.75" customHeight="1" s="305">
      <c r="A2203" s="215" t="n"/>
      <c r="B2203" s="115" t="n"/>
      <c r="C2203" s="67" t="n"/>
      <c r="D2203" s="3" t="n"/>
      <c r="E2203" s="3" t="n"/>
      <c r="G2203" t="inlineStr"/>
      <c r="H2203" t="inlineStr"/>
      <c r="I2203" s="111" t="n"/>
      <c r="J2203" s="217" t="inlineStr"/>
    </row>
    <row r="2204" ht="15.75" customHeight="1" s="305">
      <c r="A2204" s="215" t="n"/>
      <c r="B2204" s="115" t="n"/>
      <c r="C2204" s="67" t="n"/>
      <c r="D2204" s="3" t="n"/>
      <c r="E2204" s="3" t="n"/>
      <c r="G2204" t="inlineStr"/>
      <c r="H2204" t="inlineStr"/>
      <c r="I2204" s="111" t="n"/>
      <c r="J2204" s="217" t="inlineStr"/>
    </row>
    <row r="2205" ht="15.75" customHeight="1" s="305">
      <c r="A2205" s="215" t="n"/>
      <c r="B2205" s="115" t="n"/>
      <c r="C2205" s="67" t="n"/>
      <c r="D2205" s="3" t="n"/>
      <c r="E2205" s="3" t="n"/>
      <c r="G2205" t="inlineStr"/>
      <c r="H2205" t="inlineStr"/>
      <c r="I2205" s="111" t="n"/>
      <c r="J2205" s="217" t="inlineStr"/>
    </row>
    <row r="2206" ht="15.75" customHeight="1" s="305">
      <c r="A2206" s="215" t="n"/>
      <c r="B2206" s="115" t="n"/>
      <c r="C2206" s="67" t="n"/>
      <c r="D2206" s="3" t="n"/>
      <c r="E2206" s="3" t="n"/>
      <c r="G2206" t="inlineStr"/>
      <c r="H2206" t="inlineStr"/>
      <c r="I2206" s="111" t="n"/>
      <c r="J2206" s="217" t="inlineStr"/>
    </row>
    <row r="2207" ht="15.75" customHeight="1" s="305">
      <c r="A2207" s="215" t="n"/>
      <c r="B2207" s="115" t="n"/>
      <c r="C2207" s="67" t="n"/>
      <c r="D2207" s="3" t="n"/>
      <c r="E2207" s="3" t="n"/>
      <c r="G2207" t="inlineStr"/>
      <c r="H2207" t="inlineStr"/>
      <c r="I2207" s="111" t="n"/>
      <c r="J2207" s="217" t="inlineStr"/>
    </row>
    <row r="2208" ht="15.75" customHeight="1" s="305">
      <c r="A2208" s="215" t="n"/>
      <c r="B2208" s="115" t="n"/>
      <c r="C2208" s="67" t="n"/>
      <c r="D2208" s="3" t="n"/>
      <c r="E2208" s="3" t="n"/>
      <c r="G2208" t="inlineStr"/>
      <c r="H2208" t="inlineStr"/>
      <c r="I2208" s="111" t="n"/>
      <c r="J2208" s="217" t="inlineStr"/>
    </row>
    <row r="2209" ht="15.75" customHeight="1" s="305">
      <c r="A2209" s="215" t="n"/>
      <c r="B2209" s="115" t="n"/>
      <c r="C2209" s="67" t="n"/>
      <c r="D2209" s="3" t="n"/>
      <c r="E2209" s="3" t="n"/>
      <c r="G2209" t="inlineStr"/>
      <c r="H2209" t="inlineStr"/>
      <c r="I2209" s="111" t="n"/>
      <c r="J2209" s="217" t="inlineStr"/>
    </row>
    <row r="2210" ht="15.75" customHeight="1" s="305">
      <c r="A2210" s="215" t="n"/>
      <c r="B2210" s="115" t="n"/>
      <c r="C2210" s="67" t="n"/>
      <c r="D2210" s="3" t="n"/>
      <c r="E2210" s="3" t="n"/>
      <c r="G2210" t="inlineStr"/>
      <c r="H2210" t="inlineStr"/>
      <c r="I2210" s="111" t="n"/>
      <c r="J2210" s="217" t="inlineStr"/>
    </row>
    <row r="2211" ht="15.75" customHeight="1" s="305">
      <c r="A2211" s="215" t="n"/>
      <c r="B2211" s="115" t="n"/>
      <c r="C2211" s="67" t="n"/>
      <c r="D2211" s="3" t="n"/>
      <c r="E2211" s="3" t="n"/>
      <c r="G2211" t="inlineStr"/>
      <c r="H2211" t="inlineStr"/>
      <c r="I2211" s="111" t="n"/>
      <c r="J2211" s="217" t="inlineStr"/>
    </row>
    <row r="2212" ht="15.75" customHeight="1" s="305">
      <c r="A2212" s="215" t="n"/>
      <c r="B2212" s="115" t="n"/>
      <c r="C2212" s="67" t="n"/>
      <c r="D2212" s="3" t="n"/>
      <c r="E2212" s="3" t="n"/>
      <c r="G2212" t="inlineStr"/>
      <c r="H2212" t="inlineStr"/>
      <c r="I2212" s="111" t="n"/>
      <c r="J2212" s="217" t="inlineStr"/>
    </row>
    <row r="2213" ht="15.75" customHeight="1" s="305">
      <c r="A2213" s="215" t="n"/>
      <c r="B2213" s="115" t="n"/>
      <c r="C2213" s="67" t="n"/>
      <c r="D2213" s="3" t="n"/>
      <c r="E2213" s="3" t="n"/>
      <c r="G2213" t="inlineStr"/>
      <c r="H2213" t="inlineStr"/>
      <c r="I2213" s="111" t="n"/>
      <c r="J2213" s="217" t="inlineStr"/>
    </row>
    <row r="2214" ht="15.75" customHeight="1" s="305">
      <c r="A2214" s="215" t="n"/>
      <c r="B2214" s="115" t="n"/>
      <c r="C2214" s="67" t="n"/>
      <c r="D2214" s="3" t="n"/>
      <c r="E2214" s="3" t="n"/>
      <c r="G2214" t="inlineStr"/>
      <c r="H2214" t="inlineStr"/>
      <c r="I2214" s="111" t="n"/>
      <c r="J2214" s="217" t="inlineStr"/>
    </row>
    <row r="2215" ht="15.75" customHeight="1" s="305">
      <c r="A2215" s="215" t="n"/>
      <c r="B2215" s="115" t="n"/>
      <c r="C2215" s="67" t="n"/>
      <c r="D2215" s="3" t="n"/>
      <c r="E2215" s="3" t="n"/>
      <c r="G2215" t="inlineStr"/>
      <c r="H2215" t="inlineStr"/>
      <c r="I2215" s="111" t="n"/>
      <c r="J2215" s="217" t="inlineStr"/>
    </row>
    <row r="2216" ht="15.75" customHeight="1" s="305">
      <c r="A2216" s="215" t="n"/>
      <c r="B2216" s="115" t="n"/>
      <c r="C2216" s="67" t="n"/>
      <c r="D2216" s="3" t="n"/>
      <c r="E2216" s="3" t="n"/>
      <c r="G2216" t="inlineStr"/>
      <c r="H2216" t="inlineStr"/>
      <c r="I2216" s="111" t="n"/>
      <c r="J2216" s="217" t="inlineStr"/>
    </row>
    <row r="2217" ht="15.75" customHeight="1" s="305">
      <c r="A2217" s="215" t="n"/>
      <c r="B2217" s="115" t="n"/>
      <c r="C2217" s="67" t="n"/>
      <c r="D2217" s="3" t="n"/>
      <c r="E2217" s="3" t="n"/>
      <c r="G2217" t="inlineStr"/>
      <c r="H2217" t="inlineStr"/>
      <c r="I2217" s="111" t="n"/>
      <c r="J2217" s="217" t="inlineStr"/>
    </row>
    <row r="2218" ht="15.75" customHeight="1" s="305">
      <c r="A2218" s="215" t="n"/>
      <c r="B2218" s="115" t="n"/>
      <c r="C2218" s="67" t="n"/>
      <c r="D2218" s="3" t="n"/>
      <c r="E2218" s="3" t="n"/>
      <c r="G2218" t="inlineStr"/>
      <c r="H2218" t="inlineStr"/>
      <c r="I2218" s="111" t="n"/>
      <c r="J2218" s="217" t="inlineStr"/>
    </row>
    <row r="2219" ht="15.75" customHeight="1" s="305">
      <c r="A2219" s="215" t="n"/>
      <c r="B2219" s="115" t="n"/>
      <c r="C2219" s="67" t="n"/>
      <c r="D2219" s="3" t="n"/>
      <c r="E2219" s="3" t="n"/>
      <c r="G2219" t="inlineStr"/>
      <c r="H2219" t="inlineStr"/>
      <c r="I2219" s="111" t="n"/>
      <c r="J2219" s="217" t="inlineStr"/>
    </row>
    <row r="2220" ht="15.75" customHeight="1" s="305">
      <c r="A2220" s="215" t="n"/>
      <c r="B2220" s="115" t="n"/>
      <c r="C2220" s="67" t="n"/>
      <c r="D2220" s="3" t="n"/>
      <c r="E2220" s="3" t="n"/>
      <c r="G2220" t="inlineStr"/>
      <c r="H2220" t="inlineStr"/>
      <c r="I2220" s="111" t="n"/>
      <c r="J2220" s="217" t="inlineStr"/>
    </row>
    <row r="2221" ht="15.75" customHeight="1" s="305">
      <c r="A2221" s="215" t="n"/>
      <c r="B2221" s="115" t="n"/>
      <c r="C2221" s="67" t="n"/>
      <c r="D2221" s="3" t="n"/>
      <c r="E2221" s="3" t="n"/>
      <c r="G2221" t="inlineStr"/>
      <c r="H2221" t="inlineStr"/>
      <c r="I2221" s="111" t="n"/>
      <c r="J2221" s="217" t="inlineStr"/>
    </row>
    <row r="2222" ht="15.75" customHeight="1" s="305">
      <c r="A2222" s="215" t="n"/>
      <c r="B2222" s="115" t="n"/>
      <c r="C2222" s="67" t="n"/>
      <c r="D2222" s="3" t="n"/>
      <c r="E2222" s="3" t="n"/>
      <c r="G2222" t="inlineStr"/>
      <c r="H2222" t="inlineStr"/>
      <c r="I2222" s="111" t="n"/>
      <c r="J2222" s="217" t="inlineStr"/>
    </row>
    <row r="2223" ht="15.75" customHeight="1" s="305">
      <c r="A2223" s="215" t="n"/>
      <c r="B2223" s="115" t="n"/>
      <c r="C2223" s="67" t="n"/>
      <c r="D2223" s="3" t="n"/>
      <c r="E2223" s="3" t="n"/>
      <c r="G2223" t="inlineStr"/>
      <c r="H2223" t="inlineStr"/>
      <c r="I2223" s="111" t="n"/>
      <c r="J2223" s="217" t="inlineStr"/>
    </row>
    <row r="2224" ht="15.75" customHeight="1" s="305">
      <c r="A2224" s="215" t="n"/>
      <c r="B2224" s="115" t="n"/>
      <c r="C2224" s="67" t="n"/>
      <c r="D2224" s="3" t="n"/>
      <c r="E2224" s="3" t="n"/>
      <c r="G2224" t="inlineStr"/>
      <c r="H2224" t="inlineStr"/>
      <c r="I2224" s="111" t="n"/>
      <c r="J2224" s="217" t="inlineStr"/>
    </row>
    <row r="2225" ht="15.75" customHeight="1" s="305">
      <c r="A2225" s="215" t="n"/>
      <c r="B2225" s="115" t="n"/>
      <c r="C2225" s="67" t="n"/>
      <c r="D2225" s="3" t="n"/>
      <c r="E2225" s="3" t="n"/>
      <c r="G2225" t="inlineStr"/>
      <c r="H2225" t="inlineStr"/>
      <c r="I2225" s="111" t="n"/>
      <c r="J2225" s="217" t="inlineStr"/>
    </row>
    <row r="2226" ht="15.75" customHeight="1" s="305">
      <c r="A2226" s="215" t="n"/>
      <c r="B2226" s="115" t="n"/>
      <c r="C2226" s="67" t="n"/>
      <c r="D2226" s="3" t="n"/>
      <c r="E2226" s="3" t="n"/>
      <c r="G2226" t="inlineStr"/>
      <c r="H2226" t="inlineStr"/>
      <c r="I2226" s="111" t="n"/>
      <c r="J2226" s="217" t="inlineStr"/>
    </row>
    <row r="2227" ht="15.75" customHeight="1" s="305">
      <c r="A2227" s="215" t="n"/>
      <c r="B2227" s="115" t="n"/>
      <c r="C2227" s="67" t="n"/>
      <c r="D2227" s="3" t="n"/>
      <c r="E2227" s="3" t="n"/>
      <c r="G2227" t="inlineStr"/>
      <c r="H2227" t="inlineStr"/>
      <c r="I2227" s="111" t="n"/>
      <c r="J2227" s="217" t="inlineStr"/>
    </row>
    <row r="2228" ht="15.75" customHeight="1" s="305">
      <c r="A2228" s="215" t="n"/>
      <c r="B2228" s="115" t="n"/>
      <c r="C2228" s="67" t="n"/>
      <c r="D2228" s="3" t="n"/>
      <c r="E2228" s="3" t="n"/>
      <c r="G2228" t="inlineStr"/>
      <c r="H2228" t="inlineStr"/>
      <c r="I2228" s="111" t="n"/>
      <c r="J2228" s="217" t="inlineStr"/>
    </row>
    <row r="2229" ht="15.75" customHeight="1" s="305">
      <c r="A2229" s="215" t="n"/>
      <c r="B2229" s="115" t="n"/>
      <c r="C2229" s="67" t="n"/>
      <c r="D2229" s="3" t="n"/>
      <c r="E2229" s="3" t="n"/>
      <c r="G2229" t="inlineStr"/>
      <c r="H2229" t="inlineStr"/>
      <c r="I2229" s="111" t="n"/>
      <c r="J2229" s="217" t="inlineStr"/>
    </row>
    <row r="2230" ht="15.75" customHeight="1" s="305">
      <c r="A2230" s="215" t="n"/>
      <c r="B2230" s="115" t="n"/>
      <c r="C2230" s="67" t="n"/>
      <c r="D2230" s="3" t="n"/>
      <c r="E2230" s="3" t="n"/>
      <c r="G2230" t="inlineStr"/>
      <c r="H2230" t="inlineStr"/>
      <c r="I2230" s="111" t="n"/>
      <c r="J2230" s="217" t="inlineStr"/>
    </row>
    <row r="2231" ht="15.75" customHeight="1" s="305">
      <c r="A2231" s="215" t="n"/>
      <c r="B2231" s="115" t="n"/>
      <c r="C2231" s="67" t="n"/>
      <c r="D2231" s="3" t="n"/>
      <c r="E2231" s="3" t="n"/>
      <c r="G2231" t="inlineStr"/>
      <c r="H2231" t="inlineStr"/>
      <c r="I2231" s="111" t="n"/>
      <c r="J2231" s="217" t="inlineStr"/>
    </row>
    <row r="2232" ht="15.75" customHeight="1" s="305">
      <c r="A2232" s="215" t="n"/>
      <c r="B2232" s="115" t="n"/>
      <c r="C2232" s="67" t="n"/>
      <c r="D2232" s="3" t="n"/>
      <c r="E2232" s="3" t="n"/>
      <c r="G2232" t="inlineStr"/>
      <c r="H2232" t="inlineStr"/>
      <c r="I2232" s="111" t="n"/>
      <c r="J2232" s="217" t="inlineStr"/>
    </row>
    <row r="2233" ht="15.75" customHeight="1" s="305">
      <c r="A2233" s="215" t="n"/>
      <c r="B2233" s="115" t="n"/>
      <c r="C2233" s="67" t="n"/>
      <c r="D2233" s="3" t="n"/>
      <c r="E2233" s="3" t="n"/>
      <c r="G2233" t="inlineStr"/>
      <c r="H2233" t="inlineStr"/>
      <c r="I2233" s="111" t="n"/>
      <c r="J2233" s="217" t="inlineStr"/>
    </row>
    <row r="2234" ht="15.75" customHeight="1" s="305">
      <c r="A2234" s="215" t="n"/>
      <c r="B2234" s="115" t="n"/>
      <c r="C2234" s="67" t="n"/>
      <c r="D2234" s="3" t="n"/>
      <c r="E2234" s="3" t="n"/>
      <c r="G2234" t="inlineStr"/>
      <c r="H2234" t="inlineStr"/>
      <c r="I2234" s="111" t="n"/>
      <c r="J2234" s="217" t="inlineStr"/>
    </row>
    <row r="2235" ht="15.75" customHeight="1" s="305">
      <c r="A2235" s="215" t="n"/>
      <c r="B2235" s="115" t="n"/>
      <c r="C2235" s="67" t="n"/>
      <c r="D2235" s="3" t="n"/>
      <c r="E2235" s="3" t="n"/>
      <c r="G2235" t="inlineStr"/>
      <c r="H2235" t="inlineStr"/>
      <c r="I2235" s="111" t="n"/>
      <c r="J2235" s="217" t="inlineStr"/>
    </row>
    <row r="2236" ht="15.75" customHeight="1" s="305">
      <c r="A2236" s="215" t="n"/>
      <c r="B2236" s="115" t="n"/>
      <c r="C2236" s="67" t="n"/>
      <c r="D2236" s="3" t="n"/>
      <c r="E2236" s="3" t="n"/>
      <c r="G2236" t="inlineStr"/>
      <c r="H2236" t="inlineStr"/>
      <c r="I2236" s="111" t="n"/>
      <c r="J2236" s="217" t="inlineStr"/>
    </row>
    <row r="2237" ht="15.75" customHeight="1" s="305">
      <c r="A2237" s="215" t="n"/>
      <c r="B2237" s="115" t="n"/>
      <c r="C2237" s="67" t="n"/>
      <c r="D2237" s="3" t="n"/>
      <c r="E2237" s="3" t="n"/>
      <c r="G2237" t="inlineStr"/>
      <c r="H2237" t="inlineStr"/>
      <c r="I2237" s="111" t="n"/>
      <c r="J2237" s="217" t="inlineStr"/>
    </row>
    <row r="2238" ht="15.75" customHeight="1" s="305">
      <c r="A2238" s="215" t="n"/>
      <c r="B2238" s="115" t="n"/>
      <c r="C2238" s="67" t="n"/>
      <c r="D2238" s="3" t="n"/>
      <c r="E2238" s="3" t="n"/>
      <c r="G2238" t="inlineStr"/>
      <c r="H2238" t="inlineStr"/>
      <c r="I2238" s="111" t="n"/>
      <c r="J2238" s="217" t="inlineStr"/>
    </row>
    <row r="2239" ht="15.75" customHeight="1" s="305">
      <c r="A2239" s="215" t="n"/>
      <c r="B2239" s="115" t="n"/>
      <c r="C2239" s="67" t="n"/>
      <c r="D2239" s="3" t="n"/>
      <c r="E2239" s="3" t="n"/>
      <c r="G2239" t="inlineStr"/>
      <c r="H2239" t="inlineStr"/>
      <c r="I2239" s="111" t="n"/>
      <c r="J2239" s="217" t="inlineStr"/>
    </row>
    <row r="2240" ht="15.75" customHeight="1" s="305">
      <c r="A2240" s="215" t="n"/>
      <c r="B2240" s="115" t="n"/>
      <c r="C2240" s="67" t="n"/>
      <c r="D2240" s="3" t="n"/>
      <c r="E2240" s="3" t="n"/>
      <c r="G2240" t="inlineStr"/>
      <c r="H2240" t="inlineStr"/>
      <c r="I2240" s="111" t="n"/>
      <c r="J2240" s="217" t="inlineStr"/>
    </row>
    <row r="2241" ht="15.75" customHeight="1" s="305">
      <c r="A2241" s="215" t="n"/>
      <c r="B2241" s="115" t="n"/>
      <c r="C2241" s="67" t="n"/>
      <c r="D2241" s="3" t="n"/>
      <c r="E2241" s="3" t="n"/>
      <c r="G2241" t="inlineStr"/>
      <c r="H2241" t="inlineStr"/>
      <c r="I2241" s="111" t="n"/>
      <c r="J2241" s="217" t="inlineStr"/>
    </row>
    <row r="2242" ht="15.75" customHeight="1" s="305">
      <c r="A2242" s="215" t="n"/>
      <c r="B2242" s="115" t="n"/>
      <c r="C2242" s="67" t="n"/>
      <c r="D2242" s="3" t="n"/>
      <c r="E2242" s="3" t="n"/>
      <c r="G2242" t="inlineStr"/>
      <c r="H2242" t="inlineStr"/>
      <c r="I2242" s="111" t="n"/>
      <c r="J2242" s="217" t="inlineStr"/>
    </row>
    <row r="2243" ht="15.75" customHeight="1" s="305">
      <c r="A2243" s="215" t="n"/>
      <c r="B2243" s="115" t="n"/>
      <c r="C2243" s="67" t="n"/>
      <c r="D2243" s="3" t="n"/>
      <c r="E2243" s="3" t="n"/>
      <c r="G2243" t="inlineStr"/>
      <c r="H2243" t="inlineStr"/>
      <c r="I2243" s="111" t="n"/>
      <c r="J2243" s="217" t="inlineStr"/>
    </row>
    <row r="2244" ht="15.75" customHeight="1" s="305">
      <c r="A2244" s="215" t="n"/>
      <c r="B2244" s="115" t="n"/>
      <c r="C2244" s="67" t="n"/>
      <c r="D2244" s="3" t="n"/>
      <c r="E2244" s="3" t="n"/>
      <c r="G2244" t="inlineStr"/>
      <c r="H2244" t="inlineStr"/>
      <c r="I2244" s="111" t="n"/>
      <c r="J2244" s="217" t="inlineStr"/>
    </row>
    <row r="2245" ht="15.75" customHeight="1" s="305">
      <c r="A2245" s="215" t="n"/>
      <c r="B2245" s="115" t="n"/>
      <c r="C2245" s="67" t="n"/>
      <c r="D2245" s="3" t="n"/>
      <c r="E2245" s="3" t="n"/>
      <c r="G2245" t="inlineStr"/>
      <c r="H2245" t="inlineStr"/>
      <c r="I2245" s="111" t="n"/>
      <c r="J2245" s="217" t="inlineStr"/>
    </row>
    <row r="2246" ht="15.75" customHeight="1" s="305">
      <c r="A2246" s="215" t="n"/>
      <c r="B2246" s="115" t="n"/>
      <c r="C2246" s="67" t="n"/>
      <c r="D2246" s="3" t="n"/>
      <c r="E2246" s="3" t="n"/>
      <c r="G2246" t="inlineStr"/>
      <c r="H2246" t="inlineStr"/>
      <c r="I2246" s="111" t="n"/>
      <c r="J2246" s="217" t="inlineStr"/>
    </row>
    <row r="2247" ht="15.75" customHeight="1" s="305">
      <c r="A2247" s="215" t="n"/>
      <c r="B2247" s="115" t="n"/>
      <c r="C2247" s="67" t="n"/>
      <c r="D2247" s="3" t="n"/>
      <c r="E2247" s="3" t="n"/>
      <c r="G2247" t="inlineStr"/>
      <c r="H2247" t="inlineStr"/>
      <c r="I2247" s="111" t="n"/>
      <c r="J2247" s="217" t="inlineStr"/>
    </row>
    <row r="2248" ht="15.75" customHeight="1" s="305">
      <c r="A2248" s="215" t="n"/>
      <c r="B2248" s="115" t="n"/>
      <c r="C2248" s="67" t="n"/>
      <c r="D2248" s="3" t="n"/>
      <c r="E2248" s="3" t="n"/>
      <c r="G2248" t="inlineStr"/>
      <c r="H2248" t="inlineStr"/>
      <c r="I2248" s="111" t="n"/>
      <c r="J2248" s="217" t="inlineStr"/>
    </row>
    <row r="2249" ht="15.75" customHeight="1" s="305">
      <c r="A2249" s="215" t="n"/>
      <c r="B2249" s="115" t="n"/>
      <c r="C2249" s="67" t="n"/>
      <c r="D2249" s="3" t="n"/>
      <c r="E2249" s="3" t="n"/>
      <c r="G2249" t="inlineStr"/>
      <c r="H2249" t="inlineStr"/>
      <c r="I2249" s="111" t="n"/>
      <c r="J2249" s="217" t="inlineStr"/>
    </row>
    <row r="2250" ht="15.75" customHeight="1" s="305">
      <c r="A2250" s="215" t="n"/>
      <c r="B2250" s="115" t="n"/>
      <c r="C2250" s="67" t="n"/>
      <c r="D2250" s="3" t="n"/>
      <c r="E2250" s="3" t="n"/>
      <c r="G2250" t="inlineStr"/>
      <c r="H2250" t="inlineStr"/>
      <c r="I2250" s="111" t="n"/>
      <c r="J2250" s="217" t="inlineStr"/>
    </row>
    <row r="2251" ht="15.75" customHeight="1" s="305">
      <c r="A2251" s="215" t="n"/>
      <c r="B2251" s="115" t="n"/>
      <c r="C2251" s="67" t="n"/>
      <c r="D2251" s="3" t="n"/>
      <c r="E2251" s="3" t="n"/>
      <c r="G2251" t="inlineStr"/>
      <c r="H2251" t="inlineStr"/>
      <c r="I2251" s="111" t="n"/>
      <c r="J2251" s="217" t="inlineStr"/>
    </row>
    <row r="2252" ht="15.75" customHeight="1" s="305">
      <c r="A2252" s="215" t="n"/>
      <c r="B2252" s="115" t="n"/>
      <c r="C2252" s="67" t="n"/>
      <c r="D2252" s="3" t="n"/>
      <c r="E2252" s="3" t="n"/>
      <c r="G2252" t="inlineStr"/>
      <c r="H2252" t="inlineStr"/>
      <c r="I2252" s="111" t="n"/>
      <c r="J2252" s="217" t="inlineStr"/>
    </row>
    <row r="2253" ht="15.75" customHeight="1" s="305">
      <c r="A2253" s="215" t="n"/>
      <c r="B2253" s="115" t="n"/>
      <c r="C2253" s="67" t="n"/>
      <c r="D2253" s="3" t="n"/>
      <c r="E2253" s="3" t="n"/>
      <c r="G2253" t="inlineStr"/>
      <c r="H2253" t="inlineStr"/>
      <c r="I2253" s="111" t="n"/>
      <c r="J2253" s="217" t="inlineStr"/>
    </row>
    <row r="2254" ht="15.75" customHeight="1" s="305">
      <c r="A2254" s="215" t="n"/>
      <c r="B2254" s="115" t="n"/>
      <c r="C2254" s="67" t="n"/>
      <c r="D2254" s="3" t="n"/>
      <c r="E2254" s="3" t="n"/>
      <c r="G2254" t="inlineStr"/>
      <c r="H2254" t="inlineStr"/>
      <c r="I2254" s="111" t="n"/>
      <c r="J2254" s="217" t="inlineStr"/>
    </row>
    <row r="2255" ht="15.75" customHeight="1" s="305">
      <c r="A2255" s="215" t="n"/>
      <c r="B2255" s="115" t="n"/>
      <c r="C2255" s="67" t="n"/>
      <c r="D2255" s="3" t="n"/>
      <c r="E2255" s="3" t="n"/>
      <c r="G2255" t="inlineStr"/>
      <c r="H2255" t="inlineStr"/>
      <c r="I2255" s="111" t="n"/>
      <c r="J2255" s="217" t="inlineStr"/>
    </row>
    <row r="2256" ht="15.75" customHeight="1" s="305">
      <c r="A2256" s="215" t="n"/>
      <c r="B2256" s="115" t="n"/>
      <c r="C2256" s="67" t="n"/>
      <c r="D2256" s="3" t="n"/>
      <c r="E2256" s="3" t="n"/>
      <c r="G2256" t="inlineStr"/>
      <c r="H2256" t="inlineStr"/>
      <c r="I2256" s="111" t="n"/>
      <c r="J2256" s="217" t="inlineStr"/>
    </row>
    <row r="2257" ht="15.75" customHeight="1" s="305">
      <c r="A2257" s="215" t="n"/>
      <c r="B2257" s="115" t="n"/>
      <c r="C2257" s="67" t="n"/>
      <c r="D2257" s="3" t="n"/>
      <c r="E2257" s="3" t="n"/>
      <c r="G2257" t="inlineStr"/>
      <c r="H2257" t="inlineStr"/>
      <c r="I2257" s="111" t="n"/>
      <c r="J2257" s="217" t="inlineStr"/>
    </row>
    <row r="2258" ht="15.75" customHeight="1" s="305">
      <c r="A2258" s="215" t="n"/>
      <c r="B2258" s="115" t="n"/>
      <c r="C2258" s="67" t="n"/>
      <c r="D2258" s="3" t="n"/>
      <c r="E2258" s="3" t="n"/>
      <c r="G2258" t="inlineStr"/>
      <c r="H2258" t="inlineStr"/>
      <c r="I2258" s="111" t="n"/>
      <c r="J2258" s="217" t="inlineStr"/>
    </row>
    <row r="2259" ht="15.75" customHeight="1" s="305">
      <c r="A2259" s="215" t="n"/>
      <c r="B2259" s="115" t="n"/>
      <c r="C2259" s="67" t="n"/>
      <c r="D2259" s="3" t="n"/>
      <c r="E2259" s="3" t="n"/>
      <c r="G2259" t="inlineStr"/>
      <c r="H2259" t="inlineStr"/>
      <c r="I2259" s="111" t="n"/>
      <c r="J2259" s="217" t="inlineStr"/>
    </row>
    <row r="2260" ht="15.75" customHeight="1" s="305">
      <c r="A2260" s="215" t="n"/>
      <c r="B2260" s="115" t="n"/>
      <c r="C2260" s="67" t="n"/>
      <c r="D2260" s="3" t="n"/>
      <c r="E2260" s="3" t="n"/>
      <c r="G2260" t="inlineStr"/>
      <c r="H2260" t="inlineStr"/>
      <c r="I2260" s="111" t="n"/>
      <c r="J2260" s="217" t="inlineStr"/>
    </row>
    <row r="2261" ht="15.75" customHeight="1" s="305">
      <c r="A2261" s="215" t="n"/>
      <c r="B2261" s="115" t="n"/>
      <c r="C2261" s="67" t="n"/>
      <c r="D2261" s="3" t="n"/>
      <c r="E2261" s="3" t="n"/>
      <c r="G2261" t="inlineStr"/>
      <c r="H2261" t="inlineStr"/>
      <c r="I2261" s="111" t="n"/>
      <c r="J2261" s="217" t="inlineStr"/>
    </row>
    <row r="2262" ht="15.75" customHeight="1" s="305">
      <c r="A2262" s="215" t="n"/>
      <c r="B2262" s="115" t="n"/>
      <c r="C2262" s="67" t="n"/>
      <c r="D2262" s="3" t="n"/>
      <c r="E2262" s="3" t="n"/>
      <c r="G2262" t="inlineStr"/>
      <c r="H2262" t="inlineStr"/>
      <c r="I2262" s="111" t="n"/>
      <c r="J2262" s="217" t="inlineStr"/>
    </row>
    <row r="2263" ht="15.75" customHeight="1" s="305">
      <c r="A2263" s="215" t="n"/>
      <c r="B2263" s="115" t="n"/>
      <c r="C2263" s="67" t="n"/>
      <c r="D2263" s="3" t="n"/>
      <c r="E2263" s="3" t="n"/>
      <c r="G2263" t="inlineStr"/>
      <c r="H2263" t="inlineStr"/>
      <c r="I2263" s="111" t="n"/>
      <c r="J2263" s="217" t="inlineStr"/>
    </row>
    <row r="2264" ht="15.75" customHeight="1" s="305">
      <c r="A2264" s="215" t="n"/>
      <c r="B2264" s="115" t="n"/>
      <c r="C2264" s="67" t="n"/>
      <c r="D2264" s="3" t="n"/>
      <c r="E2264" s="3" t="n"/>
      <c r="G2264" t="inlineStr"/>
      <c r="H2264" t="inlineStr"/>
      <c r="I2264" s="111" t="n"/>
      <c r="J2264" s="217" t="inlineStr"/>
    </row>
    <row r="2265" ht="15.75" customHeight="1" s="305">
      <c r="A2265" s="215" t="n"/>
      <c r="B2265" s="115" t="n"/>
      <c r="C2265" s="67" t="n"/>
      <c r="D2265" s="3" t="n"/>
      <c r="E2265" s="3" t="n"/>
      <c r="G2265" t="inlineStr"/>
      <c r="H2265" t="inlineStr"/>
      <c r="I2265" s="111" t="n"/>
      <c r="J2265" s="217" t="inlineStr"/>
    </row>
    <row r="2266" ht="15.75" customHeight="1" s="305">
      <c r="A2266" s="215" t="n"/>
      <c r="B2266" s="115" t="n"/>
      <c r="C2266" s="67" t="n"/>
      <c r="D2266" s="3" t="n"/>
      <c r="E2266" s="3" t="n"/>
      <c r="G2266" t="inlineStr"/>
      <c r="H2266" t="inlineStr"/>
      <c r="I2266" s="111" t="n"/>
      <c r="J2266" s="217" t="inlineStr"/>
    </row>
    <row r="2267" ht="15.75" customHeight="1" s="305">
      <c r="A2267" s="215" t="n"/>
      <c r="B2267" s="115" t="n"/>
      <c r="C2267" s="67" t="n"/>
      <c r="D2267" s="3" t="n"/>
      <c r="E2267" s="3" t="n"/>
      <c r="G2267" t="inlineStr"/>
      <c r="H2267" t="inlineStr"/>
      <c r="I2267" s="111" t="n"/>
      <c r="J2267" s="217" t="inlineStr"/>
    </row>
    <row r="2268" ht="15.75" customHeight="1" s="305">
      <c r="A2268" s="215" t="n"/>
      <c r="B2268" s="115" t="n"/>
      <c r="C2268" s="67" t="n"/>
      <c r="D2268" s="3" t="n"/>
      <c r="E2268" s="3" t="n"/>
      <c r="G2268" t="inlineStr"/>
      <c r="H2268" t="inlineStr"/>
      <c r="I2268" s="111" t="n"/>
      <c r="J2268" s="217" t="inlineStr"/>
    </row>
    <row r="2269" ht="15.75" customHeight="1" s="305">
      <c r="A2269" s="215" t="n"/>
      <c r="B2269" s="115" t="n"/>
      <c r="C2269" s="67" t="n"/>
      <c r="D2269" s="3" t="n"/>
      <c r="E2269" s="3" t="n"/>
      <c r="G2269" t="inlineStr"/>
      <c r="H2269" t="inlineStr"/>
      <c r="I2269" s="111" t="n"/>
      <c r="J2269" s="217" t="inlineStr"/>
    </row>
    <row r="2270" ht="15.75" customHeight="1" s="305">
      <c r="A2270" s="215" t="n"/>
      <c r="B2270" s="115" t="n"/>
      <c r="C2270" s="67" t="n"/>
      <c r="D2270" s="3" t="n"/>
      <c r="E2270" s="3" t="n"/>
      <c r="G2270" t="inlineStr"/>
      <c r="H2270" t="inlineStr"/>
      <c r="I2270" s="111" t="n"/>
      <c r="J2270" s="217" t="inlineStr"/>
    </row>
    <row r="2271" ht="15.75" customHeight="1" s="305">
      <c r="A2271" s="215" t="n"/>
      <c r="B2271" s="115" t="n"/>
      <c r="C2271" s="67" t="n"/>
      <c r="D2271" s="3" t="n"/>
      <c r="E2271" s="3" t="n"/>
      <c r="G2271" t="inlineStr"/>
      <c r="H2271" t="inlineStr"/>
      <c r="I2271" s="111" t="n"/>
      <c r="J2271" s="217" t="inlineStr"/>
    </row>
    <row r="2272" ht="15.75" customHeight="1" s="305">
      <c r="A2272" s="215" t="n"/>
      <c r="B2272" s="115" t="n"/>
      <c r="C2272" s="67" t="n"/>
      <c r="D2272" s="3" t="n"/>
      <c r="E2272" s="3" t="n"/>
      <c r="G2272" t="inlineStr"/>
      <c r="H2272" t="inlineStr"/>
      <c r="I2272" s="111" t="n"/>
      <c r="J2272" s="217" t="inlineStr"/>
    </row>
    <row r="2273" ht="15.75" customHeight="1" s="305">
      <c r="A2273" s="215" t="n"/>
      <c r="B2273" s="115" t="n"/>
      <c r="C2273" s="67" t="n"/>
      <c r="D2273" s="3" t="n"/>
      <c r="E2273" s="3" t="n"/>
      <c r="G2273" t="inlineStr"/>
      <c r="H2273" t="inlineStr"/>
      <c r="I2273" s="111" t="n"/>
      <c r="J2273" s="217" t="inlineStr"/>
    </row>
    <row r="2274" ht="15.75" customHeight="1" s="305">
      <c r="A2274" s="215" t="n"/>
      <c r="B2274" s="115" t="n"/>
      <c r="C2274" s="67" t="n"/>
      <c r="D2274" s="3" t="n"/>
      <c r="E2274" s="3" t="n"/>
      <c r="G2274" t="inlineStr"/>
      <c r="H2274" t="inlineStr"/>
      <c r="I2274" s="111" t="n"/>
      <c r="J2274" s="217" t="inlineStr"/>
    </row>
    <row r="2275" ht="15.75" customHeight="1" s="305">
      <c r="A2275" s="215" t="n"/>
      <c r="B2275" s="115" t="n"/>
      <c r="C2275" s="67" t="n"/>
      <c r="D2275" s="3" t="n"/>
      <c r="E2275" s="3" t="n"/>
      <c r="G2275" t="inlineStr"/>
      <c r="H2275" t="inlineStr"/>
      <c r="I2275" s="111" t="n"/>
      <c r="J2275" s="217" t="inlineStr"/>
    </row>
    <row r="2276" ht="15.75" customHeight="1" s="305">
      <c r="A2276" s="215" t="n"/>
      <c r="B2276" s="115" t="n"/>
      <c r="C2276" s="67" t="n"/>
      <c r="D2276" s="3" t="n"/>
      <c r="E2276" s="3" t="n"/>
      <c r="G2276" t="inlineStr"/>
      <c r="H2276" t="inlineStr"/>
      <c r="I2276" s="111" t="n"/>
      <c r="J2276" s="217" t="inlineStr"/>
    </row>
    <row r="2277" ht="15.75" customHeight="1" s="305">
      <c r="A2277" s="215" t="n"/>
      <c r="B2277" s="115" t="n"/>
      <c r="C2277" s="67" t="n"/>
      <c r="D2277" s="3" t="n"/>
      <c r="E2277" s="3" t="n"/>
      <c r="G2277" t="inlineStr"/>
      <c r="H2277" t="inlineStr"/>
      <c r="I2277" s="111" t="n"/>
      <c r="J2277" s="217" t="inlineStr"/>
    </row>
    <row r="2278" ht="15.75" customHeight="1" s="305">
      <c r="A2278" s="215" t="n"/>
      <c r="B2278" s="115" t="n"/>
      <c r="C2278" s="67" t="n"/>
      <c r="D2278" s="3" t="n"/>
      <c r="E2278" s="3" t="n"/>
      <c r="G2278" t="inlineStr"/>
      <c r="H2278" t="inlineStr"/>
      <c r="I2278" s="111" t="n"/>
      <c r="J2278" s="217" t="inlineStr"/>
    </row>
    <row r="2279" ht="15.75" customHeight="1" s="305">
      <c r="A2279" s="215" t="n"/>
      <c r="B2279" s="115" t="n"/>
      <c r="C2279" s="67" t="n"/>
      <c r="D2279" s="3" t="n"/>
      <c r="E2279" s="3" t="n"/>
      <c r="G2279" t="inlineStr"/>
      <c r="H2279" t="inlineStr"/>
      <c r="I2279" s="111" t="n"/>
      <c r="J2279" s="217" t="inlineStr"/>
    </row>
    <row r="2280" ht="15.75" customHeight="1" s="305">
      <c r="A2280" s="215" t="n"/>
      <c r="B2280" s="115" t="n"/>
      <c r="C2280" s="67" t="n"/>
      <c r="D2280" s="3" t="n"/>
      <c r="E2280" s="3" t="n"/>
      <c r="G2280" t="inlineStr"/>
      <c r="H2280" t="inlineStr"/>
      <c r="I2280" s="111" t="n"/>
      <c r="J2280" s="217" t="inlineStr"/>
    </row>
    <row r="2281" ht="15.75" customHeight="1" s="305">
      <c r="A2281" s="215" t="n"/>
      <c r="B2281" s="115" t="n"/>
      <c r="C2281" s="67" t="n"/>
      <c r="D2281" s="3" t="n"/>
      <c r="E2281" s="3" t="n"/>
      <c r="G2281" t="inlineStr"/>
      <c r="H2281" t="inlineStr"/>
      <c r="I2281" s="111" t="n"/>
      <c r="J2281" s="217" t="inlineStr"/>
    </row>
    <row r="2282" ht="15.75" customHeight="1" s="305">
      <c r="A2282" s="215" t="n"/>
      <c r="B2282" s="115" t="n"/>
      <c r="C2282" s="67" t="n"/>
      <c r="D2282" s="3" t="n"/>
      <c r="E2282" s="3" t="n"/>
      <c r="G2282" t="inlineStr"/>
      <c r="H2282" t="inlineStr"/>
      <c r="I2282" s="111" t="n"/>
      <c r="J2282" s="217" t="inlineStr"/>
    </row>
    <row r="2283" ht="15.75" customHeight="1" s="305">
      <c r="A2283" s="215" t="n"/>
      <c r="B2283" s="115" t="n"/>
      <c r="C2283" s="67" t="n"/>
      <c r="D2283" s="3" t="n"/>
      <c r="E2283" s="3" t="n"/>
      <c r="G2283" t="inlineStr"/>
      <c r="H2283" t="inlineStr"/>
      <c r="I2283" s="111" t="n"/>
      <c r="J2283" s="217" t="inlineStr"/>
    </row>
    <row r="2284" ht="15.75" customHeight="1" s="305">
      <c r="A2284" s="215" t="n"/>
      <c r="B2284" s="115" t="n"/>
      <c r="C2284" s="67" t="n"/>
      <c r="D2284" s="3" t="n"/>
      <c r="E2284" s="3" t="n"/>
      <c r="G2284" t="inlineStr"/>
      <c r="H2284" t="inlineStr"/>
      <c r="I2284" s="111" t="n"/>
      <c r="J2284" s="217" t="inlineStr"/>
    </row>
    <row r="2285" ht="15.75" customHeight="1" s="305">
      <c r="A2285" s="215" t="n"/>
      <c r="B2285" s="115" t="n"/>
      <c r="C2285" s="67" t="n"/>
      <c r="D2285" s="3" t="n"/>
      <c r="E2285" s="3" t="n"/>
      <c r="G2285" t="inlineStr"/>
      <c r="H2285" t="inlineStr"/>
      <c r="I2285" s="111" t="n"/>
      <c r="J2285" s="217" t="inlineStr"/>
    </row>
    <row r="2286" ht="15.75" customHeight="1" s="305">
      <c r="A2286" s="215" t="n"/>
      <c r="B2286" s="115" t="n"/>
      <c r="C2286" s="67" t="n"/>
      <c r="D2286" s="3" t="n"/>
      <c r="E2286" s="3" t="n"/>
      <c r="G2286" t="inlineStr"/>
      <c r="H2286" t="inlineStr"/>
      <c r="I2286" s="111" t="n"/>
      <c r="J2286" s="217" t="inlineStr"/>
    </row>
    <row r="2287" ht="15.75" customHeight="1" s="305">
      <c r="A2287" s="215" t="n"/>
      <c r="B2287" s="115" t="n"/>
      <c r="C2287" s="67" t="n"/>
      <c r="D2287" s="3" t="n"/>
      <c r="E2287" s="3" t="n"/>
      <c r="G2287" t="inlineStr"/>
      <c r="H2287" t="inlineStr"/>
      <c r="I2287" s="111" t="n"/>
      <c r="J2287" s="217" t="inlineStr"/>
    </row>
    <row r="2288" ht="15.75" customHeight="1" s="305">
      <c r="A2288" s="215" t="n"/>
      <c r="B2288" s="115" t="n"/>
      <c r="C2288" s="67" t="n"/>
      <c r="D2288" s="3" t="n"/>
      <c r="E2288" s="3" t="n"/>
      <c r="G2288" t="inlineStr"/>
      <c r="H2288" t="inlineStr"/>
      <c r="I2288" s="111" t="n"/>
      <c r="J2288" s="217" t="inlineStr"/>
    </row>
    <row r="2289" ht="15.75" customHeight="1" s="305">
      <c r="A2289" s="215" t="n"/>
      <c r="B2289" s="115" t="n"/>
      <c r="C2289" s="67" t="n"/>
      <c r="D2289" s="3" t="n"/>
      <c r="E2289" s="3" t="n"/>
      <c r="G2289" t="inlineStr"/>
      <c r="H2289" t="inlineStr"/>
      <c r="I2289" s="111" t="n"/>
      <c r="J2289" s="217" t="inlineStr"/>
    </row>
    <row r="2290" ht="15.75" customHeight="1" s="305">
      <c r="A2290" s="215" t="n"/>
      <c r="B2290" s="115" t="n"/>
      <c r="C2290" s="67" t="n"/>
      <c r="D2290" s="3" t="n"/>
      <c r="E2290" s="3" t="n"/>
      <c r="G2290" t="inlineStr"/>
      <c r="H2290" t="inlineStr"/>
      <c r="I2290" s="111" t="n"/>
      <c r="J2290" s="217" t="inlineStr"/>
    </row>
    <row r="2291" ht="15.75" customHeight="1" s="305">
      <c r="A2291" s="215" t="n"/>
      <c r="B2291" s="115" t="n"/>
      <c r="C2291" s="67" t="n"/>
      <c r="D2291" s="3" t="n"/>
      <c r="E2291" s="3" t="n"/>
      <c r="G2291" t="inlineStr"/>
      <c r="H2291" t="inlineStr"/>
      <c r="I2291" s="111" t="n"/>
      <c r="J2291" s="217" t="inlineStr"/>
    </row>
    <row r="2292" ht="15.75" customHeight="1" s="305">
      <c r="A2292" s="215" t="n"/>
      <c r="B2292" s="115" t="n"/>
      <c r="C2292" s="67" t="n"/>
      <c r="D2292" s="3" t="n"/>
      <c r="E2292" s="3" t="n"/>
      <c r="G2292" t="inlineStr"/>
      <c r="H2292" t="inlineStr"/>
      <c r="I2292" s="111" t="n"/>
      <c r="J2292" s="217" t="inlineStr"/>
    </row>
    <row r="2293" ht="15.75" customHeight="1" s="305">
      <c r="A2293" s="215" t="n"/>
      <c r="B2293" s="115" t="n"/>
      <c r="C2293" s="67" t="n"/>
      <c r="D2293" s="3" t="n"/>
      <c r="E2293" s="3" t="n"/>
      <c r="G2293" t="inlineStr"/>
      <c r="H2293" t="inlineStr"/>
      <c r="I2293" s="111" t="n"/>
      <c r="J2293" s="217" t="inlineStr"/>
    </row>
    <row r="2294" ht="15.75" customHeight="1" s="305">
      <c r="A2294" s="215" t="n"/>
      <c r="B2294" s="115" t="n"/>
      <c r="C2294" s="67" t="n"/>
      <c r="D2294" s="3" t="n"/>
      <c r="E2294" s="3" t="n"/>
      <c r="G2294" t="inlineStr"/>
      <c r="H2294" t="inlineStr"/>
      <c r="I2294" s="111" t="n"/>
      <c r="J2294" s="217" t="inlineStr"/>
    </row>
    <row r="2295" ht="15.75" customHeight="1" s="305">
      <c r="A2295" s="215" t="n"/>
      <c r="B2295" s="115" t="n"/>
      <c r="C2295" s="67" t="n"/>
      <c r="D2295" s="3" t="n"/>
      <c r="E2295" s="3" t="n"/>
      <c r="G2295" t="inlineStr"/>
      <c r="H2295" t="inlineStr"/>
      <c r="I2295" s="111" t="n"/>
      <c r="J2295" s="217" t="inlineStr"/>
    </row>
    <row r="2296" ht="15.75" customHeight="1" s="305">
      <c r="A2296" s="215" t="n"/>
      <c r="B2296" s="115" t="n"/>
      <c r="C2296" s="67" t="n"/>
      <c r="D2296" s="3" t="n"/>
      <c r="E2296" s="3" t="n"/>
      <c r="G2296" t="inlineStr"/>
      <c r="H2296" t="inlineStr"/>
      <c r="I2296" s="111" t="n"/>
      <c r="J2296" s="217" t="inlineStr"/>
    </row>
    <row r="2297" ht="15.75" customHeight="1" s="305">
      <c r="A2297" s="215" t="n"/>
      <c r="B2297" s="115" t="n"/>
      <c r="C2297" s="67" t="n"/>
      <c r="D2297" s="3" t="n"/>
      <c r="E2297" s="3" t="n"/>
      <c r="G2297" t="inlineStr"/>
      <c r="H2297" t="inlineStr"/>
      <c r="I2297" s="111" t="n"/>
      <c r="J2297" s="217" t="inlineStr"/>
    </row>
    <row r="2298" ht="15.75" customHeight="1" s="305">
      <c r="A2298" s="215" t="n"/>
      <c r="B2298" s="115" t="n"/>
      <c r="C2298" s="67" t="n"/>
      <c r="D2298" s="3" t="n"/>
      <c r="E2298" s="3" t="n"/>
      <c r="G2298" t="inlineStr"/>
      <c r="H2298" t="inlineStr"/>
      <c r="I2298" s="111" t="n"/>
      <c r="J2298" s="217" t="inlineStr"/>
    </row>
    <row r="2299" ht="15.75" customHeight="1" s="305">
      <c r="A2299" s="215" t="n"/>
      <c r="B2299" s="115" t="n"/>
      <c r="C2299" s="67" t="n"/>
      <c r="D2299" s="3" t="n"/>
      <c r="E2299" s="3" t="n"/>
      <c r="G2299" t="inlineStr"/>
      <c r="H2299" t="inlineStr"/>
      <c r="I2299" s="111" t="n"/>
      <c r="J2299" s="217" t="inlineStr"/>
    </row>
    <row r="2300" ht="15.75" customHeight="1" s="305">
      <c r="A2300" s="215" t="n"/>
      <c r="B2300" s="115" t="n"/>
      <c r="C2300" s="67" t="n"/>
      <c r="D2300" s="3" t="n"/>
      <c r="E2300" s="3" t="n"/>
      <c r="G2300" t="inlineStr"/>
      <c r="H2300" t="inlineStr"/>
      <c r="I2300" s="111" t="n"/>
      <c r="J2300" s="217" t="inlineStr"/>
    </row>
    <row r="2301" ht="15.75" customHeight="1" s="305">
      <c r="A2301" s="215" t="n"/>
      <c r="B2301" s="115" t="n"/>
      <c r="C2301" s="67" t="n"/>
      <c r="D2301" s="3" t="n"/>
      <c r="E2301" s="3" t="n"/>
      <c r="G2301" t="inlineStr"/>
      <c r="H2301" t="inlineStr"/>
      <c r="I2301" s="111" t="n"/>
      <c r="J2301" s="217" t="inlineStr"/>
    </row>
    <row r="2302" ht="15.75" customHeight="1" s="305">
      <c r="A2302" s="215" t="n"/>
      <c r="B2302" s="115" t="n"/>
      <c r="C2302" s="67" t="n"/>
      <c r="D2302" s="3" t="n"/>
      <c r="E2302" s="3" t="n"/>
      <c r="G2302" t="inlineStr"/>
      <c r="H2302" t="inlineStr"/>
      <c r="I2302" s="111" t="n"/>
      <c r="J2302" s="217" t="inlineStr"/>
    </row>
    <row r="2303" ht="15.75" customHeight="1" s="305">
      <c r="A2303" s="215" t="n"/>
      <c r="B2303" s="115" t="n"/>
      <c r="C2303" s="67" t="n"/>
      <c r="D2303" s="3" t="n"/>
      <c r="E2303" s="3" t="n"/>
      <c r="G2303" t="inlineStr"/>
      <c r="H2303" t="inlineStr"/>
      <c r="I2303" s="111" t="n"/>
      <c r="J2303" s="217" t="inlineStr"/>
    </row>
    <row r="2304" ht="15.75" customHeight="1" s="305">
      <c r="A2304" s="215" t="n"/>
      <c r="B2304" s="115" t="n"/>
      <c r="C2304" s="67" t="n"/>
      <c r="D2304" s="3" t="n"/>
      <c r="E2304" s="3" t="n"/>
      <c r="G2304" t="inlineStr"/>
      <c r="H2304" t="inlineStr"/>
      <c r="I2304" s="111" t="n"/>
      <c r="J2304" s="217" t="inlineStr"/>
    </row>
    <row r="2305" ht="15.75" customHeight="1" s="305">
      <c r="A2305" s="215" t="n"/>
      <c r="B2305" s="115" t="n"/>
      <c r="C2305" s="67" t="n"/>
      <c r="D2305" s="3" t="n"/>
      <c r="E2305" s="3" t="n"/>
      <c r="G2305" t="inlineStr"/>
      <c r="H2305" t="inlineStr"/>
      <c r="I2305" s="111" t="n"/>
      <c r="J2305" s="217" t="inlineStr"/>
    </row>
    <row r="2306" ht="15.75" customHeight="1" s="305">
      <c r="A2306" s="215" t="n"/>
      <c r="B2306" s="115" t="n"/>
      <c r="C2306" s="67" t="n"/>
      <c r="D2306" s="3" t="n"/>
      <c r="E2306" s="3" t="n"/>
      <c r="G2306" t="inlineStr"/>
      <c r="H2306" t="inlineStr"/>
      <c r="I2306" s="111" t="n"/>
      <c r="J2306" s="217" t="inlineStr"/>
    </row>
    <row r="2307" ht="15.75" customHeight="1" s="305">
      <c r="A2307" s="215" t="n"/>
      <c r="B2307" s="115" t="n"/>
      <c r="C2307" s="67" t="n"/>
      <c r="D2307" s="3" t="n"/>
      <c r="E2307" s="3" t="n"/>
      <c r="G2307" t="inlineStr"/>
      <c r="H2307" t="inlineStr"/>
      <c r="I2307" s="111" t="n"/>
      <c r="J2307" s="217" t="inlineStr"/>
    </row>
    <row r="2308" ht="15.75" customHeight="1" s="305">
      <c r="A2308" s="215" t="n"/>
      <c r="B2308" s="115" t="n"/>
      <c r="C2308" s="67" t="n"/>
      <c r="D2308" s="3" t="n"/>
      <c r="E2308" s="3" t="n"/>
      <c r="G2308" t="inlineStr"/>
      <c r="H2308" t="inlineStr"/>
      <c r="I2308" s="111" t="n"/>
      <c r="J2308" s="217" t="inlineStr"/>
    </row>
    <row r="2309" ht="15.75" customHeight="1" s="305">
      <c r="A2309" s="215" t="n"/>
      <c r="B2309" s="115" t="n"/>
      <c r="C2309" s="67" t="n"/>
      <c r="D2309" s="3" t="n"/>
      <c r="E2309" s="3" t="n"/>
      <c r="G2309" t="inlineStr"/>
      <c r="H2309" t="inlineStr"/>
      <c r="I2309" s="111" t="n"/>
      <c r="J2309" s="217" t="inlineStr"/>
    </row>
    <row r="2310" ht="15.75" customHeight="1" s="305">
      <c r="A2310" s="215" t="n"/>
      <c r="B2310" s="115" t="n"/>
      <c r="C2310" s="67" t="n"/>
      <c r="D2310" s="3" t="n"/>
      <c r="E2310" s="3" t="n"/>
      <c r="G2310" t="inlineStr"/>
      <c r="H2310" t="inlineStr"/>
      <c r="I2310" s="111" t="n"/>
      <c r="J2310" s="217" t="inlineStr"/>
    </row>
    <row r="2311" ht="15.75" customHeight="1" s="305">
      <c r="A2311" s="215" t="n"/>
      <c r="B2311" s="115" t="n"/>
      <c r="C2311" s="67" t="n"/>
      <c r="D2311" s="3" t="n"/>
      <c r="E2311" s="3" t="n"/>
      <c r="G2311" t="inlineStr"/>
      <c r="H2311" t="inlineStr"/>
      <c r="I2311" s="111" t="n"/>
      <c r="J2311" s="217" t="inlineStr"/>
    </row>
    <row r="2312" ht="15.75" customHeight="1" s="305">
      <c r="A2312" s="215" t="n"/>
      <c r="B2312" s="115" t="n"/>
      <c r="C2312" s="67" t="n"/>
      <c r="D2312" s="3" t="n"/>
      <c r="E2312" s="3" t="n"/>
      <c r="G2312" t="inlineStr"/>
      <c r="H2312" t="inlineStr"/>
      <c r="I2312" s="111" t="n"/>
      <c r="J2312" s="217" t="inlineStr"/>
    </row>
    <row r="2313" ht="15.75" customHeight="1" s="305">
      <c r="A2313" s="215" t="n"/>
      <c r="B2313" s="115" t="n"/>
      <c r="C2313" s="67" t="n"/>
      <c r="D2313" s="3" t="n"/>
      <c r="E2313" s="3" t="n"/>
      <c r="G2313" t="inlineStr"/>
      <c r="H2313" t="inlineStr"/>
      <c r="I2313" s="111" t="n"/>
      <c r="J2313" s="217" t="inlineStr"/>
    </row>
    <row r="2314" ht="15.75" customHeight="1" s="305">
      <c r="A2314" s="215" t="n"/>
      <c r="B2314" s="115" t="n"/>
      <c r="C2314" s="67" t="n"/>
      <c r="D2314" s="3" t="n"/>
      <c r="E2314" s="3" t="n"/>
      <c r="G2314" t="inlineStr"/>
      <c r="H2314" t="inlineStr"/>
      <c r="I2314" s="111" t="n"/>
      <c r="J2314" s="217" t="inlineStr"/>
    </row>
    <row r="2315" ht="15.75" customHeight="1" s="305">
      <c r="A2315" s="215" t="n"/>
      <c r="B2315" s="115" t="n"/>
      <c r="C2315" s="67" t="n"/>
      <c r="D2315" s="3" t="n"/>
      <c r="E2315" s="3" t="n"/>
      <c r="G2315" t="inlineStr"/>
      <c r="H2315" t="inlineStr"/>
      <c r="I2315" s="111" t="n"/>
      <c r="J2315" s="217" t="inlineStr"/>
    </row>
    <row r="2316" ht="15.75" customHeight="1" s="305">
      <c r="A2316" s="215" t="n"/>
      <c r="B2316" s="115" t="n"/>
      <c r="C2316" s="67" t="n"/>
      <c r="D2316" s="3" t="n"/>
      <c r="E2316" s="3" t="n"/>
      <c r="G2316" t="inlineStr"/>
      <c r="H2316" t="inlineStr"/>
      <c r="I2316" s="111" t="n"/>
      <c r="J2316" s="217" t="inlineStr"/>
    </row>
    <row r="2317" ht="15.75" customHeight="1" s="305">
      <c r="A2317" s="215" t="n"/>
      <c r="B2317" s="115" t="n"/>
      <c r="C2317" s="67" t="n"/>
      <c r="D2317" s="3" t="n"/>
      <c r="E2317" s="3" t="n"/>
      <c r="G2317" t="inlineStr"/>
      <c r="H2317" t="inlineStr"/>
      <c r="I2317" s="111" t="n"/>
      <c r="J2317" s="217" t="inlineStr"/>
    </row>
    <row r="2318" ht="15.75" customHeight="1" s="305">
      <c r="A2318" s="215" t="n"/>
      <c r="B2318" s="115" t="n"/>
      <c r="C2318" s="67" t="n"/>
      <c r="D2318" s="3" t="n"/>
      <c r="E2318" s="3" t="n"/>
      <c r="G2318" t="inlineStr"/>
      <c r="H2318" t="inlineStr"/>
      <c r="I2318" s="111" t="n"/>
      <c r="J2318" s="217" t="inlineStr"/>
    </row>
    <row r="2319" ht="15.75" customHeight="1" s="305">
      <c r="A2319" s="215" t="n"/>
      <c r="B2319" s="115" t="n"/>
      <c r="C2319" s="67" t="n"/>
      <c r="D2319" s="3" t="n"/>
      <c r="E2319" s="3" t="n"/>
      <c r="G2319" t="inlineStr"/>
      <c r="H2319" t="inlineStr"/>
      <c r="I2319" s="111" t="n"/>
      <c r="J2319" s="217" t="inlineStr"/>
    </row>
    <row r="2320" ht="15.75" customHeight="1" s="305">
      <c r="A2320" s="215" t="n"/>
      <c r="B2320" s="115" t="n"/>
      <c r="C2320" s="67" t="n"/>
      <c r="D2320" s="3" t="n"/>
      <c r="E2320" s="3" t="n"/>
      <c r="G2320" t="inlineStr"/>
      <c r="H2320" t="inlineStr"/>
      <c r="I2320" s="111" t="n"/>
      <c r="J2320" s="217" t="inlineStr"/>
    </row>
    <row r="2321" ht="15.75" customHeight="1" s="305">
      <c r="A2321" s="215" t="n"/>
      <c r="B2321" s="115" t="n"/>
      <c r="C2321" s="67" t="n"/>
      <c r="D2321" s="3" t="n"/>
      <c r="E2321" s="3" t="n"/>
      <c r="G2321" t="inlineStr"/>
      <c r="H2321" t="inlineStr"/>
      <c r="I2321" s="111" t="n"/>
      <c r="J2321" s="217" t="inlineStr"/>
    </row>
    <row r="2322" ht="15.75" customHeight="1" s="305">
      <c r="A2322" s="215" t="n"/>
      <c r="B2322" s="115" t="n"/>
      <c r="C2322" s="67" t="n"/>
      <c r="D2322" s="3" t="n"/>
      <c r="E2322" s="3" t="n"/>
      <c r="G2322" t="inlineStr"/>
      <c r="H2322" t="inlineStr"/>
      <c r="I2322" s="111" t="n"/>
      <c r="J2322" s="217" t="inlineStr"/>
    </row>
    <row r="2323" ht="15.75" customHeight="1" s="305">
      <c r="A2323" s="215" t="n"/>
      <c r="B2323" s="115" t="n"/>
      <c r="C2323" s="67" t="n"/>
      <c r="D2323" s="3" t="n"/>
      <c r="E2323" s="3" t="n"/>
      <c r="G2323" t="inlineStr"/>
      <c r="H2323" t="inlineStr"/>
      <c r="I2323" s="111" t="n"/>
      <c r="J2323" s="217" t="inlineStr"/>
    </row>
    <row r="2324" ht="15.75" customHeight="1" s="305">
      <c r="A2324" s="215" t="n"/>
      <c r="B2324" s="115" t="n"/>
      <c r="C2324" s="67" t="n"/>
      <c r="D2324" s="3" t="n"/>
      <c r="E2324" s="3" t="n"/>
      <c r="G2324" t="inlineStr"/>
      <c r="H2324" t="inlineStr"/>
      <c r="I2324" s="111" t="n"/>
      <c r="J2324" s="217" t="inlineStr"/>
    </row>
    <row r="2325" ht="15.75" customHeight="1" s="305">
      <c r="A2325" s="215" t="n"/>
      <c r="B2325" s="115" t="n"/>
      <c r="C2325" s="67" t="n"/>
      <c r="D2325" s="3" t="n"/>
      <c r="E2325" s="3" t="n"/>
      <c r="G2325" t="inlineStr"/>
      <c r="H2325" t="inlineStr"/>
      <c r="I2325" s="111" t="n"/>
      <c r="J2325" s="217" t="inlineStr"/>
    </row>
    <row r="2326" ht="15.75" customHeight="1" s="305">
      <c r="A2326" s="215" t="n"/>
      <c r="B2326" s="115" t="n"/>
      <c r="C2326" s="67" t="n"/>
      <c r="D2326" s="3" t="n"/>
      <c r="E2326" s="3" t="n"/>
      <c r="G2326" t="inlineStr"/>
      <c r="H2326" t="inlineStr"/>
      <c r="I2326" s="111" t="n"/>
      <c r="J2326" s="217" t="inlineStr"/>
    </row>
    <row r="2327" ht="15.75" customHeight="1" s="305">
      <c r="A2327" s="215" t="n"/>
      <c r="B2327" s="115" t="n"/>
      <c r="C2327" s="67" t="n"/>
      <c r="D2327" s="3" t="n"/>
      <c r="E2327" s="3" t="n"/>
      <c r="G2327" t="inlineStr"/>
      <c r="H2327" t="inlineStr"/>
      <c r="I2327" s="111" t="n"/>
      <c r="J2327" s="217" t="inlineStr"/>
    </row>
    <row r="2328" ht="15.75" customHeight="1" s="305">
      <c r="A2328" s="215" t="n"/>
      <c r="B2328" s="115" t="n"/>
      <c r="C2328" s="67" t="n"/>
      <c r="D2328" s="3" t="n"/>
      <c r="E2328" s="3" t="n"/>
      <c r="G2328" t="inlineStr"/>
      <c r="H2328" t="inlineStr"/>
      <c r="I2328" s="111" t="n"/>
      <c r="J2328" s="217" t="inlineStr"/>
    </row>
    <row r="2329" ht="15.75" customHeight="1" s="305">
      <c r="A2329" s="215" t="n"/>
      <c r="B2329" s="115" t="n"/>
      <c r="C2329" s="67" t="n"/>
      <c r="D2329" s="3" t="n"/>
      <c r="E2329" s="3" t="n"/>
      <c r="G2329" t="inlineStr"/>
      <c r="H2329" t="inlineStr"/>
      <c r="I2329" s="111" t="n"/>
      <c r="J2329" s="217" t="inlineStr"/>
    </row>
    <row r="2330" ht="15.75" customHeight="1" s="305">
      <c r="A2330" s="215" t="n"/>
      <c r="B2330" s="115" t="n"/>
      <c r="C2330" s="67" t="n"/>
      <c r="D2330" s="3" t="n"/>
      <c r="E2330" s="3" t="n"/>
      <c r="G2330" t="inlineStr"/>
      <c r="H2330" t="inlineStr"/>
      <c r="I2330" s="111" t="n"/>
      <c r="J2330" s="217" t="inlineStr"/>
    </row>
    <row r="2331" ht="15.75" customHeight="1" s="305">
      <c r="A2331" s="215" t="n"/>
      <c r="B2331" s="115" t="n"/>
      <c r="C2331" s="67" t="n"/>
      <c r="D2331" s="3" t="n"/>
      <c r="E2331" s="3" t="n"/>
      <c r="G2331" t="inlineStr"/>
      <c r="H2331" t="inlineStr"/>
      <c r="I2331" s="111" t="n"/>
      <c r="J2331" s="217" t="inlineStr"/>
    </row>
    <row r="2332" ht="15.75" customHeight="1" s="305">
      <c r="A2332" s="215" t="n"/>
      <c r="B2332" s="115" t="n"/>
      <c r="C2332" s="67" t="n"/>
      <c r="D2332" s="3" t="n"/>
      <c r="E2332" s="3" t="n"/>
      <c r="G2332" t="inlineStr"/>
      <c r="H2332" t="inlineStr"/>
      <c r="I2332" s="111" t="n"/>
      <c r="J2332" s="217" t="inlineStr"/>
    </row>
    <row r="2333" ht="15.75" customHeight="1" s="305">
      <c r="A2333" s="215" t="n"/>
      <c r="B2333" s="115" t="n"/>
      <c r="C2333" s="67" t="n"/>
      <c r="D2333" s="3" t="n"/>
      <c r="E2333" s="3" t="n"/>
      <c r="G2333" t="inlineStr"/>
      <c r="H2333" t="inlineStr"/>
      <c r="I2333" s="111" t="n"/>
      <c r="J2333" s="217" t="inlineStr"/>
    </row>
    <row r="2334" ht="15.75" customHeight="1" s="305">
      <c r="A2334" s="215" t="n"/>
      <c r="B2334" s="115" t="n"/>
      <c r="C2334" s="67" t="n"/>
      <c r="D2334" s="3" t="n"/>
      <c r="E2334" s="3" t="n"/>
      <c r="G2334" t="inlineStr"/>
      <c r="H2334" t="inlineStr"/>
      <c r="I2334" s="111" t="n"/>
      <c r="J2334" s="217" t="inlineStr"/>
    </row>
    <row r="2335" ht="15.75" customHeight="1" s="305">
      <c r="A2335" s="215" t="n"/>
      <c r="B2335" s="115" t="n"/>
      <c r="C2335" s="67" t="n"/>
      <c r="D2335" s="3" t="n"/>
      <c r="E2335" s="3" t="n"/>
      <c r="G2335" t="inlineStr"/>
      <c r="H2335" t="inlineStr"/>
      <c r="I2335" s="111" t="n"/>
      <c r="J2335" s="217" t="inlineStr"/>
    </row>
    <row r="2336" ht="15.75" customHeight="1" s="305">
      <c r="A2336" s="215" t="n"/>
      <c r="B2336" s="115" t="n"/>
      <c r="C2336" s="67" t="n"/>
      <c r="D2336" s="3" t="n"/>
      <c r="E2336" s="3" t="n"/>
      <c r="G2336" t="inlineStr"/>
      <c r="H2336" t="inlineStr"/>
      <c r="I2336" s="111" t="n"/>
      <c r="J2336" s="217" t="inlineStr"/>
    </row>
    <row r="2337" ht="15.75" customHeight="1" s="305">
      <c r="A2337" s="215" t="n"/>
      <c r="B2337" s="115" t="n"/>
      <c r="C2337" s="67" t="n"/>
      <c r="D2337" s="3" t="n"/>
      <c r="E2337" s="3" t="n"/>
      <c r="G2337" t="inlineStr"/>
      <c r="H2337" t="inlineStr"/>
      <c r="I2337" s="111" t="n"/>
      <c r="J2337" s="217" t="inlineStr"/>
    </row>
    <row r="2338" ht="15.75" customHeight="1" s="305">
      <c r="A2338" s="215" t="n"/>
      <c r="B2338" s="115" t="n"/>
      <c r="C2338" s="67" t="n"/>
      <c r="D2338" s="3" t="n"/>
      <c r="E2338" s="3" t="n"/>
      <c r="G2338" t="inlineStr"/>
      <c r="H2338" t="inlineStr"/>
      <c r="I2338" s="111" t="n"/>
      <c r="J2338" s="217" t="inlineStr"/>
    </row>
    <row r="2339" ht="15.75" customHeight="1" s="305">
      <c r="A2339" s="215" t="n"/>
      <c r="B2339" s="115" t="n"/>
      <c r="C2339" s="67" t="n"/>
      <c r="D2339" s="3" t="n"/>
      <c r="E2339" s="3" t="n"/>
      <c r="G2339" t="inlineStr"/>
      <c r="H2339" t="inlineStr"/>
      <c r="I2339" s="111" t="n"/>
      <c r="J2339" s="217" t="inlineStr"/>
    </row>
    <row r="2340" ht="15.75" customHeight="1" s="305">
      <c r="A2340" s="215" t="n"/>
      <c r="B2340" s="115" t="n"/>
      <c r="C2340" s="67" t="n"/>
      <c r="D2340" s="3" t="n"/>
      <c r="E2340" s="3" t="n"/>
      <c r="G2340" t="inlineStr"/>
      <c r="H2340" t="inlineStr"/>
      <c r="I2340" s="111" t="n"/>
      <c r="J2340" s="217" t="inlineStr"/>
    </row>
    <row r="2341" ht="15.75" customHeight="1" s="305">
      <c r="A2341" s="215" t="n"/>
      <c r="B2341" s="115" t="n"/>
      <c r="C2341" s="67" t="n"/>
      <c r="D2341" s="3" t="n"/>
      <c r="E2341" s="3" t="n"/>
      <c r="G2341" t="inlineStr"/>
      <c r="H2341" t="inlineStr"/>
      <c r="I2341" s="111" t="n"/>
      <c r="J2341" s="217" t="inlineStr"/>
    </row>
    <row r="2342" ht="15.75" customHeight="1" s="305">
      <c r="A2342" s="215" t="n"/>
      <c r="B2342" s="115" t="n"/>
      <c r="C2342" s="67" t="n"/>
      <c r="D2342" s="3" t="n"/>
      <c r="E2342" s="3" t="n"/>
      <c r="G2342" t="inlineStr"/>
      <c r="H2342" t="inlineStr"/>
      <c r="I2342" s="111" t="n"/>
      <c r="J2342" s="217" t="inlineStr"/>
    </row>
    <row r="2343" ht="15.75" customHeight="1" s="305">
      <c r="A2343" s="215" t="n"/>
      <c r="B2343" s="115" t="n"/>
      <c r="C2343" s="67" t="n"/>
      <c r="D2343" s="3" t="n"/>
      <c r="E2343" s="3" t="n"/>
      <c r="G2343" t="inlineStr"/>
      <c r="H2343" t="inlineStr"/>
      <c r="I2343" s="111" t="n"/>
      <c r="J2343" s="217" t="inlineStr"/>
    </row>
    <row r="2344" ht="15.75" customHeight="1" s="305">
      <c r="A2344" s="215" t="n"/>
      <c r="B2344" s="115" t="n"/>
      <c r="C2344" s="67" t="n"/>
      <c r="D2344" s="3" t="n"/>
      <c r="E2344" s="3" t="n"/>
      <c r="G2344" t="inlineStr"/>
      <c r="H2344" t="inlineStr"/>
      <c r="I2344" s="111" t="n"/>
      <c r="J2344" s="217" t="inlineStr"/>
    </row>
    <row r="2345" ht="15.75" customHeight="1" s="305">
      <c r="A2345" s="215" t="n"/>
      <c r="B2345" s="115" t="n"/>
      <c r="C2345" s="67" t="n"/>
      <c r="D2345" s="3" t="n"/>
      <c r="E2345" s="3" t="n"/>
      <c r="G2345" t="inlineStr"/>
      <c r="H2345" t="inlineStr"/>
      <c r="I2345" s="111" t="n"/>
      <c r="J2345" s="217" t="inlineStr"/>
    </row>
    <row r="2346" ht="15.75" customHeight="1" s="305">
      <c r="A2346" s="215" t="n"/>
      <c r="B2346" s="115" t="n"/>
      <c r="C2346" s="67" t="n"/>
      <c r="D2346" s="3" t="n"/>
      <c r="E2346" s="3" t="n"/>
      <c r="G2346" t="inlineStr"/>
      <c r="H2346" t="inlineStr"/>
      <c r="I2346" s="111" t="n"/>
      <c r="J2346" s="217" t="inlineStr"/>
    </row>
    <row r="2347" ht="15.75" customHeight="1" s="305">
      <c r="A2347" s="215" t="n"/>
      <c r="B2347" s="115" t="n"/>
      <c r="C2347" s="67" t="n"/>
      <c r="D2347" s="3" t="n"/>
      <c r="E2347" s="3" t="n"/>
      <c r="G2347" t="inlineStr"/>
      <c r="H2347" t="inlineStr"/>
      <c r="I2347" s="111" t="n"/>
      <c r="J2347" s="217" t="inlineStr"/>
    </row>
    <row r="2348" ht="15.75" customHeight="1" s="305">
      <c r="A2348" s="215" t="n"/>
      <c r="B2348" s="115" t="n"/>
      <c r="C2348" s="67" t="n"/>
      <c r="D2348" s="3" t="n"/>
      <c r="E2348" s="3" t="n"/>
      <c r="G2348" t="inlineStr"/>
      <c r="H2348" t="inlineStr"/>
      <c r="I2348" s="111" t="n"/>
      <c r="J2348" s="217" t="inlineStr"/>
    </row>
    <row r="2349" ht="15.75" customHeight="1" s="305">
      <c r="A2349" s="215" t="n"/>
      <c r="B2349" s="115" t="n"/>
      <c r="C2349" s="67" t="n"/>
      <c r="D2349" s="3" t="n"/>
      <c r="E2349" s="3" t="n"/>
      <c r="G2349" t="inlineStr"/>
      <c r="H2349" t="inlineStr"/>
      <c r="I2349" s="111" t="n"/>
      <c r="J2349" s="217" t="inlineStr"/>
    </row>
    <row r="2350" ht="15.75" customHeight="1" s="305">
      <c r="A2350" s="215" t="n"/>
      <c r="B2350" s="115" t="n"/>
      <c r="C2350" s="67" t="n"/>
      <c r="D2350" s="3" t="n"/>
      <c r="E2350" s="3" t="n"/>
      <c r="G2350" t="inlineStr"/>
      <c r="H2350" t="inlineStr"/>
      <c r="I2350" s="111" t="n"/>
      <c r="J2350" s="217" t="inlineStr"/>
    </row>
    <row r="2351" ht="15.75" customHeight="1" s="305">
      <c r="A2351" s="215" t="n"/>
      <c r="B2351" s="115" t="n"/>
      <c r="C2351" s="67" t="n"/>
      <c r="D2351" s="3" t="n"/>
      <c r="E2351" s="3" t="n"/>
      <c r="G2351" t="inlineStr"/>
      <c r="H2351" t="inlineStr"/>
      <c r="I2351" s="111" t="n"/>
      <c r="J2351" s="217" t="inlineStr"/>
    </row>
    <row r="2352" ht="15.75" customHeight="1" s="305">
      <c r="A2352" s="215" t="n"/>
      <c r="B2352" s="115" t="n"/>
      <c r="C2352" s="67" t="n"/>
      <c r="D2352" s="3" t="n"/>
      <c r="E2352" s="3" t="n"/>
      <c r="G2352" t="inlineStr"/>
      <c r="H2352" t="inlineStr"/>
      <c r="I2352" s="111" t="n"/>
      <c r="J2352" s="217" t="inlineStr"/>
    </row>
    <row r="2353" ht="15.75" customHeight="1" s="305">
      <c r="A2353" s="215" t="n"/>
      <c r="B2353" s="115" t="n"/>
      <c r="C2353" s="67" t="n"/>
      <c r="D2353" s="3" t="n"/>
      <c r="E2353" s="3" t="n"/>
      <c r="G2353" t="inlineStr"/>
      <c r="H2353" t="inlineStr"/>
      <c r="I2353" s="111" t="n"/>
      <c r="J2353" s="217" t="inlineStr"/>
    </row>
    <row r="2354" ht="15.75" customHeight="1" s="305">
      <c r="A2354" s="215" t="n"/>
      <c r="B2354" s="115" t="n"/>
      <c r="C2354" s="67" t="n"/>
      <c r="D2354" s="3" t="n"/>
      <c r="E2354" s="3" t="n"/>
      <c r="G2354" t="inlineStr"/>
      <c r="H2354" t="inlineStr"/>
      <c r="I2354" s="111" t="n"/>
      <c r="J2354" s="217" t="inlineStr"/>
    </row>
    <row r="2355" ht="15.75" customHeight="1" s="305">
      <c r="A2355" s="215" t="n"/>
      <c r="B2355" s="115" t="n"/>
      <c r="C2355" s="67" t="n"/>
      <c r="D2355" s="3" t="n"/>
      <c r="E2355" s="3" t="n"/>
      <c r="G2355" t="inlineStr"/>
      <c r="H2355" t="inlineStr"/>
      <c r="I2355" s="111" t="n"/>
      <c r="J2355" s="217" t="inlineStr"/>
    </row>
    <row r="2356" ht="15.75" customHeight="1" s="305">
      <c r="A2356" s="215" t="n"/>
      <c r="B2356" s="115" t="n"/>
      <c r="C2356" s="67" t="n"/>
      <c r="D2356" s="3" t="n"/>
      <c r="E2356" s="3" t="n"/>
      <c r="G2356" t="inlineStr"/>
      <c r="H2356" t="inlineStr"/>
      <c r="I2356" s="111" t="n"/>
      <c r="J2356" s="217" t="inlineStr"/>
    </row>
    <row r="2357" ht="15.75" customHeight="1" s="305">
      <c r="A2357" s="215" t="n"/>
      <c r="B2357" s="115" t="n"/>
      <c r="C2357" s="67" t="n"/>
      <c r="D2357" s="3" t="n"/>
      <c r="E2357" s="3" t="n"/>
      <c r="G2357" t="inlineStr"/>
      <c r="H2357" t="inlineStr"/>
      <c r="I2357" s="111" t="n"/>
      <c r="J2357" s="217" t="inlineStr"/>
    </row>
    <row r="2358" ht="15.75" customHeight="1" s="305">
      <c r="A2358" s="215" t="n"/>
      <c r="B2358" s="115" t="n"/>
      <c r="C2358" s="67" t="n"/>
      <c r="D2358" s="3" t="n"/>
      <c r="E2358" s="3" t="n"/>
      <c r="G2358" t="inlineStr"/>
      <c r="H2358" t="inlineStr"/>
      <c r="I2358" s="111" t="n"/>
      <c r="J2358" s="217" t="inlineStr"/>
    </row>
    <row r="2359" ht="15.75" customHeight="1" s="305">
      <c r="A2359" s="215" t="n"/>
      <c r="B2359" s="115" t="n"/>
      <c r="C2359" s="67" t="n"/>
      <c r="D2359" s="3" t="n"/>
      <c r="E2359" s="3" t="n"/>
      <c r="G2359" t="inlineStr"/>
      <c r="H2359" t="inlineStr"/>
      <c r="I2359" s="111" t="n"/>
      <c r="J2359" s="217" t="inlineStr"/>
    </row>
    <row r="2360" ht="15.75" customHeight="1" s="305">
      <c r="A2360" s="215" t="n"/>
      <c r="B2360" s="115" t="n"/>
      <c r="C2360" s="67" t="n"/>
      <c r="D2360" s="3" t="n"/>
      <c r="E2360" s="3" t="n"/>
      <c r="G2360" t="inlineStr"/>
      <c r="H2360" t="inlineStr"/>
      <c r="I2360" s="111" t="n"/>
      <c r="J2360" s="217" t="inlineStr"/>
    </row>
    <row r="2361" ht="15.75" customHeight="1" s="305">
      <c r="A2361" s="215" t="n"/>
      <c r="B2361" s="115" t="n"/>
      <c r="C2361" s="67" t="n"/>
      <c r="D2361" s="3" t="n"/>
      <c r="E2361" s="3" t="n"/>
      <c r="G2361" t="inlineStr"/>
      <c r="H2361" t="inlineStr"/>
      <c r="I2361" s="111" t="n"/>
      <c r="J2361" s="217" t="inlineStr"/>
    </row>
    <row r="2362" ht="15.75" customHeight="1" s="305">
      <c r="A2362" s="215" t="n"/>
      <c r="B2362" s="115" t="n"/>
      <c r="C2362" s="67" t="n"/>
      <c r="D2362" s="3" t="n"/>
      <c r="E2362" s="3" t="n"/>
      <c r="G2362" t="inlineStr"/>
      <c r="H2362" t="inlineStr"/>
      <c r="I2362" s="111" t="n"/>
      <c r="J2362" s="217" t="inlineStr"/>
    </row>
    <row r="2363" ht="15.75" customHeight="1" s="305">
      <c r="A2363" s="215" t="n"/>
      <c r="B2363" s="115" t="n"/>
      <c r="C2363" s="67" t="n"/>
      <c r="D2363" s="3" t="n"/>
      <c r="E2363" s="3" t="n"/>
      <c r="G2363" t="inlineStr"/>
      <c r="H2363" t="inlineStr"/>
      <c r="I2363" s="111" t="n"/>
      <c r="J2363" s="217" t="inlineStr"/>
    </row>
    <row r="2364" ht="15.75" customHeight="1" s="305">
      <c r="A2364" s="215" t="n"/>
      <c r="B2364" s="115" t="n"/>
      <c r="C2364" s="67" t="n"/>
      <c r="D2364" s="3" t="n"/>
      <c r="E2364" s="3" t="n"/>
      <c r="G2364" t="inlineStr"/>
      <c r="H2364" t="inlineStr"/>
      <c r="I2364" s="111" t="n"/>
      <c r="J2364" s="217" t="inlineStr"/>
    </row>
    <row r="2365" ht="15.75" customHeight="1" s="305">
      <c r="A2365" s="215" t="n"/>
      <c r="B2365" s="115" t="n"/>
      <c r="C2365" s="67" t="n"/>
      <c r="D2365" s="3" t="n"/>
      <c r="E2365" s="3" t="n"/>
      <c r="G2365" t="inlineStr"/>
      <c r="H2365" t="inlineStr"/>
      <c r="I2365" s="111" t="n"/>
      <c r="J2365" s="217" t="inlineStr"/>
    </row>
    <row r="2366" ht="15.75" customHeight="1" s="305">
      <c r="A2366" s="215" t="n"/>
      <c r="B2366" s="115" t="n"/>
      <c r="C2366" s="67" t="n"/>
      <c r="D2366" s="3" t="n"/>
      <c r="E2366" s="3" t="n"/>
      <c r="G2366" t="inlineStr"/>
      <c r="H2366" t="inlineStr"/>
      <c r="I2366" s="111" t="n"/>
      <c r="J2366" s="217" t="inlineStr"/>
    </row>
    <row r="2367" ht="15.75" customHeight="1" s="305">
      <c r="A2367" s="215" t="n"/>
      <c r="B2367" s="115" t="n"/>
      <c r="C2367" s="67" t="n"/>
      <c r="D2367" s="3" t="n"/>
      <c r="E2367" s="3" t="n"/>
      <c r="G2367" t="inlineStr"/>
      <c r="H2367" t="inlineStr"/>
      <c r="I2367" s="111" t="n"/>
      <c r="J2367" s="217" t="inlineStr"/>
    </row>
    <row r="2368" ht="15.75" customHeight="1" s="305">
      <c r="A2368" s="215" t="n"/>
      <c r="B2368" s="115" t="n"/>
      <c r="C2368" s="67" t="n"/>
      <c r="D2368" s="3" t="n"/>
      <c r="E2368" s="3" t="n"/>
      <c r="G2368" t="inlineStr"/>
      <c r="H2368" t="inlineStr"/>
      <c r="I2368" s="111" t="n"/>
      <c r="J2368" s="217" t="inlineStr"/>
    </row>
    <row r="2369" ht="15.75" customHeight="1" s="305">
      <c r="A2369" s="215" t="n"/>
      <c r="B2369" s="115" t="n"/>
      <c r="C2369" s="67" t="n"/>
      <c r="D2369" s="3" t="n"/>
      <c r="E2369" s="3" t="n"/>
      <c r="G2369" t="inlineStr"/>
      <c r="H2369" t="inlineStr"/>
      <c r="I2369" s="111" t="n"/>
      <c r="J2369" s="217" t="inlineStr"/>
    </row>
    <row r="2370" ht="15.75" customHeight="1" s="305">
      <c r="A2370" s="215" t="n"/>
      <c r="B2370" s="115" t="n"/>
      <c r="C2370" s="67" t="n"/>
      <c r="D2370" s="3" t="n"/>
      <c r="E2370" s="3" t="n"/>
      <c r="G2370" t="inlineStr"/>
      <c r="H2370" t="inlineStr"/>
      <c r="I2370" s="111" t="n"/>
      <c r="J2370" s="217" t="inlineStr"/>
    </row>
    <row r="2371" ht="15.75" customHeight="1" s="305">
      <c r="A2371" s="215" t="n"/>
      <c r="B2371" s="115" t="n"/>
      <c r="C2371" s="67" t="n"/>
      <c r="D2371" s="3" t="n"/>
      <c r="E2371" s="3" t="n"/>
      <c r="G2371" t="inlineStr"/>
      <c r="H2371" t="inlineStr"/>
      <c r="I2371" s="111" t="n"/>
      <c r="J2371" s="217" t="inlineStr"/>
    </row>
    <row r="2372" ht="15.75" customHeight="1" s="305">
      <c r="A2372" s="215" t="n"/>
      <c r="B2372" s="115" t="n"/>
      <c r="C2372" s="67" t="n"/>
      <c r="D2372" s="3" t="n"/>
      <c r="E2372" s="3" t="n"/>
      <c r="G2372" t="inlineStr"/>
      <c r="H2372" t="inlineStr"/>
      <c r="I2372" s="111" t="n"/>
      <c r="J2372" s="217" t="inlineStr"/>
    </row>
    <row r="2373" ht="15.75" customHeight="1" s="305">
      <c r="A2373" s="215" t="n"/>
      <c r="B2373" s="115" t="n"/>
      <c r="C2373" s="67" t="n"/>
      <c r="D2373" s="3" t="n"/>
      <c r="E2373" s="3" t="n"/>
      <c r="G2373" t="inlineStr"/>
      <c r="H2373" t="inlineStr"/>
      <c r="I2373" s="111" t="n"/>
      <c r="J2373" s="217" t="inlineStr"/>
    </row>
    <row r="2374" ht="15.75" customHeight="1" s="305">
      <c r="A2374" s="215" t="n"/>
      <c r="B2374" s="115" t="n"/>
      <c r="C2374" s="67" t="n"/>
      <c r="D2374" s="3" t="n"/>
      <c r="E2374" s="3" t="n"/>
      <c r="G2374" t="inlineStr"/>
      <c r="H2374" t="inlineStr"/>
      <c r="I2374" s="111" t="n"/>
      <c r="J2374" s="217" t="inlineStr"/>
    </row>
    <row r="2375" ht="15.75" customHeight="1" s="305">
      <c r="A2375" s="215" t="n"/>
      <c r="B2375" s="115" t="n"/>
      <c r="C2375" s="67" t="n"/>
      <c r="D2375" s="3" t="n"/>
      <c r="E2375" s="3" t="n"/>
      <c r="G2375" t="inlineStr"/>
      <c r="H2375" t="inlineStr"/>
      <c r="I2375" s="111" t="n"/>
      <c r="J2375" s="217" t="inlineStr"/>
    </row>
    <row r="2376" ht="15.75" customHeight="1" s="305">
      <c r="A2376" s="215" t="n"/>
      <c r="B2376" s="115" t="n"/>
      <c r="C2376" s="67" t="n"/>
      <c r="D2376" s="3" t="n"/>
      <c r="E2376" s="3" t="n"/>
      <c r="G2376" t="inlineStr"/>
      <c r="H2376" t="inlineStr"/>
      <c r="I2376" s="111" t="n"/>
      <c r="J2376" s="217" t="inlineStr"/>
    </row>
    <row r="2377" ht="15.75" customHeight="1" s="305">
      <c r="A2377" s="215" t="n"/>
      <c r="B2377" s="115" t="n"/>
      <c r="C2377" s="67" t="n"/>
      <c r="D2377" s="3" t="n"/>
      <c r="E2377" s="3" t="n"/>
      <c r="G2377" t="inlineStr"/>
      <c r="H2377" t="inlineStr"/>
      <c r="I2377" s="111" t="n"/>
      <c r="J2377" s="217" t="inlineStr"/>
    </row>
    <row r="2378" ht="15.75" customHeight="1" s="305">
      <c r="A2378" s="215" t="n"/>
      <c r="B2378" s="115" t="n"/>
      <c r="C2378" s="67" t="n"/>
      <c r="D2378" s="3" t="n"/>
      <c r="E2378" s="3" t="n"/>
      <c r="G2378" t="inlineStr"/>
      <c r="H2378" t="inlineStr"/>
      <c r="I2378" s="111" t="n"/>
      <c r="J2378" s="217" t="inlineStr"/>
    </row>
    <row r="2379" ht="15.75" customHeight="1" s="305">
      <c r="A2379" s="215" t="n"/>
      <c r="B2379" s="115" t="n"/>
      <c r="C2379" s="67" t="n"/>
      <c r="D2379" s="3" t="n"/>
      <c r="E2379" s="3" t="n"/>
      <c r="G2379" t="inlineStr"/>
      <c r="H2379" t="inlineStr"/>
      <c r="I2379" s="111" t="n"/>
      <c r="J2379" s="217" t="inlineStr"/>
    </row>
    <row r="2380" ht="15.75" customHeight="1" s="305">
      <c r="A2380" s="215" t="n"/>
      <c r="B2380" s="115" t="n"/>
      <c r="C2380" s="67" t="n"/>
      <c r="D2380" s="3" t="n"/>
      <c r="E2380" s="3" t="n"/>
      <c r="G2380" t="inlineStr"/>
      <c r="H2380" t="inlineStr"/>
      <c r="I2380" s="111" t="n"/>
      <c r="J2380" s="217" t="inlineStr"/>
    </row>
    <row r="2381" ht="15.75" customHeight="1" s="305">
      <c r="A2381" s="215" t="n"/>
      <c r="B2381" s="115" t="n"/>
      <c r="C2381" s="67" t="n"/>
      <c r="D2381" s="3" t="n"/>
      <c r="E2381" s="3" t="n"/>
      <c r="G2381" t="inlineStr"/>
      <c r="H2381" t="inlineStr"/>
      <c r="I2381" s="111" t="n"/>
      <c r="J2381" s="217" t="inlineStr"/>
    </row>
    <row r="2382" ht="15.75" customHeight="1" s="305">
      <c r="A2382" s="215" t="n"/>
      <c r="B2382" s="115" t="n"/>
      <c r="C2382" s="67" t="n"/>
      <c r="D2382" s="3" t="n"/>
      <c r="E2382" s="3" t="n"/>
      <c r="G2382" t="inlineStr"/>
      <c r="H2382" t="inlineStr"/>
      <c r="I2382" s="111" t="n"/>
      <c r="J2382" s="217" t="inlineStr"/>
    </row>
    <row r="2383" ht="15.75" customHeight="1" s="305">
      <c r="A2383" s="215" t="n"/>
      <c r="B2383" s="115" t="n"/>
      <c r="C2383" s="67" t="n"/>
      <c r="D2383" s="3" t="n"/>
      <c r="E2383" s="3" t="n"/>
      <c r="G2383" t="inlineStr"/>
      <c r="H2383" t="inlineStr"/>
      <c r="I2383" s="111" t="n"/>
      <c r="J2383" s="217" t="inlineStr"/>
    </row>
    <row r="2384" ht="15.75" customHeight="1" s="305">
      <c r="A2384" s="215" t="n"/>
      <c r="B2384" s="115" t="n"/>
      <c r="C2384" s="67" t="n"/>
      <c r="D2384" s="3" t="n"/>
      <c r="E2384" s="3" t="n"/>
      <c r="G2384" t="inlineStr"/>
      <c r="H2384" t="inlineStr"/>
      <c r="I2384" s="111" t="n"/>
      <c r="J2384" s="217" t="inlineStr"/>
    </row>
    <row r="2385" ht="15.75" customHeight="1" s="305">
      <c r="A2385" s="215" t="n"/>
      <c r="B2385" s="115" t="n"/>
      <c r="C2385" s="67" t="n"/>
      <c r="D2385" s="3" t="n"/>
      <c r="E2385" s="3" t="n"/>
      <c r="G2385" t="inlineStr"/>
      <c r="H2385" t="inlineStr"/>
      <c r="I2385" s="111" t="n"/>
      <c r="J2385" s="217" t="inlineStr"/>
    </row>
    <row r="2386" ht="15.75" customHeight="1" s="305">
      <c r="A2386" s="215" t="n"/>
      <c r="B2386" s="115" t="n"/>
      <c r="C2386" s="67" t="n"/>
      <c r="D2386" s="3" t="n"/>
      <c r="E2386" s="3" t="n"/>
      <c r="G2386" t="inlineStr"/>
      <c r="H2386" t="inlineStr"/>
      <c r="I2386" s="111" t="n"/>
      <c r="J2386" s="217" t="inlineStr"/>
    </row>
    <row r="2387" ht="15.75" customHeight="1" s="305">
      <c r="A2387" s="215" t="n"/>
      <c r="B2387" s="115" t="n"/>
      <c r="C2387" s="67" t="n"/>
      <c r="D2387" s="3" t="n"/>
      <c r="E2387" s="3" t="n"/>
      <c r="G2387" t="inlineStr"/>
      <c r="H2387" t="inlineStr"/>
      <c r="I2387" s="111" t="n"/>
      <c r="J2387" s="217" t="inlineStr"/>
    </row>
    <row r="2388" ht="15.75" customHeight="1" s="305">
      <c r="A2388" s="215" t="n"/>
      <c r="B2388" s="115" t="n"/>
      <c r="C2388" s="67" t="n"/>
      <c r="D2388" s="3" t="n"/>
      <c r="E2388" s="3" t="n"/>
      <c r="G2388" t="inlineStr"/>
      <c r="H2388" t="inlineStr"/>
      <c r="I2388" s="111" t="n"/>
      <c r="J2388" s="217" t="inlineStr"/>
    </row>
    <row r="2389" ht="15.75" customHeight="1" s="305">
      <c r="A2389" s="215" t="n"/>
      <c r="B2389" s="115" t="n"/>
      <c r="C2389" s="67" t="n"/>
      <c r="D2389" s="3" t="n"/>
      <c r="E2389" s="3" t="n"/>
      <c r="G2389" t="inlineStr"/>
      <c r="H2389" t="inlineStr"/>
      <c r="I2389" s="111" t="n"/>
      <c r="J2389" s="217" t="inlineStr"/>
    </row>
    <row r="2390" ht="15.75" customHeight="1" s="305">
      <c r="A2390" s="215" t="n"/>
      <c r="B2390" s="115" t="n"/>
      <c r="C2390" s="67" t="n"/>
      <c r="D2390" s="3" t="n"/>
      <c r="E2390" s="3" t="n"/>
      <c r="G2390" t="inlineStr"/>
      <c r="H2390" t="inlineStr"/>
      <c r="I2390" s="111" t="n"/>
      <c r="J2390" s="217" t="inlineStr"/>
    </row>
    <row r="2391" ht="15.75" customHeight="1" s="305">
      <c r="A2391" s="215" t="n"/>
      <c r="B2391" s="115" t="n"/>
      <c r="C2391" s="67" t="n"/>
      <c r="D2391" s="3" t="n"/>
      <c r="E2391" s="3" t="n"/>
      <c r="G2391" t="inlineStr"/>
      <c r="H2391" t="inlineStr"/>
      <c r="I2391" s="111" t="n"/>
      <c r="J2391" s="217" t="inlineStr"/>
    </row>
    <row r="2392" ht="15.75" customHeight="1" s="305">
      <c r="A2392" s="215" t="n"/>
      <c r="B2392" s="115" t="n"/>
      <c r="C2392" s="67" t="n"/>
      <c r="D2392" s="3" t="n"/>
      <c r="E2392" s="3" t="n"/>
      <c r="G2392" t="inlineStr"/>
      <c r="H2392" t="inlineStr"/>
      <c r="I2392" s="111" t="n"/>
      <c r="J2392" s="217" t="inlineStr"/>
    </row>
    <row r="2393" ht="15.75" customHeight="1" s="305">
      <c r="A2393" s="215" t="n"/>
      <c r="B2393" s="115" t="n"/>
      <c r="C2393" s="67" t="n"/>
      <c r="D2393" s="3" t="n"/>
      <c r="E2393" s="3" t="n"/>
      <c r="G2393" t="inlineStr"/>
      <c r="H2393" t="inlineStr"/>
      <c r="I2393" s="111" t="n"/>
      <c r="J2393" s="217" t="inlineStr"/>
    </row>
    <row r="2394" ht="15.75" customHeight="1" s="305">
      <c r="A2394" s="215" t="n"/>
      <c r="B2394" s="115" t="n"/>
      <c r="C2394" s="67" t="n"/>
      <c r="D2394" s="3" t="n"/>
      <c r="E2394" s="3" t="n"/>
      <c r="G2394" t="inlineStr"/>
      <c r="H2394" t="inlineStr"/>
      <c r="I2394" s="111" t="n"/>
      <c r="J2394" s="217" t="inlineStr"/>
    </row>
    <row r="2395" ht="15.75" customHeight="1" s="305">
      <c r="A2395" s="215" t="n"/>
      <c r="B2395" s="115" t="n"/>
      <c r="C2395" s="67" t="n"/>
      <c r="D2395" s="3" t="n"/>
      <c r="E2395" s="3" t="n"/>
      <c r="G2395" t="inlineStr"/>
      <c r="H2395" t="inlineStr"/>
      <c r="I2395" s="111" t="n"/>
      <c r="J2395" s="217" t="inlineStr"/>
    </row>
    <row r="2396" ht="15.75" customHeight="1" s="305">
      <c r="A2396" s="215" t="n"/>
      <c r="B2396" s="115" t="n"/>
      <c r="C2396" s="67" t="n"/>
      <c r="D2396" s="3" t="n"/>
      <c r="E2396" s="3" t="n"/>
      <c r="G2396" t="inlineStr"/>
      <c r="H2396" t="inlineStr"/>
      <c r="I2396" s="111" t="n"/>
      <c r="J2396" s="217" t="inlineStr"/>
    </row>
    <row r="2397" ht="15.75" customHeight="1" s="305">
      <c r="A2397" s="215" t="n"/>
      <c r="B2397" s="115" t="n"/>
      <c r="C2397" s="67" t="n"/>
      <c r="D2397" s="3" t="n"/>
      <c r="E2397" s="3" t="n"/>
      <c r="G2397" t="inlineStr"/>
      <c r="H2397" t="inlineStr"/>
      <c r="I2397" s="111" t="n"/>
      <c r="J2397" s="217" t="inlineStr"/>
    </row>
    <row r="2398" ht="15.75" customHeight="1" s="305">
      <c r="A2398" s="215" t="n"/>
      <c r="B2398" s="115" t="n"/>
      <c r="C2398" s="67" t="n"/>
      <c r="D2398" s="3" t="n"/>
      <c r="E2398" s="3" t="n"/>
      <c r="G2398" t="inlineStr"/>
      <c r="H2398" t="inlineStr"/>
      <c r="I2398" s="111" t="n"/>
      <c r="J2398" s="217" t="inlineStr"/>
    </row>
    <row r="2399" ht="15.75" customHeight="1" s="305">
      <c r="A2399" s="215" t="n"/>
      <c r="B2399" s="115" t="n"/>
      <c r="C2399" s="67" t="n"/>
      <c r="D2399" s="3" t="n"/>
      <c r="E2399" s="3" t="n"/>
      <c r="G2399" t="inlineStr"/>
      <c r="H2399" t="inlineStr"/>
      <c r="I2399" s="111" t="n"/>
      <c r="J2399" s="217" t="inlineStr"/>
    </row>
    <row r="2400" ht="15.75" customHeight="1" s="305">
      <c r="A2400" s="215" t="n"/>
      <c r="B2400" s="115" t="n"/>
      <c r="C2400" s="67" t="n"/>
      <c r="D2400" s="3" t="n"/>
      <c r="E2400" s="3" t="n"/>
      <c r="G2400" t="inlineStr"/>
      <c r="H2400" t="inlineStr"/>
      <c r="I2400" s="111" t="n"/>
      <c r="J2400" s="217" t="inlineStr"/>
    </row>
    <row r="2401" ht="15.75" customHeight="1" s="305">
      <c r="A2401" s="215" t="n"/>
      <c r="B2401" s="115" t="n"/>
      <c r="C2401" s="67" t="n"/>
      <c r="D2401" s="3" t="n"/>
      <c r="E2401" s="3" t="n"/>
      <c r="G2401" t="inlineStr"/>
      <c r="H2401" t="inlineStr"/>
      <c r="I2401" s="111" t="n"/>
      <c r="J2401" s="217" t="inlineStr"/>
    </row>
    <row r="2402" ht="15.75" customHeight="1" s="305">
      <c r="A2402" s="215" t="n"/>
      <c r="B2402" s="115" t="n"/>
      <c r="C2402" s="67" t="n"/>
      <c r="D2402" s="3" t="n"/>
      <c r="E2402" s="3" t="n"/>
      <c r="G2402" t="inlineStr"/>
      <c r="H2402" t="inlineStr"/>
      <c r="I2402" s="111" t="n"/>
      <c r="J2402" s="217" t="inlineStr"/>
    </row>
    <row r="2403" ht="15.75" customHeight="1" s="305">
      <c r="A2403" s="215" t="n"/>
      <c r="B2403" s="115" t="n"/>
      <c r="C2403" s="67" t="n"/>
      <c r="D2403" s="3" t="n"/>
      <c r="E2403" s="3" t="n"/>
      <c r="G2403" t="inlineStr"/>
      <c r="H2403" t="inlineStr"/>
      <c r="I2403" s="111" t="n"/>
      <c r="J2403" s="217" t="inlineStr"/>
    </row>
    <row r="2404" ht="15.75" customHeight="1" s="305">
      <c r="A2404" s="215" t="n"/>
      <c r="B2404" s="115" t="n"/>
      <c r="C2404" s="67" t="n"/>
      <c r="D2404" s="3" t="n"/>
      <c r="E2404" s="3" t="n"/>
      <c r="G2404" t="inlineStr"/>
      <c r="H2404" t="inlineStr"/>
      <c r="I2404" s="111" t="n"/>
      <c r="J2404" s="217" t="inlineStr"/>
    </row>
    <row r="2405" ht="15.75" customHeight="1" s="305">
      <c r="A2405" s="215" t="n"/>
      <c r="B2405" s="115" t="n"/>
      <c r="C2405" s="67" t="n"/>
      <c r="D2405" s="3" t="n"/>
      <c r="E2405" s="3" t="n"/>
      <c r="G2405" t="inlineStr"/>
      <c r="H2405" t="inlineStr"/>
      <c r="I2405" s="111" t="n"/>
      <c r="J2405" s="217" t="inlineStr"/>
    </row>
    <row r="2406" ht="15.75" customHeight="1" s="305">
      <c r="A2406" s="215" t="n"/>
      <c r="B2406" s="115" t="n"/>
      <c r="C2406" s="67" t="n"/>
      <c r="D2406" s="3" t="n"/>
      <c r="E2406" s="3" t="n"/>
      <c r="G2406" t="inlineStr"/>
      <c r="H2406" t="inlineStr"/>
      <c r="I2406" s="111" t="n"/>
      <c r="J2406" s="217" t="inlineStr"/>
    </row>
    <row r="2407" ht="15.75" customHeight="1" s="305">
      <c r="A2407" s="215" t="n"/>
      <c r="B2407" s="115" t="n"/>
      <c r="C2407" s="67" t="n"/>
      <c r="D2407" s="3" t="n"/>
      <c r="E2407" s="3" t="n"/>
      <c r="G2407" t="inlineStr"/>
      <c r="H2407" t="inlineStr"/>
      <c r="I2407" s="111" t="n"/>
      <c r="J2407" s="217" t="inlineStr"/>
    </row>
    <row r="2408" ht="15.75" customHeight="1" s="305">
      <c r="A2408" s="215" t="n"/>
      <c r="B2408" s="115" t="n"/>
      <c r="C2408" s="67" t="n"/>
      <c r="D2408" s="3" t="n"/>
      <c r="E2408" s="3" t="n"/>
      <c r="G2408" t="inlineStr"/>
      <c r="H2408" t="inlineStr"/>
      <c r="I2408" s="111" t="n"/>
      <c r="J2408" s="217" t="inlineStr"/>
    </row>
    <row r="2409" ht="15.75" customHeight="1" s="305">
      <c r="A2409" s="215" t="n"/>
      <c r="B2409" s="115" t="n"/>
      <c r="C2409" s="67" t="n"/>
      <c r="D2409" s="3" t="n"/>
      <c r="E2409" s="3" t="n"/>
      <c r="G2409" t="inlineStr"/>
      <c r="H2409" t="inlineStr"/>
      <c r="I2409" s="111" t="n"/>
      <c r="J2409" s="217" t="inlineStr"/>
    </row>
    <row r="2410" ht="15.75" customHeight="1" s="305">
      <c r="A2410" s="215" t="n"/>
      <c r="B2410" s="115" t="n"/>
      <c r="C2410" s="67" t="n"/>
      <c r="D2410" s="3" t="n"/>
      <c r="E2410" s="3" t="n"/>
      <c r="G2410" t="inlineStr"/>
      <c r="H2410" t="inlineStr"/>
      <c r="I2410" s="111" t="n"/>
      <c r="J2410" s="217" t="inlineStr"/>
    </row>
    <row r="2411" ht="15.75" customHeight="1" s="305">
      <c r="A2411" s="215" t="n"/>
      <c r="B2411" s="115" t="n"/>
      <c r="C2411" s="67" t="n"/>
      <c r="D2411" s="3" t="n"/>
      <c r="E2411" s="3" t="n"/>
      <c r="G2411" t="inlineStr"/>
      <c r="H2411" t="inlineStr"/>
      <c r="I2411" s="111" t="n"/>
      <c r="J2411" s="217" t="inlineStr"/>
    </row>
    <row r="2412" ht="15.75" customHeight="1" s="305">
      <c r="A2412" s="215" t="n"/>
      <c r="B2412" s="115" t="n"/>
      <c r="C2412" s="67" t="n"/>
      <c r="D2412" s="3" t="n"/>
      <c r="E2412" s="3" t="n"/>
      <c r="G2412" t="inlineStr"/>
      <c r="H2412" t="inlineStr"/>
      <c r="I2412" s="111" t="n"/>
      <c r="J2412" s="217" t="inlineStr"/>
    </row>
    <row r="2413" ht="15.75" customHeight="1" s="305">
      <c r="A2413" s="215" t="n"/>
      <c r="B2413" s="115" t="n"/>
      <c r="C2413" s="67" t="n"/>
      <c r="D2413" s="3" t="n"/>
      <c r="E2413" s="3" t="n"/>
      <c r="G2413" t="inlineStr"/>
      <c r="H2413" t="inlineStr"/>
      <c r="I2413" s="111" t="n"/>
      <c r="J2413" s="217" t="inlineStr"/>
    </row>
    <row r="2414" ht="15.75" customHeight="1" s="305">
      <c r="A2414" s="215" t="n"/>
      <c r="B2414" s="115" t="n"/>
      <c r="C2414" s="67" t="n"/>
      <c r="D2414" s="3" t="n"/>
      <c r="E2414" s="3" t="n"/>
      <c r="G2414" t="inlineStr"/>
      <c r="H2414" t="inlineStr"/>
      <c r="I2414" s="111" t="n"/>
      <c r="J2414" s="217" t="inlineStr"/>
    </row>
    <row r="2415" ht="15.75" customHeight="1" s="305">
      <c r="A2415" s="215" t="n"/>
      <c r="B2415" s="115" t="n"/>
      <c r="C2415" s="67" t="n"/>
      <c r="D2415" s="3" t="n"/>
      <c r="E2415" s="3" t="n"/>
      <c r="G2415" t="inlineStr"/>
      <c r="H2415" t="inlineStr"/>
      <c r="I2415" s="111" t="n"/>
      <c r="J2415" s="217" t="inlineStr"/>
    </row>
    <row r="2416" ht="15.75" customHeight="1" s="305">
      <c r="A2416" s="215" t="n"/>
      <c r="B2416" s="115" t="n"/>
      <c r="C2416" s="67" t="n"/>
      <c r="D2416" s="3" t="n"/>
      <c r="E2416" s="3" t="n"/>
      <c r="G2416" t="inlineStr"/>
      <c r="H2416" t="inlineStr"/>
      <c r="I2416" s="111" t="n"/>
      <c r="J2416" s="217" t="inlineStr"/>
    </row>
    <row r="2417" ht="15.75" customHeight="1" s="305">
      <c r="A2417" s="215" t="n"/>
      <c r="B2417" s="115" t="n"/>
      <c r="C2417" s="67" t="n"/>
      <c r="D2417" s="3" t="n"/>
      <c r="E2417" s="3" t="n"/>
      <c r="G2417" t="inlineStr"/>
      <c r="H2417" t="inlineStr"/>
      <c r="I2417" s="111" t="n"/>
      <c r="J2417" s="217" t="inlineStr"/>
    </row>
    <row r="2418" ht="15.75" customHeight="1" s="305">
      <c r="A2418" s="215" t="n"/>
      <c r="B2418" s="115" t="n"/>
      <c r="C2418" s="67" t="n"/>
      <c r="D2418" s="3" t="n"/>
      <c r="E2418" s="3" t="n"/>
      <c r="G2418" t="inlineStr"/>
      <c r="H2418" t="inlineStr"/>
      <c r="I2418" s="111" t="n"/>
      <c r="J2418" s="217" t="inlineStr"/>
    </row>
    <row r="2419" ht="15.75" customHeight="1" s="305">
      <c r="A2419" s="215" t="n"/>
      <c r="B2419" s="115" t="n"/>
      <c r="C2419" s="67" t="n"/>
      <c r="D2419" s="3" t="n"/>
      <c r="E2419" s="3" t="n"/>
      <c r="G2419" t="inlineStr"/>
      <c r="H2419" t="inlineStr"/>
      <c r="I2419" s="111" t="n"/>
      <c r="J2419" s="217" t="inlineStr"/>
    </row>
    <row r="2420" ht="15.75" customHeight="1" s="305">
      <c r="A2420" s="215" t="n"/>
      <c r="B2420" s="115" t="n"/>
      <c r="C2420" s="67" t="n"/>
      <c r="D2420" s="3" t="n"/>
      <c r="E2420" s="3" t="n"/>
      <c r="G2420" t="inlineStr"/>
      <c r="H2420" t="inlineStr"/>
      <c r="I2420" s="111" t="n"/>
      <c r="J2420" s="217" t="inlineStr"/>
    </row>
    <row r="2421" ht="15.75" customHeight="1" s="305">
      <c r="A2421" s="215" t="n"/>
      <c r="B2421" s="115" t="n"/>
      <c r="C2421" s="67" t="n"/>
      <c r="D2421" s="3" t="n"/>
      <c r="E2421" s="3" t="n"/>
      <c r="G2421" t="inlineStr"/>
      <c r="H2421" t="inlineStr"/>
      <c r="I2421" s="111" t="n"/>
      <c r="J2421" s="217" t="inlineStr"/>
    </row>
    <row r="2422" ht="15.75" customHeight="1" s="305">
      <c r="A2422" s="215" t="n"/>
      <c r="B2422" s="115" t="n"/>
      <c r="C2422" s="67" t="n"/>
      <c r="D2422" s="3" t="n"/>
      <c r="E2422" s="3" t="n"/>
      <c r="G2422" t="inlineStr"/>
      <c r="H2422" t="inlineStr"/>
      <c r="I2422" s="111" t="n"/>
      <c r="J2422" s="217" t="inlineStr"/>
    </row>
    <row r="2423" ht="15.75" customHeight="1" s="305">
      <c r="A2423" s="215" t="n"/>
      <c r="B2423" s="115" t="n"/>
      <c r="C2423" s="67" t="n"/>
      <c r="D2423" s="3" t="n"/>
      <c r="E2423" s="3" t="n"/>
      <c r="G2423" t="inlineStr"/>
      <c r="H2423" t="inlineStr"/>
      <c r="I2423" s="111" t="n"/>
      <c r="J2423" s="217" t="inlineStr"/>
    </row>
    <row r="2424" ht="15.75" customHeight="1" s="305">
      <c r="A2424" s="215" t="n"/>
      <c r="B2424" s="115" t="n"/>
      <c r="C2424" s="67" t="n"/>
      <c r="D2424" s="3" t="n"/>
      <c r="E2424" s="3" t="n"/>
      <c r="G2424" t="inlineStr"/>
      <c r="H2424" t="inlineStr"/>
      <c r="I2424" s="111" t="n"/>
      <c r="J2424" s="217" t="inlineStr"/>
    </row>
    <row r="2425" ht="15.75" customHeight="1" s="305">
      <c r="A2425" s="215" t="n"/>
      <c r="B2425" s="115" t="n"/>
      <c r="C2425" s="67" t="n"/>
      <c r="D2425" s="3" t="n"/>
      <c r="E2425" s="3" t="n"/>
      <c r="G2425" t="inlineStr"/>
      <c r="H2425" t="inlineStr"/>
      <c r="I2425" s="111" t="n"/>
      <c r="J2425" s="217" t="inlineStr"/>
    </row>
    <row r="2426" ht="15.75" customHeight="1" s="305">
      <c r="A2426" s="215" t="n"/>
      <c r="B2426" s="115" t="n"/>
      <c r="C2426" s="67" t="n"/>
      <c r="D2426" s="3" t="n"/>
      <c r="E2426" s="3" t="n"/>
      <c r="G2426" t="inlineStr"/>
      <c r="H2426" t="inlineStr"/>
      <c r="I2426" s="111" t="n"/>
      <c r="J2426" s="217" t="inlineStr"/>
    </row>
    <row r="2427" ht="15.75" customHeight="1" s="305">
      <c r="A2427" s="215" t="n"/>
      <c r="B2427" s="115" t="n"/>
      <c r="C2427" s="67" t="n"/>
      <c r="D2427" s="3" t="n"/>
      <c r="E2427" s="3" t="n"/>
      <c r="G2427" t="inlineStr"/>
      <c r="H2427" t="inlineStr"/>
      <c r="I2427" s="111" t="n"/>
      <c r="J2427" s="217" t="inlineStr"/>
    </row>
    <row r="2428" ht="15.75" customHeight="1" s="305">
      <c r="A2428" s="215" t="n"/>
      <c r="B2428" s="115" t="n"/>
      <c r="C2428" s="67" t="n"/>
      <c r="D2428" s="3" t="n"/>
      <c r="E2428" s="3" t="n"/>
      <c r="G2428" t="inlineStr"/>
      <c r="H2428" t="inlineStr"/>
      <c r="I2428" s="111" t="n"/>
      <c r="J2428" s="217" t="inlineStr"/>
    </row>
    <row r="2429" ht="15.75" customHeight="1" s="305">
      <c r="A2429" s="215" t="n"/>
      <c r="B2429" s="115" t="n"/>
      <c r="C2429" s="67" t="n"/>
      <c r="D2429" s="3" t="n"/>
      <c r="E2429" s="3" t="n"/>
      <c r="G2429" t="inlineStr"/>
      <c r="H2429" t="inlineStr"/>
      <c r="I2429" s="111" t="n"/>
      <c r="J2429" s="217" t="inlineStr"/>
    </row>
    <row r="2430" ht="15.75" customHeight="1" s="305">
      <c r="A2430" s="215" t="n"/>
      <c r="B2430" s="115" t="n"/>
      <c r="C2430" s="67" t="n"/>
      <c r="D2430" s="3" t="n"/>
      <c r="E2430" s="3" t="n"/>
      <c r="G2430" t="inlineStr"/>
      <c r="H2430" t="inlineStr"/>
      <c r="I2430" s="111" t="n"/>
      <c r="J2430" s="217" t="inlineStr"/>
    </row>
    <row r="2431" ht="15.75" customHeight="1" s="305">
      <c r="A2431" s="215" t="n"/>
      <c r="B2431" s="115" t="n"/>
      <c r="C2431" s="67" t="n"/>
      <c r="D2431" s="3" t="n"/>
      <c r="E2431" s="3" t="n"/>
      <c r="G2431" t="inlineStr"/>
      <c r="H2431" t="inlineStr"/>
      <c r="I2431" s="111" t="n"/>
      <c r="J2431" s="217" t="inlineStr"/>
    </row>
    <row r="2432" ht="15.75" customHeight="1" s="305">
      <c r="A2432" s="215" t="n"/>
      <c r="B2432" s="115" t="n"/>
      <c r="C2432" s="67" t="n"/>
      <c r="D2432" s="3" t="n"/>
      <c r="E2432" s="3" t="n"/>
      <c r="G2432" t="inlineStr"/>
      <c r="H2432" t="inlineStr"/>
      <c r="I2432" s="111" t="n"/>
      <c r="J2432" s="217" t="inlineStr"/>
    </row>
    <row r="2433" ht="15.75" customHeight="1" s="305">
      <c r="A2433" s="215" t="n"/>
      <c r="B2433" s="115" t="n"/>
      <c r="C2433" s="67" t="n"/>
      <c r="D2433" s="3" t="n"/>
      <c r="E2433" s="3" t="n"/>
      <c r="G2433" t="inlineStr"/>
      <c r="H2433" t="inlineStr"/>
      <c r="I2433" s="111" t="n"/>
      <c r="J2433" s="217" t="inlineStr"/>
    </row>
    <row r="2434" ht="15.75" customHeight="1" s="305">
      <c r="A2434" s="215" t="n"/>
      <c r="B2434" s="115" t="n"/>
      <c r="C2434" s="67" t="n"/>
      <c r="D2434" s="3" t="n"/>
      <c r="E2434" s="3" t="n"/>
      <c r="G2434" t="inlineStr"/>
      <c r="H2434" t="inlineStr"/>
      <c r="I2434" s="111" t="n"/>
      <c r="J2434" s="217" t="inlineStr"/>
    </row>
    <row r="2435" ht="15.75" customHeight="1" s="305">
      <c r="A2435" s="215" t="n"/>
      <c r="B2435" s="115" t="n"/>
      <c r="C2435" s="67" t="n"/>
      <c r="D2435" s="3" t="n"/>
      <c r="E2435" s="3" t="n"/>
      <c r="G2435" t="inlineStr"/>
      <c r="H2435" t="inlineStr"/>
      <c r="I2435" s="111" t="n"/>
      <c r="J2435" s="217" t="inlineStr"/>
    </row>
    <row r="2436" ht="15.75" customHeight="1" s="305">
      <c r="A2436" s="215" t="n"/>
      <c r="B2436" s="115" t="n"/>
      <c r="C2436" s="67" t="n"/>
      <c r="D2436" s="3" t="n"/>
      <c r="E2436" s="3" t="n"/>
      <c r="G2436" t="inlineStr"/>
      <c r="H2436" t="inlineStr"/>
      <c r="I2436" s="111" t="n"/>
      <c r="J2436" s="217" t="inlineStr"/>
    </row>
    <row r="2437" ht="15.75" customHeight="1" s="305">
      <c r="A2437" s="215" t="n"/>
      <c r="B2437" s="115" t="n"/>
      <c r="C2437" s="67" t="n"/>
      <c r="D2437" s="3" t="n"/>
      <c r="E2437" s="3" t="n"/>
      <c r="G2437" t="inlineStr"/>
      <c r="H2437" t="inlineStr"/>
      <c r="I2437" s="111" t="n"/>
      <c r="J2437" s="217" t="inlineStr"/>
    </row>
    <row r="2438" ht="15.75" customHeight="1" s="305">
      <c r="A2438" s="215" t="n"/>
      <c r="B2438" s="115" t="n"/>
      <c r="C2438" s="67" t="n"/>
      <c r="D2438" s="3" t="n"/>
      <c r="E2438" s="3" t="n"/>
      <c r="G2438" t="inlineStr"/>
      <c r="H2438" t="inlineStr"/>
      <c r="I2438" s="111" t="n"/>
      <c r="J2438" s="217" t="inlineStr"/>
    </row>
    <row r="2439" ht="15.75" customHeight="1" s="305">
      <c r="A2439" s="215" t="n"/>
      <c r="B2439" s="115" t="n"/>
      <c r="C2439" s="67" t="n"/>
      <c r="D2439" s="3" t="n"/>
      <c r="E2439" s="3" t="n"/>
      <c r="G2439" t="inlineStr"/>
      <c r="H2439" t="inlineStr"/>
      <c r="I2439" s="111" t="n"/>
      <c r="J2439" s="217" t="inlineStr"/>
    </row>
    <row r="2440" ht="15.75" customHeight="1" s="305">
      <c r="A2440" s="215" t="n"/>
      <c r="B2440" s="115" t="n"/>
      <c r="C2440" s="67" t="n"/>
      <c r="D2440" s="3" t="n"/>
      <c r="E2440" s="3" t="n"/>
      <c r="G2440" t="inlineStr"/>
      <c r="H2440" t="inlineStr"/>
      <c r="I2440" s="111" t="n"/>
      <c r="J2440" s="217" t="inlineStr"/>
    </row>
    <row r="2441" ht="15.75" customHeight="1" s="305">
      <c r="A2441" s="215" t="n"/>
      <c r="B2441" s="115" t="n"/>
      <c r="C2441" s="67" t="n"/>
      <c r="D2441" s="3" t="n"/>
      <c r="E2441" s="3" t="n"/>
      <c r="G2441" t="inlineStr"/>
      <c r="H2441" t="inlineStr"/>
      <c r="I2441" s="111" t="n"/>
      <c r="J2441" s="217" t="inlineStr"/>
    </row>
    <row r="2442" ht="15.75" customHeight="1" s="305">
      <c r="A2442" s="215" t="n"/>
      <c r="B2442" s="115" t="n"/>
      <c r="C2442" s="67" t="n"/>
      <c r="D2442" s="3" t="n"/>
      <c r="E2442" s="3" t="n"/>
      <c r="G2442" t="inlineStr"/>
      <c r="H2442" t="inlineStr"/>
      <c r="I2442" s="111" t="n"/>
      <c r="J2442" s="217" t="inlineStr"/>
    </row>
    <row r="2443" ht="15.75" customHeight="1" s="305">
      <c r="A2443" s="215" t="n"/>
      <c r="B2443" s="115" t="n"/>
      <c r="C2443" s="67" t="n"/>
      <c r="D2443" s="3" t="n"/>
      <c r="E2443" s="3" t="n"/>
      <c r="G2443" t="inlineStr"/>
      <c r="H2443" t="inlineStr"/>
      <c r="I2443" s="111" t="n"/>
      <c r="J2443" s="217" t="inlineStr"/>
    </row>
    <row r="2444" ht="15.75" customHeight="1" s="305">
      <c r="A2444" s="215" t="n"/>
      <c r="B2444" s="115" t="n"/>
      <c r="C2444" s="67" t="n"/>
      <c r="D2444" s="3" t="n"/>
      <c r="E2444" s="3" t="n"/>
      <c r="G2444" t="inlineStr"/>
      <c r="H2444" t="inlineStr"/>
      <c r="I2444" s="111" t="n"/>
      <c r="J2444" s="217" t="inlineStr"/>
    </row>
    <row r="2445" ht="15.75" customHeight="1" s="305">
      <c r="A2445" s="215" t="n"/>
      <c r="B2445" s="115" t="n"/>
      <c r="C2445" s="67" t="n"/>
      <c r="D2445" s="3" t="n"/>
      <c r="E2445" s="3" t="n"/>
      <c r="G2445" t="inlineStr"/>
      <c r="H2445" t="inlineStr"/>
      <c r="I2445" s="111" t="n"/>
      <c r="J2445" s="217" t="inlineStr"/>
    </row>
    <row r="2446" ht="15.75" customHeight="1" s="305">
      <c r="A2446" s="215" t="n"/>
      <c r="B2446" s="115" t="n"/>
      <c r="C2446" s="67" t="n"/>
      <c r="D2446" s="3" t="n"/>
      <c r="E2446" s="3" t="n"/>
      <c r="G2446" t="inlineStr"/>
      <c r="H2446" t="inlineStr"/>
      <c r="I2446" s="111" t="n"/>
      <c r="J2446" s="217" t="inlineStr"/>
    </row>
    <row r="2447" ht="15.75" customHeight="1" s="305">
      <c r="A2447" s="215" t="n"/>
      <c r="B2447" s="115" t="n"/>
      <c r="C2447" s="67" t="n"/>
      <c r="D2447" s="3" t="n"/>
      <c r="E2447" s="3" t="n"/>
      <c r="G2447" t="inlineStr"/>
      <c r="H2447" t="inlineStr"/>
      <c r="I2447" s="111" t="n"/>
      <c r="J2447" s="217" t="inlineStr"/>
    </row>
    <row r="2448" ht="15.75" customHeight="1" s="305">
      <c r="A2448" s="215" t="n"/>
      <c r="B2448" s="115" t="n"/>
      <c r="C2448" s="67" t="n"/>
      <c r="D2448" s="3" t="n"/>
      <c r="E2448" s="3" t="n"/>
      <c r="G2448" t="inlineStr"/>
      <c r="H2448" t="inlineStr"/>
      <c r="I2448" s="111" t="n"/>
      <c r="J2448" s="217" t="inlineStr"/>
    </row>
    <row r="2449" ht="15.75" customHeight="1" s="305">
      <c r="A2449" s="215" t="n"/>
      <c r="B2449" s="115" t="n"/>
      <c r="C2449" s="67" t="n"/>
      <c r="D2449" s="3" t="n"/>
      <c r="E2449" s="3" t="n"/>
      <c r="G2449" t="inlineStr"/>
      <c r="H2449" t="inlineStr"/>
      <c r="I2449" s="111" t="n"/>
      <c r="J2449" s="217" t="inlineStr"/>
    </row>
    <row r="2450" ht="15.75" customHeight="1" s="305">
      <c r="A2450" s="215" t="n"/>
      <c r="B2450" s="115" t="n"/>
      <c r="C2450" s="67" t="n"/>
      <c r="D2450" s="3" t="n"/>
      <c r="E2450" s="3" t="n"/>
      <c r="G2450" t="inlineStr"/>
      <c r="H2450" t="inlineStr"/>
      <c r="I2450" s="111" t="n"/>
      <c r="J2450" s="217" t="inlineStr"/>
    </row>
    <row r="2451" ht="15.75" customHeight="1" s="305">
      <c r="A2451" s="215" t="n"/>
      <c r="B2451" s="115" t="n"/>
      <c r="C2451" s="67" t="n"/>
      <c r="D2451" s="3" t="n"/>
      <c r="E2451" s="3" t="n"/>
      <c r="G2451" t="inlineStr"/>
      <c r="H2451" t="inlineStr"/>
      <c r="I2451" s="111" t="n"/>
      <c r="J2451" s="217" t="inlineStr"/>
    </row>
    <row r="2452" ht="15.75" customHeight="1" s="305">
      <c r="A2452" s="215" t="n"/>
      <c r="B2452" s="115" t="n"/>
      <c r="C2452" s="67" t="n"/>
      <c r="D2452" s="3" t="n"/>
      <c r="E2452" s="3" t="n"/>
      <c r="G2452" t="inlineStr"/>
      <c r="H2452" t="inlineStr"/>
      <c r="I2452" s="111" t="n"/>
      <c r="J2452" s="217" t="inlineStr"/>
    </row>
    <row r="2453" ht="15.75" customHeight="1" s="305">
      <c r="A2453" s="215" t="n"/>
      <c r="B2453" s="115" t="n"/>
      <c r="C2453" s="67" t="n"/>
      <c r="D2453" s="3" t="n"/>
      <c r="E2453" s="3" t="n"/>
      <c r="G2453" t="inlineStr"/>
      <c r="H2453" t="inlineStr"/>
      <c r="I2453" s="111" t="n"/>
      <c r="J2453" s="217" t="inlineStr"/>
    </row>
    <row r="2454" ht="15.75" customHeight="1" s="305">
      <c r="A2454" s="215" t="n"/>
      <c r="B2454" s="115" t="n"/>
      <c r="C2454" s="67" t="n"/>
      <c r="D2454" s="3" t="n"/>
      <c r="E2454" s="3" t="n"/>
      <c r="G2454" t="inlineStr"/>
      <c r="H2454" t="inlineStr"/>
      <c r="I2454" s="111" t="n"/>
      <c r="J2454" s="217" t="inlineStr"/>
    </row>
    <row r="2455" ht="15.75" customHeight="1" s="305">
      <c r="A2455" s="215" t="n"/>
      <c r="B2455" s="115" t="n"/>
      <c r="C2455" s="67" t="n"/>
      <c r="D2455" s="3" t="n"/>
      <c r="E2455" s="3" t="n"/>
      <c r="G2455" t="inlineStr"/>
      <c r="H2455" t="inlineStr"/>
      <c r="I2455" s="111" t="n"/>
      <c r="J2455" s="217" t="inlineStr"/>
    </row>
    <row r="2456" ht="15.75" customHeight="1" s="305">
      <c r="A2456" s="215" t="n"/>
      <c r="B2456" s="115" t="n"/>
      <c r="C2456" s="67" t="n"/>
      <c r="D2456" s="3" t="n"/>
      <c r="E2456" s="3" t="n"/>
      <c r="G2456" t="inlineStr"/>
      <c r="H2456" t="inlineStr"/>
      <c r="I2456" s="111" t="n"/>
      <c r="J2456" s="217" t="inlineStr"/>
    </row>
    <row r="2457" ht="15.75" customHeight="1" s="305">
      <c r="A2457" s="215" t="n"/>
      <c r="B2457" s="115" t="n"/>
      <c r="C2457" s="67" t="n"/>
      <c r="D2457" s="3" t="n"/>
      <c r="E2457" s="3" t="n"/>
      <c r="G2457" t="inlineStr"/>
      <c r="H2457" t="inlineStr"/>
      <c r="I2457" s="111" t="n"/>
      <c r="J2457" s="217" t="inlineStr"/>
    </row>
    <row r="2458" ht="15.75" customHeight="1" s="305">
      <c r="A2458" s="215" t="n"/>
      <c r="B2458" s="115" t="n"/>
      <c r="C2458" s="67" t="n"/>
      <c r="D2458" s="3" t="n"/>
      <c r="E2458" s="3" t="n"/>
      <c r="G2458" t="inlineStr"/>
      <c r="H2458" t="inlineStr"/>
      <c r="I2458" s="111" t="n"/>
      <c r="J2458" s="217" t="inlineStr"/>
    </row>
    <row r="2459" ht="15.75" customHeight="1" s="305">
      <c r="A2459" s="215" t="n"/>
      <c r="B2459" s="115" t="n"/>
      <c r="C2459" s="67" t="n"/>
      <c r="D2459" s="3" t="n"/>
      <c r="E2459" s="3" t="n"/>
      <c r="G2459" t="inlineStr"/>
      <c r="H2459" t="inlineStr"/>
      <c r="I2459" s="111" t="n"/>
      <c r="J2459" s="217" t="inlineStr"/>
    </row>
    <row r="2460" ht="15.75" customHeight="1" s="305">
      <c r="A2460" s="215" t="n"/>
      <c r="B2460" s="115" t="n"/>
      <c r="C2460" s="67" t="n"/>
      <c r="D2460" s="3" t="n"/>
      <c r="E2460" s="3" t="n"/>
      <c r="G2460" t="inlineStr"/>
      <c r="H2460" t="inlineStr"/>
      <c r="I2460" s="111" t="n"/>
      <c r="J2460" s="217" t="inlineStr"/>
    </row>
    <row r="2461" ht="15.75" customHeight="1" s="305">
      <c r="A2461" s="215" t="n"/>
      <c r="B2461" s="115" t="n"/>
      <c r="C2461" s="67" t="n"/>
      <c r="D2461" s="3" t="n"/>
      <c r="E2461" s="3" t="n"/>
      <c r="G2461" t="inlineStr"/>
      <c r="H2461" t="inlineStr"/>
      <c r="I2461" s="111" t="n"/>
      <c r="J2461" s="217" t="inlineStr"/>
    </row>
    <row r="2462" ht="15.75" customHeight="1" s="305">
      <c r="A2462" s="215" t="n"/>
      <c r="B2462" s="115" t="n"/>
      <c r="C2462" s="67" t="n"/>
      <c r="D2462" s="3" t="n"/>
      <c r="E2462" s="3" t="n"/>
      <c r="G2462" t="inlineStr"/>
      <c r="H2462" t="inlineStr"/>
      <c r="I2462" s="111" t="n"/>
      <c r="J2462" s="217" t="inlineStr"/>
    </row>
    <row r="2463" ht="15.75" customHeight="1" s="305">
      <c r="A2463" s="215" t="n"/>
      <c r="B2463" s="115" t="n"/>
      <c r="C2463" s="67" t="n"/>
      <c r="D2463" s="3" t="n"/>
      <c r="E2463" s="3" t="n"/>
      <c r="G2463" t="inlineStr"/>
      <c r="H2463" t="inlineStr"/>
      <c r="I2463" s="111" t="n"/>
      <c r="J2463" s="217" t="inlineStr"/>
    </row>
    <row r="2464" ht="15.75" customHeight="1" s="305">
      <c r="A2464" s="215" t="n"/>
      <c r="B2464" s="115" t="n"/>
      <c r="C2464" s="67" t="n"/>
      <c r="D2464" s="3" t="n"/>
      <c r="E2464" s="3" t="n"/>
      <c r="G2464" t="inlineStr"/>
      <c r="H2464" t="inlineStr"/>
      <c r="I2464" s="111" t="n"/>
      <c r="J2464" s="217" t="inlineStr"/>
    </row>
    <row r="2465" ht="15.75" customHeight="1" s="305">
      <c r="A2465" s="215" t="n"/>
      <c r="B2465" s="115" t="n"/>
      <c r="C2465" s="67" t="n"/>
      <c r="D2465" s="3" t="n"/>
      <c r="E2465" s="3" t="n"/>
      <c r="G2465" t="inlineStr"/>
      <c r="H2465" t="inlineStr"/>
      <c r="I2465" s="111" t="n"/>
      <c r="J2465" s="217" t="inlineStr"/>
    </row>
    <row r="2466" ht="15.75" customHeight="1" s="305">
      <c r="A2466" s="215" t="n"/>
      <c r="B2466" s="115" t="n"/>
      <c r="C2466" s="67" t="n"/>
      <c r="D2466" s="3" t="n"/>
      <c r="E2466" s="3" t="n"/>
      <c r="G2466" t="inlineStr"/>
      <c r="H2466" t="inlineStr"/>
      <c r="I2466" s="111" t="n"/>
      <c r="J2466" s="217" t="inlineStr"/>
    </row>
    <row r="2467" ht="15.75" customHeight="1" s="305">
      <c r="A2467" s="215" t="n"/>
      <c r="B2467" s="115" t="n"/>
      <c r="C2467" s="67" t="n"/>
      <c r="D2467" s="3" t="n"/>
      <c r="E2467" s="3" t="n"/>
      <c r="G2467" t="inlineStr"/>
      <c r="H2467" t="inlineStr"/>
      <c r="I2467" s="111" t="n"/>
      <c r="J2467" s="217" t="inlineStr"/>
    </row>
    <row r="2468" ht="15.75" customHeight="1" s="305">
      <c r="A2468" s="215" t="n"/>
      <c r="B2468" s="115" t="n"/>
      <c r="C2468" s="67" t="n"/>
      <c r="D2468" s="3" t="n"/>
      <c r="E2468" s="3" t="n"/>
      <c r="G2468" t="inlineStr"/>
      <c r="H2468" t="inlineStr"/>
      <c r="I2468" s="111" t="n"/>
      <c r="J2468" s="217" t="inlineStr"/>
    </row>
    <row r="2469" ht="15.75" customHeight="1" s="305">
      <c r="A2469" s="215" t="n"/>
      <c r="B2469" s="115" t="n"/>
      <c r="C2469" s="67" t="n"/>
      <c r="D2469" s="3" t="n"/>
      <c r="E2469" s="3" t="n"/>
      <c r="G2469" t="inlineStr"/>
      <c r="H2469" t="inlineStr"/>
      <c r="I2469" s="111" t="n"/>
      <c r="J2469" s="217" t="inlineStr"/>
    </row>
    <row r="2470" ht="15.75" customHeight="1" s="305">
      <c r="A2470" s="215" t="n"/>
      <c r="B2470" s="115" t="n"/>
      <c r="C2470" s="67" t="n"/>
      <c r="D2470" s="3" t="n"/>
      <c r="E2470" s="3" t="n"/>
      <c r="G2470" t="inlineStr"/>
      <c r="H2470" t="inlineStr"/>
      <c r="I2470" s="111" t="n"/>
      <c r="J2470" s="217" t="inlineStr"/>
    </row>
    <row r="2471" ht="15.75" customHeight="1" s="305">
      <c r="A2471" s="215" t="n"/>
      <c r="B2471" s="115" t="n"/>
      <c r="C2471" s="67" t="n"/>
      <c r="D2471" s="3" t="n"/>
      <c r="E2471" s="3" t="n"/>
      <c r="G2471" t="inlineStr"/>
      <c r="H2471" t="inlineStr"/>
      <c r="I2471" s="111" t="n"/>
      <c r="J2471" s="217" t="inlineStr"/>
    </row>
    <row r="2472" ht="15.75" customHeight="1" s="305">
      <c r="A2472" s="215" t="n"/>
      <c r="B2472" s="115" t="n"/>
      <c r="C2472" s="67" t="n"/>
      <c r="D2472" s="3" t="n"/>
      <c r="E2472" s="3" t="n"/>
      <c r="G2472" t="inlineStr"/>
      <c r="H2472" t="inlineStr"/>
      <c r="I2472" s="111" t="n"/>
      <c r="J2472" s="217" t="inlineStr"/>
    </row>
    <row r="2473" ht="15.75" customHeight="1" s="305">
      <c r="A2473" s="215" t="n"/>
      <c r="B2473" s="115" t="n"/>
      <c r="C2473" s="67" t="n"/>
      <c r="D2473" s="3" t="n"/>
      <c r="E2473" s="3" t="n"/>
      <c r="G2473" t="inlineStr"/>
      <c r="H2473" t="inlineStr"/>
      <c r="I2473" s="111" t="n"/>
      <c r="J2473" s="217" t="inlineStr"/>
    </row>
    <row r="2474" ht="15.75" customHeight="1" s="305">
      <c r="A2474" s="215" t="n"/>
      <c r="B2474" s="115" t="n"/>
      <c r="C2474" s="67" t="n"/>
      <c r="D2474" s="3" t="n"/>
      <c r="E2474" s="3" t="n"/>
      <c r="G2474" t="inlineStr"/>
      <c r="H2474" t="inlineStr"/>
      <c r="I2474" s="111" t="n"/>
      <c r="J2474" s="217" t="inlineStr"/>
    </row>
    <row r="2475" ht="15.75" customHeight="1" s="305">
      <c r="A2475" s="215" t="n"/>
      <c r="B2475" s="115" t="n"/>
      <c r="C2475" s="67" t="n"/>
      <c r="D2475" s="3" t="n"/>
      <c r="E2475" s="3" t="n"/>
      <c r="G2475" t="inlineStr"/>
      <c r="H2475" t="inlineStr"/>
      <c r="I2475" s="111" t="n"/>
      <c r="J2475" s="217" t="inlineStr"/>
    </row>
    <row r="2476" ht="15.75" customHeight="1" s="305">
      <c r="A2476" s="215" t="n"/>
      <c r="B2476" s="115" t="n"/>
      <c r="C2476" s="67" t="n"/>
      <c r="D2476" s="3" t="n"/>
      <c r="E2476" s="3" t="n"/>
      <c r="G2476" t="inlineStr"/>
      <c r="H2476" t="inlineStr"/>
      <c r="I2476" s="111" t="n"/>
      <c r="J2476" s="217" t="inlineStr"/>
    </row>
    <row r="2477" ht="15.75" customHeight="1" s="305">
      <c r="A2477" s="215" t="n"/>
      <c r="B2477" s="115" t="n"/>
      <c r="C2477" s="67" t="n"/>
      <c r="D2477" s="3" t="n"/>
      <c r="E2477" s="3" t="n"/>
      <c r="G2477" t="inlineStr"/>
      <c r="H2477" t="inlineStr"/>
      <c r="I2477" s="111" t="n"/>
      <c r="J2477" s="217" t="inlineStr"/>
    </row>
    <row r="2478" ht="15.75" customHeight="1" s="305">
      <c r="A2478" s="215" t="n"/>
      <c r="B2478" s="115" t="n"/>
      <c r="C2478" s="67" t="n"/>
      <c r="D2478" s="3" t="n"/>
      <c r="E2478" s="3" t="n"/>
      <c r="G2478" t="inlineStr"/>
      <c r="H2478" t="inlineStr"/>
      <c r="I2478" s="111" t="n"/>
      <c r="J2478" s="217" t="inlineStr"/>
    </row>
    <row r="2479" ht="15.75" customHeight="1" s="305">
      <c r="A2479" s="215" t="n"/>
      <c r="B2479" s="115" t="n"/>
      <c r="C2479" s="67" t="n"/>
      <c r="D2479" s="3" t="n"/>
      <c r="E2479" s="3" t="n"/>
      <c r="G2479" t="inlineStr"/>
      <c r="H2479" t="inlineStr"/>
      <c r="I2479" s="111" t="n"/>
      <c r="J2479" s="217" t="inlineStr"/>
    </row>
    <row r="2480" ht="15.75" customHeight="1" s="305">
      <c r="A2480" s="215" t="n"/>
      <c r="B2480" s="115" t="n"/>
      <c r="C2480" s="67" t="n"/>
      <c r="D2480" s="3" t="n"/>
      <c r="E2480" s="3" t="n"/>
      <c r="G2480" t="inlineStr"/>
      <c r="H2480" t="inlineStr"/>
      <c r="I2480" s="111" t="n"/>
      <c r="J2480" s="217" t="inlineStr"/>
    </row>
    <row r="2481" ht="15.75" customHeight="1" s="305">
      <c r="A2481" s="215" t="n"/>
      <c r="B2481" s="115" t="n"/>
      <c r="C2481" s="67" t="n"/>
      <c r="D2481" s="3" t="n"/>
      <c r="E2481" s="3" t="n"/>
      <c r="G2481" t="inlineStr"/>
      <c r="H2481" t="inlineStr"/>
      <c r="I2481" s="111" t="n"/>
      <c r="J2481" s="217" t="inlineStr"/>
    </row>
    <row r="2482" ht="15.75" customHeight="1" s="305">
      <c r="A2482" s="215" t="n"/>
      <c r="B2482" s="115" t="n"/>
      <c r="C2482" s="67" t="n"/>
      <c r="D2482" s="3" t="n"/>
      <c r="E2482" s="3" t="n"/>
      <c r="G2482" t="inlineStr"/>
      <c r="H2482" t="inlineStr"/>
      <c r="I2482" s="111" t="n"/>
      <c r="J2482" s="217" t="inlineStr"/>
    </row>
    <row r="2483" ht="15.75" customHeight="1" s="305">
      <c r="A2483" s="215" t="n"/>
      <c r="B2483" s="115" t="n"/>
      <c r="C2483" s="67" t="n"/>
      <c r="D2483" s="3" t="n"/>
      <c r="E2483" s="3" t="n"/>
      <c r="G2483" t="inlineStr"/>
      <c r="H2483" t="inlineStr"/>
      <c r="I2483" s="111" t="n"/>
      <c r="J2483" s="217" t="inlineStr"/>
    </row>
    <row r="2484" ht="15.75" customHeight="1" s="305">
      <c r="A2484" s="215" t="n"/>
      <c r="B2484" s="115" t="n"/>
      <c r="C2484" s="67" t="n"/>
      <c r="D2484" s="3" t="n"/>
      <c r="E2484" s="3" t="n"/>
      <c r="G2484" t="inlineStr"/>
      <c r="H2484" t="inlineStr"/>
      <c r="I2484" s="111" t="n"/>
      <c r="J2484" s="217" t="inlineStr"/>
    </row>
    <row r="2485" ht="15.75" customHeight="1" s="305">
      <c r="A2485" s="215" t="n"/>
      <c r="B2485" s="115" t="n"/>
      <c r="C2485" s="67" t="n"/>
      <c r="D2485" s="3" t="n"/>
      <c r="E2485" s="3" t="n"/>
      <c r="G2485" t="inlineStr"/>
      <c r="H2485" t="inlineStr"/>
      <c r="I2485" s="111" t="n"/>
      <c r="J2485" s="217" t="inlineStr"/>
    </row>
    <row r="2486" ht="15.75" customHeight="1" s="305">
      <c r="A2486" s="215" t="n"/>
      <c r="B2486" s="115" t="n"/>
      <c r="C2486" s="67" t="n"/>
      <c r="D2486" s="3" t="n"/>
      <c r="E2486" s="3" t="n"/>
      <c r="G2486" t="inlineStr"/>
      <c r="H2486" t="inlineStr"/>
      <c r="I2486" s="111" t="n"/>
      <c r="J2486" s="217" t="inlineStr"/>
    </row>
    <row r="2487" ht="15.75" customHeight="1" s="305">
      <c r="A2487" s="215" t="n"/>
      <c r="B2487" s="115" t="n"/>
      <c r="C2487" s="67" t="n"/>
      <c r="D2487" s="3" t="n"/>
      <c r="E2487" s="3" t="n"/>
      <c r="G2487" t="inlineStr"/>
      <c r="H2487" t="inlineStr"/>
      <c r="I2487" s="111" t="n"/>
      <c r="J2487" s="217" t="inlineStr"/>
    </row>
    <row r="2488" ht="15.75" customHeight="1" s="305">
      <c r="A2488" s="215" t="n"/>
      <c r="B2488" s="115" t="n"/>
      <c r="C2488" s="67" t="n"/>
      <c r="D2488" s="3" t="n"/>
      <c r="E2488" s="3" t="n"/>
      <c r="G2488" t="inlineStr"/>
      <c r="H2488" t="inlineStr"/>
      <c r="I2488" s="111" t="n"/>
      <c r="J2488" s="217" t="inlineStr"/>
    </row>
    <row r="2489" ht="15.75" customHeight="1" s="305">
      <c r="A2489" s="215" t="n"/>
      <c r="B2489" s="115" t="n"/>
      <c r="C2489" s="67" t="n"/>
      <c r="D2489" s="3" t="n"/>
      <c r="E2489" s="3" t="n"/>
      <c r="G2489" t="inlineStr"/>
      <c r="H2489" t="inlineStr"/>
      <c r="I2489" s="111" t="n"/>
      <c r="J2489" s="217" t="inlineStr"/>
    </row>
    <row r="2490" ht="15.75" customHeight="1" s="305">
      <c r="A2490" s="215" t="n"/>
      <c r="B2490" s="115" t="n"/>
      <c r="C2490" s="67" t="n"/>
      <c r="D2490" s="3" t="n"/>
      <c r="E2490" s="3" t="n"/>
      <c r="G2490" t="inlineStr"/>
      <c r="H2490" t="inlineStr"/>
      <c r="I2490" s="111" t="n"/>
      <c r="J2490" s="217" t="inlineStr"/>
    </row>
    <row r="2491" ht="15.75" customHeight="1" s="305">
      <c r="A2491" s="215" t="n"/>
      <c r="B2491" s="115" t="n"/>
      <c r="C2491" s="67" t="n"/>
      <c r="D2491" s="3" t="n"/>
      <c r="E2491" s="3" t="n"/>
      <c r="G2491" t="inlineStr"/>
      <c r="H2491" t="inlineStr"/>
      <c r="I2491" s="111" t="n"/>
      <c r="J2491" s="217" t="inlineStr"/>
    </row>
    <row r="2492" ht="15.75" customHeight="1" s="305">
      <c r="A2492" s="215" t="n"/>
      <c r="B2492" s="115" t="n"/>
      <c r="C2492" s="67" t="n"/>
      <c r="D2492" s="3" t="n"/>
      <c r="E2492" s="3" t="n"/>
      <c r="G2492" t="inlineStr"/>
      <c r="H2492" t="inlineStr"/>
      <c r="I2492" s="111" t="n"/>
      <c r="J2492" s="217" t="inlineStr"/>
    </row>
    <row r="2493" ht="15.75" customHeight="1" s="305">
      <c r="A2493" s="215" t="n"/>
      <c r="B2493" s="115" t="n"/>
      <c r="C2493" s="67" t="n"/>
      <c r="D2493" s="3" t="n"/>
      <c r="E2493" s="3" t="n"/>
      <c r="G2493" t="inlineStr"/>
      <c r="H2493" t="inlineStr"/>
      <c r="I2493" s="111" t="n"/>
      <c r="J2493" s="217" t="inlineStr"/>
    </row>
    <row r="2494" ht="15.75" customHeight="1" s="305">
      <c r="A2494" s="215" t="n"/>
      <c r="B2494" s="115" t="n"/>
      <c r="C2494" s="67" t="n"/>
      <c r="D2494" s="3" t="n"/>
      <c r="E2494" s="3" t="n"/>
      <c r="G2494" t="inlineStr"/>
      <c r="H2494" t="inlineStr"/>
      <c r="I2494" s="111" t="n"/>
      <c r="J2494" s="217" t="inlineStr"/>
    </row>
    <row r="2495" ht="15.75" customHeight="1" s="305">
      <c r="A2495" s="215" t="n"/>
      <c r="B2495" s="115" t="n"/>
      <c r="C2495" s="67" t="n"/>
      <c r="D2495" s="3" t="n"/>
      <c r="E2495" s="3" t="n"/>
      <c r="G2495" t="inlineStr"/>
      <c r="H2495" t="inlineStr"/>
      <c r="I2495" s="111" t="n"/>
      <c r="J2495" s="217" t="inlineStr"/>
    </row>
    <row r="2496" ht="15.75" customHeight="1" s="305">
      <c r="A2496" s="215" t="n"/>
      <c r="B2496" s="115" t="n"/>
      <c r="C2496" s="67" t="n"/>
      <c r="D2496" s="3" t="n"/>
      <c r="E2496" s="3" t="n"/>
      <c r="G2496" t="inlineStr"/>
      <c r="H2496" t="inlineStr"/>
      <c r="I2496" s="111" t="n"/>
      <c r="J2496" s="217" t="inlineStr"/>
    </row>
    <row r="2497" ht="15.75" customHeight="1" s="305">
      <c r="A2497" s="215" t="n"/>
      <c r="B2497" s="115" t="n"/>
      <c r="C2497" s="67" t="n"/>
      <c r="D2497" s="3" t="n"/>
      <c r="E2497" s="3" t="n"/>
      <c r="G2497" t="inlineStr"/>
      <c r="H2497" t="inlineStr"/>
      <c r="I2497" s="111" t="n"/>
      <c r="J2497" s="217" t="inlineStr"/>
    </row>
    <row r="2498" ht="15.75" customHeight="1" s="305">
      <c r="A2498" s="215" t="n"/>
      <c r="B2498" s="115" t="n"/>
      <c r="C2498" s="67" t="n"/>
      <c r="D2498" s="3" t="n"/>
      <c r="E2498" s="3" t="n"/>
      <c r="G2498" t="inlineStr"/>
      <c r="H2498" t="inlineStr"/>
      <c r="I2498" s="111" t="n"/>
      <c r="J2498" s="217" t="inlineStr"/>
    </row>
    <row r="2499" ht="15.75" customHeight="1" s="305">
      <c r="A2499" s="215" t="n"/>
      <c r="B2499" s="115" t="n"/>
      <c r="C2499" s="67" t="n"/>
      <c r="D2499" s="3" t="n"/>
      <c r="E2499" s="3" t="n"/>
      <c r="G2499" t="inlineStr"/>
      <c r="H2499" t="inlineStr"/>
      <c r="I2499" s="111" t="n"/>
      <c r="J2499" s="217" t="inlineStr"/>
    </row>
    <row r="2500" ht="15.75" customHeight="1" s="305">
      <c r="A2500" s="215" t="n"/>
      <c r="B2500" s="115" t="n"/>
      <c r="C2500" s="67" t="n"/>
      <c r="D2500" s="3" t="n"/>
      <c r="E2500" s="3" t="n"/>
      <c r="G2500" t="inlineStr"/>
      <c r="H2500" t="inlineStr"/>
      <c r="I2500" s="111" t="n"/>
      <c r="J2500" s="217" t="inlineStr"/>
    </row>
    <row r="2501" ht="15.75" customHeight="1" s="305">
      <c r="A2501" s="215" t="n"/>
      <c r="B2501" s="115" t="n"/>
      <c r="C2501" s="67" t="n"/>
      <c r="D2501" s="3" t="n"/>
      <c r="E2501" s="3" t="n"/>
      <c r="G2501" t="inlineStr"/>
      <c r="H2501" t="inlineStr"/>
      <c r="I2501" s="111" t="n"/>
      <c r="J2501" s="217" t="inlineStr"/>
    </row>
    <row r="2502" ht="15.75" customHeight="1" s="305">
      <c r="A2502" s="215" t="n"/>
      <c r="B2502" s="115" t="n"/>
      <c r="C2502" s="67" t="n"/>
      <c r="D2502" s="3" t="n"/>
      <c r="E2502" s="3" t="n"/>
      <c r="G2502" t="inlineStr"/>
      <c r="H2502" t="inlineStr"/>
      <c r="I2502" s="111" t="n"/>
      <c r="J2502" s="217" t="inlineStr"/>
    </row>
    <row r="2503" ht="15.75" customHeight="1" s="305">
      <c r="A2503" s="215" t="n"/>
      <c r="B2503" s="115" t="n"/>
      <c r="C2503" s="67" t="n"/>
      <c r="D2503" s="3" t="n"/>
      <c r="E2503" s="3" t="n"/>
      <c r="G2503" t="inlineStr"/>
      <c r="H2503" t="inlineStr"/>
      <c r="I2503" s="111" t="n"/>
      <c r="J2503" s="217" t="inlineStr"/>
    </row>
    <row r="2504" ht="15.75" customHeight="1" s="305">
      <c r="A2504" s="215" t="n"/>
      <c r="B2504" s="115" t="n"/>
      <c r="C2504" s="67" t="n"/>
      <c r="D2504" s="3" t="n"/>
      <c r="E2504" s="3" t="n"/>
      <c r="G2504" t="inlineStr"/>
      <c r="H2504" t="inlineStr"/>
      <c r="I2504" s="111" t="n"/>
      <c r="J2504" s="217" t="inlineStr"/>
    </row>
    <row r="2505" ht="15.75" customHeight="1" s="305">
      <c r="A2505" s="215" t="n"/>
      <c r="B2505" s="115" t="n"/>
      <c r="C2505" s="67" t="n"/>
      <c r="D2505" s="3" t="n"/>
      <c r="E2505" s="3" t="n"/>
      <c r="G2505" t="inlineStr"/>
      <c r="H2505" t="inlineStr"/>
      <c r="I2505" s="111" t="n"/>
      <c r="J2505" s="217" t="inlineStr"/>
    </row>
    <row r="2506" ht="15.75" customHeight="1" s="305">
      <c r="A2506" s="215" t="n"/>
      <c r="B2506" s="115" t="n"/>
      <c r="C2506" s="67" t="n"/>
      <c r="D2506" s="3" t="n"/>
      <c r="E2506" s="3" t="n"/>
      <c r="G2506" t="inlineStr"/>
      <c r="H2506" t="inlineStr"/>
      <c r="I2506" s="111" t="n"/>
      <c r="J2506" s="217" t="inlineStr"/>
    </row>
    <row r="2507" ht="15.75" customHeight="1" s="305">
      <c r="A2507" s="215" t="n"/>
      <c r="B2507" s="115" t="n"/>
      <c r="C2507" s="67" t="n"/>
      <c r="D2507" s="3" t="n"/>
      <c r="E2507" s="3" t="n"/>
      <c r="G2507" t="inlineStr"/>
      <c r="H2507" t="inlineStr"/>
      <c r="I2507" s="111" t="n"/>
      <c r="J2507" s="217" t="inlineStr"/>
    </row>
    <row r="2508" ht="15.75" customHeight="1" s="305">
      <c r="A2508" s="215" t="n"/>
      <c r="B2508" s="115" t="n"/>
      <c r="C2508" s="67" t="n"/>
      <c r="D2508" s="3" t="n"/>
      <c r="E2508" s="3" t="n"/>
      <c r="G2508" t="inlineStr"/>
      <c r="H2508" t="inlineStr"/>
      <c r="I2508" s="111" t="n"/>
      <c r="J2508" s="217" t="inlineStr"/>
    </row>
    <row r="2509" ht="15.75" customHeight="1" s="305">
      <c r="A2509" s="215" t="n"/>
      <c r="B2509" s="115" t="n"/>
      <c r="C2509" s="67" t="n"/>
      <c r="D2509" s="3" t="n"/>
      <c r="E2509" s="3" t="n"/>
      <c r="G2509" t="inlineStr"/>
      <c r="H2509" t="inlineStr"/>
      <c r="I2509" s="111" t="n"/>
      <c r="J2509" s="217" t="inlineStr"/>
    </row>
    <row r="2510" ht="15.75" customHeight="1" s="305">
      <c r="A2510" s="215" t="n"/>
      <c r="B2510" s="115" t="n"/>
      <c r="C2510" s="67" t="n"/>
      <c r="D2510" s="3" t="n"/>
      <c r="E2510" s="3" t="n"/>
      <c r="G2510" t="inlineStr"/>
      <c r="H2510" t="inlineStr"/>
      <c r="I2510" s="111" t="n"/>
      <c r="J2510" s="217" t="inlineStr"/>
    </row>
    <row r="2511" ht="15.75" customHeight="1" s="305">
      <c r="A2511" s="215" t="n"/>
      <c r="B2511" s="115" t="n"/>
      <c r="C2511" s="67" t="n"/>
      <c r="D2511" s="3" t="n"/>
      <c r="E2511" s="3" t="n"/>
      <c r="G2511" t="inlineStr"/>
      <c r="H2511" t="inlineStr"/>
      <c r="I2511" s="111" t="n"/>
      <c r="J2511" s="217" t="inlineStr"/>
    </row>
    <row r="2512" ht="15.75" customHeight="1" s="305">
      <c r="A2512" s="215" t="n"/>
      <c r="B2512" s="115" t="n"/>
      <c r="C2512" s="67" t="n"/>
      <c r="D2512" s="3" t="n"/>
      <c r="E2512" s="3" t="n"/>
      <c r="G2512" t="inlineStr"/>
      <c r="H2512" t="inlineStr"/>
      <c r="I2512" s="111" t="n"/>
      <c r="J2512" s="217" t="inlineStr"/>
    </row>
    <row r="2513" ht="15.75" customHeight="1" s="305">
      <c r="A2513" s="215" t="n"/>
      <c r="B2513" s="115" t="n"/>
      <c r="C2513" s="67" t="n"/>
      <c r="D2513" s="3" t="n"/>
      <c r="E2513" s="3" t="n"/>
      <c r="G2513" t="inlineStr"/>
      <c r="H2513" t="inlineStr"/>
      <c r="I2513" s="111" t="n"/>
      <c r="J2513" s="217" t="inlineStr"/>
    </row>
    <row r="2514" ht="15.75" customHeight="1" s="305">
      <c r="A2514" s="215" t="n"/>
      <c r="B2514" s="115" t="n"/>
      <c r="C2514" s="67" t="n"/>
      <c r="D2514" s="3" t="n"/>
      <c r="E2514" s="3" t="n"/>
      <c r="G2514" t="inlineStr"/>
      <c r="H2514" t="inlineStr"/>
      <c r="I2514" s="111" t="n"/>
      <c r="J2514" s="217" t="inlineStr"/>
    </row>
    <row r="2515" ht="15.75" customHeight="1" s="305">
      <c r="A2515" s="215" t="n"/>
      <c r="B2515" s="115" t="n"/>
      <c r="C2515" s="67" t="n"/>
      <c r="D2515" s="3" t="n"/>
      <c r="E2515" s="3" t="n"/>
      <c r="G2515" t="inlineStr"/>
      <c r="H2515" t="inlineStr"/>
      <c r="I2515" s="111" t="n"/>
      <c r="J2515" s="217" t="inlineStr"/>
    </row>
    <row r="2516" ht="15.75" customHeight="1" s="305">
      <c r="A2516" s="215" t="n"/>
      <c r="B2516" s="115" t="n"/>
      <c r="C2516" s="67" t="n"/>
      <c r="D2516" s="3" t="n"/>
      <c r="E2516" s="3" t="n"/>
      <c r="G2516" t="inlineStr"/>
      <c r="H2516" t="inlineStr"/>
      <c r="I2516" s="111" t="n"/>
      <c r="J2516" s="217" t="inlineStr"/>
    </row>
    <row r="2517" ht="15.75" customHeight="1" s="305">
      <c r="A2517" s="215" t="n"/>
      <c r="B2517" s="115" t="n"/>
      <c r="C2517" s="67" t="n"/>
      <c r="D2517" s="3" t="n"/>
      <c r="E2517" s="3" t="n"/>
      <c r="G2517" t="inlineStr"/>
      <c r="H2517" t="inlineStr"/>
      <c r="I2517" s="111" t="n"/>
      <c r="J2517" s="217" t="inlineStr"/>
    </row>
    <row r="2518" ht="15.75" customHeight="1" s="305">
      <c r="A2518" s="215" t="n"/>
      <c r="B2518" s="115" t="n"/>
      <c r="C2518" s="67" t="n"/>
      <c r="D2518" s="3" t="n"/>
      <c r="E2518" s="3" t="n"/>
      <c r="G2518" t="inlineStr"/>
      <c r="H2518" t="inlineStr"/>
      <c r="I2518" s="111" t="n"/>
      <c r="J2518" s="217" t="inlineStr"/>
    </row>
    <row r="2519" ht="15.75" customHeight="1" s="305">
      <c r="A2519" s="215" t="n"/>
      <c r="B2519" s="115" t="n"/>
      <c r="C2519" s="67" t="n"/>
      <c r="D2519" s="3" t="n"/>
      <c r="E2519" s="3" t="n"/>
      <c r="G2519" t="inlineStr"/>
      <c r="H2519" t="inlineStr"/>
      <c r="I2519" s="111" t="n"/>
      <c r="J2519" s="217" t="inlineStr"/>
    </row>
    <row r="2520" ht="15.75" customHeight="1" s="305">
      <c r="A2520" s="215" t="n"/>
      <c r="B2520" s="115" t="n"/>
      <c r="C2520" s="67" t="n"/>
      <c r="D2520" s="3" t="n"/>
      <c r="E2520" s="3" t="n"/>
      <c r="G2520" t="inlineStr"/>
      <c r="H2520" t="inlineStr"/>
      <c r="I2520" s="111" t="n"/>
      <c r="J2520" s="217" t="inlineStr"/>
    </row>
    <row r="2521" ht="15.75" customHeight="1" s="305">
      <c r="A2521" s="215" t="n"/>
      <c r="B2521" s="115" t="n"/>
      <c r="C2521" s="67" t="n"/>
      <c r="D2521" s="3" t="n"/>
      <c r="E2521" s="3" t="n"/>
      <c r="G2521" t="inlineStr"/>
      <c r="H2521" t="inlineStr"/>
      <c r="I2521" s="111" t="n"/>
      <c r="J2521" s="217" t="inlineStr"/>
    </row>
    <row r="2522" ht="15.75" customHeight="1" s="305">
      <c r="A2522" s="215" t="n"/>
      <c r="B2522" s="115" t="n"/>
      <c r="C2522" s="67" t="n"/>
      <c r="D2522" s="3" t="n"/>
      <c r="E2522" s="3" t="n"/>
      <c r="G2522" t="inlineStr"/>
      <c r="H2522" t="inlineStr"/>
      <c r="I2522" s="111" t="n"/>
      <c r="J2522" s="217" t="inlineStr"/>
    </row>
    <row r="2523" ht="15.75" customHeight="1" s="305">
      <c r="A2523" s="215" t="n"/>
      <c r="B2523" s="115" t="n"/>
      <c r="C2523" s="67" t="n"/>
      <c r="D2523" s="3" t="n"/>
      <c r="E2523" s="3" t="n"/>
      <c r="G2523" t="inlineStr"/>
      <c r="H2523" t="inlineStr"/>
      <c r="I2523" s="111" t="n"/>
      <c r="J2523" s="217" t="inlineStr"/>
    </row>
    <row r="2524" ht="15.75" customHeight="1" s="305">
      <c r="A2524" s="215" t="n"/>
      <c r="B2524" s="115" t="n"/>
      <c r="C2524" s="67" t="n"/>
      <c r="D2524" s="3" t="n"/>
      <c r="E2524" s="3" t="n"/>
      <c r="G2524" t="inlineStr"/>
      <c r="H2524" t="inlineStr"/>
      <c r="I2524" s="111" t="n"/>
      <c r="J2524" s="217" t="inlineStr"/>
    </row>
    <row r="2525" ht="15.75" customHeight="1" s="305">
      <c r="A2525" s="215" t="n"/>
      <c r="B2525" s="115" t="n"/>
      <c r="C2525" s="67" t="n"/>
      <c r="D2525" s="3" t="n"/>
      <c r="E2525" s="3" t="n"/>
      <c r="G2525" t="inlineStr"/>
      <c r="H2525" t="inlineStr"/>
      <c r="I2525" s="111" t="n"/>
      <c r="J2525" s="217" t="inlineStr"/>
    </row>
    <row r="2526" ht="15.75" customHeight="1" s="305">
      <c r="A2526" s="215" t="n"/>
      <c r="B2526" s="115" t="n"/>
      <c r="C2526" s="67" t="n"/>
      <c r="D2526" s="3" t="n"/>
      <c r="E2526" s="3" t="n"/>
      <c r="G2526" t="inlineStr"/>
      <c r="H2526" t="inlineStr"/>
      <c r="I2526" s="111" t="n"/>
      <c r="J2526" s="217" t="inlineStr"/>
    </row>
    <row r="2527" ht="15.75" customHeight="1" s="305">
      <c r="A2527" s="215" t="n"/>
      <c r="B2527" s="115" t="n"/>
      <c r="C2527" s="67" t="n"/>
      <c r="D2527" s="3" t="n"/>
      <c r="E2527" s="3" t="n"/>
      <c r="G2527" t="inlineStr"/>
      <c r="H2527" t="inlineStr"/>
      <c r="I2527" s="111" t="n"/>
      <c r="J2527" s="217" t="inlineStr"/>
    </row>
    <row r="2528" ht="15.75" customHeight="1" s="305">
      <c r="A2528" s="215" t="n"/>
      <c r="B2528" s="115" t="n"/>
      <c r="C2528" s="67" t="n"/>
      <c r="D2528" s="3" t="n"/>
      <c r="E2528" s="3" t="n"/>
      <c r="G2528" t="inlineStr"/>
      <c r="H2528" t="inlineStr"/>
      <c r="I2528" s="111" t="n"/>
      <c r="J2528" s="217" t="inlineStr"/>
    </row>
    <row r="2529" ht="15.75" customHeight="1" s="305">
      <c r="A2529" s="215" t="n"/>
      <c r="B2529" s="115" t="n"/>
      <c r="C2529" s="67" t="n"/>
      <c r="D2529" s="3" t="n"/>
      <c r="E2529" s="3" t="n"/>
      <c r="G2529" t="inlineStr"/>
      <c r="H2529" t="inlineStr"/>
      <c r="I2529" s="111" t="n"/>
      <c r="J2529" s="217" t="inlineStr"/>
    </row>
    <row r="2530" ht="15.75" customHeight="1" s="305">
      <c r="A2530" s="215" t="n"/>
      <c r="B2530" s="115" t="n"/>
      <c r="C2530" s="67" t="n"/>
      <c r="D2530" s="3" t="n"/>
      <c r="E2530" s="3" t="n"/>
      <c r="G2530" t="inlineStr"/>
      <c r="H2530" t="inlineStr"/>
      <c r="I2530" s="111" t="n"/>
      <c r="J2530" s="217" t="inlineStr"/>
    </row>
    <row r="2531" ht="15.75" customHeight="1" s="305">
      <c r="A2531" s="215" t="n"/>
      <c r="B2531" s="115" t="n"/>
      <c r="C2531" s="67" t="n"/>
      <c r="D2531" s="3" t="n"/>
      <c r="E2531" s="3" t="n"/>
      <c r="G2531" t="inlineStr"/>
      <c r="H2531" t="inlineStr"/>
      <c r="I2531" s="111" t="n"/>
      <c r="J2531" s="217" t="inlineStr"/>
    </row>
    <row r="2532" ht="15.75" customHeight="1" s="305">
      <c r="A2532" s="215" t="n"/>
      <c r="B2532" s="115" t="n"/>
      <c r="C2532" s="67" t="n"/>
      <c r="D2532" s="3" t="n"/>
      <c r="E2532" s="3" t="n"/>
      <c r="G2532" t="inlineStr"/>
      <c r="H2532" t="inlineStr"/>
      <c r="I2532" s="111" t="n"/>
      <c r="J2532" s="217" t="inlineStr"/>
    </row>
    <row r="2533" ht="15.75" customHeight="1" s="305">
      <c r="A2533" s="215" t="n"/>
      <c r="B2533" s="115" t="n"/>
      <c r="C2533" s="67" t="n"/>
      <c r="D2533" s="3" t="n"/>
      <c r="E2533" s="3" t="n"/>
      <c r="G2533" t="inlineStr"/>
      <c r="H2533" t="inlineStr"/>
      <c r="I2533" s="111" t="n"/>
      <c r="J2533" s="217" t="inlineStr"/>
    </row>
    <row r="2534" ht="15.75" customHeight="1" s="305">
      <c r="A2534" s="215" t="n"/>
      <c r="B2534" s="115" t="n"/>
      <c r="C2534" s="67" t="n"/>
      <c r="D2534" s="3" t="n"/>
      <c r="E2534" s="3" t="n"/>
      <c r="G2534" t="inlineStr"/>
      <c r="H2534" t="inlineStr"/>
      <c r="I2534" s="111" t="n"/>
      <c r="J2534" s="217" t="inlineStr"/>
    </row>
    <row r="2535" ht="15.75" customHeight="1" s="305">
      <c r="A2535" s="215" t="n"/>
      <c r="B2535" s="115" t="n"/>
      <c r="C2535" s="67" t="n"/>
      <c r="D2535" s="3" t="n"/>
      <c r="E2535" s="3" t="n"/>
      <c r="G2535" t="inlineStr"/>
      <c r="H2535" t="inlineStr"/>
      <c r="I2535" s="111" t="n"/>
      <c r="J2535" s="217" t="inlineStr"/>
    </row>
    <row r="2536" ht="15.75" customHeight="1" s="305">
      <c r="A2536" s="215" t="n"/>
      <c r="B2536" s="115" t="n"/>
      <c r="C2536" s="67" t="n"/>
      <c r="D2536" s="3" t="n"/>
      <c r="E2536" s="3" t="n"/>
      <c r="G2536" t="inlineStr"/>
      <c r="H2536" t="inlineStr"/>
      <c r="I2536" s="111" t="n"/>
      <c r="J2536" s="217" t="inlineStr"/>
    </row>
    <row r="2537" ht="15.75" customHeight="1" s="305">
      <c r="A2537" s="215" t="n"/>
      <c r="B2537" s="115" t="n"/>
      <c r="C2537" s="67" t="n"/>
      <c r="D2537" s="3" t="n"/>
      <c r="E2537" s="3" t="n"/>
      <c r="G2537" t="inlineStr"/>
      <c r="H2537" t="inlineStr"/>
      <c r="I2537" s="111" t="n"/>
      <c r="J2537" s="217" t="inlineStr"/>
    </row>
    <row r="2538" ht="15.75" customHeight="1" s="305">
      <c r="A2538" s="215" t="n"/>
      <c r="B2538" s="115" t="n"/>
      <c r="C2538" s="67" t="n"/>
      <c r="D2538" s="3" t="n"/>
      <c r="E2538" s="3" t="n"/>
      <c r="G2538" t="inlineStr"/>
      <c r="H2538" t="inlineStr"/>
      <c r="I2538" s="111" t="n"/>
      <c r="J2538" s="217" t="inlineStr"/>
    </row>
    <row r="2539" ht="15.75" customHeight="1" s="305">
      <c r="A2539" s="215" t="n"/>
      <c r="B2539" s="115" t="n"/>
      <c r="C2539" s="67" t="n"/>
      <c r="D2539" s="3" t="n"/>
      <c r="E2539" s="3" t="n"/>
      <c r="G2539" t="inlineStr"/>
      <c r="H2539" t="inlineStr"/>
      <c r="I2539" s="111" t="n"/>
      <c r="J2539" s="217" t="inlineStr"/>
    </row>
    <row r="2540" ht="15.75" customHeight="1" s="305">
      <c r="A2540" s="215" t="n"/>
      <c r="B2540" s="115" t="n"/>
      <c r="C2540" s="67" t="n"/>
      <c r="D2540" s="3" t="n"/>
      <c r="E2540" s="3" t="n"/>
      <c r="G2540" t="inlineStr"/>
      <c r="H2540" t="inlineStr"/>
      <c r="I2540" s="111" t="n"/>
      <c r="J2540" s="217" t="inlineStr"/>
    </row>
    <row r="2541" ht="15.75" customHeight="1" s="305">
      <c r="A2541" s="215" t="n"/>
      <c r="B2541" s="115" t="n"/>
      <c r="C2541" s="67" t="n"/>
      <c r="D2541" s="3" t="n"/>
      <c r="E2541" s="3" t="n"/>
      <c r="G2541" t="inlineStr"/>
      <c r="H2541" t="inlineStr"/>
      <c r="I2541" s="111" t="n"/>
      <c r="J2541" s="217" t="inlineStr"/>
    </row>
    <row r="2542" ht="15.75" customHeight="1" s="305">
      <c r="A2542" s="215" t="n"/>
      <c r="B2542" s="115" t="n"/>
      <c r="C2542" s="67" t="n"/>
      <c r="D2542" s="3" t="n"/>
      <c r="E2542" s="3" t="n"/>
      <c r="G2542" t="inlineStr"/>
      <c r="H2542" t="inlineStr"/>
      <c r="I2542" s="111" t="n"/>
      <c r="J2542" s="217" t="inlineStr"/>
    </row>
    <row r="2543" ht="15.75" customHeight="1" s="305">
      <c r="A2543" s="215" t="n"/>
      <c r="B2543" s="115" t="n"/>
      <c r="C2543" s="67" t="n"/>
      <c r="D2543" s="3" t="n"/>
      <c r="E2543" s="3" t="n"/>
      <c r="G2543" t="inlineStr"/>
      <c r="H2543" t="inlineStr"/>
      <c r="I2543" s="111" t="n"/>
      <c r="J2543" s="217" t="inlineStr"/>
    </row>
    <row r="2544" ht="15.75" customHeight="1" s="305">
      <c r="A2544" s="215" t="n"/>
      <c r="B2544" s="115" t="n"/>
      <c r="C2544" s="67" t="n"/>
      <c r="D2544" s="3" t="n"/>
      <c r="E2544" s="3" t="n"/>
      <c r="G2544" t="inlineStr"/>
      <c r="H2544" t="inlineStr"/>
      <c r="I2544" s="111" t="n"/>
      <c r="J2544" s="217" t="inlineStr"/>
    </row>
    <row r="2545" ht="15.75" customHeight="1" s="305">
      <c r="A2545" s="215" t="n"/>
      <c r="B2545" s="115" t="n"/>
      <c r="C2545" s="67" t="n"/>
      <c r="D2545" s="3" t="n"/>
      <c r="E2545" s="3" t="n"/>
      <c r="G2545" t="inlineStr"/>
      <c r="H2545" t="inlineStr"/>
      <c r="I2545" s="111" t="n"/>
      <c r="J2545" s="217" t="inlineStr"/>
    </row>
    <row r="2546" ht="15.75" customHeight="1" s="305">
      <c r="A2546" s="215" t="n"/>
      <c r="B2546" s="115" t="n"/>
      <c r="C2546" s="67" t="n"/>
      <c r="D2546" s="3" t="n"/>
      <c r="E2546" s="3" t="n"/>
      <c r="G2546" t="inlineStr"/>
      <c r="H2546" t="inlineStr"/>
      <c r="I2546" s="111" t="n"/>
      <c r="J2546" s="217" t="inlineStr"/>
    </row>
    <row r="2547" ht="15.75" customHeight="1" s="305">
      <c r="A2547" s="215" t="n"/>
      <c r="B2547" s="115" t="n"/>
      <c r="C2547" s="67" t="n"/>
      <c r="D2547" s="3" t="n"/>
      <c r="E2547" s="3" t="n"/>
      <c r="G2547" t="inlineStr"/>
      <c r="H2547" t="inlineStr"/>
      <c r="I2547" s="111" t="n"/>
      <c r="J2547" s="217" t="inlineStr"/>
    </row>
    <row r="2548" ht="15.75" customHeight="1" s="305">
      <c r="A2548" s="215" t="n"/>
      <c r="B2548" s="115" t="n"/>
      <c r="C2548" s="67" t="n"/>
      <c r="D2548" s="3" t="n"/>
      <c r="E2548" s="3" t="n"/>
      <c r="G2548" t="inlineStr"/>
      <c r="H2548" t="inlineStr"/>
      <c r="I2548" s="111" t="n"/>
      <c r="J2548" s="217" t="inlineStr"/>
    </row>
    <row r="2549" ht="15.75" customHeight="1" s="305">
      <c r="A2549" s="215" t="n"/>
      <c r="B2549" s="115" t="n"/>
      <c r="C2549" s="67" t="n"/>
      <c r="D2549" s="3" t="n"/>
      <c r="E2549" s="3" t="n"/>
      <c r="G2549" t="inlineStr"/>
      <c r="H2549" t="inlineStr"/>
      <c r="I2549" s="111" t="n"/>
      <c r="J2549" s="217" t="inlineStr"/>
    </row>
    <row r="2550" ht="15.75" customHeight="1" s="305">
      <c r="A2550" s="215" t="n"/>
      <c r="B2550" s="115" t="n"/>
      <c r="C2550" s="67" t="n"/>
      <c r="D2550" s="3" t="n"/>
      <c r="E2550" s="3" t="n"/>
      <c r="G2550" t="inlineStr"/>
      <c r="H2550" t="inlineStr"/>
      <c r="I2550" s="111" t="n"/>
      <c r="J2550" s="217" t="inlineStr"/>
    </row>
    <row r="2551" ht="15.75" customHeight="1" s="305">
      <c r="A2551" s="215" t="n"/>
      <c r="B2551" s="115" t="n"/>
      <c r="C2551" s="67" t="n"/>
      <c r="D2551" s="3" t="n"/>
      <c r="E2551" s="3" t="n"/>
      <c r="G2551" t="inlineStr"/>
      <c r="H2551" t="inlineStr"/>
      <c r="I2551" s="111" t="n"/>
      <c r="J2551" s="217" t="inlineStr"/>
    </row>
    <row r="2552" ht="15.75" customHeight="1" s="305">
      <c r="A2552" s="215" t="n"/>
      <c r="B2552" s="115" t="n"/>
      <c r="C2552" s="67" t="n"/>
      <c r="D2552" s="3" t="n"/>
      <c r="E2552" s="3" t="n"/>
      <c r="G2552" t="inlineStr"/>
      <c r="H2552" t="inlineStr"/>
      <c r="I2552" s="111" t="n"/>
      <c r="J2552" s="217" t="inlineStr"/>
    </row>
    <row r="2553" ht="15.75" customHeight="1" s="305">
      <c r="A2553" s="215" t="n"/>
      <c r="B2553" s="115" t="n"/>
      <c r="C2553" s="67" t="n"/>
      <c r="D2553" s="3" t="n"/>
      <c r="E2553" s="3" t="n"/>
      <c r="G2553" t="inlineStr"/>
      <c r="H2553" t="inlineStr"/>
      <c r="I2553" s="111" t="n"/>
      <c r="J2553" s="217" t="inlineStr"/>
    </row>
    <row r="2554" ht="15.75" customHeight="1" s="305">
      <c r="A2554" s="215" t="n"/>
      <c r="B2554" s="115" t="n"/>
      <c r="C2554" s="67" t="n"/>
      <c r="D2554" s="3" t="n"/>
      <c r="E2554" s="3" t="n"/>
      <c r="G2554" t="inlineStr"/>
      <c r="H2554" t="inlineStr"/>
      <c r="I2554" s="111" t="n"/>
      <c r="J2554" s="217" t="inlineStr"/>
    </row>
    <row r="2555" ht="15.75" customHeight="1" s="305">
      <c r="A2555" s="215" t="n"/>
      <c r="B2555" s="115" t="n"/>
      <c r="C2555" s="67" t="n"/>
      <c r="D2555" s="3" t="n"/>
      <c r="E2555" s="3" t="n"/>
      <c r="G2555" t="inlineStr"/>
      <c r="H2555" t="inlineStr"/>
      <c r="I2555" s="111" t="n"/>
      <c r="J2555" s="217" t="inlineStr"/>
    </row>
    <row r="2556" ht="15.75" customHeight="1" s="305">
      <c r="A2556" s="215" t="n"/>
      <c r="B2556" s="115" t="n"/>
      <c r="C2556" s="67" t="n"/>
      <c r="D2556" s="3" t="n"/>
      <c r="E2556" s="3" t="n"/>
      <c r="G2556" t="inlineStr"/>
      <c r="H2556" t="inlineStr"/>
      <c r="I2556" s="111" t="n"/>
      <c r="J2556" s="217" t="inlineStr"/>
    </row>
    <row r="2557" ht="15.75" customHeight="1" s="305">
      <c r="A2557" s="215" t="n"/>
      <c r="B2557" s="115" t="n"/>
      <c r="C2557" s="67" t="n"/>
      <c r="D2557" s="3" t="n"/>
      <c r="E2557" s="3" t="n"/>
      <c r="G2557" t="inlineStr"/>
      <c r="H2557" t="inlineStr"/>
      <c r="I2557" s="111" t="n"/>
      <c r="J2557" s="217" t="inlineStr"/>
    </row>
    <row r="2558" ht="15.75" customHeight="1" s="305">
      <c r="A2558" s="215" t="n"/>
      <c r="B2558" s="115" t="n"/>
      <c r="C2558" s="67" t="n"/>
      <c r="D2558" s="3" t="n"/>
      <c r="E2558" s="3" t="n"/>
      <c r="G2558" t="inlineStr"/>
      <c r="H2558" t="inlineStr"/>
      <c r="I2558" s="111" t="n"/>
      <c r="J2558" s="217" t="inlineStr"/>
    </row>
    <row r="2559" ht="15.75" customHeight="1" s="305">
      <c r="A2559" s="215" t="n"/>
      <c r="B2559" s="115" t="n"/>
      <c r="C2559" s="67" t="n"/>
      <c r="D2559" s="3" t="n"/>
      <c r="E2559" s="3" t="n"/>
      <c r="G2559" t="inlineStr"/>
      <c r="H2559" t="inlineStr"/>
      <c r="I2559" s="111" t="n"/>
      <c r="J2559" s="217" t="inlineStr"/>
    </row>
    <row r="2560" ht="15.75" customHeight="1" s="305">
      <c r="A2560" s="215" t="n"/>
      <c r="B2560" s="115" t="n"/>
      <c r="C2560" s="67" t="n"/>
      <c r="D2560" s="3" t="n"/>
      <c r="E2560" s="3" t="n"/>
      <c r="G2560" t="inlineStr"/>
      <c r="H2560" t="inlineStr"/>
      <c r="I2560" s="111" t="n"/>
      <c r="J2560" s="217" t="inlineStr"/>
    </row>
    <row r="2561" ht="15.75" customHeight="1" s="305">
      <c r="A2561" s="215" t="n"/>
      <c r="B2561" s="115" t="n"/>
      <c r="C2561" s="67" t="n"/>
      <c r="D2561" s="3" t="n"/>
      <c r="E2561" s="3" t="n"/>
      <c r="G2561" t="inlineStr"/>
      <c r="H2561" t="inlineStr"/>
      <c r="I2561" s="111" t="n"/>
      <c r="J2561" s="217" t="inlineStr"/>
    </row>
    <row r="2562" ht="15.75" customHeight="1" s="305">
      <c r="A2562" s="215" t="n"/>
      <c r="B2562" s="115" t="n"/>
      <c r="C2562" s="67" t="n"/>
      <c r="D2562" s="3" t="n"/>
      <c r="E2562" s="3" t="n"/>
      <c r="G2562" t="inlineStr"/>
      <c r="H2562" t="inlineStr"/>
      <c r="I2562" s="111" t="n"/>
      <c r="J2562" s="217" t="inlineStr"/>
    </row>
    <row r="2563" ht="15.75" customHeight="1" s="305">
      <c r="A2563" s="215" t="n"/>
      <c r="B2563" s="115" t="n"/>
      <c r="C2563" s="67" t="n"/>
      <c r="D2563" s="3" t="n"/>
      <c r="E2563" s="3" t="n"/>
      <c r="G2563" t="inlineStr"/>
      <c r="H2563" t="inlineStr"/>
      <c r="I2563" s="111" t="n"/>
      <c r="J2563" s="217" t="inlineStr"/>
    </row>
    <row r="2564" ht="15.75" customHeight="1" s="305">
      <c r="A2564" s="215" t="n"/>
      <c r="B2564" s="115" t="n"/>
      <c r="C2564" s="67" t="n"/>
      <c r="D2564" s="3" t="n"/>
      <c r="E2564" s="3" t="n"/>
      <c r="G2564" t="inlineStr"/>
      <c r="H2564" t="inlineStr"/>
      <c r="I2564" s="111" t="n"/>
      <c r="J2564" s="217" t="inlineStr"/>
    </row>
    <row r="2565" ht="15.75" customHeight="1" s="305">
      <c r="A2565" s="215" t="n"/>
      <c r="B2565" s="115" t="n"/>
      <c r="C2565" s="67" t="n"/>
      <c r="D2565" s="3" t="n"/>
      <c r="E2565" s="3" t="n"/>
      <c r="G2565" t="inlineStr"/>
      <c r="H2565" t="inlineStr"/>
      <c r="I2565" s="111" t="n"/>
      <c r="J2565" s="217" t="inlineStr"/>
    </row>
    <row r="2566" ht="15.75" customHeight="1" s="305">
      <c r="A2566" s="215" t="n"/>
      <c r="B2566" s="115" t="n"/>
      <c r="C2566" s="67" t="n"/>
      <c r="D2566" s="3" t="n"/>
      <c r="E2566" s="3" t="n"/>
      <c r="G2566" t="inlineStr"/>
      <c r="H2566" t="inlineStr"/>
      <c r="I2566" s="111" t="n"/>
      <c r="J2566" s="217" t="inlineStr"/>
    </row>
    <row r="2567" ht="15.75" customHeight="1" s="305">
      <c r="A2567" s="215" t="n"/>
      <c r="B2567" s="115" t="n"/>
      <c r="C2567" s="67" t="n"/>
      <c r="D2567" s="3" t="n"/>
      <c r="E2567" s="3" t="n"/>
      <c r="G2567" t="inlineStr"/>
      <c r="H2567" t="inlineStr"/>
      <c r="I2567" s="111" t="n"/>
      <c r="J2567" s="217" t="inlineStr"/>
    </row>
    <row r="2568" ht="15.75" customHeight="1" s="305">
      <c r="A2568" s="215" t="n"/>
      <c r="B2568" s="115" t="n"/>
      <c r="C2568" s="67" t="n"/>
      <c r="D2568" s="3" t="n"/>
      <c r="E2568" s="3" t="n"/>
      <c r="G2568" t="inlineStr"/>
      <c r="H2568" t="inlineStr"/>
      <c r="I2568" s="111" t="n"/>
      <c r="J2568" s="217" t="inlineStr"/>
    </row>
    <row r="2569" ht="15.75" customHeight="1" s="305">
      <c r="A2569" s="215" t="n"/>
      <c r="B2569" s="115" t="n"/>
      <c r="C2569" s="67" t="n"/>
      <c r="D2569" s="3" t="n"/>
      <c r="E2569" s="3" t="n"/>
      <c r="G2569" t="inlineStr"/>
      <c r="H2569" t="inlineStr"/>
      <c r="I2569" s="111" t="n"/>
      <c r="J2569" s="217" t="inlineStr"/>
    </row>
    <row r="2570" ht="15.75" customHeight="1" s="305">
      <c r="A2570" s="215" t="n"/>
      <c r="B2570" s="115" t="n"/>
      <c r="C2570" s="67" t="n"/>
      <c r="D2570" s="3" t="n"/>
      <c r="E2570" s="3" t="n"/>
      <c r="G2570" t="inlineStr"/>
      <c r="H2570" t="inlineStr"/>
      <c r="I2570" s="111" t="n"/>
      <c r="J2570" s="217" t="inlineStr"/>
    </row>
    <row r="2571" ht="15.75" customHeight="1" s="305">
      <c r="A2571" s="215" t="n"/>
      <c r="B2571" s="115" t="n"/>
      <c r="C2571" s="67" t="n"/>
      <c r="D2571" s="3" t="n"/>
      <c r="E2571" s="3" t="n"/>
      <c r="G2571" t="inlineStr"/>
      <c r="H2571" t="inlineStr"/>
      <c r="I2571" s="111" t="n"/>
      <c r="J2571" s="217" t="inlineStr"/>
    </row>
    <row r="2572" ht="15.75" customHeight="1" s="305">
      <c r="A2572" s="215" t="n"/>
      <c r="B2572" s="115" t="n"/>
      <c r="C2572" s="67" t="n"/>
      <c r="D2572" s="3" t="n"/>
      <c r="E2572" s="3" t="n"/>
      <c r="G2572" t="inlineStr"/>
      <c r="H2572" t="inlineStr"/>
      <c r="I2572" s="111" t="n"/>
      <c r="J2572" s="217" t="inlineStr"/>
    </row>
    <row r="2573" ht="15.75" customHeight="1" s="305">
      <c r="A2573" s="215" t="n"/>
      <c r="B2573" s="115" t="n"/>
      <c r="C2573" s="67" t="n"/>
      <c r="D2573" s="3" t="n"/>
      <c r="E2573" s="3" t="n"/>
      <c r="G2573" t="inlineStr"/>
      <c r="H2573" t="inlineStr"/>
      <c r="I2573" s="111" t="n"/>
      <c r="J2573" s="217" t="inlineStr"/>
    </row>
    <row r="2574" ht="15.75" customHeight="1" s="305">
      <c r="A2574" s="215" t="n"/>
      <c r="B2574" s="115" t="n"/>
      <c r="C2574" s="67" t="n"/>
      <c r="D2574" s="3" t="n"/>
      <c r="E2574" s="3" t="n"/>
      <c r="G2574" t="inlineStr"/>
      <c r="H2574" t="inlineStr"/>
      <c r="I2574" s="111" t="n"/>
      <c r="J2574" s="217" t="inlineStr"/>
    </row>
    <row r="2575" ht="15.75" customHeight="1" s="305">
      <c r="A2575" s="215" t="n"/>
      <c r="B2575" s="115" t="n"/>
      <c r="C2575" s="67" t="n"/>
      <c r="D2575" s="3" t="n"/>
      <c r="E2575" s="3" t="n"/>
      <c r="G2575" t="inlineStr"/>
      <c r="H2575" t="inlineStr"/>
      <c r="I2575" s="111" t="n"/>
      <c r="J2575" s="217" t="inlineStr"/>
    </row>
    <row r="2576" ht="15.75" customHeight="1" s="305">
      <c r="A2576" s="215" t="n"/>
      <c r="B2576" s="115" t="n"/>
      <c r="C2576" s="67" t="n"/>
      <c r="D2576" s="3" t="n"/>
      <c r="E2576" s="3" t="n"/>
      <c r="G2576" t="inlineStr"/>
      <c r="H2576" t="inlineStr"/>
      <c r="I2576" s="111" t="n"/>
      <c r="J2576" s="217" t="inlineStr"/>
    </row>
    <row r="2577" ht="15.75" customHeight="1" s="305">
      <c r="A2577" s="215" t="n"/>
      <c r="B2577" s="115" t="n"/>
      <c r="C2577" s="67" t="n"/>
      <c r="D2577" s="3" t="n"/>
      <c r="E2577" s="3" t="n"/>
      <c r="G2577" t="inlineStr"/>
      <c r="H2577" t="inlineStr"/>
      <c r="I2577" s="111" t="n"/>
      <c r="J2577" s="217" t="inlineStr"/>
    </row>
    <row r="2578" ht="15.75" customHeight="1" s="305">
      <c r="A2578" s="215" t="n"/>
      <c r="B2578" s="115" t="n"/>
      <c r="C2578" s="67" t="n"/>
      <c r="D2578" s="3" t="n"/>
      <c r="E2578" s="3" t="n"/>
      <c r="G2578" t="inlineStr"/>
      <c r="H2578" t="inlineStr"/>
      <c r="I2578" s="111" t="n"/>
      <c r="J2578" s="217" t="inlineStr"/>
    </row>
    <row r="2579" ht="15.75" customHeight="1" s="305">
      <c r="A2579" s="215" t="n"/>
      <c r="B2579" s="115" t="n"/>
      <c r="C2579" s="67" t="n"/>
      <c r="D2579" s="3" t="n"/>
      <c r="E2579" s="3" t="n"/>
      <c r="G2579" t="inlineStr"/>
      <c r="H2579" t="inlineStr"/>
      <c r="I2579" s="111" t="n"/>
      <c r="J2579" s="217" t="inlineStr"/>
    </row>
    <row r="2580" ht="15.75" customHeight="1" s="305">
      <c r="A2580" s="215" t="n"/>
      <c r="B2580" s="115" t="n"/>
      <c r="C2580" s="67" t="n"/>
      <c r="D2580" s="3" t="n"/>
      <c r="E2580" s="3" t="n"/>
      <c r="G2580" t="inlineStr"/>
      <c r="H2580" t="inlineStr"/>
      <c r="I2580" s="111" t="n"/>
      <c r="J2580" s="217" t="inlineStr"/>
    </row>
    <row r="2581" ht="15.75" customHeight="1" s="305">
      <c r="A2581" s="215" t="n"/>
      <c r="B2581" s="115" t="n"/>
      <c r="C2581" s="67" t="n"/>
      <c r="D2581" s="3" t="n"/>
      <c r="E2581" s="3" t="n"/>
      <c r="G2581" t="inlineStr"/>
      <c r="H2581" t="inlineStr"/>
      <c r="I2581" s="111" t="n"/>
      <c r="J2581" s="217" t="inlineStr"/>
    </row>
    <row r="2582" ht="15.75" customHeight="1" s="305">
      <c r="A2582" s="215" t="n"/>
      <c r="B2582" s="115" t="n"/>
      <c r="C2582" s="67" t="n"/>
      <c r="D2582" s="3" t="n"/>
      <c r="E2582" s="3" t="n"/>
      <c r="G2582" t="inlineStr"/>
      <c r="H2582" t="inlineStr"/>
      <c r="I2582" s="111" t="n"/>
      <c r="J2582" s="217" t="inlineStr"/>
    </row>
    <row r="2583" ht="15.75" customHeight="1" s="305">
      <c r="A2583" s="215" t="n"/>
      <c r="B2583" s="115" t="n"/>
      <c r="C2583" s="67" t="n"/>
      <c r="D2583" s="3" t="n"/>
      <c r="E2583" s="3" t="n"/>
      <c r="G2583" t="inlineStr"/>
      <c r="H2583" t="inlineStr"/>
      <c r="I2583" s="111" t="n"/>
      <c r="J2583" s="217" t="inlineStr"/>
    </row>
    <row r="2584" ht="15.75" customHeight="1" s="305">
      <c r="A2584" s="215" t="n"/>
      <c r="B2584" s="115" t="n"/>
      <c r="C2584" s="67" t="n"/>
      <c r="D2584" s="3" t="n"/>
      <c r="E2584" s="3" t="n"/>
      <c r="G2584" t="inlineStr"/>
      <c r="H2584" t="inlineStr"/>
      <c r="I2584" s="111" t="n"/>
      <c r="J2584" s="217" t="inlineStr"/>
    </row>
    <row r="2585" ht="15.75" customHeight="1" s="305">
      <c r="A2585" s="215" t="n"/>
      <c r="B2585" s="115" t="n"/>
      <c r="C2585" s="67" t="n"/>
      <c r="D2585" s="3" t="n"/>
      <c r="E2585" s="3" t="n"/>
      <c r="G2585" t="inlineStr"/>
      <c r="H2585" t="inlineStr"/>
      <c r="I2585" s="111" t="n"/>
      <c r="J2585" s="217" t="inlineStr"/>
    </row>
    <row r="2586" ht="15.75" customHeight="1" s="305">
      <c r="A2586" s="215" t="n"/>
      <c r="B2586" s="115" t="n"/>
      <c r="C2586" s="67" t="n"/>
      <c r="D2586" s="3" t="n"/>
      <c r="E2586" s="3" t="n"/>
      <c r="G2586" t="inlineStr"/>
      <c r="H2586" t="inlineStr"/>
      <c r="I2586" s="111" t="n"/>
      <c r="J2586" s="217" t="inlineStr"/>
    </row>
    <row r="2587" ht="15.75" customHeight="1" s="305">
      <c r="A2587" s="215" t="n"/>
      <c r="B2587" s="115" t="n"/>
      <c r="C2587" s="67" t="n"/>
      <c r="D2587" s="3" t="n"/>
      <c r="E2587" s="3" t="n"/>
      <c r="G2587" t="inlineStr"/>
      <c r="H2587" t="inlineStr"/>
      <c r="I2587" s="111" t="n"/>
      <c r="J2587" s="217" t="inlineStr"/>
    </row>
    <row r="2588" ht="15.75" customHeight="1" s="305">
      <c r="A2588" s="215" t="n"/>
      <c r="B2588" s="115" t="n"/>
      <c r="C2588" s="67" t="n"/>
      <c r="D2588" s="3" t="n"/>
      <c r="E2588" s="3" t="n"/>
      <c r="G2588" t="inlineStr"/>
      <c r="H2588" t="inlineStr"/>
      <c r="I2588" s="111" t="n"/>
      <c r="J2588" s="217" t="inlineStr"/>
    </row>
    <row r="2589" ht="15.75" customHeight="1" s="305">
      <c r="A2589" s="215" t="n"/>
      <c r="B2589" s="115" t="n"/>
      <c r="C2589" s="67" t="n"/>
      <c r="D2589" s="3" t="n"/>
      <c r="E2589" s="3" t="n"/>
      <c r="G2589" t="inlineStr"/>
      <c r="H2589" t="inlineStr"/>
      <c r="I2589" s="111" t="n"/>
      <c r="J2589" s="217" t="inlineStr"/>
    </row>
    <row r="2590" ht="15.75" customHeight="1" s="305">
      <c r="A2590" s="215" t="n"/>
      <c r="B2590" s="115" t="n"/>
      <c r="C2590" s="67" t="n"/>
      <c r="D2590" s="3" t="n"/>
      <c r="E2590" s="3" t="n"/>
      <c r="G2590" t="inlineStr"/>
      <c r="H2590" t="inlineStr"/>
      <c r="I2590" s="111" t="n"/>
      <c r="J2590" s="217" t="inlineStr"/>
    </row>
    <row r="2591" ht="15.75" customHeight="1" s="305">
      <c r="A2591" s="215" t="n"/>
      <c r="B2591" s="115" t="n"/>
      <c r="C2591" s="67" t="n"/>
      <c r="D2591" s="3" t="n"/>
      <c r="E2591" s="3" t="n"/>
      <c r="G2591" t="inlineStr"/>
      <c r="H2591" t="inlineStr"/>
      <c r="I2591" s="111" t="n"/>
      <c r="J2591" s="217" t="inlineStr"/>
    </row>
    <row r="2592" ht="15.75" customHeight="1" s="305">
      <c r="A2592" s="215" t="n"/>
      <c r="B2592" s="115" t="n"/>
      <c r="C2592" s="67" t="n"/>
      <c r="D2592" s="3" t="n"/>
      <c r="E2592" s="3" t="n"/>
      <c r="G2592" t="inlineStr"/>
      <c r="H2592" t="inlineStr"/>
      <c r="I2592" s="111" t="n"/>
      <c r="J2592" s="217" t="inlineStr"/>
    </row>
    <row r="2593" ht="15.75" customHeight="1" s="305">
      <c r="A2593" s="215" t="n"/>
      <c r="B2593" s="115" t="n"/>
      <c r="C2593" s="67" t="n"/>
      <c r="D2593" s="3" t="n"/>
      <c r="E2593" s="3" t="n"/>
      <c r="G2593" t="inlineStr"/>
      <c r="H2593" t="inlineStr"/>
      <c r="I2593" s="111" t="n"/>
      <c r="J2593" s="217" t="inlineStr"/>
    </row>
    <row r="2594" ht="15.75" customHeight="1" s="305">
      <c r="A2594" s="215" t="n"/>
      <c r="B2594" s="115" t="n"/>
      <c r="C2594" s="67" t="n"/>
      <c r="D2594" s="3" t="n"/>
      <c r="E2594" s="3" t="n"/>
      <c r="G2594" t="inlineStr"/>
      <c r="H2594" t="inlineStr"/>
      <c r="I2594" s="111" t="n"/>
      <c r="J2594" s="217" t="inlineStr"/>
    </row>
    <row r="2595" ht="15.75" customHeight="1" s="305">
      <c r="A2595" s="215" t="n"/>
      <c r="B2595" s="115" t="n"/>
      <c r="C2595" s="67" t="n"/>
      <c r="D2595" s="3" t="n"/>
      <c r="E2595" s="3" t="n"/>
      <c r="G2595" t="inlineStr"/>
      <c r="H2595" t="inlineStr"/>
      <c r="I2595" s="111" t="n"/>
      <c r="J2595" s="217" t="inlineStr"/>
    </row>
    <row r="2596" ht="15.75" customHeight="1" s="305">
      <c r="A2596" s="215" t="n"/>
      <c r="B2596" s="115" t="n"/>
      <c r="C2596" s="67" t="n"/>
      <c r="D2596" s="3" t="n"/>
      <c r="E2596" s="3" t="n"/>
      <c r="G2596" t="inlineStr"/>
      <c r="H2596" t="inlineStr"/>
      <c r="I2596" s="111" t="n"/>
      <c r="J2596" s="217" t="inlineStr"/>
    </row>
    <row r="2597" ht="15.75" customHeight="1" s="305">
      <c r="A2597" s="215" t="n"/>
      <c r="B2597" s="115" t="n"/>
      <c r="C2597" s="67" t="n"/>
      <c r="D2597" s="3" t="n"/>
      <c r="E2597" s="3" t="n"/>
      <c r="G2597" t="inlineStr"/>
      <c r="H2597" t="inlineStr"/>
      <c r="I2597" s="111" t="n"/>
      <c r="J2597" s="217" t="inlineStr"/>
    </row>
    <row r="2598" ht="15.75" customHeight="1" s="305">
      <c r="A2598" s="215" t="n"/>
      <c r="B2598" s="115" t="n"/>
      <c r="C2598" s="67" t="n"/>
      <c r="D2598" s="3" t="n"/>
      <c r="E2598" s="3" t="n"/>
      <c r="G2598" t="inlineStr"/>
      <c r="H2598" t="inlineStr"/>
      <c r="I2598" s="111" t="n"/>
      <c r="J2598" s="217" t="inlineStr"/>
    </row>
    <row r="2599" ht="15.75" customHeight="1" s="305">
      <c r="A2599" s="215" t="n"/>
      <c r="B2599" s="115" t="n"/>
      <c r="C2599" s="67" t="n"/>
      <c r="D2599" s="3" t="n"/>
      <c r="E2599" s="3" t="n"/>
      <c r="G2599" t="inlineStr"/>
      <c r="H2599" t="inlineStr"/>
      <c r="I2599" s="111" t="n"/>
      <c r="J2599" s="217" t="inlineStr"/>
    </row>
    <row r="2600" ht="15.75" customHeight="1" s="305">
      <c r="A2600" s="215" t="n"/>
      <c r="B2600" s="115" t="n"/>
      <c r="C2600" s="67" t="n"/>
      <c r="D2600" s="3" t="n"/>
      <c r="E2600" s="3" t="n"/>
      <c r="G2600" t="inlineStr"/>
      <c r="H2600" t="inlineStr"/>
      <c r="I2600" s="111" t="n"/>
      <c r="J2600" s="217" t="inlineStr"/>
    </row>
    <row r="2601" ht="15.75" customHeight="1" s="305">
      <c r="A2601" s="215" t="n"/>
      <c r="B2601" s="115" t="n"/>
      <c r="C2601" s="67" t="n"/>
      <c r="D2601" s="3" t="n"/>
      <c r="E2601" s="3" t="n"/>
      <c r="G2601" t="inlineStr"/>
      <c r="H2601" t="inlineStr"/>
      <c r="I2601" s="111" t="n"/>
      <c r="J2601" s="217" t="inlineStr"/>
    </row>
    <row r="2602" ht="15.75" customHeight="1" s="305">
      <c r="A2602" s="215" t="n"/>
      <c r="B2602" s="115" t="n"/>
      <c r="C2602" s="67" t="n"/>
      <c r="D2602" s="3" t="n"/>
      <c r="E2602" s="3" t="n"/>
      <c r="G2602" t="inlineStr"/>
      <c r="H2602" t="inlineStr"/>
      <c r="I2602" s="111" t="n"/>
      <c r="J2602" s="217" t="inlineStr"/>
    </row>
    <row r="2603" ht="15.75" customHeight="1" s="305">
      <c r="A2603" s="215" t="n"/>
      <c r="B2603" s="115" t="n"/>
      <c r="C2603" s="67" t="n"/>
      <c r="D2603" s="3" t="n"/>
      <c r="E2603" s="3" t="n"/>
      <c r="G2603" t="inlineStr"/>
      <c r="H2603" t="inlineStr"/>
      <c r="I2603" s="111" t="n"/>
      <c r="J2603" s="217" t="inlineStr"/>
    </row>
    <row r="2604" ht="15.75" customHeight="1" s="305">
      <c r="A2604" s="215" t="n"/>
      <c r="B2604" s="115" t="n"/>
      <c r="C2604" s="67" t="n"/>
      <c r="D2604" s="3" t="n"/>
      <c r="E2604" s="3" t="n"/>
      <c r="G2604" t="inlineStr"/>
      <c r="H2604" t="inlineStr"/>
      <c r="I2604" s="111" t="n"/>
      <c r="J2604" s="217" t="inlineStr"/>
    </row>
    <row r="2605" ht="15.75" customHeight="1" s="305">
      <c r="A2605" s="215" t="n"/>
      <c r="B2605" s="115" t="n"/>
      <c r="C2605" s="67" t="n"/>
      <c r="D2605" s="3" t="n"/>
      <c r="E2605" s="3" t="n"/>
      <c r="G2605" t="inlineStr"/>
      <c r="H2605" t="inlineStr"/>
      <c r="I2605" s="111" t="n"/>
      <c r="J2605" s="217" t="inlineStr"/>
    </row>
    <row r="2606" ht="15.75" customHeight="1" s="305">
      <c r="A2606" s="215" t="n"/>
      <c r="B2606" s="115" t="n"/>
      <c r="C2606" s="67" t="n"/>
      <c r="D2606" s="3" t="n"/>
      <c r="E2606" s="3" t="n"/>
      <c r="G2606" t="inlineStr"/>
      <c r="H2606" t="inlineStr"/>
      <c r="I2606" s="111" t="n"/>
      <c r="J2606" s="217" t="inlineStr"/>
    </row>
    <row r="2607" ht="15.75" customHeight="1" s="305">
      <c r="A2607" s="215" t="n"/>
      <c r="B2607" s="115" t="n"/>
      <c r="C2607" s="67" t="n"/>
      <c r="D2607" s="3" t="n"/>
      <c r="E2607" s="3" t="n"/>
      <c r="G2607" t="inlineStr"/>
      <c r="H2607" t="inlineStr"/>
      <c r="I2607" s="111" t="n"/>
      <c r="J2607" s="217" t="inlineStr"/>
    </row>
    <row r="2608" ht="15.75" customHeight="1" s="305">
      <c r="A2608" s="215" t="n"/>
      <c r="B2608" s="115" t="n"/>
      <c r="C2608" s="67" t="n"/>
      <c r="D2608" s="3" t="n"/>
      <c r="E2608" s="3" t="n"/>
      <c r="G2608" t="inlineStr"/>
      <c r="H2608" t="inlineStr"/>
      <c r="I2608" s="111" t="n"/>
      <c r="J2608" s="217" t="inlineStr"/>
    </row>
    <row r="2609" ht="15.75" customHeight="1" s="305">
      <c r="A2609" s="215" t="n"/>
      <c r="B2609" s="115" t="n"/>
      <c r="C2609" s="67" t="n"/>
      <c r="D2609" s="3" t="n"/>
      <c r="E2609" s="3" t="n"/>
      <c r="G2609" t="inlineStr"/>
      <c r="H2609" t="inlineStr"/>
      <c r="I2609" s="111" t="n"/>
      <c r="J2609" s="217" t="inlineStr"/>
    </row>
    <row r="2610" ht="15.75" customHeight="1" s="305">
      <c r="A2610" s="215" t="n"/>
      <c r="B2610" s="115" t="n"/>
      <c r="C2610" s="67" t="n"/>
      <c r="D2610" s="3" t="n"/>
      <c r="E2610" s="3" t="n"/>
      <c r="G2610" t="inlineStr"/>
      <c r="H2610" t="inlineStr"/>
      <c r="I2610" s="111" t="n"/>
      <c r="J2610" s="217" t="inlineStr"/>
    </row>
  </sheetData>
  <hyperlinks>
    <hyperlink xmlns:r="http://schemas.openxmlformats.org/officeDocument/2006/relationships" ref="A33" r:id="rId1"/>
    <hyperlink xmlns:r="http://schemas.openxmlformats.org/officeDocument/2006/relationships" ref="A93" r:id="rId2"/>
    <hyperlink xmlns:r="http://schemas.openxmlformats.org/officeDocument/2006/relationships" ref="A135" r:id="rId3"/>
    <hyperlink xmlns:r="http://schemas.openxmlformats.org/officeDocument/2006/relationships" ref="A137" r:id="rId4"/>
  </hyperlinks>
  <pageMargins left="0.7" right="0.7" top="0.75" bottom="0.75" header="0" footer="0"/>
  <pageSetup orientation="landscape"/>
</worksheet>
</file>

<file path=xl/worksheets/sheet16.xml><?xml version="1.0" encoding="utf-8"?>
<worksheet xmlns="http://schemas.openxmlformats.org/spreadsheetml/2006/main">
  <sheetPr>
    <outlinePr summaryBelow="0" summaryRight="0"/>
    <pageSetUpPr/>
  </sheetPr>
  <dimension ref="A1:H248"/>
  <sheetViews>
    <sheetView workbookViewId="0">
      <selection activeCell="A1" sqref="A1"/>
    </sheetView>
  </sheetViews>
  <sheetFormatPr baseColWidth="8" defaultColWidth="14.43" defaultRowHeight="15" customHeight="1"/>
  <cols>
    <col width="31.71" customWidth="1" style="305" min="1" max="1"/>
    <col width="27.71" customWidth="1" style="305" min="2" max="2"/>
    <col width="29.71" customWidth="1" style="305" min="3" max="3"/>
    <col width="36.29" customWidth="1" style="305" min="4" max="4"/>
    <col width="29.71" customWidth="1" style="305" min="5" max="5"/>
    <col width="41.29" customWidth="1" style="305" min="6" max="6"/>
    <col width="36.86" customWidth="1" style="305" min="7" max="7"/>
  </cols>
  <sheetData>
    <row r="1">
      <c r="A1" s="242" t="inlineStr">
        <is>
          <t>key (label.id)</t>
        </is>
      </c>
      <c r="B1" s="242" t="inlineStr">
        <is>
          <t>vi-VN</t>
        </is>
      </c>
      <c r="C1" s="242" t="inlineStr">
        <is>
          <t>en-US</t>
        </is>
      </c>
      <c r="D1" s="242" t="inlineStr">
        <is>
          <t>kh-KM (khmer)</t>
        </is>
      </c>
      <c r="E1" s="243" t="inlineStr">
        <is>
          <t>cam SONITA</t>
        </is>
      </c>
      <c r="F1" s="244" t="inlineStr">
        <is>
          <t>cam review</t>
        </is>
      </c>
      <c r="G1" s="244" t="inlineStr">
        <is>
          <t>Cam - final</t>
        </is>
      </c>
      <c r="H1" s="308" t="inlineStr">
        <is>
          <t>cam Thean</t>
        </is>
      </c>
    </row>
    <row r="2">
      <c r="A2" s="283" t="inlineStr">
        <is>
          <t>salary.app.detail.label.id</t>
        </is>
      </c>
      <c r="B2" s="284" t="inlineStr">
        <is>
          <t>ID</t>
        </is>
      </c>
      <c r="C2" s="284" t="inlineStr">
        <is>
          <t>ID</t>
        </is>
      </c>
      <c r="D2" s="284" t="inlineStr">
        <is>
          <t>លេខសម្គាល់</t>
        </is>
      </c>
      <c r="G2" t="inlineStr">
        <is>
          <t>លេខសម្គាល់</t>
        </is>
      </c>
      <c r="H2" t="inlineStr">
        <is>
          <t>លេខសម្គាល់</t>
        </is>
      </c>
    </row>
    <row r="3">
      <c r="A3" s="284" t="inlineStr">
        <is>
          <t>salary.app.detail.label.user-id</t>
        </is>
      </c>
      <c r="B3" s="284" t="inlineStr">
        <is>
          <t>ID người dùng</t>
        </is>
      </c>
      <c r="C3" s="284" t="inlineStr">
        <is>
          <t>User ID</t>
        </is>
      </c>
      <c r="D3" s="284" t="inlineStr">
        <is>
          <t>លេខសម្គាល់អ្នកប្រើ</t>
        </is>
      </c>
      <c r="G3" t="inlineStr">
        <is>
          <t>លេខសម្គាល់អ្នកប្រើ</t>
        </is>
      </c>
      <c r="H3" t="inlineStr">
        <is>
          <t>លេខសម្គាល់អ្នកប្រើ</t>
        </is>
      </c>
    </row>
    <row r="4">
      <c r="A4" s="284" t="inlineStr">
        <is>
          <t>salary.app.detail.label.post-office-code</t>
        </is>
      </c>
      <c r="B4" s="284" t="inlineStr">
        <is>
          <t>Mã bưu cục</t>
        </is>
      </c>
      <c r="C4" s="284" t="inlineStr">
        <is>
          <t>Post office code</t>
        </is>
      </c>
      <c r="D4" s="284" t="inlineStr">
        <is>
          <t>កូដការិយាល័យប្រៃសណីយ៍</t>
        </is>
      </c>
      <c r="G4" t="inlineStr">
        <is>
          <t>កូដការិយាល័យប្រៃសណីយ៍</t>
        </is>
      </c>
      <c r="H4" t="inlineStr">
        <is>
          <t>កូដការិយាល័យប្រៃសណីយ៍</t>
        </is>
      </c>
    </row>
    <row r="5">
      <c r="A5" s="284" t="inlineStr">
        <is>
          <t>salary.app.detail.label.order-id</t>
        </is>
      </c>
      <c r="B5" s="284" t="inlineStr">
        <is>
          <t>Mã phiếu gửi</t>
        </is>
      </c>
      <c r="C5" s="284" t="inlineStr">
        <is>
          <t>Order ID</t>
        </is>
      </c>
      <c r="D5" s="284" t="inlineStr">
        <is>
          <t>កូដបញ្ញើ</t>
        </is>
      </c>
      <c r="G5" t="inlineStr">
        <is>
          <t>លេខកូដបុងបញ្ញើ</t>
        </is>
      </c>
      <c r="H5" t="inlineStr">
        <is>
          <t>លេខកូដបុងបញ្ញើ</t>
        </is>
      </c>
    </row>
    <row r="6">
      <c r="A6" s="284" t="inlineStr">
        <is>
          <t>salary.app.detail.label.salary-element-id</t>
        </is>
      </c>
      <c r="B6" s="284" t="inlineStr">
        <is>
          <t>ID thành phần lương</t>
        </is>
      </c>
      <c r="C6" s="284" t="inlineStr">
        <is>
          <t>Salary element ID</t>
        </is>
      </c>
      <c r="D6" s="284" t="inlineStr">
        <is>
          <t>លេខសម្គាល់ធាតុប្រាក់ខែ</t>
        </is>
      </c>
      <c r="G6" t="inlineStr">
        <is>
          <t>លេខសម្គាល់ធាតុប្រាក់ខែ</t>
        </is>
      </c>
      <c r="H6" t="inlineStr">
        <is>
          <t>លេខសម្គាល់ធាតុប្រាក់ខែ</t>
        </is>
      </c>
    </row>
    <row r="7">
      <c r="A7" s="284" t="inlineStr">
        <is>
          <t>salary.app.detail.label.classification</t>
        </is>
      </c>
      <c r="B7" s="284" t="inlineStr">
        <is>
          <t>Phân loại</t>
        </is>
      </c>
      <c r="C7" s="284" t="inlineStr">
        <is>
          <t>Classification</t>
        </is>
      </c>
      <c r="D7" s="284" t="inlineStr">
        <is>
          <t>ប្រភេទ</t>
        </is>
      </c>
      <c r="G7" t="inlineStr">
        <is>
          <t>ប្រភេទ</t>
        </is>
      </c>
      <c r="H7" t="inlineStr">
        <is>
          <t>ប្រភេទ</t>
        </is>
      </c>
    </row>
    <row r="8">
      <c r="A8" s="284" t="inlineStr">
        <is>
          <t>salary.app.detail.label.event-type</t>
        </is>
      </c>
      <c r="B8" s="284" t="inlineStr">
        <is>
          <t>Loại sự kiện</t>
        </is>
      </c>
      <c r="C8" s="284" t="inlineStr">
        <is>
          <t>Event type</t>
        </is>
      </c>
      <c r="D8" s="284" t="inlineStr">
        <is>
          <t>ប្រភេទព្រឹត្តិការណ៍</t>
        </is>
      </c>
      <c r="G8" t="inlineStr">
        <is>
          <t>ប្រភេទព្រឹត្តិការណ៍</t>
        </is>
      </c>
      <c r="H8" t="inlineStr">
        <is>
          <t>ប្រភេទព្រឹត្តិការណ៍</t>
        </is>
      </c>
    </row>
    <row r="9">
      <c r="A9" s="284" t="inlineStr">
        <is>
          <t>salary.app.detail.label.event-id</t>
        </is>
      </c>
      <c r="B9" s="284" t="inlineStr">
        <is>
          <t>ID sự kiện</t>
        </is>
      </c>
      <c r="C9" s="284" t="inlineStr">
        <is>
          <t>Event ID</t>
        </is>
      </c>
      <c r="D9" s="284" t="inlineStr">
        <is>
          <t>លេខសម្គាល់ព្រឹត្តិការណ៍</t>
        </is>
      </c>
      <c r="G9" t="inlineStr">
        <is>
          <t>លេខសម្គាល់ព្រឹត្តិការណ៍</t>
        </is>
      </c>
      <c r="H9" t="inlineStr">
        <is>
          <t>លេខសម្គាល់ព្រឹត្តិការណ៍</t>
        </is>
      </c>
    </row>
    <row r="10">
      <c r="A10" s="284" t="inlineStr">
        <is>
          <t>salary.app.detail.label.import-batch-id</t>
        </is>
      </c>
      <c r="B10" s="284" t="inlineStr">
        <is>
          <t>ID batch nhập</t>
        </is>
      </c>
      <c r="C10" s="284" t="inlineStr">
        <is>
          <t>Import batch ID</t>
        </is>
      </c>
      <c r="D10" s="284" t="inlineStr">
        <is>
          <t>លេខសម្គាល់បាច់នាំចូល</t>
        </is>
      </c>
      <c r="G10" t="inlineStr">
        <is>
          <t>លេខសម្គាល់បាច់នាំចូល</t>
        </is>
      </c>
      <c r="H10" t="inlineStr">
        <is>
          <t>លេខសម្គាល់បាច់នាំចូល</t>
        </is>
      </c>
    </row>
    <row r="11">
      <c r="A11" s="284" t="inlineStr">
        <is>
          <t>salary.app.detail.label.detail-parameters</t>
        </is>
      </c>
      <c r="B11" s="284" t="inlineStr">
        <is>
          <t>Tham số chi tiết</t>
        </is>
      </c>
      <c r="C11" s="284" t="inlineStr">
        <is>
          <t>Detail parameters</t>
        </is>
      </c>
      <c r="D11" s="284" t="inlineStr">
        <is>
          <t>ប៉ារ៉ាម៉ែត្រលម្អិត</t>
        </is>
      </c>
      <c r="G11" t="inlineStr">
        <is>
          <t>ប៉ារ៉ាម៉ែត្រលម្អិត</t>
        </is>
      </c>
      <c r="H11" t="inlineStr">
        <is>
          <t>ប៉ារ៉ាម៉ែត្រលម្អិត</t>
        </is>
      </c>
    </row>
    <row r="12">
      <c r="A12" s="284" t="inlineStr">
        <is>
          <t>salary.app.detail.label.amount</t>
        </is>
      </c>
      <c r="B12" s="284" t="inlineStr">
        <is>
          <t>Số tiền</t>
        </is>
      </c>
      <c r="C12" s="284" t="inlineStr">
        <is>
          <t>Amount</t>
        </is>
      </c>
      <c r="D12" s="284" t="inlineStr">
        <is>
          <t>ចំនួនទឹកប្រាក់</t>
        </is>
      </c>
      <c r="G12" t="inlineStr">
        <is>
          <t>ចំនួនទឹកប្រាក់</t>
        </is>
      </c>
      <c r="H12" t="inlineStr">
        <is>
          <t>ចំនួនទឹកប្រាក់</t>
        </is>
      </c>
    </row>
    <row r="13">
      <c r="A13" s="284" t="inlineStr">
        <is>
          <t>salary.app.detail.label.salary-date</t>
        </is>
      </c>
      <c r="B13" s="284" t="inlineStr">
        <is>
          <t>Ngày báo cáo</t>
        </is>
      </c>
      <c r="C13" s="284" t="inlineStr">
        <is>
          <t>Salary date</t>
        </is>
      </c>
      <c r="D13" s="284" t="inlineStr">
        <is>
          <t>កាលបរិច្ឆេទប្រាក់ខែ</t>
        </is>
      </c>
      <c r="G13" t="inlineStr">
        <is>
          <t>កាលបរិច្ឆេទប្រាក់ខែ</t>
        </is>
      </c>
      <c r="H13" t="inlineStr">
        <is>
          <t>កាលបរិច្ឆេទប្រាក់ខែ</t>
        </is>
      </c>
    </row>
    <row r="14">
      <c r="A14" s="284" t="inlineStr">
        <is>
          <t>salary.app.detail.label.created-by</t>
        </is>
      </c>
      <c r="B14" s="284" t="inlineStr">
        <is>
          <t>Người tạo</t>
        </is>
      </c>
      <c r="C14" s="284" t="inlineStr">
        <is>
          <t>Created by</t>
        </is>
      </c>
      <c r="D14" s="284" t="inlineStr">
        <is>
          <t>អ្នកបង្កើត</t>
        </is>
      </c>
      <c r="G14" t="inlineStr">
        <is>
          <t>អ្នកបង្កើត</t>
        </is>
      </c>
      <c r="H14" t="inlineStr">
        <is>
          <t>អ្នកបង្កើត</t>
        </is>
      </c>
    </row>
    <row r="15">
      <c r="A15" s="284" t="inlineStr">
        <is>
          <t>salary.app.detail.label.time</t>
        </is>
      </c>
      <c r="B15" s="284" t="inlineStr">
        <is>
          <t>Thời gian</t>
        </is>
      </c>
      <c r="C15" s="284" t="inlineStr">
        <is>
          <t>Time</t>
        </is>
      </c>
      <c r="D15" s="284" t="inlineStr">
        <is>
          <t>ពេលវេលា</t>
        </is>
      </c>
      <c r="G15" t="inlineStr">
        <is>
          <t>ពេលវេលា</t>
        </is>
      </c>
      <c r="H15" t="inlineStr">
        <is>
          <t>ពេលវេលា</t>
        </is>
      </c>
    </row>
    <row r="16">
      <c r="A16" s="284" t="inlineStr">
        <is>
          <t>salary.app.detail.label.updated-by</t>
        </is>
      </c>
      <c r="B16" s="284" t="inlineStr">
        <is>
          <t>Người cập nhật</t>
        </is>
      </c>
      <c r="C16" s="284" t="inlineStr">
        <is>
          <t>Updated by</t>
        </is>
      </c>
      <c r="D16" s="284" t="inlineStr">
        <is>
          <t>អ្នកធ្វើបច្ចុប្បន្នភាព</t>
        </is>
      </c>
      <c r="G16" t="inlineStr">
        <is>
          <t>អ្នកធ្វើបច្ចុប្បន្នភាព</t>
        </is>
      </c>
      <c r="H16" t="inlineStr">
        <is>
          <t>អ្នកធ្វើបច្ចុប្បន្នភាព</t>
        </is>
      </c>
    </row>
    <row r="17">
      <c r="A17" s="284" t="inlineStr">
        <is>
          <t>salary.app.detail.label.updated-time</t>
        </is>
      </c>
      <c r="B17" s="284" t="inlineStr">
        <is>
          <t>Thời gian cập nhật</t>
        </is>
      </c>
      <c r="C17" s="284" t="inlineStr">
        <is>
          <t>Updated time</t>
        </is>
      </c>
      <c r="D17" s="284" t="inlineStr">
        <is>
          <t>ពេលវេលាធ្វើបច្ចុប្បន្នភាព</t>
        </is>
      </c>
      <c r="G17" t="inlineStr">
        <is>
          <t>ពេលវេលាធ្វើបច្ចុប្បន្នភាព</t>
        </is>
      </c>
      <c r="H17" t="inlineStr">
        <is>
          <t>ពេលវេលាធ្វើបច្ចុប្បន្នភាព</t>
        </is>
      </c>
    </row>
    <row r="18">
      <c r="A18" s="284" t="inlineStr">
        <is>
          <t>salary.app.detail.label.event-title</t>
        </is>
      </c>
      <c r="B18" s="284" t="inlineStr">
        <is>
          <t>Tiêu đề sự kiện</t>
        </is>
      </c>
      <c r="C18" s="284" t="inlineStr">
        <is>
          <t>Event title</t>
        </is>
      </c>
      <c r="D18" s="284" t="inlineStr">
        <is>
          <t>ចំណងជើងព្រឹត្តិការណ៍</t>
        </is>
      </c>
      <c r="G18" t="inlineStr">
        <is>
          <t>ចំណងជើងព្រឹត្តិការណ៍</t>
        </is>
      </c>
      <c r="H18" t="inlineStr">
        <is>
          <t>ចំណងជើងព្រឹត្តិការណ៍</t>
        </is>
      </c>
    </row>
    <row r="19">
      <c r="A19" s="284" t="inlineStr">
        <is>
          <t>salary.app.detail.label.event</t>
        </is>
      </c>
      <c r="B19" s="284" t="inlineStr">
        <is>
          <t>Sự kiện</t>
        </is>
      </c>
      <c r="C19" s="284" t="inlineStr">
        <is>
          <t>Event</t>
        </is>
      </c>
      <c r="D19" s="284" t="inlineStr">
        <is>
          <t>ព្រឹត្តិការណ៍</t>
        </is>
      </c>
      <c r="G19" t="inlineStr">
        <is>
          <t>ព្រឹត្តិការណ៍</t>
        </is>
      </c>
      <c r="H19" t="inlineStr">
        <is>
          <t>ព្រឹត្តិការណ៍</t>
        </is>
      </c>
    </row>
    <row r="20">
      <c r="A20" s="284" t="inlineStr">
        <is>
          <t>salary.app.detail.label.file-name</t>
        </is>
      </c>
      <c r="B20" s="284" t="inlineStr">
        <is>
          <t>Tên file</t>
        </is>
      </c>
      <c r="C20" s="284" t="inlineStr">
        <is>
          <t>File name</t>
        </is>
      </c>
      <c r="D20" s="284" t="inlineStr">
        <is>
          <t>ឈ្មោះឯកសារ</t>
        </is>
      </c>
      <c r="G20" t="inlineStr">
        <is>
          <t>ឈ្មោះឯកសារ</t>
        </is>
      </c>
      <c r="H20" t="inlineStr">
        <is>
          <t>ឈ្មោះឯកសារ</t>
        </is>
      </c>
    </row>
    <row r="21">
      <c r="A21" s="284" t="inlineStr">
        <is>
          <t>salary.app.detail.label.note</t>
        </is>
      </c>
      <c r="B21" s="284" t="inlineStr">
        <is>
          <t>Ghi chú</t>
        </is>
      </c>
      <c r="C21" s="284" t="inlineStr">
        <is>
          <t>Note</t>
        </is>
      </c>
      <c r="D21" s="284" t="inlineStr">
        <is>
          <t>ចំណាំ</t>
        </is>
      </c>
      <c r="G21" t="inlineStr">
        <is>
          <t>ចំណាំ</t>
        </is>
      </c>
      <c r="H21" t="inlineStr">
        <is>
          <t>ចំណាំ</t>
        </is>
      </c>
    </row>
    <row r="22">
      <c r="A22" s="284" t="inlineStr">
        <is>
          <t>salary.app.detail.label.approver</t>
        </is>
      </c>
      <c r="B22" s="284" t="inlineStr">
        <is>
          <t>Người duyệt</t>
        </is>
      </c>
      <c r="C22" s="284" t="inlineStr">
        <is>
          <t>Approver</t>
        </is>
      </c>
      <c r="D22" s="284" t="inlineStr">
        <is>
          <t>អ្នកអនុម័ត</t>
        </is>
      </c>
      <c r="G22" t="inlineStr">
        <is>
          <t>អ្នកអនុម័ត</t>
        </is>
      </c>
      <c r="H22" t="inlineStr">
        <is>
          <t>អ្នកអនុម័ត</t>
        </is>
      </c>
    </row>
    <row r="23">
      <c r="A23" s="284" t="inlineStr">
        <is>
          <t>salary.app.detail.label.cod-amount</t>
        </is>
      </c>
      <c r="B23" s="284" t="inlineStr">
        <is>
          <t>Tiền COD</t>
        </is>
      </c>
      <c r="C23" s="284" t="inlineStr">
        <is>
          <t>COD amount</t>
        </is>
      </c>
      <c r="D23" s="284" t="inlineStr">
        <is>
          <t>ទឹកប្រាក់ COD</t>
        </is>
      </c>
      <c r="G23" t="inlineStr">
        <is>
          <t>ប្រាក់ COD</t>
        </is>
      </c>
      <c r="H23" t="inlineStr">
        <is>
          <t>ប្រាក់ COD</t>
        </is>
      </c>
    </row>
    <row r="24">
      <c r="A24" s="284" t="inlineStr">
        <is>
          <t>salary.app.detail.label.receive-type</t>
        </is>
      </c>
      <c r="B24" s="284" t="inlineStr">
        <is>
          <t>Loại nhận</t>
        </is>
      </c>
      <c r="C24" s="284" t="inlineStr">
        <is>
          <t>Receive type</t>
        </is>
      </c>
      <c r="D24" s="284" t="inlineStr">
        <is>
          <t>ប្រភេទទទួល</t>
        </is>
      </c>
      <c r="G24" t="inlineStr">
        <is>
          <t>ប្រភេទទទួល</t>
        </is>
      </c>
      <c r="H24" t="inlineStr">
        <is>
          <t>ប្រភេទទទួល</t>
        </is>
      </c>
    </row>
    <row r="25">
      <c r="A25" s="284" t="inlineStr">
        <is>
          <t>salary.app.detail.label.total-fee</t>
        </is>
      </c>
      <c r="B25" s="284" t="inlineStr">
        <is>
          <t>Tổng cước</t>
        </is>
      </c>
      <c r="C25" s="284" t="inlineStr">
        <is>
          <t>Total fee</t>
        </is>
      </c>
      <c r="D25" s="284" t="inlineStr">
        <is>
          <t>ថ្លៃសរុប</t>
        </is>
      </c>
      <c r="G25" t="inlineStr">
        <is>
          <t>ថ្លៃដឹកជញ្ជូនសរុប</t>
        </is>
      </c>
      <c r="H25" t="inlineStr">
        <is>
          <t>ថ្លៃដឹកជញ្ជូនសរុប</t>
        </is>
      </c>
    </row>
    <row r="26">
      <c r="A26" s="284" t="inlineStr">
        <is>
          <t>salary.app.detail.label.status</t>
        </is>
      </c>
      <c r="B26" s="284" t="inlineStr">
        <is>
          <t>Trạng thái</t>
        </is>
      </c>
      <c r="C26" s="284" t="inlineStr">
        <is>
          <t>Status</t>
        </is>
      </c>
      <c r="D26" s="284" t="inlineStr">
        <is>
          <t>ស្ថានភាព</t>
        </is>
      </c>
      <c r="G26" t="inlineStr">
        <is>
          <t>ស្ថានភាព</t>
        </is>
      </c>
      <c r="H26" t="inlineStr">
        <is>
          <t>ស្ថានភាព</t>
        </is>
      </c>
    </row>
    <row r="27">
      <c r="A27" s="284" t="inlineStr">
        <is>
          <t>salary.app.detail.label.order-code</t>
        </is>
      </c>
      <c r="B27" s="284" t="inlineStr">
        <is>
          <t>Mã đơn hàng</t>
        </is>
      </c>
      <c r="C27" s="284" t="inlineStr">
        <is>
          <t>Order code</t>
        </is>
      </c>
      <c r="D27" s="284" t="inlineStr">
        <is>
          <t>កូដបញ្ជាទិញ</t>
        </is>
      </c>
      <c r="G27" t="inlineStr">
        <is>
          <t>លេខកូដបុងបញ្ញើ</t>
        </is>
      </c>
      <c r="H27" t="inlineStr">
        <is>
          <t>លេខកូដបុងបញ្ញើ</t>
        </is>
      </c>
    </row>
    <row r="28">
      <c r="A28" s="284" t="inlineStr">
        <is>
          <t>salary.app.detail.label.created-time</t>
        </is>
      </c>
      <c r="B28" s="284" t="inlineStr">
        <is>
          <t>Thời gian tạo</t>
        </is>
      </c>
      <c r="C28" s="284" t="inlineStr">
        <is>
          <t>Created time</t>
        </is>
      </c>
      <c r="D28" s="284" t="inlineStr">
        <is>
          <t>ពេលវេលាបង្កើត</t>
        </is>
      </c>
      <c r="G28" t="inlineStr">
        <is>
          <t>ពេលវេលាបង្កើត</t>
        </is>
      </c>
      <c r="H28" t="inlineStr">
        <is>
          <t>ពេលវេលាបង្កើត</t>
        </is>
      </c>
    </row>
    <row r="29">
      <c r="A29" s="284" t="inlineStr">
        <is>
          <t>salary.app.detail.label.goods-type</t>
        </is>
      </c>
      <c r="B29" s="284" t="inlineStr">
        <is>
          <t>Loại hàng hóa</t>
        </is>
      </c>
      <c r="C29" s="284" t="inlineStr">
        <is>
          <t>Goods type</t>
        </is>
      </c>
      <c r="D29" s="284" t="inlineStr">
        <is>
          <t>ប្រភេទទំនិញ</t>
        </is>
      </c>
      <c r="G29" t="inlineStr">
        <is>
          <t>ប្រភេទមុខទំនិញ</t>
        </is>
      </c>
      <c r="H29" t="inlineStr">
        <is>
          <t>ប្រភេទមុខទំនិញ</t>
        </is>
      </c>
    </row>
    <row r="30">
      <c r="A30" s="284" t="inlineStr">
        <is>
          <t>salary.app.detail.label.employee-code</t>
        </is>
      </c>
      <c r="B30" s="284" t="inlineStr">
        <is>
          <t>Mã nhân viên</t>
        </is>
      </c>
      <c r="C30" s="284" t="inlineStr">
        <is>
          <t>Employee code</t>
        </is>
      </c>
      <c r="D30" s="284" t="inlineStr">
        <is>
          <t>កូដបុគ្គលិក</t>
        </is>
      </c>
      <c r="G30" t="inlineStr">
        <is>
          <t>លេខកូដបុគ្គលិក</t>
        </is>
      </c>
      <c r="H30" t="inlineStr">
        <is>
          <t>លេខកូដបុគ្គលិក</t>
        </is>
      </c>
    </row>
    <row r="31">
      <c r="A31" s="284" t="inlineStr">
        <is>
          <t>salary.app.detail.label.referrer-id</t>
        </is>
      </c>
      <c r="B31" s="284" t="inlineStr">
        <is>
          <t>ID giới thiệu</t>
        </is>
      </c>
      <c r="C31" s="284" t="inlineStr">
        <is>
          <t>Referrer ID</t>
        </is>
      </c>
      <c r="D31" s="284" t="inlineStr">
        <is>
          <t>លេខសម្គាល់អ្នកណែនាំ</t>
        </is>
      </c>
      <c r="G31" t="inlineStr">
        <is>
          <t>លេខសម្គាល់អ្នកណែនាំ</t>
        </is>
      </c>
      <c r="H31" t="inlineStr">
        <is>
          <t>លេខសម្គាល់អ្នកណែនាំ</t>
        </is>
      </c>
    </row>
    <row r="32">
      <c r="A32" s="284" t="inlineStr">
        <is>
          <t>salary.app.detail.label.customer-code</t>
        </is>
      </c>
      <c r="B32" s="284" t="inlineStr">
        <is>
          <t>Mã khách hàng</t>
        </is>
      </c>
      <c r="C32" s="284" t="inlineStr">
        <is>
          <t>Customer code</t>
        </is>
      </c>
      <c r="D32" s="284" t="inlineStr">
        <is>
          <t>កូដអតិថិជន</t>
        </is>
      </c>
      <c r="G32" t="inlineStr">
        <is>
          <t>កូដអតិថិជន</t>
        </is>
      </c>
      <c r="H32" t="inlineStr">
        <is>
          <t>កូដអតិថិជន</t>
        </is>
      </c>
    </row>
    <row r="33">
      <c r="A33" s="284" t="inlineStr">
        <is>
          <t>salary.app.detail.label.total-vat-fee</t>
        </is>
      </c>
      <c r="B33" s="284" t="inlineStr">
        <is>
          <t>Tổng cước VAT</t>
        </is>
      </c>
      <c r="C33" s="284" t="inlineStr">
        <is>
          <t>Total VAT fee</t>
        </is>
      </c>
      <c r="D33" s="284" t="inlineStr">
        <is>
          <t>ថ្លៃ VAT សរុប</t>
        </is>
      </c>
      <c r="G33" t="inlineStr">
        <is>
          <t>ថ្លៃ VAT សរុប</t>
        </is>
      </c>
      <c r="H33" t="inlineStr">
        <is>
          <t>ថ្លៃ VAT សរុប</t>
        </is>
      </c>
    </row>
    <row r="34">
      <c r="A34" s="284" t="inlineStr">
        <is>
          <t>salary.app.detail.label.employee-post-office-type</t>
        </is>
      </c>
      <c r="B34" s="284" t="inlineStr">
        <is>
          <t>Loại bưu cục nhân viên</t>
        </is>
      </c>
      <c r="C34" s="284" t="inlineStr">
        <is>
          <t>Employee post office type</t>
        </is>
      </c>
      <c r="D34" s="284" t="inlineStr">
        <is>
          <t>ប្រភេទការិយាល័យបុគ្គលិក</t>
        </is>
      </c>
      <c r="G34" t="inlineStr">
        <is>
          <t>ប្រភេទការិយាល័យបុគ្គលិក</t>
        </is>
      </c>
      <c r="H34" t="inlineStr">
        <is>
          <t>ប្រភេទការិយាល័យបុគ្គលិក</t>
        </is>
      </c>
    </row>
    <row r="35">
      <c r="A35" s="284" t="inlineStr">
        <is>
          <t>salary.app.detail.label.receiving-post-office-code</t>
        </is>
      </c>
      <c r="B35" s="284" t="inlineStr">
        <is>
          <t>Mã bưu cục nhận</t>
        </is>
      </c>
      <c r="C35" s="284" t="inlineStr">
        <is>
          <t>Receiving post office code</t>
        </is>
      </c>
      <c r="D35" s="284" t="inlineStr">
        <is>
          <t>កូដការិយាល័យទទួល</t>
        </is>
      </c>
      <c r="G35" t="inlineStr">
        <is>
          <t>កូដការិយាល័យទទួល</t>
        </is>
      </c>
      <c r="H35" t="inlineStr">
        <is>
          <t>កូដការិយាល័យទទួល</t>
        </is>
      </c>
    </row>
    <row r="36">
      <c r="A36" s="284" t="inlineStr">
        <is>
          <t>salary.app.detail.label.delivery-post-office-code</t>
        </is>
      </c>
      <c r="B36" s="284" t="inlineStr">
        <is>
          <t>Mã bưu cục phát</t>
        </is>
      </c>
      <c r="C36" s="284" t="inlineStr">
        <is>
          <t>Delivery post office code</t>
        </is>
      </c>
      <c r="D36" s="284" t="inlineStr">
        <is>
          <t>កូដការិយាល័យបញ្ជូន</t>
        </is>
      </c>
      <c r="G36" t="inlineStr">
        <is>
          <t>កូដការិយាល័យបញ្ជូន</t>
        </is>
      </c>
      <c r="H36" t="inlineStr">
        <is>
          <t>កូដការិយាល័យបញ្ជូន</t>
        </is>
      </c>
    </row>
    <row r="37">
      <c r="A37" s="284" t="inlineStr">
        <is>
          <t>salary.app.detail.label.extra-service-code</t>
        </is>
      </c>
      <c r="B37" s="284" t="inlineStr">
        <is>
          <t>Mã dịch vụ khác</t>
        </is>
      </c>
      <c r="C37" s="284" t="inlineStr">
        <is>
          <t>Extra service code</t>
        </is>
      </c>
      <c r="D37" s="284" t="inlineStr">
        <is>
          <t>កូដសេវាកម្មបន្ថែម</t>
        </is>
      </c>
      <c r="G37" t="inlineStr">
        <is>
          <t>កូដសេវាកម្មបន្ថែម</t>
        </is>
      </c>
      <c r="H37" t="inlineStr">
        <is>
          <t>កូដសេវាកម្មបន្ថែម</t>
        </is>
      </c>
    </row>
    <row r="38">
      <c r="A38" s="284" t="inlineStr">
        <is>
          <t>salary.app.detail.label.primary-service-code</t>
        </is>
      </c>
      <c r="B38" s="284" t="inlineStr">
        <is>
          <t>Mã dịch vụ chính</t>
        </is>
      </c>
      <c r="C38" s="284" t="inlineStr">
        <is>
          <t>Primary service code</t>
        </is>
      </c>
      <c r="D38" s="284" t="inlineStr">
        <is>
          <t>កូដសេវាកម្មចម្បង</t>
        </is>
      </c>
      <c r="G38" t="inlineStr">
        <is>
          <t>កូដសេវាកម្មចម្បង</t>
        </is>
      </c>
      <c r="H38" t="inlineStr">
        <is>
          <t>កូដសេវាកម្មចម្បង</t>
        </is>
      </c>
    </row>
    <row r="39">
      <c r="A39" s="284" t="inlineStr">
        <is>
          <t>salary.app.detail.label.referrer-employee-code</t>
        </is>
      </c>
      <c r="B39" s="284" t="inlineStr">
        <is>
          <t>Mã NV giới thiệu</t>
        </is>
      </c>
      <c r="C39" s="284" t="inlineStr">
        <is>
          <t>Referrer employee code</t>
        </is>
      </c>
      <c r="D39" s="284" t="inlineStr">
        <is>
          <t>កូដបុគ្គលិកណែនាំ</t>
        </is>
      </c>
      <c r="G39" t="inlineStr">
        <is>
          <t>កូដបុគ្គលិកណែនាំ</t>
        </is>
      </c>
      <c r="H39" t="inlineStr">
        <is>
          <t>កូដបុគ្គលិកណែនាំ</t>
        </is>
      </c>
    </row>
    <row r="40">
      <c r="A40" s="284" t="inlineStr">
        <is>
          <t>salary.app.detail.label.weight</t>
        </is>
      </c>
      <c r="B40" s="284" t="inlineStr">
        <is>
          <t>Trọng lượng</t>
        </is>
      </c>
      <c r="C40" s="284" t="inlineStr">
        <is>
          <t>Weight</t>
        </is>
      </c>
      <c r="D40" s="284" t="inlineStr">
        <is>
          <t>ទម្ងន់</t>
        </is>
      </c>
      <c r="G40" t="inlineStr">
        <is>
          <t>ទម្ងន់</t>
        </is>
      </c>
      <c r="H40" t="inlineStr">
        <is>
          <t>ទម្ងន់</t>
        </is>
      </c>
    </row>
    <row r="41">
      <c r="A41" s="284" t="inlineStr">
        <is>
          <t>salary.app.detail.label.receiving-post-office-type</t>
        </is>
      </c>
      <c r="B41" s="284" t="inlineStr">
        <is>
          <t>Loại bưu cục nhận</t>
        </is>
      </c>
      <c r="C41" s="284" t="inlineStr">
        <is>
          <t>Receiving post office type</t>
        </is>
      </c>
      <c r="D41" s="284" t="inlineStr">
        <is>
          <t>ប្រភេទការិយាល័យទទួល</t>
        </is>
      </c>
      <c r="G41" t="inlineStr">
        <is>
          <t>ប្រភេទការិយាល័យទទួល</t>
        </is>
      </c>
      <c r="H41" t="inlineStr">
        <is>
          <t>ប្រភេទការិយាល័យទទួល</t>
        </is>
      </c>
    </row>
    <row r="42">
      <c r="A42" s="284" t="inlineStr">
        <is>
          <t>salary.app.detail.label.delivery-post-office-type</t>
        </is>
      </c>
      <c r="B42" s="284" t="inlineStr">
        <is>
          <t>Loại bưu cục phát</t>
        </is>
      </c>
      <c r="C42" s="284" t="inlineStr">
        <is>
          <t>Delivery post office type</t>
        </is>
      </c>
      <c r="D42" s="284" t="inlineStr">
        <is>
          <t>ប្រភេទការិយាល័យបញ្ជូន</t>
        </is>
      </c>
      <c r="G42" t="inlineStr">
        <is>
          <t>ប្រភេទការិយាល័យបញ្ជូន</t>
        </is>
      </c>
      <c r="H42" t="inlineStr">
        <is>
          <t>ប្រភេទការិយាល័យបញ្ជូន</t>
        </is>
      </c>
    </row>
    <row r="43">
      <c r="A43" s="284" t="inlineStr">
        <is>
          <t>salary.app.detail.label.referrer-employee-name</t>
        </is>
      </c>
      <c r="B43" s="284" t="inlineStr">
        <is>
          <t>Tên NV giới thiệu</t>
        </is>
      </c>
      <c r="C43" s="284" t="inlineStr">
        <is>
          <t>Referrer employee name</t>
        </is>
      </c>
      <c r="D43" s="284" t="inlineStr">
        <is>
          <t>ឈ្មោះបុគ្គលិកណែនាំ</t>
        </is>
      </c>
      <c r="G43" t="inlineStr">
        <is>
          <t>ឈ្មោះបុគ្គលិកណែនាំ</t>
        </is>
      </c>
      <c r="H43" t="inlineStr">
        <is>
          <t>ឈ្មោះបុគ្គលិកណែនាំ</t>
        </is>
      </c>
    </row>
    <row r="44">
      <c r="A44" s="284" t="inlineStr">
        <is>
          <t>salary.app.detail.label.action-time</t>
        </is>
      </c>
      <c r="B44" s="284" t="inlineStr">
        <is>
          <t>Thời gian tác động</t>
        </is>
      </c>
      <c r="C44" s="284" t="inlineStr">
        <is>
          <t>Action time</t>
        </is>
      </c>
      <c r="D44" s="284" t="inlineStr">
        <is>
          <t>ពេលវេលាប្រតិបត្តិការ</t>
        </is>
      </c>
      <c r="G44" t="inlineStr">
        <is>
          <t>ពេលវេលាប្រតិបត្តិការ</t>
        </is>
      </c>
      <c r="H44" t="inlineStr">
        <is>
          <t>ពេលវេលាប្រតិបត្តិការ</t>
        </is>
      </c>
    </row>
    <row r="45">
      <c r="A45" s="284" t="inlineStr">
        <is>
          <t>salary.app.detail.label.employee-post-office-code</t>
        </is>
      </c>
      <c r="B45" s="284" t="inlineStr">
        <is>
          <t>Mã bưu cục nhân viên</t>
        </is>
      </c>
      <c r="C45" s="284" t="inlineStr">
        <is>
          <t>Employee post office code</t>
        </is>
      </c>
      <c r="D45" s="284" t="inlineStr">
        <is>
          <t>កូដការិយាល័យបុគ្គលិក</t>
        </is>
      </c>
      <c r="G45" t="inlineStr">
        <is>
          <t>កូដការិយាល័យបុគ្គលិក</t>
        </is>
      </c>
      <c r="H45" t="inlineStr">
        <is>
          <t>កូដការិយាល័យបុគ្គលិក</t>
        </is>
      </c>
    </row>
    <row r="46">
      <c r="A46" s="284" t="inlineStr">
        <is>
          <t>salary.app.detail.label.gps</t>
        </is>
      </c>
      <c r="B46" s="284" t="inlineStr">
        <is>
          <t>GPS</t>
        </is>
      </c>
      <c r="C46" s="284" t="inlineStr">
        <is>
          <t>GPS</t>
        </is>
      </c>
      <c r="D46" s="284" t="inlineStr">
        <is>
          <t>GPS</t>
        </is>
      </c>
      <c r="G46" t="inlineStr">
        <is>
          <t>GPS</t>
        </is>
      </c>
      <c r="H46" t="inlineStr">
        <is>
          <t>GPS</t>
        </is>
      </c>
    </row>
    <row r="47">
      <c r="A47" s="284" t="inlineStr">
        <is>
          <t>salary.app.detail.label.direction</t>
        </is>
      </c>
      <c r="B47" s="284" t="inlineStr">
        <is>
          <t>Chiều</t>
        </is>
      </c>
      <c r="C47" s="284" t="inlineStr">
        <is>
          <t>Direction</t>
        </is>
      </c>
      <c r="D47" s="284" t="inlineStr">
        <is>
          <t>ទិសដៅ</t>
        </is>
      </c>
      <c r="G47" t="inlineStr">
        <is>
          <t>ទិសដៅ</t>
        </is>
      </c>
      <c r="H47" t="inlineStr">
        <is>
          <t>ទិសដៅ</t>
        </is>
      </c>
    </row>
    <row r="48">
      <c r="A48" s="284" t="inlineStr">
        <is>
          <t>salary.app.detail.label.driver-input</t>
        </is>
      </c>
      <c r="B48" s="284" t="inlineStr">
        <is>
          <t>Tài xế nhập</t>
        </is>
      </c>
      <c r="C48" s="284" t="inlineStr">
        <is>
          <t>Driver input</t>
        </is>
      </c>
      <c r="D48" s="284" t="inlineStr">
        <is>
          <t>អ្នកបើកបរបញ្ចូល</t>
        </is>
      </c>
      <c r="G48" t="inlineStr">
        <is>
          <t>អ្នកបើកបរបញ្ចូល</t>
        </is>
      </c>
      <c r="H48" t="inlineStr">
        <is>
          <t>អ្នកបើកបរបញ្ចូល</t>
        </is>
      </c>
    </row>
    <row r="49">
      <c r="A49" s="284" t="inlineStr">
        <is>
          <t>salary.app.detail.label.route</t>
        </is>
      </c>
      <c r="B49" s="284" t="inlineStr">
        <is>
          <t>Hành trình</t>
        </is>
      </c>
      <c r="C49" s="284" t="inlineStr">
        <is>
          <t>Route</t>
        </is>
      </c>
      <c r="D49" s="284" t="inlineStr">
        <is>
          <t>ផ្លូវធ្វើដំណើរ</t>
        </is>
      </c>
      <c r="G49" t="inlineStr">
        <is>
          <t>ដំណើរឆ្លងកាត់បញ្ញើ</t>
        </is>
      </c>
      <c r="H49" t="inlineStr">
        <is>
          <t>ដំណើរឆ្លងកាត់បញ្ញើ</t>
        </is>
      </c>
    </row>
    <row r="50">
      <c r="A50" s="284" t="inlineStr">
        <is>
          <t>salary.app.detail.label.route-name</t>
        </is>
      </c>
      <c r="B50" s="284" t="inlineStr">
        <is>
          <t>Tên tuyến</t>
        </is>
      </c>
      <c r="C50" s="284" t="inlineStr">
        <is>
          <t>Route name</t>
        </is>
      </c>
      <c r="D50" s="284" t="inlineStr">
        <is>
          <t>ឈ្មោះផ្លូវ</t>
        </is>
      </c>
      <c r="G50" t="inlineStr">
        <is>
          <t>ឈ្មោះផ្លូវ</t>
        </is>
      </c>
      <c r="H50" t="inlineStr">
        <is>
          <t>ឈ្មោះផ្លូវ</t>
        </is>
      </c>
    </row>
    <row r="51">
      <c r="A51" s="284" t="inlineStr">
        <is>
          <t>salary.app.detail.label.capacity</t>
        </is>
      </c>
      <c r="B51" s="284" t="inlineStr">
        <is>
          <t>Trọng tải</t>
        </is>
      </c>
      <c r="C51" s="284" t="inlineStr">
        <is>
          <t>Capacity</t>
        </is>
      </c>
      <c r="D51" s="284" t="inlineStr">
        <is>
          <t>សមត្ថភាពផ្ទុក</t>
        </is>
      </c>
      <c r="G51" t="inlineStr">
        <is>
          <t>សមត្ថភាពផ្ទុក</t>
        </is>
      </c>
      <c r="H51" t="inlineStr">
        <is>
          <t>សមត្ថភាពផ្ទុក</t>
        </is>
      </c>
    </row>
    <row r="52">
      <c r="A52" s="284" t="inlineStr">
        <is>
          <t>salary.app.detail.label.vehicle-plate</t>
        </is>
      </c>
      <c r="B52" s="284" t="inlineStr">
        <is>
          <t>Biển số xe</t>
        </is>
      </c>
      <c r="C52" s="284" t="inlineStr">
        <is>
          <t>License plate</t>
        </is>
      </c>
      <c r="D52" s="284" t="inlineStr">
        <is>
          <t>ស្លាកលេខយានយន្ត</t>
        </is>
      </c>
      <c r="G52" t="inlineStr">
        <is>
          <t>ស្លាកលេខរថយន្ត</t>
        </is>
      </c>
      <c r="H52" t="inlineStr">
        <is>
          <t>ស្លាកលេខរថយន្ត</t>
        </is>
      </c>
    </row>
    <row r="53">
      <c r="A53" s="284" t="inlineStr">
        <is>
          <t>salary.app.detail.label.trip-code</t>
        </is>
      </c>
      <c r="B53" s="284" t="inlineStr">
        <is>
          <t>Mã chuyến xe</t>
        </is>
      </c>
      <c r="C53" s="284" t="inlineStr">
        <is>
          <t>Trip code</t>
        </is>
      </c>
      <c r="D53" s="284" t="inlineStr">
        <is>
          <t>កូដជើងដំណើរ</t>
        </is>
      </c>
      <c r="G53" t="inlineStr">
        <is>
          <t>កូដជើងដំណើរ</t>
        </is>
      </c>
      <c r="H53" t="inlineStr">
        <is>
          <t>កូដជើងដំណើរ</t>
        </is>
      </c>
    </row>
    <row r="54">
      <c r="A54" s="284" t="inlineStr">
        <is>
          <t>salary.app.detail.label.route-code</t>
        </is>
      </c>
      <c r="B54" s="284" t="inlineStr">
        <is>
          <t>Mã hành trình</t>
        </is>
      </c>
      <c r="C54" s="284" t="inlineStr">
        <is>
          <t>Route code</t>
        </is>
      </c>
      <c r="D54" s="284" t="inlineStr">
        <is>
          <t>កូដផ្លូវ</t>
        </is>
      </c>
      <c r="G54" t="inlineStr">
        <is>
          <t>កូដផ្លូវ</t>
        </is>
      </c>
      <c r="H54" t="inlineStr">
        <is>
          <t>កូដផ្លូវ</t>
        </is>
      </c>
    </row>
    <row r="55">
      <c r="A55" s="284" t="inlineStr">
        <is>
          <t>salary.app.detail.label.ownership-type-code</t>
        </is>
      </c>
      <c r="B55" s="284" t="inlineStr">
        <is>
          <t>Mã loại sở hữu</t>
        </is>
      </c>
      <c r="C55" s="284" t="inlineStr">
        <is>
          <t>Ownership type code</t>
        </is>
      </c>
      <c r="D55" s="284" t="inlineStr">
        <is>
          <t>កូដប្រភេទកម្មសិទ្ធិ</t>
        </is>
      </c>
      <c r="G55" t="inlineStr">
        <is>
          <t>កូដប្រភេទកម្មសិទ្ធិ</t>
        </is>
      </c>
      <c r="H55" t="inlineStr">
        <is>
          <t>កូដប្រភេទកម្មសិទ្ធិ</t>
        </is>
      </c>
    </row>
    <row r="56">
      <c r="A56" s="284" t="inlineStr">
        <is>
          <t>salary.app.detail.label.ownership-type</t>
        </is>
      </c>
      <c r="B56" s="284" t="inlineStr">
        <is>
          <t>Loại sở hữu</t>
        </is>
      </c>
      <c r="C56" s="284" t="inlineStr">
        <is>
          <t>Ownership type</t>
        </is>
      </c>
      <c r="D56" s="284" t="inlineStr">
        <is>
          <t>ប្រភេទកម្មសិទ្ធិ</t>
        </is>
      </c>
      <c r="G56" t="inlineStr">
        <is>
          <t>ប្រភេទកម្មសិទ្ធិ</t>
        </is>
      </c>
      <c r="H56" t="inlineStr">
        <is>
          <t>ប្រភេទកម្មសិទ្ធិ</t>
        </is>
      </c>
    </row>
    <row r="57">
      <c r="A57" s="284" t="inlineStr">
        <is>
          <t>salary.app.detail.label.vehicle-type</t>
        </is>
      </c>
      <c r="B57" s="284" t="inlineStr">
        <is>
          <t>Loại phương tiện</t>
        </is>
      </c>
      <c r="C57" s="284" t="inlineStr">
        <is>
          <t>Vehicle type</t>
        </is>
      </c>
      <c r="D57" s="284" t="inlineStr">
        <is>
          <t>ប្រភេទយានយន្ត</t>
        </is>
      </c>
      <c r="G57" t="inlineStr">
        <is>
          <t>ប្រភេទយានយន្ត</t>
        </is>
      </c>
      <c r="H57" t="inlineStr">
        <is>
          <t>ប្រភេទយានយន្ត</t>
        </is>
      </c>
    </row>
    <row r="58">
      <c r="A58" s="284" t="inlineStr">
        <is>
          <t>salary.app.detail.label.partner</t>
        </is>
      </c>
      <c r="B58" s="284" t="inlineStr">
        <is>
          <t>Đối tác</t>
        </is>
      </c>
      <c r="C58" s="284" t="inlineStr">
        <is>
          <t>Partner</t>
        </is>
      </c>
      <c r="D58" s="284" t="inlineStr">
        <is>
          <t>ដៃគូ</t>
        </is>
      </c>
      <c r="G58" t="inlineStr">
        <is>
          <t>ដៃគូ</t>
        </is>
      </c>
      <c r="H58" t="inlineStr">
        <is>
          <t>ដៃគូ</t>
        </is>
      </c>
    </row>
    <row r="59">
      <c r="A59" s="284" t="inlineStr">
        <is>
          <t>salary.app.detail.label.driver</t>
        </is>
      </c>
      <c r="B59" s="284" t="inlineStr">
        <is>
          <t>Tài xế</t>
        </is>
      </c>
      <c r="C59" s="284" t="inlineStr">
        <is>
          <t>Driver</t>
        </is>
      </c>
      <c r="D59" s="284" t="inlineStr">
        <is>
          <t>អ្នកបើកបរ</t>
        </is>
      </c>
      <c r="G59" t="inlineStr">
        <is>
          <t>អ្នកបើកបរ</t>
        </is>
      </c>
      <c r="H59" t="inlineStr">
        <is>
          <t>អ្នកបើកបរ</t>
        </is>
      </c>
    </row>
    <row r="60">
      <c r="A60" s="284" t="inlineStr">
        <is>
          <t>salary.app.detail.label.route-type-code</t>
        </is>
      </c>
      <c r="B60" s="284" t="inlineStr">
        <is>
          <t>Mã loại hành trình</t>
        </is>
      </c>
      <c r="C60" s="284" t="inlineStr">
        <is>
          <t>Route type code</t>
        </is>
      </c>
      <c r="D60" s="284" t="inlineStr">
        <is>
          <t>កូដប្រភេទផ្លូវ</t>
        </is>
      </c>
      <c r="G60" t="inlineStr">
        <is>
          <t>កូដប្រភេទផ្លូវ</t>
        </is>
      </c>
      <c r="H60" t="inlineStr">
        <is>
          <t>កូដប្រភេទផ្លូវ</t>
        </is>
      </c>
    </row>
    <row r="61">
      <c r="A61" s="284" t="inlineStr">
        <is>
          <t>salary.app.detail.label.end</t>
        </is>
      </c>
      <c r="B61" s="284" t="inlineStr">
        <is>
          <t>Kết thúc</t>
        </is>
      </c>
      <c r="C61" s="284" t="inlineStr">
        <is>
          <t>End</t>
        </is>
      </c>
      <c r="D61" s="284" t="inlineStr">
        <is>
          <t>បញ្ចប់</t>
        </is>
      </c>
      <c r="G61" t="inlineStr">
        <is>
          <t>បញ្ចប់</t>
        </is>
      </c>
      <c r="H61" t="inlineStr">
        <is>
          <t>បញ្ចប់</t>
        </is>
      </c>
    </row>
    <row r="62">
      <c r="A62" s="284" t="inlineStr">
        <is>
          <t>salary.app.detail.label.route-type</t>
        </is>
      </c>
      <c r="B62" s="284" t="inlineStr">
        <is>
          <t>Loại hành trình</t>
        </is>
      </c>
      <c r="C62" s="284" t="inlineStr">
        <is>
          <t>Route type</t>
        </is>
      </c>
      <c r="D62" s="284" t="inlineStr">
        <is>
          <t>ប្រភេទផ្លូវ</t>
        </is>
      </c>
      <c r="G62" t="inlineStr">
        <is>
          <t>ប្រភេទផ្លូវ</t>
        </is>
      </c>
      <c r="H62" t="inlineStr">
        <is>
          <t>ប្រភេទផ្លូវ</t>
        </is>
      </c>
    </row>
    <row r="63">
      <c r="A63" s="284" t="inlineStr">
        <is>
          <t>salary.app.detail.label.start</t>
        </is>
      </c>
      <c r="B63" s="284" t="inlineStr">
        <is>
          <t>Bắt đầu</t>
        </is>
      </c>
      <c r="C63" s="284" t="inlineStr">
        <is>
          <t>Start</t>
        </is>
      </c>
      <c r="D63" s="284" t="inlineStr">
        <is>
          <t>ចាប់ផ្តើម</t>
        </is>
      </c>
      <c r="G63" t="inlineStr">
        <is>
          <t>ចាប់ផ្តើម</t>
        </is>
      </c>
      <c r="H63" t="inlineStr">
        <is>
          <t>ចាប់ផ្តើម</t>
        </is>
      </c>
    </row>
    <row r="64">
      <c r="A64" s="284" t="inlineStr">
        <is>
          <t>salary.app.detail.label.carrier</t>
        </is>
      </c>
      <c r="B64" s="284" t="inlineStr">
        <is>
          <t>ĐVVC</t>
        </is>
      </c>
      <c r="C64" s="284" t="inlineStr">
        <is>
          <t>Carrier</t>
        </is>
      </c>
      <c r="D64" s="284" t="inlineStr">
        <is>
          <t>អ្នកដឹកជញ្ជូន</t>
        </is>
      </c>
      <c r="G64" t="inlineStr">
        <is>
          <t>អ្នកដឹកជញ្ជូន</t>
        </is>
      </c>
      <c r="H64" t="inlineStr">
        <is>
          <t>អ្នកដឹកជញ្ជូន</t>
        </is>
      </c>
    </row>
    <row r="65">
      <c r="A65" s="284" t="inlineStr">
        <is>
          <t>salary.app.detail.label.approved-distance-type</t>
        </is>
      </c>
      <c r="B65" s="284" t="inlineStr">
        <is>
          <t>Loại KM được phê duyệt</t>
        </is>
      </c>
      <c r="C65" s="284" t="inlineStr">
        <is>
          <t>Approved distance type</t>
        </is>
      </c>
      <c r="D65" s="284" t="inlineStr">
        <is>
          <t>ប្រភេទគីឡូម៉ែត្រដែលបានអនុម័ត</t>
        </is>
      </c>
      <c r="G65" t="inlineStr">
        <is>
          <t>ប្រភេទគីឡូម៉ែត្រដែលបានអនុម័ត</t>
        </is>
      </c>
      <c r="H65" t="inlineStr">
        <is>
          <t>ប្រភេទគីឡូម៉ែត្រដែលបានអនុម័ត</t>
        </is>
      </c>
    </row>
    <row r="66">
      <c r="A66" s="284" t="inlineStr">
        <is>
          <t>salary.app.detail.label.mass</t>
        </is>
      </c>
      <c r="B66" s="284" t="inlineStr">
        <is>
          <t>Khối lượng</t>
        </is>
      </c>
      <c r="C66" s="284" t="inlineStr">
        <is>
          <t>Mass</t>
        </is>
      </c>
      <c r="D66" s="284" t="inlineStr">
        <is>
          <t>ម៉ាស</t>
        </is>
      </c>
      <c r="G66" t="inlineStr">
        <is>
          <t>ទម្ងន់</t>
        </is>
      </c>
      <c r="H66" t="inlineStr">
        <is>
          <t>ទម្ងន់</t>
        </is>
      </c>
    </row>
    <row r="67">
      <c r="A67" s="284" t="inlineStr">
        <is>
          <t>salary.app.detail.label.load</t>
        </is>
      </c>
      <c r="B67" s="284" t="inlineStr">
        <is>
          <t>Tải</t>
        </is>
      </c>
      <c r="C67" s="284" t="inlineStr">
        <is>
          <t>Load</t>
        </is>
      </c>
      <c r="D67" s="284" t="inlineStr">
        <is>
          <t>បន្ទុក</t>
        </is>
      </c>
      <c r="G67" t="inlineStr">
        <is>
          <t>បាវបញ្ញើ</t>
        </is>
      </c>
      <c r="H67" t="inlineStr">
        <is>
          <t>បាវបញ្ញើ</t>
        </is>
      </c>
    </row>
    <row r="68">
      <c r="A68" s="284" t="inlineStr">
        <is>
          <t>salary.app.detail.label.package</t>
        </is>
      </c>
      <c r="B68" s="284" t="inlineStr">
        <is>
          <t>Kiện</t>
        </is>
      </c>
      <c r="C68" s="284" t="inlineStr">
        <is>
          <t>Package</t>
        </is>
      </c>
      <c r="D68" s="284" t="inlineStr">
        <is>
          <t>កញ្ចប់</t>
        </is>
      </c>
      <c r="G68" t="inlineStr">
        <is>
          <t>កញ្ចប់ទំនិញ</t>
        </is>
      </c>
      <c r="H68" t="inlineStr">
        <is>
          <t>កញ្ចប់ទំនិញ</t>
        </is>
      </c>
    </row>
    <row r="69">
      <c r="A69" s="284" t="inlineStr">
        <is>
          <t>salary.app.detail.label.efficiency</t>
        </is>
      </c>
      <c r="B69" s="284" t="inlineStr">
        <is>
          <t>Hiệu quả</t>
        </is>
      </c>
      <c r="C69" s="284" t="inlineStr">
        <is>
          <t>Efficiency</t>
        </is>
      </c>
      <c r="D69" s="284" t="inlineStr">
        <is>
          <t>ប្រសិទ្ធភាព</t>
        </is>
      </c>
      <c r="G69" t="inlineStr">
        <is>
          <t>ប្រសិទ្ធភាព</t>
        </is>
      </c>
      <c r="H69" t="inlineStr">
        <is>
          <t>ប្រសិទ្ធភាព</t>
        </is>
      </c>
    </row>
    <row r="70">
      <c r="A70" s="284" t="inlineStr">
        <is>
          <t>salary.app.detail.label.origin-post-office</t>
        </is>
      </c>
      <c r="B70" s="284" t="inlineStr">
        <is>
          <t>Bưu cục gốc</t>
        </is>
      </c>
      <c r="C70" s="284" t="inlineStr">
        <is>
          <t>Origin post office</t>
        </is>
      </c>
      <c r="D70" s="284" t="inlineStr">
        <is>
          <t>ការិយាល័យដើម</t>
        </is>
      </c>
      <c r="G70" t="inlineStr">
        <is>
          <t>ការិយាល័យប្រៃសណីយ៍ដើម</t>
        </is>
      </c>
      <c r="H70" t="inlineStr">
        <is>
          <t>ការិយាល័យប្រៃសណីយ៍ដើម</t>
        </is>
      </c>
    </row>
    <row r="71">
      <c r="A71" s="284" t="inlineStr">
        <is>
          <t>salary.app.detail.label.destination-post-office</t>
        </is>
      </c>
      <c r="B71" s="284" t="inlineStr">
        <is>
          <t>Bưu cục phát</t>
        </is>
      </c>
      <c r="C71" s="284" t="inlineStr">
        <is>
          <t>Delivery post office</t>
        </is>
      </c>
      <c r="D71" s="284" t="inlineStr">
        <is>
          <t>ការិយាល័យបញ្ជូន</t>
        </is>
      </c>
      <c r="G71" t="inlineStr">
        <is>
          <t>ការិយាល័យប្រៃសណីយ៍ដឹកចែក</t>
        </is>
      </c>
      <c r="H71" t="inlineStr">
        <is>
          <t>ការិយាល័យប្រៃសណីយ៍ដឹកចែក</t>
        </is>
      </c>
    </row>
    <row r="72">
      <c r="A72" s="284" t="inlineStr">
        <is>
          <t>salary.app.detail.label.primary-service</t>
        </is>
      </c>
      <c r="B72" s="284" t="inlineStr">
        <is>
          <t>Dịch vụ chính</t>
        </is>
      </c>
      <c r="C72" s="284" t="inlineStr">
        <is>
          <t>Primary service</t>
        </is>
      </c>
      <c r="D72" s="284" t="inlineStr">
        <is>
          <t>សេវាកម្មចម្បង</t>
        </is>
      </c>
      <c r="G72" t="inlineStr">
        <is>
          <t>សេវាកម្មចម្បង</t>
        </is>
      </c>
      <c r="H72" t="inlineStr">
        <is>
          <t>សេវាកម្មចម្បង</t>
        </is>
      </c>
    </row>
    <row r="73">
      <c r="A73" s="284" t="inlineStr">
        <is>
          <t>salary.app.detail.label.extra-service</t>
        </is>
      </c>
      <c r="B73" s="284" t="inlineStr">
        <is>
          <t>Dịch vụ khác</t>
        </is>
      </c>
      <c r="C73" s="284" t="inlineStr">
        <is>
          <t>Extra service</t>
        </is>
      </c>
      <c r="D73" s="284" t="inlineStr">
        <is>
          <t>សេវាកម្មបន្ថែម</t>
        </is>
      </c>
      <c r="G73" t="inlineStr">
        <is>
          <t>សេវាកម្មបន្ថែម</t>
        </is>
      </c>
      <c r="H73" t="inlineStr">
        <is>
          <t>សេវាកម្មបន្ថែម</t>
        </is>
      </c>
    </row>
    <row r="74">
      <c r="A74" s="284" t="inlineStr">
        <is>
          <t>salary.app.detail.label.fee-before-tax</t>
        </is>
      </c>
      <c r="B74" s="284" t="inlineStr">
        <is>
          <t>Cước trước thuế</t>
        </is>
      </c>
      <c r="C74" s="284" t="inlineStr">
        <is>
          <t>Fee before tax</t>
        </is>
      </c>
      <c r="D74" s="284" t="inlineStr">
        <is>
          <t>ថ្លៃមុនពន្ធ</t>
        </is>
      </c>
      <c r="G74" t="inlineStr">
        <is>
          <t>ថ្លៃមុនពន្ធ</t>
        </is>
      </c>
      <c r="H74" t="inlineStr">
        <is>
          <t>ថ្លៃមុនពន្ធ</t>
        </is>
      </c>
    </row>
    <row r="75">
      <c r="A75" s="284" t="inlineStr">
        <is>
          <t>salary.app.detail.label.fee-after-tax</t>
        </is>
      </c>
      <c r="B75" s="284" t="inlineStr">
        <is>
          <t>Cước sau thuế</t>
        </is>
      </c>
      <c r="C75" s="284" t="inlineStr">
        <is>
          <t>Fee after tax</t>
        </is>
      </c>
      <c r="D75" s="284" t="inlineStr">
        <is>
          <t>ថ្លៃបន្ទាប់ពន្ធ</t>
        </is>
      </c>
      <c r="G75" t="inlineStr">
        <is>
          <t>ថ្លៃបន្ទាប់ពន្ធ</t>
        </is>
      </c>
      <c r="H75" t="inlineStr">
        <is>
          <t>ថ្លៃបន្ទាប់ពន្ធ</t>
        </is>
      </c>
    </row>
    <row r="76">
      <c r="A76" s="284" t="inlineStr">
        <is>
          <t>salary.app.detail.label.cod</t>
        </is>
      </c>
      <c r="B76" s="284" t="inlineStr">
        <is>
          <t>Thu hộ</t>
        </is>
      </c>
      <c r="C76" s="284" t="inlineStr">
        <is>
          <t>COD</t>
        </is>
      </c>
      <c r="D76" s="284" t="inlineStr">
        <is>
          <t>ប្រមូលសាច់ប្រាក់</t>
        </is>
      </c>
      <c r="G76" t="inlineStr">
        <is>
          <t>ប្រមូលប្រាក់ជំនួស</t>
        </is>
      </c>
      <c r="H76" t="inlineStr">
        <is>
          <t>ប្រមូលប្រាក់ជំនួស</t>
        </is>
      </c>
    </row>
    <row r="77">
      <c r="A77" s="284" t="inlineStr">
        <is>
          <t>salary.app.detail.label.referrer</t>
        </is>
      </c>
      <c r="B77" s="284" t="inlineStr">
        <is>
          <t>Người giới thiệu</t>
        </is>
      </c>
      <c r="C77" s="284" t="inlineStr">
        <is>
          <t>Referrer</t>
        </is>
      </c>
      <c r="D77" s="284" t="inlineStr">
        <is>
          <t>អ្នកណែនាំ</t>
        </is>
      </c>
      <c r="G77" t="inlineStr">
        <is>
          <t>អ្នកណែនាំ</t>
        </is>
      </c>
      <c r="H77" t="inlineStr">
        <is>
          <t>អ្នកណែនាំ</t>
        </is>
      </c>
    </row>
    <row r="78">
      <c r="A78" s="284" t="inlineStr">
        <is>
          <t>salary.app.detail.label.output</t>
        </is>
      </c>
      <c r="B78" s="284" t="inlineStr">
        <is>
          <t>Sản lượng</t>
        </is>
      </c>
      <c r="C78" s="284" t="inlineStr">
        <is>
          <t>Output</t>
        </is>
      </c>
      <c r="D78" s="284" t="inlineStr">
        <is>
          <t>បរិមាណ</t>
        </is>
      </c>
      <c r="G78" t="inlineStr">
        <is>
          <t>បរិមាណ</t>
        </is>
      </c>
      <c r="H78" t="inlineStr">
        <is>
          <t>បរិមាណ</t>
        </is>
      </c>
    </row>
    <row r="79">
      <c r="A79" s="284" t="inlineStr">
        <is>
          <t>salary.app.detail.label.distance-traveled</t>
        </is>
      </c>
      <c r="B79" s="284" t="inlineStr">
        <is>
          <t>Quãng đường di chuyển</t>
        </is>
      </c>
      <c r="C79" s="284" t="inlineStr">
        <is>
          <t>Distance traveled</t>
        </is>
      </c>
      <c r="D79" s="284" t="inlineStr">
        <is>
          <t>ចម្ងាយធ្វើដំណើរ</t>
        </is>
      </c>
      <c r="G79" t="inlineStr">
        <is>
          <t>ចម្ងាយធ្វើដំណើរ</t>
        </is>
      </c>
      <c r="H79" t="inlineStr">
        <is>
          <t>ចម្ងាយធ្វើដំណើរ</t>
        </is>
      </c>
    </row>
    <row r="80">
      <c r="A80" s="284" t="inlineStr">
        <is>
          <t>salary.app.detail.label.approved</t>
        </is>
      </c>
      <c r="B80" s="284" t="inlineStr">
        <is>
          <t>Được phê duyệt</t>
        </is>
      </c>
      <c r="C80" s="284" t="inlineStr">
        <is>
          <t>Approved</t>
        </is>
      </c>
      <c r="D80" s="284" t="inlineStr">
        <is>
          <t>បានអនុម័ត</t>
        </is>
      </c>
      <c r="G80" t="inlineStr">
        <is>
          <t>បានអនុម័ត</t>
        </is>
      </c>
      <c r="H80" t="inlineStr">
        <is>
          <t>បានអនុម័ត</t>
        </is>
      </c>
    </row>
    <row r="81">
      <c r="A81" s="284" t="inlineStr">
        <is>
          <t>salary.app.detail.label.total</t>
        </is>
      </c>
      <c r="B81" s="284" t="inlineStr">
        <is>
          <t>Tổng</t>
        </is>
      </c>
      <c r="C81" s="284" t="inlineStr">
        <is>
          <t>Total</t>
        </is>
      </c>
      <c r="D81" s="284" t="inlineStr">
        <is>
          <t>សរុប</t>
        </is>
      </c>
      <c r="G81" t="inlineStr">
        <is>
          <t>សរុប</t>
        </is>
      </c>
      <c r="H81" t="inlineStr">
        <is>
          <t>សរុប</t>
        </is>
      </c>
    </row>
    <row r="82">
      <c r="A82" s="284" t="inlineStr">
        <is>
          <t>salary.app.detail.label.goods</t>
        </is>
      </c>
      <c r="B82" s="284" t="inlineStr">
        <is>
          <t>Hàng</t>
        </is>
      </c>
      <c r="C82" s="284" t="inlineStr">
        <is>
          <t>Goods</t>
        </is>
      </c>
      <c r="D82" s="284" t="inlineStr">
        <is>
          <t>ទំនិញ</t>
        </is>
      </c>
      <c r="G82" t="inlineStr">
        <is>
          <t>ទំនិញ</t>
        </is>
      </c>
      <c r="H82" t="inlineStr">
        <is>
          <t>ទំនិញ</t>
        </is>
      </c>
    </row>
    <row r="83">
      <c r="A83" s="284" t="inlineStr">
        <is>
          <t>salary.app.detail.label.document</t>
        </is>
      </c>
      <c r="B83" s="284" t="inlineStr">
        <is>
          <t>Thư</t>
        </is>
      </c>
      <c r="C83" s="284" t="inlineStr">
        <is>
          <t>Document</t>
        </is>
      </c>
      <c r="D83" s="284" t="inlineStr">
        <is>
          <t>ឯកសារ</t>
        </is>
      </c>
      <c r="G83" t="inlineStr">
        <is>
          <t>ឯកសារ</t>
        </is>
      </c>
      <c r="H83" t="inlineStr">
        <is>
          <t>ឯកសារ</t>
        </is>
      </c>
    </row>
    <row r="84">
      <c r="A84" s="284" t="inlineStr">
        <is>
          <t>salary.app.detail.label.receive-at-home</t>
        </is>
      </c>
      <c r="B84" s="284" t="inlineStr">
        <is>
          <t>Tại nhà</t>
        </is>
      </c>
      <c r="C84" s="284" t="inlineStr">
        <is>
          <t>At home</t>
        </is>
      </c>
      <c r="D84" s="284" t="inlineStr">
        <is>
          <t>នៅផ្ទះ</t>
        </is>
      </c>
      <c r="G84" t="inlineStr">
        <is>
          <t>នៅផ្ទះ</t>
        </is>
      </c>
      <c r="H84" t="inlineStr">
        <is>
          <t>នៅផ្ទះ</t>
        </is>
      </c>
    </row>
    <row r="85">
      <c r="A85" s="284" t="inlineStr">
        <is>
          <t>salary.app.detail.label.receive-at-office</t>
        </is>
      </c>
      <c r="B85" s="284" t="inlineStr">
        <is>
          <t>Tại văn phòng</t>
        </is>
      </c>
      <c r="C85" s="284" t="inlineStr">
        <is>
          <t>At office</t>
        </is>
      </c>
      <c r="D85" s="284" t="inlineStr">
        <is>
          <t>ទទួលនៅការិយាល័យ</t>
        </is>
      </c>
      <c r="G85" t="inlineStr">
        <is>
          <t>ទទួលនៅការិយាល័យ</t>
        </is>
      </c>
      <c r="H85" t="inlineStr">
        <is>
          <t>ទទួលនៅការិយាល័យ</t>
        </is>
      </c>
    </row>
    <row r="86">
      <c r="A86" s="284" t="inlineStr">
        <is>
          <t>salary.app.detail.label.post-office</t>
        </is>
      </c>
      <c r="B86" s="284" t="inlineStr">
        <is>
          <t>Bưu cục</t>
        </is>
      </c>
      <c r="C86" s="284" t="inlineStr">
        <is>
          <t>Post office</t>
        </is>
      </c>
      <c r="D86" s="284" t="inlineStr">
        <is>
          <t>ការិយាល័យប្រៃសណីយ៍</t>
        </is>
      </c>
      <c r="G86" t="inlineStr">
        <is>
          <t>ការិយាល័យប្រៃសណីយ៍</t>
        </is>
      </c>
      <c r="H86" t="inlineStr">
        <is>
          <t>ការិយាល័យប្រៃសណីយ៍</t>
        </is>
      </c>
    </row>
    <row r="87">
      <c r="A87" s="284" t="inlineStr">
        <is>
          <t>salary.app.detail.label.warehouse</t>
        </is>
      </c>
      <c r="B87" s="284" t="inlineStr">
        <is>
          <t>Kho</t>
        </is>
      </c>
      <c r="C87" s="284" t="inlineStr">
        <is>
          <t>Warehouse</t>
        </is>
      </c>
      <c r="D87" s="284" t="inlineStr">
        <is>
          <t>ឃ្លាំង</t>
        </is>
      </c>
      <c r="G87" t="inlineStr">
        <is>
          <t>ឃ្លាំង</t>
        </is>
      </c>
      <c r="H87" t="inlineStr">
        <is>
          <t>ឃ្លាំង</t>
        </is>
      </c>
    </row>
    <row r="88">
      <c r="A88" s="284" t="inlineStr">
        <is>
          <t>salary.app.detail.label.agent</t>
        </is>
      </c>
      <c r="B88" s="284" t="inlineStr">
        <is>
          <t>Đại lý</t>
        </is>
      </c>
      <c r="C88" s="284" t="inlineStr">
        <is>
          <t>Agent</t>
        </is>
      </c>
      <c r="D88" s="284" t="inlineStr">
        <is>
          <t>ភ្នាក់ងារ</t>
        </is>
      </c>
      <c r="G88" t="inlineStr">
        <is>
          <t>ភ្នាក់ងារ</t>
        </is>
      </c>
      <c r="H88" t="inlineStr">
        <is>
          <t>ភ្នាក់ងារ</t>
        </is>
      </c>
    </row>
    <row r="89">
      <c r="A89" s="284" t="inlineStr">
        <is>
          <t>salary.app.detail.label.delivery</t>
        </is>
      </c>
      <c r="B89" s="284" t="inlineStr">
        <is>
          <t>Giao hàng</t>
        </is>
      </c>
      <c r="C89" s="284" t="inlineStr">
        <is>
          <t>Delivery</t>
        </is>
      </c>
      <c r="D89" s="284" t="inlineStr">
        <is>
          <t>ដឹកជញ្ជូន</t>
        </is>
      </c>
      <c r="G89" t="inlineStr">
        <is>
          <t>ដឹកជញ្ជូន</t>
        </is>
      </c>
      <c r="H89" t="inlineStr">
        <is>
          <t>ដឹកជញ្ជូន</t>
        </is>
      </c>
    </row>
    <row r="90">
      <c r="A90" s="284" t="inlineStr">
        <is>
          <t>salary.app.detail.label.pickup</t>
        </is>
      </c>
      <c r="B90" s="284" t="inlineStr">
        <is>
          <t>Nhận hàng</t>
        </is>
      </c>
      <c r="C90" s="284" t="inlineStr">
        <is>
          <t>Pickup</t>
        </is>
      </c>
      <c r="D90" s="284" t="inlineStr">
        <is>
          <t>ទទួលទំនិញ</t>
        </is>
      </c>
      <c r="G90" t="inlineStr">
        <is>
          <t>ទទួលទំនិញ</t>
        </is>
      </c>
      <c r="H90" t="inlineStr">
        <is>
          <t>ទទួលទំនិញ</t>
        </is>
      </c>
    </row>
    <row r="91">
      <c r="A91" s="284" t="inlineStr">
        <is>
          <t>salary.app.detail.label.monthly-finalization</t>
        </is>
      </c>
      <c r="B91" s="284" t="inlineStr">
        <is>
          <t>Chốt thù lao tháng</t>
        </is>
      </c>
      <c r="C91" s="284" t="inlineStr">
        <is>
          <t>Monthly finalization</t>
        </is>
      </c>
      <c r="D91" s="284" t="inlineStr">
        <is>
          <t>បិទថ្លៃឈ្នួលប្រចាំខែ</t>
        </is>
      </c>
      <c r="G91" t="inlineStr">
        <is>
          <t>បិទថ្លៃឈ្នួលប្រចាំខែ</t>
        </is>
      </c>
      <c r="H91" t="inlineStr">
        <is>
          <t>បិទថ្លៃឈ្នួលប្រចាំខែ</t>
        </is>
      </c>
    </row>
    <row r="92">
      <c r="A92" s="284" t="inlineStr">
        <is>
          <t>salary.app.detail.label.new-customer-event</t>
        </is>
      </c>
      <c r="B92" s="284" t="inlineStr">
        <is>
          <t>Khách hàng mới</t>
        </is>
      </c>
      <c r="C92" s="284" t="inlineStr">
        <is>
          <t>New customer</t>
        </is>
      </c>
      <c r="D92" s="284" t="inlineStr">
        <is>
          <t>អតិថិជនថ្មី</t>
        </is>
      </c>
      <c r="G92" t="inlineStr">
        <is>
          <t>អតិថិជនថ្មី</t>
        </is>
      </c>
      <c r="H92" t="inlineStr">
        <is>
          <t>អតិថិជនថ្មី</t>
        </is>
      </c>
    </row>
    <row r="93">
      <c r="A93" s="284" t="inlineStr">
        <is>
          <t>salary.app.detail.label.kpi-finalization</t>
        </is>
      </c>
      <c r="B93" s="284" t="inlineStr">
        <is>
          <t>Chốt KPI</t>
        </is>
      </c>
      <c r="C93" s="284" t="inlineStr">
        <is>
          <t>KPI finalization</t>
        </is>
      </c>
      <c r="D93" s="284" t="inlineStr">
        <is>
          <t>បិទ KPI</t>
        </is>
      </c>
      <c r="G93" t="inlineStr">
        <is>
          <t>បិទ KPI</t>
        </is>
      </c>
      <c r="H93" t="inlineStr">
        <is>
          <t>បិទ KPI</t>
        </is>
      </c>
    </row>
    <row r="94">
      <c r="A94" s="284" t="inlineStr">
        <is>
          <t>salary.app.detail.label.trip-completion</t>
        </is>
      </c>
      <c r="B94" s="284" t="inlineStr">
        <is>
          <t>Hoàn thành chuyến xe</t>
        </is>
      </c>
      <c r="C94" s="284" t="inlineStr">
        <is>
          <t>Trip completion</t>
        </is>
      </c>
      <c r="D94" s="284" t="inlineStr">
        <is>
          <t>បញ្ចប់ជើងដំណើរ</t>
        </is>
      </c>
      <c r="G94" t="inlineStr">
        <is>
          <t>បញ្ចប់ជើងដំណើរ</t>
        </is>
      </c>
      <c r="H94" t="inlineStr">
        <is>
          <t>បញ្ចប់ជើងដំណើរ</t>
        </is>
      </c>
    </row>
    <row r="95">
      <c r="A95" s="284" t="inlineStr">
        <is>
          <t>salary.app.detail.label.pickup-output-allowance</t>
        </is>
      </c>
      <c r="B95" s="284" t="inlineStr">
        <is>
          <t>Thù lao sản lượng nhận</t>
        </is>
      </c>
      <c r="C95" s="284" t="inlineStr">
        <is>
          <t>Pickup output allowance</t>
        </is>
      </c>
      <c r="D95" s="284" t="inlineStr">
        <is>
          <t>ប្រាក់ឧបត្ថម្ភបរិមាណទទួល</t>
        </is>
      </c>
      <c r="G95" t="inlineStr">
        <is>
          <t>ប្រាក់ឧបត្ថម្ភបរិមាណទទួល</t>
        </is>
      </c>
      <c r="H95" t="inlineStr">
        <is>
          <t>ប្រាក់ឧបត្ថម្ភបរិមាណទទួល</t>
        </is>
      </c>
    </row>
    <row r="96">
      <c r="A96" s="284" t="inlineStr">
        <is>
          <t>salary.app.detail.label.delivery-excess-weight-allowance</t>
        </is>
      </c>
      <c r="B96" s="284" t="inlineStr">
        <is>
          <t>Thù lao trọng lượng vượt giao</t>
        </is>
      </c>
      <c r="C96" s="284" t="inlineStr">
        <is>
          <t>Delivery excess weight allowance</t>
        </is>
      </c>
      <c r="D96" s="284" t="inlineStr">
        <is>
          <t>ប្រាក់ឧបត្ថម្ភទម្ងន់លើសសម្រាប់ដឹក</t>
        </is>
      </c>
      <c r="G96" t="inlineStr">
        <is>
          <t>ប្រាក់ឧបត្ថម្ភទម្ងន់លើសសម្រាប់ដឹក</t>
        </is>
      </c>
      <c r="H96" t="inlineStr">
        <is>
          <t>ប្រាក់ឧបត្ថម្ភទម្ងន់លើសសម្រាប់ដឹក</t>
        </is>
      </c>
    </row>
    <row r="97">
      <c r="A97" s="284" t="inlineStr">
        <is>
          <t>salary.app.detail.label.pickup-excess-weight-allowance</t>
        </is>
      </c>
      <c r="B97" s="284" t="inlineStr">
        <is>
          <t>Thù lao trọng lượng vượt nhận</t>
        </is>
      </c>
      <c r="C97" s="284" t="inlineStr">
        <is>
          <t>Pickup excess weight allowance</t>
        </is>
      </c>
      <c r="D97" s="284" t="inlineStr">
        <is>
          <t>ប្រាក់ឧបត្ថម្ភទម្ងន់លើសសម្រាប់ទទួល</t>
        </is>
      </c>
      <c r="G97" t="inlineStr">
        <is>
          <t>ប្រាក់ឧបត្ថម្ភទម្ងន់លើសសម្រាប់ទទួល</t>
        </is>
      </c>
      <c r="H97" t="inlineStr">
        <is>
          <t>ប្រាក់ឧបត្ថម្ភទម្ងន់លើសសម្រាប់ទទួល</t>
        </is>
      </c>
    </row>
    <row r="98">
      <c r="A98" s="284" t="inlineStr">
        <is>
          <t>salary.app.detail.label.delivery-output-allowance</t>
        </is>
      </c>
      <c r="B98" s="284" t="inlineStr">
        <is>
          <t>Thù lao sản lượng giao</t>
        </is>
      </c>
      <c r="C98" s="284" t="inlineStr">
        <is>
          <t>Delivery output allowance</t>
        </is>
      </c>
      <c r="D98" s="284" t="inlineStr">
        <is>
          <t>ប្រាក់ឧបត្ថម្ភបរិមាណដឹក</t>
        </is>
      </c>
      <c r="G98" t="inlineStr">
        <is>
          <t>ប្រាក់ឧបត្ថម្ភបរិមាណដឹក</t>
        </is>
      </c>
      <c r="H98" t="inlineStr">
        <is>
          <t>ប្រាក់ឧបត្ថម្ភបរិមាណដឹក</t>
        </is>
      </c>
    </row>
    <row r="99">
      <c r="A99" s="284" t="inlineStr">
        <is>
          <t>salary.app.detail.label.base-salary</t>
        </is>
      </c>
      <c r="B99" s="284" t="inlineStr">
        <is>
          <t>Lương cứng</t>
        </is>
      </c>
      <c r="C99" s="284" t="inlineStr">
        <is>
          <t>Base salary</t>
        </is>
      </c>
      <c r="D99" s="284" t="inlineStr">
        <is>
          <t>ប្រាក់ខែគោល</t>
        </is>
      </c>
      <c r="G99" t="inlineStr">
        <is>
          <t>ប្រាក់ខែគោល</t>
        </is>
      </c>
      <c r="H99" t="inlineStr">
        <is>
          <t>ប្រាក់ខែគោល</t>
        </is>
      </c>
    </row>
    <row r="100">
      <c r="A100" s="284" t="inlineStr">
        <is>
          <t>salary.app.detail.label.handling-allowance</t>
        </is>
      </c>
      <c r="B100" s="284" t="inlineStr">
        <is>
          <t>Thù lao khai thác</t>
        </is>
      </c>
      <c r="C100" s="284" t="inlineStr">
        <is>
          <t>Handling allowance</t>
        </is>
      </c>
      <c r="D100" s="284" t="inlineStr">
        <is>
          <t>ប្រាក់ឧបត្ថម្ភប្រតិបត្តិការ</t>
        </is>
      </c>
      <c r="G100" t="inlineStr">
        <is>
          <t>ប្រាក់ឧបត្ថម្ភប្រតិបត្តិការ</t>
        </is>
      </c>
      <c r="H100" t="inlineStr">
        <is>
          <t>ប្រាក់ឧបត្ថម្ភប្រតិបត្តិការ</t>
        </is>
      </c>
    </row>
    <row r="101">
      <c r="A101" s="284" t="inlineStr">
        <is>
          <t>salary.app.detail.label.new-customer-allowance</t>
        </is>
      </c>
      <c r="B101" s="284" t="inlineStr">
        <is>
          <t>Thù lao khách hàng mới</t>
        </is>
      </c>
      <c r="C101" s="284" t="inlineStr">
        <is>
          <t>New customer allowance</t>
        </is>
      </c>
      <c r="D101" s="284" t="inlineStr">
        <is>
          <t>ប្រាក់ឧបត្ថម្ភអតិថិជនថ្មី</t>
        </is>
      </c>
      <c r="G101" t="inlineStr">
        <is>
          <t>ប្រាក់ឧបត្ថម្ភអតិថិជនថ្មី</t>
        </is>
      </c>
      <c r="H101" t="inlineStr">
        <is>
          <t>ប្រាក់ឧបត្ថម្ភអតិថិជនថ្មី</t>
        </is>
      </c>
    </row>
    <row r="102">
      <c r="A102" s="284" t="inlineStr">
        <is>
          <t>salary.app.detail.label.allowance</t>
        </is>
      </c>
      <c r="B102" s="284" t="inlineStr">
        <is>
          <t>Phụ cấp</t>
        </is>
      </c>
      <c r="C102" s="284" t="inlineStr">
        <is>
          <t>Allowance</t>
        </is>
      </c>
      <c r="D102" s="284" t="inlineStr">
        <is>
          <t>ប្រាក់ឧបត្ថម្ភ</t>
        </is>
      </c>
      <c r="G102" t="inlineStr">
        <is>
          <t>ប្រាក់ឧបត្ថម្ភ</t>
        </is>
      </c>
      <c r="H102" t="inlineStr">
        <is>
          <t>ប្រាក់ឧបត្ថម្ភ</t>
        </is>
      </c>
    </row>
    <row r="103">
      <c r="A103" s="284" t="inlineStr">
        <is>
          <t>salary.app.detail.label.bonus</t>
        </is>
      </c>
      <c r="B103" s="284" t="inlineStr">
        <is>
          <t>Thưởng</t>
        </is>
      </c>
      <c r="C103" s="284" t="inlineStr">
        <is>
          <t>Bonus</t>
        </is>
      </c>
      <c r="D103" s="284" t="inlineStr">
        <is>
          <t>ប្រាក់រង្វាន់</t>
        </is>
      </c>
      <c r="G103" t="inlineStr">
        <is>
          <t>ប្រាក់រង្វាន់</t>
        </is>
      </c>
      <c r="H103" t="inlineStr">
        <is>
          <t>ប្រាក់រង្វាន់</t>
        </is>
      </c>
    </row>
    <row r="104">
      <c r="A104" s="284" t="inlineStr">
        <is>
          <t>salary.app.detail.label.penalty</t>
        </is>
      </c>
      <c r="B104" s="284" t="inlineStr">
        <is>
          <t>Phạt</t>
        </is>
      </c>
      <c r="C104" s="284" t="inlineStr">
        <is>
          <t>Penalty</t>
        </is>
      </c>
      <c r="D104" s="284" t="inlineStr">
        <is>
          <t>ពិន័យ</t>
        </is>
      </c>
      <c r="G104" t="inlineStr">
        <is>
          <t>ពិន័យ</t>
        </is>
      </c>
      <c r="H104" t="inlineStr">
        <is>
          <t>ពិន័យ</t>
        </is>
      </c>
    </row>
    <row r="105">
      <c r="A105" s="284" t="inlineStr">
        <is>
          <t>salary.app.detail.label.pickup-allowance-adjustment</t>
        </is>
      </c>
      <c r="B105" s="284" t="inlineStr">
        <is>
          <t>Điều chỉnh thù lao nhận</t>
        </is>
      </c>
      <c r="C105" s="284" t="inlineStr">
        <is>
          <t>Pickup allowance adjustment</t>
        </is>
      </c>
      <c r="D105" s="284" t="inlineStr">
        <is>
          <t>កែសម្រួលប្រាក់ឧបត្ថម្ភទទួល</t>
        </is>
      </c>
      <c r="G105" t="inlineStr">
        <is>
          <t>កែសម្រួលប្រាក់ឧបត្ថម្ភទទួល</t>
        </is>
      </c>
      <c r="H105" t="inlineStr">
        <is>
          <t>កែសម្រួលប្រាក់ឧបត្ថម្ភទទួល</t>
        </is>
      </c>
    </row>
    <row r="106">
      <c r="A106" s="284" t="inlineStr">
        <is>
          <t>salary.app.detail.label.delivery-allowance</t>
        </is>
      </c>
      <c r="B106" s="284" t="inlineStr">
        <is>
          <t>Thù lao giao</t>
        </is>
      </c>
      <c r="C106" s="284" t="inlineStr">
        <is>
          <t>Delivery allowance</t>
        </is>
      </c>
      <c r="D106" s="284" t="inlineStr">
        <is>
          <t>ប្រាក់ឧបត្ថម្ភដឹក</t>
        </is>
      </c>
      <c r="G106" t="inlineStr">
        <is>
          <t>ប្រាក់ឧបត្ថម្ភដឹក</t>
        </is>
      </c>
      <c r="H106" t="inlineStr">
        <is>
          <t>ប្រាក់ឧបត្ថម្ភដឹក</t>
        </is>
      </c>
    </row>
    <row r="107">
      <c r="A107" s="284" t="inlineStr">
        <is>
          <t>salary.app.detail.label.pickup-allowance</t>
        </is>
      </c>
      <c r="B107" s="284" t="inlineStr">
        <is>
          <t>Thù lao nhận</t>
        </is>
      </c>
      <c r="C107" s="284" t="inlineStr">
        <is>
          <t>Pickup allowance</t>
        </is>
      </c>
      <c r="D107" s="284" t="inlineStr">
        <is>
          <t>ប្រាក់ឧបត្ថម្ភទទួល</t>
        </is>
      </c>
      <c r="G107" t="inlineStr">
        <is>
          <t>ប្រាក់ឧបត្ថម្ភទទួល</t>
        </is>
      </c>
      <c r="H107" t="inlineStr">
        <is>
          <t>ប្រាក់ឧបត្ថម្ភទទួល</t>
        </is>
      </c>
    </row>
    <row r="108">
      <c r="A108" s="284" t="inlineStr">
        <is>
          <t>salary.app.detail.label.pickup-revenue-in-month</t>
        </is>
      </c>
      <c r="B108" s="284" t="inlineStr">
        <is>
          <t>Doanh thu nhận tháng</t>
        </is>
      </c>
      <c r="C108" s="284" t="inlineStr">
        <is>
          <t>Pickup revenue in month</t>
        </is>
      </c>
      <c r="D108" s="284" t="inlineStr">
        <is>
          <t>ចំណូលទទួលប្រចាំខែ</t>
        </is>
      </c>
      <c r="G108" t="inlineStr">
        <is>
          <t>ចំណូលទទួលប្រចាំខែ</t>
        </is>
      </c>
      <c r="H108" t="inlineStr">
        <is>
          <t>ចំណូលទទួលប្រចាំខែ</t>
        </is>
      </c>
    </row>
    <row r="109">
      <c r="A109" s="284" t="inlineStr">
        <is>
          <t>salary.app.detail.label.employee</t>
        </is>
      </c>
      <c r="B109" s="284" t="inlineStr">
        <is>
          <t>Nhân viên</t>
        </is>
      </c>
      <c r="C109" s="284" t="inlineStr">
        <is>
          <t>Employee</t>
        </is>
      </c>
      <c r="D109" s="284" t="inlineStr">
        <is>
          <t>បុគ្គលិក</t>
        </is>
      </c>
      <c r="G109" t="inlineStr">
        <is>
          <t>បុគ្គលិក</t>
        </is>
      </c>
      <c r="H109" t="inlineStr">
        <is>
          <t>បុគ្គលិក</t>
        </is>
      </c>
    </row>
    <row r="110">
      <c r="A110" s="284" t="inlineStr">
        <is>
          <t>salary.app.detail.label.job-title</t>
        </is>
      </c>
      <c r="B110" s="284" t="inlineStr">
        <is>
          <t>Chức danh</t>
        </is>
      </c>
      <c r="C110" s="284" t="inlineStr">
        <is>
          <t>Job title</t>
        </is>
      </c>
      <c r="D110" s="284" t="inlineStr">
        <is>
          <t>តួនាទីការងារ</t>
        </is>
      </c>
      <c r="G110" t="inlineStr">
        <is>
          <t>តួនាទីការងារ</t>
        </is>
      </c>
      <c r="H110" t="inlineStr">
        <is>
          <t>តួនាទីការងារ</t>
        </is>
      </c>
    </row>
    <row r="111">
      <c r="A111" s="284" t="inlineStr">
        <is>
          <t>salary.app.detail.label.day-off</t>
        </is>
      </c>
      <c r="B111" s="284" t="inlineStr">
        <is>
          <t>Số ngày nghỉ</t>
        </is>
      </c>
      <c r="C111" s="284" t="inlineStr">
        <is>
          <t>Days off</t>
        </is>
      </c>
      <c r="D111" s="284" t="inlineStr">
        <is>
          <t>ថ្ងៃឈប់សម្រាក</t>
        </is>
      </c>
      <c r="G111" t="inlineStr">
        <is>
          <t>ថ្ងៃឈប់សម្រាក</t>
        </is>
      </c>
      <c r="H111" t="inlineStr">
        <is>
          <t>ថ្ងៃឈប់សម្រាក</t>
        </is>
      </c>
    </row>
    <row r="112">
      <c r="A112" s="284" t="inlineStr">
        <is>
          <t>salary.app.detail.label.hay-salary</t>
        </is>
      </c>
      <c r="B112" s="284" t="inlineStr">
        <is>
          <t>Lương HAY</t>
        </is>
      </c>
      <c r="C112" s="284" t="inlineStr">
        <is>
          <t>HAY salary</t>
        </is>
      </c>
      <c r="D112" s="284" t="inlineStr">
        <is>
          <t>ប្រាក់ខែ HAY</t>
        </is>
      </c>
      <c r="G112" t="inlineStr">
        <is>
          <t>ប្រាក់ខែ HAY</t>
        </is>
      </c>
      <c r="H112" t="inlineStr">
        <is>
          <t>ប្រាក់ខែ HAY</t>
        </is>
      </c>
    </row>
    <row r="113">
      <c r="A113" s="284" t="inlineStr">
        <is>
          <t>salary.app.detail.label.individual-revenue-completion-rate</t>
        </is>
      </c>
      <c r="B113" s="284" t="inlineStr">
        <is>
          <t>TL hoàn thành doanh thu cá nhân</t>
        </is>
      </c>
      <c r="C113" s="284" t="inlineStr">
        <is>
          <t>Individual revenue completion rate</t>
        </is>
      </c>
      <c r="D113" s="284" t="inlineStr">
        <is>
          <t>អត្រាបញ្ចប់ចំណូលបុគ្គល</t>
        </is>
      </c>
      <c r="G113" t="inlineStr">
        <is>
          <t>អត្រាបញ្ចប់ចំណូលបុគ្គល</t>
        </is>
      </c>
      <c r="H113" t="inlineStr">
        <is>
          <t>អត្រាបញ្ចប់ចំណូលបុគ្គល</t>
        </is>
      </c>
    </row>
    <row r="114">
      <c r="A114" s="284" t="inlineStr">
        <is>
          <t>salary.app.detail.label.customer-id</t>
        </is>
      </c>
      <c r="B114" s="284" t="inlineStr">
        <is>
          <t>ID khách hàng</t>
        </is>
      </c>
      <c r="C114" s="284" t="inlineStr">
        <is>
          <t>Customer ID</t>
        </is>
      </c>
      <c r="D114" s="284" t="inlineStr">
        <is>
          <t>លេខសម្គាល់អតិថិជន</t>
        </is>
      </c>
      <c r="G114" t="inlineStr">
        <is>
          <t>លេខសម្គាល់អតិថិជន</t>
        </is>
      </c>
      <c r="H114" t="inlineStr">
        <is>
          <t>លេខសម្គាល់អតិថិជន</t>
        </is>
      </c>
    </row>
    <row r="115">
      <c r="A115" s="284" t="inlineStr">
        <is>
          <t>salary.app.detail.label.customer-name</t>
        </is>
      </c>
      <c r="B115" s="284" t="inlineStr">
        <is>
          <t>Tên khách hàng</t>
        </is>
      </c>
      <c r="C115" s="284" t="inlineStr">
        <is>
          <t>Customer name</t>
        </is>
      </c>
      <c r="D115" s="284" t="inlineStr">
        <is>
          <t>ឈ្មោះអតិថិជន</t>
        </is>
      </c>
      <c r="G115" t="inlineStr">
        <is>
          <t>ឈ្មោះអតិថិជន</t>
        </is>
      </c>
      <c r="H115" t="inlineStr">
        <is>
          <t>ឈ្មោះអតិថិជន</t>
        </is>
      </c>
    </row>
    <row r="116">
      <c r="A116" s="284" t="inlineStr">
        <is>
          <t>salary.app.detail.label.first-revenue-date</t>
        </is>
      </c>
      <c r="B116" s="284" t="inlineStr">
        <is>
          <t>Ngày phát sinh</t>
        </is>
      </c>
      <c r="C116" s="284" t="inlineStr">
        <is>
          <t>First revenue date</t>
        </is>
      </c>
      <c r="D116" s="284" t="inlineStr">
        <is>
          <t>កាលបរិច្ឆេទកើតចំណូល</t>
        </is>
      </c>
      <c r="G116" t="inlineStr">
        <is>
          <t>កាលបរិច្ឆេទកើតចំណូល</t>
        </is>
      </c>
      <c r="H116" t="inlineStr">
        <is>
          <t>កាលបរិច្ឆេទកើតចំណូល</t>
        </is>
      </c>
    </row>
    <row r="117">
      <c r="A117" s="284" t="inlineStr">
        <is>
          <t>salary.app.detail.label.revenue-month-count</t>
        </is>
      </c>
      <c r="B117" s="284" t="inlineStr">
        <is>
          <t>Số tháng doanh thu</t>
        </is>
      </c>
      <c r="C117" s="284" t="inlineStr">
        <is>
          <t>Revenue month count</t>
        </is>
      </c>
      <c r="D117" s="284" t="inlineStr">
        <is>
          <t>ចំនួនខែមានចំណូល</t>
        </is>
      </c>
      <c r="G117" t="inlineStr">
        <is>
          <t>ចំនួនខែមានចំណូល</t>
        </is>
      </c>
      <c r="H117" t="inlineStr">
        <is>
          <t>ចំនួនខែមានចំណូល</t>
        </is>
      </c>
    </row>
    <row r="118">
      <c r="A118" s="284" t="inlineStr">
        <is>
          <t>salary.app.detail.label.first-month-revenue</t>
        </is>
      </c>
      <c r="B118" s="284" t="inlineStr">
        <is>
          <t>Doanh thu tháng phát sinh</t>
        </is>
      </c>
      <c r="C118" s="284" t="inlineStr">
        <is>
          <t>First-month revenue</t>
        </is>
      </c>
      <c r="D118" s="284" t="inlineStr">
        <is>
          <t>ចំណូលខែកើតឡើងដំបូង</t>
        </is>
      </c>
      <c r="G118" t="inlineStr">
        <is>
          <t>ចំណូលខែកើតឡើងដំបូង</t>
        </is>
      </c>
      <c r="H118" t="inlineStr">
        <is>
          <t>ចំណូលខែកើតឡើងដំបូង</t>
        </is>
      </c>
    </row>
    <row r="119">
      <c r="A119" s="284" t="inlineStr">
        <is>
          <t>salary.app.detail.label.report-month</t>
        </is>
      </c>
      <c r="B119" s="284" t="inlineStr">
        <is>
          <t>Tháng báo cáo</t>
        </is>
      </c>
      <c r="C119" s="284" t="inlineStr">
        <is>
          <t>Report month</t>
        </is>
      </c>
      <c r="D119" s="284" t="inlineStr">
        <is>
          <t>ខែរបាយការណ៍</t>
        </is>
      </c>
      <c r="G119" t="inlineStr">
        <is>
          <t>ខែរបាយការណ៍</t>
        </is>
      </c>
      <c r="H119" t="inlineStr">
        <is>
          <t>ខែរបាយការណ៍</t>
        </is>
      </c>
    </row>
    <row r="120">
      <c r="A120" s="284" t="inlineStr">
        <is>
          <t>salary.app.detail.label.report-month-revenue</t>
        </is>
      </c>
      <c r="B120" s="284" t="inlineStr">
        <is>
          <t>Doanh thu báo cáo</t>
        </is>
      </c>
      <c r="C120" s="284" t="inlineStr">
        <is>
          <t>Report revenue</t>
        </is>
      </c>
      <c r="D120" s="284" t="inlineStr">
        <is>
          <t>ចំណូលរបាយការណ៍</t>
        </is>
      </c>
      <c r="G120" t="inlineStr">
        <is>
          <t>ចំណូលរបាយការណ៍</t>
        </is>
      </c>
      <c r="H120" t="inlineStr">
        <is>
          <t>ចំណូលរបាយការណ៍</t>
        </is>
      </c>
    </row>
    <row r="121">
      <c r="A121" s="284" t="inlineStr">
        <is>
          <t>salary.app.detail.label.report-month-discount</t>
        </is>
      </c>
      <c r="B121" s="284" t="inlineStr">
        <is>
          <t>Giảm giá tháng báo cáo</t>
        </is>
      </c>
      <c r="C121" s="284" t="inlineStr">
        <is>
          <t>Report-month discount</t>
        </is>
      </c>
      <c r="D121" s="284" t="inlineStr">
        <is>
          <t>បញ្ចុះតម្លៃខែរបាយការណ៍</t>
        </is>
      </c>
      <c r="G121" t="inlineStr">
        <is>
          <t>បញ្ចុះតម្លៃខែរបាយការណ៍</t>
        </is>
      </c>
      <c r="H121" t="inlineStr">
        <is>
          <t>បញ្ចុះតម្លៃខែរបាយការណ៍</t>
        </is>
      </c>
    </row>
    <row r="122">
      <c r="A122" s="284" t="inlineStr">
        <is>
          <t>salary.app.detail.label.bonus-rate</t>
        </is>
      </c>
      <c r="B122" s="284" t="inlineStr">
        <is>
          <t>Tỷ lệ thưởng</t>
        </is>
      </c>
      <c r="C122" s="284" t="inlineStr">
        <is>
          <t>Bonus rate</t>
        </is>
      </c>
      <c r="D122" s="284" t="inlineStr">
        <is>
          <t>អត្រាប្រាក់រង្វាន់</t>
        </is>
      </c>
      <c r="G122" t="inlineStr">
        <is>
          <t>អត្រាប្រាក់រង្វាន់</t>
        </is>
      </c>
      <c r="H122" t="inlineStr">
        <is>
          <t>អត្រាប្រាក់រង្វាន់</t>
        </is>
      </c>
    </row>
    <row r="123">
      <c r="A123" s="284" t="inlineStr">
        <is>
          <t>salary.app.detail.label.referrer-employee</t>
        </is>
      </c>
      <c r="B123" s="284" t="inlineStr">
        <is>
          <t>Nhân viên giới thiệu</t>
        </is>
      </c>
      <c r="C123" s="284" t="inlineStr">
        <is>
          <t>Referrer employee</t>
        </is>
      </c>
      <c r="D123" s="284" t="inlineStr">
        <is>
          <t>បុគ្គលិកណែនាំ</t>
        </is>
      </c>
      <c r="G123" t="inlineStr">
        <is>
          <t>បុគ្គលិកណែនាំ</t>
        </is>
      </c>
      <c r="H123" t="inlineStr">
        <is>
          <t>បុគ្គលិកណែនាំ</t>
        </is>
      </c>
    </row>
    <row r="124">
      <c r="A124" s="284" t="inlineStr">
        <is>
          <t>salary.app.detail.label.hub-revenue-completion-rate</t>
        </is>
      </c>
      <c r="B124" s="284" t="inlineStr">
        <is>
          <t>TL hoàn thành doanh thu bưu cục</t>
        </is>
      </c>
      <c r="C124" s="284" t="inlineStr">
        <is>
          <t>Hub revenue completion rate</t>
        </is>
      </c>
      <c r="D124" s="284" t="inlineStr">
        <is>
          <t>អត្រាបញ្ចប់ចំណូលការិយាល័យ</t>
        </is>
      </c>
      <c r="G124" t="inlineStr">
        <is>
          <t>អត្រាបញ្ចប់ចំណូលការិយាល័យ</t>
        </is>
      </c>
      <c r="H124" t="inlineStr">
        <is>
          <t>អត្រាបញ្ចប់ចំណូលការិយាល័យ</t>
        </is>
      </c>
    </row>
    <row r="125">
      <c r="A125" s="284" t="inlineStr">
        <is>
          <t>salary.app.detail.label.province-revenue-completion-rate</t>
        </is>
      </c>
      <c r="B125" s="284" t="inlineStr">
        <is>
          <t>TL hoàn thành doanh thu tỉnh</t>
        </is>
      </c>
      <c r="C125" s="284" t="inlineStr">
        <is>
          <t>Province revenue completion rate</t>
        </is>
      </c>
      <c r="D125" s="284" t="inlineStr">
        <is>
          <t>អត្រាបញ្ចប់ចំណូលខេត្ត</t>
        </is>
      </c>
      <c r="G125" t="inlineStr">
        <is>
          <t>អត្រាបញ្ចប់ចំណូលខេត្ត</t>
        </is>
      </c>
      <c r="H125" t="inlineStr">
        <is>
          <t>អត្រាបញ្ចប់ចំណូលខេត្ត</t>
        </is>
      </c>
    </row>
    <row r="126">
      <c r="A126" s="284" t="inlineStr">
        <is>
          <t>salary.app.detail.label.zone-revenue-completion-rate</t>
        </is>
      </c>
      <c r="B126" s="284" t="inlineStr">
        <is>
          <t>TL hoàn thành doanh thu vùng</t>
        </is>
      </c>
      <c r="C126" s="284" t="inlineStr">
        <is>
          <t>Zone revenue completion rate</t>
        </is>
      </c>
      <c r="D126" s="284" t="inlineStr">
        <is>
          <t>អត្រាបញ្ចប់ចំណូលតំបន់</t>
        </is>
      </c>
      <c r="G126" t="inlineStr">
        <is>
          <t>អត្រាបញ្ចប់ចំណូលតំបន់</t>
        </is>
      </c>
      <c r="H126" t="inlineStr">
        <is>
          <t>អត្រាបញ្ចប់ចំណូលតំបន់</t>
        </is>
      </c>
    </row>
    <row r="127">
      <c r="A127" s="284" t="inlineStr">
        <is>
          <t>salary.app.detail.label.handling</t>
        </is>
      </c>
      <c r="B127" s="284" t="inlineStr">
        <is>
          <t>Khai thác</t>
        </is>
      </c>
      <c r="C127" s="284" t="inlineStr">
        <is>
          <t>Handling</t>
        </is>
      </c>
      <c r="D127" s="284" t="inlineStr">
        <is>
          <t>ប្រតិបត្តិការ</t>
        </is>
      </c>
      <c r="G127" t="inlineStr">
        <is>
          <t>ប្រតិបត្តិការចាត់ចែងបញ្ញើ</t>
        </is>
      </c>
      <c r="H127" t="inlineStr">
        <is>
          <t>ប្រតិបត្តិការចាត់ចែងបញ្ញើ</t>
        </is>
      </c>
    </row>
    <row r="128">
      <c r="A128" s="284" t="inlineStr">
        <is>
          <t>salary.app.detail.label.total-revenue-completion-rate</t>
        </is>
      </c>
      <c r="B128" s="284" t="inlineStr">
        <is>
          <t>TL hoàn thành doanh thu tổng</t>
        </is>
      </c>
      <c r="C128" s="284" t="inlineStr">
        <is>
          <t>Total revenue completion rate</t>
        </is>
      </c>
      <c r="D128" s="284" t="inlineStr">
        <is>
          <t>អត្រាបញ្ចប់ចំណូលសរុប</t>
        </is>
      </c>
      <c r="G128" t="inlineStr">
        <is>
          <t>អត្រាបញ្ចប់ចំណូលសរុប</t>
        </is>
      </c>
      <c r="H128" t="inlineStr">
        <is>
          <t>អត្រាបញ្ចប់ចំណូលសរុប</t>
        </is>
      </c>
    </row>
    <row r="129">
      <c r="A129" s="284" t="inlineStr">
        <is>
          <t>salary.app.detail.label.before-tax</t>
        </is>
      </c>
      <c r="B129" s="284" t="inlineStr">
        <is>
          <t>Trước thuế</t>
        </is>
      </c>
      <c r="C129" s="284" t="inlineStr">
        <is>
          <t>Before tax</t>
        </is>
      </c>
      <c r="D129" s="284" t="inlineStr">
        <is>
          <t>មុនពន្ធ</t>
        </is>
      </c>
      <c r="G129" t="inlineStr">
        <is>
          <t>មុនពន្ធ</t>
        </is>
      </c>
      <c r="H129" t="inlineStr">
        <is>
          <t>មុនពន្ធ</t>
        </is>
      </c>
    </row>
    <row r="130">
      <c r="A130" s="284" t="inlineStr">
        <is>
          <t>salary.app.detail.label.after-tax</t>
        </is>
      </c>
      <c r="B130" s="284" t="inlineStr">
        <is>
          <t>Sau thuế</t>
        </is>
      </c>
      <c r="C130" s="284" t="inlineStr">
        <is>
          <t>After tax</t>
        </is>
      </c>
      <c r="D130" s="284" t="inlineStr">
        <is>
          <t>បន្ទាប់ពន្ធ</t>
        </is>
      </c>
      <c r="G130" t="inlineStr">
        <is>
          <t>បន្ទាប់ពន្ធ</t>
        </is>
      </c>
      <c r="H130" t="inlineStr">
        <is>
          <t>បន្ទាប់ពន្ធ</t>
        </is>
      </c>
    </row>
    <row r="131">
      <c r="A131" s="284" t="inlineStr">
        <is>
          <t>salary.app.daily-income.title</t>
        </is>
      </c>
      <c r="B131" s="284" t="inlineStr">
        <is>
          <t>Thu nhập của tôi</t>
        </is>
      </c>
      <c r="C131" s="284" t="inlineStr">
        <is>
          <t>My income</t>
        </is>
      </c>
      <c r="D131" s="284" t="inlineStr">
        <is>
          <t>ប្រាក់ចំណូលរបស់ខ្ញុំ</t>
        </is>
      </c>
      <c r="G131" t="inlineStr">
        <is>
          <t>ប្រាក់ចំណូលរបស់ខ្ញុំ</t>
        </is>
      </c>
      <c r="H131" t="inlineStr">
        <is>
          <t>ប្រាក់ចំណូលរបស់ខ្ញុំ</t>
        </is>
      </c>
    </row>
    <row r="132">
      <c r="A132" s="284" t="inlineStr">
        <is>
          <t>salary.app.daily-income.delivery.title</t>
        </is>
      </c>
      <c r="B132" s="284" t="inlineStr">
        <is>
          <t>Giao:</t>
        </is>
      </c>
      <c r="C132" s="284" t="inlineStr">
        <is>
          <t>Delivery:</t>
        </is>
      </c>
      <c r="D132" s="284" t="inlineStr">
        <is>
          <t>ការដឹកជញ្ជូន:</t>
        </is>
      </c>
      <c r="G132" t="inlineStr">
        <is>
          <t>ការដឹកជញ្ជូន:</t>
        </is>
      </c>
      <c r="H132" t="inlineStr">
        <is>
          <t>ការដឹកជញ្ជូន:</t>
        </is>
      </c>
    </row>
    <row r="133">
      <c r="A133" s="284" t="inlineStr">
        <is>
          <t>salary.app.daily-income.pickup.title</t>
        </is>
      </c>
      <c r="B133" s="284" t="inlineStr">
        <is>
          <t>Nhận:</t>
        </is>
      </c>
      <c r="C133" s="284" t="inlineStr">
        <is>
          <t>Pickup:</t>
        </is>
      </c>
      <c r="D133" s="284" t="inlineStr">
        <is>
          <t>ការទទួល:</t>
        </is>
      </c>
      <c r="G133" t="inlineStr">
        <is>
          <t>ការទទួល:</t>
        </is>
      </c>
      <c r="H133" t="inlineStr">
        <is>
          <t>ការទទួល:</t>
        </is>
      </c>
    </row>
    <row r="134">
      <c r="A134" s="284" t="inlineStr">
        <is>
          <t>salary.app.daily-income.trip.title</t>
        </is>
      </c>
      <c r="B134" s="284" t="inlineStr">
        <is>
          <t>Số chuyến xe:</t>
        </is>
      </c>
      <c r="C134" s="284" t="inlineStr">
        <is>
          <t>Trip count:</t>
        </is>
      </c>
      <c r="D134" s="284" t="inlineStr">
        <is>
          <t>ចំនួនជើងដំណើរ:</t>
        </is>
      </c>
      <c r="G134" t="inlineStr">
        <is>
          <t>ចំនួនជើងដំណើរ:</t>
        </is>
      </c>
      <c r="H134" t="inlineStr">
        <is>
          <t>ចំនួនជើងដំណើរ:</t>
        </is>
      </c>
    </row>
    <row r="135">
      <c r="A135" s="284" t="inlineStr">
        <is>
          <t>salary.app.daily-income.unit.order</t>
        </is>
      </c>
      <c r="B135" s="284" t="inlineStr">
        <is>
          <t>đơn</t>
        </is>
      </c>
      <c r="C135" s="284" t="inlineStr">
        <is>
          <t>orders</t>
        </is>
      </c>
      <c r="D135" s="284" t="inlineStr">
        <is>
          <t>បញ្ជាទិញ</t>
        </is>
      </c>
      <c r="G135" t="inlineStr">
        <is>
          <t>បញ្ជាទិញ</t>
        </is>
      </c>
      <c r="H135" t="inlineStr">
        <is>
          <t>បញ្ជាទិញ</t>
        </is>
      </c>
    </row>
    <row r="136">
      <c r="A136" s="284" t="inlineStr">
        <is>
          <t>salary.app.daily-income.unit.trip</t>
        </is>
      </c>
      <c r="B136" s="284" t="inlineStr">
        <is>
          <t>chuyến</t>
        </is>
      </c>
      <c r="C136" s="284" t="inlineStr">
        <is>
          <t>trips</t>
        </is>
      </c>
      <c r="D136" s="284" t="inlineStr">
        <is>
          <t>ជើង</t>
        </is>
      </c>
      <c r="G136" t="inlineStr">
        <is>
          <t>ជើង</t>
        </is>
      </c>
      <c r="H136" t="inlineStr">
        <is>
          <t>ជើង</t>
        </is>
      </c>
    </row>
    <row r="137">
      <c r="A137" s="284" t="inlineStr">
        <is>
          <t>salary.app.currency.usd</t>
        </is>
      </c>
      <c r="B137" s="284" t="inlineStr">
        <is>
          <t>USD</t>
        </is>
      </c>
      <c r="C137" s="284" t="inlineStr">
        <is>
          <t>USD</t>
        </is>
      </c>
      <c r="D137" s="284" t="inlineStr">
        <is>
          <t>USD</t>
        </is>
      </c>
      <c r="G137" t="inlineStr">
        <is>
          <t>USD</t>
        </is>
      </c>
      <c r="H137" t="inlineStr">
        <is>
          <t>USD</t>
        </is>
      </c>
    </row>
    <row r="138">
      <c r="A138" s="284" t="inlineStr">
        <is>
          <t>salary.app.element-income.total-income.title</t>
        </is>
      </c>
      <c r="B138" s="284" t="inlineStr">
        <is>
          <t>Thu nhập của tôi</t>
        </is>
      </c>
      <c r="C138" s="284" t="inlineStr">
        <is>
          <t>Total income</t>
        </is>
      </c>
      <c r="D138" s="284" t="inlineStr">
        <is>
          <t>ប្រាក់ចំណូលសរុប</t>
        </is>
      </c>
      <c r="G138" t="inlineStr">
        <is>
          <t>ប្រាក់ចំណូលសរុប</t>
        </is>
      </c>
      <c r="H138" t="inlineStr">
        <is>
          <t>ប្រាក់ចំណូលសរុប</t>
        </is>
      </c>
    </row>
    <row r="139">
      <c r="A139" s="284" t="inlineStr">
        <is>
          <t>salary.app.element-income.total-count.title</t>
        </is>
      </c>
      <c r="B139" s="284" t="inlineStr">
        <is>
          <t>Tổng số</t>
        </is>
      </c>
      <c r="C139" s="284" t="inlineStr">
        <is>
          <t>Total count</t>
        </is>
      </c>
      <c r="D139" s="284" t="inlineStr">
        <is>
          <t>ចំនួនសរុប</t>
        </is>
      </c>
      <c r="G139" t="inlineStr">
        <is>
          <t>ចំនួនសរុប</t>
        </is>
      </c>
      <c r="H139" t="inlineStr">
        <is>
          <t>ចំនួនសរុប</t>
        </is>
      </c>
    </row>
    <row r="140">
      <c r="A140" s="284" t="inlineStr">
        <is>
          <t>salary.app.element-income.giao-count.title</t>
        </is>
      </c>
      <c r="B140" s="284" t="inlineStr">
        <is>
          <t>Giao:</t>
        </is>
      </c>
      <c r="C140" s="284" t="inlineStr">
        <is>
          <t>Delivery:</t>
        </is>
      </c>
      <c r="D140" s="284" t="inlineStr">
        <is>
          <t>ដឹកជញ្ជូន:</t>
        </is>
      </c>
      <c r="G140" t="inlineStr">
        <is>
          <t>ដឹកជញ្ជូន:</t>
        </is>
      </c>
      <c r="H140" t="inlineStr">
        <is>
          <t>ដឹកជញ្ជូន:</t>
        </is>
      </c>
    </row>
    <row r="141">
      <c r="A141" s="284" t="inlineStr">
        <is>
          <t>salary.app.element-income.nhan-count.title</t>
        </is>
      </c>
      <c r="B141" s="284" t="inlineStr">
        <is>
          <t>Nhận:</t>
        </is>
      </c>
      <c r="C141" s="284" t="inlineStr">
        <is>
          <t>Pickup:</t>
        </is>
      </c>
      <c r="D141" s="284" t="inlineStr">
        <is>
          <t>ទទួល:</t>
        </is>
      </c>
      <c r="G141" t="inlineStr">
        <is>
          <t>ទទួល:</t>
        </is>
      </c>
      <c r="H141" t="inlineStr">
        <is>
          <t>ទទួល:</t>
        </is>
      </c>
    </row>
    <row r="142">
      <c r="A142" s="284" t="inlineStr">
        <is>
          <t>salary.app.element-income.hoan-thanh-chuyen-xe-count.title</t>
        </is>
      </c>
      <c r="B142" s="284" t="inlineStr">
        <is>
          <t>Hoàn thành chuyến xe:</t>
        </is>
      </c>
      <c r="C142" s="284" t="inlineStr">
        <is>
          <t>Trip completed:</t>
        </is>
      </c>
      <c r="D142" s="284" t="inlineStr">
        <is>
          <t>បញ្ចប់ដំណើរ:</t>
        </is>
      </c>
      <c r="G142" t="inlineStr">
        <is>
          <t>បញ្ចប់ដំណើរ:</t>
        </is>
      </c>
      <c r="H142" t="inlineStr">
        <is>
          <t>បញ្ចប់ដំណើរ:</t>
        </is>
      </c>
    </row>
    <row r="143">
      <c r="A143" s="284" t="inlineStr">
        <is>
          <t>salary.app.element-group.luong-cung.label</t>
        </is>
      </c>
      <c r="B143" s="284" t="inlineStr">
        <is>
          <t>Lương cứng</t>
        </is>
      </c>
      <c r="C143" s="284" t="inlineStr">
        <is>
          <t>Fixed salary</t>
        </is>
      </c>
      <c r="D143" s="284" t="inlineStr">
        <is>
          <t>ប្រាក់ខែថេរ</t>
        </is>
      </c>
      <c r="G143" t="inlineStr">
        <is>
          <t>ប្រាក់ខែថេរ</t>
        </is>
      </c>
      <c r="H143" t="inlineStr">
        <is>
          <t>ប្រាក់ខែថេរ</t>
        </is>
      </c>
    </row>
    <row r="144">
      <c r="A144" s="284" t="inlineStr">
        <is>
          <t>salary.app.element-group.luong-khoan.label</t>
        </is>
      </c>
      <c r="B144" s="284" t="inlineStr">
        <is>
          <t>Lương khoán</t>
        </is>
      </c>
      <c r="C144" s="284" t="inlineStr">
        <is>
          <t>Salary package</t>
        </is>
      </c>
      <c r="D144" s="284" t="inlineStr">
        <is>
          <t>ប្រាក់ខែអនុកូល</t>
        </is>
      </c>
      <c r="G144" t="inlineStr">
        <is>
          <t>ប្រាក់ខែអនុកូល</t>
        </is>
      </c>
      <c r="H144" t="inlineStr">
        <is>
          <t>ប្រាក់ខែអនុកូល</t>
        </is>
      </c>
    </row>
    <row r="145">
      <c r="A145" s="284" t="inlineStr">
        <is>
          <t>salary.app.element-group.giao.label</t>
        </is>
      </c>
      <c r="B145" s="284" t="inlineStr">
        <is>
          <t>Giao</t>
        </is>
      </c>
      <c r="C145" s="284" t="inlineStr">
        <is>
          <t>Delivery</t>
        </is>
      </c>
      <c r="D145" s="284" t="inlineStr">
        <is>
          <t>ដឹកជញ្ជូន</t>
        </is>
      </c>
      <c r="G145" t="inlineStr">
        <is>
          <t>ដឹកជញ្ជូន</t>
        </is>
      </c>
      <c r="H145" t="inlineStr">
        <is>
          <t>ដឹកជញ្ជូន</t>
        </is>
      </c>
    </row>
    <row r="146">
      <c r="A146" s="284" t="inlineStr">
        <is>
          <t>salary.app.element-group.nhan.label</t>
        </is>
      </c>
      <c r="B146" s="284" t="inlineStr">
        <is>
          <t>Nhận</t>
        </is>
      </c>
      <c r="C146" s="284" t="inlineStr">
        <is>
          <t>Pickup</t>
        </is>
      </c>
      <c r="D146" s="284" t="inlineStr">
        <is>
          <t>ទទួល</t>
        </is>
      </c>
      <c r="G146" t="inlineStr">
        <is>
          <t>ទទួល</t>
        </is>
      </c>
      <c r="H146" t="inlineStr">
        <is>
          <t>ទទួល</t>
        </is>
      </c>
    </row>
    <row r="147">
      <c r="A147" s="284" t="inlineStr">
        <is>
          <t>salary.app.element-group.hoan-thanh-kpi.label</t>
        </is>
      </c>
      <c r="B147" s="284" t="inlineStr">
        <is>
          <t>Hoàn thành KPI</t>
        </is>
      </c>
      <c r="C147" s="284" t="inlineStr">
        <is>
          <t>KPI completion</t>
        </is>
      </c>
      <c r="D147" s="284" t="inlineStr">
        <is>
          <t>បញ្ចប់ KPI</t>
        </is>
      </c>
      <c r="G147" t="inlineStr">
        <is>
          <t>បញ្ចប់ KPI</t>
        </is>
      </c>
      <c r="H147" t="inlineStr">
        <is>
          <t>បញ្ចប់ KPI</t>
        </is>
      </c>
    </row>
    <row r="148">
      <c r="A148" s="284" t="inlineStr">
        <is>
          <t>salary.app.element-group.ket-noi.label</t>
        </is>
      </c>
      <c r="B148" s="284" t="inlineStr">
        <is>
          <t>Kết nối</t>
        </is>
      </c>
      <c r="C148" s="284" t="inlineStr">
        <is>
          <t>Connect</t>
        </is>
      </c>
      <c r="D148" s="284" t="inlineStr">
        <is>
          <t>ភ្ជាប់</t>
        </is>
      </c>
      <c r="G148" t="inlineStr">
        <is>
          <t>ភ្ជាប់</t>
        </is>
      </c>
      <c r="H148" t="inlineStr">
        <is>
          <t>ភ្ជាប់</t>
        </is>
      </c>
    </row>
    <row r="149">
      <c r="A149" s="284" t="inlineStr">
        <is>
          <t>salary.app.element-group.khai-thac.label</t>
        </is>
      </c>
      <c r="B149" s="284" t="inlineStr">
        <is>
          <t>Khai thác</t>
        </is>
      </c>
      <c r="C149" s="284" t="inlineStr">
        <is>
          <t>Exploit</t>
        </is>
      </c>
      <c r="D149" s="284" t="inlineStr">
        <is>
          <t>ប្រតិបត្តិការ</t>
        </is>
      </c>
      <c r="G149" t="inlineStr">
        <is>
          <t>ប្រតិបត្តិការចាត់ចែងបញ្ញើ</t>
        </is>
      </c>
      <c r="H149" t="inlineStr">
        <is>
          <t>ប្រតិបត្តិការចាត់ចែងបញ្ញើ</t>
        </is>
      </c>
    </row>
    <row r="150">
      <c r="A150" s="284" t="inlineStr">
        <is>
          <t>salary.app.element-group.khach-hang-moi.label</t>
        </is>
      </c>
      <c r="B150" s="284" t="inlineStr">
        <is>
          <t>Khách hàng mới</t>
        </is>
      </c>
      <c r="C150" s="284" t="inlineStr">
        <is>
          <t>New customer</t>
        </is>
      </c>
      <c r="D150" s="284" t="inlineStr">
        <is>
          <t>អតិថិជនថ្មី</t>
        </is>
      </c>
      <c r="G150" t="inlineStr">
        <is>
          <t>អតិថិជនថ្មី</t>
        </is>
      </c>
      <c r="H150" t="inlineStr">
        <is>
          <t>អតិថិជនថ្មី</t>
        </is>
      </c>
    </row>
    <row r="151">
      <c r="A151" s="284" t="inlineStr">
        <is>
          <t>salary.app.element-group.phu-cap.label</t>
        </is>
      </c>
      <c r="B151" s="284" t="inlineStr">
        <is>
          <t>Phụ cấp</t>
        </is>
      </c>
      <c r="C151" s="284" t="inlineStr">
        <is>
          <t>Allowance</t>
        </is>
      </c>
      <c r="D151" s="284" t="inlineStr">
        <is>
          <t>ប្រាក់បន្ថែម</t>
        </is>
      </c>
      <c r="G151" t="inlineStr">
        <is>
          <t>ប្រាក់បន្ថែម</t>
        </is>
      </c>
      <c r="H151" t="inlineStr">
        <is>
          <t>ប្រាក់បន្ថែម</t>
        </is>
      </c>
    </row>
    <row r="152">
      <c r="A152" s="284" t="inlineStr">
        <is>
          <t>salary.app.element-group.thuong-phat.label</t>
        </is>
      </c>
      <c r="B152" s="284" t="inlineStr">
        <is>
          <t>Thưởng phạt</t>
        </is>
      </c>
      <c r="C152" s="284" t="inlineStr">
        <is>
          <t>Bonus / Penalty</t>
        </is>
      </c>
      <c r="D152" s="284" t="inlineStr">
        <is>
          <t>រង្វាន់ / ពិន័យ</t>
        </is>
      </c>
      <c r="G152" t="inlineStr">
        <is>
          <t>រង្វាន់ / ពិន័យ</t>
        </is>
      </c>
      <c r="H152" t="inlineStr">
        <is>
          <t>រង្វាន់ / ពិន័យ</t>
        </is>
      </c>
    </row>
    <row r="153">
      <c r="A153" s="284" t="inlineStr">
        <is>
          <t>salary.app.element-group.khac.label</t>
        </is>
      </c>
      <c r="B153" s="284" t="inlineStr">
        <is>
          <t>Khác</t>
        </is>
      </c>
      <c r="C153" s="284" t="inlineStr">
        <is>
          <t>Other</t>
        </is>
      </c>
      <c r="D153" s="284" t="inlineStr">
        <is>
          <t>ផ្សេងៗ</t>
        </is>
      </c>
      <c r="G153" t="inlineStr">
        <is>
          <t>ផ្សេងៗ</t>
        </is>
      </c>
      <c r="H153" t="inlineStr">
        <is>
          <t>ផ្សេងៗ</t>
        </is>
      </c>
    </row>
    <row r="154">
      <c r="A154" s="284" t="inlineStr">
        <is>
          <t>salary.app.detail.label.fixed-salary-finalization</t>
        </is>
      </c>
      <c r="B154" s="284" t="inlineStr">
        <is>
          <t>Chốt lương cứng</t>
        </is>
      </c>
      <c r="C154" s="284" t="inlineStr">
        <is>
          <t>Fixed salary</t>
        </is>
      </c>
      <c r="D154" s="284" t="inlineStr">
        <is>
          <t>បិទប្រាក់ខែគោល</t>
        </is>
      </c>
      <c r="G154" t="inlineStr">
        <is>
          <t>បិទប្រាក់ខែគោល</t>
        </is>
      </c>
      <c r="H154" t="inlineStr">
        <is>
          <t>បិទប្រាក់ខែគោល</t>
        </is>
      </c>
    </row>
    <row r="155">
      <c r="A155" s="284" t="inlineStr">
        <is>
          <t>salary.app.salary-element.EMPBASEFEE.label</t>
        </is>
      </c>
      <c r="B155" s="284" t="inlineStr">
        <is>
          <t>Lương cứng</t>
        </is>
      </c>
      <c r="C155" s="284" t="inlineStr">
        <is>
          <t>Fixed salary</t>
        </is>
      </c>
      <c r="D155" s="284" t="inlineStr">
        <is>
          <t>ប្រាក់ខែថេរ</t>
        </is>
      </c>
      <c r="G155" t="inlineStr">
        <is>
          <t>ប្រាក់ខែថេរ</t>
        </is>
      </c>
      <c r="H155" t="inlineStr">
        <is>
          <t>ប្រាក់ខែថេរ</t>
        </is>
      </c>
    </row>
    <row r="156">
      <c r="A156" s="284" t="inlineStr">
        <is>
          <t>salary.app.salary-element.BASEFEE.label</t>
        </is>
      </c>
      <c r="B156" s="284" t="inlineStr">
        <is>
          <t>Lương cứng</t>
        </is>
      </c>
      <c r="C156" s="284" t="inlineStr">
        <is>
          <t>Fixed salary</t>
        </is>
      </c>
      <c r="D156" s="284" t="inlineStr">
        <is>
          <t>ប្រាក់ខែថេរ</t>
        </is>
      </c>
      <c r="G156" t="inlineStr">
        <is>
          <t>ប្រាក់ខែថេរ</t>
        </is>
      </c>
      <c r="H156" t="inlineStr">
        <is>
          <t>ប្រាក់ខែថេរ</t>
        </is>
      </c>
    </row>
    <row r="157">
      <c r="A157" s="284" t="inlineStr">
        <is>
          <t>salary.app.salary-element.EMPBASEDELIVERYFEE.label</t>
        </is>
      </c>
      <c r="B157" s="284" t="inlineStr">
        <is>
          <t>Thù lao sản lượng giao</t>
        </is>
      </c>
      <c r="C157" s="284" t="inlineStr">
        <is>
          <t>Delivery base fee</t>
        </is>
      </c>
      <c r="D157" s="284" t="inlineStr">
        <is>
          <t>កម្រៃតាមបរិមាណដឹកជញ្ជូន</t>
        </is>
      </c>
      <c r="G157" t="inlineStr">
        <is>
          <t>កម្រៃតាមបរិមាណដឹកជញ្ជូន</t>
        </is>
      </c>
      <c r="H157" t="inlineStr">
        <is>
          <t>កម្រៃតាមបរិមាណដឹកជញ្ជូន</t>
        </is>
      </c>
    </row>
    <row r="158">
      <c r="A158" s="284" t="inlineStr">
        <is>
          <t>salary.app.salary-element.EMPDELIVERYFEE.label</t>
        </is>
      </c>
      <c r="B158" s="284" t="inlineStr">
        <is>
          <t>Thù lao sản lượng giao</t>
        </is>
      </c>
      <c r="C158" s="284" t="inlineStr">
        <is>
          <t>Delivery fee</t>
        </is>
      </c>
      <c r="D158" s="284" t="inlineStr">
        <is>
          <t>កម្រៃតាមបរិមាណដឹកជញ្ជូន</t>
        </is>
      </c>
      <c r="G158" t="inlineStr">
        <is>
          <t>កម្រៃតាមបរិមាណដឹកជញ្ជូន</t>
        </is>
      </c>
      <c r="H158" t="inlineStr">
        <is>
          <t>កម្រៃតាមបរិមាណដឹកជញ្ជូន</t>
        </is>
      </c>
    </row>
    <row r="159">
      <c r="A159" s="284" t="inlineStr">
        <is>
          <t>salary.app.salary-element.EMPWEIGHTDELIVERYFEE.label</t>
        </is>
      </c>
      <c r="B159" s="284" t="inlineStr">
        <is>
          <t>Thù lao trọng lượng vượt giao</t>
        </is>
      </c>
      <c r="C159" s="284" t="inlineStr">
        <is>
          <t>Delivery overweight fee</t>
        </is>
      </c>
      <c r="D159" s="284" t="inlineStr">
        <is>
          <t>កម្រៃលើសទម្ងន់ដឹកជញ្ជូន</t>
        </is>
      </c>
      <c r="G159" t="inlineStr">
        <is>
          <t>កម្រៃលើសទម្ងន់ដឹកជញ្ជូន</t>
        </is>
      </c>
      <c r="H159" t="inlineStr">
        <is>
          <t>កម្រៃលើសទម្ងន់ដឹកជញ្ជូន</t>
        </is>
      </c>
    </row>
    <row r="160">
      <c r="A160" s="284" t="inlineStr">
        <is>
          <t>salary.app.salary-element.EMPBASEPICKUPFEE.label</t>
        </is>
      </c>
      <c r="B160" s="284" t="inlineStr">
        <is>
          <t>Thù lao sản lượng nhận</t>
        </is>
      </c>
      <c r="C160" s="284" t="inlineStr">
        <is>
          <t>Pickup base fee</t>
        </is>
      </c>
      <c r="D160" s="284" t="inlineStr">
        <is>
          <t>កម្រៃតាមបរិមាណទទួល</t>
        </is>
      </c>
      <c r="G160" t="inlineStr">
        <is>
          <t>កម្រៃតាមបរិមាណទទួល</t>
        </is>
      </c>
      <c r="H160" t="inlineStr">
        <is>
          <t>កម្រៃតាមបរិមាណទទួល</t>
        </is>
      </c>
    </row>
    <row r="161">
      <c r="A161" s="284" t="inlineStr">
        <is>
          <t>salary.app.salary-element.EMPPICKUPFEE.label</t>
        </is>
      </c>
      <c r="B161" s="284" t="inlineStr">
        <is>
          <t>Thù lao sản lượng nhận</t>
        </is>
      </c>
      <c r="C161" s="284" t="inlineStr">
        <is>
          <t>Pickup fee</t>
        </is>
      </c>
      <c r="D161" s="284" t="inlineStr">
        <is>
          <t>កម្រៃតាមបរិមាណទទួល</t>
        </is>
      </c>
      <c r="G161" t="inlineStr">
        <is>
          <t>កម្រៃតាមបរិមាណទទួល</t>
        </is>
      </c>
      <c r="H161" t="inlineStr">
        <is>
          <t>កម្រៃតាមបរិមាណទទួល</t>
        </is>
      </c>
    </row>
    <row r="162">
      <c r="A162" s="284" t="inlineStr">
        <is>
          <t>salary.app.salary-element.EMPWEIGHTPICKUPFEE.label</t>
        </is>
      </c>
      <c r="B162" s="284" t="inlineStr">
        <is>
          <t>Thù lao trọng lượng vượt nhận</t>
        </is>
      </c>
      <c r="C162" s="284" t="inlineStr">
        <is>
          <t>Pickup overweight fee</t>
        </is>
      </c>
      <c r="D162" s="284" t="inlineStr">
        <is>
          <t>កម្រៃលើសទម្ងន់ទទួល</t>
        </is>
      </c>
      <c r="G162" t="inlineStr">
        <is>
          <t>កម្រៃលើសទម្ងន់ទទួល</t>
        </is>
      </c>
      <c r="H162" t="inlineStr">
        <is>
          <t>កម្រៃលើសទម្ងន់ទទួល</t>
        </is>
      </c>
    </row>
    <row r="163">
      <c r="A163" s="284" t="inlineStr">
        <is>
          <t>salary.app.salary-element.EMPKPIFEE.label</t>
        </is>
      </c>
      <c r="B163" s="284" t="inlineStr">
        <is>
          <t>Thù lao hoàn thành KPI</t>
        </is>
      </c>
      <c r="C163" s="284" t="inlineStr">
        <is>
          <t>KPI completion fee</t>
        </is>
      </c>
      <c r="D163" s="284" t="inlineStr">
        <is>
          <t>កម្រៃបំពេញ KPI</t>
        </is>
      </c>
      <c r="G163" t="inlineStr">
        <is>
          <t>កម្រៃបំពេញ KPI</t>
        </is>
      </c>
      <c r="H163" t="inlineStr">
        <is>
          <t>កម្រៃបំពេញ KPI</t>
        </is>
      </c>
    </row>
    <row r="164">
      <c r="A164" s="284" t="inlineStr">
        <is>
          <t>salary.app.salary-element.EMPTRANSPORTFEE.label</t>
        </is>
      </c>
      <c r="B164" s="284" t="inlineStr">
        <is>
          <t>Thù lao kết nối</t>
        </is>
      </c>
      <c r="C164" s="284" t="inlineStr">
        <is>
          <t>Transport fee</t>
        </is>
      </c>
      <c r="D164" s="284" t="inlineStr">
        <is>
          <t>កម្រៃភ្ជាប់</t>
        </is>
      </c>
      <c r="G164" t="inlineStr">
        <is>
          <t>កម្រៃភ្ជាប់</t>
        </is>
      </c>
      <c r="H164" t="inlineStr">
        <is>
          <t>កម្រៃភ្ជាប់</t>
        </is>
      </c>
    </row>
    <row r="165">
      <c r="A165" s="284" t="inlineStr">
        <is>
          <t>salary.app.salary-element.EMPHANDLINGFEE.label</t>
        </is>
      </c>
      <c r="B165" s="284" t="inlineStr">
        <is>
          <t>Thù lao khai thác</t>
        </is>
      </c>
      <c r="C165" s="284" t="inlineStr">
        <is>
          <t>Handling fee</t>
        </is>
      </c>
      <c r="D165" s="284" t="inlineStr">
        <is>
          <t>កម្រៃប្រតិបត្តិការ</t>
        </is>
      </c>
      <c r="G165" t="inlineStr">
        <is>
          <t>កម្រៃប្រតិបត្តិការ</t>
        </is>
      </c>
      <c r="H165" t="inlineStr">
        <is>
          <t>កម្រៃប្រតិបត្តិការ</t>
        </is>
      </c>
    </row>
    <row r="166">
      <c r="A166" s="284" t="inlineStr">
        <is>
          <t>salary.app.salary-element.EMPCUSTOMERDEVELOPMENTFEE.label</t>
        </is>
      </c>
      <c r="B166" s="284" t="inlineStr">
        <is>
          <t>Thù lao khách hàng mới</t>
        </is>
      </c>
      <c r="C166" s="284" t="inlineStr">
        <is>
          <t>New customer fee</t>
        </is>
      </c>
      <c r="D166" s="284" t="inlineStr">
        <is>
          <t>កម្រៃអភិវឌ្ឍអតិថិជនថ្មី</t>
        </is>
      </c>
      <c r="G166" t="inlineStr">
        <is>
          <t>កម្រៃអភិវឌ្ឍអតិថិជនថ្មី</t>
        </is>
      </c>
      <c r="H166" t="inlineStr">
        <is>
          <t>កម្រៃអភិវឌ្ឍអតិថិជនថ្មី</t>
        </is>
      </c>
    </row>
    <row r="167">
      <c r="A167" s="284" t="inlineStr">
        <is>
          <t>salary.app.salary-element.EMPALLOWANCE.label</t>
        </is>
      </c>
      <c r="B167" s="284" t="inlineStr">
        <is>
          <t>Phụ cấp</t>
        </is>
      </c>
      <c r="C167" s="284" t="inlineStr">
        <is>
          <t>Allowance</t>
        </is>
      </c>
      <c r="D167" s="284" t="inlineStr">
        <is>
          <t>ប្រាក់បន្ថែម</t>
        </is>
      </c>
      <c r="G167" t="inlineStr">
        <is>
          <t>ប្រាក់បន្ថែម</t>
        </is>
      </c>
      <c r="H167" t="inlineStr">
        <is>
          <t>ប្រាក់បន្ថែម</t>
        </is>
      </c>
    </row>
    <row r="168">
      <c r="A168" s="284" t="inlineStr">
        <is>
          <t>salary.app.salary-element.EMPBONUS.label</t>
        </is>
      </c>
      <c r="B168" s="284" t="inlineStr">
        <is>
          <t>Thưởng</t>
        </is>
      </c>
      <c r="C168" s="284" t="inlineStr">
        <is>
          <t>Bonus</t>
        </is>
      </c>
      <c r="D168" s="284" t="inlineStr">
        <is>
          <t>រង្វាន់</t>
        </is>
      </c>
      <c r="G168" t="inlineStr">
        <is>
          <t>រង្វាន់</t>
        </is>
      </c>
      <c r="H168" t="inlineStr">
        <is>
          <t>រង្វាន់</t>
        </is>
      </c>
    </row>
    <row r="169">
      <c r="A169" s="284" t="inlineStr">
        <is>
          <t>salary.app.salary-element.EMPPENALTY.label</t>
        </is>
      </c>
      <c r="B169" s="284" t="inlineStr">
        <is>
          <t>Phạt</t>
        </is>
      </c>
      <c r="C169" s="284" t="inlineStr">
        <is>
          <t>Penalty</t>
        </is>
      </c>
      <c r="D169" s="284" t="inlineStr">
        <is>
          <t>ពិន័យ</t>
        </is>
      </c>
      <c r="G169" t="inlineStr">
        <is>
          <t>ពិន័យ</t>
        </is>
      </c>
      <c r="H169" t="inlineStr">
        <is>
          <t>ពិន័យ</t>
        </is>
      </c>
    </row>
    <row r="170">
      <c r="A170" s="284" t="inlineStr">
        <is>
          <t>salary.app.salary-element.AGTDELIVERYFEE.label</t>
        </is>
      </c>
      <c r="B170" s="284" t="inlineStr">
        <is>
          <t>Thù lao giao</t>
        </is>
      </c>
      <c r="C170" s="284" t="inlineStr">
        <is>
          <t>Delivery fee</t>
        </is>
      </c>
      <c r="D170" s="284" t="inlineStr">
        <is>
          <t>កម្រៃដឹកជញ្ជូន</t>
        </is>
      </c>
      <c r="G170" t="inlineStr">
        <is>
          <t>កម្រៃដឹកជញ្ជូន</t>
        </is>
      </c>
      <c r="H170" t="inlineStr">
        <is>
          <t>កម្រៃដឹកជញ្ជូន</t>
        </is>
      </c>
    </row>
    <row r="171">
      <c r="A171" s="284" t="inlineStr">
        <is>
          <t>salary.app.salary-element.AGTPICKUPFEE.label</t>
        </is>
      </c>
      <c r="B171" s="284" t="inlineStr">
        <is>
          <t>Thù lao nhận</t>
        </is>
      </c>
      <c r="C171" s="284" t="inlineStr">
        <is>
          <t>Pickup fee</t>
        </is>
      </c>
      <c r="D171" s="284" t="inlineStr">
        <is>
          <t>កម្រៃទទួល</t>
        </is>
      </c>
      <c r="G171" t="inlineStr">
        <is>
          <t>កម្រៃទទួល</t>
        </is>
      </c>
      <c r="H171" t="inlineStr">
        <is>
          <t>កម្រៃទទួល</t>
        </is>
      </c>
    </row>
    <row r="172">
      <c r="A172" s="284" t="inlineStr">
        <is>
          <t>salary.app.salary-element.AGTPICKUPFEEADJUSTMENT.label</t>
        </is>
      </c>
      <c r="B172" s="284" t="inlineStr">
        <is>
          <t>Thù lao điều chỉnh nhận</t>
        </is>
      </c>
      <c r="C172" s="284" t="inlineStr">
        <is>
          <t>Pickup adjustment fee</t>
        </is>
      </c>
      <c r="D172" s="284" t="inlineStr">
        <is>
          <t>កម្រៃកែតម្រូវការទទួល</t>
        </is>
      </c>
      <c r="G172" t="inlineStr">
        <is>
          <t>កម្រៃកែតម្រូវការទទួល</t>
        </is>
      </c>
      <c r="H172" t="inlineStr">
        <is>
          <t>កម្រៃកែតម្រូវការទទួល</t>
        </is>
      </c>
    </row>
    <row r="173">
      <c r="A173" s="284" t="inlineStr">
        <is>
          <t>export.header.sequence</t>
        </is>
      </c>
      <c r="B173" s="284" t="inlineStr">
        <is>
          <t>STT</t>
        </is>
      </c>
      <c r="C173" s="284" t="inlineStr">
        <is>
          <t>No.</t>
        </is>
      </c>
      <c r="D173" s="284" t="inlineStr">
        <is>
          <t>លេខរៀង</t>
        </is>
      </c>
      <c r="G173" t="inlineStr">
        <is>
          <t>លេខរៀង</t>
        </is>
      </c>
      <c r="H173" t="inlineStr">
        <is>
          <t>លេខរៀង</t>
        </is>
      </c>
    </row>
    <row r="174">
      <c r="A174" s="284" t="inlineStr">
        <is>
          <t>export.header.branch</t>
        </is>
      </c>
      <c r="B174" s="284" t="inlineStr">
        <is>
          <t>Chi nhánh</t>
        </is>
      </c>
      <c r="C174" s="284" t="inlineStr">
        <is>
          <t>Branch</t>
        </is>
      </c>
      <c r="D174" s="284" t="inlineStr">
        <is>
          <t>សាខា</t>
        </is>
      </c>
      <c r="G174" t="inlineStr">
        <is>
          <t>សាខា</t>
        </is>
      </c>
      <c r="H174" t="inlineStr">
        <is>
          <t>សាខា</t>
        </is>
      </c>
    </row>
    <row r="175">
      <c r="A175" s="284" t="inlineStr">
        <is>
          <t>export.header.full-name</t>
        </is>
      </c>
      <c r="B175" s="284" t="inlineStr">
        <is>
          <t>Họ tên</t>
        </is>
      </c>
      <c r="C175" s="284" t="inlineStr">
        <is>
          <t>Full name</t>
        </is>
      </c>
      <c r="D175" s="284" t="inlineStr">
        <is>
          <t>ឈ្មោះពេញ</t>
        </is>
      </c>
      <c r="G175" t="inlineStr">
        <is>
          <t>ឈ្មោះពេញ</t>
        </is>
      </c>
      <c r="H175" t="inlineStr">
        <is>
          <t>ឈ្មោះពេញ</t>
        </is>
      </c>
    </row>
    <row r="176">
      <c r="A176" s="284" t="inlineStr">
        <is>
          <t>export.header.target-type</t>
        </is>
      </c>
      <c r="B176" s="284" t="inlineStr">
        <is>
          <t>Đối tượng</t>
        </is>
      </c>
      <c r="C176" s="284" t="inlineStr">
        <is>
          <t>Target type</t>
        </is>
      </c>
      <c r="D176" s="284" t="inlineStr">
        <is>
          <t>ប្រភេទគោលដៅ</t>
        </is>
      </c>
      <c r="G176" t="inlineStr">
        <is>
          <t>ប្រភេទគោលដៅ</t>
        </is>
      </c>
      <c r="H176" t="inlineStr">
        <is>
          <t>ប្រភេទគោលដៅ</t>
        </is>
      </c>
    </row>
    <row r="177">
      <c r="A177" s="284" t="inlineStr">
        <is>
          <t>export.header.salary-package</t>
        </is>
      </c>
      <c r="B177" s="284" t="inlineStr">
        <is>
          <t>Lương khoán</t>
        </is>
      </c>
      <c r="C177" s="284" t="inlineStr">
        <is>
          <t>Salary package</t>
        </is>
      </c>
      <c r="D177" s="284" t="inlineStr">
        <is>
          <t>ប្រាក់ខែអនុកូល</t>
        </is>
      </c>
      <c r="G177" t="inlineStr">
        <is>
          <t>ប្រាក់ខែអនុកូល</t>
        </is>
      </c>
      <c r="H177" t="inlineStr">
        <is>
          <t>ប្រាក់ខែអនុកូល</t>
        </is>
      </c>
    </row>
    <row r="178">
      <c r="A178" s="284" t="inlineStr">
        <is>
          <t>export.header.bonus-penalty</t>
        </is>
      </c>
      <c r="B178" s="284" t="inlineStr">
        <is>
          <t>Thưởng / Phạt</t>
        </is>
      </c>
      <c r="C178" s="284" t="inlineStr">
        <is>
          <t>Bonus / Penalty</t>
        </is>
      </c>
      <c r="D178" s="284" t="inlineStr">
        <is>
          <t>ប្រាក់រង្វាន់ / ពិន័យ</t>
        </is>
      </c>
      <c r="G178" t="inlineStr">
        <is>
          <t>ប្រាក់រង្វាន់ / ពិន័យ</t>
        </is>
      </c>
      <c r="H178" t="inlineStr">
        <is>
          <t>ប្រាក់រង្វាន់ / ពិន័យ</t>
        </is>
      </c>
    </row>
    <row r="179">
      <c r="A179" s="284" t="inlineStr">
        <is>
          <t>export.header.other</t>
        </is>
      </c>
      <c r="B179" s="284" t="inlineStr">
        <is>
          <t>Khác</t>
        </is>
      </c>
      <c r="C179" s="284" t="inlineStr">
        <is>
          <t>Other</t>
        </is>
      </c>
      <c r="D179" s="284" t="inlineStr">
        <is>
          <t>ផ្សេងៗ</t>
        </is>
      </c>
      <c r="G179" t="inlineStr">
        <is>
          <t>ផ្សេងៗ</t>
        </is>
      </c>
      <c r="H179" t="inlineStr">
        <is>
          <t>ផ្សេងៗ</t>
        </is>
      </c>
    </row>
    <row r="180">
      <c r="A180" s="284" t="inlineStr">
        <is>
          <t>export.header.trip</t>
        </is>
      </c>
      <c r="B180" s="284" t="inlineStr">
        <is>
          <t>Chuyển xe</t>
        </is>
      </c>
      <c r="C180" s="284" t="inlineStr">
        <is>
          <t>Trip</t>
        </is>
      </c>
      <c r="D180" s="284" t="inlineStr">
        <is>
          <t>ដំណើរ</t>
        </is>
      </c>
      <c r="G180" t="inlineStr">
        <is>
          <t>ដំណើរ</t>
        </is>
      </c>
      <c r="H180" t="inlineStr">
        <is>
          <t>ដំណើរ</t>
        </is>
      </c>
    </row>
    <row r="181">
      <c r="A181" s="284" t="inlineStr">
        <is>
          <t>export.header.connect</t>
        </is>
      </c>
      <c r="B181" s="284" t="inlineStr">
        <is>
          <t>Kết nối</t>
        </is>
      </c>
      <c r="C181" s="284" t="inlineStr">
        <is>
          <t>Connect</t>
        </is>
      </c>
      <c r="D181" s="284" t="inlineStr">
        <is>
          <t>ភ្ជាប់</t>
        </is>
      </c>
      <c r="G181" t="inlineStr">
        <is>
          <t>ភ្ជាប់</t>
        </is>
      </c>
      <c r="H181" t="inlineStr">
        <is>
          <t>ភ្ជាប់</t>
        </is>
      </c>
    </row>
    <row r="182">
      <c r="A182" s="284" t="inlineStr">
        <is>
          <t>export.header.salary-date</t>
        </is>
      </c>
      <c r="B182" s="284" t="inlineStr">
        <is>
          <t>Ngày khoán</t>
        </is>
      </c>
      <c r="C182" s="284" t="inlineStr">
        <is>
          <t>Salary date</t>
        </is>
      </c>
      <c r="D182" s="284" t="inlineStr">
        <is>
          <t>កាលបរិច្ឆេទប្រាក់ខែ</t>
        </is>
      </c>
      <c r="G182" t="inlineStr">
        <is>
          <t>កាលបរិច្ឆេទប្រាក់ខែ</t>
        </is>
      </c>
      <c r="H182" t="inlineStr">
        <is>
          <t>កាលបរិច្ឆេទប្រាក់ខែ</t>
        </is>
      </c>
    </row>
    <row r="183">
      <c r="A183" s="284" t="inlineStr">
        <is>
          <t>export.header.weight-gram</t>
        </is>
      </c>
      <c r="B183" s="284" t="inlineStr">
        <is>
          <t>Trọng lượng (g)</t>
        </is>
      </c>
      <c r="C183" s="284" t="inlineStr">
        <is>
          <t>Weight (g)</t>
        </is>
      </c>
      <c r="D183" s="284" t="inlineStr">
        <is>
          <t>ទម្ងន់ (g)</t>
        </is>
      </c>
      <c r="G183" t="inlineStr">
        <is>
          <t>ទម្ងន់ (g)</t>
        </is>
      </c>
      <c r="H183" t="inlineStr">
        <is>
          <t>ទម្ងន់ (g)</t>
        </is>
      </c>
    </row>
    <row r="184">
      <c r="A184" s="284" t="inlineStr">
        <is>
          <t>export.header.before-tax-usd</t>
        </is>
      </c>
      <c r="B184" s="284" t="inlineStr">
        <is>
          <t>Cước trước thuế (USD)</t>
        </is>
      </c>
      <c r="C184" s="284" t="inlineStr">
        <is>
          <t>Before tax (USD)</t>
        </is>
      </c>
      <c r="D184" s="284" t="inlineStr">
        <is>
          <t>មុនពន្ធ (USD)</t>
        </is>
      </c>
      <c r="G184" t="inlineStr">
        <is>
          <t>មុនពន្ធ (USD)</t>
        </is>
      </c>
      <c r="H184" t="inlineStr">
        <is>
          <t>មុនពន្ធ (USD)</t>
        </is>
      </c>
    </row>
    <row r="185">
      <c r="A185" s="284" t="inlineStr">
        <is>
          <t>export.header.after-tax-usd</t>
        </is>
      </c>
      <c r="B185" s="284" t="inlineStr">
        <is>
          <t>Cước sau thuế (USD)</t>
        </is>
      </c>
      <c r="C185" s="284" t="inlineStr">
        <is>
          <t>After tax (USD)</t>
        </is>
      </c>
      <c r="D185" s="284" t="inlineStr">
        <is>
          <t>បន្ទាប់ពន្ធ (USD)</t>
        </is>
      </c>
      <c r="G185" t="inlineStr">
        <is>
          <t>បន្ទាប់ពន្ធ (USD)</t>
        </is>
      </c>
      <c r="H185" t="inlineStr">
        <is>
          <t>បន្ទាប់ពន្ធ (USD)</t>
        </is>
      </c>
    </row>
    <row r="186">
      <c r="A186" s="284" t="inlineStr">
        <is>
          <t>export.header.amount-usd</t>
        </is>
      </c>
      <c r="B186" s="284" t="inlineStr">
        <is>
          <t>Thành tiền (USD)</t>
        </is>
      </c>
      <c r="C186" s="284" t="inlineStr">
        <is>
          <t>Amount (USD)</t>
        </is>
      </c>
      <c r="D186" s="284" t="inlineStr">
        <is>
          <t>ចំនួនទឹកប្រាក់ (USD)</t>
        </is>
      </c>
      <c r="G186" t="inlineStr">
        <is>
          <t>ចំនួនទឹកប្រាក់ (USD)</t>
        </is>
      </c>
      <c r="H186" t="inlineStr">
        <is>
          <t>ចំនួនទឹកប្រាក់ (USD)</t>
        </is>
      </c>
    </row>
    <row r="187">
      <c r="A187" s="284" t="inlineStr">
        <is>
          <t>export.header.monthly-revenue-usd</t>
        </is>
      </c>
      <c r="B187" s="284" t="inlineStr">
        <is>
          <t>Doanh thu nhận trong tháng (USD)</t>
        </is>
      </c>
      <c r="C187" s="284" t="inlineStr">
        <is>
          <t>Monthly revenue received (USD)</t>
        </is>
      </c>
      <c r="D187" s="284" t="inlineStr">
        <is>
          <t>ចំណូលដែលទទួលបានប្រចាំខែ (USD)</t>
        </is>
      </c>
      <c r="G187" t="inlineStr">
        <is>
          <t>ចំណូលដែលទទួលបានប្រចាំខែ (USD)</t>
        </is>
      </c>
      <c r="H187" t="inlineStr">
        <is>
          <t>ចំណូលដែលទទួលបានប្រចាំខែ (USD)</t>
        </is>
      </c>
    </row>
    <row r="188">
      <c r="A188" s="284" t="inlineStr">
        <is>
          <t>export.header.customer-id</t>
        </is>
      </c>
      <c r="B188" s="284" t="inlineStr">
        <is>
          <t>ID khách hàng</t>
        </is>
      </c>
      <c r="C188" s="284" t="inlineStr">
        <is>
          <t>Customer ID</t>
        </is>
      </c>
      <c r="D188" s="284" t="inlineStr">
        <is>
          <t>លេខសម្គាល់អតិថិជន</t>
        </is>
      </c>
      <c r="G188" t="inlineStr">
        <is>
          <t>លេខសម្គាល់អតិថិជន</t>
        </is>
      </c>
      <c r="H188" t="inlineStr">
        <is>
          <t>លេខសម្គាល់អតិថិជន</t>
        </is>
      </c>
    </row>
    <row r="189">
      <c r="A189" s="284" t="inlineStr">
        <is>
          <t>export.header.report-month</t>
        </is>
      </c>
      <c r="B189" s="284" t="inlineStr">
        <is>
          <t>Tháng khoán</t>
        </is>
      </c>
      <c r="C189" s="284" t="inlineStr">
        <is>
          <t>Salary month</t>
        </is>
      </c>
      <c r="D189" s="284" t="inlineStr">
        <is>
          <t>ខែប្រាក់ខែ</t>
        </is>
      </c>
      <c r="G189" t="inlineStr">
        <is>
          <t>ខែប្រាក់ខែ</t>
        </is>
      </c>
      <c r="H189" t="inlineStr">
        <is>
          <t>ខែប្រាក់ខែ</t>
        </is>
      </c>
    </row>
    <row r="190">
      <c r="A190" s="284" t="inlineStr">
        <is>
          <t>export.header.customer-name</t>
        </is>
      </c>
      <c r="B190" s="284" t="inlineStr">
        <is>
          <t>Tên khách hàng</t>
        </is>
      </c>
      <c r="C190" s="284" t="inlineStr">
        <is>
          <t>Customer name</t>
        </is>
      </c>
      <c r="D190" s="284" t="inlineStr">
        <is>
          <t>ឈ្មោះអតិថិជន</t>
        </is>
      </c>
      <c r="G190" t="inlineStr">
        <is>
          <t>ឈ្មោះអតិថិជន</t>
        </is>
      </c>
      <c r="H190" t="inlineStr">
        <is>
          <t>ឈ្មោះអតិថិជន</t>
        </is>
      </c>
    </row>
    <row r="191">
      <c r="A191" s="284" t="inlineStr">
        <is>
          <t>export.header.first-revenue-date</t>
        </is>
      </c>
      <c r="B191" s="284" t="inlineStr">
        <is>
          <t>Ngày phát sinh</t>
        </is>
      </c>
      <c r="C191" s="284" t="inlineStr">
        <is>
          <t>First revenue date</t>
        </is>
      </c>
      <c r="D191" s="284" t="inlineStr">
        <is>
          <t>កាលបរិច្ឆេទចំណូលដំបូង</t>
        </is>
      </c>
      <c r="G191" t="inlineStr">
        <is>
          <t>កាលបរិច្ឆេទចំណូលដំបូង</t>
        </is>
      </c>
      <c r="H191" t="inlineStr">
        <is>
          <t>កាលបរិច្ឆេទចំណូលដំបូង</t>
        </is>
      </c>
    </row>
    <row r="192">
      <c r="A192" s="284" t="inlineStr">
        <is>
          <t>export.header.revenue-month-count</t>
        </is>
      </c>
      <c r="B192" s="284" t="inlineStr">
        <is>
          <t>Số tháng doanh thu (tháng)</t>
        </is>
      </c>
      <c r="C192" s="284" t="inlineStr">
        <is>
          <t>Revenue months (month)</t>
        </is>
      </c>
      <c r="D192" s="284" t="inlineStr">
        <is>
          <t>ចំនួនខែចំណូល (ខែ)</t>
        </is>
      </c>
      <c r="G192" t="inlineStr">
        <is>
          <t>ចំនួនខែចំណូល (ខែ)</t>
        </is>
      </c>
      <c r="H192" t="inlineStr">
        <is>
          <t>ចំនួនខែចំណូល (ខែ)</t>
        </is>
      </c>
    </row>
    <row r="193">
      <c r="A193" s="284" t="inlineStr">
        <is>
          <t>export.header.first-month-revenue-usd</t>
        </is>
      </c>
      <c r="B193" s="284" t="inlineStr">
        <is>
          <t>Doanh thu tháng phát sinh (USD)</t>
        </is>
      </c>
      <c r="C193" s="284" t="inlineStr">
        <is>
          <t>Revenue in first month (USD)</t>
        </is>
      </c>
      <c r="D193" s="284" t="inlineStr">
        <is>
          <t>ចំណូលខែដំបូង (USD)</t>
        </is>
      </c>
      <c r="G193" t="inlineStr">
        <is>
          <t>ចំណូលខែដំបូង (USD)</t>
        </is>
      </c>
      <c r="H193" t="inlineStr">
        <is>
          <t>ចំណូលខែដំបូង (USD)</t>
        </is>
      </c>
    </row>
    <row r="194">
      <c r="A194" s="284" t="inlineStr">
        <is>
          <t>export.header.report-month-revenue-usd</t>
        </is>
      </c>
      <c r="B194" s="284" t="inlineStr">
        <is>
          <t>Doanh thu tháng hiện tại (USD)</t>
        </is>
      </c>
      <c r="C194" s="284" t="inlineStr">
        <is>
          <t>Current month revenue (USD)</t>
        </is>
      </c>
      <c r="D194" s="284" t="inlineStr">
        <is>
          <t>ចំណូលខែបច្ចុប្បន្ន (USD)</t>
        </is>
      </c>
      <c r="G194" t="inlineStr">
        <is>
          <t>ចំណូលខែបច្ចុប្បន្ន (USD)</t>
        </is>
      </c>
      <c r="H194" t="inlineStr">
        <is>
          <t>ចំណូលខែបច្ចុប្បន្ន (USD)</t>
        </is>
      </c>
    </row>
    <row r="195">
      <c r="A195" s="284" t="inlineStr">
        <is>
          <t>export.header.report-month-discount-usd</t>
        </is>
      </c>
      <c r="B195" s="284" t="inlineStr">
        <is>
          <t>Giảm giá tháng hiện tại (USD)</t>
        </is>
      </c>
      <c r="C195" s="284" t="inlineStr">
        <is>
          <t>Current month discount (USD)</t>
        </is>
      </c>
      <c r="D195" s="284" t="inlineStr">
        <is>
          <t>បញ្ចុះតម្លៃខែបច្ចុប្បន្ន (USD)</t>
        </is>
      </c>
      <c r="G195" t="inlineStr">
        <is>
          <t>បញ្ចុះតម្លៃខែបច្ចុប្បន្ន (USD)</t>
        </is>
      </c>
      <c r="H195" t="inlineStr">
        <is>
          <t>បញ្ចុះតម្លៃខែបច្ចុប្បន្ន (USD)</t>
        </is>
      </c>
    </row>
    <row r="196">
      <c r="A196" s="284" t="inlineStr">
        <is>
          <t>export.header.day-off</t>
        </is>
      </c>
      <c r="B196" s="284" t="inlineStr">
        <is>
          <t>Số ngày nghỉ (ngày)</t>
        </is>
      </c>
      <c r="C196" s="284" t="inlineStr">
        <is>
          <t>Days off</t>
        </is>
      </c>
      <c r="D196" s="284" t="inlineStr">
        <is>
          <t>ថ្ងៃឈប់សម្រាក</t>
        </is>
      </c>
      <c r="G196" t="inlineStr">
        <is>
          <t>ថ្ងៃឈប់សម្រាក</t>
        </is>
      </c>
      <c r="H196" t="inlineStr">
        <is>
          <t>ថ្ងៃឈប់សម្រាក</t>
        </is>
      </c>
    </row>
    <row r="197">
      <c r="A197" s="284" t="inlineStr">
        <is>
          <t>export.header.total-revenue-completion-rate</t>
        </is>
      </c>
      <c r="B197" s="284" t="inlineStr">
        <is>
          <t>Tỷ lệ hoàn thành doanh thu tổng</t>
        </is>
      </c>
      <c r="C197" s="284" t="inlineStr">
        <is>
          <t>Total revenue completion rate</t>
        </is>
      </c>
      <c r="D197" s="284" t="inlineStr">
        <is>
          <t>អត្រាបញ្ចប់ចំណូលសរុប</t>
        </is>
      </c>
      <c r="G197" t="inlineStr">
        <is>
          <t>អត្រាបញ្ចប់ចំណូលសរុប</t>
        </is>
      </c>
      <c r="H197" t="inlineStr">
        <is>
          <t>អត្រាបញ្ចប់ចំណូលសរុប</t>
        </is>
      </c>
    </row>
    <row r="198">
      <c r="A198" s="284" t="inlineStr">
        <is>
          <t>export.header.capacity-kg</t>
        </is>
      </c>
      <c r="B198" s="284" t="inlineStr">
        <is>
          <t>Trọng tải (KG)</t>
        </is>
      </c>
      <c r="C198" s="284" t="inlineStr">
        <is>
          <t>Capacity (KG)</t>
        </is>
      </c>
      <c r="D198" s="284" t="inlineStr">
        <is>
          <t>សមត្ថភាព (KG)</t>
        </is>
      </c>
      <c r="G198" t="inlineStr">
        <is>
          <t>សមត្ថភាព (KG)</t>
        </is>
      </c>
      <c r="H198" t="inlineStr">
        <is>
          <t>សមត្ថភាព (KG)</t>
        </is>
      </c>
    </row>
    <row r="199">
      <c r="A199" s="284" t="inlineStr">
        <is>
          <t>export.header.driver-list</t>
        </is>
      </c>
      <c r="B199" s="284" t="inlineStr">
        <is>
          <t>Danh sách tài xế</t>
        </is>
      </c>
      <c r="C199" s="284" t="inlineStr">
        <is>
          <t>Driver list</t>
        </is>
      </c>
      <c r="D199" s="284" t="inlineStr">
        <is>
          <t>បញ្ជីអ្នកបើកបរ</t>
        </is>
      </c>
      <c r="G199" t="inlineStr">
        <is>
          <t>បញ្ជីអ្នកបើកបរ</t>
        </is>
      </c>
      <c r="H199" t="inlineStr">
        <is>
          <t>បញ្ជីអ្នកបើកបរ</t>
        </is>
      </c>
    </row>
    <row r="200">
      <c r="A200" s="284" t="inlineStr">
        <is>
          <t>export.header.driver-1</t>
        </is>
      </c>
      <c r="B200" s="284" t="inlineStr">
        <is>
          <t>Tài xế 1</t>
        </is>
      </c>
      <c r="C200" s="284" t="inlineStr">
        <is>
          <t>Driver 1</t>
        </is>
      </c>
      <c r="D200" s="284" t="inlineStr">
        <is>
          <t>អ្នកបើកបរ 1</t>
        </is>
      </c>
      <c r="G200" t="inlineStr">
        <is>
          <t>អ្នកបើកបរ 1</t>
        </is>
      </c>
      <c r="H200" t="inlineStr">
        <is>
          <t>អ្នកបើកបរ 1</t>
        </is>
      </c>
    </row>
    <row r="201">
      <c r="A201" s="284" t="inlineStr">
        <is>
          <t>export.header.driver-2</t>
        </is>
      </c>
      <c r="B201" s="284" t="inlineStr">
        <is>
          <t>Tài xế 2</t>
        </is>
      </c>
      <c r="C201" s="284" t="inlineStr">
        <is>
          <t>Driver 2</t>
        </is>
      </c>
      <c r="D201" s="284" t="inlineStr">
        <is>
          <t>អ្នកបើកបរ 2</t>
        </is>
      </c>
      <c r="G201" t="inlineStr">
        <is>
          <t>អ្នកបើកបរ 2</t>
        </is>
      </c>
      <c r="H201" t="inlineStr">
        <is>
          <t>អ្នកបើកបរ 2</t>
        </is>
      </c>
    </row>
    <row r="202">
      <c r="A202" s="284" t="inlineStr">
        <is>
          <t>export.header.approval-time</t>
        </is>
      </c>
      <c r="B202" s="284" t="inlineStr">
        <is>
          <t>Thời gian duyệt</t>
        </is>
      </c>
      <c r="C202" s="284" t="inlineStr">
        <is>
          <t>Approval time</t>
        </is>
      </c>
      <c r="D202" s="284" t="inlineStr">
        <is>
          <t>ពេលវេលាអនុម័ត</t>
        </is>
      </c>
      <c r="G202" t="inlineStr">
        <is>
          <t>ពេលវេលាអនុម័ត</t>
        </is>
      </c>
      <c r="H202" t="inlineStr">
        <is>
          <t>ពេលវេលាអនុម័ត</t>
        </is>
      </c>
    </row>
    <row r="203">
      <c r="A203" s="284" t="inlineStr">
        <is>
          <t>export.header.post-office-name</t>
        </is>
      </c>
      <c r="B203" s="284" t="inlineStr">
        <is>
          <t>Tên bưu cục</t>
        </is>
      </c>
      <c r="C203" s="284" t="inlineStr">
        <is>
          <t>Post office name</t>
        </is>
      </c>
      <c r="D203" s="284" t="inlineStr">
        <is>
          <t>ឈ្មោះការិយាល័យប្រៃសណីយ៍</t>
        </is>
      </c>
      <c r="G203" t="inlineStr">
        <is>
          <t>ឈ្មោះការិយាល័យប្រៃសណីយ៍</t>
        </is>
      </c>
      <c r="H203" t="inlineStr">
        <is>
          <t>ឈ្មោះការិយាល័យប្រៃសណីយ៍</t>
        </is>
      </c>
    </row>
    <row r="204">
      <c r="A204" s="284" t="inlineStr">
        <is>
          <t>export.header.zone</t>
        </is>
      </c>
      <c r="B204" s="284" t="inlineStr">
        <is>
          <t>Vùng</t>
        </is>
      </c>
      <c r="C204" s="284" t="inlineStr">
        <is>
          <t>Zone</t>
        </is>
      </c>
      <c r="D204" s="284" t="inlineStr">
        <is>
          <t>តំបន់</t>
        </is>
      </c>
      <c r="G204" t="inlineStr">
        <is>
          <t>តំបន់</t>
        </is>
      </c>
      <c r="H204" t="inlineStr">
        <is>
          <t>តំបន់</t>
        </is>
      </c>
    </row>
    <row r="205">
      <c r="A205" s="284" t="inlineStr">
        <is>
          <t>export.header.province</t>
        </is>
      </c>
      <c r="B205" s="284" t="inlineStr">
        <is>
          <t>Tỉnh</t>
        </is>
      </c>
      <c r="C205" s="284" t="inlineStr">
        <is>
          <t>Province</t>
        </is>
      </c>
      <c r="D205" s="284" t="inlineStr">
        <is>
          <t>ខេត្ត</t>
        </is>
      </c>
      <c r="G205" t="inlineStr">
        <is>
          <t>ខេត្ត</t>
        </is>
      </c>
      <c r="H205" t="inlineStr">
        <is>
          <t>ខេត្ត</t>
        </is>
      </c>
    </row>
    <row r="206">
      <c r="A206" s="284" t="inlineStr">
        <is>
          <t>export.header.province-name</t>
        </is>
      </c>
      <c r="B206" s="284" t="inlineStr">
        <is>
          <t>Tên tỉnh</t>
        </is>
      </c>
      <c r="C206" s="284" t="inlineStr">
        <is>
          <t>Province name</t>
        </is>
      </c>
      <c r="D206" s="284" t="inlineStr">
        <is>
          <t>ឈ្មោះខេត្ត</t>
        </is>
      </c>
      <c r="G206" t="inlineStr">
        <is>
          <t>ឈ្មោះខេត្ត</t>
        </is>
      </c>
      <c r="H206" t="inlineStr">
        <is>
          <t>ឈ្មោះខេត្ត</t>
        </is>
      </c>
    </row>
    <row r="207">
      <c r="A207" s="284" t="inlineStr">
        <is>
          <t>export.header.zone-name</t>
        </is>
      </c>
      <c r="B207" s="284" t="inlineStr">
        <is>
          <t>Tên vùng</t>
        </is>
      </c>
      <c r="C207" s="284" t="inlineStr">
        <is>
          <t>Zone name</t>
        </is>
      </c>
      <c r="D207" s="284" t="inlineStr">
        <is>
          <t>ឈ្មោះតំបន់</t>
        </is>
      </c>
      <c r="G207" t="inlineStr">
        <is>
          <t>ឈ្មោះតំបន់</t>
        </is>
      </c>
      <c r="H207" t="inlineStr">
        <is>
          <t>ឈ្មោះតំបន់</t>
        </is>
      </c>
    </row>
    <row r="208">
      <c r="A208" s="284" t="inlineStr">
        <is>
          <t>export.header.before-vat</t>
        </is>
      </c>
      <c r="B208" s="284" t="inlineStr">
        <is>
          <t>Trước VAT</t>
        </is>
      </c>
      <c r="C208" s="284" t="inlineStr">
        <is>
          <t>Before VAT</t>
        </is>
      </c>
      <c r="D208" s="284" t="inlineStr">
        <is>
          <t>មុន VAT</t>
        </is>
      </c>
      <c r="G208" t="inlineStr">
        <is>
          <t>មុន VAT</t>
        </is>
      </c>
      <c r="H208" t="inlineStr">
        <is>
          <t>មុន VAT</t>
        </is>
      </c>
    </row>
    <row r="209">
      <c r="A209" s="284" t="inlineStr">
        <is>
          <t>export.header.after-vat</t>
        </is>
      </c>
      <c r="B209" s="284" t="inlineStr">
        <is>
          <t>Sau VAT</t>
        </is>
      </c>
      <c r="C209" s="284" t="inlineStr">
        <is>
          <t>After VAT</t>
        </is>
      </c>
      <c r="D209" s="284" t="inlineStr">
        <is>
          <t>បន្ទាប់ VAT</t>
        </is>
      </c>
      <c r="G209" t="inlineStr">
        <is>
          <t>បន្ទាប់ VAT</t>
        </is>
      </c>
      <c r="H209" t="inlineStr">
        <is>
          <t>បន្ទាប់ VAT</t>
        </is>
      </c>
    </row>
    <row r="210">
      <c r="A210" s="284" t="inlineStr">
        <is>
          <t>export.header.actual-usd</t>
        </is>
      </c>
      <c r="B210" s="284" t="inlineStr">
        <is>
          <t>Thực hiện (USD)</t>
        </is>
      </c>
      <c r="C210" s="284" t="inlineStr">
        <is>
          <t>Actual (USD)</t>
        </is>
      </c>
      <c r="D210" s="284" t="inlineStr">
        <is>
          <t>អនុវត្ត (USD)</t>
        </is>
      </c>
      <c r="G210" t="inlineStr">
        <is>
          <t>អនុវត្ត (USD)</t>
        </is>
      </c>
      <c r="H210" t="inlineStr">
        <is>
          <t>អនុវត្ត (USD)</t>
        </is>
      </c>
    </row>
    <row r="211">
      <c r="A211" s="284" t="inlineStr">
        <is>
          <t>export.header.plan-usd</t>
        </is>
      </c>
      <c r="B211" s="284" t="inlineStr">
        <is>
          <t>Kế hoạch (USD)</t>
        </is>
      </c>
      <c r="C211" s="284" t="inlineStr">
        <is>
          <t>Planned (USD)</t>
        </is>
      </c>
      <c r="D211" s="284" t="inlineStr">
        <is>
          <t>ផែនការ (USD)</t>
        </is>
      </c>
      <c r="G211" t="inlineStr">
        <is>
          <t>ផែនការ (USD)</t>
        </is>
      </c>
      <c r="H211" t="inlineStr">
        <is>
          <t>ផែនការ (USD)</t>
        </is>
      </c>
    </row>
    <row r="212">
      <c r="A212" s="284" t="inlineStr">
        <is>
          <t>export.header.completion-rate</t>
        </is>
      </c>
      <c r="B212" s="284" t="inlineStr">
        <is>
          <t>Tỷ lệ hoàn thành (%)</t>
        </is>
      </c>
      <c r="C212" s="284" t="inlineStr">
        <is>
          <t>Completion rate (%)</t>
        </is>
      </c>
      <c r="D212" s="284" t="inlineStr">
        <is>
          <t>អត្រាបញ្ចប់ (%)</t>
        </is>
      </c>
      <c r="G212" t="inlineStr">
        <is>
          <t>អត្រាបញ្ចប់ (%)</t>
        </is>
      </c>
      <c r="H212" t="inlineStr">
        <is>
          <t>អត្រាបញ្ចប់ (%)</t>
        </is>
      </c>
    </row>
    <row r="213">
      <c r="A213" s="284" t="inlineStr">
        <is>
          <t>export.direction.go</t>
        </is>
      </c>
      <c r="B213" s="284" t="inlineStr">
        <is>
          <t>Chiều đi</t>
        </is>
      </c>
      <c r="C213" s="284" t="inlineStr">
        <is>
          <t>Outbound</t>
        </is>
      </c>
      <c r="D213" s="284" t="inlineStr">
        <is>
          <t>ទៅ</t>
        </is>
      </c>
      <c r="G213" t="inlineStr">
        <is>
          <t>ទៅ</t>
        </is>
      </c>
      <c r="H213" t="inlineStr">
        <is>
          <t>ទៅ</t>
        </is>
      </c>
    </row>
    <row r="214">
      <c r="A214" s="284" t="inlineStr">
        <is>
          <t>export.direction.return</t>
        </is>
      </c>
      <c r="B214" s="284" t="inlineStr">
        <is>
          <t>Chiều về</t>
        </is>
      </c>
      <c r="C214" s="284" t="inlineStr">
        <is>
          <t>Return</t>
        </is>
      </c>
      <c r="D214" s="284" t="inlineStr">
        <is>
          <t>ត្រឡប់</t>
        </is>
      </c>
      <c r="G214" t="inlineStr">
        <is>
          <t>ត្រឡប់</t>
        </is>
      </c>
      <c r="H214" t="inlineStr">
        <is>
          <t>ត្រឡប់</t>
        </is>
      </c>
    </row>
    <row r="215">
      <c r="A215" s="284" t="inlineStr">
        <is>
          <t>export.data.header.sequence</t>
        </is>
      </c>
      <c r="B215" s="284" t="inlineStr">
        <is>
          <t>STT</t>
        </is>
      </c>
      <c r="C215" s="284" t="inlineStr">
        <is>
          <t>No.</t>
        </is>
      </c>
      <c r="D215" s="284" t="inlineStr">
        <is>
          <t>លេខរៀង</t>
        </is>
      </c>
      <c r="G215" t="inlineStr">
        <is>
          <t>លេខរៀង</t>
        </is>
      </c>
      <c r="H215" t="inlineStr">
        <is>
          <t>លេខរៀង</t>
        </is>
      </c>
    </row>
    <row r="216">
      <c r="A216" s="284" t="inlineStr">
        <is>
          <t>export.data.header.post-code</t>
        </is>
      </c>
      <c r="B216" s="284" t="inlineStr">
        <is>
          <t>Mã bưu cục</t>
        </is>
      </c>
      <c r="C216" s="284" t="inlineStr">
        <is>
          <t>Post office code</t>
        </is>
      </c>
      <c r="D216" s="284" t="inlineStr">
        <is>
          <t>កូដការិយាល័យប្រៃសណីយ៍</t>
        </is>
      </c>
      <c r="G216" t="inlineStr">
        <is>
          <t>កូដការិយាល័យប្រៃសណីយ៍</t>
        </is>
      </c>
      <c r="H216" t="inlineStr">
        <is>
          <t>កូដការិយាល័យប្រៃសណីយ៍</t>
        </is>
      </c>
    </row>
    <row r="217">
      <c r="A217" s="284" t="inlineStr">
        <is>
          <t>export.data.header.post-office-name</t>
        </is>
      </c>
      <c r="B217" s="284" t="inlineStr">
        <is>
          <t>Tên bưu cục</t>
        </is>
      </c>
      <c r="C217" s="284" t="inlineStr">
        <is>
          <t>Post office name</t>
        </is>
      </c>
      <c r="D217" s="284" t="inlineStr">
        <is>
          <t>ឈ្មោះការិយាល័យប្រៃសណីយ៍</t>
        </is>
      </c>
      <c r="G217" t="inlineStr">
        <is>
          <t>ឈ្មោះការិយាល័យប្រៃសណីយ៍</t>
        </is>
      </c>
      <c r="H217" t="inlineStr">
        <is>
          <t>ឈ្មោះការិយាល័យប្រៃសណីយ៍</t>
        </is>
      </c>
    </row>
    <row r="218">
      <c r="A218" s="284" t="inlineStr">
        <is>
          <t>export.data.header.employee-code</t>
        </is>
      </c>
      <c r="B218" s="284" t="inlineStr">
        <is>
          <t>Mã nhân viên</t>
        </is>
      </c>
      <c r="C218" s="284" t="inlineStr">
        <is>
          <t>Employee code</t>
        </is>
      </c>
      <c r="D218" s="284" t="inlineStr">
        <is>
          <t>កូដបុគ្គលិក</t>
        </is>
      </c>
      <c r="G218" t="inlineStr">
        <is>
          <t>លេខកូដបុគ្គលិក</t>
        </is>
      </c>
      <c r="H218" t="inlineStr">
        <is>
          <t>លេខកូដបុគ្គលិក</t>
        </is>
      </c>
    </row>
    <row r="219">
      <c r="A219" s="284" t="inlineStr">
        <is>
          <t>export.data.header.employee-name</t>
        </is>
      </c>
      <c r="B219" s="284" t="inlineStr">
        <is>
          <t>Tên nhân viên</t>
        </is>
      </c>
      <c r="C219" s="284" t="inlineStr">
        <is>
          <t>Employee name</t>
        </is>
      </c>
      <c r="D219" s="284" t="inlineStr">
        <is>
          <t>ឈ្មោះបុគ្គលិក</t>
        </is>
      </c>
      <c r="G219" t="inlineStr">
        <is>
          <t>ឈ្មោះបុគ្គលិក</t>
        </is>
      </c>
      <c r="H219" t="inlineStr">
        <is>
          <t>ឈ្មោះបុគ្គលិក</t>
        </is>
      </c>
    </row>
    <row r="220">
      <c r="A220" s="284" t="inlineStr">
        <is>
          <t>export.data.header.hrl</t>
        </is>
      </c>
      <c r="B220" s="284" t="inlineStr">
        <is>
          <t>HRL</t>
        </is>
      </c>
      <c r="C220" s="284" t="inlineStr">
        <is>
          <t>HRL</t>
        </is>
      </c>
      <c r="D220" s="284" t="inlineStr">
        <is>
          <t>HRL</t>
        </is>
      </c>
      <c r="G220" t="inlineStr">
        <is>
          <t>HRL</t>
        </is>
      </c>
      <c r="H220" t="inlineStr">
        <is>
          <t>HRL</t>
        </is>
      </c>
    </row>
    <row r="221">
      <c r="A221" s="284" t="inlineStr">
        <is>
          <t>export.data.header.step</t>
        </is>
      </c>
      <c r="B221" s="284" t="inlineStr">
        <is>
          <t>Bước</t>
        </is>
      </c>
      <c r="C221" s="284" t="inlineStr">
        <is>
          <t>Step</t>
        </is>
      </c>
      <c r="D221" s="284" t="inlineStr">
        <is>
          <t>ជំហាន</t>
        </is>
      </c>
      <c r="G221" t="inlineStr">
        <is>
          <t>ជំហាន</t>
        </is>
      </c>
      <c r="H221" t="inlineStr">
        <is>
          <t>ជំហាន</t>
        </is>
      </c>
    </row>
    <row r="222">
      <c r="A222" s="284" t="inlineStr">
        <is>
          <t>export.data.header.amount</t>
        </is>
      </c>
      <c r="B222" s="284" t="inlineStr">
        <is>
          <t>Số tiền</t>
        </is>
      </c>
      <c r="C222" s="284" t="inlineStr">
        <is>
          <t>Amount</t>
        </is>
      </c>
      <c r="D222" s="284" t="inlineStr">
        <is>
          <t>ចំនួនទឹកប្រាក់</t>
        </is>
      </c>
      <c r="G222" t="inlineStr">
        <is>
          <t>ចំនួនទឹកប្រាក់</t>
        </is>
      </c>
      <c r="H222" t="inlineStr">
        <is>
          <t>ចំនួនទឹកប្រាក់</t>
        </is>
      </c>
    </row>
    <row r="223">
      <c r="A223" s="284" t="inlineStr">
        <is>
          <t>export.data.header.days-off</t>
        </is>
      </c>
      <c r="B223" s="284" t="inlineStr">
        <is>
          <t>Số ngày nghỉ</t>
        </is>
      </c>
      <c r="C223" s="284" t="inlineStr">
        <is>
          <t>Days off</t>
        </is>
      </c>
      <c r="D223" s="284" t="inlineStr">
        <is>
          <t>ថ្ងៃឈប់សម្រាក</t>
        </is>
      </c>
      <c r="G223" t="inlineStr">
        <is>
          <t>ថ្ងៃឈប់សម្រាក</t>
        </is>
      </c>
      <c r="H223" t="inlineStr">
        <is>
          <t>ថ្ងៃឈប់សម្រាក</t>
        </is>
      </c>
    </row>
    <row r="224">
      <c r="A224" s="284" t="inlineStr">
        <is>
          <t>export.data.header.kpi-rate</t>
        </is>
      </c>
      <c r="B224" s="284" t="inlineStr">
        <is>
          <t>Tỷ lệ hoàn thành KPI cá nhân (%)</t>
        </is>
      </c>
      <c r="C224" s="284" t="inlineStr">
        <is>
          <t>Individual KPI completion rate (%)</t>
        </is>
      </c>
      <c r="D224" s="284" t="inlineStr">
        <is>
          <t>អត្រាបញ្ចប់ KPI បុគ្គល (%)</t>
        </is>
      </c>
      <c r="G224" t="inlineStr">
        <is>
          <t>អត្រាបញ្ចប់ KPI បុគ្គល (%)</t>
        </is>
      </c>
      <c r="H224" t="inlineStr">
        <is>
          <t>អត្រាបញ្ចប់ KPI បុគ្គល (%)</t>
        </is>
      </c>
    </row>
    <row r="225">
      <c r="A225" s="284" t="inlineStr">
        <is>
          <t>export.data.header.revenue-before-tax-usd</t>
        </is>
      </c>
      <c r="B225" s="284" t="inlineStr">
        <is>
          <t>Doanh thu kế hoạch trước thuế (USD)</t>
        </is>
      </c>
      <c r="C225" s="284" t="inlineStr">
        <is>
          <t>Revenue plan before tax (USD)</t>
        </is>
      </c>
      <c r="D225" s="284" t="inlineStr">
        <is>
          <t>ផែនការចំណូលមុនពន្ធ (USD)</t>
        </is>
      </c>
      <c r="G225" t="inlineStr">
        <is>
          <t>ផែនការចំណូលមុនពន្ធ (USD)</t>
        </is>
      </c>
      <c r="H225" t="inlineStr">
        <is>
          <t>ផែនការចំណូលមុនពន្ធ (USD)</t>
        </is>
      </c>
    </row>
    <row r="226">
      <c r="A226" s="284" t="inlineStr">
        <is>
          <t>export.data.header.revenue-after-tax-usd</t>
        </is>
      </c>
      <c r="B226" s="284" t="inlineStr">
        <is>
          <t>Doanh thu kế hoạch sau thuế (USD)</t>
        </is>
      </c>
      <c r="C226" s="284" t="inlineStr">
        <is>
          <t>Revenue plan after tax (USD)</t>
        </is>
      </c>
      <c r="D226" s="284" t="inlineStr">
        <is>
          <t>ផែនការចំណូលបន្ទាប់ពន្ធ (USD)</t>
        </is>
      </c>
      <c r="G226" t="inlineStr">
        <is>
          <t>ផែនការចំណូលបន្ទាប់ពន្ធ (USD)</t>
        </is>
      </c>
      <c r="H226" t="inlineStr">
        <is>
          <t>ផែនការចំណូលបន្ទាប់ពន្ធ (USD)</t>
        </is>
      </c>
    </row>
    <row r="227">
      <c r="A227" s="284" t="inlineStr">
        <is>
          <t>drl.export.sheet.title</t>
        </is>
      </c>
      <c r="B227" s="284" t="inlineStr">
        <is>
          <t>Phần tử lương</t>
        </is>
      </c>
      <c r="C227" s="284" t="inlineStr">
        <is>
          <t>Salary elements</t>
        </is>
      </c>
      <c r="D227" s="284" t="inlineStr">
        <is>
          <t>ធាតុប្រាក់ខែ</t>
        </is>
      </c>
      <c r="G227" t="inlineStr">
        <is>
          <t>ធាតុប្រាក់ខែ</t>
        </is>
      </c>
      <c r="H227" t="inlineStr">
        <is>
          <t>ធាតុប្រាក់ខែ</t>
        </is>
      </c>
    </row>
    <row r="228">
      <c r="A228" s="284" t="inlineStr">
        <is>
          <t>drl.export.header.sequence</t>
        </is>
      </c>
      <c r="B228" s="284" t="inlineStr">
        <is>
          <t>STT</t>
        </is>
      </c>
      <c r="C228" s="284" t="inlineStr">
        <is>
          <t>No.</t>
        </is>
      </c>
      <c r="D228" s="284" t="inlineStr">
        <is>
          <t>លេខរៀង</t>
        </is>
      </c>
      <c r="G228" t="inlineStr">
        <is>
          <t>លេខរៀង</t>
        </is>
      </c>
      <c r="H228" t="inlineStr">
        <is>
          <t>លេខរៀង</t>
        </is>
      </c>
    </row>
    <row r="229">
      <c r="A229" s="283" t="inlineStr">
        <is>
          <t>drl.export.header.name</t>
        </is>
      </c>
      <c r="B229" s="284" t="inlineStr">
        <is>
          <t>Tên phần tử</t>
        </is>
      </c>
      <c r="C229" s="284" t="inlineStr">
        <is>
          <t>Element name</t>
        </is>
      </c>
      <c r="D229" s="284" t="inlineStr">
        <is>
          <t>ឈ្មោះធាតុ</t>
        </is>
      </c>
      <c r="G229" t="inlineStr">
        <is>
          <t>ឈ្មោះធាតុ</t>
        </is>
      </c>
      <c r="H229" t="inlineStr">
        <is>
          <t>ឈ្មោះធាតុ</t>
        </is>
      </c>
    </row>
    <row r="230">
      <c r="A230" s="284" t="inlineStr">
        <is>
          <t>drl.export.header.code</t>
        </is>
      </c>
      <c r="B230" s="284" t="inlineStr">
        <is>
          <t>Mã phần tử</t>
        </is>
      </c>
      <c r="C230" s="284" t="inlineStr">
        <is>
          <t>Element code</t>
        </is>
      </c>
      <c r="D230" s="284" t="inlineStr">
        <is>
          <t>កូដធាតុ</t>
        </is>
      </c>
      <c r="G230" t="inlineStr">
        <is>
          <t>កូដធាតុ</t>
        </is>
      </c>
      <c r="H230" t="inlineStr">
        <is>
          <t>កូដធាតុ</t>
        </is>
      </c>
    </row>
    <row r="231">
      <c r="A231" s="284" t="inlineStr">
        <is>
          <t>drl.export.header.target-type</t>
        </is>
      </c>
      <c r="B231" s="284" t="inlineStr">
        <is>
          <t>Đối tượng</t>
        </is>
      </c>
      <c r="C231" s="284" t="inlineStr">
        <is>
          <t>Target type</t>
        </is>
      </c>
      <c r="D231" s="284" t="inlineStr">
        <is>
          <t>ប្រភេទគោលដៅ</t>
        </is>
      </c>
      <c r="G231" t="inlineStr">
        <is>
          <t>ប្រភេទគោលដៅ</t>
        </is>
      </c>
      <c r="H231" t="inlineStr">
        <is>
          <t>ប្រភេទគោលដៅ</t>
        </is>
      </c>
    </row>
    <row r="232">
      <c r="A232" s="284" t="inlineStr">
        <is>
          <t>drl.export.header.calculation-method</t>
        </is>
      </c>
      <c r="B232" s="284" t="inlineStr">
        <is>
          <t>Hình thức</t>
        </is>
      </c>
      <c r="C232" s="284" t="inlineStr">
        <is>
          <t>Calculation method</t>
        </is>
      </c>
      <c r="D232" s="284" t="inlineStr">
        <is>
          <t>វិធីគណនា</t>
        </is>
      </c>
      <c r="G232" t="inlineStr">
        <is>
          <t>វិធីគណនា</t>
        </is>
      </c>
      <c r="H232" t="inlineStr">
        <is>
          <t>វិធីគណនា</t>
        </is>
      </c>
    </row>
    <row r="233">
      <c r="A233" s="284" t="inlineStr">
        <is>
          <t>drl.export.header.event</t>
        </is>
      </c>
      <c r="B233" s="284" t="inlineStr">
        <is>
          <t>Sự kiện</t>
        </is>
      </c>
      <c r="C233" s="284" t="inlineStr">
        <is>
          <t>Event</t>
        </is>
      </c>
      <c r="D233" s="284" t="inlineStr">
        <is>
          <t>ព្រឹត្តិការណ៍</t>
        </is>
      </c>
      <c r="G233" t="inlineStr">
        <is>
          <t>ព្រឹត្តិការណ៍</t>
        </is>
      </c>
      <c r="H233" t="inlineStr">
        <is>
          <t>ព្រឹត្តិការណ៍</t>
        </is>
      </c>
    </row>
    <row r="234">
      <c r="A234" s="284" t="inlineStr">
        <is>
          <t>drl.export.header.rule-file</t>
        </is>
      </c>
      <c r="B234" s="284" t="inlineStr">
        <is>
          <t>File quy tắc</t>
        </is>
      </c>
      <c r="C234" s="284" t="inlineStr">
        <is>
          <t>Rule file</t>
        </is>
      </c>
      <c r="D234" s="284" t="inlineStr">
        <is>
          <t>ឯកសារច្បាប់</t>
        </is>
      </c>
      <c r="G234" t="inlineStr">
        <is>
          <t>ឯកសារច្បាប់</t>
        </is>
      </c>
      <c r="H234" t="inlineStr">
        <is>
          <t>ឯកសារច្បាប់</t>
        </is>
      </c>
    </row>
    <row r="235">
      <c r="A235" s="284" t="inlineStr">
        <is>
          <t>drl.export.header.version</t>
        </is>
      </c>
      <c r="B235" s="284" t="inlineStr">
        <is>
          <t>Phiên bản</t>
        </is>
      </c>
      <c r="C235" s="284" t="inlineStr">
        <is>
          <t>Version</t>
        </is>
      </c>
      <c r="D235" s="284" t="inlineStr">
        <is>
          <t>កំណែ</t>
        </is>
      </c>
      <c r="G235" t="inlineStr">
        <is>
          <t>កំណែ</t>
        </is>
      </c>
      <c r="H235" t="inlineStr">
        <is>
          <t>កំណែ</t>
        </is>
      </c>
    </row>
    <row r="236">
      <c r="A236" s="284" t="inlineStr">
        <is>
          <t>drl.export.header.salary-type</t>
        </is>
      </c>
      <c r="B236" s="284" t="inlineStr">
        <is>
          <t>Loại lương</t>
        </is>
      </c>
      <c r="C236" s="284" t="inlineStr">
        <is>
          <t>Salary type</t>
        </is>
      </c>
      <c r="D236" s="284" t="inlineStr">
        <is>
          <t>ប្រភេទប្រាក់ខែ</t>
        </is>
      </c>
      <c r="G236" t="inlineStr">
        <is>
          <t>ប្រភេទប្រាក់ខែ</t>
        </is>
      </c>
      <c r="H236" t="inlineStr">
        <is>
          <t>ប្រភេទប្រាក់ខែ</t>
        </is>
      </c>
    </row>
    <row r="237">
      <c r="A237" s="284" t="inlineStr">
        <is>
          <t>drl.export.header.updated-time</t>
        </is>
      </c>
      <c r="B237" s="284" t="inlineStr">
        <is>
          <t>Thời gian cập nhật</t>
        </is>
      </c>
      <c r="C237" s="284" t="inlineStr">
        <is>
          <t>Updated time</t>
        </is>
      </c>
      <c r="D237" s="284" t="inlineStr">
        <is>
          <t>ពេលវេលាធ្វើបច្ចុប្បន្នភាព</t>
        </is>
      </c>
      <c r="G237" t="inlineStr">
        <is>
          <t>ពេលវេលាធ្វើបច្ចុប្បន្នភាព</t>
        </is>
      </c>
      <c r="H237" t="inlineStr">
        <is>
          <t>ពេលវេលាធ្វើបច្ចុប្បន្នភាព</t>
        </is>
      </c>
    </row>
    <row r="238">
      <c r="A238" s="284" t="inlineStr">
        <is>
          <t>drl.export.header.updated-by</t>
        </is>
      </c>
      <c r="B238" s="284" t="inlineStr">
        <is>
          <t>Người cập nhật</t>
        </is>
      </c>
      <c r="C238" s="284" t="inlineStr">
        <is>
          <t>Updated by</t>
        </is>
      </c>
      <c r="D238" s="284" t="inlineStr">
        <is>
          <t>អ្នកធ្វើបច្ចុប្បន្នភាព</t>
        </is>
      </c>
      <c r="G238" t="inlineStr">
        <is>
          <t>អ្នកធ្វើបច្ចុប្បន្នភាព</t>
        </is>
      </c>
      <c r="H238" t="inlineStr">
        <is>
          <t>អ្នកធ្វើបច្ចុប្បន្នភាព</t>
        </is>
      </c>
    </row>
    <row r="239">
      <c r="A239" s="284" t="inlineStr">
        <is>
          <t>drl.export.sheet.history.title</t>
        </is>
      </c>
      <c r="B239" s="284" t="inlineStr">
        <is>
          <t>Lịch sử DRL</t>
        </is>
      </c>
      <c r="C239" s="284" t="inlineStr">
        <is>
          <t>DRL history</t>
        </is>
      </c>
      <c r="D239" s="284" t="inlineStr">
        <is>
          <t>ប្រវត្តិ DRL</t>
        </is>
      </c>
      <c r="G239" t="inlineStr">
        <is>
          <t>ប្រវត្តិ DRL</t>
        </is>
      </c>
      <c r="H239" t="inlineStr">
        <is>
          <t>ប្រវត្តិ DRL</t>
        </is>
      </c>
    </row>
    <row r="240">
      <c r="A240" s="284" t="inlineStr">
        <is>
          <t>drl.export.history.header.sequence</t>
        </is>
      </c>
      <c r="B240" s="284" t="inlineStr">
        <is>
          <t>STT</t>
        </is>
      </c>
      <c r="C240" s="284" t="inlineStr">
        <is>
          <t>No.</t>
        </is>
      </c>
      <c r="D240" s="284" t="inlineStr">
        <is>
          <t>លេខរៀង</t>
        </is>
      </c>
      <c r="G240" t="inlineStr">
        <is>
          <t>លេខរៀង</t>
        </is>
      </c>
      <c r="H240" t="inlineStr">
        <is>
          <t>លេខរៀង</t>
        </is>
      </c>
    </row>
    <row r="241">
      <c r="A241" s="284" t="inlineStr">
        <is>
          <t>drl.export.history.header.version</t>
        </is>
      </c>
      <c r="B241" s="284" t="inlineStr">
        <is>
          <t>Phiên bản</t>
        </is>
      </c>
      <c r="C241" s="284" t="inlineStr">
        <is>
          <t>Version</t>
        </is>
      </c>
      <c r="D241" s="284" t="inlineStr">
        <is>
          <t>កំណែ</t>
        </is>
      </c>
      <c r="G241" t="inlineStr">
        <is>
          <t>កំណែ</t>
        </is>
      </c>
      <c r="H241" t="inlineStr">
        <is>
          <t>កំណែ</t>
        </is>
      </c>
    </row>
    <row r="242">
      <c r="A242" s="284" t="inlineStr">
        <is>
          <t>drl.export.history.header.rule-file</t>
        </is>
      </c>
      <c r="B242" s="284" t="inlineStr">
        <is>
          <t>File quy tắc</t>
        </is>
      </c>
      <c r="C242" s="284" t="inlineStr">
        <is>
          <t>Rule file</t>
        </is>
      </c>
      <c r="D242" s="284" t="inlineStr">
        <is>
          <t>ឯកសារច្បាប់</t>
        </is>
      </c>
      <c r="G242" t="inlineStr">
        <is>
          <t>ឯកសារច្បាប់</t>
        </is>
      </c>
      <c r="H242" t="inlineStr">
        <is>
          <t>ឯកសារច្បាប់</t>
        </is>
      </c>
    </row>
    <row r="243">
      <c r="A243" s="284" t="inlineStr">
        <is>
          <t>drl.export.history.header.start-time</t>
        </is>
      </c>
      <c r="B243" s="284" t="inlineStr">
        <is>
          <t>Thời gian bắt đầu</t>
        </is>
      </c>
      <c r="C243" s="284" t="inlineStr">
        <is>
          <t>Start time</t>
        </is>
      </c>
      <c r="D243" s="284" t="inlineStr">
        <is>
          <t>ពេលវេលាចាប់ផ្តើម</t>
        </is>
      </c>
      <c r="G243" t="inlineStr">
        <is>
          <t>ពេលវេលាចាប់ផ្តើម</t>
        </is>
      </c>
      <c r="H243" t="inlineStr">
        <is>
          <t>ពេលវេលាចាប់ផ្តើម</t>
        </is>
      </c>
    </row>
    <row r="244">
      <c r="A244" s="284" t="inlineStr">
        <is>
          <t>drl.export.history.header.end-time</t>
        </is>
      </c>
      <c r="B244" s="284" t="inlineStr">
        <is>
          <t>Thời gian kết thúc</t>
        </is>
      </c>
      <c r="C244" s="284" t="inlineStr">
        <is>
          <t>End time</t>
        </is>
      </c>
      <c r="D244" s="284" t="inlineStr">
        <is>
          <t>ពេលវេលាបញ្ចប់</t>
        </is>
      </c>
      <c r="G244" t="inlineStr">
        <is>
          <t>ពេលវេលាបញ្ចប់</t>
        </is>
      </c>
      <c r="H244" t="inlineStr">
        <is>
          <t>ពេលវេលាបញ្ចប់</t>
        </is>
      </c>
    </row>
    <row r="245">
      <c r="A245" s="284" t="inlineStr">
        <is>
          <t>drl.export.history.header.updated-time</t>
        </is>
      </c>
      <c r="B245" s="284" t="inlineStr">
        <is>
          <t>Thời gian cập nhật</t>
        </is>
      </c>
      <c r="C245" s="284" t="inlineStr">
        <is>
          <t>Updated time</t>
        </is>
      </c>
      <c r="D245" s="284" t="inlineStr">
        <is>
          <t>ពេលវេលាធ្វើបច្ចុប្បន្នភាព</t>
        </is>
      </c>
      <c r="G245" t="inlineStr">
        <is>
          <t>ពេលវេលាធ្វើបច្ចុប្បន្នភាព</t>
        </is>
      </c>
      <c r="H245" t="inlineStr">
        <is>
          <t>ពេលវេលាធ្វើបច្ចុប្បន្នភាព</t>
        </is>
      </c>
    </row>
    <row r="246">
      <c r="A246" s="284" t="inlineStr">
        <is>
          <t>drl.export.history.header.updated-by</t>
        </is>
      </c>
      <c r="B246" s="284" t="inlineStr">
        <is>
          <t>Người cập nhật</t>
        </is>
      </c>
      <c r="C246" s="284" t="inlineStr">
        <is>
          <t>Updated by</t>
        </is>
      </c>
      <c r="D246" s="284" t="inlineStr">
        <is>
          <t>អ្នកធ្វើបច្ចុប្បន្នភាព</t>
        </is>
      </c>
      <c r="G246" t="inlineStr">
        <is>
          <t>អ្នកធ្វើបច្ចុប្បន្នភាព</t>
        </is>
      </c>
      <c r="H246" t="inlineStr">
        <is>
          <t>អ្នកធ្វើបច្ចុប្បន្នភាព</t>
        </is>
      </c>
    </row>
    <row r="247">
      <c r="A247" s="284" t="inlineStr">
        <is>
          <t>drl.export.history.header.status</t>
        </is>
      </c>
      <c r="B247" s="284" t="inlineStr">
        <is>
          <t>Trạng thái</t>
        </is>
      </c>
      <c r="C247" s="284" t="inlineStr">
        <is>
          <t>Status</t>
        </is>
      </c>
      <c r="D247" s="284" t="inlineStr">
        <is>
          <t>ស្ថានភាព</t>
        </is>
      </c>
      <c r="G247" t="inlineStr">
        <is>
          <t>ស្ថានភាព</t>
        </is>
      </c>
      <c r="H247" t="inlineStr">
        <is>
          <t>ស្ថានភាព</t>
        </is>
      </c>
    </row>
    <row r="248">
      <c r="A248" s="284" t="inlineStr">
        <is>
          <t>drl.export.history.header.note</t>
        </is>
      </c>
      <c r="B248" s="284" t="inlineStr">
        <is>
          <t>Ghi chú</t>
        </is>
      </c>
      <c r="C248" s="284" t="inlineStr">
        <is>
          <t>Note</t>
        </is>
      </c>
      <c r="D248" s="284" t="inlineStr">
        <is>
          <t>ចំណាំ</t>
        </is>
      </c>
      <c r="G248" t="inlineStr">
        <is>
          <t>ចំណាំ</t>
        </is>
      </c>
      <c r="H248" t="inlineStr">
        <is>
          <t>ចំណាំ</t>
        </is>
      </c>
    </row>
  </sheetData>
  <hyperlinks>
    <hyperlink xmlns:r="http://schemas.openxmlformats.org/officeDocument/2006/relationships" ref="A2" r:id="rId1"/>
    <hyperlink xmlns:r="http://schemas.openxmlformats.org/officeDocument/2006/relationships" ref="A229" r:id="rId2"/>
  </hyperlinks>
  <pageMargins left="0.75" right="0.75" top="1" bottom="1" header="0.5" footer="0.5"/>
</worksheet>
</file>

<file path=xl/worksheets/sheet17.xml><?xml version="1.0" encoding="utf-8"?>
<worksheet xmlns="http://schemas.openxmlformats.org/spreadsheetml/2006/main">
  <sheetPr>
    <outlinePr summaryBelow="0" summaryRight="0"/>
    <pageSetUpPr/>
  </sheetPr>
  <dimension ref="A1:F52"/>
  <sheetViews>
    <sheetView workbookViewId="0">
      <pane ySplit="1" topLeftCell="A2" activePane="bottomLeft" state="frozen"/>
      <selection pane="bottomLeft" activeCell="B3" sqref="B3"/>
    </sheetView>
  </sheetViews>
  <sheetFormatPr baseColWidth="8" defaultColWidth="14.43" defaultRowHeight="15" customHeight="1"/>
  <cols>
    <col width="31.29" customWidth="1" style="305" min="1" max="1"/>
    <col width="43.43" customWidth="1" style="305" min="2" max="2"/>
    <col width="36.29" customWidth="1" style="305" min="3" max="3"/>
    <col width="65.29000000000001" customWidth="1" style="305" min="4" max="4"/>
  </cols>
  <sheetData>
    <row r="1" ht="22.5" customHeight="1" s="305">
      <c r="A1" s="289" t="inlineStr">
        <is>
          <t>Key</t>
        </is>
      </c>
      <c r="B1" s="290" t="inlineStr">
        <is>
          <t>Tiếng Việt</t>
        </is>
      </c>
      <c r="C1" s="289" t="inlineStr">
        <is>
          <t>Tiếng Anh</t>
        </is>
      </c>
      <c r="D1" s="289" t="inlineStr">
        <is>
          <t>Tiếng Cambodia</t>
        </is>
      </c>
      <c r="E1" s="308" t="inlineStr">
        <is>
          <t>cam Thean</t>
        </is>
      </c>
    </row>
    <row r="2" ht="22.5" customHeight="1" s="305">
      <c r="A2" s="292" t="inlineStr">
        <is>
          <t>title</t>
        </is>
      </c>
      <c r="B2" s="293" t="inlineStr">
        <is>
          <t>Quản lý chức năng</t>
        </is>
      </c>
      <c r="C2" s="294" t="n"/>
      <c r="D2" s="295" t="inlineStr">
        <is>
          <t>គ្រប់គ្រងមុខងារ</t>
        </is>
      </c>
      <c r="E2" t="inlineStr">
        <is>
          <t>គ្រប់គ្រងមុខងារ</t>
        </is>
      </c>
    </row>
    <row r="3" ht="22.5" customHeight="1" s="305">
      <c r="A3" s="296" t="inlineStr">
        <is>
          <t>createFeature</t>
        </is>
      </c>
      <c r="B3" s="297" t="inlineStr">
        <is>
          <t>Thêm mới chức năng</t>
        </is>
      </c>
      <c r="C3" s="298" t="n"/>
      <c r="D3" s="299" t="inlineStr">
        <is>
          <t>បន្ថែមមុខងារថ្មី</t>
        </is>
      </c>
      <c r="E3" t="inlineStr">
        <is>
          <t>បន្ថែមមុខងារថ្មី</t>
        </is>
      </c>
    </row>
    <row r="4" ht="22.5" customHeight="1" s="305">
      <c r="A4" s="292" t="inlineStr">
        <is>
          <t>dragTitle</t>
        </is>
      </c>
      <c r="B4" s="293" t="inlineStr">
        <is>
          <t>Giữ để kéo thả vị trí</t>
        </is>
      </c>
      <c r="C4" s="294" t="n"/>
      <c r="D4" s="295" t="inlineStr">
        <is>
          <t>ចុចសង្កត់ដើម្បីអូសប្តូរទីតាំង</t>
        </is>
      </c>
      <c r="E4" t="inlineStr">
        <is>
          <t>ចុចសង្កត់ដើម្បីអូសប្តូរទីតាំង</t>
        </is>
      </c>
    </row>
    <row r="5" ht="22.5" customHeight="1" s="305">
      <c r="A5" s="296" t="inlineStr">
        <is>
          <t>createNew</t>
        </is>
      </c>
      <c r="B5" s="297" t="inlineStr">
        <is>
          <t>Thêm mới</t>
        </is>
      </c>
      <c r="C5" s="298" t="n"/>
      <c r="D5" s="299" t="inlineStr">
        <is>
          <t>បន្ថែមថ្មី</t>
        </is>
      </c>
      <c r="E5" t="inlineStr">
        <is>
          <t>បន្ថែមថ្មី</t>
        </is>
      </c>
    </row>
    <row r="6" ht="22.5" customHeight="1" s="305">
      <c r="A6" s="292" t="inlineStr">
        <is>
          <t>move</t>
        </is>
      </c>
      <c r="B6" s="293" t="inlineStr">
        <is>
          <t>Di chuyển</t>
        </is>
      </c>
      <c r="C6" s="294" t="n"/>
      <c r="D6" s="295" t="inlineStr">
        <is>
          <t>ផ្លាស់ទី</t>
        </is>
      </c>
      <c r="E6" t="inlineStr">
        <is>
          <t>ផ្លាស់ទី</t>
        </is>
      </c>
    </row>
    <row r="7" ht="22.5" customHeight="1" s="305">
      <c r="A7" s="296" t="inlineStr">
        <is>
          <t>clone</t>
        </is>
      </c>
      <c r="B7" s="297" t="inlineStr">
        <is>
          <t>Nhân bản</t>
        </is>
      </c>
      <c r="C7" s="298" t="n"/>
      <c r="D7" s="299" t="inlineStr">
        <is>
          <t>ចម្លងស្ទួន</t>
        </is>
      </c>
      <c r="E7" t="inlineStr">
        <is>
          <t>ចម្លងស្ទួន</t>
        </is>
      </c>
    </row>
    <row r="8" ht="22.5" customHeight="1" s="305">
      <c r="A8" s="292" t="inlineStr">
        <is>
          <t>DOC_TYPE_MODULE</t>
        </is>
      </c>
      <c r="B8" s="293" t="inlineStr">
        <is>
          <t>Module</t>
        </is>
      </c>
      <c r="C8" s="294" t="n"/>
      <c r="D8" s="295" t="inlineStr">
        <is>
          <t>ម៉ូឌុល (Module)</t>
        </is>
      </c>
      <c r="E8" t="inlineStr">
        <is>
          <t>ម៉ូឌុល (Module)</t>
        </is>
      </c>
      <c r="F8" s="217" t="inlineStr">
        <is>
          <t xml:space="preserve">    </t>
        </is>
      </c>
    </row>
    <row r="9" ht="22.5" customHeight="1" s="305">
      <c r="A9" s="296" t="inlineStr">
        <is>
          <t>DOC_TYPE_TAB</t>
        </is>
      </c>
      <c r="B9" s="297" t="inlineStr">
        <is>
          <t>Tab</t>
        </is>
      </c>
      <c r="C9" s="298" t="n"/>
      <c r="D9" s="299" t="inlineStr">
        <is>
          <t>ផ្ទាំង (Tab)</t>
        </is>
      </c>
      <c r="E9" t="inlineStr">
        <is>
          <t>ផ្ទាំង (Tab)</t>
        </is>
      </c>
    </row>
    <row r="10" ht="22.5" customHeight="1" s="305">
      <c r="A10" s="292" t="inlineStr">
        <is>
          <t>id</t>
        </is>
      </c>
      <c r="B10" s="293" t="inlineStr">
        <is>
          <t>Mã chức năng</t>
        </is>
      </c>
      <c r="C10" s="294" t="n"/>
      <c r="D10" s="295" t="inlineStr">
        <is>
          <t>លេខកូដមុខងារ</t>
        </is>
      </c>
      <c r="E10" t="inlineStr">
        <is>
          <t>លេខកូដមុខងារ</t>
        </is>
      </c>
    </row>
    <row r="11" ht="22.5" customHeight="1" s="305">
      <c r="A11" s="296" t="inlineStr">
        <is>
          <t>name</t>
        </is>
      </c>
      <c r="B11" s="297" t="inlineStr">
        <is>
          <t>Tên chức năng</t>
        </is>
      </c>
      <c r="C11" s="298" t="n"/>
      <c r="D11" s="299" t="inlineStr">
        <is>
          <t>ឈ្មោះមុខងារ</t>
        </is>
      </c>
      <c r="E11" t="inlineStr">
        <is>
          <t>ឈ្មោះមុខងារ</t>
        </is>
      </c>
    </row>
    <row r="12" ht="22.5" customHeight="1" s="305">
      <c r="A12" s="292" t="inlineStr">
        <is>
          <t>type</t>
        </is>
      </c>
      <c r="B12" s="293" t="inlineStr">
        <is>
          <t>Loại</t>
        </is>
      </c>
      <c r="C12" s="294" t="n"/>
      <c r="D12" s="295" t="inlineStr">
        <is>
          <t>ប្រភេទ</t>
        </is>
      </c>
      <c r="E12" t="inlineStr">
        <is>
          <t>ប្រភេទ</t>
        </is>
      </c>
    </row>
    <row r="13" ht="22.5" customHeight="1" s="305">
      <c r="A13" s="296" t="inlineStr">
        <is>
          <t>url</t>
        </is>
      </c>
      <c r="B13" s="297" t="inlineStr">
        <is>
          <t>Đường dẫn URL</t>
        </is>
      </c>
      <c r="C13" s="298" t="n"/>
      <c r="D13" s="299" t="inlineStr">
        <is>
          <t>តំណភ្ជាប់ URL</t>
        </is>
      </c>
      <c r="E13" t="inlineStr">
        <is>
          <t>តំណភ្ជាប់ URL</t>
        </is>
      </c>
    </row>
    <row r="14" ht="22.5" customHeight="1" s="305">
      <c r="A14" s="292" t="inlineStr">
        <is>
          <t>description</t>
        </is>
      </c>
      <c r="B14" s="293" t="inlineStr">
        <is>
          <t>Mô tả</t>
        </is>
      </c>
      <c r="C14" s="294" t="n"/>
      <c r="D14" s="295" t="inlineStr">
        <is>
          <t>ការពិពណ៌នា</t>
        </is>
      </c>
      <c r="E14" t="inlineStr">
        <is>
          <t>ការពិពណ៌នា</t>
        </is>
      </c>
    </row>
    <row r="15" ht="22.5" customHeight="1" s="305">
      <c r="A15" s="296" t="inlineStr">
        <is>
          <t>status</t>
        </is>
      </c>
      <c r="B15" s="297" t="inlineStr">
        <is>
          <t>Trạng thái</t>
        </is>
      </c>
      <c r="C15" s="298" t="n"/>
      <c r="D15" s="299" t="inlineStr">
        <is>
          <t>ស្ថានភាព</t>
        </is>
      </c>
      <c r="E15" t="inlineStr">
        <is>
          <t>ស្ថានភាព</t>
        </is>
      </c>
    </row>
    <row r="16" ht="22.5" customHeight="1" s="305">
      <c r="A16" s="292" t="inlineStr">
        <is>
          <t>groupRights</t>
        </is>
      </c>
      <c r="B16" s="293" t="inlineStr">
        <is>
          <t>Nhóm quyền</t>
        </is>
      </c>
      <c r="C16" s="294" t="n"/>
      <c r="D16" s="295" t="inlineStr">
        <is>
          <t>ក្រុមសិទ្ធិ</t>
        </is>
      </c>
      <c r="E16" t="inlineStr">
        <is>
          <t>ក្រុមសិទ្ធិ</t>
        </is>
      </c>
    </row>
    <row r="17" ht="22.5" customHeight="1" s="305">
      <c r="A17" s="296" t="inlineStr">
        <is>
          <t>groupRightSelect</t>
        </is>
      </c>
      <c r="B17" s="297" t="inlineStr">
        <is>
          <t>Chọn nhóm quyền</t>
        </is>
      </c>
      <c r="C17" s="298" t="n"/>
      <c r="D17" s="299" t="inlineStr">
        <is>
          <t>ជ្រើសរើសក្រុមសិទ្ធិ</t>
        </is>
      </c>
      <c r="E17" t="inlineStr">
        <is>
          <t>ជ្រើសរើសក្រុមសិទ្ធិ</t>
        </is>
      </c>
    </row>
    <row r="18" ht="22.5" customHeight="1" s="305">
      <c r="A18" s="292" t="inlineStr">
        <is>
          <t>add</t>
        </is>
      </c>
      <c r="B18" s="293" t="inlineStr">
        <is>
          <t>Thêm</t>
        </is>
      </c>
      <c r="C18" s="294" t="n"/>
      <c r="D18" s="295" t="inlineStr">
        <is>
          <t>បន្ថែម</t>
        </is>
      </c>
      <c r="E18" t="inlineStr">
        <is>
          <t>បន្ថែម</t>
        </is>
      </c>
    </row>
    <row r="19" ht="22.5" customHeight="1" s="305">
      <c r="A19" s="296" t="inlineStr">
        <is>
          <t>customer</t>
        </is>
      </c>
      <c r="B19" s="297" t="inlineStr">
        <is>
          <t>Người dùng</t>
        </is>
      </c>
      <c r="C19" s="298" t="n"/>
      <c r="D19" s="299" t="inlineStr">
        <is>
          <t>អ្នកប្រើប្រាស់</t>
        </is>
      </c>
      <c r="E19" t="inlineStr">
        <is>
          <t>អ្នកប្រើប្រាស់</t>
        </is>
      </c>
    </row>
    <row r="20" ht="22.5" customHeight="1" s="305">
      <c r="A20" s="292" t="inlineStr">
        <is>
          <t>cusId</t>
        </is>
      </c>
      <c r="B20" s="293" t="inlineStr">
        <is>
          <t>Mã nhân viên</t>
        </is>
      </c>
      <c r="C20" s="294" t="n"/>
      <c r="D20" s="295" t="inlineStr">
        <is>
          <t>លេខកូដបុគ្គលិក</t>
        </is>
      </c>
      <c r="E20" t="inlineStr">
        <is>
          <t>លេខកូដបុគ្គលិក</t>
        </is>
      </c>
    </row>
    <row r="21" ht="22.5" customHeight="1" s="305">
      <c r="A21" s="296" t="inlineStr">
        <is>
          <t>username</t>
        </is>
      </c>
      <c r="B21" s="297" t="inlineStr">
        <is>
          <t>Username</t>
        </is>
      </c>
      <c r="C21" s="298" t="n"/>
      <c r="D21" s="299" t="inlineStr">
        <is>
          <t>ឈ្មោះគណនី</t>
        </is>
      </c>
      <c r="E21" t="inlineStr">
        <is>
          <t>ឈ្មោះគណនី</t>
        </is>
      </c>
    </row>
    <row r="22" ht="22.5" customHeight="1" s="305">
      <c r="A22" s="292" t="inlineStr">
        <is>
          <t>cusName</t>
        </is>
      </c>
      <c r="B22" s="293" t="inlineStr">
        <is>
          <t>Tên người dùng</t>
        </is>
      </c>
      <c r="C22" s="294" t="n"/>
      <c r="D22" s="295" t="inlineStr">
        <is>
          <t>ឈ្មោះអ្នកប្រើប្រាស់</t>
        </is>
      </c>
      <c r="E22" t="inlineStr">
        <is>
          <t>ឈ្មោះអ្នកប្រើប្រាស់</t>
        </is>
      </c>
    </row>
    <row r="23" ht="22.5" customHeight="1" s="305">
      <c r="A23" s="296" t="inlineStr">
        <is>
          <t>customerSelect</t>
        </is>
      </c>
      <c r="B23" s="297" t="inlineStr">
        <is>
          <t>Chọn người dùng</t>
        </is>
      </c>
      <c r="C23" s="298" t="n"/>
      <c r="D23" s="299" t="inlineStr">
        <is>
          <t>ជ្រើសរើសអ្នកប្រើប្រាស់</t>
        </is>
      </c>
      <c r="E23" t="inlineStr">
        <is>
          <t>ជ្រើសរើសអ្នកប្រើប្រាស់</t>
        </is>
      </c>
    </row>
    <row r="24" ht="22.5" customHeight="1" s="305">
      <c r="A24" s="292" t="inlineStr">
        <is>
          <t>addNewNotice</t>
        </is>
      </c>
      <c r="B24" s="293" t="inlineStr">
        <is>
          <t>Thêm mới chức năng</t>
        </is>
      </c>
      <c r="C24" s="294" t="n"/>
      <c r="D24" s="295" t="inlineStr">
        <is>
          <t>បន្ថែមមុខងារថ្មី</t>
        </is>
      </c>
      <c r="E24" t="inlineStr">
        <is>
          <t>បន្ថែមមុខងារថ្មី</t>
        </is>
      </c>
    </row>
    <row r="25" ht="22.5" customHeight="1" s="305">
      <c r="A25" s="296" t="inlineStr">
        <is>
          <t>updateNotice</t>
        </is>
      </c>
      <c r="B25" s="297" t="inlineStr">
        <is>
          <t>Cập nhật chức năng</t>
        </is>
      </c>
      <c r="C25" s="298" t="n"/>
      <c r="D25" s="299" t="inlineStr">
        <is>
          <t>ធ្វើបច្ចុប្បន្នភាពមុខងារ</t>
        </is>
      </c>
      <c r="E25" t="inlineStr">
        <is>
          <t>ធ្វើបច្ចុប្បន្នភាពមុខងារ</t>
        </is>
      </c>
    </row>
    <row r="26" ht="22.5" customHeight="1" s="305">
      <c r="A26" s="292" t="inlineStr">
        <is>
          <t>duplicateNotice</t>
        </is>
      </c>
      <c r="B26" s="293" t="inlineStr">
        <is>
          <t>Nhân bản chức năng</t>
        </is>
      </c>
      <c r="C26" s="294" t="n"/>
      <c r="D26" s="295" t="inlineStr">
        <is>
          <t>ចម្លងស្ទួនមុខងារ</t>
        </is>
      </c>
      <c r="E26" t="inlineStr">
        <is>
          <t>ចម្លងស្ទួនមុខងារ</t>
        </is>
      </c>
    </row>
    <row r="27" ht="22.5" customHeight="1" s="305">
      <c r="A27" s="296" t="inlineStr">
        <is>
          <t>moveFeatureNotice</t>
        </is>
      </c>
      <c r="B27" s="297" t="inlineStr">
        <is>
          <t>Di chuyển chức năng</t>
        </is>
      </c>
      <c r="C27" s="298" t="n"/>
      <c r="D27" s="299" t="inlineStr">
        <is>
          <t>ផ្លាស់ទីមុខងារ</t>
        </is>
      </c>
      <c r="E27" t="inlineStr">
        <is>
          <t>ផ្លាស់ទីមុខងារ</t>
        </is>
      </c>
    </row>
    <row r="28" ht="22.5" customHeight="1" s="305">
      <c r="A28" s="292" t="inlineStr">
        <is>
          <t>groupRightId</t>
        </is>
      </c>
      <c r="B28" s="293" t="inlineStr">
        <is>
          <t>Mã nhóm quyền</t>
        </is>
      </c>
      <c r="C28" s="294" t="n"/>
      <c r="D28" s="295" t="inlineStr">
        <is>
          <t>លេខកូដក្រុមសិទ្ធិ</t>
        </is>
      </c>
      <c r="E28" t="inlineStr">
        <is>
          <t>លេខកូដក្រុមសិទ្ធិ</t>
        </is>
      </c>
    </row>
    <row r="29" ht="22.5" customHeight="1" s="305">
      <c r="A29" s="296" t="inlineStr">
        <is>
          <t>groupRightName</t>
        </is>
      </c>
      <c r="B29" s="297" t="inlineStr">
        <is>
          <t>Tên nhóm quyền</t>
        </is>
      </c>
      <c r="C29" s="298" t="n"/>
      <c r="D29" s="299" t="inlineStr">
        <is>
          <t>ឈ្មោះក្រុមសិទ្ធិ</t>
        </is>
      </c>
      <c r="E29" t="inlineStr">
        <is>
          <t>ឈ្មោះក្រុមសិទ្ធិ</t>
        </is>
      </c>
    </row>
    <row r="30" ht="22.5" customHeight="1" s="305">
      <c r="A30" s="292" t="inlineStr">
        <is>
          <t>moveTitle</t>
        </is>
      </c>
      <c r="B30" s="293" t="inlineStr">
        <is>
          <t>Di chuyển chức năng</t>
        </is>
      </c>
      <c r="C30" s="294" t="n"/>
      <c r="D30" s="295" t="inlineStr">
        <is>
          <t>ផ្លាស់ទីមុខងារ</t>
        </is>
      </c>
      <c r="E30" t="inlineStr">
        <is>
          <t>ផ្លាស់ទីមុខងារ</t>
        </is>
      </c>
    </row>
    <row r="31" ht="22.5" customHeight="1" s="305">
      <c r="A31" s="296" t="inlineStr">
        <is>
          <t>moveTo</t>
        </is>
      </c>
      <c r="B31" s="297" t="inlineStr">
        <is>
          <t>Di chuyển tới</t>
        </is>
      </c>
      <c r="C31" s="298" t="n"/>
      <c r="D31" s="299" t="inlineStr">
        <is>
          <t>ផ្លាស់ទីទៅកាន់</t>
        </is>
      </c>
      <c r="E31" t="inlineStr">
        <is>
          <t>ផ្លាស់ទីទៅកាន់</t>
        </is>
      </c>
    </row>
    <row r="32" ht="22.5" customHeight="1" s="305">
      <c r="A32" s="292" t="inlineStr">
        <is>
          <t>feature</t>
        </is>
      </c>
      <c r="B32" s="293" t="inlineStr">
        <is>
          <t>Chức năng</t>
        </is>
      </c>
      <c r="C32" s="294" t="n"/>
      <c r="D32" s="295" t="inlineStr">
        <is>
          <t>មុខងារ</t>
        </is>
      </c>
      <c r="E32" t="inlineStr">
        <is>
          <t>មុខងារ</t>
        </is>
      </c>
    </row>
    <row r="33" ht="22.5" customHeight="1" s="305">
      <c r="A33" s="296" t="inlineStr">
        <is>
          <t>locationFeature</t>
        </is>
      </c>
      <c r="B33" s="297" t="inlineStr">
        <is>
          <t>Vị trí chức năng</t>
        </is>
      </c>
      <c r="C33" s="298" t="n"/>
      <c r="D33" s="299" t="inlineStr">
        <is>
          <t>ទីតាំងមុខងារ</t>
        </is>
      </c>
      <c r="E33" t="inlineStr">
        <is>
          <t>ទីតាំងមុខងារ</t>
        </is>
      </c>
    </row>
    <row r="34" ht="22.5" customHeight="1" s="305">
      <c r="A34" s="292" t="inlineStr">
        <is>
          <t>confirmNotice</t>
        </is>
      </c>
      <c r="B34" s="293" t="inlineStr">
        <is>
          <t>Bạn có chắc chắn muốn xoá chức năng này</t>
        </is>
      </c>
      <c r="C34" s="294" t="n"/>
      <c r="D34" s="295" t="inlineStr">
        <is>
          <t>តើអ្នកពិតជាចង់លុបមុខងារនេះមែនទេ?</t>
        </is>
      </c>
      <c r="E34" t="inlineStr">
        <is>
          <t>តើអ្នកពិតជាចង់លុបមុខងារនេះមែនទេ?</t>
        </is>
      </c>
    </row>
    <row r="35" ht="22.5" customHeight="1" s="305">
      <c r="A35" s="296" t="inlineStr">
        <is>
          <t>deleteNotice</t>
        </is>
      </c>
      <c r="B35" s="297" t="inlineStr">
        <is>
          <t>Xoá chức năng</t>
        </is>
      </c>
      <c r="C35" s="298" t="n"/>
      <c r="D35" s="299" t="inlineStr">
        <is>
          <t>លុបមុខងារ</t>
        </is>
      </c>
      <c r="E35" t="inlineStr">
        <is>
          <t>លុបមុខងារ</t>
        </is>
      </c>
    </row>
    <row r="36" ht="22.5" customHeight="1" s="305">
      <c r="A36" s="292" t="inlineStr">
        <is>
          <t>duplicateRoleNotice</t>
        </is>
      </c>
      <c r="B36" s="293" t="inlineStr">
        <is>
          <t>Quyền này đã tồn tại trong module</t>
        </is>
      </c>
      <c r="C36" s="294" t="n"/>
      <c r="D36" s="295" t="inlineStr">
        <is>
          <t>សិទ្ធិនេះមានរួចហើយនៅក្នុងម៉ូឌុល</t>
        </is>
      </c>
      <c r="E36" t="inlineStr">
        <is>
          <t>សិទ្ធិនេះមានរួចហើយនៅក្នុងម៉ូឌុល</t>
        </is>
      </c>
    </row>
    <row r="37" ht="22.5" customHeight="1" s="305">
      <c r="A37" s="296" t="inlineStr">
        <is>
          <t>RECORD_ACTIVE</t>
        </is>
      </c>
      <c r="B37" s="297" t="inlineStr">
        <is>
          <t>Hiệu lực</t>
        </is>
      </c>
      <c r="C37" s="298" t="n"/>
      <c r="D37" s="299" t="inlineStr">
        <is>
          <t>សកម្ម</t>
        </is>
      </c>
      <c r="E37" t="inlineStr">
        <is>
          <t>សកម្ម</t>
        </is>
      </c>
    </row>
    <row r="38" ht="22.5" customHeight="1" s="305">
      <c r="A38" s="292" t="inlineStr">
        <is>
          <t>RECORD_INACTIVE</t>
        </is>
      </c>
      <c r="B38" s="293" t="inlineStr">
        <is>
          <t>Hết hiệu lực</t>
        </is>
      </c>
      <c r="C38" s="294" t="n"/>
      <c r="D38" s="295" t="inlineStr">
        <is>
          <t>អសកម្ម</t>
        </is>
      </c>
      <c r="E38" t="inlineStr">
        <is>
          <t>អសកម្ម</t>
        </is>
      </c>
    </row>
    <row r="39" ht="22.5" customHeight="1" s="305">
      <c r="A39" s="296" t="inlineStr">
        <is>
          <t>statusConfirmNotice</t>
        </is>
      </c>
      <c r="B39" s="297" t="inlineStr">
        <is>
          <t>Bạn có chắc chắn muốn đổi trạng thái</t>
        </is>
      </c>
      <c r="C39" s="298" t="n"/>
      <c r="D39" s="299" t="inlineStr">
        <is>
          <t>តើអ្នកពិតជាចង់ផ្លាស់ប្តូរស្ថានភាពមែនទេ?</t>
        </is>
      </c>
      <c r="E39" t="inlineStr">
        <is>
          <t>តើអ្នកពិតជាចង់ផ្លាស់ប្តូរស្ថានភាពមែនទេ?</t>
        </is>
      </c>
    </row>
    <row r="40" ht="22.5" customHeight="1" s="305">
      <c r="A40" s="292" t="inlineStr">
        <is>
          <t>switchStatus</t>
        </is>
      </c>
      <c r="B40" s="293" t="inlineStr">
        <is>
          <t>Đổi trạng thái</t>
        </is>
      </c>
      <c r="C40" s="294" t="n"/>
      <c r="D40" s="295" t="inlineStr">
        <is>
          <t>ប្តូរស្ថានភាព</t>
        </is>
      </c>
      <c r="E40" t="inlineStr">
        <is>
          <t>ប្តូរស្ថានភាព</t>
        </is>
      </c>
    </row>
    <row r="41" ht="22.5" customHeight="1" s="305">
      <c r="A41" s="296" t="inlineStr">
        <is>
          <t>idLengthInvalid</t>
        </is>
      </c>
      <c r="B41" s="297" t="inlineStr">
        <is>
          <t>tối đa 50 ký tự</t>
        </is>
      </c>
      <c r="C41" s="298" t="n"/>
      <c r="D41" s="299" t="inlineStr">
        <is>
          <t>អតិបរមា 50 តួអក្សរ</t>
        </is>
      </c>
      <c r="E41" t="inlineStr">
        <is>
          <t>អតិបរមា 50 តួអក្សរ</t>
        </is>
      </c>
    </row>
    <row r="42" ht="22.5" customHeight="1" s="305">
      <c r="A42" s="292" t="inlineStr">
        <is>
          <t>duplicateId</t>
        </is>
      </c>
      <c r="B42" s="293" t="inlineStr">
        <is>
          <t>ID đã tồn tại</t>
        </is>
      </c>
      <c r="C42" s="294" t="n"/>
      <c r="D42" s="295" t="inlineStr">
        <is>
          <t>លេខសម្គាល់ (ID) មានរួចហើយ</t>
        </is>
      </c>
      <c r="E42" t="inlineStr">
        <is>
          <t>លេខសម្គាល់ (ID) មានរួចហើយ</t>
        </is>
      </c>
    </row>
    <row r="43" ht="22.5" customHeight="1" s="305">
      <c r="A43" s="296" t="inlineStr">
        <is>
          <t>nameLengthInvalid</t>
        </is>
      </c>
      <c r="B43" s="297" t="inlineStr">
        <is>
          <t>tối đa 200 ký tự</t>
        </is>
      </c>
      <c r="C43" s="298" t="n"/>
      <c r="D43" s="299" t="inlineStr">
        <is>
          <t>អតិបរមា 200 តួអក្សរ</t>
        </is>
      </c>
      <c r="E43" t="inlineStr">
        <is>
          <t>អតិបរមា 200 តួអក្សរ</t>
        </is>
      </c>
    </row>
    <row r="44" ht="22.5" customHeight="1" s="305">
      <c r="A44" s="292" t="inlineStr">
        <is>
          <t>duplicateName</t>
        </is>
      </c>
      <c r="B44" s="293" t="inlineStr">
        <is>
          <t>Tên đã tồn tại</t>
        </is>
      </c>
      <c r="C44" s="294" t="n"/>
      <c r="D44" s="295" t="inlineStr">
        <is>
          <t>ឈ្មោះនេះមានរួចហើយ</t>
        </is>
      </c>
      <c r="E44" t="inlineStr">
        <is>
          <t>ឈ្មោះនេះមានរួចហើយ</t>
        </is>
      </c>
    </row>
    <row r="45" ht="22.5" customHeight="1" s="305">
      <c r="A45" s="296" t="inlineStr">
        <is>
          <t>invalidUrl</t>
        </is>
      </c>
      <c r="B45" s="297" t="inlineStr">
        <is>
          <t>Đường dẫn URL không hợp lệ</t>
        </is>
      </c>
      <c r="C45" s="298" t="n"/>
      <c r="D45" s="299" t="inlineStr">
        <is>
          <t>តំណភ្ជាប់ URL មិនត្រឹមត្រូវទេ</t>
        </is>
      </c>
      <c r="E45" t="inlineStr">
        <is>
          <t>តំណភ្ជាប់ URL មិនត្រឹមត្រូវទេ</t>
        </is>
      </c>
    </row>
    <row r="46" ht="22.5" customHeight="1" s="305">
      <c r="A46" s="292" t="inlineStr">
        <is>
          <t>urlLengthInvalid</t>
        </is>
      </c>
      <c r="B46" s="293" t="inlineStr">
        <is>
          <t>tối đa 50 ký tự</t>
        </is>
      </c>
      <c r="C46" s="294" t="n"/>
      <c r="D46" s="295" t="inlineStr">
        <is>
          <t>អតិបរមា 50 តួអក្សរ</t>
        </is>
      </c>
      <c r="E46" t="inlineStr">
        <is>
          <t>អតិបរមា 50 តួអក្សរ</t>
        </is>
      </c>
    </row>
    <row r="47" ht="22.5" customHeight="1" s="305">
      <c r="A47" s="296" t="inlineStr">
        <is>
          <t>lock</t>
        </is>
      </c>
      <c r="B47" s="297" t="inlineStr">
        <is>
          <t>Khoá</t>
        </is>
      </c>
      <c r="C47" s="298" t="n"/>
      <c r="D47" s="299" t="inlineStr">
        <is>
          <t>ចាក់សោ</t>
        </is>
      </c>
      <c r="E47" t="inlineStr">
        <is>
          <t>ចាក់សោ</t>
        </is>
      </c>
    </row>
    <row r="48" ht="22.5" customHeight="1" s="305">
      <c r="A48" s="292" t="inlineStr">
        <is>
          <t>unlock</t>
        </is>
      </c>
      <c r="B48" s="293" t="inlineStr">
        <is>
          <t>Mở khoá</t>
        </is>
      </c>
      <c r="C48" s="294" t="n"/>
      <c r="D48" s="295" t="inlineStr">
        <is>
          <t>ដោះសោ</t>
        </is>
      </c>
      <c r="E48" t="inlineStr">
        <is>
          <t>ដោះសោ</t>
        </is>
      </c>
    </row>
    <row r="49" ht="22.5" customHeight="1" s="305">
      <c r="A49" s="296" t="inlineStr">
        <is>
          <t>selectAll</t>
        </is>
      </c>
      <c r="B49" s="297" t="inlineStr">
        <is>
          <t>Chọn tất cả</t>
        </is>
      </c>
      <c r="C49" s="298" t="n"/>
      <c r="D49" s="299" t="inlineStr">
        <is>
          <t>ជ្រើសរើសទាំងអស់</t>
        </is>
      </c>
      <c r="E49" t="inlineStr">
        <is>
          <t>ជ្រើសរើសទាំងអស់</t>
        </is>
      </c>
    </row>
    <row r="50" ht="22.5" customHeight="1" s="305">
      <c r="A50" s="292" t="inlineStr">
        <is>
          <t>emptyRoleNotice</t>
        </is>
      </c>
      <c r="B50" s="293" t="inlineStr">
        <is>
          <t>Không có nhóm quyền nào.</t>
        </is>
      </c>
      <c r="C50" s="294" t="n"/>
      <c r="D50" s="295" t="inlineStr">
        <is>
          <t>មិនមានក្រុមសិទ្ធិណាមួយឡើយ។</t>
        </is>
      </c>
      <c r="E50" t="inlineStr">
        <is>
          <t>មិនមានក្រុមសិទ្ធិណាមួយឡើយ។</t>
        </is>
      </c>
    </row>
    <row r="51" ht="22.5" customHeight="1" s="305">
      <c r="A51" s="296" t="inlineStr">
        <is>
          <t>allRolesAddedNotice</t>
        </is>
      </c>
      <c r="B51" s="297" t="inlineStr">
        <is>
          <t>Tất cả các nhóm quyền đã tồn tại trong danh sách.</t>
        </is>
      </c>
      <c r="C51" s="298" t="n"/>
      <c r="D51" s="299" t="inlineStr">
        <is>
          <t>រាល់ក្រុមសិទ្ធិទាំងអស់មានរួចហើយនៅក្នុងបញ្ជី។</t>
        </is>
      </c>
      <c r="E51" t="inlineStr">
        <is>
          <t>រាល់ក្រុមសិទ្ធិទាំងអស់មានរួចហើយនៅក្នុងបញ្ជី។</t>
        </is>
      </c>
    </row>
    <row r="52" ht="22.5" customHeight="1" s="305">
      <c r="A52" s="301" t="inlineStr">
        <is>
          <t>addRolesSuccessNotice</t>
        </is>
      </c>
      <c r="B52" s="302" t="inlineStr">
        <is>
          <t>Đã thêm {{count}} nhóm quyền.</t>
        </is>
      </c>
      <c r="C52" s="303" t="n"/>
      <c r="D52" s="304" t="inlineStr">
        <is>
          <t>បានបន្ថែម {{count}} ក្រុមសិទ្ធិដោយជោគជ័យ។</t>
        </is>
      </c>
      <c r="E52" t="inlineStr">
        <is>
          <t>បានបន្ថែម {{count}} ក្រុមសិទ្ធិដោយជោគជ័យ។</t>
        </is>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2025-09-03T10:41:31Z</dcterms:created>
  <dcterms:modified xmlns:dcterms="http://purl.org/dc/terms/" xmlns:xsi="http://www.w3.org/2001/XMLSchema-instance" xsi:type="dcterms:W3CDTF">2026-09-19T04:17:28Z</dcterms:modified>
</cp:coreProperties>
</file>